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ega_devolu" sheetId="1" r:id="rId4"/>
    <sheet state="visible" name="atlas" sheetId="2" r:id="rId5"/>
    <sheet state="visible" name="pivot" sheetId="3" r:id="rId6"/>
    <sheet state="visible" name="tecnica" sheetId="4" r:id="rId7"/>
    <sheet state="visible" name="material" sheetId="5" r:id="rId8"/>
    <sheet state="visible" name="romaneio" sheetId="6" r:id="rId9"/>
    <sheet state="visible" name="misc" sheetId="7" r:id="rId10"/>
    <sheet state="visible" name="term" sheetId="8" r:id="rId11"/>
    <sheet state="visible" name="rascunho" sheetId="9" r:id="rId12"/>
  </sheets>
  <definedNames>
    <definedName name="unico_devolucao">romaneio!$AI$4:$AI$50</definedName>
    <definedName name="entraga_devolucao">entrega_devolu!$A:$M</definedName>
    <definedName name="unico_entrega">romaneio!$Z$4:$Z$50</definedName>
    <definedName hidden="1" localSheetId="0" name="_xlnm._FilterDatabase">entrega_devolu!$A$1:$O$2886</definedName>
    <definedName hidden="1" localSheetId="0" name="Z_410871B0_A199_422F_900C_04A9F97D48B3_.wvu.FilterData">entrega_devolu!$A$1:$M$1</definedName>
    <definedName hidden="1" localSheetId="0" name="Z_538E608E_5F56_4B4E_838B_4A3FD164B110_.wvu.FilterData">entrega_devolu!$A$1:$M$1</definedName>
    <definedName hidden="1" localSheetId="0" name="Z_6B53BE1D_A6FE_49A4_9558_757D4A879EDA_.wvu.FilterData">entrega_devolu!$A$1:$M$1</definedName>
    <definedName hidden="1" localSheetId="0" name="Z_8EC3868D_0348_46D3_A29A_880C678433E3_.wvu.FilterData">entrega_devolu!$A$1:$M$1</definedName>
    <definedName hidden="1" localSheetId="0" name="Z_91F88BD4_4D96_43A2_9A3D_F00DE8525A8B_.wvu.FilterData">entrega_devolu!$A$1:$M$1</definedName>
    <definedName hidden="1" localSheetId="0" name="Z_E0C6C8E1_FC08_404A_B170_D7B8CD04456E_.wvu.FilterData">entrega_devolu!$A$1:$M$1</definedName>
  </definedNames>
  <calcPr/>
  <customWorkbookViews>
    <customWorkbookView activeSheetId="0" maximized="1" windowHeight="0" windowWidth="0" guid="{6B53BE1D-A6FE-49A4-9558-757D4A879EDA}" name="Filtro 4"/>
    <customWorkbookView activeSheetId="0" maximized="1" windowHeight="0" windowWidth="0" guid="{8EC3868D-0348-46D3-A29A-880C678433E3}" name="Filtro 5"/>
    <customWorkbookView activeSheetId="0" maximized="1" windowHeight="0" windowWidth="0" guid="{410871B0-A199-422F-900C-04A9F97D48B3}" name="Filtro 6"/>
    <customWorkbookView activeSheetId="0" maximized="1" windowHeight="0" windowWidth="0" guid="{91F88BD4-4D96-43A2-9A3D-F00DE8525A8B}" name="Filtro 1"/>
    <customWorkbookView activeSheetId="0" maximized="1" windowHeight="0" windowWidth="0" guid="{538E608E-5F56-4B4E-838B-4A3FD164B110}" name="Filtro 2"/>
    <customWorkbookView activeSheetId="0" maximized="1" windowHeight="0" windowWidth="0" guid="{E0C6C8E1-FC08-404A-B170-D7B8CD04456E}" name="Filtro 3"/>
  </customWorkbookViews>
  <pivotCaches>
    <pivotCache cacheId="0" r:id="rId13"/>
  </pivotCaches>
</workbook>
</file>

<file path=xl/sharedStrings.xml><?xml version="1.0" encoding="utf-8"?>
<sst xmlns="http://schemas.openxmlformats.org/spreadsheetml/2006/main" count="9965" uniqueCount="780">
  <si>
    <t>sku</t>
  </si>
  <si>
    <t>qtd</t>
  </si>
  <si>
    <t>descricao</t>
  </si>
  <si>
    <t>parceira</t>
  </si>
  <si>
    <t>atlas</t>
  </si>
  <si>
    <t>tecnico</t>
  </si>
  <si>
    <t>data</t>
  </si>
  <si>
    <t>movimento</t>
  </si>
  <si>
    <t>sap</t>
  </si>
  <si>
    <t>id_tecnico</t>
  </si>
  <si>
    <t>modalidade</t>
  </si>
  <si>
    <t>responsavel</t>
  </si>
  <si>
    <t>cat_material</t>
  </si>
  <si>
    <t>observacao</t>
  </si>
  <si>
    <t>modelo</t>
  </si>
  <si>
    <t>90585145e1fe</t>
  </si>
  <si>
    <t>DIGITEC TECNOLOGIA DIGITAL E REPRES</t>
  </si>
  <si>
    <t>INICIALIZADO</t>
  </si>
  <si>
    <t>ALEXSANDRO</t>
  </si>
  <si>
    <t>ENTREGA</t>
  </si>
  <si>
    <t>MARCELO</t>
  </si>
  <si>
    <t>80d04a907723</t>
  </si>
  <si>
    <t>80d04ab8aa6d</t>
  </si>
  <si>
    <t>A8705D841871</t>
  </si>
  <si>
    <t>DANILO</t>
  </si>
  <si>
    <t>DEVOLUCAO</t>
  </si>
  <si>
    <t>9877E77B0772</t>
  </si>
  <si>
    <t>9877E70566F5</t>
  </si>
  <si>
    <t>F8D2AC164EA4</t>
  </si>
  <si>
    <t>383FB3A319C8</t>
  </si>
  <si>
    <t>484BD49DDE94</t>
  </si>
  <si>
    <t>BC644BE552A7</t>
  </si>
  <si>
    <t>6C55E8C16CAC</t>
  </si>
  <si>
    <t>4C1265E410C5</t>
  </si>
  <si>
    <t>802D1A0017D0</t>
  </si>
  <si>
    <t>802D1A001988</t>
  </si>
  <si>
    <t>3CF9F0A8CB68</t>
  </si>
  <si>
    <t>9C635B8A5CFE</t>
  </si>
  <si>
    <t>C4EBFFF6C121</t>
  </si>
  <si>
    <t>C4EBFFF6EC0B</t>
  </si>
  <si>
    <t>647B1EEE24D8</t>
  </si>
  <si>
    <t>647B1EEBA856</t>
  </si>
  <si>
    <t>840112608D90</t>
  </si>
  <si>
    <t>216790953038</t>
  </si>
  <si>
    <t>246066763041</t>
  </si>
  <si>
    <t>6C55E8BF6324</t>
  </si>
  <si>
    <t>840112075A8F</t>
  </si>
  <si>
    <t>A8705D75EBB1</t>
  </si>
  <si>
    <t>9877E705B5A0</t>
  </si>
  <si>
    <t>216799609719</t>
  </si>
  <si>
    <t>226329617492</t>
  </si>
  <si>
    <t>216634633551</t>
  </si>
  <si>
    <t>226343956164</t>
  </si>
  <si>
    <t>216338083644</t>
  </si>
  <si>
    <t>226384859113</t>
  </si>
  <si>
    <t>647B1EEE2587</t>
  </si>
  <si>
    <t>647B1EEBA879</t>
  </si>
  <si>
    <t>FO</t>
  </si>
  <si>
    <t>GUILHERME</t>
  </si>
  <si>
    <t>IARLEY</t>
  </si>
  <si>
    <t>229902335765</t>
  </si>
  <si>
    <t>JAIRO</t>
  </si>
  <si>
    <t>229876066770</t>
  </si>
  <si>
    <t>229896608292</t>
  </si>
  <si>
    <t>241631424352</t>
  </si>
  <si>
    <t>241631370408</t>
  </si>
  <si>
    <t>CABO DROP</t>
  </si>
  <si>
    <t>JEANE</t>
  </si>
  <si>
    <t>ISOLADOR</t>
  </si>
  <si>
    <t>MINI ISOLADOR</t>
  </si>
  <si>
    <t>MINI PROTETOR</t>
  </si>
  <si>
    <t>ANEL</t>
  </si>
  <si>
    <t>08A7C06D3034</t>
  </si>
  <si>
    <t>C85D386FFD4D</t>
  </si>
  <si>
    <t>A8705D8283CB</t>
  </si>
  <si>
    <t>647B1EEE124E</t>
  </si>
  <si>
    <t>9877E7BE1548</t>
  </si>
  <si>
    <t>743AEF755679</t>
  </si>
  <si>
    <t>8401123930A9</t>
  </si>
  <si>
    <t>840112077B6D</t>
  </si>
  <si>
    <t>9877E7B97DF0</t>
  </si>
  <si>
    <t>840112E9C5AD</t>
  </si>
  <si>
    <t>840112052190</t>
  </si>
  <si>
    <t>9877E74A9C6C</t>
  </si>
  <si>
    <t>229838982041</t>
  </si>
  <si>
    <t>D4925ED4E9F4</t>
  </si>
  <si>
    <t>9C635B8AFEE0</t>
  </si>
  <si>
    <t>08C7F53087D2</t>
  </si>
  <si>
    <t>08C7F524D7C4</t>
  </si>
  <si>
    <t>647B1EEBA833</t>
  </si>
  <si>
    <t>647B1EEBA99F</t>
  </si>
  <si>
    <t>647B1EEE11C9</t>
  </si>
  <si>
    <t>9839107C889C</t>
  </si>
  <si>
    <t>9839107C8883</t>
  </si>
  <si>
    <t>9839107C7E74</t>
  </si>
  <si>
    <t>843C992D573B</t>
  </si>
  <si>
    <t>843C992D5951</t>
  </si>
  <si>
    <t>843C992D5105</t>
  </si>
  <si>
    <t>9839107C7DBF</t>
  </si>
  <si>
    <t>9839107C8838</t>
  </si>
  <si>
    <t>9839107C82E2</t>
  </si>
  <si>
    <t>9839107C7E15</t>
  </si>
  <si>
    <t>9839107C7EAB</t>
  </si>
  <si>
    <t>647B1EECA376</t>
  </si>
  <si>
    <t>B42A0E1ABFFA</t>
  </si>
  <si>
    <t>B0DAF9633BC2</t>
  </si>
  <si>
    <t>383FB3A55536</t>
  </si>
  <si>
    <t>08C7F52C4A29</t>
  </si>
  <si>
    <t>216404054650</t>
  </si>
  <si>
    <t>246255272325</t>
  </si>
  <si>
    <t>216611667594</t>
  </si>
  <si>
    <t>246256701017</t>
  </si>
  <si>
    <t>216562272123</t>
  </si>
  <si>
    <t>226249653134</t>
  </si>
  <si>
    <t>216836696974</t>
  </si>
  <si>
    <t>246335514567</t>
  </si>
  <si>
    <t>89550531860000432057</t>
  </si>
  <si>
    <t>89550531860000432040</t>
  </si>
  <si>
    <t>89550531840026256912</t>
  </si>
  <si>
    <t>89550531860000432107</t>
  </si>
  <si>
    <t>229897844362</t>
  </si>
  <si>
    <t>229871980514</t>
  </si>
  <si>
    <t>229833976063</t>
  </si>
  <si>
    <t>JOHN WESNNEY</t>
  </si>
  <si>
    <t>246142804547</t>
  </si>
  <si>
    <t>24E4CE57C44B</t>
  </si>
  <si>
    <t>216634982429</t>
  </si>
  <si>
    <t>246159724358</t>
  </si>
  <si>
    <t>8C444F1B2478</t>
  </si>
  <si>
    <t>CC75E2BAA81A</t>
  </si>
  <si>
    <t>840112DD128B</t>
  </si>
  <si>
    <t>CC5830FDABF8</t>
  </si>
  <si>
    <t>6802B8A19137</t>
  </si>
  <si>
    <t>216828534461</t>
  </si>
  <si>
    <t>246044175056</t>
  </si>
  <si>
    <t>1062D09C0243</t>
  </si>
  <si>
    <t>942CB3AB935C</t>
  </si>
  <si>
    <t>216802288599</t>
  </si>
  <si>
    <t>246129676060</t>
  </si>
  <si>
    <t>889E68DCD054</t>
  </si>
  <si>
    <t>94988F93D55E</t>
  </si>
  <si>
    <t>843c992d6359</t>
  </si>
  <si>
    <t>JONATHAN</t>
  </si>
  <si>
    <t>1062d0117b51</t>
  </si>
  <si>
    <t>MATHEUS COORD</t>
  </si>
  <si>
    <t>229842780515</t>
  </si>
  <si>
    <t>MATHEUS HANIEL</t>
  </si>
  <si>
    <t>229683890620</t>
  </si>
  <si>
    <t>c4509cf4d9e4</t>
  </si>
  <si>
    <t>c4509cf35ce4</t>
  </si>
  <si>
    <t>229998852626</t>
  </si>
  <si>
    <t>C85D381EC2D5</t>
  </si>
  <si>
    <t>383FB3A635DE</t>
  </si>
  <si>
    <t>5CFA25AD4183</t>
  </si>
  <si>
    <t>229659221321</t>
  </si>
  <si>
    <t>246465645572</t>
  </si>
  <si>
    <t>229659220816</t>
  </si>
  <si>
    <t>246465641936</t>
  </si>
  <si>
    <t>B0935BEB0462</t>
  </si>
  <si>
    <t>2C584F38A7BD</t>
  </si>
  <si>
    <t>D86C5A59B8B4</t>
  </si>
  <si>
    <t>PEDRO</t>
  </si>
  <si>
    <t>C85D3880E4F1</t>
  </si>
  <si>
    <t>241633085266</t>
  </si>
  <si>
    <t>241633097792</t>
  </si>
  <si>
    <t>241633096479</t>
  </si>
  <si>
    <t>241627035562</t>
  </si>
  <si>
    <t>2C9569F14F14</t>
  </si>
  <si>
    <t>184228863031</t>
  </si>
  <si>
    <t>226055766164</t>
  </si>
  <si>
    <t>184159831334</t>
  </si>
  <si>
    <t>226684596973</t>
  </si>
  <si>
    <t>181464539702</t>
  </si>
  <si>
    <t>215963874048</t>
  </si>
  <si>
    <t>5447CC77427A</t>
  </si>
  <si>
    <t>216647484760</t>
  </si>
  <si>
    <t>YTALO</t>
  </si>
  <si>
    <t>226035402438</t>
  </si>
  <si>
    <t>216794419908</t>
  </si>
  <si>
    <t>246111443249</t>
  </si>
  <si>
    <t>184029850422</t>
  </si>
  <si>
    <t>215990499901</t>
  </si>
  <si>
    <t>E820E20025B7</t>
  </si>
  <si>
    <t>177166921436</t>
  </si>
  <si>
    <t>215786488486</t>
  </si>
  <si>
    <t>A8F5DDED39E0</t>
  </si>
  <si>
    <t>184322160117</t>
  </si>
  <si>
    <t>226707695165</t>
  </si>
  <si>
    <t>F820D2058607</t>
  </si>
  <si>
    <t>D833B730D0D9</t>
  </si>
  <si>
    <t>C85D38A08C8C</t>
  </si>
  <si>
    <t>216525861028</t>
  </si>
  <si>
    <t>226277616278</t>
  </si>
  <si>
    <t>216470169711</t>
  </si>
  <si>
    <t>246229897491</t>
  </si>
  <si>
    <t>216847093343</t>
  </si>
  <si>
    <t>246285499708</t>
  </si>
  <si>
    <t>216567711027</t>
  </si>
  <si>
    <t>226339473651</t>
  </si>
  <si>
    <t>689E29BD87E1</t>
  </si>
  <si>
    <t>C4509CF4D1D4</t>
  </si>
  <si>
    <t>5C7D7D6DA554</t>
  </si>
  <si>
    <t>CC5830FDC0B2</t>
  </si>
  <si>
    <t>D86C5A0149AA</t>
  </si>
  <si>
    <t>A8705D8801DE</t>
  </si>
  <si>
    <t>229686232038</t>
  </si>
  <si>
    <t>246499980809</t>
  </si>
  <si>
    <t>216757874456</t>
  </si>
  <si>
    <t>246347844659</t>
  </si>
  <si>
    <t>216692630525</t>
  </si>
  <si>
    <t>226227603642</t>
  </si>
  <si>
    <t>841EA38D8779</t>
  </si>
  <si>
    <t>9C635B8707F6</t>
  </si>
  <si>
    <t>216608303944</t>
  </si>
  <si>
    <t>215796074563</t>
  </si>
  <si>
    <t>D86C5A3B0769</t>
  </si>
  <si>
    <t>C40D969807AF</t>
  </si>
  <si>
    <t>229723806265</t>
  </si>
  <si>
    <t>246579459912</t>
  </si>
  <si>
    <t>F6</t>
  </si>
  <si>
    <t>TAP 6</t>
  </si>
  <si>
    <t>TAP 9</t>
  </si>
  <si>
    <t>DIV 2</t>
  </si>
  <si>
    <t>DIV D</t>
  </si>
  <si>
    <t>241598159209</t>
  </si>
  <si>
    <t>241631372327</t>
  </si>
  <si>
    <t>3CF9F0AA0D40</t>
  </si>
  <si>
    <t>TECNOLOGIA</t>
  </si>
  <si>
    <t>descr_claro</t>
  </si>
  <si>
    <t>descr_almox</t>
  </si>
  <si>
    <t>tipo</t>
  </si>
  <si>
    <t>sap_empresa</t>
  </si>
  <si>
    <t>estado</t>
  </si>
  <si>
    <t>data_alteracao</t>
  </si>
  <si>
    <t>ADAPTADOR P/TEL RJ11</t>
  </si>
  <si>
    <t>DIV TEL</t>
  </si>
  <si>
    <t>MISCELANEA</t>
  </si>
  <si>
    <t>ANEL VEDACAO PLASTICA P PORTA F</t>
  </si>
  <si>
    <t>BUCHA P/CABO RG6/59 BRANCA</t>
  </si>
  <si>
    <t>BUCHA</t>
  </si>
  <si>
    <t>CABO COAXIAL RG6 TRI C/M PT</t>
  </si>
  <si>
    <t>CABO PRETO</t>
  </si>
  <si>
    <t>CABO COAXIAL RG6 TRI S/M BR</t>
  </si>
  <si>
    <t>CABO BRANCO</t>
  </si>
  <si>
    <t>CABO TELEFONICO 4VIAS CHATO BR</t>
  </si>
  <si>
    <t>CABO TEL</t>
  </si>
  <si>
    <t>CABO UTP CAT5E ETHERNET NET</t>
  </si>
  <si>
    <t>CABO DE REDE</t>
  </si>
  <si>
    <t>CONEC_RI COMPRESSAO F-6</t>
  </si>
  <si>
    <t>CONEC_TEL RJ11 6 X 4</t>
  </si>
  <si>
    <t>RJ 11</t>
  </si>
  <si>
    <t>CONECTOR TERMINACAO 75 OHMS</t>
  </si>
  <si>
    <t>CARGA C</t>
  </si>
  <si>
    <t>CONECTOR UTP RJ45 M CAT 5 24AWG</t>
  </si>
  <si>
    <t>RJ 45</t>
  </si>
  <si>
    <t>DC_RI 1S 06DB 1GHZ H SOLDADO</t>
  </si>
  <si>
    <t>DC_RI 1S 09DB 1GHZ H SOLDADO</t>
  </si>
  <si>
    <t>DIV_RI 2S 1GHZ H SOLDADO</t>
  </si>
  <si>
    <t>DIV_RI 3S 1GHZ H SOLD BAL 777</t>
  </si>
  <si>
    <t>DIV B</t>
  </si>
  <si>
    <t>DIV_RI 3S 1GHZ H SOLD DESB 488</t>
  </si>
  <si>
    <t>EMENDA CABO TELEFONE 101-E GEL</t>
  </si>
  <si>
    <t>EMENDA GEL</t>
  </si>
  <si>
    <t>FECHO P/ FITA PLASTICA DIELET</t>
  </si>
  <si>
    <t>FECHO</t>
  </si>
  <si>
    <t>FITA AUTO-FUSAO 23LB 19X10MM 3M NET</t>
  </si>
  <si>
    <t>ALTA FUSAO</t>
  </si>
  <si>
    <t>FITA ISOLANTE 3M 33+</t>
  </si>
  <si>
    <t>ISOLANTE</t>
  </si>
  <si>
    <t>FITA PLASTICA DIELETRICA ROLO 15MTS</t>
  </si>
  <si>
    <t>FITA PLASTICA</t>
  </si>
  <si>
    <t>FIXADOR FIO BR RG6 CIRCUL 7MM</t>
  </si>
  <si>
    <t>FIXA BR</t>
  </si>
  <si>
    <t>FIXADOR FIO PT RG6</t>
  </si>
  <si>
    <t>FIXA PT</t>
  </si>
  <si>
    <t>GANCHO U SPAN CLAMP 1/4 10</t>
  </si>
  <si>
    <t>GANCHO</t>
  </si>
  <si>
    <t>ISOLADOR COAXIAL QUADRADO - CISP-HR</t>
  </si>
  <si>
    <t>MARCADOR APTO AMAR. LETRA A</t>
  </si>
  <si>
    <t>AP A</t>
  </si>
  <si>
    <t>MARCADOR APTO AMAR. LETRA B</t>
  </si>
  <si>
    <t>AP B</t>
  </si>
  <si>
    <t>MARCADOR APTO AMAR. LETRA C</t>
  </si>
  <si>
    <t>AP C</t>
  </si>
  <si>
    <t>MARCADOR APTO AMAR. NR.0</t>
  </si>
  <si>
    <t>AP 0</t>
  </si>
  <si>
    <t>MARCADOR APTO AMAR. NR.1</t>
  </si>
  <si>
    <t>AP 1</t>
  </si>
  <si>
    <t>MARCADOR APTO AMAR. NR.2</t>
  </si>
  <si>
    <t>AP 2</t>
  </si>
  <si>
    <t>MARCADOR APTO AMAR. NR.3</t>
  </si>
  <si>
    <t>AP 3</t>
  </si>
  <si>
    <t>MARCADOR APTO AMAR. NR.4</t>
  </si>
  <si>
    <t>AP 4</t>
  </si>
  <si>
    <t>MARCADOR APTO AMAR. NR.5</t>
  </si>
  <si>
    <t>AP 5</t>
  </si>
  <si>
    <t>MARCADOR APTO AMAR. NR.6</t>
  </si>
  <si>
    <t>AP 6</t>
  </si>
  <si>
    <t>MARCADOR APTO AMAR. NR.7</t>
  </si>
  <si>
    <t>AP 7</t>
  </si>
  <si>
    <t>MARCADOR APTO AMAR. NR.8</t>
  </si>
  <si>
    <t>AP 8</t>
  </si>
  <si>
    <t>MARCADOR APTO AMAR. NR.9</t>
  </si>
  <si>
    <t>AP 9</t>
  </si>
  <si>
    <t>MARCADOR CASA PTO LETRA A</t>
  </si>
  <si>
    <t>CASA A</t>
  </si>
  <si>
    <t>MARCADOR CASA PTO LETRA B</t>
  </si>
  <si>
    <t>CASA B</t>
  </si>
  <si>
    <t>MARCADOR CASA PTO LETRA C</t>
  </si>
  <si>
    <t>CASA C</t>
  </si>
  <si>
    <t>MARCADOR CASA PTO LETRA D</t>
  </si>
  <si>
    <t>CASA D</t>
  </si>
  <si>
    <t>MARCADOR CASA PTO LETRA E</t>
  </si>
  <si>
    <t>CASA E</t>
  </si>
  <si>
    <t>MARCADOR CASA PTO NR 0</t>
  </si>
  <si>
    <t>CASA 0</t>
  </si>
  <si>
    <t>MARCADOR CASA PTO NR 1</t>
  </si>
  <si>
    <t>CASA 1</t>
  </si>
  <si>
    <t>MARCADOR CASA PTO NR 2</t>
  </si>
  <si>
    <t>CASA 2</t>
  </si>
  <si>
    <t>MARCADOR CASA PTO NR 3</t>
  </si>
  <si>
    <t>CASA 3</t>
  </si>
  <si>
    <t>MARCADOR CASA PTO NR 4</t>
  </si>
  <si>
    <t>CASA 4</t>
  </si>
  <si>
    <t>MARCADOR CASA PTO NR 5</t>
  </si>
  <si>
    <t>CASA 5</t>
  </si>
  <si>
    <t>MARCADOR CASA PTO NR 6</t>
  </si>
  <si>
    <t>CASA 6</t>
  </si>
  <si>
    <t>MARCADOR CASA PTO NR 7</t>
  </si>
  <si>
    <t>CASA 7</t>
  </si>
  <si>
    <t>MARCADOR CASA PTO NR 8</t>
  </si>
  <si>
    <t>CASA 8</t>
  </si>
  <si>
    <t>MARCADOR CASA PTO NR 9</t>
  </si>
  <si>
    <t>CASA 9</t>
  </si>
  <si>
    <t>MINI ISOLADOR CPE P/CM DECODER</t>
  </si>
  <si>
    <t>PITAO C/FLANGE+BUCHA S10</t>
  </si>
  <si>
    <t>PITAO</t>
  </si>
  <si>
    <t>PROTETOR P/MINI ISOLADOR - ACRE1568</t>
  </si>
  <si>
    <t>SAPATILHA DESCARTAVEL ELASTICO</t>
  </si>
  <si>
    <t>PROPE</t>
  </si>
  <si>
    <t>TOMADA TEL 1 BR X 1 USA FEM</t>
  </si>
  <si>
    <t>TOMADA F</t>
  </si>
  <si>
    <t>TOMADA TEL 2 BR X 1 USA</t>
  </si>
  <si>
    <t>TOMADA M</t>
  </si>
  <si>
    <t>VASELINA SOLIDA POTE 410G</t>
  </si>
  <si>
    <t>VASELINA</t>
  </si>
  <si>
    <t>CABO DROP 1FO LOW F FIG8 CINZA</t>
  </si>
  <si>
    <t>CABO DROP 1FO LOW F FIG8 LOW CINZA</t>
  </si>
  <si>
    <t>CONECTOR FO CAMPO FAST SC/APC</t>
  </si>
  <si>
    <t>ESTICADOR CUNHA P/DROP FO SDA1 DPR</t>
  </si>
  <si>
    <t>ESTICADOR</t>
  </si>
  <si>
    <t>FIXA FIO CABO DROP FO CHATO</t>
  </si>
  <si>
    <t>FIXA DROP</t>
  </si>
  <si>
    <t>FIXA FIO CABO LOW FRCIT CHATO</t>
  </si>
  <si>
    <t>FIXA DROP LOW</t>
  </si>
  <si>
    <t>KIT ENTRADA DROP ECAM S7BR P/NAP 3M 4UN</t>
  </si>
  <si>
    <t>ECAM</t>
  </si>
  <si>
    <t>CABO DROP FO LOW F FIG0 BRANCO</t>
  </si>
  <si>
    <t>CABO LOW</t>
  </si>
  <si>
    <t>CONECTOR FO CAMPO CPO SC APC FRKW</t>
  </si>
  <si>
    <t>serial</t>
  </si>
  <si>
    <t>SERIAL</t>
  </si>
  <si>
    <t>Qtd</t>
  </si>
  <si>
    <t>ADNEY CLARO</t>
  </si>
  <si>
    <t>1</t>
  </si>
  <si>
    <t>CLARO</t>
  </si>
  <si>
    <t>ALEXANDRE</t>
  </si>
  <si>
    <t>4</t>
  </si>
  <si>
    <t>VT</t>
  </si>
  <si>
    <t>5</t>
  </si>
  <si>
    <t>ADS</t>
  </si>
  <si>
    <t>ALISSON</t>
  </si>
  <si>
    <t>6</t>
  </si>
  <si>
    <t>SUPER</t>
  </si>
  <si>
    <t>ARTHUR</t>
  </si>
  <si>
    <t>7</t>
  </si>
  <si>
    <t>CARLOS</t>
  </si>
  <si>
    <t>8</t>
  </si>
  <si>
    <t>CICERO</t>
  </si>
  <si>
    <t>9</t>
  </si>
  <si>
    <t>RENATO</t>
  </si>
  <si>
    <t>10</t>
  </si>
  <si>
    <t>DAVI</t>
  </si>
  <si>
    <t>11</t>
  </si>
  <si>
    <t>DAVID</t>
  </si>
  <si>
    <t>12</t>
  </si>
  <si>
    <t>DEMERIO</t>
  </si>
  <si>
    <t>13</t>
  </si>
  <si>
    <t>CANCELADA</t>
  </si>
  <si>
    <t>14</t>
  </si>
  <si>
    <t>LOG</t>
  </si>
  <si>
    <t>17/10/2024 16:02:40</t>
  </si>
  <si>
    <t>EDNEY</t>
  </si>
  <si>
    <t>16</t>
  </si>
  <si>
    <t>EDNILSON</t>
  </si>
  <si>
    <t>17</t>
  </si>
  <si>
    <t>PASSAR TEC</t>
  </si>
  <si>
    <t>18</t>
  </si>
  <si>
    <t>17/10/2024 16:02:28</t>
  </si>
  <si>
    <t>EMAIL REGISTRO</t>
  </si>
  <si>
    <t>19</t>
  </si>
  <si>
    <t>ETIQUETA</t>
  </si>
  <si>
    <t>20</t>
  </si>
  <si>
    <t>EURICO</t>
  </si>
  <si>
    <t>21</t>
  </si>
  <si>
    <t>FABIO</t>
  </si>
  <si>
    <t>22</t>
  </si>
  <si>
    <t>24</t>
  </si>
  <si>
    <t>25</t>
  </si>
  <si>
    <t>26</t>
  </si>
  <si>
    <t>27</t>
  </si>
  <si>
    <t>MOTO</t>
  </si>
  <si>
    <t>JOSE EDUARDO</t>
  </si>
  <si>
    <t>28</t>
  </si>
  <si>
    <t>WILLIAM</t>
  </si>
  <si>
    <t>29</t>
  </si>
  <si>
    <t>LEONARDO</t>
  </si>
  <si>
    <t>31</t>
  </si>
  <si>
    <t>MARCELINO</t>
  </si>
  <si>
    <t>32</t>
  </si>
  <si>
    <t>33</t>
  </si>
  <si>
    <t>NATANAEL</t>
  </si>
  <si>
    <t>34</t>
  </si>
  <si>
    <t>NETO</t>
  </si>
  <si>
    <t>35</t>
  </si>
  <si>
    <t>36</t>
  </si>
  <si>
    <t>ROGER</t>
  </si>
  <si>
    <t>38</t>
  </si>
  <si>
    <t>SAVIO</t>
  </si>
  <si>
    <t>39</t>
  </si>
  <si>
    <t>TARLES</t>
  </si>
  <si>
    <t>40</t>
  </si>
  <si>
    <t>TECNICO ASSINATURA</t>
  </si>
  <si>
    <t>41</t>
  </si>
  <si>
    <t>TECNICO COBRADO</t>
  </si>
  <si>
    <t>42</t>
  </si>
  <si>
    <t>WELLINGTON</t>
  </si>
  <si>
    <t>43</t>
  </si>
  <si>
    <t>WESLEY</t>
  </si>
  <si>
    <t>44</t>
  </si>
  <si>
    <t>45</t>
  </si>
  <si>
    <t>SEM TECNICO</t>
  </si>
  <si>
    <t>47</t>
  </si>
  <si>
    <t>ADRIANO</t>
  </si>
  <si>
    <t>48</t>
  </si>
  <si>
    <t>SOUZA FERNANDES</t>
  </si>
  <si>
    <t>49</t>
  </si>
  <si>
    <t>ITALO MAX</t>
  </si>
  <si>
    <t>58</t>
  </si>
  <si>
    <t>10/10/2024 14:21:03</t>
  </si>
  <si>
    <t>JOSE CARLOS</t>
  </si>
  <si>
    <t>60</t>
  </si>
  <si>
    <t>02/10/2024 14:53:21</t>
  </si>
  <si>
    <t>DIONATHAN</t>
  </si>
  <si>
    <t>65</t>
  </si>
  <si>
    <t>14/11/2024 11:37:09</t>
  </si>
  <si>
    <t>66</t>
  </si>
  <si>
    <t>25/10/2024 08:41:49</t>
  </si>
  <si>
    <t>67</t>
  </si>
  <si>
    <t>30/10/2024 09:33:19</t>
  </si>
  <si>
    <t>68</t>
  </si>
  <si>
    <t>25/11/2024 09:49:47</t>
  </si>
  <si>
    <t>TARCISIO</t>
  </si>
  <si>
    <t>69</t>
  </si>
  <si>
    <t>14/11/2024 11:35:22</t>
  </si>
  <si>
    <t>LEVI</t>
  </si>
  <si>
    <t>70</t>
  </si>
  <si>
    <t>16/11/2024 08:59:13</t>
  </si>
  <si>
    <t>MATHEUS PAZ</t>
  </si>
  <si>
    <t>71</t>
  </si>
  <si>
    <t>10/12/2024 10:59:53</t>
  </si>
  <si>
    <t>SAMUEL</t>
  </si>
  <si>
    <t>72</t>
  </si>
  <si>
    <t>11/12/2024 08:52:09</t>
  </si>
  <si>
    <t>equipmaneto</t>
  </si>
  <si>
    <t>grupo</t>
  </si>
  <si>
    <t>MODEM VOIP EMTA WIFI 3.1 CG3000</t>
  </si>
  <si>
    <t>3.1</t>
  </si>
  <si>
    <t>EQUIPAMENTO</t>
  </si>
  <si>
    <t>MODEM VOIP EMTA WIFI 3.1 CH8568</t>
  </si>
  <si>
    <t>MODEM VOIP EMTA WIFI 3.1 FAST3895</t>
  </si>
  <si>
    <t>MODEM VOIP EMTA WIFI 3.1 HGJ310</t>
  </si>
  <si>
    <t>MODEM VOIP EMTA WIFI 3.1 TC3102 32X8</t>
  </si>
  <si>
    <t>MODEM VOIPEMTA WIFI 3.1 CGA4233CLB</t>
  </si>
  <si>
    <t>TERMINAL DOCSIS 3.1 32X8 EMTA WIF TG3442</t>
  </si>
  <si>
    <t>TERMINAL DOCSIS 3.1 WIFI HI3120</t>
  </si>
  <si>
    <t>TERMINAL DOCSIS EMTA WIFI 3.1 32X8 TG3442</t>
  </si>
  <si>
    <t>DECODER 4K ULTRA HD DGCI363 COM IG</t>
  </si>
  <si>
    <t>4K</t>
  </si>
  <si>
    <t>DECODER 4K ULTRA HD DGCI363 COM IG VOZ</t>
  </si>
  <si>
    <t>SAG4KC362</t>
  </si>
  <si>
    <t>DECODER CARDLESS 4K UHD S4KCW3 CABO E IP</t>
  </si>
  <si>
    <t>4K RFIP</t>
  </si>
  <si>
    <t>NAO CRITICO</t>
  </si>
  <si>
    <t>DECODER CARDLESS 4K UHD S4KCW4S CABO IP</t>
  </si>
  <si>
    <t>BOOM BOX</t>
  </si>
  <si>
    <t>DECODER IP 4K ULTRA HD ZAPPER S4KW2 DDR3</t>
  </si>
  <si>
    <t>BOX</t>
  </si>
  <si>
    <t>DECODER IP 4K UHD S4KW2 DDR FAST ETH</t>
  </si>
  <si>
    <t>DECODER IP 4K UHD S4KW2 DDR FAST ETH VOZ</t>
  </si>
  <si>
    <t>DECODER IP 4K ULTRA HD ZAPPER S4KW1</t>
  </si>
  <si>
    <t>DECODER VAS IP 4K ULTRA HD ZAPPER S4KW1</t>
  </si>
  <si>
    <t>DECODER 4K UHD IP S4KW3 LINUX VAS COM</t>
  </si>
  <si>
    <t>CRITICO</t>
  </si>
  <si>
    <t>NAGRA KIT</t>
  </si>
  <si>
    <t>CARD</t>
  </si>
  <si>
    <t>SMART CARD LARANJA NAGRA</t>
  </si>
  <si>
    <t>SMART CARD LARANJA</t>
  </si>
  <si>
    <t>SMART CARD PRETO NAGRA</t>
  </si>
  <si>
    <t>NAGRA</t>
  </si>
  <si>
    <t>SCBOPP 4NP PR 128KB TRIPLE</t>
  </si>
  <si>
    <t>CHIP</t>
  </si>
  <si>
    <t>SC BOPP 8NP NE 128KB AAC005 TRIPLE</t>
  </si>
  <si>
    <t>SCBOPP 8NP NE 128KB AAC005 TRIPLE</t>
  </si>
  <si>
    <t>SIM CARD MOVEL</t>
  </si>
  <si>
    <t>DCI106</t>
  </si>
  <si>
    <t>DIGITAL</t>
  </si>
  <si>
    <t>DCR2231</t>
  </si>
  <si>
    <t>DCI10NET</t>
  </si>
  <si>
    <t>DCR3101</t>
  </si>
  <si>
    <t>ARRIS TG1692A</t>
  </si>
  <si>
    <t>DUAL</t>
  </si>
  <si>
    <t>EMTA WIFI 3.0 FST3486 16X4</t>
  </si>
  <si>
    <t>HUMAX HGB10R-02</t>
  </si>
  <si>
    <t>PBL_ARRIS TG1692A</t>
  </si>
  <si>
    <t>PBL_HUMAX HGB10R-02</t>
  </si>
  <si>
    <t>TECHNICOLOR TC7337NET</t>
  </si>
  <si>
    <t>EMTA WIFI 3.0 HGA12R-02 16X4</t>
  </si>
  <si>
    <t>DECODER DIGITAL HDC7421 VIRTUA</t>
  </si>
  <si>
    <t>DVR</t>
  </si>
  <si>
    <t>HARD DISK 500GB EXTERNO 2.0</t>
  </si>
  <si>
    <t>HDD</t>
  </si>
  <si>
    <t>EMTA WIFI MOTOROLA SVG-1202</t>
  </si>
  <si>
    <t>INATIVO</t>
  </si>
  <si>
    <t>TECHNICOLOR - TC7300-B0S</t>
  </si>
  <si>
    <t>DECODER DIGITAL HDC7421 PACE</t>
  </si>
  <si>
    <t>TECHNICOLOR WIRELESS DWG850-4B</t>
  </si>
  <si>
    <t>DCI804 DVR TECHNICOLOR</t>
  </si>
  <si>
    <t>TECHNICOLOR WIRELESS DWG-850</t>
  </si>
  <si>
    <t>CISCO HIGH DEFINITION 4682DVB</t>
  </si>
  <si>
    <t>LEGADO</t>
  </si>
  <si>
    <t>PACE - DCR HIGH DEFINITION</t>
  </si>
  <si>
    <t>PACE - HD DCR 7411 VIRTUA</t>
  </si>
  <si>
    <t>PACE - HIGH DEFINITION DCR7411</t>
  </si>
  <si>
    <t>THOMSON HIGH DEFINITION DCI713</t>
  </si>
  <si>
    <t>MODEM VOIP GPON WIFI 3.1 HG8245 6T V2</t>
  </si>
  <si>
    <t>ONT</t>
  </si>
  <si>
    <t>TERMINAL ONT WIFI HGU HP610</t>
  </si>
  <si>
    <t>KIT ONT HG8245Q2 DUAL BAND NACIONAL</t>
  </si>
  <si>
    <t>MODEM VOIP ONT WIFI F680V5</t>
  </si>
  <si>
    <t>TERMINAL ONT B 610</t>
  </si>
  <si>
    <t>TERMINAL GPON WIFI TCG2232</t>
  </si>
  <si>
    <t>TERMINAL GPON WIFI PG2449</t>
  </si>
  <si>
    <t>GPON 6</t>
  </si>
  <si>
    <t>TERMINAL GPON WIFI F689</t>
  </si>
  <si>
    <t>EMTA ARRIS</t>
  </si>
  <si>
    <t>SEM WIFI</t>
  </si>
  <si>
    <t>EMTA ARRIS TM602A/CE</t>
  </si>
  <si>
    <t>EMTA MOTOROLA SBV5120I-BZ</t>
  </si>
  <si>
    <t>EMTA MOTOROLA SBV5121</t>
  </si>
  <si>
    <t>EMTA MOTOROLA SBV5121I-BZ</t>
  </si>
  <si>
    <t>EMTA MOTOROLA SBV5122</t>
  </si>
  <si>
    <t>EMTA MOTOROLA SBV5122-BZ</t>
  </si>
  <si>
    <t>EMTA THOMSON</t>
  </si>
  <si>
    <t>EMTA THOMSON DHG534B</t>
  </si>
  <si>
    <t>MOTOROLA - SB5101 BIVOLT</t>
  </si>
  <si>
    <t>TEVO0001</t>
  </si>
  <si>
    <t>TEVO0003</t>
  </si>
  <si>
    <t>SMART CARD AVULSO MINI</t>
  </si>
  <si>
    <t>SIM CARD</t>
  </si>
  <si>
    <t>SMART SIM CARD NAGRA</t>
  </si>
  <si>
    <t>CISCO MODEM WIFI 3.0 DPC392</t>
  </si>
  <si>
    <t>SINGLE</t>
  </si>
  <si>
    <t>EMTA 3.0 HG100R-L2 HUMAX</t>
  </si>
  <si>
    <t>EMTA CISCO DPC3925 DOCSIS 3.0</t>
  </si>
  <si>
    <t>EMTA TC7300-B WIFI 3.0</t>
  </si>
  <si>
    <t>EMTA WIFI 3.0 C6500</t>
  </si>
  <si>
    <t>EMTA WIFI 3.0 DOCSIS SVG6582</t>
  </si>
  <si>
    <t>EMTA WI-FI 3.0 DOCSIS SVG6582</t>
  </si>
  <si>
    <t>EMTA WIFI 3.0 DPC3928 CISCO</t>
  </si>
  <si>
    <t>EMTA WI-FI 3.0 DWG874B</t>
  </si>
  <si>
    <t>EMTA WIFI 3.0 SAGEMCOM</t>
  </si>
  <si>
    <t>EMTA WIFI 3.0 TC7300-B</t>
  </si>
  <si>
    <t>EMTA WI-FI 3.0 TG862A ARRIS</t>
  </si>
  <si>
    <t>EMTA WIFI ARRIS TG862A</t>
  </si>
  <si>
    <t>EMTA WIFI ARRIS TG862A NET</t>
  </si>
  <si>
    <t>EMTA WIFI MOTOROLA SVG1202 NET</t>
  </si>
  <si>
    <t>HUMAX HG100R-L4</t>
  </si>
  <si>
    <t>SAGEMCOM FAST 3284</t>
  </si>
  <si>
    <t>TECHNICOLOR EMTA WI-FI 3.0</t>
  </si>
  <si>
    <t>TECHNICOLOR WIRELESS TC7110-B</t>
  </si>
  <si>
    <t>DECODER DIGITAL HD DXC5000 2T</t>
  </si>
  <si>
    <t>TOP MIX</t>
  </si>
  <si>
    <t>DECODER DIGITAL HD HNB100 2T</t>
  </si>
  <si>
    <t>DECODER HD DCI738 2T</t>
  </si>
  <si>
    <t>DECODER HD HHDC2</t>
  </si>
  <si>
    <t>DECODER HD THDC4</t>
  </si>
  <si>
    <t>TERMINAL DOCSIS 3.1 EMTA WIFI6 F@ST3896</t>
  </si>
  <si>
    <t>WIFI 6</t>
  </si>
  <si>
    <t>TERMINAL DOCSIS 3.1 EMTA WIFI6 TC3106</t>
  </si>
  <si>
    <t>TERMINAL EXTENSOR WIFI MESH AP5541</t>
  </si>
  <si>
    <t>WIFI MESH</t>
  </si>
  <si>
    <t>ROTEADOR ZTE WIFI5 ZXHN H196A MESH BCO</t>
  </si>
  <si>
    <t>TERMINAL EXTENSOR WIFI5 MESH AR2180T</t>
  </si>
  <si>
    <t>TERMINAL CG3600T CLARO BRAZIL D3.1 EMTA</t>
  </si>
  <si>
    <t>SC BOPP 7NP BA 128KB AAC005 TRIPLE</t>
  </si>
  <si>
    <t>TERMINAL GPON ONT WIFI6 F6600P-NACIONAL</t>
  </si>
  <si>
    <t>TERMINAL GPON ONT WIFI F6645P</t>
  </si>
  <si>
    <t>DECODER CARDLESS 4K UHD S4KCW5 CABO IP</t>
  </si>
  <si>
    <t>ONT GPON RESID 4GE PORTS ZXHN F600</t>
  </si>
  <si>
    <t>BSOD GPON</t>
  </si>
  <si>
    <t>TERMINAL EXTENSOR WIFI6 MESH H3621P</t>
  </si>
  <si>
    <t>DECODER CARDLESS 4K UHD K4KCW5 CABO E IP</t>
  </si>
  <si>
    <t>und</t>
  </si>
  <si>
    <t>DATA ENTREGA</t>
  </si>
  <si>
    <t>UNIQUE ENTREGA</t>
  </si>
  <si>
    <t>UNIQUE DEVOLUCAO</t>
  </si>
  <si>
    <t>desc_claro</t>
  </si>
  <si>
    <t>desc_almox</t>
  </si>
  <si>
    <t>22025085</t>
  </si>
  <si>
    <t>22025321</t>
  </si>
  <si>
    <t>22025136</t>
  </si>
  <si>
    <t>22026223</t>
  </si>
  <si>
    <t>22026219</t>
  </si>
  <si>
    <t>22025084</t>
  </si>
  <si>
    <t>22056369</t>
  </si>
  <si>
    <t>22026189</t>
  </si>
  <si>
    <t>22026149</t>
  </si>
  <si>
    <t>22026199</t>
  </si>
  <si>
    <t>22061811</t>
  </si>
  <si>
    <t>22026809</t>
  </si>
  <si>
    <t>22026746</t>
  </si>
  <si>
    <t>22026772</t>
  </si>
  <si>
    <t>22026795</t>
  </si>
  <si>
    <t>22026792</t>
  </si>
  <si>
    <t>22025320</t>
  </si>
  <si>
    <t>22025322</t>
  </si>
  <si>
    <t>22056332</t>
  </si>
  <si>
    <t>22025072</t>
  </si>
  <si>
    <t>22056338</t>
  </si>
  <si>
    <t>22025139</t>
  </si>
  <si>
    <t>22057635</t>
  </si>
  <si>
    <t>22026544</t>
  </si>
  <si>
    <t>22056366</t>
  </si>
  <si>
    <t>22025181</t>
  </si>
  <si>
    <t>22025182</t>
  </si>
  <si>
    <t>22025183</t>
  </si>
  <si>
    <t>22025162</t>
  </si>
  <si>
    <t>22025250</t>
  </si>
  <si>
    <t>22025244</t>
  </si>
  <si>
    <t>22025241</t>
  </si>
  <si>
    <t>22025245</t>
  </si>
  <si>
    <t>22025237</t>
  </si>
  <si>
    <t>22025243</t>
  </si>
  <si>
    <t>22025238</t>
  </si>
  <si>
    <t>22025239</t>
  </si>
  <si>
    <t>22025240</t>
  </si>
  <si>
    <t>22025114</t>
  </si>
  <si>
    <t>22025115</t>
  </si>
  <si>
    <t>22025116</t>
  </si>
  <si>
    <t>22025117</t>
  </si>
  <si>
    <t>22025119</t>
  </si>
  <si>
    <t>22056342</t>
  </si>
  <si>
    <t>22056343</t>
  </si>
  <si>
    <t>22056344</t>
  </si>
  <si>
    <t>22056345</t>
  </si>
  <si>
    <t>22056340</t>
  </si>
  <si>
    <t>22056331</t>
  </si>
  <si>
    <t>22056336</t>
  </si>
  <si>
    <t>22056341</t>
  </si>
  <si>
    <t>22056337</t>
  </si>
  <si>
    <t>22056339</t>
  </si>
  <si>
    <t>22056364</t>
  </si>
  <si>
    <t>22026489</t>
  </si>
  <si>
    <t>22056365</t>
  </si>
  <si>
    <t>22025334</t>
  </si>
  <si>
    <t>22025090</t>
  </si>
  <si>
    <t>22025089</t>
  </si>
  <si>
    <t>22025049</t>
  </si>
  <si>
    <t>22057657</t>
  </si>
  <si>
    <t>22061736</t>
  </si>
  <si>
    <t>22057620</t>
  </si>
  <si>
    <t>22057659</t>
  </si>
  <si>
    <t>22025349</t>
  </si>
  <si>
    <t>22025348</t>
  </si>
  <si>
    <t>22057660</t>
  </si>
  <si>
    <t>22026265</t>
  </si>
  <si>
    <t>22065513</t>
  </si>
  <si>
    <t>41001486</t>
  </si>
  <si>
    <t>41001485</t>
  </si>
  <si>
    <t>41001504</t>
  </si>
  <si>
    <t>41001481</t>
  </si>
  <si>
    <t>41001513</t>
  </si>
  <si>
    <t>41001482</t>
  </si>
  <si>
    <t>41001520</t>
  </si>
  <si>
    <t>41001518</t>
  </si>
  <si>
    <t>41001534</t>
  </si>
  <si>
    <t>41001068</t>
  </si>
  <si>
    <t>41001528</t>
  </si>
  <si>
    <t>41001573</t>
  </si>
  <si>
    <t>41001483</t>
  </si>
  <si>
    <t>41001538</t>
  </si>
  <si>
    <t>41001422</t>
  </si>
  <si>
    <t>41001505</t>
  </si>
  <si>
    <t>41001530</t>
  </si>
  <si>
    <t>41001186</t>
  </si>
  <si>
    <t>41001234</t>
  </si>
  <si>
    <t>41001233</t>
  </si>
  <si>
    <t>41001382</t>
  </si>
  <si>
    <t>23107</t>
  </si>
  <si>
    <t>22901</t>
  </si>
  <si>
    <t>23105</t>
  </si>
  <si>
    <t>41001263</t>
  </si>
  <si>
    <t>41001343</t>
  </si>
  <si>
    <t>41001261</t>
  </si>
  <si>
    <t>41001262</t>
  </si>
  <si>
    <t>41001293</t>
  </si>
  <si>
    <t>41001095</t>
  </si>
  <si>
    <t>41001292</t>
  </si>
  <si>
    <t>41001294</t>
  </si>
  <si>
    <t>41001356</t>
  </si>
  <si>
    <t>41001345</t>
  </si>
  <si>
    <t>41001376</t>
  </si>
  <si>
    <t>41001352</t>
  </si>
  <si>
    <t>41001290</t>
  </si>
  <si>
    <t>41001218</t>
  </si>
  <si>
    <t>41001295</t>
  </si>
  <si>
    <t>41001274</t>
  </si>
  <si>
    <t>41001272</t>
  </si>
  <si>
    <t>41001216</t>
  </si>
  <si>
    <t>41001273</t>
  </si>
  <si>
    <t>41001516</t>
  </si>
  <si>
    <t>41001478</t>
  </si>
  <si>
    <t>41001434</t>
  </si>
  <si>
    <t>41001479</t>
  </si>
  <si>
    <t>41001522</t>
  </si>
  <si>
    <t>41001535</t>
  </si>
  <si>
    <t>41001521</t>
  </si>
  <si>
    <t>41001541</t>
  </si>
  <si>
    <t>41001324</t>
  </si>
  <si>
    <t>41001196</t>
  </si>
  <si>
    <t>41001194</t>
  </si>
  <si>
    <t>41001228</t>
  </si>
  <si>
    <t>41001508</t>
  </si>
  <si>
    <t>41000805</t>
  </si>
  <si>
    <t>41001230</t>
  </si>
  <si>
    <t>41001286</t>
  </si>
  <si>
    <t>41001159</t>
  </si>
  <si>
    <t>41001289</t>
  </si>
  <si>
    <t>41001302</t>
  </si>
  <si>
    <t>41001304</t>
  </si>
  <si>
    <t>41001300</t>
  </si>
  <si>
    <t>41001285</t>
  </si>
  <si>
    <t>41001155</t>
  </si>
  <si>
    <t>41001288</t>
  </si>
  <si>
    <t>41001287</t>
  </si>
  <si>
    <t>41001277</t>
  </si>
  <si>
    <t>41001276</t>
  </si>
  <si>
    <t>41001275</t>
  </si>
  <si>
    <t>41001048</t>
  </si>
  <si>
    <t>41001047</t>
  </si>
  <si>
    <t>41001552</t>
  </si>
  <si>
    <t>41001553</t>
  </si>
  <si>
    <t>41001523</t>
  </si>
  <si>
    <t>41001536</t>
  </si>
  <si>
    <t>41001567</t>
  </si>
  <si>
    <t>BSD GPON</t>
  </si>
  <si>
    <t>41001515</t>
  </si>
  <si>
    <t>41001593</t>
  </si>
  <si>
    <t>4k RFIP</t>
  </si>
  <si>
    <t>41001584</t>
  </si>
  <si>
    <t>resultado_formula</t>
  </si>
  <si>
    <t>tecnico_unique</t>
  </si>
  <si>
    <t>80D04A907723</t>
  </si>
  <si>
    <t>80D04AB8AA6D</t>
  </si>
  <si>
    <t>843C992D6359</t>
  </si>
  <si>
    <t>1062D0117B51</t>
  </si>
  <si>
    <t>C4509CF4D9E4</t>
  </si>
  <si>
    <t>C4509CF35CE4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</si>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</sst>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dd/mm/yyyy"/>
    <numFmt numFmtId="166" formatCode="d/m/yyyy hh:mm:ss"/>
    <numFmt numFmtId="167" formatCode="dd/mm/yyyy hh:mm"/>
    <numFmt numFmtId="168" formatCode="dd/mm/yyyy hh:mm:ss"/>
  </numFmts>
  <fonts count="15">
    <font>
      <sz val="11.0"/>
      <color theme="1"/>
      <name val="Calibri"/>
      <scheme val="minor"/>
    </font>
    <font>
      <b/>
      <sz val="10.0"/>
      <color theme="1"/>
      <name val="Helvetica Neue"/>
    </font>
    <font>
      <b/>
      <sz val="10.0"/>
      <color rgb="FF000000"/>
      <name val="Helvetica Neue"/>
    </font>
    <font>
      <b/>
      <i/>
      <sz val="10.0"/>
      <color rgb="FFFF0000"/>
      <name val="Helvetica Neue"/>
    </font>
    <font>
      <b/>
      <sz val="11.0"/>
      <color theme="1"/>
      <name val="Helvetica Neue"/>
    </font>
    <font>
      <sz val="10.0"/>
      <color theme="1"/>
      <name val="Helvetica Neue"/>
    </font>
    <font>
      <b/>
      <sz val="11.0"/>
      <color rgb="FF000000"/>
      <name val="Helvetica Neue"/>
    </font>
    <font>
      <color theme="1"/>
      <name val="Calibri"/>
      <scheme val="minor"/>
    </font>
    <font>
      <sz val="11.0"/>
      <color theme="1"/>
      <name val="Helvetica Neue"/>
    </font>
    <font>
      <sz val="9.0"/>
      <color theme="1"/>
      <name val="Helvetica Neue"/>
    </font>
    <font>
      <sz val="11.0"/>
      <color rgb="FFFFFFFF"/>
      <name val="Helvetica Neue"/>
    </font>
    <font>
      <b/>
      <i/>
      <sz val="11.0"/>
      <color theme="1"/>
      <name val="Helvetica Neue"/>
    </font>
    <font>
      <i/>
      <sz val="10.0"/>
      <color theme="1"/>
      <name val="Helvetica Neue"/>
    </font>
    <font>
      <b/>
      <sz val="11.0"/>
      <color theme="1"/>
      <name val="Calibri"/>
      <scheme val="minor"/>
    </font>
    <font>
      <sz val="12.0"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readingOrder="0" vertical="center"/>
    </xf>
    <xf borderId="1" fillId="2" fontId="1" numFmtId="3" xfId="0" applyAlignment="1" applyBorder="1" applyFont="1" applyNumberFormat="1">
      <alignment horizontal="center" readingOrder="0" vertical="center"/>
    </xf>
    <xf borderId="1" fillId="2" fontId="2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3" fontId="1" numFmtId="49" xfId="0" applyAlignment="1" applyBorder="1" applyFill="1" applyFont="1" applyNumberFormat="1">
      <alignment horizontal="left" readingOrder="0" vertical="center"/>
    </xf>
    <xf borderId="1" fillId="3" fontId="1" numFmtId="3" xfId="0" applyAlignment="1" applyBorder="1" applyFont="1" applyNumberFormat="1">
      <alignment horizontal="left" readingOrder="0" vertical="center"/>
    </xf>
    <xf borderId="1" fillId="2" fontId="1" numFmtId="49" xfId="0" applyAlignment="1" applyBorder="1" applyFont="1" applyNumberFormat="1">
      <alignment horizontal="left" vertical="center"/>
    </xf>
    <xf borderId="1" fillId="3" fontId="2" numFmtId="0" xfId="0" applyAlignment="1" applyBorder="1" applyFont="1">
      <alignment horizontal="left" readingOrder="0" vertical="center"/>
    </xf>
    <xf borderId="1" fillId="3" fontId="1" numFmtId="164" xfId="0" applyAlignment="1" applyBorder="1" applyFont="1" applyNumberFormat="1">
      <alignment horizontal="left" readingOrder="0" vertical="center"/>
    </xf>
    <xf borderId="1" fillId="3" fontId="3" numFmtId="49" xfId="0" applyAlignment="1" applyBorder="1" applyFont="1" applyNumberFormat="1">
      <alignment horizontal="left" readingOrder="0" vertical="center"/>
    </xf>
    <xf borderId="1" fillId="2" fontId="1" numFmtId="0" xfId="0" applyAlignment="1" applyBorder="1" applyFont="1">
      <alignment horizontal="left" vertical="center"/>
    </xf>
    <xf borderId="1" fillId="3" fontId="2" numFmtId="49" xfId="0" applyAlignment="1" applyBorder="1" applyFont="1" applyNumberFormat="1">
      <alignment horizontal="left" readingOrder="0" vertical="center"/>
    </xf>
    <xf borderId="1" fillId="2" fontId="2" numFmtId="49" xfId="0" applyAlignment="1" applyBorder="1" applyFont="1" applyNumberFormat="1">
      <alignment horizontal="left" readingOrder="0" vertical="center"/>
    </xf>
    <xf borderId="1" fillId="2" fontId="2" numFmtId="0" xfId="0" applyAlignment="1" applyBorder="1" applyFont="1">
      <alignment horizontal="left" readingOrder="0" vertical="center"/>
    </xf>
    <xf borderId="1" fillId="3" fontId="1" numFmtId="49" xfId="0" applyAlignment="1" applyBorder="1" applyFont="1" applyNumberFormat="1">
      <alignment horizontal="left" vertical="center"/>
    </xf>
    <xf borderId="1" fillId="2" fontId="4" numFmtId="49" xfId="0" applyAlignment="1" applyBorder="1" applyFont="1" applyNumberFormat="1">
      <alignment horizontal="center" vertical="center"/>
    </xf>
    <xf borderId="1" fillId="2" fontId="4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readingOrder="0" vertical="center"/>
    </xf>
    <xf borderId="1" fillId="3" fontId="5" numFmtId="49" xfId="0" applyAlignment="1" applyBorder="1" applyFont="1" applyNumberFormat="1">
      <alignment horizontal="left"/>
    </xf>
    <xf borderId="1" fillId="3" fontId="5" numFmtId="0" xfId="0" applyAlignment="1" applyBorder="1" applyFont="1">
      <alignment horizontal="left"/>
    </xf>
    <xf borderId="1" fillId="3" fontId="5" numFmtId="164" xfId="0" applyAlignment="1" applyBorder="1" applyFont="1" applyNumberFormat="1">
      <alignment horizontal="left"/>
    </xf>
    <xf borderId="1" fillId="2" fontId="5" numFmtId="0" xfId="0" applyAlignment="1" applyBorder="1" applyFont="1">
      <alignment horizontal="left"/>
    </xf>
    <xf borderId="1" fillId="3" fontId="5" numFmtId="0" xfId="0" applyAlignment="1" applyBorder="1" applyFont="1">
      <alignment horizontal="left"/>
    </xf>
    <xf borderId="1" fillId="3" fontId="5" numFmtId="0" xfId="0" applyAlignment="1" applyBorder="1" applyFont="1">
      <alignment horizontal="left" readingOrder="0"/>
    </xf>
    <xf borderId="1" fillId="3" fontId="5" numFmtId="49" xfId="0" applyAlignment="1" applyBorder="1" applyFont="1" applyNumberFormat="1">
      <alignment horizontal="left" readingOrder="0"/>
    </xf>
    <xf borderId="1" fillId="2" fontId="5" numFmtId="49" xfId="0" applyAlignment="1" applyBorder="1" applyFont="1" applyNumberFormat="1">
      <alignment horizontal="center" readingOrder="0" vertical="center"/>
    </xf>
    <xf borderId="1" fillId="2" fontId="5" numFmtId="0" xfId="0" applyAlignment="1" applyBorder="1" applyFont="1">
      <alignment horizontal="center" readingOrder="0" vertical="center"/>
    </xf>
    <xf borderId="1" fillId="2" fontId="5" numFmtId="0" xfId="0" applyAlignment="1" applyBorder="1" applyFont="1">
      <alignment horizontal="center" vertical="center"/>
    </xf>
    <xf borderId="0" fillId="3" fontId="5" numFmtId="49" xfId="0" applyAlignment="1" applyFont="1" applyNumberFormat="1">
      <alignment horizontal="left" readingOrder="0"/>
    </xf>
    <xf borderId="0" fillId="3" fontId="5" numFmtId="0" xfId="0" applyAlignment="1" applyFont="1">
      <alignment horizontal="left" readingOrder="0"/>
    </xf>
    <xf borderId="0" fillId="3" fontId="5" numFmtId="49" xfId="0" applyAlignment="1" applyFont="1" applyNumberFormat="1">
      <alignment horizontal="left"/>
    </xf>
    <xf borderId="1" fillId="2" fontId="6" numFmtId="0" xfId="0" applyAlignment="1" applyBorder="1" applyFont="1">
      <alignment horizontal="center" readingOrder="0" shrinkToFit="0" vertical="center" wrapText="0"/>
    </xf>
    <xf borderId="1" fillId="2" fontId="6" numFmtId="165" xfId="0" applyAlignment="1" applyBorder="1" applyFont="1" applyNumberForma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1" fillId="0" fontId="5" numFmtId="0" xfId="0" applyAlignment="1" applyBorder="1" applyFont="1">
      <alignment horizontal="left"/>
    </xf>
    <xf borderId="0" fillId="0" fontId="5" numFmtId="0" xfId="0" applyAlignment="1" applyFont="1">
      <alignment horizontal="left"/>
    </xf>
    <xf borderId="1" fillId="0" fontId="5" numFmtId="49" xfId="0" applyAlignment="1" applyBorder="1" applyFont="1" applyNumberFormat="1">
      <alignment horizontal="left"/>
    </xf>
    <xf borderId="1" fillId="0" fontId="5" numFmtId="166" xfId="0" applyAlignment="1" applyBorder="1" applyFont="1" applyNumberFormat="1">
      <alignment horizontal="left" readingOrder="0"/>
    </xf>
    <xf borderId="1" fillId="0" fontId="5" numFmtId="3" xfId="0" applyAlignment="1" applyBorder="1" applyFont="1" applyNumberFormat="1">
      <alignment horizontal="left"/>
    </xf>
    <xf borderId="1" fillId="0" fontId="5" numFmtId="14" xfId="0" applyAlignment="1" applyBorder="1" applyFont="1" applyNumberFormat="1">
      <alignment horizontal="left"/>
    </xf>
    <xf borderId="1" fillId="0" fontId="5" numFmtId="0" xfId="0" applyAlignment="1" applyBorder="1" applyFont="1">
      <alignment horizontal="left"/>
    </xf>
    <xf borderId="0" fillId="0" fontId="5" numFmtId="14" xfId="0" applyAlignment="1" applyFont="1" applyNumberFormat="1">
      <alignment horizontal="left"/>
    </xf>
    <xf borderId="0" fillId="2" fontId="4" numFmtId="49" xfId="0" applyAlignment="1" applyFont="1" applyNumberFormat="1">
      <alignment horizontal="center" readingOrder="0" vertical="center"/>
    </xf>
    <xf borderId="0" fillId="0" fontId="5" numFmtId="49" xfId="0" applyAlignment="1" applyFont="1" applyNumberFormat="1">
      <alignment horizontal="left" readingOrder="0"/>
    </xf>
    <xf borderId="0" fillId="0" fontId="5" numFmtId="49" xfId="0" applyAlignment="1" applyFont="1" applyNumberFormat="1">
      <alignment horizontal="left"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center"/>
    </xf>
    <xf borderId="0" fillId="0" fontId="7" numFmtId="166" xfId="0" applyAlignment="1" applyFont="1" applyNumberFormat="1">
      <alignment horizontal="center" readingOrder="0"/>
    </xf>
    <xf borderId="0" fillId="0" fontId="7" numFmtId="0" xfId="0" applyAlignment="1" applyFont="1">
      <alignment horizontal="center"/>
    </xf>
    <xf borderId="0" fillId="0" fontId="7" numFmtId="49" xfId="0" applyAlignment="1" applyFont="1" applyNumberFormat="1">
      <alignment horizontal="center" readingOrder="0"/>
    </xf>
    <xf borderId="0" fillId="0" fontId="7" numFmtId="49" xfId="0" applyAlignment="1" applyFont="1" applyNumberFormat="1">
      <alignment horizontal="center"/>
    </xf>
    <xf borderId="0" fillId="0" fontId="8" numFmtId="0" xfId="0" applyAlignment="1" applyFont="1">
      <alignment horizontal="center" readingOrder="0" vertical="center"/>
    </xf>
    <xf borderId="0" fillId="0" fontId="9" numFmtId="0" xfId="0" applyAlignment="1" applyFont="1">
      <alignment horizontal="center" readingOrder="0" vertical="center"/>
    </xf>
    <xf borderId="0" fillId="4" fontId="10" numFmtId="0" xfId="0" applyAlignment="1" applyFill="1" applyFont="1">
      <alignment horizontal="center" readingOrder="0" vertical="center"/>
    </xf>
    <xf borderId="0" fillId="4" fontId="10" numFmtId="0" xfId="0" applyAlignment="1" applyFont="1">
      <alignment horizontal="center" vertical="center"/>
    </xf>
    <xf borderId="0" fillId="4" fontId="10" numFmtId="0" xfId="0" applyAlignment="1" applyFont="1">
      <alignment horizontal="center" vertical="center"/>
    </xf>
    <xf borderId="0" fillId="4" fontId="10" numFmtId="167" xfId="0" applyAlignment="1" applyFont="1" applyNumberFormat="1">
      <alignment horizontal="center" readingOrder="0" vertical="center"/>
    </xf>
    <xf borderId="0" fillId="0" fontId="8" numFmtId="0" xfId="0" applyAlignment="1" applyFont="1">
      <alignment horizontal="center"/>
    </xf>
    <xf borderId="0" fillId="5" fontId="10" numFmtId="0" xfId="0" applyAlignment="1" applyFill="1" applyFont="1">
      <alignment horizontal="center" readingOrder="0" vertical="center"/>
    </xf>
    <xf borderId="0" fillId="5" fontId="10" numFmtId="0" xfId="0" applyAlignment="1" applyFont="1">
      <alignment horizontal="center" vertical="center"/>
    </xf>
    <xf borderId="0" fillId="6" fontId="8" numFmtId="0" xfId="0" applyAlignment="1" applyFill="1" applyFont="1">
      <alignment horizontal="center" readingOrder="0"/>
    </xf>
    <xf borderId="0" fillId="0" fontId="8" numFmtId="0" xfId="0" applyFont="1"/>
    <xf borderId="0" fillId="3" fontId="8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167" xfId="0" applyAlignment="1" applyFont="1" applyNumberFormat="1">
      <alignment horizontal="center"/>
    </xf>
    <xf borderId="0" fillId="0" fontId="5" numFmtId="164" xfId="0" applyAlignment="1" applyFont="1" applyNumberFormat="1">
      <alignment horizontal="center"/>
    </xf>
    <xf borderId="0" fillId="0" fontId="5" numFmtId="165" xfId="0" applyAlignment="1" applyFont="1" applyNumberFormat="1">
      <alignment horizontal="center" readingOrder="0"/>
    </xf>
    <xf borderId="0" fillId="0" fontId="5" numFmtId="49" xfId="0" applyAlignment="1" applyFont="1" applyNumberFormat="1">
      <alignment horizontal="center" readingOrder="0"/>
    </xf>
    <xf borderId="0" fillId="0" fontId="5" numFmtId="167" xfId="0" applyAlignment="1" applyFont="1" applyNumberFormat="1">
      <alignment horizontal="center" readingOrder="0"/>
    </xf>
    <xf borderId="0" fillId="2" fontId="11" numFmtId="49" xfId="0" applyAlignment="1" applyFont="1" applyNumberFormat="1">
      <alignment horizontal="center" readingOrder="0" vertical="center"/>
    </xf>
    <xf borderId="0" fillId="0" fontId="12" numFmtId="49" xfId="0" applyAlignment="1" applyFont="1" applyNumberFormat="1">
      <alignment horizontal="center" readingOrder="0"/>
    </xf>
    <xf borderId="0" fillId="2" fontId="5" numFmtId="49" xfId="0" applyAlignment="1" applyFont="1" applyNumberFormat="1">
      <alignment horizontal="center" readingOrder="0" vertical="center"/>
    </xf>
    <xf borderId="0" fillId="0" fontId="5" numFmtId="49" xfId="0" applyAlignment="1" applyFont="1" applyNumberFormat="1">
      <alignment horizontal="left"/>
    </xf>
    <xf borderId="0" fillId="0" fontId="5" numFmtId="0" xfId="0" applyAlignment="1" applyFont="1">
      <alignment horizontal="left" readingOrder="0"/>
    </xf>
    <xf borderId="0" fillId="2" fontId="4" numFmtId="0" xfId="0" applyAlignment="1" applyFont="1">
      <alignment horizontal="center" readingOrder="0" vertical="center"/>
    </xf>
    <xf borderId="0" fillId="0" fontId="13" numFmtId="49" xfId="0" applyAlignment="1" applyFont="1" applyNumberFormat="1">
      <alignment vertical="center"/>
    </xf>
    <xf borderId="0" fillId="0" fontId="13" numFmtId="0" xfId="0" applyAlignment="1" applyFont="1">
      <alignment vertical="center"/>
    </xf>
    <xf borderId="0" fillId="0" fontId="13" numFmtId="168" xfId="0" applyAlignment="1" applyFont="1" applyNumberFormat="1">
      <alignment readingOrder="0" vertical="center"/>
    </xf>
    <xf borderId="0" fillId="2" fontId="5" numFmtId="49" xfId="0" applyAlignment="1" applyFont="1" applyNumberFormat="1">
      <alignment horizontal="left" readingOrder="0"/>
    </xf>
    <xf borderId="0" fillId="2" fontId="1" numFmtId="0" xfId="0" applyAlignment="1" applyFont="1">
      <alignment horizontal="left"/>
    </xf>
    <xf borderId="0" fillId="0" fontId="14" numFmtId="49" xfId="0" applyAlignment="1" applyFont="1" applyNumberFormat="1">
      <alignment horizontal="left"/>
    </xf>
    <xf borderId="0" fillId="0" fontId="14" numFmtId="0" xfId="0" applyAlignment="1" applyFont="1">
      <alignment horizontal="left"/>
    </xf>
    <xf borderId="0" fillId="0" fontId="14" numFmtId="0" xfId="0" applyAlignment="1" applyFont="1">
      <alignment horizontal="left" readingOrder="0"/>
    </xf>
    <xf borderId="0" fillId="0" fontId="14" numFmtId="49" xfId="0" applyAlignment="1" applyFont="1" applyNumberFormat="1">
      <alignment horizontal="left" readingOrder="0"/>
    </xf>
    <xf borderId="0" fillId="2" fontId="5" numFmtId="0" xfId="0" applyAlignment="1" applyFont="1">
      <alignment horizontal="left"/>
    </xf>
    <xf borderId="0" fillId="2" fontId="5" numFmtId="49" xfId="0" applyAlignment="1" applyFont="1" applyNumberFormat="1">
      <alignment horizontal="left"/>
    </xf>
  </cellXfs>
  <cellStyles count="1">
    <cellStyle xfId="0" name="Normal" builtinId="0"/>
  </cellStyles>
  <dxfs count="14">
    <dxf>
      <font>
        <b/>
        <i/>
        <color rgb="FFFF0000"/>
      </font>
      <fill>
        <patternFill patternType="none"/>
      </fill>
      <border/>
    </dxf>
    <dxf>
      <font>
        <b/>
        <i/>
        <color rgb="FF00B050"/>
      </font>
      <fill>
        <patternFill patternType="none"/>
      </fill>
      <border/>
    </dxf>
    <dxf>
      <font>
        <color rgb="FF00B050"/>
      </font>
      <fill>
        <patternFill patternType="solid">
          <fgColor rgb="FFCFE2F3"/>
          <bgColor rgb="FFCFE2F3"/>
        </patternFill>
      </fill>
      <border/>
    </dxf>
    <dxf>
      <font>
        <color rgb="FFFF0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CFE2F3"/>
          <bgColor rgb="FFCFE2F3"/>
        </patternFill>
      </fill>
      <border/>
    </dxf>
    <dxf>
      <font>
        <color rgb="FFFF00FF"/>
      </font>
      <fill>
        <patternFill patternType="solid">
          <fgColor rgb="FFCFE2F3"/>
          <bgColor rgb="FFCFE2F3"/>
        </patternFill>
      </fill>
      <border/>
    </dxf>
    <dxf>
      <font>
        <color rgb="FF5B9BD5"/>
      </font>
      <fill>
        <patternFill patternType="solid">
          <fgColor rgb="FFCFE2F3"/>
          <bgColor rgb="FFCFE2F3"/>
        </patternFill>
      </fill>
      <border/>
    </dxf>
    <dxf>
      <font>
        <color rgb="FFFFC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FFFFFF"/>
          <bgColor rgb="FFFFFFFF"/>
        </patternFill>
      </fill>
      <border/>
    </dxf>
    <dxf>
      <font>
        <color rgb="FFFF0000"/>
      </font>
      <fill>
        <patternFill patternType="solid">
          <fgColor rgb="FFFFFFFF"/>
          <bgColor rgb="FFFFFFFF"/>
        </patternFill>
      </fill>
      <border/>
    </dxf>
    <dxf>
      <font>
        <color rgb="FF00B05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atlas-style">
      <tableStyleElement dxfId="12" type="headerRow"/>
      <tableStyleElement dxfId="13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886" sheet="entrega_devolu"/>
  </cacheSource>
  <cacheFields>
    <cacheField name="sku" numFmtId="49">
      <sharedItems containsBlank="1">
        <s v="90585145e1fe"/>
        <s v="80d04a907723"/>
        <s v="80d04ab8aa6d"/>
        <s v="A8705D841871"/>
        <s v="9877E77B0772"/>
        <s v="9877E70566F5"/>
        <s v="F8D2AC164EA4"/>
        <s v="383FB3A319C8"/>
        <s v="484BD49DDE94"/>
        <s v="BC644BE552A7"/>
        <s v="6C55E8C16CAC"/>
        <s v="4C1265E410C5"/>
        <s v="802D1A0017D0"/>
        <s v="802D1A001988"/>
        <s v="3CF9F0A8CB68"/>
        <s v="9C635B8A5CFE"/>
        <s v="C4EBFFF6C121"/>
        <s v="C4EBFFF6EC0B"/>
        <s v="647B1EEE24D8"/>
        <s v="647B1EEBA856"/>
        <s v="840112608D90"/>
        <s v="216790953038"/>
        <s v="246066763041"/>
        <s v="6C55E8BF6324"/>
        <s v="840112075A8F"/>
        <s v="A8705D75EBB1"/>
        <s v="9877E705B5A0"/>
        <s v="216799609719"/>
        <s v="226329617492"/>
        <s v="216634633551"/>
        <s v="226343956164"/>
        <s v="216338083644"/>
        <s v="226384859113"/>
        <s v="647B1EEE2587"/>
        <s v="647B1EEBA879"/>
        <s v="FO"/>
        <s v="229902335765"/>
        <s v="229876066770"/>
        <s v="229896608292"/>
        <s v="241631424352"/>
        <s v="241631370408"/>
        <s v="CABO DROP"/>
        <s v="ISOLADOR"/>
        <s v="MINI ISOLADOR"/>
        <s v="MINI PROTETOR"/>
        <s v="ANEL"/>
        <s v="08A7C06D3034"/>
        <s v="C85D386FFD4D"/>
        <s v="A8705D8283CB"/>
        <s v="647B1EEE124E"/>
        <s v="9877E7BE1548"/>
        <s v="743AEF755679"/>
        <s v="8401123930A9"/>
        <s v="840112077B6D"/>
        <s v="9877E7B97DF0"/>
        <s v="840112E9C5AD"/>
        <s v="840112052190"/>
        <s v="9877E74A9C6C"/>
        <s v="229838982041"/>
        <s v="D4925ED4E9F4"/>
        <s v="9C635B8AFEE0"/>
        <s v="08C7F53087D2"/>
        <s v="08C7F524D7C4"/>
        <s v="647B1EEBA833"/>
        <s v="647B1EEBA99F"/>
        <s v="647B1EEE11C9"/>
        <s v="9839107C889C"/>
        <s v="9839107C8883"/>
        <s v="9839107C7E74"/>
        <s v="843C992D573B"/>
        <s v="843C992D5951"/>
        <s v="843C992D5105"/>
        <s v="9839107C7DBF"/>
        <s v="9839107C8838"/>
        <s v="9839107C82E2"/>
        <s v="9839107C7E15"/>
        <s v="9839107C7EAB"/>
        <s v="647B1EECA376"/>
        <s v="B42A0E1ABFFA"/>
        <s v="B0DAF9633BC2"/>
        <s v="383FB3A55536"/>
        <s v="08C7F52C4A29"/>
        <s v="216404054650"/>
        <s v="246255272325"/>
        <s v="216611667594"/>
        <s v="246256701017"/>
        <s v="216562272123"/>
        <s v="226249653134"/>
        <s v="216836696974"/>
        <s v="246335514567"/>
        <s v="89550531860000432057"/>
        <s v="89550531860000432040"/>
        <s v="89550531840026256912"/>
        <s v="89550531860000432107"/>
        <s v="229897844362"/>
        <s v="229871980514"/>
        <s v="229833976063"/>
        <s v="246142804547"/>
        <s v="24E4CE57C44B"/>
        <s v="216634982429"/>
        <s v="246159724358"/>
        <s v="8C444F1B2478"/>
        <s v="CC75E2BAA81A"/>
        <s v="840112DD128B"/>
        <s v="CC5830FDABF8"/>
        <s v="6802B8A19137"/>
        <s v="216828534461"/>
        <s v="246044175056"/>
        <s v="1062D09C0243"/>
        <s v="942CB3AB935C"/>
        <s v="216802288599"/>
        <s v="246129676060"/>
        <s v="889E68DCD054"/>
        <s v="94988F93D55E"/>
        <s v="843c992d6359"/>
        <s v="1062d0117b51"/>
        <s v="229842780515"/>
        <s v="229683890620"/>
        <s v="c4509cf4d9e4"/>
        <s v="c4509cf35ce4"/>
        <s v="229998852626"/>
        <s v="C85D381EC2D5"/>
        <s v="383FB3A635DE"/>
        <s v="5CFA25AD4183"/>
        <s v="229659221321"/>
        <s v="246465645572"/>
        <s v="229659220816"/>
        <s v="246465641936"/>
        <s v="B0935BEB0462"/>
        <s v="2C584F38A7BD"/>
        <s v="D86C5A59B8B4"/>
        <s v="C85D3880E4F1"/>
        <s v="241633085266"/>
        <s v="241633097792"/>
        <s v="241633096479"/>
        <s v="241627035562"/>
        <s v="2C9569F14F14"/>
        <s v="184228863031"/>
        <s v="226055766164"/>
        <s v="184159831334"/>
        <s v="226684596973"/>
        <s v="181464539702"/>
        <s v="215963874048"/>
        <s v="5447CC77427A"/>
        <s v="216647484760"/>
        <s v="226035402438"/>
        <s v="216794419908"/>
        <s v="246111443249"/>
        <s v="184029850422"/>
        <s v="215990499901"/>
        <s v="E820E20025B7"/>
        <s v="177166921436"/>
        <s v="215786488486"/>
        <s v="A8F5DDED39E0"/>
        <s v="184322160117"/>
        <s v="226707695165"/>
        <s v="F820D2058607"/>
        <s v="D833B730D0D9"/>
        <s v="C85D38A08C8C"/>
        <s v="216525861028"/>
        <s v="226277616278"/>
        <s v="216470169711"/>
        <s v="246229897491"/>
        <s v="216847093343"/>
        <s v="246285499708"/>
        <s v="216567711027"/>
        <s v="226339473651"/>
        <s v="689E29BD87E1"/>
        <s v="C4509CF4D1D4"/>
        <s v="5C7D7D6DA554"/>
        <s v="CC5830FDC0B2"/>
        <s v="D86C5A0149AA"/>
        <s v="A8705D8801DE"/>
        <s v="229686232038"/>
        <s v="246499980809"/>
        <s v="216757874456"/>
        <s v="246347844659"/>
        <s v="216692630525"/>
        <s v="226227603642"/>
        <s v="841EA38D8779"/>
        <s v="9C635B8707F6"/>
        <s v="216608303944"/>
        <s v="215796074563"/>
        <s v="D86C5A3B0769"/>
        <s v="C40D969807AF"/>
        <s v="229723806265"/>
        <s v="246579459912"/>
        <s v="F6"/>
        <s v="TAP 6"/>
        <s v="TAP 9"/>
        <s v="DIV 2"/>
        <s v="DIV D"/>
        <s v="241598159209"/>
        <s v="241631372327"/>
        <s v="3CF9F0AA0D40"/>
        <m/>
      </sharedItems>
    </cacheField>
    <cacheField name="qtd" numFmtId="0">
      <sharedItems containsString="0" containsBlank="1" containsNumber="1" containsInteger="1">
        <m/>
        <n v="20.0"/>
        <n v="500.0"/>
        <n v="10.0"/>
        <n v="15.0"/>
        <n v="30.0"/>
        <n v="2.0"/>
        <n v="1.0"/>
      </sharedItems>
    </cacheField>
    <cacheField name="descricao" numFmtId="49">
      <sharedItems>
        <s v=""/>
        <s v="DUAL"/>
        <s v="3.1"/>
        <s v="WIFI MESH"/>
        <s v="GPON 6"/>
        <s v="WIFI 6"/>
        <s v="TOP MIX"/>
        <s v="CARD"/>
        <s v="FO"/>
        <s v="BOX"/>
        <s v="4K RFIP"/>
        <s v="CABO DROP"/>
        <s v="ISOLADOR"/>
        <s v="MINI ISOLADOR"/>
        <s v="MINI PROTETOR"/>
        <s v="ANEL"/>
        <s v="ONT"/>
        <s v="CHIP"/>
        <s v="SIM CARD"/>
        <s v="BOOM BOX"/>
        <s v="4K"/>
        <s v="LEGADO"/>
        <s v="F6"/>
        <s v="TAP 6"/>
        <s v="TAP 9"/>
        <s v="DIV 2"/>
        <s v="DIV D"/>
      </sharedItems>
    </cacheField>
    <cacheField name="parceira" numFmtId="49">
      <sharedItems>
        <s v="DIGITEC TECNOLOGIA DIGITAL E REPRES"/>
        <s v="MISCELANEA"/>
        <s v=""/>
      </sharedItems>
    </cacheField>
    <cacheField name="atlas" numFmtId="49">
      <sharedItems>
        <s v="INICIALIZADO"/>
        <s v="SUSPEITO"/>
        <s v="MISCELANEA"/>
        <s v=""/>
      </sharedItems>
    </cacheField>
    <cacheField name="tecnico" numFmtId="0">
      <sharedItems containsBlank="1">
        <s v="ALEXSANDRO"/>
        <s v="DANILO"/>
        <s v="GUILHERME"/>
        <s v="JAIRO"/>
        <s v="JEANE"/>
        <s v="JOHN WESNNEY"/>
        <s v="JONATHAN"/>
        <s v="MATHEUS COORD"/>
        <s v="MATHEUS HANIEL"/>
        <s v="PEDRO"/>
        <s v="YTALO"/>
        <m/>
      </sharedItems>
    </cacheField>
    <cacheField name="data" numFmtId="164">
      <sharedItems containsDate="1" containsString="0" containsBlank="1">
        <d v="2024-12-18T10:35:17Z"/>
        <d v="2024-12-18T09:41:44Z"/>
        <d v="2024-12-18T07:19:10Z"/>
        <d v="2024-12-18T07:47:55Z"/>
        <d v="2024-12-18T07:19:44Z"/>
        <d v="2024-12-18T11:14:25Z"/>
        <d v="2024-12-18T10:35:52Z"/>
        <d v="2024-12-18T10:36:46Z"/>
        <d v="2024-12-18T08:17:16Z"/>
        <d v="2024-12-18T08:17:28Z"/>
        <d v="2024-12-18T10:36:05Z"/>
        <d v="2024-12-18T10:39:45Z"/>
        <d v="2024-12-18T11:29:08Z"/>
        <d v="2024-12-18T07:33:16Z"/>
        <d v="2024-12-18T07:33:23Z"/>
        <d v="2024-12-18T10:39:02Z"/>
        <d v="2024-12-18T11:25:11Z"/>
        <d v="2024-12-18T08:24:55Z"/>
        <m/>
      </sharedItems>
    </cacheField>
    <cacheField name="movimento" numFmtId="49">
      <sharedItems containsBlank="1">
        <s v="ENTREGA"/>
        <s v="DEVOLUCAO"/>
        <m/>
      </sharedItems>
    </cacheField>
    <cacheField name="sap">
      <sharedItems containsMixedTypes="1" containsNumber="1" containsInteger="1">
        <s v=""/>
        <n v="4.1001294E7"/>
        <n v="4.100152E7"/>
        <n v="4.1001486E7"/>
        <n v="4.1001513E7"/>
        <n v="4.1001482E7"/>
        <n v="4.1001293E7"/>
        <n v="4.1001536E7"/>
        <n v="4.100159E7"/>
        <n v="4.100156E7"/>
        <n v="4.1001552E7"/>
        <n v="4.1001276E7"/>
        <n v="4.1001234E7"/>
        <n v="2.205762E7"/>
        <n v="4.1001538E7"/>
        <n v="4.1001583E7"/>
        <n v="2.2057657E7"/>
        <n v="2.2056366E7"/>
        <n v="2.2056364E7"/>
        <n v="2.2056365E7"/>
        <n v="2.2025321E7"/>
        <n v="4.1001481E7"/>
        <n v="4.1001483E7"/>
        <n v="4.1001535E7"/>
        <n v="4.1001567E7"/>
        <n v="23107.0"/>
        <n v="23105.0"/>
        <n v="4.1001048E7"/>
        <n v="4.1001508E7"/>
        <n v="4.1001292E7"/>
        <n v="4.1001485E7"/>
        <n v="4.1001275E7"/>
        <n v="4.1001504E7"/>
        <n v="4.1001422E7"/>
        <n v="4.1001573E7"/>
        <n v="4.1001068E7"/>
        <n v="4.1000805E7"/>
        <n v="4.1001584E7"/>
        <n v="4.1001273E7"/>
        <n v="4.1001186E7"/>
        <n v="4.1001216E7"/>
        <n v="4.1001277E7"/>
        <n v="4.1001047E7"/>
        <n v="4.1001541E7"/>
        <n v="4.1001516E7"/>
        <n v="2.2026189E7"/>
        <n v="2.2026809E7"/>
        <n v="2.2026746E7"/>
        <n v="2.2026772E7"/>
        <n v="2.2026792E7"/>
      </sharedItems>
    </cacheField>
    <cacheField name="id_tecnico" numFmtId="49">
      <sharedItems>
        <s v="5"/>
        <s v="67"/>
        <s v="24"/>
        <s v="25"/>
        <s v="68"/>
        <s v="26"/>
        <s v="27"/>
        <s v="33"/>
        <s v="66"/>
        <s v="36"/>
        <s v="45"/>
        <s v="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0" dataCaption="" rowGrandTotals="0" compact="0" compactData="0">
  <location ref="A6:C88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95"/>
        <item x="46"/>
        <item x="62"/>
        <item x="81"/>
        <item x="61"/>
        <item x="115"/>
        <item x="108"/>
        <item x="151"/>
        <item x="141"/>
        <item x="148"/>
        <item x="139"/>
        <item x="137"/>
        <item x="154"/>
        <item x="152"/>
        <item x="182"/>
        <item x="142"/>
        <item x="149"/>
        <item x="31"/>
        <item x="82"/>
        <item x="161"/>
        <item x="159"/>
        <item x="86"/>
        <item x="165"/>
        <item x="181"/>
        <item x="84"/>
        <item x="29"/>
        <item x="99"/>
        <item x="144"/>
        <item x="177"/>
        <item x="175"/>
        <item x="21"/>
        <item x="146"/>
        <item x="27"/>
        <item x="110"/>
        <item x="106"/>
        <item x="88"/>
        <item x="163"/>
        <item x="145"/>
        <item x="138"/>
        <item x="178"/>
        <item x="87"/>
        <item x="160"/>
        <item x="28"/>
        <item x="166"/>
        <item x="30"/>
        <item x="32"/>
        <item x="140"/>
        <item x="155"/>
        <item x="126"/>
        <item x="124"/>
        <item x="117"/>
        <item x="173"/>
        <item x="185"/>
        <item x="96"/>
        <item x="58"/>
        <item x="116"/>
        <item x="95"/>
        <item x="37"/>
        <item x="38"/>
        <item x="94"/>
        <item x="36"/>
        <item x="120"/>
        <item x="192"/>
        <item x="135"/>
        <item x="40"/>
        <item x="193"/>
        <item x="39"/>
        <item x="132"/>
        <item x="134"/>
        <item x="133"/>
        <item x="107"/>
        <item x="22"/>
        <item x="147"/>
        <item x="111"/>
        <item x="97"/>
        <item x="100"/>
        <item x="162"/>
        <item x="83"/>
        <item x="85"/>
        <item x="164"/>
        <item x="89"/>
        <item x="176"/>
        <item x="127"/>
        <item x="125"/>
        <item x="174"/>
        <item x="186"/>
        <item x="98"/>
        <item x="129"/>
        <item x="136"/>
        <item x="7"/>
        <item x="80"/>
        <item x="122"/>
        <item x="14"/>
        <item x="194"/>
        <item x="8"/>
        <item x="11"/>
        <item x="143"/>
        <item x="169"/>
        <item x="123"/>
        <item x="63"/>
        <item x="19"/>
        <item x="34"/>
        <item x="64"/>
        <item x="77"/>
        <item x="65"/>
        <item x="49"/>
        <item x="18"/>
        <item x="33"/>
        <item x="105"/>
        <item x="167"/>
        <item x="23"/>
        <item x="10"/>
        <item x="51"/>
        <item x="12"/>
        <item x="13"/>
        <item x="1"/>
        <item x="2"/>
        <item x="56"/>
        <item x="24"/>
        <item x="53"/>
        <item x="52"/>
        <item x="20"/>
        <item x="103"/>
        <item x="55"/>
        <item x="179"/>
        <item x="71"/>
        <item x="69"/>
        <item x="70"/>
        <item x="114"/>
        <item x="112"/>
        <item x="92"/>
        <item x="91"/>
        <item x="90"/>
        <item x="93"/>
        <item x="101"/>
        <item x="0"/>
        <item x="109"/>
        <item x="113"/>
        <item x="72"/>
        <item x="75"/>
        <item x="68"/>
        <item x="76"/>
        <item x="74"/>
        <item x="73"/>
        <item x="67"/>
        <item x="66"/>
        <item x="5"/>
        <item x="26"/>
        <item x="57"/>
        <item x="4"/>
        <item x="54"/>
        <item x="50"/>
        <item x="180"/>
        <item x="15"/>
        <item x="60"/>
        <item x="25"/>
        <item x="48"/>
        <item x="3"/>
        <item x="172"/>
        <item x="153"/>
        <item x="45"/>
        <item x="128"/>
        <item x="79"/>
        <item x="78"/>
        <item x="9"/>
        <item x="184"/>
        <item x="119"/>
        <item x="168"/>
        <item x="118"/>
        <item x="16"/>
        <item x="17"/>
        <item x="121"/>
        <item x="47"/>
        <item x="131"/>
        <item x="158"/>
        <item x="41"/>
        <item x="104"/>
        <item x="170"/>
        <item x="102"/>
        <item x="59"/>
        <item x="157"/>
        <item x="171"/>
        <item x="183"/>
        <item x="130"/>
        <item x="190"/>
        <item x="191"/>
        <item x="150"/>
        <item x="187"/>
        <item x="156"/>
        <item x="6"/>
        <item x="35"/>
        <item x="42"/>
        <item x="43"/>
        <item x="44"/>
        <item x="188"/>
        <item x="189"/>
        <item t="default"/>
      </items>
    </pivotField>
    <pivotField name="qtd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parceira" axis="axisPage" compact="0" numFmtId="49" outline="0" multipleItemSelectionAllowed="1" showAll="0">
      <items>
        <item x="0"/>
        <item h="1" x="1"/>
        <item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1"/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movimento" axis="axisPage" compact="0" numFmtId="49" outline="0" multipleItemSelectionAllowed="1" showAll="0">
      <items>
        <item x="0"/>
        <item h="1"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2.xml><?xml version="1.0" encoding="utf-8"?>
<pivotTableDefinition xmlns="http://schemas.openxmlformats.org/spreadsheetml/2006/main" name="pivot 2" cacheId="0" dataCaption="" rowGrandTotals="0" compact="0" compactData="0">
  <location ref="E6:G108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95"/>
        <item x="46"/>
        <item x="62"/>
        <item x="81"/>
        <item x="61"/>
        <item x="115"/>
        <item x="108"/>
        <item x="151"/>
        <item x="141"/>
        <item x="148"/>
        <item x="139"/>
        <item x="137"/>
        <item x="154"/>
        <item x="152"/>
        <item x="182"/>
        <item x="142"/>
        <item x="149"/>
        <item x="31"/>
        <item x="82"/>
        <item x="161"/>
        <item x="159"/>
        <item x="86"/>
        <item x="165"/>
        <item x="181"/>
        <item x="84"/>
        <item x="29"/>
        <item x="99"/>
        <item x="144"/>
        <item x="177"/>
        <item x="175"/>
        <item x="21"/>
        <item x="146"/>
        <item x="27"/>
        <item x="110"/>
        <item x="106"/>
        <item x="88"/>
        <item x="163"/>
        <item x="145"/>
        <item x="138"/>
        <item x="178"/>
        <item x="87"/>
        <item x="160"/>
        <item x="28"/>
        <item x="166"/>
        <item x="30"/>
        <item x="32"/>
        <item x="140"/>
        <item x="155"/>
        <item x="126"/>
        <item x="124"/>
        <item x="117"/>
        <item x="173"/>
        <item x="185"/>
        <item x="96"/>
        <item x="58"/>
        <item x="116"/>
        <item x="95"/>
        <item x="37"/>
        <item x="38"/>
        <item x="94"/>
        <item x="36"/>
        <item x="120"/>
        <item x="192"/>
        <item x="135"/>
        <item x="40"/>
        <item x="193"/>
        <item x="39"/>
        <item x="132"/>
        <item x="134"/>
        <item x="133"/>
        <item x="107"/>
        <item x="22"/>
        <item x="147"/>
        <item x="111"/>
        <item x="97"/>
        <item x="100"/>
        <item x="162"/>
        <item x="83"/>
        <item x="85"/>
        <item x="164"/>
        <item x="89"/>
        <item x="176"/>
        <item x="127"/>
        <item x="125"/>
        <item x="174"/>
        <item x="186"/>
        <item x="98"/>
        <item x="129"/>
        <item x="136"/>
        <item x="7"/>
        <item x="80"/>
        <item x="122"/>
        <item x="14"/>
        <item x="194"/>
        <item x="8"/>
        <item x="11"/>
        <item x="143"/>
        <item x="169"/>
        <item x="123"/>
        <item x="63"/>
        <item x="19"/>
        <item x="34"/>
        <item x="64"/>
        <item x="77"/>
        <item x="65"/>
        <item x="49"/>
        <item x="18"/>
        <item x="33"/>
        <item x="105"/>
        <item x="167"/>
        <item x="23"/>
        <item x="10"/>
        <item x="51"/>
        <item x="12"/>
        <item x="13"/>
        <item x="1"/>
        <item x="2"/>
        <item x="56"/>
        <item x="24"/>
        <item x="53"/>
        <item x="52"/>
        <item x="20"/>
        <item x="103"/>
        <item x="55"/>
        <item x="179"/>
        <item x="71"/>
        <item x="69"/>
        <item x="70"/>
        <item x="114"/>
        <item x="112"/>
        <item x="92"/>
        <item x="91"/>
        <item x="90"/>
        <item x="93"/>
        <item x="101"/>
        <item x="0"/>
        <item x="109"/>
        <item x="113"/>
        <item x="72"/>
        <item x="75"/>
        <item x="68"/>
        <item x="76"/>
        <item x="74"/>
        <item x="73"/>
        <item x="67"/>
        <item x="66"/>
        <item x="5"/>
        <item x="26"/>
        <item x="57"/>
        <item x="4"/>
        <item x="54"/>
        <item x="50"/>
        <item x="180"/>
        <item x="15"/>
        <item x="60"/>
        <item x="25"/>
        <item x="48"/>
        <item x="3"/>
        <item x="172"/>
        <item x="153"/>
        <item x="45"/>
        <item x="128"/>
        <item x="79"/>
        <item x="78"/>
        <item x="9"/>
        <item x="184"/>
        <item x="119"/>
        <item x="168"/>
        <item x="118"/>
        <item x="16"/>
        <item x="17"/>
        <item x="121"/>
        <item x="47"/>
        <item x="131"/>
        <item x="158"/>
        <item x="41"/>
        <item x="104"/>
        <item x="170"/>
        <item x="102"/>
        <item x="59"/>
        <item x="157"/>
        <item x="171"/>
        <item x="183"/>
        <item x="130"/>
        <item x="190"/>
        <item x="191"/>
        <item x="150"/>
        <item x="187"/>
        <item x="156"/>
        <item x="6"/>
        <item x="35"/>
        <item x="42"/>
        <item x="43"/>
        <item x="44"/>
        <item x="188"/>
        <item x="189"/>
        <item t="default"/>
      </items>
    </pivotField>
    <pivotField name="qtd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parceira" axis="axisPage" compact="0" numFmtId="49" outline="0" multipleItemSelectionAllowed="1" showAll="0">
      <items>
        <item x="0"/>
        <item h="1" x="1"/>
        <item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1"/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movimento" axis="axisPage" compact="0" numFmtId="49" outline="0" multipleItemSelectionAllowed="1" showAll="0">
      <items>
        <item h="1" x="0"/>
        <item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3.xml><?xml version="1.0" encoding="utf-8"?>
<pivotTableDefinition xmlns="http://schemas.openxmlformats.org/spreadsheetml/2006/main" name="pivot 3" cacheId="0" dataCaption="" rowGrandTotals="0" compact="0" compactData="0">
  <location ref="I6:K17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95"/>
        <item x="46"/>
        <item x="62"/>
        <item x="81"/>
        <item x="61"/>
        <item x="115"/>
        <item x="108"/>
        <item x="151"/>
        <item x="141"/>
        <item x="148"/>
        <item x="139"/>
        <item x="137"/>
        <item x="154"/>
        <item x="152"/>
        <item x="182"/>
        <item x="142"/>
        <item x="149"/>
        <item x="31"/>
        <item x="82"/>
        <item x="161"/>
        <item x="159"/>
        <item x="86"/>
        <item x="165"/>
        <item x="181"/>
        <item x="84"/>
        <item x="29"/>
        <item x="99"/>
        <item x="144"/>
        <item x="177"/>
        <item x="175"/>
        <item x="21"/>
        <item x="146"/>
        <item x="27"/>
        <item x="110"/>
        <item x="106"/>
        <item x="88"/>
        <item x="163"/>
        <item x="145"/>
        <item x="138"/>
        <item x="178"/>
        <item x="87"/>
        <item x="160"/>
        <item x="28"/>
        <item x="166"/>
        <item x="30"/>
        <item x="32"/>
        <item x="140"/>
        <item x="155"/>
        <item x="126"/>
        <item x="124"/>
        <item x="117"/>
        <item x="173"/>
        <item x="185"/>
        <item x="96"/>
        <item x="58"/>
        <item x="116"/>
        <item x="95"/>
        <item x="37"/>
        <item x="38"/>
        <item x="94"/>
        <item x="36"/>
        <item x="120"/>
        <item x="192"/>
        <item x="135"/>
        <item x="40"/>
        <item x="193"/>
        <item x="39"/>
        <item x="132"/>
        <item x="134"/>
        <item x="133"/>
        <item x="107"/>
        <item x="22"/>
        <item x="147"/>
        <item x="111"/>
        <item x="97"/>
        <item x="100"/>
        <item x="162"/>
        <item x="83"/>
        <item x="85"/>
        <item x="164"/>
        <item x="89"/>
        <item x="176"/>
        <item x="127"/>
        <item x="125"/>
        <item x="174"/>
        <item x="186"/>
        <item x="98"/>
        <item x="129"/>
        <item x="136"/>
        <item x="7"/>
        <item x="80"/>
        <item x="122"/>
        <item x="14"/>
        <item x="194"/>
        <item x="8"/>
        <item x="11"/>
        <item x="143"/>
        <item x="169"/>
        <item x="123"/>
        <item x="63"/>
        <item x="19"/>
        <item x="34"/>
        <item x="64"/>
        <item x="77"/>
        <item x="65"/>
        <item x="49"/>
        <item x="18"/>
        <item x="33"/>
        <item x="105"/>
        <item x="167"/>
        <item x="23"/>
        <item x="10"/>
        <item x="51"/>
        <item x="12"/>
        <item x="13"/>
        <item x="1"/>
        <item x="2"/>
        <item x="56"/>
        <item x="24"/>
        <item x="53"/>
        <item x="52"/>
        <item x="20"/>
        <item x="103"/>
        <item x="55"/>
        <item x="179"/>
        <item x="71"/>
        <item x="69"/>
        <item x="70"/>
        <item x="114"/>
        <item x="112"/>
        <item x="92"/>
        <item x="91"/>
        <item x="90"/>
        <item x="93"/>
        <item x="101"/>
        <item x="0"/>
        <item x="109"/>
        <item x="113"/>
        <item x="72"/>
        <item x="75"/>
        <item x="68"/>
        <item x="76"/>
        <item x="74"/>
        <item x="73"/>
        <item x="67"/>
        <item x="66"/>
        <item x="5"/>
        <item x="26"/>
        <item x="57"/>
        <item x="4"/>
        <item x="54"/>
        <item x="50"/>
        <item x="180"/>
        <item x="15"/>
        <item x="60"/>
        <item x="25"/>
        <item x="48"/>
        <item x="3"/>
        <item x="172"/>
        <item x="153"/>
        <item x="45"/>
        <item x="128"/>
        <item x="79"/>
        <item x="78"/>
        <item x="9"/>
        <item x="184"/>
        <item x="119"/>
        <item x="168"/>
        <item x="118"/>
        <item x="16"/>
        <item x="17"/>
        <item x="121"/>
        <item x="47"/>
        <item x="131"/>
        <item x="158"/>
        <item x="41"/>
        <item x="104"/>
        <item x="170"/>
        <item x="102"/>
        <item x="59"/>
        <item x="157"/>
        <item x="171"/>
        <item x="183"/>
        <item x="130"/>
        <item x="190"/>
        <item x="191"/>
        <item x="150"/>
        <item x="187"/>
        <item x="156"/>
        <item x="6"/>
        <item x="35"/>
        <item x="42"/>
        <item x="43"/>
        <item x="44"/>
        <item x="188"/>
        <item x="189"/>
        <item t="default"/>
      </items>
    </pivotField>
    <pivotField name="qt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parceira" axis="axisPage" compact="0" numFmtId="49" outline="0" multipleItemSelectionAllowed="1" showAll="0">
      <items>
        <item h="1" x="0"/>
        <item x="1"/>
        <item h="1"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1"/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movimento" axis="axisPage" compact="0" numFmtId="49" outline="0" multipleItemSelectionAllowed="1" showAll="0">
      <items>
        <item x="0"/>
        <item h="1"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5"/>
    <field x="0"/>
  </rowFields>
  <pageFields>
    <pageField fld="7"/>
    <pageField fld="3"/>
  </pageFields>
  <dataFields>
    <dataField name="Qtd" fld="1" baseField="0"/>
  </dataFields>
</pivotTableDefinition>
</file>

<file path=xl/tables/table1.xml><?xml version="1.0" encoding="utf-8"?>
<table xmlns="http://schemas.openxmlformats.org/spreadsheetml/2006/main" ref="A1:H13137" displayName="Table_1" name="Table_1" id="1">
  <tableColumns count="8">
    <tableColumn name="Modelo" id="1"/>
    <tableColumn name="Código Material SAP" id="2"/>
    <tableColumn name="Endereçavel Principal" id="3"/>
    <tableColumn name="Nome do Local" id="4"/>
    <tableColumn name="Código Fornecedor SAP" id="5"/>
    <tableColumn name="Estado" id="6"/>
    <tableColumn name="Data Última Alteração" id="7"/>
    <tableColumn name="TECNOLOGIA" id="8"/>
  </tableColumns>
  <tableStyleInfo name="atl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0"/>
    <col customWidth="1" min="2" max="2" width="8.0"/>
    <col customWidth="1" min="3" max="3" width="16.57"/>
    <col customWidth="1" min="4" max="4" width="22.14"/>
    <col customWidth="1" min="5" max="5" width="18.0"/>
    <col customWidth="1" min="6" max="6" width="20.0"/>
    <col customWidth="1" min="7" max="7" width="21.0"/>
    <col customWidth="1" min="8" max="8" width="16.57"/>
    <col customWidth="1" min="9" max="11" width="14.29"/>
    <col customWidth="1" min="12" max="12" width="16.29"/>
    <col customWidth="1" min="13" max="13" width="18.43"/>
    <col customWidth="1" min="14" max="14" width="15.71"/>
    <col customWidth="1" min="15" max="15" width="47.86"/>
  </cols>
  <sheetData>
    <row r="1" ht="39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</row>
    <row r="2">
      <c r="A2" s="6" t="s">
        <v>15</v>
      </c>
      <c r="B2" s="7"/>
      <c r="C2" s="8" t="str">
        <f t="array" ref="C2">IFERROR(INDEX(atlas!H:H,MATCH(A2,atlas!C:C,0)),"")</f>
        <v/>
      </c>
      <c r="D2" s="8" t="s">
        <v>16</v>
      </c>
      <c r="E2" s="8" t="s">
        <v>17</v>
      </c>
      <c r="F2" s="9" t="s">
        <v>18</v>
      </c>
      <c r="G2" s="10">
        <v>45644.44116898148</v>
      </c>
      <c r="H2" s="11" t="s">
        <v>19</v>
      </c>
      <c r="I2" s="12" t="str">
        <f t="array" ref="I2">IFERROR(INDEX(atlas!B:B,MATCH(A2,atlas!C:C,0)),"")</f>
        <v/>
      </c>
      <c r="J2" s="8" t="str">
        <f>IFERROR(VLOOKUP(F2,tecnica!A:B,2,0),"")</f>
        <v>5</v>
      </c>
      <c r="K2" s="8" t="str">
        <f>IFERROR(VLOOKUP(J2,tecnica!B:C,2,0),"")</f>
        <v>ADS</v>
      </c>
      <c r="L2" s="13" t="s">
        <v>20</v>
      </c>
      <c r="M2" s="14" t="str">
        <f>IFERROR(VLOOKUP(I2,material!A:D,4,0),"")</f>
        <v/>
      </c>
      <c r="N2" s="14" t="str">
        <f t="shared" ref="N2:N2886" si="1">IF(ISBLANK(A2),"","DIGITEC FTZ")</f>
        <v>DIGITEC FTZ</v>
      </c>
      <c r="O2" s="15" t="str">
        <f>IFERROR(VLOOKUP(I2,material!A:D,2,0),"")</f>
        <v/>
      </c>
    </row>
    <row r="3" ht="15.75" customHeight="1">
      <c r="A3" s="6" t="s">
        <v>21</v>
      </c>
      <c r="B3" s="7"/>
      <c r="C3" s="8" t="str">
        <f t="array" ref="C3">IFERROR(INDEX(atlas!H:H,MATCH(A3,atlas!C:C,0)),"")</f>
        <v/>
      </c>
      <c r="D3" s="8" t="s">
        <v>16</v>
      </c>
      <c r="E3" s="8" t="s">
        <v>17</v>
      </c>
      <c r="F3" s="9" t="s">
        <v>18</v>
      </c>
      <c r="G3" s="10">
        <v>45644.44116898148</v>
      </c>
      <c r="H3" s="11" t="s">
        <v>19</v>
      </c>
      <c r="I3" s="12" t="str">
        <f t="array" ref="I3">IFERROR(INDEX(atlas!B:B,MATCH(A3,atlas!C:C,0)),"")</f>
        <v/>
      </c>
      <c r="J3" s="8" t="str">
        <f>IFERROR(VLOOKUP(F3,tecnica!A:B,2,0),"")</f>
        <v>5</v>
      </c>
      <c r="K3" s="8" t="str">
        <f>IFERROR(VLOOKUP(J3,tecnica!B:C,2,0),"")</f>
        <v>ADS</v>
      </c>
      <c r="L3" s="13" t="s">
        <v>20</v>
      </c>
      <c r="M3" s="14" t="str">
        <f>IFERROR(VLOOKUP(I3,material!A:D,4,0),"")</f>
        <v/>
      </c>
      <c r="N3" s="14" t="str">
        <f t="shared" si="1"/>
        <v>DIGITEC FTZ</v>
      </c>
      <c r="O3" s="15" t="str">
        <f>IFERROR(VLOOKUP(I3,material!A:D,2,0),"")</f>
        <v/>
      </c>
    </row>
    <row r="4" ht="15.75" customHeight="1">
      <c r="A4" s="6" t="s">
        <v>22</v>
      </c>
      <c r="B4" s="7"/>
      <c r="C4" s="8" t="str">
        <f t="array" ref="C4">IFERROR(INDEX(atlas!H:H,MATCH(A4,atlas!C:C,0)),"")</f>
        <v>DUAL</v>
      </c>
      <c r="D4" s="8" t="str">
        <f t="array" ref="D4">IFERROR(INDEX(atlas!D:D,MATCH(A4,atlas!C:C,0)),"")</f>
        <v>DIGITEC TECNOLOGIA DIGITAL E REPRES</v>
      </c>
      <c r="E4" s="8" t="str">
        <f t="array" ref="E4">IFERROR(INDEX(atlas!F:F,MATCH(A4,atlas!C:C,0)),"")</f>
        <v>INICIALIZADO</v>
      </c>
      <c r="F4" s="9" t="s">
        <v>18</v>
      </c>
      <c r="G4" s="10">
        <v>45644.44116898148</v>
      </c>
      <c r="H4" s="11" t="s">
        <v>19</v>
      </c>
      <c r="I4" s="12">
        <f t="array" ref="I4">IFERROR(INDEX(atlas!B:B,MATCH(A4,atlas!C:C,0)),"")</f>
        <v>41001294</v>
      </c>
      <c r="J4" s="8" t="str">
        <f>IFERROR(VLOOKUP(F4,tecnica!A:B,2,0),"")</f>
        <v>5</v>
      </c>
      <c r="K4" s="8" t="str">
        <f>IFERROR(VLOOKUP(J4,tecnica!B:C,2,0),"")</f>
        <v>ADS</v>
      </c>
      <c r="L4" s="13" t="s">
        <v>20</v>
      </c>
      <c r="M4" s="14" t="str">
        <f>IFERROR(VLOOKUP(I4,material!A:D,4,0),"")</f>
        <v>EQUIPAMENTO</v>
      </c>
      <c r="N4" s="14" t="str">
        <f t="shared" si="1"/>
        <v>DIGITEC FTZ</v>
      </c>
      <c r="O4" s="15" t="str">
        <f>IFERROR(VLOOKUP(I4,material!A:D,2,0),"")</f>
        <v>TECHNICOLOR TC7337NET</v>
      </c>
    </row>
    <row r="5" ht="15.75" customHeight="1">
      <c r="A5" s="16" t="s">
        <v>23</v>
      </c>
      <c r="B5" s="7"/>
      <c r="C5" s="8" t="str">
        <f t="array" ref="C5">IFERROR(INDEX(atlas!H:H,MATCH(A5,atlas!C:C,0)),"")</f>
        <v>3.1</v>
      </c>
      <c r="D5" s="8" t="str">
        <f t="array" ref="D5">IFERROR(INDEX(atlas!D:D,MATCH(A5,atlas!C:C,0)),"")</f>
        <v>DIGITEC TECNOLOGIA DIGITAL E REPRES</v>
      </c>
      <c r="E5" s="8" t="str">
        <f t="array" ref="E5">IFERROR(INDEX(atlas!F:F,MATCH(A5,atlas!C:C,0)),"")</f>
        <v>INICIALIZADO</v>
      </c>
      <c r="F5" s="9" t="s">
        <v>24</v>
      </c>
      <c r="G5" s="10">
        <v>45644.40398148148</v>
      </c>
      <c r="H5" s="11" t="s">
        <v>25</v>
      </c>
      <c r="I5" s="12">
        <f t="array" ref="I5">IFERROR(INDEX(atlas!B:B,MATCH(A5,atlas!C:C,0)),"")</f>
        <v>41001520</v>
      </c>
      <c r="J5" s="8" t="str">
        <f>IFERROR(VLOOKUP(F5,tecnica!A:B,2,0),"")</f>
        <v>67</v>
      </c>
      <c r="K5" s="8" t="str">
        <f>IFERROR(VLOOKUP(J5,tecnica!B:C,2,0),"")</f>
        <v>ADS</v>
      </c>
      <c r="L5" s="13" t="s">
        <v>20</v>
      </c>
      <c r="M5" s="14" t="str">
        <f>IFERROR(VLOOKUP(I5,material!A:D,4,0),"")</f>
        <v>EQUIPAMENTO</v>
      </c>
      <c r="N5" s="14" t="str">
        <f t="shared" si="1"/>
        <v>DIGITEC FTZ</v>
      </c>
      <c r="O5" s="15" t="str">
        <f>IFERROR(VLOOKUP(I5,material!A:D,2,0),"")</f>
        <v>TERMINAL DOCSIS 3.1 32X8 EMTA WIF TG3442</v>
      </c>
    </row>
    <row r="6" ht="15.75" customHeight="1">
      <c r="A6" s="16" t="s">
        <v>26</v>
      </c>
      <c r="B6" s="7"/>
      <c r="C6" s="8" t="str">
        <f t="array" ref="C6">IFERROR(INDEX(atlas!H:H,MATCH(A6,atlas!C:C,0)),"")</f>
        <v>3.1</v>
      </c>
      <c r="D6" s="8" t="str">
        <f t="array" ref="D6">IFERROR(INDEX(atlas!D:D,MATCH(A6,atlas!C:C,0)),"")</f>
        <v>DIGITEC TECNOLOGIA DIGITAL E REPRES</v>
      </c>
      <c r="E6" s="8" t="str">
        <f t="array" ref="E6">IFERROR(INDEX(atlas!F:F,MATCH(A6,atlas!C:C,0)),"")</f>
        <v>SUSPEITO</v>
      </c>
      <c r="F6" s="9" t="s">
        <v>24</v>
      </c>
      <c r="G6" s="10">
        <v>45644.40398148148</v>
      </c>
      <c r="H6" s="11" t="s">
        <v>25</v>
      </c>
      <c r="I6" s="12">
        <f t="array" ref="I6">IFERROR(INDEX(atlas!B:B,MATCH(A6,atlas!C:C,0)),"")</f>
        <v>41001486</v>
      </c>
      <c r="J6" s="8" t="str">
        <f>IFERROR(VLOOKUP(F6,tecnica!A:B,2,0),"")</f>
        <v>67</v>
      </c>
      <c r="K6" s="8" t="str">
        <f>IFERROR(VLOOKUP(J6,tecnica!B:C,2,0),"")</f>
        <v>ADS</v>
      </c>
      <c r="L6" s="13" t="s">
        <v>20</v>
      </c>
      <c r="M6" s="14" t="str">
        <f>IFERROR(VLOOKUP(I6,material!A:D,4,0),"")</f>
        <v>EQUIPAMENTO</v>
      </c>
      <c r="N6" s="14" t="str">
        <f t="shared" si="1"/>
        <v>DIGITEC FTZ</v>
      </c>
      <c r="O6" s="15" t="str">
        <f>IFERROR(VLOOKUP(I6,material!A:D,2,0),"")</f>
        <v>MODEM VOIP EMTA WIFI 3.1 CG3000</v>
      </c>
    </row>
    <row r="7" ht="15.75" customHeight="1">
      <c r="A7" s="16" t="s">
        <v>27</v>
      </c>
      <c r="B7" s="7"/>
      <c r="C7" s="8" t="str">
        <f t="array" ref="C7">IFERROR(INDEX(atlas!H:H,MATCH(A7,atlas!C:C,0)),"")</f>
        <v>3.1</v>
      </c>
      <c r="D7" s="8" t="str">
        <f t="array" ref="D7">IFERROR(INDEX(atlas!D:D,MATCH(A7,atlas!C:C,0)),"")</f>
        <v>DIGITEC TECNOLOGIA DIGITAL E REPRES</v>
      </c>
      <c r="E7" s="8" t="str">
        <f t="array" ref="E7">IFERROR(INDEX(atlas!F:F,MATCH(A7,atlas!C:C,0)),"")</f>
        <v>INICIALIZADO</v>
      </c>
      <c r="F7" s="9" t="s">
        <v>24</v>
      </c>
      <c r="G7" s="10">
        <v>45644.40398148148</v>
      </c>
      <c r="H7" s="11" t="s">
        <v>25</v>
      </c>
      <c r="I7" s="12">
        <f t="array" ref="I7">IFERROR(INDEX(atlas!B:B,MATCH(A7,atlas!C:C,0)),"")</f>
        <v>41001486</v>
      </c>
      <c r="J7" s="8" t="str">
        <f>IFERROR(VLOOKUP(F7,tecnica!A:B,2,0),"")</f>
        <v>67</v>
      </c>
      <c r="K7" s="8" t="str">
        <f>IFERROR(VLOOKUP(J7,tecnica!B:C,2,0),"")</f>
        <v>ADS</v>
      </c>
      <c r="L7" s="13" t="s">
        <v>20</v>
      </c>
      <c r="M7" s="14" t="str">
        <f>IFERROR(VLOOKUP(I7,material!A:D,4,0),"")</f>
        <v>EQUIPAMENTO</v>
      </c>
      <c r="N7" s="14" t="str">
        <f t="shared" si="1"/>
        <v>DIGITEC FTZ</v>
      </c>
      <c r="O7" s="15" t="str">
        <f>IFERROR(VLOOKUP(I7,material!A:D,2,0),"")</f>
        <v>MODEM VOIP EMTA WIFI 3.1 CG3000</v>
      </c>
    </row>
    <row r="8" ht="15.75" customHeight="1">
      <c r="A8" s="16" t="s">
        <v>28</v>
      </c>
      <c r="B8" s="7"/>
      <c r="C8" s="8" t="str">
        <f t="array" ref="C8">IFERROR(INDEX(atlas!H:H,MATCH(A8,atlas!C:C,0)),"")</f>
        <v>3.1</v>
      </c>
      <c r="D8" s="8" t="str">
        <f t="array" ref="D8">IFERROR(INDEX(atlas!D:D,MATCH(A8,atlas!C:C,0)),"")</f>
        <v>DIGITEC TECNOLOGIA DIGITAL E REPRES</v>
      </c>
      <c r="E8" s="8" t="str">
        <f t="array" ref="E8">IFERROR(INDEX(atlas!F:F,MATCH(A8,atlas!C:C,0)),"")</f>
        <v>INICIALIZADO</v>
      </c>
      <c r="F8" s="9" t="s">
        <v>24</v>
      </c>
      <c r="G8" s="10">
        <v>45644.40398148148</v>
      </c>
      <c r="H8" s="11" t="s">
        <v>25</v>
      </c>
      <c r="I8" s="12">
        <f t="array" ref="I8">IFERROR(INDEX(atlas!B:B,MATCH(A8,atlas!C:C,0)),"")</f>
        <v>41001513</v>
      </c>
      <c r="J8" s="8" t="str">
        <f>IFERROR(VLOOKUP(F8,tecnica!A:B,2,0),"")</f>
        <v>67</v>
      </c>
      <c r="K8" s="8" t="str">
        <f>IFERROR(VLOOKUP(J8,tecnica!B:C,2,0),"")</f>
        <v>ADS</v>
      </c>
      <c r="L8" s="13" t="s">
        <v>20</v>
      </c>
      <c r="M8" s="14" t="str">
        <f>IFERROR(VLOOKUP(I8,material!A:D,4,0),"")</f>
        <v>EQUIPAMENTO</v>
      </c>
      <c r="N8" s="14" t="str">
        <f t="shared" si="1"/>
        <v>DIGITEC FTZ</v>
      </c>
      <c r="O8" s="15" t="str">
        <f>IFERROR(VLOOKUP(I8,material!A:D,2,0),"")</f>
        <v>MODEM VOIP EMTA WIFI 3.1 TC3102 32X8</v>
      </c>
    </row>
    <row r="9" ht="15.75" customHeight="1">
      <c r="A9" s="16" t="s">
        <v>29</v>
      </c>
      <c r="B9" s="7"/>
      <c r="C9" s="8" t="str">
        <f t="array" ref="C9">IFERROR(INDEX(atlas!H:H,MATCH(A9,atlas!C:C,0)),"")</f>
        <v>DUAL</v>
      </c>
      <c r="D9" s="8" t="str">
        <f t="array" ref="D9">IFERROR(INDEX(atlas!D:D,MATCH(A9,atlas!C:C,0)),"")</f>
        <v>DIGITEC TECNOLOGIA DIGITAL E REPRES</v>
      </c>
      <c r="E9" s="8" t="str">
        <f t="array" ref="E9">IFERROR(INDEX(atlas!F:F,MATCH(A9,atlas!C:C,0)),"")</f>
        <v>INICIALIZADO</v>
      </c>
      <c r="F9" s="9" t="s">
        <v>24</v>
      </c>
      <c r="G9" s="10">
        <v>45644.40398148148</v>
      </c>
      <c r="H9" s="11" t="s">
        <v>25</v>
      </c>
      <c r="I9" s="12">
        <f t="array" ref="I9">IFERROR(INDEX(atlas!B:B,MATCH(A9,atlas!C:C,0)),"")</f>
        <v>41001294</v>
      </c>
      <c r="J9" s="8" t="str">
        <f>IFERROR(VLOOKUP(F9,tecnica!A:B,2,0),"")</f>
        <v>67</v>
      </c>
      <c r="K9" s="8" t="str">
        <f>IFERROR(VLOOKUP(J9,tecnica!B:C,2,0),"")</f>
        <v>ADS</v>
      </c>
      <c r="L9" s="13" t="s">
        <v>20</v>
      </c>
      <c r="M9" s="14" t="str">
        <f>IFERROR(VLOOKUP(I9,material!A:D,4,0),"")</f>
        <v>EQUIPAMENTO</v>
      </c>
      <c r="N9" s="14" t="str">
        <f t="shared" si="1"/>
        <v>DIGITEC FTZ</v>
      </c>
      <c r="O9" s="15" t="str">
        <f>IFERROR(VLOOKUP(I9,material!A:D,2,0),"")</f>
        <v>TECHNICOLOR TC7337NET</v>
      </c>
    </row>
    <row r="10" ht="15.75" customHeight="1">
      <c r="A10" s="16" t="s">
        <v>30</v>
      </c>
      <c r="B10" s="7"/>
      <c r="C10" s="8" t="str">
        <f t="array" ref="C10">IFERROR(INDEX(atlas!H:H,MATCH(A10,atlas!C:C,0)),"")</f>
        <v>3.1</v>
      </c>
      <c r="D10" s="8" t="str">
        <f t="array" ref="D10">IFERROR(INDEX(atlas!D:D,MATCH(A10,atlas!C:C,0)),"")</f>
        <v>DIGITEC TECNOLOGIA DIGITAL E REPRES</v>
      </c>
      <c r="E10" s="8" t="str">
        <f t="array" ref="E10">IFERROR(INDEX(atlas!F:F,MATCH(A10,atlas!C:C,0)),"")</f>
        <v>INICIALIZADO</v>
      </c>
      <c r="F10" s="9" t="s">
        <v>24</v>
      </c>
      <c r="G10" s="10">
        <v>45644.40398148148</v>
      </c>
      <c r="H10" s="11" t="s">
        <v>25</v>
      </c>
      <c r="I10" s="12">
        <f t="array" ref="I10">IFERROR(INDEX(atlas!B:B,MATCH(A10,atlas!C:C,0)),"")</f>
        <v>41001482</v>
      </c>
      <c r="J10" s="8" t="str">
        <f>IFERROR(VLOOKUP(F10,tecnica!A:B,2,0),"")</f>
        <v>67</v>
      </c>
      <c r="K10" s="8" t="str">
        <f>IFERROR(VLOOKUP(J10,tecnica!B:C,2,0),"")</f>
        <v>ADS</v>
      </c>
      <c r="L10" s="13" t="s">
        <v>20</v>
      </c>
      <c r="M10" s="14" t="str">
        <f>IFERROR(VLOOKUP(I10,material!A:D,4,0),"")</f>
        <v>EQUIPAMENTO</v>
      </c>
      <c r="N10" s="14" t="str">
        <f t="shared" si="1"/>
        <v>DIGITEC FTZ</v>
      </c>
      <c r="O10" s="15" t="str">
        <f>IFERROR(VLOOKUP(I10,material!A:D,2,0),"")</f>
        <v>MODEM VOIPEMTA WIFI 3.1 CGA4233CLB</v>
      </c>
    </row>
    <row r="11" ht="15.75" customHeight="1">
      <c r="A11" s="16" t="s">
        <v>31</v>
      </c>
      <c r="B11" s="7"/>
      <c r="C11" s="8" t="str">
        <f t="array" ref="C11">IFERROR(INDEX(atlas!H:H,MATCH(A11,atlas!C:C,0)),"")</f>
        <v>DUAL</v>
      </c>
      <c r="D11" s="8" t="str">
        <f t="array" ref="D11">IFERROR(INDEX(atlas!D:D,MATCH(A11,atlas!C:C,0)),"")</f>
        <v>DIGITEC TECNOLOGIA DIGITAL E REPRES</v>
      </c>
      <c r="E11" s="8" t="str">
        <f t="array" ref="E11">IFERROR(INDEX(atlas!F:F,MATCH(A11,atlas!C:C,0)),"")</f>
        <v>INICIALIZADO</v>
      </c>
      <c r="F11" s="9" t="s">
        <v>24</v>
      </c>
      <c r="G11" s="10">
        <v>45644.40398148148</v>
      </c>
      <c r="H11" s="11" t="s">
        <v>25</v>
      </c>
      <c r="I11" s="12">
        <f t="array" ref="I11">IFERROR(INDEX(atlas!B:B,MATCH(A11,atlas!C:C,0)),"")</f>
        <v>41001293</v>
      </c>
      <c r="J11" s="8" t="str">
        <f>IFERROR(VLOOKUP(F11,tecnica!A:B,2,0),"")</f>
        <v>67</v>
      </c>
      <c r="K11" s="8" t="str">
        <f>IFERROR(VLOOKUP(J11,tecnica!B:C,2,0),"")</f>
        <v>ADS</v>
      </c>
      <c r="L11" s="13" t="s">
        <v>20</v>
      </c>
      <c r="M11" s="14" t="str">
        <f>IFERROR(VLOOKUP(I11,material!A:D,4,0),"")</f>
        <v>EQUIPAMENTO</v>
      </c>
      <c r="N11" s="14" t="str">
        <f t="shared" si="1"/>
        <v>DIGITEC FTZ</v>
      </c>
      <c r="O11" s="15" t="str">
        <f>IFERROR(VLOOKUP(I11,material!A:D,2,0),"")</f>
        <v>ARRIS TG1692A</v>
      </c>
    </row>
    <row r="12" ht="15.75" customHeight="1">
      <c r="A12" s="16" t="s">
        <v>32</v>
      </c>
      <c r="B12" s="7"/>
      <c r="C12" s="8" t="str">
        <f t="array" ref="C12">IFERROR(INDEX(atlas!H:H,MATCH(A12,atlas!C:C,0)),"")</f>
        <v>3.1</v>
      </c>
      <c r="D12" s="8" t="str">
        <f t="array" ref="D12">IFERROR(INDEX(atlas!D:D,MATCH(A12,atlas!C:C,0)),"")</f>
        <v>DIGITEC TECNOLOGIA DIGITAL E REPRES</v>
      </c>
      <c r="E12" s="8" t="str">
        <f t="array" ref="E12">IFERROR(INDEX(atlas!F:F,MATCH(A12,atlas!C:C,0)),"")</f>
        <v>INICIALIZADO</v>
      </c>
      <c r="F12" s="9" t="s">
        <v>24</v>
      </c>
      <c r="G12" s="10">
        <v>45644.40398148148</v>
      </c>
      <c r="H12" s="11" t="s">
        <v>25</v>
      </c>
      <c r="I12" s="12">
        <f t="array" ref="I12">IFERROR(INDEX(atlas!B:B,MATCH(A12,atlas!C:C,0)),"")</f>
        <v>41001482</v>
      </c>
      <c r="J12" s="8" t="str">
        <f>IFERROR(VLOOKUP(F12,tecnica!A:B,2,0),"")</f>
        <v>67</v>
      </c>
      <c r="K12" s="8" t="str">
        <f>IFERROR(VLOOKUP(J12,tecnica!B:C,2,0),"")</f>
        <v>ADS</v>
      </c>
      <c r="L12" s="13" t="s">
        <v>20</v>
      </c>
      <c r="M12" s="14" t="str">
        <f>IFERROR(VLOOKUP(I12,material!A:D,4,0),"")</f>
        <v>EQUIPAMENTO</v>
      </c>
      <c r="N12" s="14" t="str">
        <f t="shared" si="1"/>
        <v>DIGITEC FTZ</v>
      </c>
      <c r="O12" s="15" t="str">
        <f>IFERROR(VLOOKUP(I12,material!A:D,2,0),"")</f>
        <v>MODEM VOIPEMTA WIFI 3.1 CGA4233CLB</v>
      </c>
    </row>
    <row r="13" ht="15.75" customHeight="1">
      <c r="A13" s="16" t="s">
        <v>33</v>
      </c>
      <c r="B13" s="7"/>
      <c r="C13" s="8" t="str">
        <f t="array" ref="C13">IFERROR(INDEX(atlas!H:H,MATCH(A13,atlas!C:C,0)),"")</f>
        <v>DUAL</v>
      </c>
      <c r="D13" s="8" t="str">
        <f t="array" ref="D13">IFERROR(INDEX(atlas!D:D,MATCH(A13,atlas!C:C,0)),"")</f>
        <v>DIGITEC TECNOLOGIA DIGITAL E REPRES</v>
      </c>
      <c r="E13" s="8" t="str">
        <f t="array" ref="E13">IFERROR(INDEX(atlas!F:F,MATCH(A13,atlas!C:C,0)),"")</f>
        <v>INICIALIZADO</v>
      </c>
      <c r="F13" s="9" t="s">
        <v>24</v>
      </c>
      <c r="G13" s="10">
        <v>45644.40398148148</v>
      </c>
      <c r="H13" s="11" t="s">
        <v>25</v>
      </c>
      <c r="I13" s="12">
        <f t="array" ref="I13">IFERROR(INDEX(atlas!B:B,MATCH(A13,atlas!C:C,0)),"")</f>
        <v>41001293</v>
      </c>
      <c r="J13" s="8" t="str">
        <f>IFERROR(VLOOKUP(F13,tecnica!A:B,2,0),"")</f>
        <v>67</v>
      </c>
      <c r="K13" s="8" t="str">
        <f>IFERROR(VLOOKUP(J13,tecnica!B:C,2,0),"")</f>
        <v>ADS</v>
      </c>
      <c r="L13" s="13" t="s">
        <v>20</v>
      </c>
      <c r="M13" s="14" t="str">
        <f>IFERROR(VLOOKUP(I13,material!A:D,4,0),"")</f>
        <v>EQUIPAMENTO</v>
      </c>
      <c r="N13" s="14" t="str">
        <f t="shared" si="1"/>
        <v>DIGITEC FTZ</v>
      </c>
      <c r="O13" s="15" t="str">
        <f>IFERROR(VLOOKUP(I13,material!A:D,2,0),"")</f>
        <v>ARRIS TG1692A</v>
      </c>
    </row>
    <row r="14">
      <c r="A14" s="16" t="s">
        <v>34</v>
      </c>
      <c r="B14" s="7"/>
      <c r="C14" s="8" t="str">
        <f t="array" ref="C14">IFERROR(INDEX(atlas!H:H,MATCH(A14,atlas!C:C,0)),"")</f>
        <v>WIFI MESH</v>
      </c>
      <c r="D14" s="8" t="str">
        <f t="array" ref="D14">IFERROR(INDEX(atlas!D:D,MATCH(A14,atlas!C:C,0)),"")</f>
        <v>DIGITEC TECNOLOGIA DIGITAL E REPRES</v>
      </c>
      <c r="E14" s="8" t="str">
        <f t="array" ref="E14">IFERROR(INDEX(atlas!F:F,MATCH(A14,atlas!C:C,0)),"")</f>
        <v>INICIALIZADO</v>
      </c>
      <c r="F14" s="9" t="s">
        <v>24</v>
      </c>
      <c r="G14" s="10">
        <v>45644.40398148148</v>
      </c>
      <c r="H14" s="11" t="s">
        <v>25</v>
      </c>
      <c r="I14" s="12">
        <f t="array" ref="I14">IFERROR(INDEX(atlas!B:B,MATCH(A14,atlas!C:C,0)),"")</f>
        <v>41001536</v>
      </c>
      <c r="J14" s="8" t="str">
        <f>IFERROR(VLOOKUP(F14,tecnica!A:B,2,0),"")</f>
        <v>67</v>
      </c>
      <c r="K14" s="8" t="str">
        <f>IFERROR(VLOOKUP(J14,tecnica!B:C,2,0),"")</f>
        <v>ADS</v>
      </c>
      <c r="L14" s="13" t="s">
        <v>20</v>
      </c>
      <c r="M14" s="14" t="str">
        <f>IFERROR(VLOOKUP(I14,material!A:D,4,0),"")</f>
        <v>EQUIPAMENTO</v>
      </c>
      <c r="N14" s="14" t="str">
        <f t="shared" si="1"/>
        <v>DIGITEC FTZ</v>
      </c>
      <c r="O14" s="15" t="str">
        <f>IFERROR(VLOOKUP(I14,material!A:D,2,0),"")</f>
        <v>ROTEADOR ZTE WIFI5 ZXHN H196A MESH BCO</v>
      </c>
    </row>
    <row r="15" ht="15.75" customHeight="1">
      <c r="A15" s="16" t="s">
        <v>35</v>
      </c>
      <c r="B15" s="7"/>
      <c r="C15" s="8" t="str">
        <f t="array" ref="C15">IFERROR(INDEX(atlas!H:H,MATCH(A15,atlas!C:C,0)),"")</f>
        <v>WIFI MESH</v>
      </c>
      <c r="D15" s="8" t="str">
        <f t="array" ref="D15">IFERROR(INDEX(atlas!D:D,MATCH(A15,atlas!C:C,0)),"")</f>
        <v>DIGITEC TECNOLOGIA DIGITAL E REPRES</v>
      </c>
      <c r="E15" s="8" t="str">
        <f t="array" ref="E15">IFERROR(INDEX(atlas!F:F,MATCH(A15,atlas!C:C,0)),"")</f>
        <v>INICIALIZADO</v>
      </c>
      <c r="F15" s="9" t="s">
        <v>24</v>
      </c>
      <c r="G15" s="10">
        <v>45644.40398148148</v>
      </c>
      <c r="H15" s="11" t="s">
        <v>25</v>
      </c>
      <c r="I15" s="12">
        <f t="array" ref="I15">IFERROR(INDEX(atlas!B:B,MATCH(A15,atlas!C:C,0)),"")</f>
        <v>41001536</v>
      </c>
      <c r="J15" s="8" t="str">
        <f>IFERROR(VLOOKUP(F15,tecnica!A:B,2,0),"")</f>
        <v>67</v>
      </c>
      <c r="K15" s="8" t="str">
        <f>IFERROR(VLOOKUP(J15,tecnica!B:C,2,0),"")</f>
        <v>ADS</v>
      </c>
      <c r="L15" s="13" t="s">
        <v>20</v>
      </c>
      <c r="M15" s="14" t="str">
        <f>IFERROR(VLOOKUP(I15,material!A:D,4,0),"")</f>
        <v>EQUIPAMENTO</v>
      </c>
      <c r="N15" s="14" t="str">
        <f t="shared" si="1"/>
        <v>DIGITEC FTZ</v>
      </c>
      <c r="O15" s="15" t="str">
        <f>IFERROR(VLOOKUP(I15,material!A:D,2,0),"")</f>
        <v>ROTEADOR ZTE WIFI5 ZXHN H196A MESH BCO</v>
      </c>
    </row>
    <row r="16" ht="15.75" customHeight="1">
      <c r="A16" s="16" t="s">
        <v>36</v>
      </c>
      <c r="B16" s="7"/>
      <c r="C16" s="8" t="str">
        <f t="array" ref="C16">IFERROR(INDEX(atlas!H:H,MATCH(A16,atlas!C:C,0)),"")</f>
        <v>GPON 6</v>
      </c>
      <c r="D16" s="8" t="str">
        <f t="array" ref="D16">IFERROR(INDEX(atlas!D:D,MATCH(A16,atlas!C:C,0)),"")</f>
        <v>DIGITEC TECNOLOGIA DIGITAL E REPRES</v>
      </c>
      <c r="E16" s="8" t="str">
        <f t="array" ref="E16">IFERROR(INDEX(atlas!F:F,MATCH(A16,atlas!C:C,0)),"")</f>
        <v>INICIALIZADO</v>
      </c>
      <c r="F16" s="9" t="s">
        <v>24</v>
      </c>
      <c r="G16" s="10">
        <v>45644.40398148148</v>
      </c>
      <c r="H16" s="11" t="s">
        <v>25</v>
      </c>
      <c r="I16" s="12">
        <f t="array" ref="I16">IFERROR(INDEX(atlas!B:B,MATCH(A16,atlas!C:C,0)),"")</f>
        <v>41001590</v>
      </c>
      <c r="J16" s="8" t="str">
        <f>IFERROR(VLOOKUP(F16,tecnica!A:B,2,0),"")</f>
        <v>67</v>
      </c>
      <c r="K16" s="8" t="str">
        <f>IFERROR(VLOOKUP(J16,tecnica!B:C,2,0),"")</f>
        <v>ADS</v>
      </c>
      <c r="L16" s="13" t="s">
        <v>20</v>
      </c>
      <c r="M16" s="14" t="str">
        <f>IFERROR(VLOOKUP(I16,material!A:D,4,0),"")</f>
        <v>EQUIPAMENTO</v>
      </c>
      <c r="N16" s="14" t="str">
        <f t="shared" si="1"/>
        <v>DIGITEC FTZ</v>
      </c>
      <c r="O16" s="15" t="str">
        <f>IFERROR(VLOOKUP(I16,material!A:D,2,0),"")</f>
        <v>TERMINAL GPON ONT WIFI6 F6600P-NACIONAL</v>
      </c>
    </row>
    <row r="17" ht="15.75" customHeight="1">
      <c r="A17" s="16" t="s">
        <v>37</v>
      </c>
      <c r="B17" s="7"/>
      <c r="C17" s="8" t="str">
        <f t="array" ref="C17">IFERROR(INDEX(atlas!H:H,MATCH(A17,atlas!C:C,0)),"")</f>
        <v>GPON 6</v>
      </c>
      <c r="D17" s="8" t="str">
        <f t="array" ref="D17">IFERROR(INDEX(atlas!D:D,MATCH(A17,atlas!C:C,0)),"")</f>
        <v>DIGITEC TECNOLOGIA DIGITAL E REPRES</v>
      </c>
      <c r="E17" s="8" t="str">
        <f t="array" ref="E17">IFERROR(INDEX(atlas!F:F,MATCH(A17,atlas!C:C,0)),"")</f>
        <v>INICIALIZADO</v>
      </c>
      <c r="F17" s="9" t="s">
        <v>24</v>
      </c>
      <c r="G17" s="10">
        <v>45644.40398148148</v>
      </c>
      <c r="H17" s="11" t="s">
        <v>25</v>
      </c>
      <c r="I17" s="12">
        <f t="array" ref="I17">IFERROR(INDEX(atlas!B:B,MATCH(A17,atlas!C:C,0)),"")</f>
        <v>41001560</v>
      </c>
      <c r="J17" s="8" t="str">
        <f>IFERROR(VLOOKUP(F17,tecnica!A:B,2,0),"")</f>
        <v>67</v>
      </c>
      <c r="K17" s="8" t="str">
        <f>IFERROR(VLOOKUP(J17,tecnica!B:C,2,0),"")</f>
        <v>ADS</v>
      </c>
      <c r="L17" s="13" t="s">
        <v>20</v>
      </c>
      <c r="M17" s="14" t="str">
        <f>IFERROR(VLOOKUP(I17,material!A:D,4,0),"")</f>
        <v>EQUIPAMENTO</v>
      </c>
      <c r="N17" s="14" t="str">
        <f t="shared" si="1"/>
        <v>DIGITEC FTZ</v>
      </c>
      <c r="O17" s="15" t="str">
        <f>IFERROR(VLOOKUP(I17,material!A:D,2,0),"")</f>
        <v>TERMINAL GPON ONT WIFI F6645P</v>
      </c>
    </row>
    <row r="18" ht="15.75" customHeight="1">
      <c r="A18" s="16" t="s">
        <v>38</v>
      </c>
      <c r="B18" s="7"/>
      <c r="C18" s="8" t="str">
        <f t="array" ref="C18">IFERROR(INDEX(atlas!H:H,MATCH(A18,atlas!C:C,0)),"")</f>
        <v>GPON 6</v>
      </c>
      <c r="D18" s="8" t="str">
        <f t="array" ref="D18">IFERROR(INDEX(atlas!D:D,MATCH(A18,atlas!C:C,0)),"")</f>
        <v>DIGITEC TECNOLOGIA DIGITAL E REPRES</v>
      </c>
      <c r="E18" s="8" t="str">
        <f t="array" ref="E18">IFERROR(INDEX(atlas!F:F,MATCH(A18,atlas!C:C,0)),"")</f>
        <v>INICIALIZADO</v>
      </c>
      <c r="F18" s="9" t="s">
        <v>24</v>
      </c>
      <c r="G18" s="10">
        <v>45644.40398148148</v>
      </c>
      <c r="H18" s="11" t="s">
        <v>25</v>
      </c>
      <c r="I18" s="12">
        <f t="array" ref="I18">IFERROR(INDEX(atlas!B:B,MATCH(A18,atlas!C:C,0)),"")</f>
        <v>41001560</v>
      </c>
      <c r="J18" s="8" t="str">
        <f>IFERROR(VLOOKUP(F18,tecnica!A:B,2,0),"")</f>
        <v>67</v>
      </c>
      <c r="K18" s="8" t="str">
        <f>IFERROR(VLOOKUP(J18,tecnica!B:C,2,0),"")</f>
        <v>ADS</v>
      </c>
      <c r="L18" s="13" t="s">
        <v>20</v>
      </c>
      <c r="M18" s="14" t="str">
        <f>IFERROR(VLOOKUP(I18,material!A:D,4,0),"")</f>
        <v>EQUIPAMENTO</v>
      </c>
      <c r="N18" s="14" t="str">
        <f t="shared" si="1"/>
        <v>DIGITEC FTZ</v>
      </c>
      <c r="O18" s="15" t="str">
        <f>IFERROR(VLOOKUP(I18,material!A:D,2,0),"")</f>
        <v>TERMINAL GPON ONT WIFI F6645P</v>
      </c>
    </row>
    <row r="19" ht="15.75" customHeight="1">
      <c r="A19" s="16" t="s">
        <v>39</v>
      </c>
      <c r="B19" s="7"/>
      <c r="C19" s="8" t="str">
        <f t="array" ref="C19">IFERROR(INDEX(atlas!H:H,MATCH(A19,atlas!C:C,0)),"")</f>
        <v>GPON 6</v>
      </c>
      <c r="D19" s="8" t="str">
        <f t="array" ref="D19">IFERROR(INDEX(atlas!D:D,MATCH(A19,atlas!C:C,0)),"")</f>
        <v>DIGITEC TECNOLOGIA DIGITAL E REPRES</v>
      </c>
      <c r="E19" s="8" t="str">
        <f t="array" ref="E19">IFERROR(INDEX(atlas!F:F,MATCH(A19,atlas!C:C,0)),"")</f>
        <v>INICIALIZADO</v>
      </c>
      <c r="F19" s="9" t="s">
        <v>24</v>
      </c>
      <c r="G19" s="10">
        <v>45644.40398148148</v>
      </c>
      <c r="H19" s="11" t="s">
        <v>25</v>
      </c>
      <c r="I19" s="12">
        <f t="array" ref="I19">IFERROR(INDEX(atlas!B:B,MATCH(A19,atlas!C:C,0)),"")</f>
        <v>41001560</v>
      </c>
      <c r="J19" s="8" t="str">
        <f>IFERROR(VLOOKUP(F19,tecnica!A:B,2,0),"")</f>
        <v>67</v>
      </c>
      <c r="K19" s="8" t="str">
        <f>IFERROR(VLOOKUP(J19,tecnica!B:C,2,0),"")</f>
        <v>ADS</v>
      </c>
      <c r="L19" s="13" t="s">
        <v>20</v>
      </c>
      <c r="M19" s="14" t="str">
        <f>IFERROR(VLOOKUP(I19,material!A:D,4,0),"")</f>
        <v>EQUIPAMENTO</v>
      </c>
      <c r="N19" s="14" t="str">
        <f t="shared" si="1"/>
        <v>DIGITEC FTZ</v>
      </c>
      <c r="O19" s="15" t="str">
        <f>IFERROR(VLOOKUP(I19,material!A:D,2,0),"")</f>
        <v>TERMINAL GPON ONT WIFI F6645P</v>
      </c>
    </row>
    <row r="20" ht="15.75" customHeight="1">
      <c r="A20" s="16" t="s">
        <v>40</v>
      </c>
      <c r="B20" s="7"/>
      <c r="C20" s="8" t="str">
        <f t="array" ref="C20">IFERROR(INDEX(atlas!H:H,MATCH(A20,atlas!C:C,0)),"")</f>
        <v>WIFI 6</v>
      </c>
      <c r="D20" s="8" t="str">
        <f t="array" ref="D20">IFERROR(INDEX(atlas!D:D,MATCH(A20,atlas!C:C,0)),"")</f>
        <v>DIGITEC TECNOLOGIA DIGITAL E REPRES</v>
      </c>
      <c r="E20" s="8" t="str">
        <f t="array" ref="E20">IFERROR(INDEX(atlas!F:F,MATCH(A20,atlas!C:C,0)),"")</f>
        <v>INICIALIZADO</v>
      </c>
      <c r="F20" s="9" t="s">
        <v>24</v>
      </c>
      <c r="G20" s="10">
        <v>45644.40398148148</v>
      </c>
      <c r="H20" s="11" t="s">
        <v>25</v>
      </c>
      <c r="I20" s="12">
        <f t="array" ref="I20">IFERROR(INDEX(atlas!B:B,MATCH(A20,atlas!C:C,0)),"")</f>
        <v>41001552</v>
      </c>
      <c r="J20" s="8" t="str">
        <f>IFERROR(VLOOKUP(F20,tecnica!A:B,2,0),"")</f>
        <v>67</v>
      </c>
      <c r="K20" s="8" t="str">
        <f>IFERROR(VLOOKUP(J20,tecnica!B:C,2,0),"")</f>
        <v>ADS</v>
      </c>
      <c r="L20" s="13" t="s">
        <v>20</v>
      </c>
      <c r="M20" s="14" t="str">
        <f>IFERROR(VLOOKUP(I20,material!A:D,4,0),"")</f>
        <v>EQUIPAMENTO</v>
      </c>
      <c r="N20" s="14" t="str">
        <f t="shared" si="1"/>
        <v>DIGITEC FTZ</v>
      </c>
      <c r="O20" s="15" t="str">
        <f>IFERROR(VLOOKUP(I20,material!A:D,2,0),"")</f>
        <v>TERMINAL DOCSIS 3.1 EMTA WIFI6 F@ST3896</v>
      </c>
    </row>
    <row r="21" ht="15.75" customHeight="1">
      <c r="A21" s="16" t="s">
        <v>41</v>
      </c>
      <c r="B21" s="7"/>
      <c r="C21" s="8" t="str">
        <f t="array" ref="C21">IFERROR(INDEX(atlas!H:H,MATCH(A21,atlas!C:C,0)),"")</f>
        <v>WIFI 6</v>
      </c>
      <c r="D21" s="8" t="str">
        <f t="array" ref="D21">IFERROR(INDEX(atlas!D:D,MATCH(A21,atlas!C:C,0)),"")</f>
        <v>DIGITEC TECNOLOGIA DIGITAL E REPRES</v>
      </c>
      <c r="E21" s="8" t="str">
        <f t="array" ref="E21">IFERROR(INDEX(atlas!F:F,MATCH(A21,atlas!C:C,0)),"")</f>
        <v>SUSPEITO</v>
      </c>
      <c r="F21" s="9" t="s">
        <v>24</v>
      </c>
      <c r="G21" s="10">
        <v>45644.40398148148</v>
      </c>
      <c r="H21" s="11" t="s">
        <v>25</v>
      </c>
      <c r="I21" s="12">
        <f t="array" ref="I21">IFERROR(INDEX(atlas!B:B,MATCH(A21,atlas!C:C,0)),"")</f>
        <v>41001552</v>
      </c>
      <c r="J21" s="8" t="str">
        <f>IFERROR(VLOOKUP(F21,tecnica!A:B,2,0),"")</f>
        <v>67</v>
      </c>
      <c r="K21" s="8" t="str">
        <f>IFERROR(VLOOKUP(J21,tecnica!B:C,2,0),"")</f>
        <v>ADS</v>
      </c>
      <c r="L21" s="13" t="s">
        <v>20</v>
      </c>
      <c r="M21" s="14" t="str">
        <f>IFERROR(VLOOKUP(I21,material!A:D,4,0),"")</f>
        <v>EQUIPAMENTO</v>
      </c>
      <c r="N21" s="14" t="str">
        <f t="shared" si="1"/>
        <v>DIGITEC FTZ</v>
      </c>
      <c r="O21" s="15" t="str">
        <f>IFERROR(VLOOKUP(I21,material!A:D,2,0),"")</f>
        <v>TERMINAL DOCSIS 3.1 EMTA WIFI6 F@ST3896</v>
      </c>
    </row>
    <row r="22">
      <c r="A22" s="16" t="s">
        <v>42</v>
      </c>
      <c r="B22" s="7"/>
      <c r="C22" s="8" t="str">
        <f t="array" ref="C22">IFERROR(INDEX(atlas!H:H,MATCH(A22,atlas!C:C,0)),"")</f>
        <v>3.1</v>
      </c>
      <c r="D22" s="8" t="str">
        <f t="array" ref="D22">IFERROR(INDEX(atlas!D:D,MATCH(A22,atlas!C:C,0)),"")</f>
        <v>DIGITEC TECNOLOGIA DIGITAL E REPRES</v>
      </c>
      <c r="E22" s="8" t="str">
        <f t="array" ref="E22">IFERROR(INDEX(atlas!F:F,MATCH(A22,atlas!C:C,0)),"")</f>
        <v>INICIALIZADO</v>
      </c>
      <c r="F22" s="9" t="s">
        <v>24</v>
      </c>
      <c r="G22" s="10">
        <v>45644.40398148148</v>
      </c>
      <c r="H22" s="11" t="s">
        <v>25</v>
      </c>
      <c r="I22" s="12">
        <f t="array" ref="I22">IFERROR(INDEX(atlas!B:B,MATCH(A22,atlas!C:C,0)),"")</f>
        <v>41001486</v>
      </c>
      <c r="J22" s="8" t="str">
        <f>IFERROR(VLOOKUP(F22,tecnica!A:B,2,0),"")</f>
        <v>67</v>
      </c>
      <c r="K22" s="8" t="str">
        <f>IFERROR(VLOOKUP(J22,tecnica!B:C,2,0),"")</f>
        <v>ADS</v>
      </c>
      <c r="L22" s="13" t="s">
        <v>20</v>
      </c>
      <c r="M22" s="14" t="str">
        <f>IFERROR(VLOOKUP(I22,material!A:D,4,0),"")</f>
        <v>EQUIPAMENTO</v>
      </c>
      <c r="N22" s="14" t="str">
        <f t="shared" si="1"/>
        <v>DIGITEC FTZ</v>
      </c>
      <c r="O22" s="15" t="str">
        <f>IFERROR(VLOOKUP(I22,material!A:D,2,0),"")</f>
        <v>MODEM VOIP EMTA WIFI 3.1 CG3000</v>
      </c>
    </row>
    <row r="23">
      <c r="A23" s="16" t="s">
        <v>43</v>
      </c>
      <c r="B23" s="7"/>
      <c r="C23" s="8" t="str">
        <f t="array" ref="C23">IFERROR(INDEX(atlas!H:H,MATCH(A23,atlas!C:C,0)),"")</f>
        <v>TOP MIX</v>
      </c>
      <c r="D23" s="8" t="str">
        <f t="array" ref="D23">IFERROR(INDEX(atlas!D:D,MATCH(A23,atlas!C:C,0)),"")</f>
        <v>DIGITEC TECNOLOGIA DIGITAL E REPRES</v>
      </c>
      <c r="E23" s="8" t="str">
        <f t="array" ref="E23">IFERROR(INDEX(atlas!F:F,MATCH(A23,atlas!C:C,0)),"")</f>
        <v>INICIALIZADO</v>
      </c>
      <c r="F23" s="9" t="s">
        <v>24</v>
      </c>
      <c r="G23" s="10">
        <v>45644.40398148148</v>
      </c>
      <c r="H23" s="11" t="s">
        <v>25</v>
      </c>
      <c r="I23" s="12">
        <f t="array" ref="I23">IFERROR(INDEX(atlas!B:B,MATCH(A23,atlas!C:C,0)),"")</f>
        <v>41001276</v>
      </c>
      <c r="J23" s="8" t="str">
        <f>IFERROR(VLOOKUP(F23,tecnica!A:B,2,0),"")</f>
        <v>67</v>
      </c>
      <c r="K23" s="8" t="str">
        <f>IFERROR(VLOOKUP(J23,tecnica!B:C,2,0),"")</f>
        <v>ADS</v>
      </c>
      <c r="L23" s="13" t="s">
        <v>20</v>
      </c>
      <c r="M23" s="14" t="str">
        <f>IFERROR(VLOOKUP(I23,material!A:D,4,0),"")</f>
        <v>EQUIPAMENTO</v>
      </c>
      <c r="N23" s="14" t="str">
        <f t="shared" si="1"/>
        <v>DIGITEC FTZ</v>
      </c>
      <c r="O23" s="15" t="str">
        <f>IFERROR(VLOOKUP(I23,material!A:D,2,0),"")</f>
        <v>DECODER DIGITAL HD HNB100 2T</v>
      </c>
    </row>
    <row r="24">
      <c r="A24" s="16" t="s">
        <v>44</v>
      </c>
      <c r="B24" s="7"/>
      <c r="C24" s="8" t="str">
        <f t="array" ref="C24">IFERROR(INDEX(atlas!H:H,MATCH(A24,atlas!C:C,0)),"")</f>
        <v>CARD</v>
      </c>
      <c r="D24" s="8" t="str">
        <f t="array" ref="D24">IFERROR(INDEX(atlas!D:D,MATCH(A24,atlas!C:C,0)),"")</f>
        <v>DIGITEC TECNOLOGIA DIGITAL E REPRES</v>
      </c>
      <c r="E24" s="8" t="str">
        <f t="array" ref="E24">IFERROR(INDEX(atlas!F:F,MATCH(A24,atlas!C:C,0)),"")</f>
        <v>INICIALIZADO</v>
      </c>
      <c r="F24" s="9" t="s">
        <v>24</v>
      </c>
      <c r="G24" s="10">
        <v>45644.40398148148</v>
      </c>
      <c r="H24" s="11" t="s">
        <v>25</v>
      </c>
      <c r="I24" s="12">
        <f t="array" ref="I24">IFERROR(INDEX(atlas!B:B,MATCH(A24,atlas!C:C,0)),"")</f>
        <v>41001234</v>
      </c>
      <c r="J24" s="8" t="str">
        <f>IFERROR(VLOOKUP(F24,tecnica!A:B,2,0),"")</f>
        <v>67</v>
      </c>
      <c r="K24" s="8" t="str">
        <f>IFERROR(VLOOKUP(J24,tecnica!B:C,2,0),"")</f>
        <v>ADS</v>
      </c>
      <c r="L24" s="13" t="s">
        <v>20</v>
      </c>
      <c r="M24" s="14" t="str">
        <f>IFERROR(VLOOKUP(I24,material!A:D,4,0),"")</f>
        <v>EQUIPAMENTO</v>
      </c>
      <c r="N24" s="14" t="str">
        <f t="shared" si="1"/>
        <v>DIGITEC FTZ</v>
      </c>
      <c r="O24" s="15" t="str">
        <f>IFERROR(VLOOKUP(I24,material!A:D,2,0),"")</f>
        <v>SMART CARD PRETO NAGRA</v>
      </c>
    </row>
    <row r="25">
      <c r="A25" s="16" t="s">
        <v>45</v>
      </c>
      <c r="B25" s="7"/>
      <c r="C25" s="8" t="str">
        <f t="array" ref="C25">IFERROR(INDEX(atlas!H:H,MATCH(A25,atlas!C:C,0)),"")</f>
        <v>3.1</v>
      </c>
      <c r="D25" s="8" t="str">
        <f t="array" ref="D25">IFERROR(INDEX(atlas!D:D,MATCH(A25,atlas!C:C,0)),"")</f>
        <v>DIGITEC TECNOLOGIA DIGITAL E REPRES</v>
      </c>
      <c r="E25" s="8" t="str">
        <f t="array" ref="E25">IFERROR(INDEX(atlas!F:F,MATCH(A25,atlas!C:C,0)),"")</f>
        <v>INICIALIZADO</v>
      </c>
      <c r="F25" s="9" t="s">
        <v>24</v>
      </c>
      <c r="G25" s="10">
        <v>45644.40398148148</v>
      </c>
      <c r="H25" s="11" t="s">
        <v>25</v>
      </c>
      <c r="I25" s="12">
        <f t="array" ref="I25">IFERROR(INDEX(atlas!B:B,MATCH(A25,atlas!C:C,0)),"")</f>
        <v>41001482</v>
      </c>
      <c r="J25" s="8" t="str">
        <f>IFERROR(VLOOKUP(F25,tecnica!A:B,2,0),"")</f>
        <v>67</v>
      </c>
      <c r="K25" s="8" t="str">
        <f>IFERROR(VLOOKUP(J25,tecnica!B:C,2,0),"")</f>
        <v>ADS</v>
      </c>
      <c r="L25" s="13" t="s">
        <v>20</v>
      </c>
      <c r="M25" s="14" t="str">
        <f>IFERROR(VLOOKUP(I25,material!A:D,4,0),"")</f>
        <v>EQUIPAMENTO</v>
      </c>
      <c r="N25" s="14" t="str">
        <f t="shared" si="1"/>
        <v>DIGITEC FTZ</v>
      </c>
      <c r="O25" s="15" t="str">
        <f>IFERROR(VLOOKUP(I25,material!A:D,2,0),"")</f>
        <v>MODEM VOIPEMTA WIFI 3.1 CGA4233CLB</v>
      </c>
    </row>
    <row r="26">
      <c r="A26" s="16" t="s">
        <v>46</v>
      </c>
      <c r="B26" s="7"/>
      <c r="C26" s="8" t="str">
        <f t="array" ref="C26">IFERROR(INDEX(atlas!H:H,MATCH(A26,atlas!C:C,0)),"")</f>
        <v>3.1</v>
      </c>
      <c r="D26" s="8" t="str">
        <f t="array" ref="D26">IFERROR(INDEX(atlas!D:D,MATCH(A26,atlas!C:C,0)),"")</f>
        <v>DIGITEC TECNOLOGIA DIGITAL E REPRES</v>
      </c>
      <c r="E26" s="8" t="str">
        <f t="array" ref="E26">IFERROR(INDEX(atlas!F:F,MATCH(A26,atlas!C:C,0)),"")</f>
        <v>INICIALIZADO</v>
      </c>
      <c r="F26" s="9" t="s">
        <v>24</v>
      </c>
      <c r="G26" s="10">
        <v>45644.40398148148</v>
      </c>
      <c r="H26" s="11" t="s">
        <v>25</v>
      </c>
      <c r="I26" s="12">
        <f t="array" ref="I26">IFERROR(INDEX(atlas!B:B,MATCH(A26,atlas!C:C,0)),"")</f>
        <v>41001486</v>
      </c>
      <c r="J26" s="8" t="str">
        <f>IFERROR(VLOOKUP(F26,tecnica!A:B,2,0),"")</f>
        <v>67</v>
      </c>
      <c r="K26" s="8" t="str">
        <f>IFERROR(VLOOKUP(J26,tecnica!B:C,2,0),"")</f>
        <v>ADS</v>
      </c>
      <c r="L26" s="13" t="s">
        <v>20</v>
      </c>
      <c r="M26" s="14" t="str">
        <f>IFERROR(VLOOKUP(I26,material!A:D,4,0),"")</f>
        <v>EQUIPAMENTO</v>
      </c>
      <c r="N26" s="14" t="str">
        <f t="shared" si="1"/>
        <v>DIGITEC FTZ</v>
      </c>
      <c r="O26" s="15" t="str">
        <f>IFERROR(VLOOKUP(I26,material!A:D,2,0),"")</f>
        <v>MODEM VOIP EMTA WIFI 3.1 CG3000</v>
      </c>
    </row>
    <row r="27">
      <c r="A27" s="16" t="s">
        <v>47</v>
      </c>
      <c r="B27" s="7"/>
      <c r="C27" s="8" t="str">
        <f t="array" ref="C27">IFERROR(INDEX(atlas!H:H,MATCH(A27,atlas!C:C,0)),"")</f>
        <v>3.1</v>
      </c>
      <c r="D27" s="8" t="str">
        <f t="array" ref="D27">IFERROR(INDEX(atlas!D:D,MATCH(A27,atlas!C:C,0)),"")</f>
        <v>DIGITEC TECNOLOGIA DIGITAL E REPRES</v>
      </c>
      <c r="E27" s="8" t="str">
        <f t="array" ref="E27">IFERROR(INDEX(atlas!F:F,MATCH(A27,atlas!C:C,0)),"")</f>
        <v>INICIALIZADO</v>
      </c>
      <c r="F27" s="9" t="s">
        <v>24</v>
      </c>
      <c r="G27" s="10">
        <v>45644.40398148148</v>
      </c>
      <c r="H27" s="11" t="s">
        <v>25</v>
      </c>
      <c r="I27" s="12">
        <f t="array" ref="I27">IFERROR(INDEX(atlas!B:B,MATCH(A27,atlas!C:C,0)),"")</f>
        <v>41001520</v>
      </c>
      <c r="J27" s="8" t="str">
        <f>IFERROR(VLOOKUP(F27,tecnica!A:B,2,0),"")</f>
        <v>67</v>
      </c>
      <c r="K27" s="8" t="str">
        <f>IFERROR(VLOOKUP(J27,tecnica!B:C,2,0),"")</f>
        <v>ADS</v>
      </c>
      <c r="L27" s="13" t="s">
        <v>20</v>
      </c>
      <c r="M27" s="14" t="str">
        <f>IFERROR(VLOOKUP(I27,material!A:D,4,0),"")</f>
        <v>EQUIPAMENTO</v>
      </c>
      <c r="N27" s="14" t="str">
        <f t="shared" si="1"/>
        <v>DIGITEC FTZ</v>
      </c>
      <c r="O27" s="15" t="str">
        <f>IFERROR(VLOOKUP(I27,material!A:D,2,0),"")</f>
        <v>TERMINAL DOCSIS 3.1 32X8 EMTA WIF TG3442</v>
      </c>
    </row>
    <row r="28">
      <c r="A28" s="16" t="s">
        <v>48</v>
      </c>
      <c r="B28" s="7"/>
      <c r="C28" s="8" t="str">
        <f t="array" ref="C28">IFERROR(INDEX(atlas!H:H,MATCH(A28,atlas!C:C,0)),"")</f>
        <v>3.1</v>
      </c>
      <c r="D28" s="8" t="str">
        <f t="array" ref="D28">IFERROR(INDEX(atlas!D:D,MATCH(A28,atlas!C:C,0)),"")</f>
        <v>DIGITEC TECNOLOGIA DIGITAL E REPRES</v>
      </c>
      <c r="E28" s="8" t="str">
        <f t="array" ref="E28">IFERROR(INDEX(atlas!F:F,MATCH(A28,atlas!C:C,0)),"")</f>
        <v>INICIALIZADO</v>
      </c>
      <c r="F28" s="9" t="s">
        <v>24</v>
      </c>
      <c r="G28" s="10">
        <v>45644.40398148148</v>
      </c>
      <c r="H28" s="11" t="s">
        <v>25</v>
      </c>
      <c r="I28" s="12">
        <f t="array" ref="I28">IFERROR(INDEX(atlas!B:B,MATCH(A28,atlas!C:C,0)),"")</f>
        <v>41001486</v>
      </c>
      <c r="J28" s="8" t="str">
        <f>IFERROR(VLOOKUP(F28,tecnica!A:B,2,0),"")</f>
        <v>67</v>
      </c>
      <c r="K28" s="8" t="str">
        <f>IFERROR(VLOOKUP(J28,tecnica!B:C,2,0),"")</f>
        <v>ADS</v>
      </c>
      <c r="L28" s="13" t="s">
        <v>20</v>
      </c>
      <c r="M28" s="14" t="str">
        <f>IFERROR(VLOOKUP(I28,material!A:D,4,0),"")</f>
        <v>EQUIPAMENTO</v>
      </c>
      <c r="N28" s="14" t="str">
        <f t="shared" si="1"/>
        <v>DIGITEC FTZ</v>
      </c>
      <c r="O28" s="15" t="str">
        <f>IFERROR(VLOOKUP(I28,material!A:D,2,0),"")</f>
        <v>MODEM VOIP EMTA WIFI 3.1 CG3000</v>
      </c>
    </row>
    <row r="29">
      <c r="A29" s="16" t="s">
        <v>49</v>
      </c>
      <c r="B29" s="7"/>
      <c r="C29" s="8" t="str">
        <f t="array" ref="C29">IFERROR(INDEX(atlas!H:H,MATCH(A29,atlas!C:C,0)),"")</f>
        <v>TOP MIX</v>
      </c>
      <c r="D29" s="8" t="str">
        <f t="array" ref="D29">IFERROR(INDEX(atlas!D:D,MATCH(A29,atlas!C:C,0)),"")</f>
        <v>DIGITEC TECNOLOGIA DIGITAL E REPRES</v>
      </c>
      <c r="E29" s="8" t="str">
        <f t="array" ref="E29">IFERROR(INDEX(atlas!F:F,MATCH(A29,atlas!C:C,0)),"")</f>
        <v>INICIALIZADO</v>
      </c>
      <c r="F29" s="9" t="s">
        <v>24</v>
      </c>
      <c r="G29" s="10">
        <v>45644.40398148148</v>
      </c>
      <c r="H29" s="11" t="s">
        <v>25</v>
      </c>
      <c r="I29" s="12">
        <f t="array" ref="I29">IFERROR(INDEX(atlas!B:B,MATCH(A29,atlas!C:C,0)),"")</f>
        <v>41001276</v>
      </c>
      <c r="J29" s="8" t="str">
        <f>IFERROR(VLOOKUP(F29,tecnica!A:B,2,0),"")</f>
        <v>67</v>
      </c>
      <c r="K29" s="8" t="str">
        <f>IFERROR(VLOOKUP(J29,tecnica!B:C,2,0),"")</f>
        <v>ADS</v>
      </c>
      <c r="L29" s="13" t="s">
        <v>20</v>
      </c>
      <c r="M29" s="14" t="str">
        <f>IFERROR(VLOOKUP(I29,material!A:D,4,0),"")</f>
        <v>EQUIPAMENTO</v>
      </c>
      <c r="N29" s="14" t="str">
        <f t="shared" si="1"/>
        <v>DIGITEC FTZ</v>
      </c>
      <c r="O29" s="15" t="str">
        <f>IFERROR(VLOOKUP(I29,material!A:D,2,0),"")</f>
        <v>DECODER DIGITAL HD HNB100 2T</v>
      </c>
    </row>
    <row r="30">
      <c r="A30" s="16" t="s">
        <v>50</v>
      </c>
      <c r="B30" s="7"/>
      <c r="C30" s="8" t="str">
        <f t="array" ref="C30">IFERROR(INDEX(atlas!H:H,MATCH(A30,atlas!C:C,0)),"")</f>
        <v>CARD</v>
      </c>
      <c r="D30" s="8" t="str">
        <f t="array" ref="D30">IFERROR(INDEX(atlas!D:D,MATCH(A30,atlas!C:C,0)),"")</f>
        <v>DIGITEC TECNOLOGIA DIGITAL E REPRES</v>
      </c>
      <c r="E30" s="8" t="str">
        <f t="array" ref="E30">IFERROR(INDEX(atlas!F:F,MATCH(A30,atlas!C:C,0)),"")</f>
        <v>INICIALIZADO</v>
      </c>
      <c r="F30" s="9" t="s">
        <v>24</v>
      </c>
      <c r="G30" s="10">
        <v>45644.40398148148</v>
      </c>
      <c r="H30" s="11" t="s">
        <v>25</v>
      </c>
      <c r="I30" s="12">
        <f t="array" ref="I30">IFERROR(INDEX(atlas!B:B,MATCH(A30,atlas!C:C,0)),"")</f>
        <v>41001234</v>
      </c>
      <c r="J30" s="8" t="str">
        <f>IFERROR(VLOOKUP(F30,tecnica!A:B,2,0),"")</f>
        <v>67</v>
      </c>
      <c r="K30" s="8" t="str">
        <f>IFERROR(VLOOKUP(J30,tecnica!B:C,2,0),"")</f>
        <v>ADS</v>
      </c>
      <c r="L30" s="13" t="s">
        <v>20</v>
      </c>
      <c r="M30" s="14" t="str">
        <f>IFERROR(VLOOKUP(I30,material!A:D,4,0),"")</f>
        <v>EQUIPAMENTO</v>
      </c>
      <c r="N30" s="14" t="str">
        <f t="shared" si="1"/>
        <v>DIGITEC FTZ</v>
      </c>
      <c r="O30" s="15" t="str">
        <f>IFERROR(VLOOKUP(I30,material!A:D,2,0),"")</f>
        <v>SMART CARD PRETO NAGRA</v>
      </c>
    </row>
    <row r="31">
      <c r="A31" s="16" t="s">
        <v>51</v>
      </c>
      <c r="B31" s="7"/>
      <c r="C31" s="8" t="str">
        <f t="array" ref="C31">IFERROR(INDEX(atlas!H:H,MATCH(A31,atlas!C:C,0)),"")</f>
        <v>TOP MIX</v>
      </c>
      <c r="D31" s="8" t="str">
        <f t="array" ref="D31">IFERROR(INDEX(atlas!D:D,MATCH(A31,atlas!C:C,0)),"")</f>
        <v>DIGITEC TECNOLOGIA DIGITAL E REPRES</v>
      </c>
      <c r="E31" s="8" t="str">
        <f t="array" ref="E31">IFERROR(INDEX(atlas!F:F,MATCH(A31,atlas!C:C,0)),"")</f>
        <v>INICIALIZADO</v>
      </c>
      <c r="F31" s="9" t="s">
        <v>24</v>
      </c>
      <c r="G31" s="10">
        <v>45644.40398148148</v>
      </c>
      <c r="H31" s="11" t="s">
        <v>25</v>
      </c>
      <c r="I31" s="12">
        <f t="array" ref="I31">IFERROR(INDEX(atlas!B:B,MATCH(A31,atlas!C:C,0)),"")</f>
        <v>41001276</v>
      </c>
      <c r="J31" s="8" t="str">
        <f>IFERROR(VLOOKUP(F31,tecnica!A:B,2,0),"")</f>
        <v>67</v>
      </c>
      <c r="K31" s="8" t="str">
        <f>IFERROR(VLOOKUP(J31,tecnica!B:C,2,0),"")</f>
        <v>ADS</v>
      </c>
      <c r="L31" s="13" t="s">
        <v>20</v>
      </c>
      <c r="M31" s="14" t="str">
        <f>IFERROR(VLOOKUP(I31,material!A:D,4,0),"")</f>
        <v>EQUIPAMENTO</v>
      </c>
      <c r="N31" s="14" t="str">
        <f t="shared" si="1"/>
        <v>DIGITEC FTZ</v>
      </c>
      <c r="O31" s="15" t="str">
        <f>IFERROR(VLOOKUP(I31,material!A:D,2,0),"")</f>
        <v>DECODER DIGITAL HD HNB100 2T</v>
      </c>
    </row>
    <row r="32">
      <c r="A32" s="16" t="s">
        <v>52</v>
      </c>
      <c r="B32" s="7"/>
      <c r="C32" s="8" t="str">
        <f t="array" ref="C32">IFERROR(INDEX(atlas!H:H,MATCH(A32,atlas!C:C,0)),"")</f>
        <v>CARD</v>
      </c>
      <c r="D32" s="8" t="str">
        <f t="array" ref="D32">IFERROR(INDEX(atlas!D:D,MATCH(A32,atlas!C:C,0)),"")</f>
        <v>DIGITEC TECNOLOGIA DIGITAL E REPRES</v>
      </c>
      <c r="E32" s="8" t="str">
        <f t="array" ref="E32">IFERROR(INDEX(atlas!F:F,MATCH(A32,atlas!C:C,0)),"")</f>
        <v>INICIALIZADO</v>
      </c>
      <c r="F32" s="9" t="s">
        <v>24</v>
      </c>
      <c r="G32" s="10">
        <v>45644.40398148148</v>
      </c>
      <c r="H32" s="11" t="s">
        <v>25</v>
      </c>
      <c r="I32" s="12">
        <f t="array" ref="I32">IFERROR(INDEX(atlas!B:B,MATCH(A32,atlas!C:C,0)),"")</f>
        <v>41001234</v>
      </c>
      <c r="J32" s="8" t="str">
        <f>IFERROR(VLOOKUP(F32,tecnica!A:B,2,0),"")</f>
        <v>67</v>
      </c>
      <c r="K32" s="8" t="str">
        <f>IFERROR(VLOOKUP(J32,tecnica!B:C,2,0),"")</f>
        <v>ADS</v>
      </c>
      <c r="L32" s="13" t="s">
        <v>20</v>
      </c>
      <c r="M32" s="14" t="str">
        <f>IFERROR(VLOOKUP(I32,material!A:D,4,0),"")</f>
        <v>EQUIPAMENTO</v>
      </c>
      <c r="N32" s="14" t="str">
        <f t="shared" si="1"/>
        <v>DIGITEC FTZ</v>
      </c>
      <c r="O32" s="15" t="str">
        <f>IFERROR(VLOOKUP(I32,material!A:D,2,0),"")</f>
        <v>SMART CARD PRETO NAGRA</v>
      </c>
    </row>
    <row r="33">
      <c r="A33" s="16" t="s">
        <v>53</v>
      </c>
      <c r="B33" s="7"/>
      <c r="C33" s="8" t="str">
        <f t="array" ref="C33">IFERROR(INDEX(atlas!H:H,MATCH(A33,atlas!C:C,0)),"")</f>
        <v>TOP MIX</v>
      </c>
      <c r="D33" s="8" t="str">
        <f t="array" ref="D33">IFERROR(INDEX(atlas!D:D,MATCH(A33,atlas!C:C,0)),"")</f>
        <v>DIGITEC TECNOLOGIA DIGITAL E REPRES</v>
      </c>
      <c r="E33" s="8" t="str">
        <f t="array" ref="E33">IFERROR(INDEX(atlas!F:F,MATCH(A33,atlas!C:C,0)),"")</f>
        <v>INICIALIZADO</v>
      </c>
      <c r="F33" s="9" t="s">
        <v>24</v>
      </c>
      <c r="G33" s="10">
        <v>45644.40398148148</v>
      </c>
      <c r="H33" s="11" t="s">
        <v>25</v>
      </c>
      <c r="I33" s="12">
        <f t="array" ref="I33">IFERROR(INDEX(atlas!B:B,MATCH(A33,atlas!C:C,0)),"")</f>
        <v>41001276</v>
      </c>
      <c r="J33" s="8" t="str">
        <f>IFERROR(VLOOKUP(F33,tecnica!A:B,2,0),"")</f>
        <v>67</v>
      </c>
      <c r="K33" s="8" t="str">
        <f>IFERROR(VLOOKUP(J33,tecnica!B:C,2,0),"")</f>
        <v>ADS</v>
      </c>
      <c r="L33" s="13" t="s">
        <v>20</v>
      </c>
      <c r="M33" s="14" t="str">
        <f>IFERROR(VLOOKUP(I33,material!A:D,4,0),"")</f>
        <v>EQUIPAMENTO</v>
      </c>
      <c r="N33" s="14" t="str">
        <f t="shared" si="1"/>
        <v>DIGITEC FTZ</v>
      </c>
      <c r="O33" s="15" t="str">
        <f>IFERROR(VLOOKUP(I33,material!A:D,2,0),"")</f>
        <v>DECODER DIGITAL HD HNB100 2T</v>
      </c>
    </row>
    <row r="34">
      <c r="A34" s="16" t="s">
        <v>54</v>
      </c>
      <c r="B34" s="7"/>
      <c r="C34" s="8" t="str">
        <f t="array" ref="C34">IFERROR(INDEX(atlas!H:H,MATCH(A34,atlas!C:C,0)),"")</f>
        <v>CARD</v>
      </c>
      <c r="D34" s="8" t="str">
        <f t="array" ref="D34">IFERROR(INDEX(atlas!D:D,MATCH(A34,atlas!C:C,0)),"")</f>
        <v>DIGITEC TECNOLOGIA DIGITAL E REPRES</v>
      </c>
      <c r="E34" s="8" t="str">
        <f t="array" ref="E34">IFERROR(INDEX(atlas!F:F,MATCH(A34,atlas!C:C,0)),"")</f>
        <v>INICIALIZADO</v>
      </c>
      <c r="F34" s="9" t="s">
        <v>24</v>
      </c>
      <c r="G34" s="10">
        <v>45644.40398148148</v>
      </c>
      <c r="H34" s="11" t="s">
        <v>25</v>
      </c>
      <c r="I34" s="12">
        <f t="array" ref="I34">IFERROR(INDEX(atlas!B:B,MATCH(A34,atlas!C:C,0)),"")</f>
        <v>41001234</v>
      </c>
      <c r="J34" s="8" t="str">
        <f>IFERROR(VLOOKUP(F34,tecnica!A:B,2,0),"")</f>
        <v>67</v>
      </c>
      <c r="K34" s="8" t="str">
        <f>IFERROR(VLOOKUP(J34,tecnica!B:C,2,0),"")</f>
        <v>ADS</v>
      </c>
      <c r="L34" s="13" t="s">
        <v>20</v>
      </c>
      <c r="M34" s="14" t="str">
        <f>IFERROR(VLOOKUP(I34,material!A:D,4,0),"")</f>
        <v>EQUIPAMENTO</v>
      </c>
      <c r="N34" s="14" t="str">
        <f t="shared" si="1"/>
        <v>DIGITEC FTZ</v>
      </c>
      <c r="O34" s="15" t="str">
        <f>IFERROR(VLOOKUP(I34,material!A:D,2,0),"")</f>
        <v>SMART CARD PRETO NAGRA</v>
      </c>
    </row>
    <row r="35">
      <c r="A35" s="16" t="s">
        <v>55</v>
      </c>
      <c r="B35" s="7"/>
      <c r="C35" s="8" t="str">
        <f t="array" ref="C35">IFERROR(INDEX(atlas!H:H,MATCH(A35,atlas!C:C,0)),"")</f>
        <v>WIFI 6</v>
      </c>
      <c r="D35" s="8" t="str">
        <f t="array" ref="D35">IFERROR(INDEX(atlas!D:D,MATCH(A35,atlas!C:C,0)),"")</f>
        <v>DIGITEC TECNOLOGIA DIGITAL E REPRES</v>
      </c>
      <c r="E35" s="8" t="str">
        <f t="array" ref="E35">IFERROR(INDEX(atlas!F:F,MATCH(A35,atlas!C:C,0)),"")</f>
        <v>INICIALIZADO</v>
      </c>
      <c r="F35" s="9" t="s">
        <v>24</v>
      </c>
      <c r="G35" s="10">
        <v>45644.40398148148</v>
      </c>
      <c r="H35" s="11" t="s">
        <v>25</v>
      </c>
      <c r="I35" s="12">
        <f t="array" ref="I35">IFERROR(INDEX(atlas!B:B,MATCH(A35,atlas!C:C,0)),"")</f>
        <v>41001552</v>
      </c>
      <c r="J35" s="8" t="str">
        <f>IFERROR(VLOOKUP(F35,tecnica!A:B,2,0),"")</f>
        <v>67</v>
      </c>
      <c r="K35" s="8" t="str">
        <f>IFERROR(VLOOKUP(J35,tecnica!B:C,2,0),"")</f>
        <v>ADS</v>
      </c>
      <c r="L35" s="13" t="s">
        <v>20</v>
      </c>
      <c r="M35" s="14" t="str">
        <f>IFERROR(VLOOKUP(I35,material!A:D,4,0),"")</f>
        <v>EQUIPAMENTO</v>
      </c>
      <c r="N35" s="14" t="str">
        <f t="shared" si="1"/>
        <v>DIGITEC FTZ</v>
      </c>
      <c r="O35" s="15" t="str">
        <f>IFERROR(VLOOKUP(I35,material!A:D,2,0),"")</f>
        <v>TERMINAL DOCSIS 3.1 EMTA WIFI6 F@ST3896</v>
      </c>
    </row>
    <row r="36">
      <c r="A36" s="16" t="s">
        <v>56</v>
      </c>
      <c r="B36" s="7"/>
      <c r="C36" s="8" t="str">
        <f t="array" ref="C36">IFERROR(INDEX(atlas!H:H,MATCH(A36,atlas!C:C,0)),"")</f>
        <v>WIFI 6</v>
      </c>
      <c r="D36" s="8" t="str">
        <f t="array" ref="D36">IFERROR(INDEX(atlas!D:D,MATCH(A36,atlas!C:C,0)),"")</f>
        <v>DIGITEC TECNOLOGIA DIGITAL E REPRES</v>
      </c>
      <c r="E36" s="8" t="str">
        <f t="array" ref="E36">IFERROR(INDEX(atlas!F:F,MATCH(A36,atlas!C:C,0)),"")</f>
        <v>INICIALIZADO</v>
      </c>
      <c r="F36" s="9" t="s">
        <v>24</v>
      </c>
      <c r="G36" s="10">
        <v>45644.40398148148</v>
      </c>
      <c r="H36" s="11" t="s">
        <v>25</v>
      </c>
      <c r="I36" s="12">
        <f t="array" ref="I36">IFERROR(INDEX(atlas!B:B,MATCH(A36,atlas!C:C,0)),"")</f>
        <v>41001552</v>
      </c>
      <c r="J36" s="8" t="str">
        <f>IFERROR(VLOOKUP(F36,tecnica!A:B,2,0),"")</f>
        <v>67</v>
      </c>
      <c r="K36" s="8" t="str">
        <f>IFERROR(VLOOKUP(J36,tecnica!B:C,2,0),"")</f>
        <v>ADS</v>
      </c>
      <c r="L36" s="13" t="s">
        <v>20</v>
      </c>
      <c r="M36" s="14" t="str">
        <f>IFERROR(VLOOKUP(I36,material!A:D,4,0),"")</f>
        <v>EQUIPAMENTO</v>
      </c>
      <c r="N36" s="14" t="str">
        <f t="shared" si="1"/>
        <v>DIGITEC FTZ</v>
      </c>
      <c r="O36" s="15" t="str">
        <f>IFERROR(VLOOKUP(I36,material!A:D,2,0),"")</f>
        <v>TERMINAL DOCSIS 3.1 EMTA WIFI6 F@ST3896</v>
      </c>
    </row>
    <row r="37">
      <c r="A37" s="16" t="s">
        <v>57</v>
      </c>
      <c r="B37" s="7">
        <v>20.0</v>
      </c>
      <c r="C37" s="8" t="str">
        <f t="array" ref="C37">IFERROR(INDEX(atlas!H:H,MATCH(A37,atlas!C:C,0)),"")</f>
        <v>FO</v>
      </c>
      <c r="D37" s="8" t="str">
        <f t="array" ref="D37">IFERROR(INDEX(atlas!D:D,MATCH(A37,atlas!C:C,0)),"")</f>
        <v>MISCELANEA</v>
      </c>
      <c r="E37" s="8" t="str">
        <f t="array" ref="E37">IFERROR(INDEX(atlas!F:F,MATCH(A37,atlas!C:C,0)),"")</f>
        <v>MISCELANEA</v>
      </c>
      <c r="F37" s="9" t="s">
        <v>58</v>
      </c>
      <c r="G37" s="10">
        <v>45644.304976851854</v>
      </c>
      <c r="H37" s="11" t="s">
        <v>19</v>
      </c>
      <c r="I37" s="12">
        <f t="array" ref="I37">IFERROR(INDEX(atlas!B:B,MATCH(A37,atlas!C:C,0)),"")</f>
        <v>22057620</v>
      </c>
      <c r="J37" s="8" t="str">
        <f>IFERROR(VLOOKUP(F37,tecnica!A:B,2,0),"")</f>
        <v>24</v>
      </c>
      <c r="K37" s="8" t="str">
        <f>IFERROR(VLOOKUP(J37,tecnica!B:C,2,0),"")</f>
        <v>ADS</v>
      </c>
      <c r="L37" s="13" t="s">
        <v>59</v>
      </c>
      <c r="M37" s="14" t="str">
        <f>IFERROR(VLOOKUP(I37,material!A:D,4,0),"")</f>
        <v>CRITICO</v>
      </c>
      <c r="N37" s="14" t="str">
        <f t="shared" si="1"/>
        <v>DIGITEC FTZ</v>
      </c>
      <c r="O37" s="15" t="str">
        <f>IFERROR(VLOOKUP(I37,material!A:D,2,0),"")</f>
        <v>CONECTOR FO CAMPO FAST SC/APC</v>
      </c>
    </row>
    <row r="38">
      <c r="A38" s="16" t="s">
        <v>60</v>
      </c>
      <c r="B38" s="7"/>
      <c r="C38" s="8" t="str">
        <f t="array" ref="C38">IFERROR(INDEX(atlas!H:H,MATCH(A38,atlas!C:C,0)),"")</f>
        <v>BOX</v>
      </c>
      <c r="D38" s="8" t="str">
        <f t="array" ref="D38">IFERROR(INDEX(atlas!D:D,MATCH(A38,atlas!C:C,0)),"")</f>
        <v>DIGITEC TECNOLOGIA DIGITAL E REPRES</v>
      </c>
      <c r="E38" s="8" t="str">
        <f t="array" ref="E38">IFERROR(INDEX(atlas!F:F,MATCH(A38,atlas!C:C,0)),"")</f>
        <v>INICIALIZADO</v>
      </c>
      <c r="F38" s="9" t="s">
        <v>61</v>
      </c>
      <c r="G38" s="10">
        <v>45644.32494212963</v>
      </c>
      <c r="H38" s="11" t="s">
        <v>19</v>
      </c>
      <c r="I38" s="12">
        <f t="array" ref="I38">IFERROR(INDEX(atlas!B:B,MATCH(A38,atlas!C:C,0)),"")</f>
        <v>41001538</v>
      </c>
      <c r="J38" s="8" t="str">
        <f>IFERROR(VLOOKUP(F38,tecnica!A:B,2,0),"")</f>
        <v>25</v>
      </c>
      <c r="K38" s="8" t="str">
        <f>IFERROR(VLOOKUP(J38,tecnica!B:C,2,0),"")</f>
        <v>ADS</v>
      </c>
      <c r="L38" s="13" t="s">
        <v>59</v>
      </c>
      <c r="M38" s="14" t="str">
        <f>IFERROR(VLOOKUP(I38,material!A:D,4,0),"")</f>
        <v>EQUIPAMENTO</v>
      </c>
      <c r="N38" s="14" t="str">
        <f t="shared" si="1"/>
        <v>DIGITEC FTZ</v>
      </c>
      <c r="O38" s="15" t="str">
        <f>IFERROR(VLOOKUP(I38,material!A:D,2,0),"")</f>
        <v>DECODER IP 4K UHD S4KW2 DDR FAST ETH</v>
      </c>
    </row>
    <row r="39">
      <c r="A39" s="16" t="s">
        <v>62</v>
      </c>
      <c r="B39" s="7"/>
      <c r="C39" s="8" t="str">
        <f t="array" ref="C39">IFERROR(INDEX(atlas!H:H,MATCH(A39,atlas!C:C,0)),"")</f>
        <v>BOX</v>
      </c>
      <c r="D39" s="8" t="str">
        <f t="array" ref="D39">IFERROR(INDEX(atlas!D:D,MATCH(A39,atlas!C:C,0)),"")</f>
        <v>DIGITEC TECNOLOGIA DIGITAL E REPRES</v>
      </c>
      <c r="E39" s="8" t="str">
        <f t="array" ref="E39">IFERROR(INDEX(atlas!F:F,MATCH(A39,atlas!C:C,0)),"")</f>
        <v>INICIALIZADO</v>
      </c>
      <c r="F39" s="9" t="s">
        <v>61</v>
      </c>
      <c r="G39" s="10">
        <v>45644.32494212963</v>
      </c>
      <c r="H39" s="11" t="s">
        <v>19</v>
      </c>
      <c r="I39" s="12">
        <f t="array" ref="I39">IFERROR(INDEX(atlas!B:B,MATCH(A39,atlas!C:C,0)),"")</f>
        <v>41001538</v>
      </c>
      <c r="J39" s="8" t="str">
        <f>IFERROR(VLOOKUP(F39,tecnica!A:B,2,0),"")</f>
        <v>25</v>
      </c>
      <c r="K39" s="8" t="str">
        <f>IFERROR(VLOOKUP(J39,tecnica!B:C,2,0),"")</f>
        <v>ADS</v>
      </c>
      <c r="L39" s="13" t="s">
        <v>59</v>
      </c>
      <c r="M39" s="14" t="str">
        <f>IFERROR(VLOOKUP(I39,material!A:D,4,0),"")</f>
        <v>EQUIPAMENTO</v>
      </c>
      <c r="N39" s="14" t="str">
        <f t="shared" si="1"/>
        <v>DIGITEC FTZ</v>
      </c>
      <c r="O39" s="15" t="str">
        <f>IFERROR(VLOOKUP(I39,material!A:D,2,0),"")</f>
        <v>DECODER IP 4K UHD S4KW2 DDR FAST ETH</v>
      </c>
    </row>
    <row r="40">
      <c r="A40" s="16" t="s">
        <v>63</v>
      </c>
      <c r="B40" s="7"/>
      <c r="C40" s="8" t="str">
        <f t="array" ref="C40">IFERROR(INDEX(atlas!H:H,MATCH(A40,atlas!C:C,0)),"")</f>
        <v>BOX</v>
      </c>
      <c r="D40" s="8" t="str">
        <f t="array" ref="D40">IFERROR(INDEX(atlas!D:D,MATCH(A40,atlas!C:C,0)),"")</f>
        <v>DIGITEC TECNOLOGIA DIGITAL E REPRES</v>
      </c>
      <c r="E40" s="8" t="str">
        <f t="array" ref="E40">IFERROR(INDEX(atlas!F:F,MATCH(A40,atlas!C:C,0)),"")</f>
        <v>INICIALIZADO</v>
      </c>
      <c r="F40" s="9" t="s">
        <v>61</v>
      </c>
      <c r="G40" s="10">
        <v>45644.32494212963</v>
      </c>
      <c r="H40" s="11" t="s">
        <v>19</v>
      </c>
      <c r="I40" s="12">
        <f t="array" ref="I40">IFERROR(INDEX(atlas!B:B,MATCH(A40,atlas!C:C,0)),"")</f>
        <v>41001538</v>
      </c>
      <c r="J40" s="8" t="str">
        <f>IFERROR(VLOOKUP(F40,tecnica!A:B,2,0),"")</f>
        <v>25</v>
      </c>
      <c r="K40" s="8" t="str">
        <f>IFERROR(VLOOKUP(J40,tecnica!B:C,2,0),"")</f>
        <v>ADS</v>
      </c>
      <c r="L40" s="13" t="s">
        <v>59</v>
      </c>
      <c r="M40" s="14" t="str">
        <f>IFERROR(VLOOKUP(I40,material!A:D,4,0),"")</f>
        <v>EQUIPAMENTO</v>
      </c>
      <c r="N40" s="14" t="str">
        <f t="shared" si="1"/>
        <v>DIGITEC FTZ</v>
      </c>
      <c r="O40" s="15" t="str">
        <f>IFERROR(VLOOKUP(I40,material!A:D,2,0),"")</f>
        <v>DECODER IP 4K UHD S4KW2 DDR FAST ETH</v>
      </c>
    </row>
    <row r="41">
      <c r="A41" s="6" t="s">
        <v>64</v>
      </c>
      <c r="B41" s="7"/>
      <c r="C41" s="8" t="str">
        <f t="array" ref="C41">IFERROR(INDEX(atlas!H:H,MATCH(A41,atlas!C:C,0)),"")</f>
        <v>4K RFIP</v>
      </c>
      <c r="D41" s="8" t="str">
        <f t="array" ref="D41">IFERROR(INDEX(atlas!D:D,MATCH(A41,atlas!C:C,0)),"")</f>
        <v>DIGITEC TECNOLOGIA DIGITAL E REPRES</v>
      </c>
      <c r="E41" s="8" t="str">
        <f t="array" ref="E41">IFERROR(INDEX(atlas!F:F,MATCH(A41,atlas!C:C,0)),"")</f>
        <v>INICIALIZADO</v>
      </c>
      <c r="F41" s="9" t="s">
        <v>61</v>
      </c>
      <c r="G41" s="10">
        <v>45644.32494212963</v>
      </c>
      <c r="H41" s="11" t="s">
        <v>19</v>
      </c>
      <c r="I41" s="12">
        <f t="array" ref="I41">IFERROR(INDEX(atlas!B:B,MATCH(A41,atlas!C:C,0)),"")</f>
        <v>41001583</v>
      </c>
      <c r="J41" s="8" t="str">
        <f>IFERROR(VLOOKUP(F41,tecnica!A:B,2,0),"")</f>
        <v>25</v>
      </c>
      <c r="K41" s="8" t="str">
        <f>IFERROR(VLOOKUP(J41,tecnica!B:C,2,0),"")</f>
        <v>ADS</v>
      </c>
      <c r="L41" s="13" t="s">
        <v>20</v>
      </c>
      <c r="M41" s="14" t="str">
        <f>IFERROR(VLOOKUP(I41,material!A:D,4,0),"")</f>
        <v>EQUIPAMENTO</v>
      </c>
      <c r="N41" s="14" t="str">
        <f t="shared" si="1"/>
        <v>DIGITEC FTZ</v>
      </c>
      <c r="O41" s="15" t="str">
        <f>IFERROR(VLOOKUP(I41,material!A:D,2,0),"")</f>
        <v>DECODER CARDLESS 4K UHD S4KCW5 CABO IP</v>
      </c>
    </row>
    <row r="42">
      <c r="A42" s="6" t="s">
        <v>65</v>
      </c>
      <c r="B42" s="7"/>
      <c r="C42" s="8" t="str">
        <f t="array" ref="C42">IFERROR(INDEX(atlas!H:H,MATCH(A42,atlas!C:C,0)),"")</f>
        <v>4K RFIP</v>
      </c>
      <c r="D42" s="8" t="str">
        <f t="array" ref="D42">IFERROR(INDEX(atlas!D:D,MATCH(A42,atlas!C:C,0)),"")</f>
        <v>DIGITEC TECNOLOGIA DIGITAL E REPRES</v>
      </c>
      <c r="E42" s="8" t="str">
        <f t="array" ref="E42">IFERROR(INDEX(atlas!F:F,MATCH(A42,atlas!C:C,0)),"")</f>
        <v>INICIALIZADO</v>
      </c>
      <c r="F42" s="9" t="s">
        <v>61</v>
      </c>
      <c r="G42" s="10">
        <v>45644.32494212963</v>
      </c>
      <c r="H42" s="11" t="s">
        <v>19</v>
      </c>
      <c r="I42" s="12">
        <f t="array" ref="I42">IFERROR(INDEX(atlas!B:B,MATCH(A42,atlas!C:C,0)),"")</f>
        <v>41001583</v>
      </c>
      <c r="J42" s="8" t="str">
        <f>IFERROR(VLOOKUP(F42,tecnica!A:B,2,0),"")</f>
        <v>25</v>
      </c>
      <c r="K42" s="8" t="str">
        <f>IFERROR(VLOOKUP(J42,tecnica!B:C,2,0),"")</f>
        <v>ADS</v>
      </c>
      <c r="L42" s="13" t="s">
        <v>20</v>
      </c>
      <c r="M42" s="14" t="str">
        <f>IFERROR(VLOOKUP(I42,material!A:D,4,0),"")</f>
        <v>EQUIPAMENTO</v>
      </c>
      <c r="N42" s="14" t="str">
        <f t="shared" si="1"/>
        <v>DIGITEC FTZ</v>
      </c>
      <c r="O42" s="15" t="str">
        <f>IFERROR(VLOOKUP(I42,material!A:D,2,0),"")</f>
        <v>DECODER CARDLESS 4K UHD S4KCW5 CABO IP</v>
      </c>
    </row>
    <row r="43">
      <c r="A43" s="16" t="s">
        <v>66</v>
      </c>
      <c r="B43" s="7">
        <v>500.0</v>
      </c>
      <c r="C43" s="8" t="str">
        <f t="array" ref="C43">IFERROR(INDEX(atlas!H:H,MATCH(A43,atlas!C:C,0)),"")</f>
        <v>CABO DROP</v>
      </c>
      <c r="D43" s="8" t="str">
        <f t="array" ref="D43">IFERROR(INDEX(atlas!D:D,MATCH(A43,atlas!C:C,0)),"")</f>
        <v>MISCELANEA</v>
      </c>
      <c r="E43" s="8" t="str">
        <f t="array" ref="E43">IFERROR(INDEX(atlas!F:F,MATCH(A43,atlas!C:C,0)),"")</f>
        <v>MISCELANEA</v>
      </c>
      <c r="F43" s="9" t="s">
        <v>67</v>
      </c>
      <c r="G43" s="10">
        <v>45644.30537037037</v>
      </c>
      <c r="H43" s="11" t="s">
        <v>19</v>
      </c>
      <c r="I43" s="12">
        <f t="array" ref="I43">IFERROR(INDEX(atlas!B:B,MATCH(A43,atlas!C:C,0)),"")</f>
        <v>22057657</v>
      </c>
      <c r="J43" s="8" t="str">
        <f>IFERROR(VLOOKUP(F43,tecnica!A:B,2,0),"")</f>
        <v>68</v>
      </c>
      <c r="K43" s="8" t="str">
        <f>IFERROR(VLOOKUP(J43,tecnica!B:C,2,0),"")</f>
        <v>ADS</v>
      </c>
      <c r="L43" s="13" t="s">
        <v>59</v>
      </c>
      <c r="M43" s="14" t="str">
        <f>IFERROR(VLOOKUP(I43,material!A:D,4,0),"")</f>
        <v>CRITICO</v>
      </c>
      <c r="N43" s="14" t="str">
        <f t="shared" si="1"/>
        <v>DIGITEC FTZ</v>
      </c>
      <c r="O43" s="15" t="str">
        <f>IFERROR(VLOOKUP(I43,material!A:D,2,0),"")</f>
        <v>CABO DROP 1FO LOW F FIG8 CINZA</v>
      </c>
    </row>
    <row r="44">
      <c r="A44" s="16" t="s">
        <v>68</v>
      </c>
      <c r="B44" s="7">
        <v>10.0</v>
      </c>
      <c r="C44" s="8" t="str">
        <f t="array" ref="C44">IFERROR(INDEX(atlas!H:H,MATCH(A44,atlas!C:C,0)),"")</f>
        <v>ISOLADOR</v>
      </c>
      <c r="D44" s="8" t="str">
        <f t="array" ref="D44">IFERROR(INDEX(atlas!D:D,MATCH(A44,atlas!C:C,0)),"")</f>
        <v>MISCELANEA</v>
      </c>
      <c r="E44" s="8" t="str">
        <f t="array" ref="E44">IFERROR(INDEX(atlas!F:F,MATCH(A44,atlas!C:C,0)),"")</f>
        <v>MISCELANEA</v>
      </c>
      <c r="F44" s="9" t="s">
        <v>67</v>
      </c>
      <c r="G44" s="10">
        <v>45644.30537037037</v>
      </c>
      <c r="H44" s="11" t="s">
        <v>19</v>
      </c>
      <c r="I44" s="12">
        <f t="array" ref="I44">IFERROR(INDEX(atlas!B:B,MATCH(A44,atlas!C:C,0)),"")</f>
        <v>22056366</v>
      </c>
      <c r="J44" s="8" t="str">
        <f>IFERROR(VLOOKUP(F44,tecnica!A:B,2,0),"")</f>
        <v>68</v>
      </c>
      <c r="K44" s="8" t="str">
        <f>IFERROR(VLOOKUP(J44,tecnica!B:C,2,0),"")</f>
        <v>ADS</v>
      </c>
      <c r="L44" s="13" t="s">
        <v>59</v>
      </c>
      <c r="M44" s="14" t="str">
        <f>IFERROR(VLOOKUP(I44,material!A:D,4,0),"")</f>
        <v>NAO CRITICO</v>
      </c>
      <c r="N44" s="14" t="str">
        <f t="shared" si="1"/>
        <v>DIGITEC FTZ</v>
      </c>
      <c r="O44" s="15" t="str">
        <f>IFERROR(VLOOKUP(I44,material!A:D,2,0),"")</f>
        <v>ISOLADOR COAXIAL QUADRADO - CISP-HR</v>
      </c>
    </row>
    <row r="45">
      <c r="A45" s="16" t="s">
        <v>69</v>
      </c>
      <c r="B45" s="7">
        <v>15.0</v>
      </c>
      <c r="C45" s="8" t="str">
        <f t="array" ref="C45">IFERROR(INDEX(atlas!H:H,MATCH(A45,atlas!C:C,0)),"")</f>
        <v>MINI ISOLADOR</v>
      </c>
      <c r="D45" s="8" t="str">
        <f t="array" ref="D45">IFERROR(INDEX(atlas!D:D,MATCH(A45,atlas!C:C,0)),"")</f>
        <v>MISCELANEA</v>
      </c>
      <c r="E45" s="8" t="str">
        <f t="array" ref="E45">IFERROR(INDEX(atlas!F:F,MATCH(A45,atlas!C:C,0)),"")</f>
        <v>MISCELANEA</v>
      </c>
      <c r="F45" s="9" t="s">
        <v>67</v>
      </c>
      <c r="G45" s="10">
        <v>45644.30537037037</v>
      </c>
      <c r="H45" s="11" t="s">
        <v>19</v>
      </c>
      <c r="I45" s="12">
        <f t="array" ref="I45">IFERROR(INDEX(atlas!B:B,MATCH(A45,atlas!C:C,0)),"")</f>
        <v>22056364</v>
      </c>
      <c r="J45" s="8" t="str">
        <f>IFERROR(VLOOKUP(F45,tecnica!A:B,2,0),"")</f>
        <v>68</v>
      </c>
      <c r="K45" s="8" t="str">
        <f>IFERROR(VLOOKUP(J45,tecnica!B:C,2,0),"")</f>
        <v>ADS</v>
      </c>
      <c r="L45" s="13" t="s">
        <v>59</v>
      </c>
      <c r="M45" s="14" t="str">
        <f>IFERROR(VLOOKUP(I45,material!A:D,4,0),"")</f>
        <v>NAO CRITICO</v>
      </c>
      <c r="N45" s="14" t="str">
        <f t="shared" si="1"/>
        <v>DIGITEC FTZ</v>
      </c>
      <c r="O45" s="15" t="str">
        <f>IFERROR(VLOOKUP(I45,material!A:D,2,0),"")</f>
        <v>MINI ISOLADOR CPE P/CM DECODER</v>
      </c>
    </row>
    <row r="46">
      <c r="A46" s="16" t="s">
        <v>70</v>
      </c>
      <c r="B46" s="7">
        <v>30.0</v>
      </c>
      <c r="C46" s="8" t="str">
        <f t="array" ref="C46">IFERROR(INDEX(atlas!H:H,MATCH(A46,atlas!C:C,0)),"")</f>
        <v>MINI PROTETOR</v>
      </c>
      <c r="D46" s="8" t="str">
        <f t="array" ref="D46">IFERROR(INDEX(atlas!D:D,MATCH(A46,atlas!C:C,0)),"")</f>
        <v>MISCELANEA</v>
      </c>
      <c r="E46" s="8" t="str">
        <f t="array" ref="E46">IFERROR(INDEX(atlas!F:F,MATCH(A46,atlas!C:C,0)),"")</f>
        <v>MISCELANEA</v>
      </c>
      <c r="F46" s="9" t="s">
        <v>67</v>
      </c>
      <c r="G46" s="10">
        <v>45644.30537037037</v>
      </c>
      <c r="H46" s="11" t="s">
        <v>19</v>
      </c>
      <c r="I46" s="12">
        <f t="array" ref="I46">IFERROR(INDEX(atlas!B:B,MATCH(A46,atlas!C:C,0)),"")</f>
        <v>22056365</v>
      </c>
      <c r="J46" s="8" t="str">
        <f>IFERROR(VLOOKUP(F46,tecnica!A:B,2,0),"")</f>
        <v>68</v>
      </c>
      <c r="K46" s="8" t="str">
        <f>IFERROR(VLOOKUP(J46,tecnica!B:C,2,0),"")</f>
        <v>ADS</v>
      </c>
      <c r="L46" s="13" t="s">
        <v>59</v>
      </c>
      <c r="M46" s="14" t="str">
        <f>IFERROR(VLOOKUP(I46,material!A:D,4,0),"")</f>
        <v>NAO CRITICO</v>
      </c>
      <c r="N46" s="14" t="str">
        <f t="shared" si="1"/>
        <v>DIGITEC FTZ</v>
      </c>
      <c r="O46" s="15" t="str">
        <f>IFERROR(VLOOKUP(I46,material!A:D,2,0),"")</f>
        <v>PROTETOR P/MINI ISOLADOR - ACRE1568</v>
      </c>
    </row>
    <row r="47">
      <c r="A47" s="16" t="s">
        <v>71</v>
      </c>
      <c r="B47" s="7">
        <v>10.0</v>
      </c>
      <c r="C47" s="8" t="str">
        <f t="array" ref="C47">IFERROR(INDEX(atlas!H:H,MATCH(A47,atlas!C:C,0)),"")</f>
        <v>ANEL</v>
      </c>
      <c r="D47" s="8" t="str">
        <f t="array" ref="D47">IFERROR(INDEX(atlas!D:D,MATCH(A47,atlas!C:C,0)),"")</f>
        <v>MISCELANEA</v>
      </c>
      <c r="E47" s="8" t="str">
        <f t="array" ref="E47">IFERROR(INDEX(atlas!F:F,MATCH(A47,atlas!C:C,0)),"")</f>
        <v>MISCELANEA</v>
      </c>
      <c r="F47" s="9" t="s">
        <v>67</v>
      </c>
      <c r="G47" s="10">
        <v>45644.30537037037</v>
      </c>
      <c r="H47" s="11" t="s">
        <v>19</v>
      </c>
      <c r="I47" s="12">
        <f t="array" ref="I47">IFERROR(INDEX(atlas!B:B,MATCH(A47,atlas!C:C,0)),"")</f>
        <v>22025321</v>
      </c>
      <c r="J47" s="8" t="str">
        <f>IFERROR(VLOOKUP(F47,tecnica!A:B,2,0),"")</f>
        <v>68</v>
      </c>
      <c r="K47" s="8" t="str">
        <f>IFERROR(VLOOKUP(J47,tecnica!B:C,2,0),"")</f>
        <v>ADS</v>
      </c>
      <c r="L47" s="13" t="s">
        <v>59</v>
      </c>
      <c r="M47" s="14" t="str">
        <f>IFERROR(VLOOKUP(I47,material!A:D,4,0),"")</f>
        <v>NAO CRITICO</v>
      </c>
      <c r="N47" s="14" t="str">
        <f t="shared" si="1"/>
        <v>DIGITEC FTZ</v>
      </c>
      <c r="O47" s="15" t="str">
        <f>IFERROR(VLOOKUP(I47,material!A:D,2,0),"")</f>
        <v>ANEL VEDACAO PLASTICA P PORTA F</v>
      </c>
    </row>
    <row r="48">
      <c r="A48" s="16" t="s">
        <v>72</v>
      </c>
      <c r="B48" s="7"/>
      <c r="C48" s="8" t="str">
        <f t="array" ref="C48">IFERROR(INDEX(atlas!H:H,MATCH(A48,atlas!C:C,0)),"")</f>
        <v>3.1</v>
      </c>
      <c r="D48" s="8" t="str">
        <f t="array" ref="D48">IFERROR(INDEX(atlas!D:D,MATCH(A48,atlas!C:C,0)),"")</f>
        <v>DIGITEC TECNOLOGIA DIGITAL E REPRES</v>
      </c>
      <c r="E48" s="8" t="str">
        <f t="array" ref="E48">IFERROR(INDEX(atlas!F:F,MATCH(A48,atlas!C:C,0)),"")</f>
        <v>SUSPEITO</v>
      </c>
      <c r="F48" s="9" t="s">
        <v>67</v>
      </c>
      <c r="G48" s="10">
        <v>45644.30537037037</v>
      </c>
      <c r="H48" s="11" t="s">
        <v>25</v>
      </c>
      <c r="I48" s="12">
        <f t="array" ref="I48">IFERROR(INDEX(atlas!B:B,MATCH(A48,atlas!C:C,0)),"")</f>
        <v>41001513</v>
      </c>
      <c r="J48" s="8" t="str">
        <f>IFERROR(VLOOKUP(F48,tecnica!A:B,2,0),"")</f>
        <v>68</v>
      </c>
      <c r="K48" s="8" t="str">
        <f>IFERROR(VLOOKUP(J48,tecnica!B:C,2,0),"")</f>
        <v>ADS</v>
      </c>
      <c r="L48" s="13" t="s">
        <v>59</v>
      </c>
      <c r="M48" s="14" t="str">
        <f>IFERROR(VLOOKUP(I48,material!A:D,4,0),"")</f>
        <v>EQUIPAMENTO</v>
      </c>
      <c r="N48" s="14" t="str">
        <f t="shared" si="1"/>
        <v>DIGITEC FTZ</v>
      </c>
      <c r="O48" s="15" t="str">
        <f>IFERROR(VLOOKUP(I48,material!A:D,2,0),"")</f>
        <v>MODEM VOIP EMTA WIFI 3.1 TC3102 32X8</v>
      </c>
    </row>
    <row r="49">
      <c r="A49" s="16" t="s">
        <v>73</v>
      </c>
      <c r="B49" s="7"/>
      <c r="C49" s="8" t="str">
        <f t="array" ref="C49">IFERROR(INDEX(atlas!H:H,MATCH(A49,atlas!C:C,0)),"")</f>
        <v>3.1</v>
      </c>
      <c r="D49" s="8" t="str">
        <f t="array" ref="D49">IFERROR(INDEX(atlas!D:D,MATCH(A49,atlas!C:C,0)),"")</f>
        <v>DIGITEC TECNOLOGIA DIGITAL E REPRES</v>
      </c>
      <c r="E49" s="8" t="str">
        <f t="array" ref="E49">IFERROR(INDEX(atlas!F:F,MATCH(A49,atlas!C:C,0)),"")</f>
        <v>SUSPEITO</v>
      </c>
      <c r="F49" s="9" t="s">
        <v>67</v>
      </c>
      <c r="G49" s="10">
        <v>45644.30537037037</v>
      </c>
      <c r="H49" s="11" t="s">
        <v>25</v>
      </c>
      <c r="I49" s="12">
        <f t="array" ref="I49">IFERROR(INDEX(atlas!B:B,MATCH(A49,atlas!C:C,0)),"")</f>
        <v>41001481</v>
      </c>
      <c r="J49" s="8" t="str">
        <f>IFERROR(VLOOKUP(F49,tecnica!A:B,2,0),"")</f>
        <v>68</v>
      </c>
      <c r="K49" s="8" t="str">
        <f>IFERROR(VLOOKUP(J49,tecnica!B:C,2,0),"")</f>
        <v>ADS</v>
      </c>
      <c r="L49" s="13" t="s">
        <v>59</v>
      </c>
      <c r="M49" s="14" t="str">
        <f>IFERROR(VLOOKUP(I49,material!A:D,4,0),"")</f>
        <v>EQUIPAMENTO</v>
      </c>
      <c r="N49" s="14" t="str">
        <f t="shared" si="1"/>
        <v>DIGITEC FTZ</v>
      </c>
      <c r="O49" s="15" t="str">
        <f>IFERROR(VLOOKUP(I49,material!A:D,2,0),"")</f>
        <v>MODEM VOIP EMTA WIFI 3.1 HGJ310</v>
      </c>
    </row>
    <row r="50">
      <c r="A50" s="16" t="s">
        <v>74</v>
      </c>
      <c r="B50" s="7"/>
      <c r="C50" s="8" t="str">
        <f t="array" ref="C50">IFERROR(INDEX(atlas!H:H,MATCH(A50,atlas!C:C,0)),"")</f>
        <v>3.1</v>
      </c>
      <c r="D50" s="8" t="str">
        <f t="array" ref="D50">IFERROR(INDEX(atlas!D:D,MATCH(A50,atlas!C:C,0)),"")</f>
        <v>DIGITEC TECNOLOGIA DIGITAL E REPRES</v>
      </c>
      <c r="E50" s="8" t="str">
        <f t="array" ref="E50">IFERROR(INDEX(atlas!F:F,MATCH(A50,atlas!C:C,0)),"")</f>
        <v>INICIALIZADO</v>
      </c>
      <c r="F50" s="9" t="s">
        <v>67</v>
      </c>
      <c r="G50" s="10">
        <v>45644.30537037037</v>
      </c>
      <c r="H50" s="11" t="s">
        <v>19</v>
      </c>
      <c r="I50" s="12">
        <f t="array" ref="I50">IFERROR(INDEX(atlas!B:B,MATCH(A50,atlas!C:C,0)),"")</f>
        <v>41001520</v>
      </c>
      <c r="J50" s="8" t="str">
        <f>IFERROR(VLOOKUP(F50,tecnica!A:B,2,0),"")</f>
        <v>68</v>
      </c>
      <c r="K50" s="8" t="str">
        <f>IFERROR(VLOOKUP(J50,tecnica!B:C,2,0),"")</f>
        <v>ADS</v>
      </c>
      <c r="L50" s="13" t="s">
        <v>20</v>
      </c>
      <c r="M50" s="14" t="str">
        <f>IFERROR(VLOOKUP(I50,material!A:D,4,0),"")</f>
        <v>EQUIPAMENTO</v>
      </c>
      <c r="N50" s="14" t="str">
        <f t="shared" si="1"/>
        <v>DIGITEC FTZ</v>
      </c>
      <c r="O50" s="15" t="str">
        <f>IFERROR(VLOOKUP(I50,material!A:D,2,0),"")</f>
        <v>TERMINAL DOCSIS 3.1 32X8 EMTA WIF TG3442</v>
      </c>
    </row>
    <row r="51">
      <c r="A51" s="16" t="s">
        <v>75</v>
      </c>
      <c r="B51" s="7"/>
      <c r="C51" s="8" t="str">
        <f t="array" ref="C51">IFERROR(INDEX(atlas!H:H,MATCH(A51,atlas!C:C,0)),"")</f>
        <v>WIFI 6</v>
      </c>
      <c r="D51" s="8" t="str">
        <f t="array" ref="D51">IFERROR(INDEX(atlas!D:D,MATCH(A51,atlas!C:C,0)),"")</f>
        <v>DIGITEC TECNOLOGIA DIGITAL E REPRES</v>
      </c>
      <c r="E51" s="8" t="str">
        <f t="array" ref="E51">IFERROR(INDEX(atlas!F:F,MATCH(A51,atlas!C:C,0)),"")</f>
        <v>INICIALIZADO</v>
      </c>
      <c r="F51" s="9" t="s">
        <v>67</v>
      </c>
      <c r="G51" s="10">
        <v>45644.30537037037</v>
      </c>
      <c r="H51" s="11" t="s">
        <v>19</v>
      </c>
      <c r="I51" s="12">
        <f t="array" ref="I51">IFERROR(INDEX(atlas!B:B,MATCH(A51,atlas!C:C,0)),"")</f>
        <v>41001552</v>
      </c>
      <c r="J51" s="8" t="str">
        <f>IFERROR(VLOOKUP(F51,tecnica!A:B,2,0),"")</f>
        <v>68</v>
      </c>
      <c r="K51" s="8" t="str">
        <f>IFERROR(VLOOKUP(J51,tecnica!B:C,2,0),"")</f>
        <v>ADS</v>
      </c>
      <c r="L51" s="13" t="s">
        <v>20</v>
      </c>
      <c r="M51" s="14" t="str">
        <f>IFERROR(VLOOKUP(I51,material!A:D,4,0),"")</f>
        <v>EQUIPAMENTO</v>
      </c>
      <c r="N51" s="14" t="str">
        <f t="shared" si="1"/>
        <v>DIGITEC FTZ</v>
      </c>
      <c r="O51" s="15" t="str">
        <f>IFERROR(VLOOKUP(I51,material!A:D,2,0),"")</f>
        <v>TERMINAL DOCSIS 3.1 EMTA WIFI6 F@ST3896</v>
      </c>
    </row>
    <row r="52">
      <c r="A52" s="16" t="s">
        <v>76</v>
      </c>
      <c r="B52" s="7"/>
      <c r="C52" s="8" t="str">
        <f t="array" ref="C52">IFERROR(INDEX(atlas!H:H,MATCH(A52,atlas!C:C,0)),"")</f>
        <v>3.1</v>
      </c>
      <c r="D52" s="8" t="str">
        <f t="array" ref="D52">IFERROR(INDEX(atlas!D:D,MATCH(A52,atlas!C:C,0)),"")</f>
        <v>DIGITEC TECNOLOGIA DIGITAL E REPRES</v>
      </c>
      <c r="E52" s="8" t="str">
        <f t="array" ref="E52">IFERROR(INDEX(atlas!F:F,MATCH(A52,atlas!C:C,0)),"")</f>
        <v>INICIALIZADO</v>
      </c>
      <c r="F52" s="9" t="s">
        <v>67</v>
      </c>
      <c r="G52" s="10">
        <v>45644.30537037037</v>
      </c>
      <c r="H52" s="11" t="s">
        <v>19</v>
      </c>
      <c r="I52" s="12">
        <f t="array" ref="I52">IFERROR(INDEX(atlas!B:B,MATCH(A52,atlas!C:C,0)),"")</f>
        <v>41001486</v>
      </c>
      <c r="J52" s="8" t="str">
        <f>IFERROR(VLOOKUP(F52,tecnica!A:B,2,0),"")</f>
        <v>68</v>
      </c>
      <c r="K52" s="8" t="str">
        <f>IFERROR(VLOOKUP(J52,tecnica!B:C,2,0),"")</f>
        <v>ADS</v>
      </c>
      <c r="L52" s="13" t="s">
        <v>20</v>
      </c>
      <c r="M52" s="14" t="str">
        <f>IFERROR(VLOOKUP(I52,material!A:D,4,0),"")</f>
        <v>EQUIPAMENTO</v>
      </c>
      <c r="N52" s="14" t="str">
        <f t="shared" si="1"/>
        <v>DIGITEC FTZ</v>
      </c>
      <c r="O52" s="15" t="str">
        <f>IFERROR(VLOOKUP(I52,material!A:D,2,0),"")</f>
        <v>MODEM VOIP EMTA WIFI 3.1 CG3000</v>
      </c>
    </row>
    <row r="53">
      <c r="A53" s="16" t="s">
        <v>77</v>
      </c>
      <c r="B53" s="7"/>
      <c r="C53" s="8" t="str">
        <f t="array" ref="C53">IFERROR(INDEX(atlas!H:H,MATCH(A53,atlas!C:C,0)),"")</f>
        <v>3.1</v>
      </c>
      <c r="D53" s="8" t="str">
        <f t="array" ref="D53">IFERROR(INDEX(atlas!D:D,MATCH(A53,atlas!C:C,0)),"")</f>
        <v>DIGITEC TECNOLOGIA DIGITAL E REPRES</v>
      </c>
      <c r="E53" s="8" t="str">
        <f t="array" ref="E53">IFERROR(INDEX(atlas!F:F,MATCH(A53,atlas!C:C,0)),"")</f>
        <v>INICIALIZADO</v>
      </c>
      <c r="F53" s="9" t="s">
        <v>67</v>
      </c>
      <c r="G53" s="10">
        <v>45644.30537037037</v>
      </c>
      <c r="H53" s="11" t="s">
        <v>19</v>
      </c>
      <c r="I53" s="12">
        <f t="array" ref="I53">IFERROR(INDEX(atlas!B:B,MATCH(A53,atlas!C:C,0)),"")</f>
        <v>41001486</v>
      </c>
      <c r="J53" s="8" t="str">
        <f>IFERROR(VLOOKUP(F53,tecnica!A:B,2,0),"")</f>
        <v>68</v>
      </c>
      <c r="K53" s="8" t="str">
        <f>IFERROR(VLOOKUP(J53,tecnica!B:C,2,0),"")</f>
        <v>ADS</v>
      </c>
      <c r="L53" s="13" t="s">
        <v>20</v>
      </c>
      <c r="M53" s="14" t="str">
        <f>IFERROR(VLOOKUP(I53,material!A:D,4,0),"")</f>
        <v>EQUIPAMENTO</v>
      </c>
      <c r="N53" s="14" t="str">
        <f t="shared" si="1"/>
        <v>DIGITEC FTZ</v>
      </c>
      <c r="O53" s="15" t="str">
        <f>IFERROR(VLOOKUP(I53,material!A:D,2,0),"")</f>
        <v>MODEM VOIP EMTA WIFI 3.1 CG3000</v>
      </c>
    </row>
    <row r="54">
      <c r="A54" s="16" t="s">
        <v>78</v>
      </c>
      <c r="B54" s="7"/>
      <c r="C54" s="8" t="str">
        <f t="array" ref="C54">IFERROR(INDEX(atlas!H:H,MATCH(A54,atlas!C:C,0)),"")</f>
        <v>3.1</v>
      </c>
      <c r="D54" s="8" t="str">
        <f t="array" ref="D54">IFERROR(INDEX(atlas!D:D,MATCH(A54,atlas!C:C,0)),"")</f>
        <v>DIGITEC TECNOLOGIA DIGITAL E REPRES</v>
      </c>
      <c r="E54" s="8" t="str">
        <f t="array" ref="E54">IFERROR(INDEX(atlas!F:F,MATCH(A54,atlas!C:C,0)),"")</f>
        <v>INICIALIZADO</v>
      </c>
      <c r="F54" s="9" t="s">
        <v>67</v>
      </c>
      <c r="G54" s="10">
        <v>45644.30537037037</v>
      </c>
      <c r="H54" s="11" t="s">
        <v>19</v>
      </c>
      <c r="I54" s="12">
        <f t="array" ref="I54">IFERROR(INDEX(atlas!B:B,MATCH(A54,atlas!C:C,0)),"")</f>
        <v>41001486</v>
      </c>
      <c r="J54" s="8" t="str">
        <f>IFERROR(VLOOKUP(F54,tecnica!A:B,2,0),"")</f>
        <v>68</v>
      </c>
      <c r="K54" s="8" t="str">
        <f>IFERROR(VLOOKUP(J54,tecnica!B:C,2,0),"")</f>
        <v>ADS</v>
      </c>
      <c r="L54" s="13" t="s">
        <v>20</v>
      </c>
      <c r="M54" s="14" t="str">
        <f>IFERROR(VLOOKUP(I54,material!A:D,4,0),"")</f>
        <v>EQUIPAMENTO</v>
      </c>
      <c r="N54" s="14" t="str">
        <f t="shared" si="1"/>
        <v>DIGITEC FTZ</v>
      </c>
      <c r="O54" s="15" t="str">
        <f>IFERROR(VLOOKUP(I54,material!A:D,2,0),"")</f>
        <v>MODEM VOIP EMTA WIFI 3.1 CG3000</v>
      </c>
    </row>
    <row r="55">
      <c r="A55" s="16" t="s">
        <v>79</v>
      </c>
      <c r="B55" s="7"/>
      <c r="C55" s="8" t="str">
        <f t="array" ref="C55">IFERROR(INDEX(atlas!H:H,MATCH(A55,atlas!C:C,0)),"")</f>
        <v>3.1</v>
      </c>
      <c r="D55" s="8" t="str">
        <f t="array" ref="D55">IFERROR(INDEX(atlas!D:D,MATCH(A55,atlas!C:C,0)),"")</f>
        <v>DIGITEC TECNOLOGIA DIGITAL E REPRES</v>
      </c>
      <c r="E55" s="8" t="str">
        <f t="array" ref="E55">IFERROR(INDEX(atlas!F:F,MATCH(A55,atlas!C:C,0)),"")</f>
        <v>INICIALIZADO</v>
      </c>
      <c r="F55" s="9" t="s">
        <v>67</v>
      </c>
      <c r="G55" s="10">
        <v>45644.30537037037</v>
      </c>
      <c r="H55" s="11" t="s">
        <v>19</v>
      </c>
      <c r="I55" s="12">
        <f t="array" ref="I55">IFERROR(INDEX(atlas!B:B,MATCH(A55,atlas!C:C,0)),"")</f>
        <v>41001486</v>
      </c>
      <c r="J55" s="8" t="str">
        <f>IFERROR(VLOOKUP(F55,tecnica!A:B,2,0),"")</f>
        <v>68</v>
      </c>
      <c r="K55" s="8" t="str">
        <f>IFERROR(VLOOKUP(J55,tecnica!B:C,2,0),"")</f>
        <v>ADS</v>
      </c>
      <c r="L55" s="13" t="s">
        <v>20</v>
      </c>
      <c r="M55" s="14" t="str">
        <f>IFERROR(VLOOKUP(I55,material!A:D,4,0),"")</f>
        <v>EQUIPAMENTO</v>
      </c>
      <c r="N55" s="14" t="str">
        <f t="shared" si="1"/>
        <v>DIGITEC FTZ</v>
      </c>
      <c r="O55" s="15" t="str">
        <f>IFERROR(VLOOKUP(I55,material!A:D,2,0),"")</f>
        <v>MODEM VOIP EMTA WIFI 3.1 CG3000</v>
      </c>
    </row>
    <row r="56">
      <c r="A56" s="16" t="s">
        <v>80</v>
      </c>
      <c r="B56" s="7"/>
      <c r="C56" s="8" t="str">
        <f t="array" ref="C56">IFERROR(INDEX(atlas!H:H,MATCH(A56,atlas!C:C,0)),"")</f>
        <v>3.1</v>
      </c>
      <c r="D56" s="8" t="str">
        <f t="array" ref="D56">IFERROR(INDEX(atlas!D:D,MATCH(A56,atlas!C:C,0)),"")</f>
        <v>DIGITEC TECNOLOGIA DIGITAL E REPRES</v>
      </c>
      <c r="E56" s="8" t="str">
        <f t="array" ref="E56">IFERROR(INDEX(atlas!F:F,MATCH(A56,atlas!C:C,0)),"")</f>
        <v>INICIALIZADO</v>
      </c>
      <c r="F56" s="9" t="s">
        <v>67</v>
      </c>
      <c r="G56" s="10">
        <v>45644.30537037037</v>
      </c>
      <c r="H56" s="11" t="s">
        <v>19</v>
      </c>
      <c r="I56" s="12">
        <f t="array" ref="I56">IFERROR(INDEX(atlas!B:B,MATCH(A56,atlas!C:C,0)),"")</f>
        <v>41001486</v>
      </c>
      <c r="J56" s="8" t="str">
        <f>IFERROR(VLOOKUP(F56,tecnica!A:B,2,0),"")</f>
        <v>68</v>
      </c>
      <c r="K56" s="8" t="str">
        <f>IFERROR(VLOOKUP(J56,tecnica!B:C,2,0),"")</f>
        <v>ADS</v>
      </c>
      <c r="L56" s="13" t="s">
        <v>20</v>
      </c>
      <c r="M56" s="14" t="str">
        <f>IFERROR(VLOOKUP(I56,material!A:D,4,0),"")</f>
        <v>EQUIPAMENTO</v>
      </c>
      <c r="N56" s="14" t="str">
        <f t="shared" si="1"/>
        <v>DIGITEC FTZ</v>
      </c>
      <c r="O56" s="15" t="str">
        <f>IFERROR(VLOOKUP(I56,material!A:D,2,0),"")</f>
        <v>MODEM VOIP EMTA WIFI 3.1 CG3000</v>
      </c>
    </row>
    <row r="57">
      <c r="A57" s="16" t="s">
        <v>81</v>
      </c>
      <c r="B57" s="7"/>
      <c r="C57" s="8" t="str">
        <f t="array" ref="C57">IFERROR(INDEX(atlas!H:H,MATCH(A57,atlas!C:C,0)),"")</f>
        <v>3.1</v>
      </c>
      <c r="D57" s="8" t="str">
        <f t="array" ref="D57">IFERROR(INDEX(atlas!D:D,MATCH(A57,atlas!C:C,0)),"")</f>
        <v>DIGITEC TECNOLOGIA DIGITAL E REPRES</v>
      </c>
      <c r="E57" s="8" t="str">
        <f t="array" ref="E57">IFERROR(INDEX(atlas!F:F,MATCH(A57,atlas!C:C,0)),"")</f>
        <v>INICIALIZADO</v>
      </c>
      <c r="F57" s="9" t="s">
        <v>67</v>
      </c>
      <c r="G57" s="10">
        <v>45644.30537037037</v>
      </c>
      <c r="H57" s="11" t="s">
        <v>19</v>
      </c>
      <c r="I57" s="12">
        <f t="array" ref="I57">IFERROR(INDEX(atlas!B:B,MATCH(A57,atlas!C:C,0)),"")</f>
        <v>41001486</v>
      </c>
      <c r="J57" s="8" t="str">
        <f>IFERROR(VLOOKUP(F57,tecnica!A:B,2,0),"")</f>
        <v>68</v>
      </c>
      <c r="K57" s="8" t="str">
        <f>IFERROR(VLOOKUP(J57,tecnica!B:C,2,0),"")</f>
        <v>ADS</v>
      </c>
      <c r="L57" s="13" t="s">
        <v>20</v>
      </c>
      <c r="M57" s="14" t="str">
        <f>IFERROR(VLOOKUP(I57,material!A:D,4,0),"")</f>
        <v>EQUIPAMENTO</v>
      </c>
      <c r="N57" s="14" t="str">
        <f t="shared" si="1"/>
        <v>DIGITEC FTZ</v>
      </c>
      <c r="O57" s="15" t="str">
        <f>IFERROR(VLOOKUP(I57,material!A:D,2,0),"")</f>
        <v>MODEM VOIP EMTA WIFI 3.1 CG3000</v>
      </c>
    </row>
    <row r="58">
      <c r="A58" s="16" t="s">
        <v>82</v>
      </c>
      <c r="B58" s="7"/>
      <c r="C58" s="8" t="str">
        <f t="array" ref="C58">IFERROR(INDEX(atlas!H:H,MATCH(A58,atlas!C:C,0)),"")</f>
        <v>3.1</v>
      </c>
      <c r="D58" s="8" t="str">
        <f t="array" ref="D58">IFERROR(INDEX(atlas!D:D,MATCH(A58,atlas!C:C,0)),"")</f>
        <v>DIGITEC TECNOLOGIA DIGITAL E REPRES</v>
      </c>
      <c r="E58" s="8" t="str">
        <f t="array" ref="E58">IFERROR(INDEX(atlas!F:F,MATCH(A58,atlas!C:C,0)),"")</f>
        <v>INICIALIZADO</v>
      </c>
      <c r="F58" s="9" t="s">
        <v>67</v>
      </c>
      <c r="G58" s="10">
        <v>45644.30537037037</v>
      </c>
      <c r="H58" s="11" t="s">
        <v>19</v>
      </c>
      <c r="I58" s="12">
        <f t="array" ref="I58">IFERROR(INDEX(atlas!B:B,MATCH(A58,atlas!C:C,0)),"")</f>
        <v>41001486</v>
      </c>
      <c r="J58" s="8" t="str">
        <f>IFERROR(VLOOKUP(F58,tecnica!A:B,2,0),"")</f>
        <v>68</v>
      </c>
      <c r="K58" s="8" t="str">
        <f>IFERROR(VLOOKUP(J58,tecnica!B:C,2,0),"")</f>
        <v>ADS</v>
      </c>
      <c r="L58" s="13" t="s">
        <v>20</v>
      </c>
      <c r="M58" s="14" t="str">
        <f>IFERROR(VLOOKUP(I58,material!A:D,4,0),"")</f>
        <v>EQUIPAMENTO</v>
      </c>
      <c r="N58" s="14" t="str">
        <f t="shared" si="1"/>
        <v>DIGITEC FTZ</v>
      </c>
      <c r="O58" s="15" t="str">
        <f>IFERROR(VLOOKUP(I58,material!A:D,2,0),"")</f>
        <v>MODEM VOIP EMTA WIFI 3.1 CG3000</v>
      </c>
    </row>
    <row r="59">
      <c r="A59" s="16" t="s">
        <v>83</v>
      </c>
      <c r="B59" s="7"/>
      <c r="C59" s="8" t="str">
        <f t="array" ref="C59">IFERROR(INDEX(atlas!H:H,MATCH(A59,atlas!C:C,0)),"")</f>
        <v>3.1</v>
      </c>
      <c r="D59" s="8" t="str">
        <f t="array" ref="D59">IFERROR(INDEX(atlas!D:D,MATCH(A59,atlas!C:C,0)),"")</f>
        <v>DIGITEC TECNOLOGIA DIGITAL E REPRES</v>
      </c>
      <c r="E59" s="8" t="str">
        <f t="array" ref="E59">IFERROR(INDEX(atlas!F:F,MATCH(A59,atlas!C:C,0)),"")</f>
        <v>INICIALIZADO</v>
      </c>
      <c r="F59" s="9" t="s">
        <v>67</v>
      </c>
      <c r="G59" s="10">
        <v>45644.30537037037</v>
      </c>
      <c r="H59" s="11" t="s">
        <v>19</v>
      </c>
      <c r="I59" s="12">
        <f t="array" ref="I59">IFERROR(INDEX(atlas!B:B,MATCH(A59,atlas!C:C,0)),"")</f>
        <v>41001486</v>
      </c>
      <c r="J59" s="8" t="str">
        <f>IFERROR(VLOOKUP(F59,tecnica!A:B,2,0),"")</f>
        <v>68</v>
      </c>
      <c r="K59" s="8" t="str">
        <f>IFERROR(VLOOKUP(J59,tecnica!B:C,2,0),"")</f>
        <v>ADS</v>
      </c>
      <c r="L59" s="13" t="s">
        <v>20</v>
      </c>
      <c r="M59" s="14" t="str">
        <f>IFERROR(VLOOKUP(I59,material!A:D,4,0),"")</f>
        <v>EQUIPAMENTO</v>
      </c>
      <c r="N59" s="14" t="str">
        <f t="shared" si="1"/>
        <v>DIGITEC FTZ</v>
      </c>
      <c r="O59" s="15" t="str">
        <f>IFERROR(VLOOKUP(I59,material!A:D,2,0),"")</f>
        <v>MODEM VOIP EMTA WIFI 3.1 CG3000</v>
      </c>
    </row>
    <row r="60">
      <c r="A60" s="16" t="s">
        <v>84</v>
      </c>
      <c r="B60" s="7"/>
      <c r="C60" s="8" t="str">
        <f t="array" ref="C60">IFERROR(INDEX(atlas!H:H,MATCH(A60,atlas!C:C,0)),"")</f>
        <v>BOX</v>
      </c>
      <c r="D60" s="8" t="str">
        <f t="array" ref="D60">IFERROR(INDEX(atlas!D:D,MATCH(A60,atlas!C:C,0)),"")</f>
        <v>DIGITEC TECNOLOGIA DIGITAL E REPRES</v>
      </c>
      <c r="E60" s="8" t="str">
        <f t="array" ref="E60">IFERROR(INDEX(atlas!F:F,MATCH(A60,atlas!C:C,0)),"")</f>
        <v>INICIALIZADO</v>
      </c>
      <c r="F60" s="9" t="s">
        <v>67</v>
      </c>
      <c r="G60" s="10">
        <v>45644.30537037037</v>
      </c>
      <c r="H60" s="11" t="s">
        <v>19</v>
      </c>
      <c r="I60" s="12">
        <f t="array" ref="I60">IFERROR(INDEX(atlas!B:B,MATCH(A60,atlas!C:C,0)),"")</f>
        <v>41001483</v>
      </c>
      <c r="J60" s="8" t="str">
        <f>IFERROR(VLOOKUP(F60,tecnica!A:B,2,0),"")</f>
        <v>68</v>
      </c>
      <c r="K60" s="8" t="str">
        <f>IFERROR(VLOOKUP(J60,tecnica!B:C,2,0),"")</f>
        <v>ADS</v>
      </c>
      <c r="L60" s="13" t="s">
        <v>20</v>
      </c>
      <c r="M60" s="14" t="str">
        <f>IFERROR(VLOOKUP(I60,material!A:D,4,0),"")</f>
        <v>EQUIPAMENTO</v>
      </c>
      <c r="N60" s="14" t="str">
        <f t="shared" si="1"/>
        <v>DIGITEC FTZ</v>
      </c>
      <c r="O60" s="15" t="str">
        <f>IFERROR(VLOOKUP(I60,material!A:D,2,0),"")</f>
        <v>DECODER IP 4K ULTRA HD ZAPPER S4KW2 DDR3</v>
      </c>
    </row>
    <row r="61">
      <c r="A61" s="16" t="s">
        <v>85</v>
      </c>
      <c r="B61" s="7"/>
      <c r="C61" s="8" t="str">
        <f t="array" ref="C61">IFERROR(INDEX(atlas!H:H,MATCH(A61,atlas!C:C,0)),"")</f>
        <v>ONT</v>
      </c>
      <c r="D61" s="8" t="str">
        <f t="array" ref="D61">IFERROR(INDEX(atlas!D:D,MATCH(A61,atlas!C:C,0)),"")</f>
        <v>DIGITEC TECNOLOGIA DIGITAL E REPRES</v>
      </c>
      <c r="E61" s="8" t="str">
        <f t="array" ref="E61">IFERROR(INDEX(atlas!F:F,MATCH(A61,atlas!C:C,0)),"")</f>
        <v>INICIALIZADO</v>
      </c>
      <c r="F61" s="9" t="s">
        <v>67</v>
      </c>
      <c r="G61" s="10">
        <v>45644.30537037037</v>
      </c>
      <c r="H61" s="11" t="s">
        <v>19</v>
      </c>
      <c r="I61" s="12">
        <f t="array" ref="I61">IFERROR(INDEX(atlas!B:B,MATCH(A61,atlas!C:C,0)),"")</f>
        <v>41001535</v>
      </c>
      <c r="J61" s="8" t="str">
        <f>IFERROR(VLOOKUP(F61,tecnica!A:B,2,0),"")</f>
        <v>68</v>
      </c>
      <c r="K61" s="8" t="str">
        <f>IFERROR(VLOOKUP(J61,tecnica!B:C,2,0),"")</f>
        <v>ADS</v>
      </c>
      <c r="L61" s="13" t="s">
        <v>20</v>
      </c>
      <c r="M61" s="14" t="str">
        <f>IFERROR(VLOOKUP(I61,material!A:D,4,0),"")</f>
        <v>EQUIPAMENTO</v>
      </c>
      <c r="N61" s="14" t="str">
        <f t="shared" si="1"/>
        <v>DIGITEC FTZ</v>
      </c>
      <c r="O61" s="15" t="str">
        <f>IFERROR(VLOOKUP(I61,material!A:D,2,0),"")</f>
        <v>TERMINAL GPON WIFI TCG2232</v>
      </c>
    </row>
    <row r="62">
      <c r="A62" s="16" t="s">
        <v>86</v>
      </c>
      <c r="B62" s="7"/>
      <c r="C62" s="8" t="str">
        <f t="array" ref="C62">IFERROR(INDEX(atlas!H:H,MATCH(A62,atlas!C:C,0)),"")</f>
        <v>GPON 6</v>
      </c>
      <c r="D62" s="8" t="str">
        <f t="array" ref="D62">IFERROR(INDEX(atlas!D:D,MATCH(A62,atlas!C:C,0)),"")</f>
        <v>DIGITEC TECNOLOGIA DIGITAL E REPRES</v>
      </c>
      <c r="E62" s="8" t="str">
        <f t="array" ref="E62">IFERROR(INDEX(atlas!F:F,MATCH(A62,atlas!C:C,0)),"")</f>
        <v>INICIALIZADO</v>
      </c>
      <c r="F62" s="9" t="s">
        <v>67</v>
      </c>
      <c r="G62" s="10">
        <v>45644.30537037037</v>
      </c>
      <c r="H62" s="11" t="s">
        <v>19</v>
      </c>
      <c r="I62" s="12">
        <f t="array" ref="I62">IFERROR(INDEX(atlas!B:B,MATCH(A62,atlas!C:C,0)),"")</f>
        <v>41001560</v>
      </c>
      <c r="J62" s="8" t="str">
        <f>IFERROR(VLOOKUP(F62,tecnica!A:B,2,0),"")</f>
        <v>68</v>
      </c>
      <c r="K62" s="8" t="str">
        <f>IFERROR(VLOOKUP(J62,tecnica!B:C,2,0),"")</f>
        <v>ADS</v>
      </c>
      <c r="L62" s="13" t="s">
        <v>20</v>
      </c>
      <c r="M62" s="14" t="str">
        <f>IFERROR(VLOOKUP(I62,material!A:D,4,0),"")</f>
        <v>EQUIPAMENTO</v>
      </c>
      <c r="N62" s="14" t="str">
        <f t="shared" si="1"/>
        <v>DIGITEC FTZ</v>
      </c>
      <c r="O62" s="15" t="str">
        <f>IFERROR(VLOOKUP(I62,material!A:D,2,0),"")</f>
        <v>TERMINAL GPON ONT WIFI F6645P</v>
      </c>
    </row>
    <row r="63">
      <c r="A63" s="16" t="s">
        <v>87</v>
      </c>
      <c r="B63" s="7"/>
      <c r="C63" s="8" t="str">
        <f t="array" ref="C63">IFERROR(INDEX(atlas!H:H,MATCH(A63,atlas!C:C,0)),"")</f>
        <v>ONT</v>
      </c>
      <c r="D63" s="8" t="str">
        <f t="array" ref="D63">IFERROR(INDEX(atlas!D:D,MATCH(A63,atlas!C:C,0)),"")</f>
        <v>DIGITEC TECNOLOGIA DIGITAL E REPRES</v>
      </c>
      <c r="E63" s="8" t="str">
        <f t="array" ref="E63">IFERROR(INDEX(atlas!F:F,MATCH(A63,atlas!C:C,0)),"")</f>
        <v>INICIALIZADO</v>
      </c>
      <c r="F63" s="9" t="s">
        <v>67</v>
      </c>
      <c r="G63" s="10">
        <v>45644.30537037037</v>
      </c>
      <c r="H63" s="11" t="s">
        <v>19</v>
      </c>
      <c r="I63" s="12">
        <f t="array" ref="I63">IFERROR(INDEX(atlas!B:B,MATCH(A63,atlas!C:C,0)),"")</f>
        <v>41001535</v>
      </c>
      <c r="J63" s="8" t="str">
        <f>IFERROR(VLOOKUP(F63,tecnica!A:B,2,0),"")</f>
        <v>68</v>
      </c>
      <c r="K63" s="8" t="str">
        <f>IFERROR(VLOOKUP(J63,tecnica!B:C,2,0),"")</f>
        <v>ADS</v>
      </c>
      <c r="L63" s="13" t="s">
        <v>20</v>
      </c>
      <c r="M63" s="14" t="str">
        <f>IFERROR(VLOOKUP(I63,material!A:D,4,0),"")</f>
        <v>EQUIPAMENTO</v>
      </c>
      <c r="N63" s="14" t="str">
        <f t="shared" si="1"/>
        <v>DIGITEC FTZ</v>
      </c>
      <c r="O63" s="15" t="str">
        <f>IFERROR(VLOOKUP(I63,material!A:D,2,0),"")</f>
        <v>TERMINAL GPON WIFI TCG2232</v>
      </c>
    </row>
    <row r="64">
      <c r="A64" s="16" t="s">
        <v>88</v>
      </c>
      <c r="B64" s="7"/>
      <c r="C64" s="8" t="str">
        <f t="array" ref="C64">IFERROR(INDEX(atlas!H:H,MATCH(A64,atlas!C:C,0)),"")</f>
        <v>ONT</v>
      </c>
      <c r="D64" s="8" t="str">
        <f t="array" ref="D64">IFERROR(INDEX(atlas!D:D,MATCH(A64,atlas!C:C,0)),"")</f>
        <v>DIGITEC TECNOLOGIA DIGITAL E REPRES</v>
      </c>
      <c r="E64" s="8" t="str">
        <f t="array" ref="E64">IFERROR(INDEX(atlas!F:F,MATCH(A64,atlas!C:C,0)),"")</f>
        <v>INICIALIZADO</v>
      </c>
      <c r="F64" s="9" t="s">
        <v>67</v>
      </c>
      <c r="G64" s="10">
        <v>45644.30537037037</v>
      </c>
      <c r="H64" s="11" t="s">
        <v>19</v>
      </c>
      <c r="I64" s="12">
        <f t="array" ref="I64">IFERROR(INDEX(atlas!B:B,MATCH(A64,atlas!C:C,0)),"")</f>
        <v>41001535</v>
      </c>
      <c r="J64" s="8" t="str">
        <f>IFERROR(VLOOKUP(F64,tecnica!A:B,2,0),"")</f>
        <v>68</v>
      </c>
      <c r="K64" s="8" t="str">
        <f>IFERROR(VLOOKUP(J64,tecnica!B:C,2,0),"")</f>
        <v>ADS</v>
      </c>
      <c r="L64" s="13" t="s">
        <v>20</v>
      </c>
      <c r="M64" s="14" t="str">
        <f>IFERROR(VLOOKUP(I64,material!A:D,4,0),"")</f>
        <v>EQUIPAMENTO</v>
      </c>
      <c r="N64" s="14" t="str">
        <f t="shared" si="1"/>
        <v>DIGITEC FTZ</v>
      </c>
      <c r="O64" s="15" t="str">
        <f>IFERROR(VLOOKUP(I64,material!A:D,2,0),"")</f>
        <v>TERMINAL GPON WIFI TCG2232</v>
      </c>
    </row>
    <row r="65">
      <c r="A65" s="16" t="s">
        <v>89</v>
      </c>
      <c r="B65" s="7"/>
      <c r="C65" s="8" t="str">
        <f t="array" ref="C65">IFERROR(INDEX(atlas!H:H,MATCH(A65,atlas!C:C,0)),"")</f>
        <v>WIFI 6</v>
      </c>
      <c r="D65" s="8" t="str">
        <f t="array" ref="D65">IFERROR(INDEX(atlas!D:D,MATCH(A65,atlas!C:C,0)),"")</f>
        <v>DIGITEC TECNOLOGIA DIGITAL E REPRES</v>
      </c>
      <c r="E65" s="8" t="str">
        <f t="array" ref="E65">IFERROR(INDEX(atlas!F:F,MATCH(A65,atlas!C:C,0)),"")</f>
        <v>INICIALIZADO</v>
      </c>
      <c r="F65" s="9" t="s">
        <v>67</v>
      </c>
      <c r="G65" s="10">
        <v>45644.30537037037</v>
      </c>
      <c r="H65" s="11" t="s">
        <v>19</v>
      </c>
      <c r="I65" s="12">
        <f t="array" ref="I65">IFERROR(INDEX(atlas!B:B,MATCH(A65,atlas!C:C,0)),"")</f>
        <v>41001552</v>
      </c>
      <c r="J65" s="8" t="str">
        <f>IFERROR(VLOOKUP(F65,tecnica!A:B,2,0),"")</f>
        <v>68</v>
      </c>
      <c r="K65" s="8" t="str">
        <f>IFERROR(VLOOKUP(J65,tecnica!B:C,2,0),"")</f>
        <v>ADS</v>
      </c>
      <c r="L65" s="13" t="s">
        <v>20</v>
      </c>
      <c r="M65" s="14" t="str">
        <f>IFERROR(VLOOKUP(I65,material!A:D,4,0),"")</f>
        <v>EQUIPAMENTO</v>
      </c>
      <c r="N65" s="14" t="str">
        <f t="shared" si="1"/>
        <v>DIGITEC FTZ</v>
      </c>
      <c r="O65" s="15" t="str">
        <f>IFERROR(VLOOKUP(I65,material!A:D,2,0),"")</f>
        <v>TERMINAL DOCSIS 3.1 EMTA WIFI6 F@ST3896</v>
      </c>
    </row>
    <row r="66">
      <c r="A66" s="16" t="s">
        <v>90</v>
      </c>
      <c r="B66" s="7"/>
      <c r="C66" s="8" t="str">
        <f t="array" ref="C66">IFERROR(INDEX(atlas!H:H,MATCH(A66,atlas!C:C,0)),"")</f>
        <v>WIFI 6</v>
      </c>
      <c r="D66" s="8" t="str">
        <f t="array" ref="D66">IFERROR(INDEX(atlas!D:D,MATCH(A66,atlas!C:C,0)),"")</f>
        <v>DIGITEC TECNOLOGIA DIGITAL E REPRES</v>
      </c>
      <c r="E66" s="8" t="str">
        <f t="array" ref="E66">IFERROR(INDEX(atlas!F:F,MATCH(A66,atlas!C:C,0)),"")</f>
        <v>INICIALIZADO</v>
      </c>
      <c r="F66" s="9" t="s">
        <v>67</v>
      </c>
      <c r="G66" s="10">
        <v>45644.30537037037</v>
      </c>
      <c r="H66" s="11" t="s">
        <v>19</v>
      </c>
      <c r="I66" s="12">
        <f t="array" ref="I66">IFERROR(INDEX(atlas!B:B,MATCH(A66,atlas!C:C,0)),"")</f>
        <v>41001552</v>
      </c>
      <c r="J66" s="8" t="str">
        <f>IFERROR(VLOOKUP(F66,tecnica!A:B,2,0),"")</f>
        <v>68</v>
      </c>
      <c r="K66" s="8" t="str">
        <f>IFERROR(VLOOKUP(J66,tecnica!B:C,2,0),"")</f>
        <v>ADS</v>
      </c>
      <c r="L66" s="13" t="s">
        <v>20</v>
      </c>
      <c r="M66" s="14" t="str">
        <f>IFERROR(VLOOKUP(I66,material!A:D,4,0),"")</f>
        <v>EQUIPAMENTO</v>
      </c>
      <c r="N66" s="14" t="str">
        <f t="shared" si="1"/>
        <v>DIGITEC FTZ</v>
      </c>
      <c r="O66" s="15" t="str">
        <f>IFERROR(VLOOKUP(I66,material!A:D,2,0),"")</f>
        <v>TERMINAL DOCSIS 3.1 EMTA WIFI6 F@ST3896</v>
      </c>
    </row>
    <row r="67">
      <c r="A67" s="16" t="s">
        <v>91</v>
      </c>
      <c r="B67" s="7"/>
      <c r="C67" s="8" t="str">
        <f t="array" ref="C67">IFERROR(INDEX(atlas!H:H,MATCH(A67,atlas!C:C,0)),"")</f>
        <v>WIFI 6</v>
      </c>
      <c r="D67" s="8" t="str">
        <f t="array" ref="D67">IFERROR(INDEX(atlas!D:D,MATCH(A67,atlas!C:C,0)),"")</f>
        <v>DIGITEC TECNOLOGIA DIGITAL E REPRES</v>
      </c>
      <c r="E67" s="8" t="str">
        <f t="array" ref="E67">IFERROR(INDEX(atlas!F:F,MATCH(A67,atlas!C:C,0)),"")</f>
        <v>INICIALIZADO</v>
      </c>
      <c r="F67" s="9" t="s">
        <v>67</v>
      </c>
      <c r="G67" s="10">
        <v>45644.30537037037</v>
      </c>
      <c r="H67" s="11" t="s">
        <v>19</v>
      </c>
      <c r="I67" s="12">
        <f t="array" ref="I67">IFERROR(INDEX(atlas!B:B,MATCH(A67,atlas!C:C,0)),"")</f>
        <v>41001552</v>
      </c>
      <c r="J67" s="8" t="str">
        <f>IFERROR(VLOOKUP(F67,tecnica!A:B,2,0),"")</f>
        <v>68</v>
      </c>
      <c r="K67" s="8" t="str">
        <f>IFERROR(VLOOKUP(J67,tecnica!B:C,2,0),"")</f>
        <v>ADS</v>
      </c>
      <c r="L67" s="13" t="s">
        <v>20</v>
      </c>
      <c r="M67" s="14" t="str">
        <f>IFERROR(VLOOKUP(I67,material!A:D,4,0),"")</f>
        <v>EQUIPAMENTO</v>
      </c>
      <c r="N67" s="14" t="str">
        <f t="shared" si="1"/>
        <v>DIGITEC FTZ</v>
      </c>
      <c r="O67" s="15" t="str">
        <f>IFERROR(VLOOKUP(I67,material!A:D,2,0),"")</f>
        <v>TERMINAL DOCSIS 3.1 EMTA WIFI6 F@ST3896</v>
      </c>
    </row>
    <row r="68">
      <c r="A68" s="16" t="s">
        <v>92</v>
      </c>
      <c r="B68" s="7"/>
      <c r="C68" s="8" t="str">
        <f t="array" ref="C68">IFERROR(INDEX(atlas!H:H,MATCH(A68,atlas!C:C,0)),"")</f>
        <v>WIFI MESH</v>
      </c>
      <c r="D68" s="8" t="str">
        <f t="array" ref="D68">IFERROR(INDEX(atlas!D:D,MATCH(A68,atlas!C:C,0)),"")</f>
        <v>DIGITEC TECNOLOGIA DIGITAL E REPRES</v>
      </c>
      <c r="E68" s="8" t="str">
        <f t="array" ref="E68">IFERROR(INDEX(atlas!F:F,MATCH(A68,atlas!C:C,0)),"")</f>
        <v>INICIALIZADO</v>
      </c>
      <c r="F68" s="9" t="s">
        <v>67</v>
      </c>
      <c r="G68" s="10">
        <v>45644.30537037037</v>
      </c>
      <c r="H68" s="11" t="s">
        <v>19</v>
      </c>
      <c r="I68" s="12">
        <f t="array" ref="I68">IFERROR(INDEX(atlas!B:B,MATCH(A68,atlas!C:C,0)),"")</f>
        <v>41001567</v>
      </c>
      <c r="J68" s="8" t="str">
        <f>IFERROR(VLOOKUP(F68,tecnica!A:B,2,0),"")</f>
        <v>68</v>
      </c>
      <c r="K68" s="8" t="str">
        <f>IFERROR(VLOOKUP(J68,tecnica!B:C,2,0),"")</f>
        <v>ADS</v>
      </c>
      <c r="L68" s="13" t="s">
        <v>20</v>
      </c>
      <c r="M68" s="14" t="str">
        <f>IFERROR(VLOOKUP(I68,material!A:D,4,0),"")</f>
        <v>EQUIPAMENTO</v>
      </c>
      <c r="N68" s="14" t="str">
        <f t="shared" si="1"/>
        <v>DIGITEC FTZ</v>
      </c>
      <c r="O68" s="15" t="str">
        <f>IFERROR(VLOOKUP(I68,material!A:D,2,0),"")</f>
        <v>TERMINAL EXTENSOR WIFI5 MESH AR2180T</v>
      </c>
    </row>
    <row r="69">
      <c r="A69" s="16" t="s">
        <v>93</v>
      </c>
      <c r="B69" s="7"/>
      <c r="C69" s="8" t="str">
        <f t="array" ref="C69">IFERROR(INDEX(atlas!H:H,MATCH(A69,atlas!C:C,0)),"")</f>
        <v>WIFI MESH</v>
      </c>
      <c r="D69" s="8" t="str">
        <f t="array" ref="D69">IFERROR(INDEX(atlas!D:D,MATCH(A69,atlas!C:C,0)),"")</f>
        <v>DIGITEC TECNOLOGIA DIGITAL E REPRES</v>
      </c>
      <c r="E69" s="8" t="str">
        <f t="array" ref="E69">IFERROR(INDEX(atlas!F:F,MATCH(A69,atlas!C:C,0)),"")</f>
        <v>INICIALIZADO</v>
      </c>
      <c r="F69" s="9" t="s">
        <v>67</v>
      </c>
      <c r="G69" s="10">
        <v>45644.30537037037</v>
      </c>
      <c r="H69" s="11" t="s">
        <v>19</v>
      </c>
      <c r="I69" s="12">
        <f t="array" ref="I69">IFERROR(INDEX(atlas!B:B,MATCH(A69,atlas!C:C,0)),"")</f>
        <v>41001567</v>
      </c>
      <c r="J69" s="8" t="str">
        <f>IFERROR(VLOOKUP(F69,tecnica!A:B,2,0),"")</f>
        <v>68</v>
      </c>
      <c r="K69" s="8" t="str">
        <f>IFERROR(VLOOKUP(J69,tecnica!B:C,2,0),"")</f>
        <v>ADS</v>
      </c>
      <c r="L69" s="13" t="s">
        <v>20</v>
      </c>
      <c r="M69" s="14" t="str">
        <f>IFERROR(VLOOKUP(I69,material!A:D,4,0),"")</f>
        <v>EQUIPAMENTO</v>
      </c>
      <c r="N69" s="14" t="str">
        <f t="shared" si="1"/>
        <v>DIGITEC FTZ</v>
      </c>
      <c r="O69" s="15" t="str">
        <f>IFERROR(VLOOKUP(I69,material!A:D,2,0),"")</f>
        <v>TERMINAL EXTENSOR WIFI5 MESH AR2180T</v>
      </c>
    </row>
    <row r="70">
      <c r="A70" s="16" t="s">
        <v>94</v>
      </c>
      <c r="B70" s="7"/>
      <c r="C70" s="8" t="str">
        <f t="array" ref="C70">IFERROR(INDEX(atlas!H:H,MATCH(A70,atlas!C:C,0)),"")</f>
        <v>WIFI MESH</v>
      </c>
      <c r="D70" s="8" t="str">
        <f t="array" ref="D70">IFERROR(INDEX(atlas!D:D,MATCH(A70,atlas!C:C,0)),"")</f>
        <v>DIGITEC TECNOLOGIA DIGITAL E REPRES</v>
      </c>
      <c r="E70" s="8" t="str">
        <f t="array" ref="E70">IFERROR(INDEX(atlas!F:F,MATCH(A70,atlas!C:C,0)),"")</f>
        <v>INICIALIZADO</v>
      </c>
      <c r="F70" s="9" t="s">
        <v>67</v>
      </c>
      <c r="G70" s="10">
        <v>45644.30537037037</v>
      </c>
      <c r="H70" s="11" t="s">
        <v>19</v>
      </c>
      <c r="I70" s="12">
        <f t="array" ref="I70">IFERROR(INDEX(atlas!B:B,MATCH(A70,atlas!C:C,0)),"")</f>
        <v>41001567</v>
      </c>
      <c r="J70" s="8" t="str">
        <f>IFERROR(VLOOKUP(F70,tecnica!A:B,2,0),"")</f>
        <v>68</v>
      </c>
      <c r="K70" s="8" t="str">
        <f>IFERROR(VLOOKUP(J70,tecnica!B:C,2,0),"")</f>
        <v>ADS</v>
      </c>
      <c r="L70" s="13" t="s">
        <v>20</v>
      </c>
      <c r="M70" s="14" t="str">
        <f>IFERROR(VLOOKUP(I70,material!A:D,4,0),"")</f>
        <v>EQUIPAMENTO</v>
      </c>
      <c r="N70" s="14" t="str">
        <f t="shared" si="1"/>
        <v>DIGITEC FTZ</v>
      </c>
      <c r="O70" s="15" t="str">
        <f>IFERROR(VLOOKUP(I70,material!A:D,2,0),"")</f>
        <v>TERMINAL EXTENSOR WIFI5 MESH AR2180T</v>
      </c>
    </row>
    <row r="71">
      <c r="A71" s="16" t="s">
        <v>95</v>
      </c>
      <c r="B71" s="7"/>
      <c r="C71" s="8" t="str">
        <f t="array" ref="C71">IFERROR(INDEX(atlas!H:H,MATCH(A71,atlas!C:C,0)),"")</f>
        <v>GPON 6</v>
      </c>
      <c r="D71" s="8" t="str">
        <f t="array" ref="D71">IFERROR(INDEX(atlas!D:D,MATCH(A71,atlas!C:C,0)),"")</f>
        <v>DIGITEC TECNOLOGIA DIGITAL E REPRES</v>
      </c>
      <c r="E71" s="8" t="str">
        <f t="array" ref="E71">IFERROR(INDEX(atlas!F:F,MATCH(A71,atlas!C:C,0)),"")</f>
        <v>INICIALIZADO</v>
      </c>
      <c r="F71" s="9" t="s">
        <v>67</v>
      </c>
      <c r="G71" s="10">
        <v>45644.30537037037</v>
      </c>
      <c r="H71" s="11" t="s">
        <v>19</v>
      </c>
      <c r="I71" s="12">
        <f t="array" ref="I71">IFERROR(INDEX(atlas!B:B,MATCH(A71,atlas!C:C,0)),"")</f>
        <v>41001590</v>
      </c>
      <c r="J71" s="8" t="str">
        <f>IFERROR(VLOOKUP(F71,tecnica!A:B,2,0),"")</f>
        <v>68</v>
      </c>
      <c r="K71" s="8" t="str">
        <f>IFERROR(VLOOKUP(J71,tecnica!B:C,2,0),"")</f>
        <v>ADS</v>
      </c>
      <c r="L71" s="13" t="s">
        <v>20</v>
      </c>
      <c r="M71" s="14" t="str">
        <f>IFERROR(VLOOKUP(I71,material!A:D,4,0),"")</f>
        <v>EQUIPAMENTO</v>
      </c>
      <c r="N71" s="14" t="str">
        <f t="shared" si="1"/>
        <v>DIGITEC FTZ</v>
      </c>
      <c r="O71" s="15" t="str">
        <f>IFERROR(VLOOKUP(I71,material!A:D,2,0),"")</f>
        <v>TERMINAL GPON ONT WIFI6 F6600P-NACIONAL</v>
      </c>
    </row>
    <row r="72">
      <c r="A72" s="16" t="s">
        <v>96</v>
      </c>
      <c r="B72" s="7"/>
      <c r="C72" s="8" t="str">
        <f t="array" ref="C72">IFERROR(INDEX(atlas!H:H,MATCH(A72,atlas!C:C,0)),"")</f>
        <v>GPON 6</v>
      </c>
      <c r="D72" s="8" t="str">
        <f t="array" ref="D72">IFERROR(INDEX(atlas!D:D,MATCH(A72,atlas!C:C,0)),"")</f>
        <v>DIGITEC TECNOLOGIA DIGITAL E REPRES</v>
      </c>
      <c r="E72" s="8" t="str">
        <f t="array" ref="E72">IFERROR(INDEX(atlas!F:F,MATCH(A72,atlas!C:C,0)),"")</f>
        <v>INICIALIZADO</v>
      </c>
      <c r="F72" s="9" t="s">
        <v>67</v>
      </c>
      <c r="G72" s="10">
        <v>45644.30537037037</v>
      </c>
      <c r="H72" s="11" t="s">
        <v>19</v>
      </c>
      <c r="I72" s="12">
        <f t="array" ref="I72">IFERROR(INDEX(atlas!B:B,MATCH(A72,atlas!C:C,0)),"")</f>
        <v>41001590</v>
      </c>
      <c r="J72" s="8" t="str">
        <f>IFERROR(VLOOKUP(F72,tecnica!A:B,2,0),"")</f>
        <v>68</v>
      </c>
      <c r="K72" s="8" t="str">
        <f>IFERROR(VLOOKUP(J72,tecnica!B:C,2,0),"")</f>
        <v>ADS</v>
      </c>
      <c r="L72" s="13" t="s">
        <v>20</v>
      </c>
      <c r="M72" s="14" t="str">
        <f>IFERROR(VLOOKUP(I72,material!A:D,4,0),"")</f>
        <v>EQUIPAMENTO</v>
      </c>
      <c r="N72" s="14" t="str">
        <f t="shared" si="1"/>
        <v>DIGITEC FTZ</v>
      </c>
      <c r="O72" s="15" t="str">
        <f>IFERROR(VLOOKUP(I72,material!A:D,2,0),"")</f>
        <v>TERMINAL GPON ONT WIFI6 F6600P-NACIONAL</v>
      </c>
    </row>
    <row r="73">
      <c r="A73" s="16" t="s">
        <v>97</v>
      </c>
      <c r="B73" s="7"/>
      <c r="C73" s="8" t="str">
        <f t="array" ref="C73">IFERROR(INDEX(atlas!H:H,MATCH(A73,atlas!C:C,0)),"")</f>
        <v>GPON 6</v>
      </c>
      <c r="D73" s="8" t="str">
        <f t="array" ref="D73">IFERROR(INDEX(atlas!D:D,MATCH(A73,atlas!C:C,0)),"")</f>
        <v>DIGITEC TECNOLOGIA DIGITAL E REPRES</v>
      </c>
      <c r="E73" s="8" t="str">
        <f t="array" ref="E73">IFERROR(INDEX(atlas!F:F,MATCH(A73,atlas!C:C,0)),"")</f>
        <v>INICIALIZADO</v>
      </c>
      <c r="F73" s="9" t="s">
        <v>67</v>
      </c>
      <c r="G73" s="10">
        <v>45644.30537037037</v>
      </c>
      <c r="H73" s="11" t="s">
        <v>19</v>
      </c>
      <c r="I73" s="12">
        <f t="array" ref="I73">IFERROR(INDEX(atlas!B:B,MATCH(A73,atlas!C:C,0)),"")</f>
        <v>41001590</v>
      </c>
      <c r="J73" s="8" t="str">
        <f>IFERROR(VLOOKUP(F73,tecnica!A:B,2,0),"")</f>
        <v>68</v>
      </c>
      <c r="K73" s="8" t="str">
        <f>IFERROR(VLOOKUP(J73,tecnica!B:C,2,0),"")</f>
        <v>ADS</v>
      </c>
      <c r="L73" s="13" t="s">
        <v>20</v>
      </c>
      <c r="M73" s="14" t="str">
        <f>IFERROR(VLOOKUP(I73,material!A:D,4,0),"")</f>
        <v>EQUIPAMENTO</v>
      </c>
      <c r="N73" s="14" t="str">
        <f t="shared" si="1"/>
        <v>DIGITEC FTZ</v>
      </c>
      <c r="O73" s="15" t="str">
        <f>IFERROR(VLOOKUP(I73,material!A:D,2,0),"")</f>
        <v>TERMINAL GPON ONT WIFI6 F6600P-NACIONAL</v>
      </c>
    </row>
    <row r="74">
      <c r="A74" s="16" t="s">
        <v>98</v>
      </c>
      <c r="B74" s="7"/>
      <c r="C74" s="8" t="str">
        <f t="array" ref="C74">IFERROR(INDEX(atlas!H:H,MATCH(A74,atlas!C:C,0)),"")</f>
        <v>WIFI MESH</v>
      </c>
      <c r="D74" s="8" t="str">
        <f t="array" ref="D74">IFERROR(INDEX(atlas!D:D,MATCH(A74,atlas!C:C,0)),"")</f>
        <v>DIGITEC TECNOLOGIA DIGITAL E REPRES</v>
      </c>
      <c r="E74" s="8" t="str">
        <f t="array" ref="E74">IFERROR(INDEX(atlas!F:F,MATCH(A74,atlas!C:C,0)),"")</f>
        <v>INICIALIZADO</v>
      </c>
      <c r="F74" s="9" t="s">
        <v>67</v>
      </c>
      <c r="G74" s="10">
        <v>45644.30537037037</v>
      </c>
      <c r="H74" s="11" t="s">
        <v>19</v>
      </c>
      <c r="I74" s="12">
        <f t="array" ref="I74">IFERROR(INDEX(atlas!B:B,MATCH(A74,atlas!C:C,0)),"")</f>
        <v>41001567</v>
      </c>
      <c r="J74" s="8" t="str">
        <f>IFERROR(VLOOKUP(F74,tecnica!A:B,2,0),"")</f>
        <v>68</v>
      </c>
      <c r="K74" s="8" t="str">
        <f>IFERROR(VLOOKUP(J74,tecnica!B:C,2,0),"")</f>
        <v>ADS</v>
      </c>
      <c r="L74" s="13" t="s">
        <v>20</v>
      </c>
      <c r="M74" s="14" t="str">
        <f>IFERROR(VLOOKUP(I74,material!A:D,4,0),"")</f>
        <v>EQUIPAMENTO</v>
      </c>
      <c r="N74" s="14" t="str">
        <f t="shared" si="1"/>
        <v>DIGITEC FTZ</v>
      </c>
      <c r="O74" s="15" t="str">
        <f>IFERROR(VLOOKUP(I74,material!A:D,2,0),"")</f>
        <v>TERMINAL EXTENSOR WIFI5 MESH AR2180T</v>
      </c>
    </row>
    <row r="75">
      <c r="A75" s="16" t="s">
        <v>99</v>
      </c>
      <c r="B75" s="7"/>
      <c r="C75" s="8" t="str">
        <f t="array" ref="C75">IFERROR(INDEX(atlas!H:H,MATCH(A75,atlas!C:C,0)),"")</f>
        <v>WIFI MESH</v>
      </c>
      <c r="D75" s="8" t="str">
        <f t="array" ref="D75">IFERROR(INDEX(atlas!D:D,MATCH(A75,atlas!C:C,0)),"")</f>
        <v>DIGITEC TECNOLOGIA DIGITAL E REPRES</v>
      </c>
      <c r="E75" s="8" t="str">
        <f t="array" ref="E75">IFERROR(INDEX(atlas!F:F,MATCH(A75,atlas!C:C,0)),"")</f>
        <v>INICIALIZADO</v>
      </c>
      <c r="F75" s="9" t="s">
        <v>67</v>
      </c>
      <c r="G75" s="10">
        <v>45644.30537037037</v>
      </c>
      <c r="H75" s="11" t="s">
        <v>19</v>
      </c>
      <c r="I75" s="12">
        <f t="array" ref="I75">IFERROR(INDEX(atlas!B:B,MATCH(A75,atlas!C:C,0)),"")</f>
        <v>41001567</v>
      </c>
      <c r="J75" s="8" t="str">
        <f>IFERROR(VLOOKUP(F75,tecnica!A:B,2,0),"")</f>
        <v>68</v>
      </c>
      <c r="K75" s="8" t="str">
        <f>IFERROR(VLOOKUP(J75,tecnica!B:C,2,0),"")</f>
        <v>ADS</v>
      </c>
      <c r="L75" s="13" t="s">
        <v>20</v>
      </c>
      <c r="M75" s="14" t="str">
        <f>IFERROR(VLOOKUP(I75,material!A:D,4,0),"")</f>
        <v>EQUIPAMENTO</v>
      </c>
      <c r="N75" s="14" t="str">
        <f t="shared" si="1"/>
        <v>DIGITEC FTZ</v>
      </c>
      <c r="O75" s="15" t="str">
        <f>IFERROR(VLOOKUP(I75,material!A:D,2,0),"")</f>
        <v>TERMINAL EXTENSOR WIFI5 MESH AR2180T</v>
      </c>
    </row>
    <row r="76">
      <c r="A76" s="16" t="s">
        <v>100</v>
      </c>
      <c r="B76" s="7"/>
      <c r="C76" s="8" t="str">
        <f t="array" ref="C76">IFERROR(INDEX(atlas!H:H,MATCH(A76,atlas!C:C,0)),"")</f>
        <v>WIFI MESH</v>
      </c>
      <c r="D76" s="8" t="str">
        <f t="array" ref="D76">IFERROR(INDEX(atlas!D:D,MATCH(A76,atlas!C:C,0)),"")</f>
        <v>DIGITEC TECNOLOGIA DIGITAL E REPRES</v>
      </c>
      <c r="E76" s="8" t="str">
        <f t="array" ref="E76">IFERROR(INDEX(atlas!F:F,MATCH(A76,atlas!C:C,0)),"")</f>
        <v>INICIALIZADO</v>
      </c>
      <c r="F76" s="9" t="s">
        <v>67</v>
      </c>
      <c r="G76" s="10">
        <v>45644.30537037037</v>
      </c>
      <c r="H76" s="11" t="s">
        <v>19</v>
      </c>
      <c r="I76" s="12">
        <f t="array" ref="I76">IFERROR(INDEX(atlas!B:B,MATCH(A76,atlas!C:C,0)),"")</f>
        <v>41001567</v>
      </c>
      <c r="J76" s="8" t="str">
        <f>IFERROR(VLOOKUP(F76,tecnica!A:B,2,0),"")</f>
        <v>68</v>
      </c>
      <c r="K76" s="8" t="str">
        <f>IFERROR(VLOOKUP(J76,tecnica!B:C,2,0),"")</f>
        <v>ADS</v>
      </c>
      <c r="L76" s="13" t="s">
        <v>20</v>
      </c>
      <c r="M76" s="14" t="str">
        <f>IFERROR(VLOOKUP(I76,material!A:D,4,0),"")</f>
        <v>EQUIPAMENTO</v>
      </c>
      <c r="N76" s="14" t="str">
        <f t="shared" si="1"/>
        <v>DIGITEC FTZ</v>
      </c>
      <c r="O76" s="15" t="str">
        <f>IFERROR(VLOOKUP(I76,material!A:D,2,0),"")</f>
        <v>TERMINAL EXTENSOR WIFI5 MESH AR2180T</v>
      </c>
    </row>
    <row r="77">
      <c r="A77" s="16" t="s">
        <v>101</v>
      </c>
      <c r="B77" s="7"/>
      <c r="C77" s="8" t="str">
        <f t="array" ref="C77">IFERROR(INDEX(atlas!H:H,MATCH(A77,atlas!C:C,0)),"")</f>
        <v>WIFI MESH</v>
      </c>
      <c r="D77" s="8" t="str">
        <f t="array" ref="D77">IFERROR(INDEX(atlas!D:D,MATCH(A77,atlas!C:C,0)),"")</f>
        <v>DIGITEC TECNOLOGIA DIGITAL E REPRES</v>
      </c>
      <c r="E77" s="8" t="str">
        <f t="array" ref="E77">IFERROR(INDEX(atlas!F:F,MATCH(A77,atlas!C:C,0)),"")</f>
        <v>INICIALIZADO</v>
      </c>
      <c r="F77" s="9" t="s">
        <v>67</v>
      </c>
      <c r="G77" s="10">
        <v>45644.30537037037</v>
      </c>
      <c r="H77" s="11" t="s">
        <v>19</v>
      </c>
      <c r="I77" s="12">
        <f t="array" ref="I77">IFERROR(INDEX(atlas!B:B,MATCH(A77,atlas!C:C,0)),"")</f>
        <v>41001567</v>
      </c>
      <c r="J77" s="8" t="str">
        <f>IFERROR(VLOOKUP(F77,tecnica!A:B,2,0),"")</f>
        <v>68</v>
      </c>
      <c r="K77" s="8" t="str">
        <f>IFERROR(VLOOKUP(J77,tecnica!B:C,2,0),"")</f>
        <v>ADS</v>
      </c>
      <c r="L77" s="13" t="s">
        <v>20</v>
      </c>
      <c r="M77" s="14" t="str">
        <f>IFERROR(VLOOKUP(I77,material!A:D,4,0),"")</f>
        <v>EQUIPAMENTO</v>
      </c>
      <c r="N77" s="14" t="str">
        <f t="shared" si="1"/>
        <v>DIGITEC FTZ</v>
      </c>
      <c r="O77" s="15" t="str">
        <f>IFERROR(VLOOKUP(I77,material!A:D,2,0),"")</f>
        <v>TERMINAL EXTENSOR WIFI5 MESH AR2180T</v>
      </c>
    </row>
    <row r="78">
      <c r="A78" s="16" t="s">
        <v>102</v>
      </c>
      <c r="B78" s="7"/>
      <c r="C78" s="8" t="str">
        <f t="array" ref="C78">IFERROR(INDEX(atlas!H:H,MATCH(A78,atlas!C:C,0)),"")</f>
        <v>WIFI MESH</v>
      </c>
      <c r="D78" s="8" t="str">
        <f t="array" ref="D78">IFERROR(INDEX(atlas!D:D,MATCH(A78,atlas!C:C,0)),"")</f>
        <v>DIGITEC TECNOLOGIA DIGITAL E REPRES</v>
      </c>
      <c r="E78" s="8" t="str">
        <f t="array" ref="E78">IFERROR(INDEX(atlas!F:F,MATCH(A78,atlas!C:C,0)),"")</f>
        <v>INICIALIZADO</v>
      </c>
      <c r="F78" s="9" t="s">
        <v>67</v>
      </c>
      <c r="G78" s="10">
        <v>45644.30537037037</v>
      </c>
      <c r="H78" s="11" t="s">
        <v>19</v>
      </c>
      <c r="I78" s="12">
        <f t="array" ref="I78">IFERROR(INDEX(atlas!B:B,MATCH(A78,atlas!C:C,0)),"")</f>
        <v>41001567</v>
      </c>
      <c r="J78" s="8" t="str">
        <f>IFERROR(VLOOKUP(F78,tecnica!A:B,2,0),"")</f>
        <v>68</v>
      </c>
      <c r="K78" s="8" t="str">
        <f>IFERROR(VLOOKUP(J78,tecnica!B:C,2,0),"")</f>
        <v>ADS</v>
      </c>
      <c r="L78" s="13" t="s">
        <v>20</v>
      </c>
      <c r="M78" s="14" t="str">
        <f>IFERROR(VLOOKUP(I78,material!A:D,4,0),"")</f>
        <v>EQUIPAMENTO</v>
      </c>
      <c r="N78" s="14" t="str">
        <f t="shared" si="1"/>
        <v>DIGITEC FTZ</v>
      </c>
      <c r="O78" s="15" t="str">
        <f>IFERROR(VLOOKUP(I78,material!A:D,2,0),"")</f>
        <v>TERMINAL EXTENSOR WIFI5 MESH AR2180T</v>
      </c>
    </row>
    <row r="79">
      <c r="A79" s="16" t="s">
        <v>103</v>
      </c>
      <c r="B79" s="7"/>
      <c r="C79" s="8" t="str">
        <f t="array" ref="C79">IFERROR(INDEX(atlas!H:H,MATCH(A79,atlas!C:C,0)),"")</f>
        <v>WIFI 6</v>
      </c>
      <c r="D79" s="8" t="str">
        <f t="array" ref="D79">IFERROR(INDEX(atlas!D:D,MATCH(A79,atlas!C:C,0)),"")</f>
        <v>DIGITEC TECNOLOGIA DIGITAL E REPRES</v>
      </c>
      <c r="E79" s="8" t="str">
        <f t="array" ref="E79">IFERROR(INDEX(atlas!F:F,MATCH(A79,atlas!C:C,0)),"")</f>
        <v>INICIALIZADO</v>
      </c>
      <c r="F79" s="9" t="s">
        <v>67</v>
      </c>
      <c r="G79" s="10">
        <v>45644.30537037037</v>
      </c>
      <c r="H79" s="11" t="s">
        <v>19</v>
      </c>
      <c r="I79" s="12">
        <f t="array" ref="I79">IFERROR(INDEX(atlas!B:B,MATCH(A79,atlas!C:C,0)),"")</f>
        <v>41001552</v>
      </c>
      <c r="J79" s="8" t="str">
        <f>IFERROR(VLOOKUP(F79,tecnica!A:B,2,0),"")</f>
        <v>68</v>
      </c>
      <c r="K79" s="8" t="str">
        <f>IFERROR(VLOOKUP(J79,tecnica!B:C,2,0),"")</f>
        <v>ADS</v>
      </c>
      <c r="L79" s="13" t="s">
        <v>20</v>
      </c>
      <c r="M79" s="14" t="str">
        <f>IFERROR(VLOOKUP(I79,material!A:D,4,0),"")</f>
        <v>EQUIPAMENTO</v>
      </c>
      <c r="N79" s="14" t="str">
        <f t="shared" si="1"/>
        <v>DIGITEC FTZ</v>
      </c>
      <c r="O79" s="15" t="str">
        <f>IFERROR(VLOOKUP(I79,material!A:D,2,0),"")</f>
        <v>TERMINAL DOCSIS 3.1 EMTA WIFI6 F@ST3896</v>
      </c>
    </row>
    <row r="80">
      <c r="A80" s="16" t="s">
        <v>104</v>
      </c>
      <c r="B80" s="7"/>
      <c r="C80" s="8" t="str">
        <f t="array" ref="C80">IFERROR(INDEX(atlas!H:H,MATCH(A80,atlas!C:C,0)),"")</f>
        <v>DUAL</v>
      </c>
      <c r="D80" s="8" t="str">
        <f t="array" ref="D80">IFERROR(INDEX(atlas!D:D,MATCH(A80,atlas!C:C,0)),"")</f>
        <v>DIGITEC TECNOLOGIA DIGITAL E REPRES</v>
      </c>
      <c r="E80" s="8" t="str">
        <f t="array" ref="E80">IFERROR(INDEX(atlas!F:F,MATCH(A80,atlas!C:C,0)),"")</f>
        <v>INICIALIZADO</v>
      </c>
      <c r="F80" s="9" t="s">
        <v>67</v>
      </c>
      <c r="G80" s="10">
        <v>45644.30537037037</v>
      </c>
      <c r="H80" s="11" t="s">
        <v>19</v>
      </c>
      <c r="I80" s="12">
        <f t="array" ref="I80">IFERROR(INDEX(atlas!B:B,MATCH(A80,atlas!C:C,0)),"")</f>
        <v>41001294</v>
      </c>
      <c r="J80" s="8" t="str">
        <f>IFERROR(VLOOKUP(F80,tecnica!A:B,2,0),"")</f>
        <v>68</v>
      </c>
      <c r="K80" s="8" t="str">
        <f>IFERROR(VLOOKUP(J80,tecnica!B:C,2,0),"")</f>
        <v>ADS</v>
      </c>
      <c r="L80" s="13" t="s">
        <v>20</v>
      </c>
      <c r="M80" s="14" t="str">
        <f>IFERROR(VLOOKUP(I80,material!A:D,4,0),"")</f>
        <v>EQUIPAMENTO</v>
      </c>
      <c r="N80" s="14" t="str">
        <f t="shared" si="1"/>
        <v>DIGITEC FTZ</v>
      </c>
      <c r="O80" s="15" t="str">
        <f>IFERROR(VLOOKUP(I80,material!A:D,2,0),"")</f>
        <v>TECHNICOLOR TC7337NET</v>
      </c>
    </row>
    <row r="81">
      <c r="A81" s="16" t="s">
        <v>105</v>
      </c>
      <c r="B81" s="7"/>
      <c r="C81" s="8" t="str">
        <f t="array" ref="C81">IFERROR(INDEX(atlas!H:H,MATCH(A81,atlas!C:C,0)),"")</f>
        <v>DUAL</v>
      </c>
      <c r="D81" s="8" t="str">
        <f t="array" ref="D81">IFERROR(INDEX(atlas!D:D,MATCH(A81,atlas!C:C,0)),"")</f>
        <v>DIGITEC TECNOLOGIA DIGITAL E REPRES</v>
      </c>
      <c r="E81" s="8" t="str">
        <f t="array" ref="E81">IFERROR(INDEX(atlas!F:F,MATCH(A81,atlas!C:C,0)),"")</f>
        <v>INICIALIZADO</v>
      </c>
      <c r="F81" s="9" t="s">
        <v>67</v>
      </c>
      <c r="G81" s="10">
        <v>45644.30537037037</v>
      </c>
      <c r="H81" s="11" t="s">
        <v>19</v>
      </c>
      <c r="I81" s="12">
        <f t="array" ref="I81">IFERROR(INDEX(atlas!B:B,MATCH(A81,atlas!C:C,0)),"")</f>
        <v>41001293</v>
      </c>
      <c r="J81" s="8" t="str">
        <f>IFERROR(VLOOKUP(F81,tecnica!A:B,2,0),"")</f>
        <v>68</v>
      </c>
      <c r="K81" s="8" t="str">
        <f>IFERROR(VLOOKUP(J81,tecnica!B:C,2,0),"")</f>
        <v>ADS</v>
      </c>
      <c r="L81" s="13" t="s">
        <v>20</v>
      </c>
      <c r="M81" s="14" t="str">
        <f>IFERROR(VLOOKUP(I81,material!A:D,4,0),"")</f>
        <v>EQUIPAMENTO</v>
      </c>
      <c r="N81" s="14" t="str">
        <f t="shared" si="1"/>
        <v>DIGITEC FTZ</v>
      </c>
      <c r="O81" s="15" t="str">
        <f>IFERROR(VLOOKUP(I81,material!A:D,2,0),"")</f>
        <v>ARRIS TG1692A</v>
      </c>
    </row>
    <row r="82">
      <c r="A82" s="16" t="s">
        <v>106</v>
      </c>
      <c r="B82" s="7"/>
      <c r="C82" s="8" t="str">
        <f t="array" ref="C82">IFERROR(INDEX(atlas!H:H,MATCH(A82,atlas!C:C,0)),"")</f>
        <v>DUAL</v>
      </c>
      <c r="D82" s="8" t="str">
        <f t="array" ref="D82">IFERROR(INDEX(atlas!D:D,MATCH(A82,atlas!C:C,0)),"")</f>
        <v>DIGITEC TECNOLOGIA DIGITAL E REPRES</v>
      </c>
      <c r="E82" s="8" t="str">
        <f t="array" ref="E82">IFERROR(INDEX(atlas!F:F,MATCH(A82,atlas!C:C,0)),"")</f>
        <v>INICIALIZADO</v>
      </c>
      <c r="F82" s="9" t="s">
        <v>67</v>
      </c>
      <c r="G82" s="10">
        <v>45644.30537037037</v>
      </c>
      <c r="H82" s="11" t="s">
        <v>19</v>
      </c>
      <c r="I82" s="12">
        <f t="array" ref="I82">IFERROR(INDEX(atlas!B:B,MATCH(A82,atlas!C:C,0)),"")</f>
        <v>41001294</v>
      </c>
      <c r="J82" s="8" t="str">
        <f>IFERROR(VLOOKUP(F82,tecnica!A:B,2,0),"")</f>
        <v>68</v>
      </c>
      <c r="K82" s="8" t="str">
        <f>IFERROR(VLOOKUP(J82,tecnica!B:C,2,0),"")</f>
        <v>ADS</v>
      </c>
      <c r="L82" s="13" t="s">
        <v>20</v>
      </c>
      <c r="M82" s="14" t="str">
        <f>IFERROR(VLOOKUP(I82,material!A:D,4,0),"")</f>
        <v>EQUIPAMENTO</v>
      </c>
      <c r="N82" s="14" t="str">
        <f t="shared" si="1"/>
        <v>DIGITEC FTZ</v>
      </c>
      <c r="O82" s="15" t="str">
        <f>IFERROR(VLOOKUP(I82,material!A:D,2,0),"")</f>
        <v>TECHNICOLOR TC7337NET</v>
      </c>
    </row>
    <row r="83">
      <c r="A83" s="16" t="s">
        <v>107</v>
      </c>
      <c r="B83" s="7"/>
      <c r="C83" s="8" t="str">
        <f t="array" ref="C83">IFERROR(INDEX(atlas!H:H,MATCH(A83,atlas!C:C,0)),"")</f>
        <v>ONT</v>
      </c>
      <c r="D83" s="8" t="str">
        <f t="array" ref="D83">IFERROR(INDEX(atlas!D:D,MATCH(A83,atlas!C:C,0)),"")</f>
        <v>DIGITEC TECNOLOGIA DIGITAL E REPRES</v>
      </c>
      <c r="E83" s="8" t="str">
        <f t="array" ref="E83">IFERROR(INDEX(atlas!F:F,MATCH(A83,atlas!C:C,0)),"")</f>
        <v>INICIALIZADO</v>
      </c>
      <c r="F83" s="9" t="s">
        <v>67</v>
      </c>
      <c r="G83" s="10">
        <v>45644.30537037037</v>
      </c>
      <c r="H83" s="11" t="s">
        <v>19</v>
      </c>
      <c r="I83" s="12">
        <f t="array" ref="I83">IFERROR(INDEX(atlas!B:B,MATCH(A83,atlas!C:C,0)),"")</f>
        <v>41001535</v>
      </c>
      <c r="J83" s="8" t="str">
        <f>IFERROR(VLOOKUP(F83,tecnica!A:B,2,0),"")</f>
        <v>68</v>
      </c>
      <c r="K83" s="8" t="str">
        <f>IFERROR(VLOOKUP(J83,tecnica!B:C,2,0),"")</f>
        <v>ADS</v>
      </c>
      <c r="L83" s="13" t="s">
        <v>20</v>
      </c>
      <c r="M83" s="14" t="str">
        <f>IFERROR(VLOOKUP(I83,material!A:D,4,0),"")</f>
        <v>EQUIPAMENTO</v>
      </c>
      <c r="N83" s="14" t="str">
        <f t="shared" si="1"/>
        <v>DIGITEC FTZ</v>
      </c>
      <c r="O83" s="15" t="str">
        <f>IFERROR(VLOOKUP(I83,material!A:D,2,0),"")</f>
        <v>TERMINAL GPON WIFI TCG2232</v>
      </c>
    </row>
    <row r="84">
      <c r="A84" s="16" t="s">
        <v>108</v>
      </c>
      <c r="B84" s="7"/>
      <c r="C84" s="8" t="str">
        <f t="array" ref="C84">IFERROR(INDEX(atlas!H:H,MATCH(A84,atlas!C:C,0)),"")</f>
        <v>TOP MIX</v>
      </c>
      <c r="D84" s="8" t="str">
        <f t="array" ref="D84">IFERROR(INDEX(atlas!D:D,MATCH(A84,atlas!C:C,0)),"")</f>
        <v>DIGITEC TECNOLOGIA DIGITAL E REPRES</v>
      </c>
      <c r="E84" s="8" t="str">
        <f t="array" ref="E84">IFERROR(INDEX(atlas!F:F,MATCH(A84,atlas!C:C,0)),"")</f>
        <v>INICIALIZADO</v>
      </c>
      <c r="F84" s="9" t="s">
        <v>67</v>
      </c>
      <c r="G84" s="10">
        <v>45644.30537037037</v>
      </c>
      <c r="H84" s="11" t="s">
        <v>19</v>
      </c>
      <c r="I84" s="12">
        <f t="array" ref="I84">IFERROR(INDEX(atlas!B:B,MATCH(A84,atlas!C:C,0)),"")</f>
        <v>41001276</v>
      </c>
      <c r="J84" s="8" t="str">
        <f>IFERROR(VLOOKUP(F84,tecnica!A:B,2,0),"")</f>
        <v>68</v>
      </c>
      <c r="K84" s="8" t="str">
        <f>IFERROR(VLOOKUP(J84,tecnica!B:C,2,0),"")</f>
        <v>ADS</v>
      </c>
      <c r="L84" s="13" t="s">
        <v>20</v>
      </c>
      <c r="M84" s="14" t="str">
        <f>IFERROR(VLOOKUP(I84,material!A:D,4,0),"")</f>
        <v>EQUIPAMENTO</v>
      </c>
      <c r="N84" s="14" t="str">
        <f t="shared" si="1"/>
        <v>DIGITEC FTZ</v>
      </c>
      <c r="O84" s="15" t="str">
        <f>IFERROR(VLOOKUP(I84,material!A:D,2,0),"")</f>
        <v>DECODER DIGITAL HD HNB100 2T</v>
      </c>
    </row>
    <row r="85">
      <c r="A85" s="16" t="s">
        <v>109</v>
      </c>
      <c r="B85" s="7"/>
      <c r="C85" s="8" t="str">
        <f t="array" ref="C85">IFERROR(INDEX(atlas!H:H,MATCH(A85,atlas!C:C,0)),"")</f>
        <v>CARD</v>
      </c>
      <c r="D85" s="8" t="str">
        <f t="array" ref="D85">IFERROR(INDEX(atlas!D:D,MATCH(A85,atlas!C:C,0)),"")</f>
        <v>DIGITEC TECNOLOGIA DIGITAL E REPRES</v>
      </c>
      <c r="E85" s="8" t="str">
        <f t="array" ref="E85">IFERROR(INDEX(atlas!F:F,MATCH(A85,atlas!C:C,0)),"")</f>
        <v>INICIALIZADO</v>
      </c>
      <c r="F85" s="9" t="s">
        <v>67</v>
      </c>
      <c r="G85" s="10">
        <v>45644.30537037037</v>
      </c>
      <c r="H85" s="11" t="s">
        <v>19</v>
      </c>
      <c r="I85" s="12">
        <f t="array" ref="I85">IFERROR(INDEX(atlas!B:B,MATCH(A85,atlas!C:C,0)),"")</f>
        <v>41001234</v>
      </c>
      <c r="J85" s="8" t="str">
        <f>IFERROR(VLOOKUP(F85,tecnica!A:B,2,0),"")</f>
        <v>68</v>
      </c>
      <c r="K85" s="8" t="str">
        <f>IFERROR(VLOOKUP(J85,tecnica!B:C,2,0),"")</f>
        <v>ADS</v>
      </c>
      <c r="L85" s="13" t="s">
        <v>20</v>
      </c>
      <c r="M85" s="14" t="str">
        <f>IFERROR(VLOOKUP(I85,material!A:D,4,0),"")</f>
        <v>EQUIPAMENTO</v>
      </c>
      <c r="N85" s="14" t="str">
        <f t="shared" si="1"/>
        <v>DIGITEC FTZ</v>
      </c>
      <c r="O85" s="15" t="str">
        <f>IFERROR(VLOOKUP(I85,material!A:D,2,0),"")</f>
        <v>SMART CARD PRETO NAGRA</v>
      </c>
    </row>
    <row r="86">
      <c r="A86" s="16" t="s">
        <v>110</v>
      </c>
      <c r="B86" s="7"/>
      <c r="C86" s="8" t="str">
        <f t="array" ref="C86">IFERROR(INDEX(atlas!H:H,MATCH(A86,atlas!C:C,0)),"")</f>
        <v>TOP MIX</v>
      </c>
      <c r="D86" s="8" t="str">
        <f t="array" ref="D86">IFERROR(INDEX(atlas!D:D,MATCH(A86,atlas!C:C,0)),"")</f>
        <v>DIGITEC TECNOLOGIA DIGITAL E REPRES</v>
      </c>
      <c r="E86" s="8" t="str">
        <f t="array" ref="E86">IFERROR(INDEX(atlas!F:F,MATCH(A86,atlas!C:C,0)),"")</f>
        <v>INICIALIZADO</v>
      </c>
      <c r="F86" s="9" t="s">
        <v>67</v>
      </c>
      <c r="G86" s="10">
        <v>45644.30537037037</v>
      </c>
      <c r="H86" s="11" t="s">
        <v>19</v>
      </c>
      <c r="I86" s="12">
        <f t="array" ref="I86">IFERROR(INDEX(atlas!B:B,MATCH(A86,atlas!C:C,0)),"")</f>
        <v>41001276</v>
      </c>
      <c r="J86" s="8" t="str">
        <f>IFERROR(VLOOKUP(F86,tecnica!A:B,2,0),"")</f>
        <v>68</v>
      </c>
      <c r="K86" s="8" t="str">
        <f>IFERROR(VLOOKUP(J86,tecnica!B:C,2,0),"")</f>
        <v>ADS</v>
      </c>
      <c r="L86" s="13" t="s">
        <v>20</v>
      </c>
      <c r="M86" s="14" t="str">
        <f>IFERROR(VLOOKUP(I86,material!A:D,4,0),"")</f>
        <v>EQUIPAMENTO</v>
      </c>
      <c r="N86" s="14" t="str">
        <f t="shared" si="1"/>
        <v>DIGITEC FTZ</v>
      </c>
      <c r="O86" s="15" t="str">
        <f>IFERROR(VLOOKUP(I86,material!A:D,2,0),"")</f>
        <v>DECODER DIGITAL HD HNB100 2T</v>
      </c>
    </row>
    <row r="87">
      <c r="A87" s="16" t="s">
        <v>111</v>
      </c>
      <c r="B87" s="7"/>
      <c r="C87" s="8" t="str">
        <f t="array" ref="C87">IFERROR(INDEX(atlas!H:H,MATCH(A87,atlas!C:C,0)),"")</f>
        <v>CARD</v>
      </c>
      <c r="D87" s="8" t="str">
        <f t="array" ref="D87">IFERROR(INDEX(atlas!D:D,MATCH(A87,atlas!C:C,0)),"")</f>
        <v>DIGITEC TECNOLOGIA DIGITAL E REPRES</v>
      </c>
      <c r="E87" s="8" t="str">
        <f t="array" ref="E87">IFERROR(INDEX(atlas!F:F,MATCH(A87,atlas!C:C,0)),"")</f>
        <v>INICIALIZADO</v>
      </c>
      <c r="F87" s="9" t="s">
        <v>67</v>
      </c>
      <c r="G87" s="10">
        <v>45644.30537037037</v>
      </c>
      <c r="H87" s="11" t="s">
        <v>19</v>
      </c>
      <c r="I87" s="12">
        <f t="array" ref="I87">IFERROR(INDEX(atlas!B:B,MATCH(A87,atlas!C:C,0)),"")</f>
        <v>41001234</v>
      </c>
      <c r="J87" s="8" t="str">
        <f>IFERROR(VLOOKUP(F87,tecnica!A:B,2,0),"")</f>
        <v>68</v>
      </c>
      <c r="K87" s="8" t="str">
        <f>IFERROR(VLOOKUP(J87,tecnica!B:C,2,0),"")</f>
        <v>ADS</v>
      </c>
      <c r="L87" s="13" t="s">
        <v>20</v>
      </c>
      <c r="M87" s="14" t="str">
        <f>IFERROR(VLOOKUP(I87,material!A:D,4,0),"")</f>
        <v>EQUIPAMENTO</v>
      </c>
      <c r="N87" s="14" t="str">
        <f t="shared" si="1"/>
        <v>DIGITEC FTZ</v>
      </c>
      <c r="O87" s="15" t="str">
        <f>IFERROR(VLOOKUP(I87,material!A:D,2,0),"")</f>
        <v>SMART CARD PRETO NAGRA</v>
      </c>
    </row>
    <row r="88">
      <c r="A88" s="16" t="s">
        <v>112</v>
      </c>
      <c r="B88" s="7"/>
      <c r="C88" s="8" t="str">
        <f t="array" ref="C88">IFERROR(INDEX(atlas!H:H,MATCH(A88,atlas!C:C,0)),"")</f>
        <v>TOP MIX</v>
      </c>
      <c r="D88" s="8" t="str">
        <f t="array" ref="D88">IFERROR(INDEX(atlas!D:D,MATCH(A88,atlas!C:C,0)),"")</f>
        <v>DIGITEC TECNOLOGIA DIGITAL E REPRES</v>
      </c>
      <c r="E88" s="8" t="str">
        <f t="array" ref="E88">IFERROR(INDEX(atlas!F:F,MATCH(A88,atlas!C:C,0)),"")</f>
        <v>INICIALIZADO</v>
      </c>
      <c r="F88" s="9" t="s">
        <v>67</v>
      </c>
      <c r="G88" s="10">
        <v>45644.30537037037</v>
      </c>
      <c r="H88" s="11" t="s">
        <v>19</v>
      </c>
      <c r="I88" s="12">
        <f t="array" ref="I88">IFERROR(INDEX(atlas!B:B,MATCH(A88,atlas!C:C,0)),"")</f>
        <v>41001276</v>
      </c>
      <c r="J88" s="8" t="str">
        <f>IFERROR(VLOOKUP(F88,tecnica!A:B,2,0),"")</f>
        <v>68</v>
      </c>
      <c r="K88" s="8" t="str">
        <f>IFERROR(VLOOKUP(J88,tecnica!B:C,2,0),"")</f>
        <v>ADS</v>
      </c>
      <c r="L88" s="13" t="s">
        <v>20</v>
      </c>
      <c r="M88" s="14" t="str">
        <f>IFERROR(VLOOKUP(I88,material!A:D,4,0),"")</f>
        <v>EQUIPAMENTO</v>
      </c>
      <c r="N88" s="14" t="str">
        <f t="shared" si="1"/>
        <v>DIGITEC FTZ</v>
      </c>
      <c r="O88" s="15" t="str">
        <f>IFERROR(VLOOKUP(I88,material!A:D,2,0),"")</f>
        <v>DECODER DIGITAL HD HNB100 2T</v>
      </c>
    </row>
    <row r="89">
      <c r="A89" s="16" t="s">
        <v>113</v>
      </c>
      <c r="B89" s="7"/>
      <c r="C89" s="8" t="str">
        <f t="array" ref="C89">IFERROR(INDEX(atlas!H:H,MATCH(A89,atlas!C:C,0)),"")</f>
        <v>CARD</v>
      </c>
      <c r="D89" s="8" t="str">
        <f t="array" ref="D89">IFERROR(INDEX(atlas!D:D,MATCH(A89,atlas!C:C,0)),"")</f>
        <v>DIGITEC TECNOLOGIA DIGITAL E REPRES</v>
      </c>
      <c r="E89" s="8" t="str">
        <f t="array" ref="E89">IFERROR(INDEX(atlas!F:F,MATCH(A89,atlas!C:C,0)),"")</f>
        <v>INICIALIZADO</v>
      </c>
      <c r="F89" s="9" t="s">
        <v>67</v>
      </c>
      <c r="G89" s="10">
        <v>45644.30537037037</v>
      </c>
      <c r="H89" s="11" t="s">
        <v>19</v>
      </c>
      <c r="I89" s="12">
        <f t="array" ref="I89">IFERROR(INDEX(atlas!B:B,MATCH(A89,atlas!C:C,0)),"")</f>
        <v>41001234</v>
      </c>
      <c r="J89" s="8" t="str">
        <f>IFERROR(VLOOKUP(F89,tecnica!A:B,2,0),"")</f>
        <v>68</v>
      </c>
      <c r="K89" s="8" t="str">
        <f>IFERROR(VLOOKUP(J89,tecnica!B:C,2,0),"")</f>
        <v>ADS</v>
      </c>
      <c r="L89" s="13" t="s">
        <v>20</v>
      </c>
      <c r="M89" s="14" t="str">
        <f>IFERROR(VLOOKUP(I89,material!A:D,4,0),"")</f>
        <v>EQUIPAMENTO</v>
      </c>
      <c r="N89" s="14" t="str">
        <f t="shared" si="1"/>
        <v>DIGITEC FTZ</v>
      </c>
      <c r="O89" s="15" t="str">
        <f>IFERROR(VLOOKUP(I89,material!A:D,2,0),"")</f>
        <v>SMART CARD PRETO NAGRA</v>
      </c>
    </row>
    <row r="90">
      <c r="A90" s="16" t="s">
        <v>114</v>
      </c>
      <c r="B90" s="7"/>
      <c r="C90" s="8" t="str">
        <f t="array" ref="C90">IFERROR(INDEX(atlas!H:H,MATCH(A90,atlas!C:C,0)),"")</f>
        <v>TOP MIX</v>
      </c>
      <c r="D90" s="8" t="str">
        <f t="array" ref="D90">IFERROR(INDEX(atlas!D:D,MATCH(A90,atlas!C:C,0)),"")</f>
        <v>DIGITEC TECNOLOGIA DIGITAL E REPRES</v>
      </c>
      <c r="E90" s="8" t="str">
        <f t="array" ref="E90">IFERROR(INDEX(atlas!F:F,MATCH(A90,atlas!C:C,0)),"")</f>
        <v>INICIALIZADO</v>
      </c>
      <c r="F90" s="9" t="s">
        <v>67</v>
      </c>
      <c r="G90" s="10">
        <v>45644.30537037037</v>
      </c>
      <c r="H90" s="11" t="s">
        <v>19</v>
      </c>
      <c r="I90" s="12">
        <f t="array" ref="I90">IFERROR(INDEX(atlas!B:B,MATCH(A90,atlas!C:C,0)),"")</f>
        <v>41001276</v>
      </c>
      <c r="J90" s="8" t="str">
        <f>IFERROR(VLOOKUP(F90,tecnica!A:B,2,0),"")</f>
        <v>68</v>
      </c>
      <c r="K90" s="8" t="str">
        <f>IFERROR(VLOOKUP(J90,tecnica!B:C,2,0),"")</f>
        <v>ADS</v>
      </c>
      <c r="L90" s="13" t="s">
        <v>20</v>
      </c>
      <c r="M90" s="14" t="str">
        <f>IFERROR(VLOOKUP(I90,material!A:D,4,0),"")</f>
        <v>EQUIPAMENTO</v>
      </c>
      <c r="N90" s="14" t="str">
        <f t="shared" si="1"/>
        <v>DIGITEC FTZ</v>
      </c>
      <c r="O90" s="15" t="str">
        <f>IFERROR(VLOOKUP(I90,material!A:D,2,0),"")</f>
        <v>DECODER DIGITAL HD HNB100 2T</v>
      </c>
    </row>
    <row r="91">
      <c r="A91" s="16" t="s">
        <v>115</v>
      </c>
      <c r="B91" s="7"/>
      <c r="C91" s="8" t="str">
        <f t="array" ref="C91">IFERROR(INDEX(atlas!H:H,MATCH(A91,atlas!C:C,0)),"")</f>
        <v>CARD</v>
      </c>
      <c r="D91" s="8" t="str">
        <f t="array" ref="D91">IFERROR(INDEX(atlas!D:D,MATCH(A91,atlas!C:C,0)),"")</f>
        <v>DIGITEC TECNOLOGIA DIGITAL E REPRES</v>
      </c>
      <c r="E91" s="8" t="str">
        <f t="array" ref="E91">IFERROR(INDEX(atlas!F:F,MATCH(A91,atlas!C:C,0)),"")</f>
        <v>INICIALIZADO</v>
      </c>
      <c r="F91" s="9" t="s">
        <v>67</v>
      </c>
      <c r="G91" s="10">
        <v>45644.30537037037</v>
      </c>
      <c r="H91" s="11" t="s">
        <v>19</v>
      </c>
      <c r="I91" s="12">
        <f t="array" ref="I91">IFERROR(INDEX(atlas!B:B,MATCH(A91,atlas!C:C,0)),"")</f>
        <v>41001234</v>
      </c>
      <c r="J91" s="8" t="str">
        <f>IFERROR(VLOOKUP(F91,tecnica!A:B,2,0),"")</f>
        <v>68</v>
      </c>
      <c r="K91" s="8" t="str">
        <f>IFERROR(VLOOKUP(J91,tecnica!B:C,2,0),"")</f>
        <v>ADS</v>
      </c>
      <c r="L91" s="13" t="s">
        <v>20</v>
      </c>
      <c r="M91" s="14" t="str">
        <f>IFERROR(VLOOKUP(I91,material!A:D,4,0),"")</f>
        <v>EQUIPAMENTO</v>
      </c>
      <c r="N91" s="14" t="str">
        <f t="shared" si="1"/>
        <v>DIGITEC FTZ</v>
      </c>
      <c r="O91" s="15" t="str">
        <f>IFERROR(VLOOKUP(I91,material!A:D,2,0),"")</f>
        <v>SMART CARD PRETO NAGRA</v>
      </c>
    </row>
    <row r="92">
      <c r="A92" s="16" t="s">
        <v>116</v>
      </c>
      <c r="B92" s="7"/>
      <c r="C92" s="8" t="str">
        <f t="array" ref="C92">IFERROR(INDEX(atlas!H:H,MATCH(A92,atlas!C:C,0)),"")</f>
        <v>CHIP</v>
      </c>
      <c r="D92" s="8" t="str">
        <f t="array" ref="D92">IFERROR(INDEX(atlas!D:D,MATCH(A92,atlas!C:C,0)),"")</f>
        <v>DIGITEC TECNOLOGIA DIGITAL E REPRES</v>
      </c>
      <c r="E92" s="8" t="str">
        <f t="array" ref="E92">IFERROR(INDEX(atlas!F:F,MATCH(A92,atlas!C:C,0)),"")</f>
        <v>INICIALIZADO</v>
      </c>
      <c r="F92" s="9" t="s">
        <v>67</v>
      </c>
      <c r="G92" s="10">
        <v>45644.30537037037</v>
      </c>
      <c r="H92" s="11" t="s">
        <v>19</v>
      </c>
      <c r="I92" s="12">
        <f t="array" ref="I92">IFERROR(INDEX(atlas!B:B,MATCH(A92,atlas!C:C,0)),"")</f>
        <v>23107</v>
      </c>
      <c r="J92" s="8" t="str">
        <f>IFERROR(VLOOKUP(F92,tecnica!A:B,2,0),"")</f>
        <v>68</v>
      </c>
      <c r="K92" s="8" t="str">
        <f>IFERROR(VLOOKUP(J92,tecnica!B:C,2,0),"")</f>
        <v>ADS</v>
      </c>
      <c r="L92" s="13" t="s">
        <v>20</v>
      </c>
      <c r="M92" s="14" t="str">
        <f>IFERROR(VLOOKUP(I92,material!A:D,4,0),"")</f>
        <v>EQUIPAMENTO</v>
      </c>
      <c r="N92" s="14" t="str">
        <f t="shared" si="1"/>
        <v>DIGITEC FTZ</v>
      </c>
      <c r="O92" s="15" t="str">
        <f>IFERROR(VLOOKUP(I92,material!A:D,2,0),"")</f>
        <v>SC BOPP 8NP NE 128KB AAC005 TRIPLE</v>
      </c>
    </row>
    <row r="93">
      <c r="A93" s="16" t="s">
        <v>117</v>
      </c>
      <c r="B93" s="7"/>
      <c r="C93" s="8" t="str">
        <f t="array" ref="C93">IFERROR(INDEX(atlas!H:H,MATCH(A93,atlas!C:C,0)),"")</f>
        <v>CHIP</v>
      </c>
      <c r="D93" s="8" t="str">
        <f t="array" ref="D93">IFERROR(INDEX(atlas!D:D,MATCH(A93,atlas!C:C,0)),"")</f>
        <v>DIGITEC TECNOLOGIA DIGITAL E REPRES</v>
      </c>
      <c r="E93" s="8" t="str">
        <f t="array" ref="E93">IFERROR(INDEX(atlas!F:F,MATCH(A93,atlas!C:C,0)),"")</f>
        <v>INICIALIZADO</v>
      </c>
      <c r="F93" s="9" t="s">
        <v>67</v>
      </c>
      <c r="G93" s="10">
        <v>45644.30537037037</v>
      </c>
      <c r="H93" s="11" t="s">
        <v>19</v>
      </c>
      <c r="I93" s="12">
        <f t="array" ref="I93">IFERROR(INDEX(atlas!B:B,MATCH(A93,atlas!C:C,0)),"")</f>
        <v>23107</v>
      </c>
      <c r="J93" s="8" t="str">
        <f>IFERROR(VLOOKUP(F93,tecnica!A:B,2,0),"")</f>
        <v>68</v>
      </c>
      <c r="K93" s="8" t="str">
        <f>IFERROR(VLOOKUP(J93,tecnica!B:C,2,0),"")</f>
        <v>ADS</v>
      </c>
      <c r="L93" s="13" t="s">
        <v>20</v>
      </c>
      <c r="M93" s="14" t="str">
        <f>IFERROR(VLOOKUP(I93,material!A:D,4,0),"")</f>
        <v>EQUIPAMENTO</v>
      </c>
      <c r="N93" s="14" t="str">
        <f t="shared" si="1"/>
        <v>DIGITEC FTZ</v>
      </c>
      <c r="O93" s="15" t="str">
        <f>IFERROR(VLOOKUP(I93,material!A:D,2,0),"")</f>
        <v>SC BOPP 8NP NE 128KB AAC005 TRIPLE</v>
      </c>
    </row>
    <row r="94">
      <c r="A94" s="16" t="s">
        <v>118</v>
      </c>
      <c r="B94" s="7"/>
      <c r="C94" s="8" t="str">
        <f t="array" ref="C94">IFERROR(INDEX(atlas!H:H,MATCH(A94,atlas!C:C,0)),"")</f>
        <v>CHIP</v>
      </c>
      <c r="D94" s="8" t="str">
        <f t="array" ref="D94">IFERROR(INDEX(atlas!D:D,MATCH(A94,atlas!C:C,0)),"")</f>
        <v>DIGITEC TECNOLOGIA DIGITAL E REPRES</v>
      </c>
      <c r="E94" s="8" t="str">
        <f t="array" ref="E94">IFERROR(INDEX(atlas!F:F,MATCH(A94,atlas!C:C,0)),"")</f>
        <v>INICIALIZADO</v>
      </c>
      <c r="F94" s="9" t="s">
        <v>67</v>
      </c>
      <c r="G94" s="10">
        <v>45644.30537037037</v>
      </c>
      <c r="H94" s="11" t="s">
        <v>19</v>
      </c>
      <c r="I94" s="12">
        <f t="array" ref="I94">IFERROR(INDEX(atlas!B:B,MATCH(A94,atlas!C:C,0)),"")</f>
        <v>23105</v>
      </c>
      <c r="J94" s="8" t="str">
        <f>IFERROR(VLOOKUP(F94,tecnica!A:B,2,0),"")</f>
        <v>68</v>
      </c>
      <c r="K94" s="8" t="str">
        <f>IFERROR(VLOOKUP(J94,tecnica!B:C,2,0),"")</f>
        <v>ADS</v>
      </c>
      <c r="L94" s="13" t="s">
        <v>20</v>
      </c>
      <c r="M94" s="14" t="str">
        <f>IFERROR(VLOOKUP(I94,material!A:D,4,0),"")</f>
        <v>EQUIPAMENTO</v>
      </c>
      <c r="N94" s="14" t="str">
        <f t="shared" si="1"/>
        <v>DIGITEC FTZ</v>
      </c>
      <c r="O94" s="15" t="str">
        <f>IFERROR(VLOOKUP(I94,material!A:D,2,0),"")</f>
        <v>SIM CARD MOVEL</v>
      </c>
    </row>
    <row r="95">
      <c r="A95" s="16" t="s">
        <v>119</v>
      </c>
      <c r="B95" s="7"/>
      <c r="C95" s="8" t="str">
        <f t="array" ref="C95">IFERROR(INDEX(atlas!H:H,MATCH(A95,atlas!C:C,0)),"")</f>
        <v>CHIP</v>
      </c>
      <c r="D95" s="8" t="str">
        <f t="array" ref="D95">IFERROR(INDEX(atlas!D:D,MATCH(A95,atlas!C:C,0)),"")</f>
        <v>DIGITEC TECNOLOGIA DIGITAL E REPRES</v>
      </c>
      <c r="E95" s="8" t="str">
        <f t="array" ref="E95">IFERROR(INDEX(atlas!F:F,MATCH(A95,atlas!C:C,0)),"")</f>
        <v>INICIALIZADO</v>
      </c>
      <c r="F95" s="9" t="s">
        <v>67</v>
      </c>
      <c r="G95" s="10">
        <v>45644.30537037037</v>
      </c>
      <c r="H95" s="11" t="s">
        <v>19</v>
      </c>
      <c r="I95" s="12">
        <f t="array" ref="I95">IFERROR(INDEX(atlas!B:B,MATCH(A95,atlas!C:C,0)),"")</f>
        <v>23107</v>
      </c>
      <c r="J95" s="8" t="str">
        <f>IFERROR(VLOOKUP(F95,tecnica!A:B,2,0),"")</f>
        <v>68</v>
      </c>
      <c r="K95" s="8" t="str">
        <f>IFERROR(VLOOKUP(J95,tecnica!B:C,2,0),"")</f>
        <v>ADS</v>
      </c>
      <c r="L95" s="13" t="s">
        <v>20</v>
      </c>
      <c r="M95" s="14" t="str">
        <f>IFERROR(VLOOKUP(I95,material!A:D,4,0),"")</f>
        <v>EQUIPAMENTO</v>
      </c>
      <c r="N95" s="14" t="str">
        <f t="shared" si="1"/>
        <v>DIGITEC FTZ</v>
      </c>
      <c r="O95" s="15" t="str">
        <f>IFERROR(VLOOKUP(I95,material!A:D,2,0),"")</f>
        <v>SC BOPP 8NP NE 128KB AAC005 TRIPLE</v>
      </c>
    </row>
    <row r="96">
      <c r="A96" s="16" t="s">
        <v>120</v>
      </c>
      <c r="B96" s="7"/>
      <c r="C96" s="8" t="str">
        <f t="array" ref="C96">IFERROR(INDEX(atlas!H:H,MATCH(A96,atlas!C:C,0)),"")</f>
        <v>BOX</v>
      </c>
      <c r="D96" s="8" t="str">
        <f t="array" ref="D96">IFERROR(INDEX(atlas!D:D,MATCH(A96,atlas!C:C,0)),"")</f>
        <v>DIGITEC TECNOLOGIA DIGITAL E REPRES</v>
      </c>
      <c r="E96" s="8" t="str">
        <f t="array" ref="E96">IFERROR(INDEX(atlas!F:F,MATCH(A96,atlas!C:C,0)),"")</f>
        <v>INICIALIZADO</v>
      </c>
      <c r="F96" s="9" t="s">
        <v>67</v>
      </c>
      <c r="G96" s="10">
        <v>45644.30537037037</v>
      </c>
      <c r="H96" s="11" t="s">
        <v>19</v>
      </c>
      <c r="I96" s="12">
        <f t="array" ref="I96">IFERROR(INDEX(atlas!B:B,MATCH(A96,atlas!C:C,0)),"")</f>
        <v>41001538</v>
      </c>
      <c r="J96" s="8" t="str">
        <f>IFERROR(VLOOKUP(F96,tecnica!A:B,2,0),"")</f>
        <v>68</v>
      </c>
      <c r="K96" s="8" t="str">
        <f>IFERROR(VLOOKUP(J96,tecnica!B:C,2,0),"")</f>
        <v>ADS</v>
      </c>
      <c r="L96" s="13" t="s">
        <v>20</v>
      </c>
      <c r="M96" s="14" t="str">
        <f>IFERROR(VLOOKUP(I96,material!A:D,4,0),"")</f>
        <v>EQUIPAMENTO</v>
      </c>
      <c r="N96" s="14" t="str">
        <f t="shared" si="1"/>
        <v>DIGITEC FTZ</v>
      </c>
      <c r="O96" s="15" t="str">
        <f>IFERROR(VLOOKUP(I96,material!A:D,2,0),"")</f>
        <v>DECODER IP 4K UHD S4KW2 DDR FAST ETH</v>
      </c>
    </row>
    <row r="97">
      <c r="A97" s="16" t="s">
        <v>121</v>
      </c>
      <c r="B97" s="7"/>
      <c r="C97" s="8" t="str">
        <f t="array" ref="C97">IFERROR(INDEX(atlas!H:H,MATCH(A97,atlas!C:C,0)),"")</f>
        <v>BOX</v>
      </c>
      <c r="D97" s="8" t="str">
        <f t="array" ref="D97">IFERROR(INDEX(atlas!D:D,MATCH(A97,atlas!C:C,0)),"")</f>
        <v>DIGITEC TECNOLOGIA DIGITAL E REPRES</v>
      </c>
      <c r="E97" s="8" t="str">
        <f t="array" ref="E97">IFERROR(INDEX(atlas!F:F,MATCH(A97,atlas!C:C,0)),"")</f>
        <v>INICIALIZADO</v>
      </c>
      <c r="F97" s="9" t="s">
        <v>67</v>
      </c>
      <c r="G97" s="10">
        <v>45644.30537037037</v>
      </c>
      <c r="H97" s="11" t="s">
        <v>19</v>
      </c>
      <c r="I97" s="12">
        <f t="array" ref="I97">IFERROR(INDEX(atlas!B:B,MATCH(A97,atlas!C:C,0)),"")</f>
        <v>41001538</v>
      </c>
      <c r="J97" s="8" t="str">
        <f>IFERROR(VLOOKUP(F97,tecnica!A:B,2,0),"")</f>
        <v>68</v>
      </c>
      <c r="K97" s="8" t="str">
        <f>IFERROR(VLOOKUP(J97,tecnica!B:C,2,0),"")</f>
        <v>ADS</v>
      </c>
      <c r="L97" s="13" t="s">
        <v>20</v>
      </c>
      <c r="M97" s="14" t="str">
        <f>IFERROR(VLOOKUP(I97,material!A:D,4,0),"")</f>
        <v>EQUIPAMENTO</v>
      </c>
      <c r="N97" s="14" t="str">
        <f t="shared" si="1"/>
        <v>DIGITEC FTZ</v>
      </c>
      <c r="O97" s="15" t="str">
        <f>IFERROR(VLOOKUP(I97,material!A:D,2,0),"")</f>
        <v>DECODER IP 4K UHD S4KW2 DDR FAST ETH</v>
      </c>
    </row>
    <row r="98">
      <c r="A98" s="6" t="s">
        <v>122</v>
      </c>
      <c r="B98" s="7"/>
      <c r="C98" s="8" t="str">
        <f t="array" ref="C98">IFERROR(INDEX(atlas!H:H,MATCH(A98,atlas!C:C,0)),"")</f>
        <v>TOP MIX</v>
      </c>
      <c r="D98" s="8" t="str">
        <f t="array" ref="D98">IFERROR(INDEX(atlas!D:D,MATCH(A98,atlas!C:C,0)),"")</f>
        <v>DIGITEC TECNOLOGIA DIGITAL E REPRES</v>
      </c>
      <c r="E98" s="8" t="str">
        <f t="array" ref="E98">IFERROR(INDEX(atlas!F:F,MATCH(A98,atlas!C:C,0)),"")</f>
        <v>SUSPEITO</v>
      </c>
      <c r="F98" s="9" t="s">
        <v>123</v>
      </c>
      <c r="G98" s="10">
        <v>45644.46834490741</v>
      </c>
      <c r="H98" s="11" t="s">
        <v>25</v>
      </c>
      <c r="I98" s="12">
        <f t="array" ref="I98">IFERROR(INDEX(atlas!B:B,MATCH(A98,atlas!C:C,0)),"")</f>
        <v>41001048</v>
      </c>
      <c r="J98" s="8" t="str">
        <f>IFERROR(VLOOKUP(F98,tecnica!A:B,2,0),"")</f>
        <v>26</v>
      </c>
      <c r="K98" s="8" t="str">
        <f>IFERROR(VLOOKUP(J98,tecnica!B:C,2,0),"")</f>
        <v>ADS</v>
      </c>
      <c r="L98" s="13" t="s">
        <v>20</v>
      </c>
      <c r="M98" s="14" t="str">
        <f>IFERROR(VLOOKUP(I98,material!A:D,4,0),"")</f>
        <v>EQUIPAMENTO</v>
      </c>
      <c r="N98" s="14" t="str">
        <f t="shared" si="1"/>
        <v>DIGITEC FTZ</v>
      </c>
      <c r="O98" s="15" t="str">
        <f>IFERROR(VLOOKUP(I98,material!A:D,2,0),"")</f>
        <v>DECODER HD HHDC2</v>
      </c>
    </row>
    <row r="99">
      <c r="A99" s="6" t="s">
        <v>124</v>
      </c>
      <c r="B99" s="7"/>
      <c r="C99" s="8" t="str">
        <f t="array" ref="C99">IFERROR(INDEX(atlas!H:H,MATCH(A99,atlas!C:C,0)),"")</f>
        <v>SIM CARD</v>
      </c>
      <c r="D99" s="8" t="str">
        <f t="array" ref="D99">IFERROR(INDEX(atlas!D:D,MATCH(A99,atlas!C:C,0)),"")</f>
        <v>DIGITEC TECNOLOGIA DIGITAL E REPRES</v>
      </c>
      <c r="E99" s="8" t="str">
        <f t="array" ref="E99">IFERROR(INDEX(atlas!F:F,MATCH(A99,atlas!C:C,0)),"")</f>
        <v>SUSPEITO</v>
      </c>
      <c r="F99" s="9" t="s">
        <v>123</v>
      </c>
      <c r="G99" s="10">
        <v>45644.46834490741</v>
      </c>
      <c r="H99" s="11" t="s">
        <v>25</v>
      </c>
      <c r="I99" s="12">
        <f t="array" ref="I99">IFERROR(INDEX(atlas!B:B,MATCH(A99,atlas!C:C,0)),"")</f>
        <v>41001508</v>
      </c>
      <c r="J99" s="8" t="str">
        <f>IFERROR(VLOOKUP(F99,tecnica!A:B,2,0),"")</f>
        <v>26</v>
      </c>
      <c r="K99" s="8" t="str">
        <f>IFERROR(VLOOKUP(J99,tecnica!B:C,2,0),"")</f>
        <v>ADS</v>
      </c>
      <c r="L99" s="13" t="s">
        <v>20</v>
      </c>
      <c r="M99" s="14" t="str">
        <f>IFERROR(VLOOKUP(I99,material!A:D,4,0),"")</f>
        <v>EQUIPAMENTO</v>
      </c>
      <c r="N99" s="14" t="str">
        <f t="shared" si="1"/>
        <v>DIGITEC FTZ</v>
      </c>
      <c r="O99" s="15" t="str">
        <f>IFERROR(VLOOKUP(I99,material!A:D,2,0),"")</f>
        <v>SMART CARD AVULSO MINI</v>
      </c>
    </row>
    <row r="100">
      <c r="A100" s="6" t="s">
        <v>125</v>
      </c>
      <c r="B100" s="7"/>
      <c r="C100" s="8" t="str">
        <f t="array" ref="C100">IFERROR(INDEX(atlas!H:H,MATCH(A100,atlas!C:C,0)),"")</f>
        <v>WIFI MESH</v>
      </c>
      <c r="D100" s="8" t="str">
        <f t="array" ref="D100">IFERROR(INDEX(atlas!D:D,MATCH(A100,atlas!C:C,0)),"")</f>
        <v>DIGITEC TECNOLOGIA DIGITAL E REPRES</v>
      </c>
      <c r="E100" s="8" t="str">
        <f t="array" ref="E100">IFERROR(INDEX(atlas!F:F,MATCH(A100,atlas!C:C,0)),"")</f>
        <v>SUSPEITO</v>
      </c>
      <c r="F100" s="9" t="s">
        <v>123</v>
      </c>
      <c r="G100" s="10">
        <v>45644.46834490741</v>
      </c>
      <c r="H100" s="11" t="s">
        <v>25</v>
      </c>
      <c r="I100" s="12">
        <f t="array" ref="I100">IFERROR(INDEX(atlas!B:B,MATCH(A100,atlas!C:C,0)),"")</f>
        <v>41001567</v>
      </c>
      <c r="J100" s="8" t="str">
        <f>IFERROR(VLOOKUP(F100,tecnica!A:B,2,0),"")</f>
        <v>26</v>
      </c>
      <c r="K100" s="8" t="str">
        <f>IFERROR(VLOOKUP(J100,tecnica!B:C,2,0),"")</f>
        <v>ADS</v>
      </c>
      <c r="L100" s="13" t="s">
        <v>20</v>
      </c>
      <c r="M100" s="14" t="str">
        <f>IFERROR(VLOOKUP(I100,material!A:D,4,0),"")</f>
        <v>EQUIPAMENTO</v>
      </c>
      <c r="N100" s="14" t="str">
        <f t="shared" si="1"/>
        <v>DIGITEC FTZ</v>
      </c>
      <c r="O100" s="15" t="str">
        <f>IFERROR(VLOOKUP(I100,material!A:D,2,0),"")</f>
        <v>TERMINAL EXTENSOR WIFI5 MESH AR2180T</v>
      </c>
    </row>
    <row r="101">
      <c r="A101" s="6" t="s">
        <v>126</v>
      </c>
      <c r="B101" s="7"/>
      <c r="C101" s="8" t="str">
        <f t="array" ref="C101">IFERROR(INDEX(atlas!H:H,MATCH(A101,atlas!C:C,0)),"")</f>
        <v>TOP MIX</v>
      </c>
      <c r="D101" s="8" t="str">
        <f t="array" ref="D101">IFERROR(INDEX(atlas!D:D,MATCH(A101,atlas!C:C,0)),"")</f>
        <v>DIGITEC TECNOLOGIA DIGITAL E REPRES</v>
      </c>
      <c r="E101" s="8" t="str">
        <f t="array" ref="E101">IFERROR(INDEX(atlas!F:F,MATCH(A101,atlas!C:C,0)),"")</f>
        <v>SUSPEITO</v>
      </c>
      <c r="F101" s="9" t="s">
        <v>123</v>
      </c>
      <c r="G101" s="10">
        <v>45644.46834490741</v>
      </c>
      <c r="H101" s="11" t="s">
        <v>25</v>
      </c>
      <c r="I101" s="12">
        <f t="array" ref="I101">IFERROR(INDEX(atlas!B:B,MATCH(A101,atlas!C:C,0)),"")</f>
        <v>41001276</v>
      </c>
      <c r="J101" s="8" t="str">
        <f>IFERROR(VLOOKUP(F101,tecnica!A:B,2,0),"")</f>
        <v>26</v>
      </c>
      <c r="K101" s="8" t="str">
        <f>IFERROR(VLOOKUP(J101,tecnica!B:C,2,0),"")</f>
        <v>ADS</v>
      </c>
      <c r="L101" s="13" t="s">
        <v>20</v>
      </c>
      <c r="M101" s="14" t="str">
        <f>IFERROR(VLOOKUP(I101,material!A:D,4,0),"")</f>
        <v>EQUIPAMENTO</v>
      </c>
      <c r="N101" s="14" t="str">
        <f t="shared" si="1"/>
        <v>DIGITEC FTZ</v>
      </c>
      <c r="O101" s="15" t="str">
        <f>IFERROR(VLOOKUP(I101,material!A:D,2,0),"")</f>
        <v>DECODER DIGITAL HD HNB100 2T</v>
      </c>
    </row>
    <row r="102">
      <c r="A102" s="6" t="s">
        <v>127</v>
      </c>
      <c r="B102" s="7"/>
      <c r="C102" s="8" t="str">
        <f t="array" ref="C102">IFERROR(INDEX(atlas!H:H,MATCH(A102,atlas!C:C,0)),"")</f>
        <v>CARD</v>
      </c>
      <c r="D102" s="8" t="str">
        <f t="array" ref="D102">IFERROR(INDEX(atlas!D:D,MATCH(A102,atlas!C:C,0)),"")</f>
        <v>DIGITEC TECNOLOGIA DIGITAL E REPRES</v>
      </c>
      <c r="E102" s="8" t="str">
        <f t="array" ref="E102">IFERROR(INDEX(atlas!F:F,MATCH(A102,atlas!C:C,0)),"")</f>
        <v>SUSPEITO</v>
      </c>
      <c r="F102" s="9" t="s">
        <v>123</v>
      </c>
      <c r="G102" s="10">
        <v>45644.46834490741</v>
      </c>
      <c r="H102" s="11" t="s">
        <v>25</v>
      </c>
      <c r="I102" s="12">
        <f t="array" ref="I102">IFERROR(INDEX(atlas!B:B,MATCH(A102,atlas!C:C,0)),"")</f>
        <v>41001234</v>
      </c>
      <c r="J102" s="8" t="str">
        <f>IFERROR(VLOOKUP(F102,tecnica!A:B,2,0),"")</f>
        <v>26</v>
      </c>
      <c r="K102" s="8" t="str">
        <f>IFERROR(VLOOKUP(J102,tecnica!B:C,2,0),"")</f>
        <v>ADS</v>
      </c>
      <c r="L102" s="13" t="s">
        <v>20</v>
      </c>
      <c r="M102" s="14" t="str">
        <f>IFERROR(VLOOKUP(I102,material!A:D,4,0),"")</f>
        <v>EQUIPAMENTO</v>
      </c>
      <c r="N102" s="14" t="str">
        <f t="shared" si="1"/>
        <v>DIGITEC FTZ</v>
      </c>
      <c r="O102" s="15" t="str">
        <f>IFERROR(VLOOKUP(I102,material!A:D,2,0),"")</f>
        <v>SMART CARD PRETO NAGRA</v>
      </c>
    </row>
    <row r="103">
      <c r="A103" s="6" t="s">
        <v>128</v>
      </c>
      <c r="B103" s="7"/>
      <c r="C103" s="8" t="str">
        <f t="array" ref="C103">IFERROR(INDEX(atlas!H:H,MATCH(A103,atlas!C:C,0)),"")</f>
        <v>DUAL</v>
      </c>
      <c r="D103" s="8" t="str">
        <f t="array" ref="D103">IFERROR(INDEX(atlas!D:D,MATCH(A103,atlas!C:C,0)),"")</f>
        <v>DIGITEC TECNOLOGIA DIGITAL E REPRES</v>
      </c>
      <c r="E103" s="8" t="str">
        <f t="array" ref="E103">IFERROR(INDEX(atlas!F:F,MATCH(A103,atlas!C:C,0)),"")</f>
        <v>SUSPEITO</v>
      </c>
      <c r="F103" s="9" t="s">
        <v>123</v>
      </c>
      <c r="G103" s="10">
        <v>45644.46834490741</v>
      </c>
      <c r="H103" s="11" t="s">
        <v>25</v>
      </c>
      <c r="I103" s="12">
        <f t="array" ref="I103">IFERROR(INDEX(atlas!B:B,MATCH(A103,atlas!C:C,0)),"")</f>
        <v>41001292</v>
      </c>
      <c r="J103" s="8" t="str">
        <f>IFERROR(VLOOKUP(F103,tecnica!A:B,2,0),"")</f>
        <v>26</v>
      </c>
      <c r="K103" s="8" t="str">
        <f>IFERROR(VLOOKUP(J103,tecnica!B:C,2,0),"")</f>
        <v>ADS</v>
      </c>
      <c r="L103" s="13" t="s">
        <v>20</v>
      </c>
      <c r="M103" s="14" t="str">
        <f>IFERROR(VLOOKUP(I103,material!A:D,4,0),"")</f>
        <v>EQUIPAMENTO</v>
      </c>
      <c r="N103" s="14" t="str">
        <f t="shared" si="1"/>
        <v>DIGITEC FTZ</v>
      </c>
      <c r="O103" s="15" t="str">
        <f>IFERROR(VLOOKUP(I103,material!A:D,2,0),"")</f>
        <v>HUMAX HGB10R-02</v>
      </c>
    </row>
    <row r="104">
      <c r="A104" s="6" t="s">
        <v>129</v>
      </c>
      <c r="B104" s="7"/>
      <c r="C104" s="8" t="str">
        <f t="array" ref="C104">IFERROR(INDEX(atlas!H:H,MATCH(A104,atlas!C:C,0)),"")</f>
        <v>DUAL</v>
      </c>
      <c r="D104" s="8" t="str">
        <f t="array" ref="D104">IFERROR(INDEX(atlas!D:D,MATCH(A104,atlas!C:C,0)),"")</f>
        <v>DIGITEC TECNOLOGIA DIGITAL E REPRES</v>
      </c>
      <c r="E104" s="8" t="str">
        <f t="array" ref="E104">IFERROR(INDEX(atlas!F:F,MATCH(A104,atlas!C:C,0)),"")</f>
        <v>SUSPEITO</v>
      </c>
      <c r="F104" s="9" t="s">
        <v>123</v>
      </c>
      <c r="G104" s="10">
        <v>45644.46834490741</v>
      </c>
      <c r="H104" s="11" t="s">
        <v>25</v>
      </c>
      <c r="I104" s="12">
        <f t="array" ref="I104">IFERROR(INDEX(atlas!B:B,MATCH(A104,atlas!C:C,0)),"")</f>
        <v>41001293</v>
      </c>
      <c r="J104" s="8" t="str">
        <f>IFERROR(VLOOKUP(F104,tecnica!A:B,2,0),"")</f>
        <v>26</v>
      </c>
      <c r="K104" s="8" t="str">
        <f>IFERROR(VLOOKUP(J104,tecnica!B:C,2,0),"")</f>
        <v>ADS</v>
      </c>
      <c r="L104" s="13" t="s">
        <v>20</v>
      </c>
      <c r="M104" s="14" t="str">
        <f>IFERROR(VLOOKUP(I104,material!A:D,4,0),"")</f>
        <v>EQUIPAMENTO</v>
      </c>
      <c r="N104" s="14" t="str">
        <f t="shared" si="1"/>
        <v>DIGITEC FTZ</v>
      </c>
      <c r="O104" s="15" t="str">
        <f>IFERROR(VLOOKUP(I104,material!A:D,2,0),"")</f>
        <v>ARRIS TG1692A</v>
      </c>
    </row>
    <row r="105">
      <c r="A105" s="6" t="s">
        <v>130</v>
      </c>
      <c r="B105" s="7"/>
      <c r="C105" s="8" t="str">
        <f t="array" ref="C105">IFERROR(INDEX(atlas!H:H,MATCH(A105,atlas!C:C,0)),"")</f>
        <v>3.1</v>
      </c>
      <c r="D105" s="8" t="str">
        <f t="array" ref="D105">IFERROR(INDEX(atlas!D:D,MATCH(A105,atlas!C:C,0)),"")</f>
        <v>DIGITEC TECNOLOGIA DIGITAL E REPRES</v>
      </c>
      <c r="E105" s="8" t="str">
        <f t="array" ref="E105">IFERROR(INDEX(atlas!F:F,MATCH(A105,atlas!C:C,0)),"")</f>
        <v>SUSPEITO</v>
      </c>
      <c r="F105" s="9" t="s">
        <v>123</v>
      </c>
      <c r="G105" s="10">
        <v>45644.46834490741</v>
      </c>
      <c r="H105" s="11" t="s">
        <v>25</v>
      </c>
      <c r="I105" s="12">
        <f t="array" ref="I105">IFERROR(INDEX(atlas!B:B,MATCH(A105,atlas!C:C,0)),"")</f>
        <v>41001486</v>
      </c>
      <c r="J105" s="8" t="str">
        <f>IFERROR(VLOOKUP(F105,tecnica!A:B,2,0),"")</f>
        <v>26</v>
      </c>
      <c r="K105" s="8" t="str">
        <f>IFERROR(VLOOKUP(J105,tecnica!B:C,2,0),"")</f>
        <v>ADS</v>
      </c>
      <c r="L105" s="13" t="s">
        <v>20</v>
      </c>
      <c r="M105" s="14" t="str">
        <f>IFERROR(VLOOKUP(I105,material!A:D,4,0),"")</f>
        <v>EQUIPAMENTO</v>
      </c>
      <c r="N105" s="14" t="str">
        <f t="shared" si="1"/>
        <v>DIGITEC FTZ</v>
      </c>
      <c r="O105" s="15" t="str">
        <f>IFERROR(VLOOKUP(I105,material!A:D,2,0),"")</f>
        <v>MODEM VOIP EMTA WIFI 3.1 CG3000</v>
      </c>
    </row>
    <row r="106">
      <c r="A106" s="6" t="s">
        <v>131</v>
      </c>
      <c r="B106" s="7"/>
      <c r="C106" s="8" t="str">
        <f t="array" ref="C106">IFERROR(INDEX(atlas!H:H,MATCH(A106,atlas!C:C,0)),"")</f>
        <v>WIFI 6</v>
      </c>
      <c r="D106" s="8" t="str">
        <f t="array" ref="D106">IFERROR(INDEX(atlas!D:D,MATCH(A106,atlas!C:C,0)),"")</f>
        <v>DIGITEC TECNOLOGIA DIGITAL E REPRES</v>
      </c>
      <c r="E106" s="8" t="str">
        <f t="array" ref="E106">IFERROR(INDEX(atlas!F:F,MATCH(A106,atlas!C:C,0)),"")</f>
        <v>SUSPEITO</v>
      </c>
      <c r="F106" s="9" t="s">
        <v>123</v>
      </c>
      <c r="G106" s="10">
        <v>45644.46834490741</v>
      </c>
      <c r="H106" s="11" t="s">
        <v>25</v>
      </c>
      <c r="I106" s="12">
        <f t="array" ref="I106">IFERROR(INDEX(atlas!B:B,MATCH(A106,atlas!C:C,0)),"")</f>
        <v>41001552</v>
      </c>
      <c r="J106" s="8" t="str">
        <f>IFERROR(VLOOKUP(F106,tecnica!A:B,2,0),"")</f>
        <v>26</v>
      </c>
      <c r="K106" s="8" t="str">
        <f>IFERROR(VLOOKUP(J106,tecnica!B:C,2,0),"")</f>
        <v>ADS</v>
      </c>
      <c r="L106" s="13" t="s">
        <v>20</v>
      </c>
      <c r="M106" s="14" t="str">
        <f>IFERROR(VLOOKUP(I106,material!A:D,4,0),"")</f>
        <v>EQUIPAMENTO</v>
      </c>
      <c r="N106" s="14" t="str">
        <f t="shared" si="1"/>
        <v>DIGITEC FTZ</v>
      </c>
      <c r="O106" s="15" t="str">
        <f>IFERROR(VLOOKUP(I106,material!A:D,2,0),"")</f>
        <v>TERMINAL DOCSIS 3.1 EMTA WIFI6 F@ST3896</v>
      </c>
    </row>
    <row r="107">
      <c r="A107" s="6" t="s">
        <v>132</v>
      </c>
      <c r="B107" s="7"/>
      <c r="C107" s="8" t="str">
        <f t="array" ref="C107">IFERROR(INDEX(atlas!H:H,MATCH(A107,atlas!C:C,0)),"")</f>
        <v>3.1</v>
      </c>
      <c r="D107" s="8" t="str">
        <f t="array" ref="D107">IFERROR(INDEX(atlas!D:D,MATCH(A107,atlas!C:C,0)),"")</f>
        <v>DIGITEC TECNOLOGIA DIGITAL E REPRES</v>
      </c>
      <c r="E107" s="8" t="str">
        <f t="array" ref="E107">IFERROR(INDEX(atlas!F:F,MATCH(A107,atlas!C:C,0)),"")</f>
        <v>SUSPEITO</v>
      </c>
      <c r="F107" s="9" t="s">
        <v>123</v>
      </c>
      <c r="G107" s="10">
        <v>45644.46834490741</v>
      </c>
      <c r="H107" s="11" t="s">
        <v>25</v>
      </c>
      <c r="I107" s="12">
        <f t="array" ref="I107">IFERROR(INDEX(atlas!B:B,MATCH(A107,atlas!C:C,0)),"")</f>
        <v>41001485</v>
      </c>
      <c r="J107" s="8" t="str">
        <f>IFERROR(VLOOKUP(F107,tecnica!A:B,2,0),"")</f>
        <v>26</v>
      </c>
      <c r="K107" s="8" t="str">
        <f>IFERROR(VLOOKUP(J107,tecnica!B:C,2,0),"")</f>
        <v>ADS</v>
      </c>
      <c r="L107" s="13" t="s">
        <v>20</v>
      </c>
      <c r="M107" s="14" t="str">
        <f>IFERROR(VLOOKUP(I107,material!A:D,4,0),"")</f>
        <v>EQUIPAMENTO</v>
      </c>
      <c r="N107" s="14" t="str">
        <f t="shared" si="1"/>
        <v>DIGITEC FTZ</v>
      </c>
      <c r="O107" s="15" t="str">
        <f>IFERROR(VLOOKUP(I107,material!A:D,2,0),"")</f>
        <v>MODEM VOIP EMTA WIFI 3.1 CH8568</v>
      </c>
    </row>
    <row r="108">
      <c r="A108" s="6" t="s">
        <v>133</v>
      </c>
      <c r="B108" s="7"/>
      <c r="C108" s="8" t="str">
        <f t="array" ref="C108">IFERROR(INDEX(atlas!H:H,MATCH(A108,atlas!C:C,0)),"")</f>
        <v>TOP MIX</v>
      </c>
      <c r="D108" s="8" t="str">
        <f t="array" ref="D108">IFERROR(INDEX(atlas!D:D,MATCH(A108,atlas!C:C,0)),"")</f>
        <v>DIGITEC TECNOLOGIA DIGITAL E REPRES</v>
      </c>
      <c r="E108" s="8" t="str">
        <f t="array" ref="E108">IFERROR(INDEX(atlas!F:F,MATCH(A108,atlas!C:C,0)),"")</f>
        <v>SUSPEITO</v>
      </c>
      <c r="F108" s="9" t="s">
        <v>123</v>
      </c>
      <c r="G108" s="10">
        <v>45644.46834490741</v>
      </c>
      <c r="H108" s="11" t="s">
        <v>25</v>
      </c>
      <c r="I108" s="12">
        <f t="array" ref="I108">IFERROR(INDEX(atlas!B:B,MATCH(A108,atlas!C:C,0)),"")</f>
        <v>41001275</v>
      </c>
      <c r="J108" s="8" t="str">
        <f>IFERROR(VLOOKUP(F108,tecnica!A:B,2,0),"")</f>
        <v>26</v>
      </c>
      <c r="K108" s="8" t="str">
        <f>IFERROR(VLOOKUP(J108,tecnica!B:C,2,0),"")</f>
        <v>ADS</v>
      </c>
      <c r="L108" s="13" t="s">
        <v>20</v>
      </c>
      <c r="M108" s="14" t="str">
        <f>IFERROR(VLOOKUP(I108,material!A:D,4,0),"")</f>
        <v>EQUIPAMENTO</v>
      </c>
      <c r="N108" s="14" t="str">
        <f t="shared" si="1"/>
        <v>DIGITEC FTZ</v>
      </c>
      <c r="O108" s="15" t="str">
        <f>IFERROR(VLOOKUP(I108,material!A:D,2,0),"")</f>
        <v>DECODER HD DCI738 2T</v>
      </c>
    </row>
    <row r="109">
      <c r="A109" s="6" t="s">
        <v>134</v>
      </c>
      <c r="B109" s="7"/>
      <c r="C109" s="8" t="str">
        <f t="array" ref="C109">IFERROR(INDEX(atlas!H:H,MATCH(A109,atlas!C:C,0)),"")</f>
        <v>CARD</v>
      </c>
      <c r="D109" s="8" t="str">
        <f t="array" ref="D109">IFERROR(INDEX(atlas!D:D,MATCH(A109,atlas!C:C,0)),"")</f>
        <v>DIGITEC TECNOLOGIA DIGITAL E REPRES</v>
      </c>
      <c r="E109" s="8" t="str">
        <f t="array" ref="E109">IFERROR(INDEX(atlas!F:F,MATCH(A109,atlas!C:C,0)),"")</f>
        <v>SUSPEITO</v>
      </c>
      <c r="F109" s="9" t="s">
        <v>123</v>
      </c>
      <c r="G109" s="10">
        <v>45644.46834490741</v>
      </c>
      <c r="H109" s="11" t="s">
        <v>25</v>
      </c>
      <c r="I109" s="12">
        <f t="array" ref="I109">IFERROR(INDEX(atlas!B:B,MATCH(A109,atlas!C:C,0)),"")</f>
        <v>41001234</v>
      </c>
      <c r="J109" s="8" t="str">
        <f>IFERROR(VLOOKUP(F109,tecnica!A:B,2,0),"")</f>
        <v>26</v>
      </c>
      <c r="K109" s="8" t="str">
        <f>IFERROR(VLOOKUP(J109,tecnica!B:C,2,0),"")</f>
        <v>ADS</v>
      </c>
      <c r="L109" s="13" t="s">
        <v>20</v>
      </c>
      <c r="M109" s="14" t="str">
        <f>IFERROR(VLOOKUP(I109,material!A:D,4,0),"")</f>
        <v>EQUIPAMENTO</v>
      </c>
      <c r="N109" s="14" t="str">
        <f t="shared" si="1"/>
        <v>DIGITEC FTZ</v>
      </c>
      <c r="O109" s="15" t="str">
        <f>IFERROR(VLOOKUP(I109,material!A:D,2,0),"")</f>
        <v>SMART CARD PRETO NAGRA</v>
      </c>
    </row>
    <row r="110">
      <c r="A110" s="6" t="s">
        <v>135</v>
      </c>
      <c r="B110" s="7"/>
      <c r="C110" s="8" t="str">
        <f t="array" ref="C110">IFERROR(INDEX(atlas!H:H,MATCH(A110,atlas!C:C,0)),"")</f>
        <v>DUAL</v>
      </c>
      <c r="D110" s="8" t="str">
        <f t="array" ref="D110">IFERROR(INDEX(atlas!D:D,MATCH(A110,atlas!C:C,0)),"")</f>
        <v>DIGITEC TECNOLOGIA DIGITAL E REPRES</v>
      </c>
      <c r="E110" s="8" t="str">
        <f t="array" ref="E110">IFERROR(INDEX(atlas!F:F,MATCH(A110,atlas!C:C,0)),"")</f>
        <v>SUSPEITO</v>
      </c>
      <c r="F110" s="9" t="s">
        <v>123</v>
      </c>
      <c r="G110" s="10">
        <v>45644.46834490741</v>
      </c>
      <c r="H110" s="11" t="s">
        <v>25</v>
      </c>
      <c r="I110" s="12">
        <f t="array" ref="I110">IFERROR(INDEX(atlas!B:B,MATCH(A110,atlas!C:C,0)),"")</f>
        <v>41001294</v>
      </c>
      <c r="J110" s="8" t="str">
        <f>IFERROR(VLOOKUP(F110,tecnica!A:B,2,0),"")</f>
        <v>26</v>
      </c>
      <c r="K110" s="8" t="str">
        <f>IFERROR(VLOOKUP(J110,tecnica!B:C,2,0),"")</f>
        <v>ADS</v>
      </c>
      <c r="L110" s="13" t="s">
        <v>20</v>
      </c>
      <c r="M110" s="14" t="str">
        <f>IFERROR(VLOOKUP(I110,material!A:D,4,0),"")</f>
        <v>EQUIPAMENTO</v>
      </c>
      <c r="N110" s="14" t="str">
        <f t="shared" si="1"/>
        <v>DIGITEC FTZ</v>
      </c>
      <c r="O110" s="15" t="str">
        <f>IFERROR(VLOOKUP(I110,material!A:D,2,0),"")</f>
        <v>TECHNICOLOR TC7337NET</v>
      </c>
    </row>
    <row r="111">
      <c r="A111" s="6" t="s">
        <v>136</v>
      </c>
      <c r="B111" s="7"/>
      <c r="C111" s="8" t="str">
        <f t="array" ref="C111">IFERROR(INDEX(atlas!H:H,MATCH(A111,atlas!C:C,0)),"")</f>
        <v>DUAL</v>
      </c>
      <c r="D111" s="8" t="str">
        <f t="array" ref="D111">IFERROR(INDEX(atlas!D:D,MATCH(A111,atlas!C:C,0)),"")</f>
        <v>DIGITEC TECNOLOGIA DIGITAL E REPRES</v>
      </c>
      <c r="E111" s="8" t="str">
        <f t="array" ref="E111">IFERROR(INDEX(atlas!F:F,MATCH(A111,atlas!C:C,0)),"")</f>
        <v>SUSPEITO</v>
      </c>
      <c r="F111" s="9" t="s">
        <v>123</v>
      </c>
      <c r="G111" s="10">
        <v>45644.46834490741</v>
      </c>
      <c r="H111" s="11" t="s">
        <v>25</v>
      </c>
      <c r="I111" s="12">
        <f t="array" ref="I111">IFERROR(INDEX(atlas!B:B,MATCH(A111,atlas!C:C,0)),"")</f>
        <v>41001292</v>
      </c>
      <c r="J111" s="8" t="str">
        <f>IFERROR(VLOOKUP(F111,tecnica!A:B,2,0),"")</f>
        <v>26</v>
      </c>
      <c r="K111" s="8" t="str">
        <f>IFERROR(VLOOKUP(J111,tecnica!B:C,2,0),"")</f>
        <v>ADS</v>
      </c>
      <c r="L111" s="13" t="s">
        <v>20</v>
      </c>
      <c r="M111" s="14" t="str">
        <f>IFERROR(VLOOKUP(I111,material!A:D,4,0),"")</f>
        <v>EQUIPAMENTO</v>
      </c>
      <c r="N111" s="14" t="str">
        <f t="shared" si="1"/>
        <v>DIGITEC FTZ</v>
      </c>
      <c r="O111" s="15" t="str">
        <f>IFERROR(VLOOKUP(I111,material!A:D,2,0),"")</f>
        <v>HUMAX HGB10R-02</v>
      </c>
    </row>
    <row r="112">
      <c r="A112" s="6" t="s">
        <v>137</v>
      </c>
      <c r="B112" s="7"/>
      <c r="C112" s="8" t="str">
        <f t="array" ref="C112">IFERROR(INDEX(atlas!H:H,MATCH(A112,atlas!C:C,0)),"")</f>
        <v>TOP MIX</v>
      </c>
      <c r="D112" s="8" t="str">
        <f t="array" ref="D112">IFERROR(INDEX(atlas!D:D,MATCH(A112,atlas!C:C,0)),"")</f>
        <v>DIGITEC TECNOLOGIA DIGITAL E REPRES</v>
      </c>
      <c r="E112" s="8" t="str">
        <f t="array" ref="E112">IFERROR(INDEX(atlas!F:F,MATCH(A112,atlas!C:C,0)),"")</f>
        <v>SUSPEITO</v>
      </c>
      <c r="F112" s="9" t="s">
        <v>123</v>
      </c>
      <c r="G112" s="10">
        <v>45644.46834490741</v>
      </c>
      <c r="H112" s="11" t="s">
        <v>25</v>
      </c>
      <c r="I112" s="12">
        <f t="array" ref="I112">IFERROR(INDEX(atlas!B:B,MATCH(A112,atlas!C:C,0)),"")</f>
        <v>41001276</v>
      </c>
      <c r="J112" s="8" t="str">
        <f>IFERROR(VLOOKUP(F112,tecnica!A:B,2,0),"")</f>
        <v>26</v>
      </c>
      <c r="K112" s="8" t="str">
        <f>IFERROR(VLOOKUP(J112,tecnica!B:C,2,0),"")</f>
        <v>ADS</v>
      </c>
      <c r="L112" s="13" t="s">
        <v>20</v>
      </c>
      <c r="M112" s="14" t="str">
        <f>IFERROR(VLOOKUP(I112,material!A:D,4,0),"")</f>
        <v>EQUIPAMENTO</v>
      </c>
      <c r="N112" s="14" t="str">
        <f t="shared" si="1"/>
        <v>DIGITEC FTZ</v>
      </c>
      <c r="O112" s="15" t="str">
        <f>IFERROR(VLOOKUP(I112,material!A:D,2,0),"")</f>
        <v>DECODER DIGITAL HD HNB100 2T</v>
      </c>
    </row>
    <row r="113">
      <c r="A113" s="6" t="s">
        <v>138</v>
      </c>
      <c r="B113" s="7"/>
      <c r="C113" s="8" t="str">
        <f t="array" ref="C113">IFERROR(INDEX(atlas!H:H,MATCH(A113,atlas!C:C,0)),"")</f>
        <v>CARD</v>
      </c>
      <c r="D113" s="8" t="str">
        <f t="array" ref="D113">IFERROR(INDEX(atlas!D:D,MATCH(A113,atlas!C:C,0)),"")</f>
        <v>DIGITEC TECNOLOGIA DIGITAL E REPRES</v>
      </c>
      <c r="E113" s="8" t="str">
        <f t="array" ref="E113">IFERROR(INDEX(atlas!F:F,MATCH(A113,atlas!C:C,0)),"")</f>
        <v>SUSPEITO</v>
      </c>
      <c r="F113" s="9" t="s">
        <v>123</v>
      </c>
      <c r="G113" s="10">
        <v>45644.46834490741</v>
      </c>
      <c r="H113" s="11" t="s">
        <v>25</v>
      </c>
      <c r="I113" s="12">
        <f t="array" ref="I113">IFERROR(INDEX(atlas!B:B,MATCH(A113,atlas!C:C,0)),"")</f>
        <v>41001234</v>
      </c>
      <c r="J113" s="8" t="str">
        <f>IFERROR(VLOOKUP(F113,tecnica!A:B,2,0),"")</f>
        <v>26</v>
      </c>
      <c r="K113" s="8" t="str">
        <f>IFERROR(VLOOKUP(J113,tecnica!B:C,2,0),"")</f>
        <v>ADS</v>
      </c>
      <c r="L113" s="13" t="s">
        <v>20</v>
      </c>
      <c r="M113" s="14" t="str">
        <f>IFERROR(VLOOKUP(I113,material!A:D,4,0),"")</f>
        <v>EQUIPAMENTO</v>
      </c>
      <c r="N113" s="14" t="str">
        <f t="shared" si="1"/>
        <v>DIGITEC FTZ</v>
      </c>
      <c r="O113" s="15" t="str">
        <f>IFERROR(VLOOKUP(I113,material!A:D,2,0),"")</f>
        <v>SMART CARD PRETO NAGRA</v>
      </c>
    </row>
    <row r="114">
      <c r="A114" s="6" t="s">
        <v>139</v>
      </c>
      <c r="B114" s="7"/>
      <c r="C114" s="8" t="str">
        <f t="array" ref="C114">IFERROR(INDEX(atlas!H:H,MATCH(A114,atlas!C:C,0)),"")</f>
        <v>3.1</v>
      </c>
      <c r="D114" s="8" t="str">
        <f t="array" ref="D114">IFERROR(INDEX(atlas!D:D,MATCH(A114,atlas!C:C,0)),"")</f>
        <v>DIGITEC TECNOLOGIA DIGITAL E REPRES</v>
      </c>
      <c r="E114" s="8" t="str">
        <f t="array" ref="E114">IFERROR(INDEX(atlas!F:F,MATCH(A114,atlas!C:C,0)),"")</f>
        <v>SUSPEITO</v>
      </c>
      <c r="F114" s="9" t="s">
        <v>123</v>
      </c>
      <c r="G114" s="10">
        <v>45644.46834490741</v>
      </c>
      <c r="H114" s="11" t="s">
        <v>25</v>
      </c>
      <c r="I114" s="12">
        <f t="array" ref="I114">IFERROR(INDEX(atlas!B:B,MATCH(A114,atlas!C:C,0)),"")</f>
        <v>41001482</v>
      </c>
      <c r="J114" s="8" t="str">
        <f>IFERROR(VLOOKUP(F114,tecnica!A:B,2,0),"")</f>
        <v>26</v>
      </c>
      <c r="K114" s="8" t="str">
        <f>IFERROR(VLOOKUP(J114,tecnica!B:C,2,0),"")</f>
        <v>ADS</v>
      </c>
      <c r="L114" s="13" t="s">
        <v>20</v>
      </c>
      <c r="M114" s="14" t="str">
        <f>IFERROR(VLOOKUP(I114,material!A:D,4,0),"")</f>
        <v>EQUIPAMENTO</v>
      </c>
      <c r="N114" s="14" t="str">
        <f t="shared" si="1"/>
        <v>DIGITEC FTZ</v>
      </c>
      <c r="O114" s="15" t="str">
        <f>IFERROR(VLOOKUP(I114,material!A:D,2,0),"")</f>
        <v>MODEM VOIPEMTA WIFI 3.1 CGA4233CLB</v>
      </c>
    </row>
    <row r="115">
      <c r="A115" s="6" t="s">
        <v>140</v>
      </c>
      <c r="B115" s="7"/>
      <c r="C115" s="8" t="str">
        <f t="array" ref="C115">IFERROR(INDEX(atlas!H:H,MATCH(A115,atlas!C:C,0)),"")</f>
        <v>3.1</v>
      </c>
      <c r="D115" s="8" t="str">
        <f t="array" ref="D115">IFERROR(INDEX(atlas!D:D,MATCH(A115,atlas!C:C,0)),"")</f>
        <v>DIGITEC TECNOLOGIA DIGITAL E REPRES</v>
      </c>
      <c r="E115" s="8" t="str">
        <f t="array" ref="E115">IFERROR(INDEX(atlas!F:F,MATCH(A115,atlas!C:C,0)),"")</f>
        <v>SUSPEITO</v>
      </c>
      <c r="F115" s="9" t="s">
        <v>123</v>
      </c>
      <c r="G115" s="10">
        <v>45644.46834490741</v>
      </c>
      <c r="H115" s="11" t="s">
        <v>25</v>
      </c>
      <c r="I115" s="12">
        <f t="array" ref="I115">IFERROR(INDEX(atlas!B:B,MATCH(A115,atlas!C:C,0)),"")</f>
        <v>41001504</v>
      </c>
      <c r="J115" s="8" t="str">
        <f>IFERROR(VLOOKUP(F115,tecnica!A:B,2,0),"")</f>
        <v>26</v>
      </c>
      <c r="K115" s="8" t="str">
        <f>IFERROR(VLOOKUP(J115,tecnica!B:C,2,0),"")</f>
        <v>ADS</v>
      </c>
      <c r="L115" s="13" t="s">
        <v>20</v>
      </c>
      <c r="M115" s="14" t="str">
        <f>IFERROR(VLOOKUP(I115,material!A:D,4,0),"")</f>
        <v>EQUIPAMENTO</v>
      </c>
      <c r="N115" s="14" t="str">
        <f t="shared" si="1"/>
        <v>DIGITEC FTZ</v>
      </c>
      <c r="O115" s="15" t="str">
        <f>IFERROR(VLOOKUP(I115,material!A:D,2,0),"")</f>
        <v>MODEM VOIP EMTA WIFI 3.1 FAST3895</v>
      </c>
    </row>
    <row r="116">
      <c r="A116" s="6" t="s">
        <v>141</v>
      </c>
      <c r="B116" s="7"/>
      <c r="C116" s="8" t="str">
        <f t="array" ref="C116">IFERROR(INDEX(atlas!H:H,MATCH(A116,atlas!C:C,0)),"")</f>
        <v>GPON 6</v>
      </c>
      <c r="D116" s="8" t="str">
        <f t="array" ref="D116">IFERROR(INDEX(atlas!D:D,MATCH(A116,atlas!C:C,0)),"")</f>
        <v>DIGITEC TECNOLOGIA DIGITAL E REPRES</v>
      </c>
      <c r="E116" s="8" t="str">
        <f t="array" ref="E116">IFERROR(INDEX(atlas!F:F,MATCH(A116,atlas!C:C,0)),"")</f>
        <v>INICIALIZADO</v>
      </c>
      <c r="F116" s="9" t="s">
        <v>142</v>
      </c>
      <c r="G116" s="10">
        <v>45644.44157407407</v>
      </c>
      <c r="H116" s="11" t="s">
        <v>19</v>
      </c>
      <c r="I116" s="12">
        <f t="array" ref="I116">IFERROR(INDEX(atlas!B:B,MATCH(A116,atlas!C:C,0)),"")</f>
        <v>41001590</v>
      </c>
      <c r="J116" s="8" t="str">
        <f>IFERROR(VLOOKUP(F116,tecnica!A:B,2,0),"")</f>
        <v>27</v>
      </c>
      <c r="K116" s="8" t="str">
        <f>IFERROR(VLOOKUP(J116,tecnica!B:C,2,0),"")</f>
        <v>MOTO</v>
      </c>
      <c r="L116" s="13" t="s">
        <v>20</v>
      </c>
      <c r="M116" s="14" t="str">
        <f>IFERROR(VLOOKUP(I116,material!A:D,4,0),"")</f>
        <v>EQUIPAMENTO</v>
      </c>
      <c r="N116" s="14" t="str">
        <f t="shared" si="1"/>
        <v>DIGITEC FTZ</v>
      </c>
      <c r="O116" s="15" t="str">
        <f>IFERROR(VLOOKUP(I116,material!A:D,2,0),"")</f>
        <v>TERMINAL GPON ONT WIFI6 F6600P-NACIONAL</v>
      </c>
    </row>
    <row r="117">
      <c r="A117" s="6" t="s">
        <v>143</v>
      </c>
      <c r="B117" s="7"/>
      <c r="C117" s="8" t="str">
        <f t="array" ref="C117">IFERROR(INDEX(atlas!H:H,MATCH(A117,atlas!C:C,0)),"")</f>
        <v/>
      </c>
      <c r="D117" s="8" t="s">
        <v>16</v>
      </c>
      <c r="E117" s="8" t="s">
        <v>17</v>
      </c>
      <c r="F117" s="9" t="s">
        <v>144</v>
      </c>
      <c r="G117" s="10">
        <v>45644.442199074074</v>
      </c>
      <c r="H117" s="11" t="s">
        <v>19</v>
      </c>
      <c r="I117" s="12" t="str">
        <f t="array" ref="I117">IFERROR(INDEX(atlas!B:B,MATCH(A117,atlas!C:C,0)),"")</f>
        <v/>
      </c>
      <c r="J117" s="8" t="str">
        <f>IFERROR(VLOOKUP(F117,tecnica!A:B,2,0),"")</f>
        <v>33</v>
      </c>
      <c r="K117" s="8" t="str">
        <f>IFERROR(VLOOKUP(J117,tecnica!B:C,2,0),"")</f>
        <v>LOG</v>
      </c>
      <c r="L117" s="13" t="s">
        <v>20</v>
      </c>
      <c r="M117" s="14" t="str">
        <f>IFERROR(VLOOKUP(I117,material!A:D,4,0),"")</f>
        <v/>
      </c>
      <c r="N117" s="14" t="str">
        <f t="shared" si="1"/>
        <v>DIGITEC FTZ</v>
      </c>
      <c r="O117" s="15" t="str">
        <f>IFERROR(VLOOKUP(I117,material!A:D,2,0),"")</f>
        <v/>
      </c>
    </row>
    <row r="118">
      <c r="A118" s="16" t="s">
        <v>145</v>
      </c>
      <c r="B118" s="7"/>
      <c r="C118" s="8" t="str">
        <f t="array" ref="C118">IFERROR(INDEX(atlas!H:H,MATCH(A118,atlas!C:C,0)),"")</f>
        <v>BOX</v>
      </c>
      <c r="D118" s="8" t="str">
        <f t="array" ref="D118">IFERROR(INDEX(atlas!D:D,MATCH(A118,atlas!C:C,0)),"")</f>
        <v>DIGITEC TECNOLOGIA DIGITAL E REPRES</v>
      </c>
      <c r="E118" s="8" t="str">
        <f t="array" ref="E118">IFERROR(INDEX(atlas!F:F,MATCH(A118,atlas!C:C,0)),"")</f>
        <v>INICIALIZADO</v>
      </c>
      <c r="F118" s="9" t="s">
        <v>146</v>
      </c>
      <c r="G118" s="10">
        <v>45644.34532407407</v>
      </c>
      <c r="H118" s="11" t="s">
        <v>19</v>
      </c>
      <c r="I118" s="12">
        <f t="array" ref="I118">IFERROR(INDEX(atlas!B:B,MATCH(A118,atlas!C:C,0)),"")</f>
        <v>41001483</v>
      </c>
      <c r="J118" s="8" t="str">
        <f>IFERROR(VLOOKUP(F118,tecnica!A:B,2,0),"")</f>
        <v>66</v>
      </c>
      <c r="K118" s="8" t="str">
        <f>IFERROR(VLOOKUP(J118,tecnica!B:C,2,0),"")</f>
        <v>MOTO</v>
      </c>
      <c r="L118" s="13" t="s">
        <v>20</v>
      </c>
      <c r="M118" s="14" t="str">
        <f>IFERROR(VLOOKUP(I118,material!A:D,4,0),"")</f>
        <v>EQUIPAMENTO</v>
      </c>
      <c r="N118" s="14" t="str">
        <f t="shared" si="1"/>
        <v>DIGITEC FTZ</v>
      </c>
      <c r="O118" s="15" t="str">
        <f>IFERROR(VLOOKUP(I118,material!A:D,2,0),"")</f>
        <v>DECODER IP 4K ULTRA HD ZAPPER S4KW2 DDR3</v>
      </c>
    </row>
    <row r="119">
      <c r="A119" s="16" t="s">
        <v>147</v>
      </c>
      <c r="B119" s="7"/>
      <c r="C119" s="8" t="str">
        <f t="array" ref="C119">IFERROR(INDEX(atlas!H:H,MATCH(A119,atlas!C:C,0)),"")</f>
        <v>BOX</v>
      </c>
      <c r="D119" s="8" t="str">
        <f t="array" ref="D119">IFERROR(INDEX(atlas!D:D,MATCH(A119,atlas!C:C,0)),"")</f>
        <v>DIGITEC TECNOLOGIA DIGITAL E REPRES</v>
      </c>
      <c r="E119" s="8" t="str">
        <f t="array" ref="E119">IFERROR(INDEX(atlas!F:F,MATCH(A119,atlas!C:C,0)),"")</f>
        <v>INICIALIZADO</v>
      </c>
      <c r="F119" s="9" t="s">
        <v>146</v>
      </c>
      <c r="G119" s="10">
        <v>45644.34546296296</v>
      </c>
      <c r="H119" s="11" t="s">
        <v>19</v>
      </c>
      <c r="I119" s="12">
        <f t="array" ref="I119">IFERROR(INDEX(atlas!B:B,MATCH(A119,atlas!C:C,0)),"")</f>
        <v>41001422</v>
      </c>
      <c r="J119" s="8" t="str">
        <f>IFERROR(VLOOKUP(F119,tecnica!A:B,2,0),"")</f>
        <v>66</v>
      </c>
      <c r="K119" s="8" t="str">
        <f>IFERROR(VLOOKUP(J119,tecnica!B:C,2,0),"")</f>
        <v>MOTO</v>
      </c>
      <c r="L119" s="13" t="s">
        <v>20</v>
      </c>
      <c r="M119" s="14" t="str">
        <f>IFERROR(VLOOKUP(I119,material!A:D,4,0),"")</f>
        <v>EQUIPAMENTO</v>
      </c>
      <c r="N119" s="14" t="str">
        <f t="shared" si="1"/>
        <v>DIGITEC FTZ</v>
      </c>
      <c r="O119" s="15" t="str">
        <f>IFERROR(VLOOKUP(I119,material!A:D,2,0),"")</f>
        <v>DECODER IP 4K ULTRA HD ZAPPER S4KW1</v>
      </c>
    </row>
    <row r="120">
      <c r="A120" s="6" t="s">
        <v>148</v>
      </c>
      <c r="B120" s="7"/>
      <c r="C120" s="8" t="str">
        <f t="array" ref="C120">IFERROR(INDEX(atlas!H:H,MATCH(A120,atlas!C:C,0)),"")</f>
        <v>3.1</v>
      </c>
      <c r="D120" s="8" t="str">
        <f t="array" ref="D120">IFERROR(INDEX(atlas!D:D,MATCH(A120,atlas!C:C,0)),"")</f>
        <v>DIGITEC TECNOLOGIA DIGITAL E REPRES</v>
      </c>
      <c r="E120" s="8" t="str">
        <f t="array" ref="E120">IFERROR(INDEX(atlas!F:F,MATCH(A120,atlas!C:C,0)),"")</f>
        <v>INICIALIZADO</v>
      </c>
      <c r="F120" s="9" t="s">
        <v>146</v>
      </c>
      <c r="G120" s="10">
        <v>45644.441724537035</v>
      </c>
      <c r="H120" s="11" t="s">
        <v>19</v>
      </c>
      <c r="I120" s="12">
        <f t="array" ref="I120">IFERROR(INDEX(atlas!B:B,MATCH(A120,atlas!C:C,0)),"")</f>
        <v>41001513</v>
      </c>
      <c r="J120" s="8" t="str">
        <f>IFERROR(VLOOKUP(F120,tecnica!A:B,2,0),"")</f>
        <v>66</v>
      </c>
      <c r="K120" s="8" t="str">
        <f>IFERROR(VLOOKUP(J120,tecnica!B:C,2,0),"")</f>
        <v>MOTO</v>
      </c>
      <c r="L120" s="13" t="s">
        <v>20</v>
      </c>
      <c r="M120" s="14" t="str">
        <f>IFERROR(VLOOKUP(I120,material!A:D,4,0),"")</f>
        <v>EQUIPAMENTO</v>
      </c>
      <c r="N120" s="14" t="str">
        <f t="shared" si="1"/>
        <v>DIGITEC FTZ</v>
      </c>
      <c r="O120" s="15" t="str">
        <f>IFERROR(VLOOKUP(I120,material!A:D,2,0),"")</f>
        <v>MODEM VOIP EMTA WIFI 3.1 TC3102 32X8</v>
      </c>
    </row>
    <row r="121">
      <c r="A121" s="6" t="s">
        <v>149</v>
      </c>
      <c r="B121" s="7"/>
      <c r="C121" s="8" t="str">
        <f t="array" ref="C121">IFERROR(INDEX(atlas!H:H,MATCH(A121,atlas!C:C,0)),"")</f>
        <v>3.1</v>
      </c>
      <c r="D121" s="8" t="str">
        <f t="array" ref="D121">IFERROR(INDEX(atlas!D:D,MATCH(A121,atlas!C:C,0)),"")</f>
        <v>DIGITEC TECNOLOGIA DIGITAL E REPRES</v>
      </c>
      <c r="E121" s="8" t="str">
        <f t="array" ref="E121">IFERROR(INDEX(atlas!F:F,MATCH(A121,atlas!C:C,0)),"")</f>
        <v>INICIALIZADO</v>
      </c>
      <c r="F121" s="9" t="s">
        <v>146</v>
      </c>
      <c r="G121" s="10">
        <v>45644.441724537035</v>
      </c>
      <c r="H121" s="11" t="s">
        <v>19</v>
      </c>
      <c r="I121" s="12">
        <f t="array" ref="I121">IFERROR(INDEX(atlas!B:B,MATCH(A121,atlas!C:C,0)),"")</f>
        <v>41001513</v>
      </c>
      <c r="J121" s="8" t="str">
        <f>IFERROR(VLOOKUP(F121,tecnica!A:B,2,0),"")</f>
        <v>66</v>
      </c>
      <c r="K121" s="8" t="str">
        <f>IFERROR(VLOOKUP(J121,tecnica!B:C,2,0),"")</f>
        <v>MOTO</v>
      </c>
      <c r="L121" s="13" t="s">
        <v>20</v>
      </c>
      <c r="M121" s="14" t="str">
        <f>IFERROR(VLOOKUP(I121,material!A:D,4,0),"")</f>
        <v>EQUIPAMENTO</v>
      </c>
      <c r="N121" s="14" t="str">
        <f t="shared" si="1"/>
        <v>DIGITEC FTZ</v>
      </c>
      <c r="O121" s="15" t="str">
        <f>IFERROR(VLOOKUP(I121,material!A:D,2,0),"")</f>
        <v>MODEM VOIP EMTA WIFI 3.1 TC3102 32X8</v>
      </c>
    </row>
    <row r="122">
      <c r="A122" s="6" t="s">
        <v>150</v>
      </c>
      <c r="B122" s="7"/>
      <c r="C122" s="8" t="str">
        <f t="array" ref="C122">IFERROR(INDEX(atlas!H:H,MATCH(A122,atlas!C:C,0)),"")</f>
        <v>BOOM BOX</v>
      </c>
      <c r="D122" s="8" t="str">
        <f t="array" ref="D122">IFERROR(INDEX(atlas!D:D,MATCH(A122,atlas!C:C,0)),"")</f>
        <v>DIGITEC TECNOLOGIA DIGITAL E REPRES</v>
      </c>
      <c r="E122" s="8" t="str">
        <f t="array" ref="E122">IFERROR(INDEX(atlas!F:F,MATCH(A122,atlas!C:C,0)),"")</f>
        <v>INICIALIZADO</v>
      </c>
      <c r="F122" s="9" t="s">
        <v>146</v>
      </c>
      <c r="G122" s="10">
        <v>45644.44427083333</v>
      </c>
      <c r="H122" s="11" t="s">
        <v>19</v>
      </c>
      <c r="I122" s="12">
        <f t="array" ref="I122">IFERROR(INDEX(atlas!B:B,MATCH(A122,atlas!C:C,0)),"")</f>
        <v>41001573</v>
      </c>
      <c r="J122" s="8" t="str">
        <f>IFERROR(VLOOKUP(F122,tecnica!A:B,2,0),"")</f>
        <v>66</v>
      </c>
      <c r="K122" s="8" t="str">
        <f>IFERROR(VLOOKUP(J122,tecnica!B:C,2,0),"")</f>
        <v>MOTO</v>
      </c>
      <c r="L122" s="13" t="s">
        <v>20</v>
      </c>
      <c r="M122" s="14" t="str">
        <f>IFERROR(VLOOKUP(I122,material!A:D,4,0),"")</f>
        <v>EQUIPAMENTO</v>
      </c>
      <c r="N122" s="14" t="str">
        <f t="shared" si="1"/>
        <v>DIGITEC FTZ</v>
      </c>
      <c r="O122" s="15" t="str">
        <f>IFERROR(VLOOKUP(I122,material!A:D,2,0),"")</f>
        <v>DECODER CARDLESS 4K UHD S4KCW4S CABO IP</v>
      </c>
    </row>
    <row r="123">
      <c r="A123" s="6" t="s">
        <v>151</v>
      </c>
      <c r="B123" s="7"/>
      <c r="C123" s="8" t="str">
        <f t="array" ref="C123">IFERROR(INDEX(atlas!H:H,MATCH(A123,atlas!C:C,0)),"")</f>
        <v>3.1</v>
      </c>
      <c r="D123" s="8" t="str">
        <f t="array" ref="D123">IFERROR(INDEX(atlas!D:D,MATCH(A123,atlas!C:C,0)),"")</f>
        <v>DIGITEC TECNOLOGIA DIGITAL E REPRES</v>
      </c>
      <c r="E123" s="8" t="str">
        <f t="array" ref="E123">IFERROR(INDEX(atlas!F:F,MATCH(A123,atlas!C:C,0)),"")</f>
        <v>SUSPEITO</v>
      </c>
      <c r="F123" s="9" t="s">
        <v>146</v>
      </c>
      <c r="G123" s="10">
        <v>45644.47856481482</v>
      </c>
      <c r="H123" s="11" t="s">
        <v>25</v>
      </c>
      <c r="I123" s="12">
        <f t="array" ref="I123">IFERROR(INDEX(atlas!B:B,MATCH(A123,atlas!C:C,0)),"")</f>
        <v>41001481</v>
      </c>
      <c r="J123" s="8" t="str">
        <f>IFERROR(VLOOKUP(F123,tecnica!A:B,2,0),"")</f>
        <v>66</v>
      </c>
      <c r="K123" s="8" t="str">
        <f>IFERROR(VLOOKUP(J123,tecnica!B:C,2,0),"")</f>
        <v>MOTO</v>
      </c>
      <c r="L123" s="13" t="s">
        <v>20</v>
      </c>
      <c r="M123" s="14" t="str">
        <f>IFERROR(VLOOKUP(I123,material!A:D,4,0),"")</f>
        <v>EQUIPAMENTO</v>
      </c>
      <c r="N123" s="14" t="str">
        <f t="shared" si="1"/>
        <v>DIGITEC FTZ</v>
      </c>
      <c r="O123" s="15" t="str">
        <f>IFERROR(VLOOKUP(I123,material!A:D,2,0),"")</f>
        <v>MODEM VOIP EMTA WIFI 3.1 HGJ310</v>
      </c>
    </row>
    <row r="124">
      <c r="A124" s="6" t="s">
        <v>152</v>
      </c>
      <c r="B124" s="7"/>
      <c r="C124" s="8" t="str">
        <f t="array" ref="C124">IFERROR(INDEX(atlas!H:H,MATCH(A124,atlas!C:C,0)),"")</f>
        <v>DUAL</v>
      </c>
      <c r="D124" s="8" t="str">
        <f t="array" ref="D124">IFERROR(INDEX(atlas!D:D,MATCH(A124,atlas!C:C,0)),"")</f>
        <v>DIGITEC TECNOLOGIA DIGITAL E REPRES</v>
      </c>
      <c r="E124" s="8" t="str">
        <f t="array" ref="E124">IFERROR(INDEX(atlas!F:F,MATCH(A124,atlas!C:C,0)),"")</f>
        <v>SUSPEITO</v>
      </c>
      <c r="F124" s="9" t="s">
        <v>146</v>
      </c>
      <c r="G124" s="10">
        <v>45644.47856481482</v>
      </c>
      <c r="H124" s="11" t="s">
        <v>25</v>
      </c>
      <c r="I124" s="12">
        <f t="array" ref="I124">IFERROR(INDEX(atlas!B:B,MATCH(A124,atlas!C:C,0)),"")</f>
        <v>41001294</v>
      </c>
      <c r="J124" s="8" t="str">
        <f>IFERROR(VLOOKUP(F124,tecnica!A:B,2,0),"")</f>
        <v>66</v>
      </c>
      <c r="K124" s="8" t="str">
        <f>IFERROR(VLOOKUP(J124,tecnica!B:C,2,0),"")</f>
        <v>MOTO</v>
      </c>
      <c r="L124" s="13" t="s">
        <v>20</v>
      </c>
      <c r="M124" s="14" t="str">
        <f>IFERROR(VLOOKUP(I124,material!A:D,4,0),"")</f>
        <v>EQUIPAMENTO</v>
      </c>
      <c r="N124" s="14" t="str">
        <f t="shared" si="1"/>
        <v>DIGITEC FTZ</v>
      </c>
      <c r="O124" s="15" t="str">
        <f>IFERROR(VLOOKUP(I124,material!A:D,2,0),"")</f>
        <v>TECHNICOLOR TC7337NET</v>
      </c>
    </row>
    <row r="125">
      <c r="A125" s="6" t="s">
        <v>153</v>
      </c>
      <c r="B125" s="7"/>
      <c r="C125" s="8" t="str">
        <f t="array" ref="C125">IFERROR(INDEX(atlas!H:H,MATCH(A125,atlas!C:C,0)),"")</f>
        <v>3.1</v>
      </c>
      <c r="D125" s="8" t="str">
        <f t="array" ref="D125">IFERROR(INDEX(atlas!D:D,MATCH(A125,atlas!C:C,0)),"")</f>
        <v>DIGITEC TECNOLOGIA DIGITAL E REPRES</v>
      </c>
      <c r="E125" s="8" t="str">
        <f t="array" ref="E125">IFERROR(INDEX(atlas!F:F,MATCH(A125,atlas!C:C,0)),"")</f>
        <v>SUSPEITO</v>
      </c>
      <c r="F125" s="9" t="s">
        <v>146</v>
      </c>
      <c r="G125" s="10">
        <v>45644.47856481482</v>
      </c>
      <c r="H125" s="11" t="s">
        <v>25</v>
      </c>
      <c r="I125" s="12">
        <f t="array" ref="I125">IFERROR(INDEX(atlas!B:B,MATCH(A125,atlas!C:C,0)),"")</f>
        <v>41001504</v>
      </c>
      <c r="J125" s="8" t="str">
        <f>IFERROR(VLOOKUP(F125,tecnica!A:B,2,0),"")</f>
        <v>66</v>
      </c>
      <c r="K125" s="8" t="str">
        <f>IFERROR(VLOOKUP(J125,tecnica!B:C,2,0),"")</f>
        <v>MOTO</v>
      </c>
      <c r="L125" s="13" t="s">
        <v>20</v>
      </c>
      <c r="M125" s="14" t="str">
        <f>IFERROR(VLOOKUP(I125,material!A:D,4,0),"")</f>
        <v>EQUIPAMENTO</v>
      </c>
      <c r="N125" s="14" t="str">
        <f t="shared" si="1"/>
        <v>DIGITEC FTZ</v>
      </c>
      <c r="O125" s="15" t="str">
        <f>IFERROR(VLOOKUP(I125,material!A:D,2,0),"")</f>
        <v>MODEM VOIP EMTA WIFI 3.1 FAST3895</v>
      </c>
    </row>
    <row r="126">
      <c r="A126" s="6" t="s">
        <v>154</v>
      </c>
      <c r="B126" s="7"/>
      <c r="C126" s="8" t="str">
        <f t="array" ref="C126">IFERROR(INDEX(atlas!H:H,MATCH(A126,atlas!C:C,0)),"")</f>
        <v>4K</v>
      </c>
      <c r="D126" s="8" t="str">
        <f t="array" ref="D126">IFERROR(INDEX(atlas!D:D,MATCH(A126,atlas!C:C,0)),"")</f>
        <v>DIGITEC TECNOLOGIA DIGITAL E REPRES</v>
      </c>
      <c r="E126" s="8" t="str">
        <f t="array" ref="E126">IFERROR(INDEX(atlas!F:F,MATCH(A126,atlas!C:C,0)),"")</f>
        <v>SUSPEITO</v>
      </c>
      <c r="F126" s="9" t="s">
        <v>146</v>
      </c>
      <c r="G126" s="10">
        <v>45644.47856481482</v>
      </c>
      <c r="H126" s="11" t="s">
        <v>25</v>
      </c>
      <c r="I126" s="12">
        <f t="array" ref="I126">IFERROR(INDEX(atlas!B:B,MATCH(A126,atlas!C:C,0)),"")</f>
        <v>41001068</v>
      </c>
      <c r="J126" s="8" t="str">
        <f>IFERROR(VLOOKUP(F126,tecnica!A:B,2,0),"")</f>
        <v>66</v>
      </c>
      <c r="K126" s="8" t="str">
        <f>IFERROR(VLOOKUP(J126,tecnica!B:C,2,0),"")</f>
        <v>MOTO</v>
      </c>
      <c r="L126" s="13" t="s">
        <v>20</v>
      </c>
      <c r="M126" s="14" t="str">
        <f>IFERROR(VLOOKUP(I126,material!A:D,4,0),"")</f>
        <v>EQUIPAMENTO</v>
      </c>
      <c r="N126" s="14" t="str">
        <f t="shared" si="1"/>
        <v>DIGITEC FTZ</v>
      </c>
      <c r="O126" s="15" t="str">
        <f>IFERROR(VLOOKUP(I126,material!A:D,2,0),"")</f>
        <v>SAG4KC362</v>
      </c>
    </row>
    <row r="127">
      <c r="A127" s="6" t="s">
        <v>155</v>
      </c>
      <c r="B127" s="7"/>
      <c r="C127" s="8" t="str">
        <f t="array" ref="C127">IFERROR(INDEX(atlas!H:H,MATCH(A127,atlas!C:C,0)),"")</f>
        <v>SIM CARD</v>
      </c>
      <c r="D127" s="8" t="str">
        <f t="array" ref="D127">IFERROR(INDEX(atlas!D:D,MATCH(A127,atlas!C:C,0)),"")</f>
        <v>DIGITEC TECNOLOGIA DIGITAL E REPRES</v>
      </c>
      <c r="E127" s="8" t="str">
        <f t="array" ref="E127">IFERROR(INDEX(atlas!F:F,MATCH(A127,atlas!C:C,0)),"")</f>
        <v>SUSPEITO</v>
      </c>
      <c r="F127" s="9" t="s">
        <v>146</v>
      </c>
      <c r="G127" s="10">
        <v>45644.47856481482</v>
      </c>
      <c r="H127" s="11" t="s">
        <v>25</v>
      </c>
      <c r="I127" s="12">
        <f t="array" ref="I127">IFERROR(INDEX(atlas!B:B,MATCH(A127,atlas!C:C,0)),"")</f>
        <v>41000805</v>
      </c>
      <c r="J127" s="8" t="str">
        <f>IFERROR(VLOOKUP(F127,tecnica!A:B,2,0),"")</f>
        <v>66</v>
      </c>
      <c r="K127" s="8" t="str">
        <f>IFERROR(VLOOKUP(J127,tecnica!B:C,2,0),"")</f>
        <v>MOTO</v>
      </c>
      <c r="L127" s="13" t="s">
        <v>20</v>
      </c>
      <c r="M127" s="14" t="str">
        <f>IFERROR(VLOOKUP(I127,material!A:D,4,0),"")</f>
        <v>EQUIPAMENTO</v>
      </c>
      <c r="N127" s="14" t="str">
        <f t="shared" si="1"/>
        <v>DIGITEC FTZ</v>
      </c>
      <c r="O127" s="15" t="str">
        <f>IFERROR(VLOOKUP(I127,material!A:D,2,0),"")</f>
        <v>SMART SIM CARD NAGRA</v>
      </c>
    </row>
    <row r="128">
      <c r="A128" s="6" t="s">
        <v>156</v>
      </c>
      <c r="B128" s="7"/>
      <c r="C128" s="8" t="str">
        <f t="array" ref="C128">IFERROR(INDEX(atlas!H:H,MATCH(A128,atlas!C:C,0)),"")</f>
        <v>4K</v>
      </c>
      <c r="D128" s="8" t="str">
        <f t="array" ref="D128">IFERROR(INDEX(atlas!D:D,MATCH(A128,atlas!C:C,0)),"")</f>
        <v>DIGITEC TECNOLOGIA DIGITAL E REPRES</v>
      </c>
      <c r="E128" s="8" t="str">
        <f t="array" ref="E128">IFERROR(INDEX(atlas!F:F,MATCH(A128,atlas!C:C,0)),"")</f>
        <v>SUSPEITO</v>
      </c>
      <c r="F128" s="9" t="s">
        <v>146</v>
      </c>
      <c r="G128" s="10">
        <v>45644.47856481482</v>
      </c>
      <c r="H128" s="11" t="s">
        <v>25</v>
      </c>
      <c r="I128" s="12">
        <f t="array" ref="I128">IFERROR(INDEX(atlas!B:B,MATCH(A128,atlas!C:C,0)),"")</f>
        <v>41001068</v>
      </c>
      <c r="J128" s="8" t="str">
        <f>IFERROR(VLOOKUP(F128,tecnica!A:B,2,0),"")</f>
        <v>66</v>
      </c>
      <c r="K128" s="8" t="str">
        <f>IFERROR(VLOOKUP(J128,tecnica!B:C,2,0),"")</f>
        <v>MOTO</v>
      </c>
      <c r="L128" s="13" t="s">
        <v>20</v>
      </c>
      <c r="M128" s="14" t="str">
        <f>IFERROR(VLOOKUP(I128,material!A:D,4,0),"")</f>
        <v>EQUIPAMENTO</v>
      </c>
      <c r="N128" s="14" t="str">
        <f t="shared" si="1"/>
        <v>DIGITEC FTZ</v>
      </c>
      <c r="O128" s="15" t="str">
        <f>IFERROR(VLOOKUP(I128,material!A:D,2,0),"")</f>
        <v>SAG4KC362</v>
      </c>
    </row>
    <row r="129">
      <c r="A129" s="6" t="s">
        <v>157</v>
      </c>
      <c r="B129" s="7"/>
      <c r="C129" s="8" t="str">
        <f t="array" ref="C129">IFERROR(INDEX(atlas!H:H,MATCH(A129,atlas!C:C,0)),"")</f>
        <v>SIM CARD</v>
      </c>
      <c r="D129" s="8" t="str">
        <f t="array" ref="D129">IFERROR(INDEX(atlas!D:D,MATCH(A129,atlas!C:C,0)),"")</f>
        <v>DIGITEC TECNOLOGIA DIGITAL E REPRES</v>
      </c>
      <c r="E129" s="8" t="str">
        <f t="array" ref="E129">IFERROR(INDEX(atlas!F:F,MATCH(A129,atlas!C:C,0)),"")</f>
        <v>SUSPEITO</v>
      </c>
      <c r="F129" s="9" t="s">
        <v>146</v>
      </c>
      <c r="G129" s="10">
        <v>45644.47856481482</v>
      </c>
      <c r="H129" s="11" t="s">
        <v>25</v>
      </c>
      <c r="I129" s="12">
        <f t="array" ref="I129">IFERROR(INDEX(atlas!B:B,MATCH(A129,atlas!C:C,0)),"")</f>
        <v>41000805</v>
      </c>
      <c r="J129" s="8" t="str">
        <f>IFERROR(VLOOKUP(F129,tecnica!A:B,2,0),"")</f>
        <v>66</v>
      </c>
      <c r="K129" s="8" t="str">
        <f>IFERROR(VLOOKUP(J129,tecnica!B:C,2,0),"")</f>
        <v>MOTO</v>
      </c>
      <c r="L129" s="13" t="s">
        <v>20</v>
      </c>
      <c r="M129" s="14" t="str">
        <f>IFERROR(VLOOKUP(I129,material!A:D,4,0),"")</f>
        <v>EQUIPAMENTO</v>
      </c>
      <c r="N129" s="14" t="str">
        <f t="shared" si="1"/>
        <v>DIGITEC FTZ</v>
      </c>
      <c r="O129" s="15" t="str">
        <f>IFERROR(VLOOKUP(I129,material!A:D,2,0),"")</f>
        <v>SMART SIM CARD NAGRA</v>
      </c>
    </row>
    <row r="130">
      <c r="A130" s="6" t="s">
        <v>158</v>
      </c>
      <c r="B130" s="7"/>
      <c r="C130" s="8" t="str">
        <f t="array" ref="C130">IFERROR(INDEX(atlas!H:H,MATCH(A130,atlas!C:C,0)),"")</f>
        <v>DUAL</v>
      </c>
      <c r="D130" s="8" t="str">
        <f t="array" ref="D130">IFERROR(INDEX(atlas!D:D,MATCH(A130,atlas!C:C,0)),"")</f>
        <v>DIGITEC TECNOLOGIA DIGITAL E REPRES</v>
      </c>
      <c r="E130" s="8" t="str">
        <f t="array" ref="E130">IFERROR(INDEX(atlas!F:F,MATCH(A130,atlas!C:C,0)),"")</f>
        <v>SUSPEITO</v>
      </c>
      <c r="F130" s="9" t="s">
        <v>146</v>
      </c>
      <c r="G130" s="10">
        <v>45644.47856481482</v>
      </c>
      <c r="H130" s="11" t="s">
        <v>25</v>
      </c>
      <c r="I130" s="12">
        <f t="array" ref="I130">IFERROR(INDEX(atlas!B:B,MATCH(A130,atlas!C:C,0)),"")</f>
        <v>41001293</v>
      </c>
      <c r="J130" s="8" t="str">
        <f>IFERROR(VLOOKUP(F130,tecnica!A:B,2,0),"")</f>
        <v>66</v>
      </c>
      <c r="K130" s="8" t="str">
        <f>IFERROR(VLOOKUP(J130,tecnica!B:C,2,0),"")</f>
        <v>MOTO</v>
      </c>
      <c r="L130" s="13" t="s">
        <v>20</v>
      </c>
      <c r="M130" s="14" t="str">
        <f>IFERROR(VLOOKUP(I130,material!A:D,4,0),"")</f>
        <v>EQUIPAMENTO</v>
      </c>
      <c r="N130" s="14" t="str">
        <f t="shared" si="1"/>
        <v>DIGITEC FTZ</v>
      </c>
      <c r="O130" s="15" t="str">
        <f>IFERROR(VLOOKUP(I130,material!A:D,2,0),"")</f>
        <v>ARRIS TG1692A</v>
      </c>
    </row>
    <row r="131">
      <c r="A131" s="6" t="s">
        <v>159</v>
      </c>
      <c r="B131" s="7"/>
      <c r="C131" s="8" t="str">
        <f t="array" ref="C131">IFERROR(INDEX(atlas!H:H,MATCH(A131,atlas!C:C,0)),"")</f>
        <v>DUAL</v>
      </c>
      <c r="D131" s="8" t="str">
        <f t="array" ref="D131">IFERROR(INDEX(atlas!D:D,MATCH(A131,atlas!C:C,0)),"")</f>
        <v>DIGITEC TECNOLOGIA DIGITAL E REPRES</v>
      </c>
      <c r="E131" s="8" t="str">
        <f t="array" ref="E131">IFERROR(INDEX(atlas!F:F,MATCH(A131,atlas!C:C,0)),"")</f>
        <v>SUSPEITO</v>
      </c>
      <c r="F131" s="9" t="s">
        <v>146</v>
      </c>
      <c r="G131" s="10">
        <v>45644.47856481482</v>
      </c>
      <c r="H131" s="11" t="s">
        <v>25</v>
      </c>
      <c r="I131" s="12">
        <f t="array" ref="I131">IFERROR(INDEX(atlas!B:B,MATCH(A131,atlas!C:C,0)),"")</f>
        <v>41001293</v>
      </c>
      <c r="J131" s="8" t="str">
        <f>IFERROR(VLOOKUP(F131,tecnica!A:B,2,0),"")</f>
        <v>66</v>
      </c>
      <c r="K131" s="8" t="str">
        <f>IFERROR(VLOOKUP(J131,tecnica!B:C,2,0),"")</f>
        <v>MOTO</v>
      </c>
      <c r="L131" s="13" t="s">
        <v>20</v>
      </c>
      <c r="M131" s="14" t="str">
        <f>IFERROR(VLOOKUP(I131,material!A:D,4,0),"")</f>
        <v>EQUIPAMENTO</v>
      </c>
      <c r="N131" s="14" t="str">
        <f t="shared" si="1"/>
        <v>DIGITEC FTZ</v>
      </c>
      <c r="O131" s="15" t="str">
        <f>IFERROR(VLOOKUP(I131,material!A:D,2,0),"")</f>
        <v>ARRIS TG1692A</v>
      </c>
    </row>
    <row r="132">
      <c r="A132" s="16" t="s">
        <v>160</v>
      </c>
      <c r="B132" s="7"/>
      <c r="C132" s="8" t="str">
        <f t="array" ref="C132">IFERROR(INDEX(atlas!H:H,MATCH(A132,atlas!C:C,0)),"")</f>
        <v>3.1</v>
      </c>
      <c r="D132" s="8" t="str">
        <f t="array" ref="D132">IFERROR(INDEX(atlas!D:D,MATCH(A132,atlas!C:C,0)),"")</f>
        <v>DIGITEC TECNOLOGIA DIGITAL E REPRES</v>
      </c>
      <c r="E132" s="8" t="str">
        <f t="array" ref="E132">IFERROR(INDEX(atlas!F:F,MATCH(A132,atlas!C:C,0)),"")</f>
        <v>INICIALIZADO</v>
      </c>
      <c r="F132" s="9" t="s">
        <v>161</v>
      </c>
      <c r="G132" s="10">
        <v>45644.31476851852</v>
      </c>
      <c r="H132" s="11" t="s">
        <v>19</v>
      </c>
      <c r="I132" s="12">
        <f t="array" ref="I132">IFERROR(INDEX(atlas!B:B,MATCH(A132,atlas!C:C,0)),"")</f>
        <v>41001481</v>
      </c>
      <c r="J132" s="8" t="str">
        <f>IFERROR(VLOOKUP(F132,tecnica!A:B,2,0),"")</f>
        <v>36</v>
      </c>
      <c r="K132" s="8" t="str">
        <f>IFERROR(VLOOKUP(J132,tecnica!B:C,2,0),"")</f>
        <v>MOTO</v>
      </c>
      <c r="L132" s="13" t="s">
        <v>59</v>
      </c>
      <c r="M132" s="14" t="str">
        <f>IFERROR(VLOOKUP(I132,material!A:D,4,0),"")</f>
        <v>EQUIPAMENTO</v>
      </c>
      <c r="N132" s="14" t="str">
        <f t="shared" si="1"/>
        <v>DIGITEC FTZ</v>
      </c>
      <c r="O132" s="15" t="str">
        <f>IFERROR(VLOOKUP(I132,material!A:D,2,0),"")</f>
        <v>MODEM VOIP EMTA WIFI 3.1 HGJ310</v>
      </c>
    </row>
    <row r="133">
      <c r="A133" s="16" t="s">
        <v>162</v>
      </c>
      <c r="B133" s="7"/>
      <c r="C133" s="8" t="str">
        <f t="array" ref="C133">IFERROR(INDEX(atlas!H:H,MATCH(A133,atlas!C:C,0)),"")</f>
        <v>3.1</v>
      </c>
      <c r="D133" s="8" t="str">
        <f t="array" ref="D133">IFERROR(INDEX(atlas!D:D,MATCH(A133,atlas!C:C,0)),"")</f>
        <v>DIGITEC TECNOLOGIA DIGITAL E REPRES</v>
      </c>
      <c r="E133" s="8" t="str">
        <f t="array" ref="E133">IFERROR(INDEX(atlas!F:F,MATCH(A133,atlas!C:C,0)),"")</f>
        <v>INICIALIZADO</v>
      </c>
      <c r="F133" s="9" t="s">
        <v>161</v>
      </c>
      <c r="G133" s="10">
        <v>45644.31484953704</v>
      </c>
      <c r="H133" s="11" t="s">
        <v>19</v>
      </c>
      <c r="I133" s="12">
        <f t="array" ref="I133">IFERROR(INDEX(atlas!B:B,MATCH(A133,atlas!C:C,0)),"")</f>
        <v>41001481</v>
      </c>
      <c r="J133" s="8" t="str">
        <f>IFERROR(VLOOKUP(F133,tecnica!A:B,2,0),"")</f>
        <v>36</v>
      </c>
      <c r="K133" s="8" t="str">
        <f>IFERROR(VLOOKUP(J133,tecnica!B:C,2,0),"")</f>
        <v>MOTO</v>
      </c>
      <c r="L133" s="13" t="s">
        <v>59</v>
      </c>
      <c r="M133" s="14" t="str">
        <f>IFERROR(VLOOKUP(I133,material!A:D,4,0),"")</f>
        <v>EQUIPAMENTO</v>
      </c>
      <c r="N133" s="14" t="str">
        <f t="shared" si="1"/>
        <v>DIGITEC FTZ</v>
      </c>
      <c r="O133" s="15" t="str">
        <f>IFERROR(VLOOKUP(I133,material!A:D,2,0),"")</f>
        <v>MODEM VOIP EMTA WIFI 3.1 HGJ310</v>
      </c>
    </row>
    <row r="134">
      <c r="A134" s="6" t="s">
        <v>163</v>
      </c>
      <c r="B134" s="7"/>
      <c r="C134" s="8" t="str">
        <f t="array" ref="C134">IFERROR(INDEX(atlas!H:H,MATCH(A134,atlas!C:C,0)),"")</f>
        <v>4K RFIP</v>
      </c>
      <c r="D134" s="8" t="str">
        <f t="array" ref="D134">IFERROR(INDEX(atlas!D:D,MATCH(A134,atlas!C:C,0)),"")</f>
        <v>DIGITEC TECNOLOGIA DIGITAL E REPRES</v>
      </c>
      <c r="E134" s="8" t="str">
        <f t="array" ref="E134">IFERROR(INDEX(atlas!F:F,MATCH(A134,atlas!C:C,0)),"")</f>
        <v>INICIALIZADO</v>
      </c>
      <c r="F134" s="9" t="s">
        <v>161</v>
      </c>
      <c r="G134" s="10">
        <v>45644.443773148145</v>
      </c>
      <c r="H134" s="11" t="s">
        <v>19</v>
      </c>
      <c r="I134" s="12">
        <f t="array" ref="I134">IFERROR(INDEX(atlas!B:B,MATCH(A134,atlas!C:C,0)),"")</f>
        <v>41001584</v>
      </c>
      <c r="J134" s="8" t="str">
        <f>IFERROR(VLOOKUP(F134,tecnica!A:B,2,0),"")</f>
        <v>36</v>
      </c>
      <c r="K134" s="8" t="str">
        <f>IFERROR(VLOOKUP(J134,tecnica!B:C,2,0),"")</f>
        <v>MOTO</v>
      </c>
      <c r="L134" s="13" t="s">
        <v>20</v>
      </c>
      <c r="M134" s="14" t="str">
        <f>IFERROR(VLOOKUP(I134,material!A:D,4,0),"")</f>
        <v>EQUIPAMENTO</v>
      </c>
      <c r="N134" s="14" t="str">
        <f t="shared" si="1"/>
        <v>DIGITEC FTZ</v>
      </c>
      <c r="O134" s="15" t="str">
        <f>IFERROR(VLOOKUP(I134,material!A:D,2,0),"")</f>
        <v>DECODER CARDLESS 4K UHD K4KCW5 CABO E IP</v>
      </c>
    </row>
    <row r="135">
      <c r="A135" s="6" t="s">
        <v>164</v>
      </c>
      <c r="B135" s="7"/>
      <c r="C135" s="8" t="str">
        <f t="array" ref="C135">IFERROR(INDEX(atlas!H:H,MATCH(A135,atlas!C:C,0)),"")</f>
        <v>4K RFIP</v>
      </c>
      <c r="D135" s="8" t="str">
        <f t="array" ref="D135">IFERROR(INDEX(atlas!D:D,MATCH(A135,atlas!C:C,0)),"")</f>
        <v>DIGITEC TECNOLOGIA DIGITAL E REPRES</v>
      </c>
      <c r="E135" s="8" t="str">
        <f t="array" ref="E135">IFERROR(INDEX(atlas!F:F,MATCH(A135,atlas!C:C,0)),"")</f>
        <v>INICIALIZADO</v>
      </c>
      <c r="F135" s="9" t="s">
        <v>161</v>
      </c>
      <c r="G135" s="10">
        <v>45644.443773148145</v>
      </c>
      <c r="H135" s="11" t="s">
        <v>19</v>
      </c>
      <c r="I135" s="12">
        <f t="array" ref="I135">IFERROR(INDEX(atlas!B:B,MATCH(A135,atlas!C:C,0)),"")</f>
        <v>41001584</v>
      </c>
      <c r="J135" s="8" t="str">
        <f>IFERROR(VLOOKUP(F135,tecnica!A:B,2,0),"")</f>
        <v>36</v>
      </c>
      <c r="K135" s="8" t="str">
        <f>IFERROR(VLOOKUP(J135,tecnica!B:C,2,0),"")</f>
        <v>MOTO</v>
      </c>
      <c r="L135" s="13" t="s">
        <v>20</v>
      </c>
      <c r="M135" s="14" t="str">
        <f>IFERROR(VLOOKUP(I135,material!A:D,4,0),"")</f>
        <v>EQUIPAMENTO</v>
      </c>
      <c r="N135" s="14" t="str">
        <f t="shared" si="1"/>
        <v>DIGITEC FTZ</v>
      </c>
      <c r="O135" s="15" t="str">
        <f>IFERROR(VLOOKUP(I135,material!A:D,2,0),"")</f>
        <v>DECODER CARDLESS 4K UHD K4KCW5 CABO E IP</v>
      </c>
    </row>
    <row r="136">
      <c r="A136" s="6" t="s">
        <v>165</v>
      </c>
      <c r="B136" s="7"/>
      <c r="C136" s="8" t="str">
        <f t="array" ref="C136">IFERROR(INDEX(atlas!H:H,MATCH(A136,atlas!C:C,0)),"")</f>
        <v>4K RFIP</v>
      </c>
      <c r="D136" s="8" t="str">
        <f t="array" ref="D136">IFERROR(INDEX(atlas!D:D,MATCH(A136,atlas!C:C,0)),"")</f>
        <v>DIGITEC TECNOLOGIA DIGITAL E REPRES</v>
      </c>
      <c r="E136" s="8" t="str">
        <f t="array" ref="E136">IFERROR(INDEX(atlas!F:F,MATCH(A136,atlas!C:C,0)),"")</f>
        <v>INICIALIZADO</v>
      </c>
      <c r="F136" s="9" t="s">
        <v>161</v>
      </c>
      <c r="G136" s="10">
        <v>45644.443773148145</v>
      </c>
      <c r="H136" s="11" t="s">
        <v>19</v>
      </c>
      <c r="I136" s="12">
        <f t="array" ref="I136">IFERROR(INDEX(atlas!B:B,MATCH(A136,atlas!C:C,0)),"")</f>
        <v>41001584</v>
      </c>
      <c r="J136" s="8" t="str">
        <f>IFERROR(VLOOKUP(F136,tecnica!A:B,2,0),"")</f>
        <v>36</v>
      </c>
      <c r="K136" s="8" t="str">
        <f>IFERROR(VLOOKUP(J136,tecnica!B:C,2,0),"")</f>
        <v>MOTO</v>
      </c>
      <c r="L136" s="13" t="s">
        <v>20</v>
      </c>
      <c r="M136" s="14" t="str">
        <f>IFERROR(VLOOKUP(I136,material!A:D,4,0),"")</f>
        <v>EQUIPAMENTO</v>
      </c>
      <c r="N136" s="14" t="str">
        <f t="shared" si="1"/>
        <v>DIGITEC FTZ</v>
      </c>
      <c r="O136" s="15" t="str">
        <f>IFERROR(VLOOKUP(I136,material!A:D,2,0),"")</f>
        <v>DECODER CARDLESS 4K UHD K4KCW5 CABO E IP</v>
      </c>
    </row>
    <row r="137">
      <c r="A137" s="6" t="s">
        <v>166</v>
      </c>
      <c r="B137" s="7"/>
      <c r="C137" s="8" t="str">
        <f t="array" ref="C137">IFERROR(INDEX(atlas!H:H,MATCH(A137,atlas!C:C,0)),"")</f>
        <v>4K RFIP</v>
      </c>
      <c r="D137" s="8" t="str">
        <f t="array" ref="D137">IFERROR(INDEX(atlas!D:D,MATCH(A137,atlas!C:C,0)),"")</f>
        <v>DIGITEC TECNOLOGIA DIGITAL E REPRES</v>
      </c>
      <c r="E137" s="8" t="str">
        <f t="array" ref="E137">IFERROR(INDEX(atlas!F:F,MATCH(A137,atlas!C:C,0)),"")</f>
        <v>INICIALIZADO</v>
      </c>
      <c r="F137" s="9" t="s">
        <v>161</v>
      </c>
      <c r="G137" s="10">
        <v>45644.443773148145</v>
      </c>
      <c r="H137" s="11" t="s">
        <v>19</v>
      </c>
      <c r="I137" s="12">
        <f t="array" ref="I137">IFERROR(INDEX(atlas!B:B,MATCH(A137,atlas!C:C,0)),"")</f>
        <v>41001584</v>
      </c>
      <c r="J137" s="8" t="str">
        <f>IFERROR(VLOOKUP(F137,tecnica!A:B,2,0),"")</f>
        <v>36</v>
      </c>
      <c r="K137" s="8" t="str">
        <f>IFERROR(VLOOKUP(J137,tecnica!B:C,2,0),"")</f>
        <v>MOTO</v>
      </c>
      <c r="L137" s="13" t="s">
        <v>20</v>
      </c>
      <c r="M137" s="14" t="str">
        <f>IFERROR(VLOOKUP(I137,material!A:D,4,0),"")</f>
        <v>EQUIPAMENTO</v>
      </c>
      <c r="N137" s="14" t="str">
        <f t="shared" si="1"/>
        <v>DIGITEC FTZ</v>
      </c>
      <c r="O137" s="15" t="str">
        <f>IFERROR(VLOOKUP(I137,material!A:D,2,0),"")</f>
        <v>DECODER CARDLESS 4K UHD K4KCW5 CABO E IP</v>
      </c>
    </row>
    <row r="138">
      <c r="A138" s="6" t="s">
        <v>167</v>
      </c>
      <c r="B138" s="7"/>
      <c r="C138" s="8" t="str">
        <f t="array" ref="C138">IFERROR(INDEX(atlas!H:H,MATCH(A138,atlas!C:C,0)),"")</f>
        <v>DUAL</v>
      </c>
      <c r="D138" s="8" t="str">
        <f t="array" ref="D138">IFERROR(INDEX(atlas!D:D,MATCH(A138,atlas!C:C,0)),"")</f>
        <v>DIGITEC TECNOLOGIA DIGITAL E REPRES</v>
      </c>
      <c r="E138" s="8" t="str">
        <f t="array" ref="E138">IFERROR(INDEX(atlas!F:F,MATCH(A138,atlas!C:C,0)),"")</f>
        <v>INICIALIZADO</v>
      </c>
      <c r="F138" s="9" t="s">
        <v>161</v>
      </c>
      <c r="G138" s="10">
        <v>45644.47582175926</v>
      </c>
      <c r="H138" s="11" t="s">
        <v>25</v>
      </c>
      <c r="I138" s="12">
        <f t="array" ref="I138">IFERROR(INDEX(atlas!B:B,MATCH(A138,atlas!C:C,0)),"")</f>
        <v>41001293</v>
      </c>
      <c r="J138" s="8" t="str">
        <f>IFERROR(VLOOKUP(F138,tecnica!A:B,2,0),"")</f>
        <v>36</v>
      </c>
      <c r="K138" s="8" t="str">
        <f>IFERROR(VLOOKUP(J138,tecnica!B:C,2,0),"")</f>
        <v>MOTO</v>
      </c>
      <c r="L138" s="13" t="s">
        <v>20</v>
      </c>
      <c r="M138" s="14" t="str">
        <f>IFERROR(VLOOKUP(I138,material!A:D,4,0),"")</f>
        <v>EQUIPAMENTO</v>
      </c>
      <c r="N138" s="14" t="str">
        <f t="shared" si="1"/>
        <v>DIGITEC FTZ</v>
      </c>
      <c r="O138" s="15" t="str">
        <f>IFERROR(VLOOKUP(I138,material!A:D,2,0),"")</f>
        <v>ARRIS TG1692A</v>
      </c>
    </row>
    <row r="139">
      <c r="A139" s="6" t="s">
        <v>168</v>
      </c>
      <c r="B139" s="7"/>
      <c r="C139" s="8" t="str">
        <f t="array" ref="C139">IFERROR(INDEX(atlas!H:H,MATCH(A139,atlas!C:C,0)),"")</f>
        <v>LEGADO</v>
      </c>
      <c r="D139" s="8" t="str">
        <f t="array" ref="D139">IFERROR(INDEX(atlas!D:D,MATCH(A139,atlas!C:C,0)),"")</f>
        <v>DIGITEC TECNOLOGIA DIGITAL E REPRES</v>
      </c>
      <c r="E139" s="8" t="str">
        <f t="array" ref="E139">IFERROR(INDEX(atlas!F:F,MATCH(A139,atlas!C:C,0)),"")</f>
        <v>SUSPEITO</v>
      </c>
      <c r="F139" s="9" t="s">
        <v>161</v>
      </c>
      <c r="G139" s="10">
        <v>45644.47582175926</v>
      </c>
      <c r="H139" s="11" t="s">
        <v>25</v>
      </c>
      <c r="I139" s="12">
        <f t="array" ref="I139">IFERROR(INDEX(atlas!B:B,MATCH(A139,atlas!C:C,0)),"")</f>
        <v>41001273</v>
      </c>
      <c r="J139" s="8" t="str">
        <f>IFERROR(VLOOKUP(F139,tecnica!A:B,2,0),"")</f>
        <v>36</v>
      </c>
      <c r="K139" s="8" t="str">
        <f>IFERROR(VLOOKUP(J139,tecnica!B:C,2,0),"")</f>
        <v>MOTO</v>
      </c>
      <c r="L139" s="13" t="s">
        <v>20</v>
      </c>
      <c r="M139" s="14" t="str">
        <f>IFERROR(VLOOKUP(I139,material!A:D,4,0),"")</f>
        <v>EQUIPAMENTO</v>
      </c>
      <c r="N139" s="14" t="str">
        <f t="shared" si="1"/>
        <v>DIGITEC FTZ</v>
      </c>
      <c r="O139" s="15" t="str">
        <f>IFERROR(VLOOKUP(I139,material!A:D,2,0),"")</f>
        <v>THOMSON HIGH DEFINITION DCI713</v>
      </c>
    </row>
    <row r="140">
      <c r="A140" s="6" t="s">
        <v>169</v>
      </c>
      <c r="B140" s="7"/>
      <c r="C140" s="8" t="str">
        <f t="array" ref="C140">IFERROR(INDEX(atlas!H:H,MATCH(A140,atlas!C:C,0)),"")</f>
        <v>CARD</v>
      </c>
      <c r="D140" s="8" t="str">
        <f t="array" ref="D140">IFERROR(INDEX(atlas!D:D,MATCH(A140,atlas!C:C,0)),"")</f>
        <v>DIGITEC TECNOLOGIA DIGITAL E REPRES</v>
      </c>
      <c r="E140" s="8" t="str">
        <f t="array" ref="E140">IFERROR(INDEX(atlas!F:F,MATCH(A140,atlas!C:C,0)),"")</f>
        <v>SUSPEITO</v>
      </c>
      <c r="F140" s="9" t="s">
        <v>161</v>
      </c>
      <c r="G140" s="10">
        <v>45644.47582175926</v>
      </c>
      <c r="H140" s="11" t="s">
        <v>25</v>
      </c>
      <c r="I140" s="12">
        <f t="array" ref="I140">IFERROR(INDEX(atlas!B:B,MATCH(A140,atlas!C:C,0)),"")</f>
        <v>41001186</v>
      </c>
      <c r="J140" s="8" t="str">
        <f>IFERROR(VLOOKUP(F140,tecnica!A:B,2,0),"")</f>
        <v>36</v>
      </c>
      <c r="K140" s="8" t="str">
        <f>IFERROR(VLOOKUP(J140,tecnica!B:C,2,0),"")</f>
        <v>MOTO</v>
      </c>
      <c r="L140" s="13" t="s">
        <v>20</v>
      </c>
      <c r="M140" s="14" t="str">
        <f>IFERROR(VLOOKUP(I140,material!A:D,4,0),"")</f>
        <v>EQUIPAMENTO</v>
      </c>
      <c r="N140" s="14" t="str">
        <f t="shared" si="1"/>
        <v>DIGITEC FTZ</v>
      </c>
      <c r="O140" s="15" t="str">
        <f>IFERROR(VLOOKUP(I140,material!A:D,2,0),"")</f>
        <v>NAGRA KIT</v>
      </c>
    </row>
    <row r="141">
      <c r="A141" s="6" t="s">
        <v>170</v>
      </c>
      <c r="B141" s="7"/>
      <c r="C141" s="8" t="str">
        <f t="array" ref="C141">IFERROR(INDEX(atlas!H:H,MATCH(A141,atlas!C:C,0)),"")</f>
        <v>LEGADO</v>
      </c>
      <c r="D141" s="8" t="str">
        <f t="array" ref="D141">IFERROR(INDEX(atlas!D:D,MATCH(A141,atlas!C:C,0)),"")</f>
        <v>DIGITEC TECNOLOGIA DIGITAL E REPRES</v>
      </c>
      <c r="E141" s="8" t="str">
        <f t="array" ref="E141">IFERROR(INDEX(atlas!F:F,MATCH(A141,atlas!C:C,0)),"")</f>
        <v>SUSPEITO</v>
      </c>
      <c r="F141" s="9" t="s">
        <v>161</v>
      </c>
      <c r="G141" s="10">
        <v>45644.47582175926</v>
      </c>
      <c r="H141" s="11" t="s">
        <v>25</v>
      </c>
      <c r="I141" s="12">
        <f t="array" ref="I141">IFERROR(INDEX(atlas!B:B,MATCH(A141,atlas!C:C,0)),"")</f>
        <v>41001216</v>
      </c>
      <c r="J141" s="8" t="str">
        <f>IFERROR(VLOOKUP(F141,tecnica!A:B,2,0),"")</f>
        <v>36</v>
      </c>
      <c r="K141" s="8" t="str">
        <f>IFERROR(VLOOKUP(J141,tecnica!B:C,2,0),"")</f>
        <v>MOTO</v>
      </c>
      <c r="L141" s="13" t="s">
        <v>20</v>
      </c>
      <c r="M141" s="14" t="str">
        <f>IFERROR(VLOOKUP(I141,material!A:D,4,0),"")</f>
        <v>EQUIPAMENTO</v>
      </c>
      <c r="N141" s="14" t="str">
        <f t="shared" si="1"/>
        <v>DIGITEC FTZ</v>
      </c>
      <c r="O141" s="15" t="str">
        <f>IFERROR(VLOOKUP(I141,material!A:D,2,0),"")</f>
        <v>PACE - HD DCR 7411 VIRTUA</v>
      </c>
    </row>
    <row r="142">
      <c r="A142" s="6" t="s">
        <v>171</v>
      </c>
      <c r="B142" s="7"/>
      <c r="C142" s="8" t="str">
        <f t="array" ref="C142">IFERROR(INDEX(atlas!H:H,MATCH(A142,atlas!C:C,0)),"")</f>
        <v>CARD</v>
      </c>
      <c r="D142" s="8" t="str">
        <f t="array" ref="D142">IFERROR(INDEX(atlas!D:D,MATCH(A142,atlas!C:C,0)),"")</f>
        <v>DIGITEC TECNOLOGIA DIGITAL E REPRES</v>
      </c>
      <c r="E142" s="8" t="str">
        <f t="array" ref="E142">IFERROR(INDEX(atlas!F:F,MATCH(A142,atlas!C:C,0)),"")</f>
        <v>SUSPEITO</v>
      </c>
      <c r="F142" s="9" t="s">
        <v>161</v>
      </c>
      <c r="G142" s="10">
        <v>45644.47582175926</v>
      </c>
      <c r="H142" s="11" t="s">
        <v>25</v>
      </c>
      <c r="I142" s="12">
        <f t="array" ref="I142">IFERROR(INDEX(atlas!B:B,MATCH(A142,atlas!C:C,0)),"")</f>
        <v>41001186</v>
      </c>
      <c r="J142" s="8" t="str">
        <f>IFERROR(VLOOKUP(F142,tecnica!A:B,2,0),"")</f>
        <v>36</v>
      </c>
      <c r="K142" s="8" t="str">
        <f>IFERROR(VLOOKUP(J142,tecnica!B:C,2,0),"")</f>
        <v>MOTO</v>
      </c>
      <c r="L142" s="13" t="s">
        <v>20</v>
      </c>
      <c r="M142" s="14" t="str">
        <f>IFERROR(VLOOKUP(I142,material!A:D,4,0),"")</f>
        <v>EQUIPAMENTO</v>
      </c>
      <c r="N142" s="14" t="str">
        <f t="shared" si="1"/>
        <v>DIGITEC FTZ</v>
      </c>
      <c r="O142" s="15" t="str">
        <f>IFERROR(VLOOKUP(I142,material!A:D,2,0),"")</f>
        <v>NAGRA KIT</v>
      </c>
    </row>
    <row r="143">
      <c r="A143" s="6" t="s">
        <v>172</v>
      </c>
      <c r="B143" s="7"/>
      <c r="C143" s="8" t="str">
        <f t="array" ref="C143">IFERROR(INDEX(atlas!H:H,MATCH(A143,atlas!C:C,0)),"")</f>
        <v>LEGADO</v>
      </c>
      <c r="D143" s="8" t="str">
        <f t="array" ref="D143">IFERROR(INDEX(atlas!D:D,MATCH(A143,atlas!C:C,0)),"")</f>
        <v>DIGITEC TECNOLOGIA DIGITAL E REPRES</v>
      </c>
      <c r="E143" s="8" t="str">
        <f t="array" ref="E143">IFERROR(INDEX(atlas!F:F,MATCH(A143,atlas!C:C,0)),"")</f>
        <v>SUSPEITO</v>
      </c>
      <c r="F143" s="9" t="s">
        <v>161</v>
      </c>
      <c r="G143" s="10">
        <v>45644.47582175926</v>
      </c>
      <c r="H143" s="11" t="s">
        <v>25</v>
      </c>
      <c r="I143" s="12">
        <f t="array" ref="I143">IFERROR(INDEX(atlas!B:B,MATCH(A143,atlas!C:C,0)),"")</f>
        <v>41001216</v>
      </c>
      <c r="J143" s="8" t="str">
        <f>IFERROR(VLOOKUP(F143,tecnica!A:B,2,0),"")</f>
        <v>36</v>
      </c>
      <c r="K143" s="8" t="str">
        <f>IFERROR(VLOOKUP(J143,tecnica!B:C,2,0),"")</f>
        <v>MOTO</v>
      </c>
      <c r="L143" s="13" t="s">
        <v>20</v>
      </c>
      <c r="M143" s="14" t="str">
        <f>IFERROR(VLOOKUP(I143,material!A:D,4,0),"")</f>
        <v>EQUIPAMENTO</v>
      </c>
      <c r="N143" s="14" t="str">
        <f t="shared" si="1"/>
        <v>DIGITEC FTZ</v>
      </c>
      <c r="O143" s="15" t="str">
        <f>IFERROR(VLOOKUP(I143,material!A:D,2,0),"")</f>
        <v>PACE - HD DCR 7411 VIRTUA</v>
      </c>
    </row>
    <row r="144">
      <c r="A144" s="6" t="s">
        <v>173</v>
      </c>
      <c r="B144" s="7"/>
      <c r="C144" s="8" t="str">
        <f t="array" ref="C144">IFERROR(INDEX(atlas!H:H,MATCH(A144,atlas!C:C,0)),"")</f>
        <v>CARD</v>
      </c>
      <c r="D144" s="8" t="str">
        <f t="array" ref="D144">IFERROR(INDEX(atlas!D:D,MATCH(A144,atlas!C:C,0)),"")</f>
        <v>DIGITEC TECNOLOGIA DIGITAL E REPRES</v>
      </c>
      <c r="E144" s="8" t="str">
        <f t="array" ref="E144">IFERROR(INDEX(atlas!F:F,MATCH(A144,atlas!C:C,0)),"")</f>
        <v>SUSPEITO</v>
      </c>
      <c r="F144" s="9" t="s">
        <v>161</v>
      </c>
      <c r="G144" s="10">
        <v>45644.47582175926</v>
      </c>
      <c r="H144" s="11" t="s">
        <v>25</v>
      </c>
      <c r="I144" s="12">
        <f t="array" ref="I144">IFERROR(INDEX(atlas!B:B,MATCH(A144,atlas!C:C,0)),"")</f>
        <v>41001186</v>
      </c>
      <c r="J144" s="8" t="str">
        <f>IFERROR(VLOOKUP(F144,tecnica!A:B,2,0),"")</f>
        <v>36</v>
      </c>
      <c r="K144" s="8" t="str">
        <f>IFERROR(VLOOKUP(J144,tecnica!B:C,2,0),"")</f>
        <v>MOTO</v>
      </c>
      <c r="L144" s="13" t="s">
        <v>20</v>
      </c>
      <c r="M144" s="14" t="str">
        <f>IFERROR(VLOOKUP(I144,material!A:D,4,0),"")</f>
        <v>EQUIPAMENTO</v>
      </c>
      <c r="N144" s="14" t="str">
        <f t="shared" si="1"/>
        <v>DIGITEC FTZ</v>
      </c>
      <c r="O144" s="15" t="str">
        <f>IFERROR(VLOOKUP(I144,material!A:D,2,0),"")</f>
        <v>NAGRA KIT</v>
      </c>
    </row>
    <row r="145">
      <c r="A145" s="6" t="s">
        <v>174</v>
      </c>
      <c r="B145" s="7"/>
      <c r="C145" s="8" t="str">
        <f t="array" ref="C145">IFERROR(INDEX(atlas!H:H,MATCH(A145,atlas!C:C,0)),"")</f>
        <v>3.1</v>
      </c>
      <c r="D145" s="8" t="str">
        <f t="array" ref="D145">IFERROR(INDEX(atlas!D:D,MATCH(A145,atlas!C:C,0)),"")</f>
        <v>DIGITEC TECNOLOGIA DIGITAL E REPRES</v>
      </c>
      <c r="E145" s="8" t="str">
        <f t="array" ref="E145">IFERROR(INDEX(atlas!F:F,MATCH(A145,atlas!C:C,0)),"")</f>
        <v>SUSPEITO</v>
      </c>
      <c r="F145" s="9" t="s">
        <v>161</v>
      </c>
      <c r="G145" s="10">
        <v>45644.47582175926</v>
      </c>
      <c r="H145" s="11" t="s">
        <v>25</v>
      </c>
      <c r="I145" s="12">
        <f t="array" ref="I145">IFERROR(INDEX(atlas!B:B,MATCH(A145,atlas!C:C,0)),"")</f>
        <v>41001504</v>
      </c>
      <c r="J145" s="8" t="str">
        <f>IFERROR(VLOOKUP(F145,tecnica!A:B,2,0),"")</f>
        <v>36</v>
      </c>
      <c r="K145" s="8" t="str">
        <f>IFERROR(VLOOKUP(J145,tecnica!B:C,2,0),"")</f>
        <v>MOTO</v>
      </c>
      <c r="L145" s="13" t="s">
        <v>20</v>
      </c>
      <c r="M145" s="14" t="str">
        <f>IFERROR(VLOOKUP(I145,material!A:D,4,0),"")</f>
        <v>EQUIPAMENTO</v>
      </c>
      <c r="N145" s="14" t="str">
        <f t="shared" si="1"/>
        <v>DIGITEC FTZ</v>
      </c>
      <c r="O145" s="15" t="str">
        <f>IFERROR(VLOOKUP(I145,material!A:D,2,0),"")</f>
        <v>MODEM VOIP EMTA WIFI 3.1 FAST3895</v>
      </c>
    </row>
    <row r="146">
      <c r="A146" s="16" t="s">
        <v>175</v>
      </c>
      <c r="B146" s="7"/>
      <c r="C146" s="8" t="str">
        <f t="array" ref="C146">IFERROR(INDEX(atlas!H:H,MATCH(A146,atlas!C:C,0)),"")</f>
        <v>TOP MIX</v>
      </c>
      <c r="D146" s="8" t="str">
        <f t="array" ref="D146">IFERROR(INDEX(atlas!D:D,MATCH(A146,atlas!C:C,0)),"")</f>
        <v>DIGITEC TECNOLOGIA DIGITAL E REPRES</v>
      </c>
      <c r="E146" s="8" t="str">
        <f t="array" ref="E146">IFERROR(INDEX(atlas!F:F,MATCH(A146,atlas!C:C,0)),"")</f>
        <v>INICIALIZADO</v>
      </c>
      <c r="F146" s="9" t="s">
        <v>176</v>
      </c>
      <c r="G146" s="10">
        <v>45644.350636574076</v>
      </c>
      <c r="H146" s="11" t="s">
        <v>25</v>
      </c>
      <c r="I146" s="12">
        <f t="array" ref="I146">IFERROR(INDEX(atlas!B:B,MATCH(A146,atlas!C:C,0)),"")</f>
        <v>41001275</v>
      </c>
      <c r="J146" s="8" t="str">
        <f>IFERROR(VLOOKUP(F146,tecnica!A:B,2,0),"")</f>
        <v>45</v>
      </c>
      <c r="K146" s="8" t="str">
        <f>IFERROR(VLOOKUP(J146,tecnica!B:C,2,0),"")</f>
        <v>VT</v>
      </c>
      <c r="L146" s="13" t="s">
        <v>20</v>
      </c>
      <c r="M146" s="14" t="str">
        <f>IFERROR(VLOOKUP(I146,material!A:D,4,0),"")</f>
        <v>EQUIPAMENTO</v>
      </c>
      <c r="N146" s="14" t="str">
        <f t="shared" si="1"/>
        <v>DIGITEC FTZ</v>
      </c>
      <c r="O146" s="15" t="str">
        <f>IFERROR(VLOOKUP(I146,material!A:D,2,0),"")</f>
        <v>DECODER HD DCI738 2T</v>
      </c>
    </row>
    <row r="147">
      <c r="A147" s="16" t="s">
        <v>177</v>
      </c>
      <c r="B147" s="7"/>
      <c r="C147" s="8" t="str">
        <f t="array" ref="C147">IFERROR(INDEX(atlas!H:H,MATCH(A147,atlas!C:C,0)),"")</f>
        <v>CARD</v>
      </c>
      <c r="D147" s="8" t="str">
        <f t="array" ref="D147">IFERROR(INDEX(atlas!D:D,MATCH(A147,atlas!C:C,0)),"")</f>
        <v>DIGITEC TECNOLOGIA DIGITAL E REPRES</v>
      </c>
      <c r="E147" s="8" t="str">
        <f t="array" ref="E147">IFERROR(INDEX(atlas!F:F,MATCH(A147,atlas!C:C,0)),"")</f>
        <v>INICIALIZADO</v>
      </c>
      <c r="F147" s="9" t="s">
        <v>176</v>
      </c>
      <c r="G147" s="10">
        <v>45644.350636574076</v>
      </c>
      <c r="H147" s="11" t="s">
        <v>25</v>
      </c>
      <c r="I147" s="12">
        <f t="array" ref="I147">IFERROR(INDEX(atlas!B:B,MATCH(A147,atlas!C:C,0)),"")</f>
        <v>41001234</v>
      </c>
      <c r="J147" s="8" t="str">
        <f>IFERROR(VLOOKUP(F147,tecnica!A:B,2,0),"")</f>
        <v>45</v>
      </c>
      <c r="K147" s="8" t="str">
        <f>IFERROR(VLOOKUP(J147,tecnica!B:C,2,0),"")</f>
        <v>VT</v>
      </c>
      <c r="L147" s="13" t="s">
        <v>20</v>
      </c>
      <c r="M147" s="14" t="str">
        <f>IFERROR(VLOOKUP(I147,material!A:D,4,0),"")</f>
        <v>EQUIPAMENTO</v>
      </c>
      <c r="N147" s="14" t="str">
        <f t="shared" si="1"/>
        <v>DIGITEC FTZ</v>
      </c>
      <c r="O147" s="15" t="str">
        <f>IFERROR(VLOOKUP(I147,material!A:D,2,0),"")</f>
        <v>SMART CARD PRETO NAGRA</v>
      </c>
    </row>
    <row r="148">
      <c r="A148" s="16" t="s">
        <v>178</v>
      </c>
      <c r="B148" s="7"/>
      <c r="C148" s="8" t="str">
        <f t="array" ref="C148">IFERROR(INDEX(atlas!H:H,MATCH(A148,atlas!C:C,0)),"")</f>
        <v>TOP MIX</v>
      </c>
      <c r="D148" s="8" t="str">
        <f t="array" ref="D148">IFERROR(INDEX(atlas!D:D,MATCH(A148,atlas!C:C,0)),"")</f>
        <v>DIGITEC TECNOLOGIA DIGITAL E REPRES</v>
      </c>
      <c r="E148" s="8" t="str">
        <f t="array" ref="E148">IFERROR(INDEX(atlas!F:F,MATCH(A148,atlas!C:C,0)),"")</f>
        <v>INICIALIZADO</v>
      </c>
      <c r="F148" s="9" t="s">
        <v>176</v>
      </c>
      <c r="G148" s="10">
        <v>45644.350636574076</v>
      </c>
      <c r="H148" s="11" t="s">
        <v>25</v>
      </c>
      <c r="I148" s="12">
        <f t="array" ref="I148">IFERROR(INDEX(atlas!B:B,MATCH(A148,atlas!C:C,0)),"")</f>
        <v>41001275</v>
      </c>
      <c r="J148" s="8" t="str">
        <f>IFERROR(VLOOKUP(F148,tecnica!A:B,2,0),"")</f>
        <v>45</v>
      </c>
      <c r="K148" s="8" t="str">
        <f>IFERROR(VLOOKUP(J148,tecnica!B:C,2,0),"")</f>
        <v>VT</v>
      </c>
      <c r="L148" s="13" t="s">
        <v>20</v>
      </c>
      <c r="M148" s="14" t="str">
        <f>IFERROR(VLOOKUP(I148,material!A:D,4,0),"")</f>
        <v>EQUIPAMENTO</v>
      </c>
      <c r="N148" s="14" t="str">
        <f t="shared" si="1"/>
        <v>DIGITEC FTZ</v>
      </c>
      <c r="O148" s="15" t="str">
        <f>IFERROR(VLOOKUP(I148,material!A:D,2,0),"")</f>
        <v>DECODER HD DCI738 2T</v>
      </c>
    </row>
    <row r="149">
      <c r="A149" s="16" t="s">
        <v>179</v>
      </c>
      <c r="B149" s="7"/>
      <c r="C149" s="8" t="str">
        <f t="array" ref="C149">IFERROR(INDEX(atlas!H:H,MATCH(A149,atlas!C:C,0)),"")</f>
        <v>CARD</v>
      </c>
      <c r="D149" s="8" t="str">
        <f t="array" ref="D149">IFERROR(INDEX(atlas!D:D,MATCH(A149,atlas!C:C,0)),"")</f>
        <v>DIGITEC TECNOLOGIA DIGITAL E REPRES</v>
      </c>
      <c r="E149" s="8" t="str">
        <f t="array" ref="E149">IFERROR(INDEX(atlas!F:F,MATCH(A149,atlas!C:C,0)),"")</f>
        <v>INICIALIZADO</v>
      </c>
      <c r="F149" s="9" t="s">
        <v>176</v>
      </c>
      <c r="G149" s="10">
        <v>45644.350636574076</v>
      </c>
      <c r="H149" s="11" t="s">
        <v>25</v>
      </c>
      <c r="I149" s="12">
        <f t="array" ref="I149">IFERROR(INDEX(atlas!B:B,MATCH(A149,atlas!C:C,0)),"")</f>
        <v>41001234</v>
      </c>
      <c r="J149" s="8" t="str">
        <f>IFERROR(VLOOKUP(F149,tecnica!A:B,2,0),"")</f>
        <v>45</v>
      </c>
      <c r="K149" s="8" t="str">
        <f>IFERROR(VLOOKUP(J149,tecnica!B:C,2,0),"")</f>
        <v>VT</v>
      </c>
      <c r="L149" s="13" t="s">
        <v>20</v>
      </c>
      <c r="M149" s="14" t="str">
        <f>IFERROR(VLOOKUP(I149,material!A:D,4,0),"")</f>
        <v>EQUIPAMENTO</v>
      </c>
      <c r="N149" s="14" t="str">
        <f t="shared" si="1"/>
        <v>DIGITEC FTZ</v>
      </c>
      <c r="O149" s="15" t="str">
        <f>IFERROR(VLOOKUP(I149,material!A:D,2,0),"")</f>
        <v>SMART CARD PRETO NAGRA</v>
      </c>
    </row>
    <row r="150">
      <c r="A150" s="16" t="s">
        <v>180</v>
      </c>
      <c r="B150" s="7"/>
      <c r="C150" s="8" t="str">
        <f t="array" ref="C150">IFERROR(INDEX(atlas!H:H,MATCH(A150,atlas!C:C,0)),"")</f>
        <v>LEGADO</v>
      </c>
      <c r="D150" s="8" t="str">
        <f t="array" ref="D150">IFERROR(INDEX(atlas!D:D,MATCH(A150,atlas!C:C,0)),"")</f>
        <v>DIGITEC TECNOLOGIA DIGITAL E REPRES</v>
      </c>
      <c r="E150" s="8" t="str">
        <f t="array" ref="E150">IFERROR(INDEX(atlas!F:F,MATCH(A150,atlas!C:C,0)),"")</f>
        <v>SUSPEITO</v>
      </c>
      <c r="F150" s="9" t="s">
        <v>176</v>
      </c>
      <c r="G150" s="10">
        <v>45644.350636574076</v>
      </c>
      <c r="H150" s="11" t="s">
        <v>25</v>
      </c>
      <c r="I150" s="12">
        <f t="array" ref="I150">IFERROR(INDEX(atlas!B:B,MATCH(A150,atlas!C:C,0)),"")</f>
        <v>41001216</v>
      </c>
      <c r="J150" s="8" t="str">
        <f>IFERROR(VLOOKUP(F150,tecnica!A:B,2,0),"")</f>
        <v>45</v>
      </c>
      <c r="K150" s="8" t="str">
        <f>IFERROR(VLOOKUP(J150,tecnica!B:C,2,0),"")</f>
        <v>VT</v>
      </c>
      <c r="L150" s="13" t="s">
        <v>20</v>
      </c>
      <c r="M150" s="14" t="str">
        <f>IFERROR(VLOOKUP(I150,material!A:D,4,0),"")</f>
        <v>EQUIPAMENTO</v>
      </c>
      <c r="N150" s="14" t="str">
        <f t="shared" si="1"/>
        <v>DIGITEC FTZ</v>
      </c>
      <c r="O150" s="15" t="str">
        <f>IFERROR(VLOOKUP(I150,material!A:D,2,0),"")</f>
        <v>PACE - HD DCR 7411 VIRTUA</v>
      </c>
    </row>
    <row r="151">
      <c r="A151" s="16" t="s">
        <v>181</v>
      </c>
      <c r="B151" s="7"/>
      <c r="C151" s="8" t="str">
        <f t="array" ref="C151">IFERROR(INDEX(atlas!H:H,MATCH(A151,atlas!C:C,0)),"")</f>
        <v>CARD</v>
      </c>
      <c r="D151" s="8" t="str">
        <f t="array" ref="D151">IFERROR(INDEX(atlas!D:D,MATCH(A151,atlas!C:C,0)),"")</f>
        <v>DIGITEC TECNOLOGIA DIGITAL E REPRES</v>
      </c>
      <c r="E151" s="8" t="str">
        <f t="array" ref="E151">IFERROR(INDEX(atlas!F:F,MATCH(A151,atlas!C:C,0)),"")</f>
        <v>SUSPEITO</v>
      </c>
      <c r="F151" s="9" t="s">
        <v>176</v>
      </c>
      <c r="G151" s="10">
        <v>45644.350636574076</v>
      </c>
      <c r="H151" s="11" t="s">
        <v>25</v>
      </c>
      <c r="I151" s="12">
        <f t="array" ref="I151">IFERROR(INDEX(atlas!B:B,MATCH(A151,atlas!C:C,0)),"")</f>
        <v>41001186</v>
      </c>
      <c r="J151" s="8" t="str">
        <f>IFERROR(VLOOKUP(F151,tecnica!A:B,2,0),"")</f>
        <v>45</v>
      </c>
      <c r="K151" s="8" t="str">
        <f>IFERROR(VLOOKUP(J151,tecnica!B:C,2,0),"")</f>
        <v>VT</v>
      </c>
      <c r="L151" s="13" t="s">
        <v>20</v>
      </c>
      <c r="M151" s="14" t="str">
        <f>IFERROR(VLOOKUP(I151,material!A:D,4,0),"")</f>
        <v>EQUIPAMENTO</v>
      </c>
      <c r="N151" s="14" t="str">
        <f t="shared" si="1"/>
        <v>DIGITEC FTZ</v>
      </c>
      <c r="O151" s="15" t="str">
        <f>IFERROR(VLOOKUP(I151,material!A:D,2,0),"")</f>
        <v>NAGRA KIT</v>
      </c>
    </row>
    <row r="152">
      <c r="A152" s="16" t="s">
        <v>182</v>
      </c>
      <c r="B152" s="7"/>
      <c r="C152" s="8" t="str">
        <f t="array" ref="C152">IFERROR(INDEX(atlas!H:H,MATCH(A152,atlas!C:C,0)),"")</f>
        <v>DUAL</v>
      </c>
      <c r="D152" s="8" t="str">
        <f t="array" ref="D152">IFERROR(INDEX(atlas!D:D,MATCH(A152,atlas!C:C,0)),"")</f>
        <v>DIGITEC TECNOLOGIA DIGITAL E REPRES</v>
      </c>
      <c r="E152" s="8" t="str">
        <f t="array" ref="E152">IFERROR(INDEX(atlas!F:F,MATCH(A152,atlas!C:C,0)),"")</f>
        <v>SUSPEITO</v>
      </c>
      <c r="F152" s="9" t="s">
        <v>176</v>
      </c>
      <c r="G152" s="10">
        <v>45644.350636574076</v>
      </c>
      <c r="H152" s="11" t="s">
        <v>25</v>
      </c>
      <c r="I152" s="12">
        <f t="array" ref="I152">IFERROR(INDEX(atlas!B:B,MATCH(A152,atlas!C:C,0)),"")</f>
        <v>41001292</v>
      </c>
      <c r="J152" s="8" t="str">
        <f>IFERROR(VLOOKUP(F152,tecnica!A:B,2,0),"")</f>
        <v>45</v>
      </c>
      <c r="K152" s="8" t="str">
        <f>IFERROR(VLOOKUP(J152,tecnica!B:C,2,0),"")</f>
        <v>VT</v>
      </c>
      <c r="L152" s="13" t="s">
        <v>20</v>
      </c>
      <c r="M152" s="14" t="str">
        <f>IFERROR(VLOOKUP(I152,material!A:D,4,0),"")</f>
        <v>EQUIPAMENTO</v>
      </c>
      <c r="N152" s="14" t="str">
        <f t="shared" si="1"/>
        <v>DIGITEC FTZ</v>
      </c>
      <c r="O152" s="15" t="str">
        <f>IFERROR(VLOOKUP(I152,material!A:D,2,0),"")</f>
        <v>HUMAX HGB10R-02</v>
      </c>
    </row>
    <row r="153">
      <c r="A153" s="16" t="s">
        <v>183</v>
      </c>
      <c r="B153" s="7"/>
      <c r="C153" s="8" t="str">
        <f t="array" ref="C153">IFERROR(INDEX(atlas!H:H,MATCH(A153,atlas!C:C,0)),"")</f>
        <v>LEGADO</v>
      </c>
      <c r="D153" s="8" t="str">
        <f t="array" ref="D153">IFERROR(INDEX(atlas!D:D,MATCH(A153,atlas!C:C,0)),"")</f>
        <v>DIGITEC TECNOLOGIA DIGITAL E REPRES</v>
      </c>
      <c r="E153" s="8" t="str">
        <f t="array" ref="E153">IFERROR(INDEX(atlas!F:F,MATCH(A153,atlas!C:C,0)),"")</f>
        <v>SUSPEITO</v>
      </c>
      <c r="F153" s="9" t="s">
        <v>176</v>
      </c>
      <c r="G153" s="10">
        <v>45644.350636574076</v>
      </c>
      <c r="H153" s="11" t="s">
        <v>25</v>
      </c>
      <c r="I153" s="12">
        <f t="array" ref="I153">IFERROR(INDEX(atlas!B:B,MATCH(A153,atlas!C:C,0)),"")</f>
        <v>41001273</v>
      </c>
      <c r="J153" s="8" t="str">
        <f>IFERROR(VLOOKUP(F153,tecnica!A:B,2,0),"")</f>
        <v>45</v>
      </c>
      <c r="K153" s="8" t="str">
        <f>IFERROR(VLOOKUP(J153,tecnica!B:C,2,0),"")</f>
        <v>VT</v>
      </c>
      <c r="L153" s="13" t="s">
        <v>20</v>
      </c>
      <c r="M153" s="14" t="str">
        <f>IFERROR(VLOOKUP(I153,material!A:D,4,0),"")</f>
        <v>EQUIPAMENTO</v>
      </c>
      <c r="N153" s="14" t="str">
        <f t="shared" si="1"/>
        <v>DIGITEC FTZ</v>
      </c>
      <c r="O153" s="15" t="str">
        <f>IFERROR(VLOOKUP(I153,material!A:D,2,0),"")</f>
        <v>THOMSON HIGH DEFINITION DCI713</v>
      </c>
    </row>
    <row r="154">
      <c r="A154" s="16" t="s">
        <v>184</v>
      </c>
      <c r="B154" s="7"/>
      <c r="C154" s="8" t="str">
        <f t="array" ref="C154">IFERROR(INDEX(atlas!H:H,MATCH(A154,atlas!C:C,0)),"")</f>
        <v>CARD</v>
      </c>
      <c r="D154" s="8" t="str">
        <f t="array" ref="D154">IFERROR(INDEX(atlas!D:D,MATCH(A154,atlas!C:C,0)),"")</f>
        <v>DIGITEC TECNOLOGIA DIGITAL E REPRES</v>
      </c>
      <c r="E154" s="8" t="str">
        <f t="array" ref="E154">IFERROR(INDEX(atlas!F:F,MATCH(A154,atlas!C:C,0)),"")</f>
        <v>SUSPEITO</v>
      </c>
      <c r="F154" s="9" t="s">
        <v>176</v>
      </c>
      <c r="G154" s="10">
        <v>45644.350636574076</v>
      </c>
      <c r="H154" s="11" t="s">
        <v>25</v>
      </c>
      <c r="I154" s="12">
        <f t="array" ref="I154">IFERROR(INDEX(atlas!B:B,MATCH(A154,atlas!C:C,0)),"")</f>
        <v>41001186</v>
      </c>
      <c r="J154" s="8" t="str">
        <f>IFERROR(VLOOKUP(F154,tecnica!A:B,2,0),"")</f>
        <v>45</v>
      </c>
      <c r="K154" s="8" t="str">
        <f>IFERROR(VLOOKUP(J154,tecnica!B:C,2,0),"")</f>
        <v>VT</v>
      </c>
      <c r="L154" s="13" t="s">
        <v>20</v>
      </c>
      <c r="M154" s="14" t="str">
        <f>IFERROR(VLOOKUP(I154,material!A:D,4,0),"")</f>
        <v>EQUIPAMENTO</v>
      </c>
      <c r="N154" s="14" t="str">
        <f t="shared" si="1"/>
        <v>DIGITEC FTZ</v>
      </c>
      <c r="O154" s="15" t="str">
        <f>IFERROR(VLOOKUP(I154,material!A:D,2,0),"")</f>
        <v>NAGRA KIT</v>
      </c>
    </row>
    <row r="155">
      <c r="A155" s="16" t="s">
        <v>185</v>
      </c>
      <c r="B155" s="7"/>
      <c r="C155" s="8" t="str">
        <f t="array" ref="C155">IFERROR(INDEX(atlas!H:H,MATCH(A155,atlas!C:C,0)),"")</f>
        <v>DUAL</v>
      </c>
      <c r="D155" s="8" t="str">
        <f t="array" ref="D155">IFERROR(INDEX(atlas!D:D,MATCH(A155,atlas!C:C,0)),"")</f>
        <v>DIGITEC TECNOLOGIA DIGITAL E REPRES</v>
      </c>
      <c r="E155" s="8" t="str">
        <f t="array" ref="E155">IFERROR(INDEX(atlas!F:F,MATCH(A155,atlas!C:C,0)),"")</f>
        <v>SUSPEITO</v>
      </c>
      <c r="F155" s="9" t="s">
        <v>176</v>
      </c>
      <c r="G155" s="10">
        <v>45644.350636574076</v>
      </c>
      <c r="H155" s="11" t="s">
        <v>25</v>
      </c>
      <c r="I155" s="12">
        <f t="array" ref="I155">IFERROR(INDEX(atlas!B:B,MATCH(A155,atlas!C:C,0)),"")</f>
        <v>41001293</v>
      </c>
      <c r="J155" s="8" t="str">
        <f>IFERROR(VLOOKUP(F155,tecnica!A:B,2,0),"")</f>
        <v>45</v>
      </c>
      <c r="K155" s="8" t="str">
        <f>IFERROR(VLOOKUP(J155,tecnica!B:C,2,0),"")</f>
        <v>VT</v>
      </c>
      <c r="L155" s="13" t="s">
        <v>20</v>
      </c>
      <c r="M155" s="14" t="str">
        <f>IFERROR(VLOOKUP(I155,material!A:D,4,0),"")</f>
        <v>EQUIPAMENTO</v>
      </c>
      <c r="N155" s="14" t="str">
        <f t="shared" si="1"/>
        <v>DIGITEC FTZ</v>
      </c>
      <c r="O155" s="15" t="str">
        <f>IFERROR(VLOOKUP(I155,material!A:D,2,0),"")</f>
        <v>ARRIS TG1692A</v>
      </c>
    </row>
    <row r="156">
      <c r="A156" s="16" t="s">
        <v>186</v>
      </c>
      <c r="B156" s="7"/>
      <c r="C156" s="8" t="str">
        <f t="array" ref="C156">IFERROR(INDEX(atlas!H:H,MATCH(A156,atlas!C:C,0)),"")</f>
        <v>LEGADO</v>
      </c>
      <c r="D156" s="8" t="str">
        <f t="array" ref="D156">IFERROR(INDEX(atlas!D:D,MATCH(A156,atlas!C:C,0)),"")</f>
        <v>DIGITEC TECNOLOGIA DIGITAL E REPRES</v>
      </c>
      <c r="E156" s="8" t="str">
        <f t="array" ref="E156">IFERROR(INDEX(atlas!F:F,MATCH(A156,atlas!C:C,0)),"")</f>
        <v>SUSPEITO</v>
      </c>
      <c r="F156" s="9" t="s">
        <v>176</v>
      </c>
      <c r="G156" s="10">
        <v>45644.350636574076</v>
      </c>
      <c r="H156" s="11" t="s">
        <v>25</v>
      </c>
      <c r="I156" s="12">
        <f t="array" ref="I156">IFERROR(INDEX(atlas!B:B,MATCH(A156,atlas!C:C,0)),"")</f>
        <v>41001216</v>
      </c>
      <c r="J156" s="8" t="str">
        <f>IFERROR(VLOOKUP(F156,tecnica!A:B,2,0),"")</f>
        <v>45</v>
      </c>
      <c r="K156" s="8" t="str">
        <f>IFERROR(VLOOKUP(J156,tecnica!B:C,2,0),"")</f>
        <v>VT</v>
      </c>
      <c r="L156" s="13" t="s">
        <v>20</v>
      </c>
      <c r="M156" s="14" t="str">
        <f>IFERROR(VLOOKUP(I156,material!A:D,4,0),"")</f>
        <v>EQUIPAMENTO</v>
      </c>
      <c r="N156" s="14" t="str">
        <f t="shared" si="1"/>
        <v>DIGITEC FTZ</v>
      </c>
      <c r="O156" s="15" t="str">
        <f>IFERROR(VLOOKUP(I156,material!A:D,2,0),"")</f>
        <v>PACE - HD DCR 7411 VIRTUA</v>
      </c>
    </row>
    <row r="157">
      <c r="A157" s="16" t="s">
        <v>187</v>
      </c>
      <c r="B157" s="7"/>
      <c r="C157" s="8" t="str">
        <f t="array" ref="C157">IFERROR(INDEX(atlas!H:H,MATCH(A157,atlas!C:C,0)),"")</f>
        <v>CARD</v>
      </c>
      <c r="D157" s="8" t="str">
        <f t="array" ref="D157">IFERROR(INDEX(atlas!D:D,MATCH(A157,atlas!C:C,0)),"")</f>
        <v>DIGITEC TECNOLOGIA DIGITAL E REPRES</v>
      </c>
      <c r="E157" s="8" t="str">
        <f t="array" ref="E157">IFERROR(INDEX(atlas!F:F,MATCH(A157,atlas!C:C,0)),"")</f>
        <v>SUSPEITO</v>
      </c>
      <c r="F157" s="9" t="s">
        <v>176</v>
      </c>
      <c r="G157" s="10">
        <v>45644.350636574076</v>
      </c>
      <c r="H157" s="11" t="s">
        <v>25</v>
      </c>
      <c r="I157" s="12">
        <f t="array" ref="I157">IFERROR(INDEX(atlas!B:B,MATCH(A157,atlas!C:C,0)),"")</f>
        <v>41001186</v>
      </c>
      <c r="J157" s="8" t="str">
        <f>IFERROR(VLOOKUP(F157,tecnica!A:B,2,0),"")</f>
        <v>45</v>
      </c>
      <c r="K157" s="8" t="str">
        <f>IFERROR(VLOOKUP(J157,tecnica!B:C,2,0),"")</f>
        <v>VT</v>
      </c>
      <c r="L157" s="13" t="s">
        <v>20</v>
      </c>
      <c r="M157" s="14" t="str">
        <f>IFERROR(VLOOKUP(I157,material!A:D,4,0),"")</f>
        <v>EQUIPAMENTO</v>
      </c>
      <c r="N157" s="14" t="str">
        <f t="shared" si="1"/>
        <v>DIGITEC FTZ</v>
      </c>
      <c r="O157" s="15" t="str">
        <f>IFERROR(VLOOKUP(I157,material!A:D,2,0),"")</f>
        <v>NAGRA KIT</v>
      </c>
    </row>
    <row r="158">
      <c r="A158" s="16" t="s">
        <v>188</v>
      </c>
      <c r="B158" s="7"/>
      <c r="C158" s="8" t="str">
        <f t="array" ref="C158">IFERROR(INDEX(atlas!H:H,MATCH(A158,atlas!C:C,0)),"")</f>
        <v>3.1</v>
      </c>
      <c r="D158" s="8" t="str">
        <f t="array" ref="D158">IFERROR(INDEX(atlas!D:D,MATCH(A158,atlas!C:C,0)),"")</f>
        <v>DIGITEC TECNOLOGIA DIGITAL E REPRES</v>
      </c>
      <c r="E158" s="8" t="str">
        <f t="array" ref="E158">IFERROR(INDEX(atlas!F:F,MATCH(A158,atlas!C:C,0)),"")</f>
        <v>SUSPEITO</v>
      </c>
      <c r="F158" s="9" t="s">
        <v>176</v>
      </c>
      <c r="G158" s="10">
        <v>45644.350636574076</v>
      </c>
      <c r="H158" s="11" t="s">
        <v>25</v>
      </c>
      <c r="I158" s="12">
        <f t="array" ref="I158">IFERROR(INDEX(atlas!B:B,MATCH(A158,atlas!C:C,0)),"")</f>
        <v>41001520</v>
      </c>
      <c r="J158" s="8" t="str">
        <f>IFERROR(VLOOKUP(F158,tecnica!A:B,2,0),"")</f>
        <v>45</v>
      </c>
      <c r="K158" s="8" t="str">
        <f>IFERROR(VLOOKUP(J158,tecnica!B:C,2,0),"")</f>
        <v>VT</v>
      </c>
      <c r="L158" s="13" t="s">
        <v>20</v>
      </c>
      <c r="M158" s="14" t="str">
        <f>IFERROR(VLOOKUP(I158,material!A:D,4,0),"")</f>
        <v>EQUIPAMENTO</v>
      </c>
      <c r="N158" s="14" t="str">
        <f t="shared" si="1"/>
        <v>DIGITEC FTZ</v>
      </c>
      <c r="O158" s="15" t="str">
        <f>IFERROR(VLOOKUP(I158,material!A:D,2,0),"")</f>
        <v>TERMINAL DOCSIS 3.1 32X8 EMTA WIF TG3442</v>
      </c>
    </row>
    <row r="159">
      <c r="A159" s="16" t="s">
        <v>189</v>
      </c>
      <c r="B159" s="7"/>
      <c r="C159" s="8" t="str">
        <f t="array" ref="C159">IFERROR(INDEX(atlas!H:H,MATCH(A159,atlas!C:C,0)),"")</f>
        <v>3.1</v>
      </c>
      <c r="D159" s="8" t="str">
        <f t="array" ref="D159">IFERROR(INDEX(atlas!D:D,MATCH(A159,atlas!C:C,0)),"")</f>
        <v>DIGITEC TECNOLOGIA DIGITAL E REPRES</v>
      </c>
      <c r="E159" s="8" t="str">
        <f t="array" ref="E159">IFERROR(INDEX(atlas!F:F,MATCH(A159,atlas!C:C,0)),"")</f>
        <v>SUSPEITO</v>
      </c>
      <c r="F159" s="9" t="s">
        <v>176</v>
      </c>
      <c r="G159" s="10">
        <v>45644.350636574076</v>
      </c>
      <c r="H159" s="11" t="s">
        <v>25</v>
      </c>
      <c r="I159" s="12">
        <f t="array" ref="I159">IFERROR(INDEX(atlas!B:B,MATCH(A159,atlas!C:C,0)),"")</f>
        <v>41001504</v>
      </c>
      <c r="J159" s="8" t="str">
        <f>IFERROR(VLOOKUP(F159,tecnica!A:B,2,0),"")</f>
        <v>45</v>
      </c>
      <c r="K159" s="8" t="str">
        <f>IFERROR(VLOOKUP(J159,tecnica!B:C,2,0),"")</f>
        <v>VT</v>
      </c>
      <c r="L159" s="13" t="s">
        <v>20</v>
      </c>
      <c r="M159" s="14" t="str">
        <f>IFERROR(VLOOKUP(I159,material!A:D,4,0),"")</f>
        <v>EQUIPAMENTO</v>
      </c>
      <c r="N159" s="14" t="str">
        <f t="shared" si="1"/>
        <v>DIGITEC FTZ</v>
      </c>
      <c r="O159" s="15" t="str">
        <f>IFERROR(VLOOKUP(I159,material!A:D,2,0),"")</f>
        <v>MODEM VOIP EMTA WIFI 3.1 FAST3895</v>
      </c>
    </row>
    <row r="160">
      <c r="A160" s="16" t="s">
        <v>190</v>
      </c>
      <c r="B160" s="7"/>
      <c r="C160" s="8" t="str">
        <f t="array" ref="C160">IFERROR(INDEX(atlas!H:H,MATCH(A160,atlas!C:C,0)),"")</f>
        <v>3.1</v>
      </c>
      <c r="D160" s="8" t="str">
        <f t="array" ref="D160">IFERROR(INDEX(atlas!D:D,MATCH(A160,atlas!C:C,0)),"")</f>
        <v>DIGITEC TECNOLOGIA DIGITAL E REPRES</v>
      </c>
      <c r="E160" s="8" t="str">
        <f t="array" ref="E160">IFERROR(INDEX(atlas!F:F,MATCH(A160,atlas!C:C,0)),"")</f>
        <v>INICIALIZADO</v>
      </c>
      <c r="F160" s="9" t="s">
        <v>176</v>
      </c>
      <c r="G160" s="10">
        <v>45644.350636574076</v>
      </c>
      <c r="H160" s="11" t="s">
        <v>19</v>
      </c>
      <c r="I160" s="12">
        <f t="array" ref="I160">IFERROR(INDEX(atlas!B:B,MATCH(A160,atlas!C:C,0)),"")</f>
        <v>41001481</v>
      </c>
      <c r="J160" s="8" t="str">
        <f>IFERROR(VLOOKUP(F160,tecnica!A:B,2,0),"")</f>
        <v>45</v>
      </c>
      <c r="K160" s="8" t="str">
        <f>IFERROR(VLOOKUP(J160,tecnica!B:C,2,0),"")</f>
        <v>VT</v>
      </c>
      <c r="L160" s="13" t="s">
        <v>20</v>
      </c>
      <c r="M160" s="14" t="str">
        <f>IFERROR(VLOOKUP(I160,material!A:D,4,0),"")</f>
        <v>EQUIPAMENTO</v>
      </c>
      <c r="N160" s="14" t="str">
        <f t="shared" si="1"/>
        <v>DIGITEC FTZ</v>
      </c>
      <c r="O160" s="15" t="str">
        <f>IFERROR(VLOOKUP(I160,material!A:D,2,0),"")</f>
        <v>MODEM VOIP EMTA WIFI 3.1 HGJ310</v>
      </c>
    </row>
    <row r="161">
      <c r="A161" s="16" t="s">
        <v>191</v>
      </c>
      <c r="B161" s="7"/>
      <c r="C161" s="8" t="str">
        <f t="array" ref="C161">IFERROR(INDEX(atlas!H:H,MATCH(A161,atlas!C:C,0)),"")</f>
        <v>TOP MIX</v>
      </c>
      <c r="D161" s="8" t="str">
        <f t="array" ref="D161">IFERROR(INDEX(atlas!D:D,MATCH(A161,atlas!C:C,0)),"")</f>
        <v>DIGITEC TECNOLOGIA DIGITAL E REPRES</v>
      </c>
      <c r="E161" s="8" t="str">
        <f t="array" ref="E161">IFERROR(INDEX(atlas!F:F,MATCH(A161,atlas!C:C,0)),"")</f>
        <v>INICIALIZADO</v>
      </c>
      <c r="F161" s="9" t="s">
        <v>176</v>
      </c>
      <c r="G161" s="10">
        <v>45644.350636574076</v>
      </c>
      <c r="H161" s="11" t="s">
        <v>25</v>
      </c>
      <c r="I161" s="12">
        <f t="array" ref="I161">IFERROR(INDEX(atlas!B:B,MATCH(A161,atlas!C:C,0)),"")</f>
        <v>41001275</v>
      </c>
      <c r="J161" s="8" t="str">
        <f>IFERROR(VLOOKUP(F161,tecnica!A:B,2,0),"")</f>
        <v>45</v>
      </c>
      <c r="K161" s="8" t="str">
        <f>IFERROR(VLOOKUP(J161,tecnica!B:C,2,0),"")</f>
        <v>VT</v>
      </c>
      <c r="L161" s="13" t="s">
        <v>20</v>
      </c>
      <c r="M161" s="14" t="str">
        <f>IFERROR(VLOOKUP(I161,material!A:D,4,0),"")</f>
        <v>EQUIPAMENTO</v>
      </c>
      <c r="N161" s="14" t="str">
        <f t="shared" si="1"/>
        <v>DIGITEC FTZ</v>
      </c>
      <c r="O161" s="15" t="str">
        <f>IFERROR(VLOOKUP(I161,material!A:D,2,0),"")</f>
        <v>DECODER HD DCI738 2T</v>
      </c>
    </row>
    <row r="162">
      <c r="A162" s="16" t="s">
        <v>192</v>
      </c>
      <c r="B162" s="7"/>
      <c r="C162" s="8" t="str">
        <f t="array" ref="C162">IFERROR(INDEX(atlas!H:H,MATCH(A162,atlas!C:C,0)),"")</f>
        <v>CARD</v>
      </c>
      <c r="D162" s="8" t="str">
        <f t="array" ref="D162">IFERROR(INDEX(atlas!D:D,MATCH(A162,atlas!C:C,0)),"")</f>
        <v>DIGITEC TECNOLOGIA DIGITAL E REPRES</v>
      </c>
      <c r="E162" s="8" t="str">
        <f t="array" ref="E162">IFERROR(INDEX(atlas!F:F,MATCH(A162,atlas!C:C,0)),"")</f>
        <v>INICIALIZADO</v>
      </c>
      <c r="F162" s="9" t="s">
        <v>176</v>
      </c>
      <c r="G162" s="10">
        <v>45644.350636574076</v>
      </c>
      <c r="H162" s="11" t="s">
        <v>25</v>
      </c>
      <c r="I162" s="12">
        <f t="array" ref="I162">IFERROR(INDEX(atlas!B:B,MATCH(A162,atlas!C:C,0)),"")</f>
        <v>41001234</v>
      </c>
      <c r="J162" s="8" t="str">
        <f>IFERROR(VLOOKUP(F162,tecnica!A:B,2,0),"")</f>
        <v>45</v>
      </c>
      <c r="K162" s="8" t="str">
        <f>IFERROR(VLOOKUP(J162,tecnica!B:C,2,0),"")</f>
        <v>VT</v>
      </c>
      <c r="L162" s="13" t="s">
        <v>20</v>
      </c>
      <c r="M162" s="14" t="str">
        <f>IFERROR(VLOOKUP(I162,material!A:D,4,0),"")</f>
        <v>EQUIPAMENTO</v>
      </c>
      <c r="N162" s="14" t="str">
        <f t="shared" si="1"/>
        <v>DIGITEC FTZ</v>
      </c>
      <c r="O162" s="15" t="str">
        <f>IFERROR(VLOOKUP(I162,material!A:D,2,0),"")</f>
        <v>SMART CARD PRETO NAGRA</v>
      </c>
    </row>
    <row r="163">
      <c r="A163" s="16" t="s">
        <v>193</v>
      </c>
      <c r="B163" s="7"/>
      <c r="C163" s="8" t="str">
        <f t="array" ref="C163">IFERROR(INDEX(atlas!H:H,MATCH(A163,atlas!C:C,0)),"")</f>
        <v>TOP MIX</v>
      </c>
      <c r="D163" s="8" t="str">
        <f t="array" ref="D163">IFERROR(INDEX(atlas!D:D,MATCH(A163,atlas!C:C,0)),"")</f>
        <v>DIGITEC TECNOLOGIA DIGITAL E REPRES</v>
      </c>
      <c r="E163" s="8" t="str">
        <f t="array" ref="E163">IFERROR(INDEX(atlas!F:F,MATCH(A163,atlas!C:C,0)),"")</f>
        <v>INICIALIZADO</v>
      </c>
      <c r="F163" s="9" t="s">
        <v>176</v>
      </c>
      <c r="G163" s="10">
        <v>45644.350636574076</v>
      </c>
      <c r="H163" s="11" t="s">
        <v>19</v>
      </c>
      <c r="I163" s="12">
        <f t="array" ref="I163">IFERROR(INDEX(atlas!B:B,MATCH(A163,atlas!C:C,0)),"")</f>
        <v>41001277</v>
      </c>
      <c r="J163" s="8" t="str">
        <f>IFERROR(VLOOKUP(F163,tecnica!A:B,2,0),"")</f>
        <v>45</v>
      </c>
      <c r="K163" s="8" t="str">
        <f>IFERROR(VLOOKUP(J163,tecnica!B:C,2,0),"")</f>
        <v>VT</v>
      </c>
      <c r="L163" s="13" t="s">
        <v>20</v>
      </c>
      <c r="M163" s="14" t="str">
        <f>IFERROR(VLOOKUP(I163,material!A:D,4,0),"")</f>
        <v>EQUIPAMENTO</v>
      </c>
      <c r="N163" s="14" t="str">
        <f t="shared" si="1"/>
        <v>DIGITEC FTZ</v>
      </c>
      <c r="O163" s="15" t="str">
        <f>IFERROR(VLOOKUP(I163,material!A:D,2,0),"")</f>
        <v>DECODER DIGITAL HD DXC5000 2T</v>
      </c>
    </row>
    <row r="164">
      <c r="A164" s="16" t="s">
        <v>194</v>
      </c>
      <c r="B164" s="7"/>
      <c r="C164" s="8" t="str">
        <f t="array" ref="C164">IFERROR(INDEX(atlas!H:H,MATCH(A164,atlas!C:C,0)),"")</f>
        <v>CARD</v>
      </c>
      <c r="D164" s="8" t="str">
        <f t="array" ref="D164">IFERROR(INDEX(atlas!D:D,MATCH(A164,atlas!C:C,0)),"")</f>
        <v>DIGITEC TECNOLOGIA DIGITAL E REPRES</v>
      </c>
      <c r="E164" s="8" t="str">
        <f t="array" ref="E164">IFERROR(INDEX(atlas!F:F,MATCH(A164,atlas!C:C,0)),"")</f>
        <v>INICIALIZADO</v>
      </c>
      <c r="F164" s="9" t="s">
        <v>176</v>
      </c>
      <c r="G164" s="10">
        <v>45644.350636574076</v>
      </c>
      <c r="H164" s="11" t="s">
        <v>19</v>
      </c>
      <c r="I164" s="12">
        <f t="array" ref="I164">IFERROR(INDEX(atlas!B:B,MATCH(A164,atlas!C:C,0)),"")</f>
        <v>41001234</v>
      </c>
      <c r="J164" s="8" t="str">
        <f>IFERROR(VLOOKUP(F164,tecnica!A:B,2,0),"")</f>
        <v>45</v>
      </c>
      <c r="K164" s="8" t="str">
        <f>IFERROR(VLOOKUP(J164,tecnica!B:C,2,0),"")</f>
        <v>VT</v>
      </c>
      <c r="L164" s="13" t="s">
        <v>20</v>
      </c>
      <c r="M164" s="14" t="str">
        <f>IFERROR(VLOOKUP(I164,material!A:D,4,0),"")</f>
        <v>EQUIPAMENTO</v>
      </c>
      <c r="N164" s="14" t="str">
        <f t="shared" si="1"/>
        <v>DIGITEC FTZ</v>
      </c>
      <c r="O164" s="15" t="str">
        <f>IFERROR(VLOOKUP(I164,material!A:D,2,0),"")</f>
        <v>SMART CARD PRETO NAGRA</v>
      </c>
    </row>
    <row r="165">
      <c r="A165" s="16" t="s">
        <v>195</v>
      </c>
      <c r="B165" s="7"/>
      <c r="C165" s="8" t="str">
        <f t="array" ref="C165">IFERROR(INDEX(atlas!H:H,MATCH(A165,atlas!C:C,0)),"")</f>
        <v>TOP MIX</v>
      </c>
      <c r="D165" s="8" t="str">
        <f t="array" ref="D165">IFERROR(INDEX(atlas!D:D,MATCH(A165,atlas!C:C,0)),"")</f>
        <v>DIGITEC TECNOLOGIA DIGITAL E REPRES</v>
      </c>
      <c r="E165" s="8" t="str">
        <f t="array" ref="E165">IFERROR(INDEX(atlas!F:F,MATCH(A165,atlas!C:C,0)),"")</f>
        <v>INICIALIZADO</v>
      </c>
      <c r="F165" s="9" t="s">
        <v>176</v>
      </c>
      <c r="G165" s="10">
        <v>45644.350636574076</v>
      </c>
      <c r="H165" s="11" t="s">
        <v>25</v>
      </c>
      <c r="I165" s="12">
        <f t="array" ref="I165">IFERROR(INDEX(atlas!B:B,MATCH(A165,atlas!C:C,0)),"")</f>
        <v>41001275</v>
      </c>
      <c r="J165" s="8" t="str">
        <f>IFERROR(VLOOKUP(F165,tecnica!A:B,2,0),"")</f>
        <v>45</v>
      </c>
      <c r="K165" s="8" t="str">
        <f>IFERROR(VLOOKUP(J165,tecnica!B:C,2,0),"")</f>
        <v>VT</v>
      </c>
      <c r="L165" s="13" t="s">
        <v>20</v>
      </c>
      <c r="M165" s="14" t="str">
        <f>IFERROR(VLOOKUP(I165,material!A:D,4,0),"")</f>
        <v>EQUIPAMENTO</v>
      </c>
      <c r="N165" s="14" t="str">
        <f t="shared" si="1"/>
        <v>DIGITEC FTZ</v>
      </c>
      <c r="O165" s="15" t="str">
        <f>IFERROR(VLOOKUP(I165,material!A:D,2,0),"")</f>
        <v>DECODER HD DCI738 2T</v>
      </c>
    </row>
    <row r="166">
      <c r="A166" s="16" t="s">
        <v>196</v>
      </c>
      <c r="B166" s="7"/>
      <c r="C166" s="8" t="str">
        <f t="array" ref="C166">IFERROR(INDEX(atlas!H:H,MATCH(A166,atlas!C:C,0)),"")</f>
        <v>CARD</v>
      </c>
      <c r="D166" s="8" t="str">
        <f t="array" ref="D166">IFERROR(INDEX(atlas!D:D,MATCH(A166,atlas!C:C,0)),"")</f>
        <v>DIGITEC TECNOLOGIA DIGITAL E REPRES</v>
      </c>
      <c r="E166" s="8" t="str">
        <f t="array" ref="E166">IFERROR(INDEX(atlas!F:F,MATCH(A166,atlas!C:C,0)),"")</f>
        <v>INICIALIZADO</v>
      </c>
      <c r="F166" s="9" t="s">
        <v>176</v>
      </c>
      <c r="G166" s="10">
        <v>45644.350636574076</v>
      </c>
      <c r="H166" s="11" t="s">
        <v>25</v>
      </c>
      <c r="I166" s="12">
        <f t="array" ref="I166">IFERROR(INDEX(atlas!B:B,MATCH(A166,atlas!C:C,0)),"")</f>
        <v>41001234</v>
      </c>
      <c r="J166" s="8" t="str">
        <f>IFERROR(VLOOKUP(F166,tecnica!A:B,2,0),"")</f>
        <v>45</v>
      </c>
      <c r="K166" s="8" t="str">
        <f>IFERROR(VLOOKUP(J166,tecnica!B:C,2,0),"")</f>
        <v>VT</v>
      </c>
      <c r="L166" s="13" t="s">
        <v>20</v>
      </c>
      <c r="M166" s="14" t="str">
        <f>IFERROR(VLOOKUP(I166,material!A:D,4,0),"")</f>
        <v>EQUIPAMENTO</v>
      </c>
      <c r="N166" s="14" t="str">
        <f t="shared" si="1"/>
        <v>DIGITEC FTZ</v>
      </c>
      <c r="O166" s="15" t="str">
        <f>IFERROR(VLOOKUP(I166,material!A:D,2,0),"")</f>
        <v>SMART CARD PRETO NAGRA</v>
      </c>
    </row>
    <row r="167">
      <c r="A167" s="16" t="s">
        <v>197</v>
      </c>
      <c r="B167" s="7"/>
      <c r="C167" s="8" t="str">
        <f t="array" ref="C167">IFERROR(INDEX(atlas!H:H,MATCH(A167,atlas!C:C,0)),"")</f>
        <v>TOP MIX</v>
      </c>
      <c r="D167" s="8" t="str">
        <f t="array" ref="D167">IFERROR(INDEX(atlas!D:D,MATCH(A167,atlas!C:C,0)),"")</f>
        <v>DIGITEC TECNOLOGIA DIGITAL E REPRES</v>
      </c>
      <c r="E167" s="8" t="str">
        <f t="array" ref="E167">IFERROR(INDEX(atlas!F:F,MATCH(A167,atlas!C:C,0)),"")</f>
        <v>SUSPEITO</v>
      </c>
      <c r="F167" s="9" t="s">
        <v>176</v>
      </c>
      <c r="G167" s="10">
        <v>45644.350636574076</v>
      </c>
      <c r="H167" s="11" t="s">
        <v>25</v>
      </c>
      <c r="I167" s="12">
        <f t="array" ref="I167">IFERROR(INDEX(atlas!B:B,MATCH(A167,atlas!C:C,0)),"")</f>
        <v>41001275</v>
      </c>
      <c r="J167" s="8" t="str">
        <f>IFERROR(VLOOKUP(F167,tecnica!A:B,2,0),"")</f>
        <v>45</v>
      </c>
      <c r="K167" s="8" t="str">
        <f>IFERROR(VLOOKUP(J167,tecnica!B:C,2,0),"")</f>
        <v>VT</v>
      </c>
      <c r="L167" s="13" t="s">
        <v>20</v>
      </c>
      <c r="M167" s="14" t="str">
        <f>IFERROR(VLOOKUP(I167,material!A:D,4,0),"")</f>
        <v>EQUIPAMENTO</v>
      </c>
      <c r="N167" s="14" t="str">
        <f t="shared" si="1"/>
        <v>DIGITEC FTZ</v>
      </c>
      <c r="O167" s="15" t="str">
        <f>IFERROR(VLOOKUP(I167,material!A:D,2,0),"")</f>
        <v>DECODER HD DCI738 2T</v>
      </c>
    </row>
    <row r="168">
      <c r="A168" s="16" t="s">
        <v>198</v>
      </c>
      <c r="B168" s="7"/>
      <c r="C168" s="8" t="str">
        <f t="array" ref="C168">IFERROR(INDEX(atlas!H:H,MATCH(A168,atlas!C:C,0)),"")</f>
        <v>CARD</v>
      </c>
      <c r="D168" s="8" t="str">
        <f t="array" ref="D168">IFERROR(INDEX(atlas!D:D,MATCH(A168,atlas!C:C,0)),"")</f>
        <v>DIGITEC TECNOLOGIA DIGITAL E REPRES</v>
      </c>
      <c r="E168" s="8" t="str">
        <f t="array" ref="E168">IFERROR(INDEX(atlas!F:F,MATCH(A168,atlas!C:C,0)),"")</f>
        <v>SUSPEITO</v>
      </c>
      <c r="F168" s="9" t="s">
        <v>176</v>
      </c>
      <c r="G168" s="10">
        <v>45644.350636574076</v>
      </c>
      <c r="H168" s="11" t="s">
        <v>25</v>
      </c>
      <c r="I168" s="12">
        <f t="array" ref="I168">IFERROR(INDEX(atlas!B:B,MATCH(A168,atlas!C:C,0)),"")</f>
        <v>41001234</v>
      </c>
      <c r="J168" s="8" t="str">
        <f>IFERROR(VLOOKUP(F168,tecnica!A:B,2,0),"")</f>
        <v>45</v>
      </c>
      <c r="K168" s="8" t="str">
        <f>IFERROR(VLOOKUP(J168,tecnica!B:C,2,0),"")</f>
        <v>VT</v>
      </c>
      <c r="L168" s="13" t="s">
        <v>20</v>
      </c>
      <c r="M168" s="14" t="str">
        <f>IFERROR(VLOOKUP(I168,material!A:D,4,0),"")</f>
        <v>EQUIPAMENTO</v>
      </c>
      <c r="N168" s="14" t="str">
        <f t="shared" si="1"/>
        <v>DIGITEC FTZ</v>
      </c>
      <c r="O168" s="15" t="str">
        <f>IFERROR(VLOOKUP(I168,material!A:D,2,0),"")</f>
        <v>SMART CARD PRETO NAGRA</v>
      </c>
    </row>
    <row r="169">
      <c r="A169" s="16" t="s">
        <v>199</v>
      </c>
      <c r="B169" s="7"/>
      <c r="C169" s="8" t="str">
        <f t="array" ref="C169">IFERROR(INDEX(atlas!H:H,MATCH(A169,atlas!C:C,0)),"")</f>
        <v>GPON 6</v>
      </c>
      <c r="D169" s="8" t="str">
        <f t="array" ref="D169">IFERROR(INDEX(atlas!D:D,MATCH(A169,atlas!C:C,0)),"")</f>
        <v>DIGITEC TECNOLOGIA DIGITAL E REPRES</v>
      </c>
      <c r="E169" s="8" t="str">
        <f t="array" ref="E169">IFERROR(INDEX(atlas!F:F,MATCH(A169,atlas!C:C,0)),"")</f>
        <v>SUSPEITO</v>
      </c>
      <c r="F169" s="9" t="s">
        <v>176</v>
      </c>
      <c r="G169" s="10">
        <v>45644.350636574076</v>
      </c>
      <c r="H169" s="11" t="s">
        <v>25</v>
      </c>
      <c r="I169" s="12">
        <f t="array" ref="I169">IFERROR(INDEX(atlas!B:B,MATCH(A169,atlas!C:C,0)),"")</f>
        <v>41001590</v>
      </c>
      <c r="J169" s="8" t="str">
        <f>IFERROR(VLOOKUP(F169,tecnica!A:B,2,0),"")</f>
        <v>45</v>
      </c>
      <c r="K169" s="8" t="str">
        <f>IFERROR(VLOOKUP(J169,tecnica!B:C,2,0),"")</f>
        <v>VT</v>
      </c>
      <c r="L169" s="13" t="s">
        <v>20</v>
      </c>
      <c r="M169" s="14" t="str">
        <f>IFERROR(VLOOKUP(I169,material!A:D,4,0),"")</f>
        <v>EQUIPAMENTO</v>
      </c>
      <c r="N169" s="14" t="str">
        <f t="shared" si="1"/>
        <v>DIGITEC FTZ</v>
      </c>
      <c r="O169" s="15" t="str">
        <f>IFERROR(VLOOKUP(I169,material!A:D,2,0),"")</f>
        <v>TERMINAL GPON ONT WIFI6 F6600P-NACIONAL</v>
      </c>
    </row>
    <row r="170">
      <c r="A170" s="16" t="s">
        <v>200</v>
      </c>
      <c r="B170" s="7"/>
      <c r="C170" s="8" t="str">
        <f t="array" ref="C170">IFERROR(INDEX(atlas!H:H,MATCH(A170,atlas!C:C,0)),"")</f>
        <v>3.1</v>
      </c>
      <c r="D170" s="8" t="str">
        <f t="array" ref="D170">IFERROR(INDEX(atlas!D:D,MATCH(A170,atlas!C:C,0)),"")</f>
        <v>DIGITEC TECNOLOGIA DIGITAL E REPRES</v>
      </c>
      <c r="E170" s="8" t="str">
        <f t="array" ref="E170">IFERROR(INDEX(atlas!F:F,MATCH(A170,atlas!C:C,0)),"")</f>
        <v>INICIALIZADO</v>
      </c>
      <c r="F170" s="9" t="s">
        <v>176</v>
      </c>
      <c r="G170" s="10">
        <v>45644.350636574076</v>
      </c>
      <c r="H170" s="11" t="s">
        <v>19</v>
      </c>
      <c r="I170" s="12">
        <f t="array" ref="I170">IFERROR(INDEX(atlas!B:B,MATCH(A170,atlas!C:C,0)),"")</f>
        <v>41001513</v>
      </c>
      <c r="J170" s="8" t="str">
        <f>IFERROR(VLOOKUP(F170,tecnica!A:B,2,0),"")</f>
        <v>45</v>
      </c>
      <c r="K170" s="8" t="str">
        <f>IFERROR(VLOOKUP(J170,tecnica!B:C,2,0),"")</f>
        <v>VT</v>
      </c>
      <c r="L170" s="13" t="s">
        <v>20</v>
      </c>
      <c r="M170" s="14" t="str">
        <f>IFERROR(VLOOKUP(I170,material!A:D,4,0),"")</f>
        <v>EQUIPAMENTO</v>
      </c>
      <c r="N170" s="14" t="str">
        <f t="shared" si="1"/>
        <v>DIGITEC FTZ</v>
      </c>
      <c r="O170" s="15" t="str">
        <f>IFERROR(VLOOKUP(I170,material!A:D,2,0),"")</f>
        <v>MODEM VOIP EMTA WIFI 3.1 TC3102 32X8</v>
      </c>
    </row>
    <row r="171">
      <c r="A171" s="16" t="s">
        <v>201</v>
      </c>
      <c r="B171" s="7"/>
      <c r="C171" s="8" t="str">
        <f t="array" ref="C171">IFERROR(INDEX(atlas!H:H,MATCH(A171,atlas!C:C,0)),"")</f>
        <v>3.1</v>
      </c>
      <c r="D171" s="8" t="str">
        <f t="array" ref="D171">IFERROR(INDEX(atlas!D:D,MATCH(A171,atlas!C:C,0)),"")</f>
        <v>DIGITEC TECNOLOGIA DIGITAL E REPRES</v>
      </c>
      <c r="E171" s="8" t="str">
        <f t="array" ref="E171">IFERROR(INDEX(atlas!F:F,MATCH(A171,atlas!C:C,0)),"")</f>
        <v>INICIALIZADO</v>
      </c>
      <c r="F171" s="9" t="s">
        <v>176</v>
      </c>
      <c r="G171" s="10">
        <v>45644.350636574076</v>
      </c>
      <c r="H171" s="11" t="s">
        <v>19</v>
      </c>
      <c r="I171" s="12">
        <f t="array" ref="I171">IFERROR(INDEX(atlas!B:B,MATCH(A171,atlas!C:C,0)),"")</f>
        <v>41001482</v>
      </c>
      <c r="J171" s="8" t="str">
        <f>IFERROR(VLOOKUP(F171,tecnica!A:B,2,0),"")</f>
        <v>45</v>
      </c>
      <c r="K171" s="8" t="str">
        <f>IFERROR(VLOOKUP(J171,tecnica!B:C,2,0),"")</f>
        <v>VT</v>
      </c>
      <c r="L171" s="13" t="s">
        <v>20</v>
      </c>
      <c r="M171" s="14" t="str">
        <f>IFERROR(VLOOKUP(I171,material!A:D,4,0),"")</f>
        <v>EQUIPAMENTO</v>
      </c>
      <c r="N171" s="14" t="str">
        <f t="shared" si="1"/>
        <v>DIGITEC FTZ</v>
      </c>
      <c r="O171" s="15" t="str">
        <f>IFERROR(VLOOKUP(I171,material!A:D,2,0),"")</f>
        <v>MODEM VOIPEMTA WIFI 3.1 CGA4233CLB</v>
      </c>
    </row>
    <row r="172">
      <c r="A172" s="16" t="s">
        <v>202</v>
      </c>
      <c r="B172" s="7"/>
      <c r="C172" s="8" t="str">
        <f t="array" ref="C172">IFERROR(INDEX(atlas!H:H,MATCH(A172,atlas!C:C,0)),"")</f>
        <v>WIFI 6</v>
      </c>
      <c r="D172" s="8" t="str">
        <f t="array" ref="D172">IFERROR(INDEX(atlas!D:D,MATCH(A172,atlas!C:C,0)),"")</f>
        <v>DIGITEC TECNOLOGIA DIGITAL E REPRES</v>
      </c>
      <c r="E172" s="8" t="str">
        <f t="array" ref="E172">IFERROR(INDEX(atlas!F:F,MATCH(A172,atlas!C:C,0)),"")</f>
        <v>SUSPEITO</v>
      </c>
      <c r="F172" s="9" t="s">
        <v>176</v>
      </c>
      <c r="G172" s="10">
        <v>45644.350636574076</v>
      </c>
      <c r="H172" s="11" t="s">
        <v>25</v>
      </c>
      <c r="I172" s="12">
        <f t="array" ref="I172">IFERROR(INDEX(atlas!B:B,MATCH(A172,atlas!C:C,0)),"")</f>
        <v>41001552</v>
      </c>
      <c r="J172" s="8" t="str">
        <f>IFERROR(VLOOKUP(F172,tecnica!A:B,2,0),"")</f>
        <v>45</v>
      </c>
      <c r="K172" s="8" t="str">
        <f>IFERROR(VLOOKUP(J172,tecnica!B:C,2,0),"")</f>
        <v>VT</v>
      </c>
      <c r="L172" s="13" t="s">
        <v>20</v>
      </c>
      <c r="M172" s="14" t="str">
        <f>IFERROR(VLOOKUP(I172,material!A:D,4,0),"")</f>
        <v>EQUIPAMENTO</v>
      </c>
      <c r="N172" s="14" t="str">
        <f t="shared" si="1"/>
        <v>DIGITEC FTZ</v>
      </c>
      <c r="O172" s="15" t="str">
        <f>IFERROR(VLOOKUP(I172,material!A:D,2,0),"")</f>
        <v>TERMINAL DOCSIS 3.1 EMTA WIFI6 F@ST3896</v>
      </c>
    </row>
    <row r="173">
      <c r="A173" s="16" t="s">
        <v>203</v>
      </c>
      <c r="B173" s="7"/>
      <c r="C173" s="8" t="str">
        <f t="array" ref="C173">IFERROR(INDEX(atlas!H:H,MATCH(A173,atlas!C:C,0)),"")</f>
        <v>3.1</v>
      </c>
      <c r="D173" s="8" t="str">
        <f t="array" ref="D173">IFERROR(INDEX(atlas!D:D,MATCH(A173,atlas!C:C,0)),"")</f>
        <v>DIGITEC TECNOLOGIA DIGITAL E REPRES</v>
      </c>
      <c r="E173" s="8" t="str">
        <f t="array" ref="E173">IFERROR(INDEX(atlas!F:F,MATCH(A173,atlas!C:C,0)),"")</f>
        <v>INICIALIZADO</v>
      </c>
      <c r="F173" s="9" t="s">
        <v>176</v>
      </c>
      <c r="G173" s="10">
        <v>45644.350636574076</v>
      </c>
      <c r="H173" s="11" t="s">
        <v>19</v>
      </c>
      <c r="I173" s="12">
        <f t="array" ref="I173">IFERROR(INDEX(atlas!B:B,MATCH(A173,atlas!C:C,0)),"")</f>
        <v>41001481</v>
      </c>
      <c r="J173" s="8" t="str">
        <f>IFERROR(VLOOKUP(F173,tecnica!A:B,2,0),"")</f>
        <v>45</v>
      </c>
      <c r="K173" s="8" t="str">
        <f>IFERROR(VLOOKUP(J173,tecnica!B:C,2,0),"")</f>
        <v>VT</v>
      </c>
      <c r="L173" s="13" t="s">
        <v>20</v>
      </c>
      <c r="M173" s="14" t="str">
        <f>IFERROR(VLOOKUP(I173,material!A:D,4,0),"")</f>
        <v>EQUIPAMENTO</v>
      </c>
      <c r="N173" s="14" t="str">
        <f t="shared" si="1"/>
        <v>DIGITEC FTZ</v>
      </c>
      <c r="O173" s="15" t="str">
        <f>IFERROR(VLOOKUP(I173,material!A:D,2,0),"")</f>
        <v>MODEM VOIP EMTA WIFI 3.1 HGJ310</v>
      </c>
    </row>
    <row r="174">
      <c r="A174" s="16" t="s">
        <v>204</v>
      </c>
      <c r="B174" s="7"/>
      <c r="C174" s="8" t="str">
        <f t="array" ref="C174">IFERROR(INDEX(atlas!H:H,MATCH(A174,atlas!C:C,0)),"")</f>
        <v>3.1</v>
      </c>
      <c r="D174" s="8" t="str">
        <f t="array" ref="D174">IFERROR(INDEX(atlas!D:D,MATCH(A174,atlas!C:C,0)),"")</f>
        <v>DIGITEC TECNOLOGIA DIGITAL E REPRES</v>
      </c>
      <c r="E174" s="8" t="str">
        <f t="array" ref="E174">IFERROR(INDEX(atlas!F:F,MATCH(A174,atlas!C:C,0)),"")</f>
        <v>SUSPEITO</v>
      </c>
      <c r="F174" s="9" t="s">
        <v>176</v>
      </c>
      <c r="G174" s="10">
        <v>45644.350636574076</v>
      </c>
      <c r="H174" s="11" t="s">
        <v>25</v>
      </c>
      <c r="I174" s="12">
        <f t="array" ref="I174">IFERROR(INDEX(atlas!B:B,MATCH(A174,atlas!C:C,0)),"")</f>
        <v>41001520</v>
      </c>
      <c r="J174" s="8" t="str">
        <f>IFERROR(VLOOKUP(F174,tecnica!A:B,2,0),"")</f>
        <v>45</v>
      </c>
      <c r="K174" s="8" t="str">
        <f>IFERROR(VLOOKUP(J174,tecnica!B:C,2,0),"")</f>
        <v>VT</v>
      </c>
      <c r="L174" s="13" t="s">
        <v>20</v>
      </c>
      <c r="M174" s="14" t="str">
        <f>IFERROR(VLOOKUP(I174,material!A:D,4,0),"")</f>
        <v>EQUIPAMENTO</v>
      </c>
      <c r="N174" s="14" t="str">
        <f t="shared" si="1"/>
        <v>DIGITEC FTZ</v>
      </c>
      <c r="O174" s="15" t="str">
        <f>IFERROR(VLOOKUP(I174,material!A:D,2,0),"")</f>
        <v>TERMINAL DOCSIS 3.1 32X8 EMTA WIF TG3442</v>
      </c>
    </row>
    <row r="175">
      <c r="A175" s="16" t="s">
        <v>205</v>
      </c>
      <c r="B175" s="7"/>
      <c r="C175" s="8" t="str">
        <f t="array" ref="C175">IFERROR(INDEX(atlas!H:H,MATCH(A175,atlas!C:C,0)),"")</f>
        <v>TOP MIX</v>
      </c>
      <c r="D175" s="8" t="str">
        <f t="array" ref="D175">IFERROR(INDEX(atlas!D:D,MATCH(A175,atlas!C:C,0)),"")</f>
        <v>DIGITEC TECNOLOGIA DIGITAL E REPRES</v>
      </c>
      <c r="E175" s="8" t="str">
        <f t="array" ref="E175">IFERROR(INDEX(atlas!F:F,MATCH(A175,atlas!C:C,0)),"")</f>
        <v>INICIALIZADO</v>
      </c>
      <c r="F175" s="9" t="s">
        <v>176</v>
      </c>
      <c r="G175" s="10">
        <v>45644.350636574076</v>
      </c>
      <c r="H175" s="11" t="s">
        <v>19</v>
      </c>
      <c r="I175" s="12">
        <f t="array" ref="I175">IFERROR(INDEX(atlas!B:B,MATCH(A175,atlas!C:C,0)),"")</f>
        <v>41001047</v>
      </c>
      <c r="J175" s="8" t="str">
        <f>IFERROR(VLOOKUP(F175,tecnica!A:B,2,0),"")</f>
        <v>45</v>
      </c>
      <c r="K175" s="8" t="str">
        <f>IFERROR(VLOOKUP(J175,tecnica!B:C,2,0),"")</f>
        <v>VT</v>
      </c>
      <c r="L175" s="13" t="s">
        <v>20</v>
      </c>
      <c r="M175" s="14" t="str">
        <f>IFERROR(VLOOKUP(I175,material!A:D,4,0),"")</f>
        <v>EQUIPAMENTO</v>
      </c>
      <c r="N175" s="14" t="str">
        <f t="shared" si="1"/>
        <v>DIGITEC FTZ</v>
      </c>
      <c r="O175" s="15" t="str">
        <f>IFERROR(VLOOKUP(I175,material!A:D,2,0),"")</f>
        <v>DECODER HD THDC4</v>
      </c>
    </row>
    <row r="176">
      <c r="A176" s="16" t="s">
        <v>206</v>
      </c>
      <c r="B176" s="7"/>
      <c r="C176" s="8" t="str">
        <f t="array" ref="C176">IFERROR(INDEX(atlas!H:H,MATCH(A176,atlas!C:C,0)),"")</f>
        <v>SIM CARD</v>
      </c>
      <c r="D176" s="8" t="str">
        <f t="array" ref="D176">IFERROR(INDEX(atlas!D:D,MATCH(A176,atlas!C:C,0)),"")</f>
        <v>DIGITEC TECNOLOGIA DIGITAL E REPRES</v>
      </c>
      <c r="E176" s="8" t="str">
        <f t="array" ref="E176">IFERROR(INDEX(atlas!F:F,MATCH(A176,atlas!C:C,0)),"")</f>
        <v>INICIALIZADO</v>
      </c>
      <c r="F176" s="9" t="s">
        <v>176</v>
      </c>
      <c r="G176" s="10">
        <v>45644.350636574076</v>
      </c>
      <c r="H176" s="11" t="s">
        <v>19</v>
      </c>
      <c r="I176" s="12">
        <f t="array" ref="I176">IFERROR(INDEX(atlas!B:B,MATCH(A176,atlas!C:C,0)),"")</f>
        <v>41000805</v>
      </c>
      <c r="J176" s="8" t="str">
        <f>IFERROR(VLOOKUP(F176,tecnica!A:B,2,0),"")</f>
        <v>45</v>
      </c>
      <c r="K176" s="8" t="str">
        <f>IFERROR(VLOOKUP(J176,tecnica!B:C,2,0),"")</f>
        <v>VT</v>
      </c>
      <c r="L176" s="13" t="s">
        <v>20</v>
      </c>
      <c r="M176" s="14" t="str">
        <f>IFERROR(VLOOKUP(I176,material!A:D,4,0),"")</f>
        <v>EQUIPAMENTO</v>
      </c>
      <c r="N176" s="14" t="str">
        <f t="shared" si="1"/>
        <v>DIGITEC FTZ</v>
      </c>
      <c r="O176" s="15" t="str">
        <f>IFERROR(VLOOKUP(I176,material!A:D,2,0),"")</f>
        <v>SMART SIM CARD NAGRA</v>
      </c>
    </row>
    <row r="177">
      <c r="A177" s="16" t="s">
        <v>207</v>
      </c>
      <c r="B177" s="7"/>
      <c r="C177" s="8" t="str">
        <f t="array" ref="C177">IFERROR(INDEX(atlas!H:H,MATCH(A177,atlas!C:C,0)),"")</f>
        <v>TOP MIX</v>
      </c>
      <c r="D177" s="8" t="str">
        <f t="array" ref="D177">IFERROR(INDEX(atlas!D:D,MATCH(A177,atlas!C:C,0)),"")</f>
        <v>DIGITEC TECNOLOGIA DIGITAL E REPRES</v>
      </c>
      <c r="E177" s="8" t="str">
        <f t="array" ref="E177">IFERROR(INDEX(atlas!F:F,MATCH(A177,atlas!C:C,0)),"")</f>
        <v>INICIALIZADO</v>
      </c>
      <c r="F177" s="9" t="s">
        <v>176</v>
      </c>
      <c r="G177" s="10">
        <v>45644.350636574076</v>
      </c>
      <c r="H177" s="11" t="s">
        <v>25</v>
      </c>
      <c r="I177" s="12">
        <f t="array" ref="I177">IFERROR(INDEX(atlas!B:B,MATCH(A177,atlas!C:C,0)),"")</f>
        <v>41001275</v>
      </c>
      <c r="J177" s="8" t="str">
        <f>IFERROR(VLOOKUP(F177,tecnica!A:B,2,0),"")</f>
        <v>45</v>
      </c>
      <c r="K177" s="8" t="str">
        <f>IFERROR(VLOOKUP(J177,tecnica!B:C,2,0),"")</f>
        <v>VT</v>
      </c>
      <c r="L177" s="13" t="s">
        <v>20</v>
      </c>
      <c r="M177" s="14" t="str">
        <f>IFERROR(VLOOKUP(I177,material!A:D,4,0),"")</f>
        <v>EQUIPAMENTO</v>
      </c>
      <c r="N177" s="14" t="str">
        <f t="shared" si="1"/>
        <v>DIGITEC FTZ</v>
      </c>
      <c r="O177" s="15" t="str">
        <f>IFERROR(VLOOKUP(I177,material!A:D,2,0),"")</f>
        <v>DECODER HD DCI738 2T</v>
      </c>
    </row>
    <row r="178">
      <c r="A178" s="16" t="s">
        <v>208</v>
      </c>
      <c r="B178" s="7"/>
      <c r="C178" s="8" t="str">
        <f t="array" ref="C178">IFERROR(INDEX(atlas!H:H,MATCH(A178,atlas!C:C,0)),"")</f>
        <v>CARD</v>
      </c>
      <c r="D178" s="8" t="str">
        <f t="array" ref="D178">IFERROR(INDEX(atlas!D:D,MATCH(A178,atlas!C:C,0)),"")</f>
        <v>DIGITEC TECNOLOGIA DIGITAL E REPRES</v>
      </c>
      <c r="E178" s="8" t="str">
        <f t="array" ref="E178">IFERROR(INDEX(atlas!F:F,MATCH(A178,atlas!C:C,0)),"")</f>
        <v>INICIALIZADO</v>
      </c>
      <c r="F178" s="9" t="s">
        <v>176</v>
      </c>
      <c r="G178" s="10">
        <v>45644.350636574076</v>
      </c>
      <c r="H178" s="11" t="s">
        <v>25</v>
      </c>
      <c r="I178" s="12">
        <f t="array" ref="I178">IFERROR(INDEX(atlas!B:B,MATCH(A178,atlas!C:C,0)),"")</f>
        <v>41001234</v>
      </c>
      <c r="J178" s="8" t="str">
        <f>IFERROR(VLOOKUP(F178,tecnica!A:B,2,0),"")</f>
        <v>45</v>
      </c>
      <c r="K178" s="8" t="str">
        <f>IFERROR(VLOOKUP(J178,tecnica!B:C,2,0),"")</f>
        <v>VT</v>
      </c>
      <c r="L178" s="13" t="s">
        <v>20</v>
      </c>
      <c r="M178" s="14" t="str">
        <f>IFERROR(VLOOKUP(I178,material!A:D,4,0),"")</f>
        <v>EQUIPAMENTO</v>
      </c>
      <c r="N178" s="14" t="str">
        <f t="shared" si="1"/>
        <v>DIGITEC FTZ</v>
      </c>
      <c r="O178" s="15" t="str">
        <f>IFERROR(VLOOKUP(I178,material!A:D,2,0),"")</f>
        <v>SMART CARD PRETO NAGRA</v>
      </c>
    </row>
    <row r="179">
      <c r="A179" s="16" t="s">
        <v>209</v>
      </c>
      <c r="B179" s="7"/>
      <c r="C179" s="8" t="str">
        <f t="array" ref="C179">IFERROR(INDEX(atlas!H:H,MATCH(A179,atlas!C:C,0)),"")</f>
        <v>TOP MIX</v>
      </c>
      <c r="D179" s="8" t="str">
        <f t="array" ref="D179">IFERROR(INDEX(atlas!D:D,MATCH(A179,atlas!C:C,0)),"")</f>
        <v>DIGITEC TECNOLOGIA DIGITAL E REPRES</v>
      </c>
      <c r="E179" s="8" t="str">
        <f t="array" ref="E179">IFERROR(INDEX(atlas!F:F,MATCH(A179,atlas!C:C,0)),"")</f>
        <v>SUSPEITO</v>
      </c>
      <c r="F179" s="9" t="s">
        <v>176</v>
      </c>
      <c r="G179" s="10">
        <v>45644.350636574076</v>
      </c>
      <c r="H179" s="11" t="s">
        <v>25</v>
      </c>
      <c r="I179" s="12">
        <f t="array" ref="I179">IFERROR(INDEX(atlas!B:B,MATCH(A179,atlas!C:C,0)),"")</f>
        <v>41001277</v>
      </c>
      <c r="J179" s="8" t="str">
        <f>IFERROR(VLOOKUP(F179,tecnica!A:B,2,0),"")</f>
        <v>45</v>
      </c>
      <c r="K179" s="8" t="str">
        <f>IFERROR(VLOOKUP(J179,tecnica!B:C,2,0),"")</f>
        <v>VT</v>
      </c>
      <c r="L179" s="13" t="s">
        <v>20</v>
      </c>
      <c r="M179" s="14" t="str">
        <f>IFERROR(VLOOKUP(I179,material!A:D,4,0),"")</f>
        <v>EQUIPAMENTO</v>
      </c>
      <c r="N179" s="14" t="str">
        <f t="shared" si="1"/>
        <v>DIGITEC FTZ</v>
      </c>
      <c r="O179" s="15" t="str">
        <f>IFERROR(VLOOKUP(I179,material!A:D,2,0),"")</f>
        <v>DECODER DIGITAL HD DXC5000 2T</v>
      </c>
    </row>
    <row r="180">
      <c r="A180" s="16" t="s">
        <v>210</v>
      </c>
      <c r="B180" s="7"/>
      <c r="C180" s="8" t="str">
        <f t="array" ref="C180">IFERROR(INDEX(atlas!H:H,MATCH(A180,atlas!C:C,0)),"")</f>
        <v>CARD</v>
      </c>
      <c r="D180" s="8" t="str">
        <f t="array" ref="D180">IFERROR(INDEX(atlas!D:D,MATCH(A180,atlas!C:C,0)),"")</f>
        <v>DIGITEC TECNOLOGIA DIGITAL E REPRES</v>
      </c>
      <c r="E180" s="8" t="str">
        <f t="array" ref="E180">IFERROR(INDEX(atlas!F:F,MATCH(A180,atlas!C:C,0)),"")</f>
        <v>SUSPEITO</v>
      </c>
      <c r="F180" s="9" t="s">
        <v>176</v>
      </c>
      <c r="G180" s="10">
        <v>45644.350636574076</v>
      </c>
      <c r="H180" s="11" t="s">
        <v>25</v>
      </c>
      <c r="I180" s="12">
        <f t="array" ref="I180">IFERROR(INDEX(atlas!B:B,MATCH(A180,atlas!C:C,0)),"")</f>
        <v>41001234</v>
      </c>
      <c r="J180" s="8" t="str">
        <f>IFERROR(VLOOKUP(F180,tecnica!A:B,2,0),"")</f>
        <v>45</v>
      </c>
      <c r="K180" s="8" t="str">
        <f>IFERROR(VLOOKUP(J180,tecnica!B:C,2,0),"")</f>
        <v>VT</v>
      </c>
      <c r="L180" s="13" t="s">
        <v>20</v>
      </c>
      <c r="M180" s="14" t="str">
        <f>IFERROR(VLOOKUP(I180,material!A:D,4,0),"")</f>
        <v>EQUIPAMENTO</v>
      </c>
      <c r="N180" s="14" t="str">
        <f t="shared" si="1"/>
        <v>DIGITEC FTZ</v>
      </c>
      <c r="O180" s="15" t="str">
        <f>IFERROR(VLOOKUP(I180,material!A:D,2,0),"")</f>
        <v>SMART CARD PRETO NAGRA</v>
      </c>
    </row>
    <row r="181">
      <c r="A181" s="16" t="s">
        <v>211</v>
      </c>
      <c r="B181" s="7"/>
      <c r="C181" s="8" t="str">
        <f t="array" ref="C181">IFERROR(INDEX(atlas!H:H,MATCH(A181,atlas!C:C,0)),"")</f>
        <v>3.1</v>
      </c>
      <c r="D181" s="8" t="str">
        <f t="array" ref="D181">IFERROR(INDEX(atlas!D:D,MATCH(A181,atlas!C:C,0)),"")</f>
        <v>DIGITEC TECNOLOGIA DIGITAL E REPRES</v>
      </c>
      <c r="E181" s="8" t="str">
        <f t="array" ref="E181">IFERROR(INDEX(atlas!F:F,MATCH(A181,atlas!C:C,0)),"")</f>
        <v>SUSPEITO</v>
      </c>
      <c r="F181" s="9" t="s">
        <v>176</v>
      </c>
      <c r="G181" s="10">
        <v>45644.350636574076</v>
      </c>
      <c r="H181" s="11" t="s">
        <v>25</v>
      </c>
      <c r="I181" s="12">
        <f t="array" ref="I181">IFERROR(INDEX(atlas!B:B,MATCH(A181,atlas!C:C,0)),"")</f>
        <v>41001504</v>
      </c>
      <c r="J181" s="8" t="str">
        <f>IFERROR(VLOOKUP(F181,tecnica!A:B,2,0),"")</f>
        <v>45</v>
      </c>
      <c r="K181" s="8" t="str">
        <f>IFERROR(VLOOKUP(J181,tecnica!B:C,2,0),"")</f>
        <v>VT</v>
      </c>
      <c r="L181" s="13" t="s">
        <v>20</v>
      </c>
      <c r="M181" s="14" t="str">
        <f>IFERROR(VLOOKUP(I181,material!A:D,4,0),"")</f>
        <v>EQUIPAMENTO</v>
      </c>
      <c r="N181" s="14" t="str">
        <f t="shared" si="1"/>
        <v>DIGITEC FTZ</v>
      </c>
      <c r="O181" s="15" t="str">
        <f>IFERROR(VLOOKUP(I181,material!A:D,2,0),"")</f>
        <v>MODEM VOIP EMTA WIFI 3.1 FAST3895</v>
      </c>
    </row>
    <row r="182">
      <c r="A182" s="16" t="s">
        <v>212</v>
      </c>
      <c r="B182" s="7"/>
      <c r="C182" s="8" t="str">
        <f t="array" ref="C182">IFERROR(INDEX(atlas!H:H,MATCH(A182,atlas!C:C,0)),"")</f>
        <v>ONT</v>
      </c>
      <c r="D182" s="8" t="str">
        <f t="array" ref="D182">IFERROR(INDEX(atlas!D:D,MATCH(A182,atlas!C:C,0)),"")</f>
        <v>DIGITEC TECNOLOGIA DIGITAL E REPRES</v>
      </c>
      <c r="E182" s="8" t="str">
        <f t="array" ref="E182">IFERROR(INDEX(atlas!F:F,MATCH(A182,atlas!C:C,0)),"")</f>
        <v>INICIALIZADO</v>
      </c>
      <c r="F182" s="9" t="s">
        <v>176</v>
      </c>
      <c r="G182" s="10">
        <v>45644.350636574076</v>
      </c>
      <c r="H182" s="11" t="s">
        <v>19</v>
      </c>
      <c r="I182" s="12">
        <f t="array" ref="I182">IFERROR(INDEX(atlas!B:B,MATCH(A182,atlas!C:C,0)),"")</f>
        <v>41001541</v>
      </c>
      <c r="J182" s="8" t="str">
        <f>IFERROR(VLOOKUP(F182,tecnica!A:B,2,0),"")</f>
        <v>45</v>
      </c>
      <c r="K182" s="8" t="str">
        <f>IFERROR(VLOOKUP(J182,tecnica!B:C,2,0),"")</f>
        <v>VT</v>
      </c>
      <c r="L182" s="13" t="s">
        <v>20</v>
      </c>
      <c r="M182" s="14" t="str">
        <f>IFERROR(VLOOKUP(I182,material!A:D,4,0),"")</f>
        <v>EQUIPAMENTO</v>
      </c>
      <c r="N182" s="14" t="str">
        <f t="shared" si="1"/>
        <v>DIGITEC FTZ</v>
      </c>
      <c r="O182" s="15" t="str">
        <f>IFERROR(VLOOKUP(I182,material!A:D,2,0),"")</f>
        <v>TERMINAL GPON WIFI F689</v>
      </c>
    </row>
    <row r="183">
      <c r="A183" s="16" t="s">
        <v>213</v>
      </c>
      <c r="B183" s="7"/>
      <c r="C183" s="8" t="str">
        <f t="array" ref="C183">IFERROR(INDEX(atlas!H:H,MATCH(A183,atlas!C:C,0)),"")</f>
        <v>TOP MIX</v>
      </c>
      <c r="D183" s="8" t="str">
        <f t="array" ref="D183">IFERROR(INDEX(atlas!D:D,MATCH(A183,atlas!C:C,0)),"")</f>
        <v>DIGITEC TECNOLOGIA DIGITAL E REPRES</v>
      </c>
      <c r="E183" s="8" t="str">
        <f t="array" ref="E183">IFERROR(INDEX(atlas!F:F,MATCH(A183,atlas!C:C,0)),"")</f>
        <v>SUSPEITO</v>
      </c>
      <c r="F183" s="9" t="s">
        <v>176</v>
      </c>
      <c r="G183" s="10">
        <v>45644.350636574076</v>
      </c>
      <c r="H183" s="11" t="s">
        <v>25</v>
      </c>
      <c r="I183" s="12">
        <f t="array" ref="I183">IFERROR(INDEX(atlas!B:B,MATCH(A183,atlas!C:C,0)),"")</f>
        <v>41001276</v>
      </c>
      <c r="J183" s="8" t="str">
        <f>IFERROR(VLOOKUP(F183,tecnica!A:B,2,0),"")</f>
        <v>45</v>
      </c>
      <c r="K183" s="8" t="str">
        <f>IFERROR(VLOOKUP(J183,tecnica!B:C,2,0),"")</f>
        <v>VT</v>
      </c>
      <c r="L183" s="13" t="s">
        <v>20</v>
      </c>
      <c r="M183" s="14" t="str">
        <f>IFERROR(VLOOKUP(I183,material!A:D,4,0),"")</f>
        <v>EQUIPAMENTO</v>
      </c>
      <c r="N183" s="14" t="str">
        <f t="shared" si="1"/>
        <v>DIGITEC FTZ</v>
      </c>
      <c r="O183" s="15" t="str">
        <f>IFERROR(VLOOKUP(I183,material!A:D,2,0),"")</f>
        <v>DECODER DIGITAL HD HNB100 2T</v>
      </c>
    </row>
    <row r="184">
      <c r="A184" s="16" t="s">
        <v>214</v>
      </c>
      <c r="B184" s="7"/>
      <c r="C184" s="8" t="str">
        <f t="array" ref="C184">IFERROR(INDEX(atlas!H:H,MATCH(A184,atlas!C:C,0)),"")</f>
        <v>CARD</v>
      </c>
      <c r="D184" s="8" t="str">
        <f t="array" ref="D184">IFERROR(INDEX(atlas!D:D,MATCH(A184,atlas!C:C,0)),"")</f>
        <v>DIGITEC TECNOLOGIA DIGITAL E REPRES</v>
      </c>
      <c r="E184" s="8" t="str">
        <f t="array" ref="E184">IFERROR(INDEX(atlas!F:F,MATCH(A184,atlas!C:C,0)),"")</f>
        <v>SUSPEITO</v>
      </c>
      <c r="F184" s="9" t="s">
        <v>176</v>
      </c>
      <c r="G184" s="10">
        <v>45644.350636574076</v>
      </c>
      <c r="H184" s="11" t="s">
        <v>25</v>
      </c>
      <c r="I184" s="12">
        <f t="array" ref="I184">IFERROR(INDEX(atlas!B:B,MATCH(A184,atlas!C:C,0)),"")</f>
        <v>41001186</v>
      </c>
      <c r="J184" s="8" t="str">
        <f>IFERROR(VLOOKUP(F184,tecnica!A:B,2,0),"")</f>
        <v>45</v>
      </c>
      <c r="K184" s="8" t="str">
        <f>IFERROR(VLOOKUP(J184,tecnica!B:C,2,0),"")</f>
        <v>VT</v>
      </c>
      <c r="L184" s="13" t="s">
        <v>20</v>
      </c>
      <c r="M184" s="14" t="str">
        <f>IFERROR(VLOOKUP(I184,material!A:D,4,0),"")</f>
        <v>EQUIPAMENTO</v>
      </c>
      <c r="N184" s="14" t="str">
        <f t="shared" si="1"/>
        <v>DIGITEC FTZ</v>
      </c>
      <c r="O184" s="15" t="str">
        <f>IFERROR(VLOOKUP(I184,material!A:D,2,0),"")</f>
        <v>NAGRA KIT</v>
      </c>
    </row>
    <row r="185">
      <c r="A185" s="16" t="s">
        <v>215</v>
      </c>
      <c r="B185" s="7"/>
      <c r="C185" s="8" t="str">
        <f t="array" ref="C185">IFERROR(INDEX(atlas!H:H,MATCH(A185,atlas!C:C,0)),"")</f>
        <v>3.1</v>
      </c>
      <c r="D185" s="8" t="str">
        <f t="array" ref="D185">IFERROR(INDEX(atlas!D:D,MATCH(A185,atlas!C:C,0)),"")</f>
        <v>DIGITEC TECNOLOGIA DIGITAL E REPRES</v>
      </c>
      <c r="E185" s="8" t="str">
        <f t="array" ref="E185">IFERROR(INDEX(atlas!F:F,MATCH(A185,atlas!C:C,0)),"")</f>
        <v>INICIALIZADO</v>
      </c>
      <c r="F185" s="9" t="s">
        <v>176</v>
      </c>
      <c r="G185" s="10">
        <v>45644.350636574076</v>
      </c>
      <c r="H185" s="11" t="s">
        <v>19</v>
      </c>
      <c r="I185" s="12">
        <f t="array" ref="I185">IFERROR(INDEX(atlas!B:B,MATCH(A185,atlas!C:C,0)),"")</f>
        <v>41001481</v>
      </c>
      <c r="J185" s="8" t="str">
        <f>IFERROR(VLOOKUP(F185,tecnica!A:B,2,0),"")</f>
        <v>45</v>
      </c>
      <c r="K185" s="8" t="str">
        <f>IFERROR(VLOOKUP(J185,tecnica!B:C,2,0),"")</f>
        <v>VT</v>
      </c>
      <c r="L185" s="13" t="s">
        <v>20</v>
      </c>
      <c r="M185" s="14" t="str">
        <f>IFERROR(VLOOKUP(I185,material!A:D,4,0),"")</f>
        <v>EQUIPAMENTO</v>
      </c>
      <c r="N185" s="14" t="str">
        <f t="shared" si="1"/>
        <v>DIGITEC FTZ</v>
      </c>
      <c r="O185" s="15" t="str">
        <f>IFERROR(VLOOKUP(I185,material!A:D,2,0),"")</f>
        <v>MODEM VOIP EMTA WIFI 3.1 HGJ310</v>
      </c>
    </row>
    <row r="186">
      <c r="A186" s="16" t="s">
        <v>216</v>
      </c>
      <c r="B186" s="7"/>
      <c r="C186" s="8" t="str">
        <f t="array" ref="C186">IFERROR(INDEX(atlas!H:H,MATCH(A186,atlas!C:C,0)),"")</f>
        <v>ONT</v>
      </c>
      <c r="D186" s="8" t="str">
        <f t="array" ref="D186">IFERROR(INDEX(atlas!D:D,MATCH(A186,atlas!C:C,0)),"")</f>
        <v>DIGITEC TECNOLOGIA DIGITAL E REPRES</v>
      </c>
      <c r="E186" s="8" t="str">
        <f t="array" ref="E186">IFERROR(INDEX(atlas!F:F,MATCH(A186,atlas!C:C,0)),"")</f>
        <v>INICIALIZADO</v>
      </c>
      <c r="F186" s="9" t="s">
        <v>176</v>
      </c>
      <c r="G186" s="10">
        <v>45644.350636574076</v>
      </c>
      <c r="H186" s="11" t="s">
        <v>25</v>
      </c>
      <c r="I186" s="12">
        <f t="array" ref="I186">IFERROR(INDEX(atlas!B:B,MATCH(A186,atlas!C:C,0)),"")</f>
        <v>41001516</v>
      </c>
      <c r="J186" s="8" t="str">
        <f>IFERROR(VLOOKUP(F186,tecnica!A:B,2,0),"")</f>
        <v>45</v>
      </c>
      <c r="K186" s="8" t="str">
        <f>IFERROR(VLOOKUP(J186,tecnica!B:C,2,0),"")</f>
        <v>VT</v>
      </c>
      <c r="L186" s="13" t="s">
        <v>20</v>
      </c>
      <c r="M186" s="14" t="str">
        <f>IFERROR(VLOOKUP(I186,material!A:D,4,0),"")</f>
        <v>EQUIPAMENTO</v>
      </c>
      <c r="N186" s="14" t="str">
        <f t="shared" si="1"/>
        <v>DIGITEC FTZ</v>
      </c>
      <c r="O186" s="15" t="str">
        <f>IFERROR(VLOOKUP(I186,material!A:D,2,0),"")</f>
        <v>MODEM VOIP GPON WIFI 3.1 HG8245 6T V2</v>
      </c>
    </row>
    <row r="187">
      <c r="A187" s="16" t="s">
        <v>217</v>
      </c>
      <c r="B187" s="7"/>
      <c r="C187" s="8" t="str">
        <f t="array" ref="C187">IFERROR(INDEX(atlas!H:H,MATCH(A187,atlas!C:C,0)),"")</f>
        <v>4K</v>
      </c>
      <c r="D187" s="8" t="str">
        <f t="array" ref="D187">IFERROR(INDEX(atlas!D:D,MATCH(A187,atlas!C:C,0)),"")</f>
        <v>DIGITEC TECNOLOGIA DIGITAL E REPRES</v>
      </c>
      <c r="E187" s="8" t="str">
        <f t="array" ref="E187">IFERROR(INDEX(atlas!F:F,MATCH(A187,atlas!C:C,0)),"")</f>
        <v>SUSPEITO</v>
      </c>
      <c r="F187" s="9" t="s">
        <v>176</v>
      </c>
      <c r="G187" s="10">
        <v>45644.350636574076</v>
      </c>
      <c r="H187" s="11" t="s">
        <v>25</v>
      </c>
      <c r="I187" s="12">
        <f t="array" ref="I187">IFERROR(INDEX(atlas!B:B,MATCH(A187,atlas!C:C,0)),"")</f>
        <v>41001068</v>
      </c>
      <c r="J187" s="8" t="str">
        <f>IFERROR(VLOOKUP(F187,tecnica!A:B,2,0),"")</f>
        <v>45</v>
      </c>
      <c r="K187" s="8" t="str">
        <f>IFERROR(VLOOKUP(J187,tecnica!B:C,2,0),"")</f>
        <v>VT</v>
      </c>
      <c r="L187" s="13" t="s">
        <v>20</v>
      </c>
      <c r="M187" s="14" t="str">
        <f>IFERROR(VLOOKUP(I187,material!A:D,4,0),"")</f>
        <v>EQUIPAMENTO</v>
      </c>
      <c r="N187" s="14" t="str">
        <f t="shared" si="1"/>
        <v>DIGITEC FTZ</v>
      </c>
      <c r="O187" s="15" t="str">
        <f>IFERROR(VLOOKUP(I187,material!A:D,2,0),"")</f>
        <v>SAG4KC362</v>
      </c>
    </row>
    <row r="188">
      <c r="A188" s="16" t="s">
        <v>218</v>
      </c>
      <c r="B188" s="7"/>
      <c r="C188" s="8" t="str">
        <f t="array" ref="C188">IFERROR(INDEX(atlas!H:H,MATCH(A188,atlas!C:C,0)),"")</f>
        <v>SIM CARD</v>
      </c>
      <c r="D188" s="8" t="str">
        <f t="array" ref="D188">IFERROR(INDEX(atlas!D:D,MATCH(A188,atlas!C:C,0)),"")</f>
        <v>DIGITEC TECNOLOGIA DIGITAL E REPRES</v>
      </c>
      <c r="E188" s="8" t="str">
        <f t="array" ref="E188">IFERROR(INDEX(atlas!F:F,MATCH(A188,atlas!C:C,0)),"")</f>
        <v>SUSPEITO</v>
      </c>
      <c r="F188" s="9" t="s">
        <v>176</v>
      </c>
      <c r="G188" s="10">
        <v>45644.350636574076</v>
      </c>
      <c r="H188" s="11" t="s">
        <v>25</v>
      </c>
      <c r="I188" s="12">
        <f t="array" ref="I188">IFERROR(INDEX(atlas!B:B,MATCH(A188,atlas!C:C,0)),"")</f>
        <v>41000805</v>
      </c>
      <c r="J188" s="8" t="str">
        <f>IFERROR(VLOOKUP(F188,tecnica!A:B,2,0),"")</f>
        <v>45</v>
      </c>
      <c r="K188" s="8" t="str">
        <f>IFERROR(VLOOKUP(J188,tecnica!B:C,2,0),"")</f>
        <v>VT</v>
      </c>
      <c r="L188" s="13" t="s">
        <v>20</v>
      </c>
      <c r="M188" s="14" t="str">
        <f>IFERROR(VLOOKUP(I188,material!A:D,4,0),"")</f>
        <v>EQUIPAMENTO</v>
      </c>
      <c r="N188" s="14" t="str">
        <f t="shared" si="1"/>
        <v>DIGITEC FTZ</v>
      </c>
      <c r="O188" s="15" t="str">
        <f>IFERROR(VLOOKUP(I188,material!A:D,2,0),"")</f>
        <v>SMART SIM CARD NAGRA</v>
      </c>
    </row>
    <row r="189">
      <c r="A189" s="16" t="s">
        <v>219</v>
      </c>
      <c r="B189" s="7">
        <v>15.0</v>
      </c>
      <c r="C189" s="8" t="str">
        <f t="array" ref="C189">IFERROR(INDEX(atlas!H:H,MATCH(A189,atlas!C:C,0)),"")</f>
        <v>F6</v>
      </c>
      <c r="D189" s="8" t="str">
        <f t="array" ref="D189">IFERROR(INDEX(atlas!D:D,MATCH(A189,atlas!C:C,0)),"")</f>
        <v>MISCELANEA</v>
      </c>
      <c r="E189" s="8" t="str">
        <f t="array" ref="E189">IFERROR(INDEX(atlas!F:F,MATCH(A189,atlas!C:C,0)),"")</f>
        <v>MISCELANEA</v>
      </c>
      <c r="F189" s="9" t="s">
        <v>176</v>
      </c>
      <c r="G189" s="10">
        <v>45644.350636574076</v>
      </c>
      <c r="H189" s="11" t="s">
        <v>19</v>
      </c>
      <c r="I189" s="12">
        <f t="array" ref="I189">IFERROR(INDEX(atlas!B:B,MATCH(A189,atlas!C:C,0)),"")</f>
        <v>22026189</v>
      </c>
      <c r="J189" s="8" t="str">
        <f>IFERROR(VLOOKUP(F189,tecnica!A:B,2,0),"")</f>
        <v>45</v>
      </c>
      <c r="K189" s="8" t="str">
        <f>IFERROR(VLOOKUP(J189,tecnica!B:C,2,0),"")</f>
        <v>VT</v>
      </c>
      <c r="L189" s="13" t="s">
        <v>20</v>
      </c>
      <c r="M189" s="14" t="str">
        <f>IFERROR(VLOOKUP(I189,material!A:D,4,0),"")</f>
        <v>CRITICO</v>
      </c>
      <c r="N189" s="14" t="str">
        <f t="shared" si="1"/>
        <v>DIGITEC FTZ</v>
      </c>
      <c r="O189" s="15" t="str">
        <f>IFERROR(VLOOKUP(I189,material!A:D,2,0),"")</f>
        <v>CONEC_RI COMPRESSAO F-6</v>
      </c>
    </row>
    <row r="190">
      <c r="A190" s="16" t="s">
        <v>220</v>
      </c>
      <c r="B190" s="7">
        <v>2.0</v>
      </c>
      <c r="C190" s="8" t="str">
        <f t="array" ref="C190">IFERROR(INDEX(atlas!H:H,MATCH(A190,atlas!C:C,0)),"")</f>
        <v>TAP 6</v>
      </c>
      <c r="D190" s="8" t="str">
        <f t="array" ref="D190">IFERROR(INDEX(atlas!D:D,MATCH(A190,atlas!C:C,0)),"")</f>
        <v>MISCELANEA</v>
      </c>
      <c r="E190" s="8" t="str">
        <f t="array" ref="E190">IFERROR(INDEX(atlas!F:F,MATCH(A190,atlas!C:C,0)),"")</f>
        <v>MISCELANEA</v>
      </c>
      <c r="F190" s="9" t="s">
        <v>176</v>
      </c>
      <c r="G190" s="10">
        <v>45644.350636574076</v>
      </c>
      <c r="H190" s="11" t="s">
        <v>19</v>
      </c>
      <c r="I190" s="12">
        <f t="array" ref="I190">IFERROR(INDEX(atlas!B:B,MATCH(A190,atlas!C:C,0)),"")</f>
        <v>22026809</v>
      </c>
      <c r="J190" s="8" t="str">
        <f>IFERROR(VLOOKUP(F190,tecnica!A:B,2,0),"")</f>
        <v>45</v>
      </c>
      <c r="K190" s="8" t="str">
        <f>IFERROR(VLOOKUP(J190,tecnica!B:C,2,0),"")</f>
        <v>VT</v>
      </c>
      <c r="L190" s="13" t="s">
        <v>20</v>
      </c>
      <c r="M190" s="14" t="str">
        <f>IFERROR(VLOOKUP(I190,material!A:D,4,0),"")</f>
        <v>NAO CRITICO</v>
      </c>
      <c r="N190" s="14" t="str">
        <f t="shared" si="1"/>
        <v>DIGITEC FTZ</v>
      </c>
      <c r="O190" s="15" t="str">
        <f>IFERROR(VLOOKUP(I190,material!A:D,2,0),"")</f>
        <v>DC_RI 1S 06DB 1GHZ H SOLDADO</v>
      </c>
    </row>
    <row r="191">
      <c r="A191" s="16" t="s">
        <v>221</v>
      </c>
      <c r="B191" s="7">
        <v>2.0</v>
      </c>
      <c r="C191" s="8" t="str">
        <f t="array" ref="C191">IFERROR(INDEX(atlas!H:H,MATCH(A191,atlas!C:C,0)),"")</f>
        <v>TAP 9</v>
      </c>
      <c r="D191" s="8" t="str">
        <f t="array" ref="D191">IFERROR(INDEX(atlas!D:D,MATCH(A191,atlas!C:C,0)),"")</f>
        <v>MISCELANEA</v>
      </c>
      <c r="E191" s="8" t="str">
        <f t="array" ref="E191">IFERROR(INDEX(atlas!F:F,MATCH(A191,atlas!C:C,0)),"")</f>
        <v>MISCELANEA</v>
      </c>
      <c r="F191" s="9" t="s">
        <v>176</v>
      </c>
      <c r="G191" s="10">
        <v>45644.350636574076</v>
      </c>
      <c r="H191" s="11" t="s">
        <v>19</v>
      </c>
      <c r="I191" s="12">
        <f t="array" ref="I191">IFERROR(INDEX(atlas!B:B,MATCH(A191,atlas!C:C,0)),"")</f>
        <v>22026746</v>
      </c>
      <c r="J191" s="8" t="str">
        <f>IFERROR(VLOOKUP(F191,tecnica!A:B,2,0),"")</f>
        <v>45</v>
      </c>
      <c r="K191" s="8" t="str">
        <f>IFERROR(VLOOKUP(J191,tecnica!B:C,2,0),"")</f>
        <v>VT</v>
      </c>
      <c r="L191" s="13" t="s">
        <v>20</v>
      </c>
      <c r="M191" s="14" t="str">
        <f>IFERROR(VLOOKUP(I191,material!A:D,4,0),"")</f>
        <v>NAO CRITICO</v>
      </c>
      <c r="N191" s="14" t="str">
        <f t="shared" si="1"/>
        <v>DIGITEC FTZ</v>
      </c>
      <c r="O191" s="15" t="str">
        <f>IFERROR(VLOOKUP(I191,material!A:D,2,0),"")</f>
        <v>DC_RI 1S 09DB 1GHZ H SOLDADO</v>
      </c>
    </row>
    <row r="192">
      <c r="A192" s="16" t="s">
        <v>222</v>
      </c>
      <c r="B192" s="7">
        <v>1.0</v>
      </c>
      <c r="C192" s="8" t="str">
        <f t="array" ref="C192">IFERROR(INDEX(atlas!H:H,MATCH(A192,atlas!C:C,0)),"")</f>
        <v>DIV 2</v>
      </c>
      <c r="D192" s="8" t="str">
        <f t="array" ref="D192">IFERROR(INDEX(atlas!D:D,MATCH(A192,atlas!C:C,0)),"")</f>
        <v>MISCELANEA</v>
      </c>
      <c r="E192" s="8" t="str">
        <f t="array" ref="E192">IFERROR(INDEX(atlas!F:F,MATCH(A192,atlas!C:C,0)),"")</f>
        <v>MISCELANEA</v>
      </c>
      <c r="F192" s="9" t="s">
        <v>176</v>
      </c>
      <c r="G192" s="10">
        <v>45644.350636574076</v>
      </c>
      <c r="H192" s="11" t="s">
        <v>19</v>
      </c>
      <c r="I192" s="12">
        <f t="array" ref="I192">IFERROR(INDEX(atlas!B:B,MATCH(A192,atlas!C:C,0)),"")</f>
        <v>22026772</v>
      </c>
      <c r="J192" s="8" t="str">
        <f>IFERROR(VLOOKUP(F192,tecnica!A:B,2,0),"")</f>
        <v>45</v>
      </c>
      <c r="K192" s="8" t="str">
        <f>IFERROR(VLOOKUP(J192,tecnica!B:C,2,0),"")</f>
        <v>VT</v>
      </c>
      <c r="L192" s="13" t="s">
        <v>20</v>
      </c>
      <c r="M192" s="14" t="str">
        <f>IFERROR(VLOOKUP(I192,material!A:D,4,0),"")</f>
        <v>NAO CRITICO</v>
      </c>
      <c r="N192" s="14" t="str">
        <f t="shared" si="1"/>
        <v>DIGITEC FTZ</v>
      </c>
      <c r="O192" s="15" t="str">
        <f>IFERROR(VLOOKUP(I192,material!A:D,2,0),"")</f>
        <v>DIV_RI 2S 1GHZ H SOLDADO</v>
      </c>
    </row>
    <row r="193">
      <c r="A193" s="16" t="s">
        <v>223</v>
      </c>
      <c r="B193" s="7">
        <v>1.0</v>
      </c>
      <c r="C193" s="8" t="str">
        <f t="array" ref="C193">IFERROR(INDEX(atlas!H:H,MATCH(A193,atlas!C:C,0)),"")</f>
        <v>DIV D</v>
      </c>
      <c r="D193" s="8" t="str">
        <f t="array" ref="D193">IFERROR(INDEX(atlas!D:D,MATCH(A193,atlas!C:C,0)),"")</f>
        <v>MISCELANEA</v>
      </c>
      <c r="E193" s="8" t="str">
        <f t="array" ref="E193">IFERROR(INDEX(atlas!F:F,MATCH(A193,atlas!C:C,0)),"")</f>
        <v>MISCELANEA</v>
      </c>
      <c r="F193" s="9" t="s">
        <v>176</v>
      </c>
      <c r="G193" s="10">
        <v>45644.350636574076</v>
      </c>
      <c r="H193" s="11" t="s">
        <v>19</v>
      </c>
      <c r="I193" s="12">
        <f t="array" ref="I193">IFERROR(INDEX(atlas!B:B,MATCH(A193,atlas!C:C,0)),"")</f>
        <v>22026792</v>
      </c>
      <c r="J193" s="8" t="str">
        <f>IFERROR(VLOOKUP(F193,tecnica!A:B,2,0),"")</f>
        <v>45</v>
      </c>
      <c r="K193" s="8" t="str">
        <f>IFERROR(VLOOKUP(J193,tecnica!B:C,2,0),"")</f>
        <v>VT</v>
      </c>
      <c r="L193" s="13" t="s">
        <v>20</v>
      </c>
      <c r="M193" s="14" t="str">
        <f>IFERROR(VLOOKUP(I193,material!A:D,4,0),"")</f>
        <v>NAO CRITICO</v>
      </c>
      <c r="N193" s="14" t="str">
        <f t="shared" si="1"/>
        <v>DIGITEC FTZ</v>
      </c>
      <c r="O193" s="15" t="str">
        <f>IFERROR(VLOOKUP(I193,material!A:D,2,0),"")</f>
        <v>DIV_RI 3S 1GHZ H SOLD DESB 488</v>
      </c>
    </row>
    <row r="194">
      <c r="A194" s="6" t="s">
        <v>224</v>
      </c>
      <c r="B194" s="7"/>
      <c r="C194" s="8" t="str">
        <f t="array" ref="C194">IFERROR(INDEX(atlas!H:H,MATCH(A194,atlas!C:C,0)),"")</f>
        <v/>
      </c>
      <c r="D194" s="8" t="s">
        <v>16</v>
      </c>
      <c r="E194" s="8" t="s">
        <v>17</v>
      </c>
      <c r="F194" s="9" t="s">
        <v>176</v>
      </c>
      <c r="G194" s="10">
        <v>45644.350636574076</v>
      </c>
      <c r="H194" s="11" t="s">
        <v>19</v>
      </c>
      <c r="I194" s="12" t="str">
        <f t="array" ref="I194">IFERROR(INDEX(atlas!B:B,MATCH(A194,atlas!C:C,0)),"")</f>
        <v/>
      </c>
      <c r="J194" s="8" t="str">
        <f>IFERROR(VLOOKUP(F194,tecnica!A:B,2,0),"")</f>
        <v>45</v>
      </c>
      <c r="K194" s="8" t="str">
        <f>IFERROR(VLOOKUP(J194,tecnica!B:C,2,0),"")</f>
        <v>VT</v>
      </c>
      <c r="L194" s="13" t="s">
        <v>20</v>
      </c>
      <c r="M194" s="14" t="str">
        <f>IFERROR(VLOOKUP(I194,material!A:D,4,0),"")</f>
        <v/>
      </c>
      <c r="N194" s="14" t="str">
        <f t="shared" si="1"/>
        <v>DIGITEC FTZ</v>
      </c>
      <c r="O194" s="15" t="str">
        <f>IFERROR(VLOOKUP(I194,material!A:D,2,0),"")</f>
        <v/>
      </c>
    </row>
    <row r="195">
      <c r="A195" s="6" t="s">
        <v>225</v>
      </c>
      <c r="B195" s="7"/>
      <c r="C195" s="8" t="str">
        <f t="array" ref="C195">IFERROR(INDEX(atlas!H:H,MATCH(A195,atlas!C:C,0)),"")</f>
        <v/>
      </c>
      <c r="D195" s="8" t="s">
        <v>16</v>
      </c>
      <c r="E195" s="8" t="s">
        <v>17</v>
      </c>
      <c r="F195" s="9" t="s">
        <v>176</v>
      </c>
      <c r="G195" s="10">
        <v>45644.350636574076</v>
      </c>
      <c r="H195" s="11" t="s">
        <v>19</v>
      </c>
      <c r="I195" s="12" t="str">
        <f t="array" ref="I195">IFERROR(INDEX(atlas!B:B,MATCH(A195,atlas!C:C,0)),"")</f>
        <v/>
      </c>
      <c r="J195" s="8" t="str">
        <f>IFERROR(VLOOKUP(F195,tecnica!A:B,2,0),"")</f>
        <v>45</v>
      </c>
      <c r="K195" s="8" t="str">
        <f>IFERROR(VLOOKUP(J195,tecnica!B:C,2,0),"")</f>
        <v>VT</v>
      </c>
      <c r="L195" s="13" t="s">
        <v>20</v>
      </c>
      <c r="M195" s="14" t="str">
        <f>IFERROR(VLOOKUP(I195,material!A:D,4,0),"")</f>
        <v/>
      </c>
      <c r="N195" s="14" t="str">
        <f t="shared" si="1"/>
        <v>DIGITEC FTZ</v>
      </c>
      <c r="O195" s="15" t="str">
        <f>IFERROR(VLOOKUP(I195,material!A:D,2,0),"")</f>
        <v/>
      </c>
    </row>
    <row r="196">
      <c r="A196" s="6" t="s">
        <v>226</v>
      </c>
      <c r="B196" s="7"/>
      <c r="C196" s="8" t="str">
        <f t="array" ref="C196">IFERROR(INDEX(atlas!H:H,MATCH(A196,atlas!C:C,0)),"")</f>
        <v/>
      </c>
      <c r="D196" s="8" t="s">
        <v>16</v>
      </c>
      <c r="E196" s="8" t="s">
        <v>17</v>
      </c>
      <c r="F196" s="9" t="s">
        <v>176</v>
      </c>
      <c r="G196" s="10">
        <v>45644.350636574076</v>
      </c>
      <c r="H196" s="11" t="s">
        <v>19</v>
      </c>
      <c r="I196" s="12" t="str">
        <f t="array" ref="I196">IFERROR(INDEX(atlas!B:B,MATCH(A196,atlas!C:C,0)),"")</f>
        <v/>
      </c>
      <c r="J196" s="8" t="str">
        <f>IFERROR(VLOOKUP(F196,tecnica!A:B,2,0),"")</f>
        <v>45</v>
      </c>
      <c r="K196" s="8" t="str">
        <f>IFERROR(VLOOKUP(J196,tecnica!B:C,2,0),"")</f>
        <v>VT</v>
      </c>
      <c r="L196" s="13" t="s">
        <v>20</v>
      </c>
      <c r="M196" s="14" t="str">
        <f>IFERROR(VLOOKUP(I196,material!A:D,4,0),"")</f>
        <v/>
      </c>
      <c r="N196" s="14" t="str">
        <f t="shared" si="1"/>
        <v>DIGITEC FTZ</v>
      </c>
      <c r="O196" s="15" t="str">
        <f>IFERROR(VLOOKUP(I196,material!A:D,2,0),"")</f>
        <v/>
      </c>
    </row>
    <row r="197">
      <c r="A197" s="6"/>
      <c r="B197" s="7"/>
      <c r="C197" s="8" t="str">
        <f t="array" ref="C197">IFERROR(INDEX(atlas!H:H,MATCH(A197,atlas!C:C,0)),"")</f>
        <v/>
      </c>
      <c r="D197" s="8" t="str">
        <f t="array" ref="D197">IFERROR(INDEX(atlas!D:D,MATCH(A197,atlas!C:C,0)),"")</f>
        <v/>
      </c>
      <c r="E197" s="8" t="str">
        <f t="array" ref="E197">IFERROR(INDEX(atlas!F:F,MATCH(A197,atlas!C:C,0)),"")</f>
        <v/>
      </c>
      <c r="F197" s="9"/>
      <c r="G197" s="10"/>
      <c r="H197" s="11"/>
      <c r="I197" s="12" t="str">
        <f t="array" ref="I197">IFERROR(INDEX(atlas!B:B,MATCH(A197,atlas!C:C,0)),"")</f>
        <v/>
      </c>
      <c r="J197" s="8" t="str">
        <f>IFERROR(VLOOKUP(F197,tecnica!A:B,2,0),"")</f>
        <v/>
      </c>
      <c r="K197" s="8" t="str">
        <f>IFERROR(VLOOKUP(J197,tecnica!B:C,2,0),"")</f>
        <v/>
      </c>
      <c r="L197" s="13"/>
      <c r="M197" s="14" t="str">
        <f>IFERROR(VLOOKUP(I197,material!A:D,4,0),"")</f>
        <v/>
      </c>
      <c r="N197" s="14" t="str">
        <f t="shared" si="1"/>
        <v/>
      </c>
      <c r="O197" s="15" t="str">
        <f>IFERROR(VLOOKUP(I197,material!A:D,2,0),"")</f>
        <v/>
      </c>
    </row>
    <row r="198">
      <c r="A198" s="6"/>
      <c r="B198" s="7"/>
      <c r="C198" s="8" t="str">
        <f t="array" ref="C198">IFERROR(INDEX(atlas!H:H,MATCH(A198,atlas!C:C,0)),"")</f>
        <v/>
      </c>
      <c r="D198" s="8" t="str">
        <f t="array" ref="D198">IFERROR(INDEX(atlas!D:D,MATCH(A198,atlas!C:C,0)),"")</f>
        <v/>
      </c>
      <c r="E198" s="8" t="str">
        <f t="array" ref="E198">IFERROR(INDEX(atlas!F:F,MATCH(A198,atlas!C:C,0)),"")</f>
        <v/>
      </c>
      <c r="F198" s="9"/>
      <c r="G198" s="10"/>
      <c r="H198" s="11"/>
      <c r="I198" s="12" t="str">
        <f t="array" ref="I198">IFERROR(INDEX(atlas!B:B,MATCH(A198,atlas!C:C,0)),"")</f>
        <v/>
      </c>
      <c r="J198" s="8" t="str">
        <f>IFERROR(VLOOKUP(F198,tecnica!A:B,2,0),"")</f>
        <v/>
      </c>
      <c r="K198" s="8" t="str">
        <f>IFERROR(VLOOKUP(J198,tecnica!B:C,2,0),"")</f>
        <v/>
      </c>
      <c r="L198" s="13"/>
      <c r="M198" s="14" t="str">
        <f>IFERROR(VLOOKUP(I198,material!A:D,4,0),"")</f>
        <v/>
      </c>
      <c r="N198" s="14" t="str">
        <f t="shared" si="1"/>
        <v/>
      </c>
      <c r="O198" s="15" t="str">
        <f>IFERROR(VLOOKUP(I198,material!A:D,2,0),"")</f>
        <v/>
      </c>
    </row>
    <row r="199">
      <c r="A199" s="6"/>
      <c r="B199" s="7"/>
      <c r="C199" s="8" t="str">
        <f t="array" ref="C199">IFERROR(INDEX(atlas!H:H,MATCH(A199,atlas!C:C,0)),"")</f>
        <v/>
      </c>
      <c r="D199" s="8" t="str">
        <f t="array" ref="D199">IFERROR(INDEX(atlas!D:D,MATCH(A199,atlas!C:C,0)),"")</f>
        <v/>
      </c>
      <c r="E199" s="8" t="str">
        <f t="array" ref="E199">IFERROR(INDEX(atlas!F:F,MATCH(A199,atlas!C:C,0)),"")</f>
        <v/>
      </c>
      <c r="F199" s="9"/>
      <c r="G199" s="10"/>
      <c r="H199" s="11"/>
      <c r="I199" s="12" t="str">
        <f t="array" ref="I199">IFERROR(INDEX(atlas!B:B,MATCH(A199,atlas!C:C,0)),"")</f>
        <v/>
      </c>
      <c r="J199" s="8" t="str">
        <f>IFERROR(VLOOKUP(F199,tecnica!A:B,2,0),"")</f>
        <v/>
      </c>
      <c r="K199" s="8" t="str">
        <f>IFERROR(VLOOKUP(J199,tecnica!B:C,2,0),"")</f>
        <v/>
      </c>
      <c r="L199" s="13"/>
      <c r="M199" s="14" t="str">
        <f>IFERROR(VLOOKUP(I199,material!A:D,4,0),"")</f>
        <v/>
      </c>
      <c r="N199" s="14" t="str">
        <f t="shared" si="1"/>
        <v/>
      </c>
      <c r="O199" s="15" t="str">
        <f>IFERROR(VLOOKUP(I199,material!A:D,2,0),"")</f>
        <v/>
      </c>
    </row>
    <row r="200">
      <c r="A200" s="6"/>
      <c r="B200" s="7"/>
      <c r="C200" s="8" t="str">
        <f t="array" ref="C200">IFERROR(INDEX(atlas!H:H,MATCH(A200,atlas!C:C,0)),"")</f>
        <v/>
      </c>
      <c r="D200" s="8" t="str">
        <f t="array" ref="D200">IFERROR(INDEX(atlas!D:D,MATCH(A200,atlas!C:C,0)),"")</f>
        <v/>
      </c>
      <c r="E200" s="8" t="str">
        <f t="array" ref="E200">IFERROR(INDEX(atlas!F:F,MATCH(A200,atlas!C:C,0)),"")</f>
        <v/>
      </c>
      <c r="F200" s="9"/>
      <c r="G200" s="10"/>
      <c r="H200" s="11"/>
      <c r="I200" s="12" t="str">
        <f t="array" ref="I200">IFERROR(INDEX(atlas!B:B,MATCH(A200,atlas!C:C,0)),"")</f>
        <v/>
      </c>
      <c r="J200" s="8" t="str">
        <f>IFERROR(VLOOKUP(F200,tecnica!A:B,2,0),"")</f>
        <v/>
      </c>
      <c r="K200" s="8" t="str">
        <f>IFERROR(VLOOKUP(J200,tecnica!B:C,2,0),"")</f>
        <v/>
      </c>
      <c r="L200" s="13"/>
      <c r="M200" s="14" t="str">
        <f>IFERROR(VLOOKUP(I200,material!A:D,4,0),"")</f>
        <v/>
      </c>
      <c r="N200" s="14" t="str">
        <f t="shared" si="1"/>
        <v/>
      </c>
      <c r="O200" s="15" t="str">
        <f>IFERROR(VLOOKUP(I200,material!A:D,2,0),"")</f>
        <v/>
      </c>
    </row>
    <row r="201">
      <c r="A201" s="6"/>
      <c r="B201" s="7"/>
      <c r="C201" s="8" t="str">
        <f t="array" ref="C201">IFERROR(INDEX(atlas!H:H,MATCH(A201,atlas!C:C,0)),"")</f>
        <v/>
      </c>
      <c r="D201" s="8" t="str">
        <f t="array" ref="D201">IFERROR(INDEX(atlas!D:D,MATCH(A201,atlas!C:C,0)),"")</f>
        <v/>
      </c>
      <c r="E201" s="8" t="str">
        <f t="array" ref="E201">IFERROR(INDEX(atlas!F:F,MATCH(A201,atlas!C:C,0)),"")</f>
        <v/>
      </c>
      <c r="F201" s="9"/>
      <c r="G201" s="10"/>
      <c r="H201" s="11"/>
      <c r="I201" s="12" t="str">
        <f t="array" ref="I201">IFERROR(INDEX(atlas!B:B,MATCH(A201,atlas!C:C,0)),"")</f>
        <v/>
      </c>
      <c r="J201" s="8" t="str">
        <f>IFERROR(VLOOKUP(F201,tecnica!A:B,2,0),"")</f>
        <v/>
      </c>
      <c r="K201" s="8" t="str">
        <f>IFERROR(VLOOKUP(J201,tecnica!B:C,2,0),"")</f>
        <v/>
      </c>
      <c r="L201" s="13"/>
      <c r="M201" s="14" t="str">
        <f>IFERROR(VLOOKUP(I201,material!A:D,4,0),"")</f>
        <v/>
      </c>
      <c r="N201" s="14" t="str">
        <f t="shared" si="1"/>
        <v/>
      </c>
      <c r="O201" s="15" t="str">
        <f>IFERROR(VLOOKUP(I201,material!A:D,2,0),"")</f>
        <v/>
      </c>
    </row>
    <row r="202">
      <c r="A202" s="6"/>
      <c r="B202" s="7"/>
      <c r="C202" s="8" t="str">
        <f t="array" ref="C202">IFERROR(INDEX(atlas!H:H,MATCH(A202,atlas!C:C,0)),"")</f>
        <v/>
      </c>
      <c r="D202" s="8" t="str">
        <f t="array" ref="D202">IFERROR(INDEX(atlas!D:D,MATCH(A202,atlas!C:C,0)),"")</f>
        <v/>
      </c>
      <c r="E202" s="8" t="str">
        <f t="array" ref="E202">IFERROR(INDEX(atlas!F:F,MATCH(A202,atlas!C:C,0)),"")</f>
        <v/>
      </c>
      <c r="F202" s="9"/>
      <c r="G202" s="10"/>
      <c r="H202" s="11"/>
      <c r="I202" s="12" t="str">
        <f t="array" ref="I202">IFERROR(INDEX(atlas!B:B,MATCH(A202,atlas!C:C,0)),"")</f>
        <v/>
      </c>
      <c r="J202" s="8" t="str">
        <f>IFERROR(VLOOKUP(F202,tecnica!A:B,2,0),"")</f>
        <v/>
      </c>
      <c r="K202" s="8" t="str">
        <f>IFERROR(VLOOKUP(J202,tecnica!B:C,2,0),"")</f>
        <v/>
      </c>
      <c r="L202" s="13"/>
      <c r="M202" s="14" t="str">
        <f>IFERROR(VLOOKUP(I202,material!A:D,4,0),"")</f>
        <v/>
      </c>
      <c r="N202" s="14" t="str">
        <f t="shared" si="1"/>
        <v/>
      </c>
      <c r="O202" s="15" t="str">
        <f>IFERROR(VLOOKUP(I202,material!A:D,2,0),"")</f>
        <v/>
      </c>
    </row>
    <row r="203">
      <c r="A203" s="6"/>
      <c r="B203" s="7"/>
      <c r="C203" s="8" t="str">
        <f t="array" ref="C203">IFERROR(INDEX(atlas!H:H,MATCH(A203,atlas!C:C,0)),"")</f>
        <v/>
      </c>
      <c r="D203" s="8" t="str">
        <f t="array" ref="D203">IFERROR(INDEX(atlas!D:D,MATCH(A203,atlas!C:C,0)),"")</f>
        <v/>
      </c>
      <c r="E203" s="8" t="str">
        <f t="array" ref="E203">IFERROR(INDEX(atlas!F:F,MATCH(A203,atlas!C:C,0)),"")</f>
        <v/>
      </c>
      <c r="F203" s="9"/>
      <c r="G203" s="10"/>
      <c r="H203" s="11"/>
      <c r="I203" s="12" t="str">
        <f t="array" ref="I203">IFERROR(INDEX(atlas!B:B,MATCH(A203,atlas!C:C,0)),"")</f>
        <v/>
      </c>
      <c r="J203" s="8" t="str">
        <f>IFERROR(VLOOKUP(F203,tecnica!A:B,2,0),"")</f>
        <v/>
      </c>
      <c r="K203" s="8" t="str">
        <f>IFERROR(VLOOKUP(J203,tecnica!B:C,2,0),"")</f>
        <v/>
      </c>
      <c r="L203" s="13"/>
      <c r="M203" s="14" t="str">
        <f>IFERROR(VLOOKUP(I203,material!A:D,4,0),"")</f>
        <v/>
      </c>
      <c r="N203" s="14" t="str">
        <f t="shared" si="1"/>
        <v/>
      </c>
      <c r="O203" s="15" t="str">
        <f>IFERROR(VLOOKUP(I203,material!A:D,2,0),"")</f>
        <v/>
      </c>
    </row>
    <row r="204">
      <c r="A204" s="6"/>
      <c r="B204" s="7"/>
      <c r="C204" s="8" t="str">
        <f t="array" ref="C204">IFERROR(INDEX(atlas!H:H,MATCH(A204,atlas!C:C,0)),"")</f>
        <v/>
      </c>
      <c r="D204" s="8" t="str">
        <f t="array" ref="D204">IFERROR(INDEX(atlas!D:D,MATCH(A204,atlas!C:C,0)),"")</f>
        <v/>
      </c>
      <c r="E204" s="8" t="str">
        <f t="array" ref="E204">IFERROR(INDEX(atlas!F:F,MATCH(A204,atlas!C:C,0)),"")</f>
        <v/>
      </c>
      <c r="F204" s="9"/>
      <c r="G204" s="10"/>
      <c r="H204" s="11"/>
      <c r="I204" s="12" t="str">
        <f t="array" ref="I204">IFERROR(INDEX(atlas!B:B,MATCH(A204,atlas!C:C,0)),"")</f>
        <v/>
      </c>
      <c r="J204" s="8" t="str">
        <f>IFERROR(VLOOKUP(F204,tecnica!A:B,2,0),"")</f>
        <v/>
      </c>
      <c r="K204" s="8" t="str">
        <f>IFERROR(VLOOKUP(J204,tecnica!B:C,2,0),"")</f>
        <v/>
      </c>
      <c r="L204" s="13"/>
      <c r="M204" s="14" t="str">
        <f>IFERROR(VLOOKUP(I204,material!A:D,4,0),"")</f>
        <v/>
      </c>
      <c r="N204" s="14" t="str">
        <f t="shared" si="1"/>
        <v/>
      </c>
      <c r="O204" s="15" t="str">
        <f>IFERROR(VLOOKUP(I204,material!A:D,2,0),"")</f>
        <v/>
      </c>
    </row>
    <row r="205">
      <c r="A205" s="6"/>
      <c r="B205" s="7"/>
      <c r="C205" s="8" t="str">
        <f t="array" ref="C205">IFERROR(INDEX(atlas!H:H,MATCH(A205,atlas!C:C,0)),"")</f>
        <v/>
      </c>
      <c r="D205" s="8" t="str">
        <f t="array" ref="D205">IFERROR(INDEX(atlas!D:D,MATCH(A205,atlas!C:C,0)),"")</f>
        <v/>
      </c>
      <c r="E205" s="8" t="str">
        <f t="array" ref="E205">IFERROR(INDEX(atlas!F:F,MATCH(A205,atlas!C:C,0)),"")</f>
        <v/>
      </c>
      <c r="F205" s="9"/>
      <c r="G205" s="10"/>
      <c r="H205" s="11"/>
      <c r="I205" s="12" t="str">
        <f t="array" ref="I205">IFERROR(INDEX(atlas!B:B,MATCH(A205,atlas!C:C,0)),"")</f>
        <v/>
      </c>
      <c r="J205" s="8" t="str">
        <f>IFERROR(VLOOKUP(F205,tecnica!A:B,2,0),"")</f>
        <v/>
      </c>
      <c r="K205" s="8" t="str">
        <f>IFERROR(VLOOKUP(J205,tecnica!B:C,2,0),"")</f>
        <v/>
      </c>
      <c r="L205" s="13"/>
      <c r="M205" s="14" t="str">
        <f>IFERROR(VLOOKUP(I205,material!A:D,4,0),"")</f>
        <v/>
      </c>
      <c r="N205" s="14" t="str">
        <f t="shared" si="1"/>
        <v/>
      </c>
      <c r="O205" s="15" t="str">
        <f>IFERROR(VLOOKUP(I205,material!A:D,2,0),"")</f>
        <v/>
      </c>
    </row>
    <row r="206">
      <c r="A206" s="6"/>
      <c r="B206" s="7"/>
      <c r="C206" s="8" t="str">
        <f t="array" ref="C206">IFERROR(INDEX(atlas!H:H,MATCH(A206,atlas!C:C,0)),"")</f>
        <v/>
      </c>
      <c r="D206" s="8" t="str">
        <f t="array" ref="D206">IFERROR(INDEX(atlas!D:D,MATCH(A206,atlas!C:C,0)),"")</f>
        <v/>
      </c>
      <c r="E206" s="8" t="str">
        <f t="array" ref="E206">IFERROR(INDEX(atlas!F:F,MATCH(A206,atlas!C:C,0)),"")</f>
        <v/>
      </c>
      <c r="F206" s="9"/>
      <c r="G206" s="10"/>
      <c r="H206" s="11"/>
      <c r="I206" s="12" t="str">
        <f t="array" ref="I206">IFERROR(INDEX(atlas!B:B,MATCH(A206,atlas!C:C,0)),"")</f>
        <v/>
      </c>
      <c r="J206" s="8" t="str">
        <f>IFERROR(VLOOKUP(F206,tecnica!A:B,2,0),"")</f>
        <v/>
      </c>
      <c r="K206" s="8" t="str">
        <f>IFERROR(VLOOKUP(J206,tecnica!B:C,2,0),"")</f>
        <v/>
      </c>
      <c r="L206" s="13"/>
      <c r="M206" s="14" t="str">
        <f>IFERROR(VLOOKUP(I206,material!A:D,4,0),"")</f>
        <v/>
      </c>
      <c r="N206" s="14" t="str">
        <f t="shared" si="1"/>
        <v/>
      </c>
      <c r="O206" s="15" t="str">
        <f>IFERROR(VLOOKUP(I206,material!A:D,2,0),"")</f>
        <v/>
      </c>
    </row>
    <row r="207">
      <c r="A207" s="6"/>
      <c r="B207" s="7"/>
      <c r="C207" s="8" t="str">
        <f t="array" ref="C207">IFERROR(INDEX(atlas!H:H,MATCH(A207,atlas!C:C,0)),"")</f>
        <v/>
      </c>
      <c r="D207" s="8" t="str">
        <f t="array" ref="D207">IFERROR(INDEX(atlas!D:D,MATCH(A207,atlas!C:C,0)),"")</f>
        <v/>
      </c>
      <c r="E207" s="8" t="str">
        <f t="array" ref="E207">IFERROR(INDEX(atlas!F:F,MATCH(A207,atlas!C:C,0)),"")</f>
        <v/>
      </c>
      <c r="F207" s="9"/>
      <c r="G207" s="10"/>
      <c r="H207" s="11"/>
      <c r="I207" s="12" t="str">
        <f t="array" ref="I207">IFERROR(INDEX(atlas!B:B,MATCH(A207,atlas!C:C,0)),"")</f>
        <v/>
      </c>
      <c r="J207" s="8" t="str">
        <f>IFERROR(VLOOKUP(F207,tecnica!A:B,2,0),"")</f>
        <v/>
      </c>
      <c r="K207" s="8" t="str">
        <f>IFERROR(VLOOKUP(J207,tecnica!B:C,2,0),"")</f>
        <v/>
      </c>
      <c r="L207" s="13"/>
      <c r="M207" s="14" t="str">
        <f>IFERROR(VLOOKUP(I207,material!A:D,4,0),"")</f>
        <v/>
      </c>
      <c r="N207" s="14" t="str">
        <f t="shared" si="1"/>
        <v/>
      </c>
      <c r="O207" s="15" t="str">
        <f>IFERROR(VLOOKUP(I207,material!A:D,2,0),"")</f>
        <v/>
      </c>
    </row>
    <row r="208">
      <c r="A208" s="6"/>
      <c r="B208" s="7"/>
      <c r="C208" s="8" t="str">
        <f t="array" ref="C208">IFERROR(INDEX(atlas!H:H,MATCH(A208,atlas!C:C,0)),"")</f>
        <v/>
      </c>
      <c r="D208" s="8" t="str">
        <f t="array" ref="D208">IFERROR(INDEX(atlas!D:D,MATCH(A208,atlas!C:C,0)),"")</f>
        <v/>
      </c>
      <c r="E208" s="8" t="str">
        <f t="array" ref="E208">IFERROR(INDEX(atlas!F:F,MATCH(A208,atlas!C:C,0)),"")</f>
        <v/>
      </c>
      <c r="F208" s="9"/>
      <c r="G208" s="10"/>
      <c r="H208" s="11"/>
      <c r="I208" s="12" t="str">
        <f t="array" ref="I208">IFERROR(INDEX(atlas!B:B,MATCH(A208,atlas!C:C,0)),"")</f>
        <v/>
      </c>
      <c r="J208" s="8" t="str">
        <f>IFERROR(VLOOKUP(F208,tecnica!A:B,2,0),"")</f>
        <v/>
      </c>
      <c r="K208" s="8" t="str">
        <f>IFERROR(VLOOKUP(J208,tecnica!B:C,2,0),"")</f>
        <v/>
      </c>
      <c r="L208" s="13"/>
      <c r="M208" s="14" t="str">
        <f>IFERROR(VLOOKUP(I208,material!A:D,4,0),"")</f>
        <v/>
      </c>
      <c r="N208" s="14" t="str">
        <f t="shared" si="1"/>
        <v/>
      </c>
      <c r="O208" s="15" t="str">
        <f>IFERROR(VLOOKUP(I208,material!A:D,2,0),"")</f>
        <v/>
      </c>
    </row>
    <row r="209">
      <c r="A209" s="6"/>
      <c r="B209" s="7"/>
      <c r="C209" s="8" t="str">
        <f t="array" ref="C209">IFERROR(INDEX(atlas!H:H,MATCH(A209,atlas!C:C,0)),"")</f>
        <v/>
      </c>
      <c r="D209" s="8" t="str">
        <f t="array" ref="D209">IFERROR(INDEX(atlas!D:D,MATCH(A209,atlas!C:C,0)),"")</f>
        <v/>
      </c>
      <c r="E209" s="8" t="str">
        <f t="array" ref="E209">IFERROR(INDEX(atlas!F:F,MATCH(A209,atlas!C:C,0)),"")</f>
        <v/>
      </c>
      <c r="F209" s="9"/>
      <c r="G209" s="10"/>
      <c r="H209" s="11"/>
      <c r="I209" s="12" t="str">
        <f t="array" ref="I209">IFERROR(INDEX(atlas!B:B,MATCH(A209,atlas!C:C,0)),"")</f>
        <v/>
      </c>
      <c r="J209" s="8" t="str">
        <f>IFERROR(VLOOKUP(F209,tecnica!A:B,2,0),"")</f>
        <v/>
      </c>
      <c r="K209" s="8" t="str">
        <f>IFERROR(VLOOKUP(J209,tecnica!B:C,2,0),"")</f>
        <v/>
      </c>
      <c r="L209" s="13"/>
      <c r="M209" s="14" t="str">
        <f>IFERROR(VLOOKUP(I209,material!A:D,4,0),"")</f>
        <v/>
      </c>
      <c r="N209" s="14" t="str">
        <f t="shared" si="1"/>
        <v/>
      </c>
      <c r="O209" s="15" t="str">
        <f>IFERROR(VLOOKUP(I209,material!A:D,2,0),"")</f>
        <v/>
      </c>
    </row>
    <row r="210">
      <c r="A210" s="6"/>
      <c r="B210" s="7"/>
      <c r="C210" s="8" t="str">
        <f t="array" ref="C210">IFERROR(INDEX(atlas!H:H,MATCH(A210,atlas!C:C,0)),"")</f>
        <v/>
      </c>
      <c r="D210" s="8" t="str">
        <f t="array" ref="D210">IFERROR(INDEX(atlas!D:D,MATCH(A210,atlas!C:C,0)),"")</f>
        <v/>
      </c>
      <c r="E210" s="8" t="str">
        <f t="array" ref="E210">IFERROR(INDEX(atlas!F:F,MATCH(A210,atlas!C:C,0)),"")</f>
        <v/>
      </c>
      <c r="F210" s="9"/>
      <c r="G210" s="10"/>
      <c r="H210" s="11"/>
      <c r="I210" s="12" t="str">
        <f t="array" ref="I210">IFERROR(INDEX(atlas!B:B,MATCH(A210,atlas!C:C,0)),"")</f>
        <v/>
      </c>
      <c r="J210" s="8" t="str">
        <f>IFERROR(VLOOKUP(F210,tecnica!A:B,2,0),"")</f>
        <v/>
      </c>
      <c r="K210" s="8" t="str">
        <f>IFERROR(VLOOKUP(J210,tecnica!B:C,2,0),"")</f>
        <v/>
      </c>
      <c r="L210" s="13"/>
      <c r="M210" s="14" t="str">
        <f>IFERROR(VLOOKUP(I210,material!A:D,4,0),"")</f>
        <v/>
      </c>
      <c r="N210" s="14" t="str">
        <f t="shared" si="1"/>
        <v/>
      </c>
      <c r="O210" s="15" t="str">
        <f>IFERROR(VLOOKUP(I210,material!A:D,2,0),"")</f>
        <v/>
      </c>
    </row>
    <row r="211">
      <c r="A211" s="6"/>
      <c r="B211" s="7"/>
      <c r="C211" s="8" t="str">
        <f t="array" ref="C211">IFERROR(INDEX(atlas!H:H,MATCH(A211,atlas!C:C,0)),"")</f>
        <v/>
      </c>
      <c r="D211" s="8" t="str">
        <f t="array" ref="D211">IFERROR(INDEX(atlas!D:D,MATCH(A211,atlas!C:C,0)),"")</f>
        <v/>
      </c>
      <c r="E211" s="8" t="str">
        <f t="array" ref="E211">IFERROR(INDEX(atlas!F:F,MATCH(A211,atlas!C:C,0)),"")</f>
        <v/>
      </c>
      <c r="F211" s="9"/>
      <c r="G211" s="10"/>
      <c r="H211" s="11"/>
      <c r="I211" s="12" t="str">
        <f t="array" ref="I211">IFERROR(INDEX(atlas!B:B,MATCH(A211,atlas!C:C,0)),"")</f>
        <v/>
      </c>
      <c r="J211" s="8" t="str">
        <f>IFERROR(VLOOKUP(F211,tecnica!A:B,2,0),"")</f>
        <v/>
      </c>
      <c r="K211" s="8" t="str">
        <f>IFERROR(VLOOKUP(J211,tecnica!B:C,2,0),"")</f>
        <v/>
      </c>
      <c r="L211" s="13"/>
      <c r="M211" s="14" t="str">
        <f>IFERROR(VLOOKUP(I211,material!A:D,4,0),"")</f>
        <v/>
      </c>
      <c r="N211" s="14" t="str">
        <f t="shared" si="1"/>
        <v/>
      </c>
      <c r="O211" s="15" t="str">
        <f>IFERROR(VLOOKUP(I211,material!A:D,2,0),"")</f>
        <v/>
      </c>
    </row>
    <row r="212">
      <c r="A212" s="6"/>
      <c r="B212" s="7"/>
      <c r="C212" s="8" t="str">
        <f t="array" ref="C212">IFERROR(INDEX(atlas!H:H,MATCH(A212,atlas!C:C,0)),"")</f>
        <v/>
      </c>
      <c r="D212" s="8" t="str">
        <f t="array" ref="D212">IFERROR(INDEX(atlas!D:D,MATCH(A212,atlas!C:C,0)),"")</f>
        <v/>
      </c>
      <c r="E212" s="8" t="str">
        <f t="array" ref="E212">IFERROR(INDEX(atlas!F:F,MATCH(A212,atlas!C:C,0)),"")</f>
        <v/>
      </c>
      <c r="F212" s="9"/>
      <c r="G212" s="10"/>
      <c r="H212" s="11"/>
      <c r="I212" s="12" t="str">
        <f t="array" ref="I212">IFERROR(INDEX(atlas!B:B,MATCH(A212,atlas!C:C,0)),"")</f>
        <v/>
      </c>
      <c r="J212" s="8" t="str">
        <f>IFERROR(VLOOKUP(F212,tecnica!A:B,2,0),"")</f>
        <v/>
      </c>
      <c r="K212" s="8" t="str">
        <f>IFERROR(VLOOKUP(J212,tecnica!B:C,2,0),"")</f>
        <v/>
      </c>
      <c r="L212" s="13"/>
      <c r="M212" s="14" t="str">
        <f>IFERROR(VLOOKUP(I212,material!A:D,4,0),"")</f>
        <v/>
      </c>
      <c r="N212" s="14" t="str">
        <f t="shared" si="1"/>
        <v/>
      </c>
      <c r="O212" s="15" t="str">
        <f>IFERROR(VLOOKUP(I212,material!A:D,2,0),"")</f>
        <v/>
      </c>
    </row>
    <row r="213">
      <c r="A213" s="6"/>
      <c r="B213" s="7"/>
      <c r="C213" s="8" t="str">
        <f t="array" ref="C213">IFERROR(INDEX(atlas!H:H,MATCH(A213,atlas!C:C,0)),"")</f>
        <v/>
      </c>
      <c r="D213" s="8" t="str">
        <f t="array" ref="D213">IFERROR(INDEX(atlas!D:D,MATCH(A213,atlas!C:C,0)),"")</f>
        <v/>
      </c>
      <c r="E213" s="8" t="str">
        <f t="array" ref="E213">IFERROR(INDEX(atlas!F:F,MATCH(A213,atlas!C:C,0)),"")</f>
        <v/>
      </c>
      <c r="F213" s="9"/>
      <c r="G213" s="10"/>
      <c r="H213" s="11"/>
      <c r="I213" s="12" t="str">
        <f t="array" ref="I213">IFERROR(INDEX(atlas!B:B,MATCH(A213,atlas!C:C,0)),"")</f>
        <v/>
      </c>
      <c r="J213" s="8" t="str">
        <f>IFERROR(VLOOKUP(F213,tecnica!A:B,2,0),"")</f>
        <v/>
      </c>
      <c r="K213" s="8" t="str">
        <f>IFERROR(VLOOKUP(J213,tecnica!B:C,2,0),"")</f>
        <v/>
      </c>
      <c r="L213" s="13"/>
      <c r="M213" s="14" t="str">
        <f>IFERROR(VLOOKUP(I213,material!A:D,4,0),"")</f>
        <v/>
      </c>
      <c r="N213" s="14" t="str">
        <f t="shared" si="1"/>
        <v/>
      </c>
      <c r="O213" s="15" t="str">
        <f>IFERROR(VLOOKUP(I213,material!A:D,2,0),"")</f>
        <v/>
      </c>
    </row>
    <row r="214">
      <c r="A214" s="6"/>
      <c r="B214" s="7"/>
      <c r="C214" s="8" t="str">
        <f t="array" ref="C214">IFERROR(INDEX(atlas!H:H,MATCH(A214,atlas!C:C,0)),"")</f>
        <v/>
      </c>
      <c r="D214" s="8" t="str">
        <f t="array" ref="D214">IFERROR(INDEX(atlas!D:D,MATCH(A214,atlas!C:C,0)),"")</f>
        <v/>
      </c>
      <c r="E214" s="8" t="str">
        <f t="array" ref="E214">IFERROR(INDEX(atlas!F:F,MATCH(A214,atlas!C:C,0)),"")</f>
        <v/>
      </c>
      <c r="F214" s="9"/>
      <c r="G214" s="10"/>
      <c r="H214" s="11"/>
      <c r="I214" s="12" t="str">
        <f t="array" ref="I214">IFERROR(INDEX(atlas!B:B,MATCH(A214,atlas!C:C,0)),"")</f>
        <v/>
      </c>
      <c r="J214" s="8" t="str">
        <f>IFERROR(VLOOKUP(F214,tecnica!A:B,2,0),"")</f>
        <v/>
      </c>
      <c r="K214" s="8" t="str">
        <f>IFERROR(VLOOKUP(J214,tecnica!B:C,2,0),"")</f>
        <v/>
      </c>
      <c r="L214" s="13"/>
      <c r="M214" s="14" t="str">
        <f>IFERROR(VLOOKUP(I214,material!A:D,4,0),"")</f>
        <v/>
      </c>
      <c r="N214" s="14" t="str">
        <f t="shared" si="1"/>
        <v/>
      </c>
      <c r="O214" s="15" t="str">
        <f>IFERROR(VLOOKUP(I214,material!A:D,2,0),"")</f>
        <v/>
      </c>
    </row>
    <row r="215">
      <c r="A215" s="6"/>
      <c r="B215" s="7"/>
      <c r="C215" s="8" t="str">
        <f t="array" ref="C215">IFERROR(INDEX(atlas!H:H,MATCH(A215,atlas!C:C,0)),"")</f>
        <v/>
      </c>
      <c r="D215" s="8" t="str">
        <f t="array" ref="D215">IFERROR(INDEX(atlas!D:D,MATCH(A215,atlas!C:C,0)),"")</f>
        <v/>
      </c>
      <c r="E215" s="8" t="str">
        <f t="array" ref="E215">IFERROR(INDEX(atlas!F:F,MATCH(A215,atlas!C:C,0)),"")</f>
        <v/>
      </c>
      <c r="F215" s="9"/>
      <c r="G215" s="10"/>
      <c r="H215" s="11"/>
      <c r="I215" s="12" t="str">
        <f t="array" ref="I215">IFERROR(INDEX(atlas!B:B,MATCH(A215,atlas!C:C,0)),"")</f>
        <v/>
      </c>
      <c r="J215" s="8" t="str">
        <f>IFERROR(VLOOKUP(F215,tecnica!A:B,2,0),"")</f>
        <v/>
      </c>
      <c r="K215" s="8" t="str">
        <f>IFERROR(VLOOKUP(J215,tecnica!B:C,2,0),"")</f>
        <v/>
      </c>
      <c r="L215" s="13"/>
      <c r="M215" s="14" t="str">
        <f>IFERROR(VLOOKUP(I215,material!A:D,4,0),"")</f>
        <v/>
      </c>
      <c r="N215" s="14" t="str">
        <f t="shared" si="1"/>
        <v/>
      </c>
      <c r="O215" s="15" t="str">
        <f>IFERROR(VLOOKUP(I215,material!A:D,2,0),"")</f>
        <v/>
      </c>
    </row>
    <row r="216">
      <c r="A216" s="6"/>
      <c r="B216" s="7"/>
      <c r="C216" s="8" t="str">
        <f t="array" ref="C216">IFERROR(INDEX(atlas!H:H,MATCH(A216,atlas!C:C,0)),"")</f>
        <v/>
      </c>
      <c r="D216" s="8" t="str">
        <f t="array" ref="D216">IFERROR(INDEX(atlas!D:D,MATCH(A216,atlas!C:C,0)),"")</f>
        <v/>
      </c>
      <c r="E216" s="8" t="str">
        <f t="array" ref="E216">IFERROR(INDEX(atlas!F:F,MATCH(A216,atlas!C:C,0)),"")</f>
        <v/>
      </c>
      <c r="F216" s="9"/>
      <c r="G216" s="10"/>
      <c r="H216" s="11"/>
      <c r="I216" s="12" t="str">
        <f t="array" ref="I216">IFERROR(INDEX(atlas!B:B,MATCH(A216,atlas!C:C,0)),"")</f>
        <v/>
      </c>
      <c r="J216" s="8" t="str">
        <f>IFERROR(VLOOKUP(F216,tecnica!A:B,2,0),"")</f>
        <v/>
      </c>
      <c r="K216" s="8" t="str">
        <f>IFERROR(VLOOKUP(J216,tecnica!B:C,2,0),"")</f>
        <v/>
      </c>
      <c r="L216" s="13"/>
      <c r="M216" s="14" t="str">
        <f>IFERROR(VLOOKUP(I216,material!A:D,4,0),"")</f>
        <v/>
      </c>
      <c r="N216" s="14" t="str">
        <f t="shared" si="1"/>
        <v/>
      </c>
      <c r="O216" s="15" t="str">
        <f>IFERROR(VLOOKUP(I216,material!A:D,2,0),"")</f>
        <v/>
      </c>
    </row>
    <row r="217">
      <c r="A217" s="6"/>
      <c r="B217" s="7"/>
      <c r="C217" s="8" t="str">
        <f t="array" ref="C217">IFERROR(INDEX(atlas!H:H,MATCH(A217,atlas!C:C,0)),"")</f>
        <v/>
      </c>
      <c r="D217" s="8" t="str">
        <f t="array" ref="D217">IFERROR(INDEX(atlas!D:D,MATCH(A217,atlas!C:C,0)),"")</f>
        <v/>
      </c>
      <c r="E217" s="8" t="str">
        <f t="array" ref="E217">IFERROR(INDEX(atlas!F:F,MATCH(A217,atlas!C:C,0)),"")</f>
        <v/>
      </c>
      <c r="F217" s="9"/>
      <c r="G217" s="10"/>
      <c r="H217" s="11"/>
      <c r="I217" s="12" t="str">
        <f t="array" ref="I217">IFERROR(INDEX(atlas!B:B,MATCH(A217,atlas!C:C,0)),"")</f>
        <v/>
      </c>
      <c r="J217" s="8" t="str">
        <f>IFERROR(VLOOKUP(F217,tecnica!A:B,2,0),"")</f>
        <v/>
      </c>
      <c r="K217" s="8" t="str">
        <f>IFERROR(VLOOKUP(J217,tecnica!B:C,2,0),"")</f>
        <v/>
      </c>
      <c r="L217" s="13"/>
      <c r="M217" s="14" t="str">
        <f>IFERROR(VLOOKUP(I217,material!A:D,4,0),"")</f>
        <v/>
      </c>
      <c r="N217" s="14" t="str">
        <f t="shared" si="1"/>
        <v/>
      </c>
      <c r="O217" s="15" t="str">
        <f>IFERROR(VLOOKUP(I217,material!A:D,2,0),"")</f>
        <v/>
      </c>
    </row>
    <row r="218">
      <c r="A218" s="6"/>
      <c r="B218" s="7"/>
      <c r="C218" s="8" t="str">
        <f t="array" ref="C218">IFERROR(INDEX(atlas!H:H,MATCH(A218,atlas!C:C,0)),"")</f>
        <v/>
      </c>
      <c r="D218" s="8" t="str">
        <f t="array" ref="D218">IFERROR(INDEX(atlas!D:D,MATCH(A218,atlas!C:C,0)),"")</f>
        <v/>
      </c>
      <c r="E218" s="8" t="str">
        <f t="array" ref="E218">IFERROR(INDEX(atlas!F:F,MATCH(A218,atlas!C:C,0)),"")</f>
        <v/>
      </c>
      <c r="F218" s="9"/>
      <c r="G218" s="10"/>
      <c r="H218" s="11"/>
      <c r="I218" s="12" t="str">
        <f t="array" ref="I218">IFERROR(INDEX(atlas!B:B,MATCH(A218,atlas!C:C,0)),"")</f>
        <v/>
      </c>
      <c r="J218" s="8" t="str">
        <f>IFERROR(VLOOKUP(F218,tecnica!A:B,2,0),"")</f>
        <v/>
      </c>
      <c r="K218" s="8" t="str">
        <f>IFERROR(VLOOKUP(J218,tecnica!B:C,2,0),"")</f>
        <v/>
      </c>
      <c r="L218" s="13"/>
      <c r="M218" s="14" t="str">
        <f>IFERROR(VLOOKUP(I218,material!A:D,4,0),"")</f>
        <v/>
      </c>
      <c r="N218" s="14" t="str">
        <f t="shared" si="1"/>
        <v/>
      </c>
      <c r="O218" s="15" t="str">
        <f>IFERROR(VLOOKUP(I218,material!A:D,2,0),"")</f>
        <v/>
      </c>
    </row>
    <row r="219">
      <c r="A219" s="6"/>
      <c r="B219" s="7"/>
      <c r="C219" s="8" t="str">
        <f t="array" ref="C219">IFERROR(INDEX(atlas!H:H,MATCH(A219,atlas!C:C,0)),"")</f>
        <v/>
      </c>
      <c r="D219" s="8" t="str">
        <f t="array" ref="D219">IFERROR(INDEX(atlas!D:D,MATCH(A219,atlas!C:C,0)),"")</f>
        <v/>
      </c>
      <c r="E219" s="8" t="str">
        <f t="array" ref="E219">IFERROR(INDEX(atlas!F:F,MATCH(A219,atlas!C:C,0)),"")</f>
        <v/>
      </c>
      <c r="F219" s="9"/>
      <c r="G219" s="10"/>
      <c r="H219" s="11"/>
      <c r="I219" s="12" t="str">
        <f t="array" ref="I219">IFERROR(INDEX(atlas!B:B,MATCH(A219,atlas!C:C,0)),"")</f>
        <v/>
      </c>
      <c r="J219" s="8" t="str">
        <f>IFERROR(VLOOKUP(F219,tecnica!A:B,2,0),"")</f>
        <v/>
      </c>
      <c r="K219" s="8" t="str">
        <f>IFERROR(VLOOKUP(J219,tecnica!B:C,2,0),"")</f>
        <v/>
      </c>
      <c r="L219" s="13"/>
      <c r="M219" s="14" t="str">
        <f>IFERROR(VLOOKUP(I219,material!A:D,4,0),"")</f>
        <v/>
      </c>
      <c r="N219" s="14" t="str">
        <f t="shared" si="1"/>
        <v/>
      </c>
      <c r="O219" s="15" t="str">
        <f>IFERROR(VLOOKUP(I219,material!A:D,2,0),"")</f>
        <v/>
      </c>
    </row>
    <row r="220">
      <c r="A220" s="6"/>
      <c r="B220" s="7"/>
      <c r="C220" s="8" t="str">
        <f t="array" ref="C220">IFERROR(INDEX(atlas!H:H,MATCH(A220,atlas!C:C,0)),"")</f>
        <v/>
      </c>
      <c r="D220" s="8" t="str">
        <f t="array" ref="D220">IFERROR(INDEX(atlas!D:D,MATCH(A220,atlas!C:C,0)),"")</f>
        <v/>
      </c>
      <c r="E220" s="8" t="str">
        <f t="array" ref="E220">IFERROR(INDEX(atlas!F:F,MATCH(A220,atlas!C:C,0)),"")</f>
        <v/>
      </c>
      <c r="F220" s="9"/>
      <c r="G220" s="10"/>
      <c r="H220" s="11"/>
      <c r="I220" s="12" t="str">
        <f t="array" ref="I220">IFERROR(INDEX(atlas!B:B,MATCH(A220,atlas!C:C,0)),"")</f>
        <v/>
      </c>
      <c r="J220" s="8" t="str">
        <f>IFERROR(VLOOKUP(F220,tecnica!A:B,2,0),"")</f>
        <v/>
      </c>
      <c r="K220" s="8" t="str">
        <f>IFERROR(VLOOKUP(J220,tecnica!B:C,2,0),"")</f>
        <v/>
      </c>
      <c r="L220" s="13"/>
      <c r="M220" s="14" t="str">
        <f>IFERROR(VLOOKUP(I220,material!A:D,4,0),"")</f>
        <v/>
      </c>
      <c r="N220" s="14" t="str">
        <f t="shared" si="1"/>
        <v/>
      </c>
      <c r="O220" s="15" t="str">
        <f>IFERROR(VLOOKUP(I220,material!A:D,2,0),"")</f>
        <v/>
      </c>
    </row>
    <row r="221">
      <c r="A221" s="6"/>
      <c r="B221" s="7"/>
      <c r="C221" s="8" t="str">
        <f t="array" ref="C221">IFERROR(INDEX(atlas!H:H,MATCH(A221,atlas!C:C,0)),"")</f>
        <v/>
      </c>
      <c r="D221" s="8" t="str">
        <f t="array" ref="D221">IFERROR(INDEX(atlas!D:D,MATCH(A221,atlas!C:C,0)),"")</f>
        <v/>
      </c>
      <c r="E221" s="8" t="str">
        <f t="array" ref="E221">IFERROR(INDEX(atlas!F:F,MATCH(A221,atlas!C:C,0)),"")</f>
        <v/>
      </c>
      <c r="F221" s="9"/>
      <c r="G221" s="10"/>
      <c r="H221" s="11"/>
      <c r="I221" s="12" t="str">
        <f t="array" ref="I221">IFERROR(INDEX(atlas!B:B,MATCH(A221,atlas!C:C,0)),"")</f>
        <v/>
      </c>
      <c r="J221" s="8" t="str">
        <f>IFERROR(VLOOKUP(F221,tecnica!A:B,2,0),"")</f>
        <v/>
      </c>
      <c r="K221" s="8" t="str">
        <f>IFERROR(VLOOKUP(J221,tecnica!B:C,2,0),"")</f>
        <v/>
      </c>
      <c r="L221" s="13"/>
      <c r="M221" s="14" t="str">
        <f>IFERROR(VLOOKUP(I221,material!A:D,4,0),"")</f>
        <v/>
      </c>
      <c r="N221" s="14" t="str">
        <f t="shared" si="1"/>
        <v/>
      </c>
      <c r="O221" s="15" t="str">
        <f>IFERROR(VLOOKUP(I221,material!A:D,2,0),"")</f>
        <v/>
      </c>
    </row>
    <row r="222">
      <c r="A222" s="6"/>
      <c r="B222" s="7"/>
      <c r="C222" s="8" t="str">
        <f t="array" ref="C222">IFERROR(INDEX(atlas!H:H,MATCH(A222,atlas!C:C,0)),"")</f>
        <v/>
      </c>
      <c r="D222" s="8" t="str">
        <f t="array" ref="D222">IFERROR(INDEX(atlas!D:D,MATCH(A222,atlas!C:C,0)),"")</f>
        <v/>
      </c>
      <c r="E222" s="8" t="str">
        <f t="array" ref="E222">IFERROR(INDEX(atlas!F:F,MATCH(A222,atlas!C:C,0)),"")</f>
        <v/>
      </c>
      <c r="F222" s="9"/>
      <c r="G222" s="10"/>
      <c r="H222" s="11"/>
      <c r="I222" s="12" t="str">
        <f t="array" ref="I222">IFERROR(INDEX(atlas!B:B,MATCH(A222,atlas!C:C,0)),"")</f>
        <v/>
      </c>
      <c r="J222" s="8" t="str">
        <f>IFERROR(VLOOKUP(F222,tecnica!A:B,2,0),"")</f>
        <v/>
      </c>
      <c r="K222" s="8" t="str">
        <f>IFERROR(VLOOKUP(J222,tecnica!B:C,2,0),"")</f>
        <v/>
      </c>
      <c r="L222" s="13"/>
      <c r="M222" s="14" t="str">
        <f>IFERROR(VLOOKUP(I222,material!A:D,4,0),"")</f>
        <v/>
      </c>
      <c r="N222" s="14" t="str">
        <f t="shared" si="1"/>
        <v/>
      </c>
      <c r="O222" s="15" t="str">
        <f>IFERROR(VLOOKUP(I222,material!A:D,2,0),"")</f>
        <v/>
      </c>
    </row>
    <row r="223">
      <c r="A223" s="6"/>
      <c r="B223" s="7"/>
      <c r="C223" s="8" t="str">
        <f t="array" ref="C223">IFERROR(INDEX(atlas!H:H,MATCH(A223,atlas!C:C,0)),"")</f>
        <v/>
      </c>
      <c r="D223" s="8" t="str">
        <f t="array" ref="D223">IFERROR(INDEX(atlas!D:D,MATCH(A223,atlas!C:C,0)),"")</f>
        <v/>
      </c>
      <c r="E223" s="8" t="str">
        <f t="array" ref="E223">IFERROR(INDEX(atlas!F:F,MATCH(A223,atlas!C:C,0)),"")</f>
        <v/>
      </c>
      <c r="F223" s="9"/>
      <c r="G223" s="10"/>
      <c r="H223" s="11"/>
      <c r="I223" s="12" t="str">
        <f t="array" ref="I223">IFERROR(INDEX(atlas!B:B,MATCH(A223,atlas!C:C,0)),"")</f>
        <v/>
      </c>
      <c r="J223" s="8" t="str">
        <f>IFERROR(VLOOKUP(F223,tecnica!A:B,2,0),"")</f>
        <v/>
      </c>
      <c r="K223" s="8" t="str">
        <f>IFERROR(VLOOKUP(J223,tecnica!B:C,2,0),"")</f>
        <v/>
      </c>
      <c r="L223" s="13"/>
      <c r="M223" s="14" t="str">
        <f>IFERROR(VLOOKUP(I223,material!A:D,4,0),"")</f>
        <v/>
      </c>
      <c r="N223" s="14" t="str">
        <f t="shared" si="1"/>
        <v/>
      </c>
      <c r="O223" s="15" t="str">
        <f>IFERROR(VLOOKUP(I223,material!A:D,2,0),"")</f>
        <v/>
      </c>
    </row>
    <row r="224">
      <c r="A224" s="6"/>
      <c r="B224" s="7"/>
      <c r="C224" s="8" t="str">
        <f t="array" ref="C224">IFERROR(INDEX(atlas!H:H,MATCH(A224,atlas!C:C,0)),"")</f>
        <v/>
      </c>
      <c r="D224" s="8" t="str">
        <f t="array" ref="D224">IFERROR(INDEX(atlas!D:D,MATCH(A224,atlas!C:C,0)),"")</f>
        <v/>
      </c>
      <c r="E224" s="8" t="str">
        <f t="array" ref="E224">IFERROR(INDEX(atlas!F:F,MATCH(A224,atlas!C:C,0)),"")</f>
        <v/>
      </c>
      <c r="F224" s="9"/>
      <c r="G224" s="10"/>
      <c r="H224" s="11"/>
      <c r="I224" s="12" t="str">
        <f t="array" ref="I224">IFERROR(INDEX(atlas!B:B,MATCH(A224,atlas!C:C,0)),"")</f>
        <v/>
      </c>
      <c r="J224" s="8" t="str">
        <f>IFERROR(VLOOKUP(F224,tecnica!A:B,2,0),"")</f>
        <v/>
      </c>
      <c r="K224" s="8" t="str">
        <f>IFERROR(VLOOKUP(J224,tecnica!B:C,2,0),"")</f>
        <v/>
      </c>
      <c r="L224" s="13"/>
      <c r="M224" s="14" t="str">
        <f>IFERROR(VLOOKUP(I224,material!A:D,4,0),"")</f>
        <v/>
      </c>
      <c r="N224" s="14" t="str">
        <f t="shared" si="1"/>
        <v/>
      </c>
      <c r="O224" s="15" t="str">
        <f>IFERROR(VLOOKUP(I224,material!A:D,2,0),"")</f>
        <v/>
      </c>
    </row>
    <row r="225">
      <c r="A225" s="6"/>
      <c r="B225" s="7"/>
      <c r="C225" s="8" t="str">
        <f t="array" ref="C225">IFERROR(INDEX(atlas!H:H,MATCH(A225,atlas!C:C,0)),"")</f>
        <v/>
      </c>
      <c r="D225" s="8" t="str">
        <f t="array" ref="D225">IFERROR(INDEX(atlas!D:D,MATCH(A225,atlas!C:C,0)),"")</f>
        <v/>
      </c>
      <c r="E225" s="8" t="str">
        <f t="array" ref="E225">IFERROR(INDEX(atlas!F:F,MATCH(A225,atlas!C:C,0)),"")</f>
        <v/>
      </c>
      <c r="F225" s="9"/>
      <c r="G225" s="10"/>
      <c r="H225" s="11"/>
      <c r="I225" s="12" t="str">
        <f t="array" ref="I225">IFERROR(INDEX(atlas!B:B,MATCH(A225,atlas!C:C,0)),"")</f>
        <v/>
      </c>
      <c r="J225" s="8" t="str">
        <f>IFERROR(VLOOKUP(F225,tecnica!A:B,2,0),"")</f>
        <v/>
      </c>
      <c r="K225" s="8" t="str">
        <f>IFERROR(VLOOKUP(J225,tecnica!B:C,2,0),"")</f>
        <v/>
      </c>
      <c r="L225" s="13"/>
      <c r="M225" s="14" t="str">
        <f>IFERROR(VLOOKUP(I225,material!A:D,4,0),"")</f>
        <v/>
      </c>
      <c r="N225" s="14" t="str">
        <f t="shared" si="1"/>
        <v/>
      </c>
      <c r="O225" s="15" t="str">
        <f>IFERROR(VLOOKUP(I225,material!A:D,2,0),"")</f>
        <v/>
      </c>
    </row>
    <row r="226">
      <c r="A226" s="6"/>
      <c r="B226" s="7"/>
      <c r="C226" s="8" t="str">
        <f t="array" ref="C226">IFERROR(INDEX(atlas!H:H,MATCH(A226,atlas!C:C,0)),"")</f>
        <v/>
      </c>
      <c r="D226" s="8" t="str">
        <f t="array" ref="D226">IFERROR(INDEX(atlas!D:D,MATCH(A226,atlas!C:C,0)),"")</f>
        <v/>
      </c>
      <c r="E226" s="8" t="str">
        <f t="array" ref="E226">IFERROR(INDEX(atlas!F:F,MATCH(A226,atlas!C:C,0)),"")</f>
        <v/>
      </c>
      <c r="F226" s="9"/>
      <c r="G226" s="10"/>
      <c r="H226" s="11"/>
      <c r="I226" s="12" t="str">
        <f t="array" ref="I226">IFERROR(INDEX(atlas!B:B,MATCH(A226,atlas!C:C,0)),"")</f>
        <v/>
      </c>
      <c r="J226" s="8" t="str">
        <f>IFERROR(VLOOKUP(F226,tecnica!A:B,2,0),"")</f>
        <v/>
      </c>
      <c r="K226" s="8" t="str">
        <f>IFERROR(VLOOKUP(J226,tecnica!B:C,2,0),"")</f>
        <v/>
      </c>
      <c r="L226" s="13"/>
      <c r="M226" s="14" t="str">
        <f>IFERROR(VLOOKUP(I226,material!A:D,4,0),"")</f>
        <v/>
      </c>
      <c r="N226" s="14" t="str">
        <f t="shared" si="1"/>
        <v/>
      </c>
      <c r="O226" s="15" t="str">
        <f>IFERROR(VLOOKUP(I226,material!A:D,2,0),"")</f>
        <v/>
      </c>
    </row>
    <row r="227">
      <c r="A227" s="6"/>
      <c r="B227" s="7"/>
      <c r="C227" s="8" t="str">
        <f t="array" ref="C227">IFERROR(INDEX(atlas!H:H,MATCH(A227,atlas!C:C,0)),"")</f>
        <v/>
      </c>
      <c r="D227" s="8" t="str">
        <f t="array" ref="D227">IFERROR(INDEX(atlas!D:D,MATCH(A227,atlas!C:C,0)),"")</f>
        <v/>
      </c>
      <c r="E227" s="8" t="str">
        <f t="array" ref="E227">IFERROR(INDEX(atlas!F:F,MATCH(A227,atlas!C:C,0)),"")</f>
        <v/>
      </c>
      <c r="F227" s="9"/>
      <c r="G227" s="10"/>
      <c r="H227" s="11"/>
      <c r="I227" s="12" t="str">
        <f t="array" ref="I227">IFERROR(INDEX(atlas!B:B,MATCH(A227,atlas!C:C,0)),"")</f>
        <v/>
      </c>
      <c r="J227" s="8" t="str">
        <f>IFERROR(VLOOKUP(F227,tecnica!A:B,2,0),"")</f>
        <v/>
      </c>
      <c r="K227" s="8" t="str">
        <f>IFERROR(VLOOKUP(J227,tecnica!B:C,2,0),"")</f>
        <v/>
      </c>
      <c r="L227" s="13"/>
      <c r="M227" s="14" t="str">
        <f>IFERROR(VLOOKUP(I227,material!A:D,4,0),"")</f>
        <v/>
      </c>
      <c r="N227" s="14" t="str">
        <f t="shared" si="1"/>
        <v/>
      </c>
      <c r="O227" s="15" t="str">
        <f>IFERROR(VLOOKUP(I227,material!A:D,2,0),"")</f>
        <v/>
      </c>
    </row>
    <row r="228">
      <c r="A228" s="6"/>
      <c r="B228" s="7"/>
      <c r="C228" s="8" t="str">
        <f t="array" ref="C228">IFERROR(INDEX(atlas!H:H,MATCH(A228,atlas!C:C,0)),"")</f>
        <v/>
      </c>
      <c r="D228" s="8" t="str">
        <f t="array" ref="D228">IFERROR(INDEX(atlas!D:D,MATCH(A228,atlas!C:C,0)),"")</f>
        <v/>
      </c>
      <c r="E228" s="8" t="str">
        <f t="array" ref="E228">IFERROR(INDEX(atlas!F:F,MATCH(A228,atlas!C:C,0)),"")</f>
        <v/>
      </c>
      <c r="F228" s="9"/>
      <c r="G228" s="10"/>
      <c r="H228" s="11"/>
      <c r="I228" s="12" t="str">
        <f t="array" ref="I228">IFERROR(INDEX(atlas!B:B,MATCH(A228,atlas!C:C,0)),"")</f>
        <v/>
      </c>
      <c r="J228" s="8" t="str">
        <f>IFERROR(VLOOKUP(F228,tecnica!A:B,2,0),"")</f>
        <v/>
      </c>
      <c r="K228" s="8" t="str">
        <f>IFERROR(VLOOKUP(J228,tecnica!B:C,2,0),"")</f>
        <v/>
      </c>
      <c r="L228" s="13"/>
      <c r="M228" s="14" t="str">
        <f>IFERROR(VLOOKUP(I228,material!A:D,4,0),"")</f>
        <v/>
      </c>
      <c r="N228" s="14" t="str">
        <f t="shared" si="1"/>
        <v/>
      </c>
      <c r="O228" s="15" t="str">
        <f>IFERROR(VLOOKUP(I228,material!A:D,2,0),"")</f>
        <v/>
      </c>
    </row>
    <row r="229">
      <c r="A229" s="6"/>
      <c r="B229" s="7"/>
      <c r="C229" s="8" t="str">
        <f t="array" ref="C229">IFERROR(INDEX(atlas!H:H,MATCH(A229,atlas!C:C,0)),"")</f>
        <v/>
      </c>
      <c r="D229" s="8" t="str">
        <f t="array" ref="D229">IFERROR(INDEX(atlas!D:D,MATCH(A229,atlas!C:C,0)),"")</f>
        <v/>
      </c>
      <c r="E229" s="8" t="str">
        <f t="array" ref="E229">IFERROR(INDEX(atlas!F:F,MATCH(A229,atlas!C:C,0)),"")</f>
        <v/>
      </c>
      <c r="F229" s="9"/>
      <c r="G229" s="10"/>
      <c r="H229" s="11"/>
      <c r="I229" s="12" t="str">
        <f t="array" ref="I229">IFERROR(INDEX(atlas!B:B,MATCH(A229,atlas!C:C,0)),"")</f>
        <v/>
      </c>
      <c r="J229" s="8" t="str">
        <f>IFERROR(VLOOKUP(F229,tecnica!A:B,2,0),"")</f>
        <v/>
      </c>
      <c r="K229" s="8" t="str">
        <f>IFERROR(VLOOKUP(J229,tecnica!B:C,2,0),"")</f>
        <v/>
      </c>
      <c r="L229" s="13"/>
      <c r="M229" s="14" t="str">
        <f>IFERROR(VLOOKUP(I229,material!A:D,4,0),"")</f>
        <v/>
      </c>
      <c r="N229" s="14" t="str">
        <f t="shared" si="1"/>
        <v/>
      </c>
      <c r="O229" s="15" t="str">
        <f>IFERROR(VLOOKUP(I229,material!A:D,2,0),"")</f>
        <v/>
      </c>
    </row>
    <row r="230">
      <c r="A230" s="6"/>
      <c r="B230" s="7"/>
      <c r="C230" s="8" t="str">
        <f t="array" ref="C230">IFERROR(INDEX(atlas!H:H,MATCH(A230,atlas!C:C,0)),"")</f>
        <v/>
      </c>
      <c r="D230" s="8" t="str">
        <f t="array" ref="D230">IFERROR(INDEX(atlas!D:D,MATCH(A230,atlas!C:C,0)),"")</f>
        <v/>
      </c>
      <c r="E230" s="8" t="str">
        <f t="array" ref="E230">IFERROR(INDEX(atlas!F:F,MATCH(A230,atlas!C:C,0)),"")</f>
        <v/>
      </c>
      <c r="F230" s="9"/>
      <c r="G230" s="10"/>
      <c r="H230" s="11"/>
      <c r="I230" s="12" t="str">
        <f t="array" ref="I230">IFERROR(INDEX(atlas!B:B,MATCH(A230,atlas!C:C,0)),"")</f>
        <v/>
      </c>
      <c r="J230" s="8" t="str">
        <f>IFERROR(VLOOKUP(F230,tecnica!A:B,2,0),"")</f>
        <v/>
      </c>
      <c r="K230" s="8" t="str">
        <f>IFERROR(VLOOKUP(J230,tecnica!B:C,2,0),"")</f>
        <v/>
      </c>
      <c r="L230" s="13"/>
      <c r="M230" s="14" t="str">
        <f>IFERROR(VLOOKUP(I230,material!A:D,4,0),"")</f>
        <v/>
      </c>
      <c r="N230" s="14" t="str">
        <f t="shared" si="1"/>
        <v/>
      </c>
      <c r="O230" s="15" t="str">
        <f>IFERROR(VLOOKUP(I230,material!A:D,2,0),"")</f>
        <v/>
      </c>
    </row>
    <row r="231">
      <c r="A231" s="6"/>
      <c r="B231" s="7"/>
      <c r="C231" s="8" t="str">
        <f t="array" ref="C231">IFERROR(INDEX(atlas!H:H,MATCH(A231,atlas!C:C,0)),"")</f>
        <v/>
      </c>
      <c r="D231" s="8" t="str">
        <f t="array" ref="D231">IFERROR(INDEX(atlas!D:D,MATCH(A231,atlas!C:C,0)),"")</f>
        <v/>
      </c>
      <c r="E231" s="8" t="str">
        <f t="array" ref="E231">IFERROR(INDEX(atlas!F:F,MATCH(A231,atlas!C:C,0)),"")</f>
        <v/>
      </c>
      <c r="F231" s="9"/>
      <c r="G231" s="10"/>
      <c r="H231" s="11"/>
      <c r="I231" s="12" t="str">
        <f t="array" ref="I231">IFERROR(INDEX(atlas!B:B,MATCH(A231,atlas!C:C,0)),"")</f>
        <v/>
      </c>
      <c r="J231" s="8" t="str">
        <f>IFERROR(VLOOKUP(F231,tecnica!A:B,2,0),"")</f>
        <v/>
      </c>
      <c r="K231" s="8" t="str">
        <f>IFERROR(VLOOKUP(J231,tecnica!B:C,2,0),"")</f>
        <v/>
      </c>
      <c r="L231" s="13"/>
      <c r="M231" s="14" t="str">
        <f>IFERROR(VLOOKUP(I231,material!A:D,4,0),"")</f>
        <v/>
      </c>
      <c r="N231" s="14" t="str">
        <f t="shared" si="1"/>
        <v/>
      </c>
      <c r="O231" s="15" t="str">
        <f>IFERROR(VLOOKUP(I231,material!A:D,2,0),"")</f>
        <v/>
      </c>
    </row>
    <row r="232">
      <c r="A232" s="6"/>
      <c r="B232" s="7"/>
      <c r="C232" s="8" t="str">
        <f t="array" ref="C232">IFERROR(INDEX(atlas!H:H,MATCH(A232,atlas!C:C,0)),"")</f>
        <v/>
      </c>
      <c r="D232" s="8" t="str">
        <f t="array" ref="D232">IFERROR(INDEX(atlas!D:D,MATCH(A232,atlas!C:C,0)),"")</f>
        <v/>
      </c>
      <c r="E232" s="8" t="str">
        <f t="array" ref="E232">IFERROR(INDEX(atlas!F:F,MATCH(A232,atlas!C:C,0)),"")</f>
        <v/>
      </c>
      <c r="F232" s="9"/>
      <c r="G232" s="10"/>
      <c r="H232" s="11"/>
      <c r="I232" s="12" t="str">
        <f t="array" ref="I232">IFERROR(INDEX(atlas!B:B,MATCH(A232,atlas!C:C,0)),"")</f>
        <v/>
      </c>
      <c r="J232" s="8" t="str">
        <f>IFERROR(VLOOKUP(F232,tecnica!A:B,2,0),"")</f>
        <v/>
      </c>
      <c r="K232" s="8" t="str">
        <f>IFERROR(VLOOKUP(J232,tecnica!B:C,2,0),"")</f>
        <v/>
      </c>
      <c r="L232" s="13"/>
      <c r="M232" s="14" t="str">
        <f>IFERROR(VLOOKUP(I232,material!A:D,4,0),"")</f>
        <v/>
      </c>
      <c r="N232" s="14" t="str">
        <f t="shared" si="1"/>
        <v/>
      </c>
      <c r="O232" s="15" t="str">
        <f>IFERROR(VLOOKUP(I232,material!A:D,2,0),"")</f>
        <v/>
      </c>
    </row>
    <row r="233">
      <c r="A233" s="6"/>
      <c r="B233" s="7"/>
      <c r="C233" s="8" t="str">
        <f t="array" ref="C233">IFERROR(INDEX(atlas!H:H,MATCH(A233,atlas!C:C,0)),"")</f>
        <v/>
      </c>
      <c r="D233" s="8" t="str">
        <f t="array" ref="D233">IFERROR(INDEX(atlas!D:D,MATCH(A233,atlas!C:C,0)),"")</f>
        <v/>
      </c>
      <c r="E233" s="8" t="str">
        <f t="array" ref="E233">IFERROR(INDEX(atlas!F:F,MATCH(A233,atlas!C:C,0)),"")</f>
        <v/>
      </c>
      <c r="F233" s="9"/>
      <c r="G233" s="10"/>
      <c r="H233" s="11"/>
      <c r="I233" s="12" t="str">
        <f t="array" ref="I233">IFERROR(INDEX(atlas!B:B,MATCH(A233,atlas!C:C,0)),"")</f>
        <v/>
      </c>
      <c r="J233" s="8" t="str">
        <f>IFERROR(VLOOKUP(F233,tecnica!A:B,2,0),"")</f>
        <v/>
      </c>
      <c r="K233" s="8" t="str">
        <f>IFERROR(VLOOKUP(J233,tecnica!B:C,2,0),"")</f>
        <v/>
      </c>
      <c r="L233" s="13"/>
      <c r="M233" s="14" t="str">
        <f>IFERROR(VLOOKUP(I233,material!A:D,4,0),"")</f>
        <v/>
      </c>
      <c r="N233" s="14" t="str">
        <f t="shared" si="1"/>
        <v/>
      </c>
      <c r="O233" s="15" t="str">
        <f>IFERROR(VLOOKUP(I233,material!A:D,2,0),"")</f>
        <v/>
      </c>
    </row>
    <row r="234">
      <c r="A234" s="6"/>
      <c r="B234" s="7"/>
      <c r="C234" s="8" t="str">
        <f t="array" ref="C234">IFERROR(INDEX(atlas!H:H,MATCH(A234,atlas!C:C,0)),"")</f>
        <v/>
      </c>
      <c r="D234" s="8" t="str">
        <f t="array" ref="D234">IFERROR(INDEX(atlas!D:D,MATCH(A234,atlas!C:C,0)),"")</f>
        <v/>
      </c>
      <c r="E234" s="8" t="str">
        <f t="array" ref="E234">IFERROR(INDEX(atlas!F:F,MATCH(A234,atlas!C:C,0)),"")</f>
        <v/>
      </c>
      <c r="F234" s="9"/>
      <c r="G234" s="10"/>
      <c r="H234" s="11"/>
      <c r="I234" s="12" t="str">
        <f t="array" ref="I234">IFERROR(INDEX(atlas!B:B,MATCH(A234,atlas!C:C,0)),"")</f>
        <v/>
      </c>
      <c r="J234" s="8" t="str">
        <f>IFERROR(VLOOKUP(F234,tecnica!A:B,2,0),"")</f>
        <v/>
      </c>
      <c r="K234" s="8" t="str">
        <f>IFERROR(VLOOKUP(J234,tecnica!B:C,2,0),"")</f>
        <v/>
      </c>
      <c r="L234" s="13"/>
      <c r="M234" s="14" t="str">
        <f>IFERROR(VLOOKUP(I234,material!A:D,4,0),"")</f>
        <v/>
      </c>
      <c r="N234" s="14" t="str">
        <f t="shared" si="1"/>
        <v/>
      </c>
      <c r="O234" s="15" t="str">
        <f>IFERROR(VLOOKUP(I234,material!A:D,2,0),"")</f>
        <v/>
      </c>
    </row>
    <row r="235">
      <c r="A235" s="6"/>
      <c r="B235" s="7"/>
      <c r="C235" s="8" t="str">
        <f t="array" ref="C235">IFERROR(INDEX(atlas!H:H,MATCH(A235,atlas!C:C,0)),"")</f>
        <v/>
      </c>
      <c r="D235" s="8" t="str">
        <f t="array" ref="D235">IFERROR(INDEX(atlas!D:D,MATCH(A235,atlas!C:C,0)),"")</f>
        <v/>
      </c>
      <c r="E235" s="8" t="str">
        <f t="array" ref="E235">IFERROR(INDEX(atlas!F:F,MATCH(A235,atlas!C:C,0)),"")</f>
        <v/>
      </c>
      <c r="F235" s="9"/>
      <c r="G235" s="10"/>
      <c r="H235" s="11"/>
      <c r="I235" s="12" t="str">
        <f t="array" ref="I235">IFERROR(INDEX(atlas!B:B,MATCH(A235,atlas!C:C,0)),"")</f>
        <v/>
      </c>
      <c r="J235" s="8" t="str">
        <f>IFERROR(VLOOKUP(F235,tecnica!A:B,2,0),"")</f>
        <v/>
      </c>
      <c r="K235" s="8" t="str">
        <f>IFERROR(VLOOKUP(J235,tecnica!B:C,2,0),"")</f>
        <v/>
      </c>
      <c r="L235" s="13"/>
      <c r="M235" s="14" t="str">
        <f>IFERROR(VLOOKUP(I235,material!A:D,4,0),"")</f>
        <v/>
      </c>
      <c r="N235" s="14" t="str">
        <f t="shared" si="1"/>
        <v/>
      </c>
      <c r="O235" s="15" t="str">
        <f>IFERROR(VLOOKUP(I235,material!A:D,2,0),"")</f>
        <v/>
      </c>
    </row>
    <row r="236">
      <c r="A236" s="6"/>
      <c r="B236" s="7"/>
      <c r="C236" s="8" t="str">
        <f t="array" ref="C236">IFERROR(INDEX(atlas!H:H,MATCH(A236,atlas!C:C,0)),"")</f>
        <v/>
      </c>
      <c r="D236" s="8" t="str">
        <f t="array" ref="D236">IFERROR(INDEX(atlas!D:D,MATCH(A236,atlas!C:C,0)),"")</f>
        <v/>
      </c>
      <c r="E236" s="8" t="str">
        <f t="array" ref="E236">IFERROR(INDEX(atlas!F:F,MATCH(A236,atlas!C:C,0)),"")</f>
        <v/>
      </c>
      <c r="F236" s="9"/>
      <c r="G236" s="10"/>
      <c r="H236" s="11"/>
      <c r="I236" s="12" t="str">
        <f t="array" ref="I236">IFERROR(INDEX(atlas!B:B,MATCH(A236,atlas!C:C,0)),"")</f>
        <v/>
      </c>
      <c r="J236" s="8" t="str">
        <f>IFERROR(VLOOKUP(F236,tecnica!A:B,2,0),"")</f>
        <v/>
      </c>
      <c r="K236" s="8" t="str">
        <f>IFERROR(VLOOKUP(J236,tecnica!B:C,2,0),"")</f>
        <v/>
      </c>
      <c r="L236" s="13"/>
      <c r="M236" s="14" t="str">
        <f>IFERROR(VLOOKUP(I236,material!A:D,4,0),"")</f>
        <v/>
      </c>
      <c r="N236" s="14" t="str">
        <f t="shared" si="1"/>
        <v/>
      </c>
      <c r="O236" s="15" t="str">
        <f>IFERROR(VLOOKUP(I236,material!A:D,2,0),"")</f>
        <v/>
      </c>
    </row>
    <row r="237">
      <c r="A237" s="6"/>
      <c r="B237" s="7"/>
      <c r="C237" s="8" t="str">
        <f t="array" ref="C237">IFERROR(INDEX(atlas!H:H,MATCH(A237,atlas!C:C,0)),"")</f>
        <v/>
      </c>
      <c r="D237" s="8" t="str">
        <f t="array" ref="D237">IFERROR(INDEX(atlas!D:D,MATCH(A237,atlas!C:C,0)),"")</f>
        <v/>
      </c>
      <c r="E237" s="8" t="str">
        <f t="array" ref="E237">IFERROR(INDEX(atlas!F:F,MATCH(A237,atlas!C:C,0)),"")</f>
        <v/>
      </c>
      <c r="F237" s="9"/>
      <c r="G237" s="10"/>
      <c r="H237" s="11"/>
      <c r="I237" s="12" t="str">
        <f t="array" ref="I237">IFERROR(INDEX(atlas!B:B,MATCH(A237,atlas!C:C,0)),"")</f>
        <v/>
      </c>
      <c r="J237" s="8" t="str">
        <f>IFERROR(VLOOKUP(F237,tecnica!A:B,2,0),"")</f>
        <v/>
      </c>
      <c r="K237" s="8" t="str">
        <f>IFERROR(VLOOKUP(J237,tecnica!B:C,2,0),"")</f>
        <v/>
      </c>
      <c r="L237" s="13"/>
      <c r="M237" s="14" t="str">
        <f>IFERROR(VLOOKUP(I237,material!A:D,4,0),"")</f>
        <v/>
      </c>
      <c r="N237" s="14" t="str">
        <f t="shared" si="1"/>
        <v/>
      </c>
      <c r="O237" s="15" t="str">
        <f>IFERROR(VLOOKUP(I237,material!A:D,2,0),"")</f>
        <v/>
      </c>
    </row>
    <row r="238">
      <c r="A238" s="6"/>
      <c r="B238" s="7"/>
      <c r="C238" s="8" t="str">
        <f t="array" ref="C238">IFERROR(INDEX(atlas!H:H,MATCH(A238,atlas!C:C,0)),"")</f>
        <v/>
      </c>
      <c r="D238" s="8" t="str">
        <f t="array" ref="D238">IFERROR(INDEX(atlas!D:D,MATCH(A238,atlas!C:C,0)),"")</f>
        <v/>
      </c>
      <c r="E238" s="8" t="str">
        <f t="array" ref="E238">IFERROR(INDEX(atlas!F:F,MATCH(A238,atlas!C:C,0)),"")</f>
        <v/>
      </c>
      <c r="F238" s="9"/>
      <c r="G238" s="10"/>
      <c r="H238" s="11"/>
      <c r="I238" s="12" t="str">
        <f t="array" ref="I238">IFERROR(INDEX(atlas!B:B,MATCH(A238,atlas!C:C,0)),"")</f>
        <v/>
      </c>
      <c r="J238" s="8" t="str">
        <f>IFERROR(VLOOKUP(F238,tecnica!A:B,2,0),"")</f>
        <v/>
      </c>
      <c r="K238" s="8" t="str">
        <f>IFERROR(VLOOKUP(J238,tecnica!B:C,2,0),"")</f>
        <v/>
      </c>
      <c r="L238" s="13"/>
      <c r="M238" s="14" t="str">
        <f>IFERROR(VLOOKUP(I238,material!A:D,4,0),"")</f>
        <v/>
      </c>
      <c r="N238" s="14" t="str">
        <f t="shared" si="1"/>
        <v/>
      </c>
      <c r="O238" s="15" t="str">
        <f>IFERROR(VLOOKUP(I238,material!A:D,2,0),"")</f>
        <v/>
      </c>
    </row>
    <row r="239">
      <c r="A239" s="6"/>
      <c r="B239" s="7"/>
      <c r="C239" s="8" t="str">
        <f t="array" ref="C239">IFERROR(INDEX(atlas!H:H,MATCH(A239,atlas!C:C,0)),"")</f>
        <v/>
      </c>
      <c r="D239" s="8" t="str">
        <f t="array" ref="D239">IFERROR(INDEX(atlas!D:D,MATCH(A239,atlas!C:C,0)),"")</f>
        <v/>
      </c>
      <c r="E239" s="8" t="str">
        <f t="array" ref="E239">IFERROR(INDEX(atlas!F:F,MATCH(A239,atlas!C:C,0)),"")</f>
        <v/>
      </c>
      <c r="F239" s="9"/>
      <c r="G239" s="10"/>
      <c r="H239" s="11"/>
      <c r="I239" s="12" t="str">
        <f t="array" ref="I239">IFERROR(INDEX(atlas!B:B,MATCH(A239,atlas!C:C,0)),"")</f>
        <v/>
      </c>
      <c r="J239" s="8" t="str">
        <f>IFERROR(VLOOKUP(F239,tecnica!A:B,2,0),"")</f>
        <v/>
      </c>
      <c r="K239" s="8" t="str">
        <f>IFERROR(VLOOKUP(J239,tecnica!B:C,2,0),"")</f>
        <v/>
      </c>
      <c r="L239" s="13"/>
      <c r="M239" s="14" t="str">
        <f>IFERROR(VLOOKUP(I239,material!A:D,4,0),"")</f>
        <v/>
      </c>
      <c r="N239" s="14" t="str">
        <f t="shared" si="1"/>
        <v/>
      </c>
      <c r="O239" s="15" t="str">
        <f>IFERROR(VLOOKUP(I239,material!A:D,2,0),"")</f>
        <v/>
      </c>
    </row>
    <row r="240">
      <c r="A240" s="6"/>
      <c r="B240" s="7"/>
      <c r="C240" s="8" t="str">
        <f t="array" ref="C240">IFERROR(INDEX(atlas!H:H,MATCH(A240,atlas!C:C,0)),"")</f>
        <v/>
      </c>
      <c r="D240" s="8" t="str">
        <f t="array" ref="D240">IFERROR(INDEX(atlas!D:D,MATCH(A240,atlas!C:C,0)),"")</f>
        <v/>
      </c>
      <c r="E240" s="8" t="str">
        <f t="array" ref="E240">IFERROR(INDEX(atlas!F:F,MATCH(A240,atlas!C:C,0)),"")</f>
        <v/>
      </c>
      <c r="F240" s="9"/>
      <c r="G240" s="10"/>
      <c r="H240" s="11"/>
      <c r="I240" s="12" t="str">
        <f t="array" ref="I240">IFERROR(INDEX(atlas!B:B,MATCH(A240,atlas!C:C,0)),"")</f>
        <v/>
      </c>
      <c r="J240" s="8" t="str">
        <f>IFERROR(VLOOKUP(F240,tecnica!A:B,2,0),"")</f>
        <v/>
      </c>
      <c r="K240" s="8" t="str">
        <f>IFERROR(VLOOKUP(J240,tecnica!B:C,2,0),"")</f>
        <v/>
      </c>
      <c r="L240" s="13"/>
      <c r="M240" s="14" t="str">
        <f>IFERROR(VLOOKUP(I240,material!A:D,4,0),"")</f>
        <v/>
      </c>
      <c r="N240" s="14" t="str">
        <f t="shared" si="1"/>
        <v/>
      </c>
      <c r="O240" s="15" t="str">
        <f>IFERROR(VLOOKUP(I240,material!A:D,2,0),"")</f>
        <v/>
      </c>
    </row>
    <row r="241">
      <c r="A241" s="6"/>
      <c r="B241" s="7"/>
      <c r="C241" s="8" t="str">
        <f t="array" ref="C241">IFERROR(INDEX(atlas!H:H,MATCH(A241,atlas!C:C,0)),"")</f>
        <v/>
      </c>
      <c r="D241" s="8" t="str">
        <f t="array" ref="D241">IFERROR(INDEX(atlas!D:D,MATCH(A241,atlas!C:C,0)),"")</f>
        <v/>
      </c>
      <c r="E241" s="8" t="str">
        <f t="array" ref="E241">IFERROR(INDEX(atlas!F:F,MATCH(A241,atlas!C:C,0)),"")</f>
        <v/>
      </c>
      <c r="F241" s="9"/>
      <c r="G241" s="10"/>
      <c r="H241" s="11"/>
      <c r="I241" s="12" t="str">
        <f t="array" ref="I241">IFERROR(INDEX(atlas!B:B,MATCH(A241,atlas!C:C,0)),"")</f>
        <v/>
      </c>
      <c r="J241" s="8" t="str">
        <f>IFERROR(VLOOKUP(F241,tecnica!A:B,2,0),"")</f>
        <v/>
      </c>
      <c r="K241" s="8" t="str">
        <f>IFERROR(VLOOKUP(J241,tecnica!B:C,2,0),"")</f>
        <v/>
      </c>
      <c r="L241" s="13"/>
      <c r="M241" s="14" t="str">
        <f>IFERROR(VLOOKUP(I241,material!A:D,4,0),"")</f>
        <v/>
      </c>
      <c r="N241" s="14" t="str">
        <f t="shared" si="1"/>
        <v/>
      </c>
      <c r="O241" s="15" t="str">
        <f>IFERROR(VLOOKUP(I241,material!A:D,2,0),"")</f>
        <v/>
      </c>
    </row>
    <row r="242">
      <c r="A242" s="6"/>
      <c r="B242" s="7"/>
      <c r="C242" s="8" t="str">
        <f t="array" ref="C242">IFERROR(INDEX(atlas!H:H,MATCH(A242,atlas!C:C,0)),"")</f>
        <v/>
      </c>
      <c r="D242" s="8" t="str">
        <f t="array" ref="D242">IFERROR(INDEX(atlas!D:D,MATCH(A242,atlas!C:C,0)),"")</f>
        <v/>
      </c>
      <c r="E242" s="8" t="str">
        <f t="array" ref="E242">IFERROR(INDEX(atlas!F:F,MATCH(A242,atlas!C:C,0)),"")</f>
        <v/>
      </c>
      <c r="F242" s="9"/>
      <c r="G242" s="10"/>
      <c r="H242" s="11"/>
      <c r="I242" s="12" t="str">
        <f t="array" ref="I242">IFERROR(INDEX(atlas!B:B,MATCH(A242,atlas!C:C,0)),"")</f>
        <v/>
      </c>
      <c r="J242" s="8" t="str">
        <f>IFERROR(VLOOKUP(F242,tecnica!A:B,2,0),"")</f>
        <v/>
      </c>
      <c r="K242" s="8" t="str">
        <f>IFERROR(VLOOKUP(J242,tecnica!B:C,2,0),"")</f>
        <v/>
      </c>
      <c r="L242" s="13"/>
      <c r="M242" s="14" t="str">
        <f>IFERROR(VLOOKUP(I242,material!A:D,4,0),"")</f>
        <v/>
      </c>
      <c r="N242" s="14" t="str">
        <f t="shared" si="1"/>
        <v/>
      </c>
      <c r="O242" s="15" t="str">
        <f>IFERROR(VLOOKUP(I242,material!A:D,2,0),"")</f>
        <v/>
      </c>
    </row>
    <row r="243">
      <c r="A243" s="6"/>
      <c r="B243" s="7"/>
      <c r="C243" s="8" t="str">
        <f t="array" ref="C243">IFERROR(INDEX(atlas!H:H,MATCH(A243,atlas!C:C,0)),"")</f>
        <v/>
      </c>
      <c r="D243" s="8" t="str">
        <f t="array" ref="D243">IFERROR(INDEX(atlas!D:D,MATCH(A243,atlas!C:C,0)),"")</f>
        <v/>
      </c>
      <c r="E243" s="8" t="str">
        <f t="array" ref="E243">IFERROR(INDEX(atlas!F:F,MATCH(A243,atlas!C:C,0)),"")</f>
        <v/>
      </c>
      <c r="F243" s="9"/>
      <c r="G243" s="10"/>
      <c r="H243" s="11"/>
      <c r="I243" s="12" t="str">
        <f t="array" ref="I243">IFERROR(INDEX(atlas!B:B,MATCH(A243,atlas!C:C,0)),"")</f>
        <v/>
      </c>
      <c r="J243" s="8" t="str">
        <f>IFERROR(VLOOKUP(F243,tecnica!A:B,2,0),"")</f>
        <v/>
      </c>
      <c r="K243" s="8" t="str">
        <f>IFERROR(VLOOKUP(J243,tecnica!B:C,2,0),"")</f>
        <v/>
      </c>
      <c r="L243" s="13"/>
      <c r="M243" s="14" t="str">
        <f>IFERROR(VLOOKUP(I243,material!A:D,4,0),"")</f>
        <v/>
      </c>
      <c r="N243" s="14" t="str">
        <f t="shared" si="1"/>
        <v/>
      </c>
      <c r="O243" s="15" t="str">
        <f>IFERROR(VLOOKUP(I243,material!A:D,2,0),"")</f>
        <v/>
      </c>
    </row>
    <row r="244">
      <c r="A244" s="6"/>
      <c r="B244" s="7"/>
      <c r="C244" s="8" t="str">
        <f t="array" ref="C244">IFERROR(INDEX(atlas!H:H,MATCH(A244,atlas!C:C,0)),"")</f>
        <v/>
      </c>
      <c r="D244" s="8" t="str">
        <f t="array" ref="D244">IFERROR(INDEX(atlas!D:D,MATCH(A244,atlas!C:C,0)),"")</f>
        <v/>
      </c>
      <c r="E244" s="8" t="str">
        <f t="array" ref="E244">IFERROR(INDEX(atlas!F:F,MATCH(A244,atlas!C:C,0)),"")</f>
        <v/>
      </c>
      <c r="F244" s="9"/>
      <c r="G244" s="10"/>
      <c r="H244" s="11"/>
      <c r="I244" s="12" t="str">
        <f t="array" ref="I244">IFERROR(INDEX(atlas!B:B,MATCH(A244,atlas!C:C,0)),"")</f>
        <v/>
      </c>
      <c r="J244" s="8" t="str">
        <f>IFERROR(VLOOKUP(F244,tecnica!A:B,2,0),"")</f>
        <v/>
      </c>
      <c r="K244" s="8" t="str">
        <f>IFERROR(VLOOKUP(J244,tecnica!B:C,2,0),"")</f>
        <v/>
      </c>
      <c r="L244" s="13"/>
      <c r="M244" s="14" t="str">
        <f>IFERROR(VLOOKUP(I244,material!A:D,4,0),"")</f>
        <v/>
      </c>
      <c r="N244" s="14" t="str">
        <f t="shared" si="1"/>
        <v/>
      </c>
      <c r="O244" s="15" t="str">
        <f>IFERROR(VLOOKUP(I244,material!A:D,2,0),"")</f>
        <v/>
      </c>
    </row>
    <row r="245">
      <c r="A245" s="6"/>
      <c r="B245" s="7"/>
      <c r="C245" s="8" t="str">
        <f t="array" ref="C245">IFERROR(INDEX(atlas!H:H,MATCH(A245,atlas!C:C,0)),"")</f>
        <v/>
      </c>
      <c r="D245" s="8" t="str">
        <f t="array" ref="D245">IFERROR(INDEX(atlas!D:D,MATCH(A245,atlas!C:C,0)),"")</f>
        <v/>
      </c>
      <c r="E245" s="8" t="str">
        <f t="array" ref="E245">IFERROR(INDEX(atlas!F:F,MATCH(A245,atlas!C:C,0)),"")</f>
        <v/>
      </c>
      <c r="F245" s="9"/>
      <c r="G245" s="10"/>
      <c r="H245" s="11"/>
      <c r="I245" s="12" t="str">
        <f t="array" ref="I245">IFERROR(INDEX(atlas!B:B,MATCH(A245,atlas!C:C,0)),"")</f>
        <v/>
      </c>
      <c r="J245" s="8" t="str">
        <f>IFERROR(VLOOKUP(F245,tecnica!A:B,2,0),"")</f>
        <v/>
      </c>
      <c r="K245" s="8" t="str">
        <f>IFERROR(VLOOKUP(J245,tecnica!B:C,2,0),"")</f>
        <v/>
      </c>
      <c r="L245" s="13"/>
      <c r="M245" s="14" t="str">
        <f>IFERROR(VLOOKUP(I245,material!A:D,4,0),"")</f>
        <v/>
      </c>
      <c r="N245" s="14" t="str">
        <f t="shared" si="1"/>
        <v/>
      </c>
      <c r="O245" s="15" t="str">
        <f>IFERROR(VLOOKUP(I245,material!A:D,2,0),"")</f>
        <v/>
      </c>
    </row>
    <row r="246">
      <c r="A246" s="6"/>
      <c r="B246" s="7"/>
      <c r="C246" s="8" t="str">
        <f t="array" ref="C246">IFERROR(INDEX(atlas!H:H,MATCH(A246,atlas!C:C,0)),"")</f>
        <v/>
      </c>
      <c r="D246" s="8" t="str">
        <f t="array" ref="D246">IFERROR(INDEX(atlas!D:D,MATCH(A246,atlas!C:C,0)),"")</f>
        <v/>
      </c>
      <c r="E246" s="8" t="str">
        <f t="array" ref="E246">IFERROR(INDEX(atlas!F:F,MATCH(A246,atlas!C:C,0)),"")</f>
        <v/>
      </c>
      <c r="F246" s="9"/>
      <c r="G246" s="10"/>
      <c r="H246" s="11"/>
      <c r="I246" s="12" t="str">
        <f t="array" ref="I246">IFERROR(INDEX(atlas!B:B,MATCH(A246,atlas!C:C,0)),"")</f>
        <v/>
      </c>
      <c r="J246" s="8" t="str">
        <f>IFERROR(VLOOKUP(F246,tecnica!A:B,2,0),"")</f>
        <v/>
      </c>
      <c r="K246" s="8" t="str">
        <f>IFERROR(VLOOKUP(J246,tecnica!B:C,2,0),"")</f>
        <v/>
      </c>
      <c r="L246" s="13"/>
      <c r="M246" s="14" t="str">
        <f>IFERROR(VLOOKUP(I246,material!A:D,4,0),"")</f>
        <v/>
      </c>
      <c r="N246" s="14" t="str">
        <f t="shared" si="1"/>
        <v/>
      </c>
      <c r="O246" s="15" t="str">
        <f>IFERROR(VLOOKUP(I246,material!A:D,2,0),"")</f>
        <v/>
      </c>
    </row>
    <row r="247">
      <c r="A247" s="6"/>
      <c r="B247" s="7"/>
      <c r="C247" s="8" t="str">
        <f t="array" ref="C247">IFERROR(INDEX(atlas!H:H,MATCH(A247,atlas!C:C,0)),"")</f>
        <v/>
      </c>
      <c r="D247" s="8" t="str">
        <f t="array" ref="D247">IFERROR(INDEX(atlas!D:D,MATCH(A247,atlas!C:C,0)),"")</f>
        <v/>
      </c>
      <c r="E247" s="8" t="str">
        <f t="array" ref="E247">IFERROR(INDEX(atlas!F:F,MATCH(A247,atlas!C:C,0)),"")</f>
        <v/>
      </c>
      <c r="F247" s="9"/>
      <c r="G247" s="10"/>
      <c r="H247" s="11"/>
      <c r="I247" s="12" t="str">
        <f t="array" ref="I247">IFERROR(INDEX(atlas!B:B,MATCH(A247,atlas!C:C,0)),"")</f>
        <v/>
      </c>
      <c r="J247" s="8" t="str">
        <f>IFERROR(VLOOKUP(F247,tecnica!A:B,2,0),"")</f>
        <v/>
      </c>
      <c r="K247" s="8" t="str">
        <f>IFERROR(VLOOKUP(J247,tecnica!B:C,2,0),"")</f>
        <v/>
      </c>
      <c r="L247" s="13"/>
      <c r="M247" s="14" t="str">
        <f>IFERROR(VLOOKUP(I247,material!A:D,4,0),"")</f>
        <v/>
      </c>
      <c r="N247" s="14" t="str">
        <f t="shared" si="1"/>
        <v/>
      </c>
      <c r="O247" s="15" t="str">
        <f>IFERROR(VLOOKUP(I247,material!A:D,2,0),"")</f>
        <v/>
      </c>
    </row>
    <row r="248">
      <c r="A248" s="6"/>
      <c r="B248" s="7"/>
      <c r="C248" s="8" t="str">
        <f t="array" ref="C248">IFERROR(INDEX(atlas!H:H,MATCH(A248,atlas!C:C,0)),"")</f>
        <v/>
      </c>
      <c r="D248" s="8" t="str">
        <f t="array" ref="D248">IFERROR(INDEX(atlas!D:D,MATCH(A248,atlas!C:C,0)),"")</f>
        <v/>
      </c>
      <c r="E248" s="8" t="str">
        <f t="array" ref="E248">IFERROR(INDEX(atlas!F:F,MATCH(A248,atlas!C:C,0)),"")</f>
        <v/>
      </c>
      <c r="F248" s="9"/>
      <c r="G248" s="10"/>
      <c r="H248" s="11"/>
      <c r="I248" s="12" t="str">
        <f t="array" ref="I248">IFERROR(INDEX(atlas!B:B,MATCH(A248,atlas!C:C,0)),"")</f>
        <v/>
      </c>
      <c r="J248" s="8" t="str">
        <f>IFERROR(VLOOKUP(F248,tecnica!A:B,2,0),"")</f>
        <v/>
      </c>
      <c r="K248" s="8" t="str">
        <f>IFERROR(VLOOKUP(J248,tecnica!B:C,2,0),"")</f>
        <v/>
      </c>
      <c r="L248" s="13"/>
      <c r="M248" s="14" t="str">
        <f>IFERROR(VLOOKUP(I248,material!A:D,4,0),"")</f>
        <v/>
      </c>
      <c r="N248" s="14" t="str">
        <f t="shared" si="1"/>
        <v/>
      </c>
      <c r="O248" s="15" t="str">
        <f>IFERROR(VLOOKUP(I248,material!A:D,2,0),"")</f>
        <v/>
      </c>
    </row>
    <row r="249">
      <c r="A249" s="6"/>
      <c r="B249" s="7"/>
      <c r="C249" s="8" t="str">
        <f t="array" ref="C249">IFERROR(INDEX(atlas!H:H,MATCH(A249,atlas!C:C,0)),"")</f>
        <v/>
      </c>
      <c r="D249" s="8" t="str">
        <f t="array" ref="D249">IFERROR(INDEX(atlas!D:D,MATCH(A249,atlas!C:C,0)),"")</f>
        <v/>
      </c>
      <c r="E249" s="8" t="str">
        <f t="array" ref="E249">IFERROR(INDEX(atlas!F:F,MATCH(A249,atlas!C:C,0)),"")</f>
        <v/>
      </c>
      <c r="F249" s="9"/>
      <c r="G249" s="10"/>
      <c r="H249" s="11"/>
      <c r="I249" s="12" t="str">
        <f t="array" ref="I249">IFERROR(INDEX(atlas!B:B,MATCH(A249,atlas!C:C,0)),"")</f>
        <v/>
      </c>
      <c r="J249" s="8" t="str">
        <f>IFERROR(VLOOKUP(F249,tecnica!A:B,2,0),"")</f>
        <v/>
      </c>
      <c r="K249" s="8" t="str">
        <f>IFERROR(VLOOKUP(J249,tecnica!B:C,2,0),"")</f>
        <v/>
      </c>
      <c r="L249" s="13"/>
      <c r="M249" s="14" t="str">
        <f>IFERROR(VLOOKUP(I249,material!A:D,4,0),"")</f>
        <v/>
      </c>
      <c r="N249" s="14" t="str">
        <f t="shared" si="1"/>
        <v/>
      </c>
      <c r="O249" s="15" t="str">
        <f>IFERROR(VLOOKUP(I249,material!A:D,2,0),"")</f>
        <v/>
      </c>
    </row>
    <row r="250">
      <c r="A250" s="6"/>
      <c r="B250" s="7"/>
      <c r="C250" s="8" t="str">
        <f t="array" ref="C250">IFERROR(INDEX(atlas!H:H,MATCH(A250,atlas!C:C,0)),"")</f>
        <v/>
      </c>
      <c r="D250" s="8" t="str">
        <f t="array" ref="D250">IFERROR(INDEX(atlas!D:D,MATCH(A250,atlas!C:C,0)),"")</f>
        <v/>
      </c>
      <c r="E250" s="8" t="str">
        <f t="array" ref="E250">IFERROR(INDEX(atlas!F:F,MATCH(A250,atlas!C:C,0)),"")</f>
        <v/>
      </c>
      <c r="F250" s="9"/>
      <c r="G250" s="10"/>
      <c r="H250" s="11"/>
      <c r="I250" s="12" t="str">
        <f t="array" ref="I250">IFERROR(INDEX(atlas!B:B,MATCH(A250,atlas!C:C,0)),"")</f>
        <v/>
      </c>
      <c r="J250" s="8" t="str">
        <f>IFERROR(VLOOKUP(F250,tecnica!A:B,2,0),"")</f>
        <v/>
      </c>
      <c r="K250" s="8" t="str">
        <f>IFERROR(VLOOKUP(J250,tecnica!B:C,2,0),"")</f>
        <v/>
      </c>
      <c r="L250" s="13"/>
      <c r="M250" s="14" t="str">
        <f>IFERROR(VLOOKUP(I250,material!A:D,4,0),"")</f>
        <v/>
      </c>
      <c r="N250" s="14" t="str">
        <f t="shared" si="1"/>
        <v/>
      </c>
      <c r="O250" s="15" t="str">
        <f>IFERROR(VLOOKUP(I250,material!A:D,2,0),"")</f>
        <v/>
      </c>
    </row>
    <row r="251">
      <c r="A251" s="6"/>
      <c r="B251" s="7"/>
      <c r="C251" s="8" t="str">
        <f t="array" ref="C251">IFERROR(INDEX(atlas!H:H,MATCH(A251,atlas!C:C,0)),"")</f>
        <v/>
      </c>
      <c r="D251" s="8" t="str">
        <f t="array" ref="D251">IFERROR(INDEX(atlas!D:D,MATCH(A251,atlas!C:C,0)),"")</f>
        <v/>
      </c>
      <c r="E251" s="8" t="str">
        <f t="array" ref="E251">IFERROR(INDEX(atlas!F:F,MATCH(A251,atlas!C:C,0)),"")</f>
        <v/>
      </c>
      <c r="F251" s="9"/>
      <c r="G251" s="10"/>
      <c r="H251" s="11"/>
      <c r="I251" s="12" t="str">
        <f t="array" ref="I251">IFERROR(INDEX(atlas!B:B,MATCH(A251,atlas!C:C,0)),"")</f>
        <v/>
      </c>
      <c r="J251" s="8" t="str">
        <f>IFERROR(VLOOKUP(F251,tecnica!A:B,2,0),"")</f>
        <v/>
      </c>
      <c r="K251" s="8" t="str">
        <f>IFERROR(VLOOKUP(J251,tecnica!B:C,2,0),"")</f>
        <v/>
      </c>
      <c r="L251" s="13"/>
      <c r="M251" s="14" t="str">
        <f>IFERROR(VLOOKUP(I251,material!A:D,4,0),"")</f>
        <v/>
      </c>
      <c r="N251" s="14" t="str">
        <f t="shared" si="1"/>
        <v/>
      </c>
      <c r="O251" s="15" t="str">
        <f>IFERROR(VLOOKUP(I251,material!A:D,2,0),"")</f>
        <v/>
      </c>
    </row>
    <row r="252">
      <c r="A252" s="6"/>
      <c r="B252" s="7"/>
      <c r="C252" s="8" t="str">
        <f t="array" ref="C252">IFERROR(INDEX(atlas!H:H,MATCH(A252,atlas!C:C,0)),"")</f>
        <v/>
      </c>
      <c r="D252" s="8" t="str">
        <f t="array" ref="D252">IFERROR(INDEX(atlas!D:D,MATCH(A252,atlas!C:C,0)),"")</f>
        <v/>
      </c>
      <c r="E252" s="8" t="str">
        <f t="array" ref="E252">IFERROR(INDEX(atlas!F:F,MATCH(A252,atlas!C:C,0)),"")</f>
        <v/>
      </c>
      <c r="F252" s="9"/>
      <c r="G252" s="10"/>
      <c r="H252" s="11"/>
      <c r="I252" s="12" t="str">
        <f t="array" ref="I252">IFERROR(INDEX(atlas!B:B,MATCH(A252,atlas!C:C,0)),"")</f>
        <v/>
      </c>
      <c r="J252" s="8" t="str">
        <f>IFERROR(VLOOKUP(F252,tecnica!A:B,2,0),"")</f>
        <v/>
      </c>
      <c r="K252" s="8" t="str">
        <f>IFERROR(VLOOKUP(J252,tecnica!B:C,2,0),"")</f>
        <v/>
      </c>
      <c r="L252" s="13"/>
      <c r="M252" s="14" t="str">
        <f>IFERROR(VLOOKUP(I252,material!A:D,4,0),"")</f>
        <v/>
      </c>
      <c r="N252" s="14" t="str">
        <f t="shared" si="1"/>
        <v/>
      </c>
      <c r="O252" s="15" t="str">
        <f>IFERROR(VLOOKUP(I252,material!A:D,2,0),"")</f>
        <v/>
      </c>
    </row>
    <row r="253">
      <c r="A253" s="6"/>
      <c r="B253" s="7"/>
      <c r="C253" s="8" t="str">
        <f t="array" ref="C253">IFERROR(INDEX(atlas!H:H,MATCH(A253,atlas!C:C,0)),"")</f>
        <v/>
      </c>
      <c r="D253" s="8" t="str">
        <f t="array" ref="D253">IFERROR(INDEX(atlas!D:D,MATCH(A253,atlas!C:C,0)),"")</f>
        <v/>
      </c>
      <c r="E253" s="8" t="str">
        <f t="array" ref="E253">IFERROR(INDEX(atlas!F:F,MATCH(A253,atlas!C:C,0)),"")</f>
        <v/>
      </c>
      <c r="F253" s="9"/>
      <c r="G253" s="10"/>
      <c r="H253" s="11"/>
      <c r="I253" s="12" t="str">
        <f t="array" ref="I253">IFERROR(INDEX(atlas!B:B,MATCH(A253,atlas!C:C,0)),"")</f>
        <v/>
      </c>
      <c r="J253" s="8" t="str">
        <f>IFERROR(VLOOKUP(F253,tecnica!A:B,2,0),"")</f>
        <v/>
      </c>
      <c r="K253" s="8" t="str">
        <f>IFERROR(VLOOKUP(J253,tecnica!B:C,2,0),"")</f>
        <v/>
      </c>
      <c r="L253" s="13"/>
      <c r="M253" s="14" t="str">
        <f>IFERROR(VLOOKUP(I253,material!A:D,4,0),"")</f>
        <v/>
      </c>
      <c r="N253" s="14" t="str">
        <f t="shared" si="1"/>
        <v/>
      </c>
      <c r="O253" s="15" t="str">
        <f>IFERROR(VLOOKUP(I253,material!A:D,2,0),"")</f>
        <v/>
      </c>
    </row>
    <row r="254">
      <c r="A254" s="6"/>
      <c r="B254" s="7"/>
      <c r="C254" s="8" t="str">
        <f t="array" ref="C254">IFERROR(INDEX(atlas!H:H,MATCH(A254,atlas!C:C,0)),"")</f>
        <v/>
      </c>
      <c r="D254" s="8" t="str">
        <f t="array" ref="D254">IFERROR(INDEX(atlas!D:D,MATCH(A254,atlas!C:C,0)),"")</f>
        <v/>
      </c>
      <c r="E254" s="8" t="str">
        <f t="array" ref="E254">IFERROR(INDEX(atlas!F:F,MATCH(A254,atlas!C:C,0)),"")</f>
        <v/>
      </c>
      <c r="F254" s="9"/>
      <c r="G254" s="10"/>
      <c r="H254" s="11"/>
      <c r="I254" s="12" t="str">
        <f t="array" ref="I254">IFERROR(INDEX(atlas!B:B,MATCH(A254,atlas!C:C,0)),"")</f>
        <v/>
      </c>
      <c r="J254" s="8" t="str">
        <f>IFERROR(VLOOKUP(F254,tecnica!A:B,2,0),"")</f>
        <v/>
      </c>
      <c r="K254" s="8" t="str">
        <f>IFERROR(VLOOKUP(J254,tecnica!B:C,2,0),"")</f>
        <v/>
      </c>
      <c r="L254" s="13"/>
      <c r="M254" s="14" t="str">
        <f>IFERROR(VLOOKUP(I254,material!A:D,4,0),"")</f>
        <v/>
      </c>
      <c r="N254" s="14" t="str">
        <f t="shared" si="1"/>
        <v/>
      </c>
      <c r="O254" s="15" t="str">
        <f>IFERROR(VLOOKUP(I254,material!A:D,2,0),"")</f>
        <v/>
      </c>
    </row>
    <row r="255">
      <c r="A255" s="6"/>
      <c r="B255" s="7"/>
      <c r="C255" s="8" t="str">
        <f t="array" ref="C255">IFERROR(INDEX(atlas!H:H,MATCH(A255,atlas!C:C,0)),"")</f>
        <v/>
      </c>
      <c r="D255" s="8" t="str">
        <f t="array" ref="D255">IFERROR(INDEX(atlas!D:D,MATCH(A255,atlas!C:C,0)),"")</f>
        <v/>
      </c>
      <c r="E255" s="8" t="str">
        <f t="array" ref="E255">IFERROR(INDEX(atlas!F:F,MATCH(A255,atlas!C:C,0)),"")</f>
        <v/>
      </c>
      <c r="F255" s="9"/>
      <c r="G255" s="10"/>
      <c r="H255" s="11"/>
      <c r="I255" s="12" t="str">
        <f t="array" ref="I255">IFERROR(INDEX(atlas!B:B,MATCH(A255,atlas!C:C,0)),"")</f>
        <v/>
      </c>
      <c r="J255" s="8" t="str">
        <f>IFERROR(VLOOKUP(F255,tecnica!A:B,2,0),"")</f>
        <v/>
      </c>
      <c r="K255" s="8" t="str">
        <f>IFERROR(VLOOKUP(J255,tecnica!B:C,2,0),"")</f>
        <v/>
      </c>
      <c r="L255" s="13"/>
      <c r="M255" s="14" t="str">
        <f>IFERROR(VLOOKUP(I255,material!A:D,4,0),"")</f>
        <v/>
      </c>
      <c r="N255" s="14" t="str">
        <f t="shared" si="1"/>
        <v/>
      </c>
      <c r="O255" s="15" t="str">
        <f>IFERROR(VLOOKUP(I255,material!A:D,2,0),"")</f>
        <v/>
      </c>
    </row>
    <row r="256">
      <c r="A256" s="6"/>
      <c r="B256" s="7"/>
      <c r="C256" s="8" t="str">
        <f t="array" ref="C256">IFERROR(INDEX(atlas!H:H,MATCH(A256,atlas!C:C,0)),"")</f>
        <v/>
      </c>
      <c r="D256" s="8" t="str">
        <f t="array" ref="D256">IFERROR(INDEX(atlas!D:D,MATCH(A256,atlas!C:C,0)),"")</f>
        <v/>
      </c>
      <c r="E256" s="8" t="str">
        <f t="array" ref="E256">IFERROR(INDEX(atlas!F:F,MATCH(A256,atlas!C:C,0)),"")</f>
        <v/>
      </c>
      <c r="F256" s="9"/>
      <c r="G256" s="10"/>
      <c r="H256" s="11"/>
      <c r="I256" s="12" t="str">
        <f t="array" ref="I256">IFERROR(INDEX(atlas!B:B,MATCH(A256,atlas!C:C,0)),"")</f>
        <v/>
      </c>
      <c r="J256" s="8" t="str">
        <f>IFERROR(VLOOKUP(F256,tecnica!A:B,2,0),"")</f>
        <v/>
      </c>
      <c r="K256" s="8" t="str">
        <f>IFERROR(VLOOKUP(J256,tecnica!B:C,2,0),"")</f>
        <v/>
      </c>
      <c r="L256" s="13"/>
      <c r="M256" s="14" t="str">
        <f>IFERROR(VLOOKUP(I256,material!A:D,4,0),"")</f>
        <v/>
      </c>
      <c r="N256" s="14" t="str">
        <f t="shared" si="1"/>
        <v/>
      </c>
      <c r="O256" s="15" t="str">
        <f>IFERROR(VLOOKUP(I256,material!A:D,2,0),"")</f>
        <v/>
      </c>
    </row>
    <row r="257">
      <c r="A257" s="6"/>
      <c r="B257" s="7"/>
      <c r="C257" s="8" t="str">
        <f t="array" ref="C257">IFERROR(INDEX(atlas!H:H,MATCH(A257,atlas!C:C,0)),"")</f>
        <v/>
      </c>
      <c r="D257" s="8" t="str">
        <f t="array" ref="D257">IFERROR(INDEX(atlas!D:D,MATCH(A257,atlas!C:C,0)),"")</f>
        <v/>
      </c>
      <c r="E257" s="8" t="str">
        <f t="array" ref="E257">IFERROR(INDEX(atlas!F:F,MATCH(A257,atlas!C:C,0)),"")</f>
        <v/>
      </c>
      <c r="F257" s="9"/>
      <c r="G257" s="10"/>
      <c r="H257" s="11"/>
      <c r="I257" s="12" t="str">
        <f t="array" ref="I257">IFERROR(INDEX(atlas!B:B,MATCH(A257,atlas!C:C,0)),"")</f>
        <v/>
      </c>
      <c r="J257" s="8" t="str">
        <f>IFERROR(VLOOKUP(F257,tecnica!A:B,2,0),"")</f>
        <v/>
      </c>
      <c r="K257" s="8" t="str">
        <f>IFERROR(VLOOKUP(J257,tecnica!B:C,2,0),"")</f>
        <v/>
      </c>
      <c r="L257" s="13"/>
      <c r="M257" s="14" t="str">
        <f>IFERROR(VLOOKUP(I257,material!A:D,4,0),"")</f>
        <v/>
      </c>
      <c r="N257" s="14" t="str">
        <f t="shared" si="1"/>
        <v/>
      </c>
      <c r="O257" s="15" t="str">
        <f>IFERROR(VLOOKUP(I257,material!A:D,2,0),"")</f>
        <v/>
      </c>
    </row>
    <row r="258">
      <c r="A258" s="6"/>
      <c r="B258" s="7"/>
      <c r="C258" s="8" t="str">
        <f t="array" ref="C258">IFERROR(INDEX(atlas!H:H,MATCH(A258,atlas!C:C,0)),"")</f>
        <v/>
      </c>
      <c r="D258" s="8" t="str">
        <f t="array" ref="D258">IFERROR(INDEX(atlas!D:D,MATCH(A258,atlas!C:C,0)),"")</f>
        <v/>
      </c>
      <c r="E258" s="8" t="str">
        <f t="array" ref="E258">IFERROR(INDEX(atlas!F:F,MATCH(A258,atlas!C:C,0)),"")</f>
        <v/>
      </c>
      <c r="F258" s="9"/>
      <c r="G258" s="10"/>
      <c r="H258" s="11"/>
      <c r="I258" s="12" t="str">
        <f t="array" ref="I258">IFERROR(INDEX(atlas!B:B,MATCH(A258,atlas!C:C,0)),"")</f>
        <v/>
      </c>
      <c r="J258" s="8" t="str">
        <f>IFERROR(VLOOKUP(F258,tecnica!A:B,2,0),"")</f>
        <v/>
      </c>
      <c r="K258" s="8" t="str">
        <f>IFERROR(VLOOKUP(J258,tecnica!B:C,2,0),"")</f>
        <v/>
      </c>
      <c r="L258" s="13"/>
      <c r="M258" s="14" t="str">
        <f>IFERROR(VLOOKUP(I258,material!A:D,4,0),"")</f>
        <v/>
      </c>
      <c r="N258" s="14" t="str">
        <f t="shared" si="1"/>
        <v/>
      </c>
      <c r="O258" s="15" t="str">
        <f>IFERROR(VLOOKUP(I258,material!A:D,2,0),"")</f>
        <v/>
      </c>
    </row>
    <row r="259">
      <c r="A259" s="6"/>
      <c r="B259" s="7"/>
      <c r="C259" s="8" t="str">
        <f t="array" ref="C259">IFERROR(INDEX(atlas!H:H,MATCH(A259,atlas!C:C,0)),"")</f>
        <v/>
      </c>
      <c r="D259" s="8" t="str">
        <f t="array" ref="D259">IFERROR(INDEX(atlas!D:D,MATCH(A259,atlas!C:C,0)),"")</f>
        <v/>
      </c>
      <c r="E259" s="8" t="str">
        <f t="array" ref="E259">IFERROR(INDEX(atlas!F:F,MATCH(A259,atlas!C:C,0)),"")</f>
        <v/>
      </c>
      <c r="F259" s="9"/>
      <c r="G259" s="10"/>
      <c r="H259" s="11"/>
      <c r="I259" s="12" t="str">
        <f t="array" ref="I259">IFERROR(INDEX(atlas!B:B,MATCH(A259,atlas!C:C,0)),"")</f>
        <v/>
      </c>
      <c r="J259" s="8" t="str">
        <f>IFERROR(VLOOKUP(F259,tecnica!A:B,2,0),"")</f>
        <v/>
      </c>
      <c r="K259" s="8" t="str">
        <f>IFERROR(VLOOKUP(J259,tecnica!B:C,2,0),"")</f>
        <v/>
      </c>
      <c r="L259" s="13"/>
      <c r="M259" s="14" t="str">
        <f>IFERROR(VLOOKUP(I259,material!A:D,4,0),"")</f>
        <v/>
      </c>
      <c r="N259" s="14" t="str">
        <f t="shared" si="1"/>
        <v/>
      </c>
      <c r="O259" s="15" t="str">
        <f>IFERROR(VLOOKUP(I259,material!A:D,2,0),"")</f>
        <v/>
      </c>
    </row>
    <row r="260">
      <c r="A260" s="6"/>
      <c r="B260" s="7"/>
      <c r="C260" s="8" t="str">
        <f t="array" ref="C260">IFERROR(INDEX(atlas!H:H,MATCH(A260,atlas!C:C,0)),"")</f>
        <v/>
      </c>
      <c r="D260" s="8" t="str">
        <f t="array" ref="D260">IFERROR(INDEX(atlas!D:D,MATCH(A260,atlas!C:C,0)),"")</f>
        <v/>
      </c>
      <c r="E260" s="8" t="str">
        <f t="array" ref="E260">IFERROR(INDEX(atlas!F:F,MATCH(A260,atlas!C:C,0)),"")</f>
        <v/>
      </c>
      <c r="F260" s="9"/>
      <c r="G260" s="10"/>
      <c r="H260" s="11"/>
      <c r="I260" s="12" t="str">
        <f t="array" ref="I260">IFERROR(INDEX(atlas!B:B,MATCH(A260,atlas!C:C,0)),"")</f>
        <v/>
      </c>
      <c r="J260" s="8" t="str">
        <f>IFERROR(VLOOKUP(F260,tecnica!A:B,2,0),"")</f>
        <v/>
      </c>
      <c r="K260" s="8" t="str">
        <f>IFERROR(VLOOKUP(J260,tecnica!B:C,2,0),"")</f>
        <v/>
      </c>
      <c r="L260" s="13"/>
      <c r="M260" s="14" t="str">
        <f>IFERROR(VLOOKUP(I260,material!A:D,4,0),"")</f>
        <v/>
      </c>
      <c r="N260" s="14" t="str">
        <f t="shared" si="1"/>
        <v/>
      </c>
      <c r="O260" s="15" t="str">
        <f>IFERROR(VLOOKUP(I260,material!A:D,2,0),"")</f>
        <v/>
      </c>
    </row>
    <row r="261">
      <c r="A261" s="6"/>
      <c r="B261" s="7"/>
      <c r="C261" s="8" t="str">
        <f t="array" ref="C261">IFERROR(INDEX(atlas!H:H,MATCH(A261,atlas!C:C,0)),"")</f>
        <v/>
      </c>
      <c r="D261" s="8" t="str">
        <f t="array" ref="D261">IFERROR(INDEX(atlas!D:D,MATCH(A261,atlas!C:C,0)),"")</f>
        <v/>
      </c>
      <c r="E261" s="8" t="str">
        <f t="array" ref="E261">IFERROR(INDEX(atlas!F:F,MATCH(A261,atlas!C:C,0)),"")</f>
        <v/>
      </c>
      <c r="F261" s="9"/>
      <c r="G261" s="10"/>
      <c r="H261" s="11"/>
      <c r="I261" s="12" t="str">
        <f t="array" ref="I261">IFERROR(INDEX(atlas!B:B,MATCH(A261,atlas!C:C,0)),"")</f>
        <v/>
      </c>
      <c r="J261" s="8" t="str">
        <f>IFERROR(VLOOKUP(F261,tecnica!A:B,2,0),"")</f>
        <v/>
      </c>
      <c r="K261" s="8" t="str">
        <f>IFERROR(VLOOKUP(J261,tecnica!B:C,2,0),"")</f>
        <v/>
      </c>
      <c r="L261" s="13"/>
      <c r="M261" s="14" t="str">
        <f>IFERROR(VLOOKUP(I261,material!A:D,4,0),"")</f>
        <v/>
      </c>
      <c r="N261" s="14" t="str">
        <f t="shared" si="1"/>
        <v/>
      </c>
      <c r="O261" s="15" t="str">
        <f>IFERROR(VLOOKUP(I261,material!A:D,2,0),"")</f>
        <v/>
      </c>
    </row>
    <row r="262">
      <c r="A262" s="6"/>
      <c r="B262" s="7"/>
      <c r="C262" s="8" t="str">
        <f t="array" ref="C262">IFERROR(INDEX(atlas!H:H,MATCH(A262,atlas!C:C,0)),"")</f>
        <v/>
      </c>
      <c r="D262" s="8" t="str">
        <f t="array" ref="D262">IFERROR(INDEX(atlas!D:D,MATCH(A262,atlas!C:C,0)),"")</f>
        <v/>
      </c>
      <c r="E262" s="8" t="str">
        <f t="array" ref="E262">IFERROR(INDEX(atlas!F:F,MATCH(A262,atlas!C:C,0)),"")</f>
        <v/>
      </c>
      <c r="F262" s="9"/>
      <c r="G262" s="10"/>
      <c r="H262" s="11"/>
      <c r="I262" s="12" t="str">
        <f t="array" ref="I262">IFERROR(INDEX(atlas!B:B,MATCH(A262,atlas!C:C,0)),"")</f>
        <v/>
      </c>
      <c r="J262" s="8" t="str">
        <f>IFERROR(VLOOKUP(F262,tecnica!A:B,2,0),"")</f>
        <v/>
      </c>
      <c r="K262" s="8" t="str">
        <f>IFERROR(VLOOKUP(J262,tecnica!B:C,2,0),"")</f>
        <v/>
      </c>
      <c r="L262" s="13"/>
      <c r="M262" s="14" t="str">
        <f>IFERROR(VLOOKUP(I262,material!A:D,4,0),"")</f>
        <v/>
      </c>
      <c r="N262" s="14" t="str">
        <f t="shared" si="1"/>
        <v/>
      </c>
      <c r="O262" s="15" t="str">
        <f>IFERROR(VLOOKUP(I262,material!A:D,2,0),"")</f>
        <v/>
      </c>
    </row>
    <row r="263">
      <c r="A263" s="6"/>
      <c r="B263" s="7"/>
      <c r="C263" s="8" t="str">
        <f t="array" ref="C263">IFERROR(INDEX(atlas!H:H,MATCH(A263,atlas!C:C,0)),"")</f>
        <v/>
      </c>
      <c r="D263" s="8" t="str">
        <f t="array" ref="D263">IFERROR(INDEX(atlas!D:D,MATCH(A263,atlas!C:C,0)),"")</f>
        <v/>
      </c>
      <c r="E263" s="8" t="str">
        <f t="array" ref="E263">IFERROR(INDEX(atlas!F:F,MATCH(A263,atlas!C:C,0)),"")</f>
        <v/>
      </c>
      <c r="F263" s="9"/>
      <c r="G263" s="10"/>
      <c r="H263" s="11"/>
      <c r="I263" s="12" t="str">
        <f t="array" ref="I263">IFERROR(INDEX(atlas!B:B,MATCH(A263,atlas!C:C,0)),"")</f>
        <v/>
      </c>
      <c r="J263" s="8" t="str">
        <f>IFERROR(VLOOKUP(F263,tecnica!A:B,2,0),"")</f>
        <v/>
      </c>
      <c r="K263" s="8" t="str">
        <f>IFERROR(VLOOKUP(J263,tecnica!B:C,2,0),"")</f>
        <v/>
      </c>
      <c r="L263" s="13"/>
      <c r="M263" s="14" t="str">
        <f>IFERROR(VLOOKUP(I263,material!A:D,4,0),"")</f>
        <v/>
      </c>
      <c r="N263" s="14" t="str">
        <f t="shared" si="1"/>
        <v/>
      </c>
      <c r="O263" s="15" t="str">
        <f>IFERROR(VLOOKUP(I263,material!A:D,2,0),"")</f>
        <v/>
      </c>
    </row>
    <row r="264">
      <c r="A264" s="6"/>
      <c r="B264" s="7"/>
      <c r="C264" s="8" t="str">
        <f t="array" ref="C264">IFERROR(INDEX(atlas!H:H,MATCH(A264,atlas!C:C,0)),"")</f>
        <v/>
      </c>
      <c r="D264" s="8" t="str">
        <f t="array" ref="D264">IFERROR(INDEX(atlas!D:D,MATCH(A264,atlas!C:C,0)),"")</f>
        <v/>
      </c>
      <c r="E264" s="8" t="str">
        <f t="array" ref="E264">IFERROR(INDEX(atlas!F:F,MATCH(A264,atlas!C:C,0)),"")</f>
        <v/>
      </c>
      <c r="F264" s="9"/>
      <c r="G264" s="10"/>
      <c r="H264" s="11"/>
      <c r="I264" s="12" t="str">
        <f t="array" ref="I264">IFERROR(INDEX(atlas!B:B,MATCH(A264,atlas!C:C,0)),"")</f>
        <v/>
      </c>
      <c r="J264" s="8" t="str">
        <f>IFERROR(VLOOKUP(F264,tecnica!A:B,2,0),"")</f>
        <v/>
      </c>
      <c r="K264" s="8" t="str">
        <f>IFERROR(VLOOKUP(J264,tecnica!B:C,2,0),"")</f>
        <v/>
      </c>
      <c r="L264" s="13"/>
      <c r="M264" s="14" t="str">
        <f>IFERROR(VLOOKUP(I264,material!A:D,4,0),"")</f>
        <v/>
      </c>
      <c r="N264" s="14" t="str">
        <f t="shared" si="1"/>
        <v/>
      </c>
      <c r="O264" s="15" t="str">
        <f>IFERROR(VLOOKUP(I264,material!A:D,2,0),"")</f>
        <v/>
      </c>
    </row>
    <row r="265">
      <c r="A265" s="6"/>
      <c r="B265" s="7"/>
      <c r="C265" s="8" t="str">
        <f t="array" ref="C265">IFERROR(INDEX(atlas!H:H,MATCH(A265,atlas!C:C,0)),"")</f>
        <v/>
      </c>
      <c r="D265" s="8" t="str">
        <f t="array" ref="D265">IFERROR(INDEX(atlas!D:D,MATCH(A265,atlas!C:C,0)),"")</f>
        <v/>
      </c>
      <c r="E265" s="8" t="str">
        <f t="array" ref="E265">IFERROR(INDEX(atlas!F:F,MATCH(A265,atlas!C:C,0)),"")</f>
        <v/>
      </c>
      <c r="F265" s="9"/>
      <c r="G265" s="10"/>
      <c r="H265" s="11"/>
      <c r="I265" s="12" t="str">
        <f t="array" ref="I265">IFERROR(INDEX(atlas!B:B,MATCH(A265,atlas!C:C,0)),"")</f>
        <v/>
      </c>
      <c r="J265" s="8" t="str">
        <f>IFERROR(VLOOKUP(F265,tecnica!A:B,2,0),"")</f>
        <v/>
      </c>
      <c r="K265" s="8" t="str">
        <f>IFERROR(VLOOKUP(J265,tecnica!B:C,2,0),"")</f>
        <v/>
      </c>
      <c r="L265" s="13"/>
      <c r="M265" s="14" t="str">
        <f>IFERROR(VLOOKUP(I265,material!A:D,4,0),"")</f>
        <v/>
      </c>
      <c r="N265" s="14" t="str">
        <f t="shared" si="1"/>
        <v/>
      </c>
      <c r="O265" s="15" t="str">
        <f>IFERROR(VLOOKUP(I265,material!A:D,2,0),"")</f>
        <v/>
      </c>
    </row>
    <row r="266">
      <c r="A266" s="6"/>
      <c r="B266" s="7"/>
      <c r="C266" s="8" t="str">
        <f t="array" ref="C266">IFERROR(INDEX(atlas!H:H,MATCH(A266,atlas!C:C,0)),"")</f>
        <v/>
      </c>
      <c r="D266" s="8" t="str">
        <f t="array" ref="D266">IFERROR(INDEX(atlas!D:D,MATCH(A266,atlas!C:C,0)),"")</f>
        <v/>
      </c>
      <c r="E266" s="8" t="str">
        <f t="array" ref="E266">IFERROR(INDEX(atlas!F:F,MATCH(A266,atlas!C:C,0)),"")</f>
        <v/>
      </c>
      <c r="F266" s="9"/>
      <c r="G266" s="10"/>
      <c r="H266" s="11"/>
      <c r="I266" s="12" t="str">
        <f t="array" ref="I266">IFERROR(INDEX(atlas!B:B,MATCH(A266,atlas!C:C,0)),"")</f>
        <v/>
      </c>
      <c r="J266" s="8" t="str">
        <f>IFERROR(VLOOKUP(F266,tecnica!A:B,2,0),"")</f>
        <v/>
      </c>
      <c r="K266" s="8" t="str">
        <f>IFERROR(VLOOKUP(J266,tecnica!B:C,2,0),"")</f>
        <v/>
      </c>
      <c r="L266" s="13"/>
      <c r="M266" s="14" t="str">
        <f>IFERROR(VLOOKUP(I266,material!A:D,4,0),"")</f>
        <v/>
      </c>
      <c r="N266" s="14" t="str">
        <f t="shared" si="1"/>
        <v/>
      </c>
      <c r="O266" s="15" t="str">
        <f>IFERROR(VLOOKUP(I266,material!A:D,2,0),"")</f>
        <v/>
      </c>
    </row>
    <row r="267">
      <c r="A267" s="6"/>
      <c r="B267" s="7"/>
      <c r="C267" s="8" t="str">
        <f t="array" ref="C267">IFERROR(INDEX(atlas!H:H,MATCH(A267,atlas!C:C,0)),"")</f>
        <v/>
      </c>
      <c r="D267" s="8" t="str">
        <f t="array" ref="D267">IFERROR(INDEX(atlas!D:D,MATCH(A267,atlas!C:C,0)),"")</f>
        <v/>
      </c>
      <c r="E267" s="8" t="str">
        <f t="array" ref="E267">IFERROR(INDEX(atlas!F:F,MATCH(A267,atlas!C:C,0)),"")</f>
        <v/>
      </c>
      <c r="F267" s="9"/>
      <c r="G267" s="10"/>
      <c r="H267" s="11"/>
      <c r="I267" s="12" t="str">
        <f t="array" ref="I267">IFERROR(INDEX(atlas!B:B,MATCH(A267,atlas!C:C,0)),"")</f>
        <v/>
      </c>
      <c r="J267" s="8" t="str">
        <f>IFERROR(VLOOKUP(F267,tecnica!A:B,2,0),"")</f>
        <v/>
      </c>
      <c r="K267" s="8" t="str">
        <f>IFERROR(VLOOKUP(J267,tecnica!B:C,2,0),"")</f>
        <v/>
      </c>
      <c r="L267" s="13"/>
      <c r="M267" s="14" t="str">
        <f>IFERROR(VLOOKUP(I267,material!A:D,4,0),"")</f>
        <v/>
      </c>
      <c r="N267" s="14" t="str">
        <f t="shared" si="1"/>
        <v/>
      </c>
      <c r="O267" s="15" t="str">
        <f>IFERROR(VLOOKUP(I267,material!A:D,2,0),"")</f>
        <v/>
      </c>
    </row>
    <row r="268">
      <c r="A268" s="6"/>
      <c r="B268" s="7"/>
      <c r="C268" s="8" t="str">
        <f t="array" ref="C268">IFERROR(INDEX(atlas!H:H,MATCH(A268,atlas!C:C,0)),"")</f>
        <v/>
      </c>
      <c r="D268" s="8" t="str">
        <f t="array" ref="D268">IFERROR(INDEX(atlas!D:D,MATCH(A268,atlas!C:C,0)),"")</f>
        <v/>
      </c>
      <c r="E268" s="8" t="str">
        <f t="array" ref="E268">IFERROR(INDEX(atlas!F:F,MATCH(A268,atlas!C:C,0)),"")</f>
        <v/>
      </c>
      <c r="F268" s="9"/>
      <c r="G268" s="10"/>
      <c r="H268" s="11"/>
      <c r="I268" s="12" t="str">
        <f t="array" ref="I268">IFERROR(INDEX(atlas!B:B,MATCH(A268,atlas!C:C,0)),"")</f>
        <v/>
      </c>
      <c r="J268" s="8" t="str">
        <f>IFERROR(VLOOKUP(F268,tecnica!A:B,2,0),"")</f>
        <v/>
      </c>
      <c r="K268" s="8" t="str">
        <f>IFERROR(VLOOKUP(J268,tecnica!B:C,2,0),"")</f>
        <v/>
      </c>
      <c r="L268" s="13"/>
      <c r="M268" s="14" t="str">
        <f>IFERROR(VLOOKUP(I268,material!A:D,4,0),"")</f>
        <v/>
      </c>
      <c r="N268" s="14" t="str">
        <f t="shared" si="1"/>
        <v/>
      </c>
      <c r="O268" s="15" t="str">
        <f>IFERROR(VLOOKUP(I268,material!A:D,2,0),"")</f>
        <v/>
      </c>
    </row>
    <row r="269">
      <c r="A269" s="6"/>
      <c r="B269" s="7"/>
      <c r="C269" s="8" t="str">
        <f t="array" ref="C269">IFERROR(INDEX(atlas!H:H,MATCH(A269,atlas!C:C,0)),"")</f>
        <v/>
      </c>
      <c r="D269" s="8" t="str">
        <f t="array" ref="D269">IFERROR(INDEX(atlas!D:D,MATCH(A269,atlas!C:C,0)),"")</f>
        <v/>
      </c>
      <c r="E269" s="8" t="str">
        <f t="array" ref="E269">IFERROR(INDEX(atlas!F:F,MATCH(A269,atlas!C:C,0)),"")</f>
        <v/>
      </c>
      <c r="F269" s="9"/>
      <c r="G269" s="10"/>
      <c r="H269" s="11"/>
      <c r="I269" s="12" t="str">
        <f t="array" ref="I269">IFERROR(INDEX(atlas!B:B,MATCH(A269,atlas!C:C,0)),"")</f>
        <v/>
      </c>
      <c r="J269" s="8" t="str">
        <f>IFERROR(VLOOKUP(F269,tecnica!A:B,2,0),"")</f>
        <v/>
      </c>
      <c r="K269" s="8" t="str">
        <f>IFERROR(VLOOKUP(J269,tecnica!B:C,2,0),"")</f>
        <v/>
      </c>
      <c r="L269" s="13"/>
      <c r="M269" s="14" t="str">
        <f>IFERROR(VLOOKUP(I269,material!A:D,4,0),"")</f>
        <v/>
      </c>
      <c r="N269" s="14" t="str">
        <f t="shared" si="1"/>
        <v/>
      </c>
      <c r="O269" s="15" t="str">
        <f>IFERROR(VLOOKUP(I269,material!A:D,2,0),"")</f>
        <v/>
      </c>
    </row>
    <row r="270">
      <c r="A270" s="6"/>
      <c r="B270" s="7"/>
      <c r="C270" s="8" t="str">
        <f t="array" ref="C270">IFERROR(INDEX(atlas!H:H,MATCH(A270,atlas!C:C,0)),"")</f>
        <v/>
      </c>
      <c r="D270" s="8" t="str">
        <f t="array" ref="D270">IFERROR(INDEX(atlas!D:D,MATCH(A270,atlas!C:C,0)),"")</f>
        <v/>
      </c>
      <c r="E270" s="8" t="str">
        <f t="array" ref="E270">IFERROR(INDEX(atlas!F:F,MATCH(A270,atlas!C:C,0)),"")</f>
        <v/>
      </c>
      <c r="F270" s="9"/>
      <c r="G270" s="10"/>
      <c r="H270" s="11"/>
      <c r="I270" s="12" t="str">
        <f t="array" ref="I270">IFERROR(INDEX(atlas!B:B,MATCH(A270,atlas!C:C,0)),"")</f>
        <v/>
      </c>
      <c r="J270" s="8" t="str">
        <f>IFERROR(VLOOKUP(F270,tecnica!A:B,2,0),"")</f>
        <v/>
      </c>
      <c r="K270" s="8" t="str">
        <f>IFERROR(VLOOKUP(J270,tecnica!B:C,2,0),"")</f>
        <v/>
      </c>
      <c r="L270" s="13"/>
      <c r="M270" s="14" t="str">
        <f>IFERROR(VLOOKUP(I270,material!A:D,4,0),"")</f>
        <v/>
      </c>
      <c r="N270" s="14" t="str">
        <f t="shared" si="1"/>
        <v/>
      </c>
      <c r="O270" s="15" t="str">
        <f>IFERROR(VLOOKUP(I270,material!A:D,2,0),"")</f>
        <v/>
      </c>
    </row>
    <row r="271">
      <c r="A271" s="6"/>
      <c r="B271" s="7"/>
      <c r="C271" s="8" t="str">
        <f t="array" ref="C271">IFERROR(INDEX(atlas!H:H,MATCH(A271,atlas!C:C,0)),"")</f>
        <v/>
      </c>
      <c r="D271" s="8" t="str">
        <f t="array" ref="D271">IFERROR(INDEX(atlas!D:D,MATCH(A271,atlas!C:C,0)),"")</f>
        <v/>
      </c>
      <c r="E271" s="8" t="str">
        <f t="array" ref="E271">IFERROR(INDEX(atlas!F:F,MATCH(A271,atlas!C:C,0)),"")</f>
        <v/>
      </c>
      <c r="F271" s="9"/>
      <c r="G271" s="10"/>
      <c r="H271" s="11"/>
      <c r="I271" s="12" t="str">
        <f t="array" ref="I271">IFERROR(INDEX(atlas!B:B,MATCH(A271,atlas!C:C,0)),"")</f>
        <v/>
      </c>
      <c r="J271" s="8" t="str">
        <f>IFERROR(VLOOKUP(F271,tecnica!A:B,2,0),"")</f>
        <v/>
      </c>
      <c r="K271" s="8" t="str">
        <f>IFERROR(VLOOKUP(J271,tecnica!B:C,2,0),"")</f>
        <v/>
      </c>
      <c r="L271" s="13"/>
      <c r="M271" s="14" t="str">
        <f>IFERROR(VLOOKUP(I271,material!A:D,4,0),"")</f>
        <v/>
      </c>
      <c r="N271" s="14" t="str">
        <f t="shared" si="1"/>
        <v/>
      </c>
      <c r="O271" s="15" t="str">
        <f>IFERROR(VLOOKUP(I271,material!A:D,2,0),"")</f>
        <v/>
      </c>
    </row>
    <row r="272">
      <c r="A272" s="6"/>
      <c r="B272" s="7"/>
      <c r="C272" s="8" t="str">
        <f t="array" ref="C272">IFERROR(INDEX(atlas!H:H,MATCH(A272,atlas!C:C,0)),"")</f>
        <v/>
      </c>
      <c r="D272" s="8" t="str">
        <f t="array" ref="D272">IFERROR(INDEX(atlas!D:D,MATCH(A272,atlas!C:C,0)),"")</f>
        <v/>
      </c>
      <c r="E272" s="8" t="str">
        <f t="array" ref="E272">IFERROR(INDEX(atlas!F:F,MATCH(A272,atlas!C:C,0)),"")</f>
        <v/>
      </c>
      <c r="F272" s="9"/>
      <c r="G272" s="10"/>
      <c r="H272" s="11"/>
      <c r="I272" s="12" t="str">
        <f t="array" ref="I272">IFERROR(INDEX(atlas!B:B,MATCH(A272,atlas!C:C,0)),"")</f>
        <v/>
      </c>
      <c r="J272" s="8" t="str">
        <f>IFERROR(VLOOKUP(F272,tecnica!A:B,2,0),"")</f>
        <v/>
      </c>
      <c r="K272" s="8" t="str">
        <f>IFERROR(VLOOKUP(J272,tecnica!B:C,2,0),"")</f>
        <v/>
      </c>
      <c r="L272" s="13"/>
      <c r="M272" s="14" t="str">
        <f>IFERROR(VLOOKUP(I272,material!A:D,4,0),"")</f>
        <v/>
      </c>
      <c r="N272" s="14" t="str">
        <f t="shared" si="1"/>
        <v/>
      </c>
      <c r="O272" s="15" t="str">
        <f>IFERROR(VLOOKUP(I272,material!A:D,2,0),"")</f>
        <v/>
      </c>
    </row>
    <row r="273">
      <c r="A273" s="6"/>
      <c r="B273" s="7"/>
      <c r="C273" s="8" t="str">
        <f t="array" ref="C273">IFERROR(INDEX(atlas!H:H,MATCH(A273,atlas!C:C,0)),"")</f>
        <v/>
      </c>
      <c r="D273" s="8" t="str">
        <f t="array" ref="D273">IFERROR(INDEX(atlas!D:D,MATCH(A273,atlas!C:C,0)),"")</f>
        <v/>
      </c>
      <c r="E273" s="8" t="str">
        <f t="array" ref="E273">IFERROR(INDEX(atlas!F:F,MATCH(A273,atlas!C:C,0)),"")</f>
        <v/>
      </c>
      <c r="F273" s="9"/>
      <c r="G273" s="10"/>
      <c r="H273" s="11"/>
      <c r="I273" s="12" t="str">
        <f t="array" ref="I273">IFERROR(INDEX(atlas!B:B,MATCH(A273,atlas!C:C,0)),"")</f>
        <v/>
      </c>
      <c r="J273" s="8" t="str">
        <f>IFERROR(VLOOKUP(F273,tecnica!A:B,2,0),"")</f>
        <v/>
      </c>
      <c r="K273" s="8" t="str">
        <f>IFERROR(VLOOKUP(J273,tecnica!B:C,2,0),"")</f>
        <v/>
      </c>
      <c r="L273" s="13"/>
      <c r="M273" s="14" t="str">
        <f>IFERROR(VLOOKUP(I273,material!A:D,4,0),"")</f>
        <v/>
      </c>
      <c r="N273" s="14" t="str">
        <f t="shared" si="1"/>
        <v/>
      </c>
      <c r="O273" s="15" t="str">
        <f>IFERROR(VLOOKUP(I273,material!A:D,2,0),"")</f>
        <v/>
      </c>
    </row>
    <row r="274">
      <c r="A274" s="6"/>
      <c r="B274" s="7"/>
      <c r="C274" s="8" t="str">
        <f t="array" ref="C274">IFERROR(INDEX(atlas!H:H,MATCH(A274,atlas!C:C,0)),"")</f>
        <v/>
      </c>
      <c r="D274" s="8" t="str">
        <f t="array" ref="D274">IFERROR(INDEX(atlas!D:D,MATCH(A274,atlas!C:C,0)),"")</f>
        <v/>
      </c>
      <c r="E274" s="8" t="str">
        <f t="array" ref="E274">IFERROR(INDEX(atlas!F:F,MATCH(A274,atlas!C:C,0)),"")</f>
        <v/>
      </c>
      <c r="F274" s="9"/>
      <c r="G274" s="10"/>
      <c r="H274" s="11"/>
      <c r="I274" s="12" t="str">
        <f t="array" ref="I274">IFERROR(INDEX(atlas!B:B,MATCH(A274,atlas!C:C,0)),"")</f>
        <v/>
      </c>
      <c r="J274" s="8" t="str">
        <f>IFERROR(VLOOKUP(F274,tecnica!A:B,2,0),"")</f>
        <v/>
      </c>
      <c r="K274" s="8" t="str">
        <f>IFERROR(VLOOKUP(J274,tecnica!B:C,2,0),"")</f>
        <v/>
      </c>
      <c r="L274" s="13"/>
      <c r="M274" s="14" t="str">
        <f>IFERROR(VLOOKUP(I274,material!A:D,4,0),"")</f>
        <v/>
      </c>
      <c r="N274" s="14" t="str">
        <f t="shared" si="1"/>
        <v/>
      </c>
      <c r="O274" s="15" t="str">
        <f>IFERROR(VLOOKUP(I274,material!A:D,2,0),"")</f>
        <v/>
      </c>
    </row>
    <row r="275">
      <c r="A275" s="6"/>
      <c r="B275" s="7"/>
      <c r="C275" s="8" t="str">
        <f t="array" ref="C275">IFERROR(INDEX(atlas!H:H,MATCH(A275,atlas!C:C,0)),"")</f>
        <v/>
      </c>
      <c r="D275" s="8" t="str">
        <f t="array" ref="D275">IFERROR(INDEX(atlas!D:D,MATCH(A275,atlas!C:C,0)),"")</f>
        <v/>
      </c>
      <c r="E275" s="8" t="str">
        <f t="array" ref="E275">IFERROR(INDEX(atlas!F:F,MATCH(A275,atlas!C:C,0)),"")</f>
        <v/>
      </c>
      <c r="F275" s="9"/>
      <c r="G275" s="10"/>
      <c r="H275" s="11"/>
      <c r="I275" s="12" t="str">
        <f t="array" ref="I275">IFERROR(INDEX(atlas!B:B,MATCH(A275,atlas!C:C,0)),"")</f>
        <v/>
      </c>
      <c r="J275" s="8" t="str">
        <f>IFERROR(VLOOKUP(F275,tecnica!A:B,2,0),"")</f>
        <v/>
      </c>
      <c r="K275" s="8" t="str">
        <f>IFERROR(VLOOKUP(J275,tecnica!B:C,2,0),"")</f>
        <v/>
      </c>
      <c r="L275" s="13"/>
      <c r="M275" s="14" t="str">
        <f>IFERROR(VLOOKUP(I275,material!A:D,4,0),"")</f>
        <v/>
      </c>
      <c r="N275" s="14" t="str">
        <f t="shared" si="1"/>
        <v/>
      </c>
      <c r="O275" s="15" t="str">
        <f>IFERROR(VLOOKUP(I275,material!A:D,2,0),"")</f>
        <v/>
      </c>
    </row>
    <row r="276">
      <c r="A276" s="6"/>
      <c r="B276" s="7"/>
      <c r="C276" s="8" t="str">
        <f t="array" ref="C276">IFERROR(INDEX(atlas!H:H,MATCH(A276,atlas!C:C,0)),"")</f>
        <v/>
      </c>
      <c r="D276" s="8" t="str">
        <f t="array" ref="D276">IFERROR(INDEX(atlas!D:D,MATCH(A276,atlas!C:C,0)),"")</f>
        <v/>
      </c>
      <c r="E276" s="8" t="str">
        <f t="array" ref="E276">IFERROR(INDEX(atlas!F:F,MATCH(A276,atlas!C:C,0)),"")</f>
        <v/>
      </c>
      <c r="F276" s="9"/>
      <c r="G276" s="10"/>
      <c r="H276" s="11"/>
      <c r="I276" s="12" t="str">
        <f t="array" ref="I276">IFERROR(INDEX(atlas!B:B,MATCH(A276,atlas!C:C,0)),"")</f>
        <v/>
      </c>
      <c r="J276" s="8" t="str">
        <f>IFERROR(VLOOKUP(F276,tecnica!A:B,2,0),"")</f>
        <v/>
      </c>
      <c r="K276" s="8" t="str">
        <f>IFERROR(VLOOKUP(J276,tecnica!B:C,2,0),"")</f>
        <v/>
      </c>
      <c r="L276" s="13"/>
      <c r="M276" s="14" t="str">
        <f>IFERROR(VLOOKUP(I276,material!A:D,4,0),"")</f>
        <v/>
      </c>
      <c r="N276" s="14" t="str">
        <f t="shared" si="1"/>
        <v/>
      </c>
      <c r="O276" s="15" t="str">
        <f>IFERROR(VLOOKUP(I276,material!A:D,2,0),"")</f>
        <v/>
      </c>
    </row>
    <row r="277">
      <c r="A277" s="6"/>
      <c r="B277" s="7"/>
      <c r="C277" s="8" t="str">
        <f t="array" ref="C277">IFERROR(INDEX(atlas!H:H,MATCH(A277,atlas!C:C,0)),"")</f>
        <v/>
      </c>
      <c r="D277" s="8" t="str">
        <f t="array" ref="D277">IFERROR(INDEX(atlas!D:D,MATCH(A277,atlas!C:C,0)),"")</f>
        <v/>
      </c>
      <c r="E277" s="8" t="str">
        <f t="array" ref="E277">IFERROR(INDEX(atlas!F:F,MATCH(A277,atlas!C:C,0)),"")</f>
        <v/>
      </c>
      <c r="F277" s="9"/>
      <c r="G277" s="10"/>
      <c r="H277" s="11"/>
      <c r="I277" s="12" t="str">
        <f t="array" ref="I277">IFERROR(INDEX(atlas!B:B,MATCH(A277,atlas!C:C,0)),"")</f>
        <v/>
      </c>
      <c r="J277" s="8" t="str">
        <f>IFERROR(VLOOKUP(F277,tecnica!A:B,2,0),"")</f>
        <v/>
      </c>
      <c r="K277" s="8" t="str">
        <f>IFERROR(VLOOKUP(J277,tecnica!B:C,2,0),"")</f>
        <v/>
      </c>
      <c r="L277" s="13"/>
      <c r="M277" s="14" t="str">
        <f>IFERROR(VLOOKUP(I277,material!A:D,4,0),"")</f>
        <v/>
      </c>
      <c r="N277" s="14" t="str">
        <f t="shared" si="1"/>
        <v/>
      </c>
      <c r="O277" s="15" t="str">
        <f>IFERROR(VLOOKUP(I277,material!A:D,2,0),"")</f>
        <v/>
      </c>
    </row>
    <row r="278">
      <c r="A278" s="6"/>
      <c r="B278" s="7"/>
      <c r="C278" s="8" t="str">
        <f t="array" ref="C278">IFERROR(INDEX(atlas!H:H,MATCH(A278,atlas!C:C,0)),"")</f>
        <v/>
      </c>
      <c r="D278" s="8" t="str">
        <f t="array" ref="D278">IFERROR(INDEX(atlas!D:D,MATCH(A278,atlas!C:C,0)),"")</f>
        <v/>
      </c>
      <c r="E278" s="8" t="str">
        <f t="array" ref="E278">IFERROR(INDEX(atlas!F:F,MATCH(A278,atlas!C:C,0)),"")</f>
        <v/>
      </c>
      <c r="F278" s="9"/>
      <c r="G278" s="10"/>
      <c r="H278" s="11"/>
      <c r="I278" s="12" t="str">
        <f t="array" ref="I278">IFERROR(INDEX(atlas!B:B,MATCH(A278,atlas!C:C,0)),"")</f>
        <v/>
      </c>
      <c r="J278" s="8" t="str">
        <f>IFERROR(VLOOKUP(F278,tecnica!A:B,2,0),"")</f>
        <v/>
      </c>
      <c r="K278" s="8" t="str">
        <f>IFERROR(VLOOKUP(J278,tecnica!B:C,2,0),"")</f>
        <v/>
      </c>
      <c r="L278" s="13"/>
      <c r="M278" s="14" t="str">
        <f>IFERROR(VLOOKUP(I278,material!A:D,4,0),"")</f>
        <v/>
      </c>
      <c r="N278" s="14" t="str">
        <f t="shared" si="1"/>
        <v/>
      </c>
      <c r="O278" s="15" t="str">
        <f>IFERROR(VLOOKUP(I278,material!A:D,2,0),"")</f>
        <v/>
      </c>
    </row>
    <row r="279">
      <c r="A279" s="6"/>
      <c r="B279" s="7"/>
      <c r="C279" s="8" t="str">
        <f t="array" ref="C279">IFERROR(INDEX(atlas!H:H,MATCH(A279,atlas!C:C,0)),"")</f>
        <v/>
      </c>
      <c r="D279" s="8" t="str">
        <f t="array" ref="D279">IFERROR(INDEX(atlas!D:D,MATCH(A279,atlas!C:C,0)),"")</f>
        <v/>
      </c>
      <c r="E279" s="8" t="str">
        <f t="array" ref="E279">IFERROR(INDEX(atlas!F:F,MATCH(A279,atlas!C:C,0)),"")</f>
        <v/>
      </c>
      <c r="F279" s="9"/>
      <c r="G279" s="10"/>
      <c r="H279" s="11"/>
      <c r="I279" s="12" t="str">
        <f t="array" ref="I279">IFERROR(INDEX(atlas!B:B,MATCH(A279,atlas!C:C,0)),"")</f>
        <v/>
      </c>
      <c r="J279" s="8" t="str">
        <f>IFERROR(VLOOKUP(F279,tecnica!A:B,2,0),"")</f>
        <v/>
      </c>
      <c r="K279" s="8" t="str">
        <f>IFERROR(VLOOKUP(J279,tecnica!B:C,2,0),"")</f>
        <v/>
      </c>
      <c r="L279" s="13"/>
      <c r="M279" s="14" t="str">
        <f>IFERROR(VLOOKUP(I279,material!A:D,4,0),"")</f>
        <v/>
      </c>
      <c r="N279" s="14" t="str">
        <f t="shared" si="1"/>
        <v/>
      </c>
      <c r="O279" s="15" t="str">
        <f>IFERROR(VLOOKUP(I279,material!A:D,2,0),"")</f>
        <v/>
      </c>
    </row>
    <row r="280">
      <c r="A280" s="6"/>
      <c r="B280" s="7"/>
      <c r="C280" s="8" t="str">
        <f t="array" ref="C280">IFERROR(INDEX(atlas!H:H,MATCH(A280,atlas!C:C,0)),"")</f>
        <v/>
      </c>
      <c r="D280" s="8" t="str">
        <f t="array" ref="D280">IFERROR(INDEX(atlas!D:D,MATCH(A280,atlas!C:C,0)),"")</f>
        <v/>
      </c>
      <c r="E280" s="8" t="str">
        <f t="array" ref="E280">IFERROR(INDEX(atlas!F:F,MATCH(A280,atlas!C:C,0)),"")</f>
        <v/>
      </c>
      <c r="F280" s="9"/>
      <c r="G280" s="10"/>
      <c r="H280" s="11"/>
      <c r="I280" s="12" t="str">
        <f t="array" ref="I280">IFERROR(INDEX(atlas!B:B,MATCH(A280,atlas!C:C,0)),"")</f>
        <v/>
      </c>
      <c r="J280" s="8" t="str">
        <f>IFERROR(VLOOKUP(F280,tecnica!A:B,2,0),"")</f>
        <v/>
      </c>
      <c r="K280" s="8" t="str">
        <f>IFERROR(VLOOKUP(J280,tecnica!B:C,2,0),"")</f>
        <v/>
      </c>
      <c r="L280" s="13"/>
      <c r="M280" s="14" t="str">
        <f>IFERROR(VLOOKUP(I280,material!A:D,4,0),"")</f>
        <v/>
      </c>
      <c r="N280" s="14" t="str">
        <f t="shared" si="1"/>
        <v/>
      </c>
      <c r="O280" s="15" t="str">
        <f>IFERROR(VLOOKUP(I280,material!A:D,2,0),"")</f>
        <v/>
      </c>
    </row>
    <row r="281">
      <c r="A281" s="6"/>
      <c r="B281" s="7"/>
      <c r="C281" s="8" t="str">
        <f t="array" ref="C281">IFERROR(INDEX(atlas!H:H,MATCH(A281,atlas!C:C,0)),"")</f>
        <v/>
      </c>
      <c r="D281" s="8" t="str">
        <f t="array" ref="D281">IFERROR(INDEX(atlas!D:D,MATCH(A281,atlas!C:C,0)),"")</f>
        <v/>
      </c>
      <c r="E281" s="8" t="str">
        <f t="array" ref="E281">IFERROR(INDEX(atlas!F:F,MATCH(A281,atlas!C:C,0)),"")</f>
        <v/>
      </c>
      <c r="F281" s="9"/>
      <c r="G281" s="10"/>
      <c r="H281" s="11"/>
      <c r="I281" s="12" t="str">
        <f t="array" ref="I281">IFERROR(INDEX(atlas!B:B,MATCH(A281,atlas!C:C,0)),"")</f>
        <v/>
      </c>
      <c r="J281" s="8" t="str">
        <f>IFERROR(VLOOKUP(F281,tecnica!A:B,2,0),"")</f>
        <v/>
      </c>
      <c r="K281" s="8" t="str">
        <f>IFERROR(VLOOKUP(J281,tecnica!B:C,2,0),"")</f>
        <v/>
      </c>
      <c r="L281" s="13"/>
      <c r="M281" s="14" t="str">
        <f>IFERROR(VLOOKUP(I281,material!A:D,4,0),"")</f>
        <v/>
      </c>
      <c r="N281" s="14" t="str">
        <f t="shared" si="1"/>
        <v/>
      </c>
      <c r="O281" s="15" t="str">
        <f>IFERROR(VLOOKUP(I281,material!A:D,2,0),"")</f>
        <v/>
      </c>
    </row>
    <row r="282">
      <c r="A282" s="6"/>
      <c r="B282" s="7"/>
      <c r="C282" s="8" t="str">
        <f t="array" ref="C282">IFERROR(INDEX(atlas!H:H,MATCH(A282,atlas!C:C,0)),"")</f>
        <v/>
      </c>
      <c r="D282" s="8" t="str">
        <f t="array" ref="D282">IFERROR(INDEX(atlas!D:D,MATCH(A282,atlas!C:C,0)),"")</f>
        <v/>
      </c>
      <c r="E282" s="8" t="str">
        <f t="array" ref="E282">IFERROR(INDEX(atlas!F:F,MATCH(A282,atlas!C:C,0)),"")</f>
        <v/>
      </c>
      <c r="F282" s="9"/>
      <c r="G282" s="10"/>
      <c r="H282" s="11"/>
      <c r="I282" s="12" t="str">
        <f t="array" ref="I282">IFERROR(INDEX(atlas!B:B,MATCH(A282,atlas!C:C,0)),"")</f>
        <v/>
      </c>
      <c r="J282" s="8" t="str">
        <f>IFERROR(VLOOKUP(F282,tecnica!A:B,2,0),"")</f>
        <v/>
      </c>
      <c r="K282" s="8" t="str">
        <f>IFERROR(VLOOKUP(J282,tecnica!B:C,2,0),"")</f>
        <v/>
      </c>
      <c r="L282" s="13"/>
      <c r="M282" s="14" t="str">
        <f>IFERROR(VLOOKUP(I282,material!A:D,4,0),"")</f>
        <v/>
      </c>
      <c r="N282" s="14" t="str">
        <f t="shared" si="1"/>
        <v/>
      </c>
      <c r="O282" s="15" t="str">
        <f>IFERROR(VLOOKUP(I282,material!A:D,2,0),"")</f>
        <v/>
      </c>
    </row>
    <row r="283">
      <c r="A283" s="6"/>
      <c r="B283" s="7"/>
      <c r="C283" s="8" t="str">
        <f t="array" ref="C283">IFERROR(INDEX(atlas!H:H,MATCH(A283,atlas!C:C,0)),"")</f>
        <v/>
      </c>
      <c r="D283" s="8" t="str">
        <f t="array" ref="D283">IFERROR(INDEX(atlas!D:D,MATCH(A283,atlas!C:C,0)),"")</f>
        <v/>
      </c>
      <c r="E283" s="8" t="str">
        <f t="array" ref="E283">IFERROR(INDEX(atlas!F:F,MATCH(A283,atlas!C:C,0)),"")</f>
        <v/>
      </c>
      <c r="F283" s="9"/>
      <c r="G283" s="10"/>
      <c r="H283" s="11"/>
      <c r="I283" s="12" t="str">
        <f t="array" ref="I283">IFERROR(INDEX(atlas!B:B,MATCH(A283,atlas!C:C,0)),"")</f>
        <v/>
      </c>
      <c r="J283" s="8" t="str">
        <f>IFERROR(VLOOKUP(F283,tecnica!A:B,2,0),"")</f>
        <v/>
      </c>
      <c r="K283" s="8" t="str">
        <f>IFERROR(VLOOKUP(J283,tecnica!B:C,2,0),"")</f>
        <v/>
      </c>
      <c r="L283" s="13"/>
      <c r="M283" s="14" t="str">
        <f>IFERROR(VLOOKUP(I283,material!A:D,4,0),"")</f>
        <v/>
      </c>
      <c r="N283" s="14" t="str">
        <f t="shared" si="1"/>
        <v/>
      </c>
      <c r="O283" s="15" t="str">
        <f>IFERROR(VLOOKUP(I283,material!A:D,2,0),"")</f>
        <v/>
      </c>
    </row>
    <row r="284">
      <c r="A284" s="6"/>
      <c r="B284" s="7"/>
      <c r="C284" s="8" t="str">
        <f t="array" ref="C284">IFERROR(INDEX(atlas!H:H,MATCH(A284,atlas!C:C,0)),"")</f>
        <v/>
      </c>
      <c r="D284" s="8" t="str">
        <f t="array" ref="D284">IFERROR(INDEX(atlas!D:D,MATCH(A284,atlas!C:C,0)),"")</f>
        <v/>
      </c>
      <c r="E284" s="8" t="str">
        <f t="array" ref="E284">IFERROR(INDEX(atlas!F:F,MATCH(A284,atlas!C:C,0)),"")</f>
        <v/>
      </c>
      <c r="F284" s="9"/>
      <c r="G284" s="10"/>
      <c r="H284" s="11"/>
      <c r="I284" s="12" t="str">
        <f t="array" ref="I284">IFERROR(INDEX(atlas!B:B,MATCH(A284,atlas!C:C,0)),"")</f>
        <v/>
      </c>
      <c r="J284" s="8" t="str">
        <f>IFERROR(VLOOKUP(F284,tecnica!A:B,2,0),"")</f>
        <v/>
      </c>
      <c r="K284" s="8" t="str">
        <f>IFERROR(VLOOKUP(J284,tecnica!B:C,2,0),"")</f>
        <v/>
      </c>
      <c r="L284" s="13"/>
      <c r="M284" s="14" t="str">
        <f>IFERROR(VLOOKUP(I284,material!A:D,4,0),"")</f>
        <v/>
      </c>
      <c r="N284" s="14" t="str">
        <f t="shared" si="1"/>
        <v/>
      </c>
      <c r="O284" s="15" t="str">
        <f>IFERROR(VLOOKUP(I284,material!A:D,2,0),"")</f>
        <v/>
      </c>
    </row>
    <row r="285">
      <c r="A285" s="6"/>
      <c r="B285" s="7"/>
      <c r="C285" s="8" t="str">
        <f t="array" ref="C285">IFERROR(INDEX(atlas!H:H,MATCH(A285,atlas!C:C,0)),"")</f>
        <v/>
      </c>
      <c r="D285" s="8" t="str">
        <f t="array" ref="D285">IFERROR(INDEX(atlas!D:D,MATCH(A285,atlas!C:C,0)),"")</f>
        <v/>
      </c>
      <c r="E285" s="8" t="str">
        <f t="array" ref="E285">IFERROR(INDEX(atlas!F:F,MATCH(A285,atlas!C:C,0)),"")</f>
        <v/>
      </c>
      <c r="F285" s="9"/>
      <c r="G285" s="10"/>
      <c r="H285" s="11"/>
      <c r="I285" s="12" t="str">
        <f t="array" ref="I285">IFERROR(INDEX(atlas!B:B,MATCH(A285,atlas!C:C,0)),"")</f>
        <v/>
      </c>
      <c r="J285" s="8" t="str">
        <f>IFERROR(VLOOKUP(F285,tecnica!A:B,2,0),"")</f>
        <v/>
      </c>
      <c r="K285" s="8" t="str">
        <f>IFERROR(VLOOKUP(J285,tecnica!B:C,2,0),"")</f>
        <v/>
      </c>
      <c r="L285" s="13"/>
      <c r="M285" s="14" t="str">
        <f>IFERROR(VLOOKUP(I285,material!A:D,4,0),"")</f>
        <v/>
      </c>
      <c r="N285" s="14" t="str">
        <f t="shared" si="1"/>
        <v/>
      </c>
      <c r="O285" s="15" t="str">
        <f>IFERROR(VLOOKUP(I285,material!A:D,2,0),"")</f>
        <v/>
      </c>
    </row>
    <row r="286">
      <c r="A286" s="6"/>
      <c r="B286" s="7"/>
      <c r="C286" s="8" t="str">
        <f t="array" ref="C286">IFERROR(INDEX(atlas!H:H,MATCH(A286,atlas!C:C,0)),"")</f>
        <v/>
      </c>
      <c r="D286" s="8" t="str">
        <f t="array" ref="D286">IFERROR(INDEX(atlas!D:D,MATCH(A286,atlas!C:C,0)),"")</f>
        <v/>
      </c>
      <c r="E286" s="8" t="str">
        <f t="array" ref="E286">IFERROR(INDEX(atlas!F:F,MATCH(A286,atlas!C:C,0)),"")</f>
        <v/>
      </c>
      <c r="F286" s="9"/>
      <c r="G286" s="10"/>
      <c r="H286" s="11"/>
      <c r="I286" s="12" t="str">
        <f t="array" ref="I286">IFERROR(INDEX(atlas!B:B,MATCH(A286,atlas!C:C,0)),"")</f>
        <v/>
      </c>
      <c r="J286" s="8" t="str">
        <f>IFERROR(VLOOKUP(F286,tecnica!A:B,2,0),"")</f>
        <v/>
      </c>
      <c r="K286" s="8" t="str">
        <f>IFERROR(VLOOKUP(J286,tecnica!B:C,2,0),"")</f>
        <v/>
      </c>
      <c r="L286" s="13"/>
      <c r="M286" s="14" t="str">
        <f>IFERROR(VLOOKUP(I286,material!A:D,4,0),"")</f>
        <v/>
      </c>
      <c r="N286" s="14" t="str">
        <f t="shared" si="1"/>
        <v/>
      </c>
      <c r="O286" s="15" t="str">
        <f>IFERROR(VLOOKUP(I286,material!A:D,2,0),"")</f>
        <v/>
      </c>
    </row>
    <row r="287">
      <c r="A287" s="6"/>
      <c r="B287" s="7"/>
      <c r="C287" s="8" t="str">
        <f t="array" ref="C287">IFERROR(INDEX(atlas!H:H,MATCH(A287,atlas!C:C,0)),"")</f>
        <v/>
      </c>
      <c r="D287" s="8" t="str">
        <f t="array" ref="D287">IFERROR(INDEX(atlas!D:D,MATCH(A287,atlas!C:C,0)),"")</f>
        <v/>
      </c>
      <c r="E287" s="8" t="str">
        <f t="array" ref="E287">IFERROR(INDEX(atlas!F:F,MATCH(A287,atlas!C:C,0)),"")</f>
        <v/>
      </c>
      <c r="F287" s="9"/>
      <c r="G287" s="10"/>
      <c r="H287" s="11"/>
      <c r="I287" s="12" t="str">
        <f t="array" ref="I287">IFERROR(INDEX(atlas!B:B,MATCH(A287,atlas!C:C,0)),"")</f>
        <v/>
      </c>
      <c r="J287" s="8" t="str">
        <f>IFERROR(VLOOKUP(F287,tecnica!A:B,2,0),"")</f>
        <v/>
      </c>
      <c r="K287" s="8" t="str">
        <f>IFERROR(VLOOKUP(J287,tecnica!B:C,2,0),"")</f>
        <v/>
      </c>
      <c r="L287" s="13"/>
      <c r="M287" s="14" t="str">
        <f>IFERROR(VLOOKUP(I287,material!A:D,4,0),"")</f>
        <v/>
      </c>
      <c r="N287" s="14" t="str">
        <f t="shared" si="1"/>
        <v/>
      </c>
      <c r="O287" s="15" t="str">
        <f>IFERROR(VLOOKUP(I287,material!A:D,2,0),"")</f>
        <v/>
      </c>
    </row>
    <row r="288">
      <c r="A288" s="6"/>
      <c r="B288" s="7"/>
      <c r="C288" s="8" t="str">
        <f t="array" ref="C288">IFERROR(INDEX(atlas!H:H,MATCH(A288,atlas!C:C,0)),"")</f>
        <v/>
      </c>
      <c r="D288" s="8" t="str">
        <f t="array" ref="D288">IFERROR(INDEX(atlas!D:D,MATCH(A288,atlas!C:C,0)),"")</f>
        <v/>
      </c>
      <c r="E288" s="8" t="str">
        <f t="array" ref="E288">IFERROR(INDEX(atlas!F:F,MATCH(A288,atlas!C:C,0)),"")</f>
        <v/>
      </c>
      <c r="F288" s="9"/>
      <c r="G288" s="10"/>
      <c r="H288" s="11"/>
      <c r="I288" s="12" t="str">
        <f t="array" ref="I288">IFERROR(INDEX(atlas!B:B,MATCH(A288,atlas!C:C,0)),"")</f>
        <v/>
      </c>
      <c r="J288" s="8" t="str">
        <f>IFERROR(VLOOKUP(F288,tecnica!A:B,2,0),"")</f>
        <v/>
      </c>
      <c r="K288" s="8" t="str">
        <f>IFERROR(VLOOKUP(J288,tecnica!B:C,2,0),"")</f>
        <v/>
      </c>
      <c r="L288" s="13"/>
      <c r="M288" s="14" t="str">
        <f>IFERROR(VLOOKUP(I288,material!A:D,4,0),"")</f>
        <v/>
      </c>
      <c r="N288" s="14" t="str">
        <f t="shared" si="1"/>
        <v/>
      </c>
      <c r="O288" s="15" t="str">
        <f>IFERROR(VLOOKUP(I288,material!A:D,2,0),"")</f>
        <v/>
      </c>
    </row>
    <row r="289">
      <c r="A289" s="6"/>
      <c r="B289" s="7"/>
      <c r="C289" s="8" t="str">
        <f t="array" ref="C289">IFERROR(INDEX(atlas!H:H,MATCH(A289,atlas!C:C,0)),"")</f>
        <v/>
      </c>
      <c r="D289" s="8" t="str">
        <f t="array" ref="D289">IFERROR(INDEX(atlas!D:D,MATCH(A289,atlas!C:C,0)),"")</f>
        <v/>
      </c>
      <c r="E289" s="8" t="str">
        <f t="array" ref="E289">IFERROR(INDEX(atlas!F:F,MATCH(A289,atlas!C:C,0)),"")</f>
        <v/>
      </c>
      <c r="F289" s="9"/>
      <c r="G289" s="10"/>
      <c r="H289" s="11"/>
      <c r="I289" s="12" t="str">
        <f t="array" ref="I289">IFERROR(INDEX(atlas!B:B,MATCH(A289,atlas!C:C,0)),"")</f>
        <v/>
      </c>
      <c r="J289" s="8" t="str">
        <f>IFERROR(VLOOKUP(F289,tecnica!A:B,2,0),"")</f>
        <v/>
      </c>
      <c r="K289" s="8" t="str">
        <f>IFERROR(VLOOKUP(J289,tecnica!B:C,2,0),"")</f>
        <v/>
      </c>
      <c r="L289" s="13"/>
      <c r="M289" s="14" t="str">
        <f>IFERROR(VLOOKUP(I289,material!A:D,4,0),"")</f>
        <v/>
      </c>
      <c r="N289" s="14" t="str">
        <f t="shared" si="1"/>
        <v/>
      </c>
      <c r="O289" s="15" t="str">
        <f>IFERROR(VLOOKUP(I289,material!A:D,2,0),"")</f>
        <v/>
      </c>
    </row>
    <row r="290">
      <c r="A290" s="6"/>
      <c r="B290" s="7"/>
      <c r="C290" s="8" t="str">
        <f t="array" ref="C290">IFERROR(INDEX(atlas!H:H,MATCH(A290,atlas!C:C,0)),"")</f>
        <v/>
      </c>
      <c r="D290" s="8" t="str">
        <f t="array" ref="D290">IFERROR(INDEX(atlas!D:D,MATCH(A290,atlas!C:C,0)),"")</f>
        <v/>
      </c>
      <c r="E290" s="8" t="str">
        <f t="array" ref="E290">IFERROR(INDEX(atlas!F:F,MATCH(A290,atlas!C:C,0)),"")</f>
        <v/>
      </c>
      <c r="F290" s="9"/>
      <c r="G290" s="10"/>
      <c r="H290" s="11"/>
      <c r="I290" s="12" t="str">
        <f t="array" ref="I290">IFERROR(INDEX(atlas!B:B,MATCH(A290,atlas!C:C,0)),"")</f>
        <v/>
      </c>
      <c r="J290" s="8" t="str">
        <f>IFERROR(VLOOKUP(F290,tecnica!A:B,2,0),"")</f>
        <v/>
      </c>
      <c r="K290" s="8" t="str">
        <f>IFERROR(VLOOKUP(J290,tecnica!B:C,2,0),"")</f>
        <v/>
      </c>
      <c r="L290" s="13"/>
      <c r="M290" s="14" t="str">
        <f>IFERROR(VLOOKUP(I290,material!A:D,4,0),"")</f>
        <v/>
      </c>
      <c r="N290" s="14" t="str">
        <f t="shared" si="1"/>
        <v/>
      </c>
      <c r="O290" s="15" t="str">
        <f>IFERROR(VLOOKUP(I290,material!A:D,2,0),"")</f>
        <v/>
      </c>
    </row>
    <row r="291">
      <c r="A291" s="6"/>
      <c r="B291" s="7"/>
      <c r="C291" s="8" t="str">
        <f t="array" ref="C291">IFERROR(INDEX(atlas!H:H,MATCH(A291,atlas!C:C,0)),"")</f>
        <v/>
      </c>
      <c r="D291" s="8" t="str">
        <f t="array" ref="D291">IFERROR(INDEX(atlas!D:D,MATCH(A291,atlas!C:C,0)),"")</f>
        <v/>
      </c>
      <c r="E291" s="8" t="str">
        <f t="array" ref="E291">IFERROR(INDEX(atlas!F:F,MATCH(A291,atlas!C:C,0)),"")</f>
        <v/>
      </c>
      <c r="F291" s="9"/>
      <c r="G291" s="10"/>
      <c r="H291" s="11"/>
      <c r="I291" s="12" t="str">
        <f t="array" ref="I291">IFERROR(INDEX(atlas!B:B,MATCH(A291,atlas!C:C,0)),"")</f>
        <v/>
      </c>
      <c r="J291" s="8" t="str">
        <f>IFERROR(VLOOKUP(F291,tecnica!A:B,2,0),"")</f>
        <v/>
      </c>
      <c r="K291" s="8" t="str">
        <f>IFERROR(VLOOKUP(J291,tecnica!B:C,2,0),"")</f>
        <v/>
      </c>
      <c r="L291" s="13"/>
      <c r="M291" s="14" t="str">
        <f>IFERROR(VLOOKUP(I291,material!A:D,4,0),"")</f>
        <v/>
      </c>
      <c r="N291" s="14" t="str">
        <f t="shared" si="1"/>
        <v/>
      </c>
      <c r="O291" s="15" t="str">
        <f>IFERROR(VLOOKUP(I291,material!A:D,2,0),"")</f>
        <v/>
      </c>
    </row>
    <row r="292">
      <c r="A292" s="6"/>
      <c r="B292" s="7"/>
      <c r="C292" s="8" t="str">
        <f t="array" ref="C292">IFERROR(INDEX(atlas!H:H,MATCH(A292,atlas!C:C,0)),"")</f>
        <v/>
      </c>
      <c r="D292" s="8" t="str">
        <f t="array" ref="D292">IFERROR(INDEX(atlas!D:D,MATCH(A292,atlas!C:C,0)),"")</f>
        <v/>
      </c>
      <c r="E292" s="8" t="str">
        <f t="array" ref="E292">IFERROR(INDEX(atlas!F:F,MATCH(A292,atlas!C:C,0)),"")</f>
        <v/>
      </c>
      <c r="F292" s="9"/>
      <c r="G292" s="10"/>
      <c r="H292" s="11"/>
      <c r="I292" s="12" t="str">
        <f t="array" ref="I292">IFERROR(INDEX(atlas!B:B,MATCH(A292,atlas!C:C,0)),"")</f>
        <v/>
      </c>
      <c r="J292" s="8" t="str">
        <f>IFERROR(VLOOKUP(F292,tecnica!A:B,2,0),"")</f>
        <v/>
      </c>
      <c r="K292" s="8" t="str">
        <f>IFERROR(VLOOKUP(J292,tecnica!B:C,2,0),"")</f>
        <v/>
      </c>
      <c r="L292" s="13"/>
      <c r="M292" s="14" t="str">
        <f>IFERROR(VLOOKUP(I292,material!A:D,4,0),"")</f>
        <v/>
      </c>
      <c r="N292" s="14" t="str">
        <f t="shared" si="1"/>
        <v/>
      </c>
      <c r="O292" s="15" t="str">
        <f>IFERROR(VLOOKUP(I292,material!A:D,2,0),"")</f>
        <v/>
      </c>
    </row>
    <row r="293">
      <c r="A293" s="6"/>
      <c r="B293" s="7"/>
      <c r="C293" s="8" t="str">
        <f t="array" ref="C293">IFERROR(INDEX(atlas!H:H,MATCH(A293,atlas!C:C,0)),"")</f>
        <v/>
      </c>
      <c r="D293" s="8" t="str">
        <f t="array" ref="D293">IFERROR(INDEX(atlas!D:D,MATCH(A293,atlas!C:C,0)),"")</f>
        <v/>
      </c>
      <c r="E293" s="8" t="str">
        <f t="array" ref="E293">IFERROR(INDEX(atlas!F:F,MATCH(A293,atlas!C:C,0)),"")</f>
        <v/>
      </c>
      <c r="F293" s="9"/>
      <c r="G293" s="10"/>
      <c r="H293" s="11"/>
      <c r="I293" s="12" t="str">
        <f t="array" ref="I293">IFERROR(INDEX(atlas!B:B,MATCH(A293,atlas!C:C,0)),"")</f>
        <v/>
      </c>
      <c r="J293" s="8" t="str">
        <f>IFERROR(VLOOKUP(F293,tecnica!A:B,2,0),"")</f>
        <v/>
      </c>
      <c r="K293" s="8" t="str">
        <f>IFERROR(VLOOKUP(J293,tecnica!B:C,2,0),"")</f>
        <v/>
      </c>
      <c r="L293" s="13"/>
      <c r="M293" s="14" t="str">
        <f>IFERROR(VLOOKUP(I293,material!A:D,4,0),"")</f>
        <v/>
      </c>
      <c r="N293" s="14" t="str">
        <f t="shared" si="1"/>
        <v/>
      </c>
      <c r="O293" s="15" t="str">
        <f>IFERROR(VLOOKUP(I293,material!A:D,2,0),"")</f>
        <v/>
      </c>
    </row>
    <row r="294">
      <c r="A294" s="6"/>
      <c r="B294" s="7"/>
      <c r="C294" s="8" t="str">
        <f t="array" ref="C294">IFERROR(INDEX(atlas!H:H,MATCH(A294,atlas!C:C,0)),"")</f>
        <v/>
      </c>
      <c r="D294" s="8" t="str">
        <f t="array" ref="D294">IFERROR(INDEX(atlas!D:D,MATCH(A294,atlas!C:C,0)),"")</f>
        <v/>
      </c>
      <c r="E294" s="8" t="str">
        <f t="array" ref="E294">IFERROR(INDEX(atlas!F:F,MATCH(A294,atlas!C:C,0)),"")</f>
        <v/>
      </c>
      <c r="F294" s="9"/>
      <c r="G294" s="10"/>
      <c r="H294" s="11"/>
      <c r="I294" s="12" t="str">
        <f t="array" ref="I294">IFERROR(INDEX(atlas!B:B,MATCH(A294,atlas!C:C,0)),"")</f>
        <v/>
      </c>
      <c r="J294" s="8" t="str">
        <f>IFERROR(VLOOKUP(F294,tecnica!A:B,2,0),"")</f>
        <v/>
      </c>
      <c r="K294" s="8" t="str">
        <f>IFERROR(VLOOKUP(J294,tecnica!B:C,2,0),"")</f>
        <v/>
      </c>
      <c r="L294" s="13"/>
      <c r="M294" s="14" t="str">
        <f>IFERROR(VLOOKUP(I294,material!A:D,4,0),"")</f>
        <v/>
      </c>
      <c r="N294" s="14" t="str">
        <f t="shared" si="1"/>
        <v/>
      </c>
      <c r="O294" s="15" t="str">
        <f>IFERROR(VLOOKUP(I294,material!A:D,2,0),"")</f>
        <v/>
      </c>
    </row>
    <row r="295">
      <c r="A295" s="6"/>
      <c r="B295" s="7"/>
      <c r="C295" s="8" t="str">
        <f t="array" ref="C295">IFERROR(INDEX(atlas!H:H,MATCH(A295,atlas!C:C,0)),"")</f>
        <v/>
      </c>
      <c r="D295" s="8" t="str">
        <f t="array" ref="D295">IFERROR(INDEX(atlas!D:D,MATCH(A295,atlas!C:C,0)),"")</f>
        <v/>
      </c>
      <c r="E295" s="8" t="str">
        <f t="array" ref="E295">IFERROR(INDEX(atlas!F:F,MATCH(A295,atlas!C:C,0)),"")</f>
        <v/>
      </c>
      <c r="F295" s="9"/>
      <c r="G295" s="10"/>
      <c r="H295" s="11"/>
      <c r="I295" s="12" t="str">
        <f t="array" ref="I295">IFERROR(INDEX(atlas!B:B,MATCH(A295,atlas!C:C,0)),"")</f>
        <v/>
      </c>
      <c r="J295" s="8" t="str">
        <f>IFERROR(VLOOKUP(F295,tecnica!A:B,2,0),"")</f>
        <v/>
      </c>
      <c r="K295" s="8" t="str">
        <f>IFERROR(VLOOKUP(J295,tecnica!B:C,2,0),"")</f>
        <v/>
      </c>
      <c r="L295" s="13"/>
      <c r="M295" s="14" t="str">
        <f>IFERROR(VLOOKUP(I295,material!A:D,4,0),"")</f>
        <v/>
      </c>
      <c r="N295" s="14" t="str">
        <f t="shared" si="1"/>
        <v/>
      </c>
      <c r="O295" s="15" t="str">
        <f>IFERROR(VLOOKUP(I295,material!A:D,2,0),"")</f>
        <v/>
      </c>
    </row>
    <row r="296">
      <c r="A296" s="6"/>
      <c r="B296" s="7"/>
      <c r="C296" s="8" t="str">
        <f t="array" ref="C296">IFERROR(INDEX(atlas!H:H,MATCH(A296,atlas!C:C,0)),"")</f>
        <v/>
      </c>
      <c r="D296" s="8" t="str">
        <f t="array" ref="D296">IFERROR(INDEX(atlas!D:D,MATCH(A296,atlas!C:C,0)),"")</f>
        <v/>
      </c>
      <c r="E296" s="8" t="str">
        <f t="array" ref="E296">IFERROR(INDEX(atlas!F:F,MATCH(A296,atlas!C:C,0)),"")</f>
        <v/>
      </c>
      <c r="F296" s="9"/>
      <c r="G296" s="10"/>
      <c r="H296" s="11"/>
      <c r="I296" s="12" t="str">
        <f t="array" ref="I296">IFERROR(INDEX(atlas!B:B,MATCH(A296,atlas!C:C,0)),"")</f>
        <v/>
      </c>
      <c r="J296" s="8" t="str">
        <f>IFERROR(VLOOKUP(F296,tecnica!A:B,2,0),"")</f>
        <v/>
      </c>
      <c r="K296" s="8" t="str">
        <f>IFERROR(VLOOKUP(J296,tecnica!B:C,2,0),"")</f>
        <v/>
      </c>
      <c r="L296" s="13"/>
      <c r="M296" s="14" t="str">
        <f>IFERROR(VLOOKUP(I296,material!A:D,4,0),"")</f>
        <v/>
      </c>
      <c r="N296" s="14" t="str">
        <f t="shared" si="1"/>
        <v/>
      </c>
      <c r="O296" s="15" t="str">
        <f>IFERROR(VLOOKUP(I296,material!A:D,2,0),"")</f>
        <v/>
      </c>
    </row>
    <row r="297">
      <c r="A297" s="6"/>
      <c r="B297" s="7"/>
      <c r="C297" s="8" t="str">
        <f t="array" ref="C297">IFERROR(INDEX(atlas!H:H,MATCH(A297,atlas!C:C,0)),"")</f>
        <v/>
      </c>
      <c r="D297" s="8" t="str">
        <f t="array" ref="D297">IFERROR(INDEX(atlas!D:D,MATCH(A297,atlas!C:C,0)),"")</f>
        <v/>
      </c>
      <c r="E297" s="8" t="str">
        <f t="array" ref="E297">IFERROR(INDEX(atlas!F:F,MATCH(A297,atlas!C:C,0)),"")</f>
        <v/>
      </c>
      <c r="F297" s="9"/>
      <c r="G297" s="10"/>
      <c r="H297" s="11"/>
      <c r="I297" s="12" t="str">
        <f t="array" ref="I297">IFERROR(INDEX(atlas!B:B,MATCH(A297,atlas!C:C,0)),"")</f>
        <v/>
      </c>
      <c r="J297" s="8" t="str">
        <f>IFERROR(VLOOKUP(F297,tecnica!A:B,2,0),"")</f>
        <v/>
      </c>
      <c r="K297" s="8" t="str">
        <f>IFERROR(VLOOKUP(J297,tecnica!B:C,2,0),"")</f>
        <v/>
      </c>
      <c r="L297" s="13"/>
      <c r="M297" s="14" t="str">
        <f>IFERROR(VLOOKUP(I297,material!A:D,4,0),"")</f>
        <v/>
      </c>
      <c r="N297" s="14" t="str">
        <f t="shared" si="1"/>
        <v/>
      </c>
      <c r="O297" s="15" t="str">
        <f>IFERROR(VLOOKUP(I297,material!A:D,2,0),"")</f>
        <v/>
      </c>
    </row>
    <row r="298">
      <c r="A298" s="6"/>
      <c r="B298" s="7"/>
      <c r="C298" s="8" t="str">
        <f t="array" ref="C298">IFERROR(INDEX(atlas!H:H,MATCH(A298,atlas!C:C,0)),"")</f>
        <v/>
      </c>
      <c r="D298" s="8" t="str">
        <f t="array" ref="D298">IFERROR(INDEX(atlas!D:D,MATCH(A298,atlas!C:C,0)),"")</f>
        <v/>
      </c>
      <c r="E298" s="8" t="str">
        <f t="array" ref="E298">IFERROR(INDEX(atlas!F:F,MATCH(A298,atlas!C:C,0)),"")</f>
        <v/>
      </c>
      <c r="F298" s="9"/>
      <c r="G298" s="10"/>
      <c r="H298" s="11"/>
      <c r="I298" s="12" t="str">
        <f t="array" ref="I298">IFERROR(INDEX(atlas!B:B,MATCH(A298,atlas!C:C,0)),"")</f>
        <v/>
      </c>
      <c r="J298" s="8" t="str">
        <f>IFERROR(VLOOKUP(F298,tecnica!A:B,2,0),"")</f>
        <v/>
      </c>
      <c r="K298" s="8" t="str">
        <f>IFERROR(VLOOKUP(J298,tecnica!B:C,2,0),"")</f>
        <v/>
      </c>
      <c r="L298" s="13"/>
      <c r="M298" s="14" t="str">
        <f>IFERROR(VLOOKUP(I298,material!A:D,4,0),"")</f>
        <v/>
      </c>
      <c r="N298" s="14" t="str">
        <f t="shared" si="1"/>
        <v/>
      </c>
      <c r="O298" s="15" t="str">
        <f>IFERROR(VLOOKUP(I298,material!A:D,2,0),"")</f>
        <v/>
      </c>
    </row>
    <row r="299">
      <c r="A299" s="6"/>
      <c r="B299" s="7"/>
      <c r="C299" s="8" t="str">
        <f t="array" ref="C299">IFERROR(INDEX(atlas!H:H,MATCH(A299,atlas!C:C,0)),"")</f>
        <v/>
      </c>
      <c r="D299" s="8" t="str">
        <f t="array" ref="D299">IFERROR(INDEX(atlas!D:D,MATCH(A299,atlas!C:C,0)),"")</f>
        <v/>
      </c>
      <c r="E299" s="8" t="str">
        <f t="array" ref="E299">IFERROR(INDEX(atlas!F:F,MATCH(A299,atlas!C:C,0)),"")</f>
        <v/>
      </c>
      <c r="F299" s="9"/>
      <c r="G299" s="10"/>
      <c r="H299" s="11"/>
      <c r="I299" s="12" t="str">
        <f t="array" ref="I299">IFERROR(INDEX(atlas!B:B,MATCH(A299,atlas!C:C,0)),"")</f>
        <v/>
      </c>
      <c r="J299" s="8" t="str">
        <f>IFERROR(VLOOKUP(F299,tecnica!A:B,2,0),"")</f>
        <v/>
      </c>
      <c r="K299" s="8" t="str">
        <f>IFERROR(VLOOKUP(J299,tecnica!B:C,2,0),"")</f>
        <v/>
      </c>
      <c r="L299" s="13"/>
      <c r="M299" s="14" t="str">
        <f>IFERROR(VLOOKUP(I299,material!A:D,4,0),"")</f>
        <v/>
      </c>
      <c r="N299" s="14" t="str">
        <f t="shared" si="1"/>
        <v/>
      </c>
      <c r="O299" s="15" t="str">
        <f>IFERROR(VLOOKUP(I299,material!A:D,2,0),"")</f>
        <v/>
      </c>
    </row>
    <row r="300">
      <c r="A300" s="6"/>
      <c r="B300" s="7"/>
      <c r="C300" s="8" t="str">
        <f t="array" ref="C300">IFERROR(INDEX(atlas!H:H,MATCH(A300,atlas!C:C,0)),"")</f>
        <v/>
      </c>
      <c r="D300" s="8" t="str">
        <f t="array" ref="D300">IFERROR(INDEX(atlas!D:D,MATCH(A300,atlas!C:C,0)),"")</f>
        <v/>
      </c>
      <c r="E300" s="8" t="str">
        <f t="array" ref="E300">IFERROR(INDEX(atlas!F:F,MATCH(A300,atlas!C:C,0)),"")</f>
        <v/>
      </c>
      <c r="F300" s="9"/>
      <c r="G300" s="10"/>
      <c r="H300" s="11"/>
      <c r="I300" s="12" t="str">
        <f t="array" ref="I300">IFERROR(INDEX(atlas!B:B,MATCH(A300,atlas!C:C,0)),"")</f>
        <v/>
      </c>
      <c r="J300" s="8" t="str">
        <f>IFERROR(VLOOKUP(F300,tecnica!A:B,2,0),"")</f>
        <v/>
      </c>
      <c r="K300" s="8" t="str">
        <f>IFERROR(VLOOKUP(J300,tecnica!B:C,2,0),"")</f>
        <v/>
      </c>
      <c r="L300" s="13"/>
      <c r="M300" s="14" t="str">
        <f>IFERROR(VLOOKUP(I300,material!A:D,4,0),"")</f>
        <v/>
      </c>
      <c r="N300" s="14" t="str">
        <f t="shared" si="1"/>
        <v/>
      </c>
      <c r="O300" s="15" t="str">
        <f>IFERROR(VLOOKUP(I300,material!A:D,2,0),"")</f>
        <v/>
      </c>
    </row>
    <row r="301">
      <c r="A301" s="6"/>
      <c r="B301" s="7"/>
      <c r="C301" s="8" t="str">
        <f t="array" ref="C301">IFERROR(INDEX(atlas!H:H,MATCH(A301,atlas!C:C,0)),"")</f>
        <v/>
      </c>
      <c r="D301" s="8" t="str">
        <f t="array" ref="D301">IFERROR(INDEX(atlas!D:D,MATCH(A301,atlas!C:C,0)),"")</f>
        <v/>
      </c>
      <c r="E301" s="8" t="str">
        <f t="array" ref="E301">IFERROR(INDEX(atlas!F:F,MATCH(A301,atlas!C:C,0)),"")</f>
        <v/>
      </c>
      <c r="F301" s="9"/>
      <c r="G301" s="10"/>
      <c r="H301" s="11"/>
      <c r="I301" s="12" t="str">
        <f t="array" ref="I301">IFERROR(INDEX(atlas!B:B,MATCH(A301,atlas!C:C,0)),"")</f>
        <v/>
      </c>
      <c r="J301" s="8" t="str">
        <f>IFERROR(VLOOKUP(F301,tecnica!A:B,2,0),"")</f>
        <v/>
      </c>
      <c r="K301" s="8" t="str">
        <f>IFERROR(VLOOKUP(J301,tecnica!B:C,2,0),"")</f>
        <v/>
      </c>
      <c r="L301" s="13"/>
      <c r="M301" s="14" t="str">
        <f>IFERROR(VLOOKUP(I301,material!A:D,4,0),"")</f>
        <v/>
      </c>
      <c r="N301" s="14" t="str">
        <f t="shared" si="1"/>
        <v/>
      </c>
      <c r="O301" s="15" t="str">
        <f>IFERROR(VLOOKUP(I301,material!A:D,2,0),"")</f>
        <v/>
      </c>
    </row>
    <row r="302">
      <c r="A302" s="6"/>
      <c r="B302" s="7"/>
      <c r="C302" s="8" t="str">
        <f t="array" ref="C302">IFERROR(INDEX(atlas!H:H,MATCH(A302,atlas!C:C,0)),"")</f>
        <v/>
      </c>
      <c r="D302" s="8" t="str">
        <f t="array" ref="D302">IFERROR(INDEX(atlas!D:D,MATCH(A302,atlas!C:C,0)),"")</f>
        <v/>
      </c>
      <c r="E302" s="8" t="str">
        <f t="array" ref="E302">IFERROR(INDEX(atlas!F:F,MATCH(A302,atlas!C:C,0)),"")</f>
        <v/>
      </c>
      <c r="F302" s="9"/>
      <c r="G302" s="10"/>
      <c r="H302" s="11"/>
      <c r="I302" s="12" t="str">
        <f t="array" ref="I302">IFERROR(INDEX(atlas!B:B,MATCH(A302,atlas!C:C,0)),"")</f>
        <v/>
      </c>
      <c r="J302" s="8" t="str">
        <f>IFERROR(VLOOKUP(F302,tecnica!A:B,2,0),"")</f>
        <v/>
      </c>
      <c r="K302" s="8" t="str">
        <f>IFERROR(VLOOKUP(J302,tecnica!B:C,2,0),"")</f>
        <v/>
      </c>
      <c r="L302" s="13"/>
      <c r="M302" s="14" t="str">
        <f>IFERROR(VLOOKUP(I302,material!A:D,4,0),"")</f>
        <v/>
      </c>
      <c r="N302" s="14" t="str">
        <f t="shared" si="1"/>
        <v/>
      </c>
      <c r="O302" s="15" t="str">
        <f>IFERROR(VLOOKUP(I302,material!A:D,2,0),"")</f>
        <v/>
      </c>
    </row>
    <row r="303">
      <c r="A303" s="6"/>
      <c r="B303" s="7"/>
      <c r="C303" s="8" t="str">
        <f t="array" ref="C303">IFERROR(INDEX(atlas!H:H,MATCH(A303,atlas!C:C,0)),"")</f>
        <v/>
      </c>
      <c r="D303" s="8" t="str">
        <f t="array" ref="D303">IFERROR(INDEX(atlas!D:D,MATCH(A303,atlas!C:C,0)),"")</f>
        <v/>
      </c>
      <c r="E303" s="8" t="str">
        <f t="array" ref="E303">IFERROR(INDEX(atlas!F:F,MATCH(A303,atlas!C:C,0)),"")</f>
        <v/>
      </c>
      <c r="F303" s="9"/>
      <c r="G303" s="10"/>
      <c r="H303" s="11"/>
      <c r="I303" s="12" t="str">
        <f t="array" ref="I303">IFERROR(INDEX(atlas!B:B,MATCH(A303,atlas!C:C,0)),"")</f>
        <v/>
      </c>
      <c r="J303" s="8" t="str">
        <f>IFERROR(VLOOKUP(F303,tecnica!A:B,2,0),"")</f>
        <v/>
      </c>
      <c r="K303" s="8" t="str">
        <f>IFERROR(VLOOKUP(J303,tecnica!B:C,2,0),"")</f>
        <v/>
      </c>
      <c r="L303" s="13"/>
      <c r="M303" s="14" t="str">
        <f>IFERROR(VLOOKUP(I303,material!A:D,4,0),"")</f>
        <v/>
      </c>
      <c r="N303" s="14" t="str">
        <f t="shared" si="1"/>
        <v/>
      </c>
      <c r="O303" s="15" t="str">
        <f>IFERROR(VLOOKUP(I303,material!A:D,2,0),"")</f>
        <v/>
      </c>
    </row>
    <row r="304">
      <c r="A304" s="6"/>
      <c r="B304" s="7"/>
      <c r="C304" s="8" t="str">
        <f t="array" ref="C304">IFERROR(INDEX(atlas!H:H,MATCH(A304,atlas!C:C,0)),"")</f>
        <v/>
      </c>
      <c r="D304" s="8" t="str">
        <f t="array" ref="D304">IFERROR(INDEX(atlas!D:D,MATCH(A304,atlas!C:C,0)),"")</f>
        <v/>
      </c>
      <c r="E304" s="8" t="str">
        <f t="array" ref="E304">IFERROR(INDEX(atlas!F:F,MATCH(A304,atlas!C:C,0)),"")</f>
        <v/>
      </c>
      <c r="F304" s="9"/>
      <c r="G304" s="10"/>
      <c r="H304" s="11"/>
      <c r="I304" s="12" t="str">
        <f t="array" ref="I304">IFERROR(INDEX(atlas!B:B,MATCH(A304,atlas!C:C,0)),"")</f>
        <v/>
      </c>
      <c r="J304" s="8" t="str">
        <f>IFERROR(VLOOKUP(F304,tecnica!A:B,2,0),"")</f>
        <v/>
      </c>
      <c r="K304" s="8" t="str">
        <f>IFERROR(VLOOKUP(J304,tecnica!B:C,2,0),"")</f>
        <v/>
      </c>
      <c r="L304" s="13"/>
      <c r="M304" s="14" t="str">
        <f>IFERROR(VLOOKUP(I304,material!A:D,4,0),"")</f>
        <v/>
      </c>
      <c r="N304" s="14" t="str">
        <f t="shared" si="1"/>
        <v/>
      </c>
      <c r="O304" s="15" t="str">
        <f>IFERROR(VLOOKUP(I304,material!A:D,2,0),"")</f>
        <v/>
      </c>
    </row>
    <row r="305">
      <c r="A305" s="6"/>
      <c r="B305" s="7"/>
      <c r="C305" s="8" t="str">
        <f t="array" ref="C305">IFERROR(INDEX(atlas!H:H,MATCH(A305,atlas!C:C,0)),"")</f>
        <v/>
      </c>
      <c r="D305" s="8" t="str">
        <f t="array" ref="D305">IFERROR(INDEX(atlas!D:D,MATCH(A305,atlas!C:C,0)),"")</f>
        <v/>
      </c>
      <c r="E305" s="8" t="str">
        <f t="array" ref="E305">IFERROR(INDEX(atlas!F:F,MATCH(A305,atlas!C:C,0)),"")</f>
        <v/>
      </c>
      <c r="F305" s="9"/>
      <c r="G305" s="10"/>
      <c r="H305" s="11"/>
      <c r="I305" s="12" t="str">
        <f t="array" ref="I305">IFERROR(INDEX(atlas!B:B,MATCH(A305,atlas!C:C,0)),"")</f>
        <v/>
      </c>
      <c r="J305" s="8" t="str">
        <f>IFERROR(VLOOKUP(F305,tecnica!A:B,2,0),"")</f>
        <v/>
      </c>
      <c r="K305" s="8" t="str">
        <f>IFERROR(VLOOKUP(J305,tecnica!B:C,2,0),"")</f>
        <v/>
      </c>
      <c r="L305" s="13"/>
      <c r="M305" s="14" t="str">
        <f>IFERROR(VLOOKUP(I305,material!A:D,4,0),"")</f>
        <v/>
      </c>
      <c r="N305" s="14" t="str">
        <f t="shared" si="1"/>
        <v/>
      </c>
      <c r="O305" s="15" t="str">
        <f>IFERROR(VLOOKUP(I305,material!A:D,2,0),"")</f>
        <v/>
      </c>
    </row>
    <row r="306">
      <c r="A306" s="6"/>
      <c r="B306" s="7"/>
      <c r="C306" s="8" t="str">
        <f t="array" ref="C306">IFERROR(INDEX(atlas!H:H,MATCH(A306,atlas!C:C,0)),"")</f>
        <v/>
      </c>
      <c r="D306" s="8" t="str">
        <f t="array" ref="D306">IFERROR(INDEX(atlas!D:D,MATCH(A306,atlas!C:C,0)),"")</f>
        <v/>
      </c>
      <c r="E306" s="8" t="str">
        <f t="array" ref="E306">IFERROR(INDEX(atlas!F:F,MATCH(A306,atlas!C:C,0)),"")</f>
        <v/>
      </c>
      <c r="F306" s="9"/>
      <c r="G306" s="10"/>
      <c r="H306" s="11"/>
      <c r="I306" s="12" t="str">
        <f t="array" ref="I306">IFERROR(INDEX(atlas!B:B,MATCH(A306,atlas!C:C,0)),"")</f>
        <v/>
      </c>
      <c r="J306" s="8" t="str">
        <f>IFERROR(VLOOKUP(F306,tecnica!A:B,2,0),"")</f>
        <v/>
      </c>
      <c r="K306" s="8" t="str">
        <f>IFERROR(VLOOKUP(J306,tecnica!B:C,2,0),"")</f>
        <v/>
      </c>
      <c r="L306" s="13"/>
      <c r="M306" s="14" t="str">
        <f>IFERROR(VLOOKUP(I306,material!A:D,4,0),"")</f>
        <v/>
      </c>
      <c r="N306" s="14" t="str">
        <f t="shared" si="1"/>
        <v/>
      </c>
      <c r="O306" s="15" t="str">
        <f>IFERROR(VLOOKUP(I306,material!A:D,2,0),"")</f>
        <v/>
      </c>
    </row>
    <row r="307">
      <c r="A307" s="6"/>
      <c r="B307" s="7"/>
      <c r="C307" s="8" t="str">
        <f t="array" ref="C307">IFERROR(INDEX(atlas!H:H,MATCH(A307,atlas!C:C,0)),"")</f>
        <v/>
      </c>
      <c r="D307" s="8" t="str">
        <f t="array" ref="D307">IFERROR(INDEX(atlas!D:D,MATCH(A307,atlas!C:C,0)),"")</f>
        <v/>
      </c>
      <c r="E307" s="8" t="str">
        <f t="array" ref="E307">IFERROR(INDEX(atlas!F:F,MATCH(A307,atlas!C:C,0)),"")</f>
        <v/>
      </c>
      <c r="F307" s="9"/>
      <c r="G307" s="10"/>
      <c r="H307" s="11"/>
      <c r="I307" s="12" t="str">
        <f t="array" ref="I307">IFERROR(INDEX(atlas!B:B,MATCH(A307,atlas!C:C,0)),"")</f>
        <v/>
      </c>
      <c r="J307" s="8" t="str">
        <f>IFERROR(VLOOKUP(F307,tecnica!A:B,2,0),"")</f>
        <v/>
      </c>
      <c r="K307" s="8" t="str">
        <f>IFERROR(VLOOKUP(J307,tecnica!B:C,2,0),"")</f>
        <v/>
      </c>
      <c r="L307" s="13"/>
      <c r="M307" s="14" t="str">
        <f>IFERROR(VLOOKUP(I307,material!A:D,4,0),"")</f>
        <v/>
      </c>
      <c r="N307" s="14" t="str">
        <f t="shared" si="1"/>
        <v/>
      </c>
      <c r="O307" s="15" t="str">
        <f>IFERROR(VLOOKUP(I307,material!A:D,2,0),"")</f>
        <v/>
      </c>
    </row>
    <row r="308">
      <c r="A308" s="6"/>
      <c r="B308" s="7"/>
      <c r="C308" s="8" t="str">
        <f t="array" ref="C308">IFERROR(INDEX(atlas!H:H,MATCH(A308,atlas!C:C,0)),"")</f>
        <v/>
      </c>
      <c r="D308" s="8" t="str">
        <f t="array" ref="D308">IFERROR(INDEX(atlas!D:D,MATCH(A308,atlas!C:C,0)),"")</f>
        <v/>
      </c>
      <c r="E308" s="8" t="str">
        <f t="array" ref="E308">IFERROR(INDEX(atlas!F:F,MATCH(A308,atlas!C:C,0)),"")</f>
        <v/>
      </c>
      <c r="F308" s="9"/>
      <c r="G308" s="10"/>
      <c r="H308" s="11"/>
      <c r="I308" s="12" t="str">
        <f t="array" ref="I308">IFERROR(INDEX(atlas!B:B,MATCH(A308,atlas!C:C,0)),"")</f>
        <v/>
      </c>
      <c r="J308" s="8" t="str">
        <f>IFERROR(VLOOKUP(F308,tecnica!A:B,2,0),"")</f>
        <v/>
      </c>
      <c r="K308" s="8" t="str">
        <f>IFERROR(VLOOKUP(J308,tecnica!B:C,2,0),"")</f>
        <v/>
      </c>
      <c r="L308" s="13"/>
      <c r="M308" s="14" t="str">
        <f>IFERROR(VLOOKUP(I308,material!A:D,4,0),"")</f>
        <v/>
      </c>
      <c r="N308" s="14" t="str">
        <f t="shared" si="1"/>
        <v/>
      </c>
      <c r="O308" s="15" t="str">
        <f>IFERROR(VLOOKUP(I308,material!A:D,2,0),"")</f>
        <v/>
      </c>
    </row>
    <row r="309">
      <c r="A309" s="6"/>
      <c r="B309" s="7"/>
      <c r="C309" s="8" t="str">
        <f t="array" ref="C309">IFERROR(INDEX(atlas!H:H,MATCH(A309,atlas!C:C,0)),"")</f>
        <v/>
      </c>
      <c r="D309" s="8" t="str">
        <f t="array" ref="D309">IFERROR(INDEX(atlas!D:D,MATCH(A309,atlas!C:C,0)),"")</f>
        <v/>
      </c>
      <c r="E309" s="8" t="str">
        <f t="array" ref="E309">IFERROR(INDEX(atlas!F:F,MATCH(A309,atlas!C:C,0)),"")</f>
        <v/>
      </c>
      <c r="F309" s="9"/>
      <c r="G309" s="10"/>
      <c r="H309" s="11"/>
      <c r="I309" s="12" t="str">
        <f t="array" ref="I309">IFERROR(INDEX(atlas!B:B,MATCH(A309,atlas!C:C,0)),"")</f>
        <v/>
      </c>
      <c r="J309" s="8" t="str">
        <f>IFERROR(VLOOKUP(F309,tecnica!A:B,2,0),"")</f>
        <v/>
      </c>
      <c r="K309" s="8" t="str">
        <f>IFERROR(VLOOKUP(J309,tecnica!B:C,2,0),"")</f>
        <v/>
      </c>
      <c r="L309" s="13"/>
      <c r="M309" s="14" t="str">
        <f>IFERROR(VLOOKUP(I309,material!A:D,4,0),"")</f>
        <v/>
      </c>
      <c r="N309" s="14" t="str">
        <f t="shared" si="1"/>
        <v/>
      </c>
      <c r="O309" s="15" t="str">
        <f>IFERROR(VLOOKUP(I309,material!A:D,2,0),"")</f>
        <v/>
      </c>
    </row>
    <row r="310">
      <c r="A310" s="6"/>
      <c r="B310" s="7"/>
      <c r="C310" s="8" t="str">
        <f t="array" ref="C310">IFERROR(INDEX(atlas!H:H,MATCH(A310,atlas!C:C,0)),"")</f>
        <v/>
      </c>
      <c r="D310" s="8" t="str">
        <f t="array" ref="D310">IFERROR(INDEX(atlas!D:D,MATCH(A310,atlas!C:C,0)),"")</f>
        <v/>
      </c>
      <c r="E310" s="8" t="str">
        <f t="array" ref="E310">IFERROR(INDEX(atlas!F:F,MATCH(A310,atlas!C:C,0)),"")</f>
        <v/>
      </c>
      <c r="F310" s="9"/>
      <c r="G310" s="10"/>
      <c r="H310" s="11"/>
      <c r="I310" s="12" t="str">
        <f t="array" ref="I310">IFERROR(INDEX(atlas!B:B,MATCH(A310,atlas!C:C,0)),"")</f>
        <v/>
      </c>
      <c r="J310" s="8" t="str">
        <f>IFERROR(VLOOKUP(F310,tecnica!A:B,2,0),"")</f>
        <v/>
      </c>
      <c r="K310" s="8" t="str">
        <f>IFERROR(VLOOKUP(J310,tecnica!B:C,2,0),"")</f>
        <v/>
      </c>
      <c r="L310" s="13"/>
      <c r="M310" s="14" t="str">
        <f>IFERROR(VLOOKUP(I310,material!A:D,4,0),"")</f>
        <v/>
      </c>
      <c r="N310" s="14" t="str">
        <f t="shared" si="1"/>
        <v/>
      </c>
      <c r="O310" s="15" t="str">
        <f>IFERROR(VLOOKUP(I310,material!A:D,2,0),"")</f>
        <v/>
      </c>
    </row>
    <row r="311">
      <c r="A311" s="6"/>
      <c r="B311" s="7"/>
      <c r="C311" s="8" t="str">
        <f t="array" ref="C311">IFERROR(INDEX(atlas!H:H,MATCH(A311,atlas!C:C,0)),"")</f>
        <v/>
      </c>
      <c r="D311" s="8" t="str">
        <f t="array" ref="D311">IFERROR(INDEX(atlas!D:D,MATCH(A311,atlas!C:C,0)),"")</f>
        <v/>
      </c>
      <c r="E311" s="8" t="str">
        <f t="array" ref="E311">IFERROR(INDEX(atlas!F:F,MATCH(A311,atlas!C:C,0)),"")</f>
        <v/>
      </c>
      <c r="F311" s="9"/>
      <c r="G311" s="10"/>
      <c r="H311" s="11"/>
      <c r="I311" s="12" t="str">
        <f t="array" ref="I311">IFERROR(INDEX(atlas!B:B,MATCH(A311,atlas!C:C,0)),"")</f>
        <v/>
      </c>
      <c r="J311" s="8" t="str">
        <f>IFERROR(VLOOKUP(F311,tecnica!A:B,2,0),"")</f>
        <v/>
      </c>
      <c r="K311" s="8" t="str">
        <f>IFERROR(VLOOKUP(J311,tecnica!B:C,2,0),"")</f>
        <v/>
      </c>
      <c r="L311" s="13"/>
      <c r="M311" s="14" t="str">
        <f>IFERROR(VLOOKUP(I311,material!A:D,4,0),"")</f>
        <v/>
      </c>
      <c r="N311" s="14" t="str">
        <f t="shared" si="1"/>
        <v/>
      </c>
      <c r="O311" s="15" t="str">
        <f>IFERROR(VLOOKUP(I311,material!A:D,2,0),"")</f>
        <v/>
      </c>
    </row>
    <row r="312">
      <c r="A312" s="6"/>
      <c r="B312" s="7"/>
      <c r="C312" s="8" t="str">
        <f t="array" ref="C312">IFERROR(INDEX(atlas!H:H,MATCH(A312,atlas!C:C,0)),"")</f>
        <v/>
      </c>
      <c r="D312" s="8" t="str">
        <f t="array" ref="D312">IFERROR(INDEX(atlas!D:D,MATCH(A312,atlas!C:C,0)),"")</f>
        <v/>
      </c>
      <c r="E312" s="8" t="str">
        <f t="array" ref="E312">IFERROR(INDEX(atlas!F:F,MATCH(A312,atlas!C:C,0)),"")</f>
        <v/>
      </c>
      <c r="F312" s="9"/>
      <c r="G312" s="10"/>
      <c r="H312" s="11"/>
      <c r="I312" s="12" t="str">
        <f t="array" ref="I312">IFERROR(INDEX(atlas!B:B,MATCH(A312,atlas!C:C,0)),"")</f>
        <v/>
      </c>
      <c r="J312" s="8" t="str">
        <f>IFERROR(VLOOKUP(F312,tecnica!A:B,2,0),"")</f>
        <v/>
      </c>
      <c r="K312" s="8" t="str">
        <f>IFERROR(VLOOKUP(J312,tecnica!B:C,2,0),"")</f>
        <v/>
      </c>
      <c r="L312" s="13"/>
      <c r="M312" s="14" t="str">
        <f>IFERROR(VLOOKUP(I312,material!A:D,4,0),"")</f>
        <v/>
      </c>
      <c r="N312" s="14" t="str">
        <f t="shared" si="1"/>
        <v/>
      </c>
      <c r="O312" s="15" t="str">
        <f>IFERROR(VLOOKUP(I312,material!A:D,2,0),"")</f>
        <v/>
      </c>
    </row>
    <row r="313">
      <c r="A313" s="6"/>
      <c r="B313" s="7"/>
      <c r="C313" s="8" t="str">
        <f t="array" ref="C313">IFERROR(INDEX(atlas!H:H,MATCH(A313,atlas!C:C,0)),"")</f>
        <v/>
      </c>
      <c r="D313" s="8" t="str">
        <f t="array" ref="D313">IFERROR(INDEX(atlas!D:D,MATCH(A313,atlas!C:C,0)),"")</f>
        <v/>
      </c>
      <c r="E313" s="8" t="str">
        <f t="array" ref="E313">IFERROR(INDEX(atlas!F:F,MATCH(A313,atlas!C:C,0)),"")</f>
        <v/>
      </c>
      <c r="F313" s="9"/>
      <c r="G313" s="10"/>
      <c r="H313" s="11"/>
      <c r="I313" s="12" t="str">
        <f t="array" ref="I313">IFERROR(INDEX(atlas!B:B,MATCH(A313,atlas!C:C,0)),"")</f>
        <v/>
      </c>
      <c r="J313" s="8" t="str">
        <f>IFERROR(VLOOKUP(F313,tecnica!A:B,2,0),"")</f>
        <v/>
      </c>
      <c r="K313" s="8" t="str">
        <f>IFERROR(VLOOKUP(J313,tecnica!B:C,2,0),"")</f>
        <v/>
      </c>
      <c r="L313" s="13"/>
      <c r="M313" s="14" t="str">
        <f>IFERROR(VLOOKUP(I313,material!A:D,4,0),"")</f>
        <v/>
      </c>
      <c r="N313" s="14" t="str">
        <f t="shared" si="1"/>
        <v/>
      </c>
      <c r="O313" s="15" t="str">
        <f>IFERROR(VLOOKUP(I313,material!A:D,2,0),"")</f>
        <v/>
      </c>
    </row>
    <row r="314">
      <c r="A314" s="6"/>
      <c r="B314" s="7"/>
      <c r="C314" s="8" t="str">
        <f t="array" ref="C314">IFERROR(INDEX(atlas!H:H,MATCH(A314,atlas!C:C,0)),"")</f>
        <v/>
      </c>
      <c r="D314" s="8" t="str">
        <f t="array" ref="D314">IFERROR(INDEX(atlas!D:D,MATCH(A314,atlas!C:C,0)),"")</f>
        <v/>
      </c>
      <c r="E314" s="8" t="str">
        <f t="array" ref="E314">IFERROR(INDEX(atlas!F:F,MATCH(A314,atlas!C:C,0)),"")</f>
        <v/>
      </c>
      <c r="F314" s="9"/>
      <c r="G314" s="10"/>
      <c r="H314" s="11"/>
      <c r="I314" s="12" t="str">
        <f t="array" ref="I314">IFERROR(INDEX(atlas!B:B,MATCH(A314,atlas!C:C,0)),"")</f>
        <v/>
      </c>
      <c r="J314" s="8" t="str">
        <f>IFERROR(VLOOKUP(F314,tecnica!A:B,2,0),"")</f>
        <v/>
      </c>
      <c r="K314" s="8" t="str">
        <f>IFERROR(VLOOKUP(J314,tecnica!B:C,2,0),"")</f>
        <v/>
      </c>
      <c r="L314" s="13"/>
      <c r="M314" s="14" t="str">
        <f>IFERROR(VLOOKUP(I314,material!A:D,4,0),"")</f>
        <v/>
      </c>
      <c r="N314" s="14" t="str">
        <f t="shared" si="1"/>
        <v/>
      </c>
      <c r="O314" s="15" t="str">
        <f>IFERROR(VLOOKUP(I314,material!A:D,2,0),"")</f>
        <v/>
      </c>
    </row>
    <row r="315">
      <c r="A315" s="6"/>
      <c r="B315" s="7"/>
      <c r="C315" s="8" t="str">
        <f t="array" ref="C315">IFERROR(INDEX(atlas!H:H,MATCH(A315,atlas!C:C,0)),"")</f>
        <v/>
      </c>
      <c r="D315" s="8" t="str">
        <f t="array" ref="D315">IFERROR(INDEX(atlas!D:D,MATCH(A315,atlas!C:C,0)),"")</f>
        <v/>
      </c>
      <c r="E315" s="8" t="str">
        <f t="array" ref="E315">IFERROR(INDEX(atlas!F:F,MATCH(A315,atlas!C:C,0)),"")</f>
        <v/>
      </c>
      <c r="F315" s="9"/>
      <c r="G315" s="10"/>
      <c r="H315" s="11"/>
      <c r="I315" s="12" t="str">
        <f t="array" ref="I315">IFERROR(INDEX(atlas!B:B,MATCH(A315,atlas!C:C,0)),"")</f>
        <v/>
      </c>
      <c r="J315" s="8" t="str">
        <f>IFERROR(VLOOKUP(F315,tecnica!A:B,2,0),"")</f>
        <v/>
      </c>
      <c r="K315" s="8" t="str">
        <f>IFERROR(VLOOKUP(J315,tecnica!B:C,2,0),"")</f>
        <v/>
      </c>
      <c r="L315" s="13"/>
      <c r="M315" s="14" t="str">
        <f>IFERROR(VLOOKUP(I315,material!A:D,4,0),"")</f>
        <v/>
      </c>
      <c r="N315" s="14" t="str">
        <f t="shared" si="1"/>
        <v/>
      </c>
      <c r="O315" s="15" t="str">
        <f>IFERROR(VLOOKUP(I315,material!A:D,2,0),"")</f>
        <v/>
      </c>
    </row>
    <row r="316">
      <c r="A316" s="6"/>
      <c r="B316" s="7"/>
      <c r="C316" s="8" t="str">
        <f t="array" ref="C316">IFERROR(INDEX(atlas!H:H,MATCH(A316,atlas!C:C,0)),"")</f>
        <v/>
      </c>
      <c r="D316" s="8" t="str">
        <f t="array" ref="D316">IFERROR(INDEX(atlas!D:D,MATCH(A316,atlas!C:C,0)),"")</f>
        <v/>
      </c>
      <c r="E316" s="8" t="str">
        <f t="array" ref="E316">IFERROR(INDEX(atlas!F:F,MATCH(A316,atlas!C:C,0)),"")</f>
        <v/>
      </c>
      <c r="F316" s="9"/>
      <c r="G316" s="10"/>
      <c r="H316" s="11"/>
      <c r="I316" s="12" t="str">
        <f t="array" ref="I316">IFERROR(INDEX(atlas!B:B,MATCH(A316,atlas!C:C,0)),"")</f>
        <v/>
      </c>
      <c r="J316" s="8" t="str">
        <f>IFERROR(VLOOKUP(F316,tecnica!A:B,2,0),"")</f>
        <v/>
      </c>
      <c r="K316" s="8" t="str">
        <f>IFERROR(VLOOKUP(J316,tecnica!B:C,2,0),"")</f>
        <v/>
      </c>
      <c r="L316" s="13"/>
      <c r="M316" s="14" t="str">
        <f>IFERROR(VLOOKUP(I316,material!A:D,4,0),"")</f>
        <v/>
      </c>
      <c r="N316" s="14" t="str">
        <f t="shared" si="1"/>
        <v/>
      </c>
      <c r="O316" s="15" t="str">
        <f>IFERROR(VLOOKUP(I316,material!A:D,2,0),"")</f>
        <v/>
      </c>
    </row>
    <row r="317">
      <c r="A317" s="6"/>
      <c r="B317" s="7"/>
      <c r="C317" s="8" t="str">
        <f t="array" ref="C317">IFERROR(INDEX(atlas!H:H,MATCH(A317,atlas!C:C,0)),"")</f>
        <v/>
      </c>
      <c r="D317" s="8" t="str">
        <f t="array" ref="D317">IFERROR(INDEX(atlas!D:D,MATCH(A317,atlas!C:C,0)),"")</f>
        <v/>
      </c>
      <c r="E317" s="8" t="str">
        <f t="array" ref="E317">IFERROR(INDEX(atlas!F:F,MATCH(A317,atlas!C:C,0)),"")</f>
        <v/>
      </c>
      <c r="F317" s="9"/>
      <c r="G317" s="10"/>
      <c r="H317" s="11"/>
      <c r="I317" s="12" t="str">
        <f t="array" ref="I317">IFERROR(INDEX(atlas!B:B,MATCH(A317,atlas!C:C,0)),"")</f>
        <v/>
      </c>
      <c r="J317" s="8" t="str">
        <f>IFERROR(VLOOKUP(F317,tecnica!A:B,2,0),"")</f>
        <v/>
      </c>
      <c r="K317" s="8" t="str">
        <f>IFERROR(VLOOKUP(J317,tecnica!B:C,2,0),"")</f>
        <v/>
      </c>
      <c r="L317" s="13"/>
      <c r="M317" s="14" t="str">
        <f>IFERROR(VLOOKUP(I317,material!A:D,4,0),"")</f>
        <v/>
      </c>
      <c r="N317" s="14" t="str">
        <f t="shared" si="1"/>
        <v/>
      </c>
      <c r="O317" s="15" t="str">
        <f>IFERROR(VLOOKUP(I317,material!A:D,2,0),"")</f>
        <v/>
      </c>
    </row>
    <row r="318">
      <c r="A318" s="6"/>
      <c r="B318" s="7"/>
      <c r="C318" s="8" t="str">
        <f t="array" ref="C318">IFERROR(INDEX(atlas!H:H,MATCH(A318,atlas!C:C,0)),"")</f>
        <v/>
      </c>
      <c r="D318" s="8" t="str">
        <f t="array" ref="D318">IFERROR(INDEX(atlas!D:D,MATCH(A318,atlas!C:C,0)),"")</f>
        <v/>
      </c>
      <c r="E318" s="8" t="str">
        <f t="array" ref="E318">IFERROR(INDEX(atlas!F:F,MATCH(A318,atlas!C:C,0)),"")</f>
        <v/>
      </c>
      <c r="F318" s="9"/>
      <c r="G318" s="10"/>
      <c r="H318" s="11"/>
      <c r="I318" s="12" t="str">
        <f t="array" ref="I318">IFERROR(INDEX(atlas!B:B,MATCH(A318,atlas!C:C,0)),"")</f>
        <v/>
      </c>
      <c r="J318" s="8" t="str">
        <f>IFERROR(VLOOKUP(F318,tecnica!A:B,2,0),"")</f>
        <v/>
      </c>
      <c r="K318" s="8" t="str">
        <f>IFERROR(VLOOKUP(J318,tecnica!B:C,2,0),"")</f>
        <v/>
      </c>
      <c r="L318" s="13"/>
      <c r="M318" s="14" t="str">
        <f>IFERROR(VLOOKUP(I318,material!A:D,4,0),"")</f>
        <v/>
      </c>
      <c r="N318" s="14" t="str">
        <f t="shared" si="1"/>
        <v/>
      </c>
      <c r="O318" s="15" t="str">
        <f>IFERROR(VLOOKUP(I318,material!A:D,2,0),"")</f>
        <v/>
      </c>
    </row>
    <row r="319">
      <c r="A319" s="6"/>
      <c r="B319" s="7"/>
      <c r="C319" s="8" t="str">
        <f t="array" ref="C319">IFERROR(INDEX(atlas!H:H,MATCH(A319,atlas!C:C,0)),"")</f>
        <v/>
      </c>
      <c r="D319" s="8" t="str">
        <f t="array" ref="D319">IFERROR(INDEX(atlas!D:D,MATCH(A319,atlas!C:C,0)),"")</f>
        <v/>
      </c>
      <c r="E319" s="8" t="str">
        <f t="array" ref="E319">IFERROR(INDEX(atlas!F:F,MATCH(A319,atlas!C:C,0)),"")</f>
        <v/>
      </c>
      <c r="F319" s="9"/>
      <c r="G319" s="10"/>
      <c r="H319" s="11"/>
      <c r="I319" s="12" t="str">
        <f t="array" ref="I319">IFERROR(INDEX(atlas!B:B,MATCH(A319,atlas!C:C,0)),"")</f>
        <v/>
      </c>
      <c r="J319" s="8" t="str">
        <f>IFERROR(VLOOKUP(F319,tecnica!A:B,2,0),"")</f>
        <v/>
      </c>
      <c r="K319" s="8" t="str">
        <f>IFERROR(VLOOKUP(J319,tecnica!B:C,2,0),"")</f>
        <v/>
      </c>
      <c r="L319" s="13"/>
      <c r="M319" s="14" t="str">
        <f>IFERROR(VLOOKUP(I319,material!A:D,4,0),"")</f>
        <v/>
      </c>
      <c r="N319" s="14" t="str">
        <f t="shared" si="1"/>
        <v/>
      </c>
      <c r="O319" s="15" t="str">
        <f>IFERROR(VLOOKUP(I319,material!A:D,2,0),"")</f>
        <v/>
      </c>
    </row>
    <row r="320">
      <c r="A320" s="6"/>
      <c r="B320" s="7"/>
      <c r="C320" s="8" t="str">
        <f t="array" ref="C320">IFERROR(INDEX(atlas!H:H,MATCH(A320,atlas!C:C,0)),"")</f>
        <v/>
      </c>
      <c r="D320" s="8" t="str">
        <f t="array" ref="D320">IFERROR(INDEX(atlas!D:D,MATCH(A320,atlas!C:C,0)),"")</f>
        <v/>
      </c>
      <c r="E320" s="8" t="str">
        <f t="array" ref="E320">IFERROR(INDEX(atlas!F:F,MATCH(A320,atlas!C:C,0)),"")</f>
        <v/>
      </c>
      <c r="F320" s="9"/>
      <c r="G320" s="10"/>
      <c r="H320" s="11"/>
      <c r="I320" s="12" t="str">
        <f t="array" ref="I320">IFERROR(INDEX(atlas!B:B,MATCH(A320,atlas!C:C,0)),"")</f>
        <v/>
      </c>
      <c r="J320" s="8" t="str">
        <f>IFERROR(VLOOKUP(F320,tecnica!A:B,2,0),"")</f>
        <v/>
      </c>
      <c r="K320" s="8" t="str">
        <f>IFERROR(VLOOKUP(J320,tecnica!B:C,2,0),"")</f>
        <v/>
      </c>
      <c r="L320" s="13"/>
      <c r="M320" s="14" t="str">
        <f>IFERROR(VLOOKUP(I320,material!A:D,4,0),"")</f>
        <v/>
      </c>
      <c r="N320" s="14" t="str">
        <f t="shared" si="1"/>
        <v/>
      </c>
      <c r="O320" s="15" t="str">
        <f>IFERROR(VLOOKUP(I320,material!A:D,2,0),"")</f>
        <v/>
      </c>
    </row>
    <row r="321">
      <c r="A321" s="6"/>
      <c r="B321" s="7"/>
      <c r="C321" s="8" t="str">
        <f t="array" ref="C321">IFERROR(INDEX(atlas!H:H,MATCH(A321,atlas!C:C,0)),"")</f>
        <v/>
      </c>
      <c r="D321" s="8" t="str">
        <f t="array" ref="D321">IFERROR(INDEX(atlas!D:D,MATCH(A321,atlas!C:C,0)),"")</f>
        <v/>
      </c>
      <c r="E321" s="8" t="str">
        <f t="array" ref="E321">IFERROR(INDEX(atlas!F:F,MATCH(A321,atlas!C:C,0)),"")</f>
        <v/>
      </c>
      <c r="F321" s="9"/>
      <c r="G321" s="10"/>
      <c r="H321" s="11"/>
      <c r="I321" s="12" t="str">
        <f t="array" ref="I321">IFERROR(INDEX(atlas!B:B,MATCH(A321,atlas!C:C,0)),"")</f>
        <v/>
      </c>
      <c r="J321" s="8" t="str">
        <f>IFERROR(VLOOKUP(F321,tecnica!A:B,2,0),"")</f>
        <v/>
      </c>
      <c r="K321" s="8" t="str">
        <f>IFERROR(VLOOKUP(J321,tecnica!B:C,2,0),"")</f>
        <v/>
      </c>
      <c r="L321" s="13"/>
      <c r="M321" s="14" t="str">
        <f>IFERROR(VLOOKUP(I321,material!A:D,4,0),"")</f>
        <v/>
      </c>
      <c r="N321" s="14" t="str">
        <f t="shared" si="1"/>
        <v/>
      </c>
      <c r="O321" s="15" t="str">
        <f>IFERROR(VLOOKUP(I321,material!A:D,2,0),"")</f>
        <v/>
      </c>
    </row>
    <row r="322">
      <c r="A322" s="6"/>
      <c r="B322" s="7"/>
      <c r="C322" s="8" t="str">
        <f t="array" ref="C322">IFERROR(INDEX(atlas!H:H,MATCH(A322,atlas!C:C,0)),"")</f>
        <v/>
      </c>
      <c r="D322" s="8" t="str">
        <f t="array" ref="D322">IFERROR(INDEX(atlas!D:D,MATCH(A322,atlas!C:C,0)),"")</f>
        <v/>
      </c>
      <c r="E322" s="8" t="str">
        <f t="array" ref="E322">IFERROR(INDEX(atlas!F:F,MATCH(A322,atlas!C:C,0)),"")</f>
        <v/>
      </c>
      <c r="F322" s="9"/>
      <c r="G322" s="10"/>
      <c r="H322" s="11"/>
      <c r="I322" s="12" t="str">
        <f t="array" ref="I322">IFERROR(INDEX(atlas!B:B,MATCH(A322,atlas!C:C,0)),"")</f>
        <v/>
      </c>
      <c r="J322" s="8" t="str">
        <f>IFERROR(VLOOKUP(F322,tecnica!A:B,2,0),"")</f>
        <v/>
      </c>
      <c r="K322" s="8" t="str">
        <f>IFERROR(VLOOKUP(J322,tecnica!B:C,2,0),"")</f>
        <v/>
      </c>
      <c r="L322" s="13"/>
      <c r="M322" s="14" t="str">
        <f>IFERROR(VLOOKUP(I322,material!A:D,4,0),"")</f>
        <v/>
      </c>
      <c r="N322" s="14" t="str">
        <f t="shared" si="1"/>
        <v/>
      </c>
      <c r="O322" s="15" t="str">
        <f>IFERROR(VLOOKUP(I322,material!A:D,2,0),"")</f>
        <v/>
      </c>
    </row>
    <row r="323">
      <c r="A323" s="6"/>
      <c r="B323" s="7"/>
      <c r="C323" s="8" t="str">
        <f t="array" ref="C323">IFERROR(INDEX(atlas!H:H,MATCH(A323,atlas!C:C,0)),"")</f>
        <v/>
      </c>
      <c r="D323" s="8" t="str">
        <f t="array" ref="D323">IFERROR(INDEX(atlas!D:D,MATCH(A323,atlas!C:C,0)),"")</f>
        <v/>
      </c>
      <c r="E323" s="8" t="str">
        <f t="array" ref="E323">IFERROR(INDEX(atlas!F:F,MATCH(A323,atlas!C:C,0)),"")</f>
        <v/>
      </c>
      <c r="F323" s="9"/>
      <c r="G323" s="10"/>
      <c r="H323" s="11"/>
      <c r="I323" s="12" t="str">
        <f t="array" ref="I323">IFERROR(INDEX(atlas!B:B,MATCH(A323,atlas!C:C,0)),"")</f>
        <v/>
      </c>
      <c r="J323" s="8" t="str">
        <f>IFERROR(VLOOKUP(F323,tecnica!A:B,2,0),"")</f>
        <v/>
      </c>
      <c r="K323" s="8" t="str">
        <f>IFERROR(VLOOKUP(J323,tecnica!B:C,2,0),"")</f>
        <v/>
      </c>
      <c r="L323" s="13"/>
      <c r="M323" s="14" t="str">
        <f>IFERROR(VLOOKUP(I323,material!A:D,4,0),"")</f>
        <v/>
      </c>
      <c r="N323" s="14" t="str">
        <f t="shared" si="1"/>
        <v/>
      </c>
      <c r="O323" s="15" t="str">
        <f>IFERROR(VLOOKUP(I323,material!A:D,2,0),"")</f>
        <v/>
      </c>
    </row>
    <row r="324">
      <c r="A324" s="6"/>
      <c r="B324" s="7"/>
      <c r="C324" s="8" t="str">
        <f t="array" ref="C324">IFERROR(INDEX(atlas!H:H,MATCH(A324,atlas!C:C,0)),"")</f>
        <v/>
      </c>
      <c r="D324" s="8" t="str">
        <f t="array" ref="D324">IFERROR(INDEX(atlas!D:D,MATCH(A324,atlas!C:C,0)),"")</f>
        <v/>
      </c>
      <c r="E324" s="8" t="str">
        <f t="array" ref="E324">IFERROR(INDEX(atlas!F:F,MATCH(A324,atlas!C:C,0)),"")</f>
        <v/>
      </c>
      <c r="F324" s="9"/>
      <c r="G324" s="10"/>
      <c r="H324" s="11"/>
      <c r="I324" s="12" t="str">
        <f t="array" ref="I324">IFERROR(INDEX(atlas!B:B,MATCH(A324,atlas!C:C,0)),"")</f>
        <v/>
      </c>
      <c r="J324" s="8" t="str">
        <f>IFERROR(VLOOKUP(F324,tecnica!A:B,2,0),"")</f>
        <v/>
      </c>
      <c r="K324" s="8" t="str">
        <f>IFERROR(VLOOKUP(J324,tecnica!B:C,2,0),"")</f>
        <v/>
      </c>
      <c r="L324" s="13"/>
      <c r="M324" s="14" t="str">
        <f>IFERROR(VLOOKUP(I324,material!A:D,4,0),"")</f>
        <v/>
      </c>
      <c r="N324" s="14" t="str">
        <f t="shared" si="1"/>
        <v/>
      </c>
      <c r="O324" s="15" t="str">
        <f>IFERROR(VLOOKUP(I324,material!A:D,2,0),"")</f>
        <v/>
      </c>
    </row>
    <row r="325">
      <c r="A325" s="6"/>
      <c r="B325" s="7"/>
      <c r="C325" s="8" t="str">
        <f t="array" ref="C325">IFERROR(INDEX(atlas!H:H,MATCH(A325,atlas!C:C,0)),"")</f>
        <v/>
      </c>
      <c r="D325" s="8" t="str">
        <f t="array" ref="D325">IFERROR(INDEX(atlas!D:D,MATCH(A325,atlas!C:C,0)),"")</f>
        <v/>
      </c>
      <c r="E325" s="8" t="str">
        <f t="array" ref="E325">IFERROR(INDEX(atlas!F:F,MATCH(A325,atlas!C:C,0)),"")</f>
        <v/>
      </c>
      <c r="F325" s="9"/>
      <c r="G325" s="10"/>
      <c r="H325" s="11"/>
      <c r="I325" s="12" t="str">
        <f t="array" ref="I325">IFERROR(INDEX(atlas!B:B,MATCH(A325,atlas!C:C,0)),"")</f>
        <v/>
      </c>
      <c r="J325" s="8" t="str">
        <f>IFERROR(VLOOKUP(F325,tecnica!A:B,2,0),"")</f>
        <v/>
      </c>
      <c r="K325" s="8" t="str">
        <f>IFERROR(VLOOKUP(J325,tecnica!B:C,2,0),"")</f>
        <v/>
      </c>
      <c r="L325" s="13"/>
      <c r="M325" s="14" t="str">
        <f>IFERROR(VLOOKUP(I325,material!A:D,4,0),"")</f>
        <v/>
      </c>
      <c r="N325" s="14" t="str">
        <f t="shared" si="1"/>
        <v/>
      </c>
      <c r="O325" s="15" t="str">
        <f>IFERROR(VLOOKUP(I325,material!A:D,2,0),"")</f>
        <v/>
      </c>
    </row>
    <row r="326">
      <c r="A326" s="6"/>
      <c r="B326" s="7"/>
      <c r="C326" s="8" t="str">
        <f t="array" ref="C326">IFERROR(INDEX(atlas!H:H,MATCH(A326,atlas!C:C,0)),"")</f>
        <v/>
      </c>
      <c r="D326" s="8" t="str">
        <f t="array" ref="D326">IFERROR(INDEX(atlas!D:D,MATCH(A326,atlas!C:C,0)),"")</f>
        <v/>
      </c>
      <c r="E326" s="8" t="str">
        <f t="array" ref="E326">IFERROR(INDEX(atlas!F:F,MATCH(A326,atlas!C:C,0)),"")</f>
        <v/>
      </c>
      <c r="F326" s="9"/>
      <c r="G326" s="10"/>
      <c r="H326" s="11"/>
      <c r="I326" s="12" t="str">
        <f t="array" ref="I326">IFERROR(INDEX(atlas!B:B,MATCH(A326,atlas!C:C,0)),"")</f>
        <v/>
      </c>
      <c r="J326" s="8" t="str">
        <f>IFERROR(VLOOKUP(F326,tecnica!A:B,2,0),"")</f>
        <v/>
      </c>
      <c r="K326" s="8" t="str">
        <f>IFERROR(VLOOKUP(J326,tecnica!B:C,2,0),"")</f>
        <v/>
      </c>
      <c r="L326" s="13"/>
      <c r="M326" s="14" t="str">
        <f>IFERROR(VLOOKUP(I326,material!A:D,4,0),"")</f>
        <v/>
      </c>
      <c r="N326" s="14" t="str">
        <f t="shared" si="1"/>
        <v/>
      </c>
      <c r="O326" s="15" t="str">
        <f>IFERROR(VLOOKUP(I326,material!A:D,2,0),"")</f>
        <v/>
      </c>
    </row>
    <row r="327">
      <c r="A327" s="6"/>
      <c r="B327" s="7"/>
      <c r="C327" s="8" t="str">
        <f t="array" ref="C327">IFERROR(INDEX(atlas!H:H,MATCH(A327,atlas!C:C,0)),"")</f>
        <v/>
      </c>
      <c r="D327" s="8" t="str">
        <f t="array" ref="D327">IFERROR(INDEX(atlas!D:D,MATCH(A327,atlas!C:C,0)),"")</f>
        <v/>
      </c>
      <c r="E327" s="8" t="str">
        <f t="array" ref="E327">IFERROR(INDEX(atlas!F:F,MATCH(A327,atlas!C:C,0)),"")</f>
        <v/>
      </c>
      <c r="F327" s="9"/>
      <c r="G327" s="10"/>
      <c r="H327" s="11"/>
      <c r="I327" s="12" t="str">
        <f t="array" ref="I327">IFERROR(INDEX(atlas!B:B,MATCH(A327,atlas!C:C,0)),"")</f>
        <v/>
      </c>
      <c r="J327" s="8" t="str">
        <f>IFERROR(VLOOKUP(F327,tecnica!A:B,2,0),"")</f>
        <v/>
      </c>
      <c r="K327" s="8" t="str">
        <f>IFERROR(VLOOKUP(J327,tecnica!B:C,2,0),"")</f>
        <v/>
      </c>
      <c r="L327" s="13"/>
      <c r="M327" s="14" t="str">
        <f>IFERROR(VLOOKUP(I327,material!A:D,4,0),"")</f>
        <v/>
      </c>
      <c r="N327" s="14" t="str">
        <f t="shared" si="1"/>
        <v/>
      </c>
      <c r="O327" s="15" t="str">
        <f>IFERROR(VLOOKUP(I327,material!A:D,2,0),"")</f>
        <v/>
      </c>
    </row>
    <row r="328">
      <c r="A328" s="6"/>
      <c r="B328" s="7"/>
      <c r="C328" s="8" t="str">
        <f t="array" ref="C328">IFERROR(INDEX(atlas!H:H,MATCH(A328,atlas!C:C,0)),"")</f>
        <v/>
      </c>
      <c r="D328" s="8" t="str">
        <f t="array" ref="D328">IFERROR(INDEX(atlas!D:D,MATCH(A328,atlas!C:C,0)),"")</f>
        <v/>
      </c>
      <c r="E328" s="8" t="str">
        <f t="array" ref="E328">IFERROR(INDEX(atlas!F:F,MATCH(A328,atlas!C:C,0)),"")</f>
        <v/>
      </c>
      <c r="F328" s="9"/>
      <c r="G328" s="10"/>
      <c r="H328" s="11"/>
      <c r="I328" s="12" t="str">
        <f t="array" ref="I328">IFERROR(INDEX(atlas!B:B,MATCH(A328,atlas!C:C,0)),"")</f>
        <v/>
      </c>
      <c r="J328" s="8" t="str">
        <f>IFERROR(VLOOKUP(F328,tecnica!A:B,2,0),"")</f>
        <v/>
      </c>
      <c r="K328" s="8" t="str">
        <f>IFERROR(VLOOKUP(J328,tecnica!B:C,2,0),"")</f>
        <v/>
      </c>
      <c r="L328" s="13"/>
      <c r="M328" s="14" t="str">
        <f>IFERROR(VLOOKUP(I328,material!A:D,4,0),"")</f>
        <v/>
      </c>
      <c r="N328" s="14" t="str">
        <f t="shared" si="1"/>
        <v/>
      </c>
      <c r="O328" s="15" t="str">
        <f>IFERROR(VLOOKUP(I328,material!A:D,2,0),"")</f>
        <v/>
      </c>
    </row>
    <row r="329">
      <c r="A329" s="6"/>
      <c r="B329" s="7"/>
      <c r="C329" s="8" t="str">
        <f t="array" ref="C329">IFERROR(INDEX(atlas!H:H,MATCH(A329,atlas!C:C,0)),"")</f>
        <v/>
      </c>
      <c r="D329" s="8" t="str">
        <f t="array" ref="D329">IFERROR(INDEX(atlas!D:D,MATCH(A329,atlas!C:C,0)),"")</f>
        <v/>
      </c>
      <c r="E329" s="8" t="str">
        <f t="array" ref="E329">IFERROR(INDEX(atlas!F:F,MATCH(A329,atlas!C:C,0)),"")</f>
        <v/>
      </c>
      <c r="F329" s="9"/>
      <c r="G329" s="10"/>
      <c r="H329" s="11"/>
      <c r="I329" s="12" t="str">
        <f t="array" ref="I329">IFERROR(INDEX(atlas!B:B,MATCH(A329,atlas!C:C,0)),"")</f>
        <v/>
      </c>
      <c r="J329" s="8" t="str">
        <f>IFERROR(VLOOKUP(F329,tecnica!A:B,2,0),"")</f>
        <v/>
      </c>
      <c r="K329" s="8" t="str">
        <f>IFERROR(VLOOKUP(J329,tecnica!B:C,2,0),"")</f>
        <v/>
      </c>
      <c r="L329" s="13"/>
      <c r="M329" s="14" t="str">
        <f>IFERROR(VLOOKUP(I329,material!A:D,4,0),"")</f>
        <v/>
      </c>
      <c r="N329" s="14" t="str">
        <f t="shared" si="1"/>
        <v/>
      </c>
      <c r="O329" s="15" t="str">
        <f>IFERROR(VLOOKUP(I329,material!A:D,2,0),"")</f>
        <v/>
      </c>
    </row>
    <row r="330">
      <c r="A330" s="6"/>
      <c r="B330" s="7"/>
      <c r="C330" s="8" t="str">
        <f t="array" ref="C330">IFERROR(INDEX(atlas!H:H,MATCH(A330,atlas!C:C,0)),"")</f>
        <v/>
      </c>
      <c r="D330" s="8" t="str">
        <f t="array" ref="D330">IFERROR(INDEX(atlas!D:D,MATCH(A330,atlas!C:C,0)),"")</f>
        <v/>
      </c>
      <c r="E330" s="8" t="str">
        <f t="array" ref="E330">IFERROR(INDEX(atlas!F:F,MATCH(A330,atlas!C:C,0)),"")</f>
        <v/>
      </c>
      <c r="F330" s="9"/>
      <c r="G330" s="10"/>
      <c r="H330" s="11"/>
      <c r="I330" s="12" t="str">
        <f t="array" ref="I330">IFERROR(INDEX(atlas!B:B,MATCH(A330,atlas!C:C,0)),"")</f>
        <v/>
      </c>
      <c r="J330" s="8" t="str">
        <f>IFERROR(VLOOKUP(F330,tecnica!A:B,2,0),"")</f>
        <v/>
      </c>
      <c r="K330" s="8" t="str">
        <f>IFERROR(VLOOKUP(J330,tecnica!B:C,2,0),"")</f>
        <v/>
      </c>
      <c r="L330" s="13"/>
      <c r="M330" s="14" t="str">
        <f>IFERROR(VLOOKUP(I330,material!A:D,4,0),"")</f>
        <v/>
      </c>
      <c r="N330" s="14" t="str">
        <f t="shared" si="1"/>
        <v/>
      </c>
      <c r="O330" s="15" t="str">
        <f>IFERROR(VLOOKUP(I330,material!A:D,2,0),"")</f>
        <v/>
      </c>
    </row>
    <row r="331">
      <c r="A331" s="6"/>
      <c r="B331" s="7"/>
      <c r="C331" s="8" t="str">
        <f t="array" ref="C331">IFERROR(INDEX(atlas!H:H,MATCH(A331,atlas!C:C,0)),"")</f>
        <v/>
      </c>
      <c r="D331" s="8" t="str">
        <f t="array" ref="D331">IFERROR(INDEX(atlas!D:D,MATCH(A331,atlas!C:C,0)),"")</f>
        <v/>
      </c>
      <c r="E331" s="8" t="str">
        <f t="array" ref="E331">IFERROR(INDEX(atlas!F:F,MATCH(A331,atlas!C:C,0)),"")</f>
        <v/>
      </c>
      <c r="F331" s="9"/>
      <c r="G331" s="10"/>
      <c r="H331" s="11"/>
      <c r="I331" s="12" t="str">
        <f t="array" ref="I331">IFERROR(INDEX(atlas!B:B,MATCH(A331,atlas!C:C,0)),"")</f>
        <v/>
      </c>
      <c r="J331" s="8" t="str">
        <f>IFERROR(VLOOKUP(F331,tecnica!A:B,2,0),"")</f>
        <v/>
      </c>
      <c r="K331" s="8" t="str">
        <f>IFERROR(VLOOKUP(J331,tecnica!B:C,2,0),"")</f>
        <v/>
      </c>
      <c r="L331" s="13"/>
      <c r="M331" s="14" t="str">
        <f>IFERROR(VLOOKUP(I331,material!A:D,4,0),"")</f>
        <v/>
      </c>
      <c r="N331" s="14" t="str">
        <f t="shared" si="1"/>
        <v/>
      </c>
      <c r="O331" s="15" t="str">
        <f>IFERROR(VLOOKUP(I331,material!A:D,2,0),"")</f>
        <v/>
      </c>
    </row>
    <row r="332">
      <c r="A332" s="6"/>
      <c r="B332" s="7"/>
      <c r="C332" s="8" t="str">
        <f t="array" ref="C332">IFERROR(INDEX(atlas!H:H,MATCH(A332,atlas!C:C,0)),"")</f>
        <v/>
      </c>
      <c r="D332" s="8" t="str">
        <f t="array" ref="D332">IFERROR(INDEX(atlas!D:D,MATCH(A332,atlas!C:C,0)),"")</f>
        <v/>
      </c>
      <c r="E332" s="8" t="str">
        <f t="array" ref="E332">IFERROR(INDEX(atlas!F:F,MATCH(A332,atlas!C:C,0)),"")</f>
        <v/>
      </c>
      <c r="F332" s="9"/>
      <c r="G332" s="10"/>
      <c r="H332" s="11"/>
      <c r="I332" s="12" t="str">
        <f t="array" ref="I332">IFERROR(INDEX(atlas!B:B,MATCH(A332,atlas!C:C,0)),"")</f>
        <v/>
      </c>
      <c r="J332" s="8" t="str">
        <f>IFERROR(VLOOKUP(F332,tecnica!A:B,2,0),"")</f>
        <v/>
      </c>
      <c r="K332" s="8" t="str">
        <f>IFERROR(VLOOKUP(J332,tecnica!B:C,2,0),"")</f>
        <v/>
      </c>
      <c r="L332" s="13"/>
      <c r="M332" s="14" t="str">
        <f>IFERROR(VLOOKUP(I332,material!A:D,4,0),"")</f>
        <v/>
      </c>
      <c r="N332" s="14" t="str">
        <f t="shared" si="1"/>
        <v/>
      </c>
      <c r="O332" s="15" t="str">
        <f>IFERROR(VLOOKUP(I332,material!A:D,2,0),"")</f>
        <v/>
      </c>
    </row>
    <row r="333">
      <c r="A333" s="6"/>
      <c r="B333" s="7"/>
      <c r="C333" s="8" t="str">
        <f t="array" ref="C333">IFERROR(INDEX(atlas!H:H,MATCH(A333,atlas!C:C,0)),"")</f>
        <v/>
      </c>
      <c r="D333" s="8" t="str">
        <f t="array" ref="D333">IFERROR(INDEX(atlas!D:D,MATCH(A333,atlas!C:C,0)),"")</f>
        <v/>
      </c>
      <c r="E333" s="8" t="str">
        <f t="array" ref="E333">IFERROR(INDEX(atlas!F:F,MATCH(A333,atlas!C:C,0)),"")</f>
        <v/>
      </c>
      <c r="F333" s="9"/>
      <c r="G333" s="10"/>
      <c r="H333" s="11"/>
      <c r="I333" s="12" t="str">
        <f t="array" ref="I333">IFERROR(INDEX(atlas!B:B,MATCH(A333,atlas!C:C,0)),"")</f>
        <v/>
      </c>
      <c r="J333" s="8" t="str">
        <f>IFERROR(VLOOKUP(F333,tecnica!A:B,2,0),"")</f>
        <v/>
      </c>
      <c r="K333" s="8" t="str">
        <f>IFERROR(VLOOKUP(J333,tecnica!B:C,2,0),"")</f>
        <v/>
      </c>
      <c r="L333" s="13"/>
      <c r="M333" s="14" t="str">
        <f>IFERROR(VLOOKUP(I333,material!A:D,4,0),"")</f>
        <v/>
      </c>
      <c r="N333" s="14" t="str">
        <f t="shared" si="1"/>
        <v/>
      </c>
      <c r="O333" s="15" t="str">
        <f>IFERROR(VLOOKUP(I333,material!A:D,2,0),"")</f>
        <v/>
      </c>
    </row>
    <row r="334">
      <c r="A334" s="6"/>
      <c r="B334" s="7"/>
      <c r="C334" s="8" t="str">
        <f t="array" ref="C334">IFERROR(INDEX(atlas!H:H,MATCH(A334,atlas!C:C,0)),"")</f>
        <v/>
      </c>
      <c r="D334" s="8" t="str">
        <f t="array" ref="D334">IFERROR(INDEX(atlas!D:D,MATCH(A334,atlas!C:C,0)),"")</f>
        <v/>
      </c>
      <c r="E334" s="8" t="str">
        <f t="array" ref="E334">IFERROR(INDEX(atlas!F:F,MATCH(A334,atlas!C:C,0)),"")</f>
        <v/>
      </c>
      <c r="F334" s="9"/>
      <c r="G334" s="10"/>
      <c r="H334" s="11"/>
      <c r="I334" s="12" t="str">
        <f t="array" ref="I334">IFERROR(INDEX(atlas!B:B,MATCH(A334,atlas!C:C,0)),"")</f>
        <v/>
      </c>
      <c r="J334" s="8" t="str">
        <f>IFERROR(VLOOKUP(F334,tecnica!A:B,2,0),"")</f>
        <v/>
      </c>
      <c r="K334" s="8" t="str">
        <f>IFERROR(VLOOKUP(J334,tecnica!B:C,2,0),"")</f>
        <v/>
      </c>
      <c r="L334" s="13"/>
      <c r="M334" s="14" t="str">
        <f>IFERROR(VLOOKUP(I334,material!A:D,4,0),"")</f>
        <v/>
      </c>
      <c r="N334" s="14" t="str">
        <f t="shared" si="1"/>
        <v/>
      </c>
      <c r="O334" s="15" t="str">
        <f>IFERROR(VLOOKUP(I334,material!A:D,2,0),"")</f>
        <v/>
      </c>
    </row>
    <row r="335">
      <c r="A335" s="6"/>
      <c r="B335" s="7"/>
      <c r="C335" s="8" t="str">
        <f t="array" ref="C335">IFERROR(INDEX(atlas!H:H,MATCH(A335,atlas!C:C,0)),"")</f>
        <v/>
      </c>
      <c r="D335" s="8" t="str">
        <f t="array" ref="D335">IFERROR(INDEX(atlas!D:D,MATCH(A335,atlas!C:C,0)),"")</f>
        <v/>
      </c>
      <c r="E335" s="8" t="str">
        <f t="array" ref="E335">IFERROR(INDEX(atlas!F:F,MATCH(A335,atlas!C:C,0)),"")</f>
        <v/>
      </c>
      <c r="F335" s="9"/>
      <c r="G335" s="10"/>
      <c r="H335" s="11"/>
      <c r="I335" s="12" t="str">
        <f t="array" ref="I335">IFERROR(INDEX(atlas!B:B,MATCH(A335,atlas!C:C,0)),"")</f>
        <v/>
      </c>
      <c r="J335" s="8" t="str">
        <f>IFERROR(VLOOKUP(F335,tecnica!A:B,2,0),"")</f>
        <v/>
      </c>
      <c r="K335" s="8" t="str">
        <f>IFERROR(VLOOKUP(J335,tecnica!B:C,2,0),"")</f>
        <v/>
      </c>
      <c r="L335" s="13"/>
      <c r="M335" s="14" t="str">
        <f>IFERROR(VLOOKUP(I335,material!A:D,4,0),"")</f>
        <v/>
      </c>
      <c r="N335" s="14" t="str">
        <f t="shared" si="1"/>
        <v/>
      </c>
      <c r="O335" s="15" t="str">
        <f>IFERROR(VLOOKUP(I335,material!A:D,2,0),"")</f>
        <v/>
      </c>
    </row>
    <row r="336">
      <c r="A336" s="6"/>
      <c r="B336" s="7"/>
      <c r="C336" s="8" t="str">
        <f t="array" ref="C336">IFERROR(INDEX(atlas!H:H,MATCH(A336,atlas!C:C,0)),"")</f>
        <v/>
      </c>
      <c r="D336" s="8" t="str">
        <f t="array" ref="D336">IFERROR(INDEX(atlas!D:D,MATCH(A336,atlas!C:C,0)),"")</f>
        <v/>
      </c>
      <c r="E336" s="8" t="str">
        <f t="array" ref="E336">IFERROR(INDEX(atlas!F:F,MATCH(A336,atlas!C:C,0)),"")</f>
        <v/>
      </c>
      <c r="F336" s="9"/>
      <c r="G336" s="10"/>
      <c r="H336" s="11"/>
      <c r="I336" s="12" t="str">
        <f t="array" ref="I336">IFERROR(INDEX(atlas!B:B,MATCH(A336,atlas!C:C,0)),"")</f>
        <v/>
      </c>
      <c r="J336" s="8" t="str">
        <f>IFERROR(VLOOKUP(F336,tecnica!A:B,2,0),"")</f>
        <v/>
      </c>
      <c r="K336" s="8" t="str">
        <f>IFERROR(VLOOKUP(J336,tecnica!B:C,2,0),"")</f>
        <v/>
      </c>
      <c r="L336" s="13"/>
      <c r="M336" s="14" t="str">
        <f>IFERROR(VLOOKUP(I336,material!A:D,4,0),"")</f>
        <v/>
      </c>
      <c r="N336" s="14" t="str">
        <f t="shared" si="1"/>
        <v/>
      </c>
      <c r="O336" s="15" t="str">
        <f>IFERROR(VLOOKUP(I336,material!A:D,2,0),"")</f>
        <v/>
      </c>
    </row>
    <row r="337">
      <c r="A337" s="6"/>
      <c r="B337" s="7"/>
      <c r="C337" s="8" t="str">
        <f t="array" ref="C337">IFERROR(INDEX(atlas!H:H,MATCH(A337,atlas!C:C,0)),"")</f>
        <v/>
      </c>
      <c r="D337" s="8" t="str">
        <f t="array" ref="D337">IFERROR(INDEX(atlas!D:D,MATCH(A337,atlas!C:C,0)),"")</f>
        <v/>
      </c>
      <c r="E337" s="8" t="str">
        <f t="array" ref="E337">IFERROR(INDEX(atlas!F:F,MATCH(A337,atlas!C:C,0)),"")</f>
        <v/>
      </c>
      <c r="F337" s="9"/>
      <c r="G337" s="10"/>
      <c r="H337" s="11"/>
      <c r="I337" s="12" t="str">
        <f t="array" ref="I337">IFERROR(INDEX(atlas!B:B,MATCH(A337,atlas!C:C,0)),"")</f>
        <v/>
      </c>
      <c r="J337" s="8" t="str">
        <f>IFERROR(VLOOKUP(F337,tecnica!A:B,2,0),"")</f>
        <v/>
      </c>
      <c r="K337" s="8" t="str">
        <f>IFERROR(VLOOKUP(J337,tecnica!B:C,2,0),"")</f>
        <v/>
      </c>
      <c r="L337" s="13"/>
      <c r="M337" s="14" t="str">
        <f>IFERROR(VLOOKUP(I337,material!A:D,4,0),"")</f>
        <v/>
      </c>
      <c r="N337" s="14" t="str">
        <f t="shared" si="1"/>
        <v/>
      </c>
      <c r="O337" s="15" t="str">
        <f>IFERROR(VLOOKUP(I337,material!A:D,2,0),"")</f>
        <v/>
      </c>
    </row>
    <row r="338">
      <c r="A338" s="6"/>
      <c r="B338" s="7"/>
      <c r="C338" s="8" t="str">
        <f t="array" ref="C338">IFERROR(INDEX(atlas!H:H,MATCH(A338,atlas!C:C,0)),"")</f>
        <v/>
      </c>
      <c r="D338" s="8" t="str">
        <f t="array" ref="D338">IFERROR(INDEX(atlas!D:D,MATCH(A338,atlas!C:C,0)),"")</f>
        <v/>
      </c>
      <c r="E338" s="8" t="str">
        <f t="array" ref="E338">IFERROR(INDEX(atlas!F:F,MATCH(A338,atlas!C:C,0)),"")</f>
        <v/>
      </c>
      <c r="F338" s="9"/>
      <c r="G338" s="10"/>
      <c r="H338" s="11"/>
      <c r="I338" s="12" t="str">
        <f t="array" ref="I338">IFERROR(INDEX(atlas!B:B,MATCH(A338,atlas!C:C,0)),"")</f>
        <v/>
      </c>
      <c r="J338" s="8" t="str">
        <f>IFERROR(VLOOKUP(F338,tecnica!A:B,2,0),"")</f>
        <v/>
      </c>
      <c r="K338" s="8" t="str">
        <f>IFERROR(VLOOKUP(J338,tecnica!B:C,2,0),"")</f>
        <v/>
      </c>
      <c r="L338" s="13"/>
      <c r="M338" s="14" t="str">
        <f>IFERROR(VLOOKUP(I338,material!A:D,4,0),"")</f>
        <v/>
      </c>
      <c r="N338" s="14" t="str">
        <f t="shared" si="1"/>
        <v/>
      </c>
      <c r="O338" s="15" t="str">
        <f>IFERROR(VLOOKUP(I338,material!A:D,2,0),"")</f>
        <v/>
      </c>
    </row>
    <row r="339">
      <c r="A339" s="6"/>
      <c r="B339" s="7"/>
      <c r="C339" s="8" t="str">
        <f t="array" ref="C339">IFERROR(INDEX(atlas!H:H,MATCH(A339,atlas!C:C,0)),"")</f>
        <v/>
      </c>
      <c r="D339" s="8" t="str">
        <f t="array" ref="D339">IFERROR(INDEX(atlas!D:D,MATCH(A339,atlas!C:C,0)),"")</f>
        <v/>
      </c>
      <c r="E339" s="8" t="str">
        <f t="array" ref="E339">IFERROR(INDEX(atlas!F:F,MATCH(A339,atlas!C:C,0)),"")</f>
        <v/>
      </c>
      <c r="F339" s="9"/>
      <c r="G339" s="10"/>
      <c r="H339" s="11"/>
      <c r="I339" s="12" t="str">
        <f t="array" ref="I339">IFERROR(INDEX(atlas!B:B,MATCH(A339,atlas!C:C,0)),"")</f>
        <v/>
      </c>
      <c r="J339" s="8" t="str">
        <f>IFERROR(VLOOKUP(F339,tecnica!A:B,2,0),"")</f>
        <v/>
      </c>
      <c r="K339" s="8" t="str">
        <f>IFERROR(VLOOKUP(J339,tecnica!B:C,2,0),"")</f>
        <v/>
      </c>
      <c r="L339" s="13"/>
      <c r="M339" s="14" t="str">
        <f>IFERROR(VLOOKUP(I339,material!A:D,4,0),"")</f>
        <v/>
      </c>
      <c r="N339" s="14" t="str">
        <f t="shared" si="1"/>
        <v/>
      </c>
      <c r="O339" s="15" t="str">
        <f>IFERROR(VLOOKUP(I339,material!A:D,2,0),"")</f>
        <v/>
      </c>
    </row>
    <row r="340">
      <c r="A340" s="6"/>
      <c r="B340" s="7"/>
      <c r="C340" s="8" t="str">
        <f t="array" ref="C340">IFERROR(INDEX(atlas!H:H,MATCH(A340,atlas!C:C,0)),"")</f>
        <v/>
      </c>
      <c r="D340" s="8" t="str">
        <f t="array" ref="D340">IFERROR(INDEX(atlas!D:D,MATCH(A340,atlas!C:C,0)),"")</f>
        <v/>
      </c>
      <c r="E340" s="8" t="str">
        <f t="array" ref="E340">IFERROR(INDEX(atlas!F:F,MATCH(A340,atlas!C:C,0)),"")</f>
        <v/>
      </c>
      <c r="F340" s="9"/>
      <c r="G340" s="10"/>
      <c r="H340" s="11"/>
      <c r="I340" s="12" t="str">
        <f t="array" ref="I340">IFERROR(INDEX(atlas!B:B,MATCH(A340,atlas!C:C,0)),"")</f>
        <v/>
      </c>
      <c r="J340" s="8" t="str">
        <f>IFERROR(VLOOKUP(F340,tecnica!A:B,2,0),"")</f>
        <v/>
      </c>
      <c r="K340" s="8" t="str">
        <f>IFERROR(VLOOKUP(J340,tecnica!B:C,2,0),"")</f>
        <v/>
      </c>
      <c r="L340" s="13"/>
      <c r="M340" s="14" t="str">
        <f>IFERROR(VLOOKUP(I340,material!A:D,4,0),"")</f>
        <v/>
      </c>
      <c r="N340" s="14" t="str">
        <f t="shared" si="1"/>
        <v/>
      </c>
      <c r="O340" s="15" t="str">
        <f>IFERROR(VLOOKUP(I340,material!A:D,2,0),"")</f>
        <v/>
      </c>
    </row>
    <row r="341">
      <c r="A341" s="6"/>
      <c r="B341" s="7"/>
      <c r="C341" s="8" t="str">
        <f t="array" ref="C341">IFERROR(INDEX(atlas!H:H,MATCH(A341,atlas!C:C,0)),"")</f>
        <v/>
      </c>
      <c r="D341" s="8" t="str">
        <f t="array" ref="D341">IFERROR(INDEX(atlas!D:D,MATCH(A341,atlas!C:C,0)),"")</f>
        <v/>
      </c>
      <c r="E341" s="8" t="str">
        <f t="array" ref="E341">IFERROR(INDEX(atlas!F:F,MATCH(A341,atlas!C:C,0)),"")</f>
        <v/>
      </c>
      <c r="F341" s="9"/>
      <c r="G341" s="10"/>
      <c r="H341" s="11"/>
      <c r="I341" s="12" t="str">
        <f t="array" ref="I341">IFERROR(INDEX(atlas!B:B,MATCH(A341,atlas!C:C,0)),"")</f>
        <v/>
      </c>
      <c r="J341" s="8" t="str">
        <f>IFERROR(VLOOKUP(F341,tecnica!A:B,2,0),"")</f>
        <v/>
      </c>
      <c r="K341" s="8" t="str">
        <f>IFERROR(VLOOKUP(J341,tecnica!B:C,2,0),"")</f>
        <v/>
      </c>
      <c r="L341" s="13"/>
      <c r="M341" s="14" t="str">
        <f>IFERROR(VLOOKUP(I341,material!A:D,4,0),"")</f>
        <v/>
      </c>
      <c r="N341" s="14" t="str">
        <f t="shared" si="1"/>
        <v/>
      </c>
      <c r="O341" s="15" t="str">
        <f>IFERROR(VLOOKUP(I341,material!A:D,2,0),"")</f>
        <v/>
      </c>
    </row>
    <row r="342">
      <c r="A342" s="6"/>
      <c r="B342" s="7"/>
      <c r="C342" s="8" t="str">
        <f t="array" ref="C342">IFERROR(INDEX(atlas!H:H,MATCH(A342,atlas!C:C,0)),"")</f>
        <v/>
      </c>
      <c r="D342" s="8" t="str">
        <f t="array" ref="D342">IFERROR(INDEX(atlas!D:D,MATCH(A342,atlas!C:C,0)),"")</f>
        <v/>
      </c>
      <c r="E342" s="8" t="str">
        <f t="array" ref="E342">IFERROR(INDEX(atlas!F:F,MATCH(A342,atlas!C:C,0)),"")</f>
        <v/>
      </c>
      <c r="F342" s="9"/>
      <c r="G342" s="10"/>
      <c r="H342" s="11"/>
      <c r="I342" s="12" t="str">
        <f t="array" ref="I342">IFERROR(INDEX(atlas!B:B,MATCH(A342,atlas!C:C,0)),"")</f>
        <v/>
      </c>
      <c r="J342" s="8" t="str">
        <f>IFERROR(VLOOKUP(F342,tecnica!A:B,2,0),"")</f>
        <v/>
      </c>
      <c r="K342" s="8" t="str">
        <f>IFERROR(VLOOKUP(J342,tecnica!B:C,2,0),"")</f>
        <v/>
      </c>
      <c r="L342" s="13"/>
      <c r="M342" s="14" t="str">
        <f>IFERROR(VLOOKUP(I342,material!A:D,4,0),"")</f>
        <v/>
      </c>
      <c r="N342" s="14" t="str">
        <f t="shared" si="1"/>
        <v/>
      </c>
      <c r="O342" s="15" t="str">
        <f>IFERROR(VLOOKUP(I342,material!A:D,2,0),"")</f>
        <v/>
      </c>
    </row>
    <row r="343">
      <c r="A343" s="6"/>
      <c r="B343" s="7"/>
      <c r="C343" s="8" t="str">
        <f t="array" ref="C343">IFERROR(INDEX(atlas!H:H,MATCH(A343,atlas!C:C,0)),"")</f>
        <v/>
      </c>
      <c r="D343" s="8" t="str">
        <f t="array" ref="D343">IFERROR(INDEX(atlas!D:D,MATCH(A343,atlas!C:C,0)),"")</f>
        <v/>
      </c>
      <c r="E343" s="8" t="str">
        <f t="array" ref="E343">IFERROR(INDEX(atlas!F:F,MATCH(A343,atlas!C:C,0)),"")</f>
        <v/>
      </c>
      <c r="F343" s="9"/>
      <c r="G343" s="10"/>
      <c r="H343" s="11"/>
      <c r="I343" s="12" t="str">
        <f t="array" ref="I343">IFERROR(INDEX(atlas!B:B,MATCH(A343,atlas!C:C,0)),"")</f>
        <v/>
      </c>
      <c r="J343" s="8" t="str">
        <f>IFERROR(VLOOKUP(F343,tecnica!A:B,2,0),"")</f>
        <v/>
      </c>
      <c r="K343" s="8" t="str">
        <f>IFERROR(VLOOKUP(J343,tecnica!B:C,2,0),"")</f>
        <v/>
      </c>
      <c r="L343" s="13"/>
      <c r="M343" s="14" t="str">
        <f>IFERROR(VLOOKUP(I343,material!A:D,4,0),"")</f>
        <v/>
      </c>
      <c r="N343" s="14" t="str">
        <f t="shared" si="1"/>
        <v/>
      </c>
      <c r="O343" s="15" t="str">
        <f>IFERROR(VLOOKUP(I343,material!A:D,2,0),"")</f>
        <v/>
      </c>
    </row>
    <row r="344">
      <c r="A344" s="6"/>
      <c r="B344" s="7"/>
      <c r="C344" s="8" t="str">
        <f t="array" ref="C344">IFERROR(INDEX(atlas!H:H,MATCH(A344,atlas!C:C,0)),"")</f>
        <v/>
      </c>
      <c r="D344" s="8" t="str">
        <f t="array" ref="D344">IFERROR(INDEX(atlas!D:D,MATCH(A344,atlas!C:C,0)),"")</f>
        <v/>
      </c>
      <c r="E344" s="8" t="str">
        <f t="array" ref="E344">IFERROR(INDEX(atlas!F:F,MATCH(A344,atlas!C:C,0)),"")</f>
        <v/>
      </c>
      <c r="F344" s="9"/>
      <c r="G344" s="10"/>
      <c r="H344" s="11"/>
      <c r="I344" s="12" t="str">
        <f t="array" ref="I344">IFERROR(INDEX(atlas!B:B,MATCH(A344,atlas!C:C,0)),"")</f>
        <v/>
      </c>
      <c r="J344" s="8" t="str">
        <f>IFERROR(VLOOKUP(F344,tecnica!A:B,2,0),"")</f>
        <v/>
      </c>
      <c r="K344" s="8" t="str">
        <f>IFERROR(VLOOKUP(J344,tecnica!B:C,2,0),"")</f>
        <v/>
      </c>
      <c r="L344" s="13"/>
      <c r="M344" s="14" t="str">
        <f>IFERROR(VLOOKUP(I344,material!A:D,4,0),"")</f>
        <v/>
      </c>
      <c r="N344" s="14" t="str">
        <f t="shared" si="1"/>
        <v/>
      </c>
      <c r="O344" s="15" t="str">
        <f>IFERROR(VLOOKUP(I344,material!A:D,2,0),"")</f>
        <v/>
      </c>
    </row>
    <row r="345">
      <c r="A345" s="6"/>
      <c r="B345" s="7"/>
      <c r="C345" s="8" t="str">
        <f t="array" ref="C345">IFERROR(INDEX(atlas!H:H,MATCH(A345,atlas!C:C,0)),"")</f>
        <v/>
      </c>
      <c r="D345" s="8" t="str">
        <f t="array" ref="D345">IFERROR(INDEX(atlas!D:D,MATCH(A345,atlas!C:C,0)),"")</f>
        <v/>
      </c>
      <c r="E345" s="8" t="str">
        <f t="array" ref="E345">IFERROR(INDEX(atlas!F:F,MATCH(A345,atlas!C:C,0)),"")</f>
        <v/>
      </c>
      <c r="F345" s="9"/>
      <c r="G345" s="10"/>
      <c r="H345" s="11"/>
      <c r="I345" s="12" t="str">
        <f t="array" ref="I345">IFERROR(INDEX(atlas!B:B,MATCH(A345,atlas!C:C,0)),"")</f>
        <v/>
      </c>
      <c r="J345" s="8" t="str">
        <f>IFERROR(VLOOKUP(F345,tecnica!A:B,2,0),"")</f>
        <v/>
      </c>
      <c r="K345" s="8" t="str">
        <f>IFERROR(VLOOKUP(J345,tecnica!B:C,2,0),"")</f>
        <v/>
      </c>
      <c r="L345" s="13"/>
      <c r="M345" s="14" t="str">
        <f>IFERROR(VLOOKUP(I345,material!A:D,4,0),"")</f>
        <v/>
      </c>
      <c r="N345" s="14" t="str">
        <f t="shared" si="1"/>
        <v/>
      </c>
      <c r="O345" s="15" t="str">
        <f>IFERROR(VLOOKUP(I345,material!A:D,2,0),"")</f>
        <v/>
      </c>
    </row>
    <row r="346">
      <c r="A346" s="6"/>
      <c r="B346" s="7"/>
      <c r="C346" s="8" t="str">
        <f t="array" ref="C346">IFERROR(INDEX(atlas!H:H,MATCH(A346,atlas!C:C,0)),"")</f>
        <v/>
      </c>
      <c r="D346" s="8" t="str">
        <f t="array" ref="D346">IFERROR(INDEX(atlas!D:D,MATCH(A346,atlas!C:C,0)),"")</f>
        <v/>
      </c>
      <c r="E346" s="8" t="str">
        <f t="array" ref="E346">IFERROR(INDEX(atlas!F:F,MATCH(A346,atlas!C:C,0)),"")</f>
        <v/>
      </c>
      <c r="F346" s="9"/>
      <c r="G346" s="10"/>
      <c r="H346" s="11"/>
      <c r="I346" s="12" t="str">
        <f t="array" ref="I346">IFERROR(INDEX(atlas!B:B,MATCH(A346,atlas!C:C,0)),"")</f>
        <v/>
      </c>
      <c r="J346" s="8" t="str">
        <f>IFERROR(VLOOKUP(F346,tecnica!A:B,2,0),"")</f>
        <v/>
      </c>
      <c r="K346" s="8" t="str">
        <f>IFERROR(VLOOKUP(J346,tecnica!B:C,2,0),"")</f>
        <v/>
      </c>
      <c r="L346" s="13"/>
      <c r="M346" s="14" t="str">
        <f>IFERROR(VLOOKUP(I346,material!A:D,4,0),"")</f>
        <v/>
      </c>
      <c r="N346" s="14" t="str">
        <f t="shared" si="1"/>
        <v/>
      </c>
      <c r="O346" s="15" t="str">
        <f>IFERROR(VLOOKUP(I346,material!A:D,2,0),"")</f>
        <v/>
      </c>
    </row>
    <row r="347">
      <c r="A347" s="6"/>
      <c r="B347" s="7"/>
      <c r="C347" s="8" t="str">
        <f t="array" ref="C347">IFERROR(INDEX(atlas!H:H,MATCH(A347,atlas!C:C,0)),"")</f>
        <v/>
      </c>
      <c r="D347" s="8" t="str">
        <f t="array" ref="D347">IFERROR(INDEX(atlas!D:D,MATCH(A347,atlas!C:C,0)),"")</f>
        <v/>
      </c>
      <c r="E347" s="8" t="str">
        <f t="array" ref="E347">IFERROR(INDEX(atlas!F:F,MATCH(A347,atlas!C:C,0)),"")</f>
        <v/>
      </c>
      <c r="F347" s="9"/>
      <c r="G347" s="10"/>
      <c r="H347" s="11"/>
      <c r="I347" s="12" t="str">
        <f t="array" ref="I347">IFERROR(INDEX(atlas!B:B,MATCH(A347,atlas!C:C,0)),"")</f>
        <v/>
      </c>
      <c r="J347" s="8" t="str">
        <f>IFERROR(VLOOKUP(F347,tecnica!A:B,2,0),"")</f>
        <v/>
      </c>
      <c r="K347" s="8" t="str">
        <f>IFERROR(VLOOKUP(J347,tecnica!B:C,2,0),"")</f>
        <v/>
      </c>
      <c r="L347" s="13"/>
      <c r="M347" s="14" t="str">
        <f>IFERROR(VLOOKUP(I347,material!A:D,4,0),"")</f>
        <v/>
      </c>
      <c r="N347" s="14" t="str">
        <f t="shared" si="1"/>
        <v/>
      </c>
      <c r="O347" s="15" t="str">
        <f>IFERROR(VLOOKUP(I347,material!A:D,2,0),"")</f>
        <v/>
      </c>
    </row>
    <row r="348">
      <c r="A348" s="6"/>
      <c r="B348" s="7"/>
      <c r="C348" s="8" t="str">
        <f t="array" ref="C348">IFERROR(INDEX(atlas!H:H,MATCH(A348,atlas!C:C,0)),"")</f>
        <v/>
      </c>
      <c r="D348" s="8" t="str">
        <f t="array" ref="D348">IFERROR(INDEX(atlas!D:D,MATCH(A348,atlas!C:C,0)),"")</f>
        <v/>
      </c>
      <c r="E348" s="8" t="str">
        <f t="array" ref="E348">IFERROR(INDEX(atlas!F:F,MATCH(A348,atlas!C:C,0)),"")</f>
        <v/>
      </c>
      <c r="F348" s="9"/>
      <c r="G348" s="10"/>
      <c r="H348" s="11"/>
      <c r="I348" s="12" t="str">
        <f t="array" ref="I348">IFERROR(INDEX(atlas!B:B,MATCH(A348,atlas!C:C,0)),"")</f>
        <v/>
      </c>
      <c r="J348" s="8" t="str">
        <f>IFERROR(VLOOKUP(F348,tecnica!A:B,2,0),"")</f>
        <v/>
      </c>
      <c r="K348" s="8" t="str">
        <f>IFERROR(VLOOKUP(J348,tecnica!B:C,2,0),"")</f>
        <v/>
      </c>
      <c r="L348" s="13"/>
      <c r="M348" s="14" t="str">
        <f>IFERROR(VLOOKUP(I348,material!A:D,4,0),"")</f>
        <v/>
      </c>
      <c r="N348" s="14" t="str">
        <f t="shared" si="1"/>
        <v/>
      </c>
      <c r="O348" s="15" t="str">
        <f>IFERROR(VLOOKUP(I348,material!A:D,2,0),"")</f>
        <v/>
      </c>
    </row>
    <row r="349">
      <c r="A349" s="6"/>
      <c r="B349" s="7"/>
      <c r="C349" s="8" t="str">
        <f t="array" ref="C349">IFERROR(INDEX(atlas!H:H,MATCH(A349,atlas!C:C,0)),"")</f>
        <v/>
      </c>
      <c r="D349" s="8" t="str">
        <f t="array" ref="D349">IFERROR(INDEX(atlas!D:D,MATCH(A349,atlas!C:C,0)),"")</f>
        <v/>
      </c>
      <c r="E349" s="8" t="str">
        <f t="array" ref="E349">IFERROR(INDEX(atlas!F:F,MATCH(A349,atlas!C:C,0)),"")</f>
        <v/>
      </c>
      <c r="F349" s="9"/>
      <c r="G349" s="10"/>
      <c r="H349" s="11"/>
      <c r="I349" s="12" t="str">
        <f t="array" ref="I349">IFERROR(INDEX(atlas!B:B,MATCH(A349,atlas!C:C,0)),"")</f>
        <v/>
      </c>
      <c r="J349" s="8" t="str">
        <f>IFERROR(VLOOKUP(F349,tecnica!A:B,2,0),"")</f>
        <v/>
      </c>
      <c r="K349" s="8" t="str">
        <f>IFERROR(VLOOKUP(J349,tecnica!B:C,2,0),"")</f>
        <v/>
      </c>
      <c r="L349" s="13"/>
      <c r="M349" s="14" t="str">
        <f>IFERROR(VLOOKUP(I349,material!A:D,4,0),"")</f>
        <v/>
      </c>
      <c r="N349" s="14" t="str">
        <f t="shared" si="1"/>
        <v/>
      </c>
      <c r="O349" s="15" t="str">
        <f>IFERROR(VLOOKUP(I349,material!A:D,2,0),"")</f>
        <v/>
      </c>
    </row>
    <row r="350">
      <c r="A350" s="6"/>
      <c r="B350" s="7"/>
      <c r="C350" s="8" t="str">
        <f t="array" ref="C350">IFERROR(INDEX(atlas!H:H,MATCH(A350,atlas!C:C,0)),"")</f>
        <v/>
      </c>
      <c r="D350" s="8" t="str">
        <f t="array" ref="D350">IFERROR(INDEX(atlas!D:D,MATCH(A350,atlas!C:C,0)),"")</f>
        <v/>
      </c>
      <c r="E350" s="8" t="str">
        <f t="array" ref="E350">IFERROR(INDEX(atlas!F:F,MATCH(A350,atlas!C:C,0)),"")</f>
        <v/>
      </c>
      <c r="F350" s="9"/>
      <c r="G350" s="10"/>
      <c r="H350" s="11"/>
      <c r="I350" s="12" t="str">
        <f t="array" ref="I350">IFERROR(INDEX(atlas!B:B,MATCH(A350,atlas!C:C,0)),"")</f>
        <v/>
      </c>
      <c r="J350" s="8" t="str">
        <f>IFERROR(VLOOKUP(F350,tecnica!A:B,2,0),"")</f>
        <v/>
      </c>
      <c r="K350" s="8" t="str">
        <f>IFERROR(VLOOKUP(J350,tecnica!B:C,2,0),"")</f>
        <v/>
      </c>
      <c r="L350" s="13"/>
      <c r="M350" s="14" t="str">
        <f>IFERROR(VLOOKUP(I350,material!A:D,4,0),"")</f>
        <v/>
      </c>
      <c r="N350" s="14" t="str">
        <f t="shared" si="1"/>
        <v/>
      </c>
      <c r="O350" s="15" t="str">
        <f>IFERROR(VLOOKUP(I350,material!A:D,2,0),"")</f>
        <v/>
      </c>
    </row>
    <row r="351">
      <c r="A351" s="6"/>
      <c r="B351" s="7"/>
      <c r="C351" s="8" t="str">
        <f t="array" ref="C351">IFERROR(INDEX(atlas!H:H,MATCH(A351,atlas!C:C,0)),"")</f>
        <v/>
      </c>
      <c r="D351" s="8" t="str">
        <f t="array" ref="D351">IFERROR(INDEX(atlas!D:D,MATCH(A351,atlas!C:C,0)),"")</f>
        <v/>
      </c>
      <c r="E351" s="8" t="str">
        <f t="array" ref="E351">IFERROR(INDEX(atlas!F:F,MATCH(A351,atlas!C:C,0)),"")</f>
        <v/>
      </c>
      <c r="F351" s="9"/>
      <c r="G351" s="10"/>
      <c r="H351" s="11"/>
      <c r="I351" s="12" t="str">
        <f t="array" ref="I351">IFERROR(INDEX(atlas!B:B,MATCH(A351,atlas!C:C,0)),"")</f>
        <v/>
      </c>
      <c r="J351" s="8" t="str">
        <f>IFERROR(VLOOKUP(F351,tecnica!A:B,2,0),"")</f>
        <v/>
      </c>
      <c r="K351" s="8" t="str">
        <f>IFERROR(VLOOKUP(J351,tecnica!B:C,2,0),"")</f>
        <v/>
      </c>
      <c r="L351" s="13"/>
      <c r="M351" s="14" t="str">
        <f>IFERROR(VLOOKUP(I351,material!A:D,4,0),"")</f>
        <v/>
      </c>
      <c r="N351" s="14" t="str">
        <f t="shared" si="1"/>
        <v/>
      </c>
      <c r="O351" s="15" t="str">
        <f>IFERROR(VLOOKUP(I351,material!A:D,2,0),"")</f>
        <v/>
      </c>
    </row>
    <row r="352">
      <c r="A352" s="6"/>
      <c r="B352" s="7"/>
      <c r="C352" s="8" t="str">
        <f t="array" ref="C352">IFERROR(INDEX(atlas!H:H,MATCH(A352,atlas!C:C,0)),"")</f>
        <v/>
      </c>
      <c r="D352" s="8" t="str">
        <f t="array" ref="D352">IFERROR(INDEX(atlas!D:D,MATCH(A352,atlas!C:C,0)),"")</f>
        <v/>
      </c>
      <c r="E352" s="8" t="str">
        <f t="array" ref="E352">IFERROR(INDEX(atlas!F:F,MATCH(A352,atlas!C:C,0)),"")</f>
        <v/>
      </c>
      <c r="F352" s="9"/>
      <c r="G352" s="10"/>
      <c r="H352" s="11"/>
      <c r="I352" s="12" t="str">
        <f t="array" ref="I352">IFERROR(INDEX(atlas!B:B,MATCH(A352,atlas!C:C,0)),"")</f>
        <v/>
      </c>
      <c r="J352" s="8" t="str">
        <f>IFERROR(VLOOKUP(F352,tecnica!A:B,2,0),"")</f>
        <v/>
      </c>
      <c r="K352" s="8" t="str">
        <f>IFERROR(VLOOKUP(J352,tecnica!B:C,2,0),"")</f>
        <v/>
      </c>
      <c r="L352" s="13"/>
      <c r="M352" s="14" t="str">
        <f>IFERROR(VLOOKUP(I352,material!A:D,4,0),"")</f>
        <v/>
      </c>
      <c r="N352" s="14" t="str">
        <f t="shared" si="1"/>
        <v/>
      </c>
      <c r="O352" s="15" t="str">
        <f>IFERROR(VLOOKUP(I352,material!A:D,2,0),"")</f>
        <v/>
      </c>
    </row>
    <row r="353">
      <c r="A353" s="6"/>
      <c r="B353" s="7"/>
      <c r="C353" s="8" t="str">
        <f t="array" ref="C353">IFERROR(INDEX(atlas!H:H,MATCH(A353,atlas!C:C,0)),"")</f>
        <v/>
      </c>
      <c r="D353" s="8" t="str">
        <f t="array" ref="D353">IFERROR(INDEX(atlas!D:D,MATCH(A353,atlas!C:C,0)),"")</f>
        <v/>
      </c>
      <c r="E353" s="8" t="str">
        <f t="array" ref="E353">IFERROR(INDEX(atlas!F:F,MATCH(A353,atlas!C:C,0)),"")</f>
        <v/>
      </c>
      <c r="F353" s="9"/>
      <c r="G353" s="10"/>
      <c r="H353" s="11"/>
      <c r="I353" s="12" t="str">
        <f t="array" ref="I353">IFERROR(INDEX(atlas!B:B,MATCH(A353,atlas!C:C,0)),"")</f>
        <v/>
      </c>
      <c r="J353" s="8" t="str">
        <f>IFERROR(VLOOKUP(F353,tecnica!A:B,2,0),"")</f>
        <v/>
      </c>
      <c r="K353" s="8" t="str">
        <f>IFERROR(VLOOKUP(J353,tecnica!B:C,2,0),"")</f>
        <v/>
      </c>
      <c r="L353" s="13"/>
      <c r="M353" s="14" t="str">
        <f>IFERROR(VLOOKUP(I353,material!A:D,4,0),"")</f>
        <v/>
      </c>
      <c r="N353" s="14" t="str">
        <f t="shared" si="1"/>
        <v/>
      </c>
      <c r="O353" s="15" t="str">
        <f>IFERROR(VLOOKUP(I353,material!A:D,2,0),"")</f>
        <v/>
      </c>
    </row>
    <row r="354">
      <c r="A354" s="6"/>
      <c r="B354" s="7"/>
      <c r="C354" s="8" t="str">
        <f t="array" ref="C354">IFERROR(INDEX(atlas!H:H,MATCH(A354,atlas!C:C,0)),"")</f>
        <v/>
      </c>
      <c r="D354" s="8" t="str">
        <f t="array" ref="D354">IFERROR(INDEX(atlas!D:D,MATCH(A354,atlas!C:C,0)),"")</f>
        <v/>
      </c>
      <c r="E354" s="8" t="str">
        <f t="array" ref="E354">IFERROR(INDEX(atlas!F:F,MATCH(A354,atlas!C:C,0)),"")</f>
        <v/>
      </c>
      <c r="F354" s="9"/>
      <c r="G354" s="10"/>
      <c r="H354" s="11"/>
      <c r="I354" s="12" t="str">
        <f t="array" ref="I354">IFERROR(INDEX(atlas!B:B,MATCH(A354,atlas!C:C,0)),"")</f>
        <v/>
      </c>
      <c r="J354" s="8" t="str">
        <f>IFERROR(VLOOKUP(F354,tecnica!A:B,2,0),"")</f>
        <v/>
      </c>
      <c r="K354" s="8" t="str">
        <f>IFERROR(VLOOKUP(J354,tecnica!B:C,2,0),"")</f>
        <v/>
      </c>
      <c r="L354" s="13"/>
      <c r="M354" s="14" t="str">
        <f>IFERROR(VLOOKUP(I354,material!A:D,4,0),"")</f>
        <v/>
      </c>
      <c r="N354" s="14" t="str">
        <f t="shared" si="1"/>
        <v/>
      </c>
      <c r="O354" s="15" t="str">
        <f>IFERROR(VLOOKUP(I354,material!A:D,2,0),"")</f>
        <v/>
      </c>
    </row>
    <row r="355">
      <c r="A355" s="6"/>
      <c r="B355" s="7"/>
      <c r="C355" s="8" t="str">
        <f t="array" ref="C355">IFERROR(INDEX(atlas!H:H,MATCH(A355,atlas!C:C,0)),"")</f>
        <v/>
      </c>
      <c r="D355" s="8" t="str">
        <f t="array" ref="D355">IFERROR(INDEX(atlas!D:D,MATCH(A355,atlas!C:C,0)),"")</f>
        <v/>
      </c>
      <c r="E355" s="8" t="str">
        <f t="array" ref="E355">IFERROR(INDEX(atlas!F:F,MATCH(A355,atlas!C:C,0)),"")</f>
        <v/>
      </c>
      <c r="F355" s="9"/>
      <c r="G355" s="10"/>
      <c r="H355" s="11"/>
      <c r="I355" s="12" t="str">
        <f t="array" ref="I355">IFERROR(INDEX(atlas!B:B,MATCH(A355,atlas!C:C,0)),"")</f>
        <v/>
      </c>
      <c r="J355" s="8" t="str">
        <f>IFERROR(VLOOKUP(F355,tecnica!A:B,2,0),"")</f>
        <v/>
      </c>
      <c r="K355" s="8" t="str">
        <f>IFERROR(VLOOKUP(J355,tecnica!B:C,2,0),"")</f>
        <v/>
      </c>
      <c r="L355" s="13"/>
      <c r="M355" s="14" t="str">
        <f>IFERROR(VLOOKUP(I355,material!A:D,4,0),"")</f>
        <v/>
      </c>
      <c r="N355" s="14" t="str">
        <f t="shared" si="1"/>
        <v/>
      </c>
      <c r="O355" s="15" t="str">
        <f>IFERROR(VLOOKUP(I355,material!A:D,2,0),"")</f>
        <v/>
      </c>
    </row>
    <row r="356">
      <c r="A356" s="6"/>
      <c r="B356" s="7"/>
      <c r="C356" s="8" t="str">
        <f t="array" ref="C356">IFERROR(INDEX(atlas!H:H,MATCH(A356,atlas!C:C,0)),"")</f>
        <v/>
      </c>
      <c r="D356" s="8" t="str">
        <f t="array" ref="D356">IFERROR(INDEX(atlas!D:D,MATCH(A356,atlas!C:C,0)),"")</f>
        <v/>
      </c>
      <c r="E356" s="8" t="str">
        <f t="array" ref="E356">IFERROR(INDEX(atlas!F:F,MATCH(A356,atlas!C:C,0)),"")</f>
        <v/>
      </c>
      <c r="F356" s="9"/>
      <c r="G356" s="10"/>
      <c r="H356" s="11"/>
      <c r="I356" s="12" t="str">
        <f t="array" ref="I356">IFERROR(INDEX(atlas!B:B,MATCH(A356,atlas!C:C,0)),"")</f>
        <v/>
      </c>
      <c r="J356" s="8" t="str">
        <f>IFERROR(VLOOKUP(F356,tecnica!A:B,2,0),"")</f>
        <v/>
      </c>
      <c r="K356" s="8" t="str">
        <f>IFERROR(VLOOKUP(J356,tecnica!B:C,2,0),"")</f>
        <v/>
      </c>
      <c r="L356" s="13"/>
      <c r="M356" s="14" t="str">
        <f>IFERROR(VLOOKUP(I356,material!A:D,4,0),"")</f>
        <v/>
      </c>
      <c r="N356" s="14" t="str">
        <f t="shared" si="1"/>
        <v/>
      </c>
      <c r="O356" s="15" t="str">
        <f>IFERROR(VLOOKUP(I356,material!A:D,2,0),"")</f>
        <v/>
      </c>
    </row>
    <row r="357">
      <c r="A357" s="6"/>
      <c r="B357" s="7"/>
      <c r="C357" s="8" t="str">
        <f t="array" ref="C357">IFERROR(INDEX(atlas!H:H,MATCH(A357,atlas!C:C,0)),"")</f>
        <v/>
      </c>
      <c r="D357" s="8" t="str">
        <f t="array" ref="D357">IFERROR(INDEX(atlas!D:D,MATCH(A357,atlas!C:C,0)),"")</f>
        <v/>
      </c>
      <c r="E357" s="8" t="str">
        <f t="array" ref="E357">IFERROR(INDEX(atlas!F:F,MATCH(A357,atlas!C:C,0)),"")</f>
        <v/>
      </c>
      <c r="F357" s="9"/>
      <c r="G357" s="10"/>
      <c r="H357" s="11"/>
      <c r="I357" s="12" t="str">
        <f t="array" ref="I357">IFERROR(INDEX(atlas!B:B,MATCH(A357,atlas!C:C,0)),"")</f>
        <v/>
      </c>
      <c r="J357" s="8" t="str">
        <f>IFERROR(VLOOKUP(F357,tecnica!A:B,2,0),"")</f>
        <v/>
      </c>
      <c r="K357" s="8" t="str">
        <f>IFERROR(VLOOKUP(J357,tecnica!B:C,2,0),"")</f>
        <v/>
      </c>
      <c r="L357" s="13"/>
      <c r="M357" s="14" t="str">
        <f>IFERROR(VLOOKUP(I357,material!A:D,4,0),"")</f>
        <v/>
      </c>
      <c r="N357" s="14" t="str">
        <f t="shared" si="1"/>
        <v/>
      </c>
      <c r="O357" s="15" t="str">
        <f>IFERROR(VLOOKUP(I357,material!A:D,2,0),"")</f>
        <v/>
      </c>
    </row>
    <row r="358">
      <c r="A358" s="6"/>
      <c r="B358" s="7"/>
      <c r="C358" s="8" t="str">
        <f t="array" ref="C358">IFERROR(INDEX(atlas!H:H,MATCH(A358,atlas!C:C,0)),"")</f>
        <v/>
      </c>
      <c r="D358" s="8" t="str">
        <f t="array" ref="D358">IFERROR(INDEX(atlas!D:D,MATCH(A358,atlas!C:C,0)),"")</f>
        <v/>
      </c>
      <c r="E358" s="8" t="str">
        <f t="array" ref="E358">IFERROR(INDEX(atlas!F:F,MATCH(A358,atlas!C:C,0)),"")</f>
        <v/>
      </c>
      <c r="F358" s="9"/>
      <c r="G358" s="10"/>
      <c r="H358" s="11"/>
      <c r="I358" s="12" t="str">
        <f t="array" ref="I358">IFERROR(INDEX(atlas!B:B,MATCH(A358,atlas!C:C,0)),"")</f>
        <v/>
      </c>
      <c r="J358" s="8" t="str">
        <f>IFERROR(VLOOKUP(F358,tecnica!A:B,2,0),"")</f>
        <v/>
      </c>
      <c r="K358" s="8" t="str">
        <f>IFERROR(VLOOKUP(J358,tecnica!B:C,2,0),"")</f>
        <v/>
      </c>
      <c r="L358" s="13"/>
      <c r="M358" s="14" t="str">
        <f>IFERROR(VLOOKUP(I358,material!A:D,4,0),"")</f>
        <v/>
      </c>
      <c r="N358" s="14" t="str">
        <f t="shared" si="1"/>
        <v/>
      </c>
      <c r="O358" s="15" t="str">
        <f>IFERROR(VLOOKUP(I358,material!A:D,2,0),"")</f>
        <v/>
      </c>
    </row>
    <row r="359">
      <c r="A359" s="6"/>
      <c r="B359" s="7"/>
      <c r="C359" s="8" t="str">
        <f t="array" ref="C359">IFERROR(INDEX(atlas!H:H,MATCH(A359,atlas!C:C,0)),"")</f>
        <v/>
      </c>
      <c r="D359" s="8" t="str">
        <f t="array" ref="D359">IFERROR(INDEX(atlas!D:D,MATCH(A359,atlas!C:C,0)),"")</f>
        <v/>
      </c>
      <c r="E359" s="8" t="str">
        <f t="array" ref="E359">IFERROR(INDEX(atlas!F:F,MATCH(A359,atlas!C:C,0)),"")</f>
        <v/>
      </c>
      <c r="F359" s="9"/>
      <c r="G359" s="10"/>
      <c r="H359" s="11"/>
      <c r="I359" s="12" t="str">
        <f t="array" ref="I359">IFERROR(INDEX(atlas!B:B,MATCH(A359,atlas!C:C,0)),"")</f>
        <v/>
      </c>
      <c r="J359" s="8" t="str">
        <f>IFERROR(VLOOKUP(F359,tecnica!A:B,2,0),"")</f>
        <v/>
      </c>
      <c r="K359" s="8" t="str">
        <f>IFERROR(VLOOKUP(J359,tecnica!B:C,2,0),"")</f>
        <v/>
      </c>
      <c r="L359" s="13"/>
      <c r="M359" s="14" t="str">
        <f>IFERROR(VLOOKUP(I359,material!A:D,4,0),"")</f>
        <v/>
      </c>
      <c r="N359" s="14" t="str">
        <f t="shared" si="1"/>
        <v/>
      </c>
      <c r="O359" s="15" t="str">
        <f>IFERROR(VLOOKUP(I359,material!A:D,2,0),"")</f>
        <v/>
      </c>
    </row>
    <row r="360">
      <c r="A360" s="6"/>
      <c r="B360" s="7"/>
      <c r="C360" s="8" t="str">
        <f t="array" ref="C360">IFERROR(INDEX(atlas!H:H,MATCH(A360,atlas!C:C,0)),"")</f>
        <v/>
      </c>
      <c r="D360" s="8" t="str">
        <f t="array" ref="D360">IFERROR(INDEX(atlas!D:D,MATCH(A360,atlas!C:C,0)),"")</f>
        <v/>
      </c>
      <c r="E360" s="8" t="str">
        <f t="array" ref="E360">IFERROR(INDEX(atlas!F:F,MATCH(A360,atlas!C:C,0)),"")</f>
        <v/>
      </c>
      <c r="F360" s="9"/>
      <c r="G360" s="10"/>
      <c r="H360" s="11"/>
      <c r="I360" s="12" t="str">
        <f t="array" ref="I360">IFERROR(INDEX(atlas!B:B,MATCH(A360,atlas!C:C,0)),"")</f>
        <v/>
      </c>
      <c r="J360" s="8" t="str">
        <f>IFERROR(VLOOKUP(F360,tecnica!A:B,2,0),"")</f>
        <v/>
      </c>
      <c r="K360" s="8" t="str">
        <f>IFERROR(VLOOKUP(J360,tecnica!B:C,2,0),"")</f>
        <v/>
      </c>
      <c r="L360" s="13"/>
      <c r="M360" s="14" t="str">
        <f>IFERROR(VLOOKUP(I360,material!A:D,4,0),"")</f>
        <v/>
      </c>
      <c r="N360" s="14" t="str">
        <f t="shared" si="1"/>
        <v/>
      </c>
      <c r="O360" s="15" t="str">
        <f>IFERROR(VLOOKUP(I360,material!A:D,2,0),"")</f>
        <v/>
      </c>
    </row>
    <row r="361">
      <c r="A361" s="6"/>
      <c r="B361" s="7"/>
      <c r="C361" s="8" t="str">
        <f t="array" ref="C361">IFERROR(INDEX(atlas!H:H,MATCH(A361,atlas!C:C,0)),"")</f>
        <v/>
      </c>
      <c r="D361" s="8" t="str">
        <f t="array" ref="D361">IFERROR(INDEX(atlas!D:D,MATCH(A361,atlas!C:C,0)),"")</f>
        <v/>
      </c>
      <c r="E361" s="8" t="str">
        <f t="array" ref="E361">IFERROR(INDEX(atlas!F:F,MATCH(A361,atlas!C:C,0)),"")</f>
        <v/>
      </c>
      <c r="F361" s="9"/>
      <c r="G361" s="10"/>
      <c r="H361" s="11"/>
      <c r="I361" s="12" t="str">
        <f t="array" ref="I361">IFERROR(INDEX(atlas!B:B,MATCH(A361,atlas!C:C,0)),"")</f>
        <v/>
      </c>
      <c r="J361" s="8" t="str">
        <f>IFERROR(VLOOKUP(F361,tecnica!A:B,2,0),"")</f>
        <v/>
      </c>
      <c r="K361" s="8" t="str">
        <f>IFERROR(VLOOKUP(J361,tecnica!B:C,2,0),"")</f>
        <v/>
      </c>
      <c r="L361" s="13"/>
      <c r="M361" s="14" t="str">
        <f>IFERROR(VLOOKUP(I361,material!A:D,4,0),"")</f>
        <v/>
      </c>
      <c r="N361" s="14" t="str">
        <f t="shared" si="1"/>
        <v/>
      </c>
      <c r="O361" s="15" t="str">
        <f>IFERROR(VLOOKUP(I361,material!A:D,2,0),"")</f>
        <v/>
      </c>
    </row>
    <row r="362">
      <c r="A362" s="6"/>
      <c r="B362" s="7"/>
      <c r="C362" s="8" t="str">
        <f t="array" ref="C362">IFERROR(INDEX(atlas!H:H,MATCH(A362,atlas!C:C,0)),"")</f>
        <v/>
      </c>
      <c r="D362" s="8" t="str">
        <f t="array" ref="D362">IFERROR(INDEX(atlas!D:D,MATCH(A362,atlas!C:C,0)),"")</f>
        <v/>
      </c>
      <c r="E362" s="8" t="str">
        <f t="array" ref="E362">IFERROR(INDEX(atlas!F:F,MATCH(A362,atlas!C:C,0)),"")</f>
        <v/>
      </c>
      <c r="F362" s="9"/>
      <c r="G362" s="10"/>
      <c r="H362" s="11"/>
      <c r="I362" s="12" t="str">
        <f t="array" ref="I362">IFERROR(INDEX(atlas!B:B,MATCH(A362,atlas!C:C,0)),"")</f>
        <v/>
      </c>
      <c r="J362" s="8" t="str">
        <f>IFERROR(VLOOKUP(F362,tecnica!A:B,2,0),"")</f>
        <v/>
      </c>
      <c r="K362" s="8" t="str">
        <f>IFERROR(VLOOKUP(J362,tecnica!B:C,2,0),"")</f>
        <v/>
      </c>
      <c r="L362" s="13"/>
      <c r="M362" s="14" t="str">
        <f>IFERROR(VLOOKUP(I362,material!A:D,4,0),"")</f>
        <v/>
      </c>
      <c r="N362" s="14" t="str">
        <f t="shared" si="1"/>
        <v/>
      </c>
      <c r="O362" s="15" t="str">
        <f>IFERROR(VLOOKUP(I362,material!A:D,2,0),"")</f>
        <v/>
      </c>
    </row>
    <row r="363">
      <c r="A363" s="6"/>
      <c r="B363" s="7"/>
      <c r="C363" s="8" t="str">
        <f t="array" ref="C363">IFERROR(INDEX(atlas!H:H,MATCH(A363,atlas!C:C,0)),"")</f>
        <v/>
      </c>
      <c r="D363" s="8" t="str">
        <f t="array" ref="D363">IFERROR(INDEX(atlas!D:D,MATCH(A363,atlas!C:C,0)),"")</f>
        <v/>
      </c>
      <c r="E363" s="8" t="str">
        <f t="array" ref="E363">IFERROR(INDEX(atlas!F:F,MATCH(A363,atlas!C:C,0)),"")</f>
        <v/>
      </c>
      <c r="F363" s="9"/>
      <c r="G363" s="10"/>
      <c r="H363" s="11"/>
      <c r="I363" s="12" t="str">
        <f t="array" ref="I363">IFERROR(INDEX(atlas!B:B,MATCH(A363,atlas!C:C,0)),"")</f>
        <v/>
      </c>
      <c r="J363" s="8" t="str">
        <f>IFERROR(VLOOKUP(F363,tecnica!A:B,2,0),"")</f>
        <v/>
      </c>
      <c r="K363" s="8" t="str">
        <f>IFERROR(VLOOKUP(J363,tecnica!B:C,2,0),"")</f>
        <v/>
      </c>
      <c r="L363" s="13"/>
      <c r="M363" s="14" t="str">
        <f>IFERROR(VLOOKUP(I363,material!A:D,4,0),"")</f>
        <v/>
      </c>
      <c r="N363" s="14" t="str">
        <f t="shared" si="1"/>
        <v/>
      </c>
      <c r="O363" s="15" t="str">
        <f>IFERROR(VLOOKUP(I363,material!A:D,2,0),"")</f>
        <v/>
      </c>
    </row>
    <row r="364">
      <c r="A364" s="6"/>
      <c r="B364" s="7"/>
      <c r="C364" s="8" t="str">
        <f t="array" ref="C364">IFERROR(INDEX(atlas!H:H,MATCH(A364,atlas!C:C,0)),"")</f>
        <v/>
      </c>
      <c r="D364" s="8" t="str">
        <f t="array" ref="D364">IFERROR(INDEX(atlas!D:D,MATCH(A364,atlas!C:C,0)),"")</f>
        <v/>
      </c>
      <c r="E364" s="8" t="str">
        <f t="array" ref="E364">IFERROR(INDEX(atlas!F:F,MATCH(A364,atlas!C:C,0)),"")</f>
        <v/>
      </c>
      <c r="F364" s="9"/>
      <c r="G364" s="10"/>
      <c r="H364" s="11"/>
      <c r="I364" s="12" t="str">
        <f t="array" ref="I364">IFERROR(INDEX(atlas!B:B,MATCH(A364,atlas!C:C,0)),"")</f>
        <v/>
      </c>
      <c r="J364" s="8" t="str">
        <f>IFERROR(VLOOKUP(F364,tecnica!A:B,2,0),"")</f>
        <v/>
      </c>
      <c r="K364" s="8" t="str">
        <f>IFERROR(VLOOKUP(J364,tecnica!B:C,2,0),"")</f>
        <v/>
      </c>
      <c r="L364" s="13"/>
      <c r="M364" s="14" t="str">
        <f>IFERROR(VLOOKUP(I364,material!A:D,4,0),"")</f>
        <v/>
      </c>
      <c r="N364" s="14" t="str">
        <f t="shared" si="1"/>
        <v/>
      </c>
      <c r="O364" s="15" t="str">
        <f>IFERROR(VLOOKUP(I364,material!A:D,2,0),"")</f>
        <v/>
      </c>
    </row>
    <row r="365">
      <c r="A365" s="6"/>
      <c r="B365" s="7"/>
      <c r="C365" s="8" t="str">
        <f t="array" ref="C365">IFERROR(INDEX(atlas!H:H,MATCH(A365,atlas!C:C,0)),"")</f>
        <v/>
      </c>
      <c r="D365" s="8" t="str">
        <f t="array" ref="D365">IFERROR(INDEX(atlas!D:D,MATCH(A365,atlas!C:C,0)),"")</f>
        <v/>
      </c>
      <c r="E365" s="8" t="str">
        <f t="array" ref="E365">IFERROR(INDEX(atlas!F:F,MATCH(A365,atlas!C:C,0)),"")</f>
        <v/>
      </c>
      <c r="F365" s="9"/>
      <c r="G365" s="10"/>
      <c r="H365" s="11"/>
      <c r="I365" s="12" t="str">
        <f t="array" ref="I365">IFERROR(INDEX(atlas!B:B,MATCH(A365,atlas!C:C,0)),"")</f>
        <v/>
      </c>
      <c r="J365" s="8" t="str">
        <f>IFERROR(VLOOKUP(F365,tecnica!A:B,2,0),"")</f>
        <v/>
      </c>
      <c r="K365" s="8" t="str">
        <f>IFERROR(VLOOKUP(J365,tecnica!B:C,2,0),"")</f>
        <v/>
      </c>
      <c r="L365" s="13"/>
      <c r="M365" s="14" t="str">
        <f>IFERROR(VLOOKUP(I365,material!A:D,4,0),"")</f>
        <v/>
      </c>
      <c r="N365" s="14" t="str">
        <f t="shared" si="1"/>
        <v/>
      </c>
      <c r="O365" s="15" t="str">
        <f>IFERROR(VLOOKUP(I365,material!A:D,2,0),"")</f>
        <v/>
      </c>
    </row>
    <row r="366">
      <c r="A366" s="6"/>
      <c r="B366" s="7"/>
      <c r="C366" s="8" t="str">
        <f t="array" ref="C366">IFERROR(INDEX(atlas!H:H,MATCH(A366,atlas!C:C,0)),"")</f>
        <v/>
      </c>
      <c r="D366" s="8" t="str">
        <f t="array" ref="D366">IFERROR(INDEX(atlas!D:D,MATCH(A366,atlas!C:C,0)),"")</f>
        <v/>
      </c>
      <c r="E366" s="8" t="str">
        <f t="array" ref="E366">IFERROR(INDEX(atlas!F:F,MATCH(A366,atlas!C:C,0)),"")</f>
        <v/>
      </c>
      <c r="F366" s="9"/>
      <c r="G366" s="10"/>
      <c r="H366" s="11"/>
      <c r="I366" s="12" t="str">
        <f t="array" ref="I366">IFERROR(INDEX(atlas!B:B,MATCH(A366,atlas!C:C,0)),"")</f>
        <v/>
      </c>
      <c r="J366" s="8" t="str">
        <f>IFERROR(VLOOKUP(F366,tecnica!A:B,2,0),"")</f>
        <v/>
      </c>
      <c r="K366" s="8" t="str">
        <f>IFERROR(VLOOKUP(J366,tecnica!B:C,2,0),"")</f>
        <v/>
      </c>
      <c r="L366" s="13"/>
      <c r="M366" s="14" t="str">
        <f>IFERROR(VLOOKUP(I366,material!A:D,4,0),"")</f>
        <v/>
      </c>
      <c r="N366" s="14" t="str">
        <f t="shared" si="1"/>
        <v/>
      </c>
      <c r="O366" s="15" t="str">
        <f>IFERROR(VLOOKUP(I366,material!A:D,2,0),"")</f>
        <v/>
      </c>
    </row>
    <row r="367">
      <c r="A367" s="6"/>
      <c r="B367" s="7"/>
      <c r="C367" s="8" t="str">
        <f t="array" ref="C367">IFERROR(INDEX(atlas!H:H,MATCH(A367,atlas!C:C,0)),"")</f>
        <v/>
      </c>
      <c r="D367" s="8" t="str">
        <f t="array" ref="D367">IFERROR(INDEX(atlas!D:D,MATCH(A367,atlas!C:C,0)),"")</f>
        <v/>
      </c>
      <c r="E367" s="8" t="str">
        <f t="array" ref="E367">IFERROR(INDEX(atlas!F:F,MATCH(A367,atlas!C:C,0)),"")</f>
        <v/>
      </c>
      <c r="F367" s="9"/>
      <c r="G367" s="10"/>
      <c r="H367" s="11"/>
      <c r="I367" s="12" t="str">
        <f t="array" ref="I367">IFERROR(INDEX(atlas!B:B,MATCH(A367,atlas!C:C,0)),"")</f>
        <v/>
      </c>
      <c r="J367" s="8" t="str">
        <f>IFERROR(VLOOKUP(F367,tecnica!A:B,2,0),"")</f>
        <v/>
      </c>
      <c r="K367" s="8" t="str">
        <f>IFERROR(VLOOKUP(J367,tecnica!B:C,2,0),"")</f>
        <v/>
      </c>
      <c r="L367" s="13"/>
      <c r="M367" s="14" t="str">
        <f>IFERROR(VLOOKUP(I367,material!A:D,4,0),"")</f>
        <v/>
      </c>
      <c r="N367" s="14" t="str">
        <f t="shared" si="1"/>
        <v/>
      </c>
      <c r="O367" s="15" t="str">
        <f>IFERROR(VLOOKUP(I367,material!A:D,2,0),"")</f>
        <v/>
      </c>
    </row>
    <row r="368">
      <c r="A368" s="6"/>
      <c r="B368" s="7"/>
      <c r="C368" s="8" t="str">
        <f t="array" ref="C368">IFERROR(INDEX(atlas!H:H,MATCH(A368,atlas!C:C,0)),"")</f>
        <v/>
      </c>
      <c r="D368" s="8" t="str">
        <f t="array" ref="D368">IFERROR(INDEX(atlas!D:D,MATCH(A368,atlas!C:C,0)),"")</f>
        <v/>
      </c>
      <c r="E368" s="8" t="str">
        <f t="array" ref="E368">IFERROR(INDEX(atlas!F:F,MATCH(A368,atlas!C:C,0)),"")</f>
        <v/>
      </c>
      <c r="F368" s="9"/>
      <c r="G368" s="10"/>
      <c r="H368" s="11"/>
      <c r="I368" s="12" t="str">
        <f t="array" ref="I368">IFERROR(INDEX(atlas!B:B,MATCH(A368,atlas!C:C,0)),"")</f>
        <v/>
      </c>
      <c r="J368" s="8" t="str">
        <f>IFERROR(VLOOKUP(F368,tecnica!A:B,2,0),"")</f>
        <v/>
      </c>
      <c r="K368" s="8" t="str">
        <f>IFERROR(VLOOKUP(J368,tecnica!B:C,2,0),"")</f>
        <v/>
      </c>
      <c r="L368" s="13"/>
      <c r="M368" s="14" t="str">
        <f>IFERROR(VLOOKUP(I368,material!A:D,4,0),"")</f>
        <v/>
      </c>
      <c r="N368" s="14" t="str">
        <f t="shared" si="1"/>
        <v/>
      </c>
      <c r="O368" s="15" t="str">
        <f>IFERROR(VLOOKUP(I368,material!A:D,2,0),"")</f>
        <v/>
      </c>
    </row>
    <row r="369">
      <c r="A369" s="6"/>
      <c r="B369" s="7"/>
      <c r="C369" s="8" t="str">
        <f t="array" ref="C369">IFERROR(INDEX(atlas!H:H,MATCH(A369,atlas!C:C,0)),"")</f>
        <v/>
      </c>
      <c r="D369" s="8" t="str">
        <f t="array" ref="D369">IFERROR(INDEX(atlas!D:D,MATCH(A369,atlas!C:C,0)),"")</f>
        <v/>
      </c>
      <c r="E369" s="8" t="str">
        <f t="array" ref="E369">IFERROR(INDEX(atlas!F:F,MATCH(A369,atlas!C:C,0)),"")</f>
        <v/>
      </c>
      <c r="F369" s="9"/>
      <c r="G369" s="10"/>
      <c r="H369" s="11"/>
      <c r="I369" s="12" t="str">
        <f t="array" ref="I369">IFERROR(INDEX(atlas!B:B,MATCH(A369,atlas!C:C,0)),"")</f>
        <v/>
      </c>
      <c r="J369" s="8" t="str">
        <f>IFERROR(VLOOKUP(F369,tecnica!A:B,2,0),"")</f>
        <v/>
      </c>
      <c r="K369" s="8" t="str">
        <f>IFERROR(VLOOKUP(J369,tecnica!B:C,2,0),"")</f>
        <v/>
      </c>
      <c r="L369" s="13"/>
      <c r="M369" s="14" t="str">
        <f>IFERROR(VLOOKUP(I369,material!A:D,4,0),"")</f>
        <v/>
      </c>
      <c r="N369" s="14" t="str">
        <f t="shared" si="1"/>
        <v/>
      </c>
      <c r="O369" s="15" t="str">
        <f>IFERROR(VLOOKUP(I369,material!A:D,2,0),"")</f>
        <v/>
      </c>
    </row>
    <row r="370">
      <c r="A370" s="6"/>
      <c r="B370" s="7"/>
      <c r="C370" s="8" t="str">
        <f t="array" ref="C370">IFERROR(INDEX(atlas!H:H,MATCH(A370,atlas!C:C,0)),"")</f>
        <v/>
      </c>
      <c r="D370" s="8" t="str">
        <f t="array" ref="D370">IFERROR(INDEX(atlas!D:D,MATCH(A370,atlas!C:C,0)),"")</f>
        <v/>
      </c>
      <c r="E370" s="8" t="str">
        <f t="array" ref="E370">IFERROR(INDEX(atlas!F:F,MATCH(A370,atlas!C:C,0)),"")</f>
        <v/>
      </c>
      <c r="F370" s="9"/>
      <c r="G370" s="10"/>
      <c r="H370" s="11"/>
      <c r="I370" s="12" t="str">
        <f t="array" ref="I370">IFERROR(INDEX(atlas!B:B,MATCH(A370,atlas!C:C,0)),"")</f>
        <v/>
      </c>
      <c r="J370" s="8" t="str">
        <f>IFERROR(VLOOKUP(F370,tecnica!A:B,2,0),"")</f>
        <v/>
      </c>
      <c r="K370" s="8" t="str">
        <f>IFERROR(VLOOKUP(J370,tecnica!B:C,2,0),"")</f>
        <v/>
      </c>
      <c r="L370" s="13"/>
      <c r="M370" s="14" t="str">
        <f>IFERROR(VLOOKUP(I370,material!A:D,4,0),"")</f>
        <v/>
      </c>
      <c r="N370" s="14" t="str">
        <f t="shared" si="1"/>
        <v/>
      </c>
      <c r="O370" s="15" t="str">
        <f>IFERROR(VLOOKUP(I370,material!A:D,2,0),"")</f>
        <v/>
      </c>
    </row>
    <row r="371">
      <c r="A371" s="6"/>
      <c r="B371" s="7"/>
      <c r="C371" s="8" t="str">
        <f t="array" ref="C371">IFERROR(INDEX(atlas!H:H,MATCH(A371,atlas!C:C,0)),"")</f>
        <v/>
      </c>
      <c r="D371" s="8" t="str">
        <f t="array" ref="D371">IFERROR(INDEX(atlas!D:D,MATCH(A371,atlas!C:C,0)),"")</f>
        <v/>
      </c>
      <c r="E371" s="8" t="str">
        <f t="array" ref="E371">IFERROR(INDEX(atlas!F:F,MATCH(A371,atlas!C:C,0)),"")</f>
        <v/>
      </c>
      <c r="F371" s="9"/>
      <c r="G371" s="10"/>
      <c r="H371" s="11"/>
      <c r="I371" s="12" t="str">
        <f t="array" ref="I371">IFERROR(INDEX(atlas!B:B,MATCH(A371,atlas!C:C,0)),"")</f>
        <v/>
      </c>
      <c r="J371" s="8" t="str">
        <f>IFERROR(VLOOKUP(F371,tecnica!A:B,2,0),"")</f>
        <v/>
      </c>
      <c r="K371" s="8" t="str">
        <f>IFERROR(VLOOKUP(J371,tecnica!B:C,2,0),"")</f>
        <v/>
      </c>
      <c r="L371" s="13"/>
      <c r="M371" s="14" t="str">
        <f>IFERROR(VLOOKUP(I371,material!A:D,4,0),"")</f>
        <v/>
      </c>
      <c r="N371" s="14" t="str">
        <f t="shared" si="1"/>
        <v/>
      </c>
      <c r="O371" s="15" t="str">
        <f>IFERROR(VLOOKUP(I371,material!A:D,2,0),"")</f>
        <v/>
      </c>
    </row>
    <row r="372">
      <c r="A372" s="6"/>
      <c r="B372" s="7"/>
      <c r="C372" s="8" t="str">
        <f t="array" ref="C372">IFERROR(INDEX(atlas!H:H,MATCH(A372,atlas!C:C,0)),"")</f>
        <v/>
      </c>
      <c r="D372" s="8" t="str">
        <f t="array" ref="D372">IFERROR(INDEX(atlas!D:D,MATCH(A372,atlas!C:C,0)),"")</f>
        <v/>
      </c>
      <c r="E372" s="8" t="str">
        <f t="array" ref="E372">IFERROR(INDEX(atlas!F:F,MATCH(A372,atlas!C:C,0)),"")</f>
        <v/>
      </c>
      <c r="F372" s="9"/>
      <c r="G372" s="10"/>
      <c r="H372" s="11"/>
      <c r="I372" s="12" t="str">
        <f t="array" ref="I372">IFERROR(INDEX(atlas!B:B,MATCH(A372,atlas!C:C,0)),"")</f>
        <v/>
      </c>
      <c r="J372" s="8" t="str">
        <f>IFERROR(VLOOKUP(F372,tecnica!A:B,2,0),"")</f>
        <v/>
      </c>
      <c r="K372" s="8" t="str">
        <f>IFERROR(VLOOKUP(J372,tecnica!B:C,2,0),"")</f>
        <v/>
      </c>
      <c r="L372" s="13"/>
      <c r="M372" s="14" t="str">
        <f>IFERROR(VLOOKUP(I372,material!A:D,4,0),"")</f>
        <v/>
      </c>
      <c r="N372" s="14" t="str">
        <f t="shared" si="1"/>
        <v/>
      </c>
      <c r="O372" s="15" t="str">
        <f>IFERROR(VLOOKUP(I372,material!A:D,2,0),"")</f>
        <v/>
      </c>
    </row>
    <row r="373">
      <c r="A373" s="6"/>
      <c r="B373" s="7"/>
      <c r="C373" s="8" t="str">
        <f t="array" ref="C373">IFERROR(INDEX(atlas!H:H,MATCH(A373,atlas!C:C,0)),"")</f>
        <v/>
      </c>
      <c r="D373" s="8" t="str">
        <f t="array" ref="D373">IFERROR(INDEX(atlas!D:D,MATCH(A373,atlas!C:C,0)),"")</f>
        <v/>
      </c>
      <c r="E373" s="8" t="str">
        <f t="array" ref="E373">IFERROR(INDEX(atlas!F:F,MATCH(A373,atlas!C:C,0)),"")</f>
        <v/>
      </c>
      <c r="F373" s="9"/>
      <c r="G373" s="10"/>
      <c r="H373" s="11"/>
      <c r="I373" s="12" t="str">
        <f t="array" ref="I373">IFERROR(INDEX(atlas!B:B,MATCH(A373,atlas!C:C,0)),"")</f>
        <v/>
      </c>
      <c r="J373" s="8" t="str">
        <f>IFERROR(VLOOKUP(F373,tecnica!A:B,2,0),"")</f>
        <v/>
      </c>
      <c r="K373" s="8" t="str">
        <f>IFERROR(VLOOKUP(J373,tecnica!B:C,2,0),"")</f>
        <v/>
      </c>
      <c r="L373" s="13"/>
      <c r="M373" s="14" t="str">
        <f>IFERROR(VLOOKUP(I373,material!A:D,4,0),"")</f>
        <v/>
      </c>
      <c r="N373" s="14" t="str">
        <f t="shared" si="1"/>
        <v/>
      </c>
      <c r="O373" s="15" t="str">
        <f>IFERROR(VLOOKUP(I373,material!A:D,2,0),"")</f>
        <v/>
      </c>
    </row>
    <row r="374">
      <c r="A374" s="6"/>
      <c r="B374" s="7"/>
      <c r="C374" s="8" t="str">
        <f t="array" ref="C374">IFERROR(INDEX(atlas!H:H,MATCH(A374,atlas!C:C,0)),"")</f>
        <v/>
      </c>
      <c r="D374" s="8" t="str">
        <f t="array" ref="D374">IFERROR(INDEX(atlas!D:D,MATCH(A374,atlas!C:C,0)),"")</f>
        <v/>
      </c>
      <c r="E374" s="8" t="str">
        <f t="array" ref="E374">IFERROR(INDEX(atlas!F:F,MATCH(A374,atlas!C:C,0)),"")</f>
        <v/>
      </c>
      <c r="F374" s="9"/>
      <c r="G374" s="10"/>
      <c r="H374" s="11"/>
      <c r="I374" s="12" t="str">
        <f t="array" ref="I374">IFERROR(INDEX(atlas!B:B,MATCH(A374,atlas!C:C,0)),"")</f>
        <v/>
      </c>
      <c r="J374" s="8" t="str">
        <f>IFERROR(VLOOKUP(F374,tecnica!A:B,2,0),"")</f>
        <v/>
      </c>
      <c r="K374" s="8" t="str">
        <f>IFERROR(VLOOKUP(J374,tecnica!B:C,2,0),"")</f>
        <v/>
      </c>
      <c r="L374" s="13"/>
      <c r="M374" s="14" t="str">
        <f>IFERROR(VLOOKUP(I374,material!A:D,4,0),"")</f>
        <v/>
      </c>
      <c r="N374" s="14" t="str">
        <f t="shared" si="1"/>
        <v/>
      </c>
      <c r="O374" s="15" t="str">
        <f>IFERROR(VLOOKUP(I374,material!A:D,2,0),"")</f>
        <v/>
      </c>
    </row>
    <row r="375">
      <c r="A375" s="6"/>
      <c r="B375" s="7"/>
      <c r="C375" s="8" t="str">
        <f t="array" ref="C375">IFERROR(INDEX(atlas!H:H,MATCH(A375,atlas!C:C,0)),"")</f>
        <v/>
      </c>
      <c r="D375" s="8" t="str">
        <f t="array" ref="D375">IFERROR(INDEX(atlas!D:D,MATCH(A375,atlas!C:C,0)),"")</f>
        <v/>
      </c>
      <c r="E375" s="8" t="str">
        <f t="array" ref="E375">IFERROR(INDEX(atlas!F:F,MATCH(A375,atlas!C:C,0)),"")</f>
        <v/>
      </c>
      <c r="F375" s="9"/>
      <c r="G375" s="10"/>
      <c r="H375" s="11"/>
      <c r="I375" s="12" t="str">
        <f t="array" ref="I375">IFERROR(INDEX(atlas!B:B,MATCH(A375,atlas!C:C,0)),"")</f>
        <v/>
      </c>
      <c r="J375" s="8" t="str">
        <f>IFERROR(VLOOKUP(F375,tecnica!A:B,2,0),"")</f>
        <v/>
      </c>
      <c r="K375" s="8" t="str">
        <f>IFERROR(VLOOKUP(J375,tecnica!B:C,2,0),"")</f>
        <v/>
      </c>
      <c r="L375" s="13"/>
      <c r="M375" s="14" t="str">
        <f>IFERROR(VLOOKUP(I375,material!A:D,4,0),"")</f>
        <v/>
      </c>
      <c r="N375" s="14" t="str">
        <f t="shared" si="1"/>
        <v/>
      </c>
      <c r="O375" s="15" t="str">
        <f>IFERROR(VLOOKUP(I375,material!A:D,2,0),"")</f>
        <v/>
      </c>
    </row>
    <row r="376">
      <c r="A376" s="6"/>
      <c r="B376" s="7"/>
      <c r="C376" s="8" t="str">
        <f t="array" ref="C376">IFERROR(INDEX(atlas!H:H,MATCH(A376,atlas!C:C,0)),"")</f>
        <v/>
      </c>
      <c r="D376" s="8" t="str">
        <f t="array" ref="D376">IFERROR(INDEX(atlas!D:D,MATCH(A376,atlas!C:C,0)),"")</f>
        <v/>
      </c>
      <c r="E376" s="8" t="str">
        <f t="array" ref="E376">IFERROR(INDEX(atlas!F:F,MATCH(A376,atlas!C:C,0)),"")</f>
        <v/>
      </c>
      <c r="F376" s="9"/>
      <c r="G376" s="10"/>
      <c r="H376" s="11"/>
      <c r="I376" s="12" t="str">
        <f t="array" ref="I376">IFERROR(INDEX(atlas!B:B,MATCH(A376,atlas!C:C,0)),"")</f>
        <v/>
      </c>
      <c r="J376" s="8" t="str">
        <f>IFERROR(VLOOKUP(F376,tecnica!A:B,2,0),"")</f>
        <v/>
      </c>
      <c r="K376" s="8" t="str">
        <f>IFERROR(VLOOKUP(J376,tecnica!B:C,2,0),"")</f>
        <v/>
      </c>
      <c r="L376" s="13"/>
      <c r="M376" s="14" t="str">
        <f>IFERROR(VLOOKUP(I376,material!A:D,4,0),"")</f>
        <v/>
      </c>
      <c r="N376" s="14" t="str">
        <f t="shared" si="1"/>
        <v/>
      </c>
      <c r="O376" s="15" t="str">
        <f>IFERROR(VLOOKUP(I376,material!A:D,2,0),"")</f>
        <v/>
      </c>
    </row>
    <row r="377">
      <c r="A377" s="6"/>
      <c r="B377" s="7"/>
      <c r="C377" s="8" t="str">
        <f t="array" ref="C377">IFERROR(INDEX(atlas!H:H,MATCH(A377,atlas!C:C,0)),"")</f>
        <v/>
      </c>
      <c r="D377" s="8" t="str">
        <f t="array" ref="D377">IFERROR(INDEX(atlas!D:D,MATCH(A377,atlas!C:C,0)),"")</f>
        <v/>
      </c>
      <c r="E377" s="8" t="str">
        <f t="array" ref="E377">IFERROR(INDEX(atlas!F:F,MATCH(A377,atlas!C:C,0)),"")</f>
        <v/>
      </c>
      <c r="F377" s="9"/>
      <c r="G377" s="10"/>
      <c r="H377" s="11"/>
      <c r="I377" s="12" t="str">
        <f t="array" ref="I377">IFERROR(INDEX(atlas!B:B,MATCH(A377,atlas!C:C,0)),"")</f>
        <v/>
      </c>
      <c r="J377" s="8" t="str">
        <f>IFERROR(VLOOKUP(F377,tecnica!A:B,2,0),"")</f>
        <v/>
      </c>
      <c r="K377" s="8" t="str">
        <f>IFERROR(VLOOKUP(J377,tecnica!B:C,2,0),"")</f>
        <v/>
      </c>
      <c r="L377" s="13"/>
      <c r="M377" s="14" t="str">
        <f>IFERROR(VLOOKUP(I377,material!A:D,4,0),"")</f>
        <v/>
      </c>
      <c r="N377" s="14" t="str">
        <f t="shared" si="1"/>
        <v/>
      </c>
      <c r="O377" s="15" t="str">
        <f>IFERROR(VLOOKUP(I377,material!A:D,2,0),"")</f>
        <v/>
      </c>
    </row>
    <row r="378">
      <c r="A378" s="6"/>
      <c r="B378" s="7"/>
      <c r="C378" s="8" t="str">
        <f t="array" ref="C378">IFERROR(INDEX(atlas!H:H,MATCH(A378,atlas!C:C,0)),"")</f>
        <v/>
      </c>
      <c r="D378" s="8" t="str">
        <f t="array" ref="D378">IFERROR(INDEX(atlas!D:D,MATCH(A378,atlas!C:C,0)),"")</f>
        <v/>
      </c>
      <c r="E378" s="8" t="str">
        <f t="array" ref="E378">IFERROR(INDEX(atlas!F:F,MATCH(A378,atlas!C:C,0)),"")</f>
        <v/>
      </c>
      <c r="F378" s="9"/>
      <c r="G378" s="10"/>
      <c r="H378" s="11"/>
      <c r="I378" s="12" t="str">
        <f t="array" ref="I378">IFERROR(INDEX(atlas!B:B,MATCH(A378,atlas!C:C,0)),"")</f>
        <v/>
      </c>
      <c r="J378" s="8" t="str">
        <f>IFERROR(VLOOKUP(F378,tecnica!A:B,2,0),"")</f>
        <v/>
      </c>
      <c r="K378" s="8" t="str">
        <f>IFERROR(VLOOKUP(J378,tecnica!B:C,2,0),"")</f>
        <v/>
      </c>
      <c r="L378" s="13"/>
      <c r="M378" s="14" t="str">
        <f>IFERROR(VLOOKUP(I378,material!A:D,4,0),"")</f>
        <v/>
      </c>
      <c r="N378" s="14" t="str">
        <f t="shared" si="1"/>
        <v/>
      </c>
      <c r="O378" s="15" t="str">
        <f>IFERROR(VLOOKUP(I378,material!A:D,2,0),"")</f>
        <v/>
      </c>
    </row>
    <row r="379">
      <c r="A379" s="6"/>
      <c r="B379" s="7"/>
      <c r="C379" s="8" t="str">
        <f t="array" ref="C379">IFERROR(INDEX(atlas!H:H,MATCH(A379,atlas!C:C,0)),"")</f>
        <v/>
      </c>
      <c r="D379" s="8" t="str">
        <f t="array" ref="D379">IFERROR(INDEX(atlas!D:D,MATCH(A379,atlas!C:C,0)),"")</f>
        <v/>
      </c>
      <c r="E379" s="8" t="str">
        <f t="array" ref="E379">IFERROR(INDEX(atlas!F:F,MATCH(A379,atlas!C:C,0)),"")</f>
        <v/>
      </c>
      <c r="F379" s="9"/>
      <c r="G379" s="10"/>
      <c r="H379" s="11"/>
      <c r="I379" s="12" t="str">
        <f t="array" ref="I379">IFERROR(INDEX(atlas!B:B,MATCH(A379,atlas!C:C,0)),"")</f>
        <v/>
      </c>
      <c r="J379" s="8" t="str">
        <f>IFERROR(VLOOKUP(F379,tecnica!A:B,2,0),"")</f>
        <v/>
      </c>
      <c r="K379" s="8" t="str">
        <f>IFERROR(VLOOKUP(J379,tecnica!B:C,2,0),"")</f>
        <v/>
      </c>
      <c r="L379" s="13"/>
      <c r="M379" s="14" t="str">
        <f>IFERROR(VLOOKUP(I379,material!A:D,4,0),"")</f>
        <v/>
      </c>
      <c r="N379" s="14" t="str">
        <f t="shared" si="1"/>
        <v/>
      </c>
      <c r="O379" s="15" t="str">
        <f>IFERROR(VLOOKUP(I379,material!A:D,2,0),"")</f>
        <v/>
      </c>
    </row>
    <row r="380">
      <c r="A380" s="6"/>
      <c r="B380" s="7"/>
      <c r="C380" s="8" t="str">
        <f t="array" ref="C380">IFERROR(INDEX(atlas!H:H,MATCH(A380,atlas!C:C,0)),"")</f>
        <v/>
      </c>
      <c r="D380" s="8" t="str">
        <f t="array" ref="D380">IFERROR(INDEX(atlas!D:D,MATCH(A380,atlas!C:C,0)),"")</f>
        <v/>
      </c>
      <c r="E380" s="8" t="str">
        <f t="array" ref="E380">IFERROR(INDEX(atlas!F:F,MATCH(A380,atlas!C:C,0)),"")</f>
        <v/>
      </c>
      <c r="F380" s="9"/>
      <c r="G380" s="10"/>
      <c r="H380" s="11"/>
      <c r="I380" s="12" t="str">
        <f t="array" ref="I380">IFERROR(INDEX(atlas!B:B,MATCH(A380,atlas!C:C,0)),"")</f>
        <v/>
      </c>
      <c r="J380" s="8" t="str">
        <f>IFERROR(VLOOKUP(F380,tecnica!A:B,2,0),"")</f>
        <v/>
      </c>
      <c r="K380" s="8" t="str">
        <f>IFERROR(VLOOKUP(J380,tecnica!B:C,2,0),"")</f>
        <v/>
      </c>
      <c r="L380" s="13"/>
      <c r="M380" s="14" t="str">
        <f>IFERROR(VLOOKUP(I380,material!A:D,4,0),"")</f>
        <v/>
      </c>
      <c r="N380" s="14" t="str">
        <f t="shared" si="1"/>
        <v/>
      </c>
      <c r="O380" s="15" t="str">
        <f>IFERROR(VLOOKUP(I380,material!A:D,2,0),"")</f>
        <v/>
      </c>
    </row>
    <row r="381">
      <c r="A381" s="6"/>
      <c r="B381" s="7"/>
      <c r="C381" s="8" t="str">
        <f t="array" ref="C381">IFERROR(INDEX(atlas!H:H,MATCH(A381,atlas!C:C,0)),"")</f>
        <v/>
      </c>
      <c r="D381" s="8" t="str">
        <f t="array" ref="D381">IFERROR(INDEX(atlas!D:D,MATCH(A381,atlas!C:C,0)),"")</f>
        <v/>
      </c>
      <c r="E381" s="8" t="str">
        <f t="array" ref="E381">IFERROR(INDEX(atlas!F:F,MATCH(A381,atlas!C:C,0)),"")</f>
        <v/>
      </c>
      <c r="F381" s="9"/>
      <c r="G381" s="10"/>
      <c r="H381" s="11"/>
      <c r="I381" s="12" t="str">
        <f t="array" ref="I381">IFERROR(INDEX(atlas!B:B,MATCH(A381,atlas!C:C,0)),"")</f>
        <v/>
      </c>
      <c r="J381" s="8" t="str">
        <f>IFERROR(VLOOKUP(F381,tecnica!A:B,2,0),"")</f>
        <v/>
      </c>
      <c r="K381" s="8" t="str">
        <f>IFERROR(VLOOKUP(J381,tecnica!B:C,2,0),"")</f>
        <v/>
      </c>
      <c r="L381" s="13"/>
      <c r="M381" s="14" t="str">
        <f>IFERROR(VLOOKUP(I381,material!A:D,4,0),"")</f>
        <v/>
      </c>
      <c r="N381" s="14" t="str">
        <f t="shared" si="1"/>
        <v/>
      </c>
      <c r="O381" s="15" t="str">
        <f>IFERROR(VLOOKUP(I381,material!A:D,2,0),"")</f>
        <v/>
      </c>
    </row>
    <row r="382">
      <c r="A382" s="6"/>
      <c r="B382" s="7"/>
      <c r="C382" s="8" t="str">
        <f t="array" ref="C382">IFERROR(INDEX(atlas!H:H,MATCH(A382,atlas!C:C,0)),"")</f>
        <v/>
      </c>
      <c r="D382" s="8" t="str">
        <f t="array" ref="D382">IFERROR(INDEX(atlas!D:D,MATCH(A382,atlas!C:C,0)),"")</f>
        <v/>
      </c>
      <c r="E382" s="8" t="str">
        <f t="array" ref="E382">IFERROR(INDEX(atlas!F:F,MATCH(A382,atlas!C:C,0)),"")</f>
        <v/>
      </c>
      <c r="F382" s="9"/>
      <c r="G382" s="10"/>
      <c r="H382" s="11"/>
      <c r="I382" s="12" t="str">
        <f t="array" ref="I382">IFERROR(INDEX(atlas!B:B,MATCH(A382,atlas!C:C,0)),"")</f>
        <v/>
      </c>
      <c r="J382" s="8" t="str">
        <f>IFERROR(VLOOKUP(F382,tecnica!A:B,2,0),"")</f>
        <v/>
      </c>
      <c r="K382" s="8" t="str">
        <f>IFERROR(VLOOKUP(J382,tecnica!B:C,2,0),"")</f>
        <v/>
      </c>
      <c r="L382" s="13"/>
      <c r="M382" s="14" t="str">
        <f>IFERROR(VLOOKUP(I382,material!A:D,4,0),"")</f>
        <v/>
      </c>
      <c r="N382" s="14" t="str">
        <f t="shared" si="1"/>
        <v/>
      </c>
      <c r="O382" s="15" t="str">
        <f>IFERROR(VLOOKUP(I382,material!A:D,2,0),"")</f>
        <v/>
      </c>
    </row>
    <row r="383">
      <c r="A383" s="6"/>
      <c r="B383" s="7"/>
      <c r="C383" s="8" t="str">
        <f t="array" ref="C383">IFERROR(INDEX(atlas!H:H,MATCH(A383,atlas!C:C,0)),"")</f>
        <v/>
      </c>
      <c r="D383" s="8" t="str">
        <f t="array" ref="D383">IFERROR(INDEX(atlas!D:D,MATCH(A383,atlas!C:C,0)),"")</f>
        <v/>
      </c>
      <c r="E383" s="8" t="str">
        <f t="array" ref="E383">IFERROR(INDEX(atlas!F:F,MATCH(A383,atlas!C:C,0)),"")</f>
        <v/>
      </c>
      <c r="F383" s="9"/>
      <c r="G383" s="10"/>
      <c r="H383" s="11"/>
      <c r="I383" s="12" t="str">
        <f t="array" ref="I383">IFERROR(INDEX(atlas!B:B,MATCH(A383,atlas!C:C,0)),"")</f>
        <v/>
      </c>
      <c r="J383" s="8" t="str">
        <f>IFERROR(VLOOKUP(F383,tecnica!A:B,2,0),"")</f>
        <v/>
      </c>
      <c r="K383" s="8" t="str">
        <f>IFERROR(VLOOKUP(J383,tecnica!B:C,2,0),"")</f>
        <v/>
      </c>
      <c r="L383" s="13"/>
      <c r="M383" s="14" t="str">
        <f>IFERROR(VLOOKUP(I383,material!A:D,4,0),"")</f>
        <v/>
      </c>
      <c r="N383" s="14" t="str">
        <f t="shared" si="1"/>
        <v/>
      </c>
      <c r="O383" s="15" t="str">
        <f>IFERROR(VLOOKUP(I383,material!A:D,2,0),"")</f>
        <v/>
      </c>
    </row>
    <row r="384">
      <c r="A384" s="6"/>
      <c r="B384" s="7"/>
      <c r="C384" s="8" t="str">
        <f t="array" ref="C384">IFERROR(INDEX(atlas!H:H,MATCH(A384,atlas!C:C,0)),"")</f>
        <v/>
      </c>
      <c r="D384" s="8" t="str">
        <f t="array" ref="D384">IFERROR(INDEX(atlas!D:D,MATCH(A384,atlas!C:C,0)),"")</f>
        <v/>
      </c>
      <c r="E384" s="8" t="str">
        <f t="array" ref="E384">IFERROR(INDEX(atlas!F:F,MATCH(A384,atlas!C:C,0)),"")</f>
        <v/>
      </c>
      <c r="F384" s="9"/>
      <c r="G384" s="10"/>
      <c r="H384" s="11"/>
      <c r="I384" s="12" t="str">
        <f t="array" ref="I384">IFERROR(INDEX(atlas!B:B,MATCH(A384,atlas!C:C,0)),"")</f>
        <v/>
      </c>
      <c r="J384" s="8" t="str">
        <f>IFERROR(VLOOKUP(F384,tecnica!A:B,2,0),"")</f>
        <v/>
      </c>
      <c r="K384" s="8" t="str">
        <f>IFERROR(VLOOKUP(J384,tecnica!B:C,2,0),"")</f>
        <v/>
      </c>
      <c r="L384" s="13"/>
      <c r="M384" s="14" t="str">
        <f>IFERROR(VLOOKUP(I384,material!A:D,4,0),"")</f>
        <v/>
      </c>
      <c r="N384" s="14" t="str">
        <f t="shared" si="1"/>
        <v/>
      </c>
      <c r="O384" s="15" t="str">
        <f>IFERROR(VLOOKUP(I384,material!A:D,2,0),"")</f>
        <v/>
      </c>
    </row>
    <row r="385">
      <c r="A385" s="6"/>
      <c r="B385" s="7"/>
      <c r="C385" s="8" t="str">
        <f t="array" ref="C385">IFERROR(INDEX(atlas!H:H,MATCH(A385,atlas!C:C,0)),"")</f>
        <v/>
      </c>
      <c r="D385" s="8" t="str">
        <f t="array" ref="D385">IFERROR(INDEX(atlas!D:D,MATCH(A385,atlas!C:C,0)),"")</f>
        <v/>
      </c>
      <c r="E385" s="8" t="str">
        <f t="array" ref="E385">IFERROR(INDEX(atlas!F:F,MATCH(A385,atlas!C:C,0)),"")</f>
        <v/>
      </c>
      <c r="F385" s="9"/>
      <c r="G385" s="10"/>
      <c r="H385" s="11"/>
      <c r="I385" s="12" t="str">
        <f t="array" ref="I385">IFERROR(INDEX(atlas!B:B,MATCH(A385,atlas!C:C,0)),"")</f>
        <v/>
      </c>
      <c r="J385" s="8" t="str">
        <f>IFERROR(VLOOKUP(F385,tecnica!A:B,2,0),"")</f>
        <v/>
      </c>
      <c r="K385" s="8" t="str">
        <f>IFERROR(VLOOKUP(J385,tecnica!B:C,2,0),"")</f>
        <v/>
      </c>
      <c r="L385" s="13"/>
      <c r="M385" s="14" t="str">
        <f>IFERROR(VLOOKUP(I385,material!A:D,4,0),"")</f>
        <v/>
      </c>
      <c r="N385" s="14" t="str">
        <f t="shared" si="1"/>
        <v/>
      </c>
      <c r="O385" s="15" t="str">
        <f>IFERROR(VLOOKUP(I385,material!A:D,2,0),"")</f>
        <v/>
      </c>
    </row>
    <row r="386">
      <c r="A386" s="6"/>
      <c r="B386" s="7"/>
      <c r="C386" s="8" t="str">
        <f t="array" ref="C386">IFERROR(INDEX(atlas!H:H,MATCH(A386,atlas!C:C,0)),"")</f>
        <v/>
      </c>
      <c r="D386" s="8" t="str">
        <f t="array" ref="D386">IFERROR(INDEX(atlas!D:D,MATCH(A386,atlas!C:C,0)),"")</f>
        <v/>
      </c>
      <c r="E386" s="8" t="str">
        <f t="array" ref="E386">IFERROR(INDEX(atlas!F:F,MATCH(A386,atlas!C:C,0)),"")</f>
        <v/>
      </c>
      <c r="F386" s="9"/>
      <c r="G386" s="10"/>
      <c r="H386" s="11"/>
      <c r="I386" s="12" t="str">
        <f t="array" ref="I386">IFERROR(INDEX(atlas!B:B,MATCH(A386,atlas!C:C,0)),"")</f>
        <v/>
      </c>
      <c r="J386" s="8" t="str">
        <f>IFERROR(VLOOKUP(F386,tecnica!A:B,2,0),"")</f>
        <v/>
      </c>
      <c r="K386" s="8" t="str">
        <f>IFERROR(VLOOKUP(J386,tecnica!B:C,2,0),"")</f>
        <v/>
      </c>
      <c r="L386" s="13"/>
      <c r="M386" s="14" t="str">
        <f>IFERROR(VLOOKUP(I386,material!A:D,4,0),"")</f>
        <v/>
      </c>
      <c r="N386" s="14" t="str">
        <f t="shared" si="1"/>
        <v/>
      </c>
      <c r="O386" s="15" t="str">
        <f>IFERROR(VLOOKUP(I386,material!A:D,2,0),"")</f>
        <v/>
      </c>
    </row>
    <row r="387">
      <c r="A387" s="6"/>
      <c r="B387" s="7"/>
      <c r="C387" s="8" t="str">
        <f t="array" ref="C387">IFERROR(INDEX(atlas!H:H,MATCH(A387,atlas!C:C,0)),"")</f>
        <v/>
      </c>
      <c r="D387" s="8" t="str">
        <f t="array" ref="D387">IFERROR(INDEX(atlas!D:D,MATCH(A387,atlas!C:C,0)),"")</f>
        <v/>
      </c>
      <c r="E387" s="8" t="str">
        <f t="array" ref="E387">IFERROR(INDEX(atlas!F:F,MATCH(A387,atlas!C:C,0)),"")</f>
        <v/>
      </c>
      <c r="F387" s="9"/>
      <c r="G387" s="10"/>
      <c r="H387" s="11"/>
      <c r="I387" s="12" t="str">
        <f t="array" ref="I387">IFERROR(INDEX(atlas!B:B,MATCH(A387,atlas!C:C,0)),"")</f>
        <v/>
      </c>
      <c r="J387" s="8" t="str">
        <f>IFERROR(VLOOKUP(F387,tecnica!A:B,2,0),"")</f>
        <v/>
      </c>
      <c r="K387" s="8" t="str">
        <f>IFERROR(VLOOKUP(J387,tecnica!B:C,2,0),"")</f>
        <v/>
      </c>
      <c r="L387" s="13"/>
      <c r="M387" s="14" t="str">
        <f>IFERROR(VLOOKUP(I387,material!A:D,4,0),"")</f>
        <v/>
      </c>
      <c r="N387" s="14" t="str">
        <f t="shared" si="1"/>
        <v/>
      </c>
      <c r="O387" s="15" t="str">
        <f>IFERROR(VLOOKUP(I387,material!A:D,2,0),"")</f>
        <v/>
      </c>
    </row>
    <row r="388">
      <c r="A388" s="6"/>
      <c r="B388" s="7"/>
      <c r="C388" s="8" t="str">
        <f t="array" ref="C388">IFERROR(INDEX(atlas!H:H,MATCH(A388,atlas!C:C,0)),"")</f>
        <v/>
      </c>
      <c r="D388" s="8" t="str">
        <f t="array" ref="D388">IFERROR(INDEX(atlas!D:D,MATCH(A388,atlas!C:C,0)),"")</f>
        <v/>
      </c>
      <c r="E388" s="8" t="str">
        <f t="array" ref="E388">IFERROR(INDEX(atlas!F:F,MATCH(A388,atlas!C:C,0)),"")</f>
        <v/>
      </c>
      <c r="F388" s="9"/>
      <c r="G388" s="10"/>
      <c r="H388" s="11"/>
      <c r="I388" s="12" t="str">
        <f t="array" ref="I388">IFERROR(INDEX(atlas!B:B,MATCH(A388,atlas!C:C,0)),"")</f>
        <v/>
      </c>
      <c r="J388" s="8" t="str">
        <f>IFERROR(VLOOKUP(F388,tecnica!A:B,2,0),"")</f>
        <v/>
      </c>
      <c r="K388" s="8" t="str">
        <f>IFERROR(VLOOKUP(J388,tecnica!B:C,2,0),"")</f>
        <v/>
      </c>
      <c r="L388" s="13"/>
      <c r="M388" s="14" t="str">
        <f>IFERROR(VLOOKUP(I388,material!A:D,4,0),"")</f>
        <v/>
      </c>
      <c r="N388" s="14" t="str">
        <f t="shared" si="1"/>
        <v/>
      </c>
      <c r="O388" s="15" t="str">
        <f>IFERROR(VLOOKUP(I388,material!A:D,2,0),"")</f>
        <v/>
      </c>
    </row>
    <row r="389">
      <c r="A389" s="6"/>
      <c r="B389" s="7"/>
      <c r="C389" s="8" t="str">
        <f t="array" ref="C389">IFERROR(INDEX(atlas!H:H,MATCH(A389,atlas!C:C,0)),"")</f>
        <v/>
      </c>
      <c r="D389" s="8" t="str">
        <f t="array" ref="D389">IFERROR(INDEX(atlas!D:D,MATCH(A389,atlas!C:C,0)),"")</f>
        <v/>
      </c>
      <c r="E389" s="8" t="str">
        <f t="array" ref="E389">IFERROR(INDEX(atlas!F:F,MATCH(A389,atlas!C:C,0)),"")</f>
        <v/>
      </c>
      <c r="F389" s="9"/>
      <c r="G389" s="10"/>
      <c r="H389" s="11"/>
      <c r="I389" s="12" t="str">
        <f t="array" ref="I389">IFERROR(INDEX(atlas!B:B,MATCH(A389,atlas!C:C,0)),"")</f>
        <v/>
      </c>
      <c r="J389" s="8" t="str">
        <f>IFERROR(VLOOKUP(F389,tecnica!A:B,2,0),"")</f>
        <v/>
      </c>
      <c r="K389" s="8" t="str">
        <f>IFERROR(VLOOKUP(J389,tecnica!B:C,2,0),"")</f>
        <v/>
      </c>
      <c r="L389" s="13"/>
      <c r="M389" s="14" t="str">
        <f>IFERROR(VLOOKUP(I389,material!A:D,4,0),"")</f>
        <v/>
      </c>
      <c r="N389" s="14" t="str">
        <f t="shared" si="1"/>
        <v/>
      </c>
      <c r="O389" s="15" t="str">
        <f>IFERROR(VLOOKUP(I389,material!A:D,2,0),"")</f>
        <v/>
      </c>
    </row>
    <row r="390">
      <c r="A390" s="6"/>
      <c r="B390" s="7"/>
      <c r="C390" s="8" t="str">
        <f t="array" ref="C390">IFERROR(INDEX(atlas!H:H,MATCH(A390,atlas!C:C,0)),"")</f>
        <v/>
      </c>
      <c r="D390" s="8" t="str">
        <f t="array" ref="D390">IFERROR(INDEX(atlas!D:D,MATCH(A390,atlas!C:C,0)),"")</f>
        <v/>
      </c>
      <c r="E390" s="8" t="str">
        <f t="array" ref="E390">IFERROR(INDEX(atlas!F:F,MATCH(A390,atlas!C:C,0)),"")</f>
        <v/>
      </c>
      <c r="F390" s="9"/>
      <c r="G390" s="10"/>
      <c r="H390" s="11"/>
      <c r="I390" s="12" t="str">
        <f t="array" ref="I390">IFERROR(INDEX(atlas!B:B,MATCH(A390,atlas!C:C,0)),"")</f>
        <v/>
      </c>
      <c r="J390" s="8" t="str">
        <f>IFERROR(VLOOKUP(F390,tecnica!A:B,2,0),"")</f>
        <v/>
      </c>
      <c r="K390" s="8" t="str">
        <f>IFERROR(VLOOKUP(J390,tecnica!B:C,2,0),"")</f>
        <v/>
      </c>
      <c r="L390" s="13"/>
      <c r="M390" s="14" t="str">
        <f>IFERROR(VLOOKUP(I390,material!A:D,4,0),"")</f>
        <v/>
      </c>
      <c r="N390" s="14" t="str">
        <f t="shared" si="1"/>
        <v/>
      </c>
      <c r="O390" s="15" t="str">
        <f>IFERROR(VLOOKUP(I390,material!A:D,2,0),"")</f>
        <v/>
      </c>
    </row>
    <row r="391">
      <c r="A391" s="6"/>
      <c r="B391" s="7"/>
      <c r="C391" s="8" t="str">
        <f t="array" ref="C391">IFERROR(INDEX(atlas!H:H,MATCH(A391,atlas!C:C,0)),"")</f>
        <v/>
      </c>
      <c r="D391" s="8" t="str">
        <f t="array" ref="D391">IFERROR(INDEX(atlas!D:D,MATCH(A391,atlas!C:C,0)),"")</f>
        <v/>
      </c>
      <c r="E391" s="8" t="str">
        <f t="array" ref="E391">IFERROR(INDEX(atlas!F:F,MATCH(A391,atlas!C:C,0)),"")</f>
        <v/>
      </c>
      <c r="F391" s="9"/>
      <c r="G391" s="10"/>
      <c r="H391" s="11"/>
      <c r="I391" s="12" t="str">
        <f t="array" ref="I391">IFERROR(INDEX(atlas!B:B,MATCH(A391,atlas!C:C,0)),"")</f>
        <v/>
      </c>
      <c r="J391" s="8" t="str">
        <f>IFERROR(VLOOKUP(F391,tecnica!A:B,2,0),"")</f>
        <v/>
      </c>
      <c r="K391" s="8" t="str">
        <f>IFERROR(VLOOKUP(J391,tecnica!B:C,2,0),"")</f>
        <v/>
      </c>
      <c r="L391" s="13"/>
      <c r="M391" s="14" t="str">
        <f>IFERROR(VLOOKUP(I391,material!A:D,4,0),"")</f>
        <v/>
      </c>
      <c r="N391" s="14" t="str">
        <f t="shared" si="1"/>
        <v/>
      </c>
      <c r="O391" s="15" t="str">
        <f>IFERROR(VLOOKUP(I391,material!A:D,2,0),"")</f>
        <v/>
      </c>
    </row>
    <row r="392">
      <c r="A392" s="6"/>
      <c r="B392" s="7"/>
      <c r="C392" s="8" t="str">
        <f t="array" ref="C392">IFERROR(INDEX(atlas!H:H,MATCH(A392,atlas!C:C,0)),"")</f>
        <v/>
      </c>
      <c r="D392" s="8" t="str">
        <f t="array" ref="D392">IFERROR(INDEX(atlas!D:D,MATCH(A392,atlas!C:C,0)),"")</f>
        <v/>
      </c>
      <c r="E392" s="8" t="str">
        <f t="array" ref="E392">IFERROR(INDEX(atlas!F:F,MATCH(A392,atlas!C:C,0)),"")</f>
        <v/>
      </c>
      <c r="F392" s="9"/>
      <c r="G392" s="10"/>
      <c r="H392" s="11"/>
      <c r="I392" s="12" t="str">
        <f t="array" ref="I392">IFERROR(INDEX(atlas!B:B,MATCH(A392,atlas!C:C,0)),"")</f>
        <v/>
      </c>
      <c r="J392" s="8" t="str">
        <f>IFERROR(VLOOKUP(F392,tecnica!A:B,2,0),"")</f>
        <v/>
      </c>
      <c r="K392" s="8" t="str">
        <f>IFERROR(VLOOKUP(J392,tecnica!B:C,2,0),"")</f>
        <v/>
      </c>
      <c r="L392" s="13"/>
      <c r="M392" s="14" t="str">
        <f>IFERROR(VLOOKUP(I392,material!A:D,4,0),"")</f>
        <v/>
      </c>
      <c r="N392" s="14" t="str">
        <f t="shared" si="1"/>
        <v/>
      </c>
      <c r="O392" s="15" t="str">
        <f>IFERROR(VLOOKUP(I392,material!A:D,2,0),"")</f>
        <v/>
      </c>
    </row>
    <row r="393">
      <c r="A393" s="6"/>
      <c r="B393" s="7"/>
      <c r="C393" s="8" t="str">
        <f t="array" ref="C393">IFERROR(INDEX(atlas!H:H,MATCH(A393,atlas!C:C,0)),"")</f>
        <v/>
      </c>
      <c r="D393" s="8" t="str">
        <f t="array" ref="D393">IFERROR(INDEX(atlas!D:D,MATCH(A393,atlas!C:C,0)),"")</f>
        <v/>
      </c>
      <c r="E393" s="8" t="str">
        <f t="array" ref="E393">IFERROR(INDEX(atlas!F:F,MATCH(A393,atlas!C:C,0)),"")</f>
        <v/>
      </c>
      <c r="F393" s="9"/>
      <c r="G393" s="10"/>
      <c r="H393" s="11"/>
      <c r="I393" s="12" t="str">
        <f t="array" ref="I393">IFERROR(INDEX(atlas!B:B,MATCH(A393,atlas!C:C,0)),"")</f>
        <v/>
      </c>
      <c r="J393" s="8" t="str">
        <f>IFERROR(VLOOKUP(F393,tecnica!A:B,2,0),"")</f>
        <v/>
      </c>
      <c r="K393" s="8" t="str">
        <f>IFERROR(VLOOKUP(J393,tecnica!B:C,2,0),"")</f>
        <v/>
      </c>
      <c r="L393" s="13"/>
      <c r="M393" s="14" t="str">
        <f>IFERROR(VLOOKUP(I393,material!A:D,4,0),"")</f>
        <v/>
      </c>
      <c r="N393" s="14" t="str">
        <f t="shared" si="1"/>
        <v/>
      </c>
      <c r="O393" s="15" t="str">
        <f>IFERROR(VLOOKUP(I393,material!A:D,2,0),"")</f>
        <v/>
      </c>
    </row>
    <row r="394">
      <c r="A394" s="6"/>
      <c r="B394" s="7"/>
      <c r="C394" s="8" t="str">
        <f t="array" ref="C394">IFERROR(INDEX(atlas!H:H,MATCH(A394,atlas!C:C,0)),"")</f>
        <v/>
      </c>
      <c r="D394" s="8" t="str">
        <f t="array" ref="D394">IFERROR(INDEX(atlas!D:D,MATCH(A394,atlas!C:C,0)),"")</f>
        <v/>
      </c>
      <c r="E394" s="8" t="str">
        <f t="array" ref="E394">IFERROR(INDEX(atlas!F:F,MATCH(A394,atlas!C:C,0)),"")</f>
        <v/>
      </c>
      <c r="F394" s="9"/>
      <c r="G394" s="10"/>
      <c r="H394" s="11"/>
      <c r="I394" s="12" t="str">
        <f t="array" ref="I394">IFERROR(INDEX(atlas!B:B,MATCH(A394,atlas!C:C,0)),"")</f>
        <v/>
      </c>
      <c r="J394" s="8" t="str">
        <f>IFERROR(VLOOKUP(F394,tecnica!A:B,2,0),"")</f>
        <v/>
      </c>
      <c r="K394" s="8" t="str">
        <f>IFERROR(VLOOKUP(J394,tecnica!B:C,2,0),"")</f>
        <v/>
      </c>
      <c r="L394" s="13"/>
      <c r="M394" s="14" t="str">
        <f>IFERROR(VLOOKUP(I394,material!A:D,4,0),"")</f>
        <v/>
      </c>
      <c r="N394" s="14" t="str">
        <f t="shared" si="1"/>
        <v/>
      </c>
      <c r="O394" s="15" t="str">
        <f>IFERROR(VLOOKUP(I394,material!A:D,2,0),"")</f>
        <v/>
      </c>
    </row>
    <row r="395">
      <c r="A395" s="6"/>
      <c r="B395" s="7"/>
      <c r="C395" s="8" t="str">
        <f t="array" ref="C395">IFERROR(INDEX(atlas!H:H,MATCH(A395,atlas!C:C,0)),"")</f>
        <v/>
      </c>
      <c r="D395" s="8" t="str">
        <f t="array" ref="D395">IFERROR(INDEX(atlas!D:D,MATCH(A395,atlas!C:C,0)),"")</f>
        <v/>
      </c>
      <c r="E395" s="8" t="str">
        <f t="array" ref="E395">IFERROR(INDEX(atlas!F:F,MATCH(A395,atlas!C:C,0)),"")</f>
        <v/>
      </c>
      <c r="F395" s="9"/>
      <c r="G395" s="10"/>
      <c r="H395" s="11"/>
      <c r="I395" s="12" t="str">
        <f t="array" ref="I395">IFERROR(INDEX(atlas!B:B,MATCH(A395,atlas!C:C,0)),"")</f>
        <v/>
      </c>
      <c r="J395" s="8" t="str">
        <f>IFERROR(VLOOKUP(F395,tecnica!A:B,2,0),"")</f>
        <v/>
      </c>
      <c r="K395" s="8" t="str">
        <f>IFERROR(VLOOKUP(J395,tecnica!B:C,2,0),"")</f>
        <v/>
      </c>
      <c r="L395" s="13"/>
      <c r="M395" s="14" t="str">
        <f>IFERROR(VLOOKUP(I395,material!A:D,4,0),"")</f>
        <v/>
      </c>
      <c r="N395" s="14" t="str">
        <f t="shared" si="1"/>
        <v/>
      </c>
      <c r="O395" s="15" t="str">
        <f>IFERROR(VLOOKUP(I395,material!A:D,2,0),"")</f>
        <v/>
      </c>
    </row>
    <row r="396">
      <c r="A396" s="6"/>
      <c r="B396" s="7"/>
      <c r="C396" s="8" t="str">
        <f t="array" ref="C396">IFERROR(INDEX(atlas!H:H,MATCH(A396,atlas!C:C,0)),"")</f>
        <v/>
      </c>
      <c r="D396" s="8" t="str">
        <f t="array" ref="D396">IFERROR(INDEX(atlas!D:D,MATCH(A396,atlas!C:C,0)),"")</f>
        <v/>
      </c>
      <c r="E396" s="8" t="str">
        <f t="array" ref="E396">IFERROR(INDEX(atlas!F:F,MATCH(A396,atlas!C:C,0)),"")</f>
        <v/>
      </c>
      <c r="F396" s="9"/>
      <c r="G396" s="10"/>
      <c r="H396" s="11"/>
      <c r="I396" s="12" t="str">
        <f t="array" ref="I396">IFERROR(INDEX(atlas!B:B,MATCH(A396,atlas!C:C,0)),"")</f>
        <v/>
      </c>
      <c r="J396" s="8" t="str">
        <f>IFERROR(VLOOKUP(F396,tecnica!A:B,2,0),"")</f>
        <v/>
      </c>
      <c r="K396" s="8" t="str">
        <f>IFERROR(VLOOKUP(J396,tecnica!B:C,2,0),"")</f>
        <v/>
      </c>
      <c r="L396" s="13"/>
      <c r="M396" s="14" t="str">
        <f>IFERROR(VLOOKUP(I396,material!A:D,4,0),"")</f>
        <v/>
      </c>
      <c r="N396" s="14" t="str">
        <f t="shared" si="1"/>
        <v/>
      </c>
      <c r="O396" s="15" t="str">
        <f>IFERROR(VLOOKUP(I396,material!A:D,2,0),"")</f>
        <v/>
      </c>
    </row>
    <row r="397">
      <c r="A397" s="6"/>
      <c r="B397" s="7"/>
      <c r="C397" s="8" t="str">
        <f t="array" ref="C397">IFERROR(INDEX(atlas!H:H,MATCH(A397,atlas!C:C,0)),"")</f>
        <v/>
      </c>
      <c r="D397" s="8" t="str">
        <f t="array" ref="D397">IFERROR(INDEX(atlas!D:D,MATCH(A397,atlas!C:C,0)),"")</f>
        <v/>
      </c>
      <c r="E397" s="8" t="str">
        <f t="array" ref="E397">IFERROR(INDEX(atlas!F:F,MATCH(A397,atlas!C:C,0)),"")</f>
        <v/>
      </c>
      <c r="F397" s="9"/>
      <c r="G397" s="10"/>
      <c r="H397" s="11"/>
      <c r="I397" s="12" t="str">
        <f t="array" ref="I397">IFERROR(INDEX(atlas!B:B,MATCH(A397,atlas!C:C,0)),"")</f>
        <v/>
      </c>
      <c r="J397" s="8" t="str">
        <f>IFERROR(VLOOKUP(F397,tecnica!A:B,2,0),"")</f>
        <v/>
      </c>
      <c r="K397" s="8" t="str">
        <f>IFERROR(VLOOKUP(J397,tecnica!B:C,2,0),"")</f>
        <v/>
      </c>
      <c r="L397" s="13"/>
      <c r="M397" s="14" t="str">
        <f>IFERROR(VLOOKUP(I397,material!A:D,4,0),"")</f>
        <v/>
      </c>
      <c r="N397" s="14" t="str">
        <f t="shared" si="1"/>
        <v/>
      </c>
      <c r="O397" s="15" t="str">
        <f>IFERROR(VLOOKUP(I397,material!A:D,2,0),"")</f>
        <v/>
      </c>
    </row>
    <row r="398">
      <c r="A398" s="6"/>
      <c r="B398" s="7"/>
      <c r="C398" s="8" t="str">
        <f t="array" ref="C398">IFERROR(INDEX(atlas!H:H,MATCH(A398,atlas!C:C,0)),"")</f>
        <v/>
      </c>
      <c r="D398" s="8" t="str">
        <f t="array" ref="D398">IFERROR(INDEX(atlas!D:D,MATCH(A398,atlas!C:C,0)),"")</f>
        <v/>
      </c>
      <c r="E398" s="8" t="str">
        <f t="array" ref="E398">IFERROR(INDEX(atlas!F:F,MATCH(A398,atlas!C:C,0)),"")</f>
        <v/>
      </c>
      <c r="F398" s="9"/>
      <c r="G398" s="10"/>
      <c r="H398" s="11"/>
      <c r="I398" s="12" t="str">
        <f t="array" ref="I398">IFERROR(INDEX(atlas!B:B,MATCH(A398,atlas!C:C,0)),"")</f>
        <v/>
      </c>
      <c r="J398" s="8" t="str">
        <f>IFERROR(VLOOKUP(F398,tecnica!A:B,2,0),"")</f>
        <v/>
      </c>
      <c r="K398" s="8" t="str">
        <f>IFERROR(VLOOKUP(J398,tecnica!B:C,2,0),"")</f>
        <v/>
      </c>
      <c r="L398" s="13"/>
      <c r="M398" s="14" t="str">
        <f>IFERROR(VLOOKUP(I398,material!A:D,4,0),"")</f>
        <v/>
      </c>
      <c r="N398" s="14" t="str">
        <f t="shared" si="1"/>
        <v/>
      </c>
      <c r="O398" s="15" t="str">
        <f>IFERROR(VLOOKUP(I398,material!A:D,2,0),"")</f>
        <v/>
      </c>
    </row>
    <row r="399">
      <c r="A399" s="6"/>
      <c r="B399" s="7"/>
      <c r="C399" s="8" t="str">
        <f t="array" ref="C399">IFERROR(INDEX(atlas!H:H,MATCH(A399,atlas!C:C,0)),"")</f>
        <v/>
      </c>
      <c r="D399" s="8" t="str">
        <f t="array" ref="D399">IFERROR(INDEX(atlas!D:D,MATCH(A399,atlas!C:C,0)),"")</f>
        <v/>
      </c>
      <c r="E399" s="8" t="str">
        <f t="array" ref="E399">IFERROR(INDEX(atlas!F:F,MATCH(A399,atlas!C:C,0)),"")</f>
        <v/>
      </c>
      <c r="F399" s="9"/>
      <c r="G399" s="10"/>
      <c r="H399" s="11"/>
      <c r="I399" s="12" t="str">
        <f t="array" ref="I399">IFERROR(INDEX(atlas!B:B,MATCH(A399,atlas!C:C,0)),"")</f>
        <v/>
      </c>
      <c r="J399" s="8" t="str">
        <f>IFERROR(VLOOKUP(F399,tecnica!A:B,2,0),"")</f>
        <v/>
      </c>
      <c r="K399" s="8" t="str">
        <f>IFERROR(VLOOKUP(J399,tecnica!B:C,2,0),"")</f>
        <v/>
      </c>
      <c r="L399" s="13"/>
      <c r="M399" s="14" t="str">
        <f>IFERROR(VLOOKUP(I399,material!A:D,4,0),"")</f>
        <v/>
      </c>
      <c r="N399" s="14" t="str">
        <f t="shared" si="1"/>
        <v/>
      </c>
      <c r="O399" s="15" t="str">
        <f>IFERROR(VLOOKUP(I399,material!A:D,2,0),"")</f>
        <v/>
      </c>
    </row>
    <row r="400">
      <c r="A400" s="6"/>
      <c r="B400" s="7"/>
      <c r="C400" s="8" t="str">
        <f t="array" ref="C400">IFERROR(INDEX(atlas!H:H,MATCH(A400,atlas!C:C,0)),"")</f>
        <v/>
      </c>
      <c r="D400" s="8" t="str">
        <f t="array" ref="D400">IFERROR(INDEX(atlas!D:D,MATCH(A400,atlas!C:C,0)),"")</f>
        <v/>
      </c>
      <c r="E400" s="8" t="str">
        <f t="array" ref="E400">IFERROR(INDEX(atlas!F:F,MATCH(A400,atlas!C:C,0)),"")</f>
        <v/>
      </c>
      <c r="F400" s="9"/>
      <c r="G400" s="10"/>
      <c r="H400" s="11"/>
      <c r="I400" s="12" t="str">
        <f t="array" ref="I400">IFERROR(INDEX(atlas!B:B,MATCH(A400,atlas!C:C,0)),"")</f>
        <v/>
      </c>
      <c r="J400" s="8" t="str">
        <f>IFERROR(VLOOKUP(F400,tecnica!A:B,2,0),"")</f>
        <v/>
      </c>
      <c r="K400" s="8" t="str">
        <f>IFERROR(VLOOKUP(J400,tecnica!B:C,2,0),"")</f>
        <v/>
      </c>
      <c r="L400" s="13"/>
      <c r="M400" s="14" t="str">
        <f>IFERROR(VLOOKUP(I400,material!A:D,4,0),"")</f>
        <v/>
      </c>
      <c r="N400" s="14" t="str">
        <f t="shared" si="1"/>
        <v/>
      </c>
      <c r="O400" s="15" t="str">
        <f>IFERROR(VLOOKUP(I400,material!A:D,2,0),"")</f>
        <v/>
      </c>
    </row>
    <row r="401">
      <c r="A401" s="6"/>
      <c r="B401" s="7"/>
      <c r="C401" s="8" t="str">
        <f t="array" ref="C401">IFERROR(INDEX(atlas!H:H,MATCH(A401,atlas!C:C,0)),"")</f>
        <v/>
      </c>
      <c r="D401" s="8" t="str">
        <f t="array" ref="D401">IFERROR(INDEX(atlas!D:D,MATCH(A401,atlas!C:C,0)),"")</f>
        <v/>
      </c>
      <c r="E401" s="8" t="str">
        <f t="array" ref="E401">IFERROR(INDEX(atlas!F:F,MATCH(A401,atlas!C:C,0)),"")</f>
        <v/>
      </c>
      <c r="F401" s="9"/>
      <c r="G401" s="10"/>
      <c r="H401" s="11"/>
      <c r="I401" s="12" t="str">
        <f t="array" ref="I401">IFERROR(INDEX(atlas!B:B,MATCH(A401,atlas!C:C,0)),"")</f>
        <v/>
      </c>
      <c r="J401" s="8" t="str">
        <f>IFERROR(VLOOKUP(F401,tecnica!A:B,2,0),"")</f>
        <v/>
      </c>
      <c r="K401" s="8" t="str">
        <f>IFERROR(VLOOKUP(J401,tecnica!B:C,2,0),"")</f>
        <v/>
      </c>
      <c r="L401" s="13"/>
      <c r="M401" s="14" t="str">
        <f>IFERROR(VLOOKUP(I401,material!A:D,4,0),"")</f>
        <v/>
      </c>
      <c r="N401" s="14" t="str">
        <f t="shared" si="1"/>
        <v/>
      </c>
      <c r="O401" s="15" t="str">
        <f>IFERROR(VLOOKUP(I401,material!A:D,2,0),"")</f>
        <v/>
      </c>
    </row>
    <row r="402">
      <c r="A402" s="6"/>
      <c r="B402" s="7"/>
      <c r="C402" s="8" t="str">
        <f t="array" ref="C402">IFERROR(INDEX(atlas!H:H,MATCH(A402,atlas!C:C,0)),"")</f>
        <v/>
      </c>
      <c r="D402" s="8" t="str">
        <f t="array" ref="D402">IFERROR(INDEX(atlas!D:D,MATCH(A402,atlas!C:C,0)),"")</f>
        <v/>
      </c>
      <c r="E402" s="8" t="str">
        <f t="array" ref="E402">IFERROR(INDEX(atlas!F:F,MATCH(A402,atlas!C:C,0)),"")</f>
        <v/>
      </c>
      <c r="F402" s="9"/>
      <c r="G402" s="10"/>
      <c r="H402" s="11"/>
      <c r="I402" s="12" t="str">
        <f t="array" ref="I402">IFERROR(INDEX(atlas!B:B,MATCH(A402,atlas!C:C,0)),"")</f>
        <v/>
      </c>
      <c r="J402" s="8" t="str">
        <f>IFERROR(VLOOKUP(F402,tecnica!A:B,2,0),"")</f>
        <v/>
      </c>
      <c r="K402" s="8" t="str">
        <f>IFERROR(VLOOKUP(J402,tecnica!B:C,2,0),"")</f>
        <v/>
      </c>
      <c r="L402" s="13"/>
      <c r="M402" s="14" t="str">
        <f>IFERROR(VLOOKUP(I402,material!A:D,4,0),"")</f>
        <v/>
      </c>
      <c r="N402" s="14" t="str">
        <f t="shared" si="1"/>
        <v/>
      </c>
      <c r="O402" s="15" t="str">
        <f>IFERROR(VLOOKUP(I402,material!A:D,2,0),"")</f>
        <v/>
      </c>
    </row>
    <row r="403">
      <c r="A403" s="6"/>
      <c r="B403" s="7"/>
      <c r="C403" s="8" t="str">
        <f t="array" ref="C403">IFERROR(INDEX(atlas!H:H,MATCH(A403,atlas!C:C,0)),"")</f>
        <v/>
      </c>
      <c r="D403" s="8" t="str">
        <f t="array" ref="D403">IFERROR(INDEX(atlas!D:D,MATCH(A403,atlas!C:C,0)),"")</f>
        <v/>
      </c>
      <c r="E403" s="8" t="str">
        <f t="array" ref="E403">IFERROR(INDEX(atlas!F:F,MATCH(A403,atlas!C:C,0)),"")</f>
        <v/>
      </c>
      <c r="F403" s="9"/>
      <c r="G403" s="10"/>
      <c r="H403" s="11"/>
      <c r="I403" s="12" t="str">
        <f t="array" ref="I403">IFERROR(INDEX(atlas!B:B,MATCH(A403,atlas!C:C,0)),"")</f>
        <v/>
      </c>
      <c r="J403" s="8" t="str">
        <f>IFERROR(VLOOKUP(F403,tecnica!A:B,2,0),"")</f>
        <v/>
      </c>
      <c r="K403" s="8" t="str">
        <f>IFERROR(VLOOKUP(J403,tecnica!B:C,2,0),"")</f>
        <v/>
      </c>
      <c r="L403" s="13"/>
      <c r="M403" s="14" t="str">
        <f>IFERROR(VLOOKUP(I403,material!A:D,4,0),"")</f>
        <v/>
      </c>
      <c r="N403" s="14" t="str">
        <f t="shared" si="1"/>
        <v/>
      </c>
      <c r="O403" s="15" t="str">
        <f>IFERROR(VLOOKUP(I403,material!A:D,2,0),"")</f>
        <v/>
      </c>
    </row>
    <row r="404">
      <c r="A404" s="6"/>
      <c r="B404" s="7"/>
      <c r="C404" s="8" t="str">
        <f t="array" ref="C404">IFERROR(INDEX(atlas!H:H,MATCH(A404,atlas!C:C,0)),"")</f>
        <v/>
      </c>
      <c r="D404" s="8" t="str">
        <f t="array" ref="D404">IFERROR(INDEX(atlas!D:D,MATCH(A404,atlas!C:C,0)),"")</f>
        <v/>
      </c>
      <c r="E404" s="8" t="str">
        <f t="array" ref="E404">IFERROR(INDEX(atlas!F:F,MATCH(A404,atlas!C:C,0)),"")</f>
        <v/>
      </c>
      <c r="F404" s="9"/>
      <c r="G404" s="10"/>
      <c r="H404" s="11"/>
      <c r="I404" s="12" t="str">
        <f t="array" ref="I404">IFERROR(INDEX(atlas!B:B,MATCH(A404,atlas!C:C,0)),"")</f>
        <v/>
      </c>
      <c r="J404" s="8" t="str">
        <f>IFERROR(VLOOKUP(F404,tecnica!A:B,2,0),"")</f>
        <v/>
      </c>
      <c r="K404" s="8" t="str">
        <f>IFERROR(VLOOKUP(J404,tecnica!B:C,2,0),"")</f>
        <v/>
      </c>
      <c r="L404" s="13"/>
      <c r="M404" s="14" t="str">
        <f>IFERROR(VLOOKUP(I404,material!A:D,4,0),"")</f>
        <v/>
      </c>
      <c r="N404" s="14" t="str">
        <f t="shared" si="1"/>
        <v/>
      </c>
      <c r="O404" s="15" t="str">
        <f>IFERROR(VLOOKUP(I404,material!A:D,2,0),"")</f>
        <v/>
      </c>
    </row>
    <row r="405">
      <c r="A405" s="6"/>
      <c r="B405" s="7"/>
      <c r="C405" s="8" t="str">
        <f t="array" ref="C405">IFERROR(INDEX(atlas!H:H,MATCH(A405,atlas!C:C,0)),"")</f>
        <v/>
      </c>
      <c r="D405" s="8" t="str">
        <f t="array" ref="D405">IFERROR(INDEX(atlas!D:D,MATCH(A405,atlas!C:C,0)),"")</f>
        <v/>
      </c>
      <c r="E405" s="8" t="str">
        <f t="array" ref="E405">IFERROR(INDEX(atlas!F:F,MATCH(A405,atlas!C:C,0)),"")</f>
        <v/>
      </c>
      <c r="F405" s="9"/>
      <c r="G405" s="10"/>
      <c r="H405" s="11"/>
      <c r="I405" s="12" t="str">
        <f t="array" ref="I405">IFERROR(INDEX(atlas!B:B,MATCH(A405,atlas!C:C,0)),"")</f>
        <v/>
      </c>
      <c r="J405" s="8" t="str">
        <f>IFERROR(VLOOKUP(F405,tecnica!A:B,2,0),"")</f>
        <v/>
      </c>
      <c r="K405" s="8" t="str">
        <f>IFERROR(VLOOKUP(J405,tecnica!B:C,2,0),"")</f>
        <v/>
      </c>
      <c r="L405" s="13"/>
      <c r="M405" s="14" t="str">
        <f>IFERROR(VLOOKUP(I405,material!A:D,4,0),"")</f>
        <v/>
      </c>
      <c r="N405" s="14" t="str">
        <f t="shared" si="1"/>
        <v/>
      </c>
      <c r="O405" s="15" t="str">
        <f>IFERROR(VLOOKUP(I405,material!A:D,2,0),"")</f>
        <v/>
      </c>
    </row>
    <row r="406">
      <c r="A406" s="6"/>
      <c r="B406" s="7"/>
      <c r="C406" s="8" t="str">
        <f t="array" ref="C406">IFERROR(INDEX(atlas!H:H,MATCH(A406,atlas!C:C,0)),"")</f>
        <v/>
      </c>
      <c r="D406" s="8" t="str">
        <f t="array" ref="D406">IFERROR(INDEX(atlas!D:D,MATCH(A406,atlas!C:C,0)),"")</f>
        <v/>
      </c>
      <c r="E406" s="8" t="str">
        <f t="array" ref="E406">IFERROR(INDEX(atlas!F:F,MATCH(A406,atlas!C:C,0)),"")</f>
        <v/>
      </c>
      <c r="F406" s="9"/>
      <c r="G406" s="10"/>
      <c r="H406" s="11"/>
      <c r="I406" s="12" t="str">
        <f t="array" ref="I406">IFERROR(INDEX(atlas!B:B,MATCH(A406,atlas!C:C,0)),"")</f>
        <v/>
      </c>
      <c r="J406" s="8" t="str">
        <f>IFERROR(VLOOKUP(F406,tecnica!A:B,2,0),"")</f>
        <v/>
      </c>
      <c r="K406" s="8" t="str">
        <f>IFERROR(VLOOKUP(J406,tecnica!B:C,2,0),"")</f>
        <v/>
      </c>
      <c r="L406" s="13"/>
      <c r="M406" s="14" t="str">
        <f>IFERROR(VLOOKUP(I406,material!A:D,4,0),"")</f>
        <v/>
      </c>
      <c r="N406" s="14" t="str">
        <f t="shared" si="1"/>
        <v/>
      </c>
      <c r="O406" s="15" t="str">
        <f>IFERROR(VLOOKUP(I406,material!A:D,2,0),"")</f>
        <v/>
      </c>
    </row>
    <row r="407">
      <c r="A407" s="6"/>
      <c r="B407" s="7"/>
      <c r="C407" s="8" t="str">
        <f t="array" ref="C407">IFERROR(INDEX(atlas!H:H,MATCH(A407,atlas!C:C,0)),"")</f>
        <v/>
      </c>
      <c r="D407" s="8" t="str">
        <f t="array" ref="D407">IFERROR(INDEX(atlas!D:D,MATCH(A407,atlas!C:C,0)),"")</f>
        <v/>
      </c>
      <c r="E407" s="8" t="str">
        <f t="array" ref="E407">IFERROR(INDEX(atlas!F:F,MATCH(A407,atlas!C:C,0)),"")</f>
        <v/>
      </c>
      <c r="F407" s="9"/>
      <c r="G407" s="10"/>
      <c r="H407" s="11"/>
      <c r="I407" s="12" t="str">
        <f t="array" ref="I407">IFERROR(INDEX(atlas!B:B,MATCH(A407,atlas!C:C,0)),"")</f>
        <v/>
      </c>
      <c r="J407" s="8" t="str">
        <f>IFERROR(VLOOKUP(F407,tecnica!A:B,2,0),"")</f>
        <v/>
      </c>
      <c r="K407" s="8" t="str">
        <f>IFERROR(VLOOKUP(J407,tecnica!B:C,2,0),"")</f>
        <v/>
      </c>
      <c r="L407" s="13"/>
      <c r="M407" s="14" t="str">
        <f>IFERROR(VLOOKUP(I407,material!A:D,4,0),"")</f>
        <v/>
      </c>
      <c r="N407" s="14" t="str">
        <f t="shared" si="1"/>
        <v/>
      </c>
      <c r="O407" s="15" t="str">
        <f>IFERROR(VLOOKUP(I407,material!A:D,2,0),"")</f>
        <v/>
      </c>
    </row>
    <row r="408">
      <c r="A408" s="6"/>
      <c r="B408" s="7"/>
      <c r="C408" s="8" t="str">
        <f t="array" ref="C408">IFERROR(INDEX(atlas!H:H,MATCH(A408,atlas!C:C,0)),"")</f>
        <v/>
      </c>
      <c r="D408" s="8" t="str">
        <f t="array" ref="D408">IFERROR(INDEX(atlas!D:D,MATCH(A408,atlas!C:C,0)),"")</f>
        <v/>
      </c>
      <c r="E408" s="8" t="str">
        <f t="array" ref="E408">IFERROR(INDEX(atlas!F:F,MATCH(A408,atlas!C:C,0)),"")</f>
        <v/>
      </c>
      <c r="F408" s="9"/>
      <c r="G408" s="10"/>
      <c r="H408" s="11"/>
      <c r="I408" s="12" t="str">
        <f t="array" ref="I408">IFERROR(INDEX(atlas!B:B,MATCH(A408,atlas!C:C,0)),"")</f>
        <v/>
      </c>
      <c r="J408" s="8" t="str">
        <f>IFERROR(VLOOKUP(F408,tecnica!A:B,2,0),"")</f>
        <v/>
      </c>
      <c r="K408" s="8" t="str">
        <f>IFERROR(VLOOKUP(J408,tecnica!B:C,2,0),"")</f>
        <v/>
      </c>
      <c r="L408" s="13"/>
      <c r="M408" s="14" t="str">
        <f>IFERROR(VLOOKUP(I408,material!A:D,4,0),"")</f>
        <v/>
      </c>
      <c r="N408" s="14" t="str">
        <f t="shared" si="1"/>
        <v/>
      </c>
      <c r="O408" s="15" t="str">
        <f>IFERROR(VLOOKUP(I408,material!A:D,2,0),"")</f>
        <v/>
      </c>
    </row>
    <row r="409">
      <c r="A409" s="6"/>
      <c r="B409" s="7"/>
      <c r="C409" s="8" t="str">
        <f t="array" ref="C409">IFERROR(INDEX(atlas!H:H,MATCH(A409,atlas!C:C,0)),"")</f>
        <v/>
      </c>
      <c r="D409" s="8" t="str">
        <f t="array" ref="D409">IFERROR(INDEX(atlas!D:D,MATCH(A409,atlas!C:C,0)),"")</f>
        <v/>
      </c>
      <c r="E409" s="8" t="str">
        <f t="array" ref="E409">IFERROR(INDEX(atlas!F:F,MATCH(A409,atlas!C:C,0)),"")</f>
        <v/>
      </c>
      <c r="F409" s="9"/>
      <c r="G409" s="10"/>
      <c r="H409" s="11"/>
      <c r="I409" s="12" t="str">
        <f t="array" ref="I409">IFERROR(INDEX(atlas!B:B,MATCH(A409,atlas!C:C,0)),"")</f>
        <v/>
      </c>
      <c r="J409" s="8" t="str">
        <f>IFERROR(VLOOKUP(F409,tecnica!A:B,2,0),"")</f>
        <v/>
      </c>
      <c r="K409" s="8" t="str">
        <f>IFERROR(VLOOKUP(J409,tecnica!B:C,2,0),"")</f>
        <v/>
      </c>
      <c r="L409" s="13"/>
      <c r="M409" s="14" t="str">
        <f>IFERROR(VLOOKUP(I409,material!A:D,4,0),"")</f>
        <v/>
      </c>
      <c r="N409" s="14" t="str">
        <f t="shared" si="1"/>
        <v/>
      </c>
      <c r="O409" s="15" t="str">
        <f>IFERROR(VLOOKUP(I409,material!A:D,2,0),"")</f>
        <v/>
      </c>
    </row>
    <row r="410">
      <c r="A410" s="6"/>
      <c r="B410" s="7"/>
      <c r="C410" s="8" t="str">
        <f t="array" ref="C410">IFERROR(INDEX(atlas!H:H,MATCH(A410,atlas!C:C,0)),"")</f>
        <v/>
      </c>
      <c r="D410" s="8" t="str">
        <f t="array" ref="D410">IFERROR(INDEX(atlas!D:D,MATCH(A410,atlas!C:C,0)),"")</f>
        <v/>
      </c>
      <c r="E410" s="8" t="str">
        <f t="array" ref="E410">IFERROR(INDEX(atlas!F:F,MATCH(A410,atlas!C:C,0)),"")</f>
        <v/>
      </c>
      <c r="F410" s="9"/>
      <c r="G410" s="10"/>
      <c r="H410" s="11"/>
      <c r="I410" s="12" t="str">
        <f t="array" ref="I410">IFERROR(INDEX(atlas!B:B,MATCH(A410,atlas!C:C,0)),"")</f>
        <v/>
      </c>
      <c r="J410" s="8" t="str">
        <f>IFERROR(VLOOKUP(F410,tecnica!A:B,2,0),"")</f>
        <v/>
      </c>
      <c r="K410" s="8" t="str">
        <f>IFERROR(VLOOKUP(J410,tecnica!B:C,2,0),"")</f>
        <v/>
      </c>
      <c r="L410" s="13"/>
      <c r="M410" s="14" t="str">
        <f>IFERROR(VLOOKUP(I410,material!A:D,4,0),"")</f>
        <v/>
      </c>
      <c r="N410" s="14" t="str">
        <f t="shared" si="1"/>
        <v/>
      </c>
      <c r="O410" s="15" t="str">
        <f>IFERROR(VLOOKUP(I410,material!A:D,2,0),"")</f>
        <v/>
      </c>
    </row>
    <row r="411">
      <c r="A411" s="6"/>
      <c r="B411" s="7"/>
      <c r="C411" s="8" t="str">
        <f t="array" ref="C411">IFERROR(INDEX(atlas!H:H,MATCH(A411,atlas!C:C,0)),"")</f>
        <v/>
      </c>
      <c r="D411" s="8" t="str">
        <f t="array" ref="D411">IFERROR(INDEX(atlas!D:D,MATCH(A411,atlas!C:C,0)),"")</f>
        <v/>
      </c>
      <c r="E411" s="8" t="str">
        <f t="array" ref="E411">IFERROR(INDEX(atlas!F:F,MATCH(A411,atlas!C:C,0)),"")</f>
        <v/>
      </c>
      <c r="F411" s="9"/>
      <c r="G411" s="10"/>
      <c r="H411" s="11"/>
      <c r="I411" s="12" t="str">
        <f t="array" ref="I411">IFERROR(INDEX(atlas!B:B,MATCH(A411,atlas!C:C,0)),"")</f>
        <v/>
      </c>
      <c r="J411" s="8" t="str">
        <f>IFERROR(VLOOKUP(F411,tecnica!A:B,2,0),"")</f>
        <v/>
      </c>
      <c r="K411" s="8" t="str">
        <f>IFERROR(VLOOKUP(J411,tecnica!B:C,2,0),"")</f>
        <v/>
      </c>
      <c r="L411" s="13"/>
      <c r="M411" s="14" t="str">
        <f>IFERROR(VLOOKUP(I411,material!A:D,4,0),"")</f>
        <v/>
      </c>
      <c r="N411" s="14" t="str">
        <f t="shared" si="1"/>
        <v/>
      </c>
      <c r="O411" s="15" t="str">
        <f>IFERROR(VLOOKUP(I411,material!A:D,2,0),"")</f>
        <v/>
      </c>
    </row>
    <row r="412">
      <c r="A412" s="6"/>
      <c r="B412" s="7"/>
      <c r="C412" s="8" t="str">
        <f t="array" ref="C412">IFERROR(INDEX(atlas!H:H,MATCH(A412,atlas!C:C,0)),"")</f>
        <v/>
      </c>
      <c r="D412" s="8" t="str">
        <f t="array" ref="D412">IFERROR(INDEX(atlas!D:D,MATCH(A412,atlas!C:C,0)),"")</f>
        <v/>
      </c>
      <c r="E412" s="8" t="str">
        <f t="array" ref="E412">IFERROR(INDEX(atlas!F:F,MATCH(A412,atlas!C:C,0)),"")</f>
        <v/>
      </c>
      <c r="F412" s="9"/>
      <c r="G412" s="10"/>
      <c r="H412" s="11"/>
      <c r="I412" s="12" t="str">
        <f t="array" ref="I412">IFERROR(INDEX(atlas!B:B,MATCH(A412,atlas!C:C,0)),"")</f>
        <v/>
      </c>
      <c r="J412" s="8" t="str">
        <f>IFERROR(VLOOKUP(F412,tecnica!A:B,2,0),"")</f>
        <v/>
      </c>
      <c r="K412" s="8" t="str">
        <f>IFERROR(VLOOKUP(J412,tecnica!B:C,2,0),"")</f>
        <v/>
      </c>
      <c r="L412" s="13"/>
      <c r="M412" s="14" t="str">
        <f>IFERROR(VLOOKUP(I412,material!A:D,4,0),"")</f>
        <v/>
      </c>
      <c r="N412" s="14" t="str">
        <f t="shared" si="1"/>
        <v/>
      </c>
      <c r="O412" s="15" t="str">
        <f>IFERROR(VLOOKUP(I412,material!A:D,2,0),"")</f>
        <v/>
      </c>
    </row>
    <row r="413">
      <c r="A413" s="6"/>
      <c r="B413" s="7"/>
      <c r="C413" s="8" t="str">
        <f t="array" ref="C413">IFERROR(INDEX(atlas!H:H,MATCH(A413,atlas!C:C,0)),"")</f>
        <v/>
      </c>
      <c r="D413" s="8" t="str">
        <f t="array" ref="D413">IFERROR(INDEX(atlas!D:D,MATCH(A413,atlas!C:C,0)),"")</f>
        <v/>
      </c>
      <c r="E413" s="8" t="str">
        <f t="array" ref="E413">IFERROR(INDEX(atlas!F:F,MATCH(A413,atlas!C:C,0)),"")</f>
        <v/>
      </c>
      <c r="F413" s="9"/>
      <c r="G413" s="10"/>
      <c r="H413" s="11"/>
      <c r="I413" s="12" t="str">
        <f t="array" ref="I413">IFERROR(INDEX(atlas!B:B,MATCH(A413,atlas!C:C,0)),"")</f>
        <v/>
      </c>
      <c r="J413" s="8" t="str">
        <f>IFERROR(VLOOKUP(F413,tecnica!A:B,2,0),"")</f>
        <v/>
      </c>
      <c r="K413" s="8" t="str">
        <f>IFERROR(VLOOKUP(J413,tecnica!B:C,2,0),"")</f>
        <v/>
      </c>
      <c r="L413" s="13"/>
      <c r="M413" s="14" t="str">
        <f>IFERROR(VLOOKUP(I413,material!A:D,4,0),"")</f>
        <v/>
      </c>
      <c r="N413" s="14" t="str">
        <f t="shared" si="1"/>
        <v/>
      </c>
      <c r="O413" s="15" t="str">
        <f>IFERROR(VLOOKUP(I413,material!A:D,2,0),"")</f>
        <v/>
      </c>
    </row>
    <row r="414">
      <c r="A414" s="6"/>
      <c r="B414" s="7"/>
      <c r="C414" s="8" t="str">
        <f t="array" ref="C414">IFERROR(INDEX(atlas!H:H,MATCH(A414,atlas!C:C,0)),"")</f>
        <v/>
      </c>
      <c r="D414" s="8" t="str">
        <f t="array" ref="D414">IFERROR(INDEX(atlas!D:D,MATCH(A414,atlas!C:C,0)),"")</f>
        <v/>
      </c>
      <c r="E414" s="8" t="str">
        <f t="array" ref="E414">IFERROR(INDEX(atlas!F:F,MATCH(A414,atlas!C:C,0)),"")</f>
        <v/>
      </c>
      <c r="F414" s="9"/>
      <c r="G414" s="10"/>
      <c r="H414" s="11"/>
      <c r="I414" s="12" t="str">
        <f t="array" ref="I414">IFERROR(INDEX(atlas!B:B,MATCH(A414,atlas!C:C,0)),"")</f>
        <v/>
      </c>
      <c r="J414" s="8" t="str">
        <f>IFERROR(VLOOKUP(F414,tecnica!A:B,2,0),"")</f>
        <v/>
      </c>
      <c r="K414" s="8" t="str">
        <f>IFERROR(VLOOKUP(J414,tecnica!B:C,2,0),"")</f>
        <v/>
      </c>
      <c r="L414" s="13"/>
      <c r="M414" s="14" t="str">
        <f>IFERROR(VLOOKUP(I414,material!A:D,4,0),"")</f>
        <v/>
      </c>
      <c r="N414" s="14" t="str">
        <f t="shared" si="1"/>
        <v/>
      </c>
      <c r="O414" s="15" t="str">
        <f>IFERROR(VLOOKUP(I414,material!A:D,2,0),"")</f>
        <v/>
      </c>
    </row>
    <row r="415">
      <c r="A415" s="6"/>
      <c r="B415" s="7"/>
      <c r="C415" s="8" t="str">
        <f t="array" ref="C415">IFERROR(INDEX(atlas!H:H,MATCH(A415,atlas!C:C,0)),"")</f>
        <v/>
      </c>
      <c r="D415" s="8" t="str">
        <f t="array" ref="D415">IFERROR(INDEX(atlas!D:D,MATCH(A415,atlas!C:C,0)),"")</f>
        <v/>
      </c>
      <c r="E415" s="8" t="str">
        <f t="array" ref="E415">IFERROR(INDEX(atlas!F:F,MATCH(A415,atlas!C:C,0)),"")</f>
        <v/>
      </c>
      <c r="F415" s="9"/>
      <c r="G415" s="10"/>
      <c r="H415" s="11"/>
      <c r="I415" s="12" t="str">
        <f t="array" ref="I415">IFERROR(INDEX(atlas!B:B,MATCH(A415,atlas!C:C,0)),"")</f>
        <v/>
      </c>
      <c r="J415" s="8" t="str">
        <f>IFERROR(VLOOKUP(F415,tecnica!A:B,2,0),"")</f>
        <v/>
      </c>
      <c r="K415" s="8" t="str">
        <f>IFERROR(VLOOKUP(J415,tecnica!B:C,2,0),"")</f>
        <v/>
      </c>
      <c r="L415" s="13"/>
      <c r="M415" s="14" t="str">
        <f>IFERROR(VLOOKUP(I415,material!A:D,4,0),"")</f>
        <v/>
      </c>
      <c r="N415" s="14" t="str">
        <f t="shared" si="1"/>
        <v/>
      </c>
      <c r="O415" s="15" t="str">
        <f>IFERROR(VLOOKUP(I415,material!A:D,2,0),"")</f>
        <v/>
      </c>
    </row>
    <row r="416">
      <c r="A416" s="6"/>
      <c r="B416" s="7"/>
      <c r="C416" s="8" t="str">
        <f t="array" ref="C416">IFERROR(INDEX(atlas!H:H,MATCH(A416,atlas!C:C,0)),"")</f>
        <v/>
      </c>
      <c r="D416" s="8" t="str">
        <f t="array" ref="D416">IFERROR(INDEX(atlas!D:D,MATCH(A416,atlas!C:C,0)),"")</f>
        <v/>
      </c>
      <c r="E416" s="8" t="str">
        <f t="array" ref="E416">IFERROR(INDEX(atlas!F:F,MATCH(A416,atlas!C:C,0)),"")</f>
        <v/>
      </c>
      <c r="F416" s="9"/>
      <c r="G416" s="10"/>
      <c r="H416" s="11"/>
      <c r="I416" s="12" t="str">
        <f t="array" ref="I416">IFERROR(INDEX(atlas!B:B,MATCH(A416,atlas!C:C,0)),"")</f>
        <v/>
      </c>
      <c r="J416" s="8" t="str">
        <f>IFERROR(VLOOKUP(F416,tecnica!A:B,2,0),"")</f>
        <v/>
      </c>
      <c r="K416" s="8" t="str">
        <f>IFERROR(VLOOKUP(J416,tecnica!B:C,2,0),"")</f>
        <v/>
      </c>
      <c r="L416" s="13"/>
      <c r="M416" s="14" t="str">
        <f>IFERROR(VLOOKUP(I416,material!A:D,4,0),"")</f>
        <v/>
      </c>
      <c r="N416" s="14" t="str">
        <f t="shared" si="1"/>
        <v/>
      </c>
      <c r="O416" s="15" t="str">
        <f>IFERROR(VLOOKUP(I416,material!A:D,2,0),"")</f>
        <v/>
      </c>
    </row>
    <row r="417">
      <c r="A417" s="6"/>
      <c r="B417" s="7"/>
      <c r="C417" s="8" t="str">
        <f t="array" ref="C417">IFERROR(INDEX(atlas!H:H,MATCH(A417,atlas!C:C,0)),"")</f>
        <v/>
      </c>
      <c r="D417" s="8" t="str">
        <f t="array" ref="D417">IFERROR(INDEX(atlas!D:D,MATCH(A417,atlas!C:C,0)),"")</f>
        <v/>
      </c>
      <c r="E417" s="8" t="str">
        <f t="array" ref="E417">IFERROR(INDEX(atlas!F:F,MATCH(A417,atlas!C:C,0)),"")</f>
        <v/>
      </c>
      <c r="F417" s="9"/>
      <c r="G417" s="10"/>
      <c r="H417" s="11"/>
      <c r="I417" s="12" t="str">
        <f t="array" ref="I417">IFERROR(INDEX(atlas!B:B,MATCH(A417,atlas!C:C,0)),"")</f>
        <v/>
      </c>
      <c r="J417" s="8" t="str">
        <f>IFERROR(VLOOKUP(F417,tecnica!A:B,2,0),"")</f>
        <v/>
      </c>
      <c r="K417" s="8" t="str">
        <f>IFERROR(VLOOKUP(J417,tecnica!B:C,2,0),"")</f>
        <v/>
      </c>
      <c r="L417" s="13"/>
      <c r="M417" s="14" t="str">
        <f>IFERROR(VLOOKUP(I417,material!A:D,4,0),"")</f>
        <v/>
      </c>
      <c r="N417" s="14" t="str">
        <f t="shared" si="1"/>
        <v/>
      </c>
      <c r="O417" s="15" t="str">
        <f>IFERROR(VLOOKUP(I417,material!A:D,2,0),"")</f>
        <v/>
      </c>
    </row>
    <row r="418">
      <c r="A418" s="6"/>
      <c r="B418" s="7"/>
      <c r="C418" s="8" t="str">
        <f t="array" ref="C418">IFERROR(INDEX(atlas!H:H,MATCH(A418,atlas!C:C,0)),"")</f>
        <v/>
      </c>
      <c r="D418" s="8" t="str">
        <f t="array" ref="D418">IFERROR(INDEX(atlas!D:D,MATCH(A418,atlas!C:C,0)),"")</f>
        <v/>
      </c>
      <c r="E418" s="8" t="str">
        <f t="array" ref="E418">IFERROR(INDEX(atlas!F:F,MATCH(A418,atlas!C:C,0)),"")</f>
        <v/>
      </c>
      <c r="F418" s="9"/>
      <c r="G418" s="10"/>
      <c r="H418" s="11"/>
      <c r="I418" s="12" t="str">
        <f t="array" ref="I418">IFERROR(INDEX(atlas!B:B,MATCH(A418,atlas!C:C,0)),"")</f>
        <v/>
      </c>
      <c r="J418" s="8" t="str">
        <f>IFERROR(VLOOKUP(F418,tecnica!A:B,2,0),"")</f>
        <v/>
      </c>
      <c r="K418" s="8" t="str">
        <f>IFERROR(VLOOKUP(J418,tecnica!B:C,2,0),"")</f>
        <v/>
      </c>
      <c r="L418" s="13"/>
      <c r="M418" s="14" t="str">
        <f>IFERROR(VLOOKUP(I418,material!A:D,4,0),"")</f>
        <v/>
      </c>
      <c r="N418" s="14" t="str">
        <f t="shared" si="1"/>
        <v/>
      </c>
      <c r="O418" s="15" t="str">
        <f>IFERROR(VLOOKUP(I418,material!A:D,2,0),"")</f>
        <v/>
      </c>
    </row>
    <row r="419">
      <c r="A419" s="6"/>
      <c r="B419" s="7"/>
      <c r="C419" s="8" t="str">
        <f t="array" ref="C419">IFERROR(INDEX(atlas!H:H,MATCH(A419,atlas!C:C,0)),"")</f>
        <v/>
      </c>
      <c r="D419" s="8" t="str">
        <f t="array" ref="D419">IFERROR(INDEX(atlas!D:D,MATCH(A419,atlas!C:C,0)),"")</f>
        <v/>
      </c>
      <c r="E419" s="8" t="str">
        <f t="array" ref="E419">IFERROR(INDEX(atlas!F:F,MATCH(A419,atlas!C:C,0)),"")</f>
        <v/>
      </c>
      <c r="F419" s="9"/>
      <c r="G419" s="10"/>
      <c r="H419" s="11"/>
      <c r="I419" s="12" t="str">
        <f t="array" ref="I419">IFERROR(INDEX(atlas!B:B,MATCH(A419,atlas!C:C,0)),"")</f>
        <v/>
      </c>
      <c r="J419" s="8" t="str">
        <f>IFERROR(VLOOKUP(F419,tecnica!A:B,2,0),"")</f>
        <v/>
      </c>
      <c r="K419" s="8" t="str">
        <f>IFERROR(VLOOKUP(J419,tecnica!B:C,2,0),"")</f>
        <v/>
      </c>
      <c r="L419" s="13"/>
      <c r="M419" s="14" t="str">
        <f>IFERROR(VLOOKUP(I419,material!A:D,4,0),"")</f>
        <v/>
      </c>
      <c r="N419" s="14" t="str">
        <f t="shared" si="1"/>
        <v/>
      </c>
      <c r="O419" s="15" t="str">
        <f>IFERROR(VLOOKUP(I419,material!A:D,2,0),"")</f>
        <v/>
      </c>
    </row>
    <row r="420">
      <c r="A420" s="6"/>
      <c r="B420" s="7"/>
      <c r="C420" s="8" t="str">
        <f t="array" ref="C420">IFERROR(INDEX(atlas!H:H,MATCH(A420,atlas!C:C,0)),"")</f>
        <v/>
      </c>
      <c r="D420" s="8" t="str">
        <f t="array" ref="D420">IFERROR(INDEX(atlas!D:D,MATCH(A420,atlas!C:C,0)),"")</f>
        <v/>
      </c>
      <c r="E420" s="8" t="str">
        <f t="array" ref="E420">IFERROR(INDEX(atlas!F:F,MATCH(A420,atlas!C:C,0)),"")</f>
        <v/>
      </c>
      <c r="F420" s="9"/>
      <c r="G420" s="10"/>
      <c r="H420" s="11"/>
      <c r="I420" s="12" t="str">
        <f t="array" ref="I420">IFERROR(INDEX(atlas!B:B,MATCH(A420,atlas!C:C,0)),"")</f>
        <v/>
      </c>
      <c r="J420" s="8" t="str">
        <f>IFERROR(VLOOKUP(F420,tecnica!A:B,2,0),"")</f>
        <v/>
      </c>
      <c r="K420" s="8" t="str">
        <f>IFERROR(VLOOKUP(J420,tecnica!B:C,2,0),"")</f>
        <v/>
      </c>
      <c r="L420" s="13"/>
      <c r="M420" s="14" t="str">
        <f>IFERROR(VLOOKUP(I420,material!A:D,4,0),"")</f>
        <v/>
      </c>
      <c r="N420" s="14" t="str">
        <f t="shared" si="1"/>
        <v/>
      </c>
      <c r="O420" s="15" t="str">
        <f>IFERROR(VLOOKUP(I420,material!A:D,2,0),"")</f>
        <v/>
      </c>
    </row>
    <row r="421">
      <c r="A421" s="6"/>
      <c r="B421" s="7"/>
      <c r="C421" s="8" t="str">
        <f t="array" ref="C421">IFERROR(INDEX(atlas!H:H,MATCH(A421,atlas!C:C,0)),"")</f>
        <v/>
      </c>
      <c r="D421" s="8" t="str">
        <f t="array" ref="D421">IFERROR(INDEX(atlas!D:D,MATCH(A421,atlas!C:C,0)),"")</f>
        <v/>
      </c>
      <c r="E421" s="8" t="str">
        <f t="array" ref="E421">IFERROR(INDEX(atlas!F:F,MATCH(A421,atlas!C:C,0)),"")</f>
        <v/>
      </c>
      <c r="F421" s="9"/>
      <c r="G421" s="10"/>
      <c r="H421" s="11"/>
      <c r="I421" s="12" t="str">
        <f t="array" ref="I421">IFERROR(INDEX(atlas!B:B,MATCH(A421,atlas!C:C,0)),"")</f>
        <v/>
      </c>
      <c r="J421" s="8" t="str">
        <f>IFERROR(VLOOKUP(F421,tecnica!A:B,2,0),"")</f>
        <v/>
      </c>
      <c r="K421" s="8" t="str">
        <f>IFERROR(VLOOKUP(J421,tecnica!B:C,2,0),"")</f>
        <v/>
      </c>
      <c r="L421" s="13"/>
      <c r="M421" s="14" t="str">
        <f>IFERROR(VLOOKUP(I421,material!A:D,4,0),"")</f>
        <v/>
      </c>
      <c r="N421" s="14" t="str">
        <f t="shared" si="1"/>
        <v/>
      </c>
      <c r="O421" s="15" t="str">
        <f>IFERROR(VLOOKUP(I421,material!A:D,2,0),"")</f>
        <v/>
      </c>
    </row>
    <row r="422">
      <c r="A422" s="6"/>
      <c r="B422" s="7"/>
      <c r="C422" s="8" t="str">
        <f t="array" ref="C422">IFERROR(INDEX(atlas!H:H,MATCH(A422,atlas!C:C,0)),"")</f>
        <v/>
      </c>
      <c r="D422" s="8" t="str">
        <f t="array" ref="D422">IFERROR(INDEX(atlas!D:D,MATCH(A422,atlas!C:C,0)),"")</f>
        <v/>
      </c>
      <c r="E422" s="8" t="str">
        <f t="array" ref="E422">IFERROR(INDEX(atlas!F:F,MATCH(A422,atlas!C:C,0)),"")</f>
        <v/>
      </c>
      <c r="F422" s="9"/>
      <c r="G422" s="10"/>
      <c r="H422" s="11"/>
      <c r="I422" s="12" t="str">
        <f t="array" ref="I422">IFERROR(INDEX(atlas!B:B,MATCH(A422,atlas!C:C,0)),"")</f>
        <v/>
      </c>
      <c r="J422" s="8" t="str">
        <f>IFERROR(VLOOKUP(F422,tecnica!A:B,2,0),"")</f>
        <v/>
      </c>
      <c r="K422" s="8" t="str">
        <f>IFERROR(VLOOKUP(J422,tecnica!B:C,2,0),"")</f>
        <v/>
      </c>
      <c r="L422" s="13"/>
      <c r="M422" s="14" t="str">
        <f>IFERROR(VLOOKUP(I422,material!A:D,4,0),"")</f>
        <v/>
      </c>
      <c r="N422" s="14" t="str">
        <f t="shared" si="1"/>
        <v/>
      </c>
      <c r="O422" s="15" t="str">
        <f>IFERROR(VLOOKUP(I422,material!A:D,2,0),"")</f>
        <v/>
      </c>
    </row>
    <row r="423">
      <c r="A423" s="6"/>
      <c r="B423" s="7"/>
      <c r="C423" s="8" t="str">
        <f t="array" ref="C423">IFERROR(INDEX(atlas!H:H,MATCH(A423,atlas!C:C,0)),"")</f>
        <v/>
      </c>
      <c r="D423" s="8" t="str">
        <f t="array" ref="D423">IFERROR(INDEX(atlas!D:D,MATCH(A423,atlas!C:C,0)),"")</f>
        <v/>
      </c>
      <c r="E423" s="8" t="str">
        <f t="array" ref="E423">IFERROR(INDEX(atlas!F:F,MATCH(A423,atlas!C:C,0)),"")</f>
        <v/>
      </c>
      <c r="F423" s="9"/>
      <c r="G423" s="10"/>
      <c r="H423" s="11"/>
      <c r="I423" s="12" t="str">
        <f t="array" ref="I423">IFERROR(INDEX(atlas!B:B,MATCH(A423,atlas!C:C,0)),"")</f>
        <v/>
      </c>
      <c r="J423" s="8" t="str">
        <f>IFERROR(VLOOKUP(F423,tecnica!A:B,2,0),"")</f>
        <v/>
      </c>
      <c r="K423" s="8" t="str">
        <f>IFERROR(VLOOKUP(J423,tecnica!B:C,2,0),"")</f>
        <v/>
      </c>
      <c r="L423" s="13"/>
      <c r="M423" s="14" t="str">
        <f>IFERROR(VLOOKUP(I423,material!A:D,4,0),"")</f>
        <v/>
      </c>
      <c r="N423" s="14" t="str">
        <f t="shared" si="1"/>
        <v/>
      </c>
      <c r="O423" s="15" t="str">
        <f>IFERROR(VLOOKUP(I423,material!A:D,2,0),"")</f>
        <v/>
      </c>
    </row>
    <row r="424">
      <c r="A424" s="6"/>
      <c r="B424" s="7"/>
      <c r="C424" s="8" t="str">
        <f t="array" ref="C424">IFERROR(INDEX(atlas!H:H,MATCH(A424,atlas!C:C,0)),"")</f>
        <v/>
      </c>
      <c r="D424" s="8" t="str">
        <f t="array" ref="D424">IFERROR(INDEX(atlas!D:D,MATCH(A424,atlas!C:C,0)),"")</f>
        <v/>
      </c>
      <c r="E424" s="8" t="str">
        <f t="array" ref="E424">IFERROR(INDEX(atlas!F:F,MATCH(A424,atlas!C:C,0)),"")</f>
        <v/>
      </c>
      <c r="F424" s="9"/>
      <c r="G424" s="10"/>
      <c r="H424" s="11"/>
      <c r="I424" s="12" t="str">
        <f t="array" ref="I424">IFERROR(INDEX(atlas!B:B,MATCH(A424,atlas!C:C,0)),"")</f>
        <v/>
      </c>
      <c r="J424" s="8" t="str">
        <f>IFERROR(VLOOKUP(F424,tecnica!A:B,2,0),"")</f>
        <v/>
      </c>
      <c r="K424" s="8" t="str">
        <f>IFERROR(VLOOKUP(J424,tecnica!B:C,2,0),"")</f>
        <v/>
      </c>
      <c r="L424" s="13"/>
      <c r="M424" s="14" t="str">
        <f>IFERROR(VLOOKUP(I424,material!A:D,4,0),"")</f>
        <v/>
      </c>
      <c r="N424" s="14" t="str">
        <f t="shared" si="1"/>
        <v/>
      </c>
      <c r="O424" s="15" t="str">
        <f>IFERROR(VLOOKUP(I424,material!A:D,2,0),"")</f>
        <v/>
      </c>
    </row>
    <row r="425">
      <c r="A425" s="6"/>
      <c r="B425" s="7"/>
      <c r="C425" s="8" t="str">
        <f t="array" ref="C425">IFERROR(INDEX(atlas!H:H,MATCH(A425,atlas!C:C,0)),"")</f>
        <v/>
      </c>
      <c r="D425" s="8" t="str">
        <f t="array" ref="D425">IFERROR(INDEX(atlas!D:D,MATCH(A425,atlas!C:C,0)),"")</f>
        <v/>
      </c>
      <c r="E425" s="8" t="str">
        <f t="array" ref="E425">IFERROR(INDEX(atlas!F:F,MATCH(A425,atlas!C:C,0)),"")</f>
        <v/>
      </c>
      <c r="F425" s="9"/>
      <c r="G425" s="10"/>
      <c r="H425" s="11"/>
      <c r="I425" s="12" t="str">
        <f t="array" ref="I425">IFERROR(INDEX(atlas!B:B,MATCH(A425,atlas!C:C,0)),"")</f>
        <v/>
      </c>
      <c r="J425" s="8" t="str">
        <f>IFERROR(VLOOKUP(F425,tecnica!A:B,2,0),"")</f>
        <v/>
      </c>
      <c r="K425" s="8" t="str">
        <f>IFERROR(VLOOKUP(J425,tecnica!B:C,2,0),"")</f>
        <v/>
      </c>
      <c r="L425" s="13"/>
      <c r="M425" s="14" t="str">
        <f>IFERROR(VLOOKUP(I425,material!A:D,4,0),"")</f>
        <v/>
      </c>
      <c r="N425" s="14" t="str">
        <f t="shared" si="1"/>
        <v/>
      </c>
      <c r="O425" s="15" t="str">
        <f>IFERROR(VLOOKUP(I425,material!A:D,2,0),"")</f>
        <v/>
      </c>
    </row>
    <row r="426">
      <c r="A426" s="6"/>
      <c r="B426" s="7"/>
      <c r="C426" s="8" t="str">
        <f t="array" ref="C426">IFERROR(INDEX(atlas!H:H,MATCH(A426,atlas!C:C,0)),"")</f>
        <v/>
      </c>
      <c r="D426" s="8" t="str">
        <f t="array" ref="D426">IFERROR(INDEX(atlas!D:D,MATCH(A426,atlas!C:C,0)),"")</f>
        <v/>
      </c>
      <c r="E426" s="8" t="str">
        <f t="array" ref="E426">IFERROR(INDEX(atlas!F:F,MATCH(A426,atlas!C:C,0)),"")</f>
        <v/>
      </c>
      <c r="F426" s="9"/>
      <c r="G426" s="10"/>
      <c r="H426" s="11"/>
      <c r="I426" s="12" t="str">
        <f t="array" ref="I426">IFERROR(INDEX(atlas!B:B,MATCH(A426,atlas!C:C,0)),"")</f>
        <v/>
      </c>
      <c r="J426" s="8" t="str">
        <f>IFERROR(VLOOKUP(F426,tecnica!A:B,2,0),"")</f>
        <v/>
      </c>
      <c r="K426" s="8" t="str">
        <f>IFERROR(VLOOKUP(J426,tecnica!B:C,2,0),"")</f>
        <v/>
      </c>
      <c r="L426" s="13"/>
      <c r="M426" s="14" t="str">
        <f>IFERROR(VLOOKUP(I426,material!A:D,4,0),"")</f>
        <v/>
      </c>
      <c r="N426" s="14" t="str">
        <f t="shared" si="1"/>
        <v/>
      </c>
      <c r="O426" s="15" t="str">
        <f>IFERROR(VLOOKUP(I426,material!A:D,2,0),"")</f>
        <v/>
      </c>
    </row>
    <row r="427">
      <c r="A427" s="6"/>
      <c r="B427" s="7"/>
      <c r="C427" s="8" t="str">
        <f t="array" ref="C427">IFERROR(INDEX(atlas!H:H,MATCH(A427,atlas!C:C,0)),"")</f>
        <v/>
      </c>
      <c r="D427" s="8" t="str">
        <f t="array" ref="D427">IFERROR(INDEX(atlas!D:D,MATCH(A427,atlas!C:C,0)),"")</f>
        <v/>
      </c>
      <c r="E427" s="8" t="str">
        <f t="array" ref="E427">IFERROR(INDEX(atlas!F:F,MATCH(A427,atlas!C:C,0)),"")</f>
        <v/>
      </c>
      <c r="F427" s="9"/>
      <c r="G427" s="10"/>
      <c r="H427" s="11"/>
      <c r="I427" s="12" t="str">
        <f t="array" ref="I427">IFERROR(INDEX(atlas!B:B,MATCH(A427,atlas!C:C,0)),"")</f>
        <v/>
      </c>
      <c r="J427" s="8" t="str">
        <f>IFERROR(VLOOKUP(F427,tecnica!A:B,2,0),"")</f>
        <v/>
      </c>
      <c r="K427" s="8" t="str">
        <f>IFERROR(VLOOKUP(J427,tecnica!B:C,2,0),"")</f>
        <v/>
      </c>
      <c r="L427" s="13"/>
      <c r="M427" s="14" t="str">
        <f>IFERROR(VLOOKUP(I427,material!A:D,4,0),"")</f>
        <v/>
      </c>
      <c r="N427" s="14" t="str">
        <f t="shared" si="1"/>
        <v/>
      </c>
      <c r="O427" s="15" t="str">
        <f>IFERROR(VLOOKUP(I427,material!A:D,2,0),"")</f>
        <v/>
      </c>
    </row>
    <row r="428">
      <c r="A428" s="6"/>
      <c r="B428" s="7"/>
      <c r="C428" s="8" t="str">
        <f t="array" ref="C428">IFERROR(INDEX(atlas!H:H,MATCH(A428,atlas!C:C,0)),"")</f>
        <v/>
      </c>
      <c r="D428" s="8" t="str">
        <f t="array" ref="D428">IFERROR(INDEX(atlas!D:D,MATCH(A428,atlas!C:C,0)),"")</f>
        <v/>
      </c>
      <c r="E428" s="8" t="str">
        <f t="array" ref="E428">IFERROR(INDEX(atlas!F:F,MATCH(A428,atlas!C:C,0)),"")</f>
        <v/>
      </c>
      <c r="F428" s="9"/>
      <c r="G428" s="10"/>
      <c r="H428" s="11"/>
      <c r="I428" s="12" t="str">
        <f t="array" ref="I428">IFERROR(INDEX(atlas!B:B,MATCH(A428,atlas!C:C,0)),"")</f>
        <v/>
      </c>
      <c r="J428" s="8" t="str">
        <f>IFERROR(VLOOKUP(F428,tecnica!A:B,2,0),"")</f>
        <v/>
      </c>
      <c r="K428" s="8" t="str">
        <f>IFERROR(VLOOKUP(J428,tecnica!B:C,2,0),"")</f>
        <v/>
      </c>
      <c r="L428" s="13"/>
      <c r="M428" s="14" t="str">
        <f>IFERROR(VLOOKUP(I428,material!A:D,4,0),"")</f>
        <v/>
      </c>
      <c r="N428" s="14" t="str">
        <f t="shared" si="1"/>
        <v/>
      </c>
      <c r="O428" s="15" t="str">
        <f>IFERROR(VLOOKUP(I428,material!A:D,2,0),"")</f>
        <v/>
      </c>
    </row>
    <row r="429">
      <c r="A429" s="6"/>
      <c r="B429" s="7"/>
      <c r="C429" s="8" t="str">
        <f t="array" ref="C429">IFERROR(INDEX(atlas!H:H,MATCH(A429,atlas!C:C,0)),"")</f>
        <v/>
      </c>
      <c r="D429" s="8" t="str">
        <f t="array" ref="D429">IFERROR(INDEX(atlas!D:D,MATCH(A429,atlas!C:C,0)),"")</f>
        <v/>
      </c>
      <c r="E429" s="8" t="str">
        <f t="array" ref="E429">IFERROR(INDEX(atlas!F:F,MATCH(A429,atlas!C:C,0)),"")</f>
        <v/>
      </c>
      <c r="F429" s="9"/>
      <c r="G429" s="10"/>
      <c r="H429" s="11"/>
      <c r="I429" s="12" t="str">
        <f t="array" ref="I429">IFERROR(INDEX(atlas!B:B,MATCH(A429,atlas!C:C,0)),"")</f>
        <v/>
      </c>
      <c r="J429" s="8" t="str">
        <f>IFERROR(VLOOKUP(F429,tecnica!A:B,2,0),"")</f>
        <v/>
      </c>
      <c r="K429" s="8" t="str">
        <f>IFERROR(VLOOKUP(J429,tecnica!B:C,2,0),"")</f>
        <v/>
      </c>
      <c r="L429" s="13"/>
      <c r="M429" s="14" t="str">
        <f>IFERROR(VLOOKUP(I429,material!A:D,4,0),"")</f>
        <v/>
      </c>
      <c r="N429" s="14" t="str">
        <f t="shared" si="1"/>
        <v/>
      </c>
      <c r="O429" s="15" t="str">
        <f>IFERROR(VLOOKUP(I429,material!A:D,2,0),"")</f>
        <v/>
      </c>
    </row>
    <row r="430">
      <c r="A430" s="6"/>
      <c r="B430" s="7"/>
      <c r="C430" s="8" t="str">
        <f t="array" ref="C430">IFERROR(INDEX(atlas!H:H,MATCH(A430,atlas!C:C,0)),"")</f>
        <v/>
      </c>
      <c r="D430" s="8" t="str">
        <f t="array" ref="D430">IFERROR(INDEX(atlas!D:D,MATCH(A430,atlas!C:C,0)),"")</f>
        <v/>
      </c>
      <c r="E430" s="8" t="str">
        <f t="array" ref="E430">IFERROR(INDEX(atlas!F:F,MATCH(A430,atlas!C:C,0)),"")</f>
        <v/>
      </c>
      <c r="F430" s="9"/>
      <c r="G430" s="10"/>
      <c r="H430" s="11"/>
      <c r="I430" s="12" t="str">
        <f t="array" ref="I430">IFERROR(INDEX(atlas!B:B,MATCH(A430,atlas!C:C,0)),"")</f>
        <v/>
      </c>
      <c r="J430" s="8" t="str">
        <f>IFERROR(VLOOKUP(F430,tecnica!A:B,2,0),"")</f>
        <v/>
      </c>
      <c r="K430" s="8" t="str">
        <f>IFERROR(VLOOKUP(J430,tecnica!B:C,2,0),"")</f>
        <v/>
      </c>
      <c r="L430" s="13"/>
      <c r="M430" s="14" t="str">
        <f>IFERROR(VLOOKUP(I430,material!A:D,4,0),"")</f>
        <v/>
      </c>
      <c r="N430" s="14" t="str">
        <f t="shared" si="1"/>
        <v/>
      </c>
      <c r="O430" s="15" t="str">
        <f>IFERROR(VLOOKUP(I430,material!A:D,2,0),"")</f>
        <v/>
      </c>
    </row>
    <row r="431">
      <c r="A431" s="6"/>
      <c r="B431" s="7"/>
      <c r="C431" s="8" t="str">
        <f t="array" ref="C431">IFERROR(INDEX(atlas!H:H,MATCH(A431,atlas!C:C,0)),"")</f>
        <v/>
      </c>
      <c r="D431" s="8" t="str">
        <f t="array" ref="D431">IFERROR(INDEX(atlas!D:D,MATCH(A431,atlas!C:C,0)),"")</f>
        <v/>
      </c>
      <c r="E431" s="8" t="str">
        <f t="array" ref="E431">IFERROR(INDEX(atlas!F:F,MATCH(A431,atlas!C:C,0)),"")</f>
        <v/>
      </c>
      <c r="F431" s="9"/>
      <c r="G431" s="10"/>
      <c r="H431" s="11"/>
      <c r="I431" s="12" t="str">
        <f t="array" ref="I431">IFERROR(INDEX(atlas!B:B,MATCH(A431,atlas!C:C,0)),"")</f>
        <v/>
      </c>
      <c r="J431" s="8" t="str">
        <f>IFERROR(VLOOKUP(F431,tecnica!A:B,2,0),"")</f>
        <v/>
      </c>
      <c r="K431" s="8" t="str">
        <f>IFERROR(VLOOKUP(J431,tecnica!B:C,2,0),"")</f>
        <v/>
      </c>
      <c r="L431" s="13"/>
      <c r="M431" s="14" t="str">
        <f>IFERROR(VLOOKUP(I431,material!A:D,4,0),"")</f>
        <v/>
      </c>
      <c r="N431" s="14" t="str">
        <f t="shared" si="1"/>
        <v/>
      </c>
      <c r="O431" s="15" t="str">
        <f>IFERROR(VLOOKUP(I431,material!A:D,2,0),"")</f>
        <v/>
      </c>
    </row>
    <row r="432">
      <c r="A432" s="6"/>
      <c r="B432" s="7"/>
      <c r="C432" s="8" t="str">
        <f t="array" ref="C432">IFERROR(INDEX(atlas!H:H,MATCH(A432,atlas!C:C,0)),"")</f>
        <v/>
      </c>
      <c r="D432" s="8" t="str">
        <f t="array" ref="D432">IFERROR(INDEX(atlas!D:D,MATCH(A432,atlas!C:C,0)),"")</f>
        <v/>
      </c>
      <c r="E432" s="8" t="str">
        <f t="array" ref="E432">IFERROR(INDEX(atlas!F:F,MATCH(A432,atlas!C:C,0)),"")</f>
        <v/>
      </c>
      <c r="F432" s="9"/>
      <c r="G432" s="10"/>
      <c r="H432" s="11"/>
      <c r="I432" s="12" t="str">
        <f t="array" ref="I432">IFERROR(INDEX(atlas!B:B,MATCH(A432,atlas!C:C,0)),"")</f>
        <v/>
      </c>
      <c r="J432" s="8" t="str">
        <f>IFERROR(VLOOKUP(F432,tecnica!A:B,2,0),"")</f>
        <v/>
      </c>
      <c r="K432" s="8" t="str">
        <f>IFERROR(VLOOKUP(J432,tecnica!B:C,2,0),"")</f>
        <v/>
      </c>
      <c r="L432" s="13"/>
      <c r="M432" s="14" t="str">
        <f>IFERROR(VLOOKUP(I432,material!A:D,4,0),"")</f>
        <v/>
      </c>
      <c r="N432" s="14" t="str">
        <f t="shared" si="1"/>
        <v/>
      </c>
      <c r="O432" s="15" t="str">
        <f>IFERROR(VLOOKUP(I432,material!A:D,2,0),"")</f>
        <v/>
      </c>
    </row>
    <row r="433">
      <c r="A433" s="6"/>
      <c r="B433" s="7"/>
      <c r="C433" s="8" t="str">
        <f t="array" ref="C433">IFERROR(INDEX(atlas!H:H,MATCH(A433,atlas!C:C,0)),"")</f>
        <v/>
      </c>
      <c r="D433" s="8" t="str">
        <f t="array" ref="D433">IFERROR(INDEX(atlas!D:D,MATCH(A433,atlas!C:C,0)),"")</f>
        <v/>
      </c>
      <c r="E433" s="8" t="str">
        <f t="array" ref="E433">IFERROR(INDEX(atlas!F:F,MATCH(A433,atlas!C:C,0)),"")</f>
        <v/>
      </c>
      <c r="F433" s="9"/>
      <c r="G433" s="10"/>
      <c r="H433" s="11"/>
      <c r="I433" s="12" t="str">
        <f t="array" ref="I433">IFERROR(INDEX(atlas!B:B,MATCH(A433,atlas!C:C,0)),"")</f>
        <v/>
      </c>
      <c r="J433" s="8" t="str">
        <f>IFERROR(VLOOKUP(F433,tecnica!A:B,2,0),"")</f>
        <v/>
      </c>
      <c r="K433" s="8" t="str">
        <f>IFERROR(VLOOKUP(J433,tecnica!B:C,2,0),"")</f>
        <v/>
      </c>
      <c r="L433" s="13"/>
      <c r="M433" s="14" t="str">
        <f>IFERROR(VLOOKUP(I433,material!A:D,4,0),"")</f>
        <v/>
      </c>
      <c r="N433" s="14" t="str">
        <f t="shared" si="1"/>
        <v/>
      </c>
      <c r="O433" s="15" t="str">
        <f>IFERROR(VLOOKUP(I433,material!A:D,2,0),"")</f>
        <v/>
      </c>
    </row>
    <row r="434">
      <c r="A434" s="6"/>
      <c r="B434" s="7"/>
      <c r="C434" s="8" t="str">
        <f t="array" ref="C434">IFERROR(INDEX(atlas!H:H,MATCH(A434,atlas!C:C,0)),"")</f>
        <v/>
      </c>
      <c r="D434" s="8" t="str">
        <f t="array" ref="D434">IFERROR(INDEX(atlas!D:D,MATCH(A434,atlas!C:C,0)),"")</f>
        <v/>
      </c>
      <c r="E434" s="8" t="str">
        <f t="array" ref="E434">IFERROR(INDEX(atlas!F:F,MATCH(A434,atlas!C:C,0)),"")</f>
        <v/>
      </c>
      <c r="F434" s="9"/>
      <c r="G434" s="10"/>
      <c r="H434" s="11"/>
      <c r="I434" s="12" t="str">
        <f t="array" ref="I434">IFERROR(INDEX(atlas!B:B,MATCH(A434,atlas!C:C,0)),"")</f>
        <v/>
      </c>
      <c r="J434" s="8" t="str">
        <f>IFERROR(VLOOKUP(F434,tecnica!A:B,2,0),"")</f>
        <v/>
      </c>
      <c r="K434" s="8" t="str">
        <f>IFERROR(VLOOKUP(J434,tecnica!B:C,2,0),"")</f>
        <v/>
      </c>
      <c r="L434" s="13"/>
      <c r="M434" s="14" t="str">
        <f>IFERROR(VLOOKUP(I434,material!A:D,4,0),"")</f>
        <v/>
      </c>
      <c r="N434" s="14" t="str">
        <f t="shared" si="1"/>
        <v/>
      </c>
      <c r="O434" s="15" t="str">
        <f>IFERROR(VLOOKUP(I434,material!A:D,2,0),"")</f>
        <v/>
      </c>
    </row>
    <row r="435">
      <c r="A435" s="6"/>
      <c r="B435" s="7"/>
      <c r="C435" s="8" t="str">
        <f t="array" ref="C435">IFERROR(INDEX(atlas!H:H,MATCH(A435,atlas!C:C,0)),"")</f>
        <v/>
      </c>
      <c r="D435" s="8" t="str">
        <f t="array" ref="D435">IFERROR(INDEX(atlas!D:D,MATCH(A435,atlas!C:C,0)),"")</f>
        <v/>
      </c>
      <c r="E435" s="8" t="str">
        <f t="array" ref="E435">IFERROR(INDEX(atlas!F:F,MATCH(A435,atlas!C:C,0)),"")</f>
        <v/>
      </c>
      <c r="F435" s="9"/>
      <c r="G435" s="10"/>
      <c r="H435" s="11"/>
      <c r="I435" s="12" t="str">
        <f t="array" ref="I435">IFERROR(INDEX(atlas!B:B,MATCH(A435,atlas!C:C,0)),"")</f>
        <v/>
      </c>
      <c r="J435" s="8" t="str">
        <f>IFERROR(VLOOKUP(F435,tecnica!A:B,2,0),"")</f>
        <v/>
      </c>
      <c r="K435" s="8" t="str">
        <f>IFERROR(VLOOKUP(J435,tecnica!B:C,2,0),"")</f>
        <v/>
      </c>
      <c r="L435" s="13"/>
      <c r="M435" s="14" t="str">
        <f>IFERROR(VLOOKUP(I435,material!A:D,4,0),"")</f>
        <v/>
      </c>
      <c r="N435" s="14" t="str">
        <f t="shared" si="1"/>
        <v/>
      </c>
      <c r="O435" s="15" t="str">
        <f>IFERROR(VLOOKUP(I435,material!A:D,2,0),"")</f>
        <v/>
      </c>
    </row>
    <row r="436">
      <c r="A436" s="6"/>
      <c r="B436" s="7"/>
      <c r="C436" s="8" t="str">
        <f t="array" ref="C436">IFERROR(INDEX(atlas!H:H,MATCH(A436,atlas!C:C,0)),"")</f>
        <v/>
      </c>
      <c r="D436" s="8" t="str">
        <f t="array" ref="D436">IFERROR(INDEX(atlas!D:D,MATCH(A436,atlas!C:C,0)),"")</f>
        <v/>
      </c>
      <c r="E436" s="8" t="str">
        <f t="array" ref="E436">IFERROR(INDEX(atlas!F:F,MATCH(A436,atlas!C:C,0)),"")</f>
        <v/>
      </c>
      <c r="F436" s="9"/>
      <c r="G436" s="10"/>
      <c r="H436" s="11"/>
      <c r="I436" s="12" t="str">
        <f t="array" ref="I436">IFERROR(INDEX(atlas!B:B,MATCH(A436,atlas!C:C,0)),"")</f>
        <v/>
      </c>
      <c r="J436" s="8" t="str">
        <f>IFERROR(VLOOKUP(F436,tecnica!A:B,2,0),"")</f>
        <v/>
      </c>
      <c r="K436" s="8" t="str">
        <f>IFERROR(VLOOKUP(J436,tecnica!B:C,2,0),"")</f>
        <v/>
      </c>
      <c r="L436" s="13"/>
      <c r="M436" s="14" t="str">
        <f>IFERROR(VLOOKUP(I436,material!A:D,4,0),"")</f>
        <v/>
      </c>
      <c r="N436" s="14" t="str">
        <f t="shared" si="1"/>
        <v/>
      </c>
      <c r="O436" s="15" t="str">
        <f>IFERROR(VLOOKUP(I436,material!A:D,2,0),"")</f>
        <v/>
      </c>
    </row>
    <row r="437">
      <c r="A437" s="6"/>
      <c r="B437" s="7"/>
      <c r="C437" s="8" t="str">
        <f t="array" ref="C437">IFERROR(INDEX(atlas!H:H,MATCH(A437,atlas!C:C,0)),"")</f>
        <v/>
      </c>
      <c r="D437" s="8" t="str">
        <f t="array" ref="D437">IFERROR(INDEX(atlas!D:D,MATCH(A437,atlas!C:C,0)),"")</f>
        <v/>
      </c>
      <c r="E437" s="8" t="str">
        <f t="array" ref="E437">IFERROR(INDEX(atlas!F:F,MATCH(A437,atlas!C:C,0)),"")</f>
        <v/>
      </c>
      <c r="F437" s="9"/>
      <c r="G437" s="10"/>
      <c r="H437" s="11"/>
      <c r="I437" s="12" t="str">
        <f t="array" ref="I437">IFERROR(INDEX(atlas!B:B,MATCH(A437,atlas!C:C,0)),"")</f>
        <v/>
      </c>
      <c r="J437" s="8" t="str">
        <f>IFERROR(VLOOKUP(F437,tecnica!A:B,2,0),"")</f>
        <v/>
      </c>
      <c r="K437" s="8" t="str">
        <f>IFERROR(VLOOKUP(J437,tecnica!B:C,2,0),"")</f>
        <v/>
      </c>
      <c r="L437" s="13"/>
      <c r="M437" s="14" t="str">
        <f>IFERROR(VLOOKUP(I437,material!A:D,4,0),"")</f>
        <v/>
      </c>
      <c r="N437" s="14" t="str">
        <f t="shared" si="1"/>
        <v/>
      </c>
      <c r="O437" s="15" t="str">
        <f>IFERROR(VLOOKUP(I437,material!A:D,2,0),"")</f>
        <v/>
      </c>
    </row>
    <row r="438">
      <c r="A438" s="6"/>
      <c r="B438" s="7"/>
      <c r="C438" s="8" t="str">
        <f t="array" ref="C438">IFERROR(INDEX(atlas!H:H,MATCH(A438,atlas!C:C,0)),"")</f>
        <v/>
      </c>
      <c r="D438" s="8" t="str">
        <f t="array" ref="D438">IFERROR(INDEX(atlas!D:D,MATCH(A438,atlas!C:C,0)),"")</f>
        <v/>
      </c>
      <c r="E438" s="8" t="str">
        <f t="array" ref="E438">IFERROR(INDEX(atlas!F:F,MATCH(A438,atlas!C:C,0)),"")</f>
        <v/>
      </c>
      <c r="F438" s="9"/>
      <c r="G438" s="10"/>
      <c r="H438" s="11"/>
      <c r="I438" s="12" t="str">
        <f t="array" ref="I438">IFERROR(INDEX(atlas!B:B,MATCH(A438,atlas!C:C,0)),"")</f>
        <v/>
      </c>
      <c r="J438" s="8" t="str">
        <f>IFERROR(VLOOKUP(F438,tecnica!A:B,2,0),"")</f>
        <v/>
      </c>
      <c r="K438" s="8" t="str">
        <f>IFERROR(VLOOKUP(J438,tecnica!B:C,2,0),"")</f>
        <v/>
      </c>
      <c r="L438" s="13"/>
      <c r="M438" s="14" t="str">
        <f>IFERROR(VLOOKUP(I438,material!A:D,4,0),"")</f>
        <v/>
      </c>
      <c r="N438" s="14" t="str">
        <f t="shared" si="1"/>
        <v/>
      </c>
      <c r="O438" s="15" t="str">
        <f>IFERROR(VLOOKUP(I438,material!A:D,2,0),"")</f>
        <v/>
      </c>
    </row>
    <row r="439">
      <c r="A439" s="6"/>
      <c r="B439" s="7"/>
      <c r="C439" s="8" t="str">
        <f t="array" ref="C439">IFERROR(INDEX(atlas!H:H,MATCH(A439,atlas!C:C,0)),"")</f>
        <v/>
      </c>
      <c r="D439" s="8" t="str">
        <f t="array" ref="D439">IFERROR(INDEX(atlas!D:D,MATCH(A439,atlas!C:C,0)),"")</f>
        <v/>
      </c>
      <c r="E439" s="8" t="str">
        <f t="array" ref="E439">IFERROR(INDEX(atlas!F:F,MATCH(A439,atlas!C:C,0)),"")</f>
        <v/>
      </c>
      <c r="F439" s="9"/>
      <c r="G439" s="10"/>
      <c r="H439" s="11"/>
      <c r="I439" s="12" t="str">
        <f t="array" ref="I439">IFERROR(INDEX(atlas!B:B,MATCH(A439,atlas!C:C,0)),"")</f>
        <v/>
      </c>
      <c r="J439" s="8" t="str">
        <f>IFERROR(VLOOKUP(F439,tecnica!A:B,2,0),"")</f>
        <v/>
      </c>
      <c r="K439" s="8" t="str">
        <f>IFERROR(VLOOKUP(J439,tecnica!B:C,2,0),"")</f>
        <v/>
      </c>
      <c r="L439" s="13"/>
      <c r="M439" s="14" t="str">
        <f>IFERROR(VLOOKUP(I439,material!A:D,4,0),"")</f>
        <v/>
      </c>
      <c r="N439" s="14" t="str">
        <f t="shared" si="1"/>
        <v/>
      </c>
      <c r="O439" s="15" t="str">
        <f>IFERROR(VLOOKUP(I439,material!A:D,2,0),"")</f>
        <v/>
      </c>
    </row>
    <row r="440">
      <c r="A440" s="6"/>
      <c r="B440" s="7"/>
      <c r="C440" s="8" t="str">
        <f t="array" ref="C440">IFERROR(INDEX(atlas!H:H,MATCH(A440,atlas!C:C,0)),"")</f>
        <v/>
      </c>
      <c r="D440" s="8" t="str">
        <f t="array" ref="D440">IFERROR(INDEX(atlas!D:D,MATCH(A440,atlas!C:C,0)),"")</f>
        <v/>
      </c>
      <c r="E440" s="8" t="str">
        <f t="array" ref="E440">IFERROR(INDEX(atlas!F:F,MATCH(A440,atlas!C:C,0)),"")</f>
        <v/>
      </c>
      <c r="F440" s="9"/>
      <c r="G440" s="10"/>
      <c r="H440" s="11"/>
      <c r="I440" s="12" t="str">
        <f t="array" ref="I440">IFERROR(INDEX(atlas!B:B,MATCH(A440,atlas!C:C,0)),"")</f>
        <v/>
      </c>
      <c r="J440" s="8" t="str">
        <f>IFERROR(VLOOKUP(F440,tecnica!A:B,2,0),"")</f>
        <v/>
      </c>
      <c r="K440" s="8" t="str">
        <f>IFERROR(VLOOKUP(J440,tecnica!B:C,2,0),"")</f>
        <v/>
      </c>
      <c r="L440" s="13"/>
      <c r="M440" s="14" t="str">
        <f>IFERROR(VLOOKUP(I440,material!A:D,4,0),"")</f>
        <v/>
      </c>
      <c r="N440" s="14" t="str">
        <f t="shared" si="1"/>
        <v/>
      </c>
      <c r="O440" s="15" t="str">
        <f>IFERROR(VLOOKUP(I440,material!A:D,2,0),"")</f>
        <v/>
      </c>
    </row>
    <row r="441">
      <c r="A441" s="6"/>
      <c r="B441" s="7"/>
      <c r="C441" s="8" t="str">
        <f t="array" ref="C441">IFERROR(INDEX(atlas!H:H,MATCH(A441,atlas!C:C,0)),"")</f>
        <v/>
      </c>
      <c r="D441" s="8" t="str">
        <f t="array" ref="D441">IFERROR(INDEX(atlas!D:D,MATCH(A441,atlas!C:C,0)),"")</f>
        <v/>
      </c>
      <c r="E441" s="8" t="str">
        <f t="array" ref="E441">IFERROR(INDEX(atlas!F:F,MATCH(A441,atlas!C:C,0)),"")</f>
        <v/>
      </c>
      <c r="F441" s="9"/>
      <c r="G441" s="10"/>
      <c r="H441" s="11"/>
      <c r="I441" s="12" t="str">
        <f t="array" ref="I441">IFERROR(INDEX(atlas!B:B,MATCH(A441,atlas!C:C,0)),"")</f>
        <v/>
      </c>
      <c r="J441" s="8" t="str">
        <f>IFERROR(VLOOKUP(F441,tecnica!A:B,2,0),"")</f>
        <v/>
      </c>
      <c r="K441" s="8" t="str">
        <f>IFERROR(VLOOKUP(J441,tecnica!B:C,2,0),"")</f>
        <v/>
      </c>
      <c r="L441" s="13"/>
      <c r="M441" s="14" t="str">
        <f>IFERROR(VLOOKUP(I441,material!A:D,4,0),"")</f>
        <v/>
      </c>
      <c r="N441" s="14" t="str">
        <f t="shared" si="1"/>
        <v/>
      </c>
      <c r="O441" s="15" t="str">
        <f>IFERROR(VLOOKUP(I441,material!A:D,2,0),"")</f>
        <v/>
      </c>
    </row>
    <row r="442">
      <c r="A442" s="6"/>
      <c r="B442" s="7"/>
      <c r="C442" s="8" t="str">
        <f t="array" ref="C442">IFERROR(INDEX(atlas!H:H,MATCH(A442,atlas!C:C,0)),"")</f>
        <v/>
      </c>
      <c r="D442" s="8" t="str">
        <f t="array" ref="D442">IFERROR(INDEX(atlas!D:D,MATCH(A442,atlas!C:C,0)),"")</f>
        <v/>
      </c>
      <c r="E442" s="8" t="str">
        <f t="array" ref="E442">IFERROR(INDEX(atlas!F:F,MATCH(A442,atlas!C:C,0)),"")</f>
        <v/>
      </c>
      <c r="F442" s="9"/>
      <c r="G442" s="10"/>
      <c r="H442" s="11"/>
      <c r="I442" s="12" t="str">
        <f t="array" ref="I442">IFERROR(INDEX(atlas!B:B,MATCH(A442,atlas!C:C,0)),"")</f>
        <v/>
      </c>
      <c r="J442" s="8" t="str">
        <f>IFERROR(VLOOKUP(F442,tecnica!A:B,2,0),"")</f>
        <v/>
      </c>
      <c r="K442" s="8" t="str">
        <f>IFERROR(VLOOKUP(J442,tecnica!B:C,2,0),"")</f>
        <v/>
      </c>
      <c r="L442" s="13"/>
      <c r="M442" s="14" t="str">
        <f>IFERROR(VLOOKUP(I442,material!A:D,4,0),"")</f>
        <v/>
      </c>
      <c r="N442" s="14" t="str">
        <f t="shared" si="1"/>
        <v/>
      </c>
      <c r="O442" s="15" t="str">
        <f>IFERROR(VLOOKUP(I442,material!A:D,2,0),"")</f>
        <v/>
      </c>
    </row>
    <row r="443">
      <c r="A443" s="6"/>
      <c r="B443" s="7"/>
      <c r="C443" s="8" t="str">
        <f t="array" ref="C443">IFERROR(INDEX(atlas!H:H,MATCH(A443,atlas!C:C,0)),"")</f>
        <v/>
      </c>
      <c r="D443" s="8" t="str">
        <f t="array" ref="D443">IFERROR(INDEX(atlas!D:D,MATCH(A443,atlas!C:C,0)),"")</f>
        <v/>
      </c>
      <c r="E443" s="8" t="str">
        <f t="array" ref="E443">IFERROR(INDEX(atlas!F:F,MATCH(A443,atlas!C:C,0)),"")</f>
        <v/>
      </c>
      <c r="F443" s="9"/>
      <c r="G443" s="10"/>
      <c r="H443" s="11"/>
      <c r="I443" s="12" t="str">
        <f t="array" ref="I443">IFERROR(INDEX(atlas!B:B,MATCH(A443,atlas!C:C,0)),"")</f>
        <v/>
      </c>
      <c r="J443" s="8" t="str">
        <f>IFERROR(VLOOKUP(F443,tecnica!A:B,2,0),"")</f>
        <v/>
      </c>
      <c r="K443" s="8" t="str">
        <f>IFERROR(VLOOKUP(J443,tecnica!B:C,2,0),"")</f>
        <v/>
      </c>
      <c r="L443" s="13"/>
      <c r="M443" s="14" t="str">
        <f>IFERROR(VLOOKUP(I443,material!A:D,4,0),"")</f>
        <v/>
      </c>
      <c r="N443" s="14" t="str">
        <f t="shared" si="1"/>
        <v/>
      </c>
      <c r="O443" s="15" t="str">
        <f>IFERROR(VLOOKUP(I443,material!A:D,2,0),"")</f>
        <v/>
      </c>
    </row>
    <row r="444">
      <c r="A444" s="6"/>
      <c r="B444" s="7"/>
      <c r="C444" s="8" t="str">
        <f t="array" ref="C444">IFERROR(INDEX(atlas!H:H,MATCH(A444,atlas!C:C,0)),"")</f>
        <v/>
      </c>
      <c r="D444" s="8" t="str">
        <f t="array" ref="D444">IFERROR(INDEX(atlas!D:D,MATCH(A444,atlas!C:C,0)),"")</f>
        <v/>
      </c>
      <c r="E444" s="8" t="str">
        <f t="array" ref="E444">IFERROR(INDEX(atlas!F:F,MATCH(A444,atlas!C:C,0)),"")</f>
        <v/>
      </c>
      <c r="F444" s="9"/>
      <c r="G444" s="10"/>
      <c r="H444" s="11"/>
      <c r="I444" s="12" t="str">
        <f t="array" ref="I444">IFERROR(INDEX(atlas!B:B,MATCH(A444,atlas!C:C,0)),"")</f>
        <v/>
      </c>
      <c r="J444" s="8" t="str">
        <f>IFERROR(VLOOKUP(F444,tecnica!A:B,2,0),"")</f>
        <v/>
      </c>
      <c r="K444" s="8" t="str">
        <f>IFERROR(VLOOKUP(J444,tecnica!B:C,2,0),"")</f>
        <v/>
      </c>
      <c r="L444" s="13"/>
      <c r="M444" s="14" t="str">
        <f>IFERROR(VLOOKUP(I444,material!A:D,4,0),"")</f>
        <v/>
      </c>
      <c r="N444" s="14" t="str">
        <f t="shared" si="1"/>
        <v/>
      </c>
      <c r="O444" s="15" t="str">
        <f>IFERROR(VLOOKUP(I444,material!A:D,2,0),"")</f>
        <v/>
      </c>
    </row>
    <row r="445">
      <c r="A445" s="6"/>
      <c r="B445" s="7"/>
      <c r="C445" s="8" t="str">
        <f t="array" ref="C445">IFERROR(INDEX(atlas!H:H,MATCH(A445,atlas!C:C,0)),"")</f>
        <v/>
      </c>
      <c r="D445" s="8" t="str">
        <f t="array" ref="D445">IFERROR(INDEX(atlas!D:D,MATCH(A445,atlas!C:C,0)),"")</f>
        <v/>
      </c>
      <c r="E445" s="8" t="str">
        <f t="array" ref="E445">IFERROR(INDEX(atlas!F:F,MATCH(A445,atlas!C:C,0)),"")</f>
        <v/>
      </c>
      <c r="F445" s="9"/>
      <c r="G445" s="10"/>
      <c r="H445" s="11"/>
      <c r="I445" s="12" t="str">
        <f t="array" ref="I445">IFERROR(INDEX(atlas!B:B,MATCH(A445,atlas!C:C,0)),"")</f>
        <v/>
      </c>
      <c r="J445" s="8" t="str">
        <f>IFERROR(VLOOKUP(F445,tecnica!A:B,2,0),"")</f>
        <v/>
      </c>
      <c r="K445" s="8" t="str">
        <f>IFERROR(VLOOKUP(J445,tecnica!B:C,2,0),"")</f>
        <v/>
      </c>
      <c r="L445" s="13"/>
      <c r="M445" s="14" t="str">
        <f>IFERROR(VLOOKUP(I445,material!A:D,4,0),"")</f>
        <v/>
      </c>
      <c r="N445" s="14" t="str">
        <f t="shared" si="1"/>
        <v/>
      </c>
      <c r="O445" s="15" t="str">
        <f>IFERROR(VLOOKUP(I445,material!A:D,2,0),"")</f>
        <v/>
      </c>
    </row>
    <row r="446">
      <c r="A446" s="6"/>
      <c r="B446" s="7"/>
      <c r="C446" s="8" t="str">
        <f t="array" ref="C446">IFERROR(INDEX(atlas!H:H,MATCH(A446,atlas!C:C,0)),"")</f>
        <v/>
      </c>
      <c r="D446" s="8" t="str">
        <f t="array" ref="D446">IFERROR(INDEX(atlas!D:D,MATCH(A446,atlas!C:C,0)),"")</f>
        <v/>
      </c>
      <c r="E446" s="8" t="str">
        <f t="array" ref="E446">IFERROR(INDEX(atlas!F:F,MATCH(A446,atlas!C:C,0)),"")</f>
        <v/>
      </c>
      <c r="F446" s="9"/>
      <c r="G446" s="10"/>
      <c r="H446" s="11"/>
      <c r="I446" s="12" t="str">
        <f t="array" ref="I446">IFERROR(INDEX(atlas!B:B,MATCH(A446,atlas!C:C,0)),"")</f>
        <v/>
      </c>
      <c r="J446" s="8" t="str">
        <f>IFERROR(VLOOKUP(F446,tecnica!A:B,2,0),"")</f>
        <v/>
      </c>
      <c r="K446" s="8" t="str">
        <f>IFERROR(VLOOKUP(J446,tecnica!B:C,2,0),"")</f>
        <v/>
      </c>
      <c r="L446" s="13"/>
      <c r="M446" s="14" t="str">
        <f>IFERROR(VLOOKUP(I446,material!A:D,4,0),"")</f>
        <v/>
      </c>
      <c r="N446" s="14" t="str">
        <f t="shared" si="1"/>
        <v/>
      </c>
      <c r="O446" s="15" t="str">
        <f>IFERROR(VLOOKUP(I446,material!A:D,2,0),"")</f>
        <v/>
      </c>
    </row>
    <row r="447">
      <c r="A447" s="6"/>
      <c r="B447" s="7"/>
      <c r="C447" s="8" t="str">
        <f t="array" ref="C447">IFERROR(INDEX(atlas!H:H,MATCH(A447,atlas!C:C,0)),"")</f>
        <v/>
      </c>
      <c r="D447" s="8" t="str">
        <f t="array" ref="D447">IFERROR(INDEX(atlas!D:D,MATCH(A447,atlas!C:C,0)),"")</f>
        <v/>
      </c>
      <c r="E447" s="8" t="str">
        <f t="array" ref="E447">IFERROR(INDEX(atlas!F:F,MATCH(A447,atlas!C:C,0)),"")</f>
        <v/>
      </c>
      <c r="F447" s="9"/>
      <c r="G447" s="10"/>
      <c r="H447" s="11"/>
      <c r="I447" s="12" t="str">
        <f t="array" ref="I447">IFERROR(INDEX(atlas!B:B,MATCH(A447,atlas!C:C,0)),"")</f>
        <v/>
      </c>
      <c r="J447" s="8" t="str">
        <f>IFERROR(VLOOKUP(F447,tecnica!A:B,2,0),"")</f>
        <v/>
      </c>
      <c r="K447" s="8" t="str">
        <f>IFERROR(VLOOKUP(J447,tecnica!B:C,2,0),"")</f>
        <v/>
      </c>
      <c r="L447" s="13"/>
      <c r="M447" s="14" t="str">
        <f>IFERROR(VLOOKUP(I447,material!A:D,4,0),"")</f>
        <v/>
      </c>
      <c r="N447" s="14" t="str">
        <f t="shared" si="1"/>
        <v/>
      </c>
      <c r="O447" s="15" t="str">
        <f>IFERROR(VLOOKUP(I447,material!A:D,2,0),"")</f>
        <v/>
      </c>
    </row>
    <row r="448">
      <c r="A448" s="6"/>
      <c r="B448" s="7"/>
      <c r="C448" s="8" t="str">
        <f t="array" ref="C448">IFERROR(INDEX(atlas!H:H,MATCH(A448,atlas!C:C,0)),"")</f>
        <v/>
      </c>
      <c r="D448" s="8" t="str">
        <f t="array" ref="D448">IFERROR(INDEX(atlas!D:D,MATCH(A448,atlas!C:C,0)),"")</f>
        <v/>
      </c>
      <c r="E448" s="8" t="str">
        <f t="array" ref="E448">IFERROR(INDEX(atlas!F:F,MATCH(A448,atlas!C:C,0)),"")</f>
        <v/>
      </c>
      <c r="F448" s="9"/>
      <c r="G448" s="10"/>
      <c r="H448" s="11"/>
      <c r="I448" s="12" t="str">
        <f t="array" ref="I448">IFERROR(INDEX(atlas!B:B,MATCH(A448,atlas!C:C,0)),"")</f>
        <v/>
      </c>
      <c r="J448" s="8" t="str">
        <f>IFERROR(VLOOKUP(F448,tecnica!A:B,2,0),"")</f>
        <v/>
      </c>
      <c r="K448" s="8" t="str">
        <f>IFERROR(VLOOKUP(J448,tecnica!B:C,2,0),"")</f>
        <v/>
      </c>
      <c r="L448" s="13"/>
      <c r="M448" s="14" t="str">
        <f>IFERROR(VLOOKUP(I448,material!A:D,4,0),"")</f>
        <v/>
      </c>
      <c r="N448" s="14" t="str">
        <f t="shared" si="1"/>
        <v/>
      </c>
      <c r="O448" s="15" t="str">
        <f>IFERROR(VLOOKUP(I448,material!A:D,2,0),"")</f>
        <v/>
      </c>
    </row>
    <row r="449">
      <c r="A449" s="6"/>
      <c r="B449" s="7"/>
      <c r="C449" s="8" t="str">
        <f t="array" ref="C449">IFERROR(INDEX(atlas!H:H,MATCH(A449,atlas!C:C,0)),"")</f>
        <v/>
      </c>
      <c r="D449" s="8" t="str">
        <f t="array" ref="D449">IFERROR(INDEX(atlas!D:D,MATCH(A449,atlas!C:C,0)),"")</f>
        <v/>
      </c>
      <c r="E449" s="8" t="str">
        <f t="array" ref="E449">IFERROR(INDEX(atlas!F:F,MATCH(A449,atlas!C:C,0)),"")</f>
        <v/>
      </c>
      <c r="F449" s="9"/>
      <c r="G449" s="10"/>
      <c r="H449" s="11"/>
      <c r="I449" s="12" t="str">
        <f t="array" ref="I449">IFERROR(INDEX(atlas!B:B,MATCH(A449,atlas!C:C,0)),"")</f>
        <v/>
      </c>
      <c r="J449" s="8" t="str">
        <f>IFERROR(VLOOKUP(F449,tecnica!A:B,2,0),"")</f>
        <v/>
      </c>
      <c r="K449" s="8" t="str">
        <f>IFERROR(VLOOKUP(J449,tecnica!B:C,2,0),"")</f>
        <v/>
      </c>
      <c r="L449" s="13"/>
      <c r="M449" s="14" t="str">
        <f>IFERROR(VLOOKUP(I449,material!A:D,4,0),"")</f>
        <v/>
      </c>
      <c r="N449" s="14" t="str">
        <f t="shared" si="1"/>
        <v/>
      </c>
      <c r="O449" s="15" t="str">
        <f>IFERROR(VLOOKUP(I449,material!A:D,2,0),"")</f>
        <v/>
      </c>
    </row>
    <row r="450">
      <c r="A450" s="6"/>
      <c r="B450" s="7"/>
      <c r="C450" s="8" t="str">
        <f t="array" ref="C450">IFERROR(INDEX(atlas!H:H,MATCH(A450,atlas!C:C,0)),"")</f>
        <v/>
      </c>
      <c r="D450" s="8" t="str">
        <f t="array" ref="D450">IFERROR(INDEX(atlas!D:D,MATCH(A450,atlas!C:C,0)),"")</f>
        <v/>
      </c>
      <c r="E450" s="8" t="str">
        <f t="array" ref="E450">IFERROR(INDEX(atlas!F:F,MATCH(A450,atlas!C:C,0)),"")</f>
        <v/>
      </c>
      <c r="F450" s="9"/>
      <c r="G450" s="10"/>
      <c r="H450" s="11"/>
      <c r="I450" s="12" t="str">
        <f t="array" ref="I450">IFERROR(INDEX(atlas!B:B,MATCH(A450,atlas!C:C,0)),"")</f>
        <v/>
      </c>
      <c r="J450" s="8" t="str">
        <f>IFERROR(VLOOKUP(F450,tecnica!A:B,2,0),"")</f>
        <v/>
      </c>
      <c r="K450" s="8" t="str">
        <f>IFERROR(VLOOKUP(J450,tecnica!B:C,2,0),"")</f>
        <v/>
      </c>
      <c r="L450" s="13"/>
      <c r="M450" s="14" t="str">
        <f>IFERROR(VLOOKUP(I450,material!A:D,4,0),"")</f>
        <v/>
      </c>
      <c r="N450" s="14" t="str">
        <f t="shared" si="1"/>
        <v/>
      </c>
      <c r="O450" s="15" t="str">
        <f>IFERROR(VLOOKUP(I450,material!A:D,2,0),"")</f>
        <v/>
      </c>
    </row>
    <row r="451">
      <c r="A451" s="6"/>
      <c r="B451" s="7"/>
      <c r="C451" s="8" t="str">
        <f t="array" ref="C451">IFERROR(INDEX(atlas!H:H,MATCH(A451,atlas!C:C,0)),"")</f>
        <v/>
      </c>
      <c r="D451" s="8" t="str">
        <f t="array" ref="D451">IFERROR(INDEX(atlas!D:D,MATCH(A451,atlas!C:C,0)),"")</f>
        <v/>
      </c>
      <c r="E451" s="8" t="str">
        <f t="array" ref="E451">IFERROR(INDEX(atlas!F:F,MATCH(A451,atlas!C:C,0)),"")</f>
        <v/>
      </c>
      <c r="F451" s="9"/>
      <c r="G451" s="10"/>
      <c r="H451" s="11"/>
      <c r="I451" s="12" t="str">
        <f t="array" ref="I451">IFERROR(INDEX(atlas!B:B,MATCH(A451,atlas!C:C,0)),"")</f>
        <v/>
      </c>
      <c r="J451" s="8" t="str">
        <f>IFERROR(VLOOKUP(F451,tecnica!A:B,2,0),"")</f>
        <v/>
      </c>
      <c r="K451" s="8" t="str">
        <f>IFERROR(VLOOKUP(J451,tecnica!B:C,2,0),"")</f>
        <v/>
      </c>
      <c r="L451" s="13"/>
      <c r="M451" s="14" t="str">
        <f>IFERROR(VLOOKUP(I451,material!A:D,4,0),"")</f>
        <v/>
      </c>
      <c r="N451" s="14" t="str">
        <f t="shared" si="1"/>
        <v/>
      </c>
      <c r="O451" s="15" t="str">
        <f>IFERROR(VLOOKUP(I451,material!A:D,2,0),"")</f>
        <v/>
      </c>
    </row>
    <row r="452">
      <c r="A452" s="6"/>
      <c r="B452" s="7"/>
      <c r="C452" s="8" t="str">
        <f t="array" ref="C452">IFERROR(INDEX(atlas!H:H,MATCH(A452,atlas!C:C,0)),"")</f>
        <v/>
      </c>
      <c r="D452" s="8" t="str">
        <f t="array" ref="D452">IFERROR(INDEX(atlas!D:D,MATCH(A452,atlas!C:C,0)),"")</f>
        <v/>
      </c>
      <c r="E452" s="8" t="str">
        <f t="array" ref="E452">IFERROR(INDEX(atlas!F:F,MATCH(A452,atlas!C:C,0)),"")</f>
        <v/>
      </c>
      <c r="F452" s="9"/>
      <c r="G452" s="10"/>
      <c r="H452" s="11"/>
      <c r="I452" s="12" t="str">
        <f t="array" ref="I452">IFERROR(INDEX(atlas!B:B,MATCH(A452,atlas!C:C,0)),"")</f>
        <v/>
      </c>
      <c r="J452" s="8" t="str">
        <f>IFERROR(VLOOKUP(F452,tecnica!A:B,2,0),"")</f>
        <v/>
      </c>
      <c r="K452" s="8" t="str">
        <f>IFERROR(VLOOKUP(J452,tecnica!B:C,2,0),"")</f>
        <v/>
      </c>
      <c r="L452" s="13"/>
      <c r="M452" s="14" t="str">
        <f>IFERROR(VLOOKUP(I452,material!A:D,4,0),"")</f>
        <v/>
      </c>
      <c r="N452" s="14" t="str">
        <f t="shared" si="1"/>
        <v/>
      </c>
      <c r="O452" s="15" t="str">
        <f>IFERROR(VLOOKUP(I452,material!A:D,2,0),"")</f>
        <v/>
      </c>
    </row>
    <row r="453">
      <c r="A453" s="6"/>
      <c r="B453" s="7"/>
      <c r="C453" s="8" t="str">
        <f t="array" ref="C453">IFERROR(INDEX(atlas!H:H,MATCH(A453,atlas!C:C,0)),"")</f>
        <v/>
      </c>
      <c r="D453" s="8" t="str">
        <f t="array" ref="D453">IFERROR(INDEX(atlas!D:D,MATCH(A453,atlas!C:C,0)),"")</f>
        <v/>
      </c>
      <c r="E453" s="8" t="str">
        <f t="array" ref="E453">IFERROR(INDEX(atlas!F:F,MATCH(A453,atlas!C:C,0)),"")</f>
        <v/>
      </c>
      <c r="F453" s="9"/>
      <c r="G453" s="10"/>
      <c r="H453" s="11"/>
      <c r="I453" s="12" t="str">
        <f t="array" ref="I453">IFERROR(INDEX(atlas!B:B,MATCH(A453,atlas!C:C,0)),"")</f>
        <v/>
      </c>
      <c r="J453" s="8" t="str">
        <f>IFERROR(VLOOKUP(F453,tecnica!A:B,2,0),"")</f>
        <v/>
      </c>
      <c r="K453" s="8" t="str">
        <f>IFERROR(VLOOKUP(J453,tecnica!B:C,2,0),"")</f>
        <v/>
      </c>
      <c r="L453" s="13"/>
      <c r="M453" s="14" t="str">
        <f>IFERROR(VLOOKUP(I453,material!A:D,4,0),"")</f>
        <v/>
      </c>
      <c r="N453" s="14" t="str">
        <f t="shared" si="1"/>
        <v/>
      </c>
      <c r="O453" s="15" t="str">
        <f>IFERROR(VLOOKUP(I453,material!A:D,2,0),"")</f>
        <v/>
      </c>
    </row>
    <row r="454">
      <c r="A454" s="6"/>
      <c r="B454" s="7"/>
      <c r="C454" s="8" t="str">
        <f t="array" ref="C454">IFERROR(INDEX(atlas!H:H,MATCH(A454,atlas!C:C,0)),"")</f>
        <v/>
      </c>
      <c r="D454" s="8" t="str">
        <f t="array" ref="D454">IFERROR(INDEX(atlas!D:D,MATCH(A454,atlas!C:C,0)),"")</f>
        <v/>
      </c>
      <c r="E454" s="8" t="str">
        <f t="array" ref="E454">IFERROR(INDEX(atlas!F:F,MATCH(A454,atlas!C:C,0)),"")</f>
        <v/>
      </c>
      <c r="F454" s="9"/>
      <c r="G454" s="10"/>
      <c r="H454" s="11"/>
      <c r="I454" s="12" t="str">
        <f t="array" ref="I454">IFERROR(INDEX(atlas!B:B,MATCH(A454,atlas!C:C,0)),"")</f>
        <v/>
      </c>
      <c r="J454" s="8" t="str">
        <f>IFERROR(VLOOKUP(F454,tecnica!A:B,2,0),"")</f>
        <v/>
      </c>
      <c r="K454" s="8" t="str">
        <f>IFERROR(VLOOKUP(J454,tecnica!B:C,2,0),"")</f>
        <v/>
      </c>
      <c r="L454" s="13"/>
      <c r="M454" s="14" t="str">
        <f>IFERROR(VLOOKUP(I454,material!A:D,4,0),"")</f>
        <v/>
      </c>
      <c r="N454" s="14" t="str">
        <f t="shared" si="1"/>
        <v/>
      </c>
      <c r="O454" s="15" t="str">
        <f>IFERROR(VLOOKUP(I454,material!A:D,2,0),"")</f>
        <v/>
      </c>
    </row>
    <row r="455">
      <c r="A455" s="6"/>
      <c r="B455" s="7"/>
      <c r="C455" s="8" t="str">
        <f t="array" ref="C455">IFERROR(INDEX(atlas!H:H,MATCH(A455,atlas!C:C,0)),"")</f>
        <v/>
      </c>
      <c r="D455" s="8" t="str">
        <f t="array" ref="D455">IFERROR(INDEX(atlas!D:D,MATCH(A455,atlas!C:C,0)),"")</f>
        <v/>
      </c>
      <c r="E455" s="8" t="str">
        <f t="array" ref="E455">IFERROR(INDEX(atlas!F:F,MATCH(A455,atlas!C:C,0)),"")</f>
        <v/>
      </c>
      <c r="F455" s="9"/>
      <c r="G455" s="10"/>
      <c r="H455" s="11"/>
      <c r="I455" s="12" t="str">
        <f t="array" ref="I455">IFERROR(INDEX(atlas!B:B,MATCH(A455,atlas!C:C,0)),"")</f>
        <v/>
      </c>
      <c r="J455" s="8" t="str">
        <f>IFERROR(VLOOKUP(F455,tecnica!A:B,2,0),"")</f>
        <v/>
      </c>
      <c r="K455" s="8" t="str">
        <f>IFERROR(VLOOKUP(J455,tecnica!B:C,2,0),"")</f>
        <v/>
      </c>
      <c r="L455" s="13"/>
      <c r="M455" s="14" t="str">
        <f>IFERROR(VLOOKUP(I455,material!A:D,4,0),"")</f>
        <v/>
      </c>
      <c r="N455" s="14" t="str">
        <f t="shared" si="1"/>
        <v/>
      </c>
      <c r="O455" s="15" t="str">
        <f>IFERROR(VLOOKUP(I455,material!A:D,2,0),"")</f>
        <v/>
      </c>
    </row>
    <row r="456">
      <c r="A456" s="6"/>
      <c r="B456" s="7"/>
      <c r="C456" s="8" t="str">
        <f t="array" ref="C456">IFERROR(INDEX(atlas!H:H,MATCH(A456,atlas!C:C,0)),"")</f>
        <v/>
      </c>
      <c r="D456" s="8" t="str">
        <f t="array" ref="D456">IFERROR(INDEX(atlas!D:D,MATCH(A456,atlas!C:C,0)),"")</f>
        <v/>
      </c>
      <c r="E456" s="8" t="str">
        <f t="array" ref="E456">IFERROR(INDEX(atlas!F:F,MATCH(A456,atlas!C:C,0)),"")</f>
        <v/>
      </c>
      <c r="F456" s="9"/>
      <c r="G456" s="10"/>
      <c r="H456" s="11"/>
      <c r="I456" s="12" t="str">
        <f t="array" ref="I456">IFERROR(INDEX(atlas!B:B,MATCH(A456,atlas!C:C,0)),"")</f>
        <v/>
      </c>
      <c r="J456" s="8" t="str">
        <f>IFERROR(VLOOKUP(F456,tecnica!A:B,2,0),"")</f>
        <v/>
      </c>
      <c r="K456" s="8" t="str">
        <f>IFERROR(VLOOKUP(J456,tecnica!B:C,2,0),"")</f>
        <v/>
      </c>
      <c r="L456" s="13"/>
      <c r="M456" s="14" t="str">
        <f>IFERROR(VLOOKUP(I456,material!A:D,4,0),"")</f>
        <v/>
      </c>
      <c r="N456" s="14" t="str">
        <f t="shared" si="1"/>
        <v/>
      </c>
      <c r="O456" s="15" t="str">
        <f>IFERROR(VLOOKUP(I456,material!A:D,2,0),"")</f>
        <v/>
      </c>
    </row>
    <row r="457">
      <c r="A457" s="6"/>
      <c r="B457" s="7"/>
      <c r="C457" s="8" t="str">
        <f t="array" ref="C457">IFERROR(INDEX(atlas!H:H,MATCH(A457,atlas!C:C,0)),"")</f>
        <v/>
      </c>
      <c r="D457" s="8" t="str">
        <f t="array" ref="D457">IFERROR(INDEX(atlas!D:D,MATCH(A457,atlas!C:C,0)),"")</f>
        <v/>
      </c>
      <c r="E457" s="8" t="str">
        <f t="array" ref="E457">IFERROR(INDEX(atlas!F:F,MATCH(A457,atlas!C:C,0)),"")</f>
        <v/>
      </c>
      <c r="F457" s="9"/>
      <c r="G457" s="10"/>
      <c r="H457" s="11"/>
      <c r="I457" s="12" t="str">
        <f t="array" ref="I457">IFERROR(INDEX(atlas!B:B,MATCH(A457,atlas!C:C,0)),"")</f>
        <v/>
      </c>
      <c r="J457" s="8" t="str">
        <f>IFERROR(VLOOKUP(F457,tecnica!A:B,2,0),"")</f>
        <v/>
      </c>
      <c r="K457" s="8" t="str">
        <f>IFERROR(VLOOKUP(J457,tecnica!B:C,2,0),"")</f>
        <v/>
      </c>
      <c r="L457" s="13"/>
      <c r="M457" s="14" t="str">
        <f>IFERROR(VLOOKUP(I457,material!A:D,4,0),"")</f>
        <v/>
      </c>
      <c r="N457" s="14" t="str">
        <f t="shared" si="1"/>
        <v/>
      </c>
      <c r="O457" s="15" t="str">
        <f>IFERROR(VLOOKUP(I457,material!A:D,2,0),"")</f>
        <v/>
      </c>
    </row>
    <row r="458">
      <c r="A458" s="6"/>
      <c r="B458" s="7"/>
      <c r="C458" s="8" t="str">
        <f t="array" ref="C458">IFERROR(INDEX(atlas!H:H,MATCH(A458,atlas!C:C,0)),"")</f>
        <v/>
      </c>
      <c r="D458" s="8" t="str">
        <f t="array" ref="D458">IFERROR(INDEX(atlas!D:D,MATCH(A458,atlas!C:C,0)),"")</f>
        <v/>
      </c>
      <c r="E458" s="8" t="str">
        <f t="array" ref="E458">IFERROR(INDEX(atlas!F:F,MATCH(A458,atlas!C:C,0)),"")</f>
        <v/>
      </c>
      <c r="F458" s="9"/>
      <c r="G458" s="10"/>
      <c r="H458" s="11"/>
      <c r="I458" s="12" t="str">
        <f t="array" ref="I458">IFERROR(INDEX(atlas!B:B,MATCH(A458,atlas!C:C,0)),"")</f>
        <v/>
      </c>
      <c r="J458" s="8" t="str">
        <f>IFERROR(VLOOKUP(F458,tecnica!A:B,2,0),"")</f>
        <v/>
      </c>
      <c r="K458" s="8" t="str">
        <f>IFERROR(VLOOKUP(J458,tecnica!B:C,2,0),"")</f>
        <v/>
      </c>
      <c r="L458" s="13"/>
      <c r="M458" s="14" t="str">
        <f>IFERROR(VLOOKUP(I458,material!A:D,4,0),"")</f>
        <v/>
      </c>
      <c r="N458" s="14" t="str">
        <f t="shared" si="1"/>
        <v/>
      </c>
      <c r="O458" s="15" t="str">
        <f>IFERROR(VLOOKUP(I458,material!A:D,2,0),"")</f>
        <v/>
      </c>
    </row>
    <row r="459">
      <c r="A459" s="6"/>
      <c r="B459" s="7"/>
      <c r="C459" s="8" t="str">
        <f t="array" ref="C459">IFERROR(INDEX(atlas!H:H,MATCH(A459,atlas!C:C,0)),"")</f>
        <v/>
      </c>
      <c r="D459" s="8" t="str">
        <f t="array" ref="D459">IFERROR(INDEX(atlas!D:D,MATCH(A459,atlas!C:C,0)),"")</f>
        <v/>
      </c>
      <c r="E459" s="8" t="str">
        <f t="array" ref="E459">IFERROR(INDEX(atlas!F:F,MATCH(A459,atlas!C:C,0)),"")</f>
        <v/>
      </c>
      <c r="F459" s="9"/>
      <c r="G459" s="10"/>
      <c r="H459" s="11"/>
      <c r="I459" s="12" t="str">
        <f t="array" ref="I459">IFERROR(INDEX(atlas!B:B,MATCH(A459,atlas!C:C,0)),"")</f>
        <v/>
      </c>
      <c r="J459" s="8" t="str">
        <f>IFERROR(VLOOKUP(F459,tecnica!A:B,2,0),"")</f>
        <v/>
      </c>
      <c r="K459" s="8" t="str">
        <f>IFERROR(VLOOKUP(J459,tecnica!B:C,2,0),"")</f>
        <v/>
      </c>
      <c r="L459" s="13"/>
      <c r="M459" s="14" t="str">
        <f>IFERROR(VLOOKUP(I459,material!A:D,4,0),"")</f>
        <v/>
      </c>
      <c r="N459" s="14" t="str">
        <f t="shared" si="1"/>
        <v/>
      </c>
      <c r="O459" s="15" t="str">
        <f>IFERROR(VLOOKUP(I459,material!A:D,2,0),"")</f>
        <v/>
      </c>
    </row>
    <row r="460">
      <c r="A460" s="6"/>
      <c r="B460" s="7"/>
      <c r="C460" s="8" t="str">
        <f t="array" ref="C460">IFERROR(INDEX(atlas!H:H,MATCH(A460,atlas!C:C,0)),"")</f>
        <v/>
      </c>
      <c r="D460" s="8" t="str">
        <f t="array" ref="D460">IFERROR(INDEX(atlas!D:D,MATCH(A460,atlas!C:C,0)),"")</f>
        <v/>
      </c>
      <c r="E460" s="8" t="str">
        <f t="array" ref="E460">IFERROR(INDEX(atlas!F:F,MATCH(A460,atlas!C:C,0)),"")</f>
        <v/>
      </c>
      <c r="F460" s="9"/>
      <c r="G460" s="10"/>
      <c r="H460" s="11"/>
      <c r="I460" s="12" t="str">
        <f t="array" ref="I460">IFERROR(INDEX(atlas!B:B,MATCH(A460,atlas!C:C,0)),"")</f>
        <v/>
      </c>
      <c r="J460" s="8" t="str">
        <f>IFERROR(VLOOKUP(F460,tecnica!A:B,2,0),"")</f>
        <v/>
      </c>
      <c r="K460" s="8" t="str">
        <f>IFERROR(VLOOKUP(J460,tecnica!B:C,2,0),"")</f>
        <v/>
      </c>
      <c r="L460" s="13"/>
      <c r="M460" s="14" t="str">
        <f>IFERROR(VLOOKUP(I460,material!A:D,4,0),"")</f>
        <v/>
      </c>
      <c r="N460" s="14" t="str">
        <f t="shared" si="1"/>
        <v/>
      </c>
      <c r="O460" s="15" t="str">
        <f>IFERROR(VLOOKUP(I460,material!A:D,2,0),"")</f>
        <v/>
      </c>
    </row>
    <row r="461">
      <c r="A461" s="6"/>
      <c r="B461" s="7"/>
      <c r="C461" s="8" t="str">
        <f t="array" ref="C461">IFERROR(INDEX(atlas!H:H,MATCH(A461,atlas!C:C,0)),"")</f>
        <v/>
      </c>
      <c r="D461" s="8" t="str">
        <f t="array" ref="D461">IFERROR(INDEX(atlas!D:D,MATCH(A461,atlas!C:C,0)),"")</f>
        <v/>
      </c>
      <c r="E461" s="8" t="str">
        <f t="array" ref="E461">IFERROR(INDEX(atlas!F:F,MATCH(A461,atlas!C:C,0)),"")</f>
        <v/>
      </c>
      <c r="F461" s="9"/>
      <c r="G461" s="10"/>
      <c r="H461" s="11"/>
      <c r="I461" s="12" t="str">
        <f t="array" ref="I461">IFERROR(INDEX(atlas!B:B,MATCH(A461,atlas!C:C,0)),"")</f>
        <v/>
      </c>
      <c r="J461" s="8" t="str">
        <f>IFERROR(VLOOKUP(F461,tecnica!A:B,2,0),"")</f>
        <v/>
      </c>
      <c r="K461" s="8" t="str">
        <f>IFERROR(VLOOKUP(J461,tecnica!B:C,2,0),"")</f>
        <v/>
      </c>
      <c r="L461" s="13"/>
      <c r="M461" s="14" t="str">
        <f>IFERROR(VLOOKUP(I461,material!A:D,4,0),"")</f>
        <v/>
      </c>
      <c r="N461" s="14" t="str">
        <f t="shared" si="1"/>
        <v/>
      </c>
      <c r="O461" s="15" t="str">
        <f>IFERROR(VLOOKUP(I461,material!A:D,2,0),"")</f>
        <v/>
      </c>
    </row>
    <row r="462">
      <c r="A462" s="6"/>
      <c r="B462" s="7"/>
      <c r="C462" s="8" t="str">
        <f t="array" ref="C462">IFERROR(INDEX(atlas!H:H,MATCH(A462,atlas!C:C,0)),"")</f>
        <v/>
      </c>
      <c r="D462" s="8" t="str">
        <f t="array" ref="D462">IFERROR(INDEX(atlas!D:D,MATCH(A462,atlas!C:C,0)),"")</f>
        <v/>
      </c>
      <c r="E462" s="8" t="str">
        <f t="array" ref="E462">IFERROR(INDEX(atlas!F:F,MATCH(A462,atlas!C:C,0)),"")</f>
        <v/>
      </c>
      <c r="F462" s="9"/>
      <c r="G462" s="10"/>
      <c r="H462" s="11"/>
      <c r="I462" s="12" t="str">
        <f t="array" ref="I462">IFERROR(INDEX(atlas!B:B,MATCH(A462,atlas!C:C,0)),"")</f>
        <v/>
      </c>
      <c r="J462" s="8" t="str">
        <f>IFERROR(VLOOKUP(F462,tecnica!A:B,2,0),"")</f>
        <v/>
      </c>
      <c r="K462" s="8" t="str">
        <f>IFERROR(VLOOKUP(J462,tecnica!B:C,2,0),"")</f>
        <v/>
      </c>
      <c r="L462" s="13"/>
      <c r="M462" s="14" t="str">
        <f>IFERROR(VLOOKUP(I462,material!A:D,4,0),"")</f>
        <v/>
      </c>
      <c r="N462" s="14" t="str">
        <f t="shared" si="1"/>
        <v/>
      </c>
      <c r="O462" s="15" t="str">
        <f>IFERROR(VLOOKUP(I462,material!A:D,2,0),"")</f>
        <v/>
      </c>
    </row>
    <row r="463">
      <c r="A463" s="6"/>
      <c r="B463" s="7"/>
      <c r="C463" s="8" t="str">
        <f t="array" ref="C463">IFERROR(INDEX(atlas!H:H,MATCH(A463,atlas!C:C,0)),"")</f>
        <v/>
      </c>
      <c r="D463" s="8" t="str">
        <f t="array" ref="D463">IFERROR(INDEX(atlas!D:D,MATCH(A463,atlas!C:C,0)),"")</f>
        <v/>
      </c>
      <c r="E463" s="8" t="str">
        <f t="array" ref="E463">IFERROR(INDEX(atlas!F:F,MATCH(A463,atlas!C:C,0)),"")</f>
        <v/>
      </c>
      <c r="F463" s="9"/>
      <c r="G463" s="10"/>
      <c r="H463" s="11"/>
      <c r="I463" s="12" t="str">
        <f t="array" ref="I463">IFERROR(INDEX(atlas!B:B,MATCH(A463,atlas!C:C,0)),"")</f>
        <v/>
      </c>
      <c r="J463" s="8" t="str">
        <f>IFERROR(VLOOKUP(F463,tecnica!A:B,2,0),"")</f>
        <v/>
      </c>
      <c r="K463" s="8" t="str">
        <f>IFERROR(VLOOKUP(J463,tecnica!B:C,2,0),"")</f>
        <v/>
      </c>
      <c r="L463" s="13"/>
      <c r="M463" s="14" t="str">
        <f>IFERROR(VLOOKUP(I463,material!A:D,4,0),"")</f>
        <v/>
      </c>
      <c r="N463" s="14" t="str">
        <f t="shared" si="1"/>
        <v/>
      </c>
      <c r="O463" s="15" t="str">
        <f>IFERROR(VLOOKUP(I463,material!A:D,2,0),"")</f>
        <v/>
      </c>
    </row>
    <row r="464">
      <c r="A464" s="6"/>
      <c r="B464" s="7"/>
      <c r="C464" s="8" t="str">
        <f t="array" ref="C464">IFERROR(INDEX(atlas!H:H,MATCH(A464,atlas!C:C,0)),"")</f>
        <v/>
      </c>
      <c r="D464" s="8" t="str">
        <f t="array" ref="D464">IFERROR(INDEX(atlas!D:D,MATCH(A464,atlas!C:C,0)),"")</f>
        <v/>
      </c>
      <c r="E464" s="8" t="str">
        <f t="array" ref="E464">IFERROR(INDEX(atlas!F:F,MATCH(A464,atlas!C:C,0)),"")</f>
        <v/>
      </c>
      <c r="F464" s="9"/>
      <c r="G464" s="10"/>
      <c r="H464" s="11"/>
      <c r="I464" s="12" t="str">
        <f t="array" ref="I464">IFERROR(INDEX(atlas!B:B,MATCH(A464,atlas!C:C,0)),"")</f>
        <v/>
      </c>
      <c r="J464" s="8" t="str">
        <f>IFERROR(VLOOKUP(F464,tecnica!A:B,2,0),"")</f>
        <v/>
      </c>
      <c r="K464" s="8" t="str">
        <f>IFERROR(VLOOKUP(J464,tecnica!B:C,2,0),"")</f>
        <v/>
      </c>
      <c r="L464" s="13"/>
      <c r="M464" s="14" t="str">
        <f>IFERROR(VLOOKUP(I464,material!A:D,4,0),"")</f>
        <v/>
      </c>
      <c r="N464" s="14" t="str">
        <f t="shared" si="1"/>
        <v/>
      </c>
      <c r="O464" s="15" t="str">
        <f>IFERROR(VLOOKUP(I464,material!A:D,2,0),"")</f>
        <v/>
      </c>
    </row>
    <row r="465">
      <c r="A465" s="6"/>
      <c r="B465" s="7"/>
      <c r="C465" s="8" t="str">
        <f t="array" ref="C465">IFERROR(INDEX(atlas!H:H,MATCH(A465,atlas!C:C,0)),"")</f>
        <v/>
      </c>
      <c r="D465" s="8" t="str">
        <f t="array" ref="D465">IFERROR(INDEX(atlas!D:D,MATCH(A465,atlas!C:C,0)),"")</f>
        <v/>
      </c>
      <c r="E465" s="8" t="str">
        <f t="array" ref="E465">IFERROR(INDEX(atlas!F:F,MATCH(A465,atlas!C:C,0)),"")</f>
        <v/>
      </c>
      <c r="F465" s="9"/>
      <c r="G465" s="10"/>
      <c r="H465" s="11"/>
      <c r="I465" s="12" t="str">
        <f t="array" ref="I465">IFERROR(INDEX(atlas!B:B,MATCH(A465,atlas!C:C,0)),"")</f>
        <v/>
      </c>
      <c r="J465" s="8" t="str">
        <f>IFERROR(VLOOKUP(F465,tecnica!A:B,2,0),"")</f>
        <v/>
      </c>
      <c r="K465" s="8" t="str">
        <f>IFERROR(VLOOKUP(J465,tecnica!B:C,2,0),"")</f>
        <v/>
      </c>
      <c r="L465" s="13"/>
      <c r="M465" s="14" t="str">
        <f>IFERROR(VLOOKUP(I465,material!A:D,4,0),"")</f>
        <v/>
      </c>
      <c r="N465" s="14" t="str">
        <f t="shared" si="1"/>
        <v/>
      </c>
      <c r="O465" s="15" t="str">
        <f>IFERROR(VLOOKUP(I465,material!A:D,2,0),"")</f>
        <v/>
      </c>
    </row>
    <row r="466">
      <c r="A466" s="6"/>
      <c r="B466" s="7"/>
      <c r="C466" s="8" t="str">
        <f t="array" ref="C466">IFERROR(INDEX(atlas!H:H,MATCH(A466,atlas!C:C,0)),"")</f>
        <v/>
      </c>
      <c r="D466" s="8" t="str">
        <f t="array" ref="D466">IFERROR(INDEX(atlas!D:D,MATCH(A466,atlas!C:C,0)),"")</f>
        <v/>
      </c>
      <c r="E466" s="8" t="str">
        <f t="array" ref="E466">IFERROR(INDEX(atlas!F:F,MATCH(A466,atlas!C:C,0)),"")</f>
        <v/>
      </c>
      <c r="F466" s="9"/>
      <c r="G466" s="10"/>
      <c r="H466" s="11"/>
      <c r="I466" s="12" t="str">
        <f t="array" ref="I466">IFERROR(INDEX(atlas!B:B,MATCH(A466,atlas!C:C,0)),"")</f>
        <v/>
      </c>
      <c r="J466" s="8" t="str">
        <f>IFERROR(VLOOKUP(F466,tecnica!A:B,2,0),"")</f>
        <v/>
      </c>
      <c r="K466" s="8" t="str">
        <f>IFERROR(VLOOKUP(J466,tecnica!B:C,2,0),"")</f>
        <v/>
      </c>
      <c r="L466" s="13"/>
      <c r="M466" s="14" t="str">
        <f>IFERROR(VLOOKUP(I466,material!A:D,4,0),"")</f>
        <v/>
      </c>
      <c r="N466" s="14" t="str">
        <f t="shared" si="1"/>
        <v/>
      </c>
      <c r="O466" s="15" t="str">
        <f>IFERROR(VLOOKUP(I466,material!A:D,2,0),"")</f>
        <v/>
      </c>
    </row>
    <row r="467">
      <c r="A467" s="6"/>
      <c r="B467" s="7"/>
      <c r="C467" s="8" t="str">
        <f t="array" ref="C467">IFERROR(INDEX(atlas!H:H,MATCH(A467,atlas!C:C,0)),"")</f>
        <v/>
      </c>
      <c r="D467" s="8" t="str">
        <f t="array" ref="D467">IFERROR(INDEX(atlas!D:D,MATCH(A467,atlas!C:C,0)),"")</f>
        <v/>
      </c>
      <c r="E467" s="8" t="str">
        <f t="array" ref="E467">IFERROR(INDEX(atlas!F:F,MATCH(A467,atlas!C:C,0)),"")</f>
        <v/>
      </c>
      <c r="F467" s="9"/>
      <c r="G467" s="10"/>
      <c r="H467" s="11"/>
      <c r="I467" s="12" t="str">
        <f t="array" ref="I467">IFERROR(INDEX(atlas!B:B,MATCH(A467,atlas!C:C,0)),"")</f>
        <v/>
      </c>
      <c r="J467" s="8" t="str">
        <f>IFERROR(VLOOKUP(F467,tecnica!A:B,2,0),"")</f>
        <v/>
      </c>
      <c r="K467" s="8" t="str">
        <f>IFERROR(VLOOKUP(J467,tecnica!B:C,2,0),"")</f>
        <v/>
      </c>
      <c r="L467" s="13"/>
      <c r="M467" s="14" t="str">
        <f>IFERROR(VLOOKUP(I467,material!A:D,4,0),"")</f>
        <v/>
      </c>
      <c r="N467" s="14" t="str">
        <f t="shared" si="1"/>
        <v/>
      </c>
      <c r="O467" s="15" t="str">
        <f>IFERROR(VLOOKUP(I467,material!A:D,2,0),"")</f>
        <v/>
      </c>
    </row>
    <row r="468">
      <c r="A468" s="6"/>
      <c r="B468" s="7"/>
      <c r="C468" s="8" t="str">
        <f t="array" ref="C468">IFERROR(INDEX(atlas!H:H,MATCH(A468,atlas!C:C,0)),"")</f>
        <v/>
      </c>
      <c r="D468" s="8" t="str">
        <f t="array" ref="D468">IFERROR(INDEX(atlas!D:D,MATCH(A468,atlas!C:C,0)),"")</f>
        <v/>
      </c>
      <c r="E468" s="8" t="str">
        <f t="array" ref="E468">IFERROR(INDEX(atlas!F:F,MATCH(A468,atlas!C:C,0)),"")</f>
        <v/>
      </c>
      <c r="F468" s="9"/>
      <c r="G468" s="10"/>
      <c r="H468" s="11"/>
      <c r="I468" s="12" t="str">
        <f t="array" ref="I468">IFERROR(INDEX(atlas!B:B,MATCH(A468,atlas!C:C,0)),"")</f>
        <v/>
      </c>
      <c r="J468" s="8" t="str">
        <f>IFERROR(VLOOKUP(F468,tecnica!A:B,2,0),"")</f>
        <v/>
      </c>
      <c r="K468" s="8" t="str">
        <f>IFERROR(VLOOKUP(J468,tecnica!B:C,2,0),"")</f>
        <v/>
      </c>
      <c r="L468" s="13"/>
      <c r="M468" s="14" t="str">
        <f>IFERROR(VLOOKUP(I468,material!A:D,4,0),"")</f>
        <v/>
      </c>
      <c r="N468" s="14" t="str">
        <f t="shared" si="1"/>
        <v/>
      </c>
      <c r="O468" s="15" t="str">
        <f>IFERROR(VLOOKUP(I468,material!A:D,2,0),"")</f>
        <v/>
      </c>
    </row>
    <row r="469">
      <c r="A469" s="6"/>
      <c r="B469" s="7"/>
      <c r="C469" s="8" t="str">
        <f t="array" ref="C469">IFERROR(INDEX(atlas!H:H,MATCH(A469,atlas!C:C,0)),"")</f>
        <v/>
      </c>
      <c r="D469" s="8" t="str">
        <f t="array" ref="D469">IFERROR(INDEX(atlas!D:D,MATCH(A469,atlas!C:C,0)),"")</f>
        <v/>
      </c>
      <c r="E469" s="8" t="str">
        <f t="array" ref="E469">IFERROR(INDEX(atlas!F:F,MATCH(A469,atlas!C:C,0)),"")</f>
        <v/>
      </c>
      <c r="F469" s="9"/>
      <c r="G469" s="10"/>
      <c r="H469" s="11"/>
      <c r="I469" s="12" t="str">
        <f t="array" ref="I469">IFERROR(INDEX(atlas!B:B,MATCH(A469,atlas!C:C,0)),"")</f>
        <v/>
      </c>
      <c r="J469" s="8" t="str">
        <f>IFERROR(VLOOKUP(F469,tecnica!A:B,2,0),"")</f>
        <v/>
      </c>
      <c r="K469" s="8" t="str">
        <f>IFERROR(VLOOKUP(J469,tecnica!B:C,2,0),"")</f>
        <v/>
      </c>
      <c r="L469" s="13"/>
      <c r="M469" s="14" t="str">
        <f>IFERROR(VLOOKUP(I469,material!A:D,4,0),"")</f>
        <v/>
      </c>
      <c r="N469" s="14" t="str">
        <f t="shared" si="1"/>
        <v/>
      </c>
      <c r="O469" s="15" t="str">
        <f>IFERROR(VLOOKUP(I469,material!A:D,2,0),"")</f>
        <v/>
      </c>
    </row>
    <row r="470">
      <c r="A470" s="6"/>
      <c r="B470" s="7"/>
      <c r="C470" s="8" t="str">
        <f t="array" ref="C470">IFERROR(INDEX(atlas!H:H,MATCH(A470,atlas!C:C,0)),"")</f>
        <v/>
      </c>
      <c r="D470" s="8" t="str">
        <f t="array" ref="D470">IFERROR(INDEX(atlas!D:D,MATCH(A470,atlas!C:C,0)),"")</f>
        <v/>
      </c>
      <c r="E470" s="8" t="str">
        <f t="array" ref="E470">IFERROR(INDEX(atlas!F:F,MATCH(A470,atlas!C:C,0)),"")</f>
        <v/>
      </c>
      <c r="F470" s="9"/>
      <c r="G470" s="10"/>
      <c r="H470" s="11"/>
      <c r="I470" s="12" t="str">
        <f t="array" ref="I470">IFERROR(INDEX(atlas!B:B,MATCH(A470,atlas!C:C,0)),"")</f>
        <v/>
      </c>
      <c r="J470" s="8" t="str">
        <f>IFERROR(VLOOKUP(F470,tecnica!A:B,2,0),"")</f>
        <v/>
      </c>
      <c r="K470" s="8" t="str">
        <f>IFERROR(VLOOKUP(J470,tecnica!B:C,2,0),"")</f>
        <v/>
      </c>
      <c r="L470" s="13"/>
      <c r="M470" s="14" t="str">
        <f>IFERROR(VLOOKUP(I470,material!A:D,4,0),"")</f>
        <v/>
      </c>
      <c r="N470" s="14" t="str">
        <f t="shared" si="1"/>
        <v/>
      </c>
      <c r="O470" s="15" t="str">
        <f>IFERROR(VLOOKUP(I470,material!A:D,2,0),"")</f>
        <v/>
      </c>
    </row>
    <row r="471">
      <c r="A471" s="6"/>
      <c r="B471" s="7"/>
      <c r="C471" s="8" t="str">
        <f t="array" ref="C471">IFERROR(INDEX(atlas!H:H,MATCH(A471,atlas!C:C,0)),"")</f>
        <v/>
      </c>
      <c r="D471" s="8" t="str">
        <f t="array" ref="D471">IFERROR(INDEX(atlas!D:D,MATCH(A471,atlas!C:C,0)),"")</f>
        <v/>
      </c>
      <c r="E471" s="8" t="str">
        <f t="array" ref="E471">IFERROR(INDEX(atlas!F:F,MATCH(A471,atlas!C:C,0)),"")</f>
        <v/>
      </c>
      <c r="F471" s="9"/>
      <c r="G471" s="10"/>
      <c r="H471" s="11"/>
      <c r="I471" s="12" t="str">
        <f t="array" ref="I471">IFERROR(INDEX(atlas!B:B,MATCH(A471,atlas!C:C,0)),"")</f>
        <v/>
      </c>
      <c r="J471" s="8" t="str">
        <f>IFERROR(VLOOKUP(F471,tecnica!A:B,2,0),"")</f>
        <v/>
      </c>
      <c r="K471" s="8" t="str">
        <f>IFERROR(VLOOKUP(J471,tecnica!B:C,2,0),"")</f>
        <v/>
      </c>
      <c r="L471" s="13"/>
      <c r="M471" s="14" t="str">
        <f>IFERROR(VLOOKUP(I471,material!A:D,4,0),"")</f>
        <v/>
      </c>
      <c r="N471" s="14" t="str">
        <f t="shared" si="1"/>
        <v/>
      </c>
      <c r="O471" s="15" t="str">
        <f>IFERROR(VLOOKUP(I471,material!A:D,2,0),"")</f>
        <v/>
      </c>
    </row>
    <row r="472">
      <c r="A472" s="6"/>
      <c r="B472" s="7"/>
      <c r="C472" s="8" t="str">
        <f t="array" ref="C472">IFERROR(INDEX(atlas!H:H,MATCH(A472,atlas!C:C,0)),"")</f>
        <v/>
      </c>
      <c r="D472" s="8" t="str">
        <f t="array" ref="D472">IFERROR(INDEX(atlas!D:D,MATCH(A472,atlas!C:C,0)),"")</f>
        <v/>
      </c>
      <c r="E472" s="8" t="str">
        <f t="array" ref="E472">IFERROR(INDEX(atlas!F:F,MATCH(A472,atlas!C:C,0)),"")</f>
        <v/>
      </c>
      <c r="F472" s="9"/>
      <c r="G472" s="10"/>
      <c r="H472" s="11"/>
      <c r="I472" s="12" t="str">
        <f t="array" ref="I472">IFERROR(INDEX(atlas!B:B,MATCH(A472,atlas!C:C,0)),"")</f>
        <v/>
      </c>
      <c r="J472" s="8" t="str">
        <f>IFERROR(VLOOKUP(F472,tecnica!A:B,2,0),"")</f>
        <v/>
      </c>
      <c r="K472" s="8" t="str">
        <f>IFERROR(VLOOKUP(J472,tecnica!B:C,2,0),"")</f>
        <v/>
      </c>
      <c r="L472" s="13"/>
      <c r="M472" s="14" t="str">
        <f>IFERROR(VLOOKUP(I472,material!A:D,4,0),"")</f>
        <v/>
      </c>
      <c r="N472" s="14" t="str">
        <f t="shared" si="1"/>
        <v/>
      </c>
      <c r="O472" s="15" t="str">
        <f>IFERROR(VLOOKUP(I472,material!A:D,2,0),"")</f>
        <v/>
      </c>
    </row>
    <row r="473">
      <c r="A473" s="6"/>
      <c r="B473" s="7"/>
      <c r="C473" s="8" t="str">
        <f t="array" ref="C473">IFERROR(INDEX(atlas!H:H,MATCH(A473,atlas!C:C,0)),"")</f>
        <v/>
      </c>
      <c r="D473" s="8" t="str">
        <f t="array" ref="D473">IFERROR(INDEX(atlas!D:D,MATCH(A473,atlas!C:C,0)),"")</f>
        <v/>
      </c>
      <c r="E473" s="8" t="str">
        <f t="array" ref="E473">IFERROR(INDEX(atlas!F:F,MATCH(A473,atlas!C:C,0)),"")</f>
        <v/>
      </c>
      <c r="F473" s="9"/>
      <c r="G473" s="10"/>
      <c r="H473" s="11"/>
      <c r="I473" s="12" t="str">
        <f t="array" ref="I473">IFERROR(INDEX(atlas!B:B,MATCH(A473,atlas!C:C,0)),"")</f>
        <v/>
      </c>
      <c r="J473" s="8" t="str">
        <f>IFERROR(VLOOKUP(F473,tecnica!A:B,2,0),"")</f>
        <v/>
      </c>
      <c r="K473" s="8" t="str">
        <f>IFERROR(VLOOKUP(J473,tecnica!B:C,2,0),"")</f>
        <v/>
      </c>
      <c r="L473" s="13"/>
      <c r="M473" s="14" t="str">
        <f>IFERROR(VLOOKUP(I473,material!A:D,4,0),"")</f>
        <v/>
      </c>
      <c r="N473" s="14" t="str">
        <f t="shared" si="1"/>
        <v/>
      </c>
      <c r="O473" s="15" t="str">
        <f>IFERROR(VLOOKUP(I473,material!A:D,2,0),"")</f>
        <v/>
      </c>
    </row>
    <row r="474">
      <c r="A474" s="6"/>
      <c r="B474" s="7"/>
      <c r="C474" s="8" t="str">
        <f t="array" ref="C474">IFERROR(INDEX(atlas!H:H,MATCH(A474,atlas!C:C,0)),"")</f>
        <v/>
      </c>
      <c r="D474" s="8" t="str">
        <f t="array" ref="D474">IFERROR(INDEX(atlas!D:D,MATCH(A474,atlas!C:C,0)),"")</f>
        <v/>
      </c>
      <c r="E474" s="8" t="str">
        <f t="array" ref="E474">IFERROR(INDEX(atlas!F:F,MATCH(A474,atlas!C:C,0)),"")</f>
        <v/>
      </c>
      <c r="F474" s="9"/>
      <c r="G474" s="10"/>
      <c r="H474" s="11"/>
      <c r="I474" s="12" t="str">
        <f t="array" ref="I474">IFERROR(INDEX(atlas!B:B,MATCH(A474,atlas!C:C,0)),"")</f>
        <v/>
      </c>
      <c r="J474" s="8" t="str">
        <f>IFERROR(VLOOKUP(F474,tecnica!A:B,2,0),"")</f>
        <v/>
      </c>
      <c r="K474" s="8" t="str">
        <f>IFERROR(VLOOKUP(J474,tecnica!B:C,2,0),"")</f>
        <v/>
      </c>
      <c r="L474" s="13"/>
      <c r="M474" s="14" t="str">
        <f>IFERROR(VLOOKUP(I474,material!A:D,4,0),"")</f>
        <v/>
      </c>
      <c r="N474" s="14" t="str">
        <f t="shared" si="1"/>
        <v/>
      </c>
      <c r="O474" s="15" t="str">
        <f>IFERROR(VLOOKUP(I474,material!A:D,2,0),"")</f>
        <v/>
      </c>
    </row>
    <row r="475">
      <c r="A475" s="6"/>
      <c r="B475" s="7"/>
      <c r="C475" s="8" t="str">
        <f t="array" ref="C475">IFERROR(INDEX(atlas!H:H,MATCH(A475,atlas!C:C,0)),"")</f>
        <v/>
      </c>
      <c r="D475" s="8" t="str">
        <f t="array" ref="D475">IFERROR(INDEX(atlas!D:D,MATCH(A475,atlas!C:C,0)),"")</f>
        <v/>
      </c>
      <c r="E475" s="8" t="str">
        <f t="array" ref="E475">IFERROR(INDEX(atlas!F:F,MATCH(A475,atlas!C:C,0)),"")</f>
        <v/>
      </c>
      <c r="F475" s="9"/>
      <c r="G475" s="10"/>
      <c r="H475" s="11"/>
      <c r="I475" s="12" t="str">
        <f t="array" ref="I475">IFERROR(INDEX(atlas!B:B,MATCH(A475,atlas!C:C,0)),"")</f>
        <v/>
      </c>
      <c r="J475" s="8" t="str">
        <f>IFERROR(VLOOKUP(F475,tecnica!A:B,2,0),"")</f>
        <v/>
      </c>
      <c r="K475" s="8" t="str">
        <f>IFERROR(VLOOKUP(J475,tecnica!B:C,2,0),"")</f>
        <v/>
      </c>
      <c r="L475" s="13"/>
      <c r="M475" s="14" t="str">
        <f>IFERROR(VLOOKUP(I475,material!A:D,4,0),"")</f>
        <v/>
      </c>
      <c r="N475" s="14" t="str">
        <f t="shared" si="1"/>
        <v/>
      </c>
      <c r="O475" s="15" t="str">
        <f>IFERROR(VLOOKUP(I475,material!A:D,2,0),"")</f>
        <v/>
      </c>
    </row>
    <row r="476">
      <c r="A476" s="6"/>
      <c r="B476" s="7"/>
      <c r="C476" s="8" t="str">
        <f t="array" ref="C476">IFERROR(INDEX(atlas!H:H,MATCH(A476,atlas!C:C,0)),"")</f>
        <v/>
      </c>
      <c r="D476" s="8" t="str">
        <f t="array" ref="D476">IFERROR(INDEX(atlas!D:D,MATCH(A476,atlas!C:C,0)),"")</f>
        <v/>
      </c>
      <c r="E476" s="8" t="str">
        <f t="array" ref="E476">IFERROR(INDEX(atlas!F:F,MATCH(A476,atlas!C:C,0)),"")</f>
        <v/>
      </c>
      <c r="F476" s="9"/>
      <c r="G476" s="10"/>
      <c r="H476" s="11"/>
      <c r="I476" s="12" t="str">
        <f t="array" ref="I476">IFERROR(INDEX(atlas!B:B,MATCH(A476,atlas!C:C,0)),"")</f>
        <v/>
      </c>
      <c r="J476" s="8" t="str">
        <f>IFERROR(VLOOKUP(F476,tecnica!A:B,2,0),"")</f>
        <v/>
      </c>
      <c r="K476" s="8" t="str">
        <f>IFERROR(VLOOKUP(J476,tecnica!B:C,2,0),"")</f>
        <v/>
      </c>
      <c r="L476" s="13"/>
      <c r="M476" s="14" t="str">
        <f>IFERROR(VLOOKUP(I476,material!A:D,4,0),"")</f>
        <v/>
      </c>
      <c r="N476" s="14" t="str">
        <f t="shared" si="1"/>
        <v/>
      </c>
      <c r="O476" s="15" t="str">
        <f>IFERROR(VLOOKUP(I476,material!A:D,2,0),"")</f>
        <v/>
      </c>
    </row>
    <row r="477">
      <c r="A477" s="6"/>
      <c r="B477" s="7"/>
      <c r="C477" s="8" t="str">
        <f t="array" ref="C477">IFERROR(INDEX(atlas!H:H,MATCH(A477,atlas!C:C,0)),"")</f>
        <v/>
      </c>
      <c r="D477" s="8" t="str">
        <f t="array" ref="D477">IFERROR(INDEX(atlas!D:D,MATCH(A477,atlas!C:C,0)),"")</f>
        <v/>
      </c>
      <c r="E477" s="8" t="str">
        <f t="array" ref="E477">IFERROR(INDEX(atlas!F:F,MATCH(A477,atlas!C:C,0)),"")</f>
        <v/>
      </c>
      <c r="F477" s="9"/>
      <c r="G477" s="10"/>
      <c r="H477" s="11"/>
      <c r="I477" s="12" t="str">
        <f t="array" ref="I477">IFERROR(INDEX(atlas!B:B,MATCH(A477,atlas!C:C,0)),"")</f>
        <v/>
      </c>
      <c r="J477" s="8" t="str">
        <f>IFERROR(VLOOKUP(F477,tecnica!A:B,2,0),"")</f>
        <v/>
      </c>
      <c r="K477" s="8" t="str">
        <f>IFERROR(VLOOKUP(J477,tecnica!B:C,2,0),"")</f>
        <v/>
      </c>
      <c r="L477" s="13"/>
      <c r="M477" s="14" t="str">
        <f>IFERROR(VLOOKUP(I477,material!A:D,4,0),"")</f>
        <v/>
      </c>
      <c r="N477" s="14" t="str">
        <f t="shared" si="1"/>
        <v/>
      </c>
      <c r="O477" s="15" t="str">
        <f>IFERROR(VLOOKUP(I477,material!A:D,2,0),"")</f>
        <v/>
      </c>
    </row>
    <row r="478">
      <c r="A478" s="6"/>
      <c r="B478" s="7"/>
      <c r="C478" s="8" t="str">
        <f t="array" ref="C478">IFERROR(INDEX(atlas!H:H,MATCH(A478,atlas!C:C,0)),"")</f>
        <v/>
      </c>
      <c r="D478" s="8" t="str">
        <f t="array" ref="D478">IFERROR(INDEX(atlas!D:D,MATCH(A478,atlas!C:C,0)),"")</f>
        <v/>
      </c>
      <c r="E478" s="8" t="str">
        <f t="array" ref="E478">IFERROR(INDEX(atlas!F:F,MATCH(A478,atlas!C:C,0)),"")</f>
        <v/>
      </c>
      <c r="F478" s="9"/>
      <c r="G478" s="10"/>
      <c r="H478" s="11"/>
      <c r="I478" s="12" t="str">
        <f t="array" ref="I478">IFERROR(INDEX(atlas!B:B,MATCH(A478,atlas!C:C,0)),"")</f>
        <v/>
      </c>
      <c r="J478" s="8" t="str">
        <f>IFERROR(VLOOKUP(F478,tecnica!A:B,2,0),"")</f>
        <v/>
      </c>
      <c r="K478" s="8" t="str">
        <f>IFERROR(VLOOKUP(J478,tecnica!B:C,2,0),"")</f>
        <v/>
      </c>
      <c r="L478" s="13"/>
      <c r="M478" s="14" t="str">
        <f>IFERROR(VLOOKUP(I478,material!A:D,4,0),"")</f>
        <v/>
      </c>
      <c r="N478" s="14" t="str">
        <f t="shared" si="1"/>
        <v/>
      </c>
      <c r="O478" s="15" t="str">
        <f>IFERROR(VLOOKUP(I478,material!A:D,2,0),"")</f>
        <v/>
      </c>
    </row>
    <row r="479">
      <c r="A479" s="6"/>
      <c r="B479" s="7"/>
      <c r="C479" s="8" t="str">
        <f t="array" ref="C479">IFERROR(INDEX(atlas!H:H,MATCH(A479,atlas!C:C,0)),"")</f>
        <v/>
      </c>
      <c r="D479" s="8" t="str">
        <f t="array" ref="D479">IFERROR(INDEX(atlas!D:D,MATCH(A479,atlas!C:C,0)),"")</f>
        <v/>
      </c>
      <c r="E479" s="8" t="str">
        <f t="array" ref="E479">IFERROR(INDEX(atlas!F:F,MATCH(A479,atlas!C:C,0)),"")</f>
        <v/>
      </c>
      <c r="F479" s="9"/>
      <c r="G479" s="10"/>
      <c r="H479" s="11"/>
      <c r="I479" s="12" t="str">
        <f t="array" ref="I479">IFERROR(INDEX(atlas!B:B,MATCH(A479,atlas!C:C,0)),"")</f>
        <v/>
      </c>
      <c r="J479" s="8" t="str">
        <f>IFERROR(VLOOKUP(F479,tecnica!A:B,2,0),"")</f>
        <v/>
      </c>
      <c r="K479" s="8" t="str">
        <f>IFERROR(VLOOKUP(J479,tecnica!B:C,2,0),"")</f>
        <v/>
      </c>
      <c r="L479" s="13"/>
      <c r="M479" s="14" t="str">
        <f>IFERROR(VLOOKUP(I479,material!A:D,4,0),"")</f>
        <v/>
      </c>
      <c r="N479" s="14" t="str">
        <f t="shared" si="1"/>
        <v/>
      </c>
      <c r="O479" s="15" t="str">
        <f>IFERROR(VLOOKUP(I479,material!A:D,2,0),"")</f>
        <v/>
      </c>
    </row>
    <row r="480">
      <c r="A480" s="6"/>
      <c r="B480" s="7"/>
      <c r="C480" s="8" t="str">
        <f t="array" ref="C480">IFERROR(INDEX(atlas!H:H,MATCH(A480,atlas!C:C,0)),"")</f>
        <v/>
      </c>
      <c r="D480" s="8" t="str">
        <f t="array" ref="D480">IFERROR(INDEX(atlas!D:D,MATCH(A480,atlas!C:C,0)),"")</f>
        <v/>
      </c>
      <c r="E480" s="8" t="str">
        <f t="array" ref="E480">IFERROR(INDEX(atlas!F:F,MATCH(A480,atlas!C:C,0)),"")</f>
        <v/>
      </c>
      <c r="F480" s="9"/>
      <c r="G480" s="10"/>
      <c r="H480" s="11"/>
      <c r="I480" s="12" t="str">
        <f t="array" ref="I480">IFERROR(INDEX(atlas!B:B,MATCH(A480,atlas!C:C,0)),"")</f>
        <v/>
      </c>
      <c r="J480" s="8" t="str">
        <f>IFERROR(VLOOKUP(F480,tecnica!A:B,2,0),"")</f>
        <v/>
      </c>
      <c r="K480" s="8" t="str">
        <f>IFERROR(VLOOKUP(J480,tecnica!B:C,2,0),"")</f>
        <v/>
      </c>
      <c r="L480" s="13"/>
      <c r="M480" s="14" t="str">
        <f>IFERROR(VLOOKUP(I480,material!A:D,4,0),"")</f>
        <v/>
      </c>
      <c r="N480" s="14" t="str">
        <f t="shared" si="1"/>
        <v/>
      </c>
      <c r="O480" s="15" t="str">
        <f>IFERROR(VLOOKUP(I480,material!A:D,2,0),"")</f>
        <v/>
      </c>
    </row>
    <row r="481">
      <c r="A481" s="6"/>
      <c r="B481" s="7"/>
      <c r="C481" s="8" t="str">
        <f t="array" ref="C481">IFERROR(INDEX(atlas!H:H,MATCH(A481,atlas!C:C,0)),"")</f>
        <v/>
      </c>
      <c r="D481" s="8" t="str">
        <f t="array" ref="D481">IFERROR(INDEX(atlas!D:D,MATCH(A481,atlas!C:C,0)),"")</f>
        <v/>
      </c>
      <c r="E481" s="8" t="str">
        <f t="array" ref="E481">IFERROR(INDEX(atlas!F:F,MATCH(A481,atlas!C:C,0)),"")</f>
        <v/>
      </c>
      <c r="F481" s="9"/>
      <c r="G481" s="10"/>
      <c r="H481" s="11"/>
      <c r="I481" s="12" t="str">
        <f t="array" ref="I481">IFERROR(INDEX(atlas!B:B,MATCH(A481,atlas!C:C,0)),"")</f>
        <v/>
      </c>
      <c r="J481" s="8" t="str">
        <f>IFERROR(VLOOKUP(F481,tecnica!A:B,2,0),"")</f>
        <v/>
      </c>
      <c r="K481" s="8" t="str">
        <f>IFERROR(VLOOKUP(J481,tecnica!B:C,2,0),"")</f>
        <v/>
      </c>
      <c r="L481" s="13"/>
      <c r="M481" s="14" t="str">
        <f>IFERROR(VLOOKUP(I481,material!A:D,4,0),"")</f>
        <v/>
      </c>
      <c r="N481" s="14" t="str">
        <f t="shared" si="1"/>
        <v/>
      </c>
      <c r="O481" s="15" t="str">
        <f>IFERROR(VLOOKUP(I481,material!A:D,2,0),"")</f>
        <v/>
      </c>
    </row>
    <row r="482">
      <c r="A482" s="6"/>
      <c r="B482" s="7"/>
      <c r="C482" s="8" t="str">
        <f t="array" ref="C482">IFERROR(INDEX(atlas!H:H,MATCH(A482,atlas!C:C,0)),"")</f>
        <v/>
      </c>
      <c r="D482" s="8" t="str">
        <f t="array" ref="D482">IFERROR(INDEX(atlas!D:D,MATCH(A482,atlas!C:C,0)),"")</f>
        <v/>
      </c>
      <c r="E482" s="8" t="str">
        <f t="array" ref="E482">IFERROR(INDEX(atlas!F:F,MATCH(A482,atlas!C:C,0)),"")</f>
        <v/>
      </c>
      <c r="F482" s="9"/>
      <c r="G482" s="10"/>
      <c r="H482" s="11"/>
      <c r="I482" s="12" t="str">
        <f t="array" ref="I482">IFERROR(INDEX(atlas!B:B,MATCH(A482,atlas!C:C,0)),"")</f>
        <v/>
      </c>
      <c r="J482" s="8" t="str">
        <f>IFERROR(VLOOKUP(F482,tecnica!A:B,2,0),"")</f>
        <v/>
      </c>
      <c r="K482" s="8" t="str">
        <f>IFERROR(VLOOKUP(J482,tecnica!B:C,2,0),"")</f>
        <v/>
      </c>
      <c r="L482" s="13"/>
      <c r="M482" s="14" t="str">
        <f>IFERROR(VLOOKUP(I482,material!A:D,4,0),"")</f>
        <v/>
      </c>
      <c r="N482" s="14" t="str">
        <f t="shared" si="1"/>
        <v/>
      </c>
      <c r="O482" s="15" t="str">
        <f>IFERROR(VLOOKUP(I482,material!A:D,2,0),"")</f>
        <v/>
      </c>
    </row>
    <row r="483">
      <c r="A483" s="6"/>
      <c r="B483" s="7"/>
      <c r="C483" s="8" t="str">
        <f t="array" ref="C483">IFERROR(INDEX(atlas!H:H,MATCH(A483,atlas!C:C,0)),"")</f>
        <v/>
      </c>
      <c r="D483" s="8" t="str">
        <f t="array" ref="D483">IFERROR(INDEX(atlas!D:D,MATCH(A483,atlas!C:C,0)),"")</f>
        <v/>
      </c>
      <c r="E483" s="8" t="str">
        <f t="array" ref="E483">IFERROR(INDEX(atlas!F:F,MATCH(A483,atlas!C:C,0)),"")</f>
        <v/>
      </c>
      <c r="F483" s="9"/>
      <c r="G483" s="10"/>
      <c r="H483" s="11"/>
      <c r="I483" s="12" t="str">
        <f t="array" ref="I483">IFERROR(INDEX(atlas!B:B,MATCH(A483,atlas!C:C,0)),"")</f>
        <v/>
      </c>
      <c r="J483" s="8" t="str">
        <f>IFERROR(VLOOKUP(F483,tecnica!A:B,2,0),"")</f>
        <v/>
      </c>
      <c r="K483" s="8" t="str">
        <f>IFERROR(VLOOKUP(J483,tecnica!B:C,2,0),"")</f>
        <v/>
      </c>
      <c r="L483" s="13"/>
      <c r="M483" s="14" t="str">
        <f>IFERROR(VLOOKUP(I483,material!A:D,4,0),"")</f>
        <v/>
      </c>
      <c r="N483" s="14" t="str">
        <f t="shared" si="1"/>
        <v/>
      </c>
      <c r="O483" s="15" t="str">
        <f>IFERROR(VLOOKUP(I483,material!A:D,2,0),"")</f>
        <v/>
      </c>
    </row>
    <row r="484">
      <c r="A484" s="6"/>
      <c r="B484" s="7"/>
      <c r="C484" s="8" t="str">
        <f t="array" ref="C484">IFERROR(INDEX(atlas!H:H,MATCH(A484,atlas!C:C,0)),"")</f>
        <v/>
      </c>
      <c r="D484" s="8" t="str">
        <f t="array" ref="D484">IFERROR(INDEX(atlas!D:D,MATCH(A484,atlas!C:C,0)),"")</f>
        <v/>
      </c>
      <c r="E484" s="8" t="str">
        <f t="array" ref="E484">IFERROR(INDEX(atlas!F:F,MATCH(A484,atlas!C:C,0)),"")</f>
        <v/>
      </c>
      <c r="F484" s="9"/>
      <c r="G484" s="10"/>
      <c r="H484" s="11"/>
      <c r="I484" s="12" t="str">
        <f t="array" ref="I484">IFERROR(INDEX(atlas!B:B,MATCH(A484,atlas!C:C,0)),"")</f>
        <v/>
      </c>
      <c r="J484" s="8" t="str">
        <f>IFERROR(VLOOKUP(F484,tecnica!A:B,2,0),"")</f>
        <v/>
      </c>
      <c r="K484" s="8" t="str">
        <f>IFERROR(VLOOKUP(J484,tecnica!B:C,2,0),"")</f>
        <v/>
      </c>
      <c r="L484" s="13"/>
      <c r="M484" s="14" t="str">
        <f>IFERROR(VLOOKUP(I484,material!A:D,4,0),"")</f>
        <v/>
      </c>
      <c r="N484" s="14" t="str">
        <f t="shared" si="1"/>
        <v/>
      </c>
      <c r="O484" s="15" t="str">
        <f>IFERROR(VLOOKUP(I484,material!A:D,2,0),"")</f>
        <v/>
      </c>
    </row>
    <row r="485">
      <c r="A485" s="6"/>
      <c r="B485" s="7"/>
      <c r="C485" s="8" t="str">
        <f t="array" ref="C485">IFERROR(INDEX(atlas!H:H,MATCH(A485,atlas!C:C,0)),"")</f>
        <v/>
      </c>
      <c r="D485" s="8" t="str">
        <f t="array" ref="D485">IFERROR(INDEX(atlas!D:D,MATCH(A485,atlas!C:C,0)),"")</f>
        <v/>
      </c>
      <c r="E485" s="8" t="str">
        <f t="array" ref="E485">IFERROR(INDEX(atlas!F:F,MATCH(A485,atlas!C:C,0)),"")</f>
        <v/>
      </c>
      <c r="F485" s="9"/>
      <c r="G485" s="10"/>
      <c r="H485" s="11"/>
      <c r="I485" s="12" t="str">
        <f t="array" ref="I485">IFERROR(INDEX(atlas!B:B,MATCH(A485,atlas!C:C,0)),"")</f>
        <v/>
      </c>
      <c r="J485" s="8" t="str">
        <f>IFERROR(VLOOKUP(F485,tecnica!A:B,2,0),"")</f>
        <v/>
      </c>
      <c r="K485" s="8" t="str">
        <f>IFERROR(VLOOKUP(J485,tecnica!B:C,2,0),"")</f>
        <v/>
      </c>
      <c r="L485" s="13"/>
      <c r="M485" s="14" t="str">
        <f>IFERROR(VLOOKUP(I485,material!A:D,4,0),"")</f>
        <v/>
      </c>
      <c r="N485" s="14" t="str">
        <f t="shared" si="1"/>
        <v/>
      </c>
      <c r="O485" s="15" t="str">
        <f>IFERROR(VLOOKUP(I485,material!A:D,2,0),"")</f>
        <v/>
      </c>
    </row>
    <row r="486">
      <c r="A486" s="6"/>
      <c r="B486" s="7"/>
      <c r="C486" s="8" t="str">
        <f t="array" ref="C486">IFERROR(INDEX(atlas!H:H,MATCH(A486,atlas!C:C,0)),"")</f>
        <v/>
      </c>
      <c r="D486" s="8" t="str">
        <f t="array" ref="D486">IFERROR(INDEX(atlas!D:D,MATCH(A486,atlas!C:C,0)),"")</f>
        <v/>
      </c>
      <c r="E486" s="8" t="str">
        <f t="array" ref="E486">IFERROR(INDEX(atlas!F:F,MATCH(A486,atlas!C:C,0)),"")</f>
        <v/>
      </c>
      <c r="F486" s="9"/>
      <c r="G486" s="10"/>
      <c r="H486" s="11"/>
      <c r="I486" s="12" t="str">
        <f t="array" ref="I486">IFERROR(INDEX(atlas!B:B,MATCH(A486,atlas!C:C,0)),"")</f>
        <v/>
      </c>
      <c r="J486" s="8" t="str">
        <f>IFERROR(VLOOKUP(F486,tecnica!A:B,2,0),"")</f>
        <v/>
      </c>
      <c r="K486" s="8" t="str">
        <f>IFERROR(VLOOKUP(J486,tecnica!B:C,2,0),"")</f>
        <v/>
      </c>
      <c r="L486" s="13"/>
      <c r="M486" s="14" t="str">
        <f>IFERROR(VLOOKUP(I486,material!A:D,4,0),"")</f>
        <v/>
      </c>
      <c r="N486" s="14" t="str">
        <f t="shared" si="1"/>
        <v/>
      </c>
      <c r="O486" s="15" t="str">
        <f>IFERROR(VLOOKUP(I486,material!A:D,2,0),"")</f>
        <v/>
      </c>
    </row>
    <row r="487">
      <c r="A487" s="6"/>
      <c r="B487" s="7"/>
      <c r="C487" s="8" t="str">
        <f t="array" ref="C487">IFERROR(INDEX(atlas!H:H,MATCH(A487,atlas!C:C,0)),"")</f>
        <v/>
      </c>
      <c r="D487" s="8" t="str">
        <f t="array" ref="D487">IFERROR(INDEX(atlas!D:D,MATCH(A487,atlas!C:C,0)),"")</f>
        <v/>
      </c>
      <c r="E487" s="8" t="str">
        <f t="array" ref="E487">IFERROR(INDEX(atlas!F:F,MATCH(A487,atlas!C:C,0)),"")</f>
        <v/>
      </c>
      <c r="F487" s="9"/>
      <c r="G487" s="10"/>
      <c r="H487" s="11"/>
      <c r="I487" s="12" t="str">
        <f t="array" ref="I487">IFERROR(INDEX(atlas!B:B,MATCH(A487,atlas!C:C,0)),"")</f>
        <v/>
      </c>
      <c r="J487" s="8" t="str">
        <f>IFERROR(VLOOKUP(F487,tecnica!A:B,2,0),"")</f>
        <v/>
      </c>
      <c r="K487" s="8" t="str">
        <f>IFERROR(VLOOKUP(J487,tecnica!B:C,2,0),"")</f>
        <v/>
      </c>
      <c r="L487" s="13"/>
      <c r="M487" s="14" t="str">
        <f>IFERROR(VLOOKUP(I487,material!A:D,4,0),"")</f>
        <v/>
      </c>
      <c r="N487" s="14" t="str">
        <f t="shared" si="1"/>
        <v/>
      </c>
      <c r="O487" s="15" t="str">
        <f>IFERROR(VLOOKUP(I487,material!A:D,2,0),"")</f>
        <v/>
      </c>
    </row>
    <row r="488">
      <c r="A488" s="6"/>
      <c r="B488" s="7"/>
      <c r="C488" s="8" t="str">
        <f t="array" ref="C488">IFERROR(INDEX(atlas!H:H,MATCH(A488,atlas!C:C,0)),"")</f>
        <v/>
      </c>
      <c r="D488" s="8" t="str">
        <f t="array" ref="D488">IFERROR(INDEX(atlas!D:D,MATCH(A488,atlas!C:C,0)),"")</f>
        <v/>
      </c>
      <c r="E488" s="8" t="str">
        <f t="array" ref="E488">IFERROR(INDEX(atlas!F:F,MATCH(A488,atlas!C:C,0)),"")</f>
        <v/>
      </c>
      <c r="F488" s="9"/>
      <c r="G488" s="10"/>
      <c r="H488" s="11"/>
      <c r="I488" s="12" t="str">
        <f t="array" ref="I488">IFERROR(INDEX(atlas!B:B,MATCH(A488,atlas!C:C,0)),"")</f>
        <v/>
      </c>
      <c r="J488" s="8" t="str">
        <f>IFERROR(VLOOKUP(F488,tecnica!A:B,2,0),"")</f>
        <v/>
      </c>
      <c r="K488" s="8" t="str">
        <f>IFERROR(VLOOKUP(J488,tecnica!B:C,2,0),"")</f>
        <v/>
      </c>
      <c r="L488" s="13"/>
      <c r="M488" s="14" t="str">
        <f>IFERROR(VLOOKUP(I488,material!A:D,4,0),"")</f>
        <v/>
      </c>
      <c r="N488" s="14" t="str">
        <f t="shared" si="1"/>
        <v/>
      </c>
      <c r="O488" s="15" t="str">
        <f>IFERROR(VLOOKUP(I488,material!A:D,2,0),"")</f>
        <v/>
      </c>
    </row>
    <row r="489">
      <c r="A489" s="6"/>
      <c r="B489" s="7"/>
      <c r="C489" s="8" t="str">
        <f t="array" ref="C489">IFERROR(INDEX(atlas!H:H,MATCH(A489,atlas!C:C,0)),"")</f>
        <v/>
      </c>
      <c r="D489" s="8" t="str">
        <f t="array" ref="D489">IFERROR(INDEX(atlas!D:D,MATCH(A489,atlas!C:C,0)),"")</f>
        <v/>
      </c>
      <c r="E489" s="8" t="str">
        <f t="array" ref="E489">IFERROR(INDEX(atlas!F:F,MATCH(A489,atlas!C:C,0)),"")</f>
        <v/>
      </c>
      <c r="F489" s="9"/>
      <c r="G489" s="10"/>
      <c r="H489" s="11"/>
      <c r="I489" s="12" t="str">
        <f t="array" ref="I489">IFERROR(INDEX(atlas!B:B,MATCH(A489,atlas!C:C,0)),"")</f>
        <v/>
      </c>
      <c r="J489" s="8" t="str">
        <f>IFERROR(VLOOKUP(F489,tecnica!A:B,2,0),"")</f>
        <v/>
      </c>
      <c r="K489" s="8" t="str">
        <f>IFERROR(VLOOKUP(J489,tecnica!B:C,2,0),"")</f>
        <v/>
      </c>
      <c r="L489" s="13"/>
      <c r="M489" s="14" t="str">
        <f>IFERROR(VLOOKUP(I489,material!A:D,4,0),"")</f>
        <v/>
      </c>
      <c r="N489" s="14" t="str">
        <f t="shared" si="1"/>
        <v/>
      </c>
      <c r="O489" s="15" t="str">
        <f>IFERROR(VLOOKUP(I489,material!A:D,2,0),"")</f>
        <v/>
      </c>
    </row>
    <row r="490">
      <c r="A490" s="6"/>
      <c r="B490" s="7"/>
      <c r="C490" s="8" t="str">
        <f t="array" ref="C490">IFERROR(INDEX(atlas!H:H,MATCH(A490,atlas!C:C,0)),"")</f>
        <v/>
      </c>
      <c r="D490" s="8" t="str">
        <f t="array" ref="D490">IFERROR(INDEX(atlas!D:D,MATCH(A490,atlas!C:C,0)),"")</f>
        <v/>
      </c>
      <c r="E490" s="8" t="str">
        <f t="array" ref="E490">IFERROR(INDEX(atlas!F:F,MATCH(A490,atlas!C:C,0)),"")</f>
        <v/>
      </c>
      <c r="F490" s="9"/>
      <c r="G490" s="10"/>
      <c r="H490" s="11"/>
      <c r="I490" s="12" t="str">
        <f t="array" ref="I490">IFERROR(INDEX(atlas!B:B,MATCH(A490,atlas!C:C,0)),"")</f>
        <v/>
      </c>
      <c r="J490" s="8" t="str">
        <f>IFERROR(VLOOKUP(F490,tecnica!A:B,2,0),"")</f>
        <v/>
      </c>
      <c r="K490" s="8" t="str">
        <f>IFERROR(VLOOKUP(J490,tecnica!B:C,2,0),"")</f>
        <v/>
      </c>
      <c r="L490" s="13"/>
      <c r="M490" s="14" t="str">
        <f>IFERROR(VLOOKUP(I490,material!A:D,4,0),"")</f>
        <v/>
      </c>
      <c r="N490" s="14" t="str">
        <f t="shared" si="1"/>
        <v/>
      </c>
      <c r="O490" s="15" t="str">
        <f>IFERROR(VLOOKUP(I490,material!A:D,2,0),"")</f>
        <v/>
      </c>
    </row>
    <row r="491">
      <c r="A491" s="6"/>
      <c r="B491" s="7"/>
      <c r="C491" s="8" t="str">
        <f t="array" ref="C491">IFERROR(INDEX(atlas!H:H,MATCH(A491,atlas!C:C,0)),"")</f>
        <v/>
      </c>
      <c r="D491" s="8" t="str">
        <f t="array" ref="D491">IFERROR(INDEX(atlas!D:D,MATCH(A491,atlas!C:C,0)),"")</f>
        <v/>
      </c>
      <c r="E491" s="8" t="str">
        <f t="array" ref="E491">IFERROR(INDEX(atlas!F:F,MATCH(A491,atlas!C:C,0)),"")</f>
        <v/>
      </c>
      <c r="F491" s="9"/>
      <c r="G491" s="10"/>
      <c r="H491" s="11"/>
      <c r="I491" s="12" t="str">
        <f t="array" ref="I491">IFERROR(INDEX(atlas!B:B,MATCH(A491,atlas!C:C,0)),"")</f>
        <v/>
      </c>
      <c r="J491" s="8" t="str">
        <f>IFERROR(VLOOKUP(F491,tecnica!A:B,2,0),"")</f>
        <v/>
      </c>
      <c r="K491" s="8" t="str">
        <f>IFERROR(VLOOKUP(J491,tecnica!B:C,2,0),"")</f>
        <v/>
      </c>
      <c r="L491" s="13"/>
      <c r="M491" s="14" t="str">
        <f>IFERROR(VLOOKUP(I491,material!A:D,4,0),"")</f>
        <v/>
      </c>
      <c r="N491" s="14" t="str">
        <f t="shared" si="1"/>
        <v/>
      </c>
      <c r="O491" s="15" t="str">
        <f>IFERROR(VLOOKUP(I491,material!A:D,2,0),"")</f>
        <v/>
      </c>
    </row>
    <row r="492">
      <c r="A492" s="6"/>
      <c r="B492" s="7"/>
      <c r="C492" s="8" t="str">
        <f t="array" ref="C492">IFERROR(INDEX(atlas!H:H,MATCH(A492,atlas!C:C,0)),"")</f>
        <v/>
      </c>
      <c r="D492" s="8" t="str">
        <f t="array" ref="D492">IFERROR(INDEX(atlas!D:D,MATCH(A492,atlas!C:C,0)),"")</f>
        <v/>
      </c>
      <c r="E492" s="8" t="str">
        <f t="array" ref="E492">IFERROR(INDEX(atlas!F:F,MATCH(A492,atlas!C:C,0)),"")</f>
        <v/>
      </c>
      <c r="F492" s="9"/>
      <c r="G492" s="10"/>
      <c r="H492" s="11"/>
      <c r="I492" s="12" t="str">
        <f t="array" ref="I492">IFERROR(INDEX(atlas!B:B,MATCH(A492,atlas!C:C,0)),"")</f>
        <v/>
      </c>
      <c r="J492" s="8" t="str">
        <f>IFERROR(VLOOKUP(F492,tecnica!A:B,2,0),"")</f>
        <v/>
      </c>
      <c r="K492" s="8" t="str">
        <f>IFERROR(VLOOKUP(J492,tecnica!B:C,2,0),"")</f>
        <v/>
      </c>
      <c r="L492" s="13"/>
      <c r="M492" s="14" t="str">
        <f>IFERROR(VLOOKUP(I492,material!A:D,4,0),"")</f>
        <v/>
      </c>
      <c r="N492" s="14" t="str">
        <f t="shared" si="1"/>
        <v/>
      </c>
      <c r="O492" s="15" t="str">
        <f>IFERROR(VLOOKUP(I492,material!A:D,2,0),"")</f>
        <v/>
      </c>
    </row>
    <row r="493">
      <c r="A493" s="6"/>
      <c r="B493" s="7"/>
      <c r="C493" s="8" t="str">
        <f t="array" ref="C493">IFERROR(INDEX(atlas!H:H,MATCH(A493,atlas!C:C,0)),"")</f>
        <v/>
      </c>
      <c r="D493" s="8" t="str">
        <f t="array" ref="D493">IFERROR(INDEX(atlas!D:D,MATCH(A493,atlas!C:C,0)),"")</f>
        <v/>
      </c>
      <c r="E493" s="8" t="str">
        <f t="array" ref="E493">IFERROR(INDEX(atlas!F:F,MATCH(A493,atlas!C:C,0)),"")</f>
        <v/>
      </c>
      <c r="F493" s="9"/>
      <c r="G493" s="10"/>
      <c r="H493" s="11"/>
      <c r="I493" s="12" t="str">
        <f t="array" ref="I493">IFERROR(INDEX(atlas!B:B,MATCH(A493,atlas!C:C,0)),"")</f>
        <v/>
      </c>
      <c r="J493" s="8" t="str">
        <f>IFERROR(VLOOKUP(F493,tecnica!A:B,2,0),"")</f>
        <v/>
      </c>
      <c r="K493" s="8" t="str">
        <f>IFERROR(VLOOKUP(J493,tecnica!B:C,2,0),"")</f>
        <v/>
      </c>
      <c r="L493" s="13"/>
      <c r="M493" s="14" t="str">
        <f>IFERROR(VLOOKUP(I493,material!A:D,4,0),"")</f>
        <v/>
      </c>
      <c r="N493" s="14" t="str">
        <f t="shared" si="1"/>
        <v/>
      </c>
      <c r="O493" s="15" t="str">
        <f>IFERROR(VLOOKUP(I493,material!A:D,2,0),"")</f>
        <v/>
      </c>
    </row>
    <row r="494">
      <c r="A494" s="6"/>
      <c r="B494" s="7"/>
      <c r="C494" s="8" t="str">
        <f t="array" ref="C494">IFERROR(INDEX(atlas!H:H,MATCH(A494,atlas!C:C,0)),"")</f>
        <v/>
      </c>
      <c r="D494" s="8" t="str">
        <f t="array" ref="D494">IFERROR(INDEX(atlas!D:D,MATCH(A494,atlas!C:C,0)),"")</f>
        <v/>
      </c>
      <c r="E494" s="8" t="str">
        <f t="array" ref="E494">IFERROR(INDEX(atlas!F:F,MATCH(A494,atlas!C:C,0)),"")</f>
        <v/>
      </c>
      <c r="F494" s="9"/>
      <c r="G494" s="10"/>
      <c r="H494" s="11"/>
      <c r="I494" s="12" t="str">
        <f t="array" ref="I494">IFERROR(INDEX(atlas!B:B,MATCH(A494,atlas!C:C,0)),"")</f>
        <v/>
      </c>
      <c r="J494" s="8" t="str">
        <f>IFERROR(VLOOKUP(F494,tecnica!A:B,2,0),"")</f>
        <v/>
      </c>
      <c r="K494" s="8" t="str">
        <f>IFERROR(VLOOKUP(J494,tecnica!B:C,2,0),"")</f>
        <v/>
      </c>
      <c r="L494" s="13"/>
      <c r="M494" s="14" t="str">
        <f>IFERROR(VLOOKUP(I494,material!A:D,4,0),"")</f>
        <v/>
      </c>
      <c r="N494" s="14" t="str">
        <f t="shared" si="1"/>
        <v/>
      </c>
      <c r="O494" s="15" t="str">
        <f>IFERROR(VLOOKUP(I494,material!A:D,2,0),"")</f>
        <v/>
      </c>
    </row>
    <row r="495">
      <c r="A495" s="6"/>
      <c r="B495" s="7"/>
      <c r="C495" s="8" t="str">
        <f t="array" ref="C495">IFERROR(INDEX(atlas!H:H,MATCH(A495,atlas!C:C,0)),"")</f>
        <v/>
      </c>
      <c r="D495" s="8" t="str">
        <f t="array" ref="D495">IFERROR(INDEX(atlas!D:D,MATCH(A495,atlas!C:C,0)),"")</f>
        <v/>
      </c>
      <c r="E495" s="8" t="str">
        <f t="array" ref="E495">IFERROR(INDEX(atlas!F:F,MATCH(A495,atlas!C:C,0)),"")</f>
        <v/>
      </c>
      <c r="F495" s="9"/>
      <c r="G495" s="10"/>
      <c r="H495" s="11"/>
      <c r="I495" s="12" t="str">
        <f t="array" ref="I495">IFERROR(INDEX(atlas!B:B,MATCH(A495,atlas!C:C,0)),"")</f>
        <v/>
      </c>
      <c r="J495" s="8" t="str">
        <f>IFERROR(VLOOKUP(F495,tecnica!A:B,2,0),"")</f>
        <v/>
      </c>
      <c r="K495" s="8" t="str">
        <f>IFERROR(VLOOKUP(J495,tecnica!B:C,2,0),"")</f>
        <v/>
      </c>
      <c r="L495" s="13"/>
      <c r="M495" s="14" t="str">
        <f>IFERROR(VLOOKUP(I495,material!A:D,4,0),"")</f>
        <v/>
      </c>
      <c r="N495" s="14" t="str">
        <f t="shared" si="1"/>
        <v/>
      </c>
      <c r="O495" s="15" t="str">
        <f>IFERROR(VLOOKUP(I495,material!A:D,2,0),"")</f>
        <v/>
      </c>
    </row>
    <row r="496">
      <c r="A496" s="6"/>
      <c r="B496" s="7"/>
      <c r="C496" s="8" t="str">
        <f t="array" ref="C496">IFERROR(INDEX(atlas!H:H,MATCH(A496,atlas!C:C,0)),"")</f>
        <v/>
      </c>
      <c r="D496" s="8" t="str">
        <f t="array" ref="D496">IFERROR(INDEX(atlas!D:D,MATCH(A496,atlas!C:C,0)),"")</f>
        <v/>
      </c>
      <c r="E496" s="8" t="str">
        <f t="array" ref="E496">IFERROR(INDEX(atlas!F:F,MATCH(A496,atlas!C:C,0)),"")</f>
        <v/>
      </c>
      <c r="F496" s="9"/>
      <c r="G496" s="10"/>
      <c r="H496" s="11"/>
      <c r="I496" s="12" t="str">
        <f t="array" ref="I496">IFERROR(INDEX(atlas!B:B,MATCH(A496,atlas!C:C,0)),"")</f>
        <v/>
      </c>
      <c r="J496" s="8" t="str">
        <f>IFERROR(VLOOKUP(F496,tecnica!A:B,2,0),"")</f>
        <v/>
      </c>
      <c r="K496" s="8" t="str">
        <f>IFERROR(VLOOKUP(J496,tecnica!B:C,2,0),"")</f>
        <v/>
      </c>
      <c r="L496" s="13"/>
      <c r="M496" s="14" t="str">
        <f>IFERROR(VLOOKUP(I496,material!A:D,4,0),"")</f>
        <v/>
      </c>
      <c r="N496" s="14" t="str">
        <f t="shared" si="1"/>
        <v/>
      </c>
      <c r="O496" s="15" t="str">
        <f>IFERROR(VLOOKUP(I496,material!A:D,2,0),"")</f>
        <v/>
      </c>
    </row>
    <row r="497">
      <c r="A497" s="6"/>
      <c r="B497" s="7"/>
      <c r="C497" s="8" t="str">
        <f t="array" ref="C497">IFERROR(INDEX(atlas!H:H,MATCH(A497,atlas!C:C,0)),"")</f>
        <v/>
      </c>
      <c r="D497" s="8" t="str">
        <f t="array" ref="D497">IFERROR(INDEX(atlas!D:D,MATCH(A497,atlas!C:C,0)),"")</f>
        <v/>
      </c>
      <c r="E497" s="8" t="str">
        <f t="array" ref="E497">IFERROR(INDEX(atlas!F:F,MATCH(A497,atlas!C:C,0)),"")</f>
        <v/>
      </c>
      <c r="F497" s="9"/>
      <c r="G497" s="10"/>
      <c r="H497" s="11"/>
      <c r="I497" s="12" t="str">
        <f t="array" ref="I497">IFERROR(INDEX(atlas!B:B,MATCH(A497,atlas!C:C,0)),"")</f>
        <v/>
      </c>
      <c r="J497" s="8" t="str">
        <f>IFERROR(VLOOKUP(F497,tecnica!A:B,2,0),"")</f>
        <v/>
      </c>
      <c r="K497" s="8" t="str">
        <f>IFERROR(VLOOKUP(J497,tecnica!B:C,2,0),"")</f>
        <v/>
      </c>
      <c r="L497" s="13"/>
      <c r="M497" s="14" t="str">
        <f>IFERROR(VLOOKUP(I497,material!A:D,4,0),"")</f>
        <v/>
      </c>
      <c r="N497" s="14" t="str">
        <f t="shared" si="1"/>
        <v/>
      </c>
      <c r="O497" s="15" t="str">
        <f>IFERROR(VLOOKUP(I497,material!A:D,2,0),"")</f>
        <v/>
      </c>
    </row>
    <row r="498">
      <c r="A498" s="6"/>
      <c r="B498" s="7"/>
      <c r="C498" s="8" t="str">
        <f t="array" ref="C498">IFERROR(INDEX(atlas!H:H,MATCH(A498,atlas!C:C,0)),"")</f>
        <v/>
      </c>
      <c r="D498" s="8" t="str">
        <f t="array" ref="D498">IFERROR(INDEX(atlas!D:D,MATCH(A498,atlas!C:C,0)),"")</f>
        <v/>
      </c>
      <c r="E498" s="8" t="str">
        <f t="array" ref="E498">IFERROR(INDEX(atlas!F:F,MATCH(A498,atlas!C:C,0)),"")</f>
        <v/>
      </c>
      <c r="F498" s="9"/>
      <c r="G498" s="10"/>
      <c r="H498" s="11"/>
      <c r="I498" s="12" t="str">
        <f t="array" ref="I498">IFERROR(INDEX(atlas!B:B,MATCH(A498,atlas!C:C,0)),"")</f>
        <v/>
      </c>
      <c r="J498" s="8" t="str">
        <f>IFERROR(VLOOKUP(F498,tecnica!A:B,2,0),"")</f>
        <v/>
      </c>
      <c r="K498" s="8" t="str">
        <f>IFERROR(VLOOKUP(J498,tecnica!B:C,2,0),"")</f>
        <v/>
      </c>
      <c r="L498" s="13"/>
      <c r="M498" s="14" t="str">
        <f>IFERROR(VLOOKUP(I498,material!A:D,4,0),"")</f>
        <v/>
      </c>
      <c r="N498" s="14" t="str">
        <f t="shared" si="1"/>
        <v/>
      </c>
      <c r="O498" s="15" t="str">
        <f>IFERROR(VLOOKUP(I498,material!A:D,2,0),"")</f>
        <v/>
      </c>
    </row>
    <row r="499">
      <c r="A499" s="6"/>
      <c r="B499" s="7"/>
      <c r="C499" s="8" t="str">
        <f t="array" ref="C499">IFERROR(INDEX(atlas!H:H,MATCH(A499,atlas!C:C,0)),"")</f>
        <v/>
      </c>
      <c r="D499" s="8" t="str">
        <f t="array" ref="D499">IFERROR(INDEX(atlas!D:D,MATCH(A499,atlas!C:C,0)),"")</f>
        <v/>
      </c>
      <c r="E499" s="8" t="str">
        <f t="array" ref="E499">IFERROR(INDEX(atlas!F:F,MATCH(A499,atlas!C:C,0)),"")</f>
        <v/>
      </c>
      <c r="F499" s="9"/>
      <c r="G499" s="10"/>
      <c r="H499" s="11"/>
      <c r="I499" s="12" t="str">
        <f t="array" ref="I499">IFERROR(INDEX(atlas!B:B,MATCH(A499,atlas!C:C,0)),"")</f>
        <v/>
      </c>
      <c r="J499" s="8" t="str">
        <f>IFERROR(VLOOKUP(F499,tecnica!A:B,2,0),"")</f>
        <v/>
      </c>
      <c r="K499" s="8" t="str">
        <f>IFERROR(VLOOKUP(J499,tecnica!B:C,2,0),"")</f>
        <v/>
      </c>
      <c r="L499" s="13"/>
      <c r="M499" s="14" t="str">
        <f>IFERROR(VLOOKUP(I499,material!A:D,4,0),"")</f>
        <v/>
      </c>
      <c r="N499" s="14" t="str">
        <f t="shared" si="1"/>
        <v/>
      </c>
      <c r="O499" s="15" t="str">
        <f>IFERROR(VLOOKUP(I499,material!A:D,2,0),"")</f>
        <v/>
      </c>
    </row>
    <row r="500">
      <c r="A500" s="6"/>
      <c r="B500" s="7"/>
      <c r="C500" s="8" t="str">
        <f t="array" ref="C500">IFERROR(INDEX(atlas!H:H,MATCH(A500,atlas!C:C,0)),"")</f>
        <v/>
      </c>
      <c r="D500" s="8" t="str">
        <f t="array" ref="D500">IFERROR(INDEX(atlas!D:D,MATCH(A500,atlas!C:C,0)),"")</f>
        <v/>
      </c>
      <c r="E500" s="8" t="str">
        <f t="array" ref="E500">IFERROR(INDEX(atlas!F:F,MATCH(A500,atlas!C:C,0)),"")</f>
        <v/>
      </c>
      <c r="F500" s="9"/>
      <c r="G500" s="10"/>
      <c r="H500" s="11"/>
      <c r="I500" s="12" t="str">
        <f t="array" ref="I500">IFERROR(INDEX(atlas!B:B,MATCH(A500,atlas!C:C,0)),"")</f>
        <v/>
      </c>
      <c r="J500" s="8" t="str">
        <f>IFERROR(VLOOKUP(F500,tecnica!A:B,2,0),"")</f>
        <v/>
      </c>
      <c r="K500" s="8" t="str">
        <f>IFERROR(VLOOKUP(J500,tecnica!B:C,2,0),"")</f>
        <v/>
      </c>
      <c r="L500" s="13"/>
      <c r="M500" s="14" t="str">
        <f>IFERROR(VLOOKUP(I500,material!A:D,4,0),"")</f>
        <v/>
      </c>
      <c r="N500" s="14" t="str">
        <f t="shared" si="1"/>
        <v/>
      </c>
      <c r="O500" s="15" t="str">
        <f>IFERROR(VLOOKUP(I500,material!A:D,2,0),"")</f>
        <v/>
      </c>
    </row>
    <row r="501">
      <c r="A501" s="6"/>
      <c r="B501" s="7"/>
      <c r="C501" s="8" t="str">
        <f t="array" ref="C501">IFERROR(INDEX(atlas!H:H,MATCH(A501,atlas!C:C,0)),"")</f>
        <v/>
      </c>
      <c r="D501" s="8" t="str">
        <f t="array" ref="D501">IFERROR(INDEX(atlas!D:D,MATCH(A501,atlas!C:C,0)),"")</f>
        <v/>
      </c>
      <c r="E501" s="8" t="str">
        <f t="array" ref="E501">IFERROR(INDEX(atlas!F:F,MATCH(A501,atlas!C:C,0)),"")</f>
        <v/>
      </c>
      <c r="F501" s="9"/>
      <c r="G501" s="10"/>
      <c r="H501" s="11"/>
      <c r="I501" s="12" t="str">
        <f t="array" ref="I501">IFERROR(INDEX(atlas!B:B,MATCH(A501,atlas!C:C,0)),"")</f>
        <v/>
      </c>
      <c r="J501" s="8" t="str">
        <f>IFERROR(VLOOKUP(F501,tecnica!A:B,2,0),"")</f>
        <v/>
      </c>
      <c r="K501" s="8" t="str">
        <f>IFERROR(VLOOKUP(J501,tecnica!B:C,2,0),"")</f>
        <v/>
      </c>
      <c r="L501" s="13"/>
      <c r="M501" s="14" t="str">
        <f>IFERROR(VLOOKUP(I501,material!A:D,4,0),"")</f>
        <v/>
      </c>
      <c r="N501" s="14" t="str">
        <f t="shared" si="1"/>
        <v/>
      </c>
      <c r="O501" s="15" t="str">
        <f>IFERROR(VLOOKUP(I501,material!A:D,2,0),"")</f>
        <v/>
      </c>
    </row>
    <row r="502">
      <c r="A502" s="6"/>
      <c r="B502" s="7"/>
      <c r="C502" s="8" t="str">
        <f t="array" ref="C502">IFERROR(INDEX(atlas!H:H,MATCH(A502,atlas!C:C,0)),"")</f>
        <v/>
      </c>
      <c r="D502" s="8" t="str">
        <f t="array" ref="D502">IFERROR(INDEX(atlas!D:D,MATCH(A502,atlas!C:C,0)),"")</f>
        <v/>
      </c>
      <c r="E502" s="8" t="str">
        <f t="array" ref="E502">IFERROR(INDEX(atlas!F:F,MATCH(A502,atlas!C:C,0)),"")</f>
        <v/>
      </c>
      <c r="F502" s="9"/>
      <c r="G502" s="10"/>
      <c r="H502" s="11"/>
      <c r="I502" s="12" t="str">
        <f t="array" ref="I502">IFERROR(INDEX(atlas!B:B,MATCH(A502,atlas!C:C,0)),"")</f>
        <v/>
      </c>
      <c r="J502" s="8" t="str">
        <f>IFERROR(VLOOKUP(F502,tecnica!A:B,2,0),"")</f>
        <v/>
      </c>
      <c r="K502" s="8" t="str">
        <f>IFERROR(VLOOKUP(J502,tecnica!B:C,2,0),"")</f>
        <v/>
      </c>
      <c r="L502" s="13"/>
      <c r="M502" s="14" t="str">
        <f>IFERROR(VLOOKUP(I502,material!A:D,4,0),"")</f>
        <v/>
      </c>
      <c r="N502" s="14" t="str">
        <f t="shared" si="1"/>
        <v/>
      </c>
      <c r="O502" s="15" t="str">
        <f>IFERROR(VLOOKUP(I502,material!A:D,2,0),"")</f>
        <v/>
      </c>
    </row>
    <row r="503">
      <c r="A503" s="6"/>
      <c r="B503" s="7"/>
      <c r="C503" s="8" t="str">
        <f t="array" ref="C503">IFERROR(INDEX(atlas!H:H,MATCH(A503,atlas!C:C,0)),"")</f>
        <v/>
      </c>
      <c r="D503" s="8" t="str">
        <f t="array" ref="D503">IFERROR(INDEX(atlas!D:D,MATCH(A503,atlas!C:C,0)),"")</f>
        <v/>
      </c>
      <c r="E503" s="8" t="str">
        <f t="array" ref="E503">IFERROR(INDEX(atlas!F:F,MATCH(A503,atlas!C:C,0)),"")</f>
        <v/>
      </c>
      <c r="F503" s="9"/>
      <c r="G503" s="10"/>
      <c r="H503" s="11"/>
      <c r="I503" s="12" t="str">
        <f t="array" ref="I503">IFERROR(INDEX(atlas!B:B,MATCH(A503,atlas!C:C,0)),"")</f>
        <v/>
      </c>
      <c r="J503" s="8" t="str">
        <f>IFERROR(VLOOKUP(F503,tecnica!A:B,2,0),"")</f>
        <v/>
      </c>
      <c r="K503" s="8" t="str">
        <f>IFERROR(VLOOKUP(J503,tecnica!B:C,2,0),"")</f>
        <v/>
      </c>
      <c r="L503" s="13"/>
      <c r="M503" s="14" t="str">
        <f>IFERROR(VLOOKUP(I503,material!A:D,4,0),"")</f>
        <v/>
      </c>
      <c r="N503" s="14" t="str">
        <f t="shared" si="1"/>
        <v/>
      </c>
      <c r="O503" s="15" t="str">
        <f>IFERROR(VLOOKUP(I503,material!A:D,2,0),"")</f>
        <v/>
      </c>
    </row>
    <row r="504">
      <c r="A504" s="6"/>
      <c r="B504" s="7"/>
      <c r="C504" s="8" t="str">
        <f t="array" ref="C504">IFERROR(INDEX(atlas!H:H,MATCH(A504,atlas!C:C,0)),"")</f>
        <v/>
      </c>
      <c r="D504" s="8" t="str">
        <f t="array" ref="D504">IFERROR(INDEX(atlas!D:D,MATCH(A504,atlas!C:C,0)),"")</f>
        <v/>
      </c>
      <c r="E504" s="8" t="str">
        <f t="array" ref="E504">IFERROR(INDEX(atlas!F:F,MATCH(A504,atlas!C:C,0)),"")</f>
        <v/>
      </c>
      <c r="F504" s="9"/>
      <c r="G504" s="10"/>
      <c r="H504" s="11"/>
      <c r="I504" s="12" t="str">
        <f t="array" ref="I504">IFERROR(INDEX(atlas!B:B,MATCH(A504,atlas!C:C,0)),"")</f>
        <v/>
      </c>
      <c r="J504" s="8" t="str">
        <f>IFERROR(VLOOKUP(F504,tecnica!A:B,2,0),"")</f>
        <v/>
      </c>
      <c r="K504" s="8" t="str">
        <f>IFERROR(VLOOKUP(J504,tecnica!B:C,2,0),"")</f>
        <v/>
      </c>
      <c r="L504" s="13"/>
      <c r="M504" s="14" t="str">
        <f>IFERROR(VLOOKUP(I504,material!A:D,4,0),"")</f>
        <v/>
      </c>
      <c r="N504" s="14" t="str">
        <f t="shared" si="1"/>
        <v/>
      </c>
      <c r="O504" s="15" t="str">
        <f>IFERROR(VLOOKUP(I504,material!A:D,2,0),"")</f>
        <v/>
      </c>
    </row>
    <row r="505">
      <c r="A505" s="6"/>
      <c r="B505" s="7"/>
      <c r="C505" s="8" t="str">
        <f t="array" ref="C505">IFERROR(INDEX(atlas!H:H,MATCH(A505,atlas!C:C,0)),"")</f>
        <v/>
      </c>
      <c r="D505" s="8" t="str">
        <f t="array" ref="D505">IFERROR(INDEX(atlas!D:D,MATCH(A505,atlas!C:C,0)),"")</f>
        <v/>
      </c>
      <c r="E505" s="8" t="str">
        <f t="array" ref="E505">IFERROR(INDEX(atlas!F:F,MATCH(A505,atlas!C:C,0)),"")</f>
        <v/>
      </c>
      <c r="F505" s="9"/>
      <c r="G505" s="10"/>
      <c r="H505" s="11"/>
      <c r="I505" s="12" t="str">
        <f t="array" ref="I505">IFERROR(INDEX(atlas!B:B,MATCH(A505,atlas!C:C,0)),"")</f>
        <v/>
      </c>
      <c r="J505" s="8" t="str">
        <f>IFERROR(VLOOKUP(F505,tecnica!A:B,2,0),"")</f>
        <v/>
      </c>
      <c r="K505" s="8" t="str">
        <f>IFERROR(VLOOKUP(J505,tecnica!B:C,2,0),"")</f>
        <v/>
      </c>
      <c r="L505" s="13"/>
      <c r="M505" s="14" t="str">
        <f>IFERROR(VLOOKUP(I505,material!A:D,4,0),"")</f>
        <v/>
      </c>
      <c r="N505" s="14" t="str">
        <f t="shared" si="1"/>
        <v/>
      </c>
      <c r="O505" s="15" t="str">
        <f>IFERROR(VLOOKUP(I505,material!A:D,2,0),"")</f>
        <v/>
      </c>
    </row>
    <row r="506">
      <c r="A506" s="6"/>
      <c r="B506" s="7"/>
      <c r="C506" s="8" t="str">
        <f t="array" ref="C506">IFERROR(INDEX(atlas!H:H,MATCH(A506,atlas!C:C,0)),"")</f>
        <v/>
      </c>
      <c r="D506" s="8" t="str">
        <f t="array" ref="D506">IFERROR(INDEX(atlas!D:D,MATCH(A506,atlas!C:C,0)),"")</f>
        <v/>
      </c>
      <c r="E506" s="8" t="str">
        <f t="array" ref="E506">IFERROR(INDEX(atlas!F:F,MATCH(A506,atlas!C:C,0)),"")</f>
        <v/>
      </c>
      <c r="F506" s="9"/>
      <c r="G506" s="10"/>
      <c r="H506" s="11"/>
      <c r="I506" s="12" t="str">
        <f t="array" ref="I506">IFERROR(INDEX(atlas!B:B,MATCH(A506,atlas!C:C,0)),"")</f>
        <v/>
      </c>
      <c r="J506" s="8" t="str">
        <f>IFERROR(VLOOKUP(F506,tecnica!A:B,2,0),"")</f>
        <v/>
      </c>
      <c r="K506" s="8" t="str">
        <f>IFERROR(VLOOKUP(J506,tecnica!B:C,2,0),"")</f>
        <v/>
      </c>
      <c r="L506" s="13"/>
      <c r="M506" s="14" t="str">
        <f>IFERROR(VLOOKUP(I506,material!A:D,4,0),"")</f>
        <v/>
      </c>
      <c r="N506" s="14" t="str">
        <f t="shared" si="1"/>
        <v/>
      </c>
      <c r="O506" s="15" t="str">
        <f>IFERROR(VLOOKUP(I506,material!A:D,2,0),"")</f>
        <v/>
      </c>
    </row>
    <row r="507">
      <c r="A507" s="6"/>
      <c r="B507" s="7"/>
      <c r="C507" s="8" t="str">
        <f t="array" ref="C507">IFERROR(INDEX(atlas!H:H,MATCH(A507,atlas!C:C,0)),"")</f>
        <v/>
      </c>
      <c r="D507" s="8" t="str">
        <f t="array" ref="D507">IFERROR(INDEX(atlas!D:D,MATCH(A507,atlas!C:C,0)),"")</f>
        <v/>
      </c>
      <c r="E507" s="8" t="str">
        <f t="array" ref="E507">IFERROR(INDEX(atlas!F:F,MATCH(A507,atlas!C:C,0)),"")</f>
        <v/>
      </c>
      <c r="F507" s="9"/>
      <c r="G507" s="10"/>
      <c r="H507" s="11"/>
      <c r="I507" s="12" t="str">
        <f t="array" ref="I507">IFERROR(INDEX(atlas!B:B,MATCH(A507,atlas!C:C,0)),"")</f>
        <v/>
      </c>
      <c r="J507" s="8" t="str">
        <f>IFERROR(VLOOKUP(F507,tecnica!A:B,2,0),"")</f>
        <v/>
      </c>
      <c r="K507" s="8" t="str">
        <f>IFERROR(VLOOKUP(J507,tecnica!B:C,2,0),"")</f>
        <v/>
      </c>
      <c r="L507" s="13"/>
      <c r="M507" s="14" t="str">
        <f>IFERROR(VLOOKUP(I507,material!A:D,4,0),"")</f>
        <v/>
      </c>
      <c r="N507" s="14" t="str">
        <f t="shared" si="1"/>
        <v/>
      </c>
      <c r="O507" s="15" t="str">
        <f>IFERROR(VLOOKUP(I507,material!A:D,2,0),"")</f>
        <v/>
      </c>
    </row>
    <row r="508">
      <c r="A508" s="6"/>
      <c r="B508" s="7"/>
      <c r="C508" s="8" t="str">
        <f t="array" ref="C508">IFERROR(INDEX(atlas!H:H,MATCH(A508,atlas!C:C,0)),"")</f>
        <v/>
      </c>
      <c r="D508" s="8" t="str">
        <f t="array" ref="D508">IFERROR(INDEX(atlas!D:D,MATCH(A508,atlas!C:C,0)),"")</f>
        <v/>
      </c>
      <c r="E508" s="8" t="str">
        <f t="array" ref="E508">IFERROR(INDEX(atlas!F:F,MATCH(A508,atlas!C:C,0)),"")</f>
        <v/>
      </c>
      <c r="F508" s="9"/>
      <c r="G508" s="10"/>
      <c r="H508" s="11"/>
      <c r="I508" s="12" t="str">
        <f t="array" ref="I508">IFERROR(INDEX(atlas!B:B,MATCH(A508,atlas!C:C,0)),"")</f>
        <v/>
      </c>
      <c r="J508" s="8" t="str">
        <f>IFERROR(VLOOKUP(F508,tecnica!A:B,2,0),"")</f>
        <v/>
      </c>
      <c r="K508" s="8" t="str">
        <f>IFERROR(VLOOKUP(J508,tecnica!B:C,2,0),"")</f>
        <v/>
      </c>
      <c r="L508" s="13"/>
      <c r="M508" s="14" t="str">
        <f>IFERROR(VLOOKUP(I508,material!A:D,4,0),"")</f>
        <v/>
      </c>
      <c r="N508" s="14" t="str">
        <f t="shared" si="1"/>
        <v/>
      </c>
      <c r="O508" s="15" t="str">
        <f>IFERROR(VLOOKUP(I508,material!A:D,2,0),"")</f>
        <v/>
      </c>
    </row>
    <row r="509">
      <c r="A509" s="6"/>
      <c r="B509" s="7"/>
      <c r="C509" s="8" t="str">
        <f t="array" ref="C509">IFERROR(INDEX(atlas!H:H,MATCH(A509,atlas!C:C,0)),"")</f>
        <v/>
      </c>
      <c r="D509" s="8" t="str">
        <f t="array" ref="D509">IFERROR(INDEX(atlas!D:D,MATCH(A509,atlas!C:C,0)),"")</f>
        <v/>
      </c>
      <c r="E509" s="8" t="str">
        <f t="array" ref="E509">IFERROR(INDEX(atlas!F:F,MATCH(A509,atlas!C:C,0)),"")</f>
        <v/>
      </c>
      <c r="F509" s="9"/>
      <c r="G509" s="10"/>
      <c r="H509" s="11"/>
      <c r="I509" s="12" t="str">
        <f t="array" ref="I509">IFERROR(INDEX(atlas!B:B,MATCH(A509,atlas!C:C,0)),"")</f>
        <v/>
      </c>
      <c r="J509" s="8" t="str">
        <f>IFERROR(VLOOKUP(F509,tecnica!A:B,2,0),"")</f>
        <v/>
      </c>
      <c r="K509" s="8" t="str">
        <f>IFERROR(VLOOKUP(J509,tecnica!B:C,2,0),"")</f>
        <v/>
      </c>
      <c r="L509" s="13"/>
      <c r="M509" s="14" t="str">
        <f>IFERROR(VLOOKUP(I509,material!A:D,4,0),"")</f>
        <v/>
      </c>
      <c r="N509" s="14" t="str">
        <f t="shared" si="1"/>
        <v/>
      </c>
      <c r="O509" s="15" t="str">
        <f>IFERROR(VLOOKUP(I509,material!A:D,2,0),"")</f>
        <v/>
      </c>
    </row>
    <row r="510">
      <c r="A510" s="6"/>
      <c r="B510" s="7"/>
      <c r="C510" s="8" t="str">
        <f t="array" ref="C510">IFERROR(INDEX(atlas!H:H,MATCH(A510,atlas!C:C,0)),"")</f>
        <v/>
      </c>
      <c r="D510" s="8" t="str">
        <f t="array" ref="D510">IFERROR(INDEX(atlas!D:D,MATCH(A510,atlas!C:C,0)),"")</f>
        <v/>
      </c>
      <c r="E510" s="8" t="str">
        <f t="array" ref="E510">IFERROR(INDEX(atlas!F:F,MATCH(A510,atlas!C:C,0)),"")</f>
        <v/>
      </c>
      <c r="F510" s="9"/>
      <c r="G510" s="10"/>
      <c r="H510" s="11"/>
      <c r="I510" s="12" t="str">
        <f t="array" ref="I510">IFERROR(INDEX(atlas!B:B,MATCH(A510,atlas!C:C,0)),"")</f>
        <v/>
      </c>
      <c r="J510" s="8" t="str">
        <f>IFERROR(VLOOKUP(F510,tecnica!A:B,2,0),"")</f>
        <v/>
      </c>
      <c r="K510" s="8" t="str">
        <f>IFERROR(VLOOKUP(J510,tecnica!B:C,2,0),"")</f>
        <v/>
      </c>
      <c r="L510" s="13"/>
      <c r="M510" s="14" t="str">
        <f>IFERROR(VLOOKUP(I510,material!A:D,4,0),"")</f>
        <v/>
      </c>
      <c r="N510" s="14" t="str">
        <f t="shared" si="1"/>
        <v/>
      </c>
      <c r="O510" s="15" t="str">
        <f>IFERROR(VLOOKUP(I510,material!A:D,2,0),"")</f>
        <v/>
      </c>
    </row>
    <row r="511">
      <c r="A511" s="6"/>
      <c r="B511" s="7"/>
      <c r="C511" s="8" t="str">
        <f t="array" ref="C511">IFERROR(INDEX(atlas!H:H,MATCH(A511,atlas!C:C,0)),"")</f>
        <v/>
      </c>
      <c r="D511" s="8" t="str">
        <f t="array" ref="D511">IFERROR(INDEX(atlas!D:D,MATCH(A511,atlas!C:C,0)),"")</f>
        <v/>
      </c>
      <c r="E511" s="8" t="str">
        <f t="array" ref="E511">IFERROR(INDEX(atlas!F:F,MATCH(A511,atlas!C:C,0)),"")</f>
        <v/>
      </c>
      <c r="F511" s="9"/>
      <c r="G511" s="10"/>
      <c r="H511" s="11"/>
      <c r="I511" s="12" t="str">
        <f t="array" ref="I511">IFERROR(INDEX(atlas!B:B,MATCH(A511,atlas!C:C,0)),"")</f>
        <v/>
      </c>
      <c r="J511" s="8" t="str">
        <f>IFERROR(VLOOKUP(F511,tecnica!A:B,2,0),"")</f>
        <v/>
      </c>
      <c r="K511" s="8" t="str">
        <f>IFERROR(VLOOKUP(J511,tecnica!B:C,2,0),"")</f>
        <v/>
      </c>
      <c r="L511" s="13"/>
      <c r="M511" s="14" t="str">
        <f>IFERROR(VLOOKUP(I511,material!A:D,4,0),"")</f>
        <v/>
      </c>
      <c r="N511" s="14" t="str">
        <f t="shared" si="1"/>
        <v/>
      </c>
      <c r="O511" s="15" t="str">
        <f>IFERROR(VLOOKUP(I511,material!A:D,2,0),"")</f>
        <v/>
      </c>
    </row>
    <row r="512">
      <c r="A512" s="6"/>
      <c r="B512" s="7"/>
      <c r="C512" s="8" t="str">
        <f t="array" ref="C512">IFERROR(INDEX(atlas!H:H,MATCH(A512,atlas!C:C,0)),"")</f>
        <v/>
      </c>
      <c r="D512" s="8" t="str">
        <f t="array" ref="D512">IFERROR(INDEX(atlas!D:D,MATCH(A512,atlas!C:C,0)),"")</f>
        <v/>
      </c>
      <c r="E512" s="8" t="str">
        <f t="array" ref="E512">IFERROR(INDEX(atlas!F:F,MATCH(A512,atlas!C:C,0)),"")</f>
        <v/>
      </c>
      <c r="F512" s="9"/>
      <c r="G512" s="10"/>
      <c r="H512" s="11"/>
      <c r="I512" s="12" t="str">
        <f t="array" ref="I512">IFERROR(INDEX(atlas!B:B,MATCH(A512,atlas!C:C,0)),"")</f>
        <v/>
      </c>
      <c r="J512" s="8" t="str">
        <f>IFERROR(VLOOKUP(F512,tecnica!A:B,2,0),"")</f>
        <v/>
      </c>
      <c r="K512" s="8" t="str">
        <f>IFERROR(VLOOKUP(J512,tecnica!B:C,2,0),"")</f>
        <v/>
      </c>
      <c r="L512" s="13"/>
      <c r="M512" s="14" t="str">
        <f>IFERROR(VLOOKUP(I512,material!A:D,4,0),"")</f>
        <v/>
      </c>
      <c r="N512" s="14" t="str">
        <f t="shared" si="1"/>
        <v/>
      </c>
      <c r="O512" s="15" t="str">
        <f>IFERROR(VLOOKUP(I512,material!A:D,2,0),"")</f>
        <v/>
      </c>
    </row>
    <row r="513">
      <c r="A513" s="6"/>
      <c r="B513" s="7"/>
      <c r="C513" s="8" t="str">
        <f t="array" ref="C513">IFERROR(INDEX(atlas!H:H,MATCH(A513,atlas!C:C,0)),"")</f>
        <v/>
      </c>
      <c r="D513" s="8" t="str">
        <f t="array" ref="D513">IFERROR(INDEX(atlas!D:D,MATCH(A513,atlas!C:C,0)),"")</f>
        <v/>
      </c>
      <c r="E513" s="8" t="str">
        <f t="array" ref="E513">IFERROR(INDEX(atlas!F:F,MATCH(A513,atlas!C:C,0)),"")</f>
        <v/>
      </c>
      <c r="F513" s="9"/>
      <c r="G513" s="10"/>
      <c r="H513" s="11"/>
      <c r="I513" s="12" t="str">
        <f t="array" ref="I513">IFERROR(INDEX(atlas!B:B,MATCH(A513,atlas!C:C,0)),"")</f>
        <v/>
      </c>
      <c r="J513" s="8" t="str">
        <f>IFERROR(VLOOKUP(F513,tecnica!A:B,2,0),"")</f>
        <v/>
      </c>
      <c r="K513" s="8" t="str">
        <f>IFERROR(VLOOKUP(J513,tecnica!B:C,2,0),"")</f>
        <v/>
      </c>
      <c r="L513" s="13"/>
      <c r="M513" s="14" t="str">
        <f>IFERROR(VLOOKUP(I513,material!A:D,4,0),"")</f>
        <v/>
      </c>
      <c r="N513" s="14" t="str">
        <f t="shared" si="1"/>
        <v/>
      </c>
      <c r="O513" s="15" t="str">
        <f>IFERROR(VLOOKUP(I513,material!A:D,2,0),"")</f>
        <v/>
      </c>
    </row>
    <row r="514">
      <c r="A514" s="6"/>
      <c r="B514" s="7"/>
      <c r="C514" s="8" t="str">
        <f t="array" ref="C514">IFERROR(INDEX(atlas!H:H,MATCH(A514,atlas!C:C,0)),"")</f>
        <v/>
      </c>
      <c r="D514" s="8" t="str">
        <f t="array" ref="D514">IFERROR(INDEX(atlas!D:D,MATCH(A514,atlas!C:C,0)),"")</f>
        <v/>
      </c>
      <c r="E514" s="8" t="str">
        <f t="array" ref="E514">IFERROR(INDEX(atlas!F:F,MATCH(A514,atlas!C:C,0)),"")</f>
        <v/>
      </c>
      <c r="F514" s="9"/>
      <c r="G514" s="10"/>
      <c r="H514" s="11"/>
      <c r="I514" s="12" t="str">
        <f t="array" ref="I514">IFERROR(INDEX(atlas!B:B,MATCH(A514,atlas!C:C,0)),"")</f>
        <v/>
      </c>
      <c r="J514" s="8" t="str">
        <f>IFERROR(VLOOKUP(F514,tecnica!A:B,2,0),"")</f>
        <v/>
      </c>
      <c r="K514" s="8" t="str">
        <f>IFERROR(VLOOKUP(J514,tecnica!B:C,2,0),"")</f>
        <v/>
      </c>
      <c r="L514" s="13"/>
      <c r="M514" s="14" t="str">
        <f>IFERROR(VLOOKUP(I514,material!A:D,4,0),"")</f>
        <v/>
      </c>
      <c r="N514" s="14" t="str">
        <f t="shared" si="1"/>
        <v/>
      </c>
      <c r="O514" s="15" t="str">
        <f>IFERROR(VLOOKUP(I514,material!A:D,2,0),"")</f>
        <v/>
      </c>
    </row>
    <row r="515">
      <c r="A515" s="6"/>
      <c r="B515" s="7"/>
      <c r="C515" s="8" t="str">
        <f t="array" ref="C515">IFERROR(INDEX(atlas!H:H,MATCH(A515,atlas!C:C,0)),"")</f>
        <v/>
      </c>
      <c r="D515" s="8" t="str">
        <f t="array" ref="D515">IFERROR(INDEX(atlas!D:D,MATCH(A515,atlas!C:C,0)),"")</f>
        <v/>
      </c>
      <c r="E515" s="8" t="str">
        <f t="array" ref="E515">IFERROR(INDEX(atlas!F:F,MATCH(A515,atlas!C:C,0)),"")</f>
        <v/>
      </c>
      <c r="F515" s="9"/>
      <c r="G515" s="10"/>
      <c r="H515" s="11"/>
      <c r="I515" s="12" t="str">
        <f t="array" ref="I515">IFERROR(INDEX(atlas!B:B,MATCH(A515,atlas!C:C,0)),"")</f>
        <v/>
      </c>
      <c r="J515" s="8" t="str">
        <f>IFERROR(VLOOKUP(F515,tecnica!A:B,2,0),"")</f>
        <v/>
      </c>
      <c r="K515" s="8" t="str">
        <f>IFERROR(VLOOKUP(J515,tecnica!B:C,2,0),"")</f>
        <v/>
      </c>
      <c r="L515" s="13"/>
      <c r="M515" s="14" t="str">
        <f>IFERROR(VLOOKUP(I515,material!A:D,4,0),"")</f>
        <v/>
      </c>
      <c r="N515" s="14" t="str">
        <f t="shared" si="1"/>
        <v/>
      </c>
      <c r="O515" s="15" t="str">
        <f>IFERROR(VLOOKUP(I515,material!A:D,2,0),"")</f>
        <v/>
      </c>
    </row>
    <row r="516">
      <c r="A516" s="6"/>
      <c r="B516" s="7"/>
      <c r="C516" s="8" t="str">
        <f t="array" ref="C516">IFERROR(INDEX(atlas!H:H,MATCH(A516,atlas!C:C,0)),"")</f>
        <v/>
      </c>
      <c r="D516" s="8" t="str">
        <f t="array" ref="D516">IFERROR(INDEX(atlas!D:D,MATCH(A516,atlas!C:C,0)),"")</f>
        <v/>
      </c>
      <c r="E516" s="8" t="str">
        <f t="array" ref="E516">IFERROR(INDEX(atlas!F:F,MATCH(A516,atlas!C:C,0)),"")</f>
        <v/>
      </c>
      <c r="F516" s="9"/>
      <c r="G516" s="10"/>
      <c r="H516" s="11"/>
      <c r="I516" s="12" t="str">
        <f t="array" ref="I516">IFERROR(INDEX(atlas!B:B,MATCH(A516,atlas!C:C,0)),"")</f>
        <v/>
      </c>
      <c r="J516" s="8" t="str">
        <f>IFERROR(VLOOKUP(F516,tecnica!A:B,2,0),"")</f>
        <v/>
      </c>
      <c r="K516" s="8" t="str">
        <f>IFERROR(VLOOKUP(J516,tecnica!B:C,2,0),"")</f>
        <v/>
      </c>
      <c r="L516" s="13"/>
      <c r="M516" s="14" t="str">
        <f>IFERROR(VLOOKUP(I516,material!A:D,4,0),"")</f>
        <v/>
      </c>
      <c r="N516" s="14" t="str">
        <f t="shared" si="1"/>
        <v/>
      </c>
      <c r="O516" s="15" t="str">
        <f>IFERROR(VLOOKUP(I516,material!A:D,2,0),"")</f>
        <v/>
      </c>
    </row>
    <row r="517">
      <c r="A517" s="6"/>
      <c r="B517" s="7"/>
      <c r="C517" s="8" t="str">
        <f t="array" ref="C517">IFERROR(INDEX(atlas!H:H,MATCH(A517,atlas!C:C,0)),"")</f>
        <v/>
      </c>
      <c r="D517" s="8" t="str">
        <f t="array" ref="D517">IFERROR(INDEX(atlas!D:D,MATCH(A517,atlas!C:C,0)),"")</f>
        <v/>
      </c>
      <c r="E517" s="8" t="str">
        <f t="array" ref="E517">IFERROR(INDEX(atlas!F:F,MATCH(A517,atlas!C:C,0)),"")</f>
        <v/>
      </c>
      <c r="F517" s="9"/>
      <c r="G517" s="10"/>
      <c r="H517" s="11"/>
      <c r="I517" s="12" t="str">
        <f t="array" ref="I517">IFERROR(INDEX(atlas!B:B,MATCH(A517,atlas!C:C,0)),"")</f>
        <v/>
      </c>
      <c r="J517" s="8" t="str">
        <f>IFERROR(VLOOKUP(F517,tecnica!A:B,2,0),"")</f>
        <v/>
      </c>
      <c r="K517" s="8" t="str">
        <f>IFERROR(VLOOKUP(J517,tecnica!B:C,2,0),"")</f>
        <v/>
      </c>
      <c r="L517" s="13"/>
      <c r="M517" s="14" t="str">
        <f>IFERROR(VLOOKUP(I517,material!A:D,4,0),"")</f>
        <v/>
      </c>
      <c r="N517" s="14" t="str">
        <f t="shared" si="1"/>
        <v/>
      </c>
      <c r="O517" s="15" t="str">
        <f>IFERROR(VLOOKUP(I517,material!A:D,2,0),"")</f>
        <v/>
      </c>
    </row>
    <row r="518">
      <c r="A518" s="6"/>
      <c r="B518" s="7"/>
      <c r="C518" s="8" t="str">
        <f t="array" ref="C518">IFERROR(INDEX(atlas!H:H,MATCH(A518,atlas!C:C,0)),"")</f>
        <v/>
      </c>
      <c r="D518" s="8" t="str">
        <f t="array" ref="D518">IFERROR(INDEX(atlas!D:D,MATCH(A518,atlas!C:C,0)),"")</f>
        <v/>
      </c>
      <c r="E518" s="8" t="str">
        <f t="array" ref="E518">IFERROR(INDEX(atlas!F:F,MATCH(A518,atlas!C:C,0)),"")</f>
        <v/>
      </c>
      <c r="F518" s="9"/>
      <c r="G518" s="10"/>
      <c r="H518" s="11"/>
      <c r="I518" s="12" t="str">
        <f t="array" ref="I518">IFERROR(INDEX(atlas!B:B,MATCH(A518,atlas!C:C,0)),"")</f>
        <v/>
      </c>
      <c r="J518" s="8" t="str">
        <f>IFERROR(VLOOKUP(F518,tecnica!A:B,2,0),"")</f>
        <v/>
      </c>
      <c r="K518" s="8" t="str">
        <f>IFERROR(VLOOKUP(J518,tecnica!B:C,2,0),"")</f>
        <v/>
      </c>
      <c r="L518" s="13"/>
      <c r="M518" s="14" t="str">
        <f>IFERROR(VLOOKUP(I518,material!A:D,4,0),"")</f>
        <v/>
      </c>
      <c r="N518" s="14" t="str">
        <f t="shared" si="1"/>
        <v/>
      </c>
      <c r="O518" s="15" t="str">
        <f>IFERROR(VLOOKUP(I518,material!A:D,2,0),"")</f>
        <v/>
      </c>
    </row>
    <row r="519">
      <c r="A519" s="6"/>
      <c r="B519" s="7"/>
      <c r="C519" s="8" t="str">
        <f t="array" ref="C519">IFERROR(INDEX(atlas!H:H,MATCH(A519,atlas!C:C,0)),"")</f>
        <v/>
      </c>
      <c r="D519" s="8" t="str">
        <f t="array" ref="D519">IFERROR(INDEX(atlas!D:D,MATCH(A519,atlas!C:C,0)),"")</f>
        <v/>
      </c>
      <c r="E519" s="8" t="str">
        <f t="array" ref="E519">IFERROR(INDEX(atlas!F:F,MATCH(A519,atlas!C:C,0)),"")</f>
        <v/>
      </c>
      <c r="F519" s="9"/>
      <c r="G519" s="10"/>
      <c r="H519" s="11"/>
      <c r="I519" s="12" t="str">
        <f t="array" ref="I519">IFERROR(INDEX(atlas!B:B,MATCH(A519,atlas!C:C,0)),"")</f>
        <v/>
      </c>
      <c r="J519" s="8" t="str">
        <f>IFERROR(VLOOKUP(F519,tecnica!A:B,2,0),"")</f>
        <v/>
      </c>
      <c r="K519" s="8" t="str">
        <f>IFERROR(VLOOKUP(J519,tecnica!B:C,2,0),"")</f>
        <v/>
      </c>
      <c r="L519" s="13"/>
      <c r="M519" s="14" t="str">
        <f>IFERROR(VLOOKUP(I519,material!A:D,4,0),"")</f>
        <v/>
      </c>
      <c r="N519" s="14" t="str">
        <f t="shared" si="1"/>
        <v/>
      </c>
      <c r="O519" s="15" t="str">
        <f>IFERROR(VLOOKUP(I519,material!A:D,2,0),"")</f>
        <v/>
      </c>
    </row>
    <row r="520">
      <c r="A520" s="6"/>
      <c r="B520" s="7"/>
      <c r="C520" s="8" t="str">
        <f t="array" ref="C520">IFERROR(INDEX(atlas!H:H,MATCH(A520,atlas!C:C,0)),"")</f>
        <v/>
      </c>
      <c r="D520" s="8" t="str">
        <f t="array" ref="D520">IFERROR(INDEX(atlas!D:D,MATCH(A520,atlas!C:C,0)),"")</f>
        <v/>
      </c>
      <c r="E520" s="8" t="str">
        <f t="array" ref="E520">IFERROR(INDEX(atlas!F:F,MATCH(A520,atlas!C:C,0)),"")</f>
        <v/>
      </c>
      <c r="F520" s="9"/>
      <c r="G520" s="10"/>
      <c r="H520" s="11"/>
      <c r="I520" s="12" t="str">
        <f t="array" ref="I520">IFERROR(INDEX(atlas!B:B,MATCH(A520,atlas!C:C,0)),"")</f>
        <v/>
      </c>
      <c r="J520" s="8" t="str">
        <f>IFERROR(VLOOKUP(F520,tecnica!A:B,2,0),"")</f>
        <v/>
      </c>
      <c r="K520" s="8" t="str">
        <f>IFERROR(VLOOKUP(J520,tecnica!B:C,2,0),"")</f>
        <v/>
      </c>
      <c r="L520" s="13"/>
      <c r="M520" s="14" t="str">
        <f>IFERROR(VLOOKUP(I520,material!A:D,4,0),"")</f>
        <v/>
      </c>
      <c r="N520" s="14" t="str">
        <f t="shared" si="1"/>
        <v/>
      </c>
      <c r="O520" s="15" t="str">
        <f>IFERROR(VLOOKUP(I520,material!A:D,2,0),"")</f>
        <v/>
      </c>
    </row>
    <row r="521">
      <c r="A521" s="6"/>
      <c r="B521" s="7"/>
      <c r="C521" s="8" t="str">
        <f t="array" ref="C521">IFERROR(INDEX(atlas!H:H,MATCH(A521,atlas!C:C,0)),"")</f>
        <v/>
      </c>
      <c r="D521" s="8" t="str">
        <f t="array" ref="D521">IFERROR(INDEX(atlas!D:D,MATCH(A521,atlas!C:C,0)),"")</f>
        <v/>
      </c>
      <c r="E521" s="8" t="str">
        <f t="array" ref="E521">IFERROR(INDEX(atlas!F:F,MATCH(A521,atlas!C:C,0)),"")</f>
        <v/>
      </c>
      <c r="F521" s="9"/>
      <c r="G521" s="10"/>
      <c r="H521" s="11"/>
      <c r="I521" s="12" t="str">
        <f t="array" ref="I521">IFERROR(INDEX(atlas!B:B,MATCH(A521,atlas!C:C,0)),"")</f>
        <v/>
      </c>
      <c r="J521" s="8" t="str">
        <f>IFERROR(VLOOKUP(F521,tecnica!A:B,2,0),"")</f>
        <v/>
      </c>
      <c r="K521" s="8" t="str">
        <f>IFERROR(VLOOKUP(J521,tecnica!B:C,2,0),"")</f>
        <v/>
      </c>
      <c r="L521" s="13"/>
      <c r="M521" s="14" t="str">
        <f>IFERROR(VLOOKUP(I521,material!A:D,4,0),"")</f>
        <v/>
      </c>
      <c r="N521" s="14" t="str">
        <f t="shared" si="1"/>
        <v/>
      </c>
      <c r="O521" s="15" t="str">
        <f>IFERROR(VLOOKUP(I521,material!A:D,2,0),"")</f>
        <v/>
      </c>
    </row>
    <row r="522">
      <c r="A522" s="6"/>
      <c r="B522" s="7"/>
      <c r="C522" s="8" t="str">
        <f t="array" ref="C522">IFERROR(INDEX(atlas!H:H,MATCH(A522,atlas!C:C,0)),"")</f>
        <v/>
      </c>
      <c r="D522" s="8" t="str">
        <f t="array" ref="D522">IFERROR(INDEX(atlas!D:D,MATCH(A522,atlas!C:C,0)),"")</f>
        <v/>
      </c>
      <c r="E522" s="8" t="str">
        <f t="array" ref="E522">IFERROR(INDEX(atlas!F:F,MATCH(A522,atlas!C:C,0)),"")</f>
        <v/>
      </c>
      <c r="F522" s="9"/>
      <c r="G522" s="10"/>
      <c r="H522" s="11"/>
      <c r="I522" s="12" t="str">
        <f t="array" ref="I522">IFERROR(INDEX(atlas!B:B,MATCH(A522,atlas!C:C,0)),"")</f>
        <v/>
      </c>
      <c r="J522" s="8" t="str">
        <f>IFERROR(VLOOKUP(F522,tecnica!A:B,2,0),"")</f>
        <v/>
      </c>
      <c r="K522" s="8" t="str">
        <f>IFERROR(VLOOKUP(J522,tecnica!B:C,2,0),"")</f>
        <v/>
      </c>
      <c r="L522" s="13"/>
      <c r="M522" s="14" t="str">
        <f>IFERROR(VLOOKUP(I522,material!A:D,4,0),"")</f>
        <v/>
      </c>
      <c r="N522" s="14" t="str">
        <f t="shared" si="1"/>
        <v/>
      </c>
      <c r="O522" s="15" t="str">
        <f>IFERROR(VLOOKUP(I522,material!A:D,2,0),"")</f>
        <v/>
      </c>
    </row>
    <row r="523">
      <c r="A523" s="6"/>
      <c r="B523" s="7"/>
      <c r="C523" s="8" t="str">
        <f t="array" ref="C523">IFERROR(INDEX(atlas!H:H,MATCH(A523,atlas!C:C,0)),"")</f>
        <v/>
      </c>
      <c r="D523" s="8" t="str">
        <f t="array" ref="D523">IFERROR(INDEX(atlas!D:D,MATCH(A523,atlas!C:C,0)),"")</f>
        <v/>
      </c>
      <c r="E523" s="8" t="str">
        <f t="array" ref="E523">IFERROR(INDEX(atlas!F:F,MATCH(A523,atlas!C:C,0)),"")</f>
        <v/>
      </c>
      <c r="F523" s="9"/>
      <c r="G523" s="10"/>
      <c r="H523" s="11"/>
      <c r="I523" s="12" t="str">
        <f t="array" ref="I523">IFERROR(INDEX(atlas!B:B,MATCH(A523,atlas!C:C,0)),"")</f>
        <v/>
      </c>
      <c r="J523" s="8" t="str">
        <f>IFERROR(VLOOKUP(F523,tecnica!A:B,2,0),"")</f>
        <v/>
      </c>
      <c r="K523" s="8" t="str">
        <f>IFERROR(VLOOKUP(J523,tecnica!B:C,2,0),"")</f>
        <v/>
      </c>
      <c r="L523" s="13"/>
      <c r="M523" s="14" t="str">
        <f>IFERROR(VLOOKUP(I523,material!A:D,4,0),"")</f>
        <v/>
      </c>
      <c r="N523" s="14" t="str">
        <f t="shared" si="1"/>
        <v/>
      </c>
      <c r="O523" s="15" t="str">
        <f>IFERROR(VLOOKUP(I523,material!A:D,2,0),"")</f>
        <v/>
      </c>
    </row>
    <row r="524">
      <c r="A524" s="6"/>
      <c r="B524" s="7"/>
      <c r="C524" s="8" t="str">
        <f t="array" ref="C524">IFERROR(INDEX(atlas!H:H,MATCH(A524,atlas!C:C,0)),"")</f>
        <v/>
      </c>
      <c r="D524" s="8" t="str">
        <f t="array" ref="D524">IFERROR(INDEX(atlas!D:D,MATCH(A524,atlas!C:C,0)),"")</f>
        <v/>
      </c>
      <c r="E524" s="8" t="str">
        <f t="array" ref="E524">IFERROR(INDEX(atlas!F:F,MATCH(A524,atlas!C:C,0)),"")</f>
        <v/>
      </c>
      <c r="F524" s="9"/>
      <c r="G524" s="10"/>
      <c r="H524" s="11"/>
      <c r="I524" s="12" t="str">
        <f t="array" ref="I524">IFERROR(INDEX(atlas!B:B,MATCH(A524,atlas!C:C,0)),"")</f>
        <v/>
      </c>
      <c r="J524" s="8" t="str">
        <f>IFERROR(VLOOKUP(F524,tecnica!A:B,2,0),"")</f>
        <v/>
      </c>
      <c r="K524" s="8" t="str">
        <f>IFERROR(VLOOKUP(J524,tecnica!B:C,2,0),"")</f>
        <v/>
      </c>
      <c r="L524" s="13"/>
      <c r="M524" s="14" t="str">
        <f>IFERROR(VLOOKUP(I524,material!A:D,4,0),"")</f>
        <v/>
      </c>
      <c r="N524" s="14" t="str">
        <f t="shared" si="1"/>
        <v/>
      </c>
      <c r="O524" s="15" t="str">
        <f>IFERROR(VLOOKUP(I524,material!A:D,2,0),"")</f>
        <v/>
      </c>
    </row>
    <row r="525">
      <c r="A525" s="6"/>
      <c r="B525" s="7"/>
      <c r="C525" s="8" t="str">
        <f t="array" ref="C525">IFERROR(INDEX(atlas!H:H,MATCH(A525,atlas!C:C,0)),"")</f>
        <v/>
      </c>
      <c r="D525" s="8" t="str">
        <f t="array" ref="D525">IFERROR(INDEX(atlas!D:D,MATCH(A525,atlas!C:C,0)),"")</f>
        <v/>
      </c>
      <c r="E525" s="8" t="str">
        <f t="array" ref="E525">IFERROR(INDEX(atlas!F:F,MATCH(A525,atlas!C:C,0)),"")</f>
        <v/>
      </c>
      <c r="F525" s="9"/>
      <c r="G525" s="10"/>
      <c r="H525" s="11"/>
      <c r="I525" s="12" t="str">
        <f t="array" ref="I525">IFERROR(INDEX(atlas!B:B,MATCH(A525,atlas!C:C,0)),"")</f>
        <v/>
      </c>
      <c r="J525" s="8" t="str">
        <f>IFERROR(VLOOKUP(F525,tecnica!A:B,2,0),"")</f>
        <v/>
      </c>
      <c r="K525" s="8" t="str">
        <f>IFERROR(VLOOKUP(J525,tecnica!B:C,2,0),"")</f>
        <v/>
      </c>
      <c r="L525" s="13"/>
      <c r="M525" s="14" t="str">
        <f>IFERROR(VLOOKUP(I525,material!A:D,4,0),"")</f>
        <v/>
      </c>
      <c r="N525" s="14" t="str">
        <f t="shared" si="1"/>
        <v/>
      </c>
      <c r="O525" s="15" t="str">
        <f>IFERROR(VLOOKUP(I525,material!A:D,2,0),"")</f>
        <v/>
      </c>
    </row>
    <row r="526">
      <c r="A526" s="6"/>
      <c r="B526" s="7"/>
      <c r="C526" s="8" t="str">
        <f t="array" ref="C526">IFERROR(INDEX(atlas!H:H,MATCH(A526,atlas!C:C,0)),"")</f>
        <v/>
      </c>
      <c r="D526" s="8" t="str">
        <f t="array" ref="D526">IFERROR(INDEX(atlas!D:D,MATCH(A526,atlas!C:C,0)),"")</f>
        <v/>
      </c>
      <c r="E526" s="8" t="str">
        <f t="array" ref="E526">IFERROR(INDEX(atlas!F:F,MATCH(A526,atlas!C:C,0)),"")</f>
        <v/>
      </c>
      <c r="F526" s="9"/>
      <c r="G526" s="10"/>
      <c r="H526" s="11"/>
      <c r="I526" s="12" t="str">
        <f t="array" ref="I526">IFERROR(INDEX(atlas!B:B,MATCH(A526,atlas!C:C,0)),"")</f>
        <v/>
      </c>
      <c r="J526" s="8" t="str">
        <f>IFERROR(VLOOKUP(F526,tecnica!A:B,2,0),"")</f>
        <v/>
      </c>
      <c r="K526" s="8" t="str">
        <f>IFERROR(VLOOKUP(J526,tecnica!B:C,2,0),"")</f>
        <v/>
      </c>
      <c r="L526" s="13"/>
      <c r="M526" s="14" t="str">
        <f>IFERROR(VLOOKUP(I526,material!A:D,4,0),"")</f>
        <v/>
      </c>
      <c r="N526" s="14" t="str">
        <f t="shared" si="1"/>
        <v/>
      </c>
      <c r="O526" s="15" t="str">
        <f>IFERROR(VLOOKUP(I526,material!A:D,2,0),"")</f>
        <v/>
      </c>
    </row>
    <row r="527">
      <c r="A527" s="6"/>
      <c r="B527" s="7"/>
      <c r="C527" s="8" t="str">
        <f t="array" ref="C527">IFERROR(INDEX(atlas!H:H,MATCH(A527,atlas!C:C,0)),"")</f>
        <v/>
      </c>
      <c r="D527" s="8" t="str">
        <f t="array" ref="D527">IFERROR(INDEX(atlas!D:D,MATCH(A527,atlas!C:C,0)),"")</f>
        <v/>
      </c>
      <c r="E527" s="8" t="str">
        <f t="array" ref="E527">IFERROR(INDEX(atlas!F:F,MATCH(A527,atlas!C:C,0)),"")</f>
        <v/>
      </c>
      <c r="F527" s="9"/>
      <c r="G527" s="10"/>
      <c r="H527" s="11"/>
      <c r="I527" s="12" t="str">
        <f t="array" ref="I527">IFERROR(INDEX(atlas!B:B,MATCH(A527,atlas!C:C,0)),"")</f>
        <v/>
      </c>
      <c r="J527" s="8" t="str">
        <f>IFERROR(VLOOKUP(F527,tecnica!A:B,2,0),"")</f>
        <v/>
      </c>
      <c r="K527" s="8" t="str">
        <f>IFERROR(VLOOKUP(J527,tecnica!B:C,2,0),"")</f>
        <v/>
      </c>
      <c r="L527" s="13"/>
      <c r="M527" s="14" t="str">
        <f>IFERROR(VLOOKUP(I527,material!A:D,4,0),"")</f>
        <v/>
      </c>
      <c r="N527" s="14" t="str">
        <f t="shared" si="1"/>
        <v/>
      </c>
      <c r="O527" s="15" t="str">
        <f>IFERROR(VLOOKUP(I527,material!A:D,2,0),"")</f>
        <v/>
      </c>
    </row>
    <row r="528">
      <c r="A528" s="6"/>
      <c r="B528" s="7"/>
      <c r="C528" s="8" t="str">
        <f t="array" ref="C528">IFERROR(INDEX(atlas!H:H,MATCH(A528,atlas!C:C,0)),"")</f>
        <v/>
      </c>
      <c r="D528" s="8" t="str">
        <f t="array" ref="D528">IFERROR(INDEX(atlas!D:D,MATCH(A528,atlas!C:C,0)),"")</f>
        <v/>
      </c>
      <c r="E528" s="8" t="str">
        <f t="array" ref="E528">IFERROR(INDEX(atlas!F:F,MATCH(A528,atlas!C:C,0)),"")</f>
        <v/>
      </c>
      <c r="F528" s="9"/>
      <c r="G528" s="10"/>
      <c r="H528" s="11"/>
      <c r="I528" s="12" t="str">
        <f t="array" ref="I528">IFERROR(INDEX(atlas!B:B,MATCH(A528,atlas!C:C,0)),"")</f>
        <v/>
      </c>
      <c r="J528" s="8" t="str">
        <f>IFERROR(VLOOKUP(F528,tecnica!A:B,2,0),"")</f>
        <v/>
      </c>
      <c r="K528" s="8" t="str">
        <f>IFERROR(VLOOKUP(J528,tecnica!B:C,2,0),"")</f>
        <v/>
      </c>
      <c r="L528" s="13"/>
      <c r="M528" s="14" t="str">
        <f>IFERROR(VLOOKUP(I528,material!A:D,4,0),"")</f>
        <v/>
      </c>
      <c r="N528" s="14" t="str">
        <f t="shared" si="1"/>
        <v/>
      </c>
      <c r="O528" s="15" t="str">
        <f>IFERROR(VLOOKUP(I528,material!A:D,2,0),"")</f>
        <v/>
      </c>
    </row>
    <row r="529">
      <c r="A529" s="6"/>
      <c r="B529" s="7"/>
      <c r="C529" s="8" t="str">
        <f t="array" ref="C529">IFERROR(INDEX(atlas!H:H,MATCH(A529,atlas!C:C,0)),"")</f>
        <v/>
      </c>
      <c r="D529" s="8" t="str">
        <f t="array" ref="D529">IFERROR(INDEX(atlas!D:D,MATCH(A529,atlas!C:C,0)),"")</f>
        <v/>
      </c>
      <c r="E529" s="8" t="str">
        <f t="array" ref="E529">IFERROR(INDEX(atlas!F:F,MATCH(A529,atlas!C:C,0)),"")</f>
        <v/>
      </c>
      <c r="F529" s="9"/>
      <c r="G529" s="10"/>
      <c r="H529" s="11"/>
      <c r="I529" s="12" t="str">
        <f t="array" ref="I529">IFERROR(INDEX(atlas!B:B,MATCH(A529,atlas!C:C,0)),"")</f>
        <v/>
      </c>
      <c r="J529" s="8" t="str">
        <f>IFERROR(VLOOKUP(F529,tecnica!A:B,2,0),"")</f>
        <v/>
      </c>
      <c r="K529" s="8" t="str">
        <f>IFERROR(VLOOKUP(J529,tecnica!B:C,2,0),"")</f>
        <v/>
      </c>
      <c r="L529" s="13"/>
      <c r="M529" s="14" t="str">
        <f>IFERROR(VLOOKUP(I529,material!A:D,4,0),"")</f>
        <v/>
      </c>
      <c r="N529" s="14" t="str">
        <f t="shared" si="1"/>
        <v/>
      </c>
      <c r="O529" s="15" t="str">
        <f>IFERROR(VLOOKUP(I529,material!A:D,2,0),"")</f>
        <v/>
      </c>
    </row>
    <row r="530">
      <c r="A530" s="6"/>
      <c r="B530" s="7"/>
      <c r="C530" s="8" t="str">
        <f t="array" ref="C530">IFERROR(INDEX(atlas!H:H,MATCH(A530,atlas!C:C,0)),"")</f>
        <v/>
      </c>
      <c r="D530" s="8" t="str">
        <f t="array" ref="D530">IFERROR(INDEX(atlas!D:D,MATCH(A530,atlas!C:C,0)),"")</f>
        <v/>
      </c>
      <c r="E530" s="8" t="str">
        <f t="array" ref="E530">IFERROR(INDEX(atlas!F:F,MATCH(A530,atlas!C:C,0)),"")</f>
        <v/>
      </c>
      <c r="F530" s="9"/>
      <c r="G530" s="10"/>
      <c r="H530" s="11"/>
      <c r="I530" s="12" t="str">
        <f t="array" ref="I530">IFERROR(INDEX(atlas!B:B,MATCH(A530,atlas!C:C,0)),"")</f>
        <v/>
      </c>
      <c r="J530" s="8" t="str">
        <f>IFERROR(VLOOKUP(F530,tecnica!A:B,2,0),"")</f>
        <v/>
      </c>
      <c r="K530" s="8" t="str">
        <f>IFERROR(VLOOKUP(J530,tecnica!B:C,2,0),"")</f>
        <v/>
      </c>
      <c r="L530" s="13"/>
      <c r="M530" s="14" t="str">
        <f>IFERROR(VLOOKUP(I530,material!A:D,4,0),"")</f>
        <v/>
      </c>
      <c r="N530" s="14" t="str">
        <f t="shared" si="1"/>
        <v/>
      </c>
      <c r="O530" s="15" t="str">
        <f>IFERROR(VLOOKUP(I530,material!A:D,2,0),"")</f>
        <v/>
      </c>
    </row>
    <row r="531">
      <c r="A531" s="6"/>
      <c r="B531" s="7"/>
      <c r="C531" s="8" t="str">
        <f t="array" ref="C531">IFERROR(INDEX(atlas!H:H,MATCH(A531,atlas!C:C,0)),"")</f>
        <v/>
      </c>
      <c r="D531" s="8" t="str">
        <f t="array" ref="D531">IFERROR(INDEX(atlas!D:D,MATCH(A531,atlas!C:C,0)),"")</f>
        <v/>
      </c>
      <c r="E531" s="8" t="str">
        <f t="array" ref="E531">IFERROR(INDEX(atlas!F:F,MATCH(A531,atlas!C:C,0)),"")</f>
        <v/>
      </c>
      <c r="F531" s="9"/>
      <c r="G531" s="10"/>
      <c r="H531" s="11"/>
      <c r="I531" s="12" t="str">
        <f t="array" ref="I531">IFERROR(INDEX(atlas!B:B,MATCH(A531,atlas!C:C,0)),"")</f>
        <v/>
      </c>
      <c r="J531" s="8" t="str">
        <f>IFERROR(VLOOKUP(F531,tecnica!A:B,2,0),"")</f>
        <v/>
      </c>
      <c r="K531" s="8" t="str">
        <f>IFERROR(VLOOKUP(J531,tecnica!B:C,2,0),"")</f>
        <v/>
      </c>
      <c r="L531" s="13"/>
      <c r="M531" s="14" t="str">
        <f>IFERROR(VLOOKUP(I531,material!A:D,4,0),"")</f>
        <v/>
      </c>
      <c r="N531" s="14" t="str">
        <f t="shared" si="1"/>
        <v/>
      </c>
      <c r="O531" s="15" t="str">
        <f>IFERROR(VLOOKUP(I531,material!A:D,2,0),"")</f>
        <v/>
      </c>
    </row>
    <row r="532">
      <c r="A532" s="6"/>
      <c r="B532" s="7"/>
      <c r="C532" s="8" t="str">
        <f t="array" ref="C532">IFERROR(INDEX(atlas!H:H,MATCH(A532,atlas!C:C,0)),"")</f>
        <v/>
      </c>
      <c r="D532" s="8" t="str">
        <f t="array" ref="D532">IFERROR(INDEX(atlas!D:D,MATCH(A532,atlas!C:C,0)),"")</f>
        <v/>
      </c>
      <c r="E532" s="8" t="str">
        <f t="array" ref="E532">IFERROR(INDEX(atlas!F:F,MATCH(A532,atlas!C:C,0)),"")</f>
        <v/>
      </c>
      <c r="F532" s="9"/>
      <c r="G532" s="10"/>
      <c r="H532" s="11"/>
      <c r="I532" s="12" t="str">
        <f t="array" ref="I532">IFERROR(INDEX(atlas!B:B,MATCH(A532,atlas!C:C,0)),"")</f>
        <v/>
      </c>
      <c r="J532" s="8" t="str">
        <f>IFERROR(VLOOKUP(F532,tecnica!A:B,2,0),"")</f>
        <v/>
      </c>
      <c r="K532" s="8" t="str">
        <f>IFERROR(VLOOKUP(J532,tecnica!B:C,2,0),"")</f>
        <v/>
      </c>
      <c r="L532" s="13"/>
      <c r="M532" s="14" t="str">
        <f>IFERROR(VLOOKUP(I532,material!A:D,4,0),"")</f>
        <v/>
      </c>
      <c r="N532" s="14" t="str">
        <f t="shared" si="1"/>
        <v/>
      </c>
      <c r="O532" s="15" t="str">
        <f>IFERROR(VLOOKUP(I532,material!A:D,2,0),"")</f>
        <v/>
      </c>
    </row>
    <row r="533">
      <c r="A533" s="6"/>
      <c r="B533" s="7"/>
      <c r="C533" s="8" t="str">
        <f t="array" ref="C533">IFERROR(INDEX(atlas!H:H,MATCH(A533,atlas!C:C,0)),"")</f>
        <v/>
      </c>
      <c r="D533" s="8" t="str">
        <f t="array" ref="D533">IFERROR(INDEX(atlas!D:D,MATCH(A533,atlas!C:C,0)),"")</f>
        <v/>
      </c>
      <c r="E533" s="8" t="str">
        <f t="array" ref="E533">IFERROR(INDEX(atlas!F:F,MATCH(A533,atlas!C:C,0)),"")</f>
        <v/>
      </c>
      <c r="F533" s="9"/>
      <c r="G533" s="10"/>
      <c r="H533" s="11"/>
      <c r="I533" s="12" t="str">
        <f t="array" ref="I533">IFERROR(INDEX(atlas!B:B,MATCH(A533,atlas!C:C,0)),"")</f>
        <v/>
      </c>
      <c r="J533" s="8" t="str">
        <f>IFERROR(VLOOKUP(F533,tecnica!A:B,2,0),"")</f>
        <v/>
      </c>
      <c r="K533" s="8" t="str">
        <f>IFERROR(VLOOKUP(J533,tecnica!B:C,2,0),"")</f>
        <v/>
      </c>
      <c r="L533" s="13"/>
      <c r="M533" s="14" t="str">
        <f>IFERROR(VLOOKUP(I533,material!A:D,4,0),"")</f>
        <v/>
      </c>
      <c r="N533" s="14" t="str">
        <f t="shared" si="1"/>
        <v/>
      </c>
      <c r="O533" s="15" t="str">
        <f>IFERROR(VLOOKUP(I533,material!A:D,2,0),"")</f>
        <v/>
      </c>
    </row>
    <row r="534">
      <c r="A534" s="6"/>
      <c r="B534" s="7"/>
      <c r="C534" s="8" t="str">
        <f t="array" ref="C534">IFERROR(INDEX(atlas!H:H,MATCH(A534,atlas!C:C,0)),"")</f>
        <v/>
      </c>
      <c r="D534" s="8" t="str">
        <f t="array" ref="D534">IFERROR(INDEX(atlas!D:D,MATCH(A534,atlas!C:C,0)),"")</f>
        <v/>
      </c>
      <c r="E534" s="8" t="str">
        <f t="array" ref="E534">IFERROR(INDEX(atlas!F:F,MATCH(A534,atlas!C:C,0)),"")</f>
        <v/>
      </c>
      <c r="F534" s="9"/>
      <c r="G534" s="10"/>
      <c r="H534" s="11"/>
      <c r="I534" s="12" t="str">
        <f t="array" ref="I534">IFERROR(INDEX(atlas!B:B,MATCH(A534,atlas!C:C,0)),"")</f>
        <v/>
      </c>
      <c r="J534" s="8" t="str">
        <f>IFERROR(VLOOKUP(F534,tecnica!A:B,2,0),"")</f>
        <v/>
      </c>
      <c r="K534" s="8" t="str">
        <f>IFERROR(VLOOKUP(J534,tecnica!B:C,2,0),"")</f>
        <v/>
      </c>
      <c r="L534" s="13"/>
      <c r="M534" s="14" t="str">
        <f>IFERROR(VLOOKUP(I534,material!A:D,4,0),"")</f>
        <v/>
      </c>
      <c r="N534" s="14" t="str">
        <f t="shared" si="1"/>
        <v/>
      </c>
      <c r="O534" s="15" t="str">
        <f>IFERROR(VLOOKUP(I534,material!A:D,2,0),"")</f>
        <v/>
      </c>
    </row>
    <row r="535">
      <c r="A535" s="6"/>
      <c r="B535" s="7"/>
      <c r="C535" s="8" t="str">
        <f t="array" ref="C535">IFERROR(INDEX(atlas!H:H,MATCH(A535,atlas!C:C,0)),"")</f>
        <v/>
      </c>
      <c r="D535" s="8" t="str">
        <f t="array" ref="D535">IFERROR(INDEX(atlas!D:D,MATCH(A535,atlas!C:C,0)),"")</f>
        <v/>
      </c>
      <c r="E535" s="8" t="str">
        <f t="array" ref="E535">IFERROR(INDEX(atlas!F:F,MATCH(A535,atlas!C:C,0)),"")</f>
        <v/>
      </c>
      <c r="F535" s="9"/>
      <c r="G535" s="10"/>
      <c r="H535" s="11"/>
      <c r="I535" s="12" t="str">
        <f t="array" ref="I535">IFERROR(INDEX(atlas!B:B,MATCH(A535,atlas!C:C,0)),"")</f>
        <v/>
      </c>
      <c r="J535" s="8" t="str">
        <f>IFERROR(VLOOKUP(F535,tecnica!A:B,2,0),"")</f>
        <v/>
      </c>
      <c r="K535" s="8" t="str">
        <f>IFERROR(VLOOKUP(J535,tecnica!B:C,2,0),"")</f>
        <v/>
      </c>
      <c r="L535" s="13"/>
      <c r="M535" s="14" t="str">
        <f>IFERROR(VLOOKUP(I535,material!A:D,4,0),"")</f>
        <v/>
      </c>
      <c r="N535" s="14" t="str">
        <f t="shared" si="1"/>
        <v/>
      </c>
      <c r="O535" s="15" t="str">
        <f>IFERROR(VLOOKUP(I535,material!A:D,2,0),"")</f>
        <v/>
      </c>
    </row>
    <row r="536">
      <c r="A536" s="6"/>
      <c r="B536" s="7"/>
      <c r="C536" s="8" t="str">
        <f t="array" ref="C536">IFERROR(INDEX(atlas!H:H,MATCH(A536,atlas!C:C,0)),"")</f>
        <v/>
      </c>
      <c r="D536" s="8" t="str">
        <f t="array" ref="D536">IFERROR(INDEX(atlas!D:D,MATCH(A536,atlas!C:C,0)),"")</f>
        <v/>
      </c>
      <c r="E536" s="8" t="str">
        <f t="array" ref="E536">IFERROR(INDEX(atlas!F:F,MATCH(A536,atlas!C:C,0)),"")</f>
        <v/>
      </c>
      <c r="F536" s="9"/>
      <c r="G536" s="10"/>
      <c r="H536" s="11"/>
      <c r="I536" s="12" t="str">
        <f t="array" ref="I536">IFERROR(INDEX(atlas!B:B,MATCH(A536,atlas!C:C,0)),"")</f>
        <v/>
      </c>
      <c r="J536" s="8" t="str">
        <f>IFERROR(VLOOKUP(F536,tecnica!A:B,2,0),"")</f>
        <v/>
      </c>
      <c r="K536" s="8" t="str">
        <f>IFERROR(VLOOKUP(J536,tecnica!B:C,2,0),"")</f>
        <v/>
      </c>
      <c r="L536" s="13"/>
      <c r="M536" s="14" t="str">
        <f>IFERROR(VLOOKUP(I536,material!A:D,4,0),"")</f>
        <v/>
      </c>
      <c r="N536" s="14" t="str">
        <f t="shared" si="1"/>
        <v/>
      </c>
      <c r="O536" s="15" t="str">
        <f>IFERROR(VLOOKUP(I536,material!A:D,2,0),"")</f>
        <v/>
      </c>
    </row>
    <row r="537">
      <c r="A537" s="6"/>
      <c r="B537" s="7"/>
      <c r="C537" s="8" t="str">
        <f t="array" ref="C537">IFERROR(INDEX(atlas!H:H,MATCH(A537,atlas!C:C,0)),"")</f>
        <v/>
      </c>
      <c r="D537" s="8" t="str">
        <f t="array" ref="D537">IFERROR(INDEX(atlas!D:D,MATCH(A537,atlas!C:C,0)),"")</f>
        <v/>
      </c>
      <c r="E537" s="8" t="str">
        <f t="array" ref="E537">IFERROR(INDEX(atlas!F:F,MATCH(A537,atlas!C:C,0)),"")</f>
        <v/>
      </c>
      <c r="F537" s="9"/>
      <c r="G537" s="10"/>
      <c r="H537" s="11"/>
      <c r="I537" s="12" t="str">
        <f t="array" ref="I537">IFERROR(INDEX(atlas!B:B,MATCH(A537,atlas!C:C,0)),"")</f>
        <v/>
      </c>
      <c r="J537" s="8" t="str">
        <f>IFERROR(VLOOKUP(F537,tecnica!A:B,2,0),"")</f>
        <v/>
      </c>
      <c r="K537" s="8" t="str">
        <f>IFERROR(VLOOKUP(J537,tecnica!B:C,2,0),"")</f>
        <v/>
      </c>
      <c r="L537" s="13"/>
      <c r="M537" s="14" t="str">
        <f>IFERROR(VLOOKUP(I537,material!A:D,4,0),"")</f>
        <v/>
      </c>
      <c r="N537" s="14" t="str">
        <f t="shared" si="1"/>
        <v/>
      </c>
      <c r="O537" s="15" t="str">
        <f>IFERROR(VLOOKUP(I537,material!A:D,2,0),"")</f>
        <v/>
      </c>
    </row>
    <row r="538">
      <c r="A538" s="6"/>
      <c r="B538" s="7"/>
      <c r="C538" s="8" t="str">
        <f t="array" ref="C538">IFERROR(INDEX(atlas!H:H,MATCH(A538,atlas!C:C,0)),"")</f>
        <v/>
      </c>
      <c r="D538" s="8" t="str">
        <f t="array" ref="D538">IFERROR(INDEX(atlas!D:D,MATCH(A538,atlas!C:C,0)),"")</f>
        <v/>
      </c>
      <c r="E538" s="8" t="str">
        <f t="array" ref="E538">IFERROR(INDEX(atlas!F:F,MATCH(A538,atlas!C:C,0)),"")</f>
        <v/>
      </c>
      <c r="F538" s="9"/>
      <c r="G538" s="10"/>
      <c r="H538" s="11"/>
      <c r="I538" s="12" t="str">
        <f t="array" ref="I538">IFERROR(INDEX(atlas!B:B,MATCH(A538,atlas!C:C,0)),"")</f>
        <v/>
      </c>
      <c r="J538" s="8" t="str">
        <f>IFERROR(VLOOKUP(F538,tecnica!A:B,2,0),"")</f>
        <v/>
      </c>
      <c r="K538" s="8" t="str">
        <f>IFERROR(VLOOKUP(J538,tecnica!B:C,2,0),"")</f>
        <v/>
      </c>
      <c r="L538" s="13"/>
      <c r="M538" s="14" t="str">
        <f>IFERROR(VLOOKUP(I538,material!A:D,4,0),"")</f>
        <v/>
      </c>
      <c r="N538" s="14" t="str">
        <f t="shared" si="1"/>
        <v/>
      </c>
      <c r="O538" s="15" t="str">
        <f>IFERROR(VLOOKUP(I538,material!A:D,2,0),"")</f>
        <v/>
      </c>
    </row>
    <row r="539">
      <c r="A539" s="6"/>
      <c r="B539" s="7"/>
      <c r="C539" s="8" t="str">
        <f t="array" ref="C539">IFERROR(INDEX(atlas!H:H,MATCH(A539,atlas!C:C,0)),"")</f>
        <v/>
      </c>
      <c r="D539" s="8" t="str">
        <f t="array" ref="D539">IFERROR(INDEX(atlas!D:D,MATCH(A539,atlas!C:C,0)),"")</f>
        <v/>
      </c>
      <c r="E539" s="8" t="str">
        <f t="array" ref="E539">IFERROR(INDEX(atlas!F:F,MATCH(A539,atlas!C:C,0)),"")</f>
        <v/>
      </c>
      <c r="F539" s="9"/>
      <c r="G539" s="10"/>
      <c r="H539" s="11"/>
      <c r="I539" s="12" t="str">
        <f t="array" ref="I539">IFERROR(INDEX(atlas!B:B,MATCH(A539,atlas!C:C,0)),"")</f>
        <v/>
      </c>
      <c r="J539" s="8" t="str">
        <f>IFERROR(VLOOKUP(F539,tecnica!A:B,2,0),"")</f>
        <v/>
      </c>
      <c r="K539" s="8" t="str">
        <f>IFERROR(VLOOKUP(J539,tecnica!B:C,2,0),"")</f>
        <v/>
      </c>
      <c r="L539" s="13"/>
      <c r="M539" s="14" t="str">
        <f>IFERROR(VLOOKUP(I539,material!A:D,4,0),"")</f>
        <v/>
      </c>
      <c r="N539" s="14" t="str">
        <f t="shared" si="1"/>
        <v/>
      </c>
      <c r="O539" s="15" t="str">
        <f>IFERROR(VLOOKUP(I539,material!A:D,2,0),"")</f>
        <v/>
      </c>
    </row>
    <row r="540">
      <c r="A540" s="6"/>
      <c r="B540" s="7"/>
      <c r="C540" s="8" t="str">
        <f t="array" ref="C540">IFERROR(INDEX(atlas!H:H,MATCH(A540,atlas!C:C,0)),"")</f>
        <v/>
      </c>
      <c r="D540" s="8" t="str">
        <f t="array" ref="D540">IFERROR(INDEX(atlas!D:D,MATCH(A540,atlas!C:C,0)),"")</f>
        <v/>
      </c>
      <c r="E540" s="8" t="str">
        <f t="array" ref="E540">IFERROR(INDEX(atlas!F:F,MATCH(A540,atlas!C:C,0)),"")</f>
        <v/>
      </c>
      <c r="F540" s="9"/>
      <c r="G540" s="10"/>
      <c r="H540" s="11"/>
      <c r="I540" s="12" t="str">
        <f t="array" ref="I540">IFERROR(INDEX(atlas!B:B,MATCH(A540,atlas!C:C,0)),"")</f>
        <v/>
      </c>
      <c r="J540" s="8" t="str">
        <f>IFERROR(VLOOKUP(F540,tecnica!A:B,2,0),"")</f>
        <v/>
      </c>
      <c r="K540" s="8" t="str">
        <f>IFERROR(VLOOKUP(J540,tecnica!B:C,2,0),"")</f>
        <v/>
      </c>
      <c r="L540" s="13"/>
      <c r="M540" s="14" t="str">
        <f>IFERROR(VLOOKUP(I540,material!A:D,4,0),"")</f>
        <v/>
      </c>
      <c r="N540" s="14" t="str">
        <f t="shared" si="1"/>
        <v/>
      </c>
      <c r="O540" s="15" t="str">
        <f>IFERROR(VLOOKUP(I540,material!A:D,2,0),"")</f>
        <v/>
      </c>
    </row>
    <row r="541">
      <c r="A541" s="6"/>
      <c r="B541" s="7"/>
      <c r="C541" s="8" t="str">
        <f t="array" ref="C541">IFERROR(INDEX(atlas!H:H,MATCH(A541,atlas!C:C,0)),"")</f>
        <v/>
      </c>
      <c r="D541" s="8" t="str">
        <f t="array" ref="D541">IFERROR(INDEX(atlas!D:D,MATCH(A541,atlas!C:C,0)),"")</f>
        <v/>
      </c>
      <c r="E541" s="8" t="str">
        <f t="array" ref="E541">IFERROR(INDEX(atlas!F:F,MATCH(A541,atlas!C:C,0)),"")</f>
        <v/>
      </c>
      <c r="F541" s="9"/>
      <c r="G541" s="10"/>
      <c r="H541" s="11"/>
      <c r="I541" s="12" t="str">
        <f t="array" ref="I541">IFERROR(INDEX(atlas!B:B,MATCH(A541,atlas!C:C,0)),"")</f>
        <v/>
      </c>
      <c r="J541" s="8" t="str">
        <f>IFERROR(VLOOKUP(F541,tecnica!A:B,2,0),"")</f>
        <v/>
      </c>
      <c r="K541" s="8" t="str">
        <f>IFERROR(VLOOKUP(J541,tecnica!B:C,2,0),"")</f>
        <v/>
      </c>
      <c r="L541" s="13"/>
      <c r="M541" s="14" t="str">
        <f>IFERROR(VLOOKUP(I541,material!A:D,4,0),"")</f>
        <v/>
      </c>
      <c r="N541" s="14" t="str">
        <f t="shared" si="1"/>
        <v/>
      </c>
      <c r="O541" s="15" t="str">
        <f>IFERROR(VLOOKUP(I541,material!A:D,2,0),"")</f>
        <v/>
      </c>
    </row>
    <row r="542">
      <c r="A542" s="6"/>
      <c r="B542" s="7"/>
      <c r="C542" s="8" t="str">
        <f t="array" ref="C542">IFERROR(INDEX(atlas!H:H,MATCH(A542,atlas!C:C,0)),"")</f>
        <v/>
      </c>
      <c r="D542" s="8" t="str">
        <f t="array" ref="D542">IFERROR(INDEX(atlas!D:D,MATCH(A542,atlas!C:C,0)),"")</f>
        <v/>
      </c>
      <c r="E542" s="8" t="str">
        <f t="array" ref="E542">IFERROR(INDEX(atlas!F:F,MATCH(A542,atlas!C:C,0)),"")</f>
        <v/>
      </c>
      <c r="F542" s="9"/>
      <c r="G542" s="10"/>
      <c r="H542" s="11"/>
      <c r="I542" s="12" t="str">
        <f t="array" ref="I542">IFERROR(INDEX(atlas!B:B,MATCH(A542,atlas!C:C,0)),"")</f>
        <v/>
      </c>
      <c r="J542" s="8" t="str">
        <f>IFERROR(VLOOKUP(F542,tecnica!A:B,2,0),"")</f>
        <v/>
      </c>
      <c r="K542" s="8" t="str">
        <f>IFERROR(VLOOKUP(J542,tecnica!B:C,2,0),"")</f>
        <v/>
      </c>
      <c r="L542" s="13"/>
      <c r="M542" s="14" t="str">
        <f>IFERROR(VLOOKUP(I542,material!A:D,4,0),"")</f>
        <v/>
      </c>
      <c r="N542" s="14" t="str">
        <f t="shared" si="1"/>
        <v/>
      </c>
      <c r="O542" s="15" t="str">
        <f>IFERROR(VLOOKUP(I542,material!A:D,2,0),"")</f>
        <v/>
      </c>
    </row>
    <row r="543">
      <c r="A543" s="6"/>
      <c r="B543" s="7"/>
      <c r="C543" s="8" t="str">
        <f t="array" ref="C543">IFERROR(INDEX(atlas!H:H,MATCH(A543,atlas!C:C,0)),"")</f>
        <v/>
      </c>
      <c r="D543" s="8" t="str">
        <f t="array" ref="D543">IFERROR(INDEX(atlas!D:D,MATCH(A543,atlas!C:C,0)),"")</f>
        <v/>
      </c>
      <c r="E543" s="8" t="str">
        <f t="array" ref="E543">IFERROR(INDEX(atlas!F:F,MATCH(A543,atlas!C:C,0)),"")</f>
        <v/>
      </c>
      <c r="F543" s="9"/>
      <c r="G543" s="10"/>
      <c r="H543" s="11"/>
      <c r="I543" s="12" t="str">
        <f t="array" ref="I543">IFERROR(INDEX(atlas!B:B,MATCH(A543,atlas!C:C,0)),"")</f>
        <v/>
      </c>
      <c r="J543" s="8" t="str">
        <f>IFERROR(VLOOKUP(F543,tecnica!A:B,2,0),"")</f>
        <v/>
      </c>
      <c r="K543" s="8" t="str">
        <f>IFERROR(VLOOKUP(J543,tecnica!B:C,2,0),"")</f>
        <v/>
      </c>
      <c r="L543" s="13"/>
      <c r="M543" s="14" t="str">
        <f>IFERROR(VLOOKUP(I543,material!A:D,4,0),"")</f>
        <v/>
      </c>
      <c r="N543" s="14" t="str">
        <f t="shared" si="1"/>
        <v/>
      </c>
      <c r="O543" s="15" t="str">
        <f>IFERROR(VLOOKUP(I543,material!A:D,2,0),"")</f>
        <v/>
      </c>
    </row>
    <row r="544">
      <c r="A544" s="6"/>
      <c r="B544" s="7"/>
      <c r="C544" s="8" t="str">
        <f t="array" ref="C544">IFERROR(INDEX(atlas!H:H,MATCH(A544,atlas!C:C,0)),"")</f>
        <v/>
      </c>
      <c r="D544" s="8" t="str">
        <f t="array" ref="D544">IFERROR(INDEX(atlas!D:D,MATCH(A544,atlas!C:C,0)),"")</f>
        <v/>
      </c>
      <c r="E544" s="8" t="str">
        <f t="array" ref="E544">IFERROR(INDEX(atlas!F:F,MATCH(A544,atlas!C:C,0)),"")</f>
        <v/>
      </c>
      <c r="F544" s="9"/>
      <c r="G544" s="10"/>
      <c r="H544" s="11"/>
      <c r="I544" s="12" t="str">
        <f t="array" ref="I544">IFERROR(INDEX(atlas!B:B,MATCH(A544,atlas!C:C,0)),"")</f>
        <v/>
      </c>
      <c r="J544" s="8" t="str">
        <f>IFERROR(VLOOKUP(F544,tecnica!A:B,2,0),"")</f>
        <v/>
      </c>
      <c r="K544" s="8" t="str">
        <f>IFERROR(VLOOKUP(J544,tecnica!B:C,2,0),"")</f>
        <v/>
      </c>
      <c r="L544" s="13"/>
      <c r="M544" s="14" t="str">
        <f>IFERROR(VLOOKUP(I544,material!A:D,4,0),"")</f>
        <v/>
      </c>
      <c r="N544" s="14" t="str">
        <f t="shared" si="1"/>
        <v/>
      </c>
      <c r="O544" s="15" t="str">
        <f>IFERROR(VLOOKUP(I544,material!A:D,2,0),"")</f>
        <v/>
      </c>
    </row>
    <row r="545">
      <c r="A545" s="6"/>
      <c r="B545" s="7"/>
      <c r="C545" s="8" t="str">
        <f t="array" ref="C545">IFERROR(INDEX(atlas!H:H,MATCH(A545,atlas!C:C,0)),"")</f>
        <v/>
      </c>
      <c r="D545" s="8" t="str">
        <f t="array" ref="D545">IFERROR(INDEX(atlas!D:D,MATCH(A545,atlas!C:C,0)),"")</f>
        <v/>
      </c>
      <c r="E545" s="8" t="str">
        <f t="array" ref="E545">IFERROR(INDEX(atlas!F:F,MATCH(A545,atlas!C:C,0)),"")</f>
        <v/>
      </c>
      <c r="F545" s="9"/>
      <c r="G545" s="10"/>
      <c r="H545" s="11"/>
      <c r="I545" s="12" t="str">
        <f t="array" ref="I545">IFERROR(INDEX(atlas!B:B,MATCH(A545,atlas!C:C,0)),"")</f>
        <v/>
      </c>
      <c r="J545" s="8" t="str">
        <f>IFERROR(VLOOKUP(F545,tecnica!A:B,2,0),"")</f>
        <v/>
      </c>
      <c r="K545" s="8" t="str">
        <f>IFERROR(VLOOKUP(J545,tecnica!B:C,2,0),"")</f>
        <v/>
      </c>
      <c r="L545" s="13"/>
      <c r="M545" s="14" t="str">
        <f>IFERROR(VLOOKUP(I545,material!A:D,4,0),"")</f>
        <v/>
      </c>
      <c r="N545" s="14" t="str">
        <f t="shared" si="1"/>
        <v/>
      </c>
      <c r="O545" s="15" t="str">
        <f>IFERROR(VLOOKUP(I545,material!A:D,2,0),"")</f>
        <v/>
      </c>
    </row>
    <row r="546">
      <c r="A546" s="6"/>
      <c r="B546" s="7"/>
      <c r="C546" s="8" t="str">
        <f t="array" ref="C546">IFERROR(INDEX(atlas!H:H,MATCH(A546,atlas!C:C,0)),"")</f>
        <v/>
      </c>
      <c r="D546" s="8" t="str">
        <f t="array" ref="D546">IFERROR(INDEX(atlas!D:D,MATCH(A546,atlas!C:C,0)),"")</f>
        <v/>
      </c>
      <c r="E546" s="8" t="str">
        <f t="array" ref="E546">IFERROR(INDEX(atlas!F:F,MATCH(A546,atlas!C:C,0)),"")</f>
        <v/>
      </c>
      <c r="F546" s="9"/>
      <c r="G546" s="10"/>
      <c r="H546" s="11"/>
      <c r="I546" s="12" t="str">
        <f t="array" ref="I546">IFERROR(INDEX(atlas!B:B,MATCH(A546,atlas!C:C,0)),"")</f>
        <v/>
      </c>
      <c r="J546" s="8" t="str">
        <f>IFERROR(VLOOKUP(F546,tecnica!A:B,2,0),"")</f>
        <v/>
      </c>
      <c r="K546" s="8" t="str">
        <f>IFERROR(VLOOKUP(J546,tecnica!B:C,2,0),"")</f>
        <v/>
      </c>
      <c r="L546" s="13"/>
      <c r="M546" s="14" t="str">
        <f>IFERROR(VLOOKUP(I546,material!A:D,4,0),"")</f>
        <v/>
      </c>
      <c r="N546" s="14" t="str">
        <f t="shared" si="1"/>
        <v/>
      </c>
      <c r="O546" s="15" t="str">
        <f>IFERROR(VLOOKUP(I546,material!A:D,2,0),"")</f>
        <v/>
      </c>
    </row>
    <row r="547">
      <c r="A547" s="6"/>
      <c r="B547" s="7"/>
      <c r="C547" s="8" t="str">
        <f t="array" ref="C547">IFERROR(INDEX(atlas!H:H,MATCH(A547,atlas!C:C,0)),"")</f>
        <v/>
      </c>
      <c r="D547" s="8" t="str">
        <f t="array" ref="D547">IFERROR(INDEX(atlas!D:D,MATCH(A547,atlas!C:C,0)),"")</f>
        <v/>
      </c>
      <c r="E547" s="8" t="str">
        <f t="array" ref="E547">IFERROR(INDEX(atlas!F:F,MATCH(A547,atlas!C:C,0)),"")</f>
        <v/>
      </c>
      <c r="F547" s="9"/>
      <c r="G547" s="10"/>
      <c r="H547" s="11"/>
      <c r="I547" s="12" t="str">
        <f t="array" ref="I547">IFERROR(INDEX(atlas!B:B,MATCH(A547,atlas!C:C,0)),"")</f>
        <v/>
      </c>
      <c r="J547" s="8" t="str">
        <f>IFERROR(VLOOKUP(F547,tecnica!A:B,2,0),"")</f>
        <v/>
      </c>
      <c r="K547" s="8" t="str">
        <f>IFERROR(VLOOKUP(J547,tecnica!B:C,2,0),"")</f>
        <v/>
      </c>
      <c r="L547" s="13"/>
      <c r="M547" s="14" t="str">
        <f>IFERROR(VLOOKUP(I547,material!A:D,4,0),"")</f>
        <v/>
      </c>
      <c r="N547" s="14" t="str">
        <f t="shared" si="1"/>
        <v/>
      </c>
      <c r="O547" s="15" t="str">
        <f>IFERROR(VLOOKUP(I547,material!A:D,2,0),"")</f>
        <v/>
      </c>
    </row>
    <row r="548">
      <c r="A548" s="6"/>
      <c r="B548" s="7"/>
      <c r="C548" s="8" t="str">
        <f t="array" ref="C548">IFERROR(INDEX(atlas!H:H,MATCH(A548,atlas!C:C,0)),"")</f>
        <v/>
      </c>
      <c r="D548" s="8" t="str">
        <f t="array" ref="D548">IFERROR(INDEX(atlas!D:D,MATCH(A548,atlas!C:C,0)),"")</f>
        <v/>
      </c>
      <c r="E548" s="8" t="str">
        <f t="array" ref="E548">IFERROR(INDEX(atlas!F:F,MATCH(A548,atlas!C:C,0)),"")</f>
        <v/>
      </c>
      <c r="F548" s="9"/>
      <c r="G548" s="10"/>
      <c r="H548" s="11"/>
      <c r="I548" s="12" t="str">
        <f t="array" ref="I548">IFERROR(INDEX(atlas!B:B,MATCH(A548,atlas!C:C,0)),"")</f>
        <v/>
      </c>
      <c r="J548" s="8" t="str">
        <f>IFERROR(VLOOKUP(F548,tecnica!A:B,2,0),"")</f>
        <v/>
      </c>
      <c r="K548" s="8" t="str">
        <f>IFERROR(VLOOKUP(J548,tecnica!B:C,2,0),"")</f>
        <v/>
      </c>
      <c r="L548" s="13"/>
      <c r="M548" s="14" t="str">
        <f>IFERROR(VLOOKUP(I548,material!A:D,4,0),"")</f>
        <v/>
      </c>
      <c r="N548" s="14" t="str">
        <f t="shared" si="1"/>
        <v/>
      </c>
      <c r="O548" s="15" t="str">
        <f>IFERROR(VLOOKUP(I548,material!A:D,2,0),"")</f>
        <v/>
      </c>
    </row>
    <row r="549">
      <c r="A549" s="6"/>
      <c r="B549" s="7"/>
      <c r="C549" s="8" t="str">
        <f t="array" ref="C549">IFERROR(INDEX(atlas!H:H,MATCH(A549,atlas!C:C,0)),"")</f>
        <v/>
      </c>
      <c r="D549" s="8" t="str">
        <f t="array" ref="D549">IFERROR(INDEX(atlas!D:D,MATCH(A549,atlas!C:C,0)),"")</f>
        <v/>
      </c>
      <c r="E549" s="8" t="str">
        <f t="array" ref="E549">IFERROR(INDEX(atlas!F:F,MATCH(A549,atlas!C:C,0)),"")</f>
        <v/>
      </c>
      <c r="F549" s="9"/>
      <c r="G549" s="10"/>
      <c r="H549" s="11"/>
      <c r="I549" s="12" t="str">
        <f t="array" ref="I549">IFERROR(INDEX(atlas!B:B,MATCH(A549,atlas!C:C,0)),"")</f>
        <v/>
      </c>
      <c r="J549" s="8" t="str">
        <f>IFERROR(VLOOKUP(F549,tecnica!A:B,2,0),"")</f>
        <v/>
      </c>
      <c r="K549" s="8" t="str">
        <f>IFERROR(VLOOKUP(J549,tecnica!B:C,2,0),"")</f>
        <v/>
      </c>
      <c r="L549" s="13"/>
      <c r="M549" s="14" t="str">
        <f>IFERROR(VLOOKUP(I549,material!A:D,4,0),"")</f>
        <v/>
      </c>
      <c r="N549" s="14" t="str">
        <f t="shared" si="1"/>
        <v/>
      </c>
      <c r="O549" s="15" t="str">
        <f>IFERROR(VLOOKUP(I549,material!A:D,2,0),"")</f>
        <v/>
      </c>
    </row>
    <row r="550">
      <c r="A550" s="6"/>
      <c r="B550" s="7"/>
      <c r="C550" s="8" t="str">
        <f t="array" ref="C550">IFERROR(INDEX(atlas!H:H,MATCH(A550,atlas!C:C,0)),"")</f>
        <v/>
      </c>
      <c r="D550" s="8" t="str">
        <f t="array" ref="D550">IFERROR(INDEX(atlas!D:D,MATCH(A550,atlas!C:C,0)),"")</f>
        <v/>
      </c>
      <c r="E550" s="8" t="str">
        <f t="array" ref="E550">IFERROR(INDEX(atlas!F:F,MATCH(A550,atlas!C:C,0)),"")</f>
        <v/>
      </c>
      <c r="F550" s="9"/>
      <c r="G550" s="10"/>
      <c r="H550" s="11"/>
      <c r="I550" s="12" t="str">
        <f t="array" ref="I550">IFERROR(INDEX(atlas!B:B,MATCH(A550,atlas!C:C,0)),"")</f>
        <v/>
      </c>
      <c r="J550" s="8" t="str">
        <f>IFERROR(VLOOKUP(F550,tecnica!A:B,2,0),"")</f>
        <v/>
      </c>
      <c r="K550" s="8" t="str">
        <f>IFERROR(VLOOKUP(J550,tecnica!B:C,2,0),"")</f>
        <v/>
      </c>
      <c r="L550" s="13"/>
      <c r="M550" s="14" t="str">
        <f>IFERROR(VLOOKUP(I550,material!A:D,4,0),"")</f>
        <v/>
      </c>
      <c r="N550" s="14" t="str">
        <f t="shared" si="1"/>
        <v/>
      </c>
      <c r="O550" s="15" t="str">
        <f>IFERROR(VLOOKUP(I550,material!A:D,2,0),"")</f>
        <v/>
      </c>
    </row>
    <row r="551">
      <c r="A551" s="6"/>
      <c r="B551" s="7"/>
      <c r="C551" s="8" t="str">
        <f t="array" ref="C551">IFERROR(INDEX(atlas!H:H,MATCH(A551,atlas!C:C,0)),"")</f>
        <v/>
      </c>
      <c r="D551" s="8" t="str">
        <f t="array" ref="D551">IFERROR(INDEX(atlas!D:D,MATCH(A551,atlas!C:C,0)),"")</f>
        <v/>
      </c>
      <c r="E551" s="8" t="str">
        <f t="array" ref="E551">IFERROR(INDEX(atlas!F:F,MATCH(A551,atlas!C:C,0)),"")</f>
        <v/>
      </c>
      <c r="F551" s="9"/>
      <c r="G551" s="10"/>
      <c r="H551" s="11"/>
      <c r="I551" s="12" t="str">
        <f t="array" ref="I551">IFERROR(INDEX(atlas!B:B,MATCH(A551,atlas!C:C,0)),"")</f>
        <v/>
      </c>
      <c r="J551" s="8" t="str">
        <f>IFERROR(VLOOKUP(F551,tecnica!A:B,2,0),"")</f>
        <v/>
      </c>
      <c r="K551" s="8" t="str">
        <f>IFERROR(VLOOKUP(J551,tecnica!B:C,2,0),"")</f>
        <v/>
      </c>
      <c r="L551" s="13"/>
      <c r="M551" s="14" t="str">
        <f>IFERROR(VLOOKUP(I551,material!A:D,4,0),"")</f>
        <v/>
      </c>
      <c r="N551" s="14" t="str">
        <f t="shared" si="1"/>
        <v/>
      </c>
      <c r="O551" s="15" t="str">
        <f>IFERROR(VLOOKUP(I551,material!A:D,2,0),"")</f>
        <v/>
      </c>
    </row>
    <row r="552">
      <c r="A552" s="6"/>
      <c r="B552" s="7"/>
      <c r="C552" s="8" t="str">
        <f t="array" ref="C552">IFERROR(INDEX(atlas!H:H,MATCH(A552,atlas!C:C,0)),"")</f>
        <v/>
      </c>
      <c r="D552" s="8" t="str">
        <f t="array" ref="D552">IFERROR(INDEX(atlas!D:D,MATCH(A552,atlas!C:C,0)),"")</f>
        <v/>
      </c>
      <c r="E552" s="8" t="str">
        <f t="array" ref="E552">IFERROR(INDEX(atlas!F:F,MATCH(A552,atlas!C:C,0)),"")</f>
        <v/>
      </c>
      <c r="F552" s="9"/>
      <c r="G552" s="10"/>
      <c r="H552" s="11"/>
      <c r="I552" s="12" t="str">
        <f t="array" ref="I552">IFERROR(INDEX(atlas!B:B,MATCH(A552,atlas!C:C,0)),"")</f>
        <v/>
      </c>
      <c r="J552" s="8" t="str">
        <f>IFERROR(VLOOKUP(F552,tecnica!A:B,2,0),"")</f>
        <v/>
      </c>
      <c r="K552" s="8" t="str">
        <f>IFERROR(VLOOKUP(J552,tecnica!B:C,2,0),"")</f>
        <v/>
      </c>
      <c r="L552" s="13"/>
      <c r="M552" s="14" t="str">
        <f>IFERROR(VLOOKUP(I552,material!A:D,4,0),"")</f>
        <v/>
      </c>
      <c r="N552" s="14" t="str">
        <f t="shared" si="1"/>
        <v/>
      </c>
      <c r="O552" s="15" t="str">
        <f>IFERROR(VLOOKUP(I552,material!A:D,2,0),"")</f>
        <v/>
      </c>
    </row>
    <row r="553">
      <c r="A553" s="6"/>
      <c r="B553" s="7"/>
      <c r="C553" s="8" t="str">
        <f t="array" ref="C553">IFERROR(INDEX(atlas!H:H,MATCH(A553,atlas!C:C,0)),"")</f>
        <v/>
      </c>
      <c r="D553" s="8" t="str">
        <f t="array" ref="D553">IFERROR(INDEX(atlas!D:D,MATCH(A553,atlas!C:C,0)),"")</f>
        <v/>
      </c>
      <c r="E553" s="8" t="str">
        <f t="array" ref="E553">IFERROR(INDEX(atlas!F:F,MATCH(A553,atlas!C:C,0)),"")</f>
        <v/>
      </c>
      <c r="F553" s="9"/>
      <c r="G553" s="10"/>
      <c r="H553" s="11"/>
      <c r="I553" s="12" t="str">
        <f t="array" ref="I553">IFERROR(INDEX(atlas!B:B,MATCH(A553,atlas!C:C,0)),"")</f>
        <v/>
      </c>
      <c r="J553" s="8" t="str">
        <f>IFERROR(VLOOKUP(F553,tecnica!A:B,2,0),"")</f>
        <v/>
      </c>
      <c r="K553" s="8" t="str">
        <f>IFERROR(VLOOKUP(J553,tecnica!B:C,2,0),"")</f>
        <v/>
      </c>
      <c r="L553" s="13"/>
      <c r="M553" s="14" t="str">
        <f>IFERROR(VLOOKUP(I553,material!A:D,4,0),"")</f>
        <v/>
      </c>
      <c r="N553" s="14" t="str">
        <f t="shared" si="1"/>
        <v/>
      </c>
      <c r="O553" s="15" t="str">
        <f>IFERROR(VLOOKUP(I553,material!A:D,2,0),"")</f>
        <v/>
      </c>
    </row>
    <row r="554">
      <c r="A554" s="6"/>
      <c r="B554" s="7"/>
      <c r="C554" s="8" t="str">
        <f t="array" ref="C554">IFERROR(INDEX(atlas!H:H,MATCH(A554,atlas!C:C,0)),"")</f>
        <v/>
      </c>
      <c r="D554" s="8" t="str">
        <f t="array" ref="D554">IFERROR(INDEX(atlas!D:D,MATCH(A554,atlas!C:C,0)),"")</f>
        <v/>
      </c>
      <c r="E554" s="8" t="str">
        <f t="array" ref="E554">IFERROR(INDEX(atlas!F:F,MATCH(A554,atlas!C:C,0)),"")</f>
        <v/>
      </c>
      <c r="F554" s="9"/>
      <c r="G554" s="10"/>
      <c r="H554" s="11"/>
      <c r="I554" s="12" t="str">
        <f t="array" ref="I554">IFERROR(INDEX(atlas!B:B,MATCH(A554,atlas!C:C,0)),"")</f>
        <v/>
      </c>
      <c r="J554" s="8" t="str">
        <f>IFERROR(VLOOKUP(F554,tecnica!A:B,2,0),"")</f>
        <v/>
      </c>
      <c r="K554" s="8" t="str">
        <f>IFERROR(VLOOKUP(J554,tecnica!B:C,2,0),"")</f>
        <v/>
      </c>
      <c r="L554" s="13"/>
      <c r="M554" s="14" t="str">
        <f>IFERROR(VLOOKUP(I554,material!A:D,4,0),"")</f>
        <v/>
      </c>
      <c r="N554" s="14" t="str">
        <f t="shared" si="1"/>
        <v/>
      </c>
      <c r="O554" s="15" t="str">
        <f>IFERROR(VLOOKUP(I554,material!A:D,2,0),"")</f>
        <v/>
      </c>
    </row>
    <row r="555">
      <c r="A555" s="6"/>
      <c r="B555" s="7"/>
      <c r="C555" s="8" t="str">
        <f t="array" ref="C555">IFERROR(INDEX(atlas!H:H,MATCH(A555,atlas!C:C,0)),"")</f>
        <v/>
      </c>
      <c r="D555" s="8" t="str">
        <f t="array" ref="D555">IFERROR(INDEX(atlas!D:D,MATCH(A555,atlas!C:C,0)),"")</f>
        <v/>
      </c>
      <c r="E555" s="8" t="str">
        <f t="array" ref="E555">IFERROR(INDEX(atlas!F:F,MATCH(A555,atlas!C:C,0)),"")</f>
        <v/>
      </c>
      <c r="F555" s="9"/>
      <c r="G555" s="10"/>
      <c r="H555" s="11"/>
      <c r="I555" s="12" t="str">
        <f t="array" ref="I555">IFERROR(INDEX(atlas!B:B,MATCH(A555,atlas!C:C,0)),"")</f>
        <v/>
      </c>
      <c r="J555" s="8" t="str">
        <f>IFERROR(VLOOKUP(F555,tecnica!A:B,2,0),"")</f>
        <v/>
      </c>
      <c r="K555" s="8" t="str">
        <f>IFERROR(VLOOKUP(J555,tecnica!B:C,2,0),"")</f>
        <v/>
      </c>
      <c r="L555" s="13"/>
      <c r="M555" s="14" t="str">
        <f>IFERROR(VLOOKUP(I555,material!A:D,4,0),"")</f>
        <v/>
      </c>
      <c r="N555" s="14" t="str">
        <f t="shared" si="1"/>
        <v/>
      </c>
      <c r="O555" s="15" t="str">
        <f>IFERROR(VLOOKUP(I555,material!A:D,2,0),"")</f>
        <v/>
      </c>
    </row>
    <row r="556">
      <c r="A556" s="6"/>
      <c r="B556" s="7"/>
      <c r="C556" s="8" t="str">
        <f t="array" ref="C556">IFERROR(INDEX(atlas!H:H,MATCH(A556,atlas!C:C,0)),"")</f>
        <v/>
      </c>
      <c r="D556" s="8" t="str">
        <f t="array" ref="D556">IFERROR(INDEX(atlas!D:D,MATCH(A556,atlas!C:C,0)),"")</f>
        <v/>
      </c>
      <c r="E556" s="8" t="str">
        <f t="array" ref="E556">IFERROR(INDEX(atlas!F:F,MATCH(A556,atlas!C:C,0)),"")</f>
        <v/>
      </c>
      <c r="F556" s="9"/>
      <c r="G556" s="10"/>
      <c r="H556" s="11"/>
      <c r="I556" s="12" t="str">
        <f t="array" ref="I556">IFERROR(INDEX(atlas!B:B,MATCH(A556,atlas!C:C,0)),"")</f>
        <v/>
      </c>
      <c r="J556" s="8" t="str">
        <f>IFERROR(VLOOKUP(F556,tecnica!A:B,2,0),"")</f>
        <v/>
      </c>
      <c r="K556" s="8" t="str">
        <f>IFERROR(VLOOKUP(J556,tecnica!B:C,2,0),"")</f>
        <v/>
      </c>
      <c r="L556" s="13"/>
      <c r="M556" s="14" t="str">
        <f>IFERROR(VLOOKUP(I556,material!A:D,4,0),"")</f>
        <v/>
      </c>
      <c r="N556" s="14" t="str">
        <f t="shared" si="1"/>
        <v/>
      </c>
      <c r="O556" s="15" t="str">
        <f>IFERROR(VLOOKUP(I556,material!A:D,2,0),"")</f>
        <v/>
      </c>
    </row>
    <row r="557">
      <c r="A557" s="6"/>
      <c r="B557" s="7"/>
      <c r="C557" s="8" t="str">
        <f t="array" ref="C557">IFERROR(INDEX(atlas!H:H,MATCH(A557,atlas!C:C,0)),"")</f>
        <v/>
      </c>
      <c r="D557" s="8" t="str">
        <f t="array" ref="D557">IFERROR(INDEX(atlas!D:D,MATCH(A557,atlas!C:C,0)),"")</f>
        <v/>
      </c>
      <c r="E557" s="8" t="str">
        <f t="array" ref="E557">IFERROR(INDEX(atlas!F:F,MATCH(A557,atlas!C:C,0)),"")</f>
        <v/>
      </c>
      <c r="F557" s="9"/>
      <c r="G557" s="10"/>
      <c r="H557" s="11"/>
      <c r="I557" s="12" t="str">
        <f t="array" ref="I557">IFERROR(INDEX(atlas!B:B,MATCH(A557,atlas!C:C,0)),"")</f>
        <v/>
      </c>
      <c r="J557" s="8" t="str">
        <f>IFERROR(VLOOKUP(F557,tecnica!A:B,2,0),"")</f>
        <v/>
      </c>
      <c r="K557" s="8" t="str">
        <f>IFERROR(VLOOKUP(J557,tecnica!B:C,2,0),"")</f>
        <v/>
      </c>
      <c r="L557" s="13"/>
      <c r="M557" s="14" t="str">
        <f>IFERROR(VLOOKUP(I557,material!A:D,4,0),"")</f>
        <v/>
      </c>
      <c r="N557" s="14" t="str">
        <f t="shared" si="1"/>
        <v/>
      </c>
      <c r="O557" s="15" t="str">
        <f>IFERROR(VLOOKUP(I557,material!A:D,2,0),"")</f>
        <v/>
      </c>
    </row>
    <row r="558">
      <c r="A558" s="6"/>
      <c r="B558" s="7"/>
      <c r="C558" s="8" t="str">
        <f t="array" ref="C558">IFERROR(INDEX(atlas!H:H,MATCH(A558,atlas!C:C,0)),"")</f>
        <v/>
      </c>
      <c r="D558" s="8" t="str">
        <f t="array" ref="D558">IFERROR(INDEX(atlas!D:D,MATCH(A558,atlas!C:C,0)),"")</f>
        <v/>
      </c>
      <c r="E558" s="8" t="str">
        <f t="array" ref="E558">IFERROR(INDEX(atlas!F:F,MATCH(A558,atlas!C:C,0)),"")</f>
        <v/>
      </c>
      <c r="F558" s="9"/>
      <c r="G558" s="10"/>
      <c r="H558" s="11"/>
      <c r="I558" s="12" t="str">
        <f t="array" ref="I558">IFERROR(INDEX(atlas!B:B,MATCH(A558,atlas!C:C,0)),"")</f>
        <v/>
      </c>
      <c r="J558" s="8" t="str">
        <f>IFERROR(VLOOKUP(F558,tecnica!A:B,2,0),"")</f>
        <v/>
      </c>
      <c r="K558" s="8" t="str">
        <f>IFERROR(VLOOKUP(J558,tecnica!B:C,2,0),"")</f>
        <v/>
      </c>
      <c r="L558" s="13"/>
      <c r="M558" s="14" t="str">
        <f>IFERROR(VLOOKUP(I558,material!A:D,4,0),"")</f>
        <v/>
      </c>
      <c r="N558" s="14" t="str">
        <f t="shared" si="1"/>
        <v/>
      </c>
      <c r="O558" s="15" t="str">
        <f>IFERROR(VLOOKUP(I558,material!A:D,2,0),"")</f>
        <v/>
      </c>
    </row>
    <row r="559">
      <c r="A559" s="6"/>
      <c r="B559" s="7"/>
      <c r="C559" s="8" t="str">
        <f t="array" ref="C559">IFERROR(INDEX(atlas!H:H,MATCH(A559,atlas!C:C,0)),"")</f>
        <v/>
      </c>
      <c r="D559" s="8" t="str">
        <f t="array" ref="D559">IFERROR(INDEX(atlas!D:D,MATCH(A559,atlas!C:C,0)),"")</f>
        <v/>
      </c>
      <c r="E559" s="8" t="str">
        <f t="array" ref="E559">IFERROR(INDEX(atlas!F:F,MATCH(A559,atlas!C:C,0)),"")</f>
        <v/>
      </c>
      <c r="F559" s="9"/>
      <c r="G559" s="10"/>
      <c r="H559" s="11"/>
      <c r="I559" s="12" t="str">
        <f t="array" ref="I559">IFERROR(INDEX(atlas!B:B,MATCH(A559,atlas!C:C,0)),"")</f>
        <v/>
      </c>
      <c r="J559" s="8" t="str">
        <f>IFERROR(VLOOKUP(F559,tecnica!A:B,2,0),"")</f>
        <v/>
      </c>
      <c r="K559" s="8" t="str">
        <f>IFERROR(VLOOKUP(J559,tecnica!B:C,2,0),"")</f>
        <v/>
      </c>
      <c r="L559" s="13"/>
      <c r="M559" s="14" t="str">
        <f>IFERROR(VLOOKUP(I559,material!A:D,4,0),"")</f>
        <v/>
      </c>
      <c r="N559" s="14" t="str">
        <f t="shared" si="1"/>
        <v/>
      </c>
      <c r="O559" s="15" t="str">
        <f>IFERROR(VLOOKUP(I559,material!A:D,2,0),"")</f>
        <v/>
      </c>
    </row>
    <row r="560">
      <c r="A560" s="6"/>
      <c r="B560" s="7"/>
      <c r="C560" s="8" t="str">
        <f t="array" ref="C560">IFERROR(INDEX(atlas!H:H,MATCH(A560,atlas!C:C,0)),"")</f>
        <v/>
      </c>
      <c r="D560" s="8" t="str">
        <f t="array" ref="D560">IFERROR(INDEX(atlas!D:D,MATCH(A560,atlas!C:C,0)),"")</f>
        <v/>
      </c>
      <c r="E560" s="8" t="str">
        <f t="array" ref="E560">IFERROR(INDEX(atlas!F:F,MATCH(A560,atlas!C:C,0)),"")</f>
        <v/>
      </c>
      <c r="F560" s="9"/>
      <c r="G560" s="10"/>
      <c r="H560" s="11"/>
      <c r="I560" s="12" t="str">
        <f t="array" ref="I560">IFERROR(INDEX(atlas!B:B,MATCH(A560,atlas!C:C,0)),"")</f>
        <v/>
      </c>
      <c r="J560" s="8" t="str">
        <f>IFERROR(VLOOKUP(F560,tecnica!A:B,2,0),"")</f>
        <v/>
      </c>
      <c r="K560" s="8" t="str">
        <f>IFERROR(VLOOKUP(J560,tecnica!B:C,2,0),"")</f>
        <v/>
      </c>
      <c r="L560" s="13"/>
      <c r="M560" s="14" t="str">
        <f>IFERROR(VLOOKUP(I560,material!A:D,4,0),"")</f>
        <v/>
      </c>
      <c r="N560" s="14" t="str">
        <f t="shared" si="1"/>
        <v/>
      </c>
      <c r="O560" s="15" t="str">
        <f>IFERROR(VLOOKUP(I560,material!A:D,2,0),"")</f>
        <v/>
      </c>
    </row>
    <row r="561">
      <c r="A561" s="6"/>
      <c r="B561" s="7"/>
      <c r="C561" s="8" t="str">
        <f t="array" ref="C561">IFERROR(INDEX(atlas!H:H,MATCH(A561,atlas!C:C,0)),"")</f>
        <v/>
      </c>
      <c r="D561" s="8" t="str">
        <f t="array" ref="D561">IFERROR(INDEX(atlas!D:D,MATCH(A561,atlas!C:C,0)),"")</f>
        <v/>
      </c>
      <c r="E561" s="8" t="str">
        <f t="array" ref="E561">IFERROR(INDEX(atlas!F:F,MATCH(A561,atlas!C:C,0)),"")</f>
        <v/>
      </c>
      <c r="F561" s="9"/>
      <c r="G561" s="10"/>
      <c r="H561" s="11"/>
      <c r="I561" s="12" t="str">
        <f t="array" ref="I561">IFERROR(INDEX(atlas!B:B,MATCH(A561,atlas!C:C,0)),"")</f>
        <v/>
      </c>
      <c r="J561" s="8" t="str">
        <f>IFERROR(VLOOKUP(F561,tecnica!A:B,2,0),"")</f>
        <v/>
      </c>
      <c r="K561" s="8" t="str">
        <f>IFERROR(VLOOKUP(J561,tecnica!B:C,2,0),"")</f>
        <v/>
      </c>
      <c r="L561" s="13"/>
      <c r="M561" s="14" t="str">
        <f>IFERROR(VLOOKUP(I561,material!A:D,4,0),"")</f>
        <v/>
      </c>
      <c r="N561" s="14" t="str">
        <f t="shared" si="1"/>
        <v/>
      </c>
      <c r="O561" s="15" t="str">
        <f>IFERROR(VLOOKUP(I561,material!A:D,2,0),"")</f>
        <v/>
      </c>
    </row>
    <row r="562">
      <c r="A562" s="6"/>
      <c r="B562" s="7"/>
      <c r="C562" s="8" t="str">
        <f t="array" ref="C562">IFERROR(INDEX(atlas!H:H,MATCH(A562,atlas!C:C,0)),"")</f>
        <v/>
      </c>
      <c r="D562" s="8" t="str">
        <f t="array" ref="D562">IFERROR(INDEX(atlas!D:D,MATCH(A562,atlas!C:C,0)),"")</f>
        <v/>
      </c>
      <c r="E562" s="8" t="str">
        <f t="array" ref="E562">IFERROR(INDEX(atlas!F:F,MATCH(A562,atlas!C:C,0)),"")</f>
        <v/>
      </c>
      <c r="F562" s="9"/>
      <c r="G562" s="10"/>
      <c r="H562" s="11"/>
      <c r="I562" s="12" t="str">
        <f t="array" ref="I562">IFERROR(INDEX(atlas!B:B,MATCH(A562,atlas!C:C,0)),"")</f>
        <v/>
      </c>
      <c r="J562" s="8" t="str">
        <f>IFERROR(VLOOKUP(F562,tecnica!A:B,2,0),"")</f>
        <v/>
      </c>
      <c r="K562" s="8" t="str">
        <f>IFERROR(VLOOKUP(J562,tecnica!B:C,2,0),"")</f>
        <v/>
      </c>
      <c r="L562" s="13"/>
      <c r="M562" s="14" t="str">
        <f>IFERROR(VLOOKUP(I562,material!A:D,4,0),"")</f>
        <v/>
      </c>
      <c r="N562" s="14" t="str">
        <f t="shared" si="1"/>
        <v/>
      </c>
      <c r="O562" s="15" t="str">
        <f>IFERROR(VLOOKUP(I562,material!A:D,2,0),"")</f>
        <v/>
      </c>
    </row>
    <row r="563">
      <c r="A563" s="6"/>
      <c r="B563" s="7"/>
      <c r="C563" s="8" t="str">
        <f t="array" ref="C563">IFERROR(INDEX(atlas!H:H,MATCH(A563,atlas!C:C,0)),"")</f>
        <v/>
      </c>
      <c r="D563" s="8" t="str">
        <f t="array" ref="D563">IFERROR(INDEX(atlas!D:D,MATCH(A563,atlas!C:C,0)),"")</f>
        <v/>
      </c>
      <c r="E563" s="8" t="str">
        <f t="array" ref="E563">IFERROR(INDEX(atlas!F:F,MATCH(A563,atlas!C:C,0)),"")</f>
        <v/>
      </c>
      <c r="F563" s="9"/>
      <c r="G563" s="10"/>
      <c r="H563" s="11"/>
      <c r="I563" s="12" t="str">
        <f t="array" ref="I563">IFERROR(INDEX(atlas!B:B,MATCH(A563,atlas!C:C,0)),"")</f>
        <v/>
      </c>
      <c r="J563" s="8" t="str">
        <f>IFERROR(VLOOKUP(F563,tecnica!A:B,2,0),"")</f>
        <v/>
      </c>
      <c r="K563" s="8" t="str">
        <f>IFERROR(VLOOKUP(J563,tecnica!B:C,2,0),"")</f>
        <v/>
      </c>
      <c r="L563" s="13"/>
      <c r="M563" s="14" t="str">
        <f>IFERROR(VLOOKUP(I563,material!A:D,4,0),"")</f>
        <v/>
      </c>
      <c r="N563" s="14" t="str">
        <f t="shared" si="1"/>
        <v/>
      </c>
      <c r="O563" s="15" t="str">
        <f>IFERROR(VLOOKUP(I563,material!A:D,2,0),"")</f>
        <v/>
      </c>
    </row>
    <row r="564">
      <c r="A564" s="6"/>
      <c r="B564" s="7"/>
      <c r="C564" s="8" t="str">
        <f t="array" ref="C564">IFERROR(INDEX(atlas!H:H,MATCH(A564,atlas!C:C,0)),"")</f>
        <v/>
      </c>
      <c r="D564" s="8" t="str">
        <f t="array" ref="D564">IFERROR(INDEX(atlas!D:D,MATCH(A564,atlas!C:C,0)),"")</f>
        <v/>
      </c>
      <c r="E564" s="8" t="str">
        <f t="array" ref="E564">IFERROR(INDEX(atlas!F:F,MATCH(A564,atlas!C:C,0)),"")</f>
        <v/>
      </c>
      <c r="F564" s="9"/>
      <c r="G564" s="10"/>
      <c r="H564" s="11"/>
      <c r="I564" s="12" t="str">
        <f t="array" ref="I564">IFERROR(INDEX(atlas!B:B,MATCH(A564,atlas!C:C,0)),"")</f>
        <v/>
      </c>
      <c r="J564" s="8" t="str">
        <f>IFERROR(VLOOKUP(F564,tecnica!A:B,2,0),"")</f>
        <v/>
      </c>
      <c r="K564" s="8" t="str">
        <f>IFERROR(VLOOKUP(J564,tecnica!B:C,2,0),"")</f>
        <v/>
      </c>
      <c r="L564" s="13"/>
      <c r="M564" s="14" t="str">
        <f>IFERROR(VLOOKUP(I564,material!A:D,4,0),"")</f>
        <v/>
      </c>
      <c r="N564" s="14" t="str">
        <f t="shared" si="1"/>
        <v/>
      </c>
      <c r="O564" s="15" t="str">
        <f>IFERROR(VLOOKUP(I564,material!A:D,2,0),"")</f>
        <v/>
      </c>
    </row>
    <row r="565">
      <c r="A565" s="6"/>
      <c r="B565" s="7"/>
      <c r="C565" s="8" t="str">
        <f t="array" ref="C565">IFERROR(INDEX(atlas!H:H,MATCH(A565,atlas!C:C,0)),"")</f>
        <v/>
      </c>
      <c r="D565" s="8" t="str">
        <f t="array" ref="D565">IFERROR(INDEX(atlas!D:D,MATCH(A565,atlas!C:C,0)),"")</f>
        <v/>
      </c>
      <c r="E565" s="8" t="str">
        <f t="array" ref="E565">IFERROR(INDEX(atlas!F:F,MATCH(A565,atlas!C:C,0)),"")</f>
        <v/>
      </c>
      <c r="F565" s="9"/>
      <c r="G565" s="10"/>
      <c r="H565" s="11"/>
      <c r="I565" s="12" t="str">
        <f t="array" ref="I565">IFERROR(INDEX(atlas!B:B,MATCH(A565,atlas!C:C,0)),"")</f>
        <v/>
      </c>
      <c r="J565" s="8" t="str">
        <f>IFERROR(VLOOKUP(F565,tecnica!A:B,2,0),"")</f>
        <v/>
      </c>
      <c r="K565" s="8" t="str">
        <f>IFERROR(VLOOKUP(J565,tecnica!B:C,2,0),"")</f>
        <v/>
      </c>
      <c r="L565" s="13"/>
      <c r="M565" s="14" t="str">
        <f>IFERROR(VLOOKUP(I565,material!A:D,4,0),"")</f>
        <v/>
      </c>
      <c r="N565" s="14" t="str">
        <f t="shared" si="1"/>
        <v/>
      </c>
      <c r="O565" s="15" t="str">
        <f>IFERROR(VLOOKUP(I565,material!A:D,2,0),"")</f>
        <v/>
      </c>
    </row>
    <row r="566">
      <c r="A566" s="6"/>
      <c r="B566" s="7"/>
      <c r="C566" s="8" t="str">
        <f t="array" ref="C566">IFERROR(INDEX(atlas!H:H,MATCH(A566,atlas!C:C,0)),"")</f>
        <v/>
      </c>
      <c r="D566" s="8" t="str">
        <f t="array" ref="D566">IFERROR(INDEX(atlas!D:D,MATCH(A566,atlas!C:C,0)),"")</f>
        <v/>
      </c>
      <c r="E566" s="8" t="str">
        <f t="array" ref="E566">IFERROR(INDEX(atlas!F:F,MATCH(A566,atlas!C:C,0)),"")</f>
        <v/>
      </c>
      <c r="F566" s="9"/>
      <c r="G566" s="10"/>
      <c r="H566" s="11"/>
      <c r="I566" s="12" t="str">
        <f t="array" ref="I566">IFERROR(INDEX(atlas!B:B,MATCH(A566,atlas!C:C,0)),"")</f>
        <v/>
      </c>
      <c r="J566" s="8" t="str">
        <f>IFERROR(VLOOKUP(F566,tecnica!A:B,2,0),"")</f>
        <v/>
      </c>
      <c r="K566" s="8" t="str">
        <f>IFERROR(VLOOKUP(J566,tecnica!B:C,2,0),"")</f>
        <v/>
      </c>
      <c r="L566" s="13"/>
      <c r="M566" s="14" t="str">
        <f>IFERROR(VLOOKUP(I566,material!A:D,4,0),"")</f>
        <v/>
      </c>
      <c r="N566" s="14" t="str">
        <f t="shared" si="1"/>
        <v/>
      </c>
      <c r="O566" s="15" t="str">
        <f>IFERROR(VLOOKUP(I566,material!A:D,2,0),"")</f>
        <v/>
      </c>
    </row>
    <row r="567">
      <c r="A567" s="6"/>
      <c r="B567" s="7"/>
      <c r="C567" s="8" t="str">
        <f t="array" ref="C567">IFERROR(INDEX(atlas!H:H,MATCH(A567,atlas!C:C,0)),"")</f>
        <v/>
      </c>
      <c r="D567" s="8" t="str">
        <f t="array" ref="D567">IFERROR(INDEX(atlas!D:D,MATCH(A567,atlas!C:C,0)),"")</f>
        <v/>
      </c>
      <c r="E567" s="8" t="str">
        <f t="array" ref="E567">IFERROR(INDEX(atlas!F:F,MATCH(A567,atlas!C:C,0)),"")</f>
        <v/>
      </c>
      <c r="F567" s="9"/>
      <c r="G567" s="10"/>
      <c r="H567" s="11"/>
      <c r="I567" s="12" t="str">
        <f t="array" ref="I567">IFERROR(INDEX(atlas!B:B,MATCH(A567,atlas!C:C,0)),"")</f>
        <v/>
      </c>
      <c r="J567" s="8" t="str">
        <f>IFERROR(VLOOKUP(F567,tecnica!A:B,2,0),"")</f>
        <v/>
      </c>
      <c r="K567" s="8" t="str">
        <f>IFERROR(VLOOKUP(J567,tecnica!B:C,2,0),"")</f>
        <v/>
      </c>
      <c r="L567" s="13"/>
      <c r="M567" s="14" t="str">
        <f>IFERROR(VLOOKUP(I567,material!A:D,4,0),"")</f>
        <v/>
      </c>
      <c r="N567" s="14" t="str">
        <f t="shared" si="1"/>
        <v/>
      </c>
      <c r="O567" s="15" t="str">
        <f>IFERROR(VLOOKUP(I567,material!A:D,2,0),"")</f>
        <v/>
      </c>
    </row>
    <row r="568">
      <c r="A568" s="6"/>
      <c r="B568" s="7"/>
      <c r="C568" s="8" t="str">
        <f t="array" ref="C568">IFERROR(INDEX(atlas!H:H,MATCH(A568,atlas!C:C,0)),"")</f>
        <v/>
      </c>
      <c r="D568" s="8" t="str">
        <f t="array" ref="D568">IFERROR(INDEX(atlas!D:D,MATCH(A568,atlas!C:C,0)),"")</f>
        <v/>
      </c>
      <c r="E568" s="8" t="str">
        <f t="array" ref="E568">IFERROR(INDEX(atlas!F:F,MATCH(A568,atlas!C:C,0)),"")</f>
        <v/>
      </c>
      <c r="F568" s="9"/>
      <c r="G568" s="10"/>
      <c r="H568" s="11"/>
      <c r="I568" s="12" t="str">
        <f t="array" ref="I568">IFERROR(INDEX(atlas!B:B,MATCH(A568,atlas!C:C,0)),"")</f>
        <v/>
      </c>
      <c r="J568" s="8" t="str">
        <f>IFERROR(VLOOKUP(F568,tecnica!A:B,2,0),"")</f>
        <v/>
      </c>
      <c r="K568" s="8" t="str">
        <f>IFERROR(VLOOKUP(J568,tecnica!B:C,2,0),"")</f>
        <v/>
      </c>
      <c r="L568" s="13"/>
      <c r="M568" s="14" t="str">
        <f>IFERROR(VLOOKUP(I568,material!A:D,4,0),"")</f>
        <v/>
      </c>
      <c r="N568" s="14" t="str">
        <f t="shared" si="1"/>
        <v/>
      </c>
      <c r="O568" s="15" t="str">
        <f>IFERROR(VLOOKUP(I568,material!A:D,2,0),"")</f>
        <v/>
      </c>
    </row>
    <row r="569">
      <c r="A569" s="6"/>
      <c r="B569" s="7"/>
      <c r="C569" s="8" t="str">
        <f t="array" ref="C569">IFERROR(INDEX(atlas!H:H,MATCH(A569,atlas!C:C,0)),"")</f>
        <v/>
      </c>
      <c r="D569" s="8" t="str">
        <f t="array" ref="D569">IFERROR(INDEX(atlas!D:D,MATCH(A569,atlas!C:C,0)),"")</f>
        <v/>
      </c>
      <c r="E569" s="8" t="str">
        <f t="array" ref="E569">IFERROR(INDEX(atlas!F:F,MATCH(A569,atlas!C:C,0)),"")</f>
        <v/>
      </c>
      <c r="F569" s="9"/>
      <c r="G569" s="10"/>
      <c r="H569" s="11"/>
      <c r="I569" s="12" t="str">
        <f t="array" ref="I569">IFERROR(INDEX(atlas!B:B,MATCH(A569,atlas!C:C,0)),"")</f>
        <v/>
      </c>
      <c r="J569" s="8" t="str">
        <f>IFERROR(VLOOKUP(F569,tecnica!A:B,2,0),"")</f>
        <v/>
      </c>
      <c r="K569" s="8" t="str">
        <f>IFERROR(VLOOKUP(J569,tecnica!B:C,2,0),"")</f>
        <v/>
      </c>
      <c r="L569" s="13"/>
      <c r="M569" s="14" t="str">
        <f>IFERROR(VLOOKUP(I569,material!A:D,4,0),"")</f>
        <v/>
      </c>
      <c r="N569" s="14" t="str">
        <f t="shared" si="1"/>
        <v/>
      </c>
      <c r="O569" s="15" t="str">
        <f>IFERROR(VLOOKUP(I569,material!A:D,2,0),"")</f>
        <v/>
      </c>
    </row>
    <row r="570">
      <c r="A570" s="6"/>
      <c r="B570" s="7"/>
      <c r="C570" s="8" t="str">
        <f t="array" ref="C570">IFERROR(INDEX(atlas!H:H,MATCH(A570,atlas!C:C,0)),"")</f>
        <v/>
      </c>
      <c r="D570" s="8" t="str">
        <f t="array" ref="D570">IFERROR(INDEX(atlas!D:D,MATCH(A570,atlas!C:C,0)),"")</f>
        <v/>
      </c>
      <c r="E570" s="8" t="str">
        <f t="array" ref="E570">IFERROR(INDEX(atlas!F:F,MATCH(A570,atlas!C:C,0)),"")</f>
        <v/>
      </c>
      <c r="F570" s="9"/>
      <c r="G570" s="10"/>
      <c r="H570" s="11"/>
      <c r="I570" s="12" t="str">
        <f t="array" ref="I570">IFERROR(INDEX(atlas!B:B,MATCH(A570,atlas!C:C,0)),"")</f>
        <v/>
      </c>
      <c r="J570" s="8" t="str">
        <f>IFERROR(VLOOKUP(F570,tecnica!A:B,2,0),"")</f>
        <v/>
      </c>
      <c r="K570" s="8" t="str">
        <f>IFERROR(VLOOKUP(J570,tecnica!B:C,2,0),"")</f>
        <v/>
      </c>
      <c r="L570" s="13"/>
      <c r="M570" s="14" t="str">
        <f>IFERROR(VLOOKUP(I570,material!A:D,4,0),"")</f>
        <v/>
      </c>
      <c r="N570" s="14" t="str">
        <f t="shared" si="1"/>
        <v/>
      </c>
      <c r="O570" s="15" t="str">
        <f>IFERROR(VLOOKUP(I570,material!A:D,2,0),"")</f>
        <v/>
      </c>
    </row>
    <row r="571">
      <c r="A571" s="6"/>
      <c r="B571" s="7"/>
      <c r="C571" s="8" t="str">
        <f t="array" ref="C571">IFERROR(INDEX(atlas!H:H,MATCH(A571,atlas!C:C,0)),"")</f>
        <v/>
      </c>
      <c r="D571" s="8" t="str">
        <f t="array" ref="D571">IFERROR(INDEX(atlas!D:D,MATCH(A571,atlas!C:C,0)),"")</f>
        <v/>
      </c>
      <c r="E571" s="8" t="str">
        <f t="array" ref="E571">IFERROR(INDEX(atlas!F:F,MATCH(A571,atlas!C:C,0)),"")</f>
        <v/>
      </c>
      <c r="F571" s="9"/>
      <c r="G571" s="10"/>
      <c r="H571" s="11"/>
      <c r="I571" s="12" t="str">
        <f t="array" ref="I571">IFERROR(INDEX(atlas!B:B,MATCH(A571,atlas!C:C,0)),"")</f>
        <v/>
      </c>
      <c r="J571" s="8" t="str">
        <f>IFERROR(VLOOKUP(F571,tecnica!A:B,2,0),"")</f>
        <v/>
      </c>
      <c r="K571" s="8" t="str">
        <f>IFERROR(VLOOKUP(J571,tecnica!B:C,2,0),"")</f>
        <v/>
      </c>
      <c r="L571" s="13"/>
      <c r="M571" s="14" t="str">
        <f>IFERROR(VLOOKUP(I571,material!A:D,4,0),"")</f>
        <v/>
      </c>
      <c r="N571" s="14" t="str">
        <f t="shared" si="1"/>
        <v/>
      </c>
      <c r="O571" s="15" t="str">
        <f>IFERROR(VLOOKUP(I571,material!A:D,2,0),"")</f>
        <v/>
      </c>
    </row>
    <row r="572">
      <c r="A572" s="6"/>
      <c r="B572" s="7"/>
      <c r="C572" s="8" t="str">
        <f t="array" ref="C572">IFERROR(INDEX(atlas!H:H,MATCH(A572,atlas!C:C,0)),"")</f>
        <v/>
      </c>
      <c r="D572" s="8" t="str">
        <f t="array" ref="D572">IFERROR(INDEX(atlas!D:D,MATCH(A572,atlas!C:C,0)),"")</f>
        <v/>
      </c>
      <c r="E572" s="8" t="str">
        <f t="array" ref="E572">IFERROR(INDEX(atlas!F:F,MATCH(A572,atlas!C:C,0)),"")</f>
        <v/>
      </c>
      <c r="F572" s="9"/>
      <c r="G572" s="10"/>
      <c r="H572" s="11"/>
      <c r="I572" s="12" t="str">
        <f t="array" ref="I572">IFERROR(INDEX(atlas!B:B,MATCH(A572,atlas!C:C,0)),"")</f>
        <v/>
      </c>
      <c r="J572" s="8" t="str">
        <f>IFERROR(VLOOKUP(F572,tecnica!A:B,2,0),"")</f>
        <v/>
      </c>
      <c r="K572" s="8" t="str">
        <f>IFERROR(VLOOKUP(J572,tecnica!B:C,2,0),"")</f>
        <v/>
      </c>
      <c r="L572" s="13"/>
      <c r="M572" s="14" t="str">
        <f>IFERROR(VLOOKUP(I572,material!A:D,4,0),"")</f>
        <v/>
      </c>
      <c r="N572" s="14" t="str">
        <f t="shared" si="1"/>
        <v/>
      </c>
      <c r="O572" s="15" t="str">
        <f>IFERROR(VLOOKUP(I572,material!A:D,2,0),"")</f>
        <v/>
      </c>
    </row>
    <row r="573">
      <c r="A573" s="6"/>
      <c r="B573" s="7"/>
      <c r="C573" s="8" t="str">
        <f t="array" ref="C573">IFERROR(INDEX(atlas!H:H,MATCH(A573,atlas!C:C,0)),"")</f>
        <v/>
      </c>
      <c r="D573" s="8" t="str">
        <f t="array" ref="D573">IFERROR(INDEX(atlas!D:D,MATCH(A573,atlas!C:C,0)),"")</f>
        <v/>
      </c>
      <c r="E573" s="8" t="str">
        <f t="array" ref="E573">IFERROR(INDEX(atlas!F:F,MATCH(A573,atlas!C:C,0)),"")</f>
        <v/>
      </c>
      <c r="F573" s="9"/>
      <c r="G573" s="10"/>
      <c r="H573" s="11"/>
      <c r="I573" s="12" t="str">
        <f t="array" ref="I573">IFERROR(INDEX(atlas!B:B,MATCH(A573,atlas!C:C,0)),"")</f>
        <v/>
      </c>
      <c r="J573" s="8" t="str">
        <f>IFERROR(VLOOKUP(F573,tecnica!A:B,2,0),"")</f>
        <v/>
      </c>
      <c r="K573" s="8" t="str">
        <f>IFERROR(VLOOKUP(J573,tecnica!B:C,2,0),"")</f>
        <v/>
      </c>
      <c r="L573" s="13"/>
      <c r="M573" s="14" t="str">
        <f>IFERROR(VLOOKUP(I573,material!A:D,4,0),"")</f>
        <v/>
      </c>
      <c r="N573" s="14" t="str">
        <f t="shared" si="1"/>
        <v/>
      </c>
      <c r="O573" s="15" t="str">
        <f>IFERROR(VLOOKUP(I573,material!A:D,2,0),"")</f>
        <v/>
      </c>
    </row>
    <row r="574">
      <c r="A574" s="6"/>
      <c r="B574" s="7"/>
      <c r="C574" s="8" t="str">
        <f t="array" ref="C574">IFERROR(INDEX(atlas!H:H,MATCH(A574,atlas!C:C,0)),"")</f>
        <v/>
      </c>
      <c r="D574" s="8" t="str">
        <f t="array" ref="D574">IFERROR(INDEX(atlas!D:D,MATCH(A574,atlas!C:C,0)),"")</f>
        <v/>
      </c>
      <c r="E574" s="8" t="str">
        <f t="array" ref="E574">IFERROR(INDEX(atlas!F:F,MATCH(A574,atlas!C:C,0)),"")</f>
        <v/>
      </c>
      <c r="F574" s="9"/>
      <c r="G574" s="10"/>
      <c r="H574" s="11"/>
      <c r="I574" s="12" t="str">
        <f t="array" ref="I574">IFERROR(INDEX(atlas!B:B,MATCH(A574,atlas!C:C,0)),"")</f>
        <v/>
      </c>
      <c r="J574" s="8" t="str">
        <f>IFERROR(VLOOKUP(F574,tecnica!A:B,2,0),"")</f>
        <v/>
      </c>
      <c r="K574" s="8" t="str">
        <f>IFERROR(VLOOKUP(J574,tecnica!B:C,2,0),"")</f>
        <v/>
      </c>
      <c r="L574" s="13"/>
      <c r="M574" s="14" t="str">
        <f>IFERROR(VLOOKUP(I574,material!A:D,4,0),"")</f>
        <v/>
      </c>
      <c r="N574" s="14" t="str">
        <f t="shared" si="1"/>
        <v/>
      </c>
      <c r="O574" s="15" t="str">
        <f>IFERROR(VLOOKUP(I574,material!A:D,2,0),"")</f>
        <v/>
      </c>
    </row>
    <row r="575">
      <c r="A575" s="6"/>
      <c r="B575" s="7"/>
      <c r="C575" s="8" t="str">
        <f t="array" ref="C575">IFERROR(INDEX(atlas!H:H,MATCH(A575,atlas!C:C,0)),"")</f>
        <v/>
      </c>
      <c r="D575" s="8" t="str">
        <f t="array" ref="D575">IFERROR(INDEX(atlas!D:D,MATCH(A575,atlas!C:C,0)),"")</f>
        <v/>
      </c>
      <c r="E575" s="8" t="str">
        <f t="array" ref="E575">IFERROR(INDEX(atlas!F:F,MATCH(A575,atlas!C:C,0)),"")</f>
        <v/>
      </c>
      <c r="F575" s="9"/>
      <c r="G575" s="10"/>
      <c r="H575" s="11"/>
      <c r="I575" s="12" t="str">
        <f t="array" ref="I575">IFERROR(INDEX(atlas!B:B,MATCH(A575,atlas!C:C,0)),"")</f>
        <v/>
      </c>
      <c r="J575" s="8" t="str">
        <f>IFERROR(VLOOKUP(F575,tecnica!A:B,2,0),"")</f>
        <v/>
      </c>
      <c r="K575" s="8" t="str">
        <f>IFERROR(VLOOKUP(J575,tecnica!B:C,2,0),"")</f>
        <v/>
      </c>
      <c r="L575" s="13"/>
      <c r="M575" s="14" t="str">
        <f>IFERROR(VLOOKUP(I575,material!A:D,4,0),"")</f>
        <v/>
      </c>
      <c r="N575" s="14" t="str">
        <f t="shared" si="1"/>
        <v/>
      </c>
      <c r="O575" s="15" t="str">
        <f>IFERROR(VLOOKUP(I575,material!A:D,2,0),"")</f>
        <v/>
      </c>
    </row>
    <row r="576">
      <c r="A576" s="6"/>
      <c r="B576" s="7"/>
      <c r="C576" s="8" t="str">
        <f t="array" ref="C576">IFERROR(INDEX(atlas!H:H,MATCH(A576,atlas!C:C,0)),"")</f>
        <v/>
      </c>
      <c r="D576" s="8" t="str">
        <f t="array" ref="D576">IFERROR(INDEX(atlas!D:D,MATCH(A576,atlas!C:C,0)),"")</f>
        <v/>
      </c>
      <c r="E576" s="8" t="str">
        <f t="array" ref="E576">IFERROR(INDEX(atlas!F:F,MATCH(A576,atlas!C:C,0)),"")</f>
        <v/>
      </c>
      <c r="F576" s="9"/>
      <c r="G576" s="10"/>
      <c r="H576" s="11"/>
      <c r="I576" s="12" t="str">
        <f t="array" ref="I576">IFERROR(INDEX(atlas!B:B,MATCH(A576,atlas!C:C,0)),"")</f>
        <v/>
      </c>
      <c r="J576" s="8" t="str">
        <f>IFERROR(VLOOKUP(F576,tecnica!A:B,2,0),"")</f>
        <v/>
      </c>
      <c r="K576" s="8" t="str">
        <f>IFERROR(VLOOKUP(J576,tecnica!B:C,2,0),"")</f>
        <v/>
      </c>
      <c r="L576" s="13"/>
      <c r="M576" s="14" t="str">
        <f>IFERROR(VLOOKUP(I576,material!A:D,4,0),"")</f>
        <v/>
      </c>
      <c r="N576" s="14" t="str">
        <f t="shared" si="1"/>
        <v/>
      </c>
      <c r="O576" s="15" t="str">
        <f>IFERROR(VLOOKUP(I576,material!A:D,2,0),"")</f>
        <v/>
      </c>
    </row>
    <row r="577">
      <c r="A577" s="6"/>
      <c r="B577" s="7"/>
      <c r="C577" s="8" t="str">
        <f t="array" ref="C577">IFERROR(INDEX(atlas!H:H,MATCH(A577,atlas!C:C,0)),"")</f>
        <v/>
      </c>
      <c r="D577" s="8" t="str">
        <f t="array" ref="D577">IFERROR(INDEX(atlas!D:D,MATCH(A577,atlas!C:C,0)),"")</f>
        <v/>
      </c>
      <c r="E577" s="8" t="str">
        <f t="array" ref="E577">IFERROR(INDEX(atlas!F:F,MATCH(A577,atlas!C:C,0)),"")</f>
        <v/>
      </c>
      <c r="F577" s="9"/>
      <c r="G577" s="10"/>
      <c r="H577" s="11"/>
      <c r="I577" s="12" t="str">
        <f t="array" ref="I577">IFERROR(INDEX(atlas!B:B,MATCH(A577,atlas!C:C,0)),"")</f>
        <v/>
      </c>
      <c r="J577" s="8" t="str">
        <f>IFERROR(VLOOKUP(F577,tecnica!A:B,2,0),"")</f>
        <v/>
      </c>
      <c r="K577" s="8" t="str">
        <f>IFERROR(VLOOKUP(J577,tecnica!B:C,2,0),"")</f>
        <v/>
      </c>
      <c r="L577" s="13"/>
      <c r="M577" s="14" t="str">
        <f>IFERROR(VLOOKUP(I577,material!A:D,4,0),"")</f>
        <v/>
      </c>
      <c r="N577" s="14" t="str">
        <f t="shared" si="1"/>
        <v/>
      </c>
      <c r="O577" s="15" t="str">
        <f>IFERROR(VLOOKUP(I577,material!A:D,2,0),"")</f>
        <v/>
      </c>
    </row>
    <row r="578">
      <c r="A578" s="6"/>
      <c r="B578" s="7"/>
      <c r="C578" s="8" t="str">
        <f t="array" ref="C578">IFERROR(INDEX(atlas!H:H,MATCH(A578,atlas!C:C,0)),"")</f>
        <v/>
      </c>
      <c r="D578" s="8" t="str">
        <f t="array" ref="D578">IFERROR(INDEX(atlas!D:D,MATCH(A578,atlas!C:C,0)),"")</f>
        <v/>
      </c>
      <c r="E578" s="8" t="str">
        <f t="array" ref="E578">IFERROR(INDEX(atlas!F:F,MATCH(A578,atlas!C:C,0)),"")</f>
        <v/>
      </c>
      <c r="F578" s="9"/>
      <c r="G578" s="10"/>
      <c r="H578" s="11"/>
      <c r="I578" s="12" t="str">
        <f t="array" ref="I578">IFERROR(INDEX(atlas!B:B,MATCH(A578,atlas!C:C,0)),"")</f>
        <v/>
      </c>
      <c r="J578" s="8" t="str">
        <f>IFERROR(VLOOKUP(F578,tecnica!A:B,2,0),"")</f>
        <v/>
      </c>
      <c r="K578" s="8" t="str">
        <f>IFERROR(VLOOKUP(J578,tecnica!B:C,2,0),"")</f>
        <v/>
      </c>
      <c r="L578" s="13"/>
      <c r="M578" s="14" t="str">
        <f>IFERROR(VLOOKUP(I578,material!A:D,4,0),"")</f>
        <v/>
      </c>
      <c r="N578" s="14" t="str">
        <f t="shared" si="1"/>
        <v/>
      </c>
      <c r="O578" s="15" t="str">
        <f>IFERROR(VLOOKUP(I578,material!A:D,2,0),"")</f>
        <v/>
      </c>
    </row>
    <row r="579">
      <c r="A579" s="6"/>
      <c r="B579" s="7"/>
      <c r="C579" s="8" t="str">
        <f t="array" ref="C579">IFERROR(INDEX(atlas!H:H,MATCH(A579,atlas!C:C,0)),"")</f>
        <v/>
      </c>
      <c r="D579" s="8" t="str">
        <f t="array" ref="D579">IFERROR(INDEX(atlas!D:D,MATCH(A579,atlas!C:C,0)),"")</f>
        <v/>
      </c>
      <c r="E579" s="8" t="str">
        <f t="array" ref="E579">IFERROR(INDEX(atlas!F:F,MATCH(A579,atlas!C:C,0)),"")</f>
        <v/>
      </c>
      <c r="F579" s="9"/>
      <c r="G579" s="10"/>
      <c r="H579" s="11"/>
      <c r="I579" s="12" t="str">
        <f t="array" ref="I579">IFERROR(INDEX(atlas!B:B,MATCH(A579,atlas!C:C,0)),"")</f>
        <v/>
      </c>
      <c r="J579" s="8" t="str">
        <f>IFERROR(VLOOKUP(F579,tecnica!A:B,2,0),"")</f>
        <v/>
      </c>
      <c r="K579" s="8" t="str">
        <f>IFERROR(VLOOKUP(J579,tecnica!B:C,2,0),"")</f>
        <v/>
      </c>
      <c r="L579" s="13"/>
      <c r="M579" s="14" t="str">
        <f>IFERROR(VLOOKUP(I579,material!A:D,4,0),"")</f>
        <v/>
      </c>
      <c r="N579" s="14" t="str">
        <f t="shared" si="1"/>
        <v/>
      </c>
      <c r="O579" s="15" t="str">
        <f>IFERROR(VLOOKUP(I579,material!A:D,2,0),"")</f>
        <v/>
      </c>
    </row>
    <row r="580">
      <c r="A580" s="6"/>
      <c r="B580" s="7"/>
      <c r="C580" s="8" t="str">
        <f t="array" ref="C580">IFERROR(INDEX(atlas!H:H,MATCH(A580,atlas!C:C,0)),"")</f>
        <v/>
      </c>
      <c r="D580" s="8" t="str">
        <f t="array" ref="D580">IFERROR(INDEX(atlas!D:D,MATCH(A580,atlas!C:C,0)),"")</f>
        <v/>
      </c>
      <c r="E580" s="8" t="str">
        <f t="array" ref="E580">IFERROR(INDEX(atlas!F:F,MATCH(A580,atlas!C:C,0)),"")</f>
        <v/>
      </c>
      <c r="F580" s="9"/>
      <c r="G580" s="10"/>
      <c r="H580" s="11"/>
      <c r="I580" s="12" t="str">
        <f t="array" ref="I580">IFERROR(INDEX(atlas!B:B,MATCH(A580,atlas!C:C,0)),"")</f>
        <v/>
      </c>
      <c r="J580" s="8" t="str">
        <f>IFERROR(VLOOKUP(F580,tecnica!A:B,2,0),"")</f>
        <v/>
      </c>
      <c r="K580" s="8" t="str">
        <f>IFERROR(VLOOKUP(J580,tecnica!B:C,2,0),"")</f>
        <v/>
      </c>
      <c r="L580" s="13"/>
      <c r="M580" s="14" t="str">
        <f>IFERROR(VLOOKUP(I580,material!A:D,4,0),"")</f>
        <v/>
      </c>
      <c r="N580" s="14" t="str">
        <f t="shared" si="1"/>
        <v/>
      </c>
      <c r="O580" s="15" t="str">
        <f>IFERROR(VLOOKUP(I580,material!A:D,2,0),"")</f>
        <v/>
      </c>
    </row>
    <row r="581">
      <c r="A581" s="6"/>
      <c r="B581" s="7"/>
      <c r="C581" s="8" t="str">
        <f t="array" ref="C581">IFERROR(INDEX(atlas!H:H,MATCH(A581,atlas!C:C,0)),"")</f>
        <v/>
      </c>
      <c r="D581" s="8" t="str">
        <f t="array" ref="D581">IFERROR(INDEX(atlas!D:D,MATCH(A581,atlas!C:C,0)),"")</f>
        <v/>
      </c>
      <c r="E581" s="8" t="str">
        <f t="array" ref="E581">IFERROR(INDEX(atlas!F:F,MATCH(A581,atlas!C:C,0)),"")</f>
        <v/>
      </c>
      <c r="F581" s="9"/>
      <c r="G581" s="10"/>
      <c r="H581" s="11"/>
      <c r="I581" s="12" t="str">
        <f t="array" ref="I581">IFERROR(INDEX(atlas!B:B,MATCH(A581,atlas!C:C,0)),"")</f>
        <v/>
      </c>
      <c r="J581" s="8" t="str">
        <f>IFERROR(VLOOKUP(F581,tecnica!A:B,2,0),"")</f>
        <v/>
      </c>
      <c r="K581" s="8" t="str">
        <f>IFERROR(VLOOKUP(J581,tecnica!B:C,2,0),"")</f>
        <v/>
      </c>
      <c r="L581" s="13"/>
      <c r="M581" s="14" t="str">
        <f>IFERROR(VLOOKUP(I581,material!A:D,4,0),"")</f>
        <v/>
      </c>
      <c r="N581" s="14" t="str">
        <f t="shared" si="1"/>
        <v/>
      </c>
      <c r="O581" s="15" t="str">
        <f>IFERROR(VLOOKUP(I581,material!A:D,2,0),"")</f>
        <v/>
      </c>
    </row>
    <row r="582">
      <c r="A582" s="6"/>
      <c r="B582" s="7"/>
      <c r="C582" s="8" t="str">
        <f t="array" ref="C582">IFERROR(INDEX(atlas!H:H,MATCH(A582,atlas!C:C,0)),"")</f>
        <v/>
      </c>
      <c r="D582" s="8" t="str">
        <f t="array" ref="D582">IFERROR(INDEX(atlas!D:D,MATCH(A582,atlas!C:C,0)),"")</f>
        <v/>
      </c>
      <c r="E582" s="8" t="str">
        <f t="array" ref="E582">IFERROR(INDEX(atlas!F:F,MATCH(A582,atlas!C:C,0)),"")</f>
        <v/>
      </c>
      <c r="F582" s="9"/>
      <c r="G582" s="10"/>
      <c r="H582" s="11"/>
      <c r="I582" s="12" t="str">
        <f t="array" ref="I582">IFERROR(INDEX(atlas!B:B,MATCH(A582,atlas!C:C,0)),"")</f>
        <v/>
      </c>
      <c r="J582" s="8" t="str">
        <f>IFERROR(VLOOKUP(F582,tecnica!A:B,2,0),"")</f>
        <v/>
      </c>
      <c r="K582" s="8" t="str">
        <f>IFERROR(VLOOKUP(J582,tecnica!B:C,2,0),"")</f>
        <v/>
      </c>
      <c r="L582" s="13"/>
      <c r="M582" s="14" t="str">
        <f>IFERROR(VLOOKUP(I582,material!A:D,4,0),"")</f>
        <v/>
      </c>
      <c r="N582" s="14" t="str">
        <f t="shared" si="1"/>
        <v/>
      </c>
      <c r="O582" s="15" t="str">
        <f>IFERROR(VLOOKUP(I582,material!A:D,2,0),"")</f>
        <v/>
      </c>
    </row>
    <row r="583">
      <c r="A583" s="6"/>
      <c r="B583" s="7"/>
      <c r="C583" s="8" t="str">
        <f t="array" ref="C583">IFERROR(INDEX(atlas!H:H,MATCH(A583,atlas!C:C,0)),"")</f>
        <v/>
      </c>
      <c r="D583" s="8" t="str">
        <f t="array" ref="D583">IFERROR(INDEX(atlas!D:D,MATCH(A583,atlas!C:C,0)),"")</f>
        <v/>
      </c>
      <c r="E583" s="8" t="str">
        <f t="array" ref="E583">IFERROR(INDEX(atlas!F:F,MATCH(A583,atlas!C:C,0)),"")</f>
        <v/>
      </c>
      <c r="F583" s="9"/>
      <c r="G583" s="10"/>
      <c r="H583" s="11"/>
      <c r="I583" s="12" t="str">
        <f t="array" ref="I583">IFERROR(INDEX(atlas!B:B,MATCH(A583,atlas!C:C,0)),"")</f>
        <v/>
      </c>
      <c r="J583" s="8" t="str">
        <f>IFERROR(VLOOKUP(F583,tecnica!A:B,2,0),"")</f>
        <v/>
      </c>
      <c r="K583" s="8" t="str">
        <f>IFERROR(VLOOKUP(J583,tecnica!B:C,2,0),"")</f>
        <v/>
      </c>
      <c r="L583" s="13"/>
      <c r="M583" s="14" t="str">
        <f>IFERROR(VLOOKUP(I583,material!A:D,4,0),"")</f>
        <v/>
      </c>
      <c r="N583" s="14" t="str">
        <f t="shared" si="1"/>
        <v/>
      </c>
      <c r="O583" s="15" t="str">
        <f>IFERROR(VLOOKUP(I583,material!A:D,2,0),"")</f>
        <v/>
      </c>
    </row>
    <row r="584">
      <c r="A584" s="6"/>
      <c r="B584" s="7"/>
      <c r="C584" s="8" t="str">
        <f t="array" ref="C584">IFERROR(INDEX(atlas!H:H,MATCH(A584,atlas!C:C,0)),"")</f>
        <v/>
      </c>
      <c r="D584" s="8" t="str">
        <f t="array" ref="D584">IFERROR(INDEX(atlas!D:D,MATCH(A584,atlas!C:C,0)),"")</f>
        <v/>
      </c>
      <c r="E584" s="8" t="str">
        <f t="array" ref="E584">IFERROR(INDEX(atlas!F:F,MATCH(A584,atlas!C:C,0)),"")</f>
        <v/>
      </c>
      <c r="F584" s="9"/>
      <c r="G584" s="10"/>
      <c r="H584" s="11"/>
      <c r="I584" s="12" t="str">
        <f t="array" ref="I584">IFERROR(INDEX(atlas!B:B,MATCH(A584,atlas!C:C,0)),"")</f>
        <v/>
      </c>
      <c r="J584" s="8" t="str">
        <f>IFERROR(VLOOKUP(F584,tecnica!A:B,2,0),"")</f>
        <v/>
      </c>
      <c r="K584" s="8" t="str">
        <f>IFERROR(VLOOKUP(J584,tecnica!B:C,2,0),"")</f>
        <v/>
      </c>
      <c r="L584" s="13"/>
      <c r="M584" s="14" t="str">
        <f>IFERROR(VLOOKUP(I584,material!A:D,4,0),"")</f>
        <v/>
      </c>
      <c r="N584" s="14" t="str">
        <f t="shared" si="1"/>
        <v/>
      </c>
      <c r="O584" s="15" t="str">
        <f>IFERROR(VLOOKUP(I584,material!A:D,2,0),"")</f>
        <v/>
      </c>
    </row>
    <row r="585">
      <c r="A585" s="6"/>
      <c r="B585" s="7"/>
      <c r="C585" s="8" t="str">
        <f t="array" ref="C585">IFERROR(INDEX(atlas!H:H,MATCH(A585,atlas!C:C,0)),"")</f>
        <v/>
      </c>
      <c r="D585" s="8" t="str">
        <f t="array" ref="D585">IFERROR(INDEX(atlas!D:D,MATCH(A585,atlas!C:C,0)),"")</f>
        <v/>
      </c>
      <c r="E585" s="8" t="str">
        <f t="array" ref="E585">IFERROR(INDEX(atlas!F:F,MATCH(A585,atlas!C:C,0)),"")</f>
        <v/>
      </c>
      <c r="F585" s="9"/>
      <c r="G585" s="10"/>
      <c r="H585" s="11"/>
      <c r="I585" s="12" t="str">
        <f t="array" ref="I585">IFERROR(INDEX(atlas!B:B,MATCH(A585,atlas!C:C,0)),"")</f>
        <v/>
      </c>
      <c r="J585" s="8" t="str">
        <f>IFERROR(VLOOKUP(F585,tecnica!A:B,2,0),"")</f>
        <v/>
      </c>
      <c r="K585" s="8" t="str">
        <f>IFERROR(VLOOKUP(J585,tecnica!B:C,2,0),"")</f>
        <v/>
      </c>
      <c r="L585" s="13"/>
      <c r="M585" s="14" t="str">
        <f>IFERROR(VLOOKUP(I585,material!A:D,4,0),"")</f>
        <v/>
      </c>
      <c r="N585" s="14" t="str">
        <f t="shared" si="1"/>
        <v/>
      </c>
      <c r="O585" s="15" t="str">
        <f>IFERROR(VLOOKUP(I585,material!A:D,2,0),"")</f>
        <v/>
      </c>
    </row>
    <row r="586">
      <c r="A586" s="6"/>
      <c r="B586" s="7"/>
      <c r="C586" s="8" t="str">
        <f t="array" ref="C586">IFERROR(INDEX(atlas!H:H,MATCH(A586,atlas!C:C,0)),"")</f>
        <v/>
      </c>
      <c r="D586" s="8" t="str">
        <f t="array" ref="D586">IFERROR(INDEX(atlas!D:D,MATCH(A586,atlas!C:C,0)),"")</f>
        <v/>
      </c>
      <c r="E586" s="8" t="str">
        <f t="array" ref="E586">IFERROR(INDEX(atlas!F:F,MATCH(A586,atlas!C:C,0)),"")</f>
        <v/>
      </c>
      <c r="F586" s="9"/>
      <c r="G586" s="10"/>
      <c r="H586" s="11"/>
      <c r="I586" s="12" t="str">
        <f t="array" ref="I586">IFERROR(INDEX(atlas!B:B,MATCH(A586,atlas!C:C,0)),"")</f>
        <v/>
      </c>
      <c r="J586" s="8" t="str">
        <f>IFERROR(VLOOKUP(F586,tecnica!A:B,2,0),"")</f>
        <v/>
      </c>
      <c r="K586" s="8" t="str">
        <f>IFERROR(VLOOKUP(J586,tecnica!B:C,2,0),"")</f>
        <v/>
      </c>
      <c r="L586" s="13"/>
      <c r="M586" s="14" t="str">
        <f>IFERROR(VLOOKUP(I586,material!A:D,4,0),"")</f>
        <v/>
      </c>
      <c r="N586" s="14" t="str">
        <f t="shared" si="1"/>
        <v/>
      </c>
      <c r="O586" s="15" t="str">
        <f>IFERROR(VLOOKUP(I586,material!A:D,2,0),"")</f>
        <v/>
      </c>
    </row>
    <row r="587">
      <c r="A587" s="6"/>
      <c r="B587" s="7"/>
      <c r="C587" s="8" t="str">
        <f t="array" ref="C587">IFERROR(INDEX(atlas!H:H,MATCH(A587,atlas!C:C,0)),"")</f>
        <v/>
      </c>
      <c r="D587" s="8" t="str">
        <f t="array" ref="D587">IFERROR(INDEX(atlas!D:D,MATCH(A587,atlas!C:C,0)),"")</f>
        <v/>
      </c>
      <c r="E587" s="8" t="str">
        <f t="array" ref="E587">IFERROR(INDEX(atlas!F:F,MATCH(A587,atlas!C:C,0)),"")</f>
        <v/>
      </c>
      <c r="F587" s="9"/>
      <c r="G587" s="10"/>
      <c r="H587" s="11"/>
      <c r="I587" s="12" t="str">
        <f t="array" ref="I587">IFERROR(INDEX(atlas!B:B,MATCH(A587,atlas!C:C,0)),"")</f>
        <v/>
      </c>
      <c r="J587" s="8" t="str">
        <f>IFERROR(VLOOKUP(F587,tecnica!A:B,2,0),"")</f>
        <v/>
      </c>
      <c r="K587" s="8" t="str">
        <f>IFERROR(VLOOKUP(J587,tecnica!B:C,2,0),"")</f>
        <v/>
      </c>
      <c r="L587" s="13"/>
      <c r="M587" s="14" t="str">
        <f>IFERROR(VLOOKUP(I587,material!A:D,4,0),"")</f>
        <v/>
      </c>
      <c r="N587" s="14" t="str">
        <f t="shared" si="1"/>
        <v/>
      </c>
      <c r="O587" s="15" t="str">
        <f>IFERROR(VLOOKUP(I587,material!A:D,2,0),"")</f>
        <v/>
      </c>
    </row>
    <row r="588">
      <c r="A588" s="6"/>
      <c r="B588" s="7"/>
      <c r="C588" s="8" t="str">
        <f t="array" ref="C588">IFERROR(INDEX(atlas!H:H,MATCH(A588,atlas!C:C,0)),"")</f>
        <v/>
      </c>
      <c r="D588" s="8" t="str">
        <f t="array" ref="D588">IFERROR(INDEX(atlas!D:D,MATCH(A588,atlas!C:C,0)),"")</f>
        <v/>
      </c>
      <c r="E588" s="8" t="str">
        <f t="array" ref="E588">IFERROR(INDEX(atlas!F:F,MATCH(A588,atlas!C:C,0)),"")</f>
        <v/>
      </c>
      <c r="F588" s="9"/>
      <c r="G588" s="10"/>
      <c r="H588" s="11"/>
      <c r="I588" s="12" t="str">
        <f t="array" ref="I588">IFERROR(INDEX(atlas!B:B,MATCH(A588,atlas!C:C,0)),"")</f>
        <v/>
      </c>
      <c r="J588" s="8" t="str">
        <f>IFERROR(VLOOKUP(F588,tecnica!A:B,2,0),"")</f>
        <v/>
      </c>
      <c r="K588" s="8" t="str">
        <f>IFERROR(VLOOKUP(J588,tecnica!B:C,2,0),"")</f>
        <v/>
      </c>
      <c r="L588" s="13"/>
      <c r="M588" s="14" t="str">
        <f>IFERROR(VLOOKUP(I588,material!A:D,4,0),"")</f>
        <v/>
      </c>
      <c r="N588" s="14" t="str">
        <f t="shared" si="1"/>
        <v/>
      </c>
      <c r="O588" s="15" t="str">
        <f>IFERROR(VLOOKUP(I588,material!A:D,2,0),"")</f>
        <v/>
      </c>
    </row>
    <row r="589">
      <c r="A589" s="6"/>
      <c r="B589" s="7"/>
      <c r="C589" s="8" t="str">
        <f t="array" ref="C589">IFERROR(INDEX(atlas!H:H,MATCH(A589,atlas!C:C,0)),"")</f>
        <v/>
      </c>
      <c r="D589" s="8" t="str">
        <f t="array" ref="D589">IFERROR(INDEX(atlas!D:D,MATCH(A589,atlas!C:C,0)),"")</f>
        <v/>
      </c>
      <c r="E589" s="8" t="str">
        <f t="array" ref="E589">IFERROR(INDEX(atlas!F:F,MATCH(A589,atlas!C:C,0)),"")</f>
        <v/>
      </c>
      <c r="F589" s="9"/>
      <c r="G589" s="10"/>
      <c r="H589" s="11"/>
      <c r="I589" s="12" t="str">
        <f t="array" ref="I589">IFERROR(INDEX(atlas!B:B,MATCH(A589,atlas!C:C,0)),"")</f>
        <v/>
      </c>
      <c r="J589" s="8" t="str">
        <f>IFERROR(VLOOKUP(F589,tecnica!A:B,2,0),"")</f>
        <v/>
      </c>
      <c r="K589" s="8" t="str">
        <f>IFERROR(VLOOKUP(J589,tecnica!B:C,2,0),"")</f>
        <v/>
      </c>
      <c r="L589" s="13"/>
      <c r="M589" s="14" t="str">
        <f>IFERROR(VLOOKUP(I589,material!A:D,4,0),"")</f>
        <v/>
      </c>
      <c r="N589" s="14" t="str">
        <f t="shared" si="1"/>
        <v/>
      </c>
      <c r="O589" s="15" t="str">
        <f>IFERROR(VLOOKUP(I589,material!A:D,2,0),"")</f>
        <v/>
      </c>
    </row>
    <row r="590">
      <c r="A590" s="6"/>
      <c r="B590" s="7"/>
      <c r="C590" s="8" t="str">
        <f t="array" ref="C590">IFERROR(INDEX(atlas!H:H,MATCH(A590,atlas!C:C,0)),"")</f>
        <v/>
      </c>
      <c r="D590" s="8" t="str">
        <f t="array" ref="D590">IFERROR(INDEX(atlas!D:D,MATCH(A590,atlas!C:C,0)),"")</f>
        <v/>
      </c>
      <c r="E590" s="8" t="str">
        <f t="array" ref="E590">IFERROR(INDEX(atlas!F:F,MATCH(A590,atlas!C:C,0)),"")</f>
        <v/>
      </c>
      <c r="F590" s="9"/>
      <c r="G590" s="10"/>
      <c r="H590" s="11"/>
      <c r="I590" s="12" t="str">
        <f t="array" ref="I590">IFERROR(INDEX(atlas!B:B,MATCH(A590,atlas!C:C,0)),"")</f>
        <v/>
      </c>
      <c r="J590" s="8" t="str">
        <f>IFERROR(VLOOKUP(F590,tecnica!A:B,2,0),"")</f>
        <v/>
      </c>
      <c r="K590" s="8" t="str">
        <f>IFERROR(VLOOKUP(J590,tecnica!B:C,2,0),"")</f>
        <v/>
      </c>
      <c r="L590" s="13"/>
      <c r="M590" s="14" t="str">
        <f>IFERROR(VLOOKUP(I590,material!A:D,4,0),"")</f>
        <v/>
      </c>
      <c r="N590" s="14" t="str">
        <f t="shared" si="1"/>
        <v/>
      </c>
      <c r="O590" s="15" t="str">
        <f>IFERROR(VLOOKUP(I590,material!A:D,2,0),"")</f>
        <v/>
      </c>
    </row>
    <row r="591">
      <c r="A591" s="6"/>
      <c r="B591" s="7"/>
      <c r="C591" s="8" t="str">
        <f t="array" ref="C591">IFERROR(INDEX(atlas!H:H,MATCH(A591,atlas!C:C,0)),"")</f>
        <v/>
      </c>
      <c r="D591" s="8" t="str">
        <f t="array" ref="D591">IFERROR(INDEX(atlas!D:D,MATCH(A591,atlas!C:C,0)),"")</f>
        <v/>
      </c>
      <c r="E591" s="8" t="str">
        <f t="array" ref="E591">IFERROR(INDEX(atlas!F:F,MATCH(A591,atlas!C:C,0)),"")</f>
        <v/>
      </c>
      <c r="F591" s="9"/>
      <c r="G591" s="10"/>
      <c r="H591" s="11"/>
      <c r="I591" s="12" t="str">
        <f t="array" ref="I591">IFERROR(INDEX(atlas!B:B,MATCH(A591,atlas!C:C,0)),"")</f>
        <v/>
      </c>
      <c r="J591" s="8" t="str">
        <f>IFERROR(VLOOKUP(F591,tecnica!A:B,2,0),"")</f>
        <v/>
      </c>
      <c r="K591" s="8" t="str">
        <f>IFERROR(VLOOKUP(J591,tecnica!B:C,2,0),"")</f>
        <v/>
      </c>
      <c r="L591" s="13"/>
      <c r="M591" s="14" t="str">
        <f>IFERROR(VLOOKUP(I591,material!A:D,4,0),"")</f>
        <v/>
      </c>
      <c r="N591" s="14" t="str">
        <f t="shared" si="1"/>
        <v/>
      </c>
      <c r="O591" s="15" t="str">
        <f>IFERROR(VLOOKUP(I591,material!A:D,2,0),"")</f>
        <v/>
      </c>
    </row>
    <row r="592">
      <c r="A592" s="6"/>
      <c r="B592" s="7"/>
      <c r="C592" s="8" t="str">
        <f t="array" ref="C592">IFERROR(INDEX(atlas!H:H,MATCH(A592,atlas!C:C,0)),"")</f>
        <v/>
      </c>
      <c r="D592" s="8" t="str">
        <f t="array" ref="D592">IFERROR(INDEX(atlas!D:D,MATCH(A592,atlas!C:C,0)),"")</f>
        <v/>
      </c>
      <c r="E592" s="8" t="str">
        <f t="array" ref="E592">IFERROR(INDEX(atlas!F:F,MATCH(A592,atlas!C:C,0)),"")</f>
        <v/>
      </c>
      <c r="F592" s="9"/>
      <c r="G592" s="10"/>
      <c r="H592" s="11"/>
      <c r="I592" s="12" t="str">
        <f t="array" ref="I592">IFERROR(INDEX(atlas!B:B,MATCH(A592,atlas!C:C,0)),"")</f>
        <v/>
      </c>
      <c r="J592" s="8" t="str">
        <f>IFERROR(VLOOKUP(F592,tecnica!A:B,2,0),"")</f>
        <v/>
      </c>
      <c r="K592" s="8" t="str">
        <f>IFERROR(VLOOKUP(J592,tecnica!B:C,2,0),"")</f>
        <v/>
      </c>
      <c r="L592" s="13"/>
      <c r="M592" s="14" t="str">
        <f>IFERROR(VLOOKUP(I592,material!A:D,4,0),"")</f>
        <v/>
      </c>
      <c r="N592" s="14" t="str">
        <f t="shared" si="1"/>
        <v/>
      </c>
      <c r="O592" s="15" t="str">
        <f>IFERROR(VLOOKUP(I592,material!A:D,2,0),"")</f>
        <v/>
      </c>
    </row>
    <row r="593">
      <c r="A593" s="6"/>
      <c r="B593" s="7"/>
      <c r="C593" s="8" t="str">
        <f t="array" ref="C593">IFERROR(INDEX(atlas!H:H,MATCH(A593,atlas!C:C,0)),"")</f>
        <v/>
      </c>
      <c r="D593" s="8" t="str">
        <f t="array" ref="D593">IFERROR(INDEX(atlas!D:D,MATCH(A593,atlas!C:C,0)),"")</f>
        <v/>
      </c>
      <c r="E593" s="8" t="str">
        <f t="array" ref="E593">IFERROR(INDEX(atlas!F:F,MATCH(A593,atlas!C:C,0)),"")</f>
        <v/>
      </c>
      <c r="F593" s="9"/>
      <c r="G593" s="10"/>
      <c r="H593" s="11"/>
      <c r="I593" s="12" t="str">
        <f t="array" ref="I593">IFERROR(INDEX(atlas!B:B,MATCH(A593,atlas!C:C,0)),"")</f>
        <v/>
      </c>
      <c r="J593" s="8" t="str">
        <f>IFERROR(VLOOKUP(F593,tecnica!A:B,2,0),"")</f>
        <v/>
      </c>
      <c r="K593" s="8" t="str">
        <f>IFERROR(VLOOKUP(J593,tecnica!B:C,2,0),"")</f>
        <v/>
      </c>
      <c r="L593" s="13"/>
      <c r="M593" s="14" t="str">
        <f>IFERROR(VLOOKUP(I593,material!A:D,4,0),"")</f>
        <v/>
      </c>
      <c r="N593" s="14" t="str">
        <f t="shared" si="1"/>
        <v/>
      </c>
      <c r="O593" s="15" t="str">
        <f>IFERROR(VLOOKUP(I593,material!A:D,2,0),"")</f>
        <v/>
      </c>
    </row>
    <row r="594">
      <c r="A594" s="6"/>
      <c r="B594" s="7"/>
      <c r="C594" s="8" t="str">
        <f t="array" ref="C594">IFERROR(INDEX(atlas!H:H,MATCH(A594,atlas!C:C,0)),"")</f>
        <v/>
      </c>
      <c r="D594" s="8" t="str">
        <f t="array" ref="D594">IFERROR(INDEX(atlas!D:D,MATCH(A594,atlas!C:C,0)),"")</f>
        <v/>
      </c>
      <c r="E594" s="8" t="str">
        <f t="array" ref="E594">IFERROR(INDEX(atlas!F:F,MATCH(A594,atlas!C:C,0)),"")</f>
        <v/>
      </c>
      <c r="F594" s="9"/>
      <c r="G594" s="10"/>
      <c r="H594" s="11"/>
      <c r="I594" s="12" t="str">
        <f t="array" ref="I594">IFERROR(INDEX(atlas!B:B,MATCH(A594,atlas!C:C,0)),"")</f>
        <v/>
      </c>
      <c r="J594" s="8" t="str">
        <f>IFERROR(VLOOKUP(F594,tecnica!A:B,2,0),"")</f>
        <v/>
      </c>
      <c r="K594" s="8" t="str">
        <f>IFERROR(VLOOKUP(J594,tecnica!B:C,2,0),"")</f>
        <v/>
      </c>
      <c r="L594" s="13"/>
      <c r="M594" s="14" t="str">
        <f>IFERROR(VLOOKUP(I594,material!A:D,4,0),"")</f>
        <v/>
      </c>
      <c r="N594" s="14" t="str">
        <f t="shared" si="1"/>
        <v/>
      </c>
      <c r="O594" s="15" t="str">
        <f>IFERROR(VLOOKUP(I594,material!A:D,2,0),"")</f>
        <v/>
      </c>
    </row>
    <row r="595">
      <c r="A595" s="6"/>
      <c r="B595" s="7"/>
      <c r="C595" s="8" t="str">
        <f t="array" ref="C595">IFERROR(INDEX(atlas!H:H,MATCH(A595,atlas!C:C,0)),"")</f>
        <v/>
      </c>
      <c r="D595" s="8" t="str">
        <f t="array" ref="D595">IFERROR(INDEX(atlas!D:D,MATCH(A595,atlas!C:C,0)),"")</f>
        <v/>
      </c>
      <c r="E595" s="8" t="str">
        <f t="array" ref="E595">IFERROR(INDEX(atlas!F:F,MATCH(A595,atlas!C:C,0)),"")</f>
        <v/>
      </c>
      <c r="F595" s="9"/>
      <c r="G595" s="10"/>
      <c r="H595" s="11"/>
      <c r="I595" s="12" t="str">
        <f t="array" ref="I595">IFERROR(INDEX(atlas!B:B,MATCH(A595,atlas!C:C,0)),"")</f>
        <v/>
      </c>
      <c r="J595" s="8" t="str">
        <f>IFERROR(VLOOKUP(F595,tecnica!A:B,2,0),"")</f>
        <v/>
      </c>
      <c r="K595" s="8" t="str">
        <f>IFERROR(VLOOKUP(J595,tecnica!B:C,2,0),"")</f>
        <v/>
      </c>
      <c r="L595" s="13"/>
      <c r="M595" s="14" t="str">
        <f>IFERROR(VLOOKUP(I595,material!A:D,4,0),"")</f>
        <v/>
      </c>
      <c r="N595" s="14" t="str">
        <f t="shared" si="1"/>
        <v/>
      </c>
      <c r="O595" s="15" t="str">
        <f>IFERROR(VLOOKUP(I595,material!A:D,2,0),"")</f>
        <v/>
      </c>
    </row>
    <row r="596">
      <c r="A596" s="6"/>
      <c r="B596" s="7"/>
      <c r="C596" s="8" t="str">
        <f t="array" ref="C596">IFERROR(INDEX(atlas!H:H,MATCH(A596,atlas!C:C,0)),"")</f>
        <v/>
      </c>
      <c r="D596" s="8" t="str">
        <f t="array" ref="D596">IFERROR(INDEX(atlas!D:D,MATCH(A596,atlas!C:C,0)),"")</f>
        <v/>
      </c>
      <c r="E596" s="8" t="str">
        <f t="array" ref="E596">IFERROR(INDEX(atlas!F:F,MATCH(A596,atlas!C:C,0)),"")</f>
        <v/>
      </c>
      <c r="F596" s="9"/>
      <c r="G596" s="10"/>
      <c r="H596" s="11"/>
      <c r="I596" s="12" t="str">
        <f t="array" ref="I596">IFERROR(INDEX(atlas!B:B,MATCH(A596,atlas!C:C,0)),"")</f>
        <v/>
      </c>
      <c r="J596" s="8" t="str">
        <f>IFERROR(VLOOKUP(F596,tecnica!A:B,2,0),"")</f>
        <v/>
      </c>
      <c r="K596" s="8" t="str">
        <f>IFERROR(VLOOKUP(J596,tecnica!B:C,2,0),"")</f>
        <v/>
      </c>
      <c r="L596" s="13"/>
      <c r="M596" s="14" t="str">
        <f>IFERROR(VLOOKUP(I596,material!A:D,4,0),"")</f>
        <v/>
      </c>
      <c r="N596" s="14" t="str">
        <f t="shared" si="1"/>
        <v/>
      </c>
      <c r="O596" s="15" t="str">
        <f>IFERROR(VLOOKUP(I596,material!A:D,2,0),"")</f>
        <v/>
      </c>
    </row>
    <row r="597">
      <c r="A597" s="6"/>
      <c r="B597" s="7"/>
      <c r="C597" s="8" t="str">
        <f t="array" ref="C597">IFERROR(INDEX(atlas!H:H,MATCH(A597,atlas!C:C,0)),"")</f>
        <v/>
      </c>
      <c r="D597" s="8" t="str">
        <f t="array" ref="D597">IFERROR(INDEX(atlas!D:D,MATCH(A597,atlas!C:C,0)),"")</f>
        <v/>
      </c>
      <c r="E597" s="8" t="str">
        <f t="array" ref="E597">IFERROR(INDEX(atlas!F:F,MATCH(A597,atlas!C:C,0)),"")</f>
        <v/>
      </c>
      <c r="F597" s="9"/>
      <c r="G597" s="10"/>
      <c r="H597" s="11"/>
      <c r="I597" s="12" t="str">
        <f t="array" ref="I597">IFERROR(INDEX(atlas!B:B,MATCH(A597,atlas!C:C,0)),"")</f>
        <v/>
      </c>
      <c r="J597" s="8" t="str">
        <f>IFERROR(VLOOKUP(F597,tecnica!A:B,2,0),"")</f>
        <v/>
      </c>
      <c r="K597" s="8" t="str">
        <f>IFERROR(VLOOKUP(J597,tecnica!B:C,2,0),"")</f>
        <v/>
      </c>
      <c r="L597" s="13"/>
      <c r="M597" s="14" t="str">
        <f>IFERROR(VLOOKUP(I597,material!A:D,4,0),"")</f>
        <v/>
      </c>
      <c r="N597" s="14" t="str">
        <f t="shared" si="1"/>
        <v/>
      </c>
      <c r="O597" s="15" t="str">
        <f>IFERROR(VLOOKUP(I597,material!A:D,2,0),"")</f>
        <v/>
      </c>
    </row>
    <row r="598">
      <c r="A598" s="6"/>
      <c r="B598" s="7"/>
      <c r="C598" s="8" t="str">
        <f t="array" ref="C598">IFERROR(INDEX(atlas!H:H,MATCH(A598,atlas!C:C,0)),"")</f>
        <v/>
      </c>
      <c r="D598" s="8" t="str">
        <f t="array" ref="D598">IFERROR(INDEX(atlas!D:D,MATCH(A598,atlas!C:C,0)),"")</f>
        <v/>
      </c>
      <c r="E598" s="8" t="str">
        <f t="array" ref="E598">IFERROR(INDEX(atlas!F:F,MATCH(A598,atlas!C:C,0)),"")</f>
        <v/>
      </c>
      <c r="F598" s="9"/>
      <c r="G598" s="10"/>
      <c r="H598" s="11"/>
      <c r="I598" s="12" t="str">
        <f t="array" ref="I598">IFERROR(INDEX(atlas!B:B,MATCH(A598,atlas!C:C,0)),"")</f>
        <v/>
      </c>
      <c r="J598" s="8" t="str">
        <f>IFERROR(VLOOKUP(F598,tecnica!A:B,2,0),"")</f>
        <v/>
      </c>
      <c r="K598" s="8" t="str">
        <f>IFERROR(VLOOKUP(J598,tecnica!B:C,2,0),"")</f>
        <v/>
      </c>
      <c r="L598" s="13"/>
      <c r="M598" s="14" t="str">
        <f>IFERROR(VLOOKUP(I598,material!A:D,4,0),"")</f>
        <v/>
      </c>
      <c r="N598" s="14" t="str">
        <f t="shared" si="1"/>
        <v/>
      </c>
      <c r="O598" s="15" t="str">
        <f>IFERROR(VLOOKUP(I598,material!A:D,2,0),"")</f>
        <v/>
      </c>
    </row>
    <row r="599">
      <c r="A599" s="6"/>
      <c r="B599" s="7"/>
      <c r="C599" s="8" t="str">
        <f t="array" ref="C599">IFERROR(INDEX(atlas!H:H,MATCH(A599,atlas!C:C,0)),"")</f>
        <v/>
      </c>
      <c r="D599" s="8" t="str">
        <f t="array" ref="D599">IFERROR(INDEX(atlas!D:D,MATCH(A599,atlas!C:C,0)),"")</f>
        <v/>
      </c>
      <c r="E599" s="8" t="str">
        <f t="array" ref="E599">IFERROR(INDEX(atlas!F:F,MATCH(A599,atlas!C:C,0)),"")</f>
        <v/>
      </c>
      <c r="F599" s="9"/>
      <c r="G599" s="10"/>
      <c r="H599" s="11"/>
      <c r="I599" s="12" t="str">
        <f t="array" ref="I599">IFERROR(INDEX(atlas!B:B,MATCH(A599,atlas!C:C,0)),"")</f>
        <v/>
      </c>
      <c r="J599" s="8" t="str">
        <f>IFERROR(VLOOKUP(F599,tecnica!A:B,2,0),"")</f>
        <v/>
      </c>
      <c r="K599" s="8" t="str">
        <f>IFERROR(VLOOKUP(J599,tecnica!B:C,2,0),"")</f>
        <v/>
      </c>
      <c r="L599" s="13"/>
      <c r="M599" s="14" t="str">
        <f>IFERROR(VLOOKUP(I599,material!A:D,4,0),"")</f>
        <v/>
      </c>
      <c r="N599" s="14" t="str">
        <f t="shared" si="1"/>
        <v/>
      </c>
      <c r="O599" s="15" t="str">
        <f>IFERROR(VLOOKUP(I599,material!A:D,2,0),"")</f>
        <v/>
      </c>
    </row>
    <row r="600">
      <c r="A600" s="6"/>
      <c r="B600" s="7"/>
      <c r="C600" s="8" t="str">
        <f t="array" ref="C600">IFERROR(INDEX(atlas!H:H,MATCH(A600,atlas!C:C,0)),"")</f>
        <v/>
      </c>
      <c r="D600" s="8" t="str">
        <f t="array" ref="D600">IFERROR(INDEX(atlas!D:D,MATCH(A600,atlas!C:C,0)),"")</f>
        <v/>
      </c>
      <c r="E600" s="8" t="str">
        <f t="array" ref="E600">IFERROR(INDEX(atlas!F:F,MATCH(A600,atlas!C:C,0)),"")</f>
        <v/>
      </c>
      <c r="F600" s="9"/>
      <c r="G600" s="10"/>
      <c r="H600" s="11"/>
      <c r="I600" s="12" t="str">
        <f t="array" ref="I600">IFERROR(INDEX(atlas!B:B,MATCH(A600,atlas!C:C,0)),"")</f>
        <v/>
      </c>
      <c r="J600" s="8" t="str">
        <f>IFERROR(VLOOKUP(F600,tecnica!A:B,2,0),"")</f>
        <v/>
      </c>
      <c r="K600" s="8" t="str">
        <f>IFERROR(VLOOKUP(J600,tecnica!B:C,2,0),"")</f>
        <v/>
      </c>
      <c r="L600" s="13"/>
      <c r="M600" s="14" t="str">
        <f>IFERROR(VLOOKUP(I600,material!A:D,4,0),"")</f>
        <v/>
      </c>
      <c r="N600" s="14" t="str">
        <f t="shared" si="1"/>
        <v/>
      </c>
      <c r="O600" s="15" t="str">
        <f>IFERROR(VLOOKUP(I600,material!A:D,2,0),"")</f>
        <v/>
      </c>
    </row>
    <row r="601">
      <c r="A601" s="6"/>
      <c r="B601" s="7"/>
      <c r="C601" s="8" t="str">
        <f t="array" ref="C601">IFERROR(INDEX(atlas!H:H,MATCH(A601,atlas!C:C,0)),"")</f>
        <v/>
      </c>
      <c r="D601" s="8" t="str">
        <f t="array" ref="D601">IFERROR(INDEX(atlas!D:D,MATCH(A601,atlas!C:C,0)),"")</f>
        <v/>
      </c>
      <c r="E601" s="8" t="str">
        <f t="array" ref="E601">IFERROR(INDEX(atlas!F:F,MATCH(A601,atlas!C:C,0)),"")</f>
        <v/>
      </c>
      <c r="F601" s="9"/>
      <c r="G601" s="10"/>
      <c r="H601" s="11"/>
      <c r="I601" s="12" t="str">
        <f t="array" ref="I601">IFERROR(INDEX(atlas!B:B,MATCH(A601,atlas!C:C,0)),"")</f>
        <v/>
      </c>
      <c r="J601" s="8" t="str">
        <f>IFERROR(VLOOKUP(F601,tecnica!A:B,2,0),"")</f>
        <v/>
      </c>
      <c r="K601" s="8" t="str">
        <f>IFERROR(VLOOKUP(J601,tecnica!B:C,2,0),"")</f>
        <v/>
      </c>
      <c r="L601" s="13"/>
      <c r="M601" s="14" t="str">
        <f>IFERROR(VLOOKUP(I601,material!A:D,4,0),"")</f>
        <v/>
      </c>
      <c r="N601" s="14" t="str">
        <f t="shared" si="1"/>
        <v/>
      </c>
      <c r="O601" s="15" t="str">
        <f>IFERROR(VLOOKUP(I601,material!A:D,2,0),"")</f>
        <v/>
      </c>
    </row>
    <row r="602">
      <c r="A602" s="6"/>
      <c r="B602" s="7"/>
      <c r="C602" s="8" t="str">
        <f t="array" ref="C602">IFERROR(INDEX(atlas!H:H,MATCH(A602,atlas!C:C,0)),"")</f>
        <v/>
      </c>
      <c r="D602" s="8" t="str">
        <f t="array" ref="D602">IFERROR(INDEX(atlas!D:D,MATCH(A602,atlas!C:C,0)),"")</f>
        <v/>
      </c>
      <c r="E602" s="8" t="str">
        <f t="array" ref="E602">IFERROR(INDEX(atlas!F:F,MATCH(A602,atlas!C:C,0)),"")</f>
        <v/>
      </c>
      <c r="F602" s="9"/>
      <c r="G602" s="10"/>
      <c r="H602" s="11"/>
      <c r="I602" s="12" t="str">
        <f t="array" ref="I602">IFERROR(INDEX(atlas!B:B,MATCH(A602,atlas!C:C,0)),"")</f>
        <v/>
      </c>
      <c r="J602" s="8" t="str">
        <f>IFERROR(VLOOKUP(F602,tecnica!A:B,2,0),"")</f>
        <v/>
      </c>
      <c r="K602" s="8" t="str">
        <f>IFERROR(VLOOKUP(J602,tecnica!B:C,2,0),"")</f>
        <v/>
      </c>
      <c r="L602" s="13"/>
      <c r="M602" s="14" t="str">
        <f>IFERROR(VLOOKUP(I602,material!A:D,4,0),"")</f>
        <v/>
      </c>
      <c r="N602" s="14" t="str">
        <f t="shared" si="1"/>
        <v/>
      </c>
      <c r="O602" s="15" t="str">
        <f>IFERROR(VLOOKUP(I602,material!A:D,2,0),"")</f>
        <v/>
      </c>
    </row>
    <row r="603">
      <c r="A603" s="6"/>
      <c r="B603" s="7"/>
      <c r="C603" s="8" t="str">
        <f t="array" ref="C603">IFERROR(INDEX(atlas!H:H,MATCH(A603,atlas!C:C,0)),"")</f>
        <v/>
      </c>
      <c r="D603" s="8" t="str">
        <f t="array" ref="D603">IFERROR(INDEX(atlas!D:D,MATCH(A603,atlas!C:C,0)),"")</f>
        <v/>
      </c>
      <c r="E603" s="8" t="str">
        <f t="array" ref="E603">IFERROR(INDEX(atlas!F:F,MATCH(A603,atlas!C:C,0)),"")</f>
        <v/>
      </c>
      <c r="F603" s="9"/>
      <c r="G603" s="10"/>
      <c r="H603" s="11"/>
      <c r="I603" s="12" t="str">
        <f t="array" ref="I603">IFERROR(INDEX(atlas!B:B,MATCH(A603,atlas!C:C,0)),"")</f>
        <v/>
      </c>
      <c r="J603" s="8" t="str">
        <f>IFERROR(VLOOKUP(F603,tecnica!A:B,2,0),"")</f>
        <v/>
      </c>
      <c r="K603" s="8" t="str">
        <f>IFERROR(VLOOKUP(J603,tecnica!B:C,2,0),"")</f>
        <v/>
      </c>
      <c r="L603" s="13"/>
      <c r="M603" s="14" t="str">
        <f>IFERROR(VLOOKUP(I603,material!A:D,4,0),"")</f>
        <v/>
      </c>
      <c r="N603" s="14" t="str">
        <f t="shared" si="1"/>
        <v/>
      </c>
      <c r="O603" s="15" t="str">
        <f>IFERROR(VLOOKUP(I603,material!A:D,2,0),"")</f>
        <v/>
      </c>
    </row>
    <row r="604">
      <c r="A604" s="6"/>
      <c r="B604" s="7"/>
      <c r="C604" s="8" t="str">
        <f t="array" ref="C604">IFERROR(INDEX(atlas!H:H,MATCH(A604,atlas!C:C,0)),"")</f>
        <v/>
      </c>
      <c r="D604" s="8" t="str">
        <f t="array" ref="D604">IFERROR(INDEX(atlas!D:D,MATCH(A604,atlas!C:C,0)),"")</f>
        <v/>
      </c>
      <c r="E604" s="8" t="str">
        <f t="array" ref="E604">IFERROR(INDEX(atlas!F:F,MATCH(A604,atlas!C:C,0)),"")</f>
        <v/>
      </c>
      <c r="F604" s="9"/>
      <c r="G604" s="10"/>
      <c r="H604" s="11"/>
      <c r="I604" s="12" t="str">
        <f t="array" ref="I604">IFERROR(INDEX(atlas!B:B,MATCH(A604,atlas!C:C,0)),"")</f>
        <v/>
      </c>
      <c r="J604" s="8" t="str">
        <f>IFERROR(VLOOKUP(F604,tecnica!A:B,2,0),"")</f>
        <v/>
      </c>
      <c r="K604" s="8" t="str">
        <f>IFERROR(VLOOKUP(J604,tecnica!B:C,2,0),"")</f>
        <v/>
      </c>
      <c r="L604" s="13"/>
      <c r="M604" s="14" t="str">
        <f>IFERROR(VLOOKUP(I604,material!A:D,4,0),"")</f>
        <v/>
      </c>
      <c r="N604" s="14" t="str">
        <f t="shared" si="1"/>
        <v/>
      </c>
      <c r="O604" s="15" t="str">
        <f>IFERROR(VLOOKUP(I604,material!A:D,2,0),"")</f>
        <v/>
      </c>
    </row>
    <row r="605">
      <c r="A605" s="6"/>
      <c r="B605" s="7"/>
      <c r="C605" s="8" t="str">
        <f t="array" ref="C605">IFERROR(INDEX(atlas!H:H,MATCH(A605,atlas!C:C,0)),"")</f>
        <v/>
      </c>
      <c r="D605" s="8" t="str">
        <f t="array" ref="D605">IFERROR(INDEX(atlas!D:D,MATCH(A605,atlas!C:C,0)),"")</f>
        <v/>
      </c>
      <c r="E605" s="8" t="str">
        <f t="array" ref="E605">IFERROR(INDEX(atlas!F:F,MATCH(A605,atlas!C:C,0)),"")</f>
        <v/>
      </c>
      <c r="F605" s="9"/>
      <c r="G605" s="10"/>
      <c r="H605" s="11"/>
      <c r="I605" s="12" t="str">
        <f t="array" ref="I605">IFERROR(INDEX(atlas!B:B,MATCH(A605,atlas!C:C,0)),"")</f>
        <v/>
      </c>
      <c r="J605" s="8" t="str">
        <f>IFERROR(VLOOKUP(F605,tecnica!A:B,2,0),"")</f>
        <v/>
      </c>
      <c r="K605" s="8" t="str">
        <f>IFERROR(VLOOKUP(J605,tecnica!B:C,2,0),"")</f>
        <v/>
      </c>
      <c r="L605" s="13"/>
      <c r="M605" s="14" t="str">
        <f>IFERROR(VLOOKUP(I605,material!A:D,4,0),"")</f>
        <v/>
      </c>
      <c r="N605" s="14" t="str">
        <f t="shared" si="1"/>
        <v/>
      </c>
      <c r="O605" s="15" t="str">
        <f>IFERROR(VLOOKUP(I605,material!A:D,2,0),"")</f>
        <v/>
      </c>
    </row>
    <row r="606">
      <c r="A606" s="6"/>
      <c r="B606" s="7"/>
      <c r="C606" s="8" t="str">
        <f t="array" ref="C606">IFERROR(INDEX(atlas!H:H,MATCH(A606,atlas!C:C,0)),"")</f>
        <v/>
      </c>
      <c r="D606" s="8" t="str">
        <f t="array" ref="D606">IFERROR(INDEX(atlas!D:D,MATCH(A606,atlas!C:C,0)),"")</f>
        <v/>
      </c>
      <c r="E606" s="8" t="str">
        <f t="array" ref="E606">IFERROR(INDEX(atlas!F:F,MATCH(A606,atlas!C:C,0)),"")</f>
        <v/>
      </c>
      <c r="F606" s="9"/>
      <c r="G606" s="10"/>
      <c r="H606" s="11"/>
      <c r="I606" s="12" t="str">
        <f t="array" ref="I606">IFERROR(INDEX(atlas!B:B,MATCH(A606,atlas!C:C,0)),"")</f>
        <v/>
      </c>
      <c r="J606" s="8" t="str">
        <f>IFERROR(VLOOKUP(F606,tecnica!A:B,2,0),"")</f>
        <v/>
      </c>
      <c r="K606" s="8" t="str">
        <f>IFERROR(VLOOKUP(J606,tecnica!B:C,2,0),"")</f>
        <v/>
      </c>
      <c r="L606" s="13"/>
      <c r="M606" s="14" t="str">
        <f>IFERROR(VLOOKUP(I606,material!A:D,4,0),"")</f>
        <v/>
      </c>
      <c r="N606" s="14" t="str">
        <f t="shared" si="1"/>
        <v/>
      </c>
      <c r="O606" s="15" t="str">
        <f>IFERROR(VLOOKUP(I606,material!A:D,2,0),"")</f>
        <v/>
      </c>
    </row>
    <row r="607">
      <c r="A607" s="6"/>
      <c r="B607" s="7"/>
      <c r="C607" s="8" t="str">
        <f t="array" ref="C607">IFERROR(INDEX(atlas!H:H,MATCH(A607,atlas!C:C,0)),"")</f>
        <v/>
      </c>
      <c r="D607" s="8" t="str">
        <f t="array" ref="D607">IFERROR(INDEX(atlas!D:D,MATCH(A607,atlas!C:C,0)),"")</f>
        <v/>
      </c>
      <c r="E607" s="8" t="str">
        <f t="array" ref="E607">IFERROR(INDEX(atlas!F:F,MATCH(A607,atlas!C:C,0)),"")</f>
        <v/>
      </c>
      <c r="F607" s="9"/>
      <c r="G607" s="10"/>
      <c r="H607" s="11"/>
      <c r="I607" s="12" t="str">
        <f t="array" ref="I607">IFERROR(INDEX(atlas!B:B,MATCH(A607,atlas!C:C,0)),"")</f>
        <v/>
      </c>
      <c r="J607" s="8" t="str">
        <f>IFERROR(VLOOKUP(F607,tecnica!A:B,2,0),"")</f>
        <v/>
      </c>
      <c r="K607" s="8" t="str">
        <f>IFERROR(VLOOKUP(J607,tecnica!B:C,2,0),"")</f>
        <v/>
      </c>
      <c r="L607" s="13"/>
      <c r="M607" s="14" t="str">
        <f>IFERROR(VLOOKUP(I607,material!A:D,4,0),"")</f>
        <v/>
      </c>
      <c r="N607" s="14" t="str">
        <f t="shared" si="1"/>
        <v/>
      </c>
      <c r="O607" s="15" t="str">
        <f>IFERROR(VLOOKUP(I607,material!A:D,2,0),"")</f>
        <v/>
      </c>
    </row>
    <row r="608">
      <c r="A608" s="6"/>
      <c r="B608" s="7"/>
      <c r="C608" s="8" t="str">
        <f t="array" ref="C608">IFERROR(INDEX(atlas!H:H,MATCH(A608,atlas!C:C,0)),"")</f>
        <v/>
      </c>
      <c r="D608" s="8" t="str">
        <f t="array" ref="D608">IFERROR(INDEX(atlas!D:D,MATCH(A608,atlas!C:C,0)),"")</f>
        <v/>
      </c>
      <c r="E608" s="8" t="str">
        <f t="array" ref="E608">IFERROR(INDEX(atlas!F:F,MATCH(A608,atlas!C:C,0)),"")</f>
        <v/>
      </c>
      <c r="F608" s="9"/>
      <c r="G608" s="10"/>
      <c r="H608" s="11"/>
      <c r="I608" s="12" t="str">
        <f t="array" ref="I608">IFERROR(INDEX(atlas!B:B,MATCH(A608,atlas!C:C,0)),"")</f>
        <v/>
      </c>
      <c r="J608" s="8" t="str">
        <f>IFERROR(VLOOKUP(F608,tecnica!A:B,2,0),"")</f>
        <v/>
      </c>
      <c r="K608" s="8" t="str">
        <f>IFERROR(VLOOKUP(J608,tecnica!B:C,2,0),"")</f>
        <v/>
      </c>
      <c r="L608" s="13"/>
      <c r="M608" s="14" t="str">
        <f>IFERROR(VLOOKUP(I608,material!A:D,4,0),"")</f>
        <v/>
      </c>
      <c r="N608" s="14" t="str">
        <f t="shared" si="1"/>
        <v/>
      </c>
      <c r="O608" s="15" t="str">
        <f>IFERROR(VLOOKUP(I608,material!A:D,2,0),"")</f>
        <v/>
      </c>
    </row>
    <row r="609">
      <c r="A609" s="6"/>
      <c r="B609" s="7"/>
      <c r="C609" s="8" t="str">
        <f t="array" ref="C609">IFERROR(INDEX(atlas!H:H,MATCH(A609,atlas!C:C,0)),"")</f>
        <v/>
      </c>
      <c r="D609" s="8" t="str">
        <f t="array" ref="D609">IFERROR(INDEX(atlas!D:D,MATCH(A609,atlas!C:C,0)),"")</f>
        <v/>
      </c>
      <c r="E609" s="8" t="str">
        <f t="array" ref="E609">IFERROR(INDEX(atlas!F:F,MATCH(A609,atlas!C:C,0)),"")</f>
        <v/>
      </c>
      <c r="F609" s="9"/>
      <c r="G609" s="10"/>
      <c r="H609" s="11"/>
      <c r="I609" s="12" t="str">
        <f t="array" ref="I609">IFERROR(INDEX(atlas!B:B,MATCH(A609,atlas!C:C,0)),"")</f>
        <v/>
      </c>
      <c r="J609" s="8" t="str">
        <f>IFERROR(VLOOKUP(F609,tecnica!A:B,2,0),"")</f>
        <v/>
      </c>
      <c r="K609" s="8" t="str">
        <f>IFERROR(VLOOKUP(J609,tecnica!B:C,2,0),"")</f>
        <v/>
      </c>
      <c r="L609" s="13"/>
      <c r="M609" s="14" t="str">
        <f>IFERROR(VLOOKUP(I609,material!A:D,4,0),"")</f>
        <v/>
      </c>
      <c r="N609" s="14" t="str">
        <f t="shared" si="1"/>
        <v/>
      </c>
      <c r="O609" s="15" t="str">
        <f>IFERROR(VLOOKUP(I609,material!A:D,2,0),"")</f>
        <v/>
      </c>
    </row>
    <row r="610">
      <c r="A610" s="6"/>
      <c r="B610" s="7"/>
      <c r="C610" s="8" t="str">
        <f t="array" ref="C610">IFERROR(INDEX(atlas!H:H,MATCH(A610,atlas!C:C,0)),"")</f>
        <v/>
      </c>
      <c r="D610" s="8" t="str">
        <f t="array" ref="D610">IFERROR(INDEX(atlas!D:D,MATCH(A610,atlas!C:C,0)),"")</f>
        <v/>
      </c>
      <c r="E610" s="8" t="str">
        <f t="array" ref="E610">IFERROR(INDEX(atlas!F:F,MATCH(A610,atlas!C:C,0)),"")</f>
        <v/>
      </c>
      <c r="F610" s="9"/>
      <c r="G610" s="10"/>
      <c r="H610" s="11"/>
      <c r="I610" s="12" t="str">
        <f t="array" ref="I610">IFERROR(INDEX(atlas!B:B,MATCH(A610,atlas!C:C,0)),"")</f>
        <v/>
      </c>
      <c r="J610" s="8" t="str">
        <f>IFERROR(VLOOKUP(F610,tecnica!A:B,2,0),"")</f>
        <v/>
      </c>
      <c r="K610" s="8" t="str">
        <f>IFERROR(VLOOKUP(J610,tecnica!B:C,2,0),"")</f>
        <v/>
      </c>
      <c r="L610" s="13"/>
      <c r="M610" s="14" t="str">
        <f>IFERROR(VLOOKUP(I610,material!A:D,4,0),"")</f>
        <v/>
      </c>
      <c r="N610" s="14" t="str">
        <f t="shared" si="1"/>
        <v/>
      </c>
      <c r="O610" s="15" t="str">
        <f>IFERROR(VLOOKUP(I610,material!A:D,2,0),"")</f>
        <v/>
      </c>
    </row>
    <row r="611">
      <c r="A611" s="6"/>
      <c r="B611" s="7"/>
      <c r="C611" s="8" t="str">
        <f t="array" ref="C611">IFERROR(INDEX(atlas!H:H,MATCH(A611,atlas!C:C,0)),"")</f>
        <v/>
      </c>
      <c r="D611" s="8" t="str">
        <f t="array" ref="D611">IFERROR(INDEX(atlas!D:D,MATCH(A611,atlas!C:C,0)),"")</f>
        <v/>
      </c>
      <c r="E611" s="8" t="str">
        <f t="array" ref="E611">IFERROR(INDEX(atlas!F:F,MATCH(A611,atlas!C:C,0)),"")</f>
        <v/>
      </c>
      <c r="F611" s="9"/>
      <c r="G611" s="10"/>
      <c r="H611" s="11"/>
      <c r="I611" s="12" t="str">
        <f t="array" ref="I611">IFERROR(INDEX(atlas!B:B,MATCH(A611,atlas!C:C,0)),"")</f>
        <v/>
      </c>
      <c r="J611" s="8" t="str">
        <f>IFERROR(VLOOKUP(F611,tecnica!A:B,2,0),"")</f>
        <v/>
      </c>
      <c r="K611" s="8" t="str">
        <f>IFERROR(VLOOKUP(J611,tecnica!B:C,2,0),"")</f>
        <v/>
      </c>
      <c r="L611" s="13"/>
      <c r="M611" s="14" t="str">
        <f>IFERROR(VLOOKUP(I611,material!A:D,4,0),"")</f>
        <v/>
      </c>
      <c r="N611" s="14" t="str">
        <f t="shared" si="1"/>
        <v/>
      </c>
      <c r="O611" s="15" t="str">
        <f>IFERROR(VLOOKUP(I611,material!A:D,2,0),"")</f>
        <v/>
      </c>
    </row>
    <row r="612">
      <c r="A612" s="6"/>
      <c r="B612" s="7"/>
      <c r="C612" s="8" t="str">
        <f t="array" ref="C612">IFERROR(INDEX(atlas!H:H,MATCH(A612,atlas!C:C,0)),"")</f>
        <v/>
      </c>
      <c r="D612" s="8" t="str">
        <f t="array" ref="D612">IFERROR(INDEX(atlas!D:D,MATCH(A612,atlas!C:C,0)),"")</f>
        <v/>
      </c>
      <c r="E612" s="8" t="str">
        <f t="array" ref="E612">IFERROR(INDEX(atlas!F:F,MATCH(A612,atlas!C:C,0)),"")</f>
        <v/>
      </c>
      <c r="F612" s="9"/>
      <c r="G612" s="10"/>
      <c r="H612" s="11"/>
      <c r="I612" s="12" t="str">
        <f t="array" ref="I612">IFERROR(INDEX(atlas!B:B,MATCH(A612,atlas!C:C,0)),"")</f>
        <v/>
      </c>
      <c r="J612" s="8" t="str">
        <f>IFERROR(VLOOKUP(F612,tecnica!A:B,2,0),"")</f>
        <v/>
      </c>
      <c r="K612" s="8" t="str">
        <f>IFERROR(VLOOKUP(J612,tecnica!B:C,2,0),"")</f>
        <v/>
      </c>
      <c r="L612" s="13"/>
      <c r="M612" s="14" t="str">
        <f>IFERROR(VLOOKUP(I612,material!A:D,4,0),"")</f>
        <v/>
      </c>
      <c r="N612" s="14" t="str">
        <f t="shared" si="1"/>
        <v/>
      </c>
      <c r="O612" s="15" t="str">
        <f>IFERROR(VLOOKUP(I612,material!A:D,2,0),"")</f>
        <v/>
      </c>
    </row>
    <row r="613">
      <c r="A613" s="6"/>
      <c r="B613" s="7"/>
      <c r="C613" s="8" t="str">
        <f t="array" ref="C613">IFERROR(INDEX(atlas!H:H,MATCH(A613,atlas!C:C,0)),"")</f>
        <v/>
      </c>
      <c r="D613" s="8" t="str">
        <f t="array" ref="D613">IFERROR(INDEX(atlas!D:D,MATCH(A613,atlas!C:C,0)),"")</f>
        <v/>
      </c>
      <c r="E613" s="8" t="str">
        <f t="array" ref="E613">IFERROR(INDEX(atlas!F:F,MATCH(A613,atlas!C:C,0)),"")</f>
        <v/>
      </c>
      <c r="F613" s="9"/>
      <c r="G613" s="10"/>
      <c r="H613" s="11"/>
      <c r="I613" s="12" t="str">
        <f t="array" ref="I613">IFERROR(INDEX(atlas!B:B,MATCH(A613,atlas!C:C,0)),"")</f>
        <v/>
      </c>
      <c r="J613" s="8" t="str">
        <f>IFERROR(VLOOKUP(F613,tecnica!A:B,2,0),"")</f>
        <v/>
      </c>
      <c r="K613" s="8" t="str">
        <f>IFERROR(VLOOKUP(J613,tecnica!B:C,2,0),"")</f>
        <v/>
      </c>
      <c r="L613" s="13"/>
      <c r="M613" s="14" t="str">
        <f>IFERROR(VLOOKUP(I613,material!A:D,4,0),"")</f>
        <v/>
      </c>
      <c r="N613" s="14" t="str">
        <f t="shared" si="1"/>
        <v/>
      </c>
      <c r="O613" s="15" t="str">
        <f>IFERROR(VLOOKUP(I613,material!A:D,2,0),"")</f>
        <v/>
      </c>
    </row>
    <row r="614">
      <c r="A614" s="6"/>
      <c r="B614" s="7"/>
      <c r="C614" s="8" t="str">
        <f t="array" ref="C614">IFERROR(INDEX(atlas!H:H,MATCH(A614,atlas!C:C,0)),"")</f>
        <v/>
      </c>
      <c r="D614" s="8" t="str">
        <f t="array" ref="D614">IFERROR(INDEX(atlas!D:D,MATCH(A614,atlas!C:C,0)),"")</f>
        <v/>
      </c>
      <c r="E614" s="8" t="str">
        <f t="array" ref="E614">IFERROR(INDEX(atlas!F:F,MATCH(A614,atlas!C:C,0)),"")</f>
        <v/>
      </c>
      <c r="F614" s="9"/>
      <c r="G614" s="10"/>
      <c r="H614" s="11"/>
      <c r="I614" s="12" t="str">
        <f t="array" ref="I614">IFERROR(INDEX(atlas!B:B,MATCH(A614,atlas!C:C,0)),"")</f>
        <v/>
      </c>
      <c r="J614" s="8" t="str">
        <f>IFERROR(VLOOKUP(F614,tecnica!A:B,2,0),"")</f>
        <v/>
      </c>
      <c r="K614" s="8" t="str">
        <f>IFERROR(VLOOKUP(J614,tecnica!B:C,2,0),"")</f>
        <v/>
      </c>
      <c r="L614" s="13"/>
      <c r="M614" s="14" t="str">
        <f>IFERROR(VLOOKUP(I614,material!A:D,4,0),"")</f>
        <v/>
      </c>
      <c r="N614" s="14" t="str">
        <f t="shared" si="1"/>
        <v/>
      </c>
      <c r="O614" s="15" t="str">
        <f>IFERROR(VLOOKUP(I614,material!A:D,2,0),"")</f>
        <v/>
      </c>
    </row>
    <row r="615">
      <c r="A615" s="6"/>
      <c r="B615" s="7"/>
      <c r="C615" s="8" t="str">
        <f t="array" ref="C615">IFERROR(INDEX(atlas!H:H,MATCH(A615,atlas!C:C,0)),"")</f>
        <v/>
      </c>
      <c r="D615" s="8" t="str">
        <f t="array" ref="D615">IFERROR(INDEX(atlas!D:D,MATCH(A615,atlas!C:C,0)),"")</f>
        <v/>
      </c>
      <c r="E615" s="8" t="str">
        <f t="array" ref="E615">IFERROR(INDEX(atlas!F:F,MATCH(A615,atlas!C:C,0)),"")</f>
        <v/>
      </c>
      <c r="F615" s="9"/>
      <c r="G615" s="10"/>
      <c r="H615" s="11"/>
      <c r="I615" s="12" t="str">
        <f t="array" ref="I615">IFERROR(INDEX(atlas!B:B,MATCH(A615,atlas!C:C,0)),"")</f>
        <v/>
      </c>
      <c r="J615" s="8" t="str">
        <f>IFERROR(VLOOKUP(F615,tecnica!A:B,2,0),"")</f>
        <v/>
      </c>
      <c r="K615" s="8" t="str">
        <f>IFERROR(VLOOKUP(J615,tecnica!B:C,2,0),"")</f>
        <v/>
      </c>
      <c r="L615" s="13"/>
      <c r="M615" s="14" t="str">
        <f>IFERROR(VLOOKUP(I615,material!A:D,4,0),"")</f>
        <v/>
      </c>
      <c r="N615" s="14" t="str">
        <f t="shared" si="1"/>
        <v/>
      </c>
      <c r="O615" s="15" t="str">
        <f>IFERROR(VLOOKUP(I615,material!A:D,2,0),"")</f>
        <v/>
      </c>
    </row>
    <row r="616">
      <c r="A616" s="6"/>
      <c r="B616" s="7"/>
      <c r="C616" s="8" t="str">
        <f t="array" ref="C616">IFERROR(INDEX(atlas!H:H,MATCH(A616,atlas!C:C,0)),"")</f>
        <v/>
      </c>
      <c r="D616" s="8" t="str">
        <f t="array" ref="D616">IFERROR(INDEX(atlas!D:D,MATCH(A616,atlas!C:C,0)),"")</f>
        <v/>
      </c>
      <c r="E616" s="8" t="str">
        <f t="array" ref="E616">IFERROR(INDEX(atlas!F:F,MATCH(A616,atlas!C:C,0)),"")</f>
        <v/>
      </c>
      <c r="F616" s="9"/>
      <c r="G616" s="10"/>
      <c r="H616" s="11"/>
      <c r="I616" s="12" t="str">
        <f t="array" ref="I616">IFERROR(INDEX(atlas!B:B,MATCH(A616,atlas!C:C,0)),"")</f>
        <v/>
      </c>
      <c r="J616" s="8" t="str">
        <f>IFERROR(VLOOKUP(F616,tecnica!A:B,2,0),"")</f>
        <v/>
      </c>
      <c r="K616" s="8" t="str">
        <f>IFERROR(VLOOKUP(J616,tecnica!B:C,2,0),"")</f>
        <v/>
      </c>
      <c r="L616" s="13"/>
      <c r="M616" s="14" t="str">
        <f>IFERROR(VLOOKUP(I616,material!A:D,4,0),"")</f>
        <v/>
      </c>
      <c r="N616" s="14" t="str">
        <f t="shared" si="1"/>
        <v/>
      </c>
      <c r="O616" s="15" t="str">
        <f>IFERROR(VLOOKUP(I616,material!A:D,2,0),"")</f>
        <v/>
      </c>
    </row>
    <row r="617">
      <c r="A617" s="6"/>
      <c r="B617" s="7"/>
      <c r="C617" s="8" t="str">
        <f t="array" ref="C617">IFERROR(INDEX(atlas!H:H,MATCH(A617,atlas!C:C,0)),"")</f>
        <v/>
      </c>
      <c r="D617" s="8" t="str">
        <f t="array" ref="D617">IFERROR(INDEX(atlas!D:D,MATCH(A617,atlas!C:C,0)),"")</f>
        <v/>
      </c>
      <c r="E617" s="8" t="str">
        <f t="array" ref="E617">IFERROR(INDEX(atlas!F:F,MATCH(A617,atlas!C:C,0)),"")</f>
        <v/>
      </c>
      <c r="F617" s="9"/>
      <c r="G617" s="10"/>
      <c r="H617" s="11"/>
      <c r="I617" s="12" t="str">
        <f t="array" ref="I617">IFERROR(INDEX(atlas!B:B,MATCH(A617,atlas!C:C,0)),"")</f>
        <v/>
      </c>
      <c r="J617" s="8" t="str">
        <f>IFERROR(VLOOKUP(F617,tecnica!A:B,2,0),"")</f>
        <v/>
      </c>
      <c r="K617" s="8" t="str">
        <f>IFERROR(VLOOKUP(J617,tecnica!B:C,2,0),"")</f>
        <v/>
      </c>
      <c r="L617" s="13"/>
      <c r="M617" s="14" t="str">
        <f>IFERROR(VLOOKUP(I617,material!A:D,4,0),"")</f>
        <v/>
      </c>
      <c r="N617" s="14" t="str">
        <f t="shared" si="1"/>
        <v/>
      </c>
      <c r="O617" s="15" t="str">
        <f>IFERROR(VLOOKUP(I617,material!A:D,2,0),"")</f>
        <v/>
      </c>
    </row>
    <row r="618">
      <c r="A618" s="6"/>
      <c r="B618" s="7"/>
      <c r="C618" s="8" t="str">
        <f t="array" ref="C618">IFERROR(INDEX(atlas!H:H,MATCH(A618,atlas!C:C,0)),"")</f>
        <v/>
      </c>
      <c r="D618" s="8" t="str">
        <f t="array" ref="D618">IFERROR(INDEX(atlas!D:D,MATCH(A618,atlas!C:C,0)),"")</f>
        <v/>
      </c>
      <c r="E618" s="8" t="str">
        <f t="array" ref="E618">IFERROR(INDEX(atlas!F:F,MATCH(A618,atlas!C:C,0)),"")</f>
        <v/>
      </c>
      <c r="F618" s="9"/>
      <c r="G618" s="10"/>
      <c r="H618" s="11"/>
      <c r="I618" s="12" t="str">
        <f t="array" ref="I618">IFERROR(INDEX(atlas!B:B,MATCH(A618,atlas!C:C,0)),"")</f>
        <v/>
      </c>
      <c r="J618" s="8" t="str">
        <f>IFERROR(VLOOKUP(F618,tecnica!A:B,2,0),"")</f>
        <v/>
      </c>
      <c r="K618" s="8" t="str">
        <f>IFERROR(VLOOKUP(J618,tecnica!B:C,2,0),"")</f>
        <v/>
      </c>
      <c r="L618" s="13"/>
      <c r="M618" s="14" t="str">
        <f>IFERROR(VLOOKUP(I618,material!A:D,4,0),"")</f>
        <v/>
      </c>
      <c r="N618" s="14" t="str">
        <f t="shared" si="1"/>
        <v/>
      </c>
      <c r="O618" s="15" t="str">
        <f>IFERROR(VLOOKUP(I618,material!A:D,2,0),"")</f>
        <v/>
      </c>
    </row>
    <row r="619">
      <c r="A619" s="6"/>
      <c r="B619" s="7"/>
      <c r="C619" s="8" t="str">
        <f t="array" ref="C619">IFERROR(INDEX(atlas!H:H,MATCH(A619,atlas!C:C,0)),"")</f>
        <v/>
      </c>
      <c r="D619" s="8" t="str">
        <f t="array" ref="D619">IFERROR(INDEX(atlas!D:D,MATCH(A619,atlas!C:C,0)),"")</f>
        <v/>
      </c>
      <c r="E619" s="8" t="str">
        <f t="array" ref="E619">IFERROR(INDEX(atlas!F:F,MATCH(A619,atlas!C:C,0)),"")</f>
        <v/>
      </c>
      <c r="F619" s="9"/>
      <c r="G619" s="10"/>
      <c r="H619" s="11"/>
      <c r="I619" s="12" t="str">
        <f t="array" ref="I619">IFERROR(INDEX(atlas!B:B,MATCH(A619,atlas!C:C,0)),"")</f>
        <v/>
      </c>
      <c r="J619" s="8" t="str">
        <f>IFERROR(VLOOKUP(F619,tecnica!A:B,2,0),"")</f>
        <v/>
      </c>
      <c r="K619" s="8" t="str">
        <f>IFERROR(VLOOKUP(J619,tecnica!B:C,2,0),"")</f>
        <v/>
      </c>
      <c r="L619" s="13"/>
      <c r="M619" s="14" t="str">
        <f>IFERROR(VLOOKUP(I619,material!A:D,4,0),"")</f>
        <v/>
      </c>
      <c r="N619" s="14" t="str">
        <f t="shared" si="1"/>
        <v/>
      </c>
      <c r="O619" s="15" t="str">
        <f>IFERROR(VLOOKUP(I619,material!A:D,2,0),"")</f>
        <v/>
      </c>
    </row>
    <row r="620">
      <c r="A620" s="6"/>
      <c r="B620" s="7"/>
      <c r="C620" s="8" t="str">
        <f t="array" ref="C620">IFERROR(INDEX(atlas!H:H,MATCH(A620,atlas!C:C,0)),"")</f>
        <v/>
      </c>
      <c r="D620" s="8" t="str">
        <f t="array" ref="D620">IFERROR(INDEX(atlas!D:D,MATCH(A620,atlas!C:C,0)),"")</f>
        <v/>
      </c>
      <c r="E620" s="8" t="str">
        <f t="array" ref="E620">IFERROR(INDEX(atlas!F:F,MATCH(A620,atlas!C:C,0)),"")</f>
        <v/>
      </c>
      <c r="F620" s="9"/>
      <c r="G620" s="10"/>
      <c r="H620" s="11"/>
      <c r="I620" s="12" t="str">
        <f t="array" ref="I620">IFERROR(INDEX(atlas!B:B,MATCH(A620,atlas!C:C,0)),"")</f>
        <v/>
      </c>
      <c r="J620" s="8" t="str">
        <f>IFERROR(VLOOKUP(F620,tecnica!A:B,2,0),"")</f>
        <v/>
      </c>
      <c r="K620" s="8" t="str">
        <f>IFERROR(VLOOKUP(J620,tecnica!B:C,2,0),"")</f>
        <v/>
      </c>
      <c r="L620" s="13"/>
      <c r="M620" s="14" t="str">
        <f>IFERROR(VLOOKUP(I620,material!A:D,4,0),"")</f>
        <v/>
      </c>
      <c r="N620" s="14" t="str">
        <f t="shared" si="1"/>
        <v/>
      </c>
      <c r="O620" s="15" t="str">
        <f>IFERROR(VLOOKUP(I620,material!A:D,2,0),"")</f>
        <v/>
      </c>
    </row>
    <row r="621">
      <c r="A621" s="6"/>
      <c r="B621" s="7"/>
      <c r="C621" s="8" t="str">
        <f t="array" ref="C621">IFERROR(INDEX(atlas!H:H,MATCH(A621,atlas!C:C,0)),"")</f>
        <v/>
      </c>
      <c r="D621" s="8" t="str">
        <f t="array" ref="D621">IFERROR(INDEX(atlas!D:D,MATCH(A621,atlas!C:C,0)),"")</f>
        <v/>
      </c>
      <c r="E621" s="8" t="str">
        <f t="array" ref="E621">IFERROR(INDEX(atlas!F:F,MATCH(A621,atlas!C:C,0)),"")</f>
        <v/>
      </c>
      <c r="F621" s="9"/>
      <c r="G621" s="10"/>
      <c r="H621" s="11"/>
      <c r="I621" s="12" t="str">
        <f t="array" ref="I621">IFERROR(INDEX(atlas!B:B,MATCH(A621,atlas!C:C,0)),"")</f>
        <v/>
      </c>
      <c r="J621" s="8" t="str">
        <f>IFERROR(VLOOKUP(F621,tecnica!A:B,2,0),"")</f>
        <v/>
      </c>
      <c r="K621" s="8" t="str">
        <f>IFERROR(VLOOKUP(J621,tecnica!B:C,2,0),"")</f>
        <v/>
      </c>
      <c r="L621" s="13"/>
      <c r="M621" s="14" t="str">
        <f>IFERROR(VLOOKUP(I621,material!A:D,4,0),"")</f>
        <v/>
      </c>
      <c r="N621" s="14" t="str">
        <f t="shared" si="1"/>
        <v/>
      </c>
      <c r="O621" s="15" t="str">
        <f>IFERROR(VLOOKUP(I621,material!A:D,2,0),"")</f>
        <v/>
      </c>
    </row>
    <row r="622">
      <c r="A622" s="6"/>
      <c r="B622" s="7"/>
      <c r="C622" s="8" t="str">
        <f t="array" ref="C622">IFERROR(INDEX(atlas!H:H,MATCH(A622,atlas!C:C,0)),"")</f>
        <v/>
      </c>
      <c r="D622" s="8" t="str">
        <f t="array" ref="D622">IFERROR(INDEX(atlas!D:D,MATCH(A622,atlas!C:C,0)),"")</f>
        <v/>
      </c>
      <c r="E622" s="8" t="str">
        <f t="array" ref="E622">IFERROR(INDEX(atlas!F:F,MATCH(A622,atlas!C:C,0)),"")</f>
        <v/>
      </c>
      <c r="F622" s="9"/>
      <c r="G622" s="10"/>
      <c r="H622" s="11"/>
      <c r="I622" s="12" t="str">
        <f t="array" ref="I622">IFERROR(INDEX(atlas!B:B,MATCH(A622,atlas!C:C,0)),"")</f>
        <v/>
      </c>
      <c r="J622" s="8" t="str">
        <f>IFERROR(VLOOKUP(F622,tecnica!A:B,2,0),"")</f>
        <v/>
      </c>
      <c r="K622" s="8" t="str">
        <f>IFERROR(VLOOKUP(J622,tecnica!B:C,2,0),"")</f>
        <v/>
      </c>
      <c r="L622" s="13"/>
      <c r="M622" s="14" t="str">
        <f>IFERROR(VLOOKUP(I622,material!A:D,4,0),"")</f>
        <v/>
      </c>
      <c r="N622" s="14" t="str">
        <f t="shared" si="1"/>
        <v/>
      </c>
      <c r="O622" s="15" t="str">
        <f>IFERROR(VLOOKUP(I622,material!A:D,2,0),"")</f>
        <v/>
      </c>
    </row>
    <row r="623">
      <c r="A623" s="6"/>
      <c r="B623" s="7"/>
      <c r="C623" s="8" t="str">
        <f t="array" ref="C623">IFERROR(INDEX(atlas!H:H,MATCH(A623,atlas!C:C,0)),"")</f>
        <v/>
      </c>
      <c r="D623" s="8" t="str">
        <f t="array" ref="D623">IFERROR(INDEX(atlas!D:D,MATCH(A623,atlas!C:C,0)),"")</f>
        <v/>
      </c>
      <c r="E623" s="8" t="str">
        <f t="array" ref="E623">IFERROR(INDEX(atlas!F:F,MATCH(A623,atlas!C:C,0)),"")</f>
        <v/>
      </c>
      <c r="F623" s="9"/>
      <c r="G623" s="10"/>
      <c r="H623" s="11"/>
      <c r="I623" s="12" t="str">
        <f t="array" ref="I623">IFERROR(INDEX(atlas!B:B,MATCH(A623,atlas!C:C,0)),"")</f>
        <v/>
      </c>
      <c r="J623" s="8" t="str">
        <f>IFERROR(VLOOKUP(F623,tecnica!A:B,2,0),"")</f>
        <v/>
      </c>
      <c r="K623" s="8" t="str">
        <f>IFERROR(VLOOKUP(J623,tecnica!B:C,2,0),"")</f>
        <v/>
      </c>
      <c r="L623" s="13"/>
      <c r="M623" s="14" t="str">
        <f>IFERROR(VLOOKUP(I623,material!A:D,4,0),"")</f>
        <v/>
      </c>
      <c r="N623" s="14" t="str">
        <f t="shared" si="1"/>
        <v/>
      </c>
      <c r="O623" s="15" t="str">
        <f>IFERROR(VLOOKUP(I623,material!A:D,2,0),"")</f>
        <v/>
      </c>
    </row>
    <row r="624">
      <c r="A624" s="6"/>
      <c r="B624" s="7"/>
      <c r="C624" s="8" t="str">
        <f t="array" ref="C624">IFERROR(INDEX(atlas!H:H,MATCH(A624,atlas!C:C,0)),"")</f>
        <v/>
      </c>
      <c r="D624" s="8" t="str">
        <f t="array" ref="D624">IFERROR(INDEX(atlas!D:D,MATCH(A624,atlas!C:C,0)),"")</f>
        <v/>
      </c>
      <c r="E624" s="8" t="str">
        <f t="array" ref="E624">IFERROR(INDEX(atlas!F:F,MATCH(A624,atlas!C:C,0)),"")</f>
        <v/>
      </c>
      <c r="F624" s="9"/>
      <c r="G624" s="10"/>
      <c r="H624" s="11"/>
      <c r="I624" s="12" t="str">
        <f t="array" ref="I624">IFERROR(INDEX(atlas!B:B,MATCH(A624,atlas!C:C,0)),"")</f>
        <v/>
      </c>
      <c r="J624" s="8" t="str">
        <f>IFERROR(VLOOKUP(F624,tecnica!A:B,2,0),"")</f>
        <v/>
      </c>
      <c r="K624" s="8" t="str">
        <f>IFERROR(VLOOKUP(J624,tecnica!B:C,2,0),"")</f>
        <v/>
      </c>
      <c r="L624" s="13"/>
      <c r="M624" s="14" t="str">
        <f>IFERROR(VLOOKUP(I624,material!A:D,4,0),"")</f>
        <v/>
      </c>
      <c r="N624" s="14" t="str">
        <f t="shared" si="1"/>
        <v/>
      </c>
      <c r="O624" s="15" t="str">
        <f>IFERROR(VLOOKUP(I624,material!A:D,2,0),"")</f>
        <v/>
      </c>
    </row>
    <row r="625">
      <c r="A625" s="6"/>
      <c r="B625" s="7"/>
      <c r="C625" s="8" t="str">
        <f t="array" ref="C625">IFERROR(INDEX(atlas!H:H,MATCH(A625,atlas!C:C,0)),"")</f>
        <v/>
      </c>
      <c r="D625" s="8" t="str">
        <f t="array" ref="D625">IFERROR(INDEX(atlas!D:D,MATCH(A625,atlas!C:C,0)),"")</f>
        <v/>
      </c>
      <c r="E625" s="8" t="str">
        <f t="array" ref="E625">IFERROR(INDEX(atlas!F:F,MATCH(A625,atlas!C:C,0)),"")</f>
        <v/>
      </c>
      <c r="F625" s="9"/>
      <c r="G625" s="10"/>
      <c r="H625" s="11"/>
      <c r="I625" s="12" t="str">
        <f t="array" ref="I625">IFERROR(INDEX(atlas!B:B,MATCH(A625,atlas!C:C,0)),"")</f>
        <v/>
      </c>
      <c r="J625" s="8" t="str">
        <f>IFERROR(VLOOKUP(F625,tecnica!A:B,2,0),"")</f>
        <v/>
      </c>
      <c r="K625" s="8" t="str">
        <f>IFERROR(VLOOKUP(J625,tecnica!B:C,2,0),"")</f>
        <v/>
      </c>
      <c r="L625" s="13"/>
      <c r="M625" s="14" t="str">
        <f>IFERROR(VLOOKUP(I625,material!A:D,4,0),"")</f>
        <v/>
      </c>
      <c r="N625" s="14" t="str">
        <f t="shared" si="1"/>
        <v/>
      </c>
      <c r="O625" s="15" t="str">
        <f>IFERROR(VLOOKUP(I625,material!A:D,2,0),"")</f>
        <v/>
      </c>
    </row>
    <row r="626">
      <c r="A626" s="6"/>
      <c r="B626" s="7"/>
      <c r="C626" s="8" t="str">
        <f t="array" ref="C626">IFERROR(INDEX(atlas!H:H,MATCH(A626,atlas!C:C,0)),"")</f>
        <v/>
      </c>
      <c r="D626" s="8" t="str">
        <f t="array" ref="D626">IFERROR(INDEX(atlas!D:D,MATCH(A626,atlas!C:C,0)),"")</f>
        <v/>
      </c>
      <c r="E626" s="8" t="str">
        <f t="array" ref="E626">IFERROR(INDEX(atlas!F:F,MATCH(A626,atlas!C:C,0)),"")</f>
        <v/>
      </c>
      <c r="F626" s="9"/>
      <c r="G626" s="10"/>
      <c r="H626" s="11"/>
      <c r="I626" s="12" t="str">
        <f t="array" ref="I626">IFERROR(INDEX(atlas!B:B,MATCH(A626,atlas!C:C,0)),"")</f>
        <v/>
      </c>
      <c r="J626" s="8" t="str">
        <f>IFERROR(VLOOKUP(F626,tecnica!A:B,2,0),"")</f>
        <v/>
      </c>
      <c r="K626" s="8" t="str">
        <f>IFERROR(VLOOKUP(J626,tecnica!B:C,2,0),"")</f>
        <v/>
      </c>
      <c r="L626" s="13"/>
      <c r="M626" s="14" t="str">
        <f>IFERROR(VLOOKUP(I626,material!A:D,4,0),"")</f>
        <v/>
      </c>
      <c r="N626" s="14" t="str">
        <f t="shared" si="1"/>
        <v/>
      </c>
      <c r="O626" s="15" t="str">
        <f>IFERROR(VLOOKUP(I626,material!A:D,2,0),"")</f>
        <v/>
      </c>
    </row>
    <row r="627">
      <c r="A627" s="6"/>
      <c r="B627" s="7"/>
      <c r="C627" s="8" t="str">
        <f t="array" ref="C627">IFERROR(INDEX(atlas!H:H,MATCH(A627,atlas!C:C,0)),"")</f>
        <v/>
      </c>
      <c r="D627" s="8" t="str">
        <f t="array" ref="D627">IFERROR(INDEX(atlas!D:D,MATCH(A627,atlas!C:C,0)),"")</f>
        <v/>
      </c>
      <c r="E627" s="8" t="str">
        <f t="array" ref="E627">IFERROR(INDEX(atlas!F:F,MATCH(A627,atlas!C:C,0)),"")</f>
        <v/>
      </c>
      <c r="F627" s="9"/>
      <c r="G627" s="10"/>
      <c r="H627" s="11"/>
      <c r="I627" s="12" t="str">
        <f t="array" ref="I627">IFERROR(INDEX(atlas!B:B,MATCH(A627,atlas!C:C,0)),"")</f>
        <v/>
      </c>
      <c r="J627" s="8" t="str">
        <f>IFERROR(VLOOKUP(F627,tecnica!A:B,2,0),"")</f>
        <v/>
      </c>
      <c r="K627" s="8" t="str">
        <f>IFERROR(VLOOKUP(J627,tecnica!B:C,2,0),"")</f>
        <v/>
      </c>
      <c r="L627" s="13"/>
      <c r="M627" s="14" t="str">
        <f>IFERROR(VLOOKUP(I627,material!A:D,4,0),"")</f>
        <v/>
      </c>
      <c r="N627" s="14" t="str">
        <f t="shared" si="1"/>
        <v/>
      </c>
      <c r="O627" s="15" t="str">
        <f>IFERROR(VLOOKUP(I627,material!A:D,2,0),"")</f>
        <v/>
      </c>
    </row>
    <row r="628">
      <c r="A628" s="6"/>
      <c r="B628" s="7"/>
      <c r="C628" s="8" t="str">
        <f t="array" ref="C628">IFERROR(INDEX(atlas!H:H,MATCH(A628,atlas!C:C,0)),"")</f>
        <v/>
      </c>
      <c r="D628" s="8" t="str">
        <f t="array" ref="D628">IFERROR(INDEX(atlas!D:D,MATCH(A628,atlas!C:C,0)),"")</f>
        <v/>
      </c>
      <c r="E628" s="8" t="str">
        <f t="array" ref="E628">IFERROR(INDEX(atlas!F:F,MATCH(A628,atlas!C:C,0)),"")</f>
        <v/>
      </c>
      <c r="F628" s="9"/>
      <c r="G628" s="10"/>
      <c r="H628" s="11"/>
      <c r="I628" s="12" t="str">
        <f t="array" ref="I628">IFERROR(INDEX(atlas!B:B,MATCH(A628,atlas!C:C,0)),"")</f>
        <v/>
      </c>
      <c r="J628" s="8" t="str">
        <f>IFERROR(VLOOKUP(F628,tecnica!A:B,2,0),"")</f>
        <v/>
      </c>
      <c r="K628" s="8" t="str">
        <f>IFERROR(VLOOKUP(J628,tecnica!B:C,2,0),"")</f>
        <v/>
      </c>
      <c r="L628" s="13"/>
      <c r="M628" s="14" t="str">
        <f>IFERROR(VLOOKUP(I628,material!A:D,4,0),"")</f>
        <v/>
      </c>
      <c r="N628" s="14" t="str">
        <f t="shared" si="1"/>
        <v/>
      </c>
      <c r="O628" s="15" t="str">
        <f>IFERROR(VLOOKUP(I628,material!A:D,2,0),"")</f>
        <v/>
      </c>
    </row>
    <row r="629">
      <c r="A629" s="6"/>
      <c r="B629" s="7"/>
      <c r="C629" s="8" t="str">
        <f t="array" ref="C629">IFERROR(INDEX(atlas!H:H,MATCH(A629,atlas!C:C,0)),"")</f>
        <v/>
      </c>
      <c r="D629" s="8" t="str">
        <f t="array" ref="D629">IFERROR(INDEX(atlas!D:D,MATCH(A629,atlas!C:C,0)),"")</f>
        <v/>
      </c>
      <c r="E629" s="8" t="str">
        <f t="array" ref="E629">IFERROR(INDEX(atlas!F:F,MATCH(A629,atlas!C:C,0)),"")</f>
        <v/>
      </c>
      <c r="F629" s="9"/>
      <c r="G629" s="10"/>
      <c r="H629" s="11"/>
      <c r="I629" s="12" t="str">
        <f t="array" ref="I629">IFERROR(INDEX(atlas!B:B,MATCH(A629,atlas!C:C,0)),"")</f>
        <v/>
      </c>
      <c r="J629" s="8" t="str">
        <f>IFERROR(VLOOKUP(F629,tecnica!A:B,2,0),"")</f>
        <v/>
      </c>
      <c r="K629" s="8" t="str">
        <f>IFERROR(VLOOKUP(J629,tecnica!B:C,2,0),"")</f>
        <v/>
      </c>
      <c r="L629" s="13"/>
      <c r="M629" s="14" t="str">
        <f>IFERROR(VLOOKUP(I629,material!A:D,4,0),"")</f>
        <v/>
      </c>
      <c r="N629" s="14" t="str">
        <f t="shared" si="1"/>
        <v/>
      </c>
      <c r="O629" s="15" t="str">
        <f>IFERROR(VLOOKUP(I629,material!A:D,2,0),"")</f>
        <v/>
      </c>
    </row>
    <row r="630">
      <c r="A630" s="6"/>
      <c r="B630" s="7"/>
      <c r="C630" s="8" t="str">
        <f t="array" ref="C630">IFERROR(INDEX(atlas!H:H,MATCH(A630,atlas!C:C,0)),"")</f>
        <v/>
      </c>
      <c r="D630" s="8" t="str">
        <f t="array" ref="D630">IFERROR(INDEX(atlas!D:D,MATCH(A630,atlas!C:C,0)),"")</f>
        <v/>
      </c>
      <c r="E630" s="8" t="str">
        <f t="array" ref="E630">IFERROR(INDEX(atlas!F:F,MATCH(A630,atlas!C:C,0)),"")</f>
        <v/>
      </c>
      <c r="F630" s="9"/>
      <c r="G630" s="10"/>
      <c r="H630" s="11"/>
      <c r="I630" s="12" t="str">
        <f t="array" ref="I630">IFERROR(INDEX(atlas!B:B,MATCH(A630,atlas!C:C,0)),"")</f>
        <v/>
      </c>
      <c r="J630" s="8" t="str">
        <f>IFERROR(VLOOKUP(F630,tecnica!A:B,2,0),"")</f>
        <v/>
      </c>
      <c r="K630" s="8" t="str">
        <f>IFERROR(VLOOKUP(J630,tecnica!B:C,2,0),"")</f>
        <v/>
      </c>
      <c r="L630" s="13"/>
      <c r="M630" s="14" t="str">
        <f>IFERROR(VLOOKUP(I630,material!A:D,4,0),"")</f>
        <v/>
      </c>
      <c r="N630" s="14" t="str">
        <f t="shared" si="1"/>
        <v/>
      </c>
      <c r="O630" s="15" t="str">
        <f>IFERROR(VLOOKUP(I630,material!A:D,2,0),"")</f>
        <v/>
      </c>
    </row>
    <row r="631">
      <c r="A631" s="6"/>
      <c r="B631" s="7"/>
      <c r="C631" s="8" t="str">
        <f t="array" ref="C631">IFERROR(INDEX(atlas!H:H,MATCH(A631,atlas!C:C,0)),"")</f>
        <v/>
      </c>
      <c r="D631" s="8" t="str">
        <f t="array" ref="D631">IFERROR(INDEX(atlas!D:D,MATCH(A631,atlas!C:C,0)),"")</f>
        <v/>
      </c>
      <c r="E631" s="8" t="str">
        <f t="array" ref="E631">IFERROR(INDEX(atlas!F:F,MATCH(A631,atlas!C:C,0)),"")</f>
        <v/>
      </c>
      <c r="F631" s="9"/>
      <c r="G631" s="10"/>
      <c r="H631" s="11"/>
      <c r="I631" s="12" t="str">
        <f t="array" ref="I631">IFERROR(INDEX(atlas!B:B,MATCH(A631,atlas!C:C,0)),"")</f>
        <v/>
      </c>
      <c r="J631" s="8" t="str">
        <f>IFERROR(VLOOKUP(F631,tecnica!A:B,2,0),"")</f>
        <v/>
      </c>
      <c r="K631" s="8" t="str">
        <f>IFERROR(VLOOKUP(J631,tecnica!B:C,2,0),"")</f>
        <v/>
      </c>
      <c r="L631" s="13"/>
      <c r="M631" s="14" t="str">
        <f>IFERROR(VLOOKUP(I631,material!A:D,4,0),"")</f>
        <v/>
      </c>
      <c r="N631" s="14" t="str">
        <f t="shared" si="1"/>
        <v/>
      </c>
      <c r="O631" s="15" t="str">
        <f>IFERROR(VLOOKUP(I631,material!A:D,2,0),"")</f>
        <v/>
      </c>
    </row>
    <row r="632">
      <c r="A632" s="6"/>
      <c r="B632" s="7"/>
      <c r="C632" s="8" t="str">
        <f t="array" ref="C632">IFERROR(INDEX(atlas!H:H,MATCH(A632,atlas!C:C,0)),"")</f>
        <v/>
      </c>
      <c r="D632" s="8" t="str">
        <f t="array" ref="D632">IFERROR(INDEX(atlas!D:D,MATCH(A632,atlas!C:C,0)),"")</f>
        <v/>
      </c>
      <c r="E632" s="8" t="str">
        <f t="array" ref="E632">IFERROR(INDEX(atlas!F:F,MATCH(A632,atlas!C:C,0)),"")</f>
        <v/>
      </c>
      <c r="F632" s="9"/>
      <c r="G632" s="10"/>
      <c r="H632" s="11"/>
      <c r="I632" s="12" t="str">
        <f t="array" ref="I632">IFERROR(INDEX(atlas!B:B,MATCH(A632,atlas!C:C,0)),"")</f>
        <v/>
      </c>
      <c r="J632" s="8" t="str">
        <f>IFERROR(VLOOKUP(F632,tecnica!A:B,2,0),"")</f>
        <v/>
      </c>
      <c r="K632" s="8" t="str">
        <f>IFERROR(VLOOKUP(J632,tecnica!B:C,2,0),"")</f>
        <v/>
      </c>
      <c r="L632" s="13"/>
      <c r="M632" s="14" t="str">
        <f>IFERROR(VLOOKUP(I632,material!A:D,4,0),"")</f>
        <v/>
      </c>
      <c r="N632" s="14" t="str">
        <f t="shared" si="1"/>
        <v/>
      </c>
      <c r="O632" s="15" t="str">
        <f>IFERROR(VLOOKUP(I632,material!A:D,2,0),"")</f>
        <v/>
      </c>
    </row>
    <row r="633">
      <c r="A633" s="6"/>
      <c r="B633" s="7"/>
      <c r="C633" s="8" t="str">
        <f t="array" ref="C633">IFERROR(INDEX(atlas!H:H,MATCH(A633,atlas!C:C,0)),"")</f>
        <v/>
      </c>
      <c r="D633" s="8" t="str">
        <f t="array" ref="D633">IFERROR(INDEX(atlas!D:D,MATCH(A633,atlas!C:C,0)),"")</f>
        <v/>
      </c>
      <c r="E633" s="8" t="str">
        <f t="array" ref="E633">IFERROR(INDEX(atlas!F:F,MATCH(A633,atlas!C:C,0)),"")</f>
        <v/>
      </c>
      <c r="F633" s="9"/>
      <c r="G633" s="10"/>
      <c r="H633" s="11"/>
      <c r="I633" s="12" t="str">
        <f t="array" ref="I633">IFERROR(INDEX(atlas!B:B,MATCH(A633,atlas!C:C,0)),"")</f>
        <v/>
      </c>
      <c r="J633" s="8" t="str">
        <f>IFERROR(VLOOKUP(F633,tecnica!A:B,2,0),"")</f>
        <v/>
      </c>
      <c r="K633" s="8" t="str">
        <f>IFERROR(VLOOKUP(J633,tecnica!B:C,2,0),"")</f>
        <v/>
      </c>
      <c r="L633" s="13"/>
      <c r="M633" s="14" t="str">
        <f>IFERROR(VLOOKUP(I633,material!A:D,4,0),"")</f>
        <v/>
      </c>
      <c r="N633" s="14" t="str">
        <f t="shared" si="1"/>
        <v/>
      </c>
      <c r="O633" s="15" t="str">
        <f>IFERROR(VLOOKUP(I633,material!A:D,2,0),"")</f>
        <v/>
      </c>
    </row>
    <row r="634">
      <c r="A634" s="6"/>
      <c r="B634" s="7"/>
      <c r="C634" s="8" t="str">
        <f t="array" ref="C634">IFERROR(INDEX(atlas!H:H,MATCH(A634,atlas!C:C,0)),"")</f>
        <v/>
      </c>
      <c r="D634" s="8" t="str">
        <f t="array" ref="D634">IFERROR(INDEX(atlas!D:D,MATCH(A634,atlas!C:C,0)),"")</f>
        <v/>
      </c>
      <c r="E634" s="8" t="str">
        <f t="array" ref="E634">IFERROR(INDEX(atlas!F:F,MATCH(A634,atlas!C:C,0)),"")</f>
        <v/>
      </c>
      <c r="F634" s="9"/>
      <c r="G634" s="10"/>
      <c r="H634" s="11"/>
      <c r="I634" s="12" t="str">
        <f t="array" ref="I634">IFERROR(INDEX(atlas!B:B,MATCH(A634,atlas!C:C,0)),"")</f>
        <v/>
      </c>
      <c r="J634" s="8" t="str">
        <f>IFERROR(VLOOKUP(F634,tecnica!A:B,2,0),"")</f>
        <v/>
      </c>
      <c r="K634" s="8" t="str">
        <f>IFERROR(VLOOKUP(J634,tecnica!B:C,2,0),"")</f>
        <v/>
      </c>
      <c r="L634" s="13"/>
      <c r="M634" s="14" t="str">
        <f>IFERROR(VLOOKUP(I634,material!A:D,4,0),"")</f>
        <v/>
      </c>
      <c r="N634" s="14" t="str">
        <f t="shared" si="1"/>
        <v/>
      </c>
      <c r="O634" s="15" t="str">
        <f>IFERROR(VLOOKUP(I634,material!A:D,2,0),"")</f>
        <v/>
      </c>
    </row>
    <row r="635">
      <c r="A635" s="6"/>
      <c r="B635" s="7"/>
      <c r="C635" s="8" t="str">
        <f t="array" ref="C635">IFERROR(INDEX(atlas!H:H,MATCH(A635,atlas!C:C,0)),"")</f>
        <v/>
      </c>
      <c r="D635" s="8" t="str">
        <f t="array" ref="D635">IFERROR(INDEX(atlas!D:D,MATCH(A635,atlas!C:C,0)),"")</f>
        <v/>
      </c>
      <c r="E635" s="8" t="str">
        <f t="array" ref="E635">IFERROR(INDEX(atlas!F:F,MATCH(A635,atlas!C:C,0)),"")</f>
        <v/>
      </c>
      <c r="F635" s="9"/>
      <c r="G635" s="10"/>
      <c r="H635" s="11"/>
      <c r="I635" s="12" t="str">
        <f t="array" ref="I635">IFERROR(INDEX(atlas!B:B,MATCH(A635,atlas!C:C,0)),"")</f>
        <v/>
      </c>
      <c r="J635" s="8" t="str">
        <f>IFERROR(VLOOKUP(F635,tecnica!A:B,2,0),"")</f>
        <v/>
      </c>
      <c r="K635" s="8" t="str">
        <f>IFERROR(VLOOKUP(J635,tecnica!B:C,2,0),"")</f>
        <v/>
      </c>
      <c r="L635" s="13"/>
      <c r="M635" s="14" t="str">
        <f>IFERROR(VLOOKUP(I635,material!A:D,4,0),"")</f>
        <v/>
      </c>
      <c r="N635" s="14" t="str">
        <f t="shared" si="1"/>
        <v/>
      </c>
      <c r="O635" s="15" t="str">
        <f>IFERROR(VLOOKUP(I635,material!A:D,2,0),"")</f>
        <v/>
      </c>
    </row>
    <row r="636">
      <c r="A636" s="6"/>
      <c r="B636" s="7"/>
      <c r="C636" s="8" t="str">
        <f t="array" ref="C636">IFERROR(INDEX(atlas!H:H,MATCH(A636,atlas!C:C,0)),"")</f>
        <v/>
      </c>
      <c r="D636" s="8" t="str">
        <f t="array" ref="D636">IFERROR(INDEX(atlas!D:D,MATCH(A636,atlas!C:C,0)),"")</f>
        <v/>
      </c>
      <c r="E636" s="8" t="str">
        <f t="array" ref="E636">IFERROR(INDEX(atlas!F:F,MATCH(A636,atlas!C:C,0)),"")</f>
        <v/>
      </c>
      <c r="F636" s="9"/>
      <c r="G636" s="10"/>
      <c r="H636" s="11"/>
      <c r="I636" s="12" t="str">
        <f t="array" ref="I636">IFERROR(INDEX(atlas!B:B,MATCH(A636,atlas!C:C,0)),"")</f>
        <v/>
      </c>
      <c r="J636" s="8" t="str">
        <f>IFERROR(VLOOKUP(F636,tecnica!A:B,2,0),"")</f>
        <v/>
      </c>
      <c r="K636" s="8" t="str">
        <f>IFERROR(VLOOKUP(J636,tecnica!B:C,2,0),"")</f>
        <v/>
      </c>
      <c r="L636" s="13"/>
      <c r="M636" s="14" t="str">
        <f>IFERROR(VLOOKUP(I636,material!A:D,4,0),"")</f>
        <v/>
      </c>
      <c r="N636" s="14" t="str">
        <f t="shared" si="1"/>
        <v/>
      </c>
      <c r="O636" s="15" t="str">
        <f>IFERROR(VLOOKUP(I636,material!A:D,2,0),"")</f>
        <v/>
      </c>
    </row>
    <row r="637">
      <c r="A637" s="6"/>
      <c r="B637" s="7"/>
      <c r="C637" s="8" t="str">
        <f t="array" ref="C637">IFERROR(INDEX(atlas!H:H,MATCH(A637,atlas!C:C,0)),"")</f>
        <v/>
      </c>
      <c r="D637" s="8" t="str">
        <f t="array" ref="D637">IFERROR(INDEX(atlas!D:D,MATCH(A637,atlas!C:C,0)),"")</f>
        <v/>
      </c>
      <c r="E637" s="8" t="str">
        <f t="array" ref="E637">IFERROR(INDEX(atlas!F:F,MATCH(A637,atlas!C:C,0)),"")</f>
        <v/>
      </c>
      <c r="F637" s="9"/>
      <c r="G637" s="10"/>
      <c r="H637" s="11"/>
      <c r="I637" s="12" t="str">
        <f t="array" ref="I637">IFERROR(INDEX(atlas!B:B,MATCH(A637,atlas!C:C,0)),"")</f>
        <v/>
      </c>
      <c r="J637" s="8" t="str">
        <f>IFERROR(VLOOKUP(F637,tecnica!A:B,2,0),"")</f>
        <v/>
      </c>
      <c r="K637" s="8" t="str">
        <f>IFERROR(VLOOKUP(J637,tecnica!B:C,2,0),"")</f>
        <v/>
      </c>
      <c r="L637" s="13"/>
      <c r="M637" s="14" t="str">
        <f>IFERROR(VLOOKUP(I637,material!A:D,4,0),"")</f>
        <v/>
      </c>
      <c r="N637" s="14" t="str">
        <f t="shared" si="1"/>
        <v/>
      </c>
      <c r="O637" s="15" t="str">
        <f>IFERROR(VLOOKUP(I637,material!A:D,2,0),"")</f>
        <v/>
      </c>
    </row>
    <row r="638">
      <c r="A638" s="6"/>
      <c r="B638" s="7"/>
      <c r="C638" s="8" t="str">
        <f t="array" ref="C638">IFERROR(INDEX(atlas!H:H,MATCH(A638,atlas!C:C,0)),"")</f>
        <v/>
      </c>
      <c r="D638" s="8" t="str">
        <f t="array" ref="D638">IFERROR(INDEX(atlas!D:D,MATCH(A638,atlas!C:C,0)),"")</f>
        <v/>
      </c>
      <c r="E638" s="8" t="str">
        <f t="array" ref="E638">IFERROR(INDEX(atlas!F:F,MATCH(A638,atlas!C:C,0)),"")</f>
        <v/>
      </c>
      <c r="F638" s="9"/>
      <c r="G638" s="10"/>
      <c r="H638" s="11"/>
      <c r="I638" s="12" t="str">
        <f t="array" ref="I638">IFERROR(INDEX(atlas!B:B,MATCH(A638,atlas!C:C,0)),"")</f>
        <v/>
      </c>
      <c r="J638" s="8" t="str">
        <f>IFERROR(VLOOKUP(F638,tecnica!A:B,2,0),"")</f>
        <v/>
      </c>
      <c r="K638" s="8" t="str">
        <f>IFERROR(VLOOKUP(J638,tecnica!B:C,2,0),"")</f>
        <v/>
      </c>
      <c r="L638" s="13"/>
      <c r="M638" s="14" t="str">
        <f>IFERROR(VLOOKUP(I638,material!A:D,4,0),"")</f>
        <v/>
      </c>
      <c r="N638" s="14" t="str">
        <f t="shared" si="1"/>
        <v/>
      </c>
      <c r="O638" s="15" t="str">
        <f>IFERROR(VLOOKUP(I638,material!A:D,2,0),"")</f>
        <v/>
      </c>
    </row>
    <row r="639">
      <c r="A639" s="6"/>
      <c r="B639" s="7"/>
      <c r="C639" s="8" t="str">
        <f t="array" ref="C639">IFERROR(INDEX(atlas!H:H,MATCH(A639,atlas!C:C,0)),"")</f>
        <v/>
      </c>
      <c r="D639" s="8" t="str">
        <f t="array" ref="D639">IFERROR(INDEX(atlas!D:D,MATCH(A639,atlas!C:C,0)),"")</f>
        <v/>
      </c>
      <c r="E639" s="8" t="str">
        <f t="array" ref="E639">IFERROR(INDEX(atlas!F:F,MATCH(A639,atlas!C:C,0)),"")</f>
        <v/>
      </c>
      <c r="F639" s="9"/>
      <c r="G639" s="10"/>
      <c r="H639" s="11"/>
      <c r="I639" s="12" t="str">
        <f t="array" ref="I639">IFERROR(INDEX(atlas!B:B,MATCH(A639,atlas!C:C,0)),"")</f>
        <v/>
      </c>
      <c r="J639" s="8" t="str">
        <f>IFERROR(VLOOKUP(F639,tecnica!A:B,2,0),"")</f>
        <v/>
      </c>
      <c r="K639" s="8" t="str">
        <f>IFERROR(VLOOKUP(J639,tecnica!B:C,2,0),"")</f>
        <v/>
      </c>
      <c r="L639" s="13"/>
      <c r="M639" s="14" t="str">
        <f>IFERROR(VLOOKUP(I639,material!A:D,4,0),"")</f>
        <v/>
      </c>
      <c r="N639" s="14" t="str">
        <f t="shared" si="1"/>
        <v/>
      </c>
      <c r="O639" s="15" t="str">
        <f>IFERROR(VLOOKUP(I639,material!A:D,2,0),"")</f>
        <v/>
      </c>
    </row>
    <row r="640">
      <c r="A640" s="6"/>
      <c r="B640" s="7"/>
      <c r="C640" s="8" t="str">
        <f t="array" ref="C640">IFERROR(INDEX(atlas!H:H,MATCH(A640,atlas!C:C,0)),"")</f>
        <v/>
      </c>
      <c r="D640" s="8" t="str">
        <f t="array" ref="D640">IFERROR(INDEX(atlas!D:D,MATCH(A640,atlas!C:C,0)),"")</f>
        <v/>
      </c>
      <c r="E640" s="8" t="str">
        <f t="array" ref="E640">IFERROR(INDEX(atlas!F:F,MATCH(A640,atlas!C:C,0)),"")</f>
        <v/>
      </c>
      <c r="F640" s="9"/>
      <c r="G640" s="10"/>
      <c r="H640" s="11"/>
      <c r="I640" s="12" t="str">
        <f t="array" ref="I640">IFERROR(INDEX(atlas!B:B,MATCH(A640,atlas!C:C,0)),"")</f>
        <v/>
      </c>
      <c r="J640" s="8" t="str">
        <f>IFERROR(VLOOKUP(F640,tecnica!A:B,2,0),"")</f>
        <v/>
      </c>
      <c r="K640" s="8" t="str">
        <f>IFERROR(VLOOKUP(J640,tecnica!B:C,2,0),"")</f>
        <v/>
      </c>
      <c r="L640" s="13"/>
      <c r="M640" s="14" t="str">
        <f>IFERROR(VLOOKUP(I640,material!A:D,4,0),"")</f>
        <v/>
      </c>
      <c r="N640" s="14" t="str">
        <f t="shared" si="1"/>
        <v/>
      </c>
      <c r="O640" s="15" t="str">
        <f>IFERROR(VLOOKUP(I640,material!A:D,2,0),"")</f>
        <v/>
      </c>
    </row>
    <row r="641">
      <c r="A641" s="6"/>
      <c r="B641" s="7"/>
      <c r="C641" s="8" t="str">
        <f t="array" ref="C641">IFERROR(INDEX(atlas!H:H,MATCH(A641,atlas!C:C,0)),"")</f>
        <v/>
      </c>
      <c r="D641" s="8" t="str">
        <f t="array" ref="D641">IFERROR(INDEX(atlas!D:D,MATCH(A641,atlas!C:C,0)),"")</f>
        <v/>
      </c>
      <c r="E641" s="8" t="str">
        <f t="array" ref="E641">IFERROR(INDEX(atlas!F:F,MATCH(A641,atlas!C:C,0)),"")</f>
        <v/>
      </c>
      <c r="F641" s="9"/>
      <c r="G641" s="10"/>
      <c r="H641" s="11"/>
      <c r="I641" s="12" t="str">
        <f t="array" ref="I641">IFERROR(INDEX(atlas!B:B,MATCH(A641,atlas!C:C,0)),"")</f>
        <v/>
      </c>
      <c r="J641" s="8" t="str">
        <f>IFERROR(VLOOKUP(F641,tecnica!A:B,2,0),"")</f>
        <v/>
      </c>
      <c r="K641" s="8" t="str">
        <f>IFERROR(VLOOKUP(J641,tecnica!B:C,2,0),"")</f>
        <v/>
      </c>
      <c r="L641" s="13"/>
      <c r="M641" s="14" t="str">
        <f>IFERROR(VLOOKUP(I641,material!A:D,4,0),"")</f>
        <v/>
      </c>
      <c r="N641" s="14" t="str">
        <f t="shared" si="1"/>
        <v/>
      </c>
      <c r="O641" s="15" t="str">
        <f>IFERROR(VLOOKUP(I641,material!A:D,2,0),"")</f>
        <v/>
      </c>
    </row>
    <row r="642">
      <c r="A642" s="6"/>
      <c r="B642" s="7"/>
      <c r="C642" s="8" t="str">
        <f t="array" ref="C642">IFERROR(INDEX(atlas!H:H,MATCH(A642,atlas!C:C,0)),"")</f>
        <v/>
      </c>
      <c r="D642" s="8" t="str">
        <f t="array" ref="D642">IFERROR(INDEX(atlas!D:D,MATCH(A642,atlas!C:C,0)),"")</f>
        <v/>
      </c>
      <c r="E642" s="8" t="str">
        <f t="array" ref="E642">IFERROR(INDEX(atlas!F:F,MATCH(A642,atlas!C:C,0)),"")</f>
        <v/>
      </c>
      <c r="F642" s="9"/>
      <c r="G642" s="10"/>
      <c r="H642" s="11"/>
      <c r="I642" s="12" t="str">
        <f t="array" ref="I642">IFERROR(INDEX(atlas!B:B,MATCH(A642,atlas!C:C,0)),"")</f>
        <v/>
      </c>
      <c r="J642" s="8" t="str">
        <f>IFERROR(VLOOKUP(F642,tecnica!A:B,2,0),"")</f>
        <v/>
      </c>
      <c r="K642" s="8" t="str">
        <f>IFERROR(VLOOKUP(J642,tecnica!B:C,2,0),"")</f>
        <v/>
      </c>
      <c r="L642" s="13"/>
      <c r="M642" s="14" t="str">
        <f>IFERROR(VLOOKUP(I642,material!A:D,4,0),"")</f>
        <v/>
      </c>
      <c r="N642" s="14" t="str">
        <f t="shared" si="1"/>
        <v/>
      </c>
      <c r="O642" s="15" t="str">
        <f>IFERROR(VLOOKUP(I642,material!A:D,2,0),"")</f>
        <v/>
      </c>
    </row>
    <row r="643">
      <c r="A643" s="6"/>
      <c r="B643" s="7"/>
      <c r="C643" s="8" t="str">
        <f t="array" ref="C643">IFERROR(INDEX(atlas!H:H,MATCH(A643,atlas!C:C,0)),"")</f>
        <v/>
      </c>
      <c r="D643" s="8" t="str">
        <f t="array" ref="D643">IFERROR(INDEX(atlas!D:D,MATCH(A643,atlas!C:C,0)),"")</f>
        <v/>
      </c>
      <c r="E643" s="8" t="str">
        <f t="array" ref="E643">IFERROR(INDEX(atlas!F:F,MATCH(A643,atlas!C:C,0)),"")</f>
        <v/>
      </c>
      <c r="F643" s="9"/>
      <c r="G643" s="10"/>
      <c r="H643" s="11"/>
      <c r="I643" s="12" t="str">
        <f t="array" ref="I643">IFERROR(INDEX(atlas!B:B,MATCH(A643,atlas!C:C,0)),"")</f>
        <v/>
      </c>
      <c r="J643" s="8" t="str">
        <f>IFERROR(VLOOKUP(F643,tecnica!A:B,2,0),"")</f>
        <v/>
      </c>
      <c r="K643" s="8" t="str">
        <f>IFERROR(VLOOKUP(J643,tecnica!B:C,2,0),"")</f>
        <v/>
      </c>
      <c r="L643" s="13"/>
      <c r="M643" s="14" t="str">
        <f>IFERROR(VLOOKUP(I643,material!A:D,4,0),"")</f>
        <v/>
      </c>
      <c r="N643" s="14" t="str">
        <f t="shared" si="1"/>
        <v/>
      </c>
      <c r="O643" s="15" t="str">
        <f>IFERROR(VLOOKUP(I643,material!A:D,2,0),"")</f>
        <v/>
      </c>
    </row>
    <row r="644">
      <c r="A644" s="6"/>
      <c r="B644" s="7"/>
      <c r="C644" s="8" t="str">
        <f t="array" ref="C644">IFERROR(INDEX(atlas!H:H,MATCH(A644,atlas!C:C,0)),"")</f>
        <v/>
      </c>
      <c r="D644" s="8" t="str">
        <f t="array" ref="D644">IFERROR(INDEX(atlas!D:D,MATCH(A644,atlas!C:C,0)),"")</f>
        <v/>
      </c>
      <c r="E644" s="8" t="str">
        <f t="array" ref="E644">IFERROR(INDEX(atlas!F:F,MATCH(A644,atlas!C:C,0)),"")</f>
        <v/>
      </c>
      <c r="F644" s="9"/>
      <c r="G644" s="10"/>
      <c r="H644" s="11"/>
      <c r="I644" s="12" t="str">
        <f t="array" ref="I644">IFERROR(INDEX(atlas!B:B,MATCH(A644,atlas!C:C,0)),"")</f>
        <v/>
      </c>
      <c r="J644" s="8" t="str">
        <f>IFERROR(VLOOKUP(F644,tecnica!A:B,2,0),"")</f>
        <v/>
      </c>
      <c r="K644" s="8" t="str">
        <f>IFERROR(VLOOKUP(J644,tecnica!B:C,2,0),"")</f>
        <v/>
      </c>
      <c r="L644" s="13"/>
      <c r="M644" s="14" t="str">
        <f>IFERROR(VLOOKUP(I644,material!A:D,4,0),"")</f>
        <v/>
      </c>
      <c r="N644" s="14" t="str">
        <f t="shared" si="1"/>
        <v/>
      </c>
      <c r="O644" s="15" t="str">
        <f>IFERROR(VLOOKUP(I644,material!A:D,2,0),"")</f>
        <v/>
      </c>
    </row>
    <row r="645">
      <c r="A645" s="6"/>
      <c r="B645" s="7"/>
      <c r="C645" s="8" t="str">
        <f t="array" ref="C645">IFERROR(INDEX(atlas!H:H,MATCH(A645,atlas!C:C,0)),"")</f>
        <v/>
      </c>
      <c r="D645" s="8" t="str">
        <f t="array" ref="D645">IFERROR(INDEX(atlas!D:D,MATCH(A645,atlas!C:C,0)),"")</f>
        <v/>
      </c>
      <c r="E645" s="8" t="str">
        <f t="array" ref="E645">IFERROR(INDEX(atlas!F:F,MATCH(A645,atlas!C:C,0)),"")</f>
        <v/>
      </c>
      <c r="F645" s="9"/>
      <c r="G645" s="10"/>
      <c r="H645" s="11"/>
      <c r="I645" s="12" t="str">
        <f t="array" ref="I645">IFERROR(INDEX(atlas!B:B,MATCH(A645,atlas!C:C,0)),"")</f>
        <v/>
      </c>
      <c r="J645" s="8" t="str">
        <f>IFERROR(VLOOKUP(F645,tecnica!A:B,2,0),"")</f>
        <v/>
      </c>
      <c r="K645" s="8" t="str">
        <f>IFERROR(VLOOKUP(J645,tecnica!B:C,2,0),"")</f>
        <v/>
      </c>
      <c r="L645" s="13"/>
      <c r="M645" s="14" t="str">
        <f>IFERROR(VLOOKUP(I645,material!A:D,4,0),"")</f>
        <v/>
      </c>
      <c r="N645" s="14" t="str">
        <f t="shared" si="1"/>
        <v/>
      </c>
      <c r="O645" s="15" t="str">
        <f>IFERROR(VLOOKUP(I645,material!A:D,2,0),"")</f>
        <v/>
      </c>
    </row>
    <row r="646">
      <c r="A646" s="6"/>
      <c r="B646" s="7"/>
      <c r="C646" s="8" t="str">
        <f t="array" ref="C646">IFERROR(INDEX(atlas!H:H,MATCH(A646,atlas!C:C,0)),"")</f>
        <v/>
      </c>
      <c r="D646" s="8" t="str">
        <f t="array" ref="D646">IFERROR(INDEX(atlas!D:D,MATCH(A646,atlas!C:C,0)),"")</f>
        <v/>
      </c>
      <c r="E646" s="8" t="str">
        <f t="array" ref="E646">IFERROR(INDEX(atlas!F:F,MATCH(A646,atlas!C:C,0)),"")</f>
        <v/>
      </c>
      <c r="F646" s="9"/>
      <c r="G646" s="10"/>
      <c r="H646" s="11"/>
      <c r="I646" s="12" t="str">
        <f t="array" ref="I646">IFERROR(INDEX(atlas!B:B,MATCH(A646,atlas!C:C,0)),"")</f>
        <v/>
      </c>
      <c r="J646" s="8" t="str">
        <f>IFERROR(VLOOKUP(F646,tecnica!A:B,2,0),"")</f>
        <v/>
      </c>
      <c r="K646" s="8" t="str">
        <f>IFERROR(VLOOKUP(J646,tecnica!B:C,2,0),"")</f>
        <v/>
      </c>
      <c r="L646" s="13"/>
      <c r="M646" s="14" t="str">
        <f>IFERROR(VLOOKUP(I646,material!A:D,4,0),"")</f>
        <v/>
      </c>
      <c r="N646" s="14" t="str">
        <f t="shared" si="1"/>
        <v/>
      </c>
      <c r="O646" s="15" t="str">
        <f>IFERROR(VLOOKUP(I646,material!A:D,2,0),"")</f>
        <v/>
      </c>
    </row>
    <row r="647">
      <c r="A647" s="6"/>
      <c r="B647" s="7"/>
      <c r="C647" s="8" t="str">
        <f t="array" ref="C647">IFERROR(INDEX(atlas!H:H,MATCH(A647,atlas!C:C,0)),"")</f>
        <v/>
      </c>
      <c r="D647" s="8" t="str">
        <f t="array" ref="D647">IFERROR(INDEX(atlas!D:D,MATCH(A647,atlas!C:C,0)),"")</f>
        <v/>
      </c>
      <c r="E647" s="8" t="str">
        <f t="array" ref="E647">IFERROR(INDEX(atlas!F:F,MATCH(A647,atlas!C:C,0)),"")</f>
        <v/>
      </c>
      <c r="F647" s="9"/>
      <c r="G647" s="10"/>
      <c r="H647" s="11"/>
      <c r="I647" s="12" t="str">
        <f t="array" ref="I647">IFERROR(INDEX(atlas!B:B,MATCH(A647,atlas!C:C,0)),"")</f>
        <v/>
      </c>
      <c r="J647" s="8" t="str">
        <f>IFERROR(VLOOKUP(F647,tecnica!A:B,2,0),"")</f>
        <v/>
      </c>
      <c r="K647" s="8" t="str">
        <f>IFERROR(VLOOKUP(J647,tecnica!B:C,2,0),"")</f>
        <v/>
      </c>
      <c r="L647" s="13"/>
      <c r="M647" s="14" t="str">
        <f>IFERROR(VLOOKUP(I647,material!A:D,4,0),"")</f>
        <v/>
      </c>
      <c r="N647" s="14" t="str">
        <f t="shared" si="1"/>
        <v/>
      </c>
      <c r="O647" s="15" t="str">
        <f>IFERROR(VLOOKUP(I647,material!A:D,2,0),"")</f>
        <v/>
      </c>
    </row>
    <row r="648">
      <c r="A648" s="6"/>
      <c r="B648" s="7"/>
      <c r="C648" s="8" t="str">
        <f t="array" ref="C648">IFERROR(INDEX(atlas!H:H,MATCH(A648,atlas!C:C,0)),"")</f>
        <v/>
      </c>
      <c r="D648" s="8" t="str">
        <f t="array" ref="D648">IFERROR(INDEX(atlas!D:D,MATCH(A648,atlas!C:C,0)),"")</f>
        <v/>
      </c>
      <c r="E648" s="8" t="str">
        <f t="array" ref="E648">IFERROR(INDEX(atlas!F:F,MATCH(A648,atlas!C:C,0)),"")</f>
        <v/>
      </c>
      <c r="F648" s="9"/>
      <c r="G648" s="10"/>
      <c r="H648" s="11"/>
      <c r="I648" s="12" t="str">
        <f t="array" ref="I648">IFERROR(INDEX(atlas!B:B,MATCH(A648,atlas!C:C,0)),"")</f>
        <v/>
      </c>
      <c r="J648" s="8" t="str">
        <f>IFERROR(VLOOKUP(F648,tecnica!A:B,2,0),"")</f>
        <v/>
      </c>
      <c r="K648" s="8" t="str">
        <f>IFERROR(VLOOKUP(J648,tecnica!B:C,2,0),"")</f>
        <v/>
      </c>
      <c r="L648" s="13"/>
      <c r="M648" s="14" t="str">
        <f>IFERROR(VLOOKUP(I648,material!A:D,4,0),"")</f>
        <v/>
      </c>
      <c r="N648" s="14" t="str">
        <f t="shared" si="1"/>
        <v/>
      </c>
      <c r="O648" s="15" t="str">
        <f>IFERROR(VLOOKUP(I648,material!A:D,2,0),"")</f>
        <v/>
      </c>
    </row>
    <row r="649">
      <c r="A649" s="6"/>
      <c r="B649" s="7"/>
      <c r="C649" s="8" t="str">
        <f t="array" ref="C649">IFERROR(INDEX(atlas!H:H,MATCH(A649,atlas!C:C,0)),"")</f>
        <v/>
      </c>
      <c r="D649" s="8" t="str">
        <f t="array" ref="D649">IFERROR(INDEX(atlas!D:D,MATCH(A649,atlas!C:C,0)),"")</f>
        <v/>
      </c>
      <c r="E649" s="8" t="str">
        <f t="array" ref="E649">IFERROR(INDEX(atlas!F:F,MATCH(A649,atlas!C:C,0)),"")</f>
        <v/>
      </c>
      <c r="F649" s="9"/>
      <c r="G649" s="10"/>
      <c r="H649" s="11"/>
      <c r="I649" s="12" t="str">
        <f t="array" ref="I649">IFERROR(INDEX(atlas!B:B,MATCH(A649,atlas!C:C,0)),"")</f>
        <v/>
      </c>
      <c r="J649" s="8" t="str">
        <f>IFERROR(VLOOKUP(F649,tecnica!A:B,2,0),"")</f>
        <v/>
      </c>
      <c r="K649" s="8" t="str">
        <f>IFERROR(VLOOKUP(J649,tecnica!B:C,2,0),"")</f>
        <v/>
      </c>
      <c r="L649" s="13"/>
      <c r="M649" s="14" t="str">
        <f>IFERROR(VLOOKUP(I649,material!A:D,4,0),"")</f>
        <v/>
      </c>
      <c r="N649" s="14" t="str">
        <f t="shared" si="1"/>
        <v/>
      </c>
      <c r="O649" s="15" t="str">
        <f>IFERROR(VLOOKUP(I649,material!A:D,2,0),"")</f>
        <v/>
      </c>
    </row>
    <row r="650">
      <c r="A650" s="6"/>
      <c r="B650" s="7"/>
      <c r="C650" s="8" t="str">
        <f t="array" ref="C650">IFERROR(INDEX(atlas!H:H,MATCH(A650,atlas!C:C,0)),"")</f>
        <v/>
      </c>
      <c r="D650" s="8" t="str">
        <f t="array" ref="D650">IFERROR(INDEX(atlas!D:D,MATCH(A650,atlas!C:C,0)),"")</f>
        <v/>
      </c>
      <c r="E650" s="8" t="str">
        <f t="array" ref="E650">IFERROR(INDEX(atlas!F:F,MATCH(A650,atlas!C:C,0)),"")</f>
        <v/>
      </c>
      <c r="F650" s="9"/>
      <c r="G650" s="10"/>
      <c r="H650" s="11"/>
      <c r="I650" s="12" t="str">
        <f t="array" ref="I650">IFERROR(INDEX(atlas!B:B,MATCH(A650,atlas!C:C,0)),"")</f>
        <v/>
      </c>
      <c r="J650" s="8" t="str">
        <f>IFERROR(VLOOKUP(F650,tecnica!A:B,2,0),"")</f>
        <v/>
      </c>
      <c r="K650" s="8" t="str">
        <f>IFERROR(VLOOKUP(J650,tecnica!B:C,2,0),"")</f>
        <v/>
      </c>
      <c r="L650" s="13"/>
      <c r="M650" s="14" t="str">
        <f>IFERROR(VLOOKUP(I650,material!A:D,4,0),"")</f>
        <v/>
      </c>
      <c r="N650" s="14" t="str">
        <f t="shared" si="1"/>
        <v/>
      </c>
      <c r="O650" s="15" t="str">
        <f>IFERROR(VLOOKUP(I650,material!A:D,2,0),"")</f>
        <v/>
      </c>
    </row>
    <row r="651">
      <c r="A651" s="6"/>
      <c r="B651" s="7"/>
      <c r="C651" s="8" t="str">
        <f t="array" ref="C651">IFERROR(INDEX(atlas!H:H,MATCH(A651,atlas!C:C,0)),"")</f>
        <v/>
      </c>
      <c r="D651" s="8" t="str">
        <f t="array" ref="D651">IFERROR(INDEX(atlas!D:D,MATCH(A651,atlas!C:C,0)),"")</f>
        <v/>
      </c>
      <c r="E651" s="8" t="str">
        <f t="array" ref="E651">IFERROR(INDEX(atlas!F:F,MATCH(A651,atlas!C:C,0)),"")</f>
        <v/>
      </c>
      <c r="F651" s="9"/>
      <c r="G651" s="10"/>
      <c r="H651" s="11"/>
      <c r="I651" s="12" t="str">
        <f t="array" ref="I651">IFERROR(INDEX(atlas!B:B,MATCH(A651,atlas!C:C,0)),"")</f>
        <v/>
      </c>
      <c r="J651" s="8" t="str">
        <f>IFERROR(VLOOKUP(F651,tecnica!A:B,2,0),"")</f>
        <v/>
      </c>
      <c r="K651" s="8" t="str">
        <f>IFERROR(VLOOKUP(J651,tecnica!B:C,2,0),"")</f>
        <v/>
      </c>
      <c r="L651" s="13"/>
      <c r="M651" s="14" t="str">
        <f>IFERROR(VLOOKUP(I651,material!A:D,4,0),"")</f>
        <v/>
      </c>
      <c r="N651" s="14" t="str">
        <f t="shared" si="1"/>
        <v/>
      </c>
      <c r="O651" s="15" t="str">
        <f>IFERROR(VLOOKUP(I651,material!A:D,2,0),"")</f>
        <v/>
      </c>
    </row>
    <row r="652">
      <c r="A652" s="6"/>
      <c r="B652" s="7"/>
      <c r="C652" s="8" t="str">
        <f t="array" ref="C652">IFERROR(INDEX(atlas!H:H,MATCH(A652,atlas!C:C,0)),"")</f>
        <v/>
      </c>
      <c r="D652" s="8" t="str">
        <f t="array" ref="D652">IFERROR(INDEX(atlas!D:D,MATCH(A652,atlas!C:C,0)),"")</f>
        <v/>
      </c>
      <c r="E652" s="8" t="str">
        <f t="array" ref="E652">IFERROR(INDEX(atlas!F:F,MATCH(A652,atlas!C:C,0)),"")</f>
        <v/>
      </c>
      <c r="F652" s="9"/>
      <c r="G652" s="10"/>
      <c r="H652" s="11"/>
      <c r="I652" s="12" t="str">
        <f t="array" ref="I652">IFERROR(INDEX(atlas!B:B,MATCH(A652,atlas!C:C,0)),"")</f>
        <v/>
      </c>
      <c r="J652" s="8" t="str">
        <f>IFERROR(VLOOKUP(F652,tecnica!A:B,2,0),"")</f>
        <v/>
      </c>
      <c r="K652" s="8" t="str">
        <f>IFERROR(VLOOKUP(J652,tecnica!B:C,2,0),"")</f>
        <v/>
      </c>
      <c r="L652" s="13"/>
      <c r="M652" s="14" t="str">
        <f>IFERROR(VLOOKUP(I652,material!A:D,4,0),"")</f>
        <v/>
      </c>
      <c r="N652" s="14" t="str">
        <f t="shared" si="1"/>
        <v/>
      </c>
      <c r="O652" s="15" t="str">
        <f>IFERROR(VLOOKUP(I652,material!A:D,2,0),"")</f>
        <v/>
      </c>
    </row>
    <row r="653">
      <c r="A653" s="6"/>
      <c r="B653" s="7"/>
      <c r="C653" s="8" t="str">
        <f t="array" ref="C653">IFERROR(INDEX(atlas!H:H,MATCH(A653,atlas!C:C,0)),"")</f>
        <v/>
      </c>
      <c r="D653" s="8" t="str">
        <f t="array" ref="D653">IFERROR(INDEX(atlas!D:D,MATCH(A653,atlas!C:C,0)),"")</f>
        <v/>
      </c>
      <c r="E653" s="8" t="str">
        <f t="array" ref="E653">IFERROR(INDEX(atlas!F:F,MATCH(A653,atlas!C:C,0)),"")</f>
        <v/>
      </c>
      <c r="F653" s="9"/>
      <c r="G653" s="10"/>
      <c r="H653" s="11"/>
      <c r="I653" s="12" t="str">
        <f t="array" ref="I653">IFERROR(INDEX(atlas!B:B,MATCH(A653,atlas!C:C,0)),"")</f>
        <v/>
      </c>
      <c r="J653" s="8" t="str">
        <f>IFERROR(VLOOKUP(F653,tecnica!A:B,2,0),"")</f>
        <v/>
      </c>
      <c r="K653" s="8" t="str">
        <f>IFERROR(VLOOKUP(J653,tecnica!B:C,2,0),"")</f>
        <v/>
      </c>
      <c r="L653" s="13"/>
      <c r="M653" s="14" t="str">
        <f>IFERROR(VLOOKUP(I653,material!A:D,4,0),"")</f>
        <v/>
      </c>
      <c r="N653" s="14" t="str">
        <f t="shared" si="1"/>
        <v/>
      </c>
      <c r="O653" s="15" t="str">
        <f>IFERROR(VLOOKUP(I653,material!A:D,2,0),"")</f>
        <v/>
      </c>
    </row>
    <row r="654">
      <c r="A654" s="6"/>
      <c r="B654" s="7"/>
      <c r="C654" s="8" t="str">
        <f t="array" ref="C654">IFERROR(INDEX(atlas!H:H,MATCH(A654,atlas!C:C,0)),"")</f>
        <v/>
      </c>
      <c r="D654" s="8" t="str">
        <f t="array" ref="D654">IFERROR(INDEX(atlas!D:D,MATCH(A654,atlas!C:C,0)),"")</f>
        <v/>
      </c>
      <c r="E654" s="8" t="str">
        <f t="array" ref="E654">IFERROR(INDEX(atlas!F:F,MATCH(A654,atlas!C:C,0)),"")</f>
        <v/>
      </c>
      <c r="F654" s="9"/>
      <c r="G654" s="10"/>
      <c r="H654" s="11"/>
      <c r="I654" s="12" t="str">
        <f t="array" ref="I654">IFERROR(INDEX(atlas!B:B,MATCH(A654,atlas!C:C,0)),"")</f>
        <v/>
      </c>
      <c r="J654" s="8" t="str">
        <f>IFERROR(VLOOKUP(F654,tecnica!A:B,2,0),"")</f>
        <v/>
      </c>
      <c r="K654" s="8" t="str">
        <f>IFERROR(VLOOKUP(J654,tecnica!B:C,2,0),"")</f>
        <v/>
      </c>
      <c r="L654" s="13"/>
      <c r="M654" s="14" t="str">
        <f>IFERROR(VLOOKUP(I654,material!A:D,4,0),"")</f>
        <v/>
      </c>
      <c r="N654" s="14" t="str">
        <f t="shared" si="1"/>
        <v/>
      </c>
      <c r="O654" s="15" t="str">
        <f>IFERROR(VLOOKUP(I654,material!A:D,2,0),"")</f>
        <v/>
      </c>
    </row>
    <row r="655">
      <c r="A655" s="6"/>
      <c r="B655" s="7"/>
      <c r="C655" s="8" t="str">
        <f t="array" ref="C655">IFERROR(INDEX(atlas!H:H,MATCH(A655,atlas!C:C,0)),"")</f>
        <v/>
      </c>
      <c r="D655" s="8" t="str">
        <f t="array" ref="D655">IFERROR(INDEX(atlas!D:D,MATCH(A655,atlas!C:C,0)),"")</f>
        <v/>
      </c>
      <c r="E655" s="8" t="str">
        <f t="array" ref="E655">IFERROR(INDEX(atlas!F:F,MATCH(A655,atlas!C:C,0)),"")</f>
        <v/>
      </c>
      <c r="F655" s="9"/>
      <c r="G655" s="10"/>
      <c r="H655" s="11"/>
      <c r="I655" s="12" t="str">
        <f t="array" ref="I655">IFERROR(INDEX(atlas!B:B,MATCH(A655,atlas!C:C,0)),"")</f>
        <v/>
      </c>
      <c r="J655" s="8" t="str">
        <f>IFERROR(VLOOKUP(F655,tecnica!A:B,2,0),"")</f>
        <v/>
      </c>
      <c r="K655" s="8" t="str">
        <f>IFERROR(VLOOKUP(J655,tecnica!B:C,2,0),"")</f>
        <v/>
      </c>
      <c r="L655" s="13"/>
      <c r="M655" s="14" t="str">
        <f>IFERROR(VLOOKUP(I655,material!A:D,4,0),"")</f>
        <v/>
      </c>
      <c r="N655" s="14" t="str">
        <f t="shared" si="1"/>
        <v/>
      </c>
      <c r="O655" s="15" t="str">
        <f>IFERROR(VLOOKUP(I655,material!A:D,2,0),"")</f>
        <v/>
      </c>
    </row>
    <row r="656">
      <c r="A656" s="6"/>
      <c r="B656" s="7"/>
      <c r="C656" s="8" t="str">
        <f t="array" ref="C656">IFERROR(INDEX(atlas!H:H,MATCH(A656,atlas!C:C,0)),"")</f>
        <v/>
      </c>
      <c r="D656" s="8" t="str">
        <f t="array" ref="D656">IFERROR(INDEX(atlas!D:D,MATCH(A656,atlas!C:C,0)),"")</f>
        <v/>
      </c>
      <c r="E656" s="8" t="str">
        <f t="array" ref="E656">IFERROR(INDEX(atlas!F:F,MATCH(A656,atlas!C:C,0)),"")</f>
        <v/>
      </c>
      <c r="F656" s="9"/>
      <c r="G656" s="10"/>
      <c r="H656" s="11"/>
      <c r="I656" s="12" t="str">
        <f t="array" ref="I656">IFERROR(INDEX(atlas!B:B,MATCH(A656,atlas!C:C,0)),"")</f>
        <v/>
      </c>
      <c r="J656" s="8" t="str">
        <f>IFERROR(VLOOKUP(F656,tecnica!A:B,2,0),"")</f>
        <v/>
      </c>
      <c r="K656" s="8" t="str">
        <f>IFERROR(VLOOKUP(J656,tecnica!B:C,2,0),"")</f>
        <v/>
      </c>
      <c r="L656" s="13"/>
      <c r="M656" s="14" t="str">
        <f>IFERROR(VLOOKUP(I656,material!A:D,4,0),"")</f>
        <v/>
      </c>
      <c r="N656" s="14" t="str">
        <f t="shared" si="1"/>
        <v/>
      </c>
      <c r="O656" s="15" t="str">
        <f>IFERROR(VLOOKUP(I656,material!A:D,2,0),"")</f>
        <v/>
      </c>
    </row>
    <row r="657">
      <c r="A657" s="6"/>
      <c r="B657" s="7"/>
      <c r="C657" s="8" t="str">
        <f t="array" ref="C657">IFERROR(INDEX(atlas!H:H,MATCH(A657,atlas!C:C,0)),"")</f>
        <v/>
      </c>
      <c r="D657" s="8" t="str">
        <f t="array" ref="D657">IFERROR(INDEX(atlas!D:D,MATCH(A657,atlas!C:C,0)),"")</f>
        <v/>
      </c>
      <c r="E657" s="8" t="str">
        <f t="array" ref="E657">IFERROR(INDEX(atlas!F:F,MATCH(A657,atlas!C:C,0)),"")</f>
        <v/>
      </c>
      <c r="F657" s="9"/>
      <c r="G657" s="10"/>
      <c r="H657" s="11"/>
      <c r="I657" s="12" t="str">
        <f t="array" ref="I657">IFERROR(INDEX(atlas!B:B,MATCH(A657,atlas!C:C,0)),"")</f>
        <v/>
      </c>
      <c r="J657" s="8" t="str">
        <f>IFERROR(VLOOKUP(F657,tecnica!A:B,2,0),"")</f>
        <v/>
      </c>
      <c r="K657" s="8" t="str">
        <f>IFERROR(VLOOKUP(J657,tecnica!B:C,2,0),"")</f>
        <v/>
      </c>
      <c r="L657" s="13"/>
      <c r="M657" s="14" t="str">
        <f>IFERROR(VLOOKUP(I657,material!A:D,4,0),"")</f>
        <v/>
      </c>
      <c r="N657" s="14" t="str">
        <f t="shared" si="1"/>
        <v/>
      </c>
      <c r="O657" s="15" t="str">
        <f>IFERROR(VLOOKUP(I657,material!A:D,2,0),"")</f>
        <v/>
      </c>
    </row>
    <row r="658">
      <c r="A658" s="6"/>
      <c r="B658" s="7"/>
      <c r="C658" s="8" t="str">
        <f t="array" ref="C658">IFERROR(INDEX(atlas!H:H,MATCH(A658,atlas!C:C,0)),"")</f>
        <v/>
      </c>
      <c r="D658" s="8" t="str">
        <f t="array" ref="D658">IFERROR(INDEX(atlas!D:D,MATCH(A658,atlas!C:C,0)),"")</f>
        <v/>
      </c>
      <c r="E658" s="8" t="str">
        <f t="array" ref="E658">IFERROR(INDEX(atlas!F:F,MATCH(A658,atlas!C:C,0)),"")</f>
        <v/>
      </c>
      <c r="F658" s="9"/>
      <c r="G658" s="10"/>
      <c r="H658" s="11"/>
      <c r="I658" s="12" t="str">
        <f t="array" ref="I658">IFERROR(INDEX(atlas!B:B,MATCH(A658,atlas!C:C,0)),"")</f>
        <v/>
      </c>
      <c r="J658" s="8" t="str">
        <f>IFERROR(VLOOKUP(F658,tecnica!A:B,2,0),"")</f>
        <v/>
      </c>
      <c r="K658" s="8" t="str">
        <f>IFERROR(VLOOKUP(J658,tecnica!B:C,2,0),"")</f>
        <v/>
      </c>
      <c r="L658" s="13"/>
      <c r="M658" s="14" t="str">
        <f>IFERROR(VLOOKUP(I658,material!A:D,4,0),"")</f>
        <v/>
      </c>
      <c r="N658" s="14" t="str">
        <f t="shared" si="1"/>
        <v/>
      </c>
      <c r="O658" s="15" t="str">
        <f>IFERROR(VLOOKUP(I658,material!A:D,2,0),"")</f>
        <v/>
      </c>
    </row>
    <row r="659">
      <c r="A659" s="6"/>
      <c r="B659" s="7"/>
      <c r="C659" s="8" t="str">
        <f t="array" ref="C659">IFERROR(INDEX(atlas!H:H,MATCH(A659,atlas!C:C,0)),"")</f>
        <v/>
      </c>
      <c r="D659" s="8" t="str">
        <f t="array" ref="D659">IFERROR(INDEX(atlas!D:D,MATCH(A659,atlas!C:C,0)),"")</f>
        <v/>
      </c>
      <c r="E659" s="8" t="str">
        <f t="array" ref="E659">IFERROR(INDEX(atlas!F:F,MATCH(A659,atlas!C:C,0)),"")</f>
        <v/>
      </c>
      <c r="F659" s="9"/>
      <c r="G659" s="10"/>
      <c r="H659" s="11"/>
      <c r="I659" s="12" t="str">
        <f t="array" ref="I659">IFERROR(INDEX(atlas!B:B,MATCH(A659,atlas!C:C,0)),"")</f>
        <v/>
      </c>
      <c r="J659" s="8" t="str">
        <f>IFERROR(VLOOKUP(F659,tecnica!A:B,2,0),"")</f>
        <v/>
      </c>
      <c r="K659" s="8" t="str">
        <f>IFERROR(VLOOKUP(J659,tecnica!B:C,2,0),"")</f>
        <v/>
      </c>
      <c r="L659" s="13"/>
      <c r="M659" s="14" t="str">
        <f>IFERROR(VLOOKUP(I659,material!A:D,4,0),"")</f>
        <v/>
      </c>
      <c r="N659" s="14" t="str">
        <f t="shared" si="1"/>
        <v/>
      </c>
      <c r="O659" s="15" t="str">
        <f>IFERROR(VLOOKUP(I659,material!A:D,2,0),"")</f>
        <v/>
      </c>
    </row>
    <row r="660">
      <c r="A660" s="6"/>
      <c r="B660" s="7"/>
      <c r="C660" s="8" t="str">
        <f t="array" ref="C660">IFERROR(INDEX(atlas!H:H,MATCH(A660,atlas!C:C,0)),"")</f>
        <v/>
      </c>
      <c r="D660" s="8" t="str">
        <f t="array" ref="D660">IFERROR(INDEX(atlas!D:D,MATCH(A660,atlas!C:C,0)),"")</f>
        <v/>
      </c>
      <c r="E660" s="8" t="str">
        <f t="array" ref="E660">IFERROR(INDEX(atlas!F:F,MATCH(A660,atlas!C:C,0)),"")</f>
        <v/>
      </c>
      <c r="F660" s="9"/>
      <c r="G660" s="10"/>
      <c r="H660" s="11"/>
      <c r="I660" s="12" t="str">
        <f t="array" ref="I660">IFERROR(INDEX(atlas!B:B,MATCH(A660,atlas!C:C,0)),"")</f>
        <v/>
      </c>
      <c r="J660" s="8" t="str">
        <f>IFERROR(VLOOKUP(F660,tecnica!A:B,2,0),"")</f>
        <v/>
      </c>
      <c r="K660" s="8" t="str">
        <f>IFERROR(VLOOKUP(J660,tecnica!B:C,2,0),"")</f>
        <v/>
      </c>
      <c r="L660" s="13"/>
      <c r="M660" s="14" t="str">
        <f>IFERROR(VLOOKUP(I660,material!A:D,4,0),"")</f>
        <v/>
      </c>
      <c r="N660" s="14" t="str">
        <f t="shared" si="1"/>
        <v/>
      </c>
      <c r="O660" s="15" t="str">
        <f>IFERROR(VLOOKUP(I660,material!A:D,2,0),"")</f>
        <v/>
      </c>
    </row>
    <row r="661">
      <c r="A661" s="6"/>
      <c r="B661" s="7"/>
      <c r="C661" s="8" t="str">
        <f t="array" ref="C661">IFERROR(INDEX(atlas!H:H,MATCH(A661,atlas!C:C,0)),"")</f>
        <v/>
      </c>
      <c r="D661" s="8" t="str">
        <f t="array" ref="D661">IFERROR(INDEX(atlas!D:D,MATCH(A661,atlas!C:C,0)),"")</f>
        <v/>
      </c>
      <c r="E661" s="8" t="str">
        <f t="array" ref="E661">IFERROR(INDEX(atlas!F:F,MATCH(A661,atlas!C:C,0)),"")</f>
        <v/>
      </c>
      <c r="F661" s="9"/>
      <c r="G661" s="10"/>
      <c r="H661" s="11"/>
      <c r="I661" s="12" t="str">
        <f t="array" ref="I661">IFERROR(INDEX(atlas!B:B,MATCH(A661,atlas!C:C,0)),"")</f>
        <v/>
      </c>
      <c r="J661" s="8" t="str">
        <f>IFERROR(VLOOKUP(F661,tecnica!A:B,2,0),"")</f>
        <v/>
      </c>
      <c r="K661" s="8" t="str">
        <f>IFERROR(VLOOKUP(J661,tecnica!B:C,2,0),"")</f>
        <v/>
      </c>
      <c r="L661" s="13"/>
      <c r="M661" s="14" t="str">
        <f>IFERROR(VLOOKUP(I661,material!A:D,4,0),"")</f>
        <v/>
      </c>
      <c r="N661" s="14" t="str">
        <f t="shared" si="1"/>
        <v/>
      </c>
      <c r="O661" s="15" t="str">
        <f>IFERROR(VLOOKUP(I661,material!A:D,2,0),"")</f>
        <v/>
      </c>
    </row>
    <row r="662">
      <c r="A662" s="6"/>
      <c r="B662" s="7"/>
      <c r="C662" s="8" t="str">
        <f t="array" ref="C662">IFERROR(INDEX(atlas!H:H,MATCH(A662,atlas!C:C,0)),"")</f>
        <v/>
      </c>
      <c r="D662" s="8" t="str">
        <f t="array" ref="D662">IFERROR(INDEX(atlas!D:D,MATCH(A662,atlas!C:C,0)),"")</f>
        <v/>
      </c>
      <c r="E662" s="8" t="str">
        <f t="array" ref="E662">IFERROR(INDEX(atlas!F:F,MATCH(A662,atlas!C:C,0)),"")</f>
        <v/>
      </c>
      <c r="F662" s="9"/>
      <c r="G662" s="10"/>
      <c r="H662" s="11"/>
      <c r="I662" s="12" t="str">
        <f t="array" ref="I662">IFERROR(INDEX(atlas!B:B,MATCH(A662,atlas!C:C,0)),"")</f>
        <v/>
      </c>
      <c r="J662" s="8" t="str">
        <f>IFERROR(VLOOKUP(F662,tecnica!A:B,2,0),"")</f>
        <v/>
      </c>
      <c r="K662" s="8" t="str">
        <f>IFERROR(VLOOKUP(J662,tecnica!B:C,2,0),"")</f>
        <v/>
      </c>
      <c r="L662" s="13"/>
      <c r="M662" s="14" t="str">
        <f>IFERROR(VLOOKUP(I662,material!A:D,4,0),"")</f>
        <v/>
      </c>
      <c r="N662" s="14" t="str">
        <f t="shared" si="1"/>
        <v/>
      </c>
      <c r="O662" s="15" t="str">
        <f>IFERROR(VLOOKUP(I662,material!A:D,2,0),"")</f>
        <v/>
      </c>
    </row>
    <row r="663">
      <c r="A663" s="6"/>
      <c r="B663" s="7"/>
      <c r="C663" s="8" t="str">
        <f t="array" ref="C663">IFERROR(INDEX(atlas!H:H,MATCH(A663,atlas!C:C,0)),"")</f>
        <v/>
      </c>
      <c r="D663" s="8" t="str">
        <f t="array" ref="D663">IFERROR(INDEX(atlas!D:D,MATCH(A663,atlas!C:C,0)),"")</f>
        <v/>
      </c>
      <c r="E663" s="8" t="str">
        <f t="array" ref="E663">IFERROR(INDEX(atlas!F:F,MATCH(A663,atlas!C:C,0)),"")</f>
        <v/>
      </c>
      <c r="F663" s="9"/>
      <c r="G663" s="10"/>
      <c r="H663" s="11"/>
      <c r="I663" s="12" t="str">
        <f t="array" ref="I663">IFERROR(INDEX(atlas!B:B,MATCH(A663,atlas!C:C,0)),"")</f>
        <v/>
      </c>
      <c r="J663" s="8" t="str">
        <f>IFERROR(VLOOKUP(F663,tecnica!A:B,2,0),"")</f>
        <v/>
      </c>
      <c r="K663" s="8" t="str">
        <f>IFERROR(VLOOKUP(J663,tecnica!B:C,2,0),"")</f>
        <v/>
      </c>
      <c r="L663" s="13"/>
      <c r="M663" s="14" t="str">
        <f>IFERROR(VLOOKUP(I663,material!A:D,4,0),"")</f>
        <v/>
      </c>
      <c r="N663" s="14" t="str">
        <f t="shared" si="1"/>
        <v/>
      </c>
      <c r="O663" s="15" t="str">
        <f>IFERROR(VLOOKUP(I663,material!A:D,2,0),"")</f>
        <v/>
      </c>
    </row>
    <row r="664">
      <c r="A664" s="6"/>
      <c r="B664" s="7"/>
      <c r="C664" s="8" t="str">
        <f t="array" ref="C664">IFERROR(INDEX(atlas!H:H,MATCH(A664,atlas!C:C,0)),"")</f>
        <v/>
      </c>
      <c r="D664" s="8" t="str">
        <f t="array" ref="D664">IFERROR(INDEX(atlas!D:D,MATCH(A664,atlas!C:C,0)),"")</f>
        <v/>
      </c>
      <c r="E664" s="8" t="str">
        <f t="array" ref="E664">IFERROR(INDEX(atlas!F:F,MATCH(A664,atlas!C:C,0)),"")</f>
        <v/>
      </c>
      <c r="F664" s="9"/>
      <c r="G664" s="10"/>
      <c r="H664" s="11"/>
      <c r="I664" s="12" t="str">
        <f t="array" ref="I664">IFERROR(INDEX(atlas!B:B,MATCH(A664,atlas!C:C,0)),"")</f>
        <v/>
      </c>
      <c r="J664" s="8" t="str">
        <f>IFERROR(VLOOKUP(F664,tecnica!A:B,2,0),"")</f>
        <v/>
      </c>
      <c r="K664" s="8" t="str">
        <f>IFERROR(VLOOKUP(J664,tecnica!B:C,2,0),"")</f>
        <v/>
      </c>
      <c r="L664" s="13"/>
      <c r="M664" s="14" t="str">
        <f>IFERROR(VLOOKUP(I664,material!A:D,4,0),"")</f>
        <v/>
      </c>
      <c r="N664" s="14" t="str">
        <f t="shared" si="1"/>
        <v/>
      </c>
      <c r="O664" s="15" t="str">
        <f>IFERROR(VLOOKUP(I664,material!A:D,2,0),"")</f>
        <v/>
      </c>
    </row>
    <row r="665">
      <c r="A665" s="6"/>
      <c r="B665" s="7"/>
      <c r="C665" s="8" t="str">
        <f t="array" ref="C665">IFERROR(INDEX(atlas!H:H,MATCH(A665,atlas!C:C,0)),"")</f>
        <v/>
      </c>
      <c r="D665" s="8" t="str">
        <f t="array" ref="D665">IFERROR(INDEX(atlas!D:D,MATCH(A665,atlas!C:C,0)),"")</f>
        <v/>
      </c>
      <c r="E665" s="8" t="str">
        <f t="array" ref="E665">IFERROR(INDEX(atlas!F:F,MATCH(A665,atlas!C:C,0)),"")</f>
        <v/>
      </c>
      <c r="F665" s="9"/>
      <c r="G665" s="10"/>
      <c r="H665" s="11"/>
      <c r="I665" s="12" t="str">
        <f t="array" ref="I665">IFERROR(INDEX(atlas!B:B,MATCH(A665,atlas!C:C,0)),"")</f>
        <v/>
      </c>
      <c r="J665" s="8" t="str">
        <f>IFERROR(VLOOKUP(F665,tecnica!A:B,2,0),"")</f>
        <v/>
      </c>
      <c r="K665" s="8" t="str">
        <f>IFERROR(VLOOKUP(J665,tecnica!B:C,2,0),"")</f>
        <v/>
      </c>
      <c r="L665" s="13"/>
      <c r="M665" s="14" t="str">
        <f>IFERROR(VLOOKUP(I665,material!A:D,4,0),"")</f>
        <v/>
      </c>
      <c r="N665" s="14" t="str">
        <f t="shared" si="1"/>
        <v/>
      </c>
      <c r="O665" s="15" t="str">
        <f>IFERROR(VLOOKUP(I665,material!A:D,2,0),"")</f>
        <v/>
      </c>
    </row>
    <row r="666">
      <c r="A666" s="6"/>
      <c r="B666" s="7"/>
      <c r="C666" s="8" t="str">
        <f t="array" ref="C666">IFERROR(INDEX(atlas!H:H,MATCH(A666,atlas!C:C,0)),"")</f>
        <v/>
      </c>
      <c r="D666" s="8" t="str">
        <f t="array" ref="D666">IFERROR(INDEX(atlas!D:D,MATCH(A666,atlas!C:C,0)),"")</f>
        <v/>
      </c>
      <c r="E666" s="8" t="str">
        <f t="array" ref="E666">IFERROR(INDEX(atlas!F:F,MATCH(A666,atlas!C:C,0)),"")</f>
        <v/>
      </c>
      <c r="F666" s="9"/>
      <c r="G666" s="10"/>
      <c r="H666" s="11"/>
      <c r="I666" s="12" t="str">
        <f t="array" ref="I666">IFERROR(INDEX(atlas!B:B,MATCH(A666,atlas!C:C,0)),"")</f>
        <v/>
      </c>
      <c r="J666" s="8" t="str">
        <f>IFERROR(VLOOKUP(F666,tecnica!A:B,2,0),"")</f>
        <v/>
      </c>
      <c r="K666" s="8" t="str">
        <f>IFERROR(VLOOKUP(J666,tecnica!B:C,2,0),"")</f>
        <v/>
      </c>
      <c r="L666" s="13"/>
      <c r="M666" s="14" t="str">
        <f>IFERROR(VLOOKUP(I666,material!A:D,4,0),"")</f>
        <v/>
      </c>
      <c r="N666" s="14" t="str">
        <f t="shared" si="1"/>
        <v/>
      </c>
      <c r="O666" s="15" t="str">
        <f>IFERROR(VLOOKUP(I666,material!A:D,2,0),"")</f>
        <v/>
      </c>
    </row>
    <row r="667">
      <c r="A667" s="6"/>
      <c r="B667" s="7"/>
      <c r="C667" s="8" t="str">
        <f t="array" ref="C667">IFERROR(INDEX(atlas!H:H,MATCH(A667,atlas!C:C,0)),"")</f>
        <v/>
      </c>
      <c r="D667" s="8" t="str">
        <f t="array" ref="D667">IFERROR(INDEX(atlas!D:D,MATCH(A667,atlas!C:C,0)),"")</f>
        <v/>
      </c>
      <c r="E667" s="8" t="str">
        <f t="array" ref="E667">IFERROR(INDEX(atlas!F:F,MATCH(A667,atlas!C:C,0)),"")</f>
        <v/>
      </c>
      <c r="F667" s="9"/>
      <c r="G667" s="10"/>
      <c r="H667" s="11"/>
      <c r="I667" s="12" t="str">
        <f t="array" ref="I667">IFERROR(INDEX(atlas!B:B,MATCH(A667,atlas!C:C,0)),"")</f>
        <v/>
      </c>
      <c r="J667" s="8" t="str">
        <f>IFERROR(VLOOKUP(F667,tecnica!A:B,2,0),"")</f>
        <v/>
      </c>
      <c r="K667" s="8" t="str">
        <f>IFERROR(VLOOKUP(J667,tecnica!B:C,2,0),"")</f>
        <v/>
      </c>
      <c r="L667" s="13"/>
      <c r="M667" s="14" t="str">
        <f>IFERROR(VLOOKUP(I667,material!A:D,4,0),"")</f>
        <v/>
      </c>
      <c r="N667" s="14" t="str">
        <f t="shared" si="1"/>
        <v/>
      </c>
      <c r="O667" s="15" t="str">
        <f>IFERROR(VLOOKUP(I667,material!A:D,2,0),"")</f>
        <v/>
      </c>
    </row>
    <row r="668">
      <c r="A668" s="6"/>
      <c r="B668" s="7"/>
      <c r="C668" s="8" t="str">
        <f t="array" ref="C668">IFERROR(INDEX(atlas!H:H,MATCH(A668,atlas!C:C,0)),"")</f>
        <v/>
      </c>
      <c r="D668" s="8" t="str">
        <f t="array" ref="D668">IFERROR(INDEX(atlas!D:D,MATCH(A668,atlas!C:C,0)),"")</f>
        <v/>
      </c>
      <c r="E668" s="8" t="str">
        <f t="array" ref="E668">IFERROR(INDEX(atlas!F:F,MATCH(A668,atlas!C:C,0)),"")</f>
        <v/>
      </c>
      <c r="F668" s="9"/>
      <c r="G668" s="10"/>
      <c r="H668" s="11"/>
      <c r="I668" s="12" t="str">
        <f t="array" ref="I668">IFERROR(INDEX(atlas!B:B,MATCH(A668,atlas!C:C,0)),"")</f>
        <v/>
      </c>
      <c r="J668" s="8" t="str">
        <f>IFERROR(VLOOKUP(F668,tecnica!A:B,2,0),"")</f>
        <v/>
      </c>
      <c r="K668" s="8" t="str">
        <f>IFERROR(VLOOKUP(J668,tecnica!B:C,2,0),"")</f>
        <v/>
      </c>
      <c r="L668" s="13"/>
      <c r="M668" s="14" t="str">
        <f>IFERROR(VLOOKUP(I668,material!A:D,4,0),"")</f>
        <v/>
      </c>
      <c r="N668" s="14" t="str">
        <f t="shared" si="1"/>
        <v/>
      </c>
      <c r="O668" s="15" t="str">
        <f>IFERROR(VLOOKUP(I668,material!A:D,2,0),"")</f>
        <v/>
      </c>
    </row>
    <row r="669">
      <c r="A669" s="6"/>
      <c r="B669" s="7"/>
      <c r="C669" s="8" t="str">
        <f t="array" ref="C669">IFERROR(INDEX(atlas!H:H,MATCH(A669,atlas!C:C,0)),"")</f>
        <v/>
      </c>
      <c r="D669" s="8" t="str">
        <f t="array" ref="D669">IFERROR(INDEX(atlas!D:D,MATCH(A669,atlas!C:C,0)),"")</f>
        <v/>
      </c>
      <c r="E669" s="8" t="str">
        <f t="array" ref="E669">IFERROR(INDEX(atlas!F:F,MATCH(A669,atlas!C:C,0)),"")</f>
        <v/>
      </c>
      <c r="F669" s="9"/>
      <c r="G669" s="10"/>
      <c r="H669" s="11"/>
      <c r="I669" s="12" t="str">
        <f t="array" ref="I669">IFERROR(INDEX(atlas!B:B,MATCH(A669,atlas!C:C,0)),"")</f>
        <v/>
      </c>
      <c r="J669" s="8" t="str">
        <f>IFERROR(VLOOKUP(F669,tecnica!A:B,2,0),"")</f>
        <v/>
      </c>
      <c r="K669" s="8" t="str">
        <f>IFERROR(VLOOKUP(J669,tecnica!B:C,2,0),"")</f>
        <v/>
      </c>
      <c r="L669" s="13"/>
      <c r="M669" s="14" t="str">
        <f>IFERROR(VLOOKUP(I669,material!A:D,4,0),"")</f>
        <v/>
      </c>
      <c r="N669" s="14" t="str">
        <f t="shared" si="1"/>
        <v/>
      </c>
      <c r="O669" s="15" t="str">
        <f>IFERROR(VLOOKUP(I669,material!A:D,2,0),"")</f>
        <v/>
      </c>
    </row>
    <row r="670">
      <c r="A670" s="6"/>
      <c r="B670" s="7"/>
      <c r="C670" s="8" t="str">
        <f t="array" ref="C670">IFERROR(INDEX(atlas!H:H,MATCH(A670,atlas!C:C,0)),"")</f>
        <v/>
      </c>
      <c r="D670" s="8" t="str">
        <f t="array" ref="D670">IFERROR(INDEX(atlas!D:D,MATCH(A670,atlas!C:C,0)),"")</f>
        <v/>
      </c>
      <c r="E670" s="8" t="str">
        <f t="array" ref="E670">IFERROR(INDEX(atlas!F:F,MATCH(A670,atlas!C:C,0)),"")</f>
        <v/>
      </c>
      <c r="F670" s="9"/>
      <c r="G670" s="10"/>
      <c r="H670" s="11"/>
      <c r="I670" s="12" t="str">
        <f t="array" ref="I670">IFERROR(INDEX(atlas!B:B,MATCH(A670,atlas!C:C,0)),"")</f>
        <v/>
      </c>
      <c r="J670" s="8" t="str">
        <f>IFERROR(VLOOKUP(F670,tecnica!A:B,2,0),"")</f>
        <v/>
      </c>
      <c r="K670" s="8" t="str">
        <f>IFERROR(VLOOKUP(J670,tecnica!B:C,2,0),"")</f>
        <v/>
      </c>
      <c r="L670" s="13"/>
      <c r="M670" s="14" t="str">
        <f>IFERROR(VLOOKUP(I670,material!A:D,4,0),"")</f>
        <v/>
      </c>
      <c r="N670" s="14" t="str">
        <f t="shared" si="1"/>
        <v/>
      </c>
      <c r="O670" s="15" t="str">
        <f>IFERROR(VLOOKUP(I670,material!A:D,2,0),"")</f>
        <v/>
      </c>
    </row>
    <row r="671">
      <c r="A671" s="6"/>
      <c r="B671" s="7"/>
      <c r="C671" s="8" t="str">
        <f t="array" ref="C671">IFERROR(INDEX(atlas!H:H,MATCH(A671,atlas!C:C,0)),"")</f>
        <v/>
      </c>
      <c r="D671" s="8" t="str">
        <f t="array" ref="D671">IFERROR(INDEX(atlas!D:D,MATCH(A671,atlas!C:C,0)),"")</f>
        <v/>
      </c>
      <c r="E671" s="8" t="str">
        <f t="array" ref="E671">IFERROR(INDEX(atlas!F:F,MATCH(A671,atlas!C:C,0)),"")</f>
        <v/>
      </c>
      <c r="F671" s="9"/>
      <c r="G671" s="10"/>
      <c r="H671" s="11"/>
      <c r="I671" s="12" t="str">
        <f t="array" ref="I671">IFERROR(INDEX(atlas!B:B,MATCH(A671,atlas!C:C,0)),"")</f>
        <v/>
      </c>
      <c r="J671" s="8" t="str">
        <f>IFERROR(VLOOKUP(F671,tecnica!A:B,2,0),"")</f>
        <v/>
      </c>
      <c r="K671" s="8" t="str">
        <f>IFERROR(VLOOKUP(J671,tecnica!B:C,2,0),"")</f>
        <v/>
      </c>
      <c r="L671" s="13"/>
      <c r="M671" s="14" t="str">
        <f>IFERROR(VLOOKUP(I671,material!A:D,4,0),"")</f>
        <v/>
      </c>
      <c r="N671" s="14" t="str">
        <f t="shared" si="1"/>
        <v/>
      </c>
      <c r="O671" s="15" t="str">
        <f>IFERROR(VLOOKUP(I671,material!A:D,2,0),"")</f>
        <v/>
      </c>
    </row>
    <row r="672">
      <c r="A672" s="6"/>
      <c r="B672" s="7"/>
      <c r="C672" s="8" t="str">
        <f t="array" ref="C672">IFERROR(INDEX(atlas!H:H,MATCH(A672,atlas!C:C,0)),"")</f>
        <v/>
      </c>
      <c r="D672" s="8" t="str">
        <f t="array" ref="D672">IFERROR(INDEX(atlas!D:D,MATCH(A672,atlas!C:C,0)),"")</f>
        <v/>
      </c>
      <c r="E672" s="8" t="str">
        <f t="array" ref="E672">IFERROR(INDEX(atlas!F:F,MATCH(A672,atlas!C:C,0)),"")</f>
        <v/>
      </c>
      <c r="F672" s="9"/>
      <c r="G672" s="10"/>
      <c r="H672" s="11"/>
      <c r="I672" s="12" t="str">
        <f t="array" ref="I672">IFERROR(INDEX(atlas!B:B,MATCH(A672,atlas!C:C,0)),"")</f>
        <v/>
      </c>
      <c r="J672" s="8" t="str">
        <f>IFERROR(VLOOKUP(F672,tecnica!A:B,2,0),"")</f>
        <v/>
      </c>
      <c r="K672" s="8" t="str">
        <f>IFERROR(VLOOKUP(J672,tecnica!B:C,2,0),"")</f>
        <v/>
      </c>
      <c r="L672" s="13"/>
      <c r="M672" s="14" t="str">
        <f>IFERROR(VLOOKUP(I672,material!A:D,4,0),"")</f>
        <v/>
      </c>
      <c r="N672" s="14" t="str">
        <f t="shared" si="1"/>
        <v/>
      </c>
      <c r="O672" s="15" t="str">
        <f>IFERROR(VLOOKUP(I672,material!A:D,2,0),"")</f>
        <v/>
      </c>
    </row>
    <row r="673">
      <c r="A673" s="6"/>
      <c r="B673" s="7"/>
      <c r="C673" s="8" t="str">
        <f t="array" ref="C673">IFERROR(INDEX(atlas!H:H,MATCH(A673,atlas!C:C,0)),"")</f>
        <v/>
      </c>
      <c r="D673" s="8" t="str">
        <f t="array" ref="D673">IFERROR(INDEX(atlas!D:D,MATCH(A673,atlas!C:C,0)),"")</f>
        <v/>
      </c>
      <c r="E673" s="8" t="str">
        <f t="array" ref="E673">IFERROR(INDEX(atlas!F:F,MATCH(A673,atlas!C:C,0)),"")</f>
        <v/>
      </c>
      <c r="F673" s="9"/>
      <c r="G673" s="10"/>
      <c r="H673" s="11"/>
      <c r="I673" s="12" t="str">
        <f t="array" ref="I673">IFERROR(INDEX(atlas!B:B,MATCH(A673,atlas!C:C,0)),"")</f>
        <v/>
      </c>
      <c r="J673" s="8" t="str">
        <f>IFERROR(VLOOKUP(F673,tecnica!A:B,2,0),"")</f>
        <v/>
      </c>
      <c r="K673" s="8" t="str">
        <f>IFERROR(VLOOKUP(J673,tecnica!B:C,2,0),"")</f>
        <v/>
      </c>
      <c r="L673" s="13"/>
      <c r="M673" s="14" t="str">
        <f>IFERROR(VLOOKUP(I673,material!A:D,4,0),"")</f>
        <v/>
      </c>
      <c r="N673" s="14" t="str">
        <f t="shared" si="1"/>
        <v/>
      </c>
      <c r="O673" s="15" t="str">
        <f>IFERROR(VLOOKUP(I673,material!A:D,2,0),"")</f>
        <v/>
      </c>
    </row>
    <row r="674">
      <c r="A674" s="6"/>
      <c r="B674" s="7"/>
      <c r="C674" s="8" t="str">
        <f t="array" ref="C674">IFERROR(INDEX(atlas!H:H,MATCH(A674,atlas!C:C,0)),"")</f>
        <v/>
      </c>
      <c r="D674" s="8" t="str">
        <f t="array" ref="D674">IFERROR(INDEX(atlas!D:D,MATCH(A674,atlas!C:C,0)),"")</f>
        <v/>
      </c>
      <c r="E674" s="8" t="str">
        <f t="array" ref="E674">IFERROR(INDEX(atlas!F:F,MATCH(A674,atlas!C:C,0)),"")</f>
        <v/>
      </c>
      <c r="F674" s="9"/>
      <c r="G674" s="10"/>
      <c r="H674" s="11"/>
      <c r="I674" s="12" t="str">
        <f t="array" ref="I674">IFERROR(INDEX(atlas!B:B,MATCH(A674,atlas!C:C,0)),"")</f>
        <v/>
      </c>
      <c r="J674" s="8" t="str">
        <f>IFERROR(VLOOKUP(F674,tecnica!A:B,2,0),"")</f>
        <v/>
      </c>
      <c r="K674" s="8" t="str">
        <f>IFERROR(VLOOKUP(J674,tecnica!B:C,2,0),"")</f>
        <v/>
      </c>
      <c r="L674" s="13"/>
      <c r="M674" s="14" t="str">
        <f>IFERROR(VLOOKUP(I674,material!A:D,4,0),"")</f>
        <v/>
      </c>
      <c r="N674" s="14" t="str">
        <f t="shared" si="1"/>
        <v/>
      </c>
      <c r="O674" s="15" t="str">
        <f>IFERROR(VLOOKUP(I674,material!A:D,2,0),"")</f>
        <v/>
      </c>
    </row>
    <row r="675">
      <c r="A675" s="6"/>
      <c r="B675" s="7"/>
      <c r="C675" s="8" t="str">
        <f t="array" ref="C675">IFERROR(INDEX(atlas!H:H,MATCH(A675,atlas!C:C,0)),"")</f>
        <v/>
      </c>
      <c r="D675" s="8" t="str">
        <f t="array" ref="D675">IFERROR(INDEX(atlas!D:D,MATCH(A675,atlas!C:C,0)),"")</f>
        <v/>
      </c>
      <c r="E675" s="8" t="str">
        <f t="array" ref="E675">IFERROR(INDEX(atlas!F:F,MATCH(A675,atlas!C:C,0)),"")</f>
        <v/>
      </c>
      <c r="F675" s="9"/>
      <c r="G675" s="10"/>
      <c r="H675" s="11"/>
      <c r="I675" s="12" t="str">
        <f t="array" ref="I675">IFERROR(INDEX(atlas!B:B,MATCH(A675,atlas!C:C,0)),"")</f>
        <v/>
      </c>
      <c r="J675" s="8" t="str">
        <f>IFERROR(VLOOKUP(F675,tecnica!A:B,2,0),"")</f>
        <v/>
      </c>
      <c r="K675" s="8" t="str">
        <f>IFERROR(VLOOKUP(J675,tecnica!B:C,2,0),"")</f>
        <v/>
      </c>
      <c r="L675" s="13"/>
      <c r="M675" s="14" t="str">
        <f>IFERROR(VLOOKUP(I675,material!A:D,4,0),"")</f>
        <v/>
      </c>
      <c r="N675" s="14" t="str">
        <f t="shared" si="1"/>
        <v/>
      </c>
      <c r="O675" s="15" t="str">
        <f>IFERROR(VLOOKUP(I675,material!A:D,2,0),"")</f>
        <v/>
      </c>
    </row>
    <row r="676">
      <c r="A676" s="6"/>
      <c r="B676" s="7"/>
      <c r="C676" s="8" t="str">
        <f t="array" ref="C676">IFERROR(INDEX(atlas!H:H,MATCH(A676,atlas!C:C,0)),"")</f>
        <v/>
      </c>
      <c r="D676" s="8" t="str">
        <f t="array" ref="D676">IFERROR(INDEX(atlas!D:D,MATCH(A676,atlas!C:C,0)),"")</f>
        <v/>
      </c>
      <c r="E676" s="8" t="str">
        <f t="array" ref="E676">IFERROR(INDEX(atlas!F:F,MATCH(A676,atlas!C:C,0)),"")</f>
        <v/>
      </c>
      <c r="F676" s="9"/>
      <c r="G676" s="10"/>
      <c r="H676" s="11"/>
      <c r="I676" s="12" t="str">
        <f t="array" ref="I676">IFERROR(INDEX(atlas!B:B,MATCH(A676,atlas!C:C,0)),"")</f>
        <v/>
      </c>
      <c r="J676" s="8" t="str">
        <f>IFERROR(VLOOKUP(F676,tecnica!A:B,2,0),"")</f>
        <v/>
      </c>
      <c r="K676" s="8" t="str">
        <f>IFERROR(VLOOKUP(J676,tecnica!B:C,2,0),"")</f>
        <v/>
      </c>
      <c r="L676" s="13"/>
      <c r="M676" s="14" t="str">
        <f>IFERROR(VLOOKUP(I676,material!A:D,4,0),"")</f>
        <v/>
      </c>
      <c r="N676" s="14" t="str">
        <f t="shared" si="1"/>
        <v/>
      </c>
      <c r="O676" s="15" t="str">
        <f>IFERROR(VLOOKUP(I676,material!A:D,2,0),"")</f>
        <v/>
      </c>
    </row>
    <row r="677">
      <c r="A677" s="6"/>
      <c r="B677" s="7"/>
      <c r="C677" s="8" t="str">
        <f t="array" ref="C677">IFERROR(INDEX(atlas!H:H,MATCH(A677,atlas!C:C,0)),"")</f>
        <v/>
      </c>
      <c r="D677" s="8" t="str">
        <f t="array" ref="D677">IFERROR(INDEX(atlas!D:D,MATCH(A677,atlas!C:C,0)),"")</f>
        <v/>
      </c>
      <c r="E677" s="8" t="str">
        <f t="array" ref="E677">IFERROR(INDEX(atlas!F:F,MATCH(A677,atlas!C:C,0)),"")</f>
        <v/>
      </c>
      <c r="F677" s="9"/>
      <c r="G677" s="10"/>
      <c r="H677" s="11"/>
      <c r="I677" s="12" t="str">
        <f t="array" ref="I677">IFERROR(INDEX(atlas!B:B,MATCH(A677,atlas!C:C,0)),"")</f>
        <v/>
      </c>
      <c r="J677" s="8" t="str">
        <f>IFERROR(VLOOKUP(F677,tecnica!A:B,2,0),"")</f>
        <v/>
      </c>
      <c r="K677" s="8" t="str">
        <f>IFERROR(VLOOKUP(J677,tecnica!B:C,2,0),"")</f>
        <v/>
      </c>
      <c r="L677" s="13"/>
      <c r="M677" s="14" t="str">
        <f>IFERROR(VLOOKUP(I677,material!A:D,4,0),"")</f>
        <v/>
      </c>
      <c r="N677" s="14" t="str">
        <f t="shared" si="1"/>
        <v/>
      </c>
      <c r="O677" s="15" t="str">
        <f>IFERROR(VLOOKUP(I677,material!A:D,2,0),"")</f>
        <v/>
      </c>
    </row>
    <row r="678">
      <c r="A678" s="6"/>
      <c r="B678" s="7"/>
      <c r="C678" s="8" t="str">
        <f t="array" ref="C678">IFERROR(INDEX(atlas!H:H,MATCH(A678,atlas!C:C,0)),"")</f>
        <v/>
      </c>
      <c r="D678" s="8" t="str">
        <f t="array" ref="D678">IFERROR(INDEX(atlas!D:D,MATCH(A678,atlas!C:C,0)),"")</f>
        <v/>
      </c>
      <c r="E678" s="8" t="str">
        <f t="array" ref="E678">IFERROR(INDEX(atlas!F:F,MATCH(A678,atlas!C:C,0)),"")</f>
        <v/>
      </c>
      <c r="F678" s="9"/>
      <c r="G678" s="10"/>
      <c r="H678" s="11"/>
      <c r="I678" s="12" t="str">
        <f t="array" ref="I678">IFERROR(INDEX(atlas!B:B,MATCH(A678,atlas!C:C,0)),"")</f>
        <v/>
      </c>
      <c r="J678" s="8" t="str">
        <f>IFERROR(VLOOKUP(F678,tecnica!A:B,2,0),"")</f>
        <v/>
      </c>
      <c r="K678" s="8" t="str">
        <f>IFERROR(VLOOKUP(J678,tecnica!B:C,2,0),"")</f>
        <v/>
      </c>
      <c r="L678" s="13"/>
      <c r="M678" s="14" t="str">
        <f>IFERROR(VLOOKUP(I678,material!A:D,4,0),"")</f>
        <v/>
      </c>
      <c r="N678" s="14" t="str">
        <f t="shared" si="1"/>
        <v/>
      </c>
      <c r="O678" s="15" t="str">
        <f>IFERROR(VLOOKUP(I678,material!A:D,2,0),"")</f>
        <v/>
      </c>
    </row>
    <row r="679">
      <c r="A679" s="6"/>
      <c r="B679" s="7"/>
      <c r="C679" s="8" t="str">
        <f t="array" ref="C679">IFERROR(INDEX(atlas!H:H,MATCH(A679,atlas!C:C,0)),"")</f>
        <v/>
      </c>
      <c r="D679" s="8" t="str">
        <f t="array" ref="D679">IFERROR(INDEX(atlas!D:D,MATCH(A679,atlas!C:C,0)),"")</f>
        <v/>
      </c>
      <c r="E679" s="8" t="str">
        <f t="array" ref="E679">IFERROR(INDEX(atlas!F:F,MATCH(A679,atlas!C:C,0)),"")</f>
        <v/>
      </c>
      <c r="F679" s="9"/>
      <c r="G679" s="10"/>
      <c r="H679" s="11"/>
      <c r="I679" s="12" t="str">
        <f t="array" ref="I679">IFERROR(INDEX(atlas!B:B,MATCH(A679,atlas!C:C,0)),"")</f>
        <v/>
      </c>
      <c r="J679" s="8" t="str">
        <f>IFERROR(VLOOKUP(F679,tecnica!A:B,2,0),"")</f>
        <v/>
      </c>
      <c r="K679" s="8" t="str">
        <f>IFERROR(VLOOKUP(J679,tecnica!B:C,2,0),"")</f>
        <v/>
      </c>
      <c r="L679" s="13"/>
      <c r="M679" s="14" t="str">
        <f>IFERROR(VLOOKUP(I679,material!A:D,4,0),"")</f>
        <v/>
      </c>
      <c r="N679" s="14" t="str">
        <f t="shared" si="1"/>
        <v/>
      </c>
      <c r="O679" s="15" t="str">
        <f>IFERROR(VLOOKUP(I679,material!A:D,2,0),"")</f>
        <v/>
      </c>
    </row>
    <row r="680">
      <c r="A680" s="6"/>
      <c r="B680" s="7"/>
      <c r="C680" s="8" t="str">
        <f t="array" ref="C680">IFERROR(INDEX(atlas!H:H,MATCH(A680,atlas!C:C,0)),"")</f>
        <v/>
      </c>
      <c r="D680" s="8" t="str">
        <f t="array" ref="D680">IFERROR(INDEX(atlas!D:D,MATCH(A680,atlas!C:C,0)),"")</f>
        <v/>
      </c>
      <c r="E680" s="8" t="str">
        <f t="array" ref="E680">IFERROR(INDEX(atlas!F:F,MATCH(A680,atlas!C:C,0)),"")</f>
        <v/>
      </c>
      <c r="F680" s="9"/>
      <c r="G680" s="10"/>
      <c r="H680" s="11"/>
      <c r="I680" s="12" t="str">
        <f t="array" ref="I680">IFERROR(INDEX(atlas!B:B,MATCH(A680,atlas!C:C,0)),"")</f>
        <v/>
      </c>
      <c r="J680" s="8" t="str">
        <f>IFERROR(VLOOKUP(F680,tecnica!A:B,2,0),"")</f>
        <v/>
      </c>
      <c r="K680" s="8" t="str">
        <f>IFERROR(VLOOKUP(J680,tecnica!B:C,2,0),"")</f>
        <v/>
      </c>
      <c r="L680" s="13"/>
      <c r="M680" s="14" t="str">
        <f>IFERROR(VLOOKUP(I680,material!A:D,4,0),"")</f>
        <v/>
      </c>
      <c r="N680" s="14" t="str">
        <f t="shared" si="1"/>
        <v/>
      </c>
      <c r="O680" s="15" t="str">
        <f>IFERROR(VLOOKUP(I680,material!A:D,2,0),"")</f>
        <v/>
      </c>
    </row>
    <row r="681">
      <c r="A681" s="6"/>
      <c r="B681" s="7"/>
      <c r="C681" s="8" t="str">
        <f t="array" ref="C681">IFERROR(INDEX(atlas!H:H,MATCH(A681,atlas!C:C,0)),"")</f>
        <v/>
      </c>
      <c r="D681" s="8" t="str">
        <f t="array" ref="D681">IFERROR(INDEX(atlas!D:D,MATCH(A681,atlas!C:C,0)),"")</f>
        <v/>
      </c>
      <c r="E681" s="8" t="str">
        <f t="array" ref="E681">IFERROR(INDEX(atlas!F:F,MATCH(A681,atlas!C:C,0)),"")</f>
        <v/>
      </c>
      <c r="F681" s="9"/>
      <c r="G681" s="10"/>
      <c r="H681" s="11"/>
      <c r="I681" s="12" t="str">
        <f t="array" ref="I681">IFERROR(INDEX(atlas!B:B,MATCH(A681,atlas!C:C,0)),"")</f>
        <v/>
      </c>
      <c r="J681" s="8" t="str">
        <f>IFERROR(VLOOKUP(F681,tecnica!A:B,2,0),"")</f>
        <v/>
      </c>
      <c r="K681" s="8" t="str">
        <f>IFERROR(VLOOKUP(J681,tecnica!B:C,2,0),"")</f>
        <v/>
      </c>
      <c r="L681" s="13"/>
      <c r="M681" s="14" t="str">
        <f>IFERROR(VLOOKUP(I681,material!A:D,4,0),"")</f>
        <v/>
      </c>
      <c r="N681" s="14" t="str">
        <f t="shared" si="1"/>
        <v/>
      </c>
      <c r="O681" s="15" t="str">
        <f>IFERROR(VLOOKUP(I681,material!A:D,2,0),"")</f>
        <v/>
      </c>
    </row>
    <row r="682">
      <c r="A682" s="6"/>
      <c r="B682" s="7"/>
      <c r="C682" s="8" t="str">
        <f t="array" ref="C682">IFERROR(INDEX(atlas!H:H,MATCH(A682,atlas!C:C,0)),"")</f>
        <v/>
      </c>
      <c r="D682" s="8" t="str">
        <f t="array" ref="D682">IFERROR(INDEX(atlas!D:D,MATCH(A682,atlas!C:C,0)),"")</f>
        <v/>
      </c>
      <c r="E682" s="8" t="str">
        <f t="array" ref="E682">IFERROR(INDEX(atlas!F:F,MATCH(A682,atlas!C:C,0)),"")</f>
        <v/>
      </c>
      <c r="F682" s="9"/>
      <c r="G682" s="10"/>
      <c r="H682" s="11"/>
      <c r="I682" s="12" t="str">
        <f t="array" ref="I682">IFERROR(INDEX(atlas!B:B,MATCH(A682,atlas!C:C,0)),"")</f>
        <v/>
      </c>
      <c r="J682" s="8" t="str">
        <f>IFERROR(VLOOKUP(F682,tecnica!A:B,2,0),"")</f>
        <v/>
      </c>
      <c r="K682" s="8" t="str">
        <f>IFERROR(VLOOKUP(J682,tecnica!B:C,2,0),"")</f>
        <v/>
      </c>
      <c r="L682" s="13"/>
      <c r="M682" s="14" t="str">
        <f>IFERROR(VLOOKUP(I682,material!A:D,4,0),"")</f>
        <v/>
      </c>
      <c r="N682" s="14" t="str">
        <f t="shared" si="1"/>
        <v/>
      </c>
      <c r="O682" s="15" t="str">
        <f>IFERROR(VLOOKUP(I682,material!A:D,2,0),"")</f>
        <v/>
      </c>
    </row>
    <row r="683">
      <c r="A683" s="6"/>
      <c r="B683" s="7"/>
      <c r="C683" s="8" t="str">
        <f t="array" ref="C683">IFERROR(INDEX(atlas!H:H,MATCH(A683,atlas!C:C,0)),"")</f>
        <v/>
      </c>
      <c r="D683" s="8" t="str">
        <f t="array" ref="D683">IFERROR(INDEX(atlas!D:D,MATCH(A683,atlas!C:C,0)),"")</f>
        <v/>
      </c>
      <c r="E683" s="8" t="str">
        <f t="array" ref="E683">IFERROR(INDEX(atlas!F:F,MATCH(A683,atlas!C:C,0)),"")</f>
        <v/>
      </c>
      <c r="F683" s="9"/>
      <c r="G683" s="10"/>
      <c r="H683" s="11"/>
      <c r="I683" s="12" t="str">
        <f t="array" ref="I683">IFERROR(INDEX(atlas!B:B,MATCH(A683,atlas!C:C,0)),"")</f>
        <v/>
      </c>
      <c r="J683" s="8" t="str">
        <f>IFERROR(VLOOKUP(F683,tecnica!A:B,2,0),"")</f>
        <v/>
      </c>
      <c r="K683" s="8" t="str">
        <f>IFERROR(VLOOKUP(J683,tecnica!B:C,2,0),"")</f>
        <v/>
      </c>
      <c r="L683" s="13"/>
      <c r="M683" s="14" t="str">
        <f>IFERROR(VLOOKUP(I683,material!A:D,4,0),"")</f>
        <v/>
      </c>
      <c r="N683" s="14" t="str">
        <f t="shared" si="1"/>
        <v/>
      </c>
      <c r="O683" s="15" t="str">
        <f>IFERROR(VLOOKUP(I683,material!A:D,2,0),"")</f>
        <v/>
      </c>
    </row>
    <row r="684">
      <c r="A684" s="6"/>
      <c r="B684" s="7"/>
      <c r="C684" s="8" t="str">
        <f t="array" ref="C684">IFERROR(INDEX(atlas!H:H,MATCH(A684,atlas!C:C,0)),"")</f>
        <v/>
      </c>
      <c r="D684" s="8" t="str">
        <f t="array" ref="D684">IFERROR(INDEX(atlas!D:D,MATCH(A684,atlas!C:C,0)),"")</f>
        <v/>
      </c>
      <c r="E684" s="8" t="str">
        <f t="array" ref="E684">IFERROR(INDEX(atlas!F:F,MATCH(A684,atlas!C:C,0)),"")</f>
        <v/>
      </c>
      <c r="F684" s="9"/>
      <c r="G684" s="10"/>
      <c r="H684" s="11"/>
      <c r="I684" s="12" t="str">
        <f t="array" ref="I684">IFERROR(INDEX(atlas!B:B,MATCH(A684,atlas!C:C,0)),"")</f>
        <v/>
      </c>
      <c r="J684" s="8" t="str">
        <f>IFERROR(VLOOKUP(F684,tecnica!A:B,2,0),"")</f>
        <v/>
      </c>
      <c r="K684" s="8" t="str">
        <f>IFERROR(VLOOKUP(J684,tecnica!B:C,2,0),"")</f>
        <v/>
      </c>
      <c r="L684" s="13"/>
      <c r="M684" s="14" t="str">
        <f>IFERROR(VLOOKUP(I684,material!A:D,4,0),"")</f>
        <v/>
      </c>
      <c r="N684" s="14" t="str">
        <f t="shared" si="1"/>
        <v/>
      </c>
      <c r="O684" s="15" t="str">
        <f>IFERROR(VLOOKUP(I684,material!A:D,2,0),"")</f>
        <v/>
      </c>
    </row>
    <row r="685">
      <c r="A685" s="6"/>
      <c r="B685" s="7"/>
      <c r="C685" s="8" t="str">
        <f t="array" ref="C685">IFERROR(INDEX(atlas!H:H,MATCH(A685,atlas!C:C,0)),"")</f>
        <v/>
      </c>
      <c r="D685" s="8" t="str">
        <f t="array" ref="D685">IFERROR(INDEX(atlas!D:D,MATCH(A685,atlas!C:C,0)),"")</f>
        <v/>
      </c>
      <c r="E685" s="8" t="str">
        <f t="array" ref="E685">IFERROR(INDEX(atlas!F:F,MATCH(A685,atlas!C:C,0)),"")</f>
        <v/>
      </c>
      <c r="F685" s="9"/>
      <c r="G685" s="10"/>
      <c r="H685" s="11"/>
      <c r="I685" s="12" t="str">
        <f t="array" ref="I685">IFERROR(INDEX(atlas!B:B,MATCH(A685,atlas!C:C,0)),"")</f>
        <v/>
      </c>
      <c r="J685" s="8" t="str">
        <f>IFERROR(VLOOKUP(F685,tecnica!A:B,2,0),"")</f>
        <v/>
      </c>
      <c r="K685" s="8" t="str">
        <f>IFERROR(VLOOKUP(J685,tecnica!B:C,2,0),"")</f>
        <v/>
      </c>
      <c r="L685" s="13"/>
      <c r="M685" s="14" t="str">
        <f>IFERROR(VLOOKUP(I685,material!A:D,4,0),"")</f>
        <v/>
      </c>
      <c r="N685" s="14" t="str">
        <f t="shared" si="1"/>
        <v/>
      </c>
      <c r="O685" s="15" t="str">
        <f>IFERROR(VLOOKUP(I685,material!A:D,2,0),"")</f>
        <v/>
      </c>
    </row>
    <row r="686">
      <c r="A686" s="6"/>
      <c r="B686" s="7"/>
      <c r="C686" s="8" t="str">
        <f t="array" ref="C686">IFERROR(INDEX(atlas!H:H,MATCH(A686,atlas!C:C,0)),"")</f>
        <v/>
      </c>
      <c r="D686" s="8" t="str">
        <f t="array" ref="D686">IFERROR(INDEX(atlas!D:D,MATCH(A686,atlas!C:C,0)),"")</f>
        <v/>
      </c>
      <c r="E686" s="8" t="str">
        <f t="array" ref="E686">IFERROR(INDEX(atlas!F:F,MATCH(A686,atlas!C:C,0)),"")</f>
        <v/>
      </c>
      <c r="F686" s="9"/>
      <c r="G686" s="10"/>
      <c r="H686" s="11"/>
      <c r="I686" s="12" t="str">
        <f t="array" ref="I686">IFERROR(INDEX(atlas!B:B,MATCH(A686,atlas!C:C,0)),"")</f>
        <v/>
      </c>
      <c r="J686" s="8" t="str">
        <f>IFERROR(VLOOKUP(F686,tecnica!A:B,2,0),"")</f>
        <v/>
      </c>
      <c r="K686" s="8" t="str">
        <f>IFERROR(VLOOKUP(J686,tecnica!B:C,2,0),"")</f>
        <v/>
      </c>
      <c r="L686" s="13"/>
      <c r="M686" s="14" t="str">
        <f>IFERROR(VLOOKUP(I686,material!A:D,4,0),"")</f>
        <v/>
      </c>
      <c r="N686" s="14" t="str">
        <f t="shared" si="1"/>
        <v/>
      </c>
      <c r="O686" s="15" t="str">
        <f>IFERROR(VLOOKUP(I686,material!A:D,2,0),"")</f>
        <v/>
      </c>
    </row>
    <row r="687">
      <c r="A687" s="6"/>
      <c r="B687" s="7"/>
      <c r="C687" s="8" t="str">
        <f t="array" ref="C687">IFERROR(INDEX(atlas!H:H,MATCH(A687,atlas!C:C,0)),"")</f>
        <v/>
      </c>
      <c r="D687" s="8" t="str">
        <f t="array" ref="D687">IFERROR(INDEX(atlas!D:D,MATCH(A687,atlas!C:C,0)),"")</f>
        <v/>
      </c>
      <c r="E687" s="8" t="str">
        <f t="array" ref="E687">IFERROR(INDEX(atlas!F:F,MATCH(A687,atlas!C:C,0)),"")</f>
        <v/>
      </c>
      <c r="F687" s="9"/>
      <c r="G687" s="10"/>
      <c r="H687" s="11"/>
      <c r="I687" s="12" t="str">
        <f t="array" ref="I687">IFERROR(INDEX(atlas!B:B,MATCH(A687,atlas!C:C,0)),"")</f>
        <v/>
      </c>
      <c r="J687" s="8" t="str">
        <f>IFERROR(VLOOKUP(F687,tecnica!A:B,2,0),"")</f>
        <v/>
      </c>
      <c r="K687" s="8" t="str">
        <f>IFERROR(VLOOKUP(J687,tecnica!B:C,2,0),"")</f>
        <v/>
      </c>
      <c r="L687" s="13"/>
      <c r="M687" s="14" t="str">
        <f>IFERROR(VLOOKUP(I687,material!A:D,4,0),"")</f>
        <v/>
      </c>
      <c r="N687" s="14" t="str">
        <f t="shared" si="1"/>
        <v/>
      </c>
      <c r="O687" s="15" t="str">
        <f>IFERROR(VLOOKUP(I687,material!A:D,2,0),"")</f>
        <v/>
      </c>
    </row>
    <row r="688">
      <c r="A688" s="6"/>
      <c r="B688" s="7"/>
      <c r="C688" s="8" t="str">
        <f t="array" ref="C688">IFERROR(INDEX(atlas!H:H,MATCH(A688,atlas!C:C,0)),"")</f>
        <v/>
      </c>
      <c r="D688" s="8" t="str">
        <f t="array" ref="D688">IFERROR(INDEX(atlas!D:D,MATCH(A688,atlas!C:C,0)),"")</f>
        <v/>
      </c>
      <c r="E688" s="8" t="str">
        <f t="array" ref="E688">IFERROR(INDEX(atlas!F:F,MATCH(A688,atlas!C:C,0)),"")</f>
        <v/>
      </c>
      <c r="F688" s="9"/>
      <c r="G688" s="10"/>
      <c r="H688" s="11"/>
      <c r="I688" s="12" t="str">
        <f t="array" ref="I688">IFERROR(INDEX(atlas!B:B,MATCH(A688,atlas!C:C,0)),"")</f>
        <v/>
      </c>
      <c r="J688" s="8" t="str">
        <f>IFERROR(VLOOKUP(F688,tecnica!A:B,2,0),"")</f>
        <v/>
      </c>
      <c r="K688" s="8" t="str">
        <f>IFERROR(VLOOKUP(J688,tecnica!B:C,2,0),"")</f>
        <v/>
      </c>
      <c r="L688" s="13"/>
      <c r="M688" s="14" t="str">
        <f>IFERROR(VLOOKUP(I688,material!A:D,4,0),"")</f>
        <v/>
      </c>
      <c r="N688" s="14" t="str">
        <f t="shared" si="1"/>
        <v/>
      </c>
      <c r="O688" s="15" t="str">
        <f>IFERROR(VLOOKUP(I688,material!A:D,2,0),"")</f>
        <v/>
      </c>
    </row>
    <row r="689">
      <c r="A689" s="6"/>
      <c r="B689" s="7"/>
      <c r="C689" s="8" t="str">
        <f t="array" ref="C689">IFERROR(INDEX(atlas!H:H,MATCH(A689,atlas!C:C,0)),"")</f>
        <v/>
      </c>
      <c r="D689" s="8" t="str">
        <f t="array" ref="D689">IFERROR(INDEX(atlas!D:D,MATCH(A689,atlas!C:C,0)),"")</f>
        <v/>
      </c>
      <c r="E689" s="8" t="str">
        <f t="array" ref="E689">IFERROR(INDEX(atlas!F:F,MATCH(A689,atlas!C:C,0)),"")</f>
        <v/>
      </c>
      <c r="F689" s="9"/>
      <c r="G689" s="10"/>
      <c r="H689" s="11"/>
      <c r="I689" s="12" t="str">
        <f t="array" ref="I689">IFERROR(INDEX(atlas!B:B,MATCH(A689,atlas!C:C,0)),"")</f>
        <v/>
      </c>
      <c r="J689" s="8" t="str">
        <f>IFERROR(VLOOKUP(F689,tecnica!A:B,2,0),"")</f>
        <v/>
      </c>
      <c r="K689" s="8" t="str">
        <f>IFERROR(VLOOKUP(J689,tecnica!B:C,2,0),"")</f>
        <v/>
      </c>
      <c r="L689" s="13"/>
      <c r="M689" s="14" t="str">
        <f>IFERROR(VLOOKUP(I689,material!A:D,4,0),"")</f>
        <v/>
      </c>
      <c r="N689" s="14" t="str">
        <f t="shared" si="1"/>
        <v/>
      </c>
      <c r="O689" s="15" t="str">
        <f>IFERROR(VLOOKUP(I689,material!A:D,2,0),"")</f>
        <v/>
      </c>
    </row>
    <row r="690">
      <c r="A690" s="6"/>
      <c r="B690" s="7"/>
      <c r="C690" s="8" t="str">
        <f t="array" ref="C690">IFERROR(INDEX(atlas!H:H,MATCH(A690,atlas!C:C,0)),"")</f>
        <v/>
      </c>
      <c r="D690" s="8" t="str">
        <f t="array" ref="D690">IFERROR(INDEX(atlas!D:D,MATCH(A690,atlas!C:C,0)),"")</f>
        <v/>
      </c>
      <c r="E690" s="8" t="str">
        <f t="array" ref="E690">IFERROR(INDEX(atlas!F:F,MATCH(A690,atlas!C:C,0)),"")</f>
        <v/>
      </c>
      <c r="F690" s="9"/>
      <c r="G690" s="10"/>
      <c r="H690" s="11"/>
      <c r="I690" s="12" t="str">
        <f t="array" ref="I690">IFERROR(INDEX(atlas!B:B,MATCH(A690,atlas!C:C,0)),"")</f>
        <v/>
      </c>
      <c r="J690" s="8" t="str">
        <f>IFERROR(VLOOKUP(F690,tecnica!A:B,2,0),"")</f>
        <v/>
      </c>
      <c r="K690" s="8" t="str">
        <f>IFERROR(VLOOKUP(J690,tecnica!B:C,2,0),"")</f>
        <v/>
      </c>
      <c r="L690" s="13"/>
      <c r="M690" s="14" t="str">
        <f>IFERROR(VLOOKUP(I690,material!A:D,4,0),"")</f>
        <v/>
      </c>
      <c r="N690" s="14" t="str">
        <f t="shared" si="1"/>
        <v/>
      </c>
      <c r="O690" s="15" t="str">
        <f>IFERROR(VLOOKUP(I690,material!A:D,2,0),"")</f>
        <v/>
      </c>
    </row>
    <row r="691">
      <c r="A691" s="6"/>
      <c r="B691" s="7"/>
      <c r="C691" s="8" t="str">
        <f t="array" ref="C691">IFERROR(INDEX(atlas!H:H,MATCH(A691,atlas!C:C,0)),"")</f>
        <v/>
      </c>
      <c r="D691" s="8" t="str">
        <f t="array" ref="D691">IFERROR(INDEX(atlas!D:D,MATCH(A691,atlas!C:C,0)),"")</f>
        <v/>
      </c>
      <c r="E691" s="8" t="str">
        <f t="array" ref="E691">IFERROR(INDEX(atlas!F:F,MATCH(A691,atlas!C:C,0)),"")</f>
        <v/>
      </c>
      <c r="F691" s="9"/>
      <c r="G691" s="10"/>
      <c r="H691" s="11"/>
      <c r="I691" s="12" t="str">
        <f t="array" ref="I691">IFERROR(INDEX(atlas!B:B,MATCH(A691,atlas!C:C,0)),"")</f>
        <v/>
      </c>
      <c r="J691" s="8" t="str">
        <f>IFERROR(VLOOKUP(F691,tecnica!A:B,2,0),"")</f>
        <v/>
      </c>
      <c r="K691" s="8" t="str">
        <f>IFERROR(VLOOKUP(J691,tecnica!B:C,2,0),"")</f>
        <v/>
      </c>
      <c r="L691" s="13"/>
      <c r="M691" s="14" t="str">
        <f>IFERROR(VLOOKUP(I691,material!A:D,4,0),"")</f>
        <v/>
      </c>
      <c r="N691" s="14" t="str">
        <f t="shared" si="1"/>
        <v/>
      </c>
      <c r="O691" s="15" t="str">
        <f>IFERROR(VLOOKUP(I691,material!A:D,2,0),"")</f>
        <v/>
      </c>
    </row>
    <row r="692">
      <c r="A692" s="6"/>
      <c r="B692" s="7"/>
      <c r="C692" s="8" t="str">
        <f t="array" ref="C692">IFERROR(INDEX(atlas!H:H,MATCH(A692,atlas!C:C,0)),"")</f>
        <v/>
      </c>
      <c r="D692" s="8" t="str">
        <f t="array" ref="D692">IFERROR(INDEX(atlas!D:D,MATCH(A692,atlas!C:C,0)),"")</f>
        <v/>
      </c>
      <c r="E692" s="8" t="str">
        <f t="array" ref="E692">IFERROR(INDEX(atlas!F:F,MATCH(A692,atlas!C:C,0)),"")</f>
        <v/>
      </c>
      <c r="F692" s="9"/>
      <c r="G692" s="10"/>
      <c r="H692" s="11"/>
      <c r="I692" s="12" t="str">
        <f t="array" ref="I692">IFERROR(INDEX(atlas!B:B,MATCH(A692,atlas!C:C,0)),"")</f>
        <v/>
      </c>
      <c r="J692" s="8" t="str">
        <f>IFERROR(VLOOKUP(F692,tecnica!A:B,2,0),"")</f>
        <v/>
      </c>
      <c r="K692" s="8" t="str">
        <f>IFERROR(VLOOKUP(J692,tecnica!B:C,2,0),"")</f>
        <v/>
      </c>
      <c r="L692" s="13"/>
      <c r="M692" s="14" t="str">
        <f>IFERROR(VLOOKUP(I692,material!A:D,4,0),"")</f>
        <v/>
      </c>
      <c r="N692" s="14" t="str">
        <f t="shared" si="1"/>
        <v/>
      </c>
      <c r="O692" s="15" t="str">
        <f>IFERROR(VLOOKUP(I692,material!A:D,2,0),"")</f>
        <v/>
      </c>
    </row>
    <row r="693">
      <c r="A693" s="6"/>
      <c r="B693" s="7"/>
      <c r="C693" s="8" t="str">
        <f t="array" ref="C693">IFERROR(INDEX(atlas!H:H,MATCH(A693,atlas!C:C,0)),"")</f>
        <v/>
      </c>
      <c r="D693" s="8" t="str">
        <f t="array" ref="D693">IFERROR(INDEX(atlas!D:D,MATCH(A693,atlas!C:C,0)),"")</f>
        <v/>
      </c>
      <c r="E693" s="8" t="str">
        <f t="array" ref="E693">IFERROR(INDEX(atlas!F:F,MATCH(A693,atlas!C:C,0)),"")</f>
        <v/>
      </c>
      <c r="F693" s="9"/>
      <c r="G693" s="10"/>
      <c r="H693" s="11"/>
      <c r="I693" s="12" t="str">
        <f t="array" ref="I693">IFERROR(INDEX(atlas!B:B,MATCH(A693,atlas!C:C,0)),"")</f>
        <v/>
      </c>
      <c r="J693" s="8" t="str">
        <f>IFERROR(VLOOKUP(F693,tecnica!A:B,2,0),"")</f>
        <v/>
      </c>
      <c r="K693" s="8" t="str">
        <f>IFERROR(VLOOKUP(J693,tecnica!B:C,2,0),"")</f>
        <v/>
      </c>
      <c r="L693" s="13"/>
      <c r="M693" s="14" t="str">
        <f>IFERROR(VLOOKUP(I693,material!A:D,4,0),"")</f>
        <v/>
      </c>
      <c r="N693" s="14" t="str">
        <f t="shared" si="1"/>
        <v/>
      </c>
      <c r="O693" s="15" t="str">
        <f>IFERROR(VLOOKUP(I693,material!A:D,2,0),"")</f>
        <v/>
      </c>
    </row>
    <row r="694">
      <c r="A694" s="6"/>
      <c r="B694" s="7"/>
      <c r="C694" s="8" t="str">
        <f t="array" ref="C694">IFERROR(INDEX(atlas!H:H,MATCH(A694,atlas!C:C,0)),"")</f>
        <v/>
      </c>
      <c r="D694" s="8" t="str">
        <f t="array" ref="D694">IFERROR(INDEX(atlas!D:D,MATCH(A694,atlas!C:C,0)),"")</f>
        <v/>
      </c>
      <c r="E694" s="8" t="str">
        <f t="array" ref="E694">IFERROR(INDEX(atlas!F:F,MATCH(A694,atlas!C:C,0)),"")</f>
        <v/>
      </c>
      <c r="F694" s="9"/>
      <c r="G694" s="10"/>
      <c r="H694" s="11"/>
      <c r="I694" s="12" t="str">
        <f t="array" ref="I694">IFERROR(INDEX(atlas!B:B,MATCH(A694,atlas!C:C,0)),"")</f>
        <v/>
      </c>
      <c r="J694" s="8" t="str">
        <f>IFERROR(VLOOKUP(F694,tecnica!A:B,2,0),"")</f>
        <v/>
      </c>
      <c r="K694" s="8" t="str">
        <f>IFERROR(VLOOKUP(J694,tecnica!B:C,2,0),"")</f>
        <v/>
      </c>
      <c r="L694" s="13"/>
      <c r="M694" s="14" t="str">
        <f>IFERROR(VLOOKUP(I694,material!A:D,4,0),"")</f>
        <v/>
      </c>
      <c r="N694" s="14" t="str">
        <f t="shared" si="1"/>
        <v/>
      </c>
      <c r="O694" s="15" t="str">
        <f>IFERROR(VLOOKUP(I694,material!A:D,2,0),"")</f>
        <v/>
      </c>
    </row>
    <row r="695">
      <c r="A695" s="6"/>
      <c r="B695" s="7"/>
      <c r="C695" s="8" t="str">
        <f t="array" ref="C695">IFERROR(INDEX(atlas!H:H,MATCH(A695,atlas!C:C,0)),"")</f>
        <v/>
      </c>
      <c r="D695" s="8" t="str">
        <f t="array" ref="D695">IFERROR(INDEX(atlas!D:D,MATCH(A695,atlas!C:C,0)),"")</f>
        <v/>
      </c>
      <c r="E695" s="8" t="str">
        <f t="array" ref="E695">IFERROR(INDEX(atlas!F:F,MATCH(A695,atlas!C:C,0)),"")</f>
        <v/>
      </c>
      <c r="F695" s="9"/>
      <c r="G695" s="10"/>
      <c r="H695" s="11"/>
      <c r="I695" s="12" t="str">
        <f t="array" ref="I695">IFERROR(INDEX(atlas!B:B,MATCH(A695,atlas!C:C,0)),"")</f>
        <v/>
      </c>
      <c r="J695" s="8" t="str">
        <f>IFERROR(VLOOKUP(F695,tecnica!A:B,2,0),"")</f>
        <v/>
      </c>
      <c r="K695" s="8" t="str">
        <f>IFERROR(VLOOKUP(J695,tecnica!B:C,2,0),"")</f>
        <v/>
      </c>
      <c r="L695" s="13"/>
      <c r="M695" s="14" t="str">
        <f>IFERROR(VLOOKUP(I695,material!A:D,4,0),"")</f>
        <v/>
      </c>
      <c r="N695" s="14" t="str">
        <f t="shared" si="1"/>
        <v/>
      </c>
      <c r="O695" s="15" t="str">
        <f>IFERROR(VLOOKUP(I695,material!A:D,2,0),"")</f>
        <v/>
      </c>
    </row>
    <row r="696">
      <c r="A696" s="6"/>
      <c r="B696" s="7"/>
      <c r="C696" s="8" t="str">
        <f t="array" ref="C696">IFERROR(INDEX(atlas!H:H,MATCH(A696,atlas!C:C,0)),"")</f>
        <v/>
      </c>
      <c r="D696" s="8" t="str">
        <f t="array" ref="D696">IFERROR(INDEX(atlas!D:D,MATCH(A696,atlas!C:C,0)),"")</f>
        <v/>
      </c>
      <c r="E696" s="8" t="str">
        <f t="array" ref="E696">IFERROR(INDEX(atlas!F:F,MATCH(A696,atlas!C:C,0)),"")</f>
        <v/>
      </c>
      <c r="F696" s="9"/>
      <c r="G696" s="10"/>
      <c r="H696" s="11"/>
      <c r="I696" s="12" t="str">
        <f t="array" ref="I696">IFERROR(INDEX(atlas!B:B,MATCH(A696,atlas!C:C,0)),"")</f>
        <v/>
      </c>
      <c r="J696" s="8" t="str">
        <f>IFERROR(VLOOKUP(F696,tecnica!A:B,2,0),"")</f>
        <v/>
      </c>
      <c r="K696" s="8" t="str">
        <f>IFERROR(VLOOKUP(J696,tecnica!B:C,2,0),"")</f>
        <v/>
      </c>
      <c r="L696" s="13"/>
      <c r="M696" s="14" t="str">
        <f>IFERROR(VLOOKUP(I696,material!A:D,4,0),"")</f>
        <v/>
      </c>
      <c r="N696" s="14" t="str">
        <f t="shared" si="1"/>
        <v/>
      </c>
      <c r="O696" s="15" t="str">
        <f>IFERROR(VLOOKUP(I696,material!A:D,2,0),"")</f>
        <v/>
      </c>
    </row>
    <row r="697">
      <c r="A697" s="6"/>
      <c r="B697" s="7"/>
      <c r="C697" s="8" t="str">
        <f t="array" ref="C697">IFERROR(INDEX(atlas!H:H,MATCH(A697,atlas!C:C,0)),"")</f>
        <v/>
      </c>
      <c r="D697" s="8" t="str">
        <f t="array" ref="D697">IFERROR(INDEX(atlas!D:D,MATCH(A697,atlas!C:C,0)),"")</f>
        <v/>
      </c>
      <c r="E697" s="8" t="str">
        <f t="array" ref="E697">IFERROR(INDEX(atlas!F:F,MATCH(A697,atlas!C:C,0)),"")</f>
        <v/>
      </c>
      <c r="F697" s="9"/>
      <c r="G697" s="10"/>
      <c r="H697" s="11"/>
      <c r="I697" s="12" t="str">
        <f t="array" ref="I697">IFERROR(INDEX(atlas!B:B,MATCH(A697,atlas!C:C,0)),"")</f>
        <v/>
      </c>
      <c r="J697" s="8" t="str">
        <f>IFERROR(VLOOKUP(F697,tecnica!A:B,2,0),"")</f>
        <v/>
      </c>
      <c r="K697" s="8" t="str">
        <f>IFERROR(VLOOKUP(J697,tecnica!B:C,2,0),"")</f>
        <v/>
      </c>
      <c r="L697" s="13"/>
      <c r="M697" s="14" t="str">
        <f>IFERROR(VLOOKUP(I697,material!A:D,4,0),"")</f>
        <v/>
      </c>
      <c r="N697" s="14" t="str">
        <f t="shared" si="1"/>
        <v/>
      </c>
      <c r="O697" s="15" t="str">
        <f>IFERROR(VLOOKUP(I697,material!A:D,2,0),"")</f>
        <v/>
      </c>
    </row>
    <row r="698">
      <c r="A698" s="6"/>
      <c r="B698" s="7"/>
      <c r="C698" s="8" t="str">
        <f t="array" ref="C698">IFERROR(INDEX(atlas!H:H,MATCH(A698,atlas!C:C,0)),"")</f>
        <v/>
      </c>
      <c r="D698" s="8" t="str">
        <f t="array" ref="D698">IFERROR(INDEX(atlas!D:D,MATCH(A698,atlas!C:C,0)),"")</f>
        <v/>
      </c>
      <c r="E698" s="8" t="str">
        <f t="array" ref="E698">IFERROR(INDEX(atlas!F:F,MATCH(A698,atlas!C:C,0)),"")</f>
        <v/>
      </c>
      <c r="F698" s="9"/>
      <c r="G698" s="10"/>
      <c r="H698" s="11"/>
      <c r="I698" s="12" t="str">
        <f t="array" ref="I698">IFERROR(INDEX(atlas!B:B,MATCH(A698,atlas!C:C,0)),"")</f>
        <v/>
      </c>
      <c r="J698" s="8" t="str">
        <f>IFERROR(VLOOKUP(F698,tecnica!A:B,2,0),"")</f>
        <v/>
      </c>
      <c r="K698" s="8" t="str">
        <f>IFERROR(VLOOKUP(J698,tecnica!B:C,2,0),"")</f>
        <v/>
      </c>
      <c r="L698" s="13"/>
      <c r="M698" s="14" t="str">
        <f>IFERROR(VLOOKUP(I698,material!A:D,4,0),"")</f>
        <v/>
      </c>
      <c r="N698" s="14" t="str">
        <f t="shared" si="1"/>
        <v/>
      </c>
      <c r="O698" s="15" t="str">
        <f>IFERROR(VLOOKUP(I698,material!A:D,2,0),"")</f>
        <v/>
      </c>
    </row>
    <row r="699">
      <c r="A699" s="6"/>
      <c r="B699" s="7"/>
      <c r="C699" s="8" t="str">
        <f t="array" ref="C699">IFERROR(INDEX(atlas!H:H,MATCH(A699,atlas!C:C,0)),"")</f>
        <v/>
      </c>
      <c r="D699" s="8" t="str">
        <f t="array" ref="D699">IFERROR(INDEX(atlas!D:D,MATCH(A699,atlas!C:C,0)),"")</f>
        <v/>
      </c>
      <c r="E699" s="8" t="str">
        <f t="array" ref="E699">IFERROR(INDEX(atlas!F:F,MATCH(A699,atlas!C:C,0)),"")</f>
        <v/>
      </c>
      <c r="F699" s="9"/>
      <c r="G699" s="10"/>
      <c r="H699" s="11"/>
      <c r="I699" s="12" t="str">
        <f t="array" ref="I699">IFERROR(INDEX(atlas!B:B,MATCH(A699,atlas!C:C,0)),"")</f>
        <v/>
      </c>
      <c r="J699" s="8" t="str">
        <f>IFERROR(VLOOKUP(F699,tecnica!A:B,2,0),"")</f>
        <v/>
      </c>
      <c r="K699" s="8" t="str">
        <f>IFERROR(VLOOKUP(J699,tecnica!B:C,2,0),"")</f>
        <v/>
      </c>
      <c r="L699" s="13"/>
      <c r="M699" s="14" t="str">
        <f>IFERROR(VLOOKUP(I699,material!A:D,4,0),"")</f>
        <v/>
      </c>
      <c r="N699" s="14" t="str">
        <f t="shared" si="1"/>
        <v/>
      </c>
      <c r="O699" s="15" t="str">
        <f>IFERROR(VLOOKUP(I699,material!A:D,2,0),"")</f>
        <v/>
      </c>
    </row>
    <row r="700">
      <c r="A700" s="6"/>
      <c r="B700" s="7"/>
      <c r="C700" s="8" t="str">
        <f t="array" ref="C700">IFERROR(INDEX(atlas!H:H,MATCH(A700,atlas!C:C,0)),"")</f>
        <v/>
      </c>
      <c r="D700" s="8" t="str">
        <f t="array" ref="D700">IFERROR(INDEX(atlas!D:D,MATCH(A700,atlas!C:C,0)),"")</f>
        <v/>
      </c>
      <c r="E700" s="8" t="str">
        <f t="array" ref="E700">IFERROR(INDEX(atlas!F:F,MATCH(A700,atlas!C:C,0)),"")</f>
        <v/>
      </c>
      <c r="F700" s="9"/>
      <c r="G700" s="10"/>
      <c r="H700" s="11"/>
      <c r="I700" s="12" t="str">
        <f t="array" ref="I700">IFERROR(INDEX(atlas!B:B,MATCH(A700,atlas!C:C,0)),"")</f>
        <v/>
      </c>
      <c r="J700" s="8" t="str">
        <f>IFERROR(VLOOKUP(F700,tecnica!A:B,2,0),"")</f>
        <v/>
      </c>
      <c r="K700" s="8" t="str">
        <f>IFERROR(VLOOKUP(J700,tecnica!B:C,2,0),"")</f>
        <v/>
      </c>
      <c r="L700" s="13"/>
      <c r="M700" s="14" t="str">
        <f>IFERROR(VLOOKUP(I700,material!A:D,4,0),"")</f>
        <v/>
      </c>
      <c r="N700" s="14" t="str">
        <f t="shared" si="1"/>
        <v/>
      </c>
      <c r="O700" s="15" t="str">
        <f>IFERROR(VLOOKUP(I700,material!A:D,2,0),"")</f>
        <v/>
      </c>
    </row>
    <row r="701">
      <c r="A701" s="6"/>
      <c r="B701" s="7"/>
      <c r="C701" s="8" t="str">
        <f t="array" ref="C701">IFERROR(INDEX(atlas!H:H,MATCH(A701,atlas!C:C,0)),"")</f>
        <v/>
      </c>
      <c r="D701" s="8" t="str">
        <f t="array" ref="D701">IFERROR(INDEX(atlas!D:D,MATCH(A701,atlas!C:C,0)),"")</f>
        <v/>
      </c>
      <c r="E701" s="8" t="str">
        <f t="array" ref="E701">IFERROR(INDEX(atlas!F:F,MATCH(A701,atlas!C:C,0)),"")</f>
        <v/>
      </c>
      <c r="F701" s="9"/>
      <c r="G701" s="10"/>
      <c r="H701" s="11"/>
      <c r="I701" s="12" t="str">
        <f t="array" ref="I701">IFERROR(INDEX(atlas!B:B,MATCH(A701,atlas!C:C,0)),"")</f>
        <v/>
      </c>
      <c r="J701" s="8" t="str">
        <f>IFERROR(VLOOKUP(F701,tecnica!A:B,2,0),"")</f>
        <v/>
      </c>
      <c r="K701" s="8" t="str">
        <f>IFERROR(VLOOKUP(J701,tecnica!B:C,2,0),"")</f>
        <v/>
      </c>
      <c r="L701" s="13"/>
      <c r="M701" s="14" t="str">
        <f>IFERROR(VLOOKUP(I701,material!A:D,4,0),"")</f>
        <v/>
      </c>
      <c r="N701" s="14" t="str">
        <f t="shared" si="1"/>
        <v/>
      </c>
      <c r="O701" s="15" t="str">
        <f>IFERROR(VLOOKUP(I701,material!A:D,2,0),"")</f>
        <v/>
      </c>
    </row>
    <row r="702">
      <c r="A702" s="6"/>
      <c r="B702" s="7"/>
      <c r="C702" s="8" t="str">
        <f t="array" ref="C702">IFERROR(INDEX(atlas!H:H,MATCH(A702,atlas!C:C,0)),"")</f>
        <v/>
      </c>
      <c r="D702" s="8" t="str">
        <f t="array" ref="D702">IFERROR(INDEX(atlas!D:D,MATCH(A702,atlas!C:C,0)),"")</f>
        <v/>
      </c>
      <c r="E702" s="8" t="str">
        <f t="array" ref="E702">IFERROR(INDEX(atlas!F:F,MATCH(A702,atlas!C:C,0)),"")</f>
        <v/>
      </c>
      <c r="F702" s="9"/>
      <c r="G702" s="10"/>
      <c r="H702" s="11"/>
      <c r="I702" s="12" t="str">
        <f t="array" ref="I702">IFERROR(INDEX(atlas!B:B,MATCH(A702,atlas!C:C,0)),"")</f>
        <v/>
      </c>
      <c r="J702" s="8" t="str">
        <f>IFERROR(VLOOKUP(F702,tecnica!A:B,2,0),"")</f>
        <v/>
      </c>
      <c r="K702" s="8" t="str">
        <f>IFERROR(VLOOKUP(J702,tecnica!B:C,2,0),"")</f>
        <v/>
      </c>
      <c r="L702" s="13"/>
      <c r="M702" s="14" t="str">
        <f>IFERROR(VLOOKUP(I702,material!A:D,4,0),"")</f>
        <v/>
      </c>
      <c r="N702" s="14" t="str">
        <f t="shared" si="1"/>
        <v/>
      </c>
      <c r="O702" s="15" t="str">
        <f>IFERROR(VLOOKUP(I702,material!A:D,2,0),"")</f>
        <v/>
      </c>
    </row>
    <row r="703">
      <c r="A703" s="6"/>
      <c r="B703" s="7"/>
      <c r="C703" s="8" t="str">
        <f t="array" ref="C703">IFERROR(INDEX(atlas!H:H,MATCH(A703,atlas!C:C,0)),"")</f>
        <v/>
      </c>
      <c r="D703" s="8" t="str">
        <f t="array" ref="D703">IFERROR(INDEX(atlas!D:D,MATCH(A703,atlas!C:C,0)),"")</f>
        <v/>
      </c>
      <c r="E703" s="8" t="str">
        <f t="array" ref="E703">IFERROR(INDEX(atlas!F:F,MATCH(A703,atlas!C:C,0)),"")</f>
        <v/>
      </c>
      <c r="F703" s="9"/>
      <c r="G703" s="10"/>
      <c r="H703" s="11"/>
      <c r="I703" s="12" t="str">
        <f t="array" ref="I703">IFERROR(INDEX(atlas!B:B,MATCH(A703,atlas!C:C,0)),"")</f>
        <v/>
      </c>
      <c r="J703" s="8" t="str">
        <f>IFERROR(VLOOKUP(F703,tecnica!A:B,2,0),"")</f>
        <v/>
      </c>
      <c r="K703" s="8" t="str">
        <f>IFERROR(VLOOKUP(J703,tecnica!B:C,2,0),"")</f>
        <v/>
      </c>
      <c r="L703" s="13"/>
      <c r="M703" s="14" t="str">
        <f>IFERROR(VLOOKUP(I703,material!A:D,4,0),"")</f>
        <v/>
      </c>
      <c r="N703" s="14" t="str">
        <f t="shared" si="1"/>
        <v/>
      </c>
      <c r="O703" s="15" t="str">
        <f>IFERROR(VLOOKUP(I703,material!A:D,2,0),"")</f>
        <v/>
      </c>
    </row>
    <row r="704">
      <c r="A704" s="6"/>
      <c r="B704" s="7"/>
      <c r="C704" s="8" t="str">
        <f t="array" ref="C704">IFERROR(INDEX(atlas!H:H,MATCH(A704,atlas!C:C,0)),"")</f>
        <v/>
      </c>
      <c r="D704" s="8" t="str">
        <f t="array" ref="D704">IFERROR(INDEX(atlas!D:D,MATCH(A704,atlas!C:C,0)),"")</f>
        <v/>
      </c>
      <c r="E704" s="8" t="str">
        <f t="array" ref="E704">IFERROR(INDEX(atlas!F:F,MATCH(A704,atlas!C:C,0)),"")</f>
        <v/>
      </c>
      <c r="F704" s="9"/>
      <c r="G704" s="10"/>
      <c r="H704" s="11"/>
      <c r="I704" s="12" t="str">
        <f t="array" ref="I704">IFERROR(INDEX(atlas!B:B,MATCH(A704,atlas!C:C,0)),"")</f>
        <v/>
      </c>
      <c r="J704" s="8" t="str">
        <f>IFERROR(VLOOKUP(F704,tecnica!A:B,2,0),"")</f>
        <v/>
      </c>
      <c r="K704" s="8" t="str">
        <f>IFERROR(VLOOKUP(J704,tecnica!B:C,2,0),"")</f>
        <v/>
      </c>
      <c r="L704" s="13"/>
      <c r="M704" s="14" t="str">
        <f>IFERROR(VLOOKUP(I704,material!A:D,4,0),"")</f>
        <v/>
      </c>
      <c r="N704" s="14" t="str">
        <f t="shared" si="1"/>
        <v/>
      </c>
      <c r="O704" s="15" t="str">
        <f>IFERROR(VLOOKUP(I704,material!A:D,2,0),"")</f>
        <v/>
      </c>
    </row>
    <row r="705">
      <c r="A705" s="6"/>
      <c r="B705" s="7"/>
      <c r="C705" s="8" t="str">
        <f t="array" ref="C705">IFERROR(INDEX(atlas!H:H,MATCH(A705,atlas!C:C,0)),"")</f>
        <v/>
      </c>
      <c r="D705" s="8" t="str">
        <f t="array" ref="D705">IFERROR(INDEX(atlas!D:D,MATCH(A705,atlas!C:C,0)),"")</f>
        <v/>
      </c>
      <c r="E705" s="8" t="str">
        <f t="array" ref="E705">IFERROR(INDEX(atlas!F:F,MATCH(A705,atlas!C:C,0)),"")</f>
        <v/>
      </c>
      <c r="F705" s="9"/>
      <c r="G705" s="10"/>
      <c r="H705" s="11"/>
      <c r="I705" s="12" t="str">
        <f t="array" ref="I705">IFERROR(INDEX(atlas!B:B,MATCH(A705,atlas!C:C,0)),"")</f>
        <v/>
      </c>
      <c r="J705" s="8" t="str">
        <f>IFERROR(VLOOKUP(F705,tecnica!A:B,2,0),"")</f>
        <v/>
      </c>
      <c r="K705" s="8" t="str">
        <f>IFERROR(VLOOKUP(J705,tecnica!B:C,2,0),"")</f>
        <v/>
      </c>
      <c r="L705" s="13"/>
      <c r="M705" s="14" t="str">
        <f>IFERROR(VLOOKUP(I705,material!A:D,4,0),"")</f>
        <v/>
      </c>
      <c r="N705" s="14" t="str">
        <f t="shared" si="1"/>
        <v/>
      </c>
      <c r="O705" s="15" t="str">
        <f>IFERROR(VLOOKUP(I705,material!A:D,2,0),"")</f>
        <v/>
      </c>
    </row>
    <row r="706">
      <c r="A706" s="6"/>
      <c r="B706" s="7"/>
      <c r="C706" s="8" t="str">
        <f t="array" ref="C706">IFERROR(INDEX(atlas!H:H,MATCH(A706,atlas!C:C,0)),"")</f>
        <v/>
      </c>
      <c r="D706" s="8" t="str">
        <f t="array" ref="D706">IFERROR(INDEX(atlas!D:D,MATCH(A706,atlas!C:C,0)),"")</f>
        <v/>
      </c>
      <c r="E706" s="8" t="str">
        <f t="array" ref="E706">IFERROR(INDEX(atlas!F:F,MATCH(A706,atlas!C:C,0)),"")</f>
        <v/>
      </c>
      <c r="F706" s="9"/>
      <c r="G706" s="10"/>
      <c r="H706" s="11"/>
      <c r="I706" s="12" t="str">
        <f t="array" ref="I706">IFERROR(INDEX(atlas!B:B,MATCH(A706,atlas!C:C,0)),"")</f>
        <v/>
      </c>
      <c r="J706" s="8" t="str">
        <f>IFERROR(VLOOKUP(F706,tecnica!A:B,2,0),"")</f>
        <v/>
      </c>
      <c r="K706" s="8" t="str">
        <f>IFERROR(VLOOKUP(J706,tecnica!B:C,2,0),"")</f>
        <v/>
      </c>
      <c r="L706" s="13"/>
      <c r="M706" s="14" t="str">
        <f>IFERROR(VLOOKUP(I706,material!A:D,4,0),"")</f>
        <v/>
      </c>
      <c r="N706" s="14" t="str">
        <f t="shared" si="1"/>
        <v/>
      </c>
      <c r="O706" s="15" t="str">
        <f>IFERROR(VLOOKUP(I706,material!A:D,2,0),"")</f>
        <v/>
      </c>
    </row>
    <row r="707">
      <c r="A707" s="6"/>
      <c r="B707" s="7"/>
      <c r="C707" s="8" t="str">
        <f t="array" ref="C707">IFERROR(INDEX(atlas!H:H,MATCH(A707,atlas!C:C,0)),"")</f>
        <v/>
      </c>
      <c r="D707" s="8" t="str">
        <f t="array" ref="D707">IFERROR(INDEX(atlas!D:D,MATCH(A707,atlas!C:C,0)),"")</f>
        <v/>
      </c>
      <c r="E707" s="8" t="str">
        <f t="array" ref="E707">IFERROR(INDEX(atlas!F:F,MATCH(A707,atlas!C:C,0)),"")</f>
        <v/>
      </c>
      <c r="F707" s="9"/>
      <c r="G707" s="10"/>
      <c r="H707" s="11"/>
      <c r="I707" s="12" t="str">
        <f t="array" ref="I707">IFERROR(INDEX(atlas!B:B,MATCH(A707,atlas!C:C,0)),"")</f>
        <v/>
      </c>
      <c r="J707" s="8" t="str">
        <f>IFERROR(VLOOKUP(F707,tecnica!A:B,2,0),"")</f>
        <v/>
      </c>
      <c r="K707" s="8" t="str">
        <f>IFERROR(VLOOKUP(J707,tecnica!B:C,2,0),"")</f>
        <v/>
      </c>
      <c r="L707" s="13"/>
      <c r="M707" s="14" t="str">
        <f>IFERROR(VLOOKUP(I707,material!A:D,4,0),"")</f>
        <v/>
      </c>
      <c r="N707" s="14" t="str">
        <f t="shared" si="1"/>
        <v/>
      </c>
      <c r="O707" s="15" t="str">
        <f>IFERROR(VLOOKUP(I707,material!A:D,2,0),"")</f>
        <v/>
      </c>
    </row>
    <row r="708">
      <c r="A708" s="6"/>
      <c r="B708" s="7"/>
      <c r="C708" s="8" t="str">
        <f t="array" ref="C708">IFERROR(INDEX(atlas!H:H,MATCH(A708,atlas!C:C,0)),"")</f>
        <v/>
      </c>
      <c r="D708" s="8" t="str">
        <f t="array" ref="D708">IFERROR(INDEX(atlas!D:D,MATCH(A708,atlas!C:C,0)),"")</f>
        <v/>
      </c>
      <c r="E708" s="8" t="str">
        <f t="array" ref="E708">IFERROR(INDEX(atlas!F:F,MATCH(A708,atlas!C:C,0)),"")</f>
        <v/>
      </c>
      <c r="F708" s="9"/>
      <c r="G708" s="10"/>
      <c r="H708" s="11"/>
      <c r="I708" s="12" t="str">
        <f t="array" ref="I708">IFERROR(INDEX(atlas!B:B,MATCH(A708,atlas!C:C,0)),"")</f>
        <v/>
      </c>
      <c r="J708" s="8" t="str">
        <f>IFERROR(VLOOKUP(F708,tecnica!A:B,2,0),"")</f>
        <v/>
      </c>
      <c r="K708" s="8" t="str">
        <f>IFERROR(VLOOKUP(J708,tecnica!B:C,2,0),"")</f>
        <v/>
      </c>
      <c r="L708" s="13"/>
      <c r="M708" s="14" t="str">
        <f>IFERROR(VLOOKUP(I708,material!A:D,4,0),"")</f>
        <v/>
      </c>
      <c r="N708" s="14" t="str">
        <f t="shared" si="1"/>
        <v/>
      </c>
      <c r="O708" s="15" t="str">
        <f>IFERROR(VLOOKUP(I708,material!A:D,2,0),"")</f>
        <v/>
      </c>
    </row>
    <row r="709">
      <c r="A709" s="6"/>
      <c r="B709" s="7"/>
      <c r="C709" s="8" t="str">
        <f t="array" ref="C709">IFERROR(INDEX(atlas!H:H,MATCH(A709,atlas!C:C,0)),"")</f>
        <v/>
      </c>
      <c r="D709" s="8" t="str">
        <f t="array" ref="D709">IFERROR(INDEX(atlas!D:D,MATCH(A709,atlas!C:C,0)),"")</f>
        <v/>
      </c>
      <c r="E709" s="8" t="str">
        <f t="array" ref="E709">IFERROR(INDEX(atlas!F:F,MATCH(A709,atlas!C:C,0)),"")</f>
        <v/>
      </c>
      <c r="F709" s="9"/>
      <c r="G709" s="10"/>
      <c r="H709" s="11"/>
      <c r="I709" s="12" t="str">
        <f t="array" ref="I709">IFERROR(INDEX(atlas!B:B,MATCH(A709,atlas!C:C,0)),"")</f>
        <v/>
      </c>
      <c r="J709" s="8" t="str">
        <f>IFERROR(VLOOKUP(F709,tecnica!A:B,2,0),"")</f>
        <v/>
      </c>
      <c r="K709" s="8" t="str">
        <f>IFERROR(VLOOKUP(J709,tecnica!B:C,2,0),"")</f>
        <v/>
      </c>
      <c r="L709" s="13"/>
      <c r="M709" s="14" t="str">
        <f>IFERROR(VLOOKUP(I709,material!A:D,4,0),"")</f>
        <v/>
      </c>
      <c r="N709" s="14" t="str">
        <f t="shared" si="1"/>
        <v/>
      </c>
      <c r="O709" s="15" t="str">
        <f>IFERROR(VLOOKUP(I709,material!A:D,2,0),"")</f>
        <v/>
      </c>
    </row>
    <row r="710">
      <c r="A710" s="6"/>
      <c r="B710" s="7"/>
      <c r="C710" s="8" t="str">
        <f t="array" ref="C710">IFERROR(INDEX(atlas!H:H,MATCH(A710,atlas!C:C,0)),"")</f>
        <v/>
      </c>
      <c r="D710" s="8" t="str">
        <f t="array" ref="D710">IFERROR(INDEX(atlas!D:D,MATCH(A710,atlas!C:C,0)),"")</f>
        <v/>
      </c>
      <c r="E710" s="8" t="str">
        <f t="array" ref="E710">IFERROR(INDEX(atlas!F:F,MATCH(A710,atlas!C:C,0)),"")</f>
        <v/>
      </c>
      <c r="F710" s="9"/>
      <c r="G710" s="10"/>
      <c r="H710" s="11"/>
      <c r="I710" s="12" t="str">
        <f t="array" ref="I710">IFERROR(INDEX(atlas!B:B,MATCH(A710,atlas!C:C,0)),"")</f>
        <v/>
      </c>
      <c r="J710" s="8" t="str">
        <f>IFERROR(VLOOKUP(F710,tecnica!A:B,2,0),"")</f>
        <v/>
      </c>
      <c r="K710" s="8" t="str">
        <f>IFERROR(VLOOKUP(J710,tecnica!B:C,2,0),"")</f>
        <v/>
      </c>
      <c r="L710" s="13"/>
      <c r="M710" s="14" t="str">
        <f>IFERROR(VLOOKUP(I710,material!A:D,4,0),"")</f>
        <v/>
      </c>
      <c r="N710" s="14" t="str">
        <f t="shared" si="1"/>
        <v/>
      </c>
      <c r="O710" s="15" t="str">
        <f>IFERROR(VLOOKUP(I710,material!A:D,2,0),"")</f>
        <v/>
      </c>
    </row>
    <row r="711">
      <c r="A711" s="6"/>
      <c r="B711" s="7"/>
      <c r="C711" s="8" t="str">
        <f t="array" ref="C711">IFERROR(INDEX(atlas!H:H,MATCH(A711,atlas!C:C,0)),"")</f>
        <v/>
      </c>
      <c r="D711" s="8" t="str">
        <f t="array" ref="D711">IFERROR(INDEX(atlas!D:D,MATCH(A711,atlas!C:C,0)),"")</f>
        <v/>
      </c>
      <c r="E711" s="8" t="str">
        <f t="array" ref="E711">IFERROR(INDEX(atlas!F:F,MATCH(A711,atlas!C:C,0)),"")</f>
        <v/>
      </c>
      <c r="F711" s="9"/>
      <c r="G711" s="10"/>
      <c r="H711" s="11"/>
      <c r="I711" s="12" t="str">
        <f t="array" ref="I711">IFERROR(INDEX(atlas!B:B,MATCH(A711,atlas!C:C,0)),"")</f>
        <v/>
      </c>
      <c r="J711" s="8" t="str">
        <f>IFERROR(VLOOKUP(F711,tecnica!A:B,2,0),"")</f>
        <v/>
      </c>
      <c r="K711" s="8" t="str">
        <f>IFERROR(VLOOKUP(J711,tecnica!B:C,2,0),"")</f>
        <v/>
      </c>
      <c r="L711" s="13"/>
      <c r="M711" s="14" t="str">
        <f>IFERROR(VLOOKUP(I711,material!A:D,4,0),"")</f>
        <v/>
      </c>
      <c r="N711" s="14" t="str">
        <f t="shared" si="1"/>
        <v/>
      </c>
      <c r="O711" s="15" t="str">
        <f>IFERROR(VLOOKUP(I711,material!A:D,2,0),"")</f>
        <v/>
      </c>
    </row>
    <row r="712">
      <c r="A712" s="6"/>
      <c r="B712" s="7"/>
      <c r="C712" s="8" t="str">
        <f t="array" ref="C712">IFERROR(INDEX(atlas!H:H,MATCH(A712,atlas!C:C,0)),"")</f>
        <v/>
      </c>
      <c r="D712" s="8" t="str">
        <f t="array" ref="D712">IFERROR(INDEX(atlas!D:D,MATCH(A712,atlas!C:C,0)),"")</f>
        <v/>
      </c>
      <c r="E712" s="8" t="str">
        <f t="array" ref="E712">IFERROR(INDEX(atlas!F:F,MATCH(A712,atlas!C:C,0)),"")</f>
        <v/>
      </c>
      <c r="F712" s="9"/>
      <c r="G712" s="10"/>
      <c r="H712" s="11"/>
      <c r="I712" s="12" t="str">
        <f t="array" ref="I712">IFERROR(INDEX(atlas!B:B,MATCH(A712,atlas!C:C,0)),"")</f>
        <v/>
      </c>
      <c r="J712" s="8" t="str">
        <f>IFERROR(VLOOKUP(F712,tecnica!A:B,2,0),"")</f>
        <v/>
      </c>
      <c r="K712" s="8" t="str">
        <f>IFERROR(VLOOKUP(J712,tecnica!B:C,2,0),"")</f>
        <v/>
      </c>
      <c r="L712" s="13"/>
      <c r="M712" s="14" t="str">
        <f>IFERROR(VLOOKUP(I712,material!A:D,4,0),"")</f>
        <v/>
      </c>
      <c r="N712" s="14" t="str">
        <f t="shared" si="1"/>
        <v/>
      </c>
      <c r="O712" s="15" t="str">
        <f>IFERROR(VLOOKUP(I712,material!A:D,2,0),"")</f>
        <v/>
      </c>
    </row>
    <row r="713">
      <c r="A713" s="6"/>
      <c r="B713" s="7"/>
      <c r="C713" s="8" t="str">
        <f t="array" ref="C713">IFERROR(INDEX(atlas!H:H,MATCH(A713,atlas!C:C,0)),"")</f>
        <v/>
      </c>
      <c r="D713" s="8" t="str">
        <f t="array" ref="D713">IFERROR(INDEX(atlas!D:D,MATCH(A713,atlas!C:C,0)),"")</f>
        <v/>
      </c>
      <c r="E713" s="8" t="str">
        <f t="array" ref="E713">IFERROR(INDEX(atlas!F:F,MATCH(A713,atlas!C:C,0)),"")</f>
        <v/>
      </c>
      <c r="F713" s="9"/>
      <c r="G713" s="10"/>
      <c r="H713" s="11"/>
      <c r="I713" s="12" t="str">
        <f t="array" ref="I713">IFERROR(INDEX(atlas!B:B,MATCH(A713,atlas!C:C,0)),"")</f>
        <v/>
      </c>
      <c r="J713" s="8" t="str">
        <f>IFERROR(VLOOKUP(F713,tecnica!A:B,2,0),"")</f>
        <v/>
      </c>
      <c r="K713" s="8" t="str">
        <f>IFERROR(VLOOKUP(J713,tecnica!B:C,2,0),"")</f>
        <v/>
      </c>
      <c r="L713" s="13"/>
      <c r="M713" s="14" t="str">
        <f>IFERROR(VLOOKUP(I713,material!A:D,4,0),"")</f>
        <v/>
      </c>
      <c r="N713" s="14" t="str">
        <f t="shared" si="1"/>
        <v/>
      </c>
      <c r="O713" s="15" t="str">
        <f>IFERROR(VLOOKUP(I713,material!A:D,2,0),"")</f>
        <v/>
      </c>
    </row>
    <row r="714">
      <c r="A714" s="6"/>
      <c r="B714" s="7"/>
      <c r="C714" s="8" t="str">
        <f t="array" ref="C714">IFERROR(INDEX(atlas!H:H,MATCH(A714,atlas!C:C,0)),"")</f>
        <v/>
      </c>
      <c r="D714" s="8" t="str">
        <f t="array" ref="D714">IFERROR(INDEX(atlas!D:D,MATCH(A714,atlas!C:C,0)),"")</f>
        <v/>
      </c>
      <c r="E714" s="8" t="str">
        <f t="array" ref="E714">IFERROR(INDEX(atlas!F:F,MATCH(A714,atlas!C:C,0)),"")</f>
        <v/>
      </c>
      <c r="F714" s="9"/>
      <c r="G714" s="10"/>
      <c r="H714" s="11"/>
      <c r="I714" s="12" t="str">
        <f t="array" ref="I714">IFERROR(INDEX(atlas!B:B,MATCH(A714,atlas!C:C,0)),"")</f>
        <v/>
      </c>
      <c r="J714" s="8" t="str">
        <f>IFERROR(VLOOKUP(F714,tecnica!A:B,2,0),"")</f>
        <v/>
      </c>
      <c r="K714" s="8" t="str">
        <f>IFERROR(VLOOKUP(J714,tecnica!B:C,2,0),"")</f>
        <v/>
      </c>
      <c r="L714" s="13"/>
      <c r="M714" s="14" t="str">
        <f>IFERROR(VLOOKUP(I714,material!A:D,4,0),"")</f>
        <v/>
      </c>
      <c r="N714" s="14" t="str">
        <f t="shared" si="1"/>
        <v/>
      </c>
      <c r="O714" s="15" t="str">
        <f>IFERROR(VLOOKUP(I714,material!A:D,2,0),"")</f>
        <v/>
      </c>
    </row>
    <row r="715">
      <c r="A715" s="6"/>
      <c r="B715" s="7"/>
      <c r="C715" s="8" t="str">
        <f t="array" ref="C715">IFERROR(INDEX(atlas!H:H,MATCH(A715,atlas!C:C,0)),"")</f>
        <v/>
      </c>
      <c r="D715" s="8" t="str">
        <f t="array" ref="D715">IFERROR(INDEX(atlas!D:D,MATCH(A715,atlas!C:C,0)),"")</f>
        <v/>
      </c>
      <c r="E715" s="8" t="str">
        <f t="array" ref="E715">IFERROR(INDEX(atlas!F:F,MATCH(A715,atlas!C:C,0)),"")</f>
        <v/>
      </c>
      <c r="F715" s="9"/>
      <c r="G715" s="10"/>
      <c r="H715" s="11"/>
      <c r="I715" s="12" t="str">
        <f t="array" ref="I715">IFERROR(INDEX(atlas!B:B,MATCH(A715,atlas!C:C,0)),"")</f>
        <v/>
      </c>
      <c r="J715" s="8" t="str">
        <f>IFERROR(VLOOKUP(F715,tecnica!A:B,2,0),"")</f>
        <v/>
      </c>
      <c r="K715" s="8" t="str">
        <f>IFERROR(VLOOKUP(J715,tecnica!B:C,2,0),"")</f>
        <v/>
      </c>
      <c r="L715" s="13"/>
      <c r="M715" s="14" t="str">
        <f>IFERROR(VLOOKUP(I715,material!A:D,4,0),"")</f>
        <v/>
      </c>
      <c r="N715" s="14" t="str">
        <f t="shared" si="1"/>
        <v/>
      </c>
      <c r="O715" s="15" t="str">
        <f>IFERROR(VLOOKUP(I715,material!A:D,2,0),"")</f>
        <v/>
      </c>
    </row>
    <row r="716">
      <c r="A716" s="6"/>
      <c r="B716" s="7"/>
      <c r="C716" s="8" t="str">
        <f t="array" ref="C716">IFERROR(INDEX(atlas!H:H,MATCH(A716,atlas!C:C,0)),"")</f>
        <v/>
      </c>
      <c r="D716" s="8" t="str">
        <f t="array" ref="D716">IFERROR(INDEX(atlas!D:D,MATCH(A716,atlas!C:C,0)),"")</f>
        <v/>
      </c>
      <c r="E716" s="8" t="str">
        <f t="array" ref="E716">IFERROR(INDEX(atlas!F:F,MATCH(A716,atlas!C:C,0)),"")</f>
        <v/>
      </c>
      <c r="F716" s="9"/>
      <c r="G716" s="10"/>
      <c r="H716" s="11"/>
      <c r="I716" s="12" t="str">
        <f t="array" ref="I716">IFERROR(INDEX(atlas!B:B,MATCH(A716,atlas!C:C,0)),"")</f>
        <v/>
      </c>
      <c r="J716" s="8" t="str">
        <f>IFERROR(VLOOKUP(F716,tecnica!A:B,2,0),"")</f>
        <v/>
      </c>
      <c r="K716" s="8" t="str">
        <f>IFERROR(VLOOKUP(J716,tecnica!B:C,2,0),"")</f>
        <v/>
      </c>
      <c r="L716" s="13"/>
      <c r="M716" s="14" t="str">
        <f>IFERROR(VLOOKUP(I716,material!A:D,4,0),"")</f>
        <v/>
      </c>
      <c r="N716" s="14" t="str">
        <f t="shared" si="1"/>
        <v/>
      </c>
      <c r="O716" s="15" t="str">
        <f>IFERROR(VLOOKUP(I716,material!A:D,2,0),"")</f>
        <v/>
      </c>
    </row>
    <row r="717">
      <c r="A717" s="6"/>
      <c r="B717" s="7"/>
      <c r="C717" s="8" t="str">
        <f t="array" ref="C717">IFERROR(INDEX(atlas!H:H,MATCH(A717,atlas!C:C,0)),"")</f>
        <v/>
      </c>
      <c r="D717" s="8" t="str">
        <f t="array" ref="D717">IFERROR(INDEX(atlas!D:D,MATCH(A717,atlas!C:C,0)),"")</f>
        <v/>
      </c>
      <c r="E717" s="8" t="str">
        <f t="array" ref="E717">IFERROR(INDEX(atlas!F:F,MATCH(A717,atlas!C:C,0)),"")</f>
        <v/>
      </c>
      <c r="F717" s="9"/>
      <c r="G717" s="10"/>
      <c r="H717" s="11"/>
      <c r="I717" s="12" t="str">
        <f t="array" ref="I717">IFERROR(INDEX(atlas!B:B,MATCH(A717,atlas!C:C,0)),"")</f>
        <v/>
      </c>
      <c r="J717" s="8" t="str">
        <f>IFERROR(VLOOKUP(F717,tecnica!A:B,2,0),"")</f>
        <v/>
      </c>
      <c r="K717" s="8" t="str">
        <f>IFERROR(VLOOKUP(J717,tecnica!B:C,2,0),"")</f>
        <v/>
      </c>
      <c r="L717" s="13"/>
      <c r="M717" s="14" t="str">
        <f>IFERROR(VLOOKUP(I717,material!A:D,4,0),"")</f>
        <v/>
      </c>
      <c r="N717" s="14" t="str">
        <f t="shared" si="1"/>
        <v/>
      </c>
      <c r="O717" s="15" t="str">
        <f>IFERROR(VLOOKUP(I717,material!A:D,2,0),"")</f>
        <v/>
      </c>
    </row>
    <row r="718">
      <c r="A718" s="6"/>
      <c r="B718" s="7"/>
      <c r="C718" s="8" t="str">
        <f t="array" ref="C718">IFERROR(INDEX(atlas!H:H,MATCH(A718,atlas!C:C,0)),"")</f>
        <v/>
      </c>
      <c r="D718" s="8" t="str">
        <f t="array" ref="D718">IFERROR(INDEX(atlas!D:D,MATCH(A718,atlas!C:C,0)),"")</f>
        <v/>
      </c>
      <c r="E718" s="8" t="str">
        <f t="array" ref="E718">IFERROR(INDEX(atlas!F:F,MATCH(A718,atlas!C:C,0)),"")</f>
        <v/>
      </c>
      <c r="F718" s="9"/>
      <c r="G718" s="10"/>
      <c r="H718" s="11"/>
      <c r="I718" s="12" t="str">
        <f t="array" ref="I718">IFERROR(INDEX(atlas!B:B,MATCH(A718,atlas!C:C,0)),"")</f>
        <v/>
      </c>
      <c r="J718" s="8" t="str">
        <f>IFERROR(VLOOKUP(F718,tecnica!A:B,2,0),"")</f>
        <v/>
      </c>
      <c r="K718" s="8" t="str">
        <f>IFERROR(VLOOKUP(J718,tecnica!B:C,2,0),"")</f>
        <v/>
      </c>
      <c r="L718" s="13"/>
      <c r="M718" s="14" t="str">
        <f>IFERROR(VLOOKUP(I718,material!A:D,4,0),"")</f>
        <v/>
      </c>
      <c r="N718" s="14" t="str">
        <f t="shared" si="1"/>
        <v/>
      </c>
      <c r="O718" s="15" t="str">
        <f>IFERROR(VLOOKUP(I718,material!A:D,2,0),"")</f>
        <v/>
      </c>
    </row>
    <row r="719">
      <c r="A719" s="6"/>
      <c r="B719" s="7"/>
      <c r="C719" s="8" t="str">
        <f t="array" ref="C719">IFERROR(INDEX(atlas!H:H,MATCH(A719,atlas!C:C,0)),"")</f>
        <v/>
      </c>
      <c r="D719" s="8" t="str">
        <f t="array" ref="D719">IFERROR(INDEX(atlas!D:D,MATCH(A719,atlas!C:C,0)),"")</f>
        <v/>
      </c>
      <c r="E719" s="8" t="str">
        <f t="array" ref="E719">IFERROR(INDEX(atlas!F:F,MATCH(A719,atlas!C:C,0)),"")</f>
        <v/>
      </c>
      <c r="F719" s="9"/>
      <c r="G719" s="10"/>
      <c r="H719" s="11"/>
      <c r="I719" s="12" t="str">
        <f t="array" ref="I719">IFERROR(INDEX(atlas!B:B,MATCH(A719,atlas!C:C,0)),"")</f>
        <v/>
      </c>
      <c r="J719" s="8" t="str">
        <f>IFERROR(VLOOKUP(F719,tecnica!A:B,2,0),"")</f>
        <v/>
      </c>
      <c r="K719" s="8" t="str">
        <f>IFERROR(VLOOKUP(J719,tecnica!B:C,2,0),"")</f>
        <v/>
      </c>
      <c r="L719" s="13"/>
      <c r="M719" s="14" t="str">
        <f>IFERROR(VLOOKUP(I719,material!A:D,4,0),"")</f>
        <v/>
      </c>
      <c r="N719" s="14" t="str">
        <f t="shared" si="1"/>
        <v/>
      </c>
      <c r="O719" s="15" t="str">
        <f>IFERROR(VLOOKUP(I719,material!A:D,2,0),"")</f>
        <v/>
      </c>
    </row>
    <row r="720">
      <c r="A720" s="6"/>
      <c r="B720" s="7"/>
      <c r="C720" s="8" t="str">
        <f t="array" ref="C720">IFERROR(INDEX(atlas!H:H,MATCH(A720,atlas!C:C,0)),"")</f>
        <v/>
      </c>
      <c r="D720" s="8" t="str">
        <f t="array" ref="D720">IFERROR(INDEX(atlas!D:D,MATCH(A720,atlas!C:C,0)),"")</f>
        <v/>
      </c>
      <c r="E720" s="8" t="str">
        <f t="array" ref="E720">IFERROR(INDEX(atlas!F:F,MATCH(A720,atlas!C:C,0)),"")</f>
        <v/>
      </c>
      <c r="F720" s="9"/>
      <c r="G720" s="10"/>
      <c r="H720" s="11"/>
      <c r="I720" s="12" t="str">
        <f t="array" ref="I720">IFERROR(INDEX(atlas!B:B,MATCH(A720,atlas!C:C,0)),"")</f>
        <v/>
      </c>
      <c r="J720" s="8" t="str">
        <f>IFERROR(VLOOKUP(F720,tecnica!A:B,2,0),"")</f>
        <v/>
      </c>
      <c r="K720" s="8" t="str">
        <f>IFERROR(VLOOKUP(J720,tecnica!B:C,2,0),"")</f>
        <v/>
      </c>
      <c r="L720" s="13"/>
      <c r="M720" s="14" t="str">
        <f>IFERROR(VLOOKUP(I720,material!A:D,4,0),"")</f>
        <v/>
      </c>
      <c r="N720" s="14" t="str">
        <f t="shared" si="1"/>
        <v/>
      </c>
      <c r="O720" s="15" t="str">
        <f>IFERROR(VLOOKUP(I720,material!A:D,2,0),"")</f>
        <v/>
      </c>
    </row>
    <row r="721">
      <c r="A721" s="6"/>
      <c r="B721" s="7"/>
      <c r="C721" s="8" t="str">
        <f t="array" ref="C721">IFERROR(INDEX(atlas!H:H,MATCH(A721,atlas!C:C,0)),"")</f>
        <v/>
      </c>
      <c r="D721" s="8" t="str">
        <f t="array" ref="D721">IFERROR(INDEX(atlas!D:D,MATCH(A721,atlas!C:C,0)),"")</f>
        <v/>
      </c>
      <c r="E721" s="8" t="str">
        <f t="array" ref="E721">IFERROR(INDEX(atlas!F:F,MATCH(A721,atlas!C:C,0)),"")</f>
        <v/>
      </c>
      <c r="F721" s="9"/>
      <c r="G721" s="10"/>
      <c r="H721" s="11"/>
      <c r="I721" s="12" t="str">
        <f t="array" ref="I721">IFERROR(INDEX(atlas!B:B,MATCH(A721,atlas!C:C,0)),"")</f>
        <v/>
      </c>
      <c r="J721" s="8" t="str">
        <f>IFERROR(VLOOKUP(F721,tecnica!A:B,2,0),"")</f>
        <v/>
      </c>
      <c r="K721" s="8" t="str">
        <f>IFERROR(VLOOKUP(J721,tecnica!B:C,2,0),"")</f>
        <v/>
      </c>
      <c r="L721" s="13"/>
      <c r="M721" s="14" t="str">
        <f>IFERROR(VLOOKUP(I721,material!A:D,4,0),"")</f>
        <v/>
      </c>
      <c r="N721" s="14" t="str">
        <f t="shared" si="1"/>
        <v/>
      </c>
      <c r="O721" s="15" t="str">
        <f>IFERROR(VLOOKUP(I721,material!A:D,2,0),"")</f>
        <v/>
      </c>
    </row>
    <row r="722">
      <c r="A722" s="6"/>
      <c r="B722" s="7"/>
      <c r="C722" s="8" t="str">
        <f t="array" ref="C722">IFERROR(INDEX(atlas!H:H,MATCH(A722,atlas!C:C,0)),"")</f>
        <v/>
      </c>
      <c r="D722" s="8" t="str">
        <f t="array" ref="D722">IFERROR(INDEX(atlas!D:D,MATCH(A722,atlas!C:C,0)),"")</f>
        <v/>
      </c>
      <c r="E722" s="8" t="str">
        <f t="array" ref="E722">IFERROR(INDEX(atlas!F:F,MATCH(A722,atlas!C:C,0)),"")</f>
        <v/>
      </c>
      <c r="F722" s="9"/>
      <c r="G722" s="10"/>
      <c r="H722" s="11"/>
      <c r="I722" s="12" t="str">
        <f t="array" ref="I722">IFERROR(INDEX(atlas!B:B,MATCH(A722,atlas!C:C,0)),"")</f>
        <v/>
      </c>
      <c r="J722" s="8" t="str">
        <f>IFERROR(VLOOKUP(F722,tecnica!A:B,2,0),"")</f>
        <v/>
      </c>
      <c r="K722" s="8" t="str">
        <f>IFERROR(VLOOKUP(J722,tecnica!B:C,2,0),"")</f>
        <v/>
      </c>
      <c r="L722" s="13"/>
      <c r="M722" s="14" t="str">
        <f>IFERROR(VLOOKUP(I722,material!A:D,4,0),"")</f>
        <v/>
      </c>
      <c r="N722" s="14" t="str">
        <f t="shared" si="1"/>
        <v/>
      </c>
      <c r="O722" s="15" t="str">
        <f>IFERROR(VLOOKUP(I722,material!A:D,2,0),"")</f>
        <v/>
      </c>
    </row>
    <row r="723">
      <c r="A723" s="6"/>
      <c r="B723" s="7"/>
      <c r="C723" s="8" t="str">
        <f t="array" ref="C723">IFERROR(INDEX(atlas!H:H,MATCH(A723,atlas!C:C,0)),"")</f>
        <v/>
      </c>
      <c r="D723" s="8" t="str">
        <f t="array" ref="D723">IFERROR(INDEX(atlas!D:D,MATCH(A723,atlas!C:C,0)),"")</f>
        <v/>
      </c>
      <c r="E723" s="8" t="str">
        <f t="array" ref="E723">IFERROR(INDEX(atlas!F:F,MATCH(A723,atlas!C:C,0)),"")</f>
        <v/>
      </c>
      <c r="F723" s="9"/>
      <c r="G723" s="10"/>
      <c r="H723" s="11"/>
      <c r="I723" s="12" t="str">
        <f t="array" ref="I723">IFERROR(INDEX(atlas!B:B,MATCH(A723,atlas!C:C,0)),"")</f>
        <v/>
      </c>
      <c r="J723" s="8" t="str">
        <f>IFERROR(VLOOKUP(F723,tecnica!A:B,2,0),"")</f>
        <v/>
      </c>
      <c r="K723" s="8" t="str">
        <f>IFERROR(VLOOKUP(J723,tecnica!B:C,2,0),"")</f>
        <v/>
      </c>
      <c r="L723" s="13"/>
      <c r="M723" s="14" t="str">
        <f>IFERROR(VLOOKUP(I723,material!A:D,4,0),"")</f>
        <v/>
      </c>
      <c r="N723" s="14" t="str">
        <f t="shared" si="1"/>
        <v/>
      </c>
      <c r="O723" s="15" t="str">
        <f>IFERROR(VLOOKUP(I723,material!A:D,2,0),"")</f>
        <v/>
      </c>
    </row>
    <row r="724">
      <c r="A724" s="6"/>
      <c r="B724" s="7"/>
      <c r="C724" s="8" t="str">
        <f t="array" ref="C724">IFERROR(INDEX(atlas!H:H,MATCH(A724,atlas!C:C,0)),"")</f>
        <v/>
      </c>
      <c r="D724" s="8" t="str">
        <f t="array" ref="D724">IFERROR(INDEX(atlas!D:D,MATCH(A724,atlas!C:C,0)),"")</f>
        <v/>
      </c>
      <c r="E724" s="8" t="str">
        <f t="array" ref="E724">IFERROR(INDEX(atlas!F:F,MATCH(A724,atlas!C:C,0)),"")</f>
        <v/>
      </c>
      <c r="F724" s="9"/>
      <c r="G724" s="10"/>
      <c r="H724" s="11"/>
      <c r="I724" s="12" t="str">
        <f t="array" ref="I724">IFERROR(INDEX(atlas!B:B,MATCH(A724,atlas!C:C,0)),"")</f>
        <v/>
      </c>
      <c r="J724" s="8" t="str">
        <f>IFERROR(VLOOKUP(F724,tecnica!A:B,2,0),"")</f>
        <v/>
      </c>
      <c r="K724" s="8" t="str">
        <f>IFERROR(VLOOKUP(J724,tecnica!B:C,2,0),"")</f>
        <v/>
      </c>
      <c r="L724" s="13"/>
      <c r="M724" s="14" t="str">
        <f>IFERROR(VLOOKUP(I724,material!A:D,4,0),"")</f>
        <v/>
      </c>
      <c r="N724" s="14" t="str">
        <f t="shared" si="1"/>
        <v/>
      </c>
      <c r="O724" s="15" t="str">
        <f>IFERROR(VLOOKUP(I724,material!A:D,2,0),"")</f>
        <v/>
      </c>
    </row>
    <row r="725">
      <c r="A725" s="6"/>
      <c r="B725" s="7"/>
      <c r="C725" s="8" t="str">
        <f t="array" ref="C725">IFERROR(INDEX(atlas!H:H,MATCH(A725,atlas!C:C,0)),"")</f>
        <v/>
      </c>
      <c r="D725" s="8" t="str">
        <f t="array" ref="D725">IFERROR(INDEX(atlas!D:D,MATCH(A725,atlas!C:C,0)),"")</f>
        <v/>
      </c>
      <c r="E725" s="8" t="str">
        <f t="array" ref="E725">IFERROR(INDEX(atlas!F:F,MATCH(A725,atlas!C:C,0)),"")</f>
        <v/>
      </c>
      <c r="F725" s="9"/>
      <c r="G725" s="10"/>
      <c r="H725" s="11"/>
      <c r="I725" s="12" t="str">
        <f t="array" ref="I725">IFERROR(INDEX(atlas!B:B,MATCH(A725,atlas!C:C,0)),"")</f>
        <v/>
      </c>
      <c r="J725" s="8" t="str">
        <f>IFERROR(VLOOKUP(F725,tecnica!A:B,2,0),"")</f>
        <v/>
      </c>
      <c r="K725" s="8" t="str">
        <f>IFERROR(VLOOKUP(J725,tecnica!B:C,2,0),"")</f>
        <v/>
      </c>
      <c r="L725" s="13"/>
      <c r="M725" s="14" t="str">
        <f>IFERROR(VLOOKUP(I725,material!A:D,4,0),"")</f>
        <v/>
      </c>
      <c r="N725" s="14" t="str">
        <f t="shared" si="1"/>
        <v/>
      </c>
      <c r="O725" s="15" t="str">
        <f>IFERROR(VLOOKUP(I725,material!A:D,2,0),"")</f>
        <v/>
      </c>
    </row>
    <row r="726">
      <c r="A726" s="6"/>
      <c r="B726" s="7"/>
      <c r="C726" s="8" t="str">
        <f t="array" ref="C726">IFERROR(INDEX(atlas!H:H,MATCH(A726,atlas!C:C,0)),"")</f>
        <v/>
      </c>
      <c r="D726" s="8" t="str">
        <f t="array" ref="D726">IFERROR(INDEX(atlas!D:D,MATCH(A726,atlas!C:C,0)),"")</f>
        <v/>
      </c>
      <c r="E726" s="8" t="str">
        <f t="array" ref="E726">IFERROR(INDEX(atlas!F:F,MATCH(A726,atlas!C:C,0)),"")</f>
        <v/>
      </c>
      <c r="F726" s="9"/>
      <c r="G726" s="10"/>
      <c r="H726" s="11"/>
      <c r="I726" s="12" t="str">
        <f t="array" ref="I726">IFERROR(INDEX(atlas!B:B,MATCH(A726,atlas!C:C,0)),"")</f>
        <v/>
      </c>
      <c r="J726" s="8" t="str">
        <f>IFERROR(VLOOKUP(F726,tecnica!A:B,2,0),"")</f>
        <v/>
      </c>
      <c r="K726" s="8" t="str">
        <f>IFERROR(VLOOKUP(J726,tecnica!B:C,2,0),"")</f>
        <v/>
      </c>
      <c r="L726" s="13"/>
      <c r="M726" s="14" t="str">
        <f>IFERROR(VLOOKUP(I726,material!A:D,4,0),"")</f>
        <v/>
      </c>
      <c r="N726" s="14" t="str">
        <f t="shared" si="1"/>
        <v/>
      </c>
      <c r="O726" s="15" t="str">
        <f>IFERROR(VLOOKUP(I726,material!A:D,2,0),"")</f>
        <v/>
      </c>
    </row>
    <row r="727">
      <c r="A727" s="6"/>
      <c r="B727" s="7"/>
      <c r="C727" s="8" t="str">
        <f t="array" ref="C727">IFERROR(INDEX(atlas!H:H,MATCH(A727,atlas!C:C,0)),"")</f>
        <v/>
      </c>
      <c r="D727" s="8" t="str">
        <f t="array" ref="D727">IFERROR(INDEX(atlas!D:D,MATCH(A727,atlas!C:C,0)),"")</f>
        <v/>
      </c>
      <c r="E727" s="8" t="str">
        <f t="array" ref="E727">IFERROR(INDEX(atlas!F:F,MATCH(A727,atlas!C:C,0)),"")</f>
        <v/>
      </c>
      <c r="F727" s="9"/>
      <c r="G727" s="10"/>
      <c r="H727" s="11"/>
      <c r="I727" s="12" t="str">
        <f t="array" ref="I727">IFERROR(INDEX(atlas!B:B,MATCH(A727,atlas!C:C,0)),"")</f>
        <v/>
      </c>
      <c r="J727" s="8" t="str">
        <f>IFERROR(VLOOKUP(F727,tecnica!A:B,2,0),"")</f>
        <v/>
      </c>
      <c r="K727" s="8" t="str">
        <f>IFERROR(VLOOKUP(J727,tecnica!B:C,2,0),"")</f>
        <v/>
      </c>
      <c r="L727" s="13"/>
      <c r="M727" s="14" t="str">
        <f>IFERROR(VLOOKUP(I727,material!A:D,4,0),"")</f>
        <v/>
      </c>
      <c r="N727" s="14" t="str">
        <f t="shared" si="1"/>
        <v/>
      </c>
      <c r="O727" s="15" t="str">
        <f>IFERROR(VLOOKUP(I727,material!A:D,2,0),"")</f>
        <v/>
      </c>
    </row>
    <row r="728">
      <c r="A728" s="6"/>
      <c r="B728" s="7"/>
      <c r="C728" s="8" t="str">
        <f t="array" ref="C728">IFERROR(INDEX(atlas!H:H,MATCH(A728,atlas!C:C,0)),"")</f>
        <v/>
      </c>
      <c r="D728" s="8" t="str">
        <f t="array" ref="D728">IFERROR(INDEX(atlas!D:D,MATCH(A728,atlas!C:C,0)),"")</f>
        <v/>
      </c>
      <c r="E728" s="8" t="str">
        <f t="array" ref="E728">IFERROR(INDEX(atlas!F:F,MATCH(A728,atlas!C:C,0)),"")</f>
        <v/>
      </c>
      <c r="F728" s="9"/>
      <c r="G728" s="10"/>
      <c r="H728" s="11"/>
      <c r="I728" s="12" t="str">
        <f t="array" ref="I728">IFERROR(INDEX(atlas!B:B,MATCH(A728,atlas!C:C,0)),"")</f>
        <v/>
      </c>
      <c r="J728" s="8" t="str">
        <f>IFERROR(VLOOKUP(F728,tecnica!A:B,2,0),"")</f>
        <v/>
      </c>
      <c r="K728" s="8" t="str">
        <f>IFERROR(VLOOKUP(J728,tecnica!B:C,2,0),"")</f>
        <v/>
      </c>
      <c r="L728" s="13"/>
      <c r="M728" s="14" t="str">
        <f>IFERROR(VLOOKUP(I728,material!A:D,4,0),"")</f>
        <v/>
      </c>
      <c r="N728" s="14" t="str">
        <f t="shared" si="1"/>
        <v/>
      </c>
      <c r="O728" s="15" t="str">
        <f>IFERROR(VLOOKUP(I728,material!A:D,2,0),"")</f>
        <v/>
      </c>
    </row>
    <row r="729">
      <c r="A729" s="6"/>
      <c r="B729" s="7"/>
      <c r="C729" s="8" t="str">
        <f t="array" ref="C729">IFERROR(INDEX(atlas!H:H,MATCH(A729,atlas!C:C,0)),"")</f>
        <v/>
      </c>
      <c r="D729" s="8" t="str">
        <f t="array" ref="D729">IFERROR(INDEX(atlas!D:D,MATCH(A729,atlas!C:C,0)),"")</f>
        <v/>
      </c>
      <c r="E729" s="8" t="str">
        <f t="array" ref="E729">IFERROR(INDEX(atlas!F:F,MATCH(A729,atlas!C:C,0)),"")</f>
        <v/>
      </c>
      <c r="F729" s="9"/>
      <c r="G729" s="10"/>
      <c r="H729" s="11"/>
      <c r="I729" s="12" t="str">
        <f t="array" ref="I729">IFERROR(INDEX(atlas!B:B,MATCH(A729,atlas!C:C,0)),"")</f>
        <v/>
      </c>
      <c r="J729" s="8" t="str">
        <f>IFERROR(VLOOKUP(F729,tecnica!A:B,2,0),"")</f>
        <v/>
      </c>
      <c r="K729" s="8" t="str">
        <f>IFERROR(VLOOKUP(J729,tecnica!B:C,2,0),"")</f>
        <v/>
      </c>
      <c r="L729" s="13"/>
      <c r="M729" s="14" t="str">
        <f>IFERROR(VLOOKUP(I729,material!A:D,4,0),"")</f>
        <v/>
      </c>
      <c r="N729" s="14" t="str">
        <f t="shared" si="1"/>
        <v/>
      </c>
      <c r="O729" s="15" t="str">
        <f>IFERROR(VLOOKUP(I729,material!A:D,2,0),"")</f>
        <v/>
      </c>
    </row>
    <row r="730">
      <c r="A730" s="6"/>
      <c r="B730" s="7"/>
      <c r="C730" s="8" t="str">
        <f t="array" ref="C730">IFERROR(INDEX(atlas!H:H,MATCH(A730,atlas!C:C,0)),"")</f>
        <v/>
      </c>
      <c r="D730" s="8" t="str">
        <f t="array" ref="D730">IFERROR(INDEX(atlas!D:D,MATCH(A730,atlas!C:C,0)),"")</f>
        <v/>
      </c>
      <c r="E730" s="8" t="str">
        <f t="array" ref="E730">IFERROR(INDEX(atlas!F:F,MATCH(A730,atlas!C:C,0)),"")</f>
        <v/>
      </c>
      <c r="F730" s="9"/>
      <c r="G730" s="10"/>
      <c r="H730" s="11"/>
      <c r="I730" s="12" t="str">
        <f t="array" ref="I730">IFERROR(INDEX(atlas!B:B,MATCH(A730,atlas!C:C,0)),"")</f>
        <v/>
      </c>
      <c r="J730" s="8" t="str">
        <f>IFERROR(VLOOKUP(F730,tecnica!A:B,2,0),"")</f>
        <v/>
      </c>
      <c r="K730" s="8" t="str">
        <f>IFERROR(VLOOKUP(J730,tecnica!B:C,2,0),"")</f>
        <v/>
      </c>
      <c r="L730" s="13"/>
      <c r="M730" s="14" t="str">
        <f>IFERROR(VLOOKUP(I730,material!A:D,4,0),"")</f>
        <v/>
      </c>
      <c r="N730" s="14" t="str">
        <f t="shared" si="1"/>
        <v/>
      </c>
      <c r="O730" s="15" t="str">
        <f>IFERROR(VLOOKUP(I730,material!A:D,2,0),"")</f>
        <v/>
      </c>
    </row>
    <row r="731">
      <c r="A731" s="6"/>
      <c r="B731" s="7"/>
      <c r="C731" s="8" t="str">
        <f t="array" ref="C731">IFERROR(INDEX(atlas!H:H,MATCH(A731,atlas!C:C,0)),"")</f>
        <v/>
      </c>
      <c r="D731" s="8" t="str">
        <f t="array" ref="D731">IFERROR(INDEX(atlas!D:D,MATCH(A731,atlas!C:C,0)),"")</f>
        <v/>
      </c>
      <c r="E731" s="8" t="str">
        <f t="array" ref="E731">IFERROR(INDEX(atlas!F:F,MATCH(A731,atlas!C:C,0)),"")</f>
        <v/>
      </c>
      <c r="F731" s="9"/>
      <c r="G731" s="10"/>
      <c r="H731" s="11"/>
      <c r="I731" s="12" t="str">
        <f t="array" ref="I731">IFERROR(INDEX(atlas!B:B,MATCH(A731,atlas!C:C,0)),"")</f>
        <v/>
      </c>
      <c r="J731" s="8" t="str">
        <f>IFERROR(VLOOKUP(F731,tecnica!A:B,2,0),"")</f>
        <v/>
      </c>
      <c r="K731" s="8" t="str">
        <f>IFERROR(VLOOKUP(J731,tecnica!B:C,2,0),"")</f>
        <v/>
      </c>
      <c r="L731" s="13"/>
      <c r="M731" s="14" t="str">
        <f>IFERROR(VLOOKUP(I731,material!A:D,4,0),"")</f>
        <v/>
      </c>
      <c r="N731" s="14" t="str">
        <f t="shared" si="1"/>
        <v/>
      </c>
      <c r="O731" s="15" t="str">
        <f>IFERROR(VLOOKUP(I731,material!A:D,2,0),"")</f>
        <v/>
      </c>
    </row>
    <row r="732">
      <c r="A732" s="6"/>
      <c r="B732" s="7"/>
      <c r="C732" s="8" t="str">
        <f t="array" ref="C732">IFERROR(INDEX(atlas!H:H,MATCH(A732,atlas!C:C,0)),"")</f>
        <v/>
      </c>
      <c r="D732" s="8" t="str">
        <f t="array" ref="D732">IFERROR(INDEX(atlas!D:D,MATCH(A732,atlas!C:C,0)),"")</f>
        <v/>
      </c>
      <c r="E732" s="8" t="str">
        <f t="array" ref="E732">IFERROR(INDEX(atlas!F:F,MATCH(A732,atlas!C:C,0)),"")</f>
        <v/>
      </c>
      <c r="F732" s="9"/>
      <c r="G732" s="10"/>
      <c r="H732" s="11"/>
      <c r="I732" s="12" t="str">
        <f t="array" ref="I732">IFERROR(INDEX(atlas!B:B,MATCH(A732,atlas!C:C,0)),"")</f>
        <v/>
      </c>
      <c r="J732" s="8" t="str">
        <f>IFERROR(VLOOKUP(F732,tecnica!A:B,2,0),"")</f>
        <v/>
      </c>
      <c r="K732" s="8" t="str">
        <f>IFERROR(VLOOKUP(J732,tecnica!B:C,2,0),"")</f>
        <v/>
      </c>
      <c r="L732" s="13"/>
      <c r="M732" s="14" t="str">
        <f>IFERROR(VLOOKUP(I732,material!A:D,4,0),"")</f>
        <v/>
      </c>
      <c r="N732" s="14" t="str">
        <f t="shared" si="1"/>
        <v/>
      </c>
      <c r="O732" s="15" t="str">
        <f>IFERROR(VLOOKUP(I732,material!A:D,2,0),"")</f>
        <v/>
      </c>
    </row>
    <row r="733">
      <c r="A733" s="6"/>
      <c r="B733" s="7"/>
      <c r="C733" s="8" t="str">
        <f t="array" ref="C733">IFERROR(INDEX(atlas!H:H,MATCH(A733,atlas!C:C,0)),"")</f>
        <v/>
      </c>
      <c r="D733" s="8" t="str">
        <f t="array" ref="D733">IFERROR(INDEX(atlas!D:D,MATCH(A733,atlas!C:C,0)),"")</f>
        <v/>
      </c>
      <c r="E733" s="8" t="str">
        <f t="array" ref="E733">IFERROR(INDEX(atlas!F:F,MATCH(A733,atlas!C:C,0)),"")</f>
        <v/>
      </c>
      <c r="F733" s="9"/>
      <c r="G733" s="10"/>
      <c r="H733" s="11"/>
      <c r="I733" s="12" t="str">
        <f t="array" ref="I733">IFERROR(INDEX(atlas!B:B,MATCH(A733,atlas!C:C,0)),"")</f>
        <v/>
      </c>
      <c r="J733" s="8" t="str">
        <f>IFERROR(VLOOKUP(F733,tecnica!A:B,2,0),"")</f>
        <v/>
      </c>
      <c r="K733" s="8" t="str">
        <f>IFERROR(VLOOKUP(J733,tecnica!B:C,2,0),"")</f>
        <v/>
      </c>
      <c r="L733" s="13"/>
      <c r="M733" s="14" t="str">
        <f>IFERROR(VLOOKUP(I733,material!A:D,4,0),"")</f>
        <v/>
      </c>
      <c r="N733" s="14" t="str">
        <f t="shared" si="1"/>
        <v/>
      </c>
      <c r="O733" s="15" t="str">
        <f>IFERROR(VLOOKUP(I733,material!A:D,2,0),"")</f>
        <v/>
      </c>
    </row>
    <row r="734">
      <c r="A734" s="6"/>
      <c r="B734" s="7"/>
      <c r="C734" s="8" t="str">
        <f t="array" ref="C734">IFERROR(INDEX(atlas!H:H,MATCH(A734,atlas!C:C,0)),"")</f>
        <v/>
      </c>
      <c r="D734" s="8" t="str">
        <f t="array" ref="D734">IFERROR(INDEX(atlas!D:D,MATCH(A734,atlas!C:C,0)),"")</f>
        <v/>
      </c>
      <c r="E734" s="8" t="str">
        <f t="array" ref="E734">IFERROR(INDEX(atlas!F:F,MATCH(A734,atlas!C:C,0)),"")</f>
        <v/>
      </c>
      <c r="F734" s="9"/>
      <c r="G734" s="10"/>
      <c r="H734" s="11"/>
      <c r="I734" s="12" t="str">
        <f t="array" ref="I734">IFERROR(INDEX(atlas!B:B,MATCH(A734,atlas!C:C,0)),"")</f>
        <v/>
      </c>
      <c r="J734" s="8" t="str">
        <f>IFERROR(VLOOKUP(F734,tecnica!A:B,2,0),"")</f>
        <v/>
      </c>
      <c r="K734" s="8" t="str">
        <f>IFERROR(VLOOKUP(J734,tecnica!B:C,2,0),"")</f>
        <v/>
      </c>
      <c r="L734" s="13"/>
      <c r="M734" s="14" t="str">
        <f>IFERROR(VLOOKUP(I734,material!A:D,4,0),"")</f>
        <v/>
      </c>
      <c r="N734" s="14" t="str">
        <f t="shared" si="1"/>
        <v/>
      </c>
      <c r="O734" s="15" t="str">
        <f>IFERROR(VLOOKUP(I734,material!A:D,2,0),"")</f>
        <v/>
      </c>
    </row>
    <row r="735">
      <c r="A735" s="6"/>
      <c r="B735" s="7"/>
      <c r="C735" s="8" t="str">
        <f t="array" ref="C735">IFERROR(INDEX(atlas!H:H,MATCH(A735,atlas!C:C,0)),"")</f>
        <v/>
      </c>
      <c r="D735" s="8" t="str">
        <f t="array" ref="D735">IFERROR(INDEX(atlas!D:D,MATCH(A735,atlas!C:C,0)),"")</f>
        <v/>
      </c>
      <c r="E735" s="8" t="str">
        <f t="array" ref="E735">IFERROR(INDEX(atlas!F:F,MATCH(A735,atlas!C:C,0)),"")</f>
        <v/>
      </c>
      <c r="F735" s="9"/>
      <c r="G735" s="10"/>
      <c r="H735" s="11"/>
      <c r="I735" s="12" t="str">
        <f t="array" ref="I735">IFERROR(INDEX(atlas!B:B,MATCH(A735,atlas!C:C,0)),"")</f>
        <v/>
      </c>
      <c r="J735" s="8" t="str">
        <f>IFERROR(VLOOKUP(F735,tecnica!A:B,2,0),"")</f>
        <v/>
      </c>
      <c r="K735" s="8" t="str">
        <f>IFERROR(VLOOKUP(J735,tecnica!B:C,2,0),"")</f>
        <v/>
      </c>
      <c r="L735" s="13"/>
      <c r="M735" s="14" t="str">
        <f>IFERROR(VLOOKUP(I735,material!A:D,4,0),"")</f>
        <v/>
      </c>
      <c r="N735" s="14" t="str">
        <f t="shared" si="1"/>
        <v/>
      </c>
      <c r="O735" s="15" t="str">
        <f>IFERROR(VLOOKUP(I735,material!A:D,2,0),"")</f>
        <v/>
      </c>
    </row>
    <row r="736">
      <c r="A736" s="6"/>
      <c r="B736" s="7"/>
      <c r="C736" s="8" t="str">
        <f t="array" ref="C736">IFERROR(INDEX(atlas!H:H,MATCH(A736,atlas!C:C,0)),"")</f>
        <v/>
      </c>
      <c r="D736" s="8" t="str">
        <f t="array" ref="D736">IFERROR(INDEX(atlas!D:D,MATCH(A736,atlas!C:C,0)),"")</f>
        <v/>
      </c>
      <c r="E736" s="8" t="str">
        <f t="array" ref="E736">IFERROR(INDEX(atlas!F:F,MATCH(A736,atlas!C:C,0)),"")</f>
        <v/>
      </c>
      <c r="F736" s="9"/>
      <c r="G736" s="10"/>
      <c r="H736" s="11"/>
      <c r="I736" s="12" t="str">
        <f t="array" ref="I736">IFERROR(INDEX(atlas!B:B,MATCH(A736,atlas!C:C,0)),"")</f>
        <v/>
      </c>
      <c r="J736" s="8" t="str">
        <f>IFERROR(VLOOKUP(F736,tecnica!A:B,2,0),"")</f>
        <v/>
      </c>
      <c r="K736" s="8" t="str">
        <f>IFERROR(VLOOKUP(J736,tecnica!B:C,2,0),"")</f>
        <v/>
      </c>
      <c r="L736" s="13"/>
      <c r="M736" s="14" t="str">
        <f>IFERROR(VLOOKUP(I736,material!A:D,4,0),"")</f>
        <v/>
      </c>
      <c r="N736" s="14" t="str">
        <f t="shared" si="1"/>
        <v/>
      </c>
      <c r="O736" s="15" t="str">
        <f>IFERROR(VLOOKUP(I736,material!A:D,2,0),"")</f>
        <v/>
      </c>
    </row>
    <row r="737">
      <c r="A737" s="6"/>
      <c r="B737" s="7"/>
      <c r="C737" s="8" t="str">
        <f t="array" ref="C737">IFERROR(INDEX(atlas!H:H,MATCH(A737,atlas!C:C,0)),"")</f>
        <v/>
      </c>
      <c r="D737" s="8" t="str">
        <f t="array" ref="D737">IFERROR(INDEX(atlas!D:D,MATCH(A737,atlas!C:C,0)),"")</f>
        <v/>
      </c>
      <c r="E737" s="8" t="str">
        <f t="array" ref="E737">IFERROR(INDEX(atlas!F:F,MATCH(A737,atlas!C:C,0)),"")</f>
        <v/>
      </c>
      <c r="F737" s="9"/>
      <c r="G737" s="10"/>
      <c r="H737" s="11"/>
      <c r="I737" s="12" t="str">
        <f t="array" ref="I737">IFERROR(INDEX(atlas!B:B,MATCH(A737,atlas!C:C,0)),"")</f>
        <v/>
      </c>
      <c r="J737" s="8" t="str">
        <f>IFERROR(VLOOKUP(F737,tecnica!A:B,2,0),"")</f>
        <v/>
      </c>
      <c r="K737" s="8" t="str">
        <f>IFERROR(VLOOKUP(J737,tecnica!B:C,2,0),"")</f>
        <v/>
      </c>
      <c r="L737" s="13"/>
      <c r="M737" s="14" t="str">
        <f>IFERROR(VLOOKUP(I737,material!A:D,4,0),"")</f>
        <v/>
      </c>
      <c r="N737" s="14" t="str">
        <f t="shared" si="1"/>
        <v/>
      </c>
      <c r="O737" s="15" t="str">
        <f>IFERROR(VLOOKUP(I737,material!A:D,2,0),"")</f>
        <v/>
      </c>
    </row>
    <row r="738">
      <c r="A738" s="6"/>
      <c r="B738" s="7"/>
      <c r="C738" s="8" t="str">
        <f t="array" ref="C738">IFERROR(INDEX(atlas!H:H,MATCH(A738,atlas!C:C,0)),"")</f>
        <v/>
      </c>
      <c r="D738" s="8" t="str">
        <f t="array" ref="D738">IFERROR(INDEX(atlas!D:D,MATCH(A738,atlas!C:C,0)),"")</f>
        <v/>
      </c>
      <c r="E738" s="8" t="str">
        <f t="array" ref="E738">IFERROR(INDEX(atlas!F:F,MATCH(A738,atlas!C:C,0)),"")</f>
        <v/>
      </c>
      <c r="F738" s="9"/>
      <c r="G738" s="10"/>
      <c r="H738" s="11"/>
      <c r="I738" s="12" t="str">
        <f t="array" ref="I738">IFERROR(INDEX(atlas!B:B,MATCH(A738,atlas!C:C,0)),"")</f>
        <v/>
      </c>
      <c r="J738" s="8" t="str">
        <f>IFERROR(VLOOKUP(F738,tecnica!A:B,2,0),"")</f>
        <v/>
      </c>
      <c r="K738" s="8" t="str">
        <f>IFERROR(VLOOKUP(J738,tecnica!B:C,2,0),"")</f>
        <v/>
      </c>
      <c r="L738" s="13"/>
      <c r="M738" s="14" t="str">
        <f>IFERROR(VLOOKUP(I738,material!A:D,4,0),"")</f>
        <v/>
      </c>
      <c r="N738" s="14" t="str">
        <f t="shared" si="1"/>
        <v/>
      </c>
      <c r="O738" s="15" t="str">
        <f>IFERROR(VLOOKUP(I738,material!A:D,2,0),"")</f>
        <v/>
      </c>
    </row>
    <row r="739">
      <c r="A739" s="6"/>
      <c r="B739" s="7"/>
      <c r="C739" s="8" t="str">
        <f t="array" ref="C739">IFERROR(INDEX(atlas!H:H,MATCH(A739,atlas!C:C,0)),"")</f>
        <v/>
      </c>
      <c r="D739" s="8" t="str">
        <f t="array" ref="D739">IFERROR(INDEX(atlas!D:D,MATCH(A739,atlas!C:C,0)),"")</f>
        <v/>
      </c>
      <c r="E739" s="8" t="str">
        <f t="array" ref="E739">IFERROR(INDEX(atlas!F:F,MATCH(A739,atlas!C:C,0)),"")</f>
        <v/>
      </c>
      <c r="F739" s="9"/>
      <c r="G739" s="10"/>
      <c r="H739" s="11"/>
      <c r="I739" s="12" t="str">
        <f t="array" ref="I739">IFERROR(INDEX(atlas!B:B,MATCH(A739,atlas!C:C,0)),"")</f>
        <v/>
      </c>
      <c r="J739" s="8" t="str">
        <f>IFERROR(VLOOKUP(F739,tecnica!A:B,2,0),"")</f>
        <v/>
      </c>
      <c r="K739" s="8" t="str">
        <f>IFERROR(VLOOKUP(J739,tecnica!B:C,2,0),"")</f>
        <v/>
      </c>
      <c r="L739" s="13"/>
      <c r="M739" s="14" t="str">
        <f>IFERROR(VLOOKUP(I739,material!A:D,4,0),"")</f>
        <v/>
      </c>
      <c r="N739" s="14" t="str">
        <f t="shared" si="1"/>
        <v/>
      </c>
      <c r="O739" s="15" t="str">
        <f>IFERROR(VLOOKUP(I739,material!A:D,2,0),"")</f>
        <v/>
      </c>
    </row>
    <row r="740">
      <c r="A740" s="6"/>
      <c r="B740" s="7"/>
      <c r="C740" s="8" t="str">
        <f t="array" ref="C740">IFERROR(INDEX(atlas!H:H,MATCH(A740,atlas!C:C,0)),"")</f>
        <v/>
      </c>
      <c r="D740" s="8" t="str">
        <f t="array" ref="D740">IFERROR(INDEX(atlas!D:D,MATCH(A740,atlas!C:C,0)),"")</f>
        <v/>
      </c>
      <c r="E740" s="8" t="str">
        <f t="array" ref="E740">IFERROR(INDEX(atlas!F:F,MATCH(A740,atlas!C:C,0)),"")</f>
        <v/>
      </c>
      <c r="F740" s="9"/>
      <c r="G740" s="10"/>
      <c r="H740" s="11"/>
      <c r="I740" s="12" t="str">
        <f t="array" ref="I740">IFERROR(INDEX(atlas!B:B,MATCH(A740,atlas!C:C,0)),"")</f>
        <v/>
      </c>
      <c r="J740" s="8" t="str">
        <f>IFERROR(VLOOKUP(F740,tecnica!A:B,2,0),"")</f>
        <v/>
      </c>
      <c r="K740" s="8" t="str">
        <f>IFERROR(VLOOKUP(J740,tecnica!B:C,2,0),"")</f>
        <v/>
      </c>
      <c r="L740" s="13"/>
      <c r="M740" s="14" t="str">
        <f>IFERROR(VLOOKUP(I740,material!A:D,4,0),"")</f>
        <v/>
      </c>
      <c r="N740" s="14" t="str">
        <f t="shared" si="1"/>
        <v/>
      </c>
      <c r="O740" s="15" t="str">
        <f>IFERROR(VLOOKUP(I740,material!A:D,2,0),"")</f>
        <v/>
      </c>
    </row>
    <row r="741">
      <c r="A741" s="6"/>
      <c r="B741" s="7"/>
      <c r="C741" s="8" t="str">
        <f t="array" ref="C741">IFERROR(INDEX(atlas!H:H,MATCH(A741,atlas!C:C,0)),"")</f>
        <v/>
      </c>
      <c r="D741" s="8" t="str">
        <f t="array" ref="D741">IFERROR(INDEX(atlas!D:D,MATCH(A741,atlas!C:C,0)),"")</f>
        <v/>
      </c>
      <c r="E741" s="8" t="str">
        <f t="array" ref="E741">IFERROR(INDEX(atlas!F:F,MATCH(A741,atlas!C:C,0)),"")</f>
        <v/>
      </c>
      <c r="F741" s="9"/>
      <c r="G741" s="10"/>
      <c r="H741" s="11"/>
      <c r="I741" s="12" t="str">
        <f t="array" ref="I741">IFERROR(INDEX(atlas!B:B,MATCH(A741,atlas!C:C,0)),"")</f>
        <v/>
      </c>
      <c r="J741" s="8" t="str">
        <f>IFERROR(VLOOKUP(F741,tecnica!A:B,2,0),"")</f>
        <v/>
      </c>
      <c r="K741" s="8" t="str">
        <f>IFERROR(VLOOKUP(J741,tecnica!B:C,2,0),"")</f>
        <v/>
      </c>
      <c r="L741" s="13"/>
      <c r="M741" s="14" t="str">
        <f>IFERROR(VLOOKUP(I741,material!A:D,4,0),"")</f>
        <v/>
      </c>
      <c r="N741" s="14" t="str">
        <f t="shared" si="1"/>
        <v/>
      </c>
      <c r="O741" s="15" t="str">
        <f>IFERROR(VLOOKUP(I741,material!A:D,2,0),"")</f>
        <v/>
      </c>
    </row>
    <row r="742">
      <c r="A742" s="6"/>
      <c r="B742" s="7"/>
      <c r="C742" s="8" t="str">
        <f t="array" ref="C742">IFERROR(INDEX(atlas!H:H,MATCH(A742,atlas!C:C,0)),"")</f>
        <v/>
      </c>
      <c r="D742" s="8" t="str">
        <f t="array" ref="D742">IFERROR(INDEX(atlas!D:D,MATCH(A742,atlas!C:C,0)),"")</f>
        <v/>
      </c>
      <c r="E742" s="8" t="str">
        <f t="array" ref="E742">IFERROR(INDEX(atlas!F:F,MATCH(A742,atlas!C:C,0)),"")</f>
        <v/>
      </c>
      <c r="F742" s="9"/>
      <c r="G742" s="10"/>
      <c r="H742" s="11"/>
      <c r="I742" s="12" t="str">
        <f t="array" ref="I742">IFERROR(INDEX(atlas!B:B,MATCH(A742,atlas!C:C,0)),"")</f>
        <v/>
      </c>
      <c r="J742" s="8" t="str">
        <f>IFERROR(VLOOKUP(F742,tecnica!A:B,2,0),"")</f>
        <v/>
      </c>
      <c r="K742" s="8" t="str">
        <f>IFERROR(VLOOKUP(J742,tecnica!B:C,2,0),"")</f>
        <v/>
      </c>
      <c r="L742" s="13"/>
      <c r="M742" s="14" t="str">
        <f>IFERROR(VLOOKUP(I742,material!A:D,4,0),"")</f>
        <v/>
      </c>
      <c r="N742" s="14" t="str">
        <f t="shared" si="1"/>
        <v/>
      </c>
      <c r="O742" s="15" t="str">
        <f>IFERROR(VLOOKUP(I742,material!A:D,2,0),"")</f>
        <v/>
      </c>
    </row>
    <row r="743">
      <c r="A743" s="6"/>
      <c r="B743" s="7"/>
      <c r="C743" s="8" t="str">
        <f t="array" ref="C743">IFERROR(INDEX(atlas!H:H,MATCH(A743,atlas!C:C,0)),"")</f>
        <v/>
      </c>
      <c r="D743" s="8" t="str">
        <f t="array" ref="D743">IFERROR(INDEX(atlas!D:D,MATCH(A743,atlas!C:C,0)),"")</f>
        <v/>
      </c>
      <c r="E743" s="8" t="str">
        <f t="array" ref="E743">IFERROR(INDEX(atlas!F:F,MATCH(A743,atlas!C:C,0)),"")</f>
        <v/>
      </c>
      <c r="F743" s="9"/>
      <c r="G743" s="10"/>
      <c r="H743" s="11"/>
      <c r="I743" s="12" t="str">
        <f t="array" ref="I743">IFERROR(INDEX(atlas!B:B,MATCH(A743,atlas!C:C,0)),"")</f>
        <v/>
      </c>
      <c r="J743" s="8" t="str">
        <f>IFERROR(VLOOKUP(F743,tecnica!A:B,2,0),"")</f>
        <v/>
      </c>
      <c r="K743" s="8" t="str">
        <f>IFERROR(VLOOKUP(J743,tecnica!B:C,2,0),"")</f>
        <v/>
      </c>
      <c r="L743" s="13"/>
      <c r="M743" s="14" t="str">
        <f>IFERROR(VLOOKUP(I743,material!A:D,4,0),"")</f>
        <v/>
      </c>
      <c r="N743" s="14" t="str">
        <f t="shared" si="1"/>
        <v/>
      </c>
      <c r="O743" s="15" t="str">
        <f>IFERROR(VLOOKUP(I743,material!A:D,2,0),"")</f>
        <v/>
      </c>
    </row>
    <row r="744">
      <c r="A744" s="6"/>
      <c r="B744" s="7"/>
      <c r="C744" s="8" t="str">
        <f t="array" ref="C744">IFERROR(INDEX(atlas!H:H,MATCH(A744,atlas!C:C,0)),"")</f>
        <v/>
      </c>
      <c r="D744" s="8" t="str">
        <f t="array" ref="D744">IFERROR(INDEX(atlas!D:D,MATCH(A744,atlas!C:C,0)),"")</f>
        <v/>
      </c>
      <c r="E744" s="8" t="str">
        <f t="array" ref="E744">IFERROR(INDEX(atlas!F:F,MATCH(A744,atlas!C:C,0)),"")</f>
        <v/>
      </c>
      <c r="F744" s="9"/>
      <c r="G744" s="10"/>
      <c r="H744" s="11"/>
      <c r="I744" s="12" t="str">
        <f t="array" ref="I744">IFERROR(INDEX(atlas!B:B,MATCH(A744,atlas!C:C,0)),"")</f>
        <v/>
      </c>
      <c r="J744" s="8" t="str">
        <f>IFERROR(VLOOKUP(F744,tecnica!A:B,2,0),"")</f>
        <v/>
      </c>
      <c r="K744" s="8" t="str">
        <f>IFERROR(VLOOKUP(J744,tecnica!B:C,2,0),"")</f>
        <v/>
      </c>
      <c r="L744" s="13"/>
      <c r="M744" s="14" t="str">
        <f>IFERROR(VLOOKUP(I744,material!A:D,4,0),"")</f>
        <v/>
      </c>
      <c r="N744" s="14" t="str">
        <f t="shared" si="1"/>
        <v/>
      </c>
      <c r="O744" s="15" t="str">
        <f>IFERROR(VLOOKUP(I744,material!A:D,2,0),"")</f>
        <v/>
      </c>
    </row>
    <row r="745">
      <c r="A745" s="6"/>
      <c r="B745" s="7"/>
      <c r="C745" s="8" t="str">
        <f t="array" ref="C745">IFERROR(INDEX(atlas!H:H,MATCH(A745,atlas!C:C,0)),"")</f>
        <v/>
      </c>
      <c r="D745" s="8" t="str">
        <f t="array" ref="D745">IFERROR(INDEX(atlas!D:D,MATCH(A745,atlas!C:C,0)),"")</f>
        <v/>
      </c>
      <c r="E745" s="8" t="str">
        <f t="array" ref="E745">IFERROR(INDEX(atlas!F:F,MATCH(A745,atlas!C:C,0)),"")</f>
        <v/>
      </c>
      <c r="F745" s="9"/>
      <c r="G745" s="10"/>
      <c r="H745" s="11"/>
      <c r="I745" s="12" t="str">
        <f t="array" ref="I745">IFERROR(INDEX(atlas!B:B,MATCH(A745,atlas!C:C,0)),"")</f>
        <v/>
      </c>
      <c r="J745" s="8" t="str">
        <f>IFERROR(VLOOKUP(F745,tecnica!A:B,2,0),"")</f>
        <v/>
      </c>
      <c r="K745" s="8" t="str">
        <f>IFERROR(VLOOKUP(J745,tecnica!B:C,2,0),"")</f>
        <v/>
      </c>
      <c r="L745" s="13"/>
      <c r="M745" s="14" t="str">
        <f>IFERROR(VLOOKUP(I745,material!A:D,4,0),"")</f>
        <v/>
      </c>
      <c r="N745" s="14" t="str">
        <f t="shared" si="1"/>
        <v/>
      </c>
      <c r="O745" s="15" t="str">
        <f>IFERROR(VLOOKUP(I745,material!A:D,2,0),"")</f>
        <v/>
      </c>
    </row>
    <row r="746">
      <c r="A746" s="6"/>
      <c r="B746" s="7"/>
      <c r="C746" s="8" t="str">
        <f t="array" ref="C746">IFERROR(INDEX(atlas!H:H,MATCH(A746,atlas!C:C,0)),"")</f>
        <v/>
      </c>
      <c r="D746" s="8" t="str">
        <f t="array" ref="D746">IFERROR(INDEX(atlas!D:D,MATCH(A746,atlas!C:C,0)),"")</f>
        <v/>
      </c>
      <c r="E746" s="8" t="str">
        <f t="array" ref="E746">IFERROR(INDEX(atlas!F:F,MATCH(A746,atlas!C:C,0)),"")</f>
        <v/>
      </c>
      <c r="F746" s="9"/>
      <c r="G746" s="10"/>
      <c r="H746" s="11"/>
      <c r="I746" s="12" t="str">
        <f t="array" ref="I746">IFERROR(INDEX(atlas!B:B,MATCH(A746,atlas!C:C,0)),"")</f>
        <v/>
      </c>
      <c r="J746" s="8" t="str">
        <f>IFERROR(VLOOKUP(F746,tecnica!A:B,2,0),"")</f>
        <v/>
      </c>
      <c r="K746" s="8" t="str">
        <f>IFERROR(VLOOKUP(J746,tecnica!B:C,2,0),"")</f>
        <v/>
      </c>
      <c r="L746" s="13"/>
      <c r="M746" s="14" t="str">
        <f>IFERROR(VLOOKUP(I746,material!A:D,4,0),"")</f>
        <v/>
      </c>
      <c r="N746" s="14" t="str">
        <f t="shared" si="1"/>
        <v/>
      </c>
      <c r="O746" s="15" t="str">
        <f>IFERROR(VLOOKUP(I746,material!A:D,2,0),"")</f>
        <v/>
      </c>
    </row>
    <row r="747">
      <c r="A747" s="6"/>
      <c r="B747" s="7"/>
      <c r="C747" s="8" t="str">
        <f t="array" ref="C747">IFERROR(INDEX(atlas!H:H,MATCH(A747,atlas!C:C,0)),"")</f>
        <v/>
      </c>
      <c r="D747" s="8" t="str">
        <f t="array" ref="D747">IFERROR(INDEX(atlas!D:D,MATCH(A747,atlas!C:C,0)),"")</f>
        <v/>
      </c>
      <c r="E747" s="8" t="str">
        <f t="array" ref="E747">IFERROR(INDEX(atlas!F:F,MATCH(A747,atlas!C:C,0)),"")</f>
        <v/>
      </c>
      <c r="F747" s="9"/>
      <c r="G747" s="10"/>
      <c r="H747" s="11"/>
      <c r="I747" s="12" t="str">
        <f t="array" ref="I747">IFERROR(INDEX(atlas!B:B,MATCH(A747,atlas!C:C,0)),"")</f>
        <v/>
      </c>
      <c r="J747" s="8" t="str">
        <f>IFERROR(VLOOKUP(F747,tecnica!A:B,2,0),"")</f>
        <v/>
      </c>
      <c r="K747" s="8" t="str">
        <f>IFERROR(VLOOKUP(J747,tecnica!B:C,2,0),"")</f>
        <v/>
      </c>
      <c r="L747" s="13"/>
      <c r="M747" s="14" t="str">
        <f>IFERROR(VLOOKUP(I747,material!A:D,4,0),"")</f>
        <v/>
      </c>
      <c r="N747" s="14" t="str">
        <f t="shared" si="1"/>
        <v/>
      </c>
      <c r="O747" s="15" t="str">
        <f>IFERROR(VLOOKUP(I747,material!A:D,2,0),"")</f>
        <v/>
      </c>
    </row>
    <row r="748">
      <c r="A748" s="6"/>
      <c r="B748" s="7"/>
      <c r="C748" s="8" t="str">
        <f t="array" ref="C748">IFERROR(INDEX(atlas!H:H,MATCH(A748,atlas!C:C,0)),"")</f>
        <v/>
      </c>
      <c r="D748" s="8" t="str">
        <f t="array" ref="D748">IFERROR(INDEX(atlas!D:D,MATCH(A748,atlas!C:C,0)),"")</f>
        <v/>
      </c>
      <c r="E748" s="8" t="str">
        <f t="array" ref="E748">IFERROR(INDEX(atlas!F:F,MATCH(A748,atlas!C:C,0)),"")</f>
        <v/>
      </c>
      <c r="F748" s="9"/>
      <c r="G748" s="10"/>
      <c r="H748" s="11"/>
      <c r="I748" s="12" t="str">
        <f t="array" ref="I748">IFERROR(INDEX(atlas!B:B,MATCH(A748,atlas!C:C,0)),"")</f>
        <v/>
      </c>
      <c r="J748" s="8" t="str">
        <f>IFERROR(VLOOKUP(F748,tecnica!A:B,2,0),"")</f>
        <v/>
      </c>
      <c r="K748" s="8" t="str">
        <f>IFERROR(VLOOKUP(J748,tecnica!B:C,2,0),"")</f>
        <v/>
      </c>
      <c r="L748" s="13"/>
      <c r="M748" s="14" t="str">
        <f>IFERROR(VLOOKUP(I748,material!A:D,4,0),"")</f>
        <v/>
      </c>
      <c r="N748" s="14" t="str">
        <f t="shared" si="1"/>
        <v/>
      </c>
      <c r="O748" s="15" t="str">
        <f>IFERROR(VLOOKUP(I748,material!A:D,2,0),"")</f>
        <v/>
      </c>
    </row>
    <row r="749">
      <c r="A749" s="6"/>
      <c r="B749" s="7"/>
      <c r="C749" s="8" t="str">
        <f t="array" ref="C749">IFERROR(INDEX(atlas!H:H,MATCH(A749,atlas!C:C,0)),"")</f>
        <v/>
      </c>
      <c r="D749" s="8" t="str">
        <f t="array" ref="D749">IFERROR(INDEX(atlas!D:D,MATCH(A749,atlas!C:C,0)),"")</f>
        <v/>
      </c>
      <c r="E749" s="8" t="str">
        <f t="array" ref="E749">IFERROR(INDEX(atlas!F:F,MATCH(A749,atlas!C:C,0)),"")</f>
        <v/>
      </c>
      <c r="F749" s="9"/>
      <c r="G749" s="10"/>
      <c r="H749" s="11"/>
      <c r="I749" s="12" t="str">
        <f t="array" ref="I749">IFERROR(INDEX(atlas!B:B,MATCH(A749,atlas!C:C,0)),"")</f>
        <v/>
      </c>
      <c r="J749" s="8" t="str">
        <f>IFERROR(VLOOKUP(F749,tecnica!A:B,2,0),"")</f>
        <v/>
      </c>
      <c r="K749" s="8" t="str">
        <f>IFERROR(VLOOKUP(J749,tecnica!B:C,2,0),"")</f>
        <v/>
      </c>
      <c r="L749" s="13"/>
      <c r="M749" s="14" t="str">
        <f>IFERROR(VLOOKUP(I749,material!A:D,4,0),"")</f>
        <v/>
      </c>
      <c r="N749" s="14" t="str">
        <f t="shared" si="1"/>
        <v/>
      </c>
      <c r="O749" s="15" t="str">
        <f>IFERROR(VLOOKUP(I749,material!A:D,2,0),"")</f>
        <v/>
      </c>
    </row>
    <row r="750">
      <c r="A750" s="6"/>
      <c r="B750" s="7"/>
      <c r="C750" s="8" t="str">
        <f t="array" ref="C750">IFERROR(INDEX(atlas!H:H,MATCH(A750,atlas!C:C,0)),"")</f>
        <v/>
      </c>
      <c r="D750" s="8" t="str">
        <f t="array" ref="D750">IFERROR(INDEX(atlas!D:D,MATCH(A750,atlas!C:C,0)),"")</f>
        <v/>
      </c>
      <c r="E750" s="8" t="str">
        <f t="array" ref="E750">IFERROR(INDEX(atlas!F:F,MATCH(A750,atlas!C:C,0)),"")</f>
        <v/>
      </c>
      <c r="F750" s="9"/>
      <c r="G750" s="10"/>
      <c r="H750" s="11"/>
      <c r="I750" s="12" t="str">
        <f t="array" ref="I750">IFERROR(INDEX(atlas!B:B,MATCH(A750,atlas!C:C,0)),"")</f>
        <v/>
      </c>
      <c r="J750" s="8" t="str">
        <f>IFERROR(VLOOKUP(F750,tecnica!A:B,2,0),"")</f>
        <v/>
      </c>
      <c r="K750" s="8" t="str">
        <f>IFERROR(VLOOKUP(J750,tecnica!B:C,2,0),"")</f>
        <v/>
      </c>
      <c r="L750" s="13"/>
      <c r="M750" s="14" t="str">
        <f>IFERROR(VLOOKUP(I750,material!A:D,4,0),"")</f>
        <v/>
      </c>
      <c r="N750" s="14" t="str">
        <f t="shared" si="1"/>
        <v/>
      </c>
      <c r="O750" s="15" t="str">
        <f>IFERROR(VLOOKUP(I750,material!A:D,2,0),"")</f>
        <v/>
      </c>
    </row>
    <row r="751">
      <c r="A751" s="6"/>
      <c r="B751" s="7"/>
      <c r="C751" s="8" t="str">
        <f t="array" ref="C751">IFERROR(INDEX(atlas!H:H,MATCH(A751,atlas!C:C,0)),"")</f>
        <v/>
      </c>
      <c r="D751" s="8" t="str">
        <f t="array" ref="D751">IFERROR(INDEX(atlas!D:D,MATCH(A751,atlas!C:C,0)),"")</f>
        <v/>
      </c>
      <c r="E751" s="8" t="str">
        <f t="array" ref="E751">IFERROR(INDEX(atlas!F:F,MATCH(A751,atlas!C:C,0)),"")</f>
        <v/>
      </c>
      <c r="F751" s="9"/>
      <c r="G751" s="10"/>
      <c r="H751" s="11"/>
      <c r="I751" s="12" t="str">
        <f t="array" ref="I751">IFERROR(INDEX(atlas!B:B,MATCH(A751,atlas!C:C,0)),"")</f>
        <v/>
      </c>
      <c r="J751" s="8" t="str">
        <f>IFERROR(VLOOKUP(F751,tecnica!A:B,2,0),"")</f>
        <v/>
      </c>
      <c r="K751" s="8" t="str">
        <f>IFERROR(VLOOKUP(J751,tecnica!B:C,2,0),"")</f>
        <v/>
      </c>
      <c r="L751" s="13"/>
      <c r="M751" s="14" t="str">
        <f>IFERROR(VLOOKUP(I751,material!A:D,4,0),"")</f>
        <v/>
      </c>
      <c r="N751" s="14" t="str">
        <f t="shared" si="1"/>
        <v/>
      </c>
      <c r="O751" s="15" t="str">
        <f>IFERROR(VLOOKUP(I751,material!A:D,2,0),"")</f>
        <v/>
      </c>
    </row>
    <row r="752">
      <c r="A752" s="6"/>
      <c r="B752" s="7"/>
      <c r="C752" s="8" t="str">
        <f t="array" ref="C752">IFERROR(INDEX(atlas!H:H,MATCH(A752,atlas!C:C,0)),"")</f>
        <v/>
      </c>
      <c r="D752" s="8" t="str">
        <f t="array" ref="D752">IFERROR(INDEX(atlas!D:D,MATCH(A752,atlas!C:C,0)),"")</f>
        <v/>
      </c>
      <c r="E752" s="8" t="str">
        <f t="array" ref="E752">IFERROR(INDEX(atlas!F:F,MATCH(A752,atlas!C:C,0)),"")</f>
        <v/>
      </c>
      <c r="F752" s="9"/>
      <c r="G752" s="10"/>
      <c r="H752" s="11"/>
      <c r="I752" s="12" t="str">
        <f t="array" ref="I752">IFERROR(INDEX(atlas!B:B,MATCH(A752,atlas!C:C,0)),"")</f>
        <v/>
      </c>
      <c r="J752" s="8" t="str">
        <f>IFERROR(VLOOKUP(F752,tecnica!A:B,2,0),"")</f>
        <v/>
      </c>
      <c r="K752" s="8" t="str">
        <f>IFERROR(VLOOKUP(J752,tecnica!B:C,2,0),"")</f>
        <v/>
      </c>
      <c r="L752" s="13"/>
      <c r="M752" s="14" t="str">
        <f>IFERROR(VLOOKUP(I752,material!A:D,4,0),"")</f>
        <v/>
      </c>
      <c r="N752" s="14" t="str">
        <f t="shared" si="1"/>
        <v/>
      </c>
      <c r="O752" s="15" t="str">
        <f>IFERROR(VLOOKUP(I752,material!A:D,2,0),"")</f>
        <v/>
      </c>
    </row>
    <row r="753">
      <c r="A753" s="6"/>
      <c r="B753" s="7"/>
      <c r="C753" s="8" t="str">
        <f t="array" ref="C753">IFERROR(INDEX(atlas!H:H,MATCH(A753,atlas!C:C,0)),"")</f>
        <v/>
      </c>
      <c r="D753" s="8" t="str">
        <f t="array" ref="D753">IFERROR(INDEX(atlas!D:D,MATCH(A753,atlas!C:C,0)),"")</f>
        <v/>
      </c>
      <c r="E753" s="8" t="str">
        <f t="array" ref="E753">IFERROR(INDEX(atlas!F:F,MATCH(A753,atlas!C:C,0)),"")</f>
        <v/>
      </c>
      <c r="F753" s="9"/>
      <c r="G753" s="10"/>
      <c r="H753" s="11"/>
      <c r="I753" s="12" t="str">
        <f t="array" ref="I753">IFERROR(INDEX(atlas!B:B,MATCH(A753,atlas!C:C,0)),"")</f>
        <v/>
      </c>
      <c r="J753" s="8" t="str">
        <f>IFERROR(VLOOKUP(F753,tecnica!A:B,2,0),"")</f>
        <v/>
      </c>
      <c r="K753" s="8" t="str">
        <f>IFERROR(VLOOKUP(J753,tecnica!B:C,2,0),"")</f>
        <v/>
      </c>
      <c r="L753" s="13"/>
      <c r="M753" s="14" t="str">
        <f>IFERROR(VLOOKUP(I753,material!A:D,4,0),"")</f>
        <v/>
      </c>
      <c r="N753" s="14" t="str">
        <f t="shared" si="1"/>
        <v/>
      </c>
      <c r="O753" s="15" t="str">
        <f>IFERROR(VLOOKUP(I753,material!A:D,2,0),"")</f>
        <v/>
      </c>
    </row>
    <row r="754">
      <c r="A754" s="6"/>
      <c r="B754" s="7"/>
      <c r="C754" s="8" t="str">
        <f t="array" ref="C754">IFERROR(INDEX(atlas!H:H,MATCH(A754,atlas!C:C,0)),"")</f>
        <v/>
      </c>
      <c r="D754" s="8" t="str">
        <f t="array" ref="D754">IFERROR(INDEX(atlas!D:D,MATCH(A754,atlas!C:C,0)),"")</f>
        <v/>
      </c>
      <c r="E754" s="8" t="str">
        <f t="array" ref="E754">IFERROR(INDEX(atlas!F:F,MATCH(A754,atlas!C:C,0)),"")</f>
        <v/>
      </c>
      <c r="F754" s="9"/>
      <c r="G754" s="10"/>
      <c r="H754" s="11"/>
      <c r="I754" s="12" t="str">
        <f t="array" ref="I754">IFERROR(INDEX(atlas!B:B,MATCH(A754,atlas!C:C,0)),"")</f>
        <v/>
      </c>
      <c r="J754" s="8" t="str">
        <f>IFERROR(VLOOKUP(F754,tecnica!A:B,2,0),"")</f>
        <v/>
      </c>
      <c r="K754" s="8" t="str">
        <f>IFERROR(VLOOKUP(J754,tecnica!B:C,2,0),"")</f>
        <v/>
      </c>
      <c r="L754" s="13"/>
      <c r="M754" s="14" t="str">
        <f>IFERROR(VLOOKUP(I754,material!A:D,4,0),"")</f>
        <v/>
      </c>
      <c r="N754" s="14" t="str">
        <f t="shared" si="1"/>
        <v/>
      </c>
      <c r="O754" s="15" t="str">
        <f>IFERROR(VLOOKUP(I754,material!A:D,2,0),"")</f>
        <v/>
      </c>
    </row>
    <row r="755">
      <c r="A755" s="6"/>
      <c r="B755" s="7"/>
      <c r="C755" s="8" t="str">
        <f t="array" ref="C755">IFERROR(INDEX(atlas!H:H,MATCH(A755,atlas!C:C,0)),"")</f>
        <v/>
      </c>
      <c r="D755" s="8" t="str">
        <f t="array" ref="D755">IFERROR(INDEX(atlas!D:D,MATCH(A755,atlas!C:C,0)),"")</f>
        <v/>
      </c>
      <c r="E755" s="8" t="str">
        <f t="array" ref="E755">IFERROR(INDEX(atlas!F:F,MATCH(A755,atlas!C:C,0)),"")</f>
        <v/>
      </c>
      <c r="F755" s="9"/>
      <c r="G755" s="10"/>
      <c r="H755" s="11"/>
      <c r="I755" s="12" t="str">
        <f t="array" ref="I755">IFERROR(INDEX(atlas!B:B,MATCH(A755,atlas!C:C,0)),"")</f>
        <v/>
      </c>
      <c r="J755" s="8" t="str">
        <f>IFERROR(VLOOKUP(F755,tecnica!A:B,2,0),"")</f>
        <v/>
      </c>
      <c r="K755" s="8" t="str">
        <f>IFERROR(VLOOKUP(J755,tecnica!B:C,2,0),"")</f>
        <v/>
      </c>
      <c r="L755" s="13"/>
      <c r="M755" s="14" t="str">
        <f>IFERROR(VLOOKUP(I755,material!A:D,4,0),"")</f>
        <v/>
      </c>
      <c r="N755" s="14" t="str">
        <f t="shared" si="1"/>
        <v/>
      </c>
      <c r="O755" s="15" t="str">
        <f>IFERROR(VLOOKUP(I755,material!A:D,2,0),"")</f>
        <v/>
      </c>
    </row>
    <row r="756">
      <c r="A756" s="6"/>
      <c r="B756" s="7"/>
      <c r="C756" s="8" t="str">
        <f t="array" ref="C756">IFERROR(INDEX(atlas!H:H,MATCH(A756,atlas!C:C,0)),"")</f>
        <v/>
      </c>
      <c r="D756" s="8" t="str">
        <f t="array" ref="D756">IFERROR(INDEX(atlas!D:D,MATCH(A756,atlas!C:C,0)),"")</f>
        <v/>
      </c>
      <c r="E756" s="8" t="str">
        <f t="array" ref="E756">IFERROR(INDEX(atlas!F:F,MATCH(A756,atlas!C:C,0)),"")</f>
        <v/>
      </c>
      <c r="F756" s="9"/>
      <c r="G756" s="10"/>
      <c r="H756" s="11"/>
      <c r="I756" s="12" t="str">
        <f t="array" ref="I756">IFERROR(INDEX(atlas!B:B,MATCH(A756,atlas!C:C,0)),"")</f>
        <v/>
      </c>
      <c r="J756" s="8" t="str">
        <f>IFERROR(VLOOKUP(F756,tecnica!A:B,2,0),"")</f>
        <v/>
      </c>
      <c r="K756" s="8" t="str">
        <f>IFERROR(VLOOKUP(J756,tecnica!B:C,2,0),"")</f>
        <v/>
      </c>
      <c r="L756" s="13"/>
      <c r="M756" s="14" t="str">
        <f>IFERROR(VLOOKUP(I756,material!A:D,4,0),"")</f>
        <v/>
      </c>
      <c r="N756" s="14" t="str">
        <f t="shared" si="1"/>
        <v/>
      </c>
      <c r="O756" s="15" t="str">
        <f>IFERROR(VLOOKUP(I756,material!A:D,2,0),"")</f>
        <v/>
      </c>
    </row>
    <row r="757">
      <c r="A757" s="6"/>
      <c r="B757" s="7"/>
      <c r="C757" s="8" t="str">
        <f t="array" ref="C757">IFERROR(INDEX(atlas!H:H,MATCH(A757,atlas!C:C,0)),"")</f>
        <v/>
      </c>
      <c r="D757" s="8" t="str">
        <f t="array" ref="D757">IFERROR(INDEX(atlas!D:D,MATCH(A757,atlas!C:C,0)),"")</f>
        <v/>
      </c>
      <c r="E757" s="8" t="str">
        <f t="array" ref="E757">IFERROR(INDEX(atlas!F:F,MATCH(A757,atlas!C:C,0)),"")</f>
        <v/>
      </c>
      <c r="F757" s="9"/>
      <c r="G757" s="10"/>
      <c r="H757" s="11"/>
      <c r="I757" s="12" t="str">
        <f t="array" ref="I757">IFERROR(INDEX(atlas!B:B,MATCH(A757,atlas!C:C,0)),"")</f>
        <v/>
      </c>
      <c r="J757" s="8" t="str">
        <f>IFERROR(VLOOKUP(F757,tecnica!A:B,2,0),"")</f>
        <v/>
      </c>
      <c r="K757" s="8" t="str">
        <f>IFERROR(VLOOKUP(J757,tecnica!B:C,2,0),"")</f>
        <v/>
      </c>
      <c r="L757" s="13"/>
      <c r="M757" s="14" t="str">
        <f>IFERROR(VLOOKUP(I757,material!A:D,4,0),"")</f>
        <v/>
      </c>
      <c r="N757" s="14" t="str">
        <f t="shared" si="1"/>
        <v/>
      </c>
      <c r="O757" s="15" t="str">
        <f>IFERROR(VLOOKUP(I757,material!A:D,2,0),"")</f>
        <v/>
      </c>
    </row>
    <row r="758">
      <c r="A758" s="6"/>
      <c r="B758" s="7"/>
      <c r="C758" s="8" t="str">
        <f t="array" ref="C758">IFERROR(INDEX(atlas!H:H,MATCH(A758,atlas!C:C,0)),"")</f>
        <v/>
      </c>
      <c r="D758" s="8" t="str">
        <f t="array" ref="D758">IFERROR(INDEX(atlas!D:D,MATCH(A758,atlas!C:C,0)),"")</f>
        <v/>
      </c>
      <c r="E758" s="8" t="str">
        <f t="array" ref="E758">IFERROR(INDEX(atlas!F:F,MATCH(A758,atlas!C:C,0)),"")</f>
        <v/>
      </c>
      <c r="F758" s="9"/>
      <c r="G758" s="10"/>
      <c r="H758" s="11"/>
      <c r="I758" s="12" t="str">
        <f t="array" ref="I758">IFERROR(INDEX(atlas!B:B,MATCH(A758,atlas!C:C,0)),"")</f>
        <v/>
      </c>
      <c r="J758" s="8" t="str">
        <f>IFERROR(VLOOKUP(F758,tecnica!A:B,2,0),"")</f>
        <v/>
      </c>
      <c r="K758" s="8" t="str">
        <f>IFERROR(VLOOKUP(J758,tecnica!B:C,2,0),"")</f>
        <v/>
      </c>
      <c r="L758" s="13"/>
      <c r="M758" s="14" t="str">
        <f>IFERROR(VLOOKUP(I758,material!A:D,4,0),"")</f>
        <v/>
      </c>
      <c r="N758" s="14" t="str">
        <f t="shared" si="1"/>
        <v/>
      </c>
      <c r="O758" s="15" t="str">
        <f>IFERROR(VLOOKUP(I758,material!A:D,2,0),"")</f>
        <v/>
      </c>
    </row>
    <row r="759">
      <c r="A759" s="6"/>
      <c r="B759" s="7"/>
      <c r="C759" s="8" t="str">
        <f t="array" ref="C759">IFERROR(INDEX(atlas!H:H,MATCH(A759,atlas!C:C,0)),"")</f>
        <v/>
      </c>
      <c r="D759" s="8" t="str">
        <f t="array" ref="D759">IFERROR(INDEX(atlas!D:D,MATCH(A759,atlas!C:C,0)),"")</f>
        <v/>
      </c>
      <c r="E759" s="8" t="str">
        <f t="array" ref="E759">IFERROR(INDEX(atlas!F:F,MATCH(A759,atlas!C:C,0)),"")</f>
        <v/>
      </c>
      <c r="F759" s="9"/>
      <c r="G759" s="10"/>
      <c r="H759" s="11"/>
      <c r="I759" s="12" t="str">
        <f t="array" ref="I759">IFERROR(INDEX(atlas!B:B,MATCH(A759,atlas!C:C,0)),"")</f>
        <v/>
      </c>
      <c r="J759" s="8" t="str">
        <f>IFERROR(VLOOKUP(F759,tecnica!A:B,2,0),"")</f>
        <v/>
      </c>
      <c r="K759" s="8" t="str">
        <f>IFERROR(VLOOKUP(J759,tecnica!B:C,2,0),"")</f>
        <v/>
      </c>
      <c r="L759" s="13"/>
      <c r="M759" s="14" t="str">
        <f>IFERROR(VLOOKUP(I759,material!A:D,4,0),"")</f>
        <v/>
      </c>
      <c r="N759" s="14" t="str">
        <f t="shared" si="1"/>
        <v/>
      </c>
      <c r="O759" s="15" t="str">
        <f>IFERROR(VLOOKUP(I759,material!A:D,2,0),"")</f>
        <v/>
      </c>
    </row>
    <row r="760">
      <c r="A760" s="6"/>
      <c r="B760" s="7"/>
      <c r="C760" s="8" t="str">
        <f t="array" ref="C760">IFERROR(INDEX(atlas!H:H,MATCH(A760,atlas!C:C,0)),"")</f>
        <v/>
      </c>
      <c r="D760" s="8" t="str">
        <f t="array" ref="D760">IFERROR(INDEX(atlas!D:D,MATCH(A760,atlas!C:C,0)),"")</f>
        <v/>
      </c>
      <c r="E760" s="8" t="str">
        <f t="array" ref="E760">IFERROR(INDEX(atlas!F:F,MATCH(A760,atlas!C:C,0)),"")</f>
        <v/>
      </c>
      <c r="F760" s="9"/>
      <c r="G760" s="10"/>
      <c r="H760" s="11"/>
      <c r="I760" s="12" t="str">
        <f t="array" ref="I760">IFERROR(INDEX(atlas!B:B,MATCH(A760,atlas!C:C,0)),"")</f>
        <v/>
      </c>
      <c r="J760" s="8" t="str">
        <f>IFERROR(VLOOKUP(F760,tecnica!A:B,2,0),"")</f>
        <v/>
      </c>
      <c r="K760" s="8" t="str">
        <f>IFERROR(VLOOKUP(J760,tecnica!B:C,2,0),"")</f>
        <v/>
      </c>
      <c r="L760" s="13"/>
      <c r="M760" s="14" t="str">
        <f>IFERROR(VLOOKUP(I760,material!A:D,4,0),"")</f>
        <v/>
      </c>
      <c r="N760" s="14" t="str">
        <f t="shared" si="1"/>
        <v/>
      </c>
      <c r="O760" s="15" t="str">
        <f>IFERROR(VLOOKUP(I760,material!A:D,2,0),"")</f>
        <v/>
      </c>
    </row>
    <row r="761">
      <c r="A761" s="6"/>
      <c r="B761" s="7"/>
      <c r="C761" s="8" t="str">
        <f t="array" ref="C761">IFERROR(INDEX(atlas!H:H,MATCH(A761,atlas!C:C,0)),"")</f>
        <v/>
      </c>
      <c r="D761" s="8" t="str">
        <f t="array" ref="D761">IFERROR(INDEX(atlas!D:D,MATCH(A761,atlas!C:C,0)),"")</f>
        <v/>
      </c>
      <c r="E761" s="8" t="str">
        <f t="array" ref="E761">IFERROR(INDEX(atlas!F:F,MATCH(A761,atlas!C:C,0)),"")</f>
        <v/>
      </c>
      <c r="F761" s="9"/>
      <c r="G761" s="10"/>
      <c r="H761" s="11"/>
      <c r="I761" s="12" t="str">
        <f t="array" ref="I761">IFERROR(INDEX(atlas!B:B,MATCH(A761,atlas!C:C,0)),"")</f>
        <v/>
      </c>
      <c r="J761" s="8" t="str">
        <f>IFERROR(VLOOKUP(F761,tecnica!A:B,2,0),"")</f>
        <v/>
      </c>
      <c r="K761" s="8" t="str">
        <f>IFERROR(VLOOKUP(J761,tecnica!B:C,2,0),"")</f>
        <v/>
      </c>
      <c r="L761" s="13"/>
      <c r="M761" s="14" t="str">
        <f>IFERROR(VLOOKUP(I761,material!A:D,4,0),"")</f>
        <v/>
      </c>
      <c r="N761" s="14" t="str">
        <f t="shared" si="1"/>
        <v/>
      </c>
      <c r="O761" s="15" t="str">
        <f>IFERROR(VLOOKUP(I761,material!A:D,2,0),"")</f>
        <v/>
      </c>
    </row>
    <row r="762">
      <c r="A762" s="6"/>
      <c r="B762" s="7"/>
      <c r="C762" s="8" t="str">
        <f t="array" ref="C762">IFERROR(INDEX(atlas!H:H,MATCH(A762,atlas!C:C,0)),"")</f>
        <v/>
      </c>
      <c r="D762" s="8" t="str">
        <f t="array" ref="D762">IFERROR(INDEX(atlas!D:D,MATCH(A762,atlas!C:C,0)),"")</f>
        <v/>
      </c>
      <c r="E762" s="8" t="str">
        <f t="array" ref="E762">IFERROR(INDEX(atlas!F:F,MATCH(A762,atlas!C:C,0)),"")</f>
        <v/>
      </c>
      <c r="F762" s="9"/>
      <c r="G762" s="10"/>
      <c r="H762" s="11"/>
      <c r="I762" s="12" t="str">
        <f t="array" ref="I762">IFERROR(INDEX(atlas!B:B,MATCH(A762,atlas!C:C,0)),"")</f>
        <v/>
      </c>
      <c r="J762" s="8" t="str">
        <f>IFERROR(VLOOKUP(F762,tecnica!A:B,2,0),"")</f>
        <v/>
      </c>
      <c r="K762" s="8" t="str">
        <f>IFERROR(VLOOKUP(J762,tecnica!B:C,2,0),"")</f>
        <v/>
      </c>
      <c r="L762" s="13"/>
      <c r="M762" s="14" t="str">
        <f>IFERROR(VLOOKUP(I762,material!A:D,4,0),"")</f>
        <v/>
      </c>
      <c r="N762" s="14" t="str">
        <f t="shared" si="1"/>
        <v/>
      </c>
      <c r="O762" s="15" t="str">
        <f>IFERROR(VLOOKUP(I762,material!A:D,2,0),"")</f>
        <v/>
      </c>
    </row>
    <row r="763">
      <c r="A763" s="6"/>
      <c r="B763" s="7"/>
      <c r="C763" s="8" t="str">
        <f t="array" ref="C763">IFERROR(INDEX(atlas!H:H,MATCH(A763,atlas!C:C,0)),"")</f>
        <v/>
      </c>
      <c r="D763" s="8" t="str">
        <f t="array" ref="D763">IFERROR(INDEX(atlas!D:D,MATCH(A763,atlas!C:C,0)),"")</f>
        <v/>
      </c>
      <c r="E763" s="8" t="str">
        <f t="array" ref="E763">IFERROR(INDEX(atlas!F:F,MATCH(A763,atlas!C:C,0)),"")</f>
        <v/>
      </c>
      <c r="F763" s="9"/>
      <c r="G763" s="10"/>
      <c r="H763" s="11"/>
      <c r="I763" s="12" t="str">
        <f t="array" ref="I763">IFERROR(INDEX(atlas!B:B,MATCH(A763,atlas!C:C,0)),"")</f>
        <v/>
      </c>
      <c r="J763" s="8" t="str">
        <f>IFERROR(VLOOKUP(F763,tecnica!A:B,2,0),"")</f>
        <v/>
      </c>
      <c r="K763" s="8" t="str">
        <f>IFERROR(VLOOKUP(J763,tecnica!B:C,2,0),"")</f>
        <v/>
      </c>
      <c r="L763" s="13"/>
      <c r="M763" s="14" t="str">
        <f>IFERROR(VLOOKUP(I763,material!A:D,4,0),"")</f>
        <v/>
      </c>
      <c r="N763" s="14" t="str">
        <f t="shared" si="1"/>
        <v/>
      </c>
      <c r="O763" s="15" t="str">
        <f>IFERROR(VLOOKUP(I763,material!A:D,2,0),"")</f>
        <v/>
      </c>
    </row>
    <row r="764">
      <c r="A764" s="6"/>
      <c r="B764" s="7"/>
      <c r="C764" s="8" t="str">
        <f t="array" ref="C764">IFERROR(INDEX(atlas!H:H,MATCH(A764,atlas!C:C,0)),"")</f>
        <v/>
      </c>
      <c r="D764" s="8" t="str">
        <f t="array" ref="D764">IFERROR(INDEX(atlas!D:D,MATCH(A764,atlas!C:C,0)),"")</f>
        <v/>
      </c>
      <c r="E764" s="8" t="str">
        <f t="array" ref="E764">IFERROR(INDEX(atlas!F:F,MATCH(A764,atlas!C:C,0)),"")</f>
        <v/>
      </c>
      <c r="F764" s="9"/>
      <c r="G764" s="10"/>
      <c r="H764" s="11"/>
      <c r="I764" s="12" t="str">
        <f t="array" ref="I764">IFERROR(INDEX(atlas!B:B,MATCH(A764,atlas!C:C,0)),"")</f>
        <v/>
      </c>
      <c r="J764" s="8" t="str">
        <f>IFERROR(VLOOKUP(F764,tecnica!A:B,2,0),"")</f>
        <v/>
      </c>
      <c r="K764" s="8" t="str">
        <f>IFERROR(VLOOKUP(J764,tecnica!B:C,2,0),"")</f>
        <v/>
      </c>
      <c r="L764" s="13"/>
      <c r="M764" s="14" t="str">
        <f>IFERROR(VLOOKUP(I764,material!A:D,4,0),"")</f>
        <v/>
      </c>
      <c r="N764" s="14" t="str">
        <f t="shared" si="1"/>
        <v/>
      </c>
      <c r="O764" s="15" t="str">
        <f>IFERROR(VLOOKUP(I764,material!A:D,2,0),"")</f>
        <v/>
      </c>
    </row>
    <row r="765">
      <c r="A765" s="6"/>
      <c r="B765" s="7"/>
      <c r="C765" s="8" t="str">
        <f t="array" ref="C765">IFERROR(INDEX(atlas!H:H,MATCH(A765,atlas!C:C,0)),"")</f>
        <v/>
      </c>
      <c r="D765" s="8" t="str">
        <f t="array" ref="D765">IFERROR(INDEX(atlas!D:D,MATCH(A765,atlas!C:C,0)),"")</f>
        <v/>
      </c>
      <c r="E765" s="8" t="str">
        <f t="array" ref="E765">IFERROR(INDEX(atlas!F:F,MATCH(A765,atlas!C:C,0)),"")</f>
        <v/>
      </c>
      <c r="F765" s="9"/>
      <c r="G765" s="10"/>
      <c r="H765" s="11"/>
      <c r="I765" s="12" t="str">
        <f t="array" ref="I765">IFERROR(INDEX(atlas!B:B,MATCH(A765,atlas!C:C,0)),"")</f>
        <v/>
      </c>
      <c r="J765" s="8" t="str">
        <f>IFERROR(VLOOKUP(F765,tecnica!A:B,2,0),"")</f>
        <v/>
      </c>
      <c r="K765" s="8" t="str">
        <f>IFERROR(VLOOKUP(J765,tecnica!B:C,2,0),"")</f>
        <v/>
      </c>
      <c r="L765" s="13"/>
      <c r="M765" s="14" t="str">
        <f>IFERROR(VLOOKUP(I765,material!A:D,4,0),"")</f>
        <v/>
      </c>
      <c r="N765" s="14" t="str">
        <f t="shared" si="1"/>
        <v/>
      </c>
      <c r="O765" s="15" t="str">
        <f>IFERROR(VLOOKUP(I765,material!A:D,2,0),"")</f>
        <v/>
      </c>
    </row>
    <row r="766">
      <c r="A766" s="6"/>
      <c r="B766" s="7"/>
      <c r="C766" s="8" t="str">
        <f t="array" ref="C766">IFERROR(INDEX(atlas!H:H,MATCH(A766,atlas!C:C,0)),"")</f>
        <v/>
      </c>
      <c r="D766" s="8" t="str">
        <f t="array" ref="D766">IFERROR(INDEX(atlas!D:D,MATCH(A766,atlas!C:C,0)),"")</f>
        <v/>
      </c>
      <c r="E766" s="8" t="str">
        <f t="array" ref="E766">IFERROR(INDEX(atlas!F:F,MATCH(A766,atlas!C:C,0)),"")</f>
        <v/>
      </c>
      <c r="F766" s="9"/>
      <c r="G766" s="10"/>
      <c r="H766" s="11"/>
      <c r="I766" s="12" t="str">
        <f t="array" ref="I766">IFERROR(INDEX(atlas!B:B,MATCH(A766,atlas!C:C,0)),"")</f>
        <v/>
      </c>
      <c r="J766" s="8" t="str">
        <f>IFERROR(VLOOKUP(F766,tecnica!A:B,2,0),"")</f>
        <v/>
      </c>
      <c r="K766" s="8" t="str">
        <f>IFERROR(VLOOKUP(J766,tecnica!B:C,2,0),"")</f>
        <v/>
      </c>
      <c r="L766" s="13"/>
      <c r="M766" s="14" t="str">
        <f>IFERROR(VLOOKUP(I766,material!A:D,4,0),"")</f>
        <v/>
      </c>
      <c r="N766" s="14" t="str">
        <f t="shared" si="1"/>
        <v/>
      </c>
      <c r="O766" s="15" t="str">
        <f>IFERROR(VLOOKUP(I766,material!A:D,2,0),"")</f>
        <v/>
      </c>
    </row>
    <row r="767">
      <c r="A767" s="6"/>
      <c r="B767" s="7"/>
      <c r="C767" s="8" t="str">
        <f t="array" ref="C767">IFERROR(INDEX(atlas!H:H,MATCH(A767,atlas!C:C,0)),"")</f>
        <v/>
      </c>
      <c r="D767" s="8" t="str">
        <f t="array" ref="D767">IFERROR(INDEX(atlas!D:D,MATCH(A767,atlas!C:C,0)),"")</f>
        <v/>
      </c>
      <c r="E767" s="8" t="str">
        <f t="array" ref="E767">IFERROR(INDEX(atlas!F:F,MATCH(A767,atlas!C:C,0)),"")</f>
        <v/>
      </c>
      <c r="F767" s="9"/>
      <c r="G767" s="10"/>
      <c r="H767" s="11"/>
      <c r="I767" s="12" t="str">
        <f t="array" ref="I767">IFERROR(INDEX(atlas!B:B,MATCH(A767,atlas!C:C,0)),"")</f>
        <v/>
      </c>
      <c r="J767" s="8" t="str">
        <f>IFERROR(VLOOKUP(F767,tecnica!A:B,2,0),"")</f>
        <v/>
      </c>
      <c r="K767" s="8" t="str">
        <f>IFERROR(VLOOKUP(J767,tecnica!B:C,2,0),"")</f>
        <v/>
      </c>
      <c r="L767" s="13"/>
      <c r="M767" s="14" t="str">
        <f>IFERROR(VLOOKUP(I767,material!A:D,4,0),"")</f>
        <v/>
      </c>
      <c r="N767" s="14" t="str">
        <f t="shared" si="1"/>
        <v/>
      </c>
      <c r="O767" s="15" t="str">
        <f>IFERROR(VLOOKUP(I767,material!A:D,2,0),"")</f>
        <v/>
      </c>
    </row>
    <row r="768">
      <c r="A768" s="6"/>
      <c r="B768" s="7"/>
      <c r="C768" s="8" t="str">
        <f t="array" ref="C768">IFERROR(INDEX(atlas!H:H,MATCH(A768,atlas!C:C,0)),"")</f>
        <v/>
      </c>
      <c r="D768" s="8" t="str">
        <f t="array" ref="D768">IFERROR(INDEX(atlas!D:D,MATCH(A768,atlas!C:C,0)),"")</f>
        <v/>
      </c>
      <c r="E768" s="8" t="str">
        <f t="array" ref="E768">IFERROR(INDEX(atlas!F:F,MATCH(A768,atlas!C:C,0)),"")</f>
        <v/>
      </c>
      <c r="F768" s="9"/>
      <c r="G768" s="10"/>
      <c r="H768" s="11"/>
      <c r="I768" s="12" t="str">
        <f t="array" ref="I768">IFERROR(INDEX(atlas!B:B,MATCH(A768,atlas!C:C,0)),"")</f>
        <v/>
      </c>
      <c r="J768" s="8" t="str">
        <f>IFERROR(VLOOKUP(F768,tecnica!A:B,2,0),"")</f>
        <v/>
      </c>
      <c r="K768" s="8" t="str">
        <f>IFERROR(VLOOKUP(J768,tecnica!B:C,2,0),"")</f>
        <v/>
      </c>
      <c r="L768" s="13"/>
      <c r="M768" s="14" t="str">
        <f>IFERROR(VLOOKUP(I768,material!A:D,4,0),"")</f>
        <v/>
      </c>
      <c r="N768" s="14" t="str">
        <f t="shared" si="1"/>
        <v/>
      </c>
      <c r="O768" s="15" t="str">
        <f>IFERROR(VLOOKUP(I768,material!A:D,2,0),"")</f>
        <v/>
      </c>
    </row>
    <row r="769">
      <c r="A769" s="6"/>
      <c r="B769" s="7"/>
      <c r="C769" s="8" t="str">
        <f t="array" ref="C769">IFERROR(INDEX(atlas!H:H,MATCH(A769,atlas!C:C,0)),"")</f>
        <v/>
      </c>
      <c r="D769" s="8" t="str">
        <f t="array" ref="D769">IFERROR(INDEX(atlas!D:D,MATCH(A769,atlas!C:C,0)),"")</f>
        <v/>
      </c>
      <c r="E769" s="8" t="str">
        <f t="array" ref="E769">IFERROR(INDEX(atlas!F:F,MATCH(A769,atlas!C:C,0)),"")</f>
        <v/>
      </c>
      <c r="F769" s="9"/>
      <c r="G769" s="10"/>
      <c r="H769" s="11"/>
      <c r="I769" s="12" t="str">
        <f t="array" ref="I769">IFERROR(INDEX(atlas!B:B,MATCH(A769,atlas!C:C,0)),"")</f>
        <v/>
      </c>
      <c r="J769" s="8" t="str">
        <f>IFERROR(VLOOKUP(F769,tecnica!A:B,2,0),"")</f>
        <v/>
      </c>
      <c r="K769" s="8" t="str">
        <f>IFERROR(VLOOKUP(J769,tecnica!B:C,2,0),"")</f>
        <v/>
      </c>
      <c r="L769" s="13"/>
      <c r="M769" s="14" t="str">
        <f>IFERROR(VLOOKUP(I769,material!A:D,4,0),"")</f>
        <v/>
      </c>
      <c r="N769" s="14" t="str">
        <f t="shared" si="1"/>
        <v/>
      </c>
      <c r="O769" s="15" t="str">
        <f>IFERROR(VLOOKUP(I769,material!A:D,2,0),"")</f>
        <v/>
      </c>
    </row>
    <row r="770">
      <c r="A770" s="6"/>
      <c r="B770" s="7"/>
      <c r="C770" s="8" t="str">
        <f t="array" ref="C770">IFERROR(INDEX(atlas!H:H,MATCH(A770,atlas!C:C,0)),"")</f>
        <v/>
      </c>
      <c r="D770" s="8" t="str">
        <f t="array" ref="D770">IFERROR(INDEX(atlas!D:D,MATCH(A770,atlas!C:C,0)),"")</f>
        <v/>
      </c>
      <c r="E770" s="8" t="str">
        <f t="array" ref="E770">IFERROR(INDEX(atlas!F:F,MATCH(A770,atlas!C:C,0)),"")</f>
        <v/>
      </c>
      <c r="F770" s="9"/>
      <c r="G770" s="10"/>
      <c r="H770" s="11"/>
      <c r="I770" s="12" t="str">
        <f t="array" ref="I770">IFERROR(INDEX(atlas!B:B,MATCH(A770,atlas!C:C,0)),"")</f>
        <v/>
      </c>
      <c r="J770" s="8" t="str">
        <f>IFERROR(VLOOKUP(F770,tecnica!A:B,2,0),"")</f>
        <v/>
      </c>
      <c r="K770" s="8" t="str">
        <f>IFERROR(VLOOKUP(J770,tecnica!B:C,2,0),"")</f>
        <v/>
      </c>
      <c r="L770" s="13"/>
      <c r="M770" s="14" t="str">
        <f>IFERROR(VLOOKUP(I770,material!A:D,4,0),"")</f>
        <v/>
      </c>
      <c r="N770" s="14" t="str">
        <f t="shared" si="1"/>
        <v/>
      </c>
      <c r="O770" s="15" t="str">
        <f>IFERROR(VLOOKUP(I770,material!A:D,2,0),"")</f>
        <v/>
      </c>
    </row>
    <row r="771">
      <c r="A771" s="6"/>
      <c r="B771" s="7"/>
      <c r="C771" s="8" t="str">
        <f t="array" ref="C771">IFERROR(INDEX(atlas!H:H,MATCH(A771,atlas!C:C,0)),"")</f>
        <v/>
      </c>
      <c r="D771" s="8" t="str">
        <f t="array" ref="D771">IFERROR(INDEX(atlas!D:D,MATCH(A771,atlas!C:C,0)),"")</f>
        <v/>
      </c>
      <c r="E771" s="8" t="str">
        <f t="array" ref="E771">IFERROR(INDEX(atlas!F:F,MATCH(A771,atlas!C:C,0)),"")</f>
        <v/>
      </c>
      <c r="F771" s="9"/>
      <c r="G771" s="10"/>
      <c r="H771" s="11"/>
      <c r="I771" s="12" t="str">
        <f t="array" ref="I771">IFERROR(INDEX(atlas!B:B,MATCH(A771,atlas!C:C,0)),"")</f>
        <v/>
      </c>
      <c r="J771" s="8" t="str">
        <f>IFERROR(VLOOKUP(F771,tecnica!A:B,2,0),"")</f>
        <v/>
      </c>
      <c r="K771" s="8" t="str">
        <f>IFERROR(VLOOKUP(J771,tecnica!B:C,2,0),"")</f>
        <v/>
      </c>
      <c r="L771" s="13"/>
      <c r="M771" s="14" t="str">
        <f>IFERROR(VLOOKUP(I771,material!A:D,4,0),"")</f>
        <v/>
      </c>
      <c r="N771" s="14" t="str">
        <f t="shared" si="1"/>
        <v/>
      </c>
      <c r="O771" s="15" t="str">
        <f>IFERROR(VLOOKUP(I771,material!A:D,2,0),"")</f>
        <v/>
      </c>
    </row>
    <row r="772">
      <c r="A772" s="6"/>
      <c r="B772" s="7"/>
      <c r="C772" s="8" t="str">
        <f t="array" ref="C772">IFERROR(INDEX(atlas!H:H,MATCH(A772,atlas!C:C,0)),"")</f>
        <v/>
      </c>
      <c r="D772" s="8" t="str">
        <f t="array" ref="D772">IFERROR(INDEX(atlas!D:D,MATCH(A772,atlas!C:C,0)),"")</f>
        <v/>
      </c>
      <c r="E772" s="8" t="str">
        <f t="array" ref="E772">IFERROR(INDEX(atlas!F:F,MATCH(A772,atlas!C:C,0)),"")</f>
        <v/>
      </c>
      <c r="F772" s="9"/>
      <c r="G772" s="10"/>
      <c r="H772" s="11"/>
      <c r="I772" s="12" t="str">
        <f t="array" ref="I772">IFERROR(INDEX(atlas!B:B,MATCH(A772,atlas!C:C,0)),"")</f>
        <v/>
      </c>
      <c r="J772" s="8" t="str">
        <f>IFERROR(VLOOKUP(F772,tecnica!A:B,2,0),"")</f>
        <v/>
      </c>
      <c r="K772" s="8" t="str">
        <f>IFERROR(VLOOKUP(J772,tecnica!B:C,2,0),"")</f>
        <v/>
      </c>
      <c r="L772" s="13"/>
      <c r="M772" s="14" t="str">
        <f>IFERROR(VLOOKUP(I772,material!A:D,4,0),"")</f>
        <v/>
      </c>
      <c r="N772" s="14" t="str">
        <f t="shared" si="1"/>
        <v/>
      </c>
      <c r="O772" s="15" t="str">
        <f>IFERROR(VLOOKUP(I772,material!A:D,2,0),"")</f>
        <v/>
      </c>
    </row>
    <row r="773">
      <c r="A773" s="6"/>
      <c r="B773" s="7"/>
      <c r="C773" s="8" t="str">
        <f t="array" ref="C773">IFERROR(INDEX(atlas!H:H,MATCH(A773,atlas!C:C,0)),"")</f>
        <v/>
      </c>
      <c r="D773" s="8" t="str">
        <f t="array" ref="D773">IFERROR(INDEX(atlas!D:D,MATCH(A773,atlas!C:C,0)),"")</f>
        <v/>
      </c>
      <c r="E773" s="8" t="str">
        <f t="array" ref="E773">IFERROR(INDEX(atlas!F:F,MATCH(A773,atlas!C:C,0)),"")</f>
        <v/>
      </c>
      <c r="F773" s="9"/>
      <c r="G773" s="10"/>
      <c r="H773" s="11"/>
      <c r="I773" s="12" t="str">
        <f t="array" ref="I773">IFERROR(INDEX(atlas!B:B,MATCH(A773,atlas!C:C,0)),"")</f>
        <v/>
      </c>
      <c r="J773" s="8" t="str">
        <f>IFERROR(VLOOKUP(F773,tecnica!A:B,2,0),"")</f>
        <v/>
      </c>
      <c r="K773" s="8" t="str">
        <f>IFERROR(VLOOKUP(J773,tecnica!B:C,2,0),"")</f>
        <v/>
      </c>
      <c r="L773" s="13"/>
      <c r="M773" s="14" t="str">
        <f>IFERROR(VLOOKUP(I773,material!A:D,4,0),"")</f>
        <v/>
      </c>
      <c r="N773" s="14" t="str">
        <f t="shared" si="1"/>
        <v/>
      </c>
      <c r="O773" s="15" t="str">
        <f>IFERROR(VLOOKUP(I773,material!A:D,2,0),"")</f>
        <v/>
      </c>
    </row>
    <row r="774">
      <c r="A774" s="6"/>
      <c r="B774" s="7"/>
      <c r="C774" s="8" t="str">
        <f t="array" ref="C774">IFERROR(INDEX(atlas!H:H,MATCH(A774,atlas!C:C,0)),"")</f>
        <v/>
      </c>
      <c r="D774" s="8" t="str">
        <f t="array" ref="D774">IFERROR(INDEX(atlas!D:D,MATCH(A774,atlas!C:C,0)),"")</f>
        <v/>
      </c>
      <c r="E774" s="8" t="str">
        <f t="array" ref="E774">IFERROR(INDEX(atlas!F:F,MATCH(A774,atlas!C:C,0)),"")</f>
        <v/>
      </c>
      <c r="F774" s="9"/>
      <c r="G774" s="10"/>
      <c r="H774" s="11"/>
      <c r="I774" s="12" t="str">
        <f t="array" ref="I774">IFERROR(INDEX(atlas!B:B,MATCH(A774,atlas!C:C,0)),"")</f>
        <v/>
      </c>
      <c r="J774" s="8" t="str">
        <f>IFERROR(VLOOKUP(F774,tecnica!A:B,2,0),"")</f>
        <v/>
      </c>
      <c r="K774" s="8" t="str">
        <f>IFERROR(VLOOKUP(J774,tecnica!B:C,2,0),"")</f>
        <v/>
      </c>
      <c r="L774" s="13"/>
      <c r="M774" s="14" t="str">
        <f>IFERROR(VLOOKUP(I774,material!A:D,4,0),"")</f>
        <v/>
      </c>
      <c r="N774" s="14" t="str">
        <f t="shared" si="1"/>
        <v/>
      </c>
      <c r="O774" s="15" t="str">
        <f>IFERROR(VLOOKUP(I774,material!A:D,2,0),"")</f>
        <v/>
      </c>
    </row>
    <row r="775">
      <c r="A775" s="6"/>
      <c r="B775" s="7"/>
      <c r="C775" s="8" t="str">
        <f t="array" ref="C775">IFERROR(INDEX(atlas!H:H,MATCH(A775,atlas!C:C,0)),"")</f>
        <v/>
      </c>
      <c r="D775" s="8" t="str">
        <f t="array" ref="D775">IFERROR(INDEX(atlas!D:D,MATCH(A775,atlas!C:C,0)),"")</f>
        <v/>
      </c>
      <c r="E775" s="8" t="str">
        <f t="array" ref="E775">IFERROR(INDEX(atlas!F:F,MATCH(A775,atlas!C:C,0)),"")</f>
        <v/>
      </c>
      <c r="F775" s="9"/>
      <c r="G775" s="10"/>
      <c r="H775" s="11"/>
      <c r="I775" s="12" t="str">
        <f t="array" ref="I775">IFERROR(INDEX(atlas!B:B,MATCH(A775,atlas!C:C,0)),"")</f>
        <v/>
      </c>
      <c r="J775" s="8" t="str">
        <f>IFERROR(VLOOKUP(F775,tecnica!A:B,2,0),"")</f>
        <v/>
      </c>
      <c r="K775" s="8" t="str">
        <f>IFERROR(VLOOKUP(J775,tecnica!B:C,2,0),"")</f>
        <v/>
      </c>
      <c r="L775" s="13"/>
      <c r="M775" s="14" t="str">
        <f>IFERROR(VLOOKUP(I775,material!A:D,4,0),"")</f>
        <v/>
      </c>
      <c r="N775" s="14" t="str">
        <f t="shared" si="1"/>
        <v/>
      </c>
      <c r="O775" s="15" t="str">
        <f>IFERROR(VLOOKUP(I775,material!A:D,2,0),"")</f>
        <v/>
      </c>
    </row>
    <row r="776">
      <c r="A776" s="6"/>
      <c r="B776" s="7"/>
      <c r="C776" s="8" t="str">
        <f t="array" ref="C776">IFERROR(INDEX(atlas!H:H,MATCH(A776,atlas!C:C,0)),"")</f>
        <v/>
      </c>
      <c r="D776" s="8" t="str">
        <f t="array" ref="D776">IFERROR(INDEX(atlas!D:D,MATCH(A776,atlas!C:C,0)),"")</f>
        <v/>
      </c>
      <c r="E776" s="8" t="str">
        <f t="array" ref="E776">IFERROR(INDEX(atlas!F:F,MATCH(A776,atlas!C:C,0)),"")</f>
        <v/>
      </c>
      <c r="F776" s="9"/>
      <c r="G776" s="10"/>
      <c r="H776" s="11"/>
      <c r="I776" s="12" t="str">
        <f t="array" ref="I776">IFERROR(INDEX(atlas!B:B,MATCH(A776,atlas!C:C,0)),"")</f>
        <v/>
      </c>
      <c r="J776" s="8" t="str">
        <f>IFERROR(VLOOKUP(F776,tecnica!A:B,2,0),"")</f>
        <v/>
      </c>
      <c r="K776" s="8" t="str">
        <f>IFERROR(VLOOKUP(J776,tecnica!B:C,2,0),"")</f>
        <v/>
      </c>
      <c r="L776" s="13"/>
      <c r="M776" s="14" t="str">
        <f>IFERROR(VLOOKUP(I776,material!A:D,4,0),"")</f>
        <v/>
      </c>
      <c r="N776" s="14" t="str">
        <f t="shared" si="1"/>
        <v/>
      </c>
      <c r="O776" s="15" t="str">
        <f>IFERROR(VLOOKUP(I776,material!A:D,2,0),"")</f>
        <v/>
      </c>
    </row>
    <row r="777">
      <c r="A777" s="6"/>
      <c r="B777" s="7"/>
      <c r="C777" s="8" t="str">
        <f t="array" ref="C777">IFERROR(INDEX(atlas!H:H,MATCH(A777,atlas!C:C,0)),"")</f>
        <v/>
      </c>
      <c r="D777" s="8" t="str">
        <f t="array" ref="D777">IFERROR(INDEX(atlas!D:D,MATCH(A777,atlas!C:C,0)),"")</f>
        <v/>
      </c>
      <c r="E777" s="8" t="str">
        <f t="array" ref="E777">IFERROR(INDEX(atlas!F:F,MATCH(A777,atlas!C:C,0)),"")</f>
        <v/>
      </c>
      <c r="F777" s="9"/>
      <c r="G777" s="10"/>
      <c r="H777" s="11"/>
      <c r="I777" s="12" t="str">
        <f t="array" ref="I777">IFERROR(INDEX(atlas!B:B,MATCH(A777,atlas!C:C,0)),"")</f>
        <v/>
      </c>
      <c r="J777" s="8" t="str">
        <f>IFERROR(VLOOKUP(F777,tecnica!A:B,2,0),"")</f>
        <v/>
      </c>
      <c r="K777" s="8" t="str">
        <f>IFERROR(VLOOKUP(J777,tecnica!B:C,2,0),"")</f>
        <v/>
      </c>
      <c r="L777" s="13"/>
      <c r="M777" s="14" t="str">
        <f>IFERROR(VLOOKUP(I777,material!A:D,4,0),"")</f>
        <v/>
      </c>
      <c r="N777" s="14" t="str">
        <f t="shared" si="1"/>
        <v/>
      </c>
      <c r="O777" s="15" t="str">
        <f>IFERROR(VLOOKUP(I777,material!A:D,2,0),"")</f>
        <v/>
      </c>
    </row>
    <row r="778">
      <c r="A778" s="6"/>
      <c r="B778" s="7"/>
      <c r="C778" s="8" t="str">
        <f t="array" ref="C778">IFERROR(INDEX(atlas!H:H,MATCH(A778,atlas!C:C,0)),"")</f>
        <v/>
      </c>
      <c r="D778" s="8" t="str">
        <f t="array" ref="D778">IFERROR(INDEX(atlas!D:D,MATCH(A778,atlas!C:C,0)),"")</f>
        <v/>
      </c>
      <c r="E778" s="8" t="str">
        <f t="array" ref="E778">IFERROR(INDEX(atlas!F:F,MATCH(A778,atlas!C:C,0)),"")</f>
        <v/>
      </c>
      <c r="F778" s="9"/>
      <c r="G778" s="10"/>
      <c r="H778" s="11"/>
      <c r="I778" s="12" t="str">
        <f t="array" ref="I778">IFERROR(INDEX(atlas!B:B,MATCH(A778,atlas!C:C,0)),"")</f>
        <v/>
      </c>
      <c r="J778" s="8" t="str">
        <f>IFERROR(VLOOKUP(F778,tecnica!A:B,2,0),"")</f>
        <v/>
      </c>
      <c r="K778" s="8" t="str">
        <f>IFERROR(VLOOKUP(J778,tecnica!B:C,2,0),"")</f>
        <v/>
      </c>
      <c r="L778" s="13"/>
      <c r="M778" s="14" t="str">
        <f>IFERROR(VLOOKUP(I778,material!A:D,4,0),"")</f>
        <v/>
      </c>
      <c r="N778" s="14" t="str">
        <f t="shared" si="1"/>
        <v/>
      </c>
      <c r="O778" s="15" t="str">
        <f>IFERROR(VLOOKUP(I778,material!A:D,2,0),"")</f>
        <v/>
      </c>
    </row>
    <row r="779">
      <c r="A779" s="6"/>
      <c r="B779" s="7"/>
      <c r="C779" s="8" t="str">
        <f t="array" ref="C779">IFERROR(INDEX(atlas!H:H,MATCH(A779,atlas!C:C,0)),"")</f>
        <v/>
      </c>
      <c r="D779" s="8" t="str">
        <f t="array" ref="D779">IFERROR(INDEX(atlas!D:D,MATCH(A779,atlas!C:C,0)),"")</f>
        <v/>
      </c>
      <c r="E779" s="8" t="str">
        <f t="array" ref="E779">IFERROR(INDEX(atlas!F:F,MATCH(A779,atlas!C:C,0)),"")</f>
        <v/>
      </c>
      <c r="F779" s="9"/>
      <c r="G779" s="10"/>
      <c r="H779" s="11"/>
      <c r="I779" s="12" t="str">
        <f t="array" ref="I779">IFERROR(INDEX(atlas!B:B,MATCH(A779,atlas!C:C,0)),"")</f>
        <v/>
      </c>
      <c r="J779" s="8" t="str">
        <f>IFERROR(VLOOKUP(F779,tecnica!A:B,2,0),"")</f>
        <v/>
      </c>
      <c r="K779" s="8" t="str">
        <f>IFERROR(VLOOKUP(J779,tecnica!B:C,2,0),"")</f>
        <v/>
      </c>
      <c r="L779" s="13"/>
      <c r="M779" s="14" t="str">
        <f>IFERROR(VLOOKUP(I779,material!A:D,4,0),"")</f>
        <v/>
      </c>
      <c r="N779" s="14" t="str">
        <f t="shared" si="1"/>
        <v/>
      </c>
      <c r="O779" s="15" t="str">
        <f>IFERROR(VLOOKUP(I779,material!A:D,2,0),"")</f>
        <v/>
      </c>
    </row>
    <row r="780">
      <c r="A780" s="6"/>
      <c r="B780" s="7"/>
      <c r="C780" s="8" t="str">
        <f t="array" ref="C780">IFERROR(INDEX(atlas!H:H,MATCH(A780,atlas!C:C,0)),"")</f>
        <v/>
      </c>
      <c r="D780" s="8" t="str">
        <f t="array" ref="D780">IFERROR(INDEX(atlas!D:D,MATCH(A780,atlas!C:C,0)),"")</f>
        <v/>
      </c>
      <c r="E780" s="8" t="str">
        <f t="array" ref="E780">IFERROR(INDEX(atlas!F:F,MATCH(A780,atlas!C:C,0)),"")</f>
        <v/>
      </c>
      <c r="F780" s="9"/>
      <c r="G780" s="10"/>
      <c r="H780" s="11"/>
      <c r="I780" s="12" t="str">
        <f t="array" ref="I780">IFERROR(INDEX(atlas!B:B,MATCH(A780,atlas!C:C,0)),"")</f>
        <v/>
      </c>
      <c r="J780" s="8" t="str">
        <f>IFERROR(VLOOKUP(F780,tecnica!A:B,2,0),"")</f>
        <v/>
      </c>
      <c r="K780" s="8" t="str">
        <f>IFERROR(VLOOKUP(J780,tecnica!B:C,2,0),"")</f>
        <v/>
      </c>
      <c r="L780" s="13"/>
      <c r="M780" s="14" t="str">
        <f>IFERROR(VLOOKUP(I780,material!A:D,4,0),"")</f>
        <v/>
      </c>
      <c r="N780" s="14" t="str">
        <f t="shared" si="1"/>
        <v/>
      </c>
      <c r="O780" s="15" t="str">
        <f>IFERROR(VLOOKUP(I780,material!A:D,2,0),"")</f>
        <v/>
      </c>
    </row>
    <row r="781">
      <c r="A781" s="6"/>
      <c r="B781" s="7"/>
      <c r="C781" s="8" t="str">
        <f t="array" ref="C781">IFERROR(INDEX(atlas!H:H,MATCH(A781,atlas!C:C,0)),"")</f>
        <v/>
      </c>
      <c r="D781" s="8" t="str">
        <f t="array" ref="D781">IFERROR(INDEX(atlas!D:D,MATCH(A781,atlas!C:C,0)),"")</f>
        <v/>
      </c>
      <c r="E781" s="8" t="str">
        <f t="array" ref="E781">IFERROR(INDEX(atlas!F:F,MATCH(A781,atlas!C:C,0)),"")</f>
        <v/>
      </c>
      <c r="F781" s="9"/>
      <c r="G781" s="10"/>
      <c r="H781" s="11"/>
      <c r="I781" s="12" t="str">
        <f t="array" ref="I781">IFERROR(INDEX(atlas!B:B,MATCH(A781,atlas!C:C,0)),"")</f>
        <v/>
      </c>
      <c r="J781" s="8" t="str">
        <f>IFERROR(VLOOKUP(F781,tecnica!A:B,2,0),"")</f>
        <v/>
      </c>
      <c r="K781" s="8" t="str">
        <f>IFERROR(VLOOKUP(J781,tecnica!B:C,2,0),"")</f>
        <v/>
      </c>
      <c r="L781" s="13"/>
      <c r="M781" s="14" t="str">
        <f>IFERROR(VLOOKUP(I781,material!A:D,4,0),"")</f>
        <v/>
      </c>
      <c r="N781" s="14" t="str">
        <f t="shared" si="1"/>
        <v/>
      </c>
      <c r="O781" s="15" t="str">
        <f>IFERROR(VLOOKUP(I781,material!A:D,2,0),"")</f>
        <v/>
      </c>
    </row>
    <row r="782">
      <c r="A782" s="6"/>
      <c r="B782" s="7"/>
      <c r="C782" s="8" t="str">
        <f t="array" ref="C782">IFERROR(INDEX(atlas!H:H,MATCH(A782,atlas!C:C,0)),"")</f>
        <v/>
      </c>
      <c r="D782" s="8" t="str">
        <f t="array" ref="D782">IFERROR(INDEX(atlas!D:D,MATCH(A782,atlas!C:C,0)),"")</f>
        <v/>
      </c>
      <c r="E782" s="8" t="str">
        <f t="array" ref="E782">IFERROR(INDEX(atlas!F:F,MATCH(A782,atlas!C:C,0)),"")</f>
        <v/>
      </c>
      <c r="F782" s="9"/>
      <c r="G782" s="10"/>
      <c r="H782" s="11"/>
      <c r="I782" s="12" t="str">
        <f t="array" ref="I782">IFERROR(INDEX(atlas!B:B,MATCH(A782,atlas!C:C,0)),"")</f>
        <v/>
      </c>
      <c r="J782" s="8" t="str">
        <f>IFERROR(VLOOKUP(F782,tecnica!A:B,2,0),"")</f>
        <v/>
      </c>
      <c r="K782" s="8" t="str">
        <f>IFERROR(VLOOKUP(J782,tecnica!B:C,2,0),"")</f>
        <v/>
      </c>
      <c r="L782" s="13"/>
      <c r="M782" s="14" t="str">
        <f>IFERROR(VLOOKUP(I782,material!A:D,4,0),"")</f>
        <v/>
      </c>
      <c r="N782" s="14" t="str">
        <f t="shared" si="1"/>
        <v/>
      </c>
      <c r="O782" s="15" t="str">
        <f>IFERROR(VLOOKUP(I782,material!A:D,2,0),"")</f>
        <v/>
      </c>
    </row>
    <row r="783">
      <c r="A783" s="6"/>
      <c r="B783" s="7"/>
      <c r="C783" s="8" t="str">
        <f t="array" ref="C783">IFERROR(INDEX(atlas!H:H,MATCH(A783,atlas!C:C,0)),"")</f>
        <v/>
      </c>
      <c r="D783" s="8" t="str">
        <f t="array" ref="D783">IFERROR(INDEX(atlas!D:D,MATCH(A783,atlas!C:C,0)),"")</f>
        <v/>
      </c>
      <c r="E783" s="8" t="str">
        <f t="array" ref="E783">IFERROR(INDEX(atlas!F:F,MATCH(A783,atlas!C:C,0)),"")</f>
        <v/>
      </c>
      <c r="F783" s="9"/>
      <c r="G783" s="10"/>
      <c r="H783" s="11"/>
      <c r="I783" s="12" t="str">
        <f t="array" ref="I783">IFERROR(INDEX(atlas!B:B,MATCH(A783,atlas!C:C,0)),"")</f>
        <v/>
      </c>
      <c r="J783" s="8" t="str">
        <f>IFERROR(VLOOKUP(F783,tecnica!A:B,2,0),"")</f>
        <v/>
      </c>
      <c r="K783" s="8" t="str">
        <f>IFERROR(VLOOKUP(J783,tecnica!B:C,2,0),"")</f>
        <v/>
      </c>
      <c r="L783" s="13"/>
      <c r="M783" s="14" t="str">
        <f>IFERROR(VLOOKUP(I783,material!A:D,4,0),"")</f>
        <v/>
      </c>
      <c r="N783" s="14" t="str">
        <f t="shared" si="1"/>
        <v/>
      </c>
      <c r="O783" s="15" t="str">
        <f>IFERROR(VLOOKUP(I783,material!A:D,2,0),"")</f>
        <v/>
      </c>
    </row>
    <row r="784">
      <c r="A784" s="6"/>
      <c r="B784" s="7"/>
      <c r="C784" s="8" t="str">
        <f t="array" ref="C784">IFERROR(INDEX(atlas!H:H,MATCH(A784,atlas!C:C,0)),"")</f>
        <v/>
      </c>
      <c r="D784" s="8" t="str">
        <f t="array" ref="D784">IFERROR(INDEX(atlas!D:D,MATCH(A784,atlas!C:C,0)),"")</f>
        <v/>
      </c>
      <c r="E784" s="8" t="str">
        <f t="array" ref="E784">IFERROR(INDEX(atlas!F:F,MATCH(A784,atlas!C:C,0)),"")</f>
        <v/>
      </c>
      <c r="F784" s="9"/>
      <c r="G784" s="10"/>
      <c r="H784" s="11"/>
      <c r="I784" s="12" t="str">
        <f t="array" ref="I784">IFERROR(INDEX(atlas!B:B,MATCH(A784,atlas!C:C,0)),"")</f>
        <v/>
      </c>
      <c r="J784" s="8" t="str">
        <f>IFERROR(VLOOKUP(F784,tecnica!A:B,2,0),"")</f>
        <v/>
      </c>
      <c r="K784" s="8" t="str">
        <f>IFERROR(VLOOKUP(J784,tecnica!B:C,2,0),"")</f>
        <v/>
      </c>
      <c r="L784" s="13"/>
      <c r="M784" s="14" t="str">
        <f>IFERROR(VLOOKUP(I784,material!A:D,4,0),"")</f>
        <v/>
      </c>
      <c r="N784" s="14" t="str">
        <f t="shared" si="1"/>
        <v/>
      </c>
      <c r="O784" s="15" t="str">
        <f>IFERROR(VLOOKUP(I784,material!A:D,2,0),"")</f>
        <v/>
      </c>
    </row>
    <row r="785">
      <c r="A785" s="6"/>
      <c r="B785" s="7"/>
      <c r="C785" s="8" t="str">
        <f t="array" ref="C785">IFERROR(INDEX(atlas!H:H,MATCH(A785,atlas!C:C,0)),"")</f>
        <v/>
      </c>
      <c r="D785" s="8" t="str">
        <f t="array" ref="D785">IFERROR(INDEX(atlas!D:D,MATCH(A785,atlas!C:C,0)),"")</f>
        <v/>
      </c>
      <c r="E785" s="8" t="str">
        <f t="array" ref="E785">IFERROR(INDEX(atlas!F:F,MATCH(A785,atlas!C:C,0)),"")</f>
        <v/>
      </c>
      <c r="F785" s="9"/>
      <c r="G785" s="10"/>
      <c r="H785" s="11"/>
      <c r="I785" s="12" t="str">
        <f t="array" ref="I785">IFERROR(INDEX(atlas!B:B,MATCH(A785,atlas!C:C,0)),"")</f>
        <v/>
      </c>
      <c r="J785" s="8" t="str">
        <f>IFERROR(VLOOKUP(F785,tecnica!A:B,2,0),"")</f>
        <v/>
      </c>
      <c r="K785" s="8" t="str">
        <f>IFERROR(VLOOKUP(J785,tecnica!B:C,2,0),"")</f>
        <v/>
      </c>
      <c r="L785" s="13"/>
      <c r="M785" s="14" t="str">
        <f>IFERROR(VLOOKUP(I785,material!A:D,4,0),"")</f>
        <v/>
      </c>
      <c r="N785" s="14" t="str">
        <f t="shared" si="1"/>
        <v/>
      </c>
      <c r="O785" s="15" t="str">
        <f>IFERROR(VLOOKUP(I785,material!A:D,2,0),"")</f>
        <v/>
      </c>
    </row>
    <row r="786">
      <c r="A786" s="6"/>
      <c r="B786" s="7"/>
      <c r="C786" s="8" t="str">
        <f t="array" ref="C786">IFERROR(INDEX(atlas!H:H,MATCH(A786,atlas!C:C,0)),"")</f>
        <v/>
      </c>
      <c r="D786" s="8" t="str">
        <f t="array" ref="D786">IFERROR(INDEX(atlas!D:D,MATCH(A786,atlas!C:C,0)),"")</f>
        <v/>
      </c>
      <c r="E786" s="8" t="str">
        <f t="array" ref="E786">IFERROR(INDEX(atlas!F:F,MATCH(A786,atlas!C:C,0)),"")</f>
        <v/>
      </c>
      <c r="F786" s="9"/>
      <c r="G786" s="10"/>
      <c r="H786" s="11"/>
      <c r="I786" s="12" t="str">
        <f t="array" ref="I786">IFERROR(INDEX(atlas!B:B,MATCH(A786,atlas!C:C,0)),"")</f>
        <v/>
      </c>
      <c r="J786" s="8" t="str">
        <f>IFERROR(VLOOKUP(F786,tecnica!A:B,2,0),"")</f>
        <v/>
      </c>
      <c r="K786" s="8" t="str">
        <f>IFERROR(VLOOKUP(J786,tecnica!B:C,2,0),"")</f>
        <v/>
      </c>
      <c r="L786" s="13"/>
      <c r="M786" s="14" t="str">
        <f>IFERROR(VLOOKUP(I786,material!A:D,4,0),"")</f>
        <v/>
      </c>
      <c r="N786" s="14" t="str">
        <f t="shared" si="1"/>
        <v/>
      </c>
      <c r="O786" s="15" t="str">
        <f>IFERROR(VLOOKUP(I786,material!A:D,2,0),"")</f>
        <v/>
      </c>
    </row>
    <row r="787">
      <c r="A787" s="6"/>
      <c r="B787" s="7"/>
      <c r="C787" s="8" t="str">
        <f t="array" ref="C787">IFERROR(INDEX(atlas!H:H,MATCH(A787,atlas!C:C,0)),"")</f>
        <v/>
      </c>
      <c r="D787" s="8" t="str">
        <f t="array" ref="D787">IFERROR(INDEX(atlas!D:D,MATCH(A787,atlas!C:C,0)),"")</f>
        <v/>
      </c>
      <c r="E787" s="8" t="str">
        <f t="array" ref="E787">IFERROR(INDEX(atlas!F:F,MATCH(A787,atlas!C:C,0)),"")</f>
        <v/>
      </c>
      <c r="F787" s="9"/>
      <c r="G787" s="10"/>
      <c r="H787" s="11"/>
      <c r="I787" s="12" t="str">
        <f t="array" ref="I787">IFERROR(INDEX(atlas!B:B,MATCH(A787,atlas!C:C,0)),"")</f>
        <v/>
      </c>
      <c r="J787" s="8" t="str">
        <f>IFERROR(VLOOKUP(F787,tecnica!A:B,2,0),"")</f>
        <v/>
      </c>
      <c r="K787" s="8" t="str">
        <f>IFERROR(VLOOKUP(J787,tecnica!B:C,2,0),"")</f>
        <v/>
      </c>
      <c r="L787" s="13"/>
      <c r="M787" s="14" t="str">
        <f>IFERROR(VLOOKUP(I787,material!A:D,4,0),"")</f>
        <v/>
      </c>
      <c r="N787" s="14" t="str">
        <f t="shared" si="1"/>
        <v/>
      </c>
      <c r="O787" s="15" t="str">
        <f>IFERROR(VLOOKUP(I787,material!A:D,2,0),"")</f>
        <v/>
      </c>
    </row>
    <row r="788">
      <c r="A788" s="6"/>
      <c r="B788" s="7"/>
      <c r="C788" s="8" t="str">
        <f t="array" ref="C788">IFERROR(INDEX(atlas!H:H,MATCH(A788,atlas!C:C,0)),"")</f>
        <v/>
      </c>
      <c r="D788" s="8" t="str">
        <f t="array" ref="D788">IFERROR(INDEX(atlas!D:D,MATCH(A788,atlas!C:C,0)),"")</f>
        <v/>
      </c>
      <c r="E788" s="8" t="str">
        <f t="array" ref="E788">IFERROR(INDEX(atlas!F:F,MATCH(A788,atlas!C:C,0)),"")</f>
        <v/>
      </c>
      <c r="F788" s="9"/>
      <c r="G788" s="10"/>
      <c r="H788" s="11"/>
      <c r="I788" s="12" t="str">
        <f t="array" ref="I788">IFERROR(INDEX(atlas!B:B,MATCH(A788,atlas!C:C,0)),"")</f>
        <v/>
      </c>
      <c r="J788" s="8" t="str">
        <f>IFERROR(VLOOKUP(F788,tecnica!A:B,2,0),"")</f>
        <v/>
      </c>
      <c r="K788" s="8" t="str">
        <f>IFERROR(VLOOKUP(J788,tecnica!B:C,2,0),"")</f>
        <v/>
      </c>
      <c r="L788" s="13"/>
      <c r="M788" s="14" t="str">
        <f>IFERROR(VLOOKUP(I788,material!A:D,4,0),"")</f>
        <v/>
      </c>
      <c r="N788" s="14" t="str">
        <f t="shared" si="1"/>
        <v/>
      </c>
      <c r="O788" s="15" t="str">
        <f>IFERROR(VLOOKUP(I788,material!A:D,2,0),"")</f>
        <v/>
      </c>
    </row>
    <row r="789">
      <c r="A789" s="6"/>
      <c r="B789" s="7"/>
      <c r="C789" s="8" t="str">
        <f t="array" ref="C789">IFERROR(INDEX(atlas!H:H,MATCH(A789,atlas!C:C,0)),"")</f>
        <v/>
      </c>
      <c r="D789" s="8" t="str">
        <f t="array" ref="D789">IFERROR(INDEX(atlas!D:D,MATCH(A789,atlas!C:C,0)),"")</f>
        <v/>
      </c>
      <c r="E789" s="8" t="str">
        <f t="array" ref="E789">IFERROR(INDEX(atlas!F:F,MATCH(A789,atlas!C:C,0)),"")</f>
        <v/>
      </c>
      <c r="F789" s="9"/>
      <c r="G789" s="10"/>
      <c r="H789" s="11"/>
      <c r="I789" s="12" t="str">
        <f t="array" ref="I789">IFERROR(INDEX(atlas!B:B,MATCH(A789,atlas!C:C,0)),"")</f>
        <v/>
      </c>
      <c r="J789" s="8" t="str">
        <f>IFERROR(VLOOKUP(F789,tecnica!A:B,2,0),"")</f>
        <v/>
      </c>
      <c r="K789" s="8" t="str">
        <f>IFERROR(VLOOKUP(J789,tecnica!B:C,2,0),"")</f>
        <v/>
      </c>
      <c r="L789" s="13"/>
      <c r="M789" s="14" t="str">
        <f>IFERROR(VLOOKUP(I789,material!A:D,4,0),"")</f>
        <v/>
      </c>
      <c r="N789" s="14" t="str">
        <f t="shared" si="1"/>
        <v/>
      </c>
      <c r="O789" s="15" t="str">
        <f>IFERROR(VLOOKUP(I789,material!A:D,2,0),"")</f>
        <v/>
      </c>
    </row>
    <row r="790">
      <c r="A790" s="6"/>
      <c r="B790" s="7"/>
      <c r="C790" s="8" t="str">
        <f t="array" ref="C790">IFERROR(INDEX(atlas!H:H,MATCH(A790,atlas!C:C,0)),"")</f>
        <v/>
      </c>
      <c r="D790" s="8" t="str">
        <f t="array" ref="D790">IFERROR(INDEX(atlas!D:D,MATCH(A790,atlas!C:C,0)),"")</f>
        <v/>
      </c>
      <c r="E790" s="8" t="str">
        <f t="array" ref="E790">IFERROR(INDEX(atlas!F:F,MATCH(A790,atlas!C:C,0)),"")</f>
        <v/>
      </c>
      <c r="F790" s="9"/>
      <c r="G790" s="10"/>
      <c r="H790" s="11"/>
      <c r="I790" s="12" t="str">
        <f t="array" ref="I790">IFERROR(INDEX(atlas!B:B,MATCH(A790,atlas!C:C,0)),"")</f>
        <v/>
      </c>
      <c r="J790" s="8" t="str">
        <f>IFERROR(VLOOKUP(F790,tecnica!A:B,2,0),"")</f>
        <v/>
      </c>
      <c r="K790" s="8" t="str">
        <f>IFERROR(VLOOKUP(J790,tecnica!B:C,2,0),"")</f>
        <v/>
      </c>
      <c r="L790" s="13"/>
      <c r="M790" s="14" t="str">
        <f>IFERROR(VLOOKUP(I790,material!A:D,4,0),"")</f>
        <v/>
      </c>
      <c r="N790" s="14" t="str">
        <f t="shared" si="1"/>
        <v/>
      </c>
      <c r="O790" s="15" t="str">
        <f>IFERROR(VLOOKUP(I790,material!A:D,2,0),"")</f>
        <v/>
      </c>
    </row>
    <row r="791">
      <c r="A791" s="6"/>
      <c r="B791" s="7"/>
      <c r="C791" s="8" t="str">
        <f t="array" ref="C791">IFERROR(INDEX(atlas!H:H,MATCH(A791,atlas!C:C,0)),"")</f>
        <v/>
      </c>
      <c r="D791" s="8" t="str">
        <f t="array" ref="D791">IFERROR(INDEX(atlas!D:D,MATCH(A791,atlas!C:C,0)),"")</f>
        <v/>
      </c>
      <c r="E791" s="8" t="str">
        <f t="array" ref="E791">IFERROR(INDEX(atlas!F:F,MATCH(A791,atlas!C:C,0)),"")</f>
        <v/>
      </c>
      <c r="F791" s="9"/>
      <c r="G791" s="10"/>
      <c r="H791" s="11"/>
      <c r="I791" s="12" t="str">
        <f t="array" ref="I791">IFERROR(INDEX(atlas!B:B,MATCH(A791,atlas!C:C,0)),"")</f>
        <v/>
      </c>
      <c r="J791" s="8" t="str">
        <f>IFERROR(VLOOKUP(F791,tecnica!A:B,2,0),"")</f>
        <v/>
      </c>
      <c r="K791" s="8" t="str">
        <f>IFERROR(VLOOKUP(J791,tecnica!B:C,2,0),"")</f>
        <v/>
      </c>
      <c r="L791" s="13"/>
      <c r="M791" s="14" t="str">
        <f>IFERROR(VLOOKUP(I791,material!A:D,4,0),"")</f>
        <v/>
      </c>
      <c r="N791" s="14" t="str">
        <f t="shared" si="1"/>
        <v/>
      </c>
      <c r="O791" s="15" t="str">
        <f>IFERROR(VLOOKUP(I791,material!A:D,2,0),"")</f>
        <v/>
      </c>
    </row>
    <row r="792">
      <c r="A792" s="6"/>
      <c r="B792" s="7"/>
      <c r="C792" s="8" t="str">
        <f t="array" ref="C792">IFERROR(INDEX(atlas!H:H,MATCH(A792,atlas!C:C,0)),"")</f>
        <v/>
      </c>
      <c r="D792" s="8" t="str">
        <f t="array" ref="D792">IFERROR(INDEX(atlas!D:D,MATCH(A792,atlas!C:C,0)),"")</f>
        <v/>
      </c>
      <c r="E792" s="8" t="str">
        <f t="array" ref="E792">IFERROR(INDEX(atlas!F:F,MATCH(A792,atlas!C:C,0)),"")</f>
        <v/>
      </c>
      <c r="F792" s="9"/>
      <c r="G792" s="10"/>
      <c r="H792" s="11"/>
      <c r="I792" s="12" t="str">
        <f t="array" ref="I792">IFERROR(INDEX(atlas!B:B,MATCH(A792,atlas!C:C,0)),"")</f>
        <v/>
      </c>
      <c r="J792" s="8" t="str">
        <f>IFERROR(VLOOKUP(F792,tecnica!A:B,2,0),"")</f>
        <v/>
      </c>
      <c r="K792" s="8" t="str">
        <f>IFERROR(VLOOKUP(J792,tecnica!B:C,2,0),"")</f>
        <v/>
      </c>
      <c r="L792" s="13"/>
      <c r="M792" s="14" t="str">
        <f>IFERROR(VLOOKUP(I792,material!A:D,4,0),"")</f>
        <v/>
      </c>
      <c r="N792" s="14" t="str">
        <f t="shared" si="1"/>
        <v/>
      </c>
      <c r="O792" s="15" t="str">
        <f>IFERROR(VLOOKUP(I792,material!A:D,2,0),"")</f>
        <v/>
      </c>
    </row>
    <row r="793">
      <c r="A793" s="6"/>
      <c r="B793" s="7"/>
      <c r="C793" s="8" t="str">
        <f t="array" ref="C793">IFERROR(INDEX(atlas!H:H,MATCH(A793,atlas!C:C,0)),"")</f>
        <v/>
      </c>
      <c r="D793" s="8" t="str">
        <f t="array" ref="D793">IFERROR(INDEX(atlas!D:D,MATCH(A793,atlas!C:C,0)),"")</f>
        <v/>
      </c>
      <c r="E793" s="8" t="str">
        <f t="array" ref="E793">IFERROR(INDEX(atlas!F:F,MATCH(A793,atlas!C:C,0)),"")</f>
        <v/>
      </c>
      <c r="F793" s="9"/>
      <c r="G793" s="10"/>
      <c r="H793" s="11"/>
      <c r="I793" s="12" t="str">
        <f t="array" ref="I793">IFERROR(INDEX(atlas!B:B,MATCH(A793,atlas!C:C,0)),"")</f>
        <v/>
      </c>
      <c r="J793" s="8" t="str">
        <f>IFERROR(VLOOKUP(F793,tecnica!A:B,2,0),"")</f>
        <v/>
      </c>
      <c r="K793" s="8" t="str">
        <f>IFERROR(VLOOKUP(J793,tecnica!B:C,2,0),"")</f>
        <v/>
      </c>
      <c r="L793" s="13"/>
      <c r="M793" s="14" t="str">
        <f>IFERROR(VLOOKUP(I793,material!A:D,4,0),"")</f>
        <v/>
      </c>
      <c r="N793" s="14" t="str">
        <f t="shared" si="1"/>
        <v/>
      </c>
      <c r="O793" s="15" t="str">
        <f>IFERROR(VLOOKUP(I793,material!A:D,2,0),"")</f>
        <v/>
      </c>
    </row>
    <row r="794">
      <c r="A794" s="6"/>
      <c r="B794" s="7"/>
      <c r="C794" s="8" t="str">
        <f t="array" ref="C794">IFERROR(INDEX(atlas!H:H,MATCH(A794,atlas!C:C,0)),"")</f>
        <v/>
      </c>
      <c r="D794" s="8" t="str">
        <f t="array" ref="D794">IFERROR(INDEX(atlas!D:D,MATCH(A794,atlas!C:C,0)),"")</f>
        <v/>
      </c>
      <c r="E794" s="8" t="str">
        <f t="array" ref="E794">IFERROR(INDEX(atlas!F:F,MATCH(A794,atlas!C:C,0)),"")</f>
        <v/>
      </c>
      <c r="F794" s="9"/>
      <c r="G794" s="10"/>
      <c r="H794" s="11"/>
      <c r="I794" s="12" t="str">
        <f t="array" ref="I794">IFERROR(INDEX(atlas!B:B,MATCH(A794,atlas!C:C,0)),"")</f>
        <v/>
      </c>
      <c r="J794" s="8" t="str">
        <f>IFERROR(VLOOKUP(F794,tecnica!A:B,2,0),"")</f>
        <v/>
      </c>
      <c r="K794" s="8" t="str">
        <f>IFERROR(VLOOKUP(J794,tecnica!B:C,2,0),"")</f>
        <v/>
      </c>
      <c r="L794" s="13"/>
      <c r="M794" s="14" t="str">
        <f>IFERROR(VLOOKUP(I794,material!A:D,4,0),"")</f>
        <v/>
      </c>
      <c r="N794" s="14" t="str">
        <f t="shared" si="1"/>
        <v/>
      </c>
      <c r="O794" s="15" t="str">
        <f>IFERROR(VLOOKUP(I794,material!A:D,2,0),"")</f>
        <v/>
      </c>
    </row>
    <row r="795">
      <c r="A795" s="6"/>
      <c r="B795" s="7"/>
      <c r="C795" s="8" t="str">
        <f t="array" ref="C795">IFERROR(INDEX(atlas!H:H,MATCH(A795,atlas!C:C,0)),"")</f>
        <v/>
      </c>
      <c r="D795" s="8" t="str">
        <f t="array" ref="D795">IFERROR(INDEX(atlas!D:D,MATCH(A795,atlas!C:C,0)),"")</f>
        <v/>
      </c>
      <c r="E795" s="8" t="str">
        <f t="array" ref="E795">IFERROR(INDEX(atlas!F:F,MATCH(A795,atlas!C:C,0)),"")</f>
        <v/>
      </c>
      <c r="F795" s="9"/>
      <c r="G795" s="10"/>
      <c r="H795" s="11"/>
      <c r="I795" s="12" t="str">
        <f t="array" ref="I795">IFERROR(INDEX(atlas!B:B,MATCH(A795,atlas!C:C,0)),"")</f>
        <v/>
      </c>
      <c r="J795" s="8" t="str">
        <f>IFERROR(VLOOKUP(F795,tecnica!A:B,2,0),"")</f>
        <v/>
      </c>
      <c r="K795" s="8" t="str">
        <f>IFERROR(VLOOKUP(J795,tecnica!B:C,2,0),"")</f>
        <v/>
      </c>
      <c r="L795" s="13"/>
      <c r="M795" s="14" t="str">
        <f>IFERROR(VLOOKUP(I795,material!A:D,4,0),"")</f>
        <v/>
      </c>
      <c r="N795" s="14" t="str">
        <f t="shared" si="1"/>
        <v/>
      </c>
      <c r="O795" s="15" t="str">
        <f>IFERROR(VLOOKUP(I795,material!A:D,2,0),"")</f>
        <v/>
      </c>
    </row>
    <row r="796">
      <c r="A796" s="6"/>
      <c r="B796" s="7"/>
      <c r="C796" s="8" t="str">
        <f t="array" ref="C796">IFERROR(INDEX(atlas!H:H,MATCH(A796,atlas!C:C,0)),"")</f>
        <v/>
      </c>
      <c r="D796" s="8" t="str">
        <f t="array" ref="D796">IFERROR(INDEX(atlas!D:D,MATCH(A796,atlas!C:C,0)),"")</f>
        <v/>
      </c>
      <c r="E796" s="8" t="str">
        <f t="array" ref="E796">IFERROR(INDEX(atlas!F:F,MATCH(A796,atlas!C:C,0)),"")</f>
        <v/>
      </c>
      <c r="F796" s="9"/>
      <c r="G796" s="10"/>
      <c r="H796" s="11"/>
      <c r="I796" s="12" t="str">
        <f t="array" ref="I796">IFERROR(INDEX(atlas!B:B,MATCH(A796,atlas!C:C,0)),"")</f>
        <v/>
      </c>
      <c r="J796" s="8" t="str">
        <f>IFERROR(VLOOKUP(F796,tecnica!A:B,2,0),"")</f>
        <v/>
      </c>
      <c r="K796" s="8" t="str">
        <f>IFERROR(VLOOKUP(J796,tecnica!B:C,2,0),"")</f>
        <v/>
      </c>
      <c r="L796" s="13"/>
      <c r="M796" s="14" t="str">
        <f>IFERROR(VLOOKUP(I796,material!A:D,4,0),"")</f>
        <v/>
      </c>
      <c r="N796" s="14" t="str">
        <f t="shared" si="1"/>
        <v/>
      </c>
      <c r="O796" s="15" t="str">
        <f>IFERROR(VLOOKUP(I796,material!A:D,2,0),"")</f>
        <v/>
      </c>
    </row>
    <row r="797">
      <c r="A797" s="6"/>
      <c r="B797" s="7"/>
      <c r="C797" s="8" t="str">
        <f t="array" ref="C797">IFERROR(INDEX(atlas!H:H,MATCH(A797,atlas!C:C,0)),"")</f>
        <v/>
      </c>
      <c r="D797" s="8" t="str">
        <f t="array" ref="D797">IFERROR(INDEX(atlas!D:D,MATCH(A797,atlas!C:C,0)),"")</f>
        <v/>
      </c>
      <c r="E797" s="8" t="str">
        <f t="array" ref="E797">IFERROR(INDEX(atlas!F:F,MATCH(A797,atlas!C:C,0)),"")</f>
        <v/>
      </c>
      <c r="F797" s="9"/>
      <c r="G797" s="10"/>
      <c r="H797" s="11"/>
      <c r="I797" s="12" t="str">
        <f t="array" ref="I797">IFERROR(INDEX(atlas!B:B,MATCH(A797,atlas!C:C,0)),"")</f>
        <v/>
      </c>
      <c r="J797" s="8" t="str">
        <f>IFERROR(VLOOKUP(F797,tecnica!A:B,2,0),"")</f>
        <v/>
      </c>
      <c r="K797" s="8" t="str">
        <f>IFERROR(VLOOKUP(J797,tecnica!B:C,2,0),"")</f>
        <v/>
      </c>
      <c r="L797" s="13"/>
      <c r="M797" s="14" t="str">
        <f>IFERROR(VLOOKUP(I797,material!A:D,4,0),"")</f>
        <v/>
      </c>
      <c r="N797" s="14" t="str">
        <f t="shared" si="1"/>
        <v/>
      </c>
      <c r="O797" s="15" t="str">
        <f>IFERROR(VLOOKUP(I797,material!A:D,2,0),"")</f>
        <v/>
      </c>
    </row>
    <row r="798">
      <c r="A798" s="6"/>
      <c r="B798" s="7"/>
      <c r="C798" s="8" t="str">
        <f t="array" ref="C798">IFERROR(INDEX(atlas!H:H,MATCH(A798,atlas!C:C,0)),"")</f>
        <v/>
      </c>
      <c r="D798" s="8" t="str">
        <f t="array" ref="D798">IFERROR(INDEX(atlas!D:D,MATCH(A798,atlas!C:C,0)),"")</f>
        <v/>
      </c>
      <c r="E798" s="8" t="str">
        <f t="array" ref="E798">IFERROR(INDEX(atlas!F:F,MATCH(A798,atlas!C:C,0)),"")</f>
        <v/>
      </c>
      <c r="F798" s="9"/>
      <c r="G798" s="10"/>
      <c r="H798" s="11"/>
      <c r="I798" s="12" t="str">
        <f t="array" ref="I798">IFERROR(INDEX(atlas!B:B,MATCH(A798,atlas!C:C,0)),"")</f>
        <v/>
      </c>
      <c r="J798" s="8" t="str">
        <f>IFERROR(VLOOKUP(F798,tecnica!A:B,2,0),"")</f>
        <v/>
      </c>
      <c r="K798" s="8" t="str">
        <f>IFERROR(VLOOKUP(J798,tecnica!B:C,2,0),"")</f>
        <v/>
      </c>
      <c r="L798" s="13"/>
      <c r="M798" s="14" t="str">
        <f>IFERROR(VLOOKUP(I798,material!A:D,4,0),"")</f>
        <v/>
      </c>
      <c r="N798" s="14" t="str">
        <f t="shared" si="1"/>
        <v/>
      </c>
      <c r="O798" s="15" t="str">
        <f>IFERROR(VLOOKUP(I798,material!A:D,2,0),"")</f>
        <v/>
      </c>
    </row>
    <row r="799">
      <c r="A799" s="6"/>
      <c r="B799" s="7"/>
      <c r="C799" s="8" t="str">
        <f t="array" ref="C799">IFERROR(INDEX(atlas!H:H,MATCH(A799,atlas!C:C,0)),"")</f>
        <v/>
      </c>
      <c r="D799" s="8" t="str">
        <f t="array" ref="D799">IFERROR(INDEX(atlas!D:D,MATCH(A799,atlas!C:C,0)),"")</f>
        <v/>
      </c>
      <c r="E799" s="8" t="str">
        <f t="array" ref="E799">IFERROR(INDEX(atlas!F:F,MATCH(A799,atlas!C:C,0)),"")</f>
        <v/>
      </c>
      <c r="F799" s="9"/>
      <c r="G799" s="10"/>
      <c r="H799" s="11"/>
      <c r="I799" s="12" t="str">
        <f t="array" ref="I799">IFERROR(INDEX(atlas!B:B,MATCH(A799,atlas!C:C,0)),"")</f>
        <v/>
      </c>
      <c r="J799" s="8" t="str">
        <f>IFERROR(VLOOKUP(F799,tecnica!A:B,2,0),"")</f>
        <v/>
      </c>
      <c r="K799" s="8" t="str">
        <f>IFERROR(VLOOKUP(J799,tecnica!B:C,2,0),"")</f>
        <v/>
      </c>
      <c r="L799" s="13"/>
      <c r="M799" s="14" t="str">
        <f>IFERROR(VLOOKUP(I799,material!A:D,4,0),"")</f>
        <v/>
      </c>
      <c r="N799" s="14" t="str">
        <f t="shared" si="1"/>
        <v/>
      </c>
      <c r="O799" s="15" t="str">
        <f>IFERROR(VLOOKUP(I799,material!A:D,2,0),"")</f>
        <v/>
      </c>
    </row>
    <row r="800">
      <c r="A800" s="6"/>
      <c r="B800" s="7"/>
      <c r="C800" s="8" t="str">
        <f t="array" ref="C800">IFERROR(INDEX(atlas!H:H,MATCH(A800,atlas!C:C,0)),"")</f>
        <v/>
      </c>
      <c r="D800" s="8" t="str">
        <f t="array" ref="D800">IFERROR(INDEX(atlas!D:D,MATCH(A800,atlas!C:C,0)),"")</f>
        <v/>
      </c>
      <c r="E800" s="8" t="str">
        <f t="array" ref="E800">IFERROR(INDEX(atlas!F:F,MATCH(A800,atlas!C:C,0)),"")</f>
        <v/>
      </c>
      <c r="F800" s="9"/>
      <c r="G800" s="10"/>
      <c r="H800" s="11"/>
      <c r="I800" s="12" t="str">
        <f t="array" ref="I800">IFERROR(INDEX(atlas!B:B,MATCH(A800,atlas!C:C,0)),"")</f>
        <v/>
      </c>
      <c r="J800" s="8" t="str">
        <f>IFERROR(VLOOKUP(F800,tecnica!A:B,2,0),"")</f>
        <v/>
      </c>
      <c r="K800" s="8" t="str">
        <f>IFERROR(VLOOKUP(J800,tecnica!B:C,2,0),"")</f>
        <v/>
      </c>
      <c r="L800" s="13"/>
      <c r="M800" s="14" t="str">
        <f>IFERROR(VLOOKUP(I800,material!A:D,4,0),"")</f>
        <v/>
      </c>
      <c r="N800" s="14" t="str">
        <f t="shared" si="1"/>
        <v/>
      </c>
      <c r="O800" s="15" t="str">
        <f>IFERROR(VLOOKUP(I800,material!A:D,2,0),"")</f>
        <v/>
      </c>
    </row>
    <row r="801">
      <c r="A801" s="6"/>
      <c r="B801" s="7"/>
      <c r="C801" s="8" t="str">
        <f t="array" ref="C801">IFERROR(INDEX(atlas!H:H,MATCH(A801,atlas!C:C,0)),"")</f>
        <v/>
      </c>
      <c r="D801" s="8" t="str">
        <f t="array" ref="D801">IFERROR(INDEX(atlas!D:D,MATCH(A801,atlas!C:C,0)),"")</f>
        <v/>
      </c>
      <c r="E801" s="8" t="str">
        <f t="array" ref="E801">IFERROR(INDEX(atlas!F:F,MATCH(A801,atlas!C:C,0)),"")</f>
        <v/>
      </c>
      <c r="F801" s="9"/>
      <c r="G801" s="10"/>
      <c r="H801" s="11"/>
      <c r="I801" s="12" t="str">
        <f t="array" ref="I801">IFERROR(INDEX(atlas!B:B,MATCH(A801,atlas!C:C,0)),"")</f>
        <v/>
      </c>
      <c r="J801" s="8" t="str">
        <f>IFERROR(VLOOKUP(F801,tecnica!A:B,2,0),"")</f>
        <v/>
      </c>
      <c r="K801" s="8" t="str">
        <f>IFERROR(VLOOKUP(J801,tecnica!B:C,2,0),"")</f>
        <v/>
      </c>
      <c r="L801" s="13"/>
      <c r="M801" s="14" t="str">
        <f>IFERROR(VLOOKUP(I801,material!A:D,4,0),"")</f>
        <v/>
      </c>
      <c r="N801" s="14" t="str">
        <f t="shared" si="1"/>
        <v/>
      </c>
      <c r="O801" s="15" t="str">
        <f>IFERROR(VLOOKUP(I801,material!A:D,2,0),"")</f>
        <v/>
      </c>
    </row>
    <row r="802">
      <c r="A802" s="6"/>
      <c r="B802" s="7"/>
      <c r="C802" s="8" t="str">
        <f t="array" ref="C802">IFERROR(INDEX(atlas!H:H,MATCH(A802,atlas!C:C,0)),"")</f>
        <v/>
      </c>
      <c r="D802" s="8" t="str">
        <f t="array" ref="D802">IFERROR(INDEX(atlas!D:D,MATCH(A802,atlas!C:C,0)),"")</f>
        <v/>
      </c>
      <c r="E802" s="8" t="str">
        <f t="array" ref="E802">IFERROR(INDEX(atlas!F:F,MATCH(A802,atlas!C:C,0)),"")</f>
        <v/>
      </c>
      <c r="F802" s="9"/>
      <c r="G802" s="10"/>
      <c r="H802" s="11"/>
      <c r="I802" s="12" t="str">
        <f t="array" ref="I802">IFERROR(INDEX(atlas!B:B,MATCH(A802,atlas!C:C,0)),"")</f>
        <v/>
      </c>
      <c r="J802" s="8" t="str">
        <f>IFERROR(VLOOKUP(F802,tecnica!A:B,2,0),"")</f>
        <v/>
      </c>
      <c r="K802" s="8" t="str">
        <f>IFERROR(VLOOKUP(J802,tecnica!B:C,2,0),"")</f>
        <v/>
      </c>
      <c r="L802" s="13"/>
      <c r="M802" s="14" t="str">
        <f>IFERROR(VLOOKUP(I802,material!A:D,4,0),"")</f>
        <v/>
      </c>
      <c r="N802" s="14" t="str">
        <f t="shared" si="1"/>
        <v/>
      </c>
      <c r="O802" s="15" t="str">
        <f>IFERROR(VLOOKUP(I802,material!A:D,2,0),"")</f>
        <v/>
      </c>
    </row>
    <row r="803">
      <c r="A803" s="6"/>
      <c r="B803" s="7"/>
      <c r="C803" s="8" t="str">
        <f t="array" ref="C803">IFERROR(INDEX(atlas!H:H,MATCH(A803,atlas!C:C,0)),"")</f>
        <v/>
      </c>
      <c r="D803" s="8" t="str">
        <f t="array" ref="D803">IFERROR(INDEX(atlas!D:D,MATCH(A803,atlas!C:C,0)),"")</f>
        <v/>
      </c>
      <c r="E803" s="8" t="str">
        <f t="array" ref="E803">IFERROR(INDEX(atlas!F:F,MATCH(A803,atlas!C:C,0)),"")</f>
        <v/>
      </c>
      <c r="F803" s="9"/>
      <c r="G803" s="10"/>
      <c r="H803" s="11"/>
      <c r="I803" s="12" t="str">
        <f t="array" ref="I803">IFERROR(INDEX(atlas!B:B,MATCH(A803,atlas!C:C,0)),"")</f>
        <v/>
      </c>
      <c r="J803" s="8" t="str">
        <f>IFERROR(VLOOKUP(F803,tecnica!A:B,2,0),"")</f>
        <v/>
      </c>
      <c r="K803" s="8" t="str">
        <f>IFERROR(VLOOKUP(J803,tecnica!B:C,2,0),"")</f>
        <v/>
      </c>
      <c r="L803" s="13"/>
      <c r="M803" s="14" t="str">
        <f>IFERROR(VLOOKUP(I803,material!A:D,4,0),"")</f>
        <v/>
      </c>
      <c r="N803" s="14" t="str">
        <f t="shared" si="1"/>
        <v/>
      </c>
      <c r="O803" s="15" t="str">
        <f>IFERROR(VLOOKUP(I803,material!A:D,2,0),"")</f>
        <v/>
      </c>
    </row>
    <row r="804">
      <c r="A804" s="6"/>
      <c r="B804" s="7"/>
      <c r="C804" s="8" t="str">
        <f t="array" ref="C804">IFERROR(INDEX(atlas!H:H,MATCH(A804,atlas!C:C,0)),"")</f>
        <v/>
      </c>
      <c r="D804" s="8" t="str">
        <f t="array" ref="D804">IFERROR(INDEX(atlas!D:D,MATCH(A804,atlas!C:C,0)),"")</f>
        <v/>
      </c>
      <c r="E804" s="8" t="str">
        <f t="array" ref="E804">IFERROR(INDEX(atlas!F:F,MATCH(A804,atlas!C:C,0)),"")</f>
        <v/>
      </c>
      <c r="F804" s="9"/>
      <c r="G804" s="10"/>
      <c r="H804" s="11"/>
      <c r="I804" s="12" t="str">
        <f t="array" ref="I804">IFERROR(INDEX(atlas!B:B,MATCH(A804,atlas!C:C,0)),"")</f>
        <v/>
      </c>
      <c r="J804" s="8" t="str">
        <f>IFERROR(VLOOKUP(F804,tecnica!A:B,2,0),"")</f>
        <v/>
      </c>
      <c r="K804" s="8" t="str">
        <f>IFERROR(VLOOKUP(J804,tecnica!B:C,2,0),"")</f>
        <v/>
      </c>
      <c r="L804" s="13"/>
      <c r="M804" s="14" t="str">
        <f>IFERROR(VLOOKUP(I804,material!A:D,4,0),"")</f>
        <v/>
      </c>
      <c r="N804" s="14" t="str">
        <f t="shared" si="1"/>
        <v/>
      </c>
      <c r="O804" s="15" t="str">
        <f>IFERROR(VLOOKUP(I804,material!A:D,2,0),"")</f>
        <v/>
      </c>
    </row>
    <row r="805">
      <c r="A805" s="6"/>
      <c r="B805" s="7"/>
      <c r="C805" s="8" t="str">
        <f t="array" ref="C805">IFERROR(INDEX(atlas!H:H,MATCH(A805,atlas!C:C,0)),"")</f>
        <v/>
      </c>
      <c r="D805" s="8" t="str">
        <f t="array" ref="D805">IFERROR(INDEX(atlas!D:D,MATCH(A805,atlas!C:C,0)),"")</f>
        <v/>
      </c>
      <c r="E805" s="8" t="str">
        <f t="array" ref="E805">IFERROR(INDEX(atlas!F:F,MATCH(A805,atlas!C:C,0)),"")</f>
        <v/>
      </c>
      <c r="F805" s="9"/>
      <c r="G805" s="10"/>
      <c r="H805" s="11"/>
      <c r="I805" s="12" t="str">
        <f t="array" ref="I805">IFERROR(INDEX(atlas!B:B,MATCH(A805,atlas!C:C,0)),"")</f>
        <v/>
      </c>
      <c r="J805" s="8" t="str">
        <f>IFERROR(VLOOKUP(F805,tecnica!A:B,2,0),"")</f>
        <v/>
      </c>
      <c r="K805" s="8" t="str">
        <f>IFERROR(VLOOKUP(J805,tecnica!B:C,2,0),"")</f>
        <v/>
      </c>
      <c r="L805" s="13"/>
      <c r="M805" s="14" t="str">
        <f>IFERROR(VLOOKUP(I805,material!A:D,4,0),"")</f>
        <v/>
      </c>
      <c r="N805" s="14" t="str">
        <f t="shared" si="1"/>
        <v/>
      </c>
      <c r="O805" s="15" t="str">
        <f>IFERROR(VLOOKUP(I805,material!A:D,2,0),"")</f>
        <v/>
      </c>
    </row>
    <row r="806">
      <c r="A806" s="6"/>
      <c r="B806" s="7"/>
      <c r="C806" s="8" t="str">
        <f t="array" ref="C806">IFERROR(INDEX(atlas!H:H,MATCH(A806,atlas!C:C,0)),"")</f>
        <v/>
      </c>
      <c r="D806" s="8" t="str">
        <f t="array" ref="D806">IFERROR(INDEX(atlas!D:D,MATCH(A806,atlas!C:C,0)),"")</f>
        <v/>
      </c>
      <c r="E806" s="8" t="str">
        <f t="array" ref="E806">IFERROR(INDEX(atlas!F:F,MATCH(A806,atlas!C:C,0)),"")</f>
        <v/>
      </c>
      <c r="F806" s="9"/>
      <c r="G806" s="10"/>
      <c r="H806" s="11"/>
      <c r="I806" s="12" t="str">
        <f t="array" ref="I806">IFERROR(INDEX(atlas!B:B,MATCH(A806,atlas!C:C,0)),"")</f>
        <v/>
      </c>
      <c r="J806" s="8" t="str">
        <f>IFERROR(VLOOKUP(F806,tecnica!A:B,2,0),"")</f>
        <v/>
      </c>
      <c r="K806" s="8" t="str">
        <f>IFERROR(VLOOKUP(J806,tecnica!B:C,2,0),"")</f>
        <v/>
      </c>
      <c r="L806" s="13"/>
      <c r="M806" s="14" t="str">
        <f>IFERROR(VLOOKUP(I806,material!A:D,4,0),"")</f>
        <v/>
      </c>
      <c r="N806" s="14" t="str">
        <f t="shared" si="1"/>
        <v/>
      </c>
      <c r="O806" s="15" t="str">
        <f>IFERROR(VLOOKUP(I806,material!A:D,2,0),"")</f>
        <v/>
      </c>
    </row>
    <row r="807">
      <c r="A807" s="6"/>
      <c r="B807" s="7"/>
      <c r="C807" s="8" t="str">
        <f t="array" ref="C807">IFERROR(INDEX(atlas!H:H,MATCH(A807,atlas!C:C,0)),"")</f>
        <v/>
      </c>
      <c r="D807" s="8" t="str">
        <f t="array" ref="D807">IFERROR(INDEX(atlas!D:D,MATCH(A807,atlas!C:C,0)),"")</f>
        <v/>
      </c>
      <c r="E807" s="8" t="str">
        <f t="array" ref="E807">IFERROR(INDEX(atlas!F:F,MATCH(A807,atlas!C:C,0)),"")</f>
        <v/>
      </c>
      <c r="F807" s="9"/>
      <c r="G807" s="10"/>
      <c r="H807" s="11"/>
      <c r="I807" s="12" t="str">
        <f t="array" ref="I807">IFERROR(INDEX(atlas!B:B,MATCH(A807,atlas!C:C,0)),"")</f>
        <v/>
      </c>
      <c r="J807" s="8" t="str">
        <f>IFERROR(VLOOKUP(F807,tecnica!A:B,2,0),"")</f>
        <v/>
      </c>
      <c r="K807" s="8" t="str">
        <f>IFERROR(VLOOKUP(J807,tecnica!B:C,2,0),"")</f>
        <v/>
      </c>
      <c r="L807" s="13"/>
      <c r="M807" s="14" t="str">
        <f>IFERROR(VLOOKUP(I807,material!A:D,4,0),"")</f>
        <v/>
      </c>
      <c r="N807" s="14" t="str">
        <f t="shared" si="1"/>
        <v/>
      </c>
      <c r="O807" s="15" t="str">
        <f>IFERROR(VLOOKUP(I807,material!A:D,2,0),"")</f>
        <v/>
      </c>
    </row>
    <row r="808">
      <c r="A808" s="6"/>
      <c r="B808" s="7"/>
      <c r="C808" s="8" t="str">
        <f t="array" ref="C808">IFERROR(INDEX(atlas!H:H,MATCH(A808,atlas!C:C,0)),"")</f>
        <v/>
      </c>
      <c r="D808" s="8" t="str">
        <f t="array" ref="D808">IFERROR(INDEX(atlas!D:D,MATCH(A808,atlas!C:C,0)),"")</f>
        <v/>
      </c>
      <c r="E808" s="8" t="str">
        <f t="array" ref="E808">IFERROR(INDEX(atlas!F:F,MATCH(A808,atlas!C:C,0)),"")</f>
        <v/>
      </c>
      <c r="F808" s="9"/>
      <c r="G808" s="10"/>
      <c r="H808" s="11"/>
      <c r="I808" s="12" t="str">
        <f t="array" ref="I808">IFERROR(INDEX(atlas!B:B,MATCH(A808,atlas!C:C,0)),"")</f>
        <v/>
      </c>
      <c r="J808" s="8" t="str">
        <f>IFERROR(VLOOKUP(F808,tecnica!A:B,2,0),"")</f>
        <v/>
      </c>
      <c r="K808" s="8" t="str">
        <f>IFERROR(VLOOKUP(J808,tecnica!B:C,2,0),"")</f>
        <v/>
      </c>
      <c r="L808" s="13"/>
      <c r="M808" s="14" t="str">
        <f>IFERROR(VLOOKUP(I808,material!A:D,4,0),"")</f>
        <v/>
      </c>
      <c r="N808" s="14" t="str">
        <f t="shared" si="1"/>
        <v/>
      </c>
      <c r="O808" s="15" t="str">
        <f>IFERROR(VLOOKUP(I808,material!A:D,2,0),"")</f>
        <v/>
      </c>
    </row>
    <row r="809">
      <c r="A809" s="6"/>
      <c r="B809" s="7"/>
      <c r="C809" s="8" t="str">
        <f t="array" ref="C809">IFERROR(INDEX(atlas!H:H,MATCH(A809,atlas!C:C,0)),"")</f>
        <v/>
      </c>
      <c r="D809" s="8" t="str">
        <f t="array" ref="D809">IFERROR(INDEX(atlas!D:D,MATCH(A809,atlas!C:C,0)),"")</f>
        <v/>
      </c>
      <c r="E809" s="8" t="str">
        <f t="array" ref="E809">IFERROR(INDEX(atlas!F:F,MATCH(A809,atlas!C:C,0)),"")</f>
        <v/>
      </c>
      <c r="F809" s="9"/>
      <c r="G809" s="10"/>
      <c r="H809" s="11"/>
      <c r="I809" s="12" t="str">
        <f t="array" ref="I809">IFERROR(INDEX(atlas!B:B,MATCH(A809,atlas!C:C,0)),"")</f>
        <v/>
      </c>
      <c r="J809" s="8" t="str">
        <f>IFERROR(VLOOKUP(F809,tecnica!A:B,2,0),"")</f>
        <v/>
      </c>
      <c r="K809" s="8" t="str">
        <f>IFERROR(VLOOKUP(J809,tecnica!B:C,2,0),"")</f>
        <v/>
      </c>
      <c r="L809" s="13"/>
      <c r="M809" s="14" t="str">
        <f>IFERROR(VLOOKUP(I809,material!A:D,4,0),"")</f>
        <v/>
      </c>
      <c r="N809" s="14" t="str">
        <f t="shared" si="1"/>
        <v/>
      </c>
      <c r="O809" s="15" t="str">
        <f>IFERROR(VLOOKUP(I809,material!A:D,2,0),"")</f>
        <v/>
      </c>
    </row>
    <row r="810">
      <c r="A810" s="6"/>
      <c r="B810" s="7"/>
      <c r="C810" s="8" t="str">
        <f t="array" ref="C810">IFERROR(INDEX(atlas!H:H,MATCH(A810,atlas!C:C,0)),"")</f>
        <v/>
      </c>
      <c r="D810" s="8" t="str">
        <f t="array" ref="D810">IFERROR(INDEX(atlas!D:D,MATCH(A810,atlas!C:C,0)),"")</f>
        <v/>
      </c>
      <c r="E810" s="8" t="str">
        <f t="array" ref="E810">IFERROR(INDEX(atlas!F:F,MATCH(A810,atlas!C:C,0)),"")</f>
        <v/>
      </c>
      <c r="F810" s="9"/>
      <c r="G810" s="10"/>
      <c r="H810" s="11"/>
      <c r="I810" s="12" t="str">
        <f t="array" ref="I810">IFERROR(INDEX(atlas!B:B,MATCH(A810,atlas!C:C,0)),"")</f>
        <v/>
      </c>
      <c r="J810" s="8" t="str">
        <f>IFERROR(VLOOKUP(F810,tecnica!A:B,2,0),"")</f>
        <v/>
      </c>
      <c r="K810" s="8" t="str">
        <f>IFERROR(VLOOKUP(J810,tecnica!B:C,2,0),"")</f>
        <v/>
      </c>
      <c r="L810" s="13"/>
      <c r="M810" s="14" t="str">
        <f>IFERROR(VLOOKUP(I810,material!A:D,4,0),"")</f>
        <v/>
      </c>
      <c r="N810" s="14" t="str">
        <f t="shared" si="1"/>
        <v/>
      </c>
      <c r="O810" s="15" t="str">
        <f>IFERROR(VLOOKUP(I810,material!A:D,2,0),"")</f>
        <v/>
      </c>
    </row>
    <row r="811">
      <c r="A811" s="6"/>
      <c r="B811" s="7"/>
      <c r="C811" s="8" t="str">
        <f t="array" ref="C811">IFERROR(INDEX(atlas!H:H,MATCH(A811,atlas!C:C,0)),"")</f>
        <v/>
      </c>
      <c r="D811" s="8" t="str">
        <f t="array" ref="D811">IFERROR(INDEX(atlas!D:D,MATCH(A811,atlas!C:C,0)),"")</f>
        <v/>
      </c>
      <c r="E811" s="8" t="str">
        <f t="array" ref="E811">IFERROR(INDEX(atlas!F:F,MATCH(A811,atlas!C:C,0)),"")</f>
        <v/>
      </c>
      <c r="F811" s="9"/>
      <c r="G811" s="10"/>
      <c r="H811" s="11"/>
      <c r="I811" s="12" t="str">
        <f t="array" ref="I811">IFERROR(INDEX(atlas!B:B,MATCH(A811,atlas!C:C,0)),"")</f>
        <v/>
      </c>
      <c r="J811" s="8" t="str">
        <f>IFERROR(VLOOKUP(F811,tecnica!A:B,2,0),"")</f>
        <v/>
      </c>
      <c r="K811" s="8" t="str">
        <f>IFERROR(VLOOKUP(J811,tecnica!B:C,2,0),"")</f>
        <v/>
      </c>
      <c r="L811" s="13"/>
      <c r="M811" s="14" t="str">
        <f>IFERROR(VLOOKUP(I811,material!A:D,4,0),"")</f>
        <v/>
      </c>
      <c r="N811" s="14" t="str">
        <f t="shared" si="1"/>
        <v/>
      </c>
      <c r="O811" s="15" t="str">
        <f>IFERROR(VLOOKUP(I811,material!A:D,2,0),"")</f>
        <v/>
      </c>
    </row>
    <row r="812">
      <c r="A812" s="6"/>
      <c r="B812" s="7"/>
      <c r="C812" s="8" t="str">
        <f t="array" ref="C812">IFERROR(INDEX(atlas!H:H,MATCH(A812,atlas!C:C,0)),"")</f>
        <v/>
      </c>
      <c r="D812" s="8" t="str">
        <f t="array" ref="D812">IFERROR(INDEX(atlas!D:D,MATCH(A812,atlas!C:C,0)),"")</f>
        <v/>
      </c>
      <c r="E812" s="8" t="str">
        <f t="array" ref="E812">IFERROR(INDEX(atlas!F:F,MATCH(A812,atlas!C:C,0)),"")</f>
        <v/>
      </c>
      <c r="F812" s="9"/>
      <c r="G812" s="10"/>
      <c r="H812" s="11"/>
      <c r="I812" s="12" t="str">
        <f t="array" ref="I812">IFERROR(INDEX(atlas!B:B,MATCH(A812,atlas!C:C,0)),"")</f>
        <v/>
      </c>
      <c r="J812" s="8" t="str">
        <f>IFERROR(VLOOKUP(F812,tecnica!A:B,2,0),"")</f>
        <v/>
      </c>
      <c r="K812" s="8" t="str">
        <f>IFERROR(VLOOKUP(J812,tecnica!B:C,2,0),"")</f>
        <v/>
      </c>
      <c r="L812" s="13"/>
      <c r="M812" s="14" t="str">
        <f>IFERROR(VLOOKUP(I812,material!A:D,4,0),"")</f>
        <v/>
      </c>
      <c r="N812" s="14" t="str">
        <f t="shared" si="1"/>
        <v/>
      </c>
      <c r="O812" s="15" t="str">
        <f>IFERROR(VLOOKUP(I812,material!A:D,2,0),"")</f>
        <v/>
      </c>
    </row>
    <row r="813">
      <c r="A813" s="6"/>
      <c r="B813" s="7"/>
      <c r="C813" s="8" t="str">
        <f t="array" ref="C813">IFERROR(INDEX(atlas!H:H,MATCH(A813,atlas!C:C,0)),"")</f>
        <v/>
      </c>
      <c r="D813" s="8" t="str">
        <f t="array" ref="D813">IFERROR(INDEX(atlas!D:D,MATCH(A813,atlas!C:C,0)),"")</f>
        <v/>
      </c>
      <c r="E813" s="8" t="str">
        <f t="array" ref="E813">IFERROR(INDEX(atlas!F:F,MATCH(A813,atlas!C:C,0)),"")</f>
        <v/>
      </c>
      <c r="F813" s="9"/>
      <c r="G813" s="10"/>
      <c r="H813" s="11"/>
      <c r="I813" s="12" t="str">
        <f t="array" ref="I813">IFERROR(INDEX(atlas!B:B,MATCH(A813,atlas!C:C,0)),"")</f>
        <v/>
      </c>
      <c r="J813" s="8" t="str">
        <f>IFERROR(VLOOKUP(F813,tecnica!A:B,2,0),"")</f>
        <v/>
      </c>
      <c r="K813" s="8" t="str">
        <f>IFERROR(VLOOKUP(J813,tecnica!B:C,2,0),"")</f>
        <v/>
      </c>
      <c r="L813" s="13"/>
      <c r="M813" s="14" t="str">
        <f>IFERROR(VLOOKUP(I813,material!A:D,4,0),"")</f>
        <v/>
      </c>
      <c r="N813" s="14" t="str">
        <f t="shared" si="1"/>
        <v/>
      </c>
      <c r="O813" s="15" t="str">
        <f>IFERROR(VLOOKUP(I813,material!A:D,2,0),"")</f>
        <v/>
      </c>
    </row>
    <row r="814">
      <c r="A814" s="6"/>
      <c r="B814" s="7"/>
      <c r="C814" s="8" t="str">
        <f t="array" ref="C814">IFERROR(INDEX(atlas!H:H,MATCH(A814,atlas!C:C,0)),"")</f>
        <v/>
      </c>
      <c r="D814" s="8" t="str">
        <f t="array" ref="D814">IFERROR(INDEX(atlas!D:D,MATCH(A814,atlas!C:C,0)),"")</f>
        <v/>
      </c>
      <c r="E814" s="8" t="str">
        <f t="array" ref="E814">IFERROR(INDEX(atlas!F:F,MATCH(A814,atlas!C:C,0)),"")</f>
        <v/>
      </c>
      <c r="F814" s="9"/>
      <c r="G814" s="10"/>
      <c r="H814" s="11"/>
      <c r="I814" s="12" t="str">
        <f t="array" ref="I814">IFERROR(INDEX(atlas!B:B,MATCH(A814,atlas!C:C,0)),"")</f>
        <v/>
      </c>
      <c r="J814" s="8" t="str">
        <f>IFERROR(VLOOKUP(F814,tecnica!A:B,2,0),"")</f>
        <v/>
      </c>
      <c r="K814" s="8" t="str">
        <f>IFERROR(VLOOKUP(J814,tecnica!B:C,2,0),"")</f>
        <v/>
      </c>
      <c r="L814" s="13"/>
      <c r="M814" s="14" t="str">
        <f>IFERROR(VLOOKUP(I814,material!A:D,4,0),"")</f>
        <v/>
      </c>
      <c r="N814" s="14" t="str">
        <f t="shared" si="1"/>
        <v/>
      </c>
      <c r="O814" s="15" t="str">
        <f>IFERROR(VLOOKUP(I814,material!A:D,2,0),"")</f>
        <v/>
      </c>
    </row>
    <row r="815">
      <c r="A815" s="6"/>
      <c r="B815" s="7"/>
      <c r="C815" s="8" t="str">
        <f t="array" ref="C815">IFERROR(INDEX(atlas!H:H,MATCH(A815,atlas!C:C,0)),"")</f>
        <v/>
      </c>
      <c r="D815" s="8" t="str">
        <f t="array" ref="D815">IFERROR(INDEX(atlas!D:D,MATCH(A815,atlas!C:C,0)),"")</f>
        <v/>
      </c>
      <c r="E815" s="8" t="str">
        <f t="array" ref="E815">IFERROR(INDEX(atlas!F:F,MATCH(A815,atlas!C:C,0)),"")</f>
        <v/>
      </c>
      <c r="F815" s="9"/>
      <c r="G815" s="10"/>
      <c r="H815" s="11"/>
      <c r="I815" s="12" t="str">
        <f t="array" ref="I815">IFERROR(INDEX(atlas!B:B,MATCH(A815,atlas!C:C,0)),"")</f>
        <v/>
      </c>
      <c r="J815" s="8" t="str">
        <f>IFERROR(VLOOKUP(F815,tecnica!A:B,2,0),"")</f>
        <v/>
      </c>
      <c r="K815" s="8" t="str">
        <f>IFERROR(VLOOKUP(J815,tecnica!B:C,2,0),"")</f>
        <v/>
      </c>
      <c r="L815" s="13"/>
      <c r="M815" s="14" t="str">
        <f>IFERROR(VLOOKUP(I815,material!A:D,4,0),"")</f>
        <v/>
      </c>
      <c r="N815" s="14" t="str">
        <f t="shared" si="1"/>
        <v/>
      </c>
      <c r="O815" s="15" t="str">
        <f>IFERROR(VLOOKUP(I815,material!A:D,2,0),"")</f>
        <v/>
      </c>
    </row>
    <row r="816">
      <c r="A816" s="6"/>
      <c r="B816" s="7"/>
      <c r="C816" s="8" t="str">
        <f t="array" ref="C816">IFERROR(INDEX(atlas!H:H,MATCH(A816,atlas!C:C,0)),"")</f>
        <v/>
      </c>
      <c r="D816" s="8" t="str">
        <f t="array" ref="D816">IFERROR(INDEX(atlas!D:D,MATCH(A816,atlas!C:C,0)),"")</f>
        <v/>
      </c>
      <c r="E816" s="8" t="str">
        <f t="array" ref="E816">IFERROR(INDEX(atlas!F:F,MATCH(A816,atlas!C:C,0)),"")</f>
        <v/>
      </c>
      <c r="F816" s="9"/>
      <c r="G816" s="10"/>
      <c r="H816" s="11"/>
      <c r="I816" s="12" t="str">
        <f t="array" ref="I816">IFERROR(INDEX(atlas!B:B,MATCH(A816,atlas!C:C,0)),"")</f>
        <v/>
      </c>
      <c r="J816" s="8" t="str">
        <f>IFERROR(VLOOKUP(F816,tecnica!A:B,2,0),"")</f>
        <v/>
      </c>
      <c r="K816" s="8" t="str">
        <f>IFERROR(VLOOKUP(J816,tecnica!B:C,2,0),"")</f>
        <v/>
      </c>
      <c r="L816" s="13"/>
      <c r="M816" s="14" t="str">
        <f>IFERROR(VLOOKUP(I816,material!A:D,4,0),"")</f>
        <v/>
      </c>
      <c r="N816" s="14" t="str">
        <f t="shared" si="1"/>
        <v/>
      </c>
      <c r="O816" s="15" t="str">
        <f>IFERROR(VLOOKUP(I816,material!A:D,2,0),"")</f>
        <v/>
      </c>
    </row>
    <row r="817">
      <c r="A817" s="6"/>
      <c r="B817" s="7"/>
      <c r="C817" s="8" t="str">
        <f t="array" ref="C817">IFERROR(INDEX(atlas!H:H,MATCH(A817,atlas!C:C,0)),"")</f>
        <v/>
      </c>
      <c r="D817" s="8" t="str">
        <f t="array" ref="D817">IFERROR(INDEX(atlas!D:D,MATCH(A817,atlas!C:C,0)),"")</f>
        <v/>
      </c>
      <c r="E817" s="8" t="str">
        <f t="array" ref="E817">IFERROR(INDEX(atlas!F:F,MATCH(A817,atlas!C:C,0)),"")</f>
        <v/>
      </c>
      <c r="F817" s="9"/>
      <c r="G817" s="10"/>
      <c r="H817" s="11"/>
      <c r="I817" s="12" t="str">
        <f t="array" ref="I817">IFERROR(INDEX(atlas!B:B,MATCH(A817,atlas!C:C,0)),"")</f>
        <v/>
      </c>
      <c r="J817" s="8" t="str">
        <f>IFERROR(VLOOKUP(F817,tecnica!A:B,2,0),"")</f>
        <v/>
      </c>
      <c r="K817" s="8" t="str">
        <f>IFERROR(VLOOKUP(J817,tecnica!B:C,2,0),"")</f>
        <v/>
      </c>
      <c r="L817" s="13"/>
      <c r="M817" s="14" t="str">
        <f>IFERROR(VLOOKUP(I817,material!A:D,4,0),"")</f>
        <v/>
      </c>
      <c r="N817" s="14" t="str">
        <f t="shared" si="1"/>
        <v/>
      </c>
      <c r="O817" s="15" t="str">
        <f>IFERROR(VLOOKUP(I817,material!A:D,2,0),"")</f>
        <v/>
      </c>
    </row>
    <row r="818">
      <c r="A818" s="6"/>
      <c r="B818" s="7"/>
      <c r="C818" s="8" t="str">
        <f t="array" ref="C818">IFERROR(INDEX(atlas!H:H,MATCH(A818,atlas!C:C,0)),"")</f>
        <v/>
      </c>
      <c r="D818" s="8" t="str">
        <f t="array" ref="D818">IFERROR(INDEX(atlas!D:D,MATCH(A818,atlas!C:C,0)),"")</f>
        <v/>
      </c>
      <c r="E818" s="8" t="str">
        <f t="array" ref="E818">IFERROR(INDEX(atlas!F:F,MATCH(A818,atlas!C:C,0)),"")</f>
        <v/>
      </c>
      <c r="F818" s="9"/>
      <c r="G818" s="10"/>
      <c r="H818" s="11"/>
      <c r="I818" s="12" t="str">
        <f t="array" ref="I818">IFERROR(INDEX(atlas!B:B,MATCH(A818,atlas!C:C,0)),"")</f>
        <v/>
      </c>
      <c r="J818" s="8" t="str">
        <f>IFERROR(VLOOKUP(F818,tecnica!A:B,2,0),"")</f>
        <v/>
      </c>
      <c r="K818" s="8" t="str">
        <f>IFERROR(VLOOKUP(J818,tecnica!B:C,2,0),"")</f>
        <v/>
      </c>
      <c r="L818" s="13"/>
      <c r="M818" s="14" t="str">
        <f>IFERROR(VLOOKUP(I818,material!A:D,4,0),"")</f>
        <v/>
      </c>
      <c r="N818" s="14" t="str">
        <f t="shared" si="1"/>
        <v/>
      </c>
      <c r="O818" s="15" t="str">
        <f>IFERROR(VLOOKUP(I818,material!A:D,2,0),"")</f>
        <v/>
      </c>
    </row>
    <row r="819">
      <c r="A819" s="6"/>
      <c r="B819" s="7"/>
      <c r="C819" s="8" t="str">
        <f t="array" ref="C819">IFERROR(INDEX(atlas!H:H,MATCH(A819,atlas!C:C,0)),"")</f>
        <v/>
      </c>
      <c r="D819" s="8" t="str">
        <f t="array" ref="D819">IFERROR(INDEX(atlas!D:D,MATCH(A819,atlas!C:C,0)),"")</f>
        <v/>
      </c>
      <c r="E819" s="8" t="str">
        <f t="array" ref="E819">IFERROR(INDEX(atlas!F:F,MATCH(A819,atlas!C:C,0)),"")</f>
        <v/>
      </c>
      <c r="F819" s="9"/>
      <c r="G819" s="10"/>
      <c r="H819" s="11"/>
      <c r="I819" s="12" t="str">
        <f t="array" ref="I819">IFERROR(INDEX(atlas!B:B,MATCH(A819,atlas!C:C,0)),"")</f>
        <v/>
      </c>
      <c r="J819" s="8" t="str">
        <f>IFERROR(VLOOKUP(F819,tecnica!A:B,2,0),"")</f>
        <v/>
      </c>
      <c r="K819" s="8" t="str">
        <f>IFERROR(VLOOKUP(J819,tecnica!B:C,2,0),"")</f>
        <v/>
      </c>
      <c r="L819" s="13"/>
      <c r="M819" s="14" t="str">
        <f>IFERROR(VLOOKUP(I819,material!A:D,4,0),"")</f>
        <v/>
      </c>
      <c r="N819" s="14" t="str">
        <f t="shared" si="1"/>
        <v/>
      </c>
      <c r="O819" s="15" t="str">
        <f>IFERROR(VLOOKUP(I819,material!A:D,2,0),"")</f>
        <v/>
      </c>
    </row>
    <row r="820">
      <c r="A820" s="6"/>
      <c r="B820" s="7"/>
      <c r="C820" s="8" t="str">
        <f t="array" ref="C820">IFERROR(INDEX(atlas!H:H,MATCH(A820,atlas!C:C,0)),"")</f>
        <v/>
      </c>
      <c r="D820" s="8" t="str">
        <f t="array" ref="D820">IFERROR(INDEX(atlas!D:D,MATCH(A820,atlas!C:C,0)),"")</f>
        <v/>
      </c>
      <c r="E820" s="8" t="str">
        <f t="array" ref="E820">IFERROR(INDEX(atlas!F:F,MATCH(A820,atlas!C:C,0)),"")</f>
        <v/>
      </c>
      <c r="F820" s="9"/>
      <c r="G820" s="10"/>
      <c r="H820" s="11"/>
      <c r="I820" s="12" t="str">
        <f t="array" ref="I820">IFERROR(INDEX(atlas!B:B,MATCH(A820,atlas!C:C,0)),"")</f>
        <v/>
      </c>
      <c r="J820" s="8" t="str">
        <f>IFERROR(VLOOKUP(F820,tecnica!A:B,2,0),"")</f>
        <v/>
      </c>
      <c r="K820" s="8" t="str">
        <f>IFERROR(VLOOKUP(J820,tecnica!B:C,2,0),"")</f>
        <v/>
      </c>
      <c r="L820" s="13"/>
      <c r="M820" s="14" t="str">
        <f>IFERROR(VLOOKUP(I820,material!A:D,4,0),"")</f>
        <v/>
      </c>
      <c r="N820" s="14" t="str">
        <f t="shared" si="1"/>
        <v/>
      </c>
      <c r="O820" s="15" t="str">
        <f>IFERROR(VLOOKUP(I820,material!A:D,2,0),"")</f>
        <v/>
      </c>
    </row>
    <row r="821">
      <c r="A821" s="6"/>
      <c r="B821" s="7"/>
      <c r="C821" s="8" t="str">
        <f t="array" ref="C821">IFERROR(INDEX(atlas!H:H,MATCH(A821,atlas!C:C,0)),"")</f>
        <v/>
      </c>
      <c r="D821" s="8" t="str">
        <f t="array" ref="D821">IFERROR(INDEX(atlas!D:D,MATCH(A821,atlas!C:C,0)),"")</f>
        <v/>
      </c>
      <c r="E821" s="8" t="str">
        <f t="array" ref="E821">IFERROR(INDEX(atlas!F:F,MATCH(A821,atlas!C:C,0)),"")</f>
        <v/>
      </c>
      <c r="F821" s="9"/>
      <c r="G821" s="10"/>
      <c r="H821" s="11"/>
      <c r="I821" s="12" t="str">
        <f t="array" ref="I821">IFERROR(INDEX(atlas!B:B,MATCH(A821,atlas!C:C,0)),"")</f>
        <v/>
      </c>
      <c r="J821" s="8" t="str">
        <f>IFERROR(VLOOKUP(F821,tecnica!A:B,2,0),"")</f>
        <v/>
      </c>
      <c r="K821" s="8" t="str">
        <f>IFERROR(VLOOKUP(J821,tecnica!B:C,2,0),"")</f>
        <v/>
      </c>
      <c r="L821" s="13"/>
      <c r="M821" s="14" t="str">
        <f>IFERROR(VLOOKUP(I821,material!A:D,4,0),"")</f>
        <v/>
      </c>
      <c r="N821" s="14" t="str">
        <f t="shared" si="1"/>
        <v/>
      </c>
      <c r="O821" s="15" t="str">
        <f>IFERROR(VLOOKUP(I821,material!A:D,2,0),"")</f>
        <v/>
      </c>
    </row>
    <row r="822">
      <c r="A822" s="6"/>
      <c r="B822" s="7"/>
      <c r="C822" s="8" t="str">
        <f t="array" ref="C822">IFERROR(INDEX(atlas!H:H,MATCH(A822,atlas!C:C,0)),"")</f>
        <v/>
      </c>
      <c r="D822" s="8" t="str">
        <f t="array" ref="D822">IFERROR(INDEX(atlas!D:D,MATCH(A822,atlas!C:C,0)),"")</f>
        <v/>
      </c>
      <c r="E822" s="8" t="str">
        <f t="array" ref="E822">IFERROR(INDEX(atlas!F:F,MATCH(A822,atlas!C:C,0)),"")</f>
        <v/>
      </c>
      <c r="F822" s="9"/>
      <c r="G822" s="10"/>
      <c r="H822" s="11"/>
      <c r="I822" s="12" t="str">
        <f t="array" ref="I822">IFERROR(INDEX(atlas!B:B,MATCH(A822,atlas!C:C,0)),"")</f>
        <v/>
      </c>
      <c r="J822" s="8" t="str">
        <f>IFERROR(VLOOKUP(F822,tecnica!A:B,2,0),"")</f>
        <v/>
      </c>
      <c r="K822" s="8" t="str">
        <f>IFERROR(VLOOKUP(J822,tecnica!B:C,2,0),"")</f>
        <v/>
      </c>
      <c r="L822" s="13"/>
      <c r="M822" s="14" t="str">
        <f>IFERROR(VLOOKUP(I822,material!A:D,4,0),"")</f>
        <v/>
      </c>
      <c r="N822" s="14" t="str">
        <f t="shared" si="1"/>
        <v/>
      </c>
      <c r="O822" s="15" t="str">
        <f>IFERROR(VLOOKUP(I822,material!A:D,2,0),"")</f>
        <v/>
      </c>
    </row>
    <row r="823">
      <c r="A823" s="6"/>
      <c r="B823" s="7"/>
      <c r="C823" s="8" t="str">
        <f t="array" ref="C823">IFERROR(INDEX(atlas!H:H,MATCH(A823,atlas!C:C,0)),"")</f>
        <v/>
      </c>
      <c r="D823" s="8" t="str">
        <f t="array" ref="D823">IFERROR(INDEX(atlas!D:D,MATCH(A823,atlas!C:C,0)),"")</f>
        <v/>
      </c>
      <c r="E823" s="8" t="str">
        <f t="array" ref="E823">IFERROR(INDEX(atlas!F:F,MATCH(A823,atlas!C:C,0)),"")</f>
        <v/>
      </c>
      <c r="F823" s="9"/>
      <c r="G823" s="10"/>
      <c r="H823" s="11"/>
      <c r="I823" s="12" t="str">
        <f t="array" ref="I823">IFERROR(INDEX(atlas!B:B,MATCH(A823,atlas!C:C,0)),"")</f>
        <v/>
      </c>
      <c r="J823" s="8" t="str">
        <f>IFERROR(VLOOKUP(F823,tecnica!A:B,2,0),"")</f>
        <v/>
      </c>
      <c r="K823" s="8" t="str">
        <f>IFERROR(VLOOKUP(J823,tecnica!B:C,2,0),"")</f>
        <v/>
      </c>
      <c r="L823" s="13"/>
      <c r="M823" s="14" t="str">
        <f>IFERROR(VLOOKUP(I823,material!A:D,4,0),"")</f>
        <v/>
      </c>
      <c r="N823" s="14" t="str">
        <f t="shared" si="1"/>
        <v/>
      </c>
      <c r="O823" s="15" t="str">
        <f>IFERROR(VLOOKUP(I823,material!A:D,2,0),"")</f>
        <v/>
      </c>
    </row>
    <row r="824">
      <c r="A824" s="6"/>
      <c r="B824" s="7"/>
      <c r="C824" s="8" t="str">
        <f t="array" ref="C824">IFERROR(INDEX(atlas!H:H,MATCH(A824,atlas!C:C,0)),"")</f>
        <v/>
      </c>
      <c r="D824" s="8" t="str">
        <f t="array" ref="D824">IFERROR(INDEX(atlas!D:D,MATCH(A824,atlas!C:C,0)),"")</f>
        <v/>
      </c>
      <c r="E824" s="8" t="str">
        <f t="array" ref="E824">IFERROR(INDEX(atlas!F:F,MATCH(A824,atlas!C:C,0)),"")</f>
        <v/>
      </c>
      <c r="F824" s="9"/>
      <c r="G824" s="10"/>
      <c r="H824" s="11"/>
      <c r="I824" s="12" t="str">
        <f t="array" ref="I824">IFERROR(INDEX(atlas!B:B,MATCH(A824,atlas!C:C,0)),"")</f>
        <v/>
      </c>
      <c r="J824" s="8" t="str">
        <f>IFERROR(VLOOKUP(F824,tecnica!A:B,2,0),"")</f>
        <v/>
      </c>
      <c r="K824" s="8" t="str">
        <f>IFERROR(VLOOKUP(J824,tecnica!B:C,2,0),"")</f>
        <v/>
      </c>
      <c r="L824" s="13"/>
      <c r="M824" s="14" t="str">
        <f>IFERROR(VLOOKUP(I824,material!A:D,4,0),"")</f>
        <v/>
      </c>
      <c r="N824" s="14" t="str">
        <f t="shared" si="1"/>
        <v/>
      </c>
      <c r="O824" s="15" t="str">
        <f>IFERROR(VLOOKUP(I824,material!A:D,2,0),"")</f>
        <v/>
      </c>
    </row>
    <row r="825">
      <c r="A825" s="6"/>
      <c r="B825" s="7"/>
      <c r="C825" s="8" t="str">
        <f t="array" ref="C825">IFERROR(INDEX(atlas!H:H,MATCH(A825,atlas!C:C,0)),"")</f>
        <v/>
      </c>
      <c r="D825" s="8" t="str">
        <f t="array" ref="D825">IFERROR(INDEX(atlas!D:D,MATCH(A825,atlas!C:C,0)),"")</f>
        <v/>
      </c>
      <c r="E825" s="8" t="str">
        <f t="array" ref="E825">IFERROR(INDEX(atlas!F:F,MATCH(A825,atlas!C:C,0)),"")</f>
        <v/>
      </c>
      <c r="F825" s="9"/>
      <c r="G825" s="10"/>
      <c r="H825" s="11"/>
      <c r="I825" s="12" t="str">
        <f t="array" ref="I825">IFERROR(INDEX(atlas!B:B,MATCH(A825,atlas!C:C,0)),"")</f>
        <v/>
      </c>
      <c r="J825" s="8" t="str">
        <f>IFERROR(VLOOKUP(F825,tecnica!A:B,2,0),"")</f>
        <v/>
      </c>
      <c r="K825" s="8" t="str">
        <f>IFERROR(VLOOKUP(J825,tecnica!B:C,2,0),"")</f>
        <v/>
      </c>
      <c r="L825" s="13"/>
      <c r="M825" s="14" t="str">
        <f>IFERROR(VLOOKUP(I825,material!A:D,4,0),"")</f>
        <v/>
      </c>
      <c r="N825" s="14" t="str">
        <f t="shared" si="1"/>
        <v/>
      </c>
      <c r="O825" s="15" t="str">
        <f>IFERROR(VLOOKUP(I825,material!A:D,2,0),"")</f>
        <v/>
      </c>
    </row>
    <row r="826">
      <c r="A826" s="6"/>
      <c r="B826" s="7"/>
      <c r="C826" s="8" t="str">
        <f t="array" ref="C826">IFERROR(INDEX(atlas!H:H,MATCH(A826,atlas!C:C,0)),"")</f>
        <v/>
      </c>
      <c r="D826" s="8" t="str">
        <f t="array" ref="D826">IFERROR(INDEX(atlas!D:D,MATCH(A826,atlas!C:C,0)),"")</f>
        <v/>
      </c>
      <c r="E826" s="8" t="str">
        <f t="array" ref="E826">IFERROR(INDEX(atlas!F:F,MATCH(A826,atlas!C:C,0)),"")</f>
        <v/>
      </c>
      <c r="F826" s="9"/>
      <c r="G826" s="10"/>
      <c r="H826" s="11"/>
      <c r="I826" s="12" t="str">
        <f t="array" ref="I826">IFERROR(INDEX(atlas!B:B,MATCH(A826,atlas!C:C,0)),"")</f>
        <v/>
      </c>
      <c r="J826" s="8" t="str">
        <f>IFERROR(VLOOKUP(F826,tecnica!A:B,2,0),"")</f>
        <v/>
      </c>
      <c r="K826" s="8" t="str">
        <f>IFERROR(VLOOKUP(J826,tecnica!B:C,2,0),"")</f>
        <v/>
      </c>
      <c r="L826" s="13"/>
      <c r="M826" s="14" t="str">
        <f>IFERROR(VLOOKUP(I826,material!A:D,4,0),"")</f>
        <v/>
      </c>
      <c r="N826" s="14" t="str">
        <f t="shared" si="1"/>
        <v/>
      </c>
      <c r="O826" s="15" t="str">
        <f>IFERROR(VLOOKUP(I826,material!A:D,2,0),"")</f>
        <v/>
      </c>
    </row>
    <row r="827">
      <c r="A827" s="6"/>
      <c r="B827" s="7"/>
      <c r="C827" s="8" t="str">
        <f t="array" ref="C827">IFERROR(INDEX(atlas!H:H,MATCH(A827,atlas!C:C,0)),"")</f>
        <v/>
      </c>
      <c r="D827" s="8" t="str">
        <f t="array" ref="D827">IFERROR(INDEX(atlas!D:D,MATCH(A827,atlas!C:C,0)),"")</f>
        <v/>
      </c>
      <c r="E827" s="8" t="str">
        <f t="array" ref="E827">IFERROR(INDEX(atlas!F:F,MATCH(A827,atlas!C:C,0)),"")</f>
        <v/>
      </c>
      <c r="F827" s="9"/>
      <c r="G827" s="10"/>
      <c r="H827" s="11"/>
      <c r="I827" s="12" t="str">
        <f t="array" ref="I827">IFERROR(INDEX(atlas!B:B,MATCH(A827,atlas!C:C,0)),"")</f>
        <v/>
      </c>
      <c r="J827" s="8" t="str">
        <f>IFERROR(VLOOKUP(F827,tecnica!A:B,2,0),"")</f>
        <v/>
      </c>
      <c r="K827" s="8" t="str">
        <f>IFERROR(VLOOKUP(J827,tecnica!B:C,2,0),"")</f>
        <v/>
      </c>
      <c r="L827" s="13"/>
      <c r="M827" s="14" t="str">
        <f>IFERROR(VLOOKUP(I827,material!A:D,4,0),"")</f>
        <v/>
      </c>
      <c r="N827" s="14" t="str">
        <f t="shared" si="1"/>
        <v/>
      </c>
      <c r="O827" s="15" t="str">
        <f>IFERROR(VLOOKUP(I827,material!A:D,2,0),"")</f>
        <v/>
      </c>
    </row>
    <row r="828">
      <c r="A828" s="6"/>
      <c r="B828" s="7"/>
      <c r="C828" s="8" t="str">
        <f t="array" ref="C828">IFERROR(INDEX(atlas!H:H,MATCH(A828,atlas!C:C,0)),"")</f>
        <v/>
      </c>
      <c r="D828" s="8" t="str">
        <f t="array" ref="D828">IFERROR(INDEX(atlas!D:D,MATCH(A828,atlas!C:C,0)),"")</f>
        <v/>
      </c>
      <c r="E828" s="8" t="str">
        <f t="array" ref="E828">IFERROR(INDEX(atlas!F:F,MATCH(A828,atlas!C:C,0)),"")</f>
        <v/>
      </c>
      <c r="F828" s="9"/>
      <c r="G828" s="10"/>
      <c r="H828" s="11"/>
      <c r="I828" s="12" t="str">
        <f t="array" ref="I828">IFERROR(INDEX(atlas!B:B,MATCH(A828,atlas!C:C,0)),"")</f>
        <v/>
      </c>
      <c r="J828" s="8" t="str">
        <f>IFERROR(VLOOKUP(F828,tecnica!A:B,2,0),"")</f>
        <v/>
      </c>
      <c r="K828" s="8" t="str">
        <f>IFERROR(VLOOKUP(J828,tecnica!B:C,2,0),"")</f>
        <v/>
      </c>
      <c r="L828" s="13"/>
      <c r="M828" s="14" t="str">
        <f>IFERROR(VLOOKUP(I828,material!A:D,4,0),"")</f>
        <v/>
      </c>
      <c r="N828" s="14" t="str">
        <f t="shared" si="1"/>
        <v/>
      </c>
      <c r="O828" s="15" t="str">
        <f>IFERROR(VLOOKUP(I828,material!A:D,2,0),"")</f>
        <v/>
      </c>
    </row>
    <row r="829">
      <c r="A829" s="6"/>
      <c r="B829" s="7"/>
      <c r="C829" s="8" t="str">
        <f t="array" ref="C829">IFERROR(INDEX(atlas!H:H,MATCH(A829,atlas!C:C,0)),"")</f>
        <v/>
      </c>
      <c r="D829" s="8" t="str">
        <f t="array" ref="D829">IFERROR(INDEX(atlas!D:D,MATCH(A829,atlas!C:C,0)),"")</f>
        <v/>
      </c>
      <c r="E829" s="8" t="str">
        <f t="array" ref="E829">IFERROR(INDEX(atlas!F:F,MATCH(A829,atlas!C:C,0)),"")</f>
        <v/>
      </c>
      <c r="F829" s="9"/>
      <c r="G829" s="10"/>
      <c r="H829" s="11"/>
      <c r="I829" s="12" t="str">
        <f t="array" ref="I829">IFERROR(INDEX(atlas!B:B,MATCH(A829,atlas!C:C,0)),"")</f>
        <v/>
      </c>
      <c r="J829" s="8" t="str">
        <f>IFERROR(VLOOKUP(F829,tecnica!A:B,2,0),"")</f>
        <v/>
      </c>
      <c r="K829" s="8" t="str">
        <f>IFERROR(VLOOKUP(J829,tecnica!B:C,2,0),"")</f>
        <v/>
      </c>
      <c r="L829" s="13"/>
      <c r="M829" s="14" t="str">
        <f>IFERROR(VLOOKUP(I829,material!A:D,4,0),"")</f>
        <v/>
      </c>
      <c r="N829" s="14" t="str">
        <f t="shared" si="1"/>
        <v/>
      </c>
      <c r="O829" s="15" t="str">
        <f>IFERROR(VLOOKUP(I829,material!A:D,2,0),"")</f>
        <v/>
      </c>
    </row>
    <row r="830">
      <c r="A830" s="6"/>
      <c r="B830" s="7"/>
      <c r="C830" s="8" t="str">
        <f t="array" ref="C830">IFERROR(INDEX(atlas!H:H,MATCH(A830,atlas!C:C,0)),"")</f>
        <v/>
      </c>
      <c r="D830" s="8" t="str">
        <f t="array" ref="D830">IFERROR(INDEX(atlas!D:D,MATCH(A830,atlas!C:C,0)),"")</f>
        <v/>
      </c>
      <c r="E830" s="8" t="str">
        <f t="array" ref="E830">IFERROR(INDEX(atlas!F:F,MATCH(A830,atlas!C:C,0)),"")</f>
        <v/>
      </c>
      <c r="F830" s="9"/>
      <c r="G830" s="10"/>
      <c r="H830" s="11"/>
      <c r="I830" s="12" t="str">
        <f t="array" ref="I830">IFERROR(INDEX(atlas!B:B,MATCH(A830,atlas!C:C,0)),"")</f>
        <v/>
      </c>
      <c r="J830" s="8" t="str">
        <f>IFERROR(VLOOKUP(F830,tecnica!A:B,2,0),"")</f>
        <v/>
      </c>
      <c r="K830" s="8" t="str">
        <f>IFERROR(VLOOKUP(J830,tecnica!B:C,2,0),"")</f>
        <v/>
      </c>
      <c r="L830" s="13"/>
      <c r="M830" s="14" t="str">
        <f>IFERROR(VLOOKUP(I830,material!A:D,4,0),"")</f>
        <v/>
      </c>
      <c r="N830" s="14" t="str">
        <f t="shared" si="1"/>
        <v/>
      </c>
      <c r="O830" s="15" t="str">
        <f>IFERROR(VLOOKUP(I830,material!A:D,2,0),"")</f>
        <v/>
      </c>
    </row>
    <row r="831">
      <c r="A831" s="6"/>
      <c r="B831" s="7"/>
      <c r="C831" s="8" t="str">
        <f t="array" ref="C831">IFERROR(INDEX(atlas!H:H,MATCH(A831,atlas!C:C,0)),"")</f>
        <v/>
      </c>
      <c r="D831" s="8" t="str">
        <f t="array" ref="D831">IFERROR(INDEX(atlas!D:D,MATCH(A831,atlas!C:C,0)),"")</f>
        <v/>
      </c>
      <c r="E831" s="8" t="str">
        <f t="array" ref="E831">IFERROR(INDEX(atlas!F:F,MATCH(A831,atlas!C:C,0)),"")</f>
        <v/>
      </c>
      <c r="F831" s="9"/>
      <c r="G831" s="10"/>
      <c r="H831" s="11"/>
      <c r="I831" s="12" t="str">
        <f t="array" ref="I831">IFERROR(INDEX(atlas!B:B,MATCH(A831,atlas!C:C,0)),"")</f>
        <v/>
      </c>
      <c r="J831" s="8" t="str">
        <f>IFERROR(VLOOKUP(F831,tecnica!A:B,2,0),"")</f>
        <v/>
      </c>
      <c r="K831" s="8" t="str">
        <f>IFERROR(VLOOKUP(J831,tecnica!B:C,2,0),"")</f>
        <v/>
      </c>
      <c r="L831" s="13"/>
      <c r="M831" s="14" t="str">
        <f>IFERROR(VLOOKUP(I831,material!A:D,4,0),"")</f>
        <v/>
      </c>
      <c r="N831" s="14" t="str">
        <f t="shared" si="1"/>
        <v/>
      </c>
      <c r="O831" s="15" t="str">
        <f>IFERROR(VLOOKUP(I831,material!A:D,2,0),"")</f>
        <v/>
      </c>
    </row>
    <row r="832">
      <c r="A832" s="6"/>
      <c r="B832" s="7"/>
      <c r="C832" s="8" t="str">
        <f t="array" ref="C832">IFERROR(INDEX(atlas!H:H,MATCH(A832,atlas!C:C,0)),"")</f>
        <v/>
      </c>
      <c r="D832" s="8" t="str">
        <f t="array" ref="D832">IFERROR(INDEX(atlas!D:D,MATCH(A832,atlas!C:C,0)),"")</f>
        <v/>
      </c>
      <c r="E832" s="8" t="str">
        <f t="array" ref="E832">IFERROR(INDEX(atlas!F:F,MATCH(A832,atlas!C:C,0)),"")</f>
        <v/>
      </c>
      <c r="F832" s="9"/>
      <c r="G832" s="10"/>
      <c r="H832" s="11"/>
      <c r="I832" s="12" t="str">
        <f t="array" ref="I832">IFERROR(INDEX(atlas!B:B,MATCH(A832,atlas!C:C,0)),"")</f>
        <v/>
      </c>
      <c r="J832" s="8" t="str">
        <f>IFERROR(VLOOKUP(F832,tecnica!A:B,2,0),"")</f>
        <v/>
      </c>
      <c r="K832" s="8" t="str">
        <f>IFERROR(VLOOKUP(J832,tecnica!B:C,2,0),"")</f>
        <v/>
      </c>
      <c r="L832" s="13"/>
      <c r="M832" s="14" t="str">
        <f>IFERROR(VLOOKUP(I832,material!A:D,4,0),"")</f>
        <v/>
      </c>
      <c r="N832" s="14" t="str">
        <f t="shared" si="1"/>
        <v/>
      </c>
      <c r="O832" s="15" t="str">
        <f>IFERROR(VLOOKUP(I832,material!A:D,2,0),"")</f>
        <v/>
      </c>
    </row>
    <row r="833">
      <c r="A833" s="6"/>
      <c r="B833" s="7"/>
      <c r="C833" s="8" t="str">
        <f t="array" ref="C833">IFERROR(INDEX(atlas!H:H,MATCH(A833,atlas!C:C,0)),"")</f>
        <v/>
      </c>
      <c r="D833" s="8" t="str">
        <f t="array" ref="D833">IFERROR(INDEX(atlas!D:D,MATCH(A833,atlas!C:C,0)),"")</f>
        <v/>
      </c>
      <c r="E833" s="8" t="str">
        <f t="array" ref="E833">IFERROR(INDEX(atlas!F:F,MATCH(A833,atlas!C:C,0)),"")</f>
        <v/>
      </c>
      <c r="F833" s="9"/>
      <c r="G833" s="10"/>
      <c r="H833" s="11"/>
      <c r="I833" s="12" t="str">
        <f t="array" ref="I833">IFERROR(INDEX(atlas!B:B,MATCH(A833,atlas!C:C,0)),"")</f>
        <v/>
      </c>
      <c r="J833" s="8" t="str">
        <f>IFERROR(VLOOKUP(F833,tecnica!A:B,2,0),"")</f>
        <v/>
      </c>
      <c r="K833" s="8" t="str">
        <f>IFERROR(VLOOKUP(J833,tecnica!B:C,2,0),"")</f>
        <v/>
      </c>
      <c r="L833" s="13"/>
      <c r="M833" s="14" t="str">
        <f>IFERROR(VLOOKUP(I833,material!A:D,4,0),"")</f>
        <v/>
      </c>
      <c r="N833" s="14" t="str">
        <f t="shared" si="1"/>
        <v/>
      </c>
      <c r="O833" s="15" t="str">
        <f>IFERROR(VLOOKUP(I833,material!A:D,2,0),"")</f>
        <v/>
      </c>
    </row>
    <row r="834">
      <c r="A834" s="6"/>
      <c r="B834" s="7"/>
      <c r="C834" s="8" t="str">
        <f t="array" ref="C834">IFERROR(INDEX(atlas!H:H,MATCH(A834,atlas!C:C,0)),"")</f>
        <v/>
      </c>
      <c r="D834" s="8" t="str">
        <f t="array" ref="D834">IFERROR(INDEX(atlas!D:D,MATCH(A834,atlas!C:C,0)),"")</f>
        <v/>
      </c>
      <c r="E834" s="8" t="str">
        <f t="array" ref="E834">IFERROR(INDEX(atlas!F:F,MATCH(A834,atlas!C:C,0)),"")</f>
        <v/>
      </c>
      <c r="F834" s="9"/>
      <c r="G834" s="10"/>
      <c r="H834" s="11"/>
      <c r="I834" s="12" t="str">
        <f t="array" ref="I834">IFERROR(INDEX(atlas!B:B,MATCH(A834,atlas!C:C,0)),"")</f>
        <v/>
      </c>
      <c r="J834" s="8" t="str">
        <f>IFERROR(VLOOKUP(F834,tecnica!A:B,2,0),"")</f>
        <v/>
      </c>
      <c r="K834" s="8" t="str">
        <f>IFERROR(VLOOKUP(J834,tecnica!B:C,2,0),"")</f>
        <v/>
      </c>
      <c r="L834" s="13"/>
      <c r="M834" s="14" t="str">
        <f>IFERROR(VLOOKUP(I834,material!A:D,4,0),"")</f>
        <v/>
      </c>
      <c r="N834" s="14" t="str">
        <f t="shared" si="1"/>
        <v/>
      </c>
      <c r="O834" s="15" t="str">
        <f>IFERROR(VLOOKUP(I834,material!A:D,2,0),"")</f>
        <v/>
      </c>
    </row>
    <row r="835">
      <c r="A835" s="6"/>
      <c r="B835" s="7"/>
      <c r="C835" s="8" t="str">
        <f t="array" ref="C835">IFERROR(INDEX(atlas!H:H,MATCH(A835,atlas!C:C,0)),"")</f>
        <v/>
      </c>
      <c r="D835" s="8" t="str">
        <f t="array" ref="D835">IFERROR(INDEX(atlas!D:D,MATCH(A835,atlas!C:C,0)),"")</f>
        <v/>
      </c>
      <c r="E835" s="8" t="str">
        <f t="array" ref="E835">IFERROR(INDEX(atlas!F:F,MATCH(A835,atlas!C:C,0)),"")</f>
        <v/>
      </c>
      <c r="F835" s="9"/>
      <c r="G835" s="10"/>
      <c r="H835" s="11"/>
      <c r="I835" s="12" t="str">
        <f t="array" ref="I835">IFERROR(INDEX(atlas!B:B,MATCH(A835,atlas!C:C,0)),"")</f>
        <v/>
      </c>
      <c r="J835" s="8" t="str">
        <f>IFERROR(VLOOKUP(F835,tecnica!A:B,2,0),"")</f>
        <v/>
      </c>
      <c r="K835" s="8" t="str">
        <f>IFERROR(VLOOKUP(J835,tecnica!B:C,2,0),"")</f>
        <v/>
      </c>
      <c r="L835" s="13"/>
      <c r="M835" s="14" t="str">
        <f>IFERROR(VLOOKUP(I835,material!A:D,4,0),"")</f>
        <v/>
      </c>
      <c r="N835" s="14" t="str">
        <f t="shared" si="1"/>
        <v/>
      </c>
      <c r="O835" s="15" t="str">
        <f>IFERROR(VLOOKUP(I835,material!A:D,2,0),"")</f>
        <v/>
      </c>
    </row>
    <row r="836">
      <c r="A836" s="6"/>
      <c r="B836" s="7"/>
      <c r="C836" s="8" t="str">
        <f t="array" ref="C836">IFERROR(INDEX(atlas!H:H,MATCH(A836,atlas!C:C,0)),"")</f>
        <v/>
      </c>
      <c r="D836" s="8" t="str">
        <f t="array" ref="D836">IFERROR(INDEX(atlas!D:D,MATCH(A836,atlas!C:C,0)),"")</f>
        <v/>
      </c>
      <c r="E836" s="8" t="str">
        <f t="array" ref="E836">IFERROR(INDEX(atlas!F:F,MATCH(A836,atlas!C:C,0)),"")</f>
        <v/>
      </c>
      <c r="F836" s="9"/>
      <c r="G836" s="10"/>
      <c r="H836" s="11"/>
      <c r="I836" s="12" t="str">
        <f t="array" ref="I836">IFERROR(INDEX(atlas!B:B,MATCH(A836,atlas!C:C,0)),"")</f>
        <v/>
      </c>
      <c r="J836" s="8" t="str">
        <f>IFERROR(VLOOKUP(F836,tecnica!A:B,2,0),"")</f>
        <v/>
      </c>
      <c r="K836" s="8" t="str">
        <f>IFERROR(VLOOKUP(J836,tecnica!B:C,2,0),"")</f>
        <v/>
      </c>
      <c r="L836" s="13"/>
      <c r="M836" s="14" t="str">
        <f>IFERROR(VLOOKUP(I836,material!A:D,4,0),"")</f>
        <v/>
      </c>
      <c r="N836" s="14" t="str">
        <f t="shared" si="1"/>
        <v/>
      </c>
      <c r="O836" s="15" t="str">
        <f>IFERROR(VLOOKUP(I836,material!A:D,2,0),"")</f>
        <v/>
      </c>
    </row>
    <row r="837">
      <c r="A837" s="6"/>
      <c r="B837" s="7"/>
      <c r="C837" s="8" t="str">
        <f t="array" ref="C837">IFERROR(INDEX(atlas!H:H,MATCH(A837,atlas!C:C,0)),"")</f>
        <v/>
      </c>
      <c r="D837" s="8" t="str">
        <f t="array" ref="D837">IFERROR(INDEX(atlas!D:D,MATCH(A837,atlas!C:C,0)),"")</f>
        <v/>
      </c>
      <c r="E837" s="8" t="str">
        <f t="array" ref="E837">IFERROR(INDEX(atlas!F:F,MATCH(A837,atlas!C:C,0)),"")</f>
        <v/>
      </c>
      <c r="F837" s="9"/>
      <c r="G837" s="10"/>
      <c r="H837" s="11"/>
      <c r="I837" s="12" t="str">
        <f t="array" ref="I837">IFERROR(INDEX(atlas!B:B,MATCH(A837,atlas!C:C,0)),"")</f>
        <v/>
      </c>
      <c r="J837" s="8" t="str">
        <f>IFERROR(VLOOKUP(F837,tecnica!A:B,2,0),"")</f>
        <v/>
      </c>
      <c r="K837" s="8" t="str">
        <f>IFERROR(VLOOKUP(J837,tecnica!B:C,2,0),"")</f>
        <v/>
      </c>
      <c r="L837" s="13"/>
      <c r="M837" s="14" t="str">
        <f>IFERROR(VLOOKUP(I837,material!A:D,4,0),"")</f>
        <v/>
      </c>
      <c r="N837" s="14" t="str">
        <f t="shared" si="1"/>
        <v/>
      </c>
      <c r="O837" s="15" t="str">
        <f>IFERROR(VLOOKUP(I837,material!A:D,2,0),"")</f>
        <v/>
      </c>
    </row>
    <row r="838">
      <c r="A838" s="6"/>
      <c r="B838" s="7"/>
      <c r="C838" s="8" t="str">
        <f t="array" ref="C838">IFERROR(INDEX(atlas!H:H,MATCH(A838,atlas!C:C,0)),"")</f>
        <v/>
      </c>
      <c r="D838" s="8" t="str">
        <f t="array" ref="D838">IFERROR(INDEX(atlas!D:D,MATCH(A838,atlas!C:C,0)),"")</f>
        <v/>
      </c>
      <c r="E838" s="8" t="str">
        <f t="array" ref="E838">IFERROR(INDEX(atlas!F:F,MATCH(A838,atlas!C:C,0)),"")</f>
        <v/>
      </c>
      <c r="F838" s="9"/>
      <c r="G838" s="10"/>
      <c r="H838" s="11"/>
      <c r="I838" s="12" t="str">
        <f t="array" ref="I838">IFERROR(INDEX(atlas!B:B,MATCH(A838,atlas!C:C,0)),"")</f>
        <v/>
      </c>
      <c r="J838" s="8" t="str">
        <f>IFERROR(VLOOKUP(F838,tecnica!A:B,2,0),"")</f>
        <v/>
      </c>
      <c r="K838" s="8" t="str">
        <f>IFERROR(VLOOKUP(J838,tecnica!B:C,2,0),"")</f>
        <v/>
      </c>
      <c r="L838" s="13"/>
      <c r="M838" s="14" t="str">
        <f>IFERROR(VLOOKUP(I838,material!A:D,4,0),"")</f>
        <v/>
      </c>
      <c r="N838" s="14" t="str">
        <f t="shared" si="1"/>
        <v/>
      </c>
      <c r="O838" s="15" t="str">
        <f>IFERROR(VLOOKUP(I838,material!A:D,2,0),"")</f>
        <v/>
      </c>
    </row>
    <row r="839">
      <c r="A839" s="6"/>
      <c r="B839" s="7"/>
      <c r="C839" s="8" t="str">
        <f t="array" ref="C839">IFERROR(INDEX(atlas!H:H,MATCH(A839,atlas!C:C,0)),"")</f>
        <v/>
      </c>
      <c r="D839" s="8" t="str">
        <f t="array" ref="D839">IFERROR(INDEX(atlas!D:D,MATCH(A839,atlas!C:C,0)),"")</f>
        <v/>
      </c>
      <c r="E839" s="8" t="str">
        <f t="array" ref="E839">IFERROR(INDEX(atlas!F:F,MATCH(A839,atlas!C:C,0)),"")</f>
        <v/>
      </c>
      <c r="F839" s="9"/>
      <c r="G839" s="10"/>
      <c r="H839" s="11"/>
      <c r="I839" s="12" t="str">
        <f t="array" ref="I839">IFERROR(INDEX(atlas!B:B,MATCH(A839,atlas!C:C,0)),"")</f>
        <v/>
      </c>
      <c r="J839" s="8" t="str">
        <f>IFERROR(VLOOKUP(F839,tecnica!A:B,2,0),"")</f>
        <v/>
      </c>
      <c r="K839" s="8" t="str">
        <f>IFERROR(VLOOKUP(J839,tecnica!B:C,2,0),"")</f>
        <v/>
      </c>
      <c r="L839" s="13"/>
      <c r="M839" s="14" t="str">
        <f>IFERROR(VLOOKUP(I839,material!A:D,4,0),"")</f>
        <v/>
      </c>
      <c r="N839" s="14" t="str">
        <f t="shared" si="1"/>
        <v/>
      </c>
      <c r="O839" s="15" t="str">
        <f>IFERROR(VLOOKUP(I839,material!A:D,2,0),"")</f>
        <v/>
      </c>
    </row>
    <row r="840">
      <c r="A840" s="6"/>
      <c r="B840" s="7"/>
      <c r="C840" s="8" t="str">
        <f t="array" ref="C840">IFERROR(INDEX(atlas!H:H,MATCH(A840,atlas!C:C,0)),"")</f>
        <v/>
      </c>
      <c r="D840" s="8" t="str">
        <f t="array" ref="D840">IFERROR(INDEX(atlas!D:D,MATCH(A840,atlas!C:C,0)),"")</f>
        <v/>
      </c>
      <c r="E840" s="8" t="str">
        <f t="array" ref="E840">IFERROR(INDEX(atlas!F:F,MATCH(A840,atlas!C:C,0)),"")</f>
        <v/>
      </c>
      <c r="F840" s="9"/>
      <c r="G840" s="10"/>
      <c r="H840" s="11"/>
      <c r="I840" s="12" t="str">
        <f t="array" ref="I840">IFERROR(INDEX(atlas!B:B,MATCH(A840,atlas!C:C,0)),"")</f>
        <v/>
      </c>
      <c r="J840" s="8" t="str">
        <f>IFERROR(VLOOKUP(F840,tecnica!A:B,2,0),"")</f>
        <v/>
      </c>
      <c r="K840" s="8" t="str">
        <f>IFERROR(VLOOKUP(J840,tecnica!B:C,2,0),"")</f>
        <v/>
      </c>
      <c r="L840" s="13"/>
      <c r="M840" s="14" t="str">
        <f>IFERROR(VLOOKUP(I840,material!A:D,4,0),"")</f>
        <v/>
      </c>
      <c r="N840" s="14" t="str">
        <f t="shared" si="1"/>
        <v/>
      </c>
      <c r="O840" s="15" t="str">
        <f>IFERROR(VLOOKUP(I840,material!A:D,2,0),"")</f>
        <v/>
      </c>
    </row>
    <row r="841">
      <c r="A841" s="6"/>
      <c r="B841" s="7"/>
      <c r="C841" s="8" t="str">
        <f t="array" ref="C841">IFERROR(INDEX(atlas!H:H,MATCH(A841,atlas!C:C,0)),"")</f>
        <v/>
      </c>
      <c r="D841" s="8" t="str">
        <f t="array" ref="D841">IFERROR(INDEX(atlas!D:D,MATCH(A841,atlas!C:C,0)),"")</f>
        <v/>
      </c>
      <c r="E841" s="8" t="str">
        <f t="array" ref="E841">IFERROR(INDEX(atlas!F:F,MATCH(A841,atlas!C:C,0)),"")</f>
        <v/>
      </c>
      <c r="F841" s="9"/>
      <c r="G841" s="10"/>
      <c r="H841" s="11"/>
      <c r="I841" s="12" t="str">
        <f t="array" ref="I841">IFERROR(INDEX(atlas!B:B,MATCH(A841,atlas!C:C,0)),"")</f>
        <v/>
      </c>
      <c r="J841" s="8" t="str">
        <f>IFERROR(VLOOKUP(F841,tecnica!A:B,2,0),"")</f>
        <v/>
      </c>
      <c r="K841" s="8" t="str">
        <f>IFERROR(VLOOKUP(J841,tecnica!B:C,2,0),"")</f>
        <v/>
      </c>
      <c r="L841" s="13"/>
      <c r="M841" s="14" t="str">
        <f>IFERROR(VLOOKUP(I841,material!A:D,4,0),"")</f>
        <v/>
      </c>
      <c r="N841" s="14" t="str">
        <f t="shared" si="1"/>
        <v/>
      </c>
      <c r="O841" s="15" t="str">
        <f>IFERROR(VLOOKUP(I841,material!A:D,2,0),"")</f>
        <v/>
      </c>
    </row>
    <row r="842">
      <c r="A842" s="6"/>
      <c r="B842" s="7"/>
      <c r="C842" s="8" t="str">
        <f t="array" ref="C842">IFERROR(INDEX(atlas!H:H,MATCH(A842,atlas!C:C,0)),"")</f>
        <v/>
      </c>
      <c r="D842" s="8" t="str">
        <f t="array" ref="D842">IFERROR(INDEX(atlas!D:D,MATCH(A842,atlas!C:C,0)),"")</f>
        <v/>
      </c>
      <c r="E842" s="8" t="str">
        <f t="array" ref="E842">IFERROR(INDEX(atlas!F:F,MATCH(A842,atlas!C:C,0)),"")</f>
        <v/>
      </c>
      <c r="F842" s="9"/>
      <c r="G842" s="10"/>
      <c r="H842" s="11"/>
      <c r="I842" s="12" t="str">
        <f t="array" ref="I842">IFERROR(INDEX(atlas!B:B,MATCH(A842,atlas!C:C,0)),"")</f>
        <v/>
      </c>
      <c r="J842" s="8" t="str">
        <f>IFERROR(VLOOKUP(F842,tecnica!A:B,2,0),"")</f>
        <v/>
      </c>
      <c r="K842" s="8" t="str">
        <f>IFERROR(VLOOKUP(J842,tecnica!B:C,2,0),"")</f>
        <v/>
      </c>
      <c r="L842" s="13"/>
      <c r="M842" s="14" t="str">
        <f>IFERROR(VLOOKUP(I842,material!A:D,4,0),"")</f>
        <v/>
      </c>
      <c r="N842" s="14" t="str">
        <f t="shared" si="1"/>
        <v/>
      </c>
      <c r="O842" s="15" t="str">
        <f>IFERROR(VLOOKUP(I842,material!A:D,2,0),"")</f>
        <v/>
      </c>
    </row>
    <row r="843">
      <c r="A843" s="6"/>
      <c r="B843" s="7"/>
      <c r="C843" s="8" t="str">
        <f t="array" ref="C843">IFERROR(INDEX(atlas!H:H,MATCH(A843,atlas!C:C,0)),"")</f>
        <v/>
      </c>
      <c r="D843" s="8" t="str">
        <f t="array" ref="D843">IFERROR(INDEX(atlas!D:D,MATCH(A843,atlas!C:C,0)),"")</f>
        <v/>
      </c>
      <c r="E843" s="8" t="str">
        <f t="array" ref="E843">IFERROR(INDEX(atlas!F:F,MATCH(A843,atlas!C:C,0)),"")</f>
        <v/>
      </c>
      <c r="F843" s="9"/>
      <c r="G843" s="10"/>
      <c r="H843" s="11"/>
      <c r="I843" s="12" t="str">
        <f t="array" ref="I843">IFERROR(INDEX(atlas!B:B,MATCH(A843,atlas!C:C,0)),"")</f>
        <v/>
      </c>
      <c r="J843" s="8" t="str">
        <f>IFERROR(VLOOKUP(F843,tecnica!A:B,2,0),"")</f>
        <v/>
      </c>
      <c r="K843" s="8" t="str">
        <f>IFERROR(VLOOKUP(J843,tecnica!B:C,2,0),"")</f>
        <v/>
      </c>
      <c r="L843" s="13"/>
      <c r="M843" s="14" t="str">
        <f>IFERROR(VLOOKUP(I843,material!A:D,4,0),"")</f>
        <v/>
      </c>
      <c r="N843" s="14" t="str">
        <f t="shared" si="1"/>
        <v/>
      </c>
      <c r="O843" s="15" t="str">
        <f>IFERROR(VLOOKUP(I843,material!A:D,2,0),"")</f>
        <v/>
      </c>
    </row>
    <row r="844">
      <c r="A844" s="6"/>
      <c r="B844" s="7"/>
      <c r="C844" s="8" t="str">
        <f t="array" ref="C844">IFERROR(INDEX(atlas!H:H,MATCH(A844,atlas!C:C,0)),"")</f>
        <v/>
      </c>
      <c r="D844" s="8" t="str">
        <f t="array" ref="D844">IFERROR(INDEX(atlas!D:D,MATCH(A844,atlas!C:C,0)),"")</f>
        <v/>
      </c>
      <c r="E844" s="8" t="str">
        <f t="array" ref="E844">IFERROR(INDEX(atlas!F:F,MATCH(A844,atlas!C:C,0)),"")</f>
        <v/>
      </c>
      <c r="F844" s="9"/>
      <c r="G844" s="10"/>
      <c r="H844" s="11"/>
      <c r="I844" s="12" t="str">
        <f t="array" ref="I844">IFERROR(INDEX(atlas!B:B,MATCH(A844,atlas!C:C,0)),"")</f>
        <v/>
      </c>
      <c r="J844" s="8" t="str">
        <f>IFERROR(VLOOKUP(F844,tecnica!A:B,2,0),"")</f>
        <v/>
      </c>
      <c r="K844" s="8" t="str">
        <f>IFERROR(VLOOKUP(J844,tecnica!B:C,2,0),"")</f>
        <v/>
      </c>
      <c r="L844" s="13"/>
      <c r="M844" s="14" t="str">
        <f>IFERROR(VLOOKUP(I844,material!A:D,4,0),"")</f>
        <v/>
      </c>
      <c r="N844" s="14" t="str">
        <f t="shared" si="1"/>
        <v/>
      </c>
      <c r="O844" s="15" t="str">
        <f>IFERROR(VLOOKUP(I844,material!A:D,2,0),"")</f>
        <v/>
      </c>
    </row>
    <row r="845">
      <c r="A845" s="6"/>
      <c r="B845" s="7"/>
      <c r="C845" s="8" t="str">
        <f t="array" ref="C845">IFERROR(INDEX(atlas!H:H,MATCH(A845,atlas!C:C,0)),"")</f>
        <v/>
      </c>
      <c r="D845" s="8" t="str">
        <f t="array" ref="D845">IFERROR(INDEX(atlas!D:D,MATCH(A845,atlas!C:C,0)),"")</f>
        <v/>
      </c>
      <c r="E845" s="8" t="str">
        <f t="array" ref="E845">IFERROR(INDEX(atlas!F:F,MATCH(A845,atlas!C:C,0)),"")</f>
        <v/>
      </c>
      <c r="F845" s="9"/>
      <c r="G845" s="10"/>
      <c r="H845" s="11"/>
      <c r="I845" s="12" t="str">
        <f t="array" ref="I845">IFERROR(INDEX(atlas!B:B,MATCH(A845,atlas!C:C,0)),"")</f>
        <v/>
      </c>
      <c r="J845" s="8" t="str">
        <f>IFERROR(VLOOKUP(F845,tecnica!A:B,2,0),"")</f>
        <v/>
      </c>
      <c r="K845" s="8" t="str">
        <f>IFERROR(VLOOKUP(J845,tecnica!B:C,2,0),"")</f>
        <v/>
      </c>
      <c r="L845" s="13"/>
      <c r="M845" s="14" t="str">
        <f>IFERROR(VLOOKUP(I845,material!A:D,4,0),"")</f>
        <v/>
      </c>
      <c r="N845" s="14" t="str">
        <f t="shared" si="1"/>
        <v/>
      </c>
      <c r="O845" s="15" t="str">
        <f>IFERROR(VLOOKUP(I845,material!A:D,2,0),"")</f>
        <v/>
      </c>
    </row>
    <row r="846">
      <c r="A846" s="6"/>
      <c r="B846" s="7"/>
      <c r="C846" s="8" t="str">
        <f t="array" ref="C846">IFERROR(INDEX(atlas!H:H,MATCH(A846,atlas!C:C,0)),"")</f>
        <v/>
      </c>
      <c r="D846" s="8" t="str">
        <f t="array" ref="D846">IFERROR(INDEX(atlas!D:D,MATCH(A846,atlas!C:C,0)),"")</f>
        <v/>
      </c>
      <c r="E846" s="8" t="str">
        <f t="array" ref="E846">IFERROR(INDEX(atlas!F:F,MATCH(A846,atlas!C:C,0)),"")</f>
        <v/>
      </c>
      <c r="F846" s="9"/>
      <c r="G846" s="10"/>
      <c r="H846" s="11"/>
      <c r="I846" s="12" t="str">
        <f t="array" ref="I846">IFERROR(INDEX(atlas!B:B,MATCH(A846,atlas!C:C,0)),"")</f>
        <v/>
      </c>
      <c r="J846" s="8" t="str">
        <f>IFERROR(VLOOKUP(F846,tecnica!A:B,2,0),"")</f>
        <v/>
      </c>
      <c r="K846" s="8" t="str">
        <f>IFERROR(VLOOKUP(J846,tecnica!B:C,2,0),"")</f>
        <v/>
      </c>
      <c r="L846" s="13"/>
      <c r="M846" s="14" t="str">
        <f>IFERROR(VLOOKUP(I846,material!A:D,4,0),"")</f>
        <v/>
      </c>
      <c r="N846" s="14" t="str">
        <f t="shared" si="1"/>
        <v/>
      </c>
      <c r="O846" s="15" t="str">
        <f>IFERROR(VLOOKUP(I846,material!A:D,2,0),"")</f>
        <v/>
      </c>
    </row>
    <row r="847">
      <c r="A847" s="6"/>
      <c r="B847" s="7"/>
      <c r="C847" s="8" t="str">
        <f t="array" ref="C847">IFERROR(INDEX(atlas!H:H,MATCH(A847,atlas!C:C,0)),"")</f>
        <v/>
      </c>
      <c r="D847" s="8" t="str">
        <f t="array" ref="D847">IFERROR(INDEX(atlas!D:D,MATCH(A847,atlas!C:C,0)),"")</f>
        <v/>
      </c>
      <c r="E847" s="8" t="str">
        <f t="array" ref="E847">IFERROR(INDEX(atlas!F:F,MATCH(A847,atlas!C:C,0)),"")</f>
        <v/>
      </c>
      <c r="F847" s="9"/>
      <c r="G847" s="10"/>
      <c r="H847" s="11"/>
      <c r="I847" s="12" t="str">
        <f t="array" ref="I847">IFERROR(INDEX(atlas!B:B,MATCH(A847,atlas!C:C,0)),"")</f>
        <v/>
      </c>
      <c r="J847" s="8" t="str">
        <f>IFERROR(VLOOKUP(F847,tecnica!A:B,2,0),"")</f>
        <v/>
      </c>
      <c r="K847" s="8" t="str">
        <f>IFERROR(VLOOKUP(J847,tecnica!B:C,2,0),"")</f>
        <v/>
      </c>
      <c r="L847" s="13"/>
      <c r="M847" s="14" t="str">
        <f>IFERROR(VLOOKUP(I847,material!A:D,4,0),"")</f>
        <v/>
      </c>
      <c r="N847" s="14" t="str">
        <f t="shared" si="1"/>
        <v/>
      </c>
      <c r="O847" s="15" t="str">
        <f>IFERROR(VLOOKUP(I847,material!A:D,2,0),"")</f>
        <v/>
      </c>
    </row>
    <row r="848">
      <c r="A848" s="6"/>
      <c r="B848" s="7"/>
      <c r="C848" s="8" t="str">
        <f t="array" ref="C848">IFERROR(INDEX(atlas!H:H,MATCH(A848,atlas!C:C,0)),"")</f>
        <v/>
      </c>
      <c r="D848" s="8" t="str">
        <f t="array" ref="D848">IFERROR(INDEX(atlas!D:D,MATCH(A848,atlas!C:C,0)),"")</f>
        <v/>
      </c>
      <c r="E848" s="8" t="str">
        <f t="array" ref="E848">IFERROR(INDEX(atlas!F:F,MATCH(A848,atlas!C:C,0)),"")</f>
        <v/>
      </c>
      <c r="F848" s="9"/>
      <c r="G848" s="10"/>
      <c r="H848" s="11"/>
      <c r="I848" s="12" t="str">
        <f t="array" ref="I848">IFERROR(INDEX(atlas!B:B,MATCH(A848,atlas!C:C,0)),"")</f>
        <v/>
      </c>
      <c r="J848" s="8" t="str">
        <f>IFERROR(VLOOKUP(F848,tecnica!A:B,2,0),"")</f>
        <v/>
      </c>
      <c r="K848" s="8" t="str">
        <f>IFERROR(VLOOKUP(J848,tecnica!B:C,2,0),"")</f>
        <v/>
      </c>
      <c r="L848" s="13"/>
      <c r="M848" s="14" t="str">
        <f>IFERROR(VLOOKUP(I848,material!A:D,4,0),"")</f>
        <v/>
      </c>
      <c r="N848" s="14" t="str">
        <f t="shared" si="1"/>
        <v/>
      </c>
      <c r="O848" s="15" t="str">
        <f>IFERROR(VLOOKUP(I848,material!A:D,2,0),"")</f>
        <v/>
      </c>
    </row>
    <row r="849">
      <c r="A849" s="6"/>
      <c r="B849" s="7"/>
      <c r="C849" s="8" t="str">
        <f t="array" ref="C849">IFERROR(INDEX(atlas!H:H,MATCH(A849,atlas!C:C,0)),"")</f>
        <v/>
      </c>
      <c r="D849" s="8" t="str">
        <f t="array" ref="D849">IFERROR(INDEX(atlas!D:D,MATCH(A849,atlas!C:C,0)),"")</f>
        <v/>
      </c>
      <c r="E849" s="8" t="str">
        <f t="array" ref="E849">IFERROR(INDEX(atlas!F:F,MATCH(A849,atlas!C:C,0)),"")</f>
        <v/>
      </c>
      <c r="F849" s="9"/>
      <c r="G849" s="10"/>
      <c r="H849" s="11"/>
      <c r="I849" s="12" t="str">
        <f t="array" ref="I849">IFERROR(INDEX(atlas!B:B,MATCH(A849,atlas!C:C,0)),"")</f>
        <v/>
      </c>
      <c r="J849" s="8" t="str">
        <f>IFERROR(VLOOKUP(F849,tecnica!A:B,2,0),"")</f>
        <v/>
      </c>
      <c r="K849" s="8" t="str">
        <f>IFERROR(VLOOKUP(J849,tecnica!B:C,2,0),"")</f>
        <v/>
      </c>
      <c r="L849" s="13"/>
      <c r="M849" s="14" t="str">
        <f>IFERROR(VLOOKUP(I849,material!A:D,4,0),"")</f>
        <v/>
      </c>
      <c r="N849" s="14" t="str">
        <f t="shared" si="1"/>
        <v/>
      </c>
      <c r="O849" s="15" t="str">
        <f>IFERROR(VLOOKUP(I849,material!A:D,2,0),"")</f>
        <v/>
      </c>
    </row>
    <row r="850">
      <c r="A850" s="6"/>
      <c r="B850" s="7"/>
      <c r="C850" s="8" t="str">
        <f t="array" ref="C850">IFERROR(INDEX(atlas!H:H,MATCH(A850,atlas!C:C,0)),"")</f>
        <v/>
      </c>
      <c r="D850" s="8" t="str">
        <f t="array" ref="D850">IFERROR(INDEX(atlas!D:D,MATCH(A850,atlas!C:C,0)),"")</f>
        <v/>
      </c>
      <c r="E850" s="8" t="str">
        <f t="array" ref="E850">IFERROR(INDEX(atlas!F:F,MATCH(A850,atlas!C:C,0)),"")</f>
        <v/>
      </c>
      <c r="F850" s="9"/>
      <c r="G850" s="10"/>
      <c r="H850" s="11"/>
      <c r="I850" s="12" t="str">
        <f t="array" ref="I850">IFERROR(INDEX(atlas!B:B,MATCH(A850,atlas!C:C,0)),"")</f>
        <v/>
      </c>
      <c r="J850" s="8" t="str">
        <f>IFERROR(VLOOKUP(F850,tecnica!A:B,2,0),"")</f>
        <v/>
      </c>
      <c r="K850" s="8" t="str">
        <f>IFERROR(VLOOKUP(J850,tecnica!B:C,2,0),"")</f>
        <v/>
      </c>
      <c r="L850" s="13"/>
      <c r="M850" s="14" t="str">
        <f>IFERROR(VLOOKUP(I850,material!A:D,4,0),"")</f>
        <v/>
      </c>
      <c r="N850" s="14" t="str">
        <f t="shared" si="1"/>
        <v/>
      </c>
      <c r="O850" s="15" t="str">
        <f>IFERROR(VLOOKUP(I850,material!A:D,2,0),"")</f>
        <v/>
      </c>
    </row>
    <row r="851">
      <c r="A851" s="6"/>
      <c r="B851" s="7"/>
      <c r="C851" s="8" t="str">
        <f t="array" ref="C851">IFERROR(INDEX(atlas!H:H,MATCH(A851,atlas!C:C,0)),"")</f>
        <v/>
      </c>
      <c r="D851" s="8" t="str">
        <f t="array" ref="D851">IFERROR(INDEX(atlas!D:D,MATCH(A851,atlas!C:C,0)),"")</f>
        <v/>
      </c>
      <c r="E851" s="8" t="str">
        <f t="array" ref="E851">IFERROR(INDEX(atlas!F:F,MATCH(A851,atlas!C:C,0)),"")</f>
        <v/>
      </c>
      <c r="F851" s="9"/>
      <c r="G851" s="10"/>
      <c r="H851" s="11"/>
      <c r="I851" s="12" t="str">
        <f t="array" ref="I851">IFERROR(INDEX(atlas!B:B,MATCH(A851,atlas!C:C,0)),"")</f>
        <v/>
      </c>
      <c r="J851" s="8" t="str">
        <f>IFERROR(VLOOKUP(F851,tecnica!A:B,2,0),"")</f>
        <v/>
      </c>
      <c r="K851" s="8" t="str">
        <f>IFERROR(VLOOKUP(J851,tecnica!B:C,2,0),"")</f>
        <v/>
      </c>
      <c r="L851" s="13"/>
      <c r="M851" s="14" t="str">
        <f>IFERROR(VLOOKUP(I851,material!A:D,4,0),"")</f>
        <v/>
      </c>
      <c r="N851" s="14" t="str">
        <f t="shared" si="1"/>
        <v/>
      </c>
      <c r="O851" s="15" t="str">
        <f>IFERROR(VLOOKUP(I851,material!A:D,2,0),"")</f>
        <v/>
      </c>
    </row>
    <row r="852">
      <c r="A852" s="6"/>
      <c r="B852" s="7"/>
      <c r="C852" s="8" t="str">
        <f t="array" ref="C852">IFERROR(INDEX(atlas!H:H,MATCH(A852,atlas!C:C,0)),"")</f>
        <v/>
      </c>
      <c r="D852" s="8" t="str">
        <f t="array" ref="D852">IFERROR(INDEX(atlas!D:D,MATCH(A852,atlas!C:C,0)),"")</f>
        <v/>
      </c>
      <c r="E852" s="8" t="str">
        <f t="array" ref="E852">IFERROR(INDEX(atlas!F:F,MATCH(A852,atlas!C:C,0)),"")</f>
        <v/>
      </c>
      <c r="F852" s="9"/>
      <c r="G852" s="10"/>
      <c r="H852" s="11"/>
      <c r="I852" s="12" t="str">
        <f t="array" ref="I852">IFERROR(INDEX(atlas!B:B,MATCH(A852,atlas!C:C,0)),"")</f>
        <v/>
      </c>
      <c r="J852" s="8" t="str">
        <f>IFERROR(VLOOKUP(F852,tecnica!A:B,2,0),"")</f>
        <v/>
      </c>
      <c r="K852" s="8" t="str">
        <f>IFERROR(VLOOKUP(J852,tecnica!B:C,2,0),"")</f>
        <v/>
      </c>
      <c r="L852" s="13"/>
      <c r="M852" s="14" t="str">
        <f>IFERROR(VLOOKUP(I852,material!A:D,4,0),"")</f>
        <v/>
      </c>
      <c r="N852" s="14" t="str">
        <f t="shared" si="1"/>
        <v/>
      </c>
      <c r="O852" s="15" t="str">
        <f>IFERROR(VLOOKUP(I852,material!A:D,2,0),"")</f>
        <v/>
      </c>
    </row>
    <row r="853">
      <c r="A853" s="6"/>
      <c r="B853" s="7"/>
      <c r="C853" s="8" t="str">
        <f t="array" ref="C853">IFERROR(INDEX(atlas!H:H,MATCH(A853,atlas!C:C,0)),"")</f>
        <v/>
      </c>
      <c r="D853" s="8" t="str">
        <f t="array" ref="D853">IFERROR(INDEX(atlas!D:D,MATCH(A853,atlas!C:C,0)),"")</f>
        <v/>
      </c>
      <c r="E853" s="8" t="str">
        <f t="array" ref="E853">IFERROR(INDEX(atlas!F:F,MATCH(A853,atlas!C:C,0)),"")</f>
        <v/>
      </c>
      <c r="F853" s="9"/>
      <c r="G853" s="10"/>
      <c r="H853" s="11"/>
      <c r="I853" s="12" t="str">
        <f t="array" ref="I853">IFERROR(INDEX(atlas!B:B,MATCH(A853,atlas!C:C,0)),"")</f>
        <v/>
      </c>
      <c r="J853" s="8" t="str">
        <f>IFERROR(VLOOKUP(F853,tecnica!A:B,2,0),"")</f>
        <v/>
      </c>
      <c r="K853" s="8" t="str">
        <f>IFERROR(VLOOKUP(J853,tecnica!B:C,2,0),"")</f>
        <v/>
      </c>
      <c r="L853" s="13"/>
      <c r="M853" s="14" t="str">
        <f>IFERROR(VLOOKUP(I853,material!A:D,4,0),"")</f>
        <v/>
      </c>
      <c r="N853" s="14" t="str">
        <f t="shared" si="1"/>
        <v/>
      </c>
      <c r="O853" s="15" t="str">
        <f>IFERROR(VLOOKUP(I853,material!A:D,2,0),"")</f>
        <v/>
      </c>
    </row>
    <row r="854">
      <c r="A854" s="6"/>
      <c r="B854" s="7"/>
      <c r="C854" s="8" t="str">
        <f t="array" ref="C854">IFERROR(INDEX(atlas!H:H,MATCH(A854,atlas!C:C,0)),"")</f>
        <v/>
      </c>
      <c r="D854" s="8" t="str">
        <f t="array" ref="D854">IFERROR(INDEX(atlas!D:D,MATCH(A854,atlas!C:C,0)),"")</f>
        <v/>
      </c>
      <c r="E854" s="8" t="str">
        <f t="array" ref="E854">IFERROR(INDEX(atlas!F:F,MATCH(A854,atlas!C:C,0)),"")</f>
        <v/>
      </c>
      <c r="F854" s="9"/>
      <c r="G854" s="10"/>
      <c r="H854" s="11"/>
      <c r="I854" s="12" t="str">
        <f t="array" ref="I854">IFERROR(INDEX(atlas!B:B,MATCH(A854,atlas!C:C,0)),"")</f>
        <v/>
      </c>
      <c r="J854" s="8" t="str">
        <f>IFERROR(VLOOKUP(F854,tecnica!A:B,2,0),"")</f>
        <v/>
      </c>
      <c r="K854" s="8" t="str">
        <f>IFERROR(VLOOKUP(J854,tecnica!B:C,2,0),"")</f>
        <v/>
      </c>
      <c r="L854" s="13"/>
      <c r="M854" s="14" t="str">
        <f>IFERROR(VLOOKUP(I854,material!A:D,4,0),"")</f>
        <v/>
      </c>
      <c r="N854" s="14" t="str">
        <f t="shared" si="1"/>
        <v/>
      </c>
      <c r="O854" s="15" t="str">
        <f>IFERROR(VLOOKUP(I854,material!A:D,2,0),"")</f>
        <v/>
      </c>
    </row>
    <row r="855">
      <c r="A855" s="6"/>
      <c r="B855" s="7"/>
      <c r="C855" s="8" t="str">
        <f t="array" ref="C855">IFERROR(INDEX(atlas!H:H,MATCH(A855,atlas!C:C,0)),"")</f>
        <v/>
      </c>
      <c r="D855" s="8" t="str">
        <f t="array" ref="D855">IFERROR(INDEX(atlas!D:D,MATCH(A855,atlas!C:C,0)),"")</f>
        <v/>
      </c>
      <c r="E855" s="8" t="str">
        <f t="array" ref="E855">IFERROR(INDEX(atlas!F:F,MATCH(A855,atlas!C:C,0)),"")</f>
        <v/>
      </c>
      <c r="F855" s="9"/>
      <c r="G855" s="10"/>
      <c r="H855" s="11"/>
      <c r="I855" s="12" t="str">
        <f t="array" ref="I855">IFERROR(INDEX(atlas!B:B,MATCH(A855,atlas!C:C,0)),"")</f>
        <v/>
      </c>
      <c r="J855" s="8" t="str">
        <f>IFERROR(VLOOKUP(F855,tecnica!A:B,2,0),"")</f>
        <v/>
      </c>
      <c r="K855" s="8" t="str">
        <f>IFERROR(VLOOKUP(J855,tecnica!B:C,2,0),"")</f>
        <v/>
      </c>
      <c r="L855" s="13"/>
      <c r="M855" s="14" t="str">
        <f>IFERROR(VLOOKUP(I855,material!A:D,4,0),"")</f>
        <v/>
      </c>
      <c r="N855" s="14" t="str">
        <f t="shared" si="1"/>
        <v/>
      </c>
      <c r="O855" s="15" t="str">
        <f>IFERROR(VLOOKUP(I855,material!A:D,2,0),"")</f>
        <v/>
      </c>
    </row>
    <row r="856">
      <c r="A856" s="6"/>
      <c r="B856" s="7"/>
      <c r="C856" s="8" t="str">
        <f t="array" ref="C856">IFERROR(INDEX(atlas!H:H,MATCH(A856,atlas!C:C,0)),"")</f>
        <v/>
      </c>
      <c r="D856" s="8" t="str">
        <f t="array" ref="D856">IFERROR(INDEX(atlas!D:D,MATCH(A856,atlas!C:C,0)),"")</f>
        <v/>
      </c>
      <c r="E856" s="8" t="str">
        <f t="array" ref="E856">IFERROR(INDEX(atlas!F:F,MATCH(A856,atlas!C:C,0)),"")</f>
        <v/>
      </c>
      <c r="F856" s="9"/>
      <c r="G856" s="10"/>
      <c r="H856" s="11"/>
      <c r="I856" s="12" t="str">
        <f t="array" ref="I856">IFERROR(INDEX(atlas!B:B,MATCH(A856,atlas!C:C,0)),"")</f>
        <v/>
      </c>
      <c r="J856" s="8" t="str">
        <f>IFERROR(VLOOKUP(F856,tecnica!A:B,2,0),"")</f>
        <v/>
      </c>
      <c r="K856" s="8" t="str">
        <f>IFERROR(VLOOKUP(J856,tecnica!B:C,2,0),"")</f>
        <v/>
      </c>
      <c r="L856" s="13"/>
      <c r="M856" s="14" t="str">
        <f>IFERROR(VLOOKUP(I856,material!A:D,4,0),"")</f>
        <v/>
      </c>
      <c r="N856" s="14" t="str">
        <f t="shared" si="1"/>
        <v/>
      </c>
      <c r="O856" s="15" t="str">
        <f>IFERROR(VLOOKUP(I856,material!A:D,2,0),"")</f>
        <v/>
      </c>
    </row>
    <row r="857">
      <c r="A857" s="6"/>
      <c r="B857" s="7"/>
      <c r="C857" s="8" t="str">
        <f t="array" ref="C857">IFERROR(INDEX(atlas!H:H,MATCH(A857,atlas!C:C,0)),"")</f>
        <v/>
      </c>
      <c r="D857" s="8" t="str">
        <f t="array" ref="D857">IFERROR(INDEX(atlas!D:D,MATCH(A857,atlas!C:C,0)),"")</f>
        <v/>
      </c>
      <c r="E857" s="8" t="str">
        <f t="array" ref="E857">IFERROR(INDEX(atlas!F:F,MATCH(A857,atlas!C:C,0)),"")</f>
        <v/>
      </c>
      <c r="F857" s="9"/>
      <c r="G857" s="10"/>
      <c r="H857" s="11"/>
      <c r="I857" s="12" t="str">
        <f t="array" ref="I857">IFERROR(INDEX(atlas!B:B,MATCH(A857,atlas!C:C,0)),"")</f>
        <v/>
      </c>
      <c r="J857" s="8" t="str">
        <f>IFERROR(VLOOKUP(F857,tecnica!A:B,2,0),"")</f>
        <v/>
      </c>
      <c r="K857" s="8" t="str">
        <f>IFERROR(VLOOKUP(J857,tecnica!B:C,2,0),"")</f>
        <v/>
      </c>
      <c r="L857" s="13"/>
      <c r="M857" s="14" t="str">
        <f>IFERROR(VLOOKUP(I857,material!A:D,4,0),"")</f>
        <v/>
      </c>
      <c r="N857" s="14" t="str">
        <f t="shared" si="1"/>
        <v/>
      </c>
      <c r="O857" s="15" t="str">
        <f>IFERROR(VLOOKUP(I857,material!A:D,2,0),"")</f>
        <v/>
      </c>
    </row>
    <row r="858">
      <c r="A858" s="6"/>
      <c r="B858" s="7"/>
      <c r="C858" s="8" t="str">
        <f t="array" ref="C858">IFERROR(INDEX(atlas!H:H,MATCH(A858,atlas!C:C,0)),"")</f>
        <v/>
      </c>
      <c r="D858" s="8" t="str">
        <f t="array" ref="D858">IFERROR(INDEX(atlas!D:D,MATCH(A858,atlas!C:C,0)),"")</f>
        <v/>
      </c>
      <c r="E858" s="8" t="str">
        <f t="array" ref="E858">IFERROR(INDEX(atlas!F:F,MATCH(A858,atlas!C:C,0)),"")</f>
        <v/>
      </c>
      <c r="F858" s="9"/>
      <c r="G858" s="10"/>
      <c r="H858" s="11"/>
      <c r="I858" s="12" t="str">
        <f t="array" ref="I858">IFERROR(INDEX(atlas!B:B,MATCH(A858,atlas!C:C,0)),"")</f>
        <v/>
      </c>
      <c r="J858" s="8" t="str">
        <f>IFERROR(VLOOKUP(F858,tecnica!A:B,2,0),"")</f>
        <v/>
      </c>
      <c r="K858" s="8" t="str">
        <f>IFERROR(VLOOKUP(J858,tecnica!B:C,2,0),"")</f>
        <v/>
      </c>
      <c r="L858" s="13"/>
      <c r="M858" s="14" t="str">
        <f>IFERROR(VLOOKUP(I858,material!A:D,4,0),"")</f>
        <v/>
      </c>
      <c r="N858" s="14" t="str">
        <f t="shared" si="1"/>
        <v/>
      </c>
      <c r="O858" s="15" t="str">
        <f>IFERROR(VLOOKUP(I858,material!A:D,2,0),"")</f>
        <v/>
      </c>
    </row>
    <row r="859">
      <c r="A859" s="6"/>
      <c r="B859" s="7"/>
      <c r="C859" s="8" t="str">
        <f t="array" ref="C859">IFERROR(INDEX(atlas!H:H,MATCH(A859,atlas!C:C,0)),"")</f>
        <v/>
      </c>
      <c r="D859" s="8" t="str">
        <f t="array" ref="D859">IFERROR(INDEX(atlas!D:D,MATCH(A859,atlas!C:C,0)),"")</f>
        <v/>
      </c>
      <c r="E859" s="8" t="str">
        <f t="array" ref="E859">IFERROR(INDEX(atlas!F:F,MATCH(A859,atlas!C:C,0)),"")</f>
        <v/>
      </c>
      <c r="F859" s="9"/>
      <c r="G859" s="10"/>
      <c r="H859" s="11"/>
      <c r="I859" s="12" t="str">
        <f t="array" ref="I859">IFERROR(INDEX(atlas!B:B,MATCH(A859,atlas!C:C,0)),"")</f>
        <v/>
      </c>
      <c r="J859" s="8" t="str">
        <f>IFERROR(VLOOKUP(F859,tecnica!A:B,2,0),"")</f>
        <v/>
      </c>
      <c r="K859" s="8" t="str">
        <f>IFERROR(VLOOKUP(J859,tecnica!B:C,2,0),"")</f>
        <v/>
      </c>
      <c r="L859" s="13"/>
      <c r="M859" s="14" t="str">
        <f>IFERROR(VLOOKUP(I859,material!A:D,4,0),"")</f>
        <v/>
      </c>
      <c r="N859" s="14" t="str">
        <f t="shared" si="1"/>
        <v/>
      </c>
      <c r="O859" s="15" t="str">
        <f>IFERROR(VLOOKUP(I859,material!A:D,2,0),"")</f>
        <v/>
      </c>
    </row>
    <row r="860">
      <c r="A860" s="6"/>
      <c r="B860" s="7"/>
      <c r="C860" s="8" t="str">
        <f t="array" ref="C860">IFERROR(INDEX(atlas!H:H,MATCH(A860,atlas!C:C,0)),"")</f>
        <v/>
      </c>
      <c r="D860" s="8" t="str">
        <f t="array" ref="D860">IFERROR(INDEX(atlas!D:D,MATCH(A860,atlas!C:C,0)),"")</f>
        <v/>
      </c>
      <c r="E860" s="8" t="str">
        <f t="array" ref="E860">IFERROR(INDEX(atlas!F:F,MATCH(A860,atlas!C:C,0)),"")</f>
        <v/>
      </c>
      <c r="F860" s="9"/>
      <c r="G860" s="10"/>
      <c r="H860" s="11"/>
      <c r="I860" s="12" t="str">
        <f t="array" ref="I860">IFERROR(INDEX(atlas!B:B,MATCH(A860,atlas!C:C,0)),"")</f>
        <v/>
      </c>
      <c r="J860" s="8" t="str">
        <f>IFERROR(VLOOKUP(F860,tecnica!A:B,2,0),"")</f>
        <v/>
      </c>
      <c r="K860" s="8" t="str">
        <f>IFERROR(VLOOKUP(J860,tecnica!B:C,2,0),"")</f>
        <v/>
      </c>
      <c r="L860" s="13"/>
      <c r="M860" s="14" t="str">
        <f>IFERROR(VLOOKUP(I860,material!A:D,4,0),"")</f>
        <v/>
      </c>
      <c r="N860" s="14" t="str">
        <f t="shared" si="1"/>
        <v/>
      </c>
      <c r="O860" s="15" t="str">
        <f>IFERROR(VLOOKUP(I860,material!A:D,2,0),"")</f>
        <v/>
      </c>
    </row>
    <row r="861">
      <c r="A861" s="6"/>
      <c r="B861" s="7"/>
      <c r="C861" s="8" t="str">
        <f t="array" ref="C861">IFERROR(INDEX(atlas!H:H,MATCH(A861,atlas!C:C,0)),"")</f>
        <v/>
      </c>
      <c r="D861" s="8" t="str">
        <f t="array" ref="D861">IFERROR(INDEX(atlas!D:D,MATCH(A861,atlas!C:C,0)),"")</f>
        <v/>
      </c>
      <c r="E861" s="8" t="str">
        <f t="array" ref="E861">IFERROR(INDEX(atlas!F:F,MATCH(A861,atlas!C:C,0)),"")</f>
        <v/>
      </c>
      <c r="F861" s="9"/>
      <c r="G861" s="10"/>
      <c r="H861" s="11"/>
      <c r="I861" s="12" t="str">
        <f t="array" ref="I861">IFERROR(INDEX(atlas!B:B,MATCH(A861,atlas!C:C,0)),"")</f>
        <v/>
      </c>
      <c r="J861" s="8" t="str">
        <f>IFERROR(VLOOKUP(F861,tecnica!A:B,2,0),"")</f>
        <v/>
      </c>
      <c r="K861" s="8" t="str">
        <f>IFERROR(VLOOKUP(J861,tecnica!B:C,2,0),"")</f>
        <v/>
      </c>
      <c r="L861" s="13"/>
      <c r="M861" s="14" t="str">
        <f>IFERROR(VLOOKUP(I861,material!A:D,4,0),"")</f>
        <v/>
      </c>
      <c r="N861" s="14" t="str">
        <f t="shared" si="1"/>
        <v/>
      </c>
      <c r="O861" s="15" t="str">
        <f>IFERROR(VLOOKUP(I861,material!A:D,2,0),"")</f>
        <v/>
      </c>
    </row>
    <row r="862">
      <c r="A862" s="6"/>
      <c r="B862" s="7"/>
      <c r="C862" s="8" t="str">
        <f t="array" ref="C862">IFERROR(INDEX(atlas!H:H,MATCH(A862,atlas!C:C,0)),"")</f>
        <v/>
      </c>
      <c r="D862" s="8" t="str">
        <f t="array" ref="D862">IFERROR(INDEX(atlas!D:D,MATCH(A862,atlas!C:C,0)),"")</f>
        <v/>
      </c>
      <c r="E862" s="8" t="str">
        <f t="array" ref="E862">IFERROR(INDEX(atlas!F:F,MATCH(A862,atlas!C:C,0)),"")</f>
        <v/>
      </c>
      <c r="F862" s="9"/>
      <c r="G862" s="10"/>
      <c r="H862" s="11"/>
      <c r="I862" s="12" t="str">
        <f t="array" ref="I862">IFERROR(INDEX(atlas!B:B,MATCH(A862,atlas!C:C,0)),"")</f>
        <v/>
      </c>
      <c r="J862" s="8" t="str">
        <f>IFERROR(VLOOKUP(F862,tecnica!A:B,2,0),"")</f>
        <v/>
      </c>
      <c r="K862" s="8" t="str">
        <f>IFERROR(VLOOKUP(J862,tecnica!B:C,2,0),"")</f>
        <v/>
      </c>
      <c r="L862" s="13"/>
      <c r="M862" s="14" t="str">
        <f>IFERROR(VLOOKUP(I862,material!A:D,4,0),"")</f>
        <v/>
      </c>
      <c r="N862" s="14" t="str">
        <f t="shared" si="1"/>
        <v/>
      </c>
      <c r="O862" s="15" t="str">
        <f>IFERROR(VLOOKUP(I862,material!A:D,2,0),"")</f>
        <v/>
      </c>
    </row>
    <row r="863">
      <c r="A863" s="6"/>
      <c r="B863" s="7"/>
      <c r="C863" s="8" t="str">
        <f t="array" ref="C863">IFERROR(INDEX(atlas!H:H,MATCH(A863,atlas!C:C,0)),"")</f>
        <v/>
      </c>
      <c r="D863" s="8" t="str">
        <f t="array" ref="D863">IFERROR(INDEX(atlas!D:D,MATCH(A863,atlas!C:C,0)),"")</f>
        <v/>
      </c>
      <c r="E863" s="8" t="str">
        <f t="array" ref="E863">IFERROR(INDEX(atlas!F:F,MATCH(A863,atlas!C:C,0)),"")</f>
        <v/>
      </c>
      <c r="F863" s="9"/>
      <c r="G863" s="10"/>
      <c r="H863" s="11"/>
      <c r="I863" s="12" t="str">
        <f t="array" ref="I863">IFERROR(INDEX(atlas!B:B,MATCH(A863,atlas!C:C,0)),"")</f>
        <v/>
      </c>
      <c r="J863" s="8" t="str">
        <f>IFERROR(VLOOKUP(F863,tecnica!A:B,2,0),"")</f>
        <v/>
      </c>
      <c r="K863" s="8" t="str">
        <f>IFERROR(VLOOKUP(J863,tecnica!B:C,2,0),"")</f>
        <v/>
      </c>
      <c r="L863" s="13"/>
      <c r="M863" s="14" t="str">
        <f>IFERROR(VLOOKUP(I863,material!A:D,4,0),"")</f>
        <v/>
      </c>
      <c r="N863" s="14" t="str">
        <f t="shared" si="1"/>
        <v/>
      </c>
      <c r="O863" s="15" t="str">
        <f>IFERROR(VLOOKUP(I863,material!A:D,2,0),"")</f>
        <v/>
      </c>
    </row>
    <row r="864">
      <c r="A864" s="6"/>
      <c r="B864" s="7"/>
      <c r="C864" s="8" t="str">
        <f t="array" ref="C864">IFERROR(INDEX(atlas!H:H,MATCH(A864,atlas!C:C,0)),"")</f>
        <v/>
      </c>
      <c r="D864" s="8" t="str">
        <f t="array" ref="D864">IFERROR(INDEX(atlas!D:D,MATCH(A864,atlas!C:C,0)),"")</f>
        <v/>
      </c>
      <c r="E864" s="8" t="str">
        <f t="array" ref="E864">IFERROR(INDEX(atlas!F:F,MATCH(A864,atlas!C:C,0)),"")</f>
        <v/>
      </c>
      <c r="F864" s="9"/>
      <c r="G864" s="10"/>
      <c r="H864" s="11"/>
      <c r="I864" s="12" t="str">
        <f t="array" ref="I864">IFERROR(INDEX(atlas!B:B,MATCH(A864,atlas!C:C,0)),"")</f>
        <v/>
      </c>
      <c r="J864" s="8" t="str">
        <f>IFERROR(VLOOKUP(F864,tecnica!A:B,2,0),"")</f>
        <v/>
      </c>
      <c r="K864" s="8" t="str">
        <f>IFERROR(VLOOKUP(J864,tecnica!B:C,2,0),"")</f>
        <v/>
      </c>
      <c r="L864" s="13"/>
      <c r="M864" s="14" t="str">
        <f>IFERROR(VLOOKUP(I864,material!A:D,4,0),"")</f>
        <v/>
      </c>
      <c r="N864" s="14" t="str">
        <f t="shared" si="1"/>
        <v/>
      </c>
      <c r="O864" s="15" t="str">
        <f>IFERROR(VLOOKUP(I864,material!A:D,2,0),"")</f>
        <v/>
      </c>
    </row>
    <row r="865">
      <c r="A865" s="6"/>
      <c r="B865" s="7"/>
      <c r="C865" s="8" t="str">
        <f t="array" ref="C865">IFERROR(INDEX(atlas!H:H,MATCH(A865,atlas!C:C,0)),"")</f>
        <v/>
      </c>
      <c r="D865" s="8" t="str">
        <f t="array" ref="D865">IFERROR(INDEX(atlas!D:D,MATCH(A865,atlas!C:C,0)),"")</f>
        <v/>
      </c>
      <c r="E865" s="8" t="str">
        <f t="array" ref="E865">IFERROR(INDEX(atlas!F:F,MATCH(A865,atlas!C:C,0)),"")</f>
        <v/>
      </c>
      <c r="F865" s="9"/>
      <c r="G865" s="10"/>
      <c r="H865" s="11"/>
      <c r="I865" s="12" t="str">
        <f t="array" ref="I865">IFERROR(INDEX(atlas!B:B,MATCH(A865,atlas!C:C,0)),"")</f>
        <v/>
      </c>
      <c r="J865" s="8" t="str">
        <f>IFERROR(VLOOKUP(F865,tecnica!A:B,2,0),"")</f>
        <v/>
      </c>
      <c r="K865" s="8" t="str">
        <f>IFERROR(VLOOKUP(J865,tecnica!B:C,2,0),"")</f>
        <v/>
      </c>
      <c r="L865" s="13"/>
      <c r="M865" s="14" t="str">
        <f>IFERROR(VLOOKUP(I865,material!A:D,4,0),"")</f>
        <v/>
      </c>
      <c r="N865" s="14" t="str">
        <f t="shared" si="1"/>
        <v/>
      </c>
      <c r="O865" s="15" t="str">
        <f>IFERROR(VLOOKUP(I865,material!A:D,2,0),"")</f>
        <v/>
      </c>
    </row>
    <row r="866">
      <c r="A866" s="6"/>
      <c r="B866" s="7"/>
      <c r="C866" s="8" t="str">
        <f t="array" ref="C866">IFERROR(INDEX(atlas!H:H,MATCH(A866,atlas!C:C,0)),"")</f>
        <v/>
      </c>
      <c r="D866" s="8" t="str">
        <f t="array" ref="D866">IFERROR(INDEX(atlas!D:D,MATCH(A866,atlas!C:C,0)),"")</f>
        <v/>
      </c>
      <c r="E866" s="8" t="str">
        <f t="array" ref="E866">IFERROR(INDEX(atlas!F:F,MATCH(A866,atlas!C:C,0)),"")</f>
        <v/>
      </c>
      <c r="F866" s="9"/>
      <c r="G866" s="10"/>
      <c r="H866" s="11"/>
      <c r="I866" s="12" t="str">
        <f t="array" ref="I866">IFERROR(INDEX(atlas!B:B,MATCH(A866,atlas!C:C,0)),"")</f>
        <v/>
      </c>
      <c r="J866" s="8" t="str">
        <f>IFERROR(VLOOKUP(F866,tecnica!A:B,2,0),"")</f>
        <v/>
      </c>
      <c r="K866" s="8" t="str">
        <f>IFERROR(VLOOKUP(J866,tecnica!B:C,2,0),"")</f>
        <v/>
      </c>
      <c r="L866" s="13"/>
      <c r="M866" s="14" t="str">
        <f>IFERROR(VLOOKUP(I866,material!A:D,4,0),"")</f>
        <v/>
      </c>
      <c r="N866" s="14" t="str">
        <f t="shared" si="1"/>
        <v/>
      </c>
      <c r="O866" s="15" t="str">
        <f>IFERROR(VLOOKUP(I866,material!A:D,2,0),"")</f>
        <v/>
      </c>
    </row>
    <row r="867">
      <c r="A867" s="6"/>
      <c r="B867" s="7"/>
      <c r="C867" s="8" t="str">
        <f t="array" ref="C867">IFERROR(INDEX(atlas!H:H,MATCH(A867,atlas!C:C,0)),"")</f>
        <v/>
      </c>
      <c r="D867" s="8" t="str">
        <f t="array" ref="D867">IFERROR(INDEX(atlas!D:D,MATCH(A867,atlas!C:C,0)),"")</f>
        <v/>
      </c>
      <c r="E867" s="8" t="str">
        <f t="array" ref="E867">IFERROR(INDEX(atlas!F:F,MATCH(A867,atlas!C:C,0)),"")</f>
        <v/>
      </c>
      <c r="F867" s="9"/>
      <c r="G867" s="10"/>
      <c r="H867" s="11"/>
      <c r="I867" s="12" t="str">
        <f t="array" ref="I867">IFERROR(INDEX(atlas!B:B,MATCH(A867,atlas!C:C,0)),"")</f>
        <v/>
      </c>
      <c r="J867" s="8" t="str">
        <f>IFERROR(VLOOKUP(F867,tecnica!A:B,2,0),"")</f>
        <v/>
      </c>
      <c r="K867" s="8" t="str">
        <f>IFERROR(VLOOKUP(J867,tecnica!B:C,2,0),"")</f>
        <v/>
      </c>
      <c r="L867" s="13"/>
      <c r="M867" s="14" t="str">
        <f>IFERROR(VLOOKUP(I867,material!A:D,4,0),"")</f>
        <v/>
      </c>
      <c r="N867" s="14" t="str">
        <f t="shared" si="1"/>
        <v/>
      </c>
      <c r="O867" s="15" t="str">
        <f>IFERROR(VLOOKUP(I867,material!A:D,2,0),"")</f>
        <v/>
      </c>
    </row>
    <row r="868">
      <c r="A868" s="6"/>
      <c r="B868" s="7"/>
      <c r="C868" s="8" t="str">
        <f t="array" ref="C868">IFERROR(INDEX(atlas!H:H,MATCH(A868,atlas!C:C,0)),"")</f>
        <v/>
      </c>
      <c r="D868" s="8" t="str">
        <f t="array" ref="D868">IFERROR(INDEX(atlas!D:D,MATCH(A868,atlas!C:C,0)),"")</f>
        <v/>
      </c>
      <c r="E868" s="8" t="str">
        <f t="array" ref="E868">IFERROR(INDEX(atlas!F:F,MATCH(A868,atlas!C:C,0)),"")</f>
        <v/>
      </c>
      <c r="F868" s="9"/>
      <c r="G868" s="10"/>
      <c r="H868" s="11"/>
      <c r="I868" s="12" t="str">
        <f t="array" ref="I868">IFERROR(INDEX(atlas!B:B,MATCH(A868,atlas!C:C,0)),"")</f>
        <v/>
      </c>
      <c r="J868" s="8" t="str">
        <f>IFERROR(VLOOKUP(F868,tecnica!A:B,2,0),"")</f>
        <v/>
      </c>
      <c r="K868" s="8" t="str">
        <f>IFERROR(VLOOKUP(J868,tecnica!B:C,2,0),"")</f>
        <v/>
      </c>
      <c r="L868" s="13"/>
      <c r="M868" s="14" t="str">
        <f>IFERROR(VLOOKUP(I868,material!A:D,4,0),"")</f>
        <v/>
      </c>
      <c r="N868" s="14" t="str">
        <f t="shared" si="1"/>
        <v/>
      </c>
      <c r="O868" s="15" t="str">
        <f>IFERROR(VLOOKUP(I868,material!A:D,2,0),"")</f>
        <v/>
      </c>
    </row>
    <row r="869">
      <c r="A869" s="6"/>
      <c r="B869" s="7"/>
      <c r="C869" s="8" t="str">
        <f t="array" ref="C869">IFERROR(INDEX(atlas!H:H,MATCH(A869,atlas!C:C,0)),"")</f>
        <v/>
      </c>
      <c r="D869" s="8" t="str">
        <f t="array" ref="D869">IFERROR(INDEX(atlas!D:D,MATCH(A869,atlas!C:C,0)),"")</f>
        <v/>
      </c>
      <c r="E869" s="8" t="str">
        <f t="array" ref="E869">IFERROR(INDEX(atlas!F:F,MATCH(A869,atlas!C:C,0)),"")</f>
        <v/>
      </c>
      <c r="F869" s="9"/>
      <c r="G869" s="10"/>
      <c r="H869" s="11"/>
      <c r="I869" s="12" t="str">
        <f t="array" ref="I869">IFERROR(INDEX(atlas!B:B,MATCH(A869,atlas!C:C,0)),"")</f>
        <v/>
      </c>
      <c r="J869" s="8" t="str">
        <f>IFERROR(VLOOKUP(F869,tecnica!A:B,2,0),"")</f>
        <v/>
      </c>
      <c r="K869" s="8" t="str">
        <f>IFERROR(VLOOKUP(J869,tecnica!B:C,2,0),"")</f>
        <v/>
      </c>
      <c r="L869" s="13"/>
      <c r="M869" s="14" t="str">
        <f>IFERROR(VLOOKUP(I869,material!A:D,4,0),"")</f>
        <v/>
      </c>
      <c r="N869" s="14" t="str">
        <f t="shared" si="1"/>
        <v/>
      </c>
      <c r="O869" s="15" t="str">
        <f>IFERROR(VLOOKUP(I869,material!A:D,2,0),"")</f>
        <v/>
      </c>
    </row>
    <row r="870">
      <c r="A870" s="6"/>
      <c r="B870" s="7"/>
      <c r="C870" s="8" t="str">
        <f t="array" ref="C870">IFERROR(INDEX(atlas!H:H,MATCH(A870,atlas!C:C,0)),"")</f>
        <v/>
      </c>
      <c r="D870" s="8" t="str">
        <f t="array" ref="D870">IFERROR(INDEX(atlas!D:D,MATCH(A870,atlas!C:C,0)),"")</f>
        <v/>
      </c>
      <c r="E870" s="8" t="str">
        <f t="array" ref="E870">IFERROR(INDEX(atlas!F:F,MATCH(A870,atlas!C:C,0)),"")</f>
        <v/>
      </c>
      <c r="F870" s="9"/>
      <c r="G870" s="10"/>
      <c r="H870" s="11"/>
      <c r="I870" s="12" t="str">
        <f t="array" ref="I870">IFERROR(INDEX(atlas!B:B,MATCH(A870,atlas!C:C,0)),"")</f>
        <v/>
      </c>
      <c r="J870" s="8" t="str">
        <f>IFERROR(VLOOKUP(F870,tecnica!A:B,2,0),"")</f>
        <v/>
      </c>
      <c r="K870" s="8" t="str">
        <f>IFERROR(VLOOKUP(J870,tecnica!B:C,2,0),"")</f>
        <v/>
      </c>
      <c r="L870" s="13"/>
      <c r="M870" s="14" t="str">
        <f>IFERROR(VLOOKUP(I870,material!A:D,4,0),"")</f>
        <v/>
      </c>
      <c r="N870" s="14" t="str">
        <f t="shared" si="1"/>
        <v/>
      </c>
      <c r="O870" s="15" t="str">
        <f>IFERROR(VLOOKUP(I870,material!A:D,2,0),"")</f>
        <v/>
      </c>
    </row>
    <row r="871">
      <c r="A871" s="6"/>
      <c r="B871" s="7"/>
      <c r="C871" s="8" t="str">
        <f t="array" ref="C871">IFERROR(INDEX(atlas!H:H,MATCH(A871,atlas!C:C,0)),"")</f>
        <v/>
      </c>
      <c r="D871" s="8" t="str">
        <f t="array" ref="D871">IFERROR(INDEX(atlas!D:D,MATCH(A871,atlas!C:C,0)),"")</f>
        <v/>
      </c>
      <c r="E871" s="8" t="str">
        <f t="array" ref="E871">IFERROR(INDEX(atlas!F:F,MATCH(A871,atlas!C:C,0)),"")</f>
        <v/>
      </c>
      <c r="F871" s="9"/>
      <c r="G871" s="10"/>
      <c r="H871" s="11"/>
      <c r="I871" s="12" t="str">
        <f t="array" ref="I871">IFERROR(INDEX(atlas!B:B,MATCH(A871,atlas!C:C,0)),"")</f>
        <v/>
      </c>
      <c r="J871" s="8" t="str">
        <f>IFERROR(VLOOKUP(F871,tecnica!A:B,2,0),"")</f>
        <v/>
      </c>
      <c r="K871" s="8" t="str">
        <f>IFERROR(VLOOKUP(J871,tecnica!B:C,2,0),"")</f>
        <v/>
      </c>
      <c r="L871" s="13"/>
      <c r="M871" s="14" t="str">
        <f>IFERROR(VLOOKUP(I871,material!A:D,4,0),"")</f>
        <v/>
      </c>
      <c r="N871" s="14" t="str">
        <f t="shared" si="1"/>
        <v/>
      </c>
      <c r="O871" s="15" t="str">
        <f>IFERROR(VLOOKUP(I871,material!A:D,2,0),"")</f>
        <v/>
      </c>
    </row>
    <row r="872">
      <c r="A872" s="6"/>
      <c r="B872" s="7"/>
      <c r="C872" s="8" t="str">
        <f t="array" ref="C872">IFERROR(INDEX(atlas!H:H,MATCH(A872,atlas!C:C,0)),"")</f>
        <v/>
      </c>
      <c r="D872" s="8" t="str">
        <f t="array" ref="D872">IFERROR(INDEX(atlas!D:D,MATCH(A872,atlas!C:C,0)),"")</f>
        <v/>
      </c>
      <c r="E872" s="8" t="str">
        <f t="array" ref="E872">IFERROR(INDEX(atlas!F:F,MATCH(A872,atlas!C:C,0)),"")</f>
        <v/>
      </c>
      <c r="F872" s="9"/>
      <c r="G872" s="10"/>
      <c r="H872" s="11"/>
      <c r="I872" s="12" t="str">
        <f t="array" ref="I872">IFERROR(INDEX(atlas!B:B,MATCH(A872,atlas!C:C,0)),"")</f>
        <v/>
      </c>
      <c r="J872" s="8" t="str">
        <f>IFERROR(VLOOKUP(F872,tecnica!A:B,2,0),"")</f>
        <v/>
      </c>
      <c r="K872" s="8" t="str">
        <f>IFERROR(VLOOKUP(J872,tecnica!B:C,2,0),"")</f>
        <v/>
      </c>
      <c r="L872" s="13"/>
      <c r="M872" s="14" t="str">
        <f>IFERROR(VLOOKUP(I872,material!A:D,4,0),"")</f>
        <v/>
      </c>
      <c r="N872" s="14" t="str">
        <f t="shared" si="1"/>
        <v/>
      </c>
      <c r="O872" s="15" t="str">
        <f>IFERROR(VLOOKUP(I872,material!A:D,2,0),"")</f>
        <v/>
      </c>
    </row>
    <row r="873">
      <c r="A873" s="6"/>
      <c r="B873" s="7"/>
      <c r="C873" s="8" t="str">
        <f t="array" ref="C873">IFERROR(INDEX(atlas!H:H,MATCH(A873,atlas!C:C,0)),"")</f>
        <v/>
      </c>
      <c r="D873" s="8" t="str">
        <f t="array" ref="D873">IFERROR(INDEX(atlas!D:D,MATCH(A873,atlas!C:C,0)),"")</f>
        <v/>
      </c>
      <c r="E873" s="8" t="str">
        <f t="array" ref="E873">IFERROR(INDEX(atlas!F:F,MATCH(A873,atlas!C:C,0)),"")</f>
        <v/>
      </c>
      <c r="F873" s="9"/>
      <c r="G873" s="10"/>
      <c r="H873" s="11"/>
      <c r="I873" s="12" t="str">
        <f t="array" ref="I873">IFERROR(INDEX(atlas!B:B,MATCH(A873,atlas!C:C,0)),"")</f>
        <v/>
      </c>
      <c r="J873" s="8" t="str">
        <f>IFERROR(VLOOKUP(F873,tecnica!A:B,2,0),"")</f>
        <v/>
      </c>
      <c r="K873" s="8" t="str">
        <f>IFERROR(VLOOKUP(J873,tecnica!B:C,2,0),"")</f>
        <v/>
      </c>
      <c r="L873" s="13"/>
      <c r="M873" s="14" t="str">
        <f>IFERROR(VLOOKUP(I873,material!A:D,4,0),"")</f>
        <v/>
      </c>
      <c r="N873" s="14" t="str">
        <f t="shared" si="1"/>
        <v/>
      </c>
      <c r="O873" s="15" t="str">
        <f>IFERROR(VLOOKUP(I873,material!A:D,2,0),"")</f>
        <v/>
      </c>
    </row>
    <row r="874">
      <c r="A874" s="6"/>
      <c r="B874" s="7"/>
      <c r="C874" s="8" t="str">
        <f t="array" ref="C874">IFERROR(INDEX(atlas!H:H,MATCH(A874,atlas!C:C,0)),"")</f>
        <v/>
      </c>
      <c r="D874" s="8" t="str">
        <f t="array" ref="D874">IFERROR(INDEX(atlas!D:D,MATCH(A874,atlas!C:C,0)),"")</f>
        <v/>
      </c>
      <c r="E874" s="8" t="str">
        <f t="array" ref="E874">IFERROR(INDEX(atlas!F:F,MATCH(A874,atlas!C:C,0)),"")</f>
        <v/>
      </c>
      <c r="F874" s="9"/>
      <c r="G874" s="10"/>
      <c r="H874" s="11"/>
      <c r="I874" s="12" t="str">
        <f t="array" ref="I874">IFERROR(INDEX(atlas!B:B,MATCH(A874,atlas!C:C,0)),"")</f>
        <v/>
      </c>
      <c r="J874" s="8" t="str">
        <f>IFERROR(VLOOKUP(F874,tecnica!A:B,2,0),"")</f>
        <v/>
      </c>
      <c r="K874" s="8" t="str">
        <f>IFERROR(VLOOKUP(J874,tecnica!B:C,2,0),"")</f>
        <v/>
      </c>
      <c r="L874" s="13"/>
      <c r="M874" s="14" t="str">
        <f>IFERROR(VLOOKUP(I874,material!A:D,4,0),"")</f>
        <v/>
      </c>
      <c r="N874" s="14" t="str">
        <f t="shared" si="1"/>
        <v/>
      </c>
      <c r="O874" s="15" t="str">
        <f>IFERROR(VLOOKUP(I874,material!A:D,2,0),"")</f>
        <v/>
      </c>
    </row>
    <row r="875">
      <c r="A875" s="6"/>
      <c r="B875" s="7"/>
      <c r="C875" s="8" t="str">
        <f t="array" ref="C875">IFERROR(INDEX(atlas!H:H,MATCH(A875,atlas!C:C,0)),"")</f>
        <v/>
      </c>
      <c r="D875" s="8" t="str">
        <f t="array" ref="D875">IFERROR(INDEX(atlas!D:D,MATCH(A875,atlas!C:C,0)),"")</f>
        <v/>
      </c>
      <c r="E875" s="8" t="str">
        <f t="array" ref="E875">IFERROR(INDEX(atlas!F:F,MATCH(A875,atlas!C:C,0)),"")</f>
        <v/>
      </c>
      <c r="F875" s="9"/>
      <c r="G875" s="10"/>
      <c r="H875" s="11"/>
      <c r="I875" s="12" t="str">
        <f t="array" ref="I875">IFERROR(INDEX(atlas!B:B,MATCH(A875,atlas!C:C,0)),"")</f>
        <v/>
      </c>
      <c r="J875" s="8" t="str">
        <f>IFERROR(VLOOKUP(F875,tecnica!A:B,2,0),"")</f>
        <v/>
      </c>
      <c r="K875" s="8" t="str">
        <f>IFERROR(VLOOKUP(J875,tecnica!B:C,2,0),"")</f>
        <v/>
      </c>
      <c r="L875" s="13"/>
      <c r="M875" s="14" t="str">
        <f>IFERROR(VLOOKUP(I875,material!A:D,4,0),"")</f>
        <v/>
      </c>
      <c r="N875" s="14" t="str">
        <f t="shared" si="1"/>
        <v/>
      </c>
      <c r="O875" s="15" t="str">
        <f>IFERROR(VLOOKUP(I875,material!A:D,2,0),"")</f>
        <v/>
      </c>
    </row>
    <row r="876">
      <c r="A876" s="6"/>
      <c r="B876" s="7"/>
      <c r="C876" s="8" t="str">
        <f t="array" ref="C876">IFERROR(INDEX(atlas!H:H,MATCH(A876,atlas!C:C,0)),"")</f>
        <v/>
      </c>
      <c r="D876" s="8" t="str">
        <f t="array" ref="D876">IFERROR(INDEX(atlas!D:D,MATCH(A876,atlas!C:C,0)),"")</f>
        <v/>
      </c>
      <c r="E876" s="8" t="str">
        <f t="array" ref="E876">IFERROR(INDEX(atlas!F:F,MATCH(A876,atlas!C:C,0)),"")</f>
        <v/>
      </c>
      <c r="F876" s="9"/>
      <c r="G876" s="10"/>
      <c r="H876" s="11"/>
      <c r="I876" s="12" t="str">
        <f t="array" ref="I876">IFERROR(INDEX(atlas!B:B,MATCH(A876,atlas!C:C,0)),"")</f>
        <v/>
      </c>
      <c r="J876" s="8" t="str">
        <f>IFERROR(VLOOKUP(F876,tecnica!A:B,2,0),"")</f>
        <v/>
      </c>
      <c r="K876" s="8" t="str">
        <f>IFERROR(VLOOKUP(J876,tecnica!B:C,2,0),"")</f>
        <v/>
      </c>
      <c r="L876" s="13"/>
      <c r="M876" s="14" t="str">
        <f>IFERROR(VLOOKUP(I876,material!A:D,4,0),"")</f>
        <v/>
      </c>
      <c r="N876" s="14" t="str">
        <f t="shared" si="1"/>
        <v/>
      </c>
      <c r="O876" s="15" t="str">
        <f>IFERROR(VLOOKUP(I876,material!A:D,2,0),"")</f>
        <v/>
      </c>
    </row>
    <row r="877">
      <c r="A877" s="6"/>
      <c r="B877" s="7"/>
      <c r="C877" s="8" t="str">
        <f t="array" ref="C877">IFERROR(INDEX(atlas!H:H,MATCH(A877,atlas!C:C,0)),"")</f>
        <v/>
      </c>
      <c r="D877" s="8" t="str">
        <f t="array" ref="D877">IFERROR(INDEX(atlas!D:D,MATCH(A877,atlas!C:C,0)),"")</f>
        <v/>
      </c>
      <c r="E877" s="8" t="str">
        <f t="array" ref="E877">IFERROR(INDEX(atlas!F:F,MATCH(A877,atlas!C:C,0)),"")</f>
        <v/>
      </c>
      <c r="F877" s="9"/>
      <c r="G877" s="10"/>
      <c r="H877" s="11"/>
      <c r="I877" s="12" t="str">
        <f t="array" ref="I877">IFERROR(INDEX(atlas!B:B,MATCH(A877,atlas!C:C,0)),"")</f>
        <v/>
      </c>
      <c r="J877" s="8" t="str">
        <f>IFERROR(VLOOKUP(F877,tecnica!A:B,2,0),"")</f>
        <v/>
      </c>
      <c r="K877" s="8" t="str">
        <f>IFERROR(VLOOKUP(J877,tecnica!B:C,2,0),"")</f>
        <v/>
      </c>
      <c r="L877" s="13"/>
      <c r="M877" s="14" t="str">
        <f>IFERROR(VLOOKUP(I877,material!A:D,4,0),"")</f>
        <v/>
      </c>
      <c r="N877" s="14" t="str">
        <f t="shared" si="1"/>
        <v/>
      </c>
      <c r="O877" s="15" t="str">
        <f>IFERROR(VLOOKUP(I877,material!A:D,2,0),"")</f>
        <v/>
      </c>
    </row>
    <row r="878">
      <c r="A878" s="6"/>
      <c r="B878" s="7"/>
      <c r="C878" s="8" t="str">
        <f t="array" ref="C878">IFERROR(INDEX(atlas!H:H,MATCH(A878,atlas!C:C,0)),"")</f>
        <v/>
      </c>
      <c r="D878" s="8" t="str">
        <f t="array" ref="D878">IFERROR(INDEX(atlas!D:D,MATCH(A878,atlas!C:C,0)),"")</f>
        <v/>
      </c>
      <c r="E878" s="8" t="str">
        <f t="array" ref="E878">IFERROR(INDEX(atlas!F:F,MATCH(A878,atlas!C:C,0)),"")</f>
        <v/>
      </c>
      <c r="F878" s="9"/>
      <c r="G878" s="10"/>
      <c r="H878" s="11"/>
      <c r="I878" s="12" t="str">
        <f t="array" ref="I878">IFERROR(INDEX(atlas!B:B,MATCH(A878,atlas!C:C,0)),"")</f>
        <v/>
      </c>
      <c r="J878" s="8" t="str">
        <f>IFERROR(VLOOKUP(F878,tecnica!A:B,2,0),"")</f>
        <v/>
      </c>
      <c r="K878" s="8" t="str">
        <f>IFERROR(VLOOKUP(J878,tecnica!B:C,2,0),"")</f>
        <v/>
      </c>
      <c r="L878" s="13"/>
      <c r="M878" s="14" t="str">
        <f>IFERROR(VLOOKUP(I878,material!A:D,4,0),"")</f>
        <v/>
      </c>
      <c r="N878" s="14" t="str">
        <f t="shared" si="1"/>
        <v/>
      </c>
      <c r="O878" s="15" t="str">
        <f>IFERROR(VLOOKUP(I878,material!A:D,2,0),"")</f>
        <v/>
      </c>
    </row>
    <row r="879">
      <c r="A879" s="6"/>
      <c r="B879" s="7"/>
      <c r="C879" s="8" t="str">
        <f t="array" ref="C879">IFERROR(INDEX(atlas!H:H,MATCH(A879,atlas!C:C,0)),"")</f>
        <v/>
      </c>
      <c r="D879" s="8" t="str">
        <f t="array" ref="D879">IFERROR(INDEX(atlas!D:D,MATCH(A879,atlas!C:C,0)),"")</f>
        <v/>
      </c>
      <c r="E879" s="8" t="str">
        <f t="array" ref="E879">IFERROR(INDEX(atlas!F:F,MATCH(A879,atlas!C:C,0)),"")</f>
        <v/>
      </c>
      <c r="F879" s="9"/>
      <c r="G879" s="10"/>
      <c r="H879" s="11"/>
      <c r="I879" s="12" t="str">
        <f t="array" ref="I879">IFERROR(INDEX(atlas!B:B,MATCH(A879,atlas!C:C,0)),"")</f>
        <v/>
      </c>
      <c r="J879" s="8" t="str">
        <f>IFERROR(VLOOKUP(F879,tecnica!A:B,2,0),"")</f>
        <v/>
      </c>
      <c r="K879" s="8" t="str">
        <f>IFERROR(VLOOKUP(J879,tecnica!B:C,2,0),"")</f>
        <v/>
      </c>
      <c r="L879" s="13"/>
      <c r="M879" s="14" t="str">
        <f>IFERROR(VLOOKUP(I879,material!A:D,4,0),"")</f>
        <v/>
      </c>
      <c r="N879" s="14" t="str">
        <f t="shared" si="1"/>
        <v/>
      </c>
      <c r="O879" s="15" t="str">
        <f>IFERROR(VLOOKUP(I879,material!A:D,2,0),"")</f>
        <v/>
      </c>
    </row>
    <row r="880">
      <c r="A880" s="6"/>
      <c r="B880" s="7"/>
      <c r="C880" s="8" t="str">
        <f t="array" ref="C880">IFERROR(INDEX(atlas!H:H,MATCH(A880,atlas!C:C,0)),"")</f>
        <v/>
      </c>
      <c r="D880" s="8" t="str">
        <f t="array" ref="D880">IFERROR(INDEX(atlas!D:D,MATCH(A880,atlas!C:C,0)),"")</f>
        <v/>
      </c>
      <c r="E880" s="8" t="str">
        <f t="array" ref="E880">IFERROR(INDEX(atlas!F:F,MATCH(A880,atlas!C:C,0)),"")</f>
        <v/>
      </c>
      <c r="F880" s="9"/>
      <c r="G880" s="10"/>
      <c r="H880" s="11"/>
      <c r="I880" s="12" t="str">
        <f t="array" ref="I880">IFERROR(INDEX(atlas!B:B,MATCH(A880,atlas!C:C,0)),"")</f>
        <v/>
      </c>
      <c r="J880" s="8" t="str">
        <f>IFERROR(VLOOKUP(F880,tecnica!A:B,2,0),"")</f>
        <v/>
      </c>
      <c r="K880" s="8" t="str">
        <f>IFERROR(VLOOKUP(J880,tecnica!B:C,2,0),"")</f>
        <v/>
      </c>
      <c r="L880" s="13"/>
      <c r="M880" s="14" t="str">
        <f>IFERROR(VLOOKUP(I880,material!A:D,4,0),"")</f>
        <v/>
      </c>
      <c r="N880" s="14" t="str">
        <f t="shared" si="1"/>
        <v/>
      </c>
      <c r="O880" s="15" t="str">
        <f>IFERROR(VLOOKUP(I880,material!A:D,2,0),"")</f>
        <v/>
      </c>
    </row>
    <row r="881">
      <c r="A881" s="6"/>
      <c r="B881" s="7"/>
      <c r="C881" s="8" t="str">
        <f t="array" ref="C881">IFERROR(INDEX(atlas!H:H,MATCH(A881,atlas!C:C,0)),"")</f>
        <v/>
      </c>
      <c r="D881" s="8" t="str">
        <f t="array" ref="D881">IFERROR(INDEX(atlas!D:D,MATCH(A881,atlas!C:C,0)),"")</f>
        <v/>
      </c>
      <c r="E881" s="8" t="str">
        <f t="array" ref="E881">IFERROR(INDEX(atlas!F:F,MATCH(A881,atlas!C:C,0)),"")</f>
        <v/>
      </c>
      <c r="F881" s="9"/>
      <c r="G881" s="10"/>
      <c r="H881" s="11"/>
      <c r="I881" s="12" t="str">
        <f t="array" ref="I881">IFERROR(INDEX(atlas!B:B,MATCH(A881,atlas!C:C,0)),"")</f>
        <v/>
      </c>
      <c r="J881" s="8" t="str">
        <f>IFERROR(VLOOKUP(F881,tecnica!A:B,2,0),"")</f>
        <v/>
      </c>
      <c r="K881" s="8" t="str">
        <f>IFERROR(VLOOKUP(J881,tecnica!B:C,2,0),"")</f>
        <v/>
      </c>
      <c r="L881" s="13"/>
      <c r="M881" s="14" t="str">
        <f>IFERROR(VLOOKUP(I881,material!A:D,4,0),"")</f>
        <v/>
      </c>
      <c r="N881" s="14" t="str">
        <f t="shared" si="1"/>
        <v/>
      </c>
      <c r="O881" s="15" t="str">
        <f>IFERROR(VLOOKUP(I881,material!A:D,2,0),"")</f>
        <v/>
      </c>
    </row>
    <row r="882">
      <c r="A882" s="6"/>
      <c r="B882" s="7"/>
      <c r="C882" s="8" t="str">
        <f t="array" ref="C882">IFERROR(INDEX(atlas!H:H,MATCH(A882,atlas!C:C,0)),"")</f>
        <v/>
      </c>
      <c r="D882" s="8" t="str">
        <f t="array" ref="D882">IFERROR(INDEX(atlas!D:D,MATCH(A882,atlas!C:C,0)),"")</f>
        <v/>
      </c>
      <c r="E882" s="8" t="str">
        <f t="array" ref="E882">IFERROR(INDEX(atlas!F:F,MATCH(A882,atlas!C:C,0)),"")</f>
        <v/>
      </c>
      <c r="F882" s="9"/>
      <c r="G882" s="10"/>
      <c r="H882" s="11"/>
      <c r="I882" s="12" t="str">
        <f t="array" ref="I882">IFERROR(INDEX(atlas!B:B,MATCH(A882,atlas!C:C,0)),"")</f>
        <v/>
      </c>
      <c r="J882" s="8" t="str">
        <f>IFERROR(VLOOKUP(F882,tecnica!A:B,2,0),"")</f>
        <v/>
      </c>
      <c r="K882" s="8" t="str">
        <f>IFERROR(VLOOKUP(J882,tecnica!B:C,2,0),"")</f>
        <v/>
      </c>
      <c r="L882" s="13"/>
      <c r="M882" s="14" t="str">
        <f>IFERROR(VLOOKUP(I882,material!A:D,4,0),"")</f>
        <v/>
      </c>
      <c r="N882" s="14" t="str">
        <f t="shared" si="1"/>
        <v/>
      </c>
      <c r="O882" s="15" t="str">
        <f>IFERROR(VLOOKUP(I882,material!A:D,2,0),"")</f>
        <v/>
      </c>
    </row>
    <row r="883">
      <c r="A883" s="6"/>
      <c r="B883" s="7"/>
      <c r="C883" s="8" t="str">
        <f t="array" ref="C883">IFERROR(INDEX(atlas!H:H,MATCH(A883,atlas!C:C,0)),"")</f>
        <v/>
      </c>
      <c r="D883" s="8" t="str">
        <f t="array" ref="D883">IFERROR(INDEX(atlas!D:D,MATCH(A883,atlas!C:C,0)),"")</f>
        <v/>
      </c>
      <c r="E883" s="8" t="str">
        <f t="array" ref="E883">IFERROR(INDEX(atlas!F:F,MATCH(A883,atlas!C:C,0)),"")</f>
        <v/>
      </c>
      <c r="F883" s="9"/>
      <c r="G883" s="10"/>
      <c r="H883" s="11"/>
      <c r="I883" s="12" t="str">
        <f t="array" ref="I883">IFERROR(INDEX(atlas!B:B,MATCH(A883,atlas!C:C,0)),"")</f>
        <v/>
      </c>
      <c r="J883" s="8" t="str">
        <f>IFERROR(VLOOKUP(F883,tecnica!A:B,2,0),"")</f>
        <v/>
      </c>
      <c r="K883" s="8" t="str">
        <f>IFERROR(VLOOKUP(J883,tecnica!B:C,2,0),"")</f>
        <v/>
      </c>
      <c r="L883" s="13"/>
      <c r="M883" s="14" t="str">
        <f>IFERROR(VLOOKUP(I883,material!A:D,4,0),"")</f>
        <v/>
      </c>
      <c r="N883" s="14" t="str">
        <f t="shared" si="1"/>
        <v/>
      </c>
      <c r="O883" s="15" t="str">
        <f>IFERROR(VLOOKUP(I883,material!A:D,2,0),"")</f>
        <v/>
      </c>
    </row>
    <row r="884">
      <c r="A884" s="6"/>
      <c r="B884" s="7"/>
      <c r="C884" s="8" t="str">
        <f t="array" ref="C884">IFERROR(INDEX(atlas!H:H,MATCH(A884,atlas!C:C,0)),"")</f>
        <v/>
      </c>
      <c r="D884" s="8" t="str">
        <f t="array" ref="D884">IFERROR(INDEX(atlas!D:D,MATCH(A884,atlas!C:C,0)),"")</f>
        <v/>
      </c>
      <c r="E884" s="8" t="str">
        <f t="array" ref="E884">IFERROR(INDEX(atlas!F:F,MATCH(A884,atlas!C:C,0)),"")</f>
        <v/>
      </c>
      <c r="F884" s="9"/>
      <c r="G884" s="10"/>
      <c r="H884" s="11"/>
      <c r="I884" s="12" t="str">
        <f t="array" ref="I884">IFERROR(INDEX(atlas!B:B,MATCH(A884,atlas!C:C,0)),"")</f>
        <v/>
      </c>
      <c r="J884" s="8" t="str">
        <f>IFERROR(VLOOKUP(F884,tecnica!A:B,2,0),"")</f>
        <v/>
      </c>
      <c r="K884" s="8" t="str">
        <f>IFERROR(VLOOKUP(J884,tecnica!B:C,2,0),"")</f>
        <v/>
      </c>
      <c r="L884" s="13"/>
      <c r="M884" s="14" t="str">
        <f>IFERROR(VLOOKUP(I884,material!A:D,4,0),"")</f>
        <v/>
      </c>
      <c r="N884" s="14" t="str">
        <f t="shared" si="1"/>
        <v/>
      </c>
      <c r="O884" s="15" t="str">
        <f>IFERROR(VLOOKUP(I884,material!A:D,2,0),"")</f>
        <v/>
      </c>
    </row>
    <row r="885">
      <c r="A885" s="6"/>
      <c r="B885" s="7"/>
      <c r="C885" s="8" t="str">
        <f t="array" ref="C885">IFERROR(INDEX(atlas!H:H,MATCH(A885,atlas!C:C,0)),"")</f>
        <v/>
      </c>
      <c r="D885" s="8" t="str">
        <f t="array" ref="D885">IFERROR(INDEX(atlas!D:D,MATCH(A885,atlas!C:C,0)),"")</f>
        <v/>
      </c>
      <c r="E885" s="8" t="str">
        <f t="array" ref="E885">IFERROR(INDEX(atlas!F:F,MATCH(A885,atlas!C:C,0)),"")</f>
        <v/>
      </c>
      <c r="F885" s="9"/>
      <c r="G885" s="10"/>
      <c r="H885" s="11"/>
      <c r="I885" s="12" t="str">
        <f t="array" ref="I885">IFERROR(INDEX(atlas!B:B,MATCH(A885,atlas!C:C,0)),"")</f>
        <v/>
      </c>
      <c r="J885" s="8" t="str">
        <f>IFERROR(VLOOKUP(F885,tecnica!A:B,2,0),"")</f>
        <v/>
      </c>
      <c r="K885" s="8" t="str">
        <f>IFERROR(VLOOKUP(J885,tecnica!B:C,2,0),"")</f>
        <v/>
      </c>
      <c r="L885" s="13"/>
      <c r="M885" s="14" t="str">
        <f>IFERROR(VLOOKUP(I885,material!A:D,4,0),"")</f>
        <v/>
      </c>
      <c r="N885" s="14" t="str">
        <f t="shared" si="1"/>
        <v/>
      </c>
      <c r="O885" s="15" t="str">
        <f>IFERROR(VLOOKUP(I885,material!A:D,2,0),"")</f>
        <v/>
      </c>
    </row>
    <row r="886">
      <c r="A886" s="6"/>
      <c r="B886" s="7"/>
      <c r="C886" s="8" t="str">
        <f t="array" ref="C886">IFERROR(INDEX(atlas!H:H,MATCH(A886,atlas!C:C,0)),"")</f>
        <v/>
      </c>
      <c r="D886" s="8" t="str">
        <f t="array" ref="D886">IFERROR(INDEX(atlas!D:D,MATCH(A886,atlas!C:C,0)),"")</f>
        <v/>
      </c>
      <c r="E886" s="8" t="str">
        <f t="array" ref="E886">IFERROR(INDEX(atlas!F:F,MATCH(A886,atlas!C:C,0)),"")</f>
        <v/>
      </c>
      <c r="F886" s="9"/>
      <c r="G886" s="10"/>
      <c r="H886" s="11"/>
      <c r="I886" s="12" t="str">
        <f t="array" ref="I886">IFERROR(INDEX(atlas!B:B,MATCH(A886,atlas!C:C,0)),"")</f>
        <v/>
      </c>
      <c r="J886" s="8" t="str">
        <f>IFERROR(VLOOKUP(F886,tecnica!A:B,2,0),"")</f>
        <v/>
      </c>
      <c r="K886" s="8" t="str">
        <f>IFERROR(VLOOKUP(J886,tecnica!B:C,2,0),"")</f>
        <v/>
      </c>
      <c r="L886" s="13"/>
      <c r="M886" s="14" t="str">
        <f>IFERROR(VLOOKUP(I886,material!A:D,4,0),"")</f>
        <v/>
      </c>
      <c r="N886" s="14" t="str">
        <f t="shared" si="1"/>
        <v/>
      </c>
      <c r="O886" s="15" t="str">
        <f>IFERROR(VLOOKUP(I886,material!A:D,2,0),"")</f>
        <v/>
      </c>
    </row>
    <row r="887">
      <c r="A887" s="6"/>
      <c r="B887" s="7"/>
      <c r="C887" s="8" t="str">
        <f t="array" ref="C887">IFERROR(INDEX(atlas!H:H,MATCH(A887,atlas!C:C,0)),"")</f>
        <v/>
      </c>
      <c r="D887" s="8" t="str">
        <f t="array" ref="D887">IFERROR(INDEX(atlas!D:D,MATCH(A887,atlas!C:C,0)),"")</f>
        <v/>
      </c>
      <c r="E887" s="8" t="str">
        <f t="array" ref="E887">IFERROR(INDEX(atlas!F:F,MATCH(A887,atlas!C:C,0)),"")</f>
        <v/>
      </c>
      <c r="F887" s="9"/>
      <c r="G887" s="10"/>
      <c r="H887" s="11"/>
      <c r="I887" s="12" t="str">
        <f t="array" ref="I887">IFERROR(INDEX(atlas!B:B,MATCH(A887,atlas!C:C,0)),"")</f>
        <v/>
      </c>
      <c r="J887" s="8" t="str">
        <f>IFERROR(VLOOKUP(F887,tecnica!A:B,2,0),"")</f>
        <v/>
      </c>
      <c r="K887" s="8" t="str">
        <f>IFERROR(VLOOKUP(J887,tecnica!B:C,2,0),"")</f>
        <v/>
      </c>
      <c r="L887" s="13"/>
      <c r="M887" s="14" t="str">
        <f>IFERROR(VLOOKUP(I887,material!A:D,4,0),"")</f>
        <v/>
      </c>
      <c r="N887" s="14" t="str">
        <f t="shared" si="1"/>
        <v/>
      </c>
      <c r="O887" s="15" t="str">
        <f>IFERROR(VLOOKUP(I887,material!A:D,2,0),"")</f>
        <v/>
      </c>
    </row>
    <row r="888">
      <c r="A888" s="6"/>
      <c r="B888" s="7"/>
      <c r="C888" s="8" t="str">
        <f t="array" ref="C888">IFERROR(INDEX(atlas!H:H,MATCH(A888,atlas!C:C,0)),"")</f>
        <v/>
      </c>
      <c r="D888" s="8" t="str">
        <f t="array" ref="D888">IFERROR(INDEX(atlas!D:D,MATCH(A888,atlas!C:C,0)),"")</f>
        <v/>
      </c>
      <c r="E888" s="8" t="str">
        <f t="array" ref="E888">IFERROR(INDEX(atlas!F:F,MATCH(A888,atlas!C:C,0)),"")</f>
        <v/>
      </c>
      <c r="F888" s="9"/>
      <c r="G888" s="10"/>
      <c r="H888" s="11"/>
      <c r="I888" s="12" t="str">
        <f t="array" ref="I888">IFERROR(INDEX(atlas!B:B,MATCH(A888,atlas!C:C,0)),"")</f>
        <v/>
      </c>
      <c r="J888" s="8" t="str">
        <f>IFERROR(VLOOKUP(F888,tecnica!A:B,2,0),"")</f>
        <v/>
      </c>
      <c r="K888" s="8" t="str">
        <f>IFERROR(VLOOKUP(J888,tecnica!B:C,2,0),"")</f>
        <v/>
      </c>
      <c r="L888" s="13"/>
      <c r="M888" s="14" t="str">
        <f>IFERROR(VLOOKUP(I888,material!A:D,4,0),"")</f>
        <v/>
      </c>
      <c r="N888" s="14" t="str">
        <f t="shared" si="1"/>
        <v/>
      </c>
      <c r="O888" s="15" t="str">
        <f>IFERROR(VLOOKUP(I888,material!A:D,2,0),"")</f>
        <v/>
      </c>
    </row>
    <row r="889">
      <c r="A889" s="6"/>
      <c r="B889" s="7"/>
      <c r="C889" s="8" t="str">
        <f t="array" ref="C889">IFERROR(INDEX(atlas!H:H,MATCH(A889,atlas!C:C,0)),"")</f>
        <v/>
      </c>
      <c r="D889" s="8" t="str">
        <f t="array" ref="D889">IFERROR(INDEX(atlas!D:D,MATCH(A889,atlas!C:C,0)),"")</f>
        <v/>
      </c>
      <c r="E889" s="8" t="str">
        <f t="array" ref="E889">IFERROR(INDEX(atlas!F:F,MATCH(A889,atlas!C:C,0)),"")</f>
        <v/>
      </c>
      <c r="F889" s="9"/>
      <c r="G889" s="10"/>
      <c r="H889" s="11"/>
      <c r="I889" s="12" t="str">
        <f t="array" ref="I889">IFERROR(INDEX(atlas!B:B,MATCH(A889,atlas!C:C,0)),"")</f>
        <v/>
      </c>
      <c r="J889" s="8" t="str">
        <f>IFERROR(VLOOKUP(F889,tecnica!A:B,2,0),"")</f>
        <v/>
      </c>
      <c r="K889" s="8" t="str">
        <f>IFERROR(VLOOKUP(J889,tecnica!B:C,2,0),"")</f>
        <v/>
      </c>
      <c r="L889" s="13"/>
      <c r="M889" s="14" t="str">
        <f>IFERROR(VLOOKUP(I889,material!A:D,4,0),"")</f>
        <v/>
      </c>
      <c r="N889" s="14" t="str">
        <f t="shared" si="1"/>
        <v/>
      </c>
      <c r="O889" s="15" t="str">
        <f>IFERROR(VLOOKUP(I889,material!A:D,2,0),"")</f>
        <v/>
      </c>
    </row>
    <row r="890">
      <c r="A890" s="6"/>
      <c r="B890" s="7"/>
      <c r="C890" s="8" t="str">
        <f t="array" ref="C890">IFERROR(INDEX(atlas!H:H,MATCH(A890,atlas!C:C,0)),"")</f>
        <v/>
      </c>
      <c r="D890" s="8" t="str">
        <f t="array" ref="D890">IFERROR(INDEX(atlas!D:D,MATCH(A890,atlas!C:C,0)),"")</f>
        <v/>
      </c>
      <c r="E890" s="8" t="str">
        <f t="array" ref="E890">IFERROR(INDEX(atlas!F:F,MATCH(A890,atlas!C:C,0)),"")</f>
        <v/>
      </c>
      <c r="F890" s="9"/>
      <c r="G890" s="10"/>
      <c r="H890" s="11"/>
      <c r="I890" s="12" t="str">
        <f t="array" ref="I890">IFERROR(INDEX(atlas!B:B,MATCH(A890,atlas!C:C,0)),"")</f>
        <v/>
      </c>
      <c r="J890" s="8" t="str">
        <f>IFERROR(VLOOKUP(F890,tecnica!A:B,2,0),"")</f>
        <v/>
      </c>
      <c r="K890" s="8" t="str">
        <f>IFERROR(VLOOKUP(J890,tecnica!B:C,2,0),"")</f>
        <v/>
      </c>
      <c r="L890" s="13"/>
      <c r="M890" s="14" t="str">
        <f>IFERROR(VLOOKUP(I890,material!A:D,4,0),"")</f>
        <v/>
      </c>
      <c r="N890" s="14" t="str">
        <f t="shared" si="1"/>
        <v/>
      </c>
      <c r="O890" s="15" t="str">
        <f>IFERROR(VLOOKUP(I890,material!A:D,2,0),"")</f>
        <v/>
      </c>
    </row>
    <row r="891">
      <c r="A891" s="6"/>
      <c r="B891" s="7"/>
      <c r="C891" s="8" t="str">
        <f t="array" ref="C891">IFERROR(INDEX(atlas!H:H,MATCH(A891,atlas!C:C,0)),"")</f>
        <v/>
      </c>
      <c r="D891" s="8" t="str">
        <f t="array" ref="D891">IFERROR(INDEX(atlas!D:D,MATCH(A891,atlas!C:C,0)),"")</f>
        <v/>
      </c>
      <c r="E891" s="8" t="str">
        <f t="array" ref="E891">IFERROR(INDEX(atlas!F:F,MATCH(A891,atlas!C:C,0)),"")</f>
        <v/>
      </c>
      <c r="F891" s="9"/>
      <c r="G891" s="10"/>
      <c r="H891" s="11"/>
      <c r="I891" s="12" t="str">
        <f t="array" ref="I891">IFERROR(INDEX(atlas!B:B,MATCH(A891,atlas!C:C,0)),"")</f>
        <v/>
      </c>
      <c r="J891" s="8" t="str">
        <f>IFERROR(VLOOKUP(F891,tecnica!A:B,2,0),"")</f>
        <v/>
      </c>
      <c r="K891" s="8" t="str">
        <f>IFERROR(VLOOKUP(J891,tecnica!B:C,2,0),"")</f>
        <v/>
      </c>
      <c r="L891" s="13"/>
      <c r="M891" s="14" t="str">
        <f>IFERROR(VLOOKUP(I891,material!A:D,4,0),"")</f>
        <v/>
      </c>
      <c r="N891" s="14" t="str">
        <f t="shared" si="1"/>
        <v/>
      </c>
      <c r="O891" s="15" t="str">
        <f>IFERROR(VLOOKUP(I891,material!A:D,2,0),"")</f>
        <v/>
      </c>
    </row>
    <row r="892">
      <c r="A892" s="6"/>
      <c r="B892" s="7"/>
      <c r="C892" s="8" t="str">
        <f t="array" ref="C892">IFERROR(INDEX(atlas!H:H,MATCH(A892,atlas!C:C,0)),"")</f>
        <v/>
      </c>
      <c r="D892" s="8" t="str">
        <f t="array" ref="D892">IFERROR(INDEX(atlas!D:D,MATCH(A892,atlas!C:C,0)),"")</f>
        <v/>
      </c>
      <c r="E892" s="8" t="str">
        <f t="array" ref="E892">IFERROR(INDEX(atlas!F:F,MATCH(A892,atlas!C:C,0)),"")</f>
        <v/>
      </c>
      <c r="F892" s="9"/>
      <c r="G892" s="10"/>
      <c r="H892" s="11"/>
      <c r="I892" s="12" t="str">
        <f t="array" ref="I892">IFERROR(INDEX(atlas!B:B,MATCH(A892,atlas!C:C,0)),"")</f>
        <v/>
      </c>
      <c r="J892" s="8" t="str">
        <f>IFERROR(VLOOKUP(F892,tecnica!A:B,2,0),"")</f>
        <v/>
      </c>
      <c r="K892" s="8" t="str">
        <f>IFERROR(VLOOKUP(J892,tecnica!B:C,2,0),"")</f>
        <v/>
      </c>
      <c r="L892" s="13"/>
      <c r="M892" s="14" t="str">
        <f>IFERROR(VLOOKUP(I892,material!A:D,4,0),"")</f>
        <v/>
      </c>
      <c r="N892" s="14" t="str">
        <f t="shared" si="1"/>
        <v/>
      </c>
      <c r="O892" s="15" t="str">
        <f>IFERROR(VLOOKUP(I892,material!A:D,2,0),"")</f>
        <v/>
      </c>
    </row>
    <row r="893">
      <c r="A893" s="6"/>
      <c r="B893" s="7"/>
      <c r="C893" s="8" t="str">
        <f t="array" ref="C893">IFERROR(INDEX(atlas!H:H,MATCH(A893,atlas!C:C,0)),"")</f>
        <v/>
      </c>
      <c r="D893" s="8" t="str">
        <f t="array" ref="D893">IFERROR(INDEX(atlas!D:D,MATCH(A893,atlas!C:C,0)),"")</f>
        <v/>
      </c>
      <c r="E893" s="8" t="str">
        <f t="array" ref="E893">IFERROR(INDEX(atlas!F:F,MATCH(A893,atlas!C:C,0)),"")</f>
        <v/>
      </c>
      <c r="F893" s="9"/>
      <c r="G893" s="10"/>
      <c r="H893" s="11"/>
      <c r="I893" s="12" t="str">
        <f t="array" ref="I893">IFERROR(INDEX(atlas!B:B,MATCH(A893,atlas!C:C,0)),"")</f>
        <v/>
      </c>
      <c r="J893" s="8" t="str">
        <f>IFERROR(VLOOKUP(F893,tecnica!A:B,2,0),"")</f>
        <v/>
      </c>
      <c r="K893" s="8" t="str">
        <f>IFERROR(VLOOKUP(J893,tecnica!B:C,2,0),"")</f>
        <v/>
      </c>
      <c r="L893" s="13"/>
      <c r="M893" s="14" t="str">
        <f>IFERROR(VLOOKUP(I893,material!A:D,4,0),"")</f>
        <v/>
      </c>
      <c r="N893" s="14" t="str">
        <f t="shared" si="1"/>
        <v/>
      </c>
      <c r="O893" s="15" t="str">
        <f>IFERROR(VLOOKUP(I893,material!A:D,2,0),"")</f>
        <v/>
      </c>
    </row>
    <row r="894">
      <c r="A894" s="6"/>
      <c r="B894" s="7"/>
      <c r="C894" s="8" t="str">
        <f t="array" ref="C894">IFERROR(INDEX(atlas!H:H,MATCH(A894,atlas!C:C,0)),"")</f>
        <v/>
      </c>
      <c r="D894" s="8" t="str">
        <f t="array" ref="D894">IFERROR(INDEX(atlas!D:D,MATCH(A894,atlas!C:C,0)),"")</f>
        <v/>
      </c>
      <c r="E894" s="8" t="str">
        <f t="array" ref="E894">IFERROR(INDEX(atlas!F:F,MATCH(A894,atlas!C:C,0)),"")</f>
        <v/>
      </c>
      <c r="F894" s="9"/>
      <c r="G894" s="10"/>
      <c r="H894" s="11"/>
      <c r="I894" s="12" t="str">
        <f t="array" ref="I894">IFERROR(INDEX(atlas!B:B,MATCH(A894,atlas!C:C,0)),"")</f>
        <v/>
      </c>
      <c r="J894" s="8" t="str">
        <f>IFERROR(VLOOKUP(F894,tecnica!A:B,2,0),"")</f>
        <v/>
      </c>
      <c r="K894" s="8" t="str">
        <f>IFERROR(VLOOKUP(J894,tecnica!B:C,2,0),"")</f>
        <v/>
      </c>
      <c r="L894" s="13"/>
      <c r="M894" s="14" t="str">
        <f>IFERROR(VLOOKUP(I894,material!A:D,4,0),"")</f>
        <v/>
      </c>
      <c r="N894" s="14" t="str">
        <f t="shared" si="1"/>
        <v/>
      </c>
      <c r="O894" s="15" t="str">
        <f>IFERROR(VLOOKUP(I894,material!A:D,2,0),"")</f>
        <v/>
      </c>
    </row>
    <row r="895">
      <c r="A895" s="6"/>
      <c r="B895" s="7"/>
      <c r="C895" s="8" t="str">
        <f t="array" ref="C895">IFERROR(INDEX(atlas!H:H,MATCH(A895,atlas!C:C,0)),"")</f>
        <v/>
      </c>
      <c r="D895" s="8" t="str">
        <f t="array" ref="D895">IFERROR(INDEX(atlas!D:D,MATCH(A895,atlas!C:C,0)),"")</f>
        <v/>
      </c>
      <c r="E895" s="8" t="str">
        <f t="array" ref="E895">IFERROR(INDEX(atlas!F:F,MATCH(A895,atlas!C:C,0)),"")</f>
        <v/>
      </c>
      <c r="F895" s="9"/>
      <c r="G895" s="10"/>
      <c r="H895" s="11"/>
      <c r="I895" s="12" t="str">
        <f t="array" ref="I895">IFERROR(INDEX(atlas!B:B,MATCH(A895,atlas!C:C,0)),"")</f>
        <v/>
      </c>
      <c r="J895" s="8" t="str">
        <f>IFERROR(VLOOKUP(F895,tecnica!A:B,2,0),"")</f>
        <v/>
      </c>
      <c r="K895" s="8" t="str">
        <f>IFERROR(VLOOKUP(J895,tecnica!B:C,2,0),"")</f>
        <v/>
      </c>
      <c r="L895" s="13"/>
      <c r="M895" s="14" t="str">
        <f>IFERROR(VLOOKUP(I895,material!A:D,4,0),"")</f>
        <v/>
      </c>
      <c r="N895" s="14" t="str">
        <f t="shared" si="1"/>
        <v/>
      </c>
      <c r="O895" s="15" t="str">
        <f>IFERROR(VLOOKUP(I895,material!A:D,2,0),"")</f>
        <v/>
      </c>
    </row>
    <row r="896">
      <c r="A896" s="6"/>
      <c r="B896" s="7"/>
      <c r="C896" s="8" t="str">
        <f t="array" ref="C896">IFERROR(INDEX(atlas!H:H,MATCH(A896,atlas!C:C,0)),"")</f>
        <v/>
      </c>
      <c r="D896" s="8" t="str">
        <f t="array" ref="D896">IFERROR(INDEX(atlas!D:D,MATCH(A896,atlas!C:C,0)),"")</f>
        <v/>
      </c>
      <c r="E896" s="8" t="str">
        <f t="array" ref="E896">IFERROR(INDEX(atlas!F:F,MATCH(A896,atlas!C:C,0)),"")</f>
        <v/>
      </c>
      <c r="F896" s="9"/>
      <c r="G896" s="10"/>
      <c r="H896" s="11"/>
      <c r="I896" s="12" t="str">
        <f t="array" ref="I896">IFERROR(INDEX(atlas!B:B,MATCH(A896,atlas!C:C,0)),"")</f>
        <v/>
      </c>
      <c r="J896" s="8" t="str">
        <f>IFERROR(VLOOKUP(F896,tecnica!A:B,2,0),"")</f>
        <v/>
      </c>
      <c r="K896" s="8" t="str">
        <f>IFERROR(VLOOKUP(J896,tecnica!B:C,2,0),"")</f>
        <v/>
      </c>
      <c r="L896" s="13"/>
      <c r="M896" s="14" t="str">
        <f>IFERROR(VLOOKUP(I896,material!A:D,4,0),"")</f>
        <v/>
      </c>
      <c r="N896" s="14" t="str">
        <f t="shared" si="1"/>
        <v/>
      </c>
      <c r="O896" s="15" t="str">
        <f>IFERROR(VLOOKUP(I896,material!A:D,2,0),"")</f>
        <v/>
      </c>
    </row>
    <row r="897">
      <c r="A897" s="6"/>
      <c r="B897" s="7"/>
      <c r="C897" s="8" t="str">
        <f t="array" ref="C897">IFERROR(INDEX(atlas!H:H,MATCH(A897,atlas!C:C,0)),"")</f>
        <v/>
      </c>
      <c r="D897" s="8" t="str">
        <f t="array" ref="D897">IFERROR(INDEX(atlas!D:D,MATCH(A897,atlas!C:C,0)),"")</f>
        <v/>
      </c>
      <c r="E897" s="8" t="str">
        <f t="array" ref="E897">IFERROR(INDEX(atlas!F:F,MATCH(A897,atlas!C:C,0)),"")</f>
        <v/>
      </c>
      <c r="F897" s="9"/>
      <c r="G897" s="10"/>
      <c r="H897" s="11"/>
      <c r="I897" s="12" t="str">
        <f t="array" ref="I897">IFERROR(INDEX(atlas!B:B,MATCH(A897,atlas!C:C,0)),"")</f>
        <v/>
      </c>
      <c r="J897" s="8" t="str">
        <f>IFERROR(VLOOKUP(F897,tecnica!A:B,2,0),"")</f>
        <v/>
      </c>
      <c r="K897" s="8" t="str">
        <f>IFERROR(VLOOKUP(J897,tecnica!B:C,2,0),"")</f>
        <v/>
      </c>
      <c r="L897" s="13"/>
      <c r="M897" s="14" t="str">
        <f>IFERROR(VLOOKUP(I897,material!A:D,4,0),"")</f>
        <v/>
      </c>
      <c r="N897" s="14" t="str">
        <f t="shared" si="1"/>
        <v/>
      </c>
      <c r="O897" s="15" t="str">
        <f>IFERROR(VLOOKUP(I897,material!A:D,2,0),"")</f>
        <v/>
      </c>
    </row>
    <row r="898">
      <c r="A898" s="6"/>
      <c r="B898" s="7"/>
      <c r="C898" s="8" t="str">
        <f t="array" ref="C898">IFERROR(INDEX(atlas!H:H,MATCH(A898,atlas!C:C,0)),"")</f>
        <v/>
      </c>
      <c r="D898" s="8" t="str">
        <f t="array" ref="D898">IFERROR(INDEX(atlas!D:D,MATCH(A898,atlas!C:C,0)),"")</f>
        <v/>
      </c>
      <c r="E898" s="8" t="str">
        <f t="array" ref="E898">IFERROR(INDEX(atlas!F:F,MATCH(A898,atlas!C:C,0)),"")</f>
        <v/>
      </c>
      <c r="F898" s="9"/>
      <c r="G898" s="10"/>
      <c r="H898" s="11"/>
      <c r="I898" s="12" t="str">
        <f t="array" ref="I898">IFERROR(INDEX(atlas!B:B,MATCH(A898,atlas!C:C,0)),"")</f>
        <v/>
      </c>
      <c r="J898" s="8" t="str">
        <f>IFERROR(VLOOKUP(F898,tecnica!A:B,2,0),"")</f>
        <v/>
      </c>
      <c r="K898" s="8" t="str">
        <f>IFERROR(VLOOKUP(J898,tecnica!B:C,2,0),"")</f>
        <v/>
      </c>
      <c r="L898" s="13"/>
      <c r="M898" s="14" t="str">
        <f>IFERROR(VLOOKUP(I898,material!A:D,4,0),"")</f>
        <v/>
      </c>
      <c r="N898" s="14" t="str">
        <f t="shared" si="1"/>
        <v/>
      </c>
      <c r="O898" s="15" t="str">
        <f>IFERROR(VLOOKUP(I898,material!A:D,2,0),"")</f>
        <v/>
      </c>
    </row>
    <row r="899">
      <c r="A899" s="6"/>
      <c r="B899" s="7"/>
      <c r="C899" s="8" t="str">
        <f t="array" ref="C899">IFERROR(INDEX(atlas!H:H,MATCH(A899,atlas!C:C,0)),"")</f>
        <v/>
      </c>
      <c r="D899" s="8" t="str">
        <f t="array" ref="D899">IFERROR(INDEX(atlas!D:D,MATCH(A899,atlas!C:C,0)),"")</f>
        <v/>
      </c>
      <c r="E899" s="8" t="str">
        <f t="array" ref="E899">IFERROR(INDEX(atlas!F:F,MATCH(A899,atlas!C:C,0)),"")</f>
        <v/>
      </c>
      <c r="F899" s="9"/>
      <c r="G899" s="10"/>
      <c r="H899" s="11"/>
      <c r="I899" s="12" t="str">
        <f t="array" ref="I899">IFERROR(INDEX(atlas!B:B,MATCH(A899,atlas!C:C,0)),"")</f>
        <v/>
      </c>
      <c r="J899" s="8" t="str">
        <f>IFERROR(VLOOKUP(F899,tecnica!A:B,2,0),"")</f>
        <v/>
      </c>
      <c r="K899" s="8" t="str">
        <f>IFERROR(VLOOKUP(J899,tecnica!B:C,2,0),"")</f>
        <v/>
      </c>
      <c r="L899" s="13"/>
      <c r="M899" s="14" t="str">
        <f>IFERROR(VLOOKUP(I899,material!A:D,4,0),"")</f>
        <v/>
      </c>
      <c r="N899" s="14" t="str">
        <f t="shared" si="1"/>
        <v/>
      </c>
      <c r="O899" s="15" t="str">
        <f>IFERROR(VLOOKUP(I899,material!A:D,2,0),"")</f>
        <v/>
      </c>
    </row>
    <row r="900">
      <c r="A900" s="6"/>
      <c r="B900" s="7"/>
      <c r="C900" s="8" t="str">
        <f t="array" ref="C900">IFERROR(INDEX(atlas!H:H,MATCH(A900,atlas!C:C,0)),"")</f>
        <v/>
      </c>
      <c r="D900" s="8" t="str">
        <f t="array" ref="D900">IFERROR(INDEX(atlas!D:D,MATCH(A900,atlas!C:C,0)),"")</f>
        <v/>
      </c>
      <c r="E900" s="8" t="str">
        <f t="array" ref="E900">IFERROR(INDEX(atlas!F:F,MATCH(A900,atlas!C:C,0)),"")</f>
        <v/>
      </c>
      <c r="F900" s="9"/>
      <c r="G900" s="10"/>
      <c r="H900" s="11"/>
      <c r="I900" s="12" t="str">
        <f t="array" ref="I900">IFERROR(INDEX(atlas!B:B,MATCH(A900,atlas!C:C,0)),"")</f>
        <v/>
      </c>
      <c r="J900" s="8" t="str">
        <f>IFERROR(VLOOKUP(F900,tecnica!A:B,2,0),"")</f>
        <v/>
      </c>
      <c r="K900" s="8" t="str">
        <f>IFERROR(VLOOKUP(J900,tecnica!B:C,2,0),"")</f>
        <v/>
      </c>
      <c r="L900" s="13"/>
      <c r="M900" s="14" t="str">
        <f>IFERROR(VLOOKUP(I900,material!A:D,4,0),"")</f>
        <v/>
      </c>
      <c r="N900" s="14" t="str">
        <f t="shared" si="1"/>
        <v/>
      </c>
      <c r="O900" s="15" t="str">
        <f>IFERROR(VLOOKUP(I900,material!A:D,2,0),"")</f>
        <v/>
      </c>
    </row>
    <row r="901">
      <c r="A901" s="6"/>
      <c r="B901" s="7"/>
      <c r="C901" s="8" t="str">
        <f t="array" ref="C901">IFERROR(INDEX(atlas!H:H,MATCH(A901,atlas!C:C,0)),"")</f>
        <v/>
      </c>
      <c r="D901" s="8" t="str">
        <f t="array" ref="D901">IFERROR(INDEX(atlas!D:D,MATCH(A901,atlas!C:C,0)),"")</f>
        <v/>
      </c>
      <c r="E901" s="8" t="str">
        <f t="array" ref="E901">IFERROR(INDEX(atlas!F:F,MATCH(A901,atlas!C:C,0)),"")</f>
        <v/>
      </c>
      <c r="F901" s="9"/>
      <c r="G901" s="10"/>
      <c r="H901" s="11"/>
      <c r="I901" s="12" t="str">
        <f t="array" ref="I901">IFERROR(INDEX(atlas!B:B,MATCH(A901,atlas!C:C,0)),"")</f>
        <v/>
      </c>
      <c r="J901" s="8" t="str">
        <f>IFERROR(VLOOKUP(F901,tecnica!A:B,2,0),"")</f>
        <v/>
      </c>
      <c r="K901" s="8" t="str">
        <f>IFERROR(VLOOKUP(J901,tecnica!B:C,2,0),"")</f>
        <v/>
      </c>
      <c r="L901" s="13"/>
      <c r="M901" s="14" t="str">
        <f>IFERROR(VLOOKUP(I901,material!A:D,4,0),"")</f>
        <v/>
      </c>
      <c r="N901" s="14" t="str">
        <f t="shared" si="1"/>
        <v/>
      </c>
      <c r="O901" s="15" t="str">
        <f>IFERROR(VLOOKUP(I901,material!A:D,2,0),"")</f>
        <v/>
      </c>
    </row>
    <row r="902">
      <c r="A902" s="6"/>
      <c r="B902" s="7"/>
      <c r="C902" s="8" t="str">
        <f t="array" ref="C902">IFERROR(INDEX(atlas!H:H,MATCH(A902,atlas!C:C,0)),"")</f>
        <v/>
      </c>
      <c r="D902" s="8" t="str">
        <f t="array" ref="D902">IFERROR(INDEX(atlas!D:D,MATCH(A902,atlas!C:C,0)),"")</f>
        <v/>
      </c>
      <c r="E902" s="8" t="str">
        <f t="array" ref="E902">IFERROR(INDEX(atlas!F:F,MATCH(A902,atlas!C:C,0)),"")</f>
        <v/>
      </c>
      <c r="F902" s="9"/>
      <c r="G902" s="10"/>
      <c r="H902" s="11"/>
      <c r="I902" s="12" t="str">
        <f t="array" ref="I902">IFERROR(INDEX(atlas!B:B,MATCH(A902,atlas!C:C,0)),"")</f>
        <v/>
      </c>
      <c r="J902" s="8" t="str">
        <f>IFERROR(VLOOKUP(F902,tecnica!A:B,2,0),"")</f>
        <v/>
      </c>
      <c r="K902" s="8" t="str">
        <f>IFERROR(VLOOKUP(J902,tecnica!B:C,2,0),"")</f>
        <v/>
      </c>
      <c r="L902" s="13"/>
      <c r="M902" s="14" t="str">
        <f>IFERROR(VLOOKUP(I902,material!A:D,4,0),"")</f>
        <v/>
      </c>
      <c r="N902" s="14" t="str">
        <f t="shared" si="1"/>
        <v/>
      </c>
      <c r="O902" s="15" t="str">
        <f>IFERROR(VLOOKUP(I902,material!A:D,2,0),"")</f>
        <v/>
      </c>
    </row>
    <row r="903">
      <c r="A903" s="6"/>
      <c r="B903" s="7"/>
      <c r="C903" s="8" t="str">
        <f t="array" ref="C903">IFERROR(INDEX(atlas!H:H,MATCH(A903,atlas!C:C,0)),"")</f>
        <v/>
      </c>
      <c r="D903" s="8" t="str">
        <f t="array" ref="D903">IFERROR(INDEX(atlas!D:D,MATCH(A903,atlas!C:C,0)),"")</f>
        <v/>
      </c>
      <c r="E903" s="8" t="str">
        <f t="array" ref="E903">IFERROR(INDEX(atlas!F:F,MATCH(A903,atlas!C:C,0)),"")</f>
        <v/>
      </c>
      <c r="F903" s="9"/>
      <c r="G903" s="10"/>
      <c r="H903" s="11"/>
      <c r="I903" s="12" t="str">
        <f t="array" ref="I903">IFERROR(INDEX(atlas!B:B,MATCH(A903,atlas!C:C,0)),"")</f>
        <v/>
      </c>
      <c r="J903" s="8" t="str">
        <f>IFERROR(VLOOKUP(F903,tecnica!A:B,2,0),"")</f>
        <v/>
      </c>
      <c r="K903" s="8" t="str">
        <f>IFERROR(VLOOKUP(J903,tecnica!B:C,2,0),"")</f>
        <v/>
      </c>
      <c r="L903" s="13"/>
      <c r="M903" s="14" t="str">
        <f>IFERROR(VLOOKUP(I903,material!A:D,4,0),"")</f>
        <v/>
      </c>
      <c r="N903" s="14" t="str">
        <f t="shared" si="1"/>
        <v/>
      </c>
      <c r="O903" s="15" t="str">
        <f>IFERROR(VLOOKUP(I903,material!A:D,2,0),"")</f>
        <v/>
      </c>
    </row>
    <row r="904">
      <c r="A904" s="6"/>
      <c r="B904" s="7"/>
      <c r="C904" s="8" t="str">
        <f t="array" ref="C904">IFERROR(INDEX(atlas!H:H,MATCH(A904,atlas!C:C,0)),"")</f>
        <v/>
      </c>
      <c r="D904" s="8" t="str">
        <f t="array" ref="D904">IFERROR(INDEX(atlas!D:D,MATCH(A904,atlas!C:C,0)),"")</f>
        <v/>
      </c>
      <c r="E904" s="8" t="str">
        <f t="array" ref="E904">IFERROR(INDEX(atlas!F:F,MATCH(A904,atlas!C:C,0)),"")</f>
        <v/>
      </c>
      <c r="F904" s="9"/>
      <c r="G904" s="10"/>
      <c r="H904" s="11"/>
      <c r="I904" s="12" t="str">
        <f t="array" ref="I904">IFERROR(INDEX(atlas!B:B,MATCH(A904,atlas!C:C,0)),"")</f>
        <v/>
      </c>
      <c r="J904" s="8" t="str">
        <f>IFERROR(VLOOKUP(F904,tecnica!A:B,2,0),"")</f>
        <v/>
      </c>
      <c r="K904" s="8" t="str">
        <f>IFERROR(VLOOKUP(J904,tecnica!B:C,2,0),"")</f>
        <v/>
      </c>
      <c r="L904" s="13"/>
      <c r="M904" s="14" t="str">
        <f>IFERROR(VLOOKUP(I904,material!A:D,4,0),"")</f>
        <v/>
      </c>
      <c r="N904" s="14" t="str">
        <f t="shared" si="1"/>
        <v/>
      </c>
      <c r="O904" s="15" t="str">
        <f>IFERROR(VLOOKUP(I904,material!A:D,2,0),"")</f>
        <v/>
      </c>
    </row>
    <row r="905">
      <c r="A905" s="6"/>
      <c r="B905" s="7"/>
      <c r="C905" s="8" t="str">
        <f t="array" ref="C905">IFERROR(INDEX(atlas!H:H,MATCH(A905,atlas!C:C,0)),"")</f>
        <v/>
      </c>
      <c r="D905" s="8" t="str">
        <f t="array" ref="D905">IFERROR(INDEX(atlas!D:D,MATCH(A905,atlas!C:C,0)),"")</f>
        <v/>
      </c>
      <c r="E905" s="8" t="str">
        <f t="array" ref="E905">IFERROR(INDEX(atlas!F:F,MATCH(A905,atlas!C:C,0)),"")</f>
        <v/>
      </c>
      <c r="F905" s="9"/>
      <c r="G905" s="10"/>
      <c r="H905" s="11"/>
      <c r="I905" s="12" t="str">
        <f t="array" ref="I905">IFERROR(INDEX(atlas!B:B,MATCH(A905,atlas!C:C,0)),"")</f>
        <v/>
      </c>
      <c r="J905" s="8" t="str">
        <f>IFERROR(VLOOKUP(F905,tecnica!A:B,2,0),"")</f>
        <v/>
      </c>
      <c r="K905" s="8" t="str">
        <f>IFERROR(VLOOKUP(J905,tecnica!B:C,2,0),"")</f>
        <v/>
      </c>
      <c r="L905" s="13"/>
      <c r="M905" s="14" t="str">
        <f>IFERROR(VLOOKUP(I905,material!A:D,4,0),"")</f>
        <v/>
      </c>
      <c r="N905" s="14" t="str">
        <f t="shared" si="1"/>
        <v/>
      </c>
      <c r="O905" s="15" t="str">
        <f>IFERROR(VLOOKUP(I905,material!A:D,2,0),"")</f>
        <v/>
      </c>
    </row>
    <row r="906">
      <c r="A906" s="6"/>
      <c r="B906" s="7"/>
      <c r="C906" s="8" t="str">
        <f t="array" ref="C906">IFERROR(INDEX(atlas!H:H,MATCH(A906,atlas!C:C,0)),"")</f>
        <v/>
      </c>
      <c r="D906" s="8" t="str">
        <f t="array" ref="D906">IFERROR(INDEX(atlas!D:D,MATCH(A906,atlas!C:C,0)),"")</f>
        <v/>
      </c>
      <c r="E906" s="8" t="str">
        <f t="array" ref="E906">IFERROR(INDEX(atlas!F:F,MATCH(A906,atlas!C:C,0)),"")</f>
        <v/>
      </c>
      <c r="F906" s="9"/>
      <c r="G906" s="10"/>
      <c r="H906" s="11"/>
      <c r="I906" s="12" t="str">
        <f t="array" ref="I906">IFERROR(INDEX(atlas!B:B,MATCH(A906,atlas!C:C,0)),"")</f>
        <v/>
      </c>
      <c r="J906" s="8" t="str">
        <f>IFERROR(VLOOKUP(F906,tecnica!A:B,2,0),"")</f>
        <v/>
      </c>
      <c r="K906" s="8" t="str">
        <f>IFERROR(VLOOKUP(J906,tecnica!B:C,2,0),"")</f>
        <v/>
      </c>
      <c r="L906" s="13"/>
      <c r="M906" s="14" t="str">
        <f>IFERROR(VLOOKUP(I906,material!A:D,4,0),"")</f>
        <v/>
      </c>
      <c r="N906" s="14" t="str">
        <f t="shared" si="1"/>
        <v/>
      </c>
      <c r="O906" s="15" t="str">
        <f>IFERROR(VLOOKUP(I906,material!A:D,2,0),"")</f>
        <v/>
      </c>
    </row>
    <row r="907">
      <c r="A907" s="6"/>
      <c r="B907" s="7"/>
      <c r="C907" s="8" t="str">
        <f t="array" ref="C907">IFERROR(INDEX(atlas!H:H,MATCH(A907,atlas!C:C,0)),"")</f>
        <v/>
      </c>
      <c r="D907" s="8" t="str">
        <f t="array" ref="D907">IFERROR(INDEX(atlas!D:D,MATCH(A907,atlas!C:C,0)),"")</f>
        <v/>
      </c>
      <c r="E907" s="8" t="str">
        <f t="array" ref="E907">IFERROR(INDEX(atlas!F:F,MATCH(A907,atlas!C:C,0)),"")</f>
        <v/>
      </c>
      <c r="F907" s="9"/>
      <c r="G907" s="10"/>
      <c r="H907" s="11"/>
      <c r="I907" s="12" t="str">
        <f t="array" ref="I907">IFERROR(INDEX(atlas!B:B,MATCH(A907,atlas!C:C,0)),"")</f>
        <v/>
      </c>
      <c r="J907" s="8" t="str">
        <f>IFERROR(VLOOKUP(F907,tecnica!A:B,2,0),"")</f>
        <v/>
      </c>
      <c r="K907" s="8" t="str">
        <f>IFERROR(VLOOKUP(J907,tecnica!B:C,2,0),"")</f>
        <v/>
      </c>
      <c r="L907" s="13"/>
      <c r="M907" s="14" t="str">
        <f>IFERROR(VLOOKUP(I907,material!A:D,4,0),"")</f>
        <v/>
      </c>
      <c r="N907" s="14" t="str">
        <f t="shared" si="1"/>
        <v/>
      </c>
      <c r="O907" s="15" t="str">
        <f>IFERROR(VLOOKUP(I907,material!A:D,2,0),"")</f>
        <v/>
      </c>
    </row>
    <row r="908">
      <c r="A908" s="6"/>
      <c r="B908" s="7"/>
      <c r="C908" s="8" t="str">
        <f t="array" ref="C908">IFERROR(INDEX(atlas!H:H,MATCH(A908,atlas!C:C,0)),"")</f>
        <v/>
      </c>
      <c r="D908" s="8" t="str">
        <f t="array" ref="D908">IFERROR(INDEX(atlas!D:D,MATCH(A908,atlas!C:C,0)),"")</f>
        <v/>
      </c>
      <c r="E908" s="8" t="str">
        <f t="array" ref="E908">IFERROR(INDEX(atlas!F:F,MATCH(A908,atlas!C:C,0)),"")</f>
        <v/>
      </c>
      <c r="F908" s="9"/>
      <c r="G908" s="10"/>
      <c r="H908" s="11"/>
      <c r="I908" s="12" t="str">
        <f t="array" ref="I908">IFERROR(INDEX(atlas!B:B,MATCH(A908,atlas!C:C,0)),"")</f>
        <v/>
      </c>
      <c r="J908" s="8" t="str">
        <f>IFERROR(VLOOKUP(F908,tecnica!A:B,2,0),"")</f>
        <v/>
      </c>
      <c r="K908" s="8" t="str">
        <f>IFERROR(VLOOKUP(J908,tecnica!B:C,2,0),"")</f>
        <v/>
      </c>
      <c r="L908" s="13"/>
      <c r="M908" s="14" t="str">
        <f>IFERROR(VLOOKUP(I908,material!A:D,4,0),"")</f>
        <v/>
      </c>
      <c r="N908" s="14" t="str">
        <f t="shared" si="1"/>
        <v/>
      </c>
      <c r="O908" s="15" t="str">
        <f>IFERROR(VLOOKUP(I908,material!A:D,2,0),"")</f>
        <v/>
      </c>
    </row>
    <row r="909">
      <c r="A909" s="6"/>
      <c r="B909" s="7"/>
      <c r="C909" s="8" t="str">
        <f t="array" ref="C909">IFERROR(INDEX(atlas!H:H,MATCH(A909,atlas!C:C,0)),"")</f>
        <v/>
      </c>
      <c r="D909" s="8" t="str">
        <f t="array" ref="D909">IFERROR(INDEX(atlas!D:D,MATCH(A909,atlas!C:C,0)),"")</f>
        <v/>
      </c>
      <c r="E909" s="8" t="str">
        <f t="array" ref="E909">IFERROR(INDEX(atlas!F:F,MATCH(A909,atlas!C:C,0)),"")</f>
        <v/>
      </c>
      <c r="F909" s="9"/>
      <c r="G909" s="10"/>
      <c r="H909" s="11"/>
      <c r="I909" s="12" t="str">
        <f t="array" ref="I909">IFERROR(INDEX(atlas!B:B,MATCH(A909,atlas!C:C,0)),"")</f>
        <v/>
      </c>
      <c r="J909" s="8" t="str">
        <f>IFERROR(VLOOKUP(F909,tecnica!A:B,2,0),"")</f>
        <v/>
      </c>
      <c r="K909" s="8" t="str">
        <f>IFERROR(VLOOKUP(J909,tecnica!B:C,2,0),"")</f>
        <v/>
      </c>
      <c r="L909" s="13"/>
      <c r="M909" s="14" t="str">
        <f>IFERROR(VLOOKUP(I909,material!A:D,4,0),"")</f>
        <v/>
      </c>
      <c r="N909" s="14" t="str">
        <f t="shared" si="1"/>
        <v/>
      </c>
      <c r="O909" s="15" t="str">
        <f>IFERROR(VLOOKUP(I909,material!A:D,2,0),"")</f>
        <v/>
      </c>
    </row>
    <row r="910">
      <c r="A910" s="6"/>
      <c r="B910" s="7"/>
      <c r="C910" s="8" t="str">
        <f t="array" ref="C910">IFERROR(INDEX(atlas!H:H,MATCH(A910,atlas!C:C,0)),"")</f>
        <v/>
      </c>
      <c r="D910" s="8" t="str">
        <f t="array" ref="D910">IFERROR(INDEX(atlas!D:D,MATCH(A910,atlas!C:C,0)),"")</f>
        <v/>
      </c>
      <c r="E910" s="8" t="str">
        <f t="array" ref="E910">IFERROR(INDEX(atlas!F:F,MATCH(A910,atlas!C:C,0)),"")</f>
        <v/>
      </c>
      <c r="F910" s="9"/>
      <c r="G910" s="10"/>
      <c r="H910" s="11"/>
      <c r="I910" s="12" t="str">
        <f t="array" ref="I910">IFERROR(INDEX(atlas!B:B,MATCH(A910,atlas!C:C,0)),"")</f>
        <v/>
      </c>
      <c r="J910" s="8" t="str">
        <f>IFERROR(VLOOKUP(F910,tecnica!A:B,2,0),"")</f>
        <v/>
      </c>
      <c r="K910" s="8" t="str">
        <f>IFERROR(VLOOKUP(J910,tecnica!B:C,2,0),"")</f>
        <v/>
      </c>
      <c r="L910" s="13"/>
      <c r="M910" s="14" t="str">
        <f>IFERROR(VLOOKUP(I910,material!A:D,4,0),"")</f>
        <v/>
      </c>
      <c r="N910" s="14" t="str">
        <f t="shared" si="1"/>
        <v/>
      </c>
      <c r="O910" s="15" t="str">
        <f>IFERROR(VLOOKUP(I910,material!A:D,2,0),"")</f>
        <v/>
      </c>
    </row>
    <row r="911">
      <c r="A911" s="6"/>
      <c r="B911" s="7"/>
      <c r="C911" s="8" t="str">
        <f t="array" ref="C911">IFERROR(INDEX(atlas!H:H,MATCH(A911,atlas!C:C,0)),"")</f>
        <v/>
      </c>
      <c r="D911" s="8" t="str">
        <f t="array" ref="D911">IFERROR(INDEX(atlas!D:D,MATCH(A911,atlas!C:C,0)),"")</f>
        <v/>
      </c>
      <c r="E911" s="8" t="str">
        <f t="array" ref="E911">IFERROR(INDEX(atlas!F:F,MATCH(A911,atlas!C:C,0)),"")</f>
        <v/>
      </c>
      <c r="F911" s="9"/>
      <c r="G911" s="10"/>
      <c r="H911" s="11"/>
      <c r="I911" s="12" t="str">
        <f t="array" ref="I911">IFERROR(INDEX(atlas!B:B,MATCH(A911,atlas!C:C,0)),"")</f>
        <v/>
      </c>
      <c r="J911" s="8" t="str">
        <f>IFERROR(VLOOKUP(F911,tecnica!A:B,2,0),"")</f>
        <v/>
      </c>
      <c r="K911" s="8" t="str">
        <f>IFERROR(VLOOKUP(J911,tecnica!B:C,2,0),"")</f>
        <v/>
      </c>
      <c r="L911" s="13"/>
      <c r="M911" s="14" t="str">
        <f>IFERROR(VLOOKUP(I911,material!A:D,4,0),"")</f>
        <v/>
      </c>
      <c r="N911" s="14" t="str">
        <f t="shared" si="1"/>
        <v/>
      </c>
      <c r="O911" s="15" t="str">
        <f>IFERROR(VLOOKUP(I911,material!A:D,2,0),"")</f>
        <v/>
      </c>
    </row>
    <row r="912">
      <c r="A912" s="6"/>
      <c r="B912" s="7"/>
      <c r="C912" s="8" t="str">
        <f t="array" ref="C912">IFERROR(INDEX(atlas!H:H,MATCH(A912,atlas!C:C,0)),"")</f>
        <v/>
      </c>
      <c r="D912" s="8" t="str">
        <f t="array" ref="D912">IFERROR(INDEX(atlas!D:D,MATCH(A912,atlas!C:C,0)),"")</f>
        <v/>
      </c>
      <c r="E912" s="8" t="str">
        <f t="array" ref="E912">IFERROR(INDEX(atlas!F:F,MATCH(A912,atlas!C:C,0)),"")</f>
        <v/>
      </c>
      <c r="F912" s="9"/>
      <c r="G912" s="10"/>
      <c r="H912" s="11"/>
      <c r="I912" s="12" t="str">
        <f t="array" ref="I912">IFERROR(INDEX(atlas!B:B,MATCH(A912,atlas!C:C,0)),"")</f>
        <v/>
      </c>
      <c r="J912" s="8" t="str">
        <f>IFERROR(VLOOKUP(F912,tecnica!A:B,2,0),"")</f>
        <v/>
      </c>
      <c r="K912" s="8" t="str">
        <f>IFERROR(VLOOKUP(J912,tecnica!B:C,2,0),"")</f>
        <v/>
      </c>
      <c r="L912" s="13"/>
      <c r="M912" s="14" t="str">
        <f>IFERROR(VLOOKUP(I912,material!A:D,4,0),"")</f>
        <v/>
      </c>
      <c r="N912" s="14" t="str">
        <f t="shared" si="1"/>
        <v/>
      </c>
      <c r="O912" s="15" t="str">
        <f>IFERROR(VLOOKUP(I912,material!A:D,2,0),"")</f>
        <v/>
      </c>
    </row>
    <row r="913">
      <c r="A913" s="6"/>
      <c r="B913" s="7"/>
      <c r="C913" s="8" t="str">
        <f t="array" ref="C913">IFERROR(INDEX(atlas!H:H,MATCH(A913,atlas!C:C,0)),"")</f>
        <v/>
      </c>
      <c r="D913" s="8" t="str">
        <f t="array" ref="D913">IFERROR(INDEX(atlas!D:D,MATCH(A913,atlas!C:C,0)),"")</f>
        <v/>
      </c>
      <c r="E913" s="8" t="str">
        <f t="array" ref="E913">IFERROR(INDEX(atlas!F:F,MATCH(A913,atlas!C:C,0)),"")</f>
        <v/>
      </c>
      <c r="F913" s="9"/>
      <c r="G913" s="10"/>
      <c r="H913" s="11"/>
      <c r="I913" s="12" t="str">
        <f t="array" ref="I913">IFERROR(INDEX(atlas!B:B,MATCH(A913,atlas!C:C,0)),"")</f>
        <v/>
      </c>
      <c r="J913" s="8" t="str">
        <f>IFERROR(VLOOKUP(F913,tecnica!A:B,2,0),"")</f>
        <v/>
      </c>
      <c r="K913" s="8" t="str">
        <f>IFERROR(VLOOKUP(J913,tecnica!B:C,2,0),"")</f>
        <v/>
      </c>
      <c r="L913" s="13"/>
      <c r="M913" s="14" t="str">
        <f>IFERROR(VLOOKUP(I913,material!A:D,4,0),"")</f>
        <v/>
      </c>
      <c r="N913" s="14" t="str">
        <f t="shared" si="1"/>
        <v/>
      </c>
      <c r="O913" s="15" t="str">
        <f>IFERROR(VLOOKUP(I913,material!A:D,2,0),"")</f>
        <v/>
      </c>
    </row>
    <row r="914">
      <c r="A914" s="6"/>
      <c r="B914" s="7"/>
      <c r="C914" s="8" t="str">
        <f t="array" ref="C914">IFERROR(INDEX(atlas!H:H,MATCH(A914,atlas!C:C,0)),"")</f>
        <v/>
      </c>
      <c r="D914" s="8" t="str">
        <f t="array" ref="D914">IFERROR(INDEX(atlas!D:D,MATCH(A914,atlas!C:C,0)),"")</f>
        <v/>
      </c>
      <c r="E914" s="8" t="str">
        <f t="array" ref="E914">IFERROR(INDEX(atlas!F:F,MATCH(A914,atlas!C:C,0)),"")</f>
        <v/>
      </c>
      <c r="F914" s="9"/>
      <c r="G914" s="10"/>
      <c r="H914" s="11"/>
      <c r="I914" s="12" t="str">
        <f t="array" ref="I914">IFERROR(INDEX(atlas!B:B,MATCH(A914,atlas!C:C,0)),"")</f>
        <v/>
      </c>
      <c r="J914" s="8" t="str">
        <f>IFERROR(VLOOKUP(F914,tecnica!A:B,2,0),"")</f>
        <v/>
      </c>
      <c r="K914" s="8" t="str">
        <f>IFERROR(VLOOKUP(J914,tecnica!B:C,2,0),"")</f>
        <v/>
      </c>
      <c r="L914" s="13"/>
      <c r="M914" s="14" t="str">
        <f>IFERROR(VLOOKUP(I914,material!A:D,4,0),"")</f>
        <v/>
      </c>
      <c r="N914" s="14" t="str">
        <f t="shared" si="1"/>
        <v/>
      </c>
      <c r="O914" s="15" t="str">
        <f>IFERROR(VLOOKUP(I914,material!A:D,2,0),"")</f>
        <v/>
      </c>
    </row>
    <row r="915">
      <c r="A915" s="6"/>
      <c r="B915" s="7"/>
      <c r="C915" s="8" t="str">
        <f t="array" ref="C915">IFERROR(INDEX(atlas!H:H,MATCH(A915,atlas!C:C,0)),"")</f>
        <v/>
      </c>
      <c r="D915" s="8" t="str">
        <f t="array" ref="D915">IFERROR(INDEX(atlas!D:D,MATCH(A915,atlas!C:C,0)),"")</f>
        <v/>
      </c>
      <c r="E915" s="8" t="str">
        <f t="array" ref="E915">IFERROR(INDEX(atlas!F:F,MATCH(A915,atlas!C:C,0)),"")</f>
        <v/>
      </c>
      <c r="F915" s="9"/>
      <c r="G915" s="10"/>
      <c r="H915" s="11"/>
      <c r="I915" s="12" t="str">
        <f t="array" ref="I915">IFERROR(INDEX(atlas!B:B,MATCH(A915,atlas!C:C,0)),"")</f>
        <v/>
      </c>
      <c r="J915" s="8" t="str">
        <f>IFERROR(VLOOKUP(F915,tecnica!A:B,2,0),"")</f>
        <v/>
      </c>
      <c r="K915" s="8" t="str">
        <f>IFERROR(VLOOKUP(J915,tecnica!B:C,2,0),"")</f>
        <v/>
      </c>
      <c r="L915" s="13"/>
      <c r="M915" s="14" t="str">
        <f>IFERROR(VLOOKUP(I915,material!A:D,4,0),"")</f>
        <v/>
      </c>
      <c r="N915" s="14" t="str">
        <f t="shared" si="1"/>
        <v/>
      </c>
      <c r="O915" s="15" t="str">
        <f>IFERROR(VLOOKUP(I915,material!A:D,2,0),"")</f>
        <v/>
      </c>
    </row>
    <row r="916">
      <c r="A916" s="6"/>
      <c r="B916" s="7"/>
      <c r="C916" s="8" t="str">
        <f t="array" ref="C916">IFERROR(INDEX(atlas!H:H,MATCH(A916,atlas!C:C,0)),"")</f>
        <v/>
      </c>
      <c r="D916" s="8" t="str">
        <f t="array" ref="D916">IFERROR(INDEX(atlas!D:D,MATCH(A916,atlas!C:C,0)),"")</f>
        <v/>
      </c>
      <c r="E916" s="8" t="str">
        <f t="array" ref="E916">IFERROR(INDEX(atlas!F:F,MATCH(A916,atlas!C:C,0)),"")</f>
        <v/>
      </c>
      <c r="F916" s="9"/>
      <c r="G916" s="10"/>
      <c r="H916" s="11"/>
      <c r="I916" s="12" t="str">
        <f t="array" ref="I916">IFERROR(INDEX(atlas!B:B,MATCH(A916,atlas!C:C,0)),"")</f>
        <v/>
      </c>
      <c r="J916" s="8" t="str">
        <f>IFERROR(VLOOKUP(F916,tecnica!A:B,2,0),"")</f>
        <v/>
      </c>
      <c r="K916" s="8" t="str">
        <f>IFERROR(VLOOKUP(J916,tecnica!B:C,2,0),"")</f>
        <v/>
      </c>
      <c r="L916" s="13"/>
      <c r="M916" s="14" t="str">
        <f>IFERROR(VLOOKUP(I916,material!A:D,4,0),"")</f>
        <v/>
      </c>
      <c r="N916" s="14" t="str">
        <f t="shared" si="1"/>
        <v/>
      </c>
      <c r="O916" s="15" t="str">
        <f>IFERROR(VLOOKUP(I916,material!A:D,2,0),"")</f>
        <v/>
      </c>
    </row>
    <row r="917">
      <c r="A917" s="6"/>
      <c r="B917" s="7"/>
      <c r="C917" s="8" t="str">
        <f t="array" ref="C917">IFERROR(INDEX(atlas!H:H,MATCH(A917,atlas!C:C,0)),"")</f>
        <v/>
      </c>
      <c r="D917" s="8" t="str">
        <f t="array" ref="D917">IFERROR(INDEX(atlas!D:D,MATCH(A917,atlas!C:C,0)),"")</f>
        <v/>
      </c>
      <c r="E917" s="8" t="str">
        <f t="array" ref="E917">IFERROR(INDEX(atlas!F:F,MATCH(A917,atlas!C:C,0)),"")</f>
        <v/>
      </c>
      <c r="F917" s="9"/>
      <c r="G917" s="10"/>
      <c r="H917" s="11"/>
      <c r="I917" s="12" t="str">
        <f t="array" ref="I917">IFERROR(INDEX(atlas!B:B,MATCH(A917,atlas!C:C,0)),"")</f>
        <v/>
      </c>
      <c r="J917" s="8" t="str">
        <f>IFERROR(VLOOKUP(F917,tecnica!A:B,2,0),"")</f>
        <v/>
      </c>
      <c r="K917" s="8" t="str">
        <f>IFERROR(VLOOKUP(J917,tecnica!B:C,2,0),"")</f>
        <v/>
      </c>
      <c r="L917" s="13"/>
      <c r="M917" s="14" t="str">
        <f>IFERROR(VLOOKUP(I917,material!A:D,4,0),"")</f>
        <v/>
      </c>
      <c r="N917" s="14" t="str">
        <f t="shared" si="1"/>
        <v/>
      </c>
      <c r="O917" s="15" t="str">
        <f>IFERROR(VLOOKUP(I917,material!A:D,2,0),"")</f>
        <v/>
      </c>
    </row>
    <row r="918">
      <c r="A918" s="6"/>
      <c r="B918" s="7"/>
      <c r="C918" s="8" t="str">
        <f t="array" ref="C918">IFERROR(INDEX(atlas!H:H,MATCH(A918,atlas!C:C,0)),"")</f>
        <v/>
      </c>
      <c r="D918" s="8" t="str">
        <f t="array" ref="D918">IFERROR(INDEX(atlas!D:D,MATCH(A918,atlas!C:C,0)),"")</f>
        <v/>
      </c>
      <c r="E918" s="8" t="str">
        <f t="array" ref="E918">IFERROR(INDEX(atlas!F:F,MATCH(A918,atlas!C:C,0)),"")</f>
        <v/>
      </c>
      <c r="F918" s="9"/>
      <c r="G918" s="10"/>
      <c r="H918" s="11"/>
      <c r="I918" s="12" t="str">
        <f t="array" ref="I918">IFERROR(INDEX(atlas!B:B,MATCH(A918,atlas!C:C,0)),"")</f>
        <v/>
      </c>
      <c r="J918" s="8" t="str">
        <f>IFERROR(VLOOKUP(F918,tecnica!A:B,2,0),"")</f>
        <v/>
      </c>
      <c r="K918" s="8" t="str">
        <f>IFERROR(VLOOKUP(J918,tecnica!B:C,2,0),"")</f>
        <v/>
      </c>
      <c r="L918" s="13"/>
      <c r="M918" s="14" t="str">
        <f>IFERROR(VLOOKUP(I918,material!A:D,4,0),"")</f>
        <v/>
      </c>
      <c r="N918" s="14" t="str">
        <f t="shared" si="1"/>
        <v/>
      </c>
      <c r="O918" s="15" t="str">
        <f>IFERROR(VLOOKUP(I918,material!A:D,2,0),"")</f>
        <v/>
      </c>
    </row>
    <row r="919">
      <c r="A919" s="6"/>
      <c r="B919" s="7"/>
      <c r="C919" s="8" t="str">
        <f t="array" ref="C919">IFERROR(INDEX(atlas!H:H,MATCH(A919,atlas!C:C,0)),"")</f>
        <v/>
      </c>
      <c r="D919" s="8" t="str">
        <f t="array" ref="D919">IFERROR(INDEX(atlas!D:D,MATCH(A919,atlas!C:C,0)),"")</f>
        <v/>
      </c>
      <c r="E919" s="8" t="str">
        <f t="array" ref="E919">IFERROR(INDEX(atlas!F:F,MATCH(A919,atlas!C:C,0)),"")</f>
        <v/>
      </c>
      <c r="F919" s="9"/>
      <c r="G919" s="10"/>
      <c r="H919" s="11"/>
      <c r="I919" s="12" t="str">
        <f t="array" ref="I919">IFERROR(INDEX(atlas!B:B,MATCH(A919,atlas!C:C,0)),"")</f>
        <v/>
      </c>
      <c r="J919" s="8" t="str">
        <f>IFERROR(VLOOKUP(F919,tecnica!A:B,2,0),"")</f>
        <v/>
      </c>
      <c r="K919" s="8" t="str">
        <f>IFERROR(VLOOKUP(J919,tecnica!B:C,2,0),"")</f>
        <v/>
      </c>
      <c r="L919" s="13"/>
      <c r="M919" s="14" t="str">
        <f>IFERROR(VLOOKUP(I919,material!A:D,4,0),"")</f>
        <v/>
      </c>
      <c r="N919" s="14" t="str">
        <f t="shared" si="1"/>
        <v/>
      </c>
      <c r="O919" s="15" t="str">
        <f>IFERROR(VLOOKUP(I919,material!A:D,2,0),"")</f>
        <v/>
      </c>
    </row>
    <row r="920">
      <c r="A920" s="6"/>
      <c r="B920" s="7"/>
      <c r="C920" s="8" t="str">
        <f t="array" ref="C920">IFERROR(INDEX(atlas!H:H,MATCH(A920,atlas!C:C,0)),"")</f>
        <v/>
      </c>
      <c r="D920" s="8" t="str">
        <f t="array" ref="D920">IFERROR(INDEX(atlas!D:D,MATCH(A920,atlas!C:C,0)),"")</f>
        <v/>
      </c>
      <c r="E920" s="8" t="str">
        <f t="array" ref="E920">IFERROR(INDEX(atlas!F:F,MATCH(A920,atlas!C:C,0)),"")</f>
        <v/>
      </c>
      <c r="F920" s="9"/>
      <c r="G920" s="10"/>
      <c r="H920" s="11"/>
      <c r="I920" s="12" t="str">
        <f t="array" ref="I920">IFERROR(INDEX(atlas!B:B,MATCH(A920,atlas!C:C,0)),"")</f>
        <v/>
      </c>
      <c r="J920" s="8" t="str">
        <f>IFERROR(VLOOKUP(F920,tecnica!A:B,2,0),"")</f>
        <v/>
      </c>
      <c r="K920" s="8" t="str">
        <f>IFERROR(VLOOKUP(J920,tecnica!B:C,2,0),"")</f>
        <v/>
      </c>
      <c r="L920" s="13"/>
      <c r="M920" s="14" t="str">
        <f>IFERROR(VLOOKUP(I920,material!A:D,4,0),"")</f>
        <v/>
      </c>
      <c r="N920" s="14" t="str">
        <f t="shared" si="1"/>
        <v/>
      </c>
      <c r="O920" s="15" t="str">
        <f>IFERROR(VLOOKUP(I920,material!A:D,2,0),"")</f>
        <v/>
      </c>
    </row>
    <row r="921">
      <c r="A921" s="6"/>
      <c r="B921" s="7"/>
      <c r="C921" s="8" t="str">
        <f t="array" ref="C921">IFERROR(INDEX(atlas!H:H,MATCH(A921,atlas!C:C,0)),"")</f>
        <v/>
      </c>
      <c r="D921" s="8" t="str">
        <f t="array" ref="D921">IFERROR(INDEX(atlas!D:D,MATCH(A921,atlas!C:C,0)),"")</f>
        <v/>
      </c>
      <c r="E921" s="8" t="str">
        <f t="array" ref="E921">IFERROR(INDEX(atlas!F:F,MATCH(A921,atlas!C:C,0)),"")</f>
        <v/>
      </c>
      <c r="F921" s="9"/>
      <c r="G921" s="10"/>
      <c r="H921" s="11"/>
      <c r="I921" s="12" t="str">
        <f t="array" ref="I921">IFERROR(INDEX(atlas!B:B,MATCH(A921,atlas!C:C,0)),"")</f>
        <v/>
      </c>
      <c r="J921" s="8" t="str">
        <f>IFERROR(VLOOKUP(F921,tecnica!A:B,2,0),"")</f>
        <v/>
      </c>
      <c r="K921" s="8" t="str">
        <f>IFERROR(VLOOKUP(J921,tecnica!B:C,2,0),"")</f>
        <v/>
      </c>
      <c r="L921" s="13"/>
      <c r="M921" s="14" t="str">
        <f>IFERROR(VLOOKUP(I921,material!A:D,4,0),"")</f>
        <v/>
      </c>
      <c r="N921" s="14" t="str">
        <f t="shared" si="1"/>
        <v/>
      </c>
      <c r="O921" s="15" t="str">
        <f>IFERROR(VLOOKUP(I921,material!A:D,2,0),"")</f>
        <v/>
      </c>
    </row>
    <row r="922">
      <c r="A922" s="6"/>
      <c r="B922" s="7"/>
      <c r="C922" s="8" t="str">
        <f t="array" ref="C922">IFERROR(INDEX(atlas!H:H,MATCH(A922,atlas!C:C,0)),"")</f>
        <v/>
      </c>
      <c r="D922" s="8" t="str">
        <f t="array" ref="D922">IFERROR(INDEX(atlas!D:D,MATCH(A922,atlas!C:C,0)),"")</f>
        <v/>
      </c>
      <c r="E922" s="8" t="str">
        <f t="array" ref="E922">IFERROR(INDEX(atlas!F:F,MATCH(A922,atlas!C:C,0)),"")</f>
        <v/>
      </c>
      <c r="F922" s="9"/>
      <c r="G922" s="10"/>
      <c r="H922" s="11"/>
      <c r="I922" s="12" t="str">
        <f t="array" ref="I922">IFERROR(INDEX(atlas!B:B,MATCH(A922,atlas!C:C,0)),"")</f>
        <v/>
      </c>
      <c r="J922" s="8" t="str">
        <f>IFERROR(VLOOKUP(F922,tecnica!A:B,2,0),"")</f>
        <v/>
      </c>
      <c r="K922" s="8" t="str">
        <f>IFERROR(VLOOKUP(J922,tecnica!B:C,2,0),"")</f>
        <v/>
      </c>
      <c r="L922" s="13"/>
      <c r="M922" s="14" t="str">
        <f>IFERROR(VLOOKUP(I922,material!A:D,4,0),"")</f>
        <v/>
      </c>
      <c r="N922" s="14" t="str">
        <f t="shared" si="1"/>
        <v/>
      </c>
      <c r="O922" s="15" t="str">
        <f>IFERROR(VLOOKUP(I922,material!A:D,2,0),"")</f>
        <v/>
      </c>
    </row>
    <row r="923">
      <c r="A923" s="6"/>
      <c r="B923" s="7"/>
      <c r="C923" s="8" t="str">
        <f t="array" ref="C923">IFERROR(INDEX(atlas!H:H,MATCH(A923,atlas!C:C,0)),"")</f>
        <v/>
      </c>
      <c r="D923" s="8" t="str">
        <f t="array" ref="D923">IFERROR(INDEX(atlas!D:D,MATCH(A923,atlas!C:C,0)),"")</f>
        <v/>
      </c>
      <c r="E923" s="8" t="str">
        <f t="array" ref="E923">IFERROR(INDEX(atlas!F:F,MATCH(A923,atlas!C:C,0)),"")</f>
        <v/>
      </c>
      <c r="F923" s="9"/>
      <c r="G923" s="10"/>
      <c r="H923" s="11"/>
      <c r="I923" s="12" t="str">
        <f t="array" ref="I923">IFERROR(INDEX(atlas!B:B,MATCH(A923,atlas!C:C,0)),"")</f>
        <v/>
      </c>
      <c r="J923" s="8" t="str">
        <f>IFERROR(VLOOKUP(F923,tecnica!A:B,2,0),"")</f>
        <v/>
      </c>
      <c r="K923" s="8" t="str">
        <f>IFERROR(VLOOKUP(J923,tecnica!B:C,2,0),"")</f>
        <v/>
      </c>
      <c r="L923" s="13"/>
      <c r="M923" s="14" t="str">
        <f>IFERROR(VLOOKUP(I923,material!A:D,4,0),"")</f>
        <v/>
      </c>
      <c r="N923" s="14" t="str">
        <f t="shared" si="1"/>
        <v/>
      </c>
      <c r="O923" s="15" t="str">
        <f>IFERROR(VLOOKUP(I923,material!A:D,2,0),"")</f>
        <v/>
      </c>
    </row>
    <row r="924">
      <c r="A924" s="6"/>
      <c r="B924" s="7"/>
      <c r="C924" s="8" t="str">
        <f t="array" ref="C924">IFERROR(INDEX(atlas!H:H,MATCH(A924,atlas!C:C,0)),"")</f>
        <v/>
      </c>
      <c r="D924" s="8" t="str">
        <f t="array" ref="D924">IFERROR(INDEX(atlas!D:D,MATCH(A924,atlas!C:C,0)),"")</f>
        <v/>
      </c>
      <c r="E924" s="8" t="str">
        <f t="array" ref="E924">IFERROR(INDEX(atlas!F:F,MATCH(A924,atlas!C:C,0)),"")</f>
        <v/>
      </c>
      <c r="F924" s="9"/>
      <c r="G924" s="10"/>
      <c r="H924" s="11"/>
      <c r="I924" s="12" t="str">
        <f t="array" ref="I924">IFERROR(INDEX(atlas!B:B,MATCH(A924,atlas!C:C,0)),"")</f>
        <v/>
      </c>
      <c r="J924" s="8" t="str">
        <f>IFERROR(VLOOKUP(F924,tecnica!A:B,2,0),"")</f>
        <v/>
      </c>
      <c r="K924" s="8" t="str">
        <f>IFERROR(VLOOKUP(J924,tecnica!B:C,2,0),"")</f>
        <v/>
      </c>
      <c r="L924" s="13"/>
      <c r="M924" s="14" t="str">
        <f>IFERROR(VLOOKUP(I924,material!A:D,4,0),"")</f>
        <v/>
      </c>
      <c r="N924" s="14" t="str">
        <f t="shared" si="1"/>
        <v/>
      </c>
      <c r="O924" s="15" t="str">
        <f>IFERROR(VLOOKUP(I924,material!A:D,2,0),"")</f>
        <v/>
      </c>
    </row>
    <row r="925">
      <c r="A925" s="6"/>
      <c r="B925" s="7"/>
      <c r="C925" s="8" t="str">
        <f t="array" ref="C925">IFERROR(INDEX(atlas!H:H,MATCH(A925,atlas!C:C,0)),"")</f>
        <v/>
      </c>
      <c r="D925" s="8" t="str">
        <f t="array" ref="D925">IFERROR(INDEX(atlas!D:D,MATCH(A925,atlas!C:C,0)),"")</f>
        <v/>
      </c>
      <c r="E925" s="8" t="str">
        <f t="array" ref="E925">IFERROR(INDEX(atlas!F:F,MATCH(A925,atlas!C:C,0)),"")</f>
        <v/>
      </c>
      <c r="F925" s="9"/>
      <c r="G925" s="10"/>
      <c r="H925" s="11"/>
      <c r="I925" s="12" t="str">
        <f t="array" ref="I925">IFERROR(INDEX(atlas!B:B,MATCH(A925,atlas!C:C,0)),"")</f>
        <v/>
      </c>
      <c r="J925" s="8" t="str">
        <f>IFERROR(VLOOKUP(F925,tecnica!A:B,2,0),"")</f>
        <v/>
      </c>
      <c r="K925" s="8" t="str">
        <f>IFERROR(VLOOKUP(J925,tecnica!B:C,2,0),"")</f>
        <v/>
      </c>
      <c r="L925" s="13"/>
      <c r="M925" s="14" t="str">
        <f>IFERROR(VLOOKUP(I925,material!A:D,4,0),"")</f>
        <v/>
      </c>
      <c r="N925" s="14" t="str">
        <f t="shared" si="1"/>
        <v/>
      </c>
      <c r="O925" s="15" t="str">
        <f>IFERROR(VLOOKUP(I925,material!A:D,2,0),"")</f>
        <v/>
      </c>
    </row>
    <row r="926">
      <c r="A926" s="6"/>
      <c r="B926" s="7"/>
      <c r="C926" s="8" t="str">
        <f t="array" ref="C926">IFERROR(INDEX(atlas!H:H,MATCH(A926,atlas!C:C,0)),"")</f>
        <v/>
      </c>
      <c r="D926" s="8" t="str">
        <f t="array" ref="D926">IFERROR(INDEX(atlas!D:D,MATCH(A926,atlas!C:C,0)),"")</f>
        <v/>
      </c>
      <c r="E926" s="8" t="str">
        <f t="array" ref="E926">IFERROR(INDEX(atlas!F:F,MATCH(A926,atlas!C:C,0)),"")</f>
        <v/>
      </c>
      <c r="F926" s="9"/>
      <c r="G926" s="10"/>
      <c r="H926" s="11"/>
      <c r="I926" s="12" t="str">
        <f t="array" ref="I926">IFERROR(INDEX(atlas!B:B,MATCH(A926,atlas!C:C,0)),"")</f>
        <v/>
      </c>
      <c r="J926" s="8" t="str">
        <f>IFERROR(VLOOKUP(F926,tecnica!A:B,2,0),"")</f>
        <v/>
      </c>
      <c r="K926" s="8" t="str">
        <f>IFERROR(VLOOKUP(J926,tecnica!B:C,2,0),"")</f>
        <v/>
      </c>
      <c r="L926" s="13"/>
      <c r="M926" s="14" t="str">
        <f>IFERROR(VLOOKUP(I926,material!A:D,4,0),"")</f>
        <v/>
      </c>
      <c r="N926" s="14" t="str">
        <f t="shared" si="1"/>
        <v/>
      </c>
      <c r="O926" s="15" t="str">
        <f>IFERROR(VLOOKUP(I926,material!A:D,2,0),"")</f>
        <v/>
      </c>
    </row>
    <row r="927">
      <c r="A927" s="6"/>
      <c r="B927" s="7"/>
      <c r="C927" s="8" t="str">
        <f t="array" ref="C927">IFERROR(INDEX(atlas!H:H,MATCH(A927,atlas!C:C,0)),"")</f>
        <v/>
      </c>
      <c r="D927" s="8" t="str">
        <f t="array" ref="D927">IFERROR(INDEX(atlas!D:D,MATCH(A927,atlas!C:C,0)),"")</f>
        <v/>
      </c>
      <c r="E927" s="8" t="str">
        <f t="array" ref="E927">IFERROR(INDEX(atlas!F:F,MATCH(A927,atlas!C:C,0)),"")</f>
        <v/>
      </c>
      <c r="F927" s="9"/>
      <c r="G927" s="10"/>
      <c r="H927" s="11"/>
      <c r="I927" s="12" t="str">
        <f t="array" ref="I927">IFERROR(INDEX(atlas!B:B,MATCH(A927,atlas!C:C,0)),"")</f>
        <v/>
      </c>
      <c r="J927" s="8" t="str">
        <f>IFERROR(VLOOKUP(F927,tecnica!A:B,2,0),"")</f>
        <v/>
      </c>
      <c r="K927" s="8" t="str">
        <f>IFERROR(VLOOKUP(J927,tecnica!B:C,2,0),"")</f>
        <v/>
      </c>
      <c r="L927" s="13"/>
      <c r="M927" s="14" t="str">
        <f>IFERROR(VLOOKUP(I927,material!A:D,4,0),"")</f>
        <v/>
      </c>
      <c r="N927" s="14" t="str">
        <f t="shared" si="1"/>
        <v/>
      </c>
      <c r="O927" s="15" t="str">
        <f>IFERROR(VLOOKUP(I927,material!A:D,2,0),"")</f>
        <v/>
      </c>
    </row>
    <row r="928">
      <c r="A928" s="6"/>
      <c r="B928" s="7"/>
      <c r="C928" s="8" t="str">
        <f t="array" ref="C928">IFERROR(INDEX(atlas!H:H,MATCH(A928,atlas!C:C,0)),"")</f>
        <v/>
      </c>
      <c r="D928" s="8" t="str">
        <f t="array" ref="D928">IFERROR(INDEX(atlas!D:D,MATCH(A928,atlas!C:C,0)),"")</f>
        <v/>
      </c>
      <c r="E928" s="8" t="str">
        <f t="array" ref="E928">IFERROR(INDEX(atlas!F:F,MATCH(A928,atlas!C:C,0)),"")</f>
        <v/>
      </c>
      <c r="F928" s="9"/>
      <c r="G928" s="10"/>
      <c r="H928" s="11"/>
      <c r="I928" s="12" t="str">
        <f t="array" ref="I928">IFERROR(INDEX(atlas!B:B,MATCH(A928,atlas!C:C,0)),"")</f>
        <v/>
      </c>
      <c r="J928" s="8" t="str">
        <f>IFERROR(VLOOKUP(F928,tecnica!A:B,2,0),"")</f>
        <v/>
      </c>
      <c r="K928" s="8" t="str">
        <f>IFERROR(VLOOKUP(J928,tecnica!B:C,2,0),"")</f>
        <v/>
      </c>
      <c r="L928" s="13"/>
      <c r="M928" s="14" t="str">
        <f>IFERROR(VLOOKUP(I928,material!A:D,4,0),"")</f>
        <v/>
      </c>
      <c r="N928" s="14" t="str">
        <f t="shared" si="1"/>
        <v/>
      </c>
      <c r="O928" s="15" t="str">
        <f>IFERROR(VLOOKUP(I928,material!A:D,2,0),"")</f>
        <v/>
      </c>
    </row>
    <row r="929">
      <c r="A929" s="6"/>
      <c r="B929" s="7"/>
      <c r="C929" s="8" t="str">
        <f t="array" ref="C929">IFERROR(INDEX(atlas!H:H,MATCH(A929,atlas!C:C,0)),"")</f>
        <v/>
      </c>
      <c r="D929" s="8" t="str">
        <f t="array" ref="D929">IFERROR(INDEX(atlas!D:D,MATCH(A929,atlas!C:C,0)),"")</f>
        <v/>
      </c>
      <c r="E929" s="8" t="str">
        <f t="array" ref="E929">IFERROR(INDEX(atlas!F:F,MATCH(A929,atlas!C:C,0)),"")</f>
        <v/>
      </c>
      <c r="F929" s="9"/>
      <c r="G929" s="10"/>
      <c r="H929" s="11"/>
      <c r="I929" s="12" t="str">
        <f t="array" ref="I929">IFERROR(INDEX(atlas!B:B,MATCH(A929,atlas!C:C,0)),"")</f>
        <v/>
      </c>
      <c r="J929" s="8" t="str">
        <f>IFERROR(VLOOKUP(F929,tecnica!A:B,2,0),"")</f>
        <v/>
      </c>
      <c r="K929" s="8" t="str">
        <f>IFERROR(VLOOKUP(J929,tecnica!B:C,2,0),"")</f>
        <v/>
      </c>
      <c r="L929" s="13"/>
      <c r="M929" s="14" t="str">
        <f>IFERROR(VLOOKUP(I929,material!A:D,4,0),"")</f>
        <v/>
      </c>
      <c r="N929" s="14" t="str">
        <f t="shared" si="1"/>
        <v/>
      </c>
      <c r="O929" s="15" t="str">
        <f>IFERROR(VLOOKUP(I929,material!A:D,2,0),"")</f>
        <v/>
      </c>
    </row>
    <row r="930">
      <c r="A930" s="6"/>
      <c r="B930" s="7"/>
      <c r="C930" s="8" t="str">
        <f t="array" ref="C930">IFERROR(INDEX(atlas!H:H,MATCH(A930,atlas!C:C,0)),"")</f>
        <v/>
      </c>
      <c r="D930" s="8" t="str">
        <f t="array" ref="D930">IFERROR(INDEX(atlas!D:D,MATCH(A930,atlas!C:C,0)),"")</f>
        <v/>
      </c>
      <c r="E930" s="8" t="str">
        <f t="array" ref="E930">IFERROR(INDEX(atlas!F:F,MATCH(A930,atlas!C:C,0)),"")</f>
        <v/>
      </c>
      <c r="F930" s="9"/>
      <c r="G930" s="10"/>
      <c r="H930" s="11"/>
      <c r="I930" s="12" t="str">
        <f t="array" ref="I930">IFERROR(INDEX(atlas!B:B,MATCH(A930,atlas!C:C,0)),"")</f>
        <v/>
      </c>
      <c r="J930" s="8" t="str">
        <f>IFERROR(VLOOKUP(F930,tecnica!A:B,2,0),"")</f>
        <v/>
      </c>
      <c r="K930" s="8" t="str">
        <f>IFERROR(VLOOKUP(J930,tecnica!B:C,2,0),"")</f>
        <v/>
      </c>
      <c r="L930" s="13"/>
      <c r="M930" s="14" t="str">
        <f>IFERROR(VLOOKUP(I930,material!A:D,4,0),"")</f>
        <v/>
      </c>
      <c r="N930" s="14" t="str">
        <f t="shared" si="1"/>
        <v/>
      </c>
      <c r="O930" s="15" t="str">
        <f>IFERROR(VLOOKUP(I930,material!A:D,2,0),"")</f>
        <v/>
      </c>
    </row>
    <row r="931">
      <c r="A931" s="6"/>
      <c r="B931" s="7"/>
      <c r="C931" s="8" t="str">
        <f t="array" ref="C931">IFERROR(INDEX(atlas!H:H,MATCH(A931,atlas!C:C,0)),"")</f>
        <v/>
      </c>
      <c r="D931" s="8" t="str">
        <f t="array" ref="D931">IFERROR(INDEX(atlas!D:D,MATCH(A931,atlas!C:C,0)),"")</f>
        <v/>
      </c>
      <c r="E931" s="8" t="str">
        <f t="array" ref="E931">IFERROR(INDEX(atlas!F:F,MATCH(A931,atlas!C:C,0)),"")</f>
        <v/>
      </c>
      <c r="F931" s="9"/>
      <c r="G931" s="10"/>
      <c r="H931" s="11"/>
      <c r="I931" s="12" t="str">
        <f t="array" ref="I931">IFERROR(INDEX(atlas!B:B,MATCH(A931,atlas!C:C,0)),"")</f>
        <v/>
      </c>
      <c r="J931" s="8" t="str">
        <f>IFERROR(VLOOKUP(F931,tecnica!A:B,2,0),"")</f>
        <v/>
      </c>
      <c r="K931" s="8" t="str">
        <f>IFERROR(VLOOKUP(J931,tecnica!B:C,2,0),"")</f>
        <v/>
      </c>
      <c r="L931" s="13"/>
      <c r="M931" s="14" t="str">
        <f>IFERROR(VLOOKUP(I931,material!A:D,4,0),"")</f>
        <v/>
      </c>
      <c r="N931" s="14" t="str">
        <f t="shared" si="1"/>
        <v/>
      </c>
      <c r="O931" s="15" t="str">
        <f>IFERROR(VLOOKUP(I931,material!A:D,2,0),"")</f>
        <v/>
      </c>
    </row>
    <row r="932">
      <c r="A932" s="6"/>
      <c r="B932" s="7"/>
      <c r="C932" s="8" t="str">
        <f t="array" ref="C932">IFERROR(INDEX(atlas!H:H,MATCH(A932,atlas!C:C,0)),"")</f>
        <v/>
      </c>
      <c r="D932" s="8" t="str">
        <f t="array" ref="D932">IFERROR(INDEX(atlas!D:D,MATCH(A932,atlas!C:C,0)),"")</f>
        <v/>
      </c>
      <c r="E932" s="8" t="str">
        <f t="array" ref="E932">IFERROR(INDEX(atlas!F:F,MATCH(A932,atlas!C:C,0)),"")</f>
        <v/>
      </c>
      <c r="F932" s="9"/>
      <c r="G932" s="10"/>
      <c r="H932" s="11"/>
      <c r="I932" s="12" t="str">
        <f t="array" ref="I932">IFERROR(INDEX(atlas!B:B,MATCH(A932,atlas!C:C,0)),"")</f>
        <v/>
      </c>
      <c r="J932" s="8" t="str">
        <f>IFERROR(VLOOKUP(F932,tecnica!A:B,2,0),"")</f>
        <v/>
      </c>
      <c r="K932" s="8" t="str">
        <f>IFERROR(VLOOKUP(J932,tecnica!B:C,2,0),"")</f>
        <v/>
      </c>
      <c r="L932" s="13"/>
      <c r="M932" s="14" t="str">
        <f>IFERROR(VLOOKUP(I932,material!A:D,4,0),"")</f>
        <v/>
      </c>
      <c r="N932" s="14" t="str">
        <f t="shared" si="1"/>
        <v/>
      </c>
      <c r="O932" s="15" t="str">
        <f>IFERROR(VLOOKUP(I932,material!A:D,2,0),"")</f>
        <v/>
      </c>
    </row>
    <row r="933">
      <c r="A933" s="6"/>
      <c r="B933" s="7"/>
      <c r="C933" s="8" t="str">
        <f t="array" ref="C933">IFERROR(INDEX(atlas!H:H,MATCH(A933,atlas!C:C,0)),"")</f>
        <v/>
      </c>
      <c r="D933" s="8" t="str">
        <f t="array" ref="D933">IFERROR(INDEX(atlas!D:D,MATCH(A933,atlas!C:C,0)),"")</f>
        <v/>
      </c>
      <c r="E933" s="8" t="str">
        <f t="array" ref="E933">IFERROR(INDEX(atlas!F:F,MATCH(A933,atlas!C:C,0)),"")</f>
        <v/>
      </c>
      <c r="F933" s="9"/>
      <c r="G933" s="10"/>
      <c r="H933" s="11"/>
      <c r="I933" s="12" t="str">
        <f t="array" ref="I933">IFERROR(INDEX(atlas!B:B,MATCH(A933,atlas!C:C,0)),"")</f>
        <v/>
      </c>
      <c r="J933" s="8" t="str">
        <f>IFERROR(VLOOKUP(F933,tecnica!A:B,2,0),"")</f>
        <v/>
      </c>
      <c r="K933" s="8" t="str">
        <f>IFERROR(VLOOKUP(J933,tecnica!B:C,2,0),"")</f>
        <v/>
      </c>
      <c r="L933" s="13"/>
      <c r="M933" s="14" t="str">
        <f>IFERROR(VLOOKUP(I933,material!A:D,4,0),"")</f>
        <v/>
      </c>
      <c r="N933" s="14" t="str">
        <f t="shared" si="1"/>
        <v/>
      </c>
      <c r="O933" s="15" t="str">
        <f>IFERROR(VLOOKUP(I933,material!A:D,2,0),"")</f>
        <v/>
      </c>
    </row>
    <row r="934">
      <c r="A934" s="6"/>
      <c r="B934" s="7"/>
      <c r="C934" s="8" t="str">
        <f t="array" ref="C934">IFERROR(INDEX(atlas!H:H,MATCH(A934,atlas!C:C,0)),"")</f>
        <v/>
      </c>
      <c r="D934" s="8" t="str">
        <f t="array" ref="D934">IFERROR(INDEX(atlas!D:D,MATCH(A934,atlas!C:C,0)),"")</f>
        <v/>
      </c>
      <c r="E934" s="8" t="str">
        <f t="array" ref="E934">IFERROR(INDEX(atlas!F:F,MATCH(A934,atlas!C:C,0)),"")</f>
        <v/>
      </c>
      <c r="F934" s="9"/>
      <c r="G934" s="10"/>
      <c r="H934" s="11"/>
      <c r="I934" s="12" t="str">
        <f t="array" ref="I934">IFERROR(INDEX(atlas!B:B,MATCH(A934,atlas!C:C,0)),"")</f>
        <v/>
      </c>
      <c r="J934" s="8" t="str">
        <f>IFERROR(VLOOKUP(F934,tecnica!A:B,2,0),"")</f>
        <v/>
      </c>
      <c r="K934" s="8" t="str">
        <f>IFERROR(VLOOKUP(J934,tecnica!B:C,2,0),"")</f>
        <v/>
      </c>
      <c r="L934" s="13"/>
      <c r="M934" s="14" t="str">
        <f>IFERROR(VLOOKUP(I934,material!A:D,4,0),"")</f>
        <v/>
      </c>
      <c r="N934" s="14" t="str">
        <f t="shared" si="1"/>
        <v/>
      </c>
      <c r="O934" s="15" t="str">
        <f>IFERROR(VLOOKUP(I934,material!A:D,2,0),"")</f>
        <v/>
      </c>
    </row>
    <row r="935">
      <c r="A935" s="6"/>
      <c r="B935" s="7"/>
      <c r="C935" s="8" t="str">
        <f t="array" ref="C935">IFERROR(INDEX(atlas!H:H,MATCH(A935,atlas!C:C,0)),"")</f>
        <v/>
      </c>
      <c r="D935" s="8" t="str">
        <f t="array" ref="D935">IFERROR(INDEX(atlas!D:D,MATCH(A935,atlas!C:C,0)),"")</f>
        <v/>
      </c>
      <c r="E935" s="8" t="str">
        <f t="array" ref="E935">IFERROR(INDEX(atlas!F:F,MATCH(A935,atlas!C:C,0)),"")</f>
        <v/>
      </c>
      <c r="F935" s="9"/>
      <c r="G935" s="10"/>
      <c r="H935" s="11"/>
      <c r="I935" s="12" t="str">
        <f t="array" ref="I935">IFERROR(INDEX(atlas!B:B,MATCH(A935,atlas!C:C,0)),"")</f>
        <v/>
      </c>
      <c r="J935" s="8" t="str">
        <f>IFERROR(VLOOKUP(F935,tecnica!A:B,2,0),"")</f>
        <v/>
      </c>
      <c r="K935" s="8" t="str">
        <f>IFERROR(VLOOKUP(J935,tecnica!B:C,2,0),"")</f>
        <v/>
      </c>
      <c r="L935" s="13"/>
      <c r="M935" s="14" t="str">
        <f>IFERROR(VLOOKUP(I935,material!A:D,4,0),"")</f>
        <v/>
      </c>
      <c r="N935" s="14" t="str">
        <f t="shared" si="1"/>
        <v/>
      </c>
      <c r="O935" s="15" t="str">
        <f>IFERROR(VLOOKUP(I935,material!A:D,2,0),"")</f>
        <v/>
      </c>
    </row>
    <row r="936">
      <c r="A936" s="6"/>
      <c r="B936" s="7"/>
      <c r="C936" s="8" t="str">
        <f t="array" ref="C936">IFERROR(INDEX(atlas!H:H,MATCH(A936,atlas!C:C,0)),"")</f>
        <v/>
      </c>
      <c r="D936" s="8" t="str">
        <f t="array" ref="D936">IFERROR(INDEX(atlas!D:D,MATCH(A936,atlas!C:C,0)),"")</f>
        <v/>
      </c>
      <c r="E936" s="8" t="str">
        <f t="array" ref="E936">IFERROR(INDEX(atlas!F:F,MATCH(A936,atlas!C:C,0)),"")</f>
        <v/>
      </c>
      <c r="F936" s="9"/>
      <c r="G936" s="10"/>
      <c r="H936" s="11"/>
      <c r="I936" s="12" t="str">
        <f t="array" ref="I936">IFERROR(INDEX(atlas!B:B,MATCH(A936,atlas!C:C,0)),"")</f>
        <v/>
      </c>
      <c r="J936" s="8" t="str">
        <f>IFERROR(VLOOKUP(F936,tecnica!A:B,2,0),"")</f>
        <v/>
      </c>
      <c r="K936" s="8" t="str">
        <f>IFERROR(VLOOKUP(J936,tecnica!B:C,2,0),"")</f>
        <v/>
      </c>
      <c r="L936" s="13"/>
      <c r="M936" s="14" t="str">
        <f>IFERROR(VLOOKUP(I936,material!A:D,4,0),"")</f>
        <v/>
      </c>
      <c r="N936" s="14" t="str">
        <f t="shared" si="1"/>
        <v/>
      </c>
      <c r="O936" s="15" t="str">
        <f>IFERROR(VLOOKUP(I936,material!A:D,2,0),"")</f>
        <v/>
      </c>
    </row>
    <row r="937">
      <c r="A937" s="6"/>
      <c r="B937" s="7"/>
      <c r="C937" s="8" t="str">
        <f t="array" ref="C937">IFERROR(INDEX(atlas!H:H,MATCH(A937,atlas!C:C,0)),"")</f>
        <v/>
      </c>
      <c r="D937" s="8" t="str">
        <f t="array" ref="D937">IFERROR(INDEX(atlas!D:D,MATCH(A937,atlas!C:C,0)),"")</f>
        <v/>
      </c>
      <c r="E937" s="8" t="str">
        <f t="array" ref="E937">IFERROR(INDEX(atlas!F:F,MATCH(A937,atlas!C:C,0)),"")</f>
        <v/>
      </c>
      <c r="F937" s="9"/>
      <c r="G937" s="10"/>
      <c r="H937" s="11"/>
      <c r="I937" s="12" t="str">
        <f t="array" ref="I937">IFERROR(INDEX(atlas!B:B,MATCH(A937,atlas!C:C,0)),"")</f>
        <v/>
      </c>
      <c r="J937" s="8" t="str">
        <f>IFERROR(VLOOKUP(F937,tecnica!A:B,2,0),"")</f>
        <v/>
      </c>
      <c r="K937" s="8" t="str">
        <f>IFERROR(VLOOKUP(J937,tecnica!B:C,2,0),"")</f>
        <v/>
      </c>
      <c r="L937" s="13"/>
      <c r="M937" s="14" t="str">
        <f>IFERROR(VLOOKUP(I937,material!A:D,4,0),"")</f>
        <v/>
      </c>
      <c r="N937" s="14" t="str">
        <f t="shared" si="1"/>
        <v/>
      </c>
      <c r="O937" s="15" t="str">
        <f>IFERROR(VLOOKUP(I937,material!A:D,2,0),"")</f>
        <v/>
      </c>
    </row>
    <row r="938">
      <c r="A938" s="6"/>
      <c r="B938" s="7"/>
      <c r="C938" s="8" t="str">
        <f t="array" ref="C938">IFERROR(INDEX(atlas!H:H,MATCH(A938,atlas!C:C,0)),"")</f>
        <v/>
      </c>
      <c r="D938" s="8" t="str">
        <f t="array" ref="D938">IFERROR(INDEX(atlas!D:D,MATCH(A938,atlas!C:C,0)),"")</f>
        <v/>
      </c>
      <c r="E938" s="8" t="str">
        <f t="array" ref="E938">IFERROR(INDEX(atlas!F:F,MATCH(A938,atlas!C:C,0)),"")</f>
        <v/>
      </c>
      <c r="F938" s="9"/>
      <c r="G938" s="10"/>
      <c r="H938" s="11"/>
      <c r="I938" s="12" t="str">
        <f t="array" ref="I938">IFERROR(INDEX(atlas!B:B,MATCH(A938,atlas!C:C,0)),"")</f>
        <v/>
      </c>
      <c r="J938" s="8" t="str">
        <f>IFERROR(VLOOKUP(F938,tecnica!A:B,2,0),"")</f>
        <v/>
      </c>
      <c r="K938" s="8" t="str">
        <f>IFERROR(VLOOKUP(J938,tecnica!B:C,2,0),"")</f>
        <v/>
      </c>
      <c r="L938" s="13"/>
      <c r="M938" s="14" t="str">
        <f>IFERROR(VLOOKUP(I938,material!A:D,4,0),"")</f>
        <v/>
      </c>
      <c r="N938" s="14" t="str">
        <f t="shared" si="1"/>
        <v/>
      </c>
      <c r="O938" s="15" t="str">
        <f>IFERROR(VLOOKUP(I938,material!A:D,2,0),"")</f>
        <v/>
      </c>
    </row>
    <row r="939">
      <c r="A939" s="6"/>
      <c r="B939" s="7"/>
      <c r="C939" s="8" t="str">
        <f t="array" ref="C939">IFERROR(INDEX(atlas!H:H,MATCH(A939,atlas!C:C,0)),"")</f>
        <v/>
      </c>
      <c r="D939" s="8" t="str">
        <f t="array" ref="D939">IFERROR(INDEX(atlas!D:D,MATCH(A939,atlas!C:C,0)),"")</f>
        <v/>
      </c>
      <c r="E939" s="8" t="str">
        <f t="array" ref="E939">IFERROR(INDEX(atlas!F:F,MATCH(A939,atlas!C:C,0)),"")</f>
        <v/>
      </c>
      <c r="F939" s="9"/>
      <c r="G939" s="10"/>
      <c r="H939" s="11"/>
      <c r="I939" s="12" t="str">
        <f t="array" ref="I939">IFERROR(INDEX(atlas!B:B,MATCH(A939,atlas!C:C,0)),"")</f>
        <v/>
      </c>
      <c r="J939" s="8" t="str">
        <f>IFERROR(VLOOKUP(F939,tecnica!A:B,2,0),"")</f>
        <v/>
      </c>
      <c r="K939" s="8" t="str">
        <f>IFERROR(VLOOKUP(J939,tecnica!B:C,2,0),"")</f>
        <v/>
      </c>
      <c r="L939" s="13"/>
      <c r="M939" s="14" t="str">
        <f>IFERROR(VLOOKUP(I939,material!A:D,4,0),"")</f>
        <v/>
      </c>
      <c r="N939" s="14" t="str">
        <f t="shared" si="1"/>
        <v/>
      </c>
      <c r="O939" s="15" t="str">
        <f>IFERROR(VLOOKUP(I939,material!A:D,2,0),"")</f>
        <v/>
      </c>
    </row>
    <row r="940">
      <c r="A940" s="6"/>
      <c r="B940" s="7"/>
      <c r="C940" s="8" t="str">
        <f t="array" ref="C940">IFERROR(INDEX(atlas!H:H,MATCH(A940,atlas!C:C,0)),"")</f>
        <v/>
      </c>
      <c r="D940" s="8" t="str">
        <f t="array" ref="D940">IFERROR(INDEX(atlas!D:D,MATCH(A940,atlas!C:C,0)),"")</f>
        <v/>
      </c>
      <c r="E940" s="8" t="str">
        <f t="array" ref="E940">IFERROR(INDEX(atlas!F:F,MATCH(A940,atlas!C:C,0)),"")</f>
        <v/>
      </c>
      <c r="F940" s="9"/>
      <c r="G940" s="10"/>
      <c r="H940" s="11"/>
      <c r="I940" s="12" t="str">
        <f t="array" ref="I940">IFERROR(INDEX(atlas!B:B,MATCH(A940,atlas!C:C,0)),"")</f>
        <v/>
      </c>
      <c r="J940" s="8" t="str">
        <f>IFERROR(VLOOKUP(F940,tecnica!A:B,2,0),"")</f>
        <v/>
      </c>
      <c r="K940" s="8" t="str">
        <f>IFERROR(VLOOKUP(J940,tecnica!B:C,2,0),"")</f>
        <v/>
      </c>
      <c r="L940" s="13"/>
      <c r="M940" s="14" t="str">
        <f>IFERROR(VLOOKUP(I940,material!A:D,4,0),"")</f>
        <v/>
      </c>
      <c r="N940" s="14" t="str">
        <f t="shared" si="1"/>
        <v/>
      </c>
      <c r="O940" s="15" t="str">
        <f>IFERROR(VLOOKUP(I940,material!A:D,2,0),"")</f>
        <v/>
      </c>
    </row>
    <row r="941">
      <c r="A941" s="6"/>
      <c r="B941" s="7"/>
      <c r="C941" s="8" t="str">
        <f t="array" ref="C941">IFERROR(INDEX(atlas!H:H,MATCH(A941,atlas!C:C,0)),"")</f>
        <v/>
      </c>
      <c r="D941" s="8" t="str">
        <f t="array" ref="D941">IFERROR(INDEX(atlas!D:D,MATCH(A941,atlas!C:C,0)),"")</f>
        <v/>
      </c>
      <c r="E941" s="8" t="str">
        <f t="array" ref="E941">IFERROR(INDEX(atlas!F:F,MATCH(A941,atlas!C:C,0)),"")</f>
        <v/>
      </c>
      <c r="F941" s="9"/>
      <c r="G941" s="10"/>
      <c r="H941" s="11"/>
      <c r="I941" s="12" t="str">
        <f t="array" ref="I941">IFERROR(INDEX(atlas!B:B,MATCH(A941,atlas!C:C,0)),"")</f>
        <v/>
      </c>
      <c r="J941" s="8" t="str">
        <f>IFERROR(VLOOKUP(F941,tecnica!A:B,2,0),"")</f>
        <v/>
      </c>
      <c r="K941" s="8" t="str">
        <f>IFERROR(VLOOKUP(J941,tecnica!B:C,2,0),"")</f>
        <v/>
      </c>
      <c r="L941" s="13"/>
      <c r="M941" s="14" t="str">
        <f>IFERROR(VLOOKUP(I941,material!A:D,4,0),"")</f>
        <v/>
      </c>
      <c r="N941" s="14" t="str">
        <f t="shared" si="1"/>
        <v/>
      </c>
      <c r="O941" s="15" t="str">
        <f>IFERROR(VLOOKUP(I941,material!A:D,2,0),"")</f>
        <v/>
      </c>
    </row>
    <row r="942">
      <c r="A942" s="6"/>
      <c r="B942" s="7"/>
      <c r="C942" s="8" t="str">
        <f t="array" ref="C942">IFERROR(INDEX(atlas!H:H,MATCH(A942,atlas!C:C,0)),"")</f>
        <v/>
      </c>
      <c r="D942" s="8" t="str">
        <f t="array" ref="D942">IFERROR(INDEX(atlas!D:D,MATCH(A942,atlas!C:C,0)),"")</f>
        <v/>
      </c>
      <c r="E942" s="8" t="str">
        <f t="array" ref="E942">IFERROR(INDEX(atlas!F:F,MATCH(A942,atlas!C:C,0)),"")</f>
        <v/>
      </c>
      <c r="F942" s="9"/>
      <c r="G942" s="10"/>
      <c r="H942" s="11"/>
      <c r="I942" s="12" t="str">
        <f t="array" ref="I942">IFERROR(INDEX(atlas!B:B,MATCH(A942,atlas!C:C,0)),"")</f>
        <v/>
      </c>
      <c r="J942" s="8" t="str">
        <f>IFERROR(VLOOKUP(F942,tecnica!A:B,2,0),"")</f>
        <v/>
      </c>
      <c r="K942" s="8" t="str">
        <f>IFERROR(VLOOKUP(J942,tecnica!B:C,2,0),"")</f>
        <v/>
      </c>
      <c r="L942" s="13"/>
      <c r="M942" s="14" t="str">
        <f>IFERROR(VLOOKUP(I942,material!A:D,4,0),"")</f>
        <v/>
      </c>
      <c r="N942" s="14" t="str">
        <f t="shared" si="1"/>
        <v/>
      </c>
      <c r="O942" s="15" t="str">
        <f>IFERROR(VLOOKUP(I942,material!A:D,2,0),"")</f>
        <v/>
      </c>
    </row>
    <row r="943">
      <c r="A943" s="6"/>
      <c r="B943" s="7"/>
      <c r="C943" s="8" t="str">
        <f t="array" ref="C943">IFERROR(INDEX(atlas!H:H,MATCH(A943,atlas!C:C,0)),"")</f>
        <v/>
      </c>
      <c r="D943" s="8" t="str">
        <f t="array" ref="D943">IFERROR(INDEX(atlas!D:D,MATCH(A943,atlas!C:C,0)),"")</f>
        <v/>
      </c>
      <c r="E943" s="8" t="str">
        <f t="array" ref="E943">IFERROR(INDEX(atlas!F:F,MATCH(A943,atlas!C:C,0)),"")</f>
        <v/>
      </c>
      <c r="F943" s="9"/>
      <c r="G943" s="10"/>
      <c r="H943" s="11"/>
      <c r="I943" s="12" t="str">
        <f t="array" ref="I943">IFERROR(INDEX(atlas!B:B,MATCH(A943,atlas!C:C,0)),"")</f>
        <v/>
      </c>
      <c r="J943" s="8" t="str">
        <f>IFERROR(VLOOKUP(F943,tecnica!A:B,2,0),"")</f>
        <v/>
      </c>
      <c r="K943" s="8" t="str">
        <f>IFERROR(VLOOKUP(J943,tecnica!B:C,2,0),"")</f>
        <v/>
      </c>
      <c r="L943" s="13"/>
      <c r="M943" s="14" t="str">
        <f>IFERROR(VLOOKUP(I943,material!A:D,4,0),"")</f>
        <v/>
      </c>
      <c r="N943" s="14" t="str">
        <f t="shared" si="1"/>
        <v/>
      </c>
      <c r="O943" s="15" t="str">
        <f>IFERROR(VLOOKUP(I943,material!A:D,2,0),"")</f>
        <v/>
      </c>
    </row>
    <row r="944">
      <c r="A944" s="6"/>
      <c r="B944" s="7"/>
      <c r="C944" s="8" t="str">
        <f t="array" ref="C944">IFERROR(INDEX(atlas!H:H,MATCH(A944,atlas!C:C,0)),"")</f>
        <v/>
      </c>
      <c r="D944" s="8" t="str">
        <f t="array" ref="D944">IFERROR(INDEX(atlas!D:D,MATCH(A944,atlas!C:C,0)),"")</f>
        <v/>
      </c>
      <c r="E944" s="8" t="str">
        <f t="array" ref="E944">IFERROR(INDEX(atlas!F:F,MATCH(A944,atlas!C:C,0)),"")</f>
        <v/>
      </c>
      <c r="F944" s="9"/>
      <c r="G944" s="10"/>
      <c r="H944" s="11"/>
      <c r="I944" s="12" t="str">
        <f t="array" ref="I944">IFERROR(INDEX(atlas!B:B,MATCH(A944,atlas!C:C,0)),"")</f>
        <v/>
      </c>
      <c r="J944" s="8" t="str">
        <f>IFERROR(VLOOKUP(F944,tecnica!A:B,2,0),"")</f>
        <v/>
      </c>
      <c r="K944" s="8" t="str">
        <f>IFERROR(VLOOKUP(J944,tecnica!B:C,2,0),"")</f>
        <v/>
      </c>
      <c r="L944" s="13"/>
      <c r="M944" s="14" t="str">
        <f>IFERROR(VLOOKUP(I944,material!A:D,4,0),"")</f>
        <v/>
      </c>
      <c r="N944" s="14" t="str">
        <f t="shared" si="1"/>
        <v/>
      </c>
      <c r="O944" s="15" t="str">
        <f>IFERROR(VLOOKUP(I944,material!A:D,2,0),"")</f>
        <v/>
      </c>
    </row>
    <row r="945">
      <c r="A945" s="6"/>
      <c r="B945" s="7"/>
      <c r="C945" s="8" t="str">
        <f t="array" ref="C945">IFERROR(INDEX(atlas!H:H,MATCH(A945,atlas!C:C,0)),"")</f>
        <v/>
      </c>
      <c r="D945" s="8" t="str">
        <f t="array" ref="D945">IFERROR(INDEX(atlas!D:D,MATCH(A945,atlas!C:C,0)),"")</f>
        <v/>
      </c>
      <c r="E945" s="8" t="str">
        <f t="array" ref="E945">IFERROR(INDEX(atlas!F:F,MATCH(A945,atlas!C:C,0)),"")</f>
        <v/>
      </c>
      <c r="F945" s="9"/>
      <c r="G945" s="10"/>
      <c r="H945" s="11"/>
      <c r="I945" s="12" t="str">
        <f t="array" ref="I945">IFERROR(INDEX(atlas!B:B,MATCH(A945,atlas!C:C,0)),"")</f>
        <v/>
      </c>
      <c r="J945" s="8" t="str">
        <f>IFERROR(VLOOKUP(F945,tecnica!A:B,2,0),"")</f>
        <v/>
      </c>
      <c r="K945" s="8" t="str">
        <f>IFERROR(VLOOKUP(J945,tecnica!B:C,2,0),"")</f>
        <v/>
      </c>
      <c r="L945" s="13"/>
      <c r="M945" s="14" t="str">
        <f>IFERROR(VLOOKUP(I945,material!A:D,4,0),"")</f>
        <v/>
      </c>
      <c r="N945" s="14" t="str">
        <f t="shared" si="1"/>
        <v/>
      </c>
      <c r="O945" s="15" t="str">
        <f>IFERROR(VLOOKUP(I945,material!A:D,2,0),"")</f>
        <v/>
      </c>
    </row>
    <row r="946">
      <c r="A946" s="6"/>
      <c r="B946" s="7"/>
      <c r="C946" s="8" t="str">
        <f t="array" ref="C946">IFERROR(INDEX(atlas!H:H,MATCH(A946,atlas!C:C,0)),"")</f>
        <v/>
      </c>
      <c r="D946" s="8" t="str">
        <f t="array" ref="D946">IFERROR(INDEX(atlas!D:D,MATCH(A946,atlas!C:C,0)),"")</f>
        <v/>
      </c>
      <c r="E946" s="8" t="str">
        <f t="array" ref="E946">IFERROR(INDEX(atlas!F:F,MATCH(A946,atlas!C:C,0)),"")</f>
        <v/>
      </c>
      <c r="F946" s="9"/>
      <c r="G946" s="10"/>
      <c r="H946" s="11"/>
      <c r="I946" s="12" t="str">
        <f t="array" ref="I946">IFERROR(INDEX(atlas!B:B,MATCH(A946,atlas!C:C,0)),"")</f>
        <v/>
      </c>
      <c r="J946" s="8" t="str">
        <f>IFERROR(VLOOKUP(F946,tecnica!A:B,2,0),"")</f>
        <v/>
      </c>
      <c r="K946" s="8" t="str">
        <f>IFERROR(VLOOKUP(J946,tecnica!B:C,2,0),"")</f>
        <v/>
      </c>
      <c r="L946" s="13"/>
      <c r="M946" s="14" t="str">
        <f>IFERROR(VLOOKUP(I946,material!A:D,4,0),"")</f>
        <v/>
      </c>
      <c r="N946" s="14" t="str">
        <f t="shared" si="1"/>
        <v/>
      </c>
      <c r="O946" s="15" t="str">
        <f>IFERROR(VLOOKUP(I946,material!A:D,2,0),"")</f>
        <v/>
      </c>
    </row>
    <row r="947">
      <c r="A947" s="6"/>
      <c r="B947" s="7"/>
      <c r="C947" s="8" t="str">
        <f t="array" ref="C947">IFERROR(INDEX(atlas!H:H,MATCH(A947,atlas!C:C,0)),"")</f>
        <v/>
      </c>
      <c r="D947" s="8" t="str">
        <f t="array" ref="D947">IFERROR(INDEX(atlas!D:D,MATCH(A947,atlas!C:C,0)),"")</f>
        <v/>
      </c>
      <c r="E947" s="8" t="str">
        <f t="array" ref="E947">IFERROR(INDEX(atlas!F:F,MATCH(A947,atlas!C:C,0)),"")</f>
        <v/>
      </c>
      <c r="F947" s="9"/>
      <c r="G947" s="10"/>
      <c r="H947" s="11"/>
      <c r="I947" s="12" t="str">
        <f t="array" ref="I947">IFERROR(INDEX(atlas!B:B,MATCH(A947,atlas!C:C,0)),"")</f>
        <v/>
      </c>
      <c r="J947" s="8" t="str">
        <f>IFERROR(VLOOKUP(F947,tecnica!A:B,2,0),"")</f>
        <v/>
      </c>
      <c r="K947" s="8" t="str">
        <f>IFERROR(VLOOKUP(J947,tecnica!B:C,2,0),"")</f>
        <v/>
      </c>
      <c r="L947" s="13"/>
      <c r="M947" s="14" t="str">
        <f>IFERROR(VLOOKUP(I947,material!A:D,4,0),"")</f>
        <v/>
      </c>
      <c r="N947" s="14" t="str">
        <f t="shared" si="1"/>
        <v/>
      </c>
      <c r="O947" s="15" t="str">
        <f>IFERROR(VLOOKUP(I947,material!A:D,2,0),"")</f>
        <v/>
      </c>
    </row>
    <row r="948">
      <c r="A948" s="6"/>
      <c r="B948" s="7"/>
      <c r="C948" s="8" t="str">
        <f t="array" ref="C948">IFERROR(INDEX(atlas!H:H,MATCH(A948,atlas!C:C,0)),"")</f>
        <v/>
      </c>
      <c r="D948" s="8" t="str">
        <f t="array" ref="D948">IFERROR(INDEX(atlas!D:D,MATCH(A948,atlas!C:C,0)),"")</f>
        <v/>
      </c>
      <c r="E948" s="8" t="str">
        <f t="array" ref="E948">IFERROR(INDEX(atlas!F:F,MATCH(A948,atlas!C:C,0)),"")</f>
        <v/>
      </c>
      <c r="F948" s="9"/>
      <c r="G948" s="10"/>
      <c r="H948" s="11"/>
      <c r="I948" s="12" t="str">
        <f t="array" ref="I948">IFERROR(INDEX(atlas!B:B,MATCH(A948,atlas!C:C,0)),"")</f>
        <v/>
      </c>
      <c r="J948" s="8" t="str">
        <f>IFERROR(VLOOKUP(F948,tecnica!A:B,2,0),"")</f>
        <v/>
      </c>
      <c r="K948" s="8" t="str">
        <f>IFERROR(VLOOKUP(J948,tecnica!B:C,2,0),"")</f>
        <v/>
      </c>
      <c r="L948" s="13"/>
      <c r="M948" s="14" t="str">
        <f>IFERROR(VLOOKUP(I948,material!A:D,4,0),"")</f>
        <v/>
      </c>
      <c r="N948" s="14" t="str">
        <f t="shared" si="1"/>
        <v/>
      </c>
      <c r="O948" s="15" t="str">
        <f>IFERROR(VLOOKUP(I948,material!A:D,2,0),"")</f>
        <v/>
      </c>
    </row>
    <row r="949">
      <c r="A949" s="6"/>
      <c r="B949" s="7"/>
      <c r="C949" s="8" t="str">
        <f t="array" ref="C949">IFERROR(INDEX(atlas!H:H,MATCH(A949,atlas!C:C,0)),"")</f>
        <v/>
      </c>
      <c r="D949" s="8" t="str">
        <f t="array" ref="D949">IFERROR(INDEX(atlas!D:D,MATCH(A949,atlas!C:C,0)),"")</f>
        <v/>
      </c>
      <c r="E949" s="8" t="str">
        <f t="array" ref="E949">IFERROR(INDEX(atlas!F:F,MATCH(A949,atlas!C:C,0)),"")</f>
        <v/>
      </c>
      <c r="F949" s="9"/>
      <c r="G949" s="10"/>
      <c r="H949" s="11"/>
      <c r="I949" s="12" t="str">
        <f t="array" ref="I949">IFERROR(INDEX(atlas!B:B,MATCH(A949,atlas!C:C,0)),"")</f>
        <v/>
      </c>
      <c r="J949" s="8" t="str">
        <f>IFERROR(VLOOKUP(F949,tecnica!A:B,2,0),"")</f>
        <v/>
      </c>
      <c r="K949" s="8" t="str">
        <f>IFERROR(VLOOKUP(J949,tecnica!B:C,2,0),"")</f>
        <v/>
      </c>
      <c r="L949" s="13"/>
      <c r="M949" s="14" t="str">
        <f>IFERROR(VLOOKUP(I949,material!A:D,4,0),"")</f>
        <v/>
      </c>
      <c r="N949" s="14" t="str">
        <f t="shared" si="1"/>
        <v/>
      </c>
      <c r="O949" s="15" t="str">
        <f>IFERROR(VLOOKUP(I949,material!A:D,2,0),"")</f>
        <v/>
      </c>
    </row>
    <row r="950">
      <c r="A950" s="6"/>
      <c r="B950" s="7"/>
      <c r="C950" s="8" t="str">
        <f t="array" ref="C950">IFERROR(INDEX(atlas!H:H,MATCH(A950,atlas!C:C,0)),"")</f>
        <v/>
      </c>
      <c r="D950" s="8" t="str">
        <f t="array" ref="D950">IFERROR(INDEX(atlas!D:D,MATCH(A950,atlas!C:C,0)),"")</f>
        <v/>
      </c>
      <c r="E950" s="8" t="str">
        <f t="array" ref="E950">IFERROR(INDEX(atlas!F:F,MATCH(A950,atlas!C:C,0)),"")</f>
        <v/>
      </c>
      <c r="F950" s="9"/>
      <c r="G950" s="10"/>
      <c r="H950" s="11"/>
      <c r="I950" s="12" t="str">
        <f t="array" ref="I950">IFERROR(INDEX(atlas!B:B,MATCH(A950,atlas!C:C,0)),"")</f>
        <v/>
      </c>
      <c r="J950" s="8" t="str">
        <f>IFERROR(VLOOKUP(F950,tecnica!A:B,2,0),"")</f>
        <v/>
      </c>
      <c r="K950" s="8" t="str">
        <f>IFERROR(VLOOKUP(J950,tecnica!B:C,2,0),"")</f>
        <v/>
      </c>
      <c r="L950" s="13"/>
      <c r="M950" s="14" t="str">
        <f>IFERROR(VLOOKUP(I950,material!A:D,4,0),"")</f>
        <v/>
      </c>
      <c r="N950" s="14" t="str">
        <f t="shared" si="1"/>
        <v/>
      </c>
      <c r="O950" s="15" t="str">
        <f>IFERROR(VLOOKUP(I950,material!A:D,2,0),"")</f>
        <v/>
      </c>
    </row>
    <row r="951">
      <c r="A951" s="6"/>
      <c r="B951" s="7"/>
      <c r="C951" s="8" t="str">
        <f t="array" ref="C951">IFERROR(INDEX(atlas!H:H,MATCH(A951,atlas!C:C,0)),"")</f>
        <v/>
      </c>
      <c r="D951" s="8" t="str">
        <f t="array" ref="D951">IFERROR(INDEX(atlas!D:D,MATCH(A951,atlas!C:C,0)),"")</f>
        <v/>
      </c>
      <c r="E951" s="8" t="str">
        <f t="array" ref="E951">IFERROR(INDEX(atlas!F:F,MATCH(A951,atlas!C:C,0)),"")</f>
        <v/>
      </c>
      <c r="F951" s="9"/>
      <c r="G951" s="10"/>
      <c r="H951" s="11"/>
      <c r="I951" s="12" t="str">
        <f t="array" ref="I951">IFERROR(INDEX(atlas!B:B,MATCH(A951,atlas!C:C,0)),"")</f>
        <v/>
      </c>
      <c r="J951" s="8" t="str">
        <f>IFERROR(VLOOKUP(F951,tecnica!A:B,2,0),"")</f>
        <v/>
      </c>
      <c r="K951" s="8" t="str">
        <f>IFERROR(VLOOKUP(J951,tecnica!B:C,2,0),"")</f>
        <v/>
      </c>
      <c r="L951" s="13"/>
      <c r="M951" s="14" t="str">
        <f>IFERROR(VLOOKUP(I951,material!A:D,4,0),"")</f>
        <v/>
      </c>
      <c r="N951" s="14" t="str">
        <f t="shared" si="1"/>
        <v/>
      </c>
      <c r="O951" s="15" t="str">
        <f>IFERROR(VLOOKUP(I951,material!A:D,2,0),"")</f>
        <v/>
      </c>
    </row>
    <row r="952">
      <c r="A952" s="6"/>
      <c r="B952" s="7"/>
      <c r="C952" s="8" t="str">
        <f t="array" ref="C952">IFERROR(INDEX(atlas!H:H,MATCH(A952,atlas!C:C,0)),"")</f>
        <v/>
      </c>
      <c r="D952" s="8" t="str">
        <f t="array" ref="D952">IFERROR(INDEX(atlas!D:D,MATCH(A952,atlas!C:C,0)),"")</f>
        <v/>
      </c>
      <c r="E952" s="8" t="str">
        <f t="array" ref="E952">IFERROR(INDEX(atlas!F:F,MATCH(A952,atlas!C:C,0)),"")</f>
        <v/>
      </c>
      <c r="F952" s="9"/>
      <c r="G952" s="10"/>
      <c r="H952" s="11"/>
      <c r="I952" s="12" t="str">
        <f t="array" ref="I952">IFERROR(INDEX(atlas!B:B,MATCH(A952,atlas!C:C,0)),"")</f>
        <v/>
      </c>
      <c r="J952" s="8" t="str">
        <f>IFERROR(VLOOKUP(F952,tecnica!A:B,2,0),"")</f>
        <v/>
      </c>
      <c r="K952" s="8" t="str">
        <f>IFERROR(VLOOKUP(J952,tecnica!B:C,2,0),"")</f>
        <v/>
      </c>
      <c r="L952" s="13"/>
      <c r="M952" s="14" t="str">
        <f>IFERROR(VLOOKUP(I952,material!A:D,4,0),"")</f>
        <v/>
      </c>
      <c r="N952" s="14" t="str">
        <f t="shared" si="1"/>
        <v/>
      </c>
      <c r="O952" s="15" t="str">
        <f>IFERROR(VLOOKUP(I952,material!A:D,2,0),"")</f>
        <v/>
      </c>
    </row>
    <row r="953">
      <c r="A953" s="6"/>
      <c r="B953" s="7"/>
      <c r="C953" s="8" t="str">
        <f t="array" ref="C953">IFERROR(INDEX(atlas!H:H,MATCH(A953,atlas!C:C,0)),"")</f>
        <v/>
      </c>
      <c r="D953" s="8" t="str">
        <f t="array" ref="D953">IFERROR(INDEX(atlas!D:D,MATCH(A953,atlas!C:C,0)),"")</f>
        <v/>
      </c>
      <c r="E953" s="8" t="str">
        <f t="array" ref="E953">IFERROR(INDEX(atlas!F:F,MATCH(A953,atlas!C:C,0)),"")</f>
        <v/>
      </c>
      <c r="F953" s="9"/>
      <c r="G953" s="10"/>
      <c r="H953" s="11"/>
      <c r="I953" s="12" t="str">
        <f t="array" ref="I953">IFERROR(INDEX(atlas!B:B,MATCH(A953,atlas!C:C,0)),"")</f>
        <v/>
      </c>
      <c r="J953" s="8" t="str">
        <f>IFERROR(VLOOKUP(F953,tecnica!A:B,2,0),"")</f>
        <v/>
      </c>
      <c r="K953" s="8" t="str">
        <f>IFERROR(VLOOKUP(J953,tecnica!B:C,2,0),"")</f>
        <v/>
      </c>
      <c r="L953" s="13"/>
      <c r="M953" s="14" t="str">
        <f>IFERROR(VLOOKUP(I953,material!A:D,4,0),"")</f>
        <v/>
      </c>
      <c r="N953" s="14" t="str">
        <f t="shared" si="1"/>
        <v/>
      </c>
      <c r="O953" s="15" t="str">
        <f>IFERROR(VLOOKUP(I953,material!A:D,2,0),"")</f>
        <v/>
      </c>
    </row>
    <row r="954">
      <c r="A954" s="6"/>
      <c r="B954" s="7"/>
      <c r="C954" s="8" t="str">
        <f t="array" ref="C954">IFERROR(INDEX(atlas!H:H,MATCH(A954,atlas!C:C,0)),"")</f>
        <v/>
      </c>
      <c r="D954" s="8" t="str">
        <f t="array" ref="D954">IFERROR(INDEX(atlas!D:D,MATCH(A954,atlas!C:C,0)),"")</f>
        <v/>
      </c>
      <c r="E954" s="8" t="str">
        <f t="array" ref="E954">IFERROR(INDEX(atlas!F:F,MATCH(A954,atlas!C:C,0)),"")</f>
        <v/>
      </c>
      <c r="F954" s="9"/>
      <c r="G954" s="10"/>
      <c r="H954" s="11"/>
      <c r="I954" s="12" t="str">
        <f t="array" ref="I954">IFERROR(INDEX(atlas!B:B,MATCH(A954,atlas!C:C,0)),"")</f>
        <v/>
      </c>
      <c r="J954" s="8" t="str">
        <f>IFERROR(VLOOKUP(F954,tecnica!A:B,2,0),"")</f>
        <v/>
      </c>
      <c r="K954" s="8" t="str">
        <f>IFERROR(VLOOKUP(J954,tecnica!B:C,2,0),"")</f>
        <v/>
      </c>
      <c r="L954" s="13"/>
      <c r="M954" s="14" t="str">
        <f>IFERROR(VLOOKUP(I954,material!A:D,4,0),"")</f>
        <v/>
      </c>
      <c r="N954" s="14" t="str">
        <f t="shared" si="1"/>
        <v/>
      </c>
      <c r="O954" s="15" t="str">
        <f>IFERROR(VLOOKUP(I954,material!A:D,2,0),"")</f>
        <v/>
      </c>
    </row>
    <row r="955">
      <c r="A955" s="6"/>
      <c r="B955" s="7"/>
      <c r="C955" s="8" t="str">
        <f t="array" ref="C955">IFERROR(INDEX(atlas!H:H,MATCH(A955,atlas!C:C,0)),"")</f>
        <v/>
      </c>
      <c r="D955" s="8" t="str">
        <f t="array" ref="D955">IFERROR(INDEX(atlas!D:D,MATCH(A955,atlas!C:C,0)),"")</f>
        <v/>
      </c>
      <c r="E955" s="8" t="str">
        <f t="array" ref="E955">IFERROR(INDEX(atlas!F:F,MATCH(A955,atlas!C:C,0)),"")</f>
        <v/>
      </c>
      <c r="F955" s="9"/>
      <c r="G955" s="10"/>
      <c r="H955" s="11"/>
      <c r="I955" s="12" t="str">
        <f t="array" ref="I955">IFERROR(INDEX(atlas!B:B,MATCH(A955,atlas!C:C,0)),"")</f>
        <v/>
      </c>
      <c r="J955" s="8" t="str">
        <f>IFERROR(VLOOKUP(F955,tecnica!A:B,2,0),"")</f>
        <v/>
      </c>
      <c r="K955" s="8" t="str">
        <f>IFERROR(VLOOKUP(J955,tecnica!B:C,2,0),"")</f>
        <v/>
      </c>
      <c r="L955" s="13"/>
      <c r="M955" s="14" t="str">
        <f>IFERROR(VLOOKUP(I955,material!A:D,4,0),"")</f>
        <v/>
      </c>
      <c r="N955" s="14" t="str">
        <f t="shared" si="1"/>
        <v/>
      </c>
      <c r="O955" s="15" t="str">
        <f>IFERROR(VLOOKUP(I955,material!A:D,2,0),"")</f>
        <v/>
      </c>
    </row>
    <row r="956">
      <c r="A956" s="6"/>
      <c r="B956" s="7"/>
      <c r="C956" s="8" t="str">
        <f t="array" ref="C956">IFERROR(INDEX(atlas!H:H,MATCH(A956,atlas!C:C,0)),"")</f>
        <v/>
      </c>
      <c r="D956" s="8" t="str">
        <f t="array" ref="D956">IFERROR(INDEX(atlas!D:D,MATCH(A956,atlas!C:C,0)),"")</f>
        <v/>
      </c>
      <c r="E956" s="8" t="str">
        <f t="array" ref="E956">IFERROR(INDEX(atlas!F:F,MATCH(A956,atlas!C:C,0)),"")</f>
        <v/>
      </c>
      <c r="F956" s="9"/>
      <c r="G956" s="10"/>
      <c r="H956" s="11"/>
      <c r="I956" s="12" t="str">
        <f t="array" ref="I956">IFERROR(INDEX(atlas!B:B,MATCH(A956,atlas!C:C,0)),"")</f>
        <v/>
      </c>
      <c r="J956" s="8" t="str">
        <f>IFERROR(VLOOKUP(F956,tecnica!A:B,2,0),"")</f>
        <v/>
      </c>
      <c r="K956" s="8" t="str">
        <f>IFERROR(VLOOKUP(J956,tecnica!B:C,2,0),"")</f>
        <v/>
      </c>
      <c r="L956" s="13"/>
      <c r="M956" s="14" t="str">
        <f>IFERROR(VLOOKUP(I956,material!A:D,4,0),"")</f>
        <v/>
      </c>
      <c r="N956" s="14" t="str">
        <f t="shared" si="1"/>
        <v/>
      </c>
      <c r="O956" s="15" t="str">
        <f>IFERROR(VLOOKUP(I956,material!A:D,2,0),"")</f>
        <v/>
      </c>
    </row>
    <row r="957">
      <c r="A957" s="6"/>
      <c r="B957" s="7"/>
      <c r="C957" s="8" t="str">
        <f t="array" ref="C957">IFERROR(INDEX(atlas!H:H,MATCH(A957,atlas!C:C,0)),"")</f>
        <v/>
      </c>
      <c r="D957" s="8" t="str">
        <f t="array" ref="D957">IFERROR(INDEX(atlas!D:D,MATCH(A957,atlas!C:C,0)),"")</f>
        <v/>
      </c>
      <c r="E957" s="8" t="str">
        <f t="array" ref="E957">IFERROR(INDEX(atlas!F:F,MATCH(A957,atlas!C:C,0)),"")</f>
        <v/>
      </c>
      <c r="F957" s="9"/>
      <c r="G957" s="10"/>
      <c r="H957" s="11"/>
      <c r="I957" s="12" t="str">
        <f t="array" ref="I957">IFERROR(INDEX(atlas!B:B,MATCH(A957,atlas!C:C,0)),"")</f>
        <v/>
      </c>
      <c r="J957" s="8" t="str">
        <f>IFERROR(VLOOKUP(F957,tecnica!A:B,2,0),"")</f>
        <v/>
      </c>
      <c r="K957" s="8" t="str">
        <f>IFERROR(VLOOKUP(J957,tecnica!B:C,2,0),"")</f>
        <v/>
      </c>
      <c r="L957" s="13"/>
      <c r="M957" s="14" t="str">
        <f>IFERROR(VLOOKUP(I957,material!A:D,4,0),"")</f>
        <v/>
      </c>
      <c r="N957" s="14" t="str">
        <f t="shared" si="1"/>
        <v/>
      </c>
      <c r="O957" s="15" t="str">
        <f>IFERROR(VLOOKUP(I957,material!A:D,2,0),"")</f>
        <v/>
      </c>
    </row>
    <row r="958">
      <c r="A958" s="6"/>
      <c r="B958" s="7"/>
      <c r="C958" s="8" t="str">
        <f t="array" ref="C958">IFERROR(INDEX(atlas!H:H,MATCH(A958,atlas!C:C,0)),"")</f>
        <v/>
      </c>
      <c r="D958" s="8" t="str">
        <f t="array" ref="D958">IFERROR(INDEX(atlas!D:D,MATCH(A958,atlas!C:C,0)),"")</f>
        <v/>
      </c>
      <c r="E958" s="8" t="str">
        <f t="array" ref="E958">IFERROR(INDEX(atlas!F:F,MATCH(A958,atlas!C:C,0)),"")</f>
        <v/>
      </c>
      <c r="F958" s="9"/>
      <c r="G958" s="10"/>
      <c r="H958" s="11"/>
      <c r="I958" s="12" t="str">
        <f t="array" ref="I958">IFERROR(INDEX(atlas!B:B,MATCH(A958,atlas!C:C,0)),"")</f>
        <v/>
      </c>
      <c r="J958" s="8" t="str">
        <f>IFERROR(VLOOKUP(F958,tecnica!A:B,2,0),"")</f>
        <v/>
      </c>
      <c r="K958" s="8" t="str">
        <f>IFERROR(VLOOKUP(J958,tecnica!B:C,2,0),"")</f>
        <v/>
      </c>
      <c r="L958" s="13"/>
      <c r="M958" s="14" t="str">
        <f>IFERROR(VLOOKUP(I958,material!A:D,4,0),"")</f>
        <v/>
      </c>
      <c r="N958" s="14" t="str">
        <f t="shared" si="1"/>
        <v/>
      </c>
      <c r="O958" s="15" t="str">
        <f>IFERROR(VLOOKUP(I958,material!A:D,2,0),"")</f>
        <v/>
      </c>
    </row>
    <row r="959">
      <c r="A959" s="6"/>
      <c r="B959" s="7"/>
      <c r="C959" s="8" t="str">
        <f t="array" ref="C959">IFERROR(INDEX(atlas!H:H,MATCH(A959,atlas!C:C,0)),"")</f>
        <v/>
      </c>
      <c r="D959" s="8" t="str">
        <f t="array" ref="D959">IFERROR(INDEX(atlas!D:D,MATCH(A959,atlas!C:C,0)),"")</f>
        <v/>
      </c>
      <c r="E959" s="8" t="str">
        <f t="array" ref="E959">IFERROR(INDEX(atlas!F:F,MATCH(A959,atlas!C:C,0)),"")</f>
        <v/>
      </c>
      <c r="F959" s="9"/>
      <c r="G959" s="10"/>
      <c r="H959" s="11"/>
      <c r="I959" s="12" t="str">
        <f t="array" ref="I959">IFERROR(INDEX(atlas!B:B,MATCH(A959,atlas!C:C,0)),"")</f>
        <v/>
      </c>
      <c r="J959" s="8" t="str">
        <f>IFERROR(VLOOKUP(F959,tecnica!A:B,2,0),"")</f>
        <v/>
      </c>
      <c r="K959" s="8" t="str">
        <f>IFERROR(VLOOKUP(J959,tecnica!B:C,2,0),"")</f>
        <v/>
      </c>
      <c r="L959" s="13"/>
      <c r="M959" s="14" t="str">
        <f>IFERROR(VLOOKUP(I959,material!A:D,4,0),"")</f>
        <v/>
      </c>
      <c r="N959" s="14" t="str">
        <f t="shared" si="1"/>
        <v/>
      </c>
      <c r="O959" s="15" t="str">
        <f>IFERROR(VLOOKUP(I959,material!A:D,2,0),"")</f>
        <v/>
      </c>
    </row>
    <row r="960">
      <c r="A960" s="6"/>
      <c r="B960" s="7"/>
      <c r="C960" s="8" t="str">
        <f t="array" ref="C960">IFERROR(INDEX(atlas!H:H,MATCH(A960,atlas!C:C,0)),"")</f>
        <v/>
      </c>
      <c r="D960" s="8" t="str">
        <f t="array" ref="D960">IFERROR(INDEX(atlas!D:D,MATCH(A960,atlas!C:C,0)),"")</f>
        <v/>
      </c>
      <c r="E960" s="8" t="str">
        <f t="array" ref="E960">IFERROR(INDEX(atlas!F:F,MATCH(A960,atlas!C:C,0)),"")</f>
        <v/>
      </c>
      <c r="F960" s="9"/>
      <c r="G960" s="10"/>
      <c r="H960" s="11"/>
      <c r="I960" s="12" t="str">
        <f t="array" ref="I960">IFERROR(INDEX(atlas!B:B,MATCH(A960,atlas!C:C,0)),"")</f>
        <v/>
      </c>
      <c r="J960" s="8" t="str">
        <f>IFERROR(VLOOKUP(F960,tecnica!A:B,2,0),"")</f>
        <v/>
      </c>
      <c r="K960" s="8" t="str">
        <f>IFERROR(VLOOKUP(J960,tecnica!B:C,2,0),"")</f>
        <v/>
      </c>
      <c r="L960" s="13"/>
      <c r="M960" s="14" t="str">
        <f>IFERROR(VLOOKUP(I960,material!A:D,4,0),"")</f>
        <v/>
      </c>
      <c r="N960" s="14" t="str">
        <f t="shared" si="1"/>
        <v/>
      </c>
      <c r="O960" s="15" t="str">
        <f>IFERROR(VLOOKUP(I960,material!A:D,2,0),"")</f>
        <v/>
      </c>
    </row>
    <row r="961">
      <c r="A961" s="6"/>
      <c r="B961" s="7"/>
      <c r="C961" s="8" t="str">
        <f t="array" ref="C961">IFERROR(INDEX(atlas!H:H,MATCH(A961,atlas!C:C,0)),"")</f>
        <v/>
      </c>
      <c r="D961" s="8" t="str">
        <f t="array" ref="D961">IFERROR(INDEX(atlas!D:D,MATCH(A961,atlas!C:C,0)),"")</f>
        <v/>
      </c>
      <c r="E961" s="8" t="str">
        <f t="array" ref="E961">IFERROR(INDEX(atlas!F:F,MATCH(A961,atlas!C:C,0)),"")</f>
        <v/>
      </c>
      <c r="F961" s="9"/>
      <c r="G961" s="10"/>
      <c r="H961" s="11"/>
      <c r="I961" s="12" t="str">
        <f t="array" ref="I961">IFERROR(INDEX(atlas!B:B,MATCH(A961,atlas!C:C,0)),"")</f>
        <v/>
      </c>
      <c r="J961" s="8" t="str">
        <f>IFERROR(VLOOKUP(F961,tecnica!A:B,2,0),"")</f>
        <v/>
      </c>
      <c r="K961" s="8" t="str">
        <f>IFERROR(VLOOKUP(J961,tecnica!B:C,2,0),"")</f>
        <v/>
      </c>
      <c r="L961" s="13"/>
      <c r="M961" s="14" t="str">
        <f>IFERROR(VLOOKUP(I961,material!A:D,4,0),"")</f>
        <v/>
      </c>
      <c r="N961" s="14" t="str">
        <f t="shared" si="1"/>
        <v/>
      </c>
      <c r="O961" s="15" t="str">
        <f>IFERROR(VLOOKUP(I961,material!A:D,2,0),"")</f>
        <v/>
      </c>
    </row>
    <row r="962">
      <c r="A962" s="6"/>
      <c r="B962" s="7"/>
      <c r="C962" s="8" t="str">
        <f t="array" ref="C962">IFERROR(INDEX(atlas!H:H,MATCH(A962,atlas!C:C,0)),"")</f>
        <v/>
      </c>
      <c r="D962" s="8" t="str">
        <f t="array" ref="D962">IFERROR(INDEX(atlas!D:D,MATCH(A962,atlas!C:C,0)),"")</f>
        <v/>
      </c>
      <c r="E962" s="8" t="str">
        <f t="array" ref="E962">IFERROR(INDEX(atlas!F:F,MATCH(A962,atlas!C:C,0)),"")</f>
        <v/>
      </c>
      <c r="F962" s="9"/>
      <c r="G962" s="10"/>
      <c r="H962" s="11"/>
      <c r="I962" s="12" t="str">
        <f t="array" ref="I962">IFERROR(INDEX(atlas!B:B,MATCH(A962,atlas!C:C,0)),"")</f>
        <v/>
      </c>
      <c r="J962" s="8" t="str">
        <f>IFERROR(VLOOKUP(F962,tecnica!A:B,2,0),"")</f>
        <v/>
      </c>
      <c r="K962" s="8" t="str">
        <f>IFERROR(VLOOKUP(J962,tecnica!B:C,2,0),"")</f>
        <v/>
      </c>
      <c r="L962" s="13"/>
      <c r="M962" s="14" t="str">
        <f>IFERROR(VLOOKUP(I962,material!A:D,4,0),"")</f>
        <v/>
      </c>
      <c r="N962" s="14" t="str">
        <f t="shared" si="1"/>
        <v/>
      </c>
      <c r="O962" s="15" t="str">
        <f>IFERROR(VLOOKUP(I962,material!A:D,2,0),"")</f>
        <v/>
      </c>
    </row>
    <row r="963">
      <c r="A963" s="6"/>
      <c r="B963" s="7"/>
      <c r="C963" s="8" t="str">
        <f t="array" ref="C963">IFERROR(INDEX(atlas!H:H,MATCH(A963,atlas!C:C,0)),"")</f>
        <v/>
      </c>
      <c r="D963" s="8" t="str">
        <f t="array" ref="D963">IFERROR(INDEX(atlas!D:D,MATCH(A963,atlas!C:C,0)),"")</f>
        <v/>
      </c>
      <c r="E963" s="8" t="str">
        <f t="array" ref="E963">IFERROR(INDEX(atlas!F:F,MATCH(A963,atlas!C:C,0)),"")</f>
        <v/>
      </c>
      <c r="F963" s="9"/>
      <c r="G963" s="10"/>
      <c r="H963" s="11"/>
      <c r="I963" s="12" t="str">
        <f t="array" ref="I963">IFERROR(INDEX(atlas!B:B,MATCH(A963,atlas!C:C,0)),"")</f>
        <v/>
      </c>
      <c r="J963" s="8" t="str">
        <f>IFERROR(VLOOKUP(F963,tecnica!A:B,2,0),"")</f>
        <v/>
      </c>
      <c r="K963" s="8" t="str">
        <f>IFERROR(VLOOKUP(J963,tecnica!B:C,2,0),"")</f>
        <v/>
      </c>
      <c r="L963" s="13"/>
      <c r="M963" s="14" t="str">
        <f>IFERROR(VLOOKUP(I963,material!A:D,4,0),"")</f>
        <v/>
      </c>
      <c r="N963" s="14" t="str">
        <f t="shared" si="1"/>
        <v/>
      </c>
      <c r="O963" s="15" t="str">
        <f>IFERROR(VLOOKUP(I963,material!A:D,2,0),"")</f>
        <v/>
      </c>
    </row>
    <row r="964">
      <c r="A964" s="6"/>
      <c r="B964" s="7"/>
      <c r="C964" s="8" t="str">
        <f t="array" ref="C964">IFERROR(INDEX(atlas!H:H,MATCH(A964,atlas!C:C,0)),"")</f>
        <v/>
      </c>
      <c r="D964" s="8" t="str">
        <f t="array" ref="D964">IFERROR(INDEX(atlas!D:D,MATCH(A964,atlas!C:C,0)),"")</f>
        <v/>
      </c>
      <c r="E964" s="8" t="str">
        <f t="array" ref="E964">IFERROR(INDEX(atlas!F:F,MATCH(A964,atlas!C:C,0)),"")</f>
        <v/>
      </c>
      <c r="F964" s="9"/>
      <c r="G964" s="10"/>
      <c r="H964" s="11"/>
      <c r="I964" s="12" t="str">
        <f t="array" ref="I964">IFERROR(INDEX(atlas!B:B,MATCH(A964,atlas!C:C,0)),"")</f>
        <v/>
      </c>
      <c r="J964" s="8" t="str">
        <f>IFERROR(VLOOKUP(F964,tecnica!A:B,2,0),"")</f>
        <v/>
      </c>
      <c r="K964" s="8" t="str">
        <f>IFERROR(VLOOKUP(J964,tecnica!B:C,2,0),"")</f>
        <v/>
      </c>
      <c r="L964" s="13"/>
      <c r="M964" s="14" t="str">
        <f>IFERROR(VLOOKUP(I964,material!A:D,4,0),"")</f>
        <v/>
      </c>
      <c r="N964" s="14" t="str">
        <f t="shared" si="1"/>
        <v/>
      </c>
      <c r="O964" s="15" t="str">
        <f>IFERROR(VLOOKUP(I964,material!A:D,2,0),"")</f>
        <v/>
      </c>
    </row>
    <row r="965">
      <c r="A965" s="6"/>
      <c r="B965" s="7"/>
      <c r="C965" s="8" t="str">
        <f t="array" ref="C965">IFERROR(INDEX(atlas!H:H,MATCH(A965,atlas!C:C,0)),"")</f>
        <v/>
      </c>
      <c r="D965" s="8" t="str">
        <f t="array" ref="D965">IFERROR(INDEX(atlas!D:D,MATCH(A965,atlas!C:C,0)),"")</f>
        <v/>
      </c>
      <c r="E965" s="8" t="str">
        <f t="array" ref="E965">IFERROR(INDEX(atlas!F:F,MATCH(A965,atlas!C:C,0)),"")</f>
        <v/>
      </c>
      <c r="F965" s="9"/>
      <c r="G965" s="10"/>
      <c r="H965" s="11"/>
      <c r="I965" s="12" t="str">
        <f t="array" ref="I965">IFERROR(INDEX(atlas!B:B,MATCH(A965,atlas!C:C,0)),"")</f>
        <v/>
      </c>
      <c r="J965" s="8" t="str">
        <f>IFERROR(VLOOKUP(F965,tecnica!A:B,2,0),"")</f>
        <v/>
      </c>
      <c r="K965" s="8" t="str">
        <f>IFERROR(VLOOKUP(J965,tecnica!B:C,2,0),"")</f>
        <v/>
      </c>
      <c r="L965" s="13"/>
      <c r="M965" s="14" t="str">
        <f>IFERROR(VLOOKUP(I965,material!A:D,4,0),"")</f>
        <v/>
      </c>
      <c r="N965" s="14" t="str">
        <f t="shared" si="1"/>
        <v/>
      </c>
      <c r="O965" s="15" t="str">
        <f>IFERROR(VLOOKUP(I965,material!A:D,2,0),"")</f>
        <v/>
      </c>
    </row>
    <row r="966">
      <c r="A966" s="6"/>
      <c r="B966" s="7"/>
      <c r="C966" s="8" t="str">
        <f t="array" ref="C966">IFERROR(INDEX(atlas!H:H,MATCH(A966,atlas!C:C,0)),"")</f>
        <v/>
      </c>
      <c r="D966" s="8" t="str">
        <f t="array" ref="D966">IFERROR(INDEX(atlas!D:D,MATCH(A966,atlas!C:C,0)),"")</f>
        <v/>
      </c>
      <c r="E966" s="8" t="str">
        <f t="array" ref="E966">IFERROR(INDEX(atlas!F:F,MATCH(A966,atlas!C:C,0)),"")</f>
        <v/>
      </c>
      <c r="F966" s="9"/>
      <c r="G966" s="10"/>
      <c r="H966" s="11"/>
      <c r="I966" s="12" t="str">
        <f t="array" ref="I966">IFERROR(INDEX(atlas!B:B,MATCH(A966,atlas!C:C,0)),"")</f>
        <v/>
      </c>
      <c r="J966" s="8" t="str">
        <f>IFERROR(VLOOKUP(F966,tecnica!A:B,2,0),"")</f>
        <v/>
      </c>
      <c r="K966" s="8" t="str">
        <f>IFERROR(VLOOKUP(J966,tecnica!B:C,2,0),"")</f>
        <v/>
      </c>
      <c r="L966" s="13"/>
      <c r="M966" s="14" t="str">
        <f>IFERROR(VLOOKUP(I966,material!A:D,4,0),"")</f>
        <v/>
      </c>
      <c r="N966" s="14" t="str">
        <f t="shared" si="1"/>
        <v/>
      </c>
      <c r="O966" s="15" t="str">
        <f>IFERROR(VLOOKUP(I966,material!A:D,2,0),"")</f>
        <v/>
      </c>
    </row>
    <row r="967">
      <c r="A967" s="6"/>
      <c r="B967" s="7"/>
      <c r="C967" s="8" t="str">
        <f t="array" ref="C967">IFERROR(INDEX(atlas!H:H,MATCH(A967,atlas!C:C,0)),"")</f>
        <v/>
      </c>
      <c r="D967" s="8" t="str">
        <f t="array" ref="D967">IFERROR(INDEX(atlas!D:D,MATCH(A967,atlas!C:C,0)),"")</f>
        <v/>
      </c>
      <c r="E967" s="8" t="str">
        <f t="array" ref="E967">IFERROR(INDEX(atlas!F:F,MATCH(A967,atlas!C:C,0)),"")</f>
        <v/>
      </c>
      <c r="F967" s="9"/>
      <c r="G967" s="10"/>
      <c r="H967" s="11"/>
      <c r="I967" s="12" t="str">
        <f t="array" ref="I967">IFERROR(INDEX(atlas!B:B,MATCH(A967,atlas!C:C,0)),"")</f>
        <v/>
      </c>
      <c r="J967" s="8" t="str">
        <f>IFERROR(VLOOKUP(F967,tecnica!A:B,2,0),"")</f>
        <v/>
      </c>
      <c r="K967" s="8" t="str">
        <f>IFERROR(VLOOKUP(J967,tecnica!B:C,2,0),"")</f>
        <v/>
      </c>
      <c r="L967" s="13"/>
      <c r="M967" s="14" t="str">
        <f>IFERROR(VLOOKUP(I967,material!A:D,4,0),"")</f>
        <v/>
      </c>
      <c r="N967" s="14" t="str">
        <f t="shared" si="1"/>
        <v/>
      </c>
      <c r="O967" s="15" t="str">
        <f>IFERROR(VLOOKUP(I967,material!A:D,2,0),"")</f>
        <v/>
      </c>
    </row>
    <row r="968">
      <c r="A968" s="6"/>
      <c r="B968" s="7"/>
      <c r="C968" s="8" t="str">
        <f t="array" ref="C968">IFERROR(INDEX(atlas!H:H,MATCH(A968,atlas!C:C,0)),"")</f>
        <v/>
      </c>
      <c r="D968" s="8" t="str">
        <f t="array" ref="D968">IFERROR(INDEX(atlas!D:D,MATCH(A968,atlas!C:C,0)),"")</f>
        <v/>
      </c>
      <c r="E968" s="8" t="str">
        <f t="array" ref="E968">IFERROR(INDEX(atlas!F:F,MATCH(A968,atlas!C:C,0)),"")</f>
        <v/>
      </c>
      <c r="F968" s="9"/>
      <c r="G968" s="10"/>
      <c r="H968" s="11"/>
      <c r="I968" s="12" t="str">
        <f t="array" ref="I968">IFERROR(INDEX(atlas!B:B,MATCH(A968,atlas!C:C,0)),"")</f>
        <v/>
      </c>
      <c r="J968" s="8" t="str">
        <f>IFERROR(VLOOKUP(F968,tecnica!A:B,2,0),"")</f>
        <v/>
      </c>
      <c r="K968" s="8" t="str">
        <f>IFERROR(VLOOKUP(J968,tecnica!B:C,2,0),"")</f>
        <v/>
      </c>
      <c r="L968" s="13"/>
      <c r="M968" s="14" t="str">
        <f>IFERROR(VLOOKUP(I968,material!A:D,4,0),"")</f>
        <v/>
      </c>
      <c r="N968" s="14" t="str">
        <f t="shared" si="1"/>
        <v/>
      </c>
      <c r="O968" s="15" t="str">
        <f>IFERROR(VLOOKUP(I968,material!A:D,2,0),"")</f>
        <v/>
      </c>
    </row>
    <row r="969">
      <c r="A969" s="6"/>
      <c r="B969" s="7"/>
      <c r="C969" s="8" t="str">
        <f t="array" ref="C969">IFERROR(INDEX(atlas!H:H,MATCH(A969,atlas!C:C,0)),"")</f>
        <v/>
      </c>
      <c r="D969" s="8" t="str">
        <f t="array" ref="D969">IFERROR(INDEX(atlas!D:D,MATCH(A969,atlas!C:C,0)),"")</f>
        <v/>
      </c>
      <c r="E969" s="8" t="str">
        <f t="array" ref="E969">IFERROR(INDEX(atlas!F:F,MATCH(A969,atlas!C:C,0)),"")</f>
        <v/>
      </c>
      <c r="F969" s="9"/>
      <c r="G969" s="10"/>
      <c r="H969" s="11"/>
      <c r="I969" s="12" t="str">
        <f t="array" ref="I969">IFERROR(INDEX(atlas!B:B,MATCH(A969,atlas!C:C,0)),"")</f>
        <v/>
      </c>
      <c r="J969" s="8" t="str">
        <f>IFERROR(VLOOKUP(F969,tecnica!A:B,2,0),"")</f>
        <v/>
      </c>
      <c r="K969" s="8" t="str">
        <f>IFERROR(VLOOKUP(J969,tecnica!B:C,2,0),"")</f>
        <v/>
      </c>
      <c r="L969" s="13"/>
      <c r="M969" s="14" t="str">
        <f>IFERROR(VLOOKUP(I969,material!A:D,4,0),"")</f>
        <v/>
      </c>
      <c r="N969" s="14" t="str">
        <f t="shared" si="1"/>
        <v/>
      </c>
      <c r="O969" s="15" t="str">
        <f>IFERROR(VLOOKUP(I969,material!A:D,2,0),"")</f>
        <v/>
      </c>
    </row>
    <row r="970">
      <c r="A970" s="6"/>
      <c r="B970" s="7"/>
      <c r="C970" s="8" t="str">
        <f t="array" ref="C970">IFERROR(INDEX(atlas!H:H,MATCH(A970,atlas!C:C,0)),"")</f>
        <v/>
      </c>
      <c r="D970" s="8" t="str">
        <f t="array" ref="D970">IFERROR(INDEX(atlas!D:D,MATCH(A970,atlas!C:C,0)),"")</f>
        <v/>
      </c>
      <c r="E970" s="8" t="str">
        <f t="array" ref="E970">IFERROR(INDEX(atlas!F:F,MATCH(A970,atlas!C:C,0)),"")</f>
        <v/>
      </c>
      <c r="F970" s="9"/>
      <c r="G970" s="10"/>
      <c r="H970" s="11"/>
      <c r="I970" s="12" t="str">
        <f t="array" ref="I970">IFERROR(INDEX(atlas!B:B,MATCH(A970,atlas!C:C,0)),"")</f>
        <v/>
      </c>
      <c r="J970" s="8" t="str">
        <f>IFERROR(VLOOKUP(F970,tecnica!A:B,2,0),"")</f>
        <v/>
      </c>
      <c r="K970" s="8" t="str">
        <f>IFERROR(VLOOKUP(J970,tecnica!B:C,2,0),"")</f>
        <v/>
      </c>
      <c r="L970" s="13"/>
      <c r="M970" s="14" t="str">
        <f>IFERROR(VLOOKUP(I970,material!A:D,4,0),"")</f>
        <v/>
      </c>
      <c r="N970" s="14" t="str">
        <f t="shared" si="1"/>
        <v/>
      </c>
      <c r="O970" s="15" t="str">
        <f>IFERROR(VLOOKUP(I970,material!A:D,2,0),"")</f>
        <v/>
      </c>
    </row>
    <row r="971">
      <c r="A971" s="6"/>
      <c r="B971" s="7"/>
      <c r="C971" s="8" t="str">
        <f t="array" ref="C971">IFERROR(INDEX(atlas!H:H,MATCH(A971,atlas!C:C,0)),"")</f>
        <v/>
      </c>
      <c r="D971" s="8" t="str">
        <f t="array" ref="D971">IFERROR(INDEX(atlas!D:D,MATCH(A971,atlas!C:C,0)),"")</f>
        <v/>
      </c>
      <c r="E971" s="8" t="str">
        <f t="array" ref="E971">IFERROR(INDEX(atlas!F:F,MATCH(A971,atlas!C:C,0)),"")</f>
        <v/>
      </c>
      <c r="F971" s="9"/>
      <c r="G971" s="10"/>
      <c r="H971" s="11"/>
      <c r="I971" s="12" t="str">
        <f t="array" ref="I971">IFERROR(INDEX(atlas!B:B,MATCH(A971,atlas!C:C,0)),"")</f>
        <v/>
      </c>
      <c r="J971" s="8" t="str">
        <f>IFERROR(VLOOKUP(F971,tecnica!A:B,2,0),"")</f>
        <v/>
      </c>
      <c r="K971" s="8" t="str">
        <f>IFERROR(VLOOKUP(J971,tecnica!B:C,2,0),"")</f>
        <v/>
      </c>
      <c r="L971" s="13"/>
      <c r="M971" s="14" t="str">
        <f>IFERROR(VLOOKUP(I971,material!A:D,4,0),"")</f>
        <v/>
      </c>
      <c r="N971" s="14" t="str">
        <f t="shared" si="1"/>
        <v/>
      </c>
      <c r="O971" s="15" t="str">
        <f>IFERROR(VLOOKUP(I971,material!A:D,2,0),"")</f>
        <v/>
      </c>
    </row>
    <row r="972">
      <c r="A972" s="6"/>
      <c r="B972" s="7"/>
      <c r="C972" s="8" t="str">
        <f t="array" ref="C972">IFERROR(INDEX(atlas!H:H,MATCH(A972,atlas!C:C,0)),"")</f>
        <v/>
      </c>
      <c r="D972" s="8" t="str">
        <f t="array" ref="D972">IFERROR(INDEX(atlas!D:D,MATCH(A972,atlas!C:C,0)),"")</f>
        <v/>
      </c>
      <c r="E972" s="8" t="str">
        <f t="array" ref="E972">IFERROR(INDEX(atlas!F:F,MATCH(A972,atlas!C:C,0)),"")</f>
        <v/>
      </c>
      <c r="F972" s="9"/>
      <c r="G972" s="10"/>
      <c r="H972" s="11"/>
      <c r="I972" s="12" t="str">
        <f t="array" ref="I972">IFERROR(INDEX(atlas!B:B,MATCH(A972,atlas!C:C,0)),"")</f>
        <v/>
      </c>
      <c r="J972" s="8" t="str">
        <f>IFERROR(VLOOKUP(F972,tecnica!A:B,2,0),"")</f>
        <v/>
      </c>
      <c r="K972" s="8" t="str">
        <f>IFERROR(VLOOKUP(J972,tecnica!B:C,2,0),"")</f>
        <v/>
      </c>
      <c r="L972" s="13"/>
      <c r="M972" s="14" t="str">
        <f>IFERROR(VLOOKUP(I972,material!A:D,4,0),"")</f>
        <v/>
      </c>
      <c r="N972" s="14" t="str">
        <f t="shared" si="1"/>
        <v/>
      </c>
      <c r="O972" s="15" t="str">
        <f>IFERROR(VLOOKUP(I972,material!A:D,2,0),"")</f>
        <v/>
      </c>
    </row>
    <row r="973">
      <c r="A973" s="6"/>
      <c r="B973" s="7"/>
      <c r="C973" s="8" t="str">
        <f t="array" ref="C973">IFERROR(INDEX(atlas!H:H,MATCH(A973,atlas!C:C,0)),"")</f>
        <v/>
      </c>
      <c r="D973" s="8" t="str">
        <f t="array" ref="D973">IFERROR(INDEX(atlas!D:D,MATCH(A973,atlas!C:C,0)),"")</f>
        <v/>
      </c>
      <c r="E973" s="8" t="str">
        <f t="array" ref="E973">IFERROR(INDEX(atlas!F:F,MATCH(A973,atlas!C:C,0)),"")</f>
        <v/>
      </c>
      <c r="F973" s="9"/>
      <c r="G973" s="10"/>
      <c r="H973" s="11"/>
      <c r="I973" s="12" t="str">
        <f t="array" ref="I973">IFERROR(INDEX(atlas!B:B,MATCH(A973,atlas!C:C,0)),"")</f>
        <v/>
      </c>
      <c r="J973" s="8" t="str">
        <f>IFERROR(VLOOKUP(F973,tecnica!A:B,2,0),"")</f>
        <v/>
      </c>
      <c r="K973" s="8" t="str">
        <f>IFERROR(VLOOKUP(J973,tecnica!B:C,2,0),"")</f>
        <v/>
      </c>
      <c r="L973" s="13"/>
      <c r="M973" s="14" t="str">
        <f>IFERROR(VLOOKUP(I973,material!A:D,4,0),"")</f>
        <v/>
      </c>
      <c r="N973" s="14" t="str">
        <f t="shared" si="1"/>
        <v/>
      </c>
      <c r="O973" s="15" t="str">
        <f>IFERROR(VLOOKUP(I973,material!A:D,2,0),"")</f>
        <v/>
      </c>
    </row>
    <row r="974">
      <c r="A974" s="6"/>
      <c r="B974" s="7"/>
      <c r="C974" s="8" t="str">
        <f t="array" ref="C974">IFERROR(INDEX(atlas!H:H,MATCH(A974,atlas!C:C,0)),"")</f>
        <v/>
      </c>
      <c r="D974" s="8" t="str">
        <f t="array" ref="D974">IFERROR(INDEX(atlas!D:D,MATCH(A974,atlas!C:C,0)),"")</f>
        <v/>
      </c>
      <c r="E974" s="8" t="str">
        <f t="array" ref="E974">IFERROR(INDEX(atlas!F:F,MATCH(A974,atlas!C:C,0)),"")</f>
        <v/>
      </c>
      <c r="F974" s="9"/>
      <c r="G974" s="10"/>
      <c r="H974" s="11"/>
      <c r="I974" s="12" t="str">
        <f t="array" ref="I974">IFERROR(INDEX(atlas!B:B,MATCH(A974,atlas!C:C,0)),"")</f>
        <v/>
      </c>
      <c r="J974" s="8" t="str">
        <f>IFERROR(VLOOKUP(F974,tecnica!A:B,2,0),"")</f>
        <v/>
      </c>
      <c r="K974" s="8" t="str">
        <f>IFERROR(VLOOKUP(J974,tecnica!B:C,2,0),"")</f>
        <v/>
      </c>
      <c r="L974" s="13"/>
      <c r="M974" s="14" t="str">
        <f>IFERROR(VLOOKUP(I974,material!A:D,4,0),"")</f>
        <v/>
      </c>
      <c r="N974" s="14" t="str">
        <f t="shared" si="1"/>
        <v/>
      </c>
      <c r="O974" s="15" t="str">
        <f>IFERROR(VLOOKUP(I974,material!A:D,2,0),"")</f>
        <v/>
      </c>
    </row>
    <row r="975">
      <c r="A975" s="6"/>
      <c r="B975" s="7"/>
      <c r="C975" s="8" t="str">
        <f t="array" ref="C975">IFERROR(INDEX(atlas!H:H,MATCH(A975,atlas!C:C,0)),"")</f>
        <v/>
      </c>
      <c r="D975" s="8" t="str">
        <f t="array" ref="D975">IFERROR(INDEX(atlas!D:D,MATCH(A975,atlas!C:C,0)),"")</f>
        <v/>
      </c>
      <c r="E975" s="8" t="str">
        <f t="array" ref="E975">IFERROR(INDEX(atlas!F:F,MATCH(A975,atlas!C:C,0)),"")</f>
        <v/>
      </c>
      <c r="F975" s="9"/>
      <c r="G975" s="10"/>
      <c r="H975" s="11"/>
      <c r="I975" s="12" t="str">
        <f t="array" ref="I975">IFERROR(INDEX(atlas!B:B,MATCH(A975,atlas!C:C,0)),"")</f>
        <v/>
      </c>
      <c r="J975" s="8" t="str">
        <f>IFERROR(VLOOKUP(F975,tecnica!A:B,2,0),"")</f>
        <v/>
      </c>
      <c r="K975" s="8" t="str">
        <f>IFERROR(VLOOKUP(J975,tecnica!B:C,2,0),"")</f>
        <v/>
      </c>
      <c r="L975" s="13"/>
      <c r="M975" s="14" t="str">
        <f>IFERROR(VLOOKUP(I975,material!A:D,4,0),"")</f>
        <v/>
      </c>
      <c r="N975" s="14" t="str">
        <f t="shared" si="1"/>
        <v/>
      </c>
      <c r="O975" s="15" t="str">
        <f>IFERROR(VLOOKUP(I975,material!A:D,2,0),"")</f>
        <v/>
      </c>
    </row>
    <row r="976">
      <c r="A976" s="6"/>
      <c r="B976" s="7"/>
      <c r="C976" s="8" t="str">
        <f t="array" ref="C976">IFERROR(INDEX(atlas!H:H,MATCH(A976,atlas!C:C,0)),"")</f>
        <v/>
      </c>
      <c r="D976" s="8" t="str">
        <f t="array" ref="D976">IFERROR(INDEX(atlas!D:D,MATCH(A976,atlas!C:C,0)),"")</f>
        <v/>
      </c>
      <c r="E976" s="8" t="str">
        <f t="array" ref="E976">IFERROR(INDEX(atlas!F:F,MATCH(A976,atlas!C:C,0)),"")</f>
        <v/>
      </c>
      <c r="F976" s="9"/>
      <c r="G976" s="10"/>
      <c r="H976" s="11"/>
      <c r="I976" s="12" t="str">
        <f t="array" ref="I976">IFERROR(INDEX(atlas!B:B,MATCH(A976,atlas!C:C,0)),"")</f>
        <v/>
      </c>
      <c r="J976" s="8" t="str">
        <f>IFERROR(VLOOKUP(F976,tecnica!A:B,2,0),"")</f>
        <v/>
      </c>
      <c r="K976" s="8" t="str">
        <f>IFERROR(VLOOKUP(J976,tecnica!B:C,2,0),"")</f>
        <v/>
      </c>
      <c r="L976" s="13"/>
      <c r="M976" s="14" t="str">
        <f>IFERROR(VLOOKUP(I976,material!A:D,4,0),"")</f>
        <v/>
      </c>
      <c r="N976" s="14" t="str">
        <f t="shared" si="1"/>
        <v/>
      </c>
      <c r="O976" s="15" t="str">
        <f>IFERROR(VLOOKUP(I976,material!A:D,2,0),"")</f>
        <v/>
      </c>
    </row>
    <row r="977">
      <c r="A977" s="6"/>
      <c r="B977" s="7"/>
      <c r="C977" s="8" t="str">
        <f t="array" ref="C977">IFERROR(INDEX(atlas!H:H,MATCH(A977,atlas!C:C,0)),"")</f>
        <v/>
      </c>
      <c r="D977" s="8" t="str">
        <f t="array" ref="D977">IFERROR(INDEX(atlas!D:D,MATCH(A977,atlas!C:C,0)),"")</f>
        <v/>
      </c>
      <c r="E977" s="8" t="str">
        <f t="array" ref="E977">IFERROR(INDEX(atlas!F:F,MATCH(A977,atlas!C:C,0)),"")</f>
        <v/>
      </c>
      <c r="F977" s="9"/>
      <c r="G977" s="10"/>
      <c r="H977" s="11"/>
      <c r="I977" s="12" t="str">
        <f t="array" ref="I977">IFERROR(INDEX(atlas!B:B,MATCH(A977,atlas!C:C,0)),"")</f>
        <v/>
      </c>
      <c r="J977" s="8" t="str">
        <f>IFERROR(VLOOKUP(F977,tecnica!A:B,2,0),"")</f>
        <v/>
      </c>
      <c r="K977" s="8" t="str">
        <f>IFERROR(VLOOKUP(J977,tecnica!B:C,2,0),"")</f>
        <v/>
      </c>
      <c r="L977" s="13"/>
      <c r="M977" s="14" t="str">
        <f>IFERROR(VLOOKUP(I977,material!A:D,4,0),"")</f>
        <v/>
      </c>
      <c r="N977" s="14" t="str">
        <f t="shared" si="1"/>
        <v/>
      </c>
      <c r="O977" s="15" t="str">
        <f>IFERROR(VLOOKUP(I977,material!A:D,2,0),"")</f>
        <v/>
      </c>
    </row>
    <row r="978">
      <c r="A978" s="6"/>
      <c r="B978" s="7"/>
      <c r="C978" s="8" t="str">
        <f t="array" ref="C978">IFERROR(INDEX(atlas!H:H,MATCH(A978,atlas!C:C,0)),"")</f>
        <v/>
      </c>
      <c r="D978" s="8" t="str">
        <f t="array" ref="D978">IFERROR(INDEX(atlas!D:D,MATCH(A978,atlas!C:C,0)),"")</f>
        <v/>
      </c>
      <c r="E978" s="8" t="str">
        <f t="array" ref="E978">IFERROR(INDEX(atlas!F:F,MATCH(A978,atlas!C:C,0)),"")</f>
        <v/>
      </c>
      <c r="F978" s="9"/>
      <c r="G978" s="10"/>
      <c r="H978" s="11"/>
      <c r="I978" s="12" t="str">
        <f t="array" ref="I978">IFERROR(INDEX(atlas!B:B,MATCH(A978,atlas!C:C,0)),"")</f>
        <v/>
      </c>
      <c r="J978" s="8" t="str">
        <f>IFERROR(VLOOKUP(F978,tecnica!A:B,2,0),"")</f>
        <v/>
      </c>
      <c r="K978" s="8" t="str">
        <f>IFERROR(VLOOKUP(J978,tecnica!B:C,2,0),"")</f>
        <v/>
      </c>
      <c r="L978" s="13"/>
      <c r="M978" s="14" t="str">
        <f>IFERROR(VLOOKUP(I978,material!A:D,4,0),"")</f>
        <v/>
      </c>
      <c r="N978" s="14" t="str">
        <f t="shared" si="1"/>
        <v/>
      </c>
      <c r="O978" s="15" t="str">
        <f>IFERROR(VLOOKUP(I978,material!A:D,2,0),"")</f>
        <v/>
      </c>
    </row>
    <row r="979">
      <c r="A979" s="6"/>
      <c r="B979" s="7"/>
      <c r="C979" s="8" t="str">
        <f t="array" ref="C979">IFERROR(INDEX(atlas!H:H,MATCH(A979,atlas!C:C,0)),"")</f>
        <v/>
      </c>
      <c r="D979" s="8" t="str">
        <f t="array" ref="D979">IFERROR(INDEX(atlas!D:D,MATCH(A979,atlas!C:C,0)),"")</f>
        <v/>
      </c>
      <c r="E979" s="8" t="str">
        <f t="array" ref="E979">IFERROR(INDEX(atlas!F:F,MATCH(A979,atlas!C:C,0)),"")</f>
        <v/>
      </c>
      <c r="F979" s="9"/>
      <c r="G979" s="10"/>
      <c r="H979" s="11"/>
      <c r="I979" s="12" t="str">
        <f t="array" ref="I979">IFERROR(INDEX(atlas!B:B,MATCH(A979,atlas!C:C,0)),"")</f>
        <v/>
      </c>
      <c r="J979" s="8" t="str">
        <f>IFERROR(VLOOKUP(F979,tecnica!A:B,2,0),"")</f>
        <v/>
      </c>
      <c r="K979" s="8" t="str">
        <f>IFERROR(VLOOKUP(J979,tecnica!B:C,2,0),"")</f>
        <v/>
      </c>
      <c r="L979" s="13"/>
      <c r="M979" s="14" t="str">
        <f>IFERROR(VLOOKUP(I979,material!A:D,4,0),"")</f>
        <v/>
      </c>
      <c r="N979" s="14" t="str">
        <f t="shared" si="1"/>
        <v/>
      </c>
      <c r="O979" s="15" t="str">
        <f>IFERROR(VLOOKUP(I979,material!A:D,2,0),"")</f>
        <v/>
      </c>
    </row>
    <row r="980">
      <c r="A980" s="6"/>
      <c r="B980" s="7"/>
      <c r="C980" s="8" t="str">
        <f t="array" ref="C980">IFERROR(INDEX(atlas!H:H,MATCH(A980,atlas!C:C,0)),"")</f>
        <v/>
      </c>
      <c r="D980" s="8" t="str">
        <f t="array" ref="D980">IFERROR(INDEX(atlas!D:D,MATCH(A980,atlas!C:C,0)),"")</f>
        <v/>
      </c>
      <c r="E980" s="8" t="str">
        <f t="array" ref="E980">IFERROR(INDEX(atlas!F:F,MATCH(A980,atlas!C:C,0)),"")</f>
        <v/>
      </c>
      <c r="F980" s="9"/>
      <c r="G980" s="10"/>
      <c r="H980" s="11"/>
      <c r="I980" s="12" t="str">
        <f t="array" ref="I980">IFERROR(INDEX(atlas!B:B,MATCH(A980,atlas!C:C,0)),"")</f>
        <v/>
      </c>
      <c r="J980" s="8" t="str">
        <f>IFERROR(VLOOKUP(F980,tecnica!A:B,2,0),"")</f>
        <v/>
      </c>
      <c r="K980" s="8" t="str">
        <f>IFERROR(VLOOKUP(J980,tecnica!B:C,2,0),"")</f>
        <v/>
      </c>
      <c r="L980" s="13"/>
      <c r="M980" s="14" t="str">
        <f>IFERROR(VLOOKUP(I980,material!A:D,4,0),"")</f>
        <v/>
      </c>
      <c r="N980" s="14" t="str">
        <f t="shared" si="1"/>
        <v/>
      </c>
      <c r="O980" s="15" t="str">
        <f>IFERROR(VLOOKUP(I980,material!A:D,2,0),"")</f>
        <v/>
      </c>
    </row>
    <row r="981">
      <c r="A981" s="6"/>
      <c r="B981" s="7"/>
      <c r="C981" s="8" t="str">
        <f t="array" ref="C981">IFERROR(INDEX(atlas!H:H,MATCH(A981,atlas!C:C,0)),"")</f>
        <v/>
      </c>
      <c r="D981" s="8" t="str">
        <f t="array" ref="D981">IFERROR(INDEX(atlas!D:D,MATCH(A981,atlas!C:C,0)),"")</f>
        <v/>
      </c>
      <c r="E981" s="8" t="str">
        <f t="array" ref="E981">IFERROR(INDEX(atlas!F:F,MATCH(A981,atlas!C:C,0)),"")</f>
        <v/>
      </c>
      <c r="F981" s="9"/>
      <c r="G981" s="10"/>
      <c r="H981" s="11"/>
      <c r="I981" s="12" t="str">
        <f t="array" ref="I981">IFERROR(INDEX(atlas!B:B,MATCH(A981,atlas!C:C,0)),"")</f>
        <v/>
      </c>
      <c r="J981" s="8" t="str">
        <f>IFERROR(VLOOKUP(F981,tecnica!A:B,2,0),"")</f>
        <v/>
      </c>
      <c r="K981" s="8" t="str">
        <f>IFERROR(VLOOKUP(J981,tecnica!B:C,2,0),"")</f>
        <v/>
      </c>
      <c r="L981" s="13"/>
      <c r="M981" s="14" t="str">
        <f>IFERROR(VLOOKUP(I981,material!A:D,4,0),"")</f>
        <v/>
      </c>
      <c r="N981" s="14" t="str">
        <f t="shared" si="1"/>
        <v/>
      </c>
      <c r="O981" s="15" t="str">
        <f>IFERROR(VLOOKUP(I981,material!A:D,2,0),"")</f>
        <v/>
      </c>
    </row>
    <row r="982">
      <c r="A982" s="6"/>
      <c r="B982" s="7"/>
      <c r="C982" s="8" t="str">
        <f t="array" ref="C982">IFERROR(INDEX(atlas!H:H,MATCH(A982,atlas!C:C,0)),"")</f>
        <v/>
      </c>
      <c r="D982" s="8" t="str">
        <f t="array" ref="D982">IFERROR(INDEX(atlas!D:D,MATCH(A982,atlas!C:C,0)),"")</f>
        <v/>
      </c>
      <c r="E982" s="8" t="str">
        <f t="array" ref="E982">IFERROR(INDEX(atlas!F:F,MATCH(A982,atlas!C:C,0)),"")</f>
        <v/>
      </c>
      <c r="F982" s="9"/>
      <c r="G982" s="10"/>
      <c r="H982" s="11"/>
      <c r="I982" s="12" t="str">
        <f t="array" ref="I982">IFERROR(INDEX(atlas!B:B,MATCH(A982,atlas!C:C,0)),"")</f>
        <v/>
      </c>
      <c r="J982" s="8" t="str">
        <f>IFERROR(VLOOKUP(F982,tecnica!A:B,2,0),"")</f>
        <v/>
      </c>
      <c r="K982" s="8" t="str">
        <f>IFERROR(VLOOKUP(J982,tecnica!B:C,2,0),"")</f>
        <v/>
      </c>
      <c r="L982" s="13"/>
      <c r="M982" s="14" t="str">
        <f>IFERROR(VLOOKUP(I982,material!A:D,4,0),"")</f>
        <v/>
      </c>
      <c r="N982" s="14" t="str">
        <f t="shared" si="1"/>
        <v/>
      </c>
      <c r="O982" s="15" t="str">
        <f>IFERROR(VLOOKUP(I982,material!A:D,2,0),"")</f>
        <v/>
      </c>
    </row>
    <row r="983">
      <c r="A983" s="6"/>
      <c r="B983" s="7"/>
      <c r="C983" s="8" t="str">
        <f t="array" ref="C983">IFERROR(INDEX(atlas!H:H,MATCH(A983,atlas!C:C,0)),"")</f>
        <v/>
      </c>
      <c r="D983" s="8" t="str">
        <f t="array" ref="D983">IFERROR(INDEX(atlas!D:D,MATCH(A983,atlas!C:C,0)),"")</f>
        <v/>
      </c>
      <c r="E983" s="8" t="str">
        <f t="array" ref="E983">IFERROR(INDEX(atlas!F:F,MATCH(A983,atlas!C:C,0)),"")</f>
        <v/>
      </c>
      <c r="F983" s="9"/>
      <c r="G983" s="10"/>
      <c r="H983" s="11"/>
      <c r="I983" s="12" t="str">
        <f t="array" ref="I983">IFERROR(INDEX(atlas!B:B,MATCH(A983,atlas!C:C,0)),"")</f>
        <v/>
      </c>
      <c r="J983" s="8" t="str">
        <f>IFERROR(VLOOKUP(F983,tecnica!A:B,2,0),"")</f>
        <v/>
      </c>
      <c r="K983" s="8" t="str">
        <f>IFERROR(VLOOKUP(J983,tecnica!B:C,2,0),"")</f>
        <v/>
      </c>
      <c r="L983" s="13"/>
      <c r="M983" s="14" t="str">
        <f>IFERROR(VLOOKUP(I983,material!A:D,4,0),"")</f>
        <v/>
      </c>
      <c r="N983" s="14" t="str">
        <f t="shared" si="1"/>
        <v/>
      </c>
      <c r="O983" s="15" t="str">
        <f>IFERROR(VLOOKUP(I983,material!A:D,2,0),"")</f>
        <v/>
      </c>
    </row>
    <row r="984">
      <c r="A984" s="6"/>
      <c r="B984" s="7"/>
      <c r="C984" s="8" t="str">
        <f t="array" ref="C984">IFERROR(INDEX(atlas!H:H,MATCH(A984,atlas!C:C,0)),"")</f>
        <v/>
      </c>
      <c r="D984" s="8" t="str">
        <f t="array" ref="D984">IFERROR(INDEX(atlas!D:D,MATCH(A984,atlas!C:C,0)),"")</f>
        <v/>
      </c>
      <c r="E984" s="8" t="str">
        <f t="array" ref="E984">IFERROR(INDEX(atlas!F:F,MATCH(A984,atlas!C:C,0)),"")</f>
        <v/>
      </c>
      <c r="F984" s="9"/>
      <c r="G984" s="10"/>
      <c r="H984" s="11"/>
      <c r="I984" s="12" t="str">
        <f t="array" ref="I984">IFERROR(INDEX(atlas!B:B,MATCH(A984,atlas!C:C,0)),"")</f>
        <v/>
      </c>
      <c r="J984" s="8" t="str">
        <f>IFERROR(VLOOKUP(F984,tecnica!A:B,2,0),"")</f>
        <v/>
      </c>
      <c r="K984" s="8" t="str">
        <f>IFERROR(VLOOKUP(J984,tecnica!B:C,2,0),"")</f>
        <v/>
      </c>
      <c r="L984" s="13"/>
      <c r="M984" s="14" t="str">
        <f>IFERROR(VLOOKUP(I984,material!A:D,4,0),"")</f>
        <v/>
      </c>
      <c r="N984" s="14" t="str">
        <f t="shared" si="1"/>
        <v/>
      </c>
      <c r="O984" s="15" t="str">
        <f>IFERROR(VLOOKUP(I984,material!A:D,2,0),"")</f>
        <v/>
      </c>
    </row>
    <row r="985">
      <c r="A985" s="6"/>
      <c r="B985" s="7"/>
      <c r="C985" s="8" t="str">
        <f t="array" ref="C985">IFERROR(INDEX(atlas!H:H,MATCH(A985,atlas!C:C,0)),"")</f>
        <v/>
      </c>
      <c r="D985" s="8" t="str">
        <f t="array" ref="D985">IFERROR(INDEX(atlas!D:D,MATCH(A985,atlas!C:C,0)),"")</f>
        <v/>
      </c>
      <c r="E985" s="8" t="str">
        <f t="array" ref="E985">IFERROR(INDEX(atlas!F:F,MATCH(A985,atlas!C:C,0)),"")</f>
        <v/>
      </c>
      <c r="F985" s="9"/>
      <c r="G985" s="10"/>
      <c r="H985" s="11"/>
      <c r="I985" s="12" t="str">
        <f t="array" ref="I985">IFERROR(INDEX(atlas!B:B,MATCH(A985,atlas!C:C,0)),"")</f>
        <v/>
      </c>
      <c r="J985" s="8" t="str">
        <f>IFERROR(VLOOKUP(F985,tecnica!A:B,2,0),"")</f>
        <v/>
      </c>
      <c r="K985" s="8" t="str">
        <f>IFERROR(VLOOKUP(J985,tecnica!B:C,2,0),"")</f>
        <v/>
      </c>
      <c r="L985" s="13"/>
      <c r="M985" s="14" t="str">
        <f>IFERROR(VLOOKUP(I985,material!A:D,4,0),"")</f>
        <v/>
      </c>
      <c r="N985" s="14" t="str">
        <f t="shared" si="1"/>
        <v/>
      </c>
      <c r="O985" s="15" t="str">
        <f>IFERROR(VLOOKUP(I985,material!A:D,2,0),"")</f>
        <v/>
      </c>
    </row>
    <row r="986">
      <c r="A986" s="6"/>
      <c r="B986" s="7"/>
      <c r="C986" s="8" t="str">
        <f t="array" ref="C986">IFERROR(INDEX(atlas!H:H,MATCH(A986,atlas!C:C,0)),"")</f>
        <v/>
      </c>
      <c r="D986" s="8" t="str">
        <f t="array" ref="D986">IFERROR(INDEX(atlas!D:D,MATCH(A986,atlas!C:C,0)),"")</f>
        <v/>
      </c>
      <c r="E986" s="8" t="str">
        <f t="array" ref="E986">IFERROR(INDEX(atlas!F:F,MATCH(A986,atlas!C:C,0)),"")</f>
        <v/>
      </c>
      <c r="F986" s="9"/>
      <c r="G986" s="10"/>
      <c r="H986" s="11"/>
      <c r="I986" s="12" t="str">
        <f t="array" ref="I986">IFERROR(INDEX(atlas!B:B,MATCH(A986,atlas!C:C,0)),"")</f>
        <v/>
      </c>
      <c r="J986" s="8" t="str">
        <f>IFERROR(VLOOKUP(F986,tecnica!A:B,2,0),"")</f>
        <v/>
      </c>
      <c r="K986" s="8" t="str">
        <f>IFERROR(VLOOKUP(J986,tecnica!B:C,2,0),"")</f>
        <v/>
      </c>
      <c r="L986" s="13"/>
      <c r="M986" s="14" t="str">
        <f>IFERROR(VLOOKUP(I986,material!A:D,4,0),"")</f>
        <v/>
      </c>
      <c r="N986" s="14" t="str">
        <f t="shared" si="1"/>
        <v/>
      </c>
      <c r="O986" s="15" t="str">
        <f>IFERROR(VLOOKUP(I986,material!A:D,2,0),"")</f>
        <v/>
      </c>
    </row>
    <row r="987">
      <c r="A987" s="6"/>
      <c r="B987" s="7"/>
      <c r="C987" s="8" t="str">
        <f t="array" ref="C987">IFERROR(INDEX(atlas!H:H,MATCH(A987,atlas!C:C,0)),"")</f>
        <v/>
      </c>
      <c r="D987" s="8" t="str">
        <f t="array" ref="D987">IFERROR(INDEX(atlas!D:D,MATCH(A987,atlas!C:C,0)),"")</f>
        <v/>
      </c>
      <c r="E987" s="8" t="str">
        <f t="array" ref="E987">IFERROR(INDEX(atlas!F:F,MATCH(A987,atlas!C:C,0)),"")</f>
        <v/>
      </c>
      <c r="F987" s="9"/>
      <c r="G987" s="10"/>
      <c r="H987" s="11"/>
      <c r="I987" s="12" t="str">
        <f t="array" ref="I987">IFERROR(INDEX(atlas!B:B,MATCH(A987,atlas!C:C,0)),"")</f>
        <v/>
      </c>
      <c r="J987" s="8" t="str">
        <f>IFERROR(VLOOKUP(F987,tecnica!A:B,2,0),"")</f>
        <v/>
      </c>
      <c r="K987" s="8" t="str">
        <f>IFERROR(VLOOKUP(J987,tecnica!B:C,2,0),"")</f>
        <v/>
      </c>
      <c r="L987" s="13"/>
      <c r="M987" s="14" t="str">
        <f>IFERROR(VLOOKUP(I987,material!A:D,4,0),"")</f>
        <v/>
      </c>
      <c r="N987" s="14" t="str">
        <f t="shared" si="1"/>
        <v/>
      </c>
      <c r="O987" s="15" t="str">
        <f>IFERROR(VLOOKUP(I987,material!A:D,2,0),"")</f>
        <v/>
      </c>
    </row>
    <row r="988">
      <c r="A988" s="6"/>
      <c r="B988" s="7"/>
      <c r="C988" s="8" t="str">
        <f t="array" ref="C988">IFERROR(INDEX(atlas!H:H,MATCH(A988,atlas!C:C,0)),"")</f>
        <v/>
      </c>
      <c r="D988" s="8" t="str">
        <f t="array" ref="D988">IFERROR(INDEX(atlas!D:D,MATCH(A988,atlas!C:C,0)),"")</f>
        <v/>
      </c>
      <c r="E988" s="8" t="str">
        <f t="array" ref="E988">IFERROR(INDEX(atlas!F:F,MATCH(A988,atlas!C:C,0)),"")</f>
        <v/>
      </c>
      <c r="F988" s="9"/>
      <c r="G988" s="10"/>
      <c r="H988" s="11"/>
      <c r="I988" s="12" t="str">
        <f t="array" ref="I988">IFERROR(INDEX(atlas!B:B,MATCH(A988,atlas!C:C,0)),"")</f>
        <v/>
      </c>
      <c r="J988" s="8" t="str">
        <f>IFERROR(VLOOKUP(F988,tecnica!A:B,2,0),"")</f>
        <v/>
      </c>
      <c r="K988" s="8" t="str">
        <f>IFERROR(VLOOKUP(J988,tecnica!B:C,2,0),"")</f>
        <v/>
      </c>
      <c r="L988" s="13"/>
      <c r="M988" s="14" t="str">
        <f>IFERROR(VLOOKUP(I988,material!A:D,4,0),"")</f>
        <v/>
      </c>
      <c r="N988" s="14" t="str">
        <f t="shared" si="1"/>
        <v/>
      </c>
      <c r="O988" s="15" t="str">
        <f>IFERROR(VLOOKUP(I988,material!A:D,2,0),"")</f>
        <v/>
      </c>
    </row>
    <row r="989">
      <c r="A989" s="6"/>
      <c r="B989" s="7"/>
      <c r="C989" s="8" t="str">
        <f t="array" ref="C989">IFERROR(INDEX(atlas!H:H,MATCH(A989,atlas!C:C,0)),"")</f>
        <v/>
      </c>
      <c r="D989" s="8" t="str">
        <f t="array" ref="D989">IFERROR(INDEX(atlas!D:D,MATCH(A989,atlas!C:C,0)),"")</f>
        <v/>
      </c>
      <c r="E989" s="8" t="str">
        <f t="array" ref="E989">IFERROR(INDEX(atlas!F:F,MATCH(A989,atlas!C:C,0)),"")</f>
        <v/>
      </c>
      <c r="F989" s="9"/>
      <c r="G989" s="10"/>
      <c r="H989" s="11"/>
      <c r="I989" s="12" t="str">
        <f t="array" ref="I989">IFERROR(INDEX(atlas!B:B,MATCH(A989,atlas!C:C,0)),"")</f>
        <v/>
      </c>
      <c r="J989" s="8" t="str">
        <f>IFERROR(VLOOKUP(F989,tecnica!A:B,2,0),"")</f>
        <v/>
      </c>
      <c r="K989" s="8" t="str">
        <f>IFERROR(VLOOKUP(J989,tecnica!B:C,2,0),"")</f>
        <v/>
      </c>
      <c r="L989" s="13"/>
      <c r="M989" s="14" t="str">
        <f>IFERROR(VLOOKUP(I989,material!A:D,4,0),"")</f>
        <v/>
      </c>
      <c r="N989" s="14" t="str">
        <f t="shared" si="1"/>
        <v/>
      </c>
      <c r="O989" s="15" t="str">
        <f>IFERROR(VLOOKUP(I989,material!A:D,2,0),"")</f>
        <v/>
      </c>
    </row>
    <row r="990">
      <c r="A990" s="6"/>
      <c r="B990" s="7"/>
      <c r="C990" s="8" t="str">
        <f t="array" ref="C990">IFERROR(INDEX(atlas!H:H,MATCH(A990,atlas!C:C,0)),"")</f>
        <v/>
      </c>
      <c r="D990" s="8" t="str">
        <f t="array" ref="D990">IFERROR(INDEX(atlas!D:D,MATCH(A990,atlas!C:C,0)),"")</f>
        <v/>
      </c>
      <c r="E990" s="8" t="str">
        <f t="array" ref="E990">IFERROR(INDEX(atlas!F:F,MATCH(A990,atlas!C:C,0)),"")</f>
        <v/>
      </c>
      <c r="F990" s="9"/>
      <c r="G990" s="10"/>
      <c r="H990" s="11"/>
      <c r="I990" s="12" t="str">
        <f t="array" ref="I990">IFERROR(INDEX(atlas!B:B,MATCH(A990,atlas!C:C,0)),"")</f>
        <v/>
      </c>
      <c r="J990" s="8" t="str">
        <f>IFERROR(VLOOKUP(F990,tecnica!A:B,2,0),"")</f>
        <v/>
      </c>
      <c r="K990" s="8" t="str">
        <f>IFERROR(VLOOKUP(J990,tecnica!B:C,2,0),"")</f>
        <v/>
      </c>
      <c r="L990" s="13"/>
      <c r="M990" s="14" t="str">
        <f>IFERROR(VLOOKUP(I990,material!A:D,4,0),"")</f>
        <v/>
      </c>
      <c r="N990" s="14" t="str">
        <f t="shared" si="1"/>
        <v/>
      </c>
      <c r="O990" s="15" t="str">
        <f>IFERROR(VLOOKUP(I990,material!A:D,2,0),"")</f>
        <v/>
      </c>
    </row>
    <row r="991">
      <c r="A991" s="6"/>
      <c r="B991" s="7"/>
      <c r="C991" s="8" t="str">
        <f t="array" ref="C991">IFERROR(INDEX(atlas!H:H,MATCH(A991,atlas!C:C,0)),"")</f>
        <v/>
      </c>
      <c r="D991" s="8" t="str">
        <f t="array" ref="D991">IFERROR(INDEX(atlas!D:D,MATCH(A991,atlas!C:C,0)),"")</f>
        <v/>
      </c>
      <c r="E991" s="8" t="str">
        <f t="array" ref="E991">IFERROR(INDEX(atlas!F:F,MATCH(A991,atlas!C:C,0)),"")</f>
        <v/>
      </c>
      <c r="F991" s="9"/>
      <c r="G991" s="10"/>
      <c r="H991" s="11"/>
      <c r="I991" s="12" t="str">
        <f t="array" ref="I991">IFERROR(INDEX(atlas!B:B,MATCH(A991,atlas!C:C,0)),"")</f>
        <v/>
      </c>
      <c r="J991" s="8" t="str">
        <f>IFERROR(VLOOKUP(F991,tecnica!A:B,2,0),"")</f>
        <v/>
      </c>
      <c r="K991" s="8" t="str">
        <f>IFERROR(VLOOKUP(J991,tecnica!B:C,2,0),"")</f>
        <v/>
      </c>
      <c r="L991" s="13"/>
      <c r="M991" s="14" t="str">
        <f>IFERROR(VLOOKUP(I991,material!A:D,4,0),"")</f>
        <v/>
      </c>
      <c r="N991" s="14" t="str">
        <f t="shared" si="1"/>
        <v/>
      </c>
      <c r="O991" s="15" t="str">
        <f>IFERROR(VLOOKUP(I991,material!A:D,2,0),"")</f>
        <v/>
      </c>
    </row>
    <row r="992">
      <c r="A992" s="6"/>
      <c r="B992" s="7"/>
      <c r="C992" s="8" t="str">
        <f t="array" ref="C992">IFERROR(INDEX(atlas!H:H,MATCH(A992,atlas!C:C,0)),"")</f>
        <v/>
      </c>
      <c r="D992" s="8" t="str">
        <f t="array" ref="D992">IFERROR(INDEX(atlas!D:D,MATCH(A992,atlas!C:C,0)),"")</f>
        <v/>
      </c>
      <c r="E992" s="8" t="str">
        <f t="array" ref="E992">IFERROR(INDEX(atlas!F:F,MATCH(A992,atlas!C:C,0)),"")</f>
        <v/>
      </c>
      <c r="F992" s="9"/>
      <c r="G992" s="10"/>
      <c r="H992" s="11"/>
      <c r="I992" s="12" t="str">
        <f t="array" ref="I992">IFERROR(INDEX(atlas!B:B,MATCH(A992,atlas!C:C,0)),"")</f>
        <v/>
      </c>
      <c r="J992" s="8" t="str">
        <f>IFERROR(VLOOKUP(F992,tecnica!A:B,2,0),"")</f>
        <v/>
      </c>
      <c r="K992" s="8" t="str">
        <f>IFERROR(VLOOKUP(J992,tecnica!B:C,2,0),"")</f>
        <v/>
      </c>
      <c r="L992" s="13"/>
      <c r="M992" s="14" t="str">
        <f>IFERROR(VLOOKUP(I992,material!A:D,4,0),"")</f>
        <v/>
      </c>
      <c r="N992" s="14" t="str">
        <f t="shared" si="1"/>
        <v/>
      </c>
      <c r="O992" s="15" t="str">
        <f>IFERROR(VLOOKUP(I992,material!A:D,2,0),"")</f>
        <v/>
      </c>
    </row>
    <row r="993">
      <c r="A993" s="6"/>
      <c r="B993" s="7"/>
      <c r="C993" s="8" t="str">
        <f t="array" ref="C993">IFERROR(INDEX(atlas!H:H,MATCH(A993,atlas!C:C,0)),"")</f>
        <v/>
      </c>
      <c r="D993" s="8" t="str">
        <f t="array" ref="D993">IFERROR(INDEX(atlas!D:D,MATCH(A993,atlas!C:C,0)),"")</f>
        <v/>
      </c>
      <c r="E993" s="8" t="str">
        <f t="array" ref="E993">IFERROR(INDEX(atlas!F:F,MATCH(A993,atlas!C:C,0)),"")</f>
        <v/>
      </c>
      <c r="F993" s="9"/>
      <c r="G993" s="10"/>
      <c r="H993" s="11"/>
      <c r="I993" s="12" t="str">
        <f t="array" ref="I993">IFERROR(INDEX(atlas!B:B,MATCH(A993,atlas!C:C,0)),"")</f>
        <v/>
      </c>
      <c r="J993" s="8" t="str">
        <f>IFERROR(VLOOKUP(F993,tecnica!A:B,2,0),"")</f>
        <v/>
      </c>
      <c r="K993" s="8" t="str">
        <f>IFERROR(VLOOKUP(J993,tecnica!B:C,2,0),"")</f>
        <v/>
      </c>
      <c r="L993" s="13"/>
      <c r="M993" s="14" t="str">
        <f>IFERROR(VLOOKUP(I993,material!A:D,4,0),"")</f>
        <v/>
      </c>
      <c r="N993" s="14" t="str">
        <f t="shared" si="1"/>
        <v/>
      </c>
      <c r="O993" s="15" t="str">
        <f>IFERROR(VLOOKUP(I993,material!A:D,2,0),"")</f>
        <v/>
      </c>
    </row>
    <row r="994">
      <c r="A994" s="6"/>
      <c r="B994" s="7"/>
      <c r="C994" s="8" t="str">
        <f t="array" ref="C994">IFERROR(INDEX(atlas!H:H,MATCH(A994,atlas!C:C,0)),"")</f>
        <v/>
      </c>
      <c r="D994" s="8" t="str">
        <f t="array" ref="D994">IFERROR(INDEX(atlas!D:D,MATCH(A994,atlas!C:C,0)),"")</f>
        <v/>
      </c>
      <c r="E994" s="8" t="str">
        <f t="array" ref="E994">IFERROR(INDEX(atlas!F:F,MATCH(A994,atlas!C:C,0)),"")</f>
        <v/>
      </c>
      <c r="F994" s="9"/>
      <c r="G994" s="10"/>
      <c r="H994" s="11"/>
      <c r="I994" s="12" t="str">
        <f t="array" ref="I994">IFERROR(INDEX(atlas!B:B,MATCH(A994,atlas!C:C,0)),"")</f>
        <v/>
      </c>
      <c r="J994" s="8" t="str">
        <f>IFERROR(VLOOKUP(F994,tecnica!A:B,2,0),"")</f>
        <v/>
      </c>
      <c r="K994" s="8" t="str">
        <f>IFERROR(VLOOKUP(J994,tecnica!B:C,2,0),"")</f>
        <v/>
      </c>
      <c r="L994" s="13"/>
      <c r="M994" s="14" t="str">
        <f>IFERROR(VLOOKUP(I994,material!A:D,4,0),"")</f>
        <v/>
      </c>
      <c r="N994" s="14" t="str">
        <f t="shared" si="1"/>
        <v/>
      </c>
      <c r="O994" s="15" t="str">
        <f>IFERROR(VLOOKUP(I994,material!A:D,2,0),"")</f>
        <v/>
      </c>
    </row>
    <row r="995">
      <c r="A995" s="6"/>
      <c r="B995" s="7"/>
      <c r="C995" s="8" t="str">
        <f t="array" ref="C995">IFERROR(INDEX(atlas!H:H,MATCH(A995,atlas!C:C,0)),"")</f>
        <v/>
      </c>
      <c r="D995" s="8" t="str">
        <f t="array" ref="D995">IFERROR(INDEX(atlas!D:D,MATCH(A995,atlas!C:C,0)),"")</f>
        <v/>
      </c>
      <c r="E995" s="8" t="str">
        <f t="array" ref="E995">IFERROR(INDEX(atlas!F:F,MATCH(A995,atlas!C:C,0)),"")</f>
        <v/>
      </c>
      <c r="F995" s="9"/>
      <c r="G995" s="10"/>
      <c r="H995" s="11"/>
      <c r="I995" s="12" t="str">
        <f t="array" ref="I995">IFERROR(INDEX(atlas!B:B,MATCH(A995,atlas!C:C,0)),"")</f>
        <v/>
      </c>
      <c r="J995" s="8" t="str">
        <f>IFERROR(VLOOKUP(F995,tecnica!A:B,2,0),"")</f>
        <v/>
      </c>
      <c r="K995" s="8" t="str">
        <f>IFERROR(VLOOKUP(J995,tecnica!B:C,2,0),"")</f>
        <v/>
      </c>
      <c r="L995" s="13"/>
      <c r="M995" s="14" t="str">
        <f>IFERROR(VLOOKUP(I995,material!A:D,4,0),"")</f>
        <v/>
      </c>
      <c r="N995" s="14" t="str">
        <f t="shared" si="1"/>
        <v/>
      </c>
      <c r="O995" s="15" t="str">
        <f>IFERROR(VLOOKUP(I995,material!A:D,2,0),"")</f>
        <v/>
      </c>
    </row>
    <row r="996">
      <c r="A996" s="6"/>
      <c r="B996" s="7"/>
      <c r="C996" s="8" t="str">
        <f t="array" ref="C996">IFERROR(INDEX(atlas!H:H,MATCH(A996,atlas!C:C,0)),"")</f>
        <v/>
      </c>
      <c r="D996" s="8" t="str">
        <f t="array" ref="D996">IFERROR(INDEX(atlas!D:D,MATCH(A996,atlas!C:C,0)),"")</f>
        <v/>
      </c>
      <c r="E996" s="8" t="str">
        <f t="array" ref="E996">IFERROR(INDEX(atlas!F:F,MATCH(A996,atlas!C:C,0)),"")</f>
        <v/>
      </c>
      <c r="F996" s="9"/>
      <c r="G996" s="10"/>
      <c r="H996" s="11"/>
      <c r="I996" s="12" t="str">
        <f t="array" ref="I996">IFERROR(INDEX(atlas!B:B,MATCH(A996,atlas!C:C,0)),"")</f>
        <v/>
      </c>
      <c r="J996" s="8" t="str">
        <f>IFERROR(VLOOKUP(F996,tecnica!A:B,2,0),"")</f>
        <v/>
      </c>
      <c r="K996" s="8" t="str">
        <f>IFERROR(VLOOKUP(J996,tecnica!B:C,2,0),"")</f>
        <v/>
      </c>
      <c r="L996" s="13"/>
      <c r="M996" s="14" t="str">
        <f>IFERROR(VLOOKUP(I996,material!A:D,4,0),"")</f>
        <v/>
      </c>
      <c r="N996" s="14" t="str">
        <f t="shared" si="1"/>
        <v/>
      </c>
      <c r="O996" s="15" t="str">
        <f>IFERROR(VLOOKUP(I996,material!A:D,2,0),"")</f>
        <v/>
      </c>
    </row>
    <row r="997">
      <c r="A997" s="6"/>
      <c r="B997" s="7"/>
      <c r="C997" s="8" t="str">
        <f t="array" ref="C997">IFERROR(INDEX(atlas!H:H,MATCH(A997,atlas!C:C,0)),"")</f>
        <v/>
      </c>
      <c r="D997" s="8" t="str">
        <f t="array" ref="D997">IFERROR(INDEX(atlas!D:D,MATCH(A997,atlas!C:C,0)),"")</f>
        <v/>
      </c>
      <c r="E997" s="8" t="str">
        <f t="array" ref="E997">IFERROR(INDEX(atlas!F:F,MATCH(A997,atlas!C:C,0)),"")</f>
        <v/>
      </c>
      <c r="F997" s="9"/>
      <c r="G997" s="10"/>
      <c r="H997" s="11"/>
      <c r="I997" s="12" t="str">
        <f t="array" ref="I997">IFERROR(INDEX(atlas!B:B,MATCH(A997,atlas!C:C,0)),"")</f>
        <v/>
      </c>
      <c r="J997" s="8" t="str">
        <f>IFERROR(VLOOKUP(F997,tecnica!A:B,2,0),"")</f>
        <v/>
      </c>
      <c r="K997" s="8" t="str">
        <f>IFERROR(VLOOKUP(J997,tecnica!B:C,2,0),"")</f>
        <v/>
      </c>
      <c r="L997" s="13"/>
      <c r="M997" s="14" t="str">
        <f>IFERROR(VLOOKUP(I997,material!A:D,4,0),"")</f>
        <v/>
      </c>
      <c r="N997" s="14" t="str">
        <f t="shared" si="1"/>
        <v/>
      </c>
      <c r="O997" s="15" t="str">
        <f>IFERROR(VLOOKUP(I997,material!A:D,2,0),"")</f>
        <v/>
      </c>
    </row>
    <row r="998">
      <c r="A998" s="6"/>
      <c r="B998" s="7"/>
      <c r="C998" s="8" t="str">
        <f t="array" ref="C998">IFERROR(INDEX(atlas!H:H,MATCH(A998,atlas!C:C,0)),"")</f>
        <v/>
      </c>
      <c r="D998" s="8" t="str">
        <f t="array" ref="D998">IFERROR(INDEX(atlas!D:D,MATCH(A998,atlas!C:C,0)),"")</f>
        <v/>
      </c>
      <c r="E998" s="8" t="str">
        <f t="array" ref="E998">IFERROR(INDEX(atlas!F:F,MATCH(A998,atlas!C:C,0)),"")</f>
        <v/>
      </c>
      <c r="F998" s="9"/>
      <c r="G998" s="10"/>
      <c r="H998" s="11"/>
      <c r="I998" s="12" t="str">
        <f t="array" ref="I998">IFERROR(INDEX(atlas!B:B,MATCH(A998,atlas!C:C,0)),"")</f>
        <v/>
      </c>
      <c r="J998" s="8" t="str">
        <f>IFERROR(VLOOKUP(F998,tecnica!A:B,2,0),"")</f>
        <v/>
      </c>
      <c r="K998" s="8" t="str">
        <f>IFERROR(VLOOKUP(J998,tecnica!B:C,2,0),"")</f>
        <v/>
      </c>
      <c r="L998" s="13"/>
      <c r="M998" s="14" t="str">
        <f>IFERROR(VLOOKUP(I998,material!A:D,4,0),"")</f>
        <v/>
      </c>
      <c r="N998" s="14" t="str">
        <f t="shared" si="1"/>
        <v/>
      </c>
      <c r="O998" s="15" t="str">
        <f>IFERROR(VLOOKUP(I998,material!A:D,2,0),"")</f>
        <v/>
      </c>
    </row>
    <row r="999">
      <c r="A999" s="6"/>
      <c r="B999" s="7"/>
      <c r="C999" s="8" t="str">
        <f t="array" ref="C999">IFERROR(INDEX(atlas!H:H,MATCH(A999,atlas!C:C,0)),"")</f>
        <v/>
      </c>
      <c r="D999" s="8" t="str">
        <f t="array" ref="D999">IFERROR(INDEX(atlas!D:D,MATCH(A999,atlas!C:C,0)),"")</f>
        <v/>
      </c>
      <c r="E999" s="8" t="str">
        <f t="array" ref="E999">IFERROR(INDEX(atlas!F:F,MATCH(A999,atlas!C:C,0)),"")</f>
        <v/>
      </c>
      <c r="F999" s="9"/>
      <c r="G999" s="10"/>
      <c r="H999" s="11"/>
      <c r="I999" s="12" t="str">
        <f t="array" ref="I999">IFERROR(INDEX(atlas!B:B,MATCH(A999,atlas!C:C,0)),"")</f>
        <v/>
      </c>
      <c r="J999" s="8" t="str">
        <f>IFERROR(VLOOKUP(F999,tecnica!A:B,2,0),"")</f>
        <v/>
      </c>
      <c r="K999" s="8" t="str">
        <f>IFERROR(VLOOKUP(J999,tecnica!B:C,2,0),"")</f>
        <v/>
      </c>
      <c r="L999" s="13"/>
      <c r="M999" s="14" t="str">
        <f>IFERROR(VLOOKUP(I999,material!A:D,4,0),"")</f>
        <v/>
      </c>
      <c r="N999" s="14" t="str">
        <f t="shared" si="1"/>
        <v/>
      </c>
      <c r="O999" s="15" t="str">
        <f>IFERROR(VLOOKUP(I999,material!A:D,2,0),"")</f>
        <v/>
      </c>
    </row>
    <row r="1000">
      <c r="A1000" s="6"/>
      <c r="B1000" s="7"/>
      <c r="C1000" s="8" t="str">
        <f t="array" ref="C1000">IFERROR(INDEX(atlas!H:H,MATCH(A1000,atlas!C:C,0)),"")</f>
        <v/>
      </c>
      <c r="D1000" s="8" t="str">
        <f t="array" ref="D1000">IFERROR(INDEX(atlas!D:D,MATCH(A1000,atlas!C:C,0)),"")</f>
        <v/>
      </c>
      <c r="E1000" s="8" t="str">
        <f t="array" ref="E1000">IFERROR(INDEX(atlas!F:F,MATCH(A1000,atlas!C:C,0)),"")</f>
        <v/>
      </c>
      <c r="F1000" s="9"/>
      <c r="G1000" s="10"/>
      <c r="H1000" s="11"/>
      <c r="I1000" s="12" t="str">
        <f t="array" ref="I1000">IFERROR(INDEX(atlas!B:B,MATCH(A1000,atlas!C:C,0)),"")</f>
        <v/>
      </c>
      <c r="J1000" s="8" t="str">
        <f>IFERROR(VLOOKUP(F1000,tecnica!A:B,2,0),"")</f>
        <v/>
      </c>
      <c r="K1000" s="8" t="str">
        <f>IFERROR(VLOOKUP(J1000,tecnica!B:C,2,0),"")</f>
        <v/>
      </c>
      <c r="L1000" s="13"/>
      <c r="M1000" s="14" t="str">
        <f>IFERROR(VLOOKUP(I1000,material!A:D,4,0),"")</f>
        <v/>
      </c>
      <c r="N1000" s="14" t="str">
        <f t="shared" si="1"/>
        <v/>
      </c>
      <c r="O1000" s="15" t="str">
        <f>IFERROR(VLOOKUP(I1000,material!A:D,2,0),"")</f>
        <v/>
      </c>
    </row>
    <row r="1001">
      <c r="A1001" s="6"/>
      <c r="B1001" s="7"/>
      <c r="C1001" s="8" t="str">
        <f t="array" ref="C1001">IFERROR(INDEX(atlas!H:H,MATCH(A1001,atlas!C:C,0)),"")</f>
        <v/>
      </c>
      <c r="D1001" s="8" t="str">
        <f t="array" ref="D1001">IFERROR(INDEX(atlas!D:D,MATCH(A1001,atlas!C:C,0)),"")</f>
        <v/>
      </c>
      <c r="E1001" s="8" t="str">
        <f t="array" ref="E1001">IFERROR(INDEX(atlas!F:F,MATCH(A1001,atlas!C:C,0)),"")</f>
        <v/>
      </c>
      <c r="F1001" s="9"/>
      <c r="G1001" s="10"/>
      <c r="H1001" s="11"/>
      <c r="I1001" s="12" t="str">
        <f t="array" ref="I1001">IFERROR(INDEX(atlas!B:B,MATCH(A1001,atlas!C:C,0)),"")</f>
        <v/>
      </c>
      <c r="J1001" s="8" t="str">
        <f>IFERROR(VLOOKUP(F1001,tecnica!A:B,2,0),"")</f>
        <v/>
      </c>
      <c r="K1001" s="8" t="str">
        <f>IFERROR(VLOOKUP(J1001,tecnica!B:C,2,0),"")</f>
        <v/>
      </c>
      <c r="L1001" s="13"/>
      <c r="M1001" s="14" t="str">
        <f>IFERROR(VLOOKUP(I1001,material!A:D,4,0),"")</f>
        <v/>
      </c>
      <c r="N1001" s="14" t="str">
        <f t="shared" si="1"/>
        <v/>
      </c>
      <c r="O1001" s="15" t="str">
        <f>IFERROR(VLOOKUP(I1001,material!A:D,2,0),"")</f>
        <v/>
      </c>
    </row>
    <row r="1002">
      <c r="A1002" s="6"/>
      <c r="B1002" s="7"/>
      <c r="C1002" s="8" t="str">
        <f t="array" ref="C1002">IFERROR(INDEX(atlas!H:H,MATCH(A1002,atlas!C:C,0)),"")</f>
        <v/>
      </c>
      <c r="D1002" s="8" t="str">
        <f t="array" ref="D1002">IFERROR(INDEX(atlas!D:D,MATCH(A1002,atlas!C:C,0)),"")</f>
        <v/>
      </c>
      <c r="E1002" s="8" t="str">
        <f t="array" ref="E1002">IFERROR(INDEX(atlas!F:F,MATCH(A1002,atlas!C:C,0)),"")</f>
        <v/>
      </c>
      <c r="F1002" s="9"/>
      <c r="G1002" s="10"/>
      <c r="H1002" s="11"/>
      <c r="I1002" s="12" t="str">
        <f t="array" ref="I1002">IFERROR(INDEX(atlas!B:B,MATCH(A1002,atlas!C:C,0)),"")</f>
        <v/>
      </c>
      <c r="J1002" s="8" t="str">
        <f>IFERROR(VLOOKUP(F1002,tecnica!A:B,2,0),"")</f>
        <v/>
      </c>
      <c r="K1002" s="8" t="str">
        <f>IFERROR(VLOOKUP(J1002,tecnica!B:C,2,0),"")</f>
        <v/>
      </c>
      <c r="L1002" s="13"/>
      <c r="M1002" s="14" t="str">
        <f>IFERROR(VLOOKUP(I1002,material!A:D,4,0),"")</f>
        <v/>
      </c>
      <c r="N1002" s="14" t="str">
        <f t="shared" si="1"/>
        <v/>
      </c>
      <c r="O1002" s="15" t="str">
        <f>IFERROR(VLOOKUP(I1002,material!A:D,2,0),"")</f>
        <v/>
      </c>
    </row>
    <row r="1003">
      <c r="A1003" s="6"/>
      <c r="B1003" s="7"/>
      <c r="C1003" s="8" t="str">
        <f t="array" ref="C1003">IFERROR(INDEX(atlas!H:H,MATCH(A1003,atlas!C:C,0)),"")</f>
        <v/>
      </c>
      <c r="D1003" s="8" t="str">
        <f t="array" ref="D1003">IFERROR(INDEX(atlas!D:D,MATCH(A1003,atlas!C:C,0)),"")</f>
        <v/>
      </c>
      <c r="E1003" s="8" t="str">
        <f t="array" ref="E1003">IFERROR(INDEX(atlas!F:F,MATCH(A1003,atlas!C:C,0)),"")</f>
        <v/>
      </c>
      <c r="F1003" s="9"/>
      <c r="G1003" s="10"/>
      <c r="H1003" s="11"/>
      <c r="I1003" s="12" t="str">
        <f t="array" ref="I1003">IFERROR(INDEX(atlas!B:B,MATCH(A1003,atlas!C:C,0)),"")</f>
        <v/>
      </c>
      <c r="J1003" s="8" t="str">
        <f>IFERROR(VLOOKUP(F1003,tecnica!A:B,2,0),"")</f>
        <v/>
      </c>
      <c r="K1003" s="8" t="str">
        <f>IFERROR(VLOOKUP(J1003,tecnica!B:C,2,0),"")</f>
        <v/>
      </c>
      <c r="L1003" s="13"/>
      <c r="M1003" s="14" t="str">
        <f>IFERROR(VLOOKUP(I1003,material!A:D,4,0),"")</f>
        <v/>
      </c>
      <c r="N1003" s="14" t="str">
        <f t="shared" si="1"/>
        <v/>
      </c>
      <c r="O1003" s="15" t="str">
        <f>IFERROR(VLOOKUP(I1003,material!A:D,2,0),"")</f>
        <v/>
      </c>
    </row>
    <row r="1004">
      <c r="A1004" s="6"/>
      <c r="B1004" s="7"/>
      <c r="C1004" s="8" t="str">
        <f t="array" ref="C1004">IFERROR(INDEX(atlas!H:H,MATCH(A1004,atlas!C:C,0)),"")</f>
        <v/>
      </c>
      <c r="D1004" s="8" t="str">
        <f t="array" ref="D1004">IFERROR(INDEX(atlas!D:D,MATCH(A1004,atlas!C:C,0)),"")</f>
        <v/>
      </c>
      <c r="E1004" s="8" t="str">
        <f t="array" ref="E1004">IFERROR(INDEX(atlas!F:F,MATCH(A1004,atlas!C:C,0)),"")</f>
        <v/>
      </c>
      <c r="F1004" s="9"/>
      <c r="G1004" s="10"/>
      <c r="H1004" s="11"/>
      <c r="I1004" s="12" t="str">
        <f t="array" ref="I1004">IFERROR(INDEX(atlas!B:B,MATCH(A1004,atlas!C:C,0)),"")</f>
        <v/>
      </c>
      <c r="J1004" s="8" t="str">
        <f>IFERROR(VLOOKUP(F1004,tecnica!A:B,2,0),"")</f>
        <v/>
      </c>
      <c r="K1004" s="8" t="str">
        <f>IFERROR(VLOOKUP(J1004,tecnica!B:C,2,0),"")</f>
        <v/>
      </c>
      <c r="L1004" s="13"/>
      <c r="M1004" s="14" t="str">
        <f>IFERROR(VLOOKUP(I1004,material!A:D,4,0),"")</f>
        <v/>
      </c>
      <c r="N1004" s="14" t="str">
        <f t="shared" si="1"/>
        <v/>
      </c>
      <c r="O1004" s="15" t="str">
        <f>IFERROR(VLOOKUP(I1004,material!A:D,2,0),"")</f>
        <v/>
      </c>
    </row>
    <row r="1005">
      <c r="A1005" s="6"/>
      <c r="B1005" s="7"/>
      <c r="C1005" s="8" t="str">
        <f t="array" ref="C1005">IFERROR(INDEX(atlas!H:H,MATCH(A1005,atlas!C:C,0)),"")</f>
        <v/>
      </c>
      <c r="D1005" s="8" t="str">
        <f t="array" ref="D1005">IFERROR(INDEX(atlas!D:D,MATCH(A1005,atlas!C:C,0)),"")</f>
        <v/>
      </c>
      <c r="E1005" s="8" t="str">
        <f t="array" ref="E1005">IFERROR(INDEX(atlas!F:F,MATCH(A1005,atlas!C:C,0)),"")</f>
        <v/>
      </c>
      <c r="F1005" s="9"/>
      <c r="G1005" s="10"/>
      <c r="H1005" s="11"/>
      <c r="I1005" s="12" t="str">
        <f t="array" ref="I1005">IFERROR(INDEX(atlas!B:B,MATCH(A1005,atlas!C:C,0)),"")</f>
        <v/>
      </c>
      <c r="J1005" s="8" t="str">
        <f>IFERROR(VLOOKUP(F1005,tecnica!A:B,2,0),"")</f>
        <v/>
      </c>
      <c r="K1005" s="8" t="str">
        <f>IFERROR(VLOOKUP(J1005,tecnica!B:C,2,0),"")</f>
        <v/>
      </c>
      <c r="L1005" s="13"/>
      <c r="M1005" s="14" t="str">
        <f>IFERROR(VLOOKUP(I1005,material!A:D,4,0),"")</f>
        <v/>
      </c>
      <c r="N1005" s="14" t="str">
        <f t="shared" si="1"/>
        <v/>
      </c>
      <c r="O1005" s="15" t="str">
        <f>IFERROR(VLOOKUP(I1005,material!A:D,2,0),"")</f>
        <v/>
      </c>
    </row>
    <row r="1006">
      <c r="A1006" s="6"/>
      <c r="B1006" s="7"/>
      <c r="C1006" s="8" t="str">
        <f t="array" ref="C1006">IFERROR(INDEX(atlas!H:H,MATCH(A1006,atlas!C:C,0)),"")</f>
        <v/>
      </c>
      <c r="D1006" s="8" t="str">
        <f t="array" ref="D1006">IFERROR(INDEX(atlas!D:D,MATCH(A1006,atlas!C:C,0)),"")</f>
        <v/>
      </c>
      <c r="E1006" s="8" t="str">
        <f t="array" ref="E1006">IFERROR(INDEX(atlas!F:F,MATCH(A1006,atlas!C:C,0)),"")</f>
        <v/>
      </c>
      <c r="F1006" s="9"/>
      <c r="G1006" s="10"/>
      <c r="H1006" s="11"/>
      <c r="I1006" s="12" t="str">
        <f t="array" ref="I1006">IFERROR(INDEX(atlas!B:B,MATCH(A1006,atlas!C:C,0)),"")</f>
        <v/>
      </c>
      <c r="J1006" s="8" t="str">
        <f>IFERROR(VLOOKUP(F1006,tecnica!A:B,2,0),"")</f>
        <v/>
      </c>
      <c r="K1006" s="8" t="str">
        <f>IFERROR(VLOOKUP(J1006,tecnica!B:C,2,0),"")</f>
        <v/>
      </c>
      <c r="L1006" s="13"/>
      <c r="M1006" s="14" t="str">
        <f>IFERROR(VLOOKUP(I1006,material!A:D,4,0),"")</f>
        <v/>
      </c>
      <c r="N1006" s="14" t="str">
        <f t="shared" si="1"/>
        <v/>
      </c>
      <c r="O1006" s="15" t="str">
        <f>IFERROR(VLOOKUP(I1006,material!A:D,2,0),"")</f>
        <v/>
      </c>
    </row>
    <row r="1007">
      <c r="A1007" s="6"/>
      <c r="B1007" s="7"/>
      <c r="C1007" s="8" t="str">
        <f t="array" ref="C1007">IFERROR(INDEX(atlas!H:H,MATCH(A1007,atlas!C:C,0)),"")</f>
        <v/>
      </c>
      <c r="D1007" s="8" t="str">
        <f t="array" ref="D1007">IFERROR(INDEX(atlas!D:D,MATCH(A1007,atlas!C:C,0)),"")</f>
        <v/>
      </c>
      <c r="E1007" s="8" t="str">
        <f t="array" ref="E1007">IFERROR(INDEX(atlas!F:F,MATCH(A1007,atlas!C:C,0)),"")</f>
        <v/>
      </c>
      <c r="F1007" s="9"/>
      <c r="G1007" s="10"/>
      <c r="H1007" s="11"/>
      <c r="I1007" s="12" t="str">
        <f t="array" ref="I1007">IFERROR(INDEX(atlas!B:B,MATCH(A1007,atlas!C:C,0)),"")</f>
        <v/>
      </c>
      <c r="J1007" s="8" t="str">
        <f>IFERROR(VLOOKUP(F1007,tecnica!A:B,2,0),"")</f>
        <v/>
      </c>
      <c r="K1007" s="8" t="str">
        <f>IFERROR(VLOOKUP(J1007,tecnica!B:C,2,0),"")</f>
        <v/>
      </c>
      <c r="L1007" s="13"/>
      <c r="M1007" s="14" t="str">
        <f>IFERROR(VLOOKUP(I1007,material!A:D,4,0),"")</f>
        <v/>
      </c>
      <c r="N1007" s="14" t="str">
        <f t="shared" si="1"/>
        <v/>
      </c>
      <c r="O1007" s="15" t="str">
        <f>IFERROR(VLOOKUP(I1007,material!A:D,2,0),"")</f>
        <v/>
      </c>
    </row>
    <row r="1008">
      <c r="A1008" s="6"/>
      <c r="B1008" s="7"/>
      <c r="C1008" s="8" t="str">
        <f t="array" ref="C1008">IFERROR(INDEX(atlas!H:H,MATCH(A1008,atlas!C:C,0)),"")</f>
        <v/>
      </c>
      <c r="D1008" s="8" t="str">
        <f t="array" ref="D1008">IFERROR(INDEX(atlas!D:D,MATCH(A1008,atlas!C:C,0)),"")</f>
        <v/>
      </c>
      <c r="E1008" s="8" t="str">
        <f t="array" ref="E1008">IFERROR(INDEX(atlas!F:F,MATCH(A1008,atlas!C:C,0)),"")</f>
        <v/>
      </c>
      <c r="F1008" s="9"/>
      <c r="G1008" s="10"/>
      <c r="H1008" s="11"/>
      <c r="I1008" s="12" t="str">
        <f t="array" ref="I1008">IFERROR(INDEX(atlas!B:B,MATCH(A1008,atlas!C:C,0)),"")</f>
        <v/>
      </c>
      <c r="J1008" s="8" t="str">
        <f>IFERROR(VLOOKUP(F1008,tecnica!A:B,2,0),"")</f>
        <v/>
      </c>
      <c r="K1008" s="8" t="str">
        <f>IFERROR(VLOOKUP(J1008,tecnica!B:C,2,0),"")</f>
        <v/>
      </c>
      <c r="L1008" s="13"/>
      <c r="M1008" s="14" t="str">
        <f>IFERROR(VLOOKUP(I1008,material!A:D,4,0),"")</f>
        <v/>
      </c>
      <c r="N1008" s="14" t="str">
        <f t="shared" si="1"/>
        <v/>
      </c>
      <c r="O1008" s="15" t="str">
        <f>IFERROR(VLOOKUP(I1008,material!A:D,2,0),"")</f>
        <v/>
      </c>
    </row>
    <row r="1009">
      <c r="A1009" s="6"/>
      <c r="B1009" s="7"/>
      <c r="C1009" s="8" t="str">
        <f t="array" ref="C1009">IFERROR(INDEX(atlas!H:H,MATCH(A1009,atlas!C:C,0)),"")</f>
        <v/>
      </c>
      <c r="D1009" s="8" t="str">
        <f t="array" ref="D1009">IFERROR(INDEX(atlas!D:D,MATCH(A1009,atlas!C:C,0)),"")</f>
        <v/>
      </c>
      <c r="E1009" s="8" t="str">
        <f t="array" ref="E1009">IFERROR(INDEX(atlas!F:F,MATCH(A1009,atlas!C:C,0)),"")</f>
        <v/>
      </c>
      <c r="F1009" s="9"/>
      <c r="G1009" s="10"/>
      <c r="H1009" s="11"/>
      <c r="I1009" s="12" t="str">
        <f t="array" ref="I1009">IFERROR(INDEX(atlas!B:B,MATCH(A1009,atlas!C:C,0)),"")</f>
        <v/>
      </c>
      <c r="J1009" s="8" t="str">
        <f>IFERROR(VLOOKUP(F1009,tecnica!A:B,2,0),"")</f>
        <v/>
      </c>
      <c r="K1009" s="8" t="str">
        <f>IFERROR(VLOOKUP(J1009,tecnica!B:C,2,0),"")</f>
        <v/>
      </c>
      <c r="L1009" s="13"/>
      <c r="M1009" s="14" t="str">
        <f>IFERROR(VLOOKUP(I1009,material!A:D,4,0),"")</f>
        <v/>
      </c>
      <c r="N1009" s="14" t="str">
        <f t="shared" si="1"/>
        <v/>
      </c>
      <c r="O1009" s="15" t="str">
        <f>IFERROR(VLOOKUP(I1009,material!A:D,2,0),"")</f>
        <v/>
      </c>
    </row>
    <row r="1010">
      <c r="A1010" s="6"/>
      <c r="B1010" s="7"/>
      <c r="C1010" s="8" t="str">
        <f t="array" ref="C1010">IFERROR(INDEX(atlas!H:H,MATCH(A1010,atlas!C:C,0)),"")</f>
        <v/>
      </c>
      <c r="D1010" s="8" t="str">
        <f t="array" ref="D1010">IFERROR(INDEX(atlas!D:D,MATCH(A1010,atlas!C:C,0)),"")</f>
        <v/>
      </c>
      <c r="E1010" s="8" t="str">
        <f t="array" ref="E1010">IFERROR(INDEX(atlas!F:F,MATCH(A1010,atlas!C:C,0)),"")</f>
        <v/>
      </c>
      <c r="F1010" s="9"/>
      <c r="G1010" s="10"/>
      <c r="H1010" s="11"/>
      <c r="I1010" s="12" t="str">
        <f t="array" ref="I1010">IFERROR(INDEX(atlas!B:B,MATCH(A1010,atlas!C:C,0)),"")</f>
        <v/>
      </c>
      <c r="J1010" s="8" t="str">
        <f>IFERROR(VLOOKUP(F1010,tecnica!A:B,2,0),"")</f>
        <v/>
      </c>
      <c r="K1010" s="8" t="str">
        <f>IFERROR(VLOOKUP(J1010,tecnica!B:C,2,0),"")</f>
        <v/>
      </c>
      <c r="L1010" s="13"/>
      <c r="M1010" s="14" t="str">
        <f>IFERROR(VLOOKUP(I1010,material!A:D,4,0),"")</f>
        <v/>
      </c>
      <c r="N1010" s="14" t="str">
        <f t="shared" si="1"/>
        <v/>
      </c>
      <c r="O1010" s="15" t="str">
        <f>IFERROR(VLOOKUP(I1010,material!A:D,2,0),"")</f>
        <v/>
      </c>
    </row>
    <row r="1011">
      <c r="A1011" s="6"/>
      <c r="B1011" s="7"/>
      <c r="C1011" s="8" t="str">
        <f t="array" ref="C1011">IFERROR(INDEX(atlas!H:H,MATCH(A1011,atlas!C:C,0)),"")</f>
        <v/>
      </c>
      <c r="D1011" s="8" t="str">
        <f t="array" ref="D1011">IFERROR(INDEX(atlas!D:D,MATCH(A1011,atlas!C:C,0)),"")</f>
        <v/>
      </c>
      <c r="E1011" s="8" t="str">
        <f t="array" ref="E1011">IFERROR(INDEX(atlas!F:F,MATCH(A1011,atlas!C:C,0)),"")</f>
        <v/>
      </c>
      <c r="F1011" s="9"/>
      <c r="G1011" s="10"/>
      <c r="H1011" s="11"/>
      <c r="I1011" s="12" t="str">
        <f t="array" ref="I1011">IFERROR(INDEX(atlas!B:B,MATCH(A1011,atlas!C:C,0)),"")</f>
        <v/>
      </c>
      <c r="J1011" s="8" t="str">
        <f>IFERROR(VLOOKUP(F1011,tecnica!A:B,2,0),"")</f>
        <v/>
      </c>
      <c r="K1011" s="8" t="str">
        <f>IFERROR(VLOOKUP(J1011,tecnica!B:C,2,0),"")</f>
        <v/>
      </c>
      <c r="L1011" s="13"/>
      <c r="M1011" s="14" t="str">
        <f>IFERROR(VLOOKUP(I1011,material!A:D,4,0),"")</f>
        <v/>
      </c>
      <c r="N1011" s="14" t="str">
        <f t="shared" si="1"/>
        <v/>
      </c>
      <c r="O1011" s="15" t="str">
        <f>IFERROR(VLOOKUP(I1011,material!A:D,2,0),"")</f>
        <v/>
      </c>
    </row>
    <row r="1012">
      <c r="A1012" s="6"/>
      <c r="B1012" s="7"/>
      <c r="C1012" s="8" t="str">
        <f t="array" ref="C1012">IFERROR(INDEX(atlas!H:H,MATCH(A1012,atlas!C:C,0)),"")</f>
        <v/>
      </c>
      <c r="D1012" s="8" t="str">
        <f t="array" ref="D1012">IFERROR(INDEX(atlas!D:D,MATCH(A1012,atlas!C:C,0)),"")</f>
        <v/>
      </c>
      <c r="E1012" s="8" t="str">
        <f t="array" ref="E1012">IFERROR(INDEX(atlas!F:F,MATCH(A1012,atlas!C:C,0)),"")</f>
        <v/>
      </c>
      <c r="F1012" s="9"/>
      <c r="G1012" s="10"/>
      <c r="H1012" s="11"/>
      <c r="I1012" s="12" t="str">
        <f t="array" ref="I1012">IFERROR(INDEX(atlas!B:B,MATCH(A1012,atlas!C:C,0)),"")</f>
        <v/>
      </c>
      <c r="J1012" s="8" t="str">
        <f>IFERROR(VLOOKUP(F1012,tecnica!A:B,2,0),"")</f>
        <v/>
      </c>
      <c r="K1012" s="8" t="str">
        <f>IFERROR(VLOOKUP(J1012,tecnica!B:C,2,0),"")</f>
        <v/>
      </c>
      <c r="L1012" s="13"/>
      <c r="M1012" s="14" t="str">
        <f>IFERROR(VLOOKUP(I1012,material!A:D,4,0),"")</f>
        <v/>
      </c>
      <c r="N1012" s="14" t="str">
        <f t="shared" si="1"/>
        <v/>
      </c>
      <c r="O1012" s="15" t="str">
        <f>IFERROR(VLOOKUP(I1012,material!A:D,2,0),"")</f>
        <v/>
      </c>
    </row>
    <row r="1013">
      <c r="A1013" s="6"/>
      <c r="B1013" s="7"/>
      <c r="C1013" s="8" t="str">
        <f t="array" ref="C1013">IFERROR(INDEX(atlas!H:H,MATCH(A1013,atlas!C:C,0)),"")</f>
        <v/>
      </c>
      <c r="D1013" s="8" t="str">
        <f t="array" ref="D1013">IFERROR(INDEX(atlas!D:D,MATCH(A1013,atlas!C:C,0)),"")</f>
        <v/>
      </c>
      <c r="E1013" s="8" t="str">
        <f t="array" ref="E1013">IFERROR(INDEX(atlas!F:F,MATCH(A1013,atlas!C:C,0)),"")</f>
        <v/>
      </c>
      <c r="F1013" s="9"/>
      <c r="G1013" s="10"/>
      <c r="H1013" s="11"/>
      <c r="I1013" s="12" t="str">
        <f t="array" ref="I1013">IFERROR(INDEX(atlas!B:B,MATCH(A1013,atlas!C:C,0)),"")</f>
        <v/>
      </c>
      <c r="J1013" s="8" t="str">
        <f>IFERROR(VLOOKUP(F1013,tecnica!A:B,2,0),"")</f>
        <v/>
      </c>
      <c r="K1013" s="8" t="str">
        <f>IFERROR(VLOOKUP(J1013,tecnica!B:C,2,0),"")</f>
        <v/>
      </c>
      <c r="L1013" s="13"/>
      <c r="M1013" s="14" t="str">
        <f>IFERROR(VLOOKUP(I1013,material!A:D,4,0),"")</f>
        <v/>
      </c>
      <c r="N1013" s="14" t="str">
        <f t="shared" si="1"/>
        <v/>
      </c>
      <c r="O1013" s="15" t="str">
        <f>IFERROR(VLOOKUP(I1013,material!A:D,2,0),"")</f>
        <v/>
      </c>
    </row>
    <row r="1014">
      <c r="A1014" s="6"/>
      <c r="B1014" s="7"/>
      <c r="C1014" s="8" t="str">
        <f t="array" ref="C1014">IFERROR(INDEX(atlas!H:H,MATCH(A1014,atlas!C:C,0)),"")</f>
        <v/>
      </c>
      <c r="D1014" s="8" t="str">
        <f t="array" ref="D1014">IFERROR(INDEX(atlas!D:D,MATCH(A1014,atlas!C:C,0)),"")</f>
        <v/>
      </c>
      <c r="E1014" s="8" t="str">
        <f t="array" ref="E1014">IFERROR(INDEX(atlas!F:F,MATCH(A1014,atlas!C:C,0)),"")</f>
        <v/>
      </c>
      <c r="F1014" s="9"/>
      <c r="G1014" s="10"/>
      <c r="H1014" s="11"/>
      <c r="I1014" s="12" t="str">
        <f t="array" ref="I1014">IFERROR(INDEX(atlas!B:B,MATCH(A1014,atlas!C:C,0)),"")</f>
        <v/>
      </c>
      <c r="J1014" s="8" t="str">
        <f>IFERROR(VLOOKUP(F1014,tecnica!A:B,2,0),"")</f>
        <v/>
      </c>
      <c r="K1014" s="8" t="str">
        <f>IFERROR(VLOOKUP(J1014,tecnica!B:C,2,0),"")</f>
        <v/>
      </c>
      <c r="L1014" s="13"/>
      <c r="M1014" s="14" t="str">
        <f>IFERROR(VLOOKUP(I1014,material!A:D,4,0),"")</f>
        <v/>
      </c>
      <c r="N1014" s="14" t="str">
        <f t="shared" si="1"/>
        <v/>
      </c>
      <c r="O1014" s="15" t="str">
        <f>IFERROR(VLOOKUP(I1014,material!A:D,2,0),"")</f>
        <v/>
      </c>
    </row>
    <row r="1015">
      <c r="A1015" s="6"/>
      <c r="B1015" s="7"/>
      <c r="C1015" s="8" t="str">
        <f t="array" ref="C1015">IFERROR(INDEX(atlas!H:H,MATCH(A1015,atlas!C:C,0)),"")</f>
        <v/>
      </c>
      <c r="D1015" s="8" t="str">
        <f t="array" ref="D1015">IFERROR(INDEX(atlas!D:D,MATCH(A1015,atlas!C:C,0)),"")</f>
        <v/>
      </c>
      <c r="E1015" s="8" t="str">
        <f t="array" ref="E1015">IFERROR(INDEX(atlas!F:F,MATCH(A1015,atlas!C:C,0)),"")</f>
        <v/>
      </c>
      <c r="F1015" s="9"/>
      <c r="G1015" s="10"/>
      <c r="H1015" s="11"/>
      <c r="I1015" s="12" t="str">
        <f t="array" ref="I1015">IFERROR(INDEX(atlas!B:B,MATCH(A1015,atlas!C:C,0)),"")</f>
        <v/>
      </c>
      <c r="J1015" s="8" t="str">
        <f>IFERROR(VLOOKUP(F1015,tecnica!A:B,2,0),"")</f>
        <v/>
      </c>
      <c r="K1015" s="8" t="str">
        <f>IFERROR(VLOOKUP(J1015,tecnica!B:C,2,0),"")</f>
        <v/>
      </c>
      <c r="L1015" s="13"/>
      <c r="M1015" s="14" t="str">
        <f>IFERROR(VLOOKUP(I1015,material!A:D,4,0),"")</f>
        <v/>
      </c>
      <c r="N1015" s="14" t="str">
        <f t="shared" si="1"/>
        <v/>
      </c>
      <c r="O1015" s="15" t="str">
        <f>IFERROR(VLOOKUP(I1015,material!A:D,2,0),"")</f>
        <v/>
      </c>
    </row>
    <row r="1016">
      <c r="A1016" s="6"/>
      <c r="B1016" s="7"/>
      <c r="C1016" s="8" t="str">
        <f t="array" ref="C1016">IFERROR(INDEX(atlas!H:H,MATCH(A1016,atlas!C:C,0)),"")</f>
        <v/>
      </c>
      <c r="D1016" s="8" t="str">
        <f t="array" ref="D1016">IFERROR(INDEX(atlas!D:D,MATCH(A1016,atlas!C:C,0)),"")</f>
        <v/>
      </c>
      <c r="E1016" s="8" t="str">
        <f t="array" ref="E1016">IFERROR(INDEX(atlas!F:F,MATCH(A1016,atlas!C:C,0)),"")</f>
        <v/>
      </c>
      <c r="F1016" s="9"/>
      <c r="G1016" s="10"/>
      <c r="H1016" s="11"/>
      <c r="I1016" s="12" t="str">
        <f t="array" ref="I1016">IFERROR(INDEX(atlas!B:B,MATCH(A1016,atlas!C:C,0)),"")</f>
        <v/>
      </c>
      <c r="J1016" s="8" t="str">
        <f>IFERROR(VLOOKUP(F1016,tecnica!A:B,2,0),"")</f>
        <v/>
      </c>
      <c r="K1016" s="8" t="str">
        <f>IFERROR(VLOOKUP(J1016,tecnica!B:C,2,0),"")</f>
        <v/>
      </c>
      <c r="L1016" s="13"/>
      <c r="M1016" s="14" t="str">
        <f>IFERROR(VLOOKUP(I1016,material!A:D,4,0),"")</f>
        <v/>
      </c>
      <c r="N1016" s="14" t="str">
        <f t="shared" si="1"/>
        <v/>
      </c>
      <c r="O1016" s="15" t="str">
        <f>IFERROR(VLOOKUP(I1016,material!A:D,2,0),"")</f>
        <v/>
      </c>
    </row>
    <row r="1017">
      <c r="A1017" s="6"/>
      <c r="B1017" s="7"/>
      <c r="C1017" s="8" t="str">
        <f t="array" ref="C1017">IFERROR(INDEX(atlas!H:H,MATCH(A1017,atlas!C:C,0)),"")</f>
        <v/>
      </c>
      <c r="D1017" s="8" t="str">
        <f t="array" ref="D1017">IFERROR(INDEX(atlas!D:D,MATCH(A1017,atlas!C:C,0)),"")</f>
        <v/>
      </c>
      <c r="E1017" s="8" t="str">
        <f t="array" ref="E1017">IFERROR(INDEX(atlas!F:F,MATCH(A1017,atlas!C:C,0)),"")</f>
        <v/>
      </c>
      <c r="F1017" s="9"/>
      <c r="G1017" s="10"/>
      <c r="H1017" s="11"/>
      <c r="I1017" s="12" t="str">
        <f t="array" ref="I1017">IFERROR(INDEX(atlas!B:B,MATCH(A1017,atlas!C:C,0)),"")</f>
        <v/>
      </c>
      <c r="J1017" s="8" t="str">
        <f>IFERROR(VLOOKUP(F1017,tecnica!A:B,2,0),"")</f>
        <v/>
      </c>
      <c r="K1017" s="8" t="str">
        <f>IFERROR(VLOOKUP(J1017,tecnica!B:C,2,0),"")</f>
        <v/>
      </c>
      <c r="L1017" s="13"/>
      <c r="M1017" s="14" t="str">
        <f>IFERROR(VLOOKUP(I1017,material!A:D,4,0),"")</f>
        <v/>
      </c>
      <c r="N1017" s="14" t="str">
        <f t="shared" si="1"/>
        <v/>
      </c>
      <c r="O1017" s="15" t="str">
        <f>IFERROR(VLOOKUP(I1017,material!A:D,2,0),"")</f>
        <v/>
      </c>
    </row>
    <row r="1018">
      <c r="A1018" s="6"/>
      <c r="B1018" s="7"/>
      <c r="C1018" s="8" t="str">
        <f t="array" ref="C1018">IFERROR(INDEX(atlas!H:H,MATCH(A1018,atlas!C:C,0)),"")</f>
        <v/>
      </c>
      <c r="D1018" s="8" t="str">
        <f t="array" ref="D1018">IFERROR(INDEX(atlas!D:D,MATCH(A1018,atlas!C:C,0)),"")</f>
        <v/>
      </c>
      <c r="E1018" s="8" t="str">
        <f t="array" ref="E1018">IFERROR(INDEX(atlas!F:F,MATCH(A1018,atlas!C:C,0)),"")</f>
        <v/>
      </c>
      <c r="F1018" s="9"/>
      <c r="G1018" s="10"/>
      <c r="H1018" s="11"/>
      <c r="I1018" s="12" t="str">
        <f t="array" ref="I1018">IFERROR(INDEX(atlas!B:B,MATCH(A1018,atlas!C:C,0)),"")</f>
        <v/>
      </c>
      <c r="J1018" s="8" t="str">
        <f>IFERROR(VLOOKUP(F1018,tecnica!A:B,2,0),"")</f>
        <v/>
      </c>
      <c r="K1018" s="8" t="str">
        <f>IFERROR(VLOOKUP(J1018,tecnica!B:C,2,0),"")</f>
        <v/>
      </c>
      <c r="L1018" s="13"/>
      <c r="M1018" s="14" t="str">
        <f>IFERROR(VLOOKUP(I1018,material!A:D,4,0),"")</f>
        <v/>
      </c>
      <c r="N1018" s="14" t="str">
        <f t="shared" si="1"/>
        <v/>
      </c>
      <c r="O1018" s="15" t="str">
        <f>IFERROR(VLOOKUP(I1018,material!A:D,2,0),"")</f>
        <v/>
      </c>
    </row>
    <row r="1019">
      <c r="A1019" s="6"/>
      <c r="B1019" s="7"/>
      <c r="C1019" s="8" t="str">
        <f t="array" ref="C1019">IFERROR(INDEX(atlas!H:H,MATCH(A1019,atlas!C:C,0)),"")</f>
        <v/>
      </c>
      <c r="D1019" s="8" t="str">
        <f t="array" ref="D1019">IFERROR(INDEX(atlas!D:D,MATCH(A1019,atlas!C:C,0)),"")</f>
        <v/>
      </c>
      <c r="E1019" s="8" t="str">
        <f t="array" ref="E1019">IFERROR(INDEX(atlas!F:F,MATCH(A1019,atlas!C:C,0)),"")</f>
        <v/>
      </c>
      <c r="F1019" s="9"/>
      <c r="G1019" s="10"/>
      <c r="H1019" s="11"/>
      <c r="I1019" s="12" t="str">
        <f t="array" ref="I1019">IFERROR(INDEX(atlas!B:B,MATCH(A1019,atlas!C:C,0)),"")</f>
        <v/>
      </c>
      <c r="J1019" s="8" t="str">
        <f>IFERROR(VLOOKUP(F1019,tecnica!A:B,2,0),"")</f>
        <v/>
      </c>
      <c r="K1019" s="8" t="str">
        <f>IFERROR(VLOOKUP(J1019,tecnica!B:C,2,0),"")</f>
        <v/>
      </c>
      <c r="L1019" s="13"/>
      <c r="M1019" s="14" t="str">
        <f>IFERROR(VLOOKUP(I1019,material!A:D,4,0),"")</f>
        <v/>
      </c>
      <c r="N1019" s="14" t="str">
        <f t="shared" si="1"/>
        <v/>
      </c>
      <c r="O1019" s="15" t="str">
        <f>IFERROR(VLOOKUP(I1019,material!A:D,2,0),"")</f>
        <v/>
      </c>
    </row>
    <row r="1020">
      <c r="A1020" s="6"/>
      <c r="B1020" s="7"/>
      <c r="C1020" s="8" t="str">
        <f t="array" ref="C1020">IFERROR(INDEX(atlas!H:H,MATCH(A1020,atlas!C:C,0)),"")</f>
        <v/>
      </c>
      <c r="D1020" s="8" t="str">
        <f t="array" ref="D1020">IFERROR(INDEX(atlas!D:D,MATCH(A1020,atlas!C:C,0)),"")</f>
        <v/>
      </c>
      <c r="E1020" s="8" t="str">
        <f t="array" ref="E1020">IFERROR(INDEX(atlas!F:F,MATCH(A1020,atlas!C:C,0)),"")</f>
        <v/>
      </c>
      <c r="F1020" s="9"/>
      <c r="G1020" s="10"/>
      <c r="H1020" s="11"/>
      <c r="I1020" s="12" t="str">
        <f t="array" ref="I1020">IFERROR(INDEX(atlas!B:B,MATCH(A1020,atlas!C:C,0)),"")</f>
        <v/>
      </c>
      <c r="J1020" s="8" t="str">
        <f>IFERROR(VLOOKUP(F1020,tecnica!A:B,2,0),"")</f>
        <v/>
      </c>
      <c r="K1020" s="8" t="str">
        <f>IFERROR(VLOOKUP(J1020,tecnica!B:C,2,0),"")</f>
        <v/>
      </c>
      <c r="L1020" s="13"/>
      <c r="M1020" s="14" t="str">
        <f>IFERROR(VLOOKUP(I1020,material!A:D,4,0),"")</f>
        <v/>
      </c>
      <c r="N1020" s="14" t="str">
        <f t="shared" si="1"/>
        <v/>
      </c>
      <c r="O1020" s="15" t="str">
        <f>IFERROR(VLOOKUP(I1020,material!A:D,2,0),"")</f>
        <v/>
      </c>
    </row>
    <row r="1021">
      <c r="A1021" s="6"/>
      <c r="B1021" s="7"/>
      <c r="C1021" s="8" t="str">
        <f t="array" ref="C1021">IFERROR(INDEX(atlas!H:H,MATCH(A1021,atlas!C:C,0)),"")</f>
        <v/>
      </c>
      <c r="D1021" s="8" t="str">
        <f t="array" ref="D1021">IFERROR(INDEX(atlas!D:D,MATCH(A1021,atlas!C:C,0)),"")</f>
        <v/>
      </c>
      <c r="E1021" s="8" t="str">
        <f t="array" ref="E1021">IFERROR(INDEX(atlas!F:F,MATCH(A1021,atlas!C:C,0)),"")</f>
        <v/>
      </c>
      <c r="F1021" s="9"/>
      <c r="G1021" s="10"/>
      <c r="H1021" s="11"/>
      <c r="I1021" s="12" t="str">
        <f t="array" ref="I1021">IFERROR(INDEX(atlas!B:B,MATCH(A1021,atlas!C:C,0)),"")</f>
        <v/>
      </c>
      <c r="J1021" s="8" t="str">
        <f>IFERROR(VLOOKUP(F1021,tecnica!A:B,2,0),"")</f>
        <v/>
      </c>
      <c r="K1021" s="8" t="str">
        <f>IFERROR(VLOOKUP(J1021,tecnica!B:C,2,0),"")</f>
        <v/>
      </c>
      <c r="L1021" s="13"/>
      <c r="M1021" s="14" t="str">
        <f>IFERROR(VLOOKUP(I1021,material!A:D,4,0),"")</f>
        <v/>
      </c>
      <c r="N1021" s="14" t="str">
        <f t="shared" si="1"/>
        <v/>
      </c>
      <c r="O1021" s="15" t="str">
        <f>IFERROR(VLOOKUP(I1021,material!A:D,2,0),"")</f>
        <v/>
      </c>
    </row>
    <row r="1022">
      <c r="A1022" s="6"/>
      <c r="B1022" s="7"/>
      <c r="C1022" s="8" t="str">
        <f t="array" ref="C1022">IFERROR(INDEX(atlas!H:H,MATCH(A1022,atlas!C:C,0)),"")</f>
        <v/>
      </c>
      <c r="D1022" s="8" t="str">
        <f t="array" ref="D1022">IFERROR(INDEX(atlas!D:D,MATCH(A1022,atlas!C:C,0)),"")</f>
        <v/>
      </c>
      <c r="E1022" s="8" t="str">
        <f t="array" ref="E1022">IFERROR(INDEX(atlas!F:F,MATCH(A1022,atlas!C:C,0)),"")</f>
        <v/>
      </c>
      <c r="F1022" s="9"/>
      <c r="G1022" s="10"/>
      <c r="H1022" s="11"/>
      <c r="I1022" s="12" t="str">
        <f t="array" ref="I1022">IFERROR(INDEX(atlas!B:B,MATCH(A1022,atlas!C:C,0)),"")</f>
        <v/>
      </c>
      <c r="J1022" s="8" t="str">
        <f>IFERROR(VLOOKUP(F1022,tecnica!A:B,2,0),"")</f>
        <v/>
      </c>
      <c r="K1022" s="8" t="str">
        <f>IFERROR(VLOOKUP(J1022,tecnica!B:C,2,0),"")</f>
        <v/>
      </c>
      <c r="L1022" s="13"/>
      <c r="M1022" s="14" t="str">
        <f>IFERROR(VLOOKUP(I1022,material!A:D,4,0),"")</f>
        <v/>
      </c>
      <c r="N1022" s="14" t="str">
        <f t="shared" si="1"/>
        <v/>
      </c>
      <c r="O1022" s="15" t="str">
        <f>IFERROR(VLOOKUP(I1022,material!A:D,2,0),"")</f>
        <v/>
      </c>
    </row>
    <row r="1023">
      <c r="A1023" s="6"/>
      <c r="B1023" s="7"/>
      <c r="C1023" s="8" t="str">
        <f t="array" ref="C1023">IFERROR(INDEX(atlas!H:H,MATCH(A1023,atlas!C:C,0)),"")</f>
        <v/>
      </c>
      <c r="D1023" s="8" t="str">
        <f t="array" ref="D1023">IFERROR(INDEX(atlas!D:D,MATCH(A1023,atlas!C:C,0)),"")</f>
        <v/>
      </c>
      <c r="E1023" s="8" t="str">
        <f t="array" ref="E1023">IFERROR(INDEX(atlas!F:F,MATCH(A1023,atlas!C:C,0)),"")</f>
        <v/>
      </c>
      <c r="F1023" s="9"/>
      <c r="G1023" s="10"/>
      <c r="H1023" s="11"/>
      <c r="I1023" s="12" t="str">
        <f t="array" ref="I1023">IFERROR(INDEX(atlas!B:B,MATCH(A1023,atlas!C:C,0)),"")</f>
        <v/>
      </c>
      <c r="J1023" s="8" t="str">
        <f>IFERROR(VLOOKUP(F1023,tecnica!A:B,2,0),"")</f>
        <v/>
      </c>
      <c r="K1023" s="8" t="str">
        <f>IFERROR(VLOOKUP(J1023,tecnica!B:C,2,0),"")</f>
        <v/>
      </c>
      <c r="L1023" s="13"/>
      <c r="M1023" s="14" t="str">
        <f>IFERROR(VLOOKUP(I1023,material!A:D,4,0),"")</f>
        <v/>
      </c>
      <c r="N1023" s="14" t="str">
        <f t="shared" si="1"/>
        <v/>
      </c>
      <c r="O1023" s="15" t="str">
        <f>IFERROR(VLOOKUP(I1023,material!A:D,2,0),"")</f>
        <v/>
      </c>
    </row>
    <row r="1024">
      <c r="A1024" s="6"/>
      <c r="B1024" s="7"/>
      <c r="C1024" s="8" t="str">
        <f t="array" ref="C1024">IFERROR(INDEX(atlas!H:H,MATCH(A1024,atlas!C:C,0)),"")</f>
        <v/>
      </c>
      <c r="D1024" s="8" t="str">
        <f t="array" ref="D1024">IFERROR(INDEX(atlas!D:D,MATCH(A1024,atlas!C:C,0)),"")</f>
        <v/>
      </c>
      <c r="E1024" s="8" t="str">
        <f t="array" ref="E1024">IFERROR(INDEX(atlas!F:F,MATCH(A1024,atlas!C:C,0)),"")</f>
        <v/>
      </c>
      <c r="F1024" s="9"/>
      <c r="G1024" s="10"/>
      <c r="H1024" s="11"/>
      <c r="I1024" s="12" t="str">
        <f t="array" ref="I1024">IFERROR(INDEX(atlas!B:B,MATCH(A1024,atlas!C:C,0)),"")</f>
        <v/>
      </c>
      <c r="J1024" s="8" t="str">
        <f>IFERROR(VLOOKUP(F1024,tecnica!A:B,2,0),"")</f>
        <v/>
      </c>
      <c r="K1024" s="8" t="str">
        <f>IFERROR(VLOOKUP(J1024,tecnica!B:C,2,0),"")</f>
        <v/>
      </c>
      <c r="L1024" s="13"/>
      <c r="M1024" s="14" t="str">
        <f>IFERROR(VLOOKUP(I1024,material!A:D,4,0),"")</f>
        <v/>
      </c>
      <c r="N1024" s="14" t="str">
        <f t="shared" si="1"/>
        <v/>
      </c>
      <c r="O1024" s="15" t="str">
        <f>IFERROR(VLOOKUP(I1024,material!A:D,2,0),"")</f>
        <v/>
      </c>
    </row>
    <row r="1025">
      <c r="A1025" s="6"/>
      <c r="B1025" s="7"/>
      <c r="C1025" s="8" t="str">
        <f t="array" ref="C1025">IFERROR(INDEX(atlas!H:H,MATCH(A1025,atlas!C:C,0)),"")</f>
        <v/>
      </c>
      <c r="D1025" s="8" t="str">
        <f t="array" ref="D1025">IFERROR(INDEX(atlas!D:D,MATCH(A1025,atlas!C:C,0)),"")</f>
        <v/>
      </c>
      <c r="E1025" s="8" t="str">
        <f t="array" ref="E1025">IFERROR(INDEX(atlas!F:F,MATCH(A1025,atlas!C:C,0)),"")</f>
        <v/>
      </c>
      <c r="F1025" s="9"/>
      <c r="G1025" s="10"/>
      <c r="H1025" s="11"/>
      <c r="I1025" s="12" t="str">
        <f t="array" ref="I1025">IFERROR(INDEX(atlas!B:B,MATCH(A1025,atlas!C:C,0)),"")</f>
        <v/>
      </c>
      <c r="J1025" s="8" t="str">
        <f>IFERROR(VLOOKUP(F1025,tecnica!A:B,2,0),"")</f>
        <v/>
      </c>
      <c r="K1025" s="8" t="str">
        <f>IFERROR(VLOOKUP(J1025,tecnica!B:C,2,0),"")</f>
        <v/>
      </c>
      <c r="L1025" s="13"/>
      <c r="M1025" s="14" t="str">
        <f>IFERROR(VLOOKUP(I1025,material!A:D,4,0),"")</f>
        <v/>
      </c>
      <c r="N1025" s="14" t="str">
        <f t="shared" si="1"/>
        <v/>
      </c>
      <c r="O1025" s="15" t="str">
        <f>IFERROR(VLOOKUP(I1025,material!A:D,2,0),"")</f>
        <v/>
      </c>
    </row>
    <row r="1026">
      <c r="A1026" s="6"/>
      <c r="B1026" s="7"/>
      <c r="C1026" s="8" t="str">
        <f t="array" ref="C1026">IFERROR(INDEX(atlas!H:H,MATCH(A1026,atlas!C:C,0)),"")</f>
        <v/>
      </c>
      <c r="D1026" s="8" t="str">
        <f t="array" ref="D1026">IFERROR(INDEX(atlas!D:D,MATCH(A1026,atlas!C:C,0)),"")</f>
        <v/>
      </c>
      <c r="E1026" s="8" t="str">
        <f t="array" ref="E1026">IFERROR(INDEX(atlas!F:F,MATCH(A1026,atlas!C:C,0)),"")</f>
        <v/>
      </c>
      <c r="F1026" s="9"/>
      <c r="G1026" s="10"/>
      <c r="H1026" s="11"/>
      <c r="I1026" s="12" t="str">
        <f t="array" ref="I1026">IFERROR(INDEX(atlas!B:B,MATCH(A1026,atlas!C:C,0)),"")</f>
        <v/>
      </c>
      <c r="J1026" s="8" t="str">
        <f>IFERROR(VLOOKUP(F1026,tecnica!A:B,2,0),"")</f>
        <v/>
      </c>
      <c r="K1026" s="8" t="str">
        <f>IFERROR(VLOOKUP(J1026,tecnica!B:C,2,0),"")</f>
        <v/>
      </c>
      <c r="L1026" s="13"/>
      <c r="M1026" s="14" t="str">
        <f>IFERROR(VLOOKUP(I1026,material!A:D,4,0),"")</f>
        <v/>
      </c>
      <c r="N1026" s="14" t="str">
        <f t="shared" si="1"/>
        <v/>
      </c>
      <c r="O1026" s="15" t="str">
        <f>IFERROR(VLOOKUP(I1026,material!A:D,2,0),"")</f>
        <v/>
      </c>
    </row>
    <row r="1027">
      <c r="A1027" s="6"/>
      <c r="B1027" s="7"/>
      <c r="C1027" s="8" t="str">
        <f t="array" ref="C1027">IFERROR(INDEX(atlas!H:H,MATCH(A1027,atlas!C:C,0)),"")</f>
        <v/>
      </c>
      <c r="D1027" s="8" t="str">
        <f t="array" ref="D1027">IFERROR(INDEX(atlas!D:D,MATCH(A1027,atlas!C:C,0)),"")</f>
        <v/>
      </c>
      <c r="E1027" s="8" t="str">
        <f t="array" ref="E1027">IFERROR(INDEX(atlas!F:F,MATCH(A1027,atlas!C:C,0)),"")</f>
        <v/>
      </c>
      <c r="F1027" s="9"/>
      <c r="G1027" s="10"/>
      <c r="H1027" s="11"/>
      <c r="I1027" s="12" t="str">
        <f t="array" ref="I1027">IFERROR(INDEX(atlas!B:B,MATCH(A1027,atlas!C:C,0)),"")</f>
        <v/>
      </c>
      <c r="J1027" s="8" t="str">
        <f>IFERROR(VLOOKUP(F1027,tecnica!A:B,2,0),"")</f>
        <v/>
      </c>
      <c r="K1027" s="8" t="str">
        <f>IFERROR(VLOOKUP(J1027,tecnica!B:C,2,0),"")</f>
        <v/>
      </c>
      <c r="L1027" s="13"/>
      <c r="M1027" s="14" t="str">
        <f>IFERROR(VLOOKUP(I1027,material!A:D,4,0),"")</f>
        <v/>
      </c>
      <c r="N1027" s="14" t="str">
        <f t="shared" si="1"/>
        <v/>
      </c>
      <c r="O1027" s="15" t="str">
        <f>IFERROR(VLOOKUP(I1027,material!A:D,2,0),"")</f>
        <v/>
      </c>
    </row>
    <row r="1028">
      <c r="A1028" s="6"/>
      <c r="B1028" s="7"/>
      <c r="C1028" s="8" t="str">
        <f t="array" ref="C1028">IFERROR(INDEX(atlas!H:H,MATCH(A1028,atlas!C:C,0)),"")</f>
        <v/>
      </c>
      <c r="D1028" s="8" t="str">
        <f t="array" ref="D1028">IFERROR(INDEX(atlas!D:D,MATCH(A1028,atlas!C:C,0)),"")</f>
        <v/>
      </c>
      <c r="E1028" s="8" t="str">
        <f t="array" ref="E1028">IFERROR(INDEX(atlas!F:F,MATCH(A1028,atlas!C:C,0)),"")</f>
        <v/>
      </c>
      <c r="F1028" s="9"/>
      <c r="G1028" s="10"/>
      <c r="H1028" s="11"/>
      <c r="I1028" s="12" t="str">
        <f t="array" ref="I1028">IFERROR(INDEX(atlas!B:B,MATCH(A1028,atlas!C:C,0)),"")</f>
        <v/>
      </c>
      <c r="J1028" s="8" t="str">
        <f>IFERROR(VLOOKUP(F1028,tecnica!A:B,2,0),"")</f>
        <v/>
      </c>
      <c r="K1028" s="8" t="str">
        <f>IFERROR(VLOOKUP(J1028,tecnica!B:C,2,0),"")</f>
        <v/>
      </c>
      <c r="L1028" s="13"/>
      <c r="M1028" s="14" t="str">
        <f>IFERROR(VLOOKUP(I1028,material!A:D,4,0),"")</f>
        <v/>
      </c>
      <c r="N1028" s="14" t="str">
        <f t="shared" si="1"/>
        <v/>
      </c>
      <c r="O1028" s="15" t="str">
        <f>IFERROR(VLOOKUP(I1028,material!A:D,2,0),"")</f>
        <v/>
      </c>
    </row>
    <row r="1029">
      <c r="A1029" s="6"/>
      <c r="B1029" s="7"/>
      <c r="C1029" s="8" t="str">
        <f t="array" ref="C1029">IFERROR(INDEX(atlas!H:H,MATCH(A1029,atlas!C:C,0)),"")</f>
        <v/>
      </c>
      <c r="D1029" s="8" t="str">
        <f t="array" ref="D1029">IFERROR(INDEX(atlas!D:D,MATCH(A1029,atlas!C:C,0)),"")</f>
        <v/>
      </c>
      <c r="E1029" s="8" t="str">
        <f t="array" ref="E1029">IFERROR(INDEX(atlas!F:F,MATCH(A1029,atlas!C:C,0)),"")</f>
        <v/>
      </c>
      <c r="F1029" s="9"/>
      <c r="G1029" s="10"/>
      <c r="H1029" s="11"/>
      <c r="I1029" s="12" t="str">
        <f t="array" ref="I1029">IFERROR(INDEX(atlas!B:B,MATCH(A1029,atlas!C:C,0)),"")</f>
        <v/>
      </c>
      <c r="J1029" s="8" t="str">
        <f>IFERROR(VLOOKUP(F1029,tecnica!A:B,2,0),"")</f>
        <v/>
      </c>
      <c r="K1029" s="8" t="str">
        <f>IFERROR(VLOOKUP(J1029,tecnica!B:C,2,0),"")</f>
        <v/>
      </c>
      <c r="L1029" s="13"/>
      <c r="M1029" s="14" t="str">
        <f>IFERROR(VLOOKUP(I1029,material!A:D,4,0),"")</f>
        <v/>
      </c>
      <c r="N1029" s="14" t="str">
        <f t="shared" si="1"/>
        <v/>
      </c>
      <c r="O1029" s="15" t="str">
        <f>IFERROR(VLOOKUP(I1029,material!A:D,2,0),"")</f>
        <v/>
      </c>
    </row>
    <row r="1030">
      <c r="A1030" s="6"/>
      <c r="B1030" s="7"/>
      <c r="C1030" s="8" t="str">
        <f t="array" ref="C1030">IFERROR(INDEX(atlas!H:H,MATCH(A1030,atlas!C:C,0)),"")</f>
        <v/>
      </c>
      <c r="D1030" s="8" t="str">
        <f t="array" ref="D1030">IFERROR(INDEX(atlas!D:D,MATCH(A1030,atlas!C:C,0)),"")</f>
        <v/>
      </c>
      <c r="E1030" s="8" t="str">
        <f t="array" ref="E1030">IFERROR(INDEX(atlas!F:F,MATCH(A1030,atlas!C:C,0)),"")</f>
        <v/>
      </c>
      <c r="F1030" s="9"/>
      <c r="G1030" s="10"/>
      <c r="H1030" s="11"/>
      <c r="I1030" s="12" t="str">
        <f t="array" ref="I1030">IFERROR(INDEX(atlas!B:B,MATCH(A1030,atlas!C:C,0)),"")</f>
        <v/>
      </c>
      <c r="J1030" s="8" t="str">
        <f>IFERROR(VLOOKUP(F1030,tecnica!A:B,2,0),"")</f>
        <v/>
      </c>
      <c r="K1030" s="8" t="str">
        <f>IFERROR(VLOOKUP(J1030,tecnica!B:C,2,0),"")</f>
        <v/>
      </c>
      <c r="L1030" s="13"/>
      <c r="M1030" s="14" t="str">
        <f>IFERROR(VLOOKUP(I1030,material!A:D,4,0),"")</f>
        <v/>
      </c>
      <c r="N1030" s="14" t="str">
        <f t="shared" si="1"/>
        <v/>
      </c>
      <c r="O1030" s="15" t="str">
        <f>IFERROR(VLOOKUP(I1030,material!A:D,2,0),"")</f>
        <v/>
      </c>
    </row>
    <row r="1031">
      <c r="A1031" s="6"/>
      <c r="B1031" s="7"/>
      <c r="C1031" s="8" t="str">
        <f t="array" ref="C1031">IFERROR(INDEX(atlas!H:H,MATCH(A1031,atlas!C:C,0)),"")</f>
        <v/>
      </c>
      <c r="D1031" s="8" t="str">
        <f t="array" ref="D1031">IFERROR(INDEX(atlas!D:D,MATCH(A1031,atlas!C:C,0)),"")</f>
        <v/>
      </c>
      <c r="E1031" s="8" t="str">
        <f t="array" ref="E1031">IFERROR(INDEX(atlas!F:F,MATCH(A1031,atlas!C:C,0)),"")</f>
        <v/>
      </c>
      <c r="F1031" s="9"/>
      <c r="G1031" s="10"/>
      <c r="H1031" s="11"/>
      <c r="I1031" s="12" t="str">
        <f t="array" ref="I1031">IFERROR(INDEX(atlas!B:B,MATCH(A1031,atlas!C:C,0)),"")</f>
        <v/>
      </c>
      <c r="J1031" s="8" t="str">
        <f>IFERROR(VLOOKUP(F1031,tecnica!A:B,2,0),"")</f>
        <v/>
      </c>
      <c r="K1031" s="8" t="str">
        <f>IFERROR(VLOOKUP(J1031,tecnica!B:C,2,0),"")</f>
        <v/>
      </c>
      <c r="L1031" s="13"/>
      <c r="M1031" s="14" t="str">
        <f>IFERROR(VLOOKUP(I1031,material!A:D,4,0),"")</f>
        <v/>
      </c>
      <c r="N1031" s="14" t="str">
        <f t="shared" si="1"/>
        <v/>
      </c>
      <c r="O1031" s="15" t="str">
        <f>IFERROR(VLOOKUP(I1031,material!A:D,2,0),"")</f>
        <v/>
      </c>
    </row>
    <row r="1032">
      <c r="A1032" s="6"/>
      <c r="B1032" s="7"/>
      <c r="C1032" s="8" t="str">
        <f t="array" ref="C1032">IFERROR(INDEX(atlas!H:H,MATCH(A1032,atlas!C:C,0)),"")</f>
        <v/>
      </c>
      <c r="D1032" s="8" t="str">
        <f t="array" ref="D1032">IFERROR(INDEX(atlas!D:D,MATCH(A1032,atlas!C:C,0)),"")</f>
        <v/>
      </c>
      <c r="E1032" s="8" t="str">
        <f t="array" ref="E1032">IFERROR(INDEX(atlas!F:F,MATCH(A1032,atlas!C:C,0)),"")</f>
        <v/>
      </c>
      <c r="F1032" s="9"/>
      <c r="G1032" s="10"/>
      <c r="H1032" s="11"/>
      <c r="I1032" s="12" t="str">
        <f t="array" ref="I1032">IFERROR(INDEX(atlas!B:B,MATCH(A1032,atlas!C:C,0)),"")</f>
        <v/>
      </c>
      <c r="J1032" s="8" t="str">
        <f>IFERROR(VLOOKUP(F1032,tecnica!A:B,2,0),"")</f>
        <v/>
      </c>
      <c r="K1032" s="8" t="str">
        <f>IFERROR(VLOOKUP(J1032,tecnica!B:C,2,0),"")</f>
        <v/>
      </c>
      <c r="L1032" s="13"/>
      <c r="M1032" s="14" t="str">
        <f>IFERROR(VLOOKUP(I1032,material!A:D,4,0),"")</f>
        <v/>
      </c>
      <c r="N1032" s="14" t="str">
        <f t="shared" si="1"/>
        <v/>
      </c>
      <c r="O1032" s="15" t="str">
        <f>IFERROR(VLOOKUP(I1032,material!A:D,2,0),"")</f>
        <v/>
      </c>
    </row>
    <row r="1033">
      <c r="A1033" s="6"/>
      <c r="B1033" s="7"/>
      <c r="C1033" s="8" t="str">
        <f t="array" ref="C1033">IFERROR(INDEX(atlas!H:H,MATCH(A1033,atlas!C:C,0)),"")</f>
        <v/>
      </c>
      <c r="D1033" s="8" t="str">
        <f t="array" ref="D1033">IFERROR(INDEX(atlas!D:D,MATCH(A1033,atlas!C:C,0)),"")</f>
        <v/>
      </c>
      <c r="E1033" s="8" t="str">
        <f t="array" ref="E1033">IFERROR(INDEX(atlas!F:F,MATCH(A1033,atlas!C:C,0)),"")</f>
        <v/>
      </c>
      <c r="F1033" s="9"/>
      <c r="G1033" s="10"/>
      <c r="H1033" s="11"/>
      <c r="I1033" s="12" t="str">
        <f t="array" ref="I1033">IFERROR(INDEX(atlas!B:B,MATCH(A1033,atlas!C:C,0)),"")</f>
        <v/>
      </c>
      <c r="J1033" s="8" t="str">
        <f>IFERROR(VLOOKUP(F1033,tecnica!A:B,2,0),"")</f>
        <v/>
      </c>
      <c r="K1033" s="8" t="str">
        <f>IFERROR(VLOOKUP(J1033,tecnica!B:C,2,0),"")</f>
        <v/>
      </c>
      <c r="L1033" s="13"/>
      <c r="M1033" s="14" t="str">
        <f>IFERROR(VLOOKUP(I1033,material!A:D,4,0),"")</f>
        <v/>
      </c>
      <c r="N1033" s="14" t="str">
        <f t="shared" si="1"/>
        <v/>
      </c>
      <c r="O1033" s="15" t="str">
        <f>IFERROR(VLOOKUP(I1033,material!A:D,2,0),"")</f>
        <v/>
      </c>
    </row>
    <row r="1034">
      <c r="A1034" s="6"/>
      <c r="B1034" s="7"/>
      <c r="C1034" s="8" t="str">
        <f t="array" ref="C1034">IFERROR(INDEX(atlas!H:H,MATCH(A1034,atlas!C:C,0)),"")</f>
        <v/>
      </c>
      <c r="D1034" s="8" t="str">
        <f t="array" ref="D1034">IFERROR(INDEX(atlas!D:D,MATCH(A1034,atlas!C:C,0)),"")</f>
        <v/>
      </c>
      <c r="E1034" s="8" t="str">
        <f t="array" ref="E1034">IFERROR(INDEX(atlas!F:F,MATCH(A1034,atlas!C:C,0)),"")</f>
        <v/>
      </c>
      <c r="F1034" s="9"/>
      <c r="G1034" s="10"/>
      <c r="H1034" s="11"/>
      <c r="I1034" s="12" t="str">
        <f t="array" ref="I1034">IFERROR(INDEX(atlas!B:B,MATCH(A1034,atlas!C:C,0)),"")</f>
        <v/>
      </c>
      <c r="J1034" s="8" t="str">
        <f>IFERROR(VLOOKUP(F1034,tecnica!A:B,2,0),"")</f>
        <v/>
      </c>
      <c r="K1034" s="8" t="str">
        <f>IFERROR(VLOOKUP(J1034,tecnica!B:C,2,0),"")</f>
        <v/>
      </c>
      <c r="L1034" s="13"/>
      <c r="M1034" s="14" t="str">
        <f>IFERROR(VLOOKUP(I1034,material!A:D,4,0),"")</f>
        <v/>
      </c>
      <c r="N1034" s="14" t="str">
        <f t="shared" si="1"/>
        <v/>
      </c>
      <c r="O1034" s="15" t="str">
        <f>IFERROR(VLOOKUP(I1034,material!A:D,2,0),"")</f>
        <v/>
      </c>
    </row>
    <row r="1035">
      <c r="A1035" s="6"/>
      <c r="B1035" s="7"/>
      <c r="C1035" s="8" t="str">
        <f t="array" ref="C1035">IFERROR(INDEX(atlas!H:H,MATCH(A1035,atlas!C:C,0)),"")</f>
        <v/>
      </c>
      <c r="D1035" s="8" t="str">
        <f t="array" ref="D1035">IFERROR(INDEX(atlas!D:D,MATCH(A1035,atlas!C:C,0)),"")</f>
        <v/>
      </c>
      <c r="E1035" s="8" t="str">
        <f t="array" ref="E1035">IFERROR(INDEX(atlas!F:F,MATCH(A1035,atlas!C:C,0)),"")</f>
        <v/>
      </c>
      <c r="F1035" s="9"/>
      <c r="G1035" s="10"/>
      <c r="H1035" s="11"/>
      <c r="I1035" s="12" t="str">
        <f t="array" ref="I1035">IFERROR(INDEX(atlas!B:B,MATCH(A1035,atlas!C:C,0)),"")</f>
        <v/>
      </c>
      <c r="J1035" s="8" t="str">
        <f>IFERROR(VLOOKUP(F1035,tecnica!A:B,2,0),"")</f>
        <v/>
      </c>
      <c r="K1035" s="8" t="str">
        <f>IFERROR(VLOOKUP(J1035,tecnica!B:C,2,0),"")</f>
        <v/>
      </c>
      <c r="L1035" s="13"/>
      <c r="M1035" s="14" t="str">
        <f>IFERROR(VLOOKUP(I1035,material!A:D,4,0),"")</f>
        <v/>
      </c>
      <c r="N1035" s="14" t="str">
        <f t="shared" si="1"/>
        <v/>
      </c>
      <c r="O1035" s="15" t="str">
        <f>IFERROR(VLOOKUP(I1035,material!A:D,2,0),"")</f>
        <v/>
      </c>
    </row>
    <row r="1036">
      <c r="A1036" s="6"/>
      <c r="B1036" s="7"/>
      <c r="C1036" s="8" t="str">
        <f t="array" ref="C1036">IFERROR(INDEX(atlas!H:H,MATCH(A1036,atlas!C:C,0)),"")</f>
        <v/>
      </c>
      <c r="D1036" s="8" t="str">
        <f t="array" ref="D1036">IFERROR(INDEX(atlas!D:D,MATCH(A1036,atlas!C:C,0)),"")</f>
        <v/>
      </c>
      <c r="E1036" s="8" t="str">
        <f t="array" ref="E1036">IFERROR(INDEX(atlas!F:F,MATCH(A1036,atlas!C:C,0)),"")</f>
        <v/>
      </c>
      <c r="F1036" s="9"/>
      <c r="G1036" s="10"/>
      <c r="H1036" s="11"/>
      <c r="I1036" s="12" t="str">
        <f t="array" ref="I1036">IFERROR(INDEX(atlas!B:B,MATCH(A1036,atlas!C:C,0)),"")</f>
        <v/>
      </c>
      <c r="J1036" s="8" t="str">
        <f>IFERROR(VLOOKUP(F1036,tecnica!A:B,2,0),"")</f>
        <v/>
      </c>
      <c r="K1036" s="8" t="str">
        <f>IFERROR(VLOOKUP(J1036,tecnica!B:C,2,0),"")</f>
        <v/>
      </c>
      <c r="L1036" s="13"/>
      <c r="M1036" s="14" t="str">
        <f>IFERROR(VLOOKUP(I1036,material!A:D,4,0),"")</f>
        <v/>
      </c>
      <c r="N1036" s="14" t="str">
        <f t="shared" si="1"/>
        <v/>
      </c>
      <c r="O1036" s="15" t="str">
        <f>IFERROR(VLOOKUP(I1036,material!A:D,2,0),"")</f>
        <v/>
      </c>
    </row>
    <row r="1037">
      <c r="A1037" s="6"/>
      <c r="B1037" s="7"/>
      <c r="C1037" s="8" t="str">
        <f t="array" ref="C1037">IFERROR(INDEX(atlas!H:H,MATCH(A1037,atlas!C:C,0)),"")</f>
        <v/>
      </c>
      <c r="D1037" s="8" t="str">
        <f t="array" ref="D1037">IFERROR(INDEX(atlas!D:D,MATCH(A1037,atlas!C:C,0)),"")</f>
        <v/>
      </c>
      <c r="E1037" s="8" t="str">
        <f t="array" ref="E1037">IFERROR(INDEX(atlas!F:F,MATCH(A1037,atlas!C:C,0)),"")</f>
        <v/>
      </c>
      <c r="F1037" s="9"/>
      <c r="G1037" s="10"/>
      <c r="H1037" s="11"/>
      <c r="I1037" s="12" t="str">
        <f t="array" ref="I1037">IFERROR(INDEX(atlas!B:B,MATCH(A1037,atlas!C:C,0)),"")</f>
        <v/>
      </c>
      <c r="J1037" s="8" t="str">
        <f>IFERROR(VLOOKUP(F1037,tecnica!A:B,2,0),"")</f>
        <v/>
      </c>
      <c r="K1037" s="8" t="str">
        <f>IFERROR(VLOOKUP(J1037,tecnica!B:C,2,0),"")</f>
        <v/>
      </c>
      <c r="L1037" s="13"/>
      <c r="M1037" s="14" t="str">
        <f>IFERROR(VLOOKUP(I1037,material!A:D,4,0),"")</f>
        <v/>
      </c>
      <c r="N1037" s="14" t="str">
        <f t="shared" si="1"/>
        <v/>
      </c>
      <c r="O1037" s="15" t="str">
        <f>IFERROR(VLOOKUP(I1037,material!A:D,2,0),"")</f>
        <v/>
      </c>
    </row>
    <row r="1038">
      <c r="A1038" s="6"/>
      <c r="B1038" s="7"/>
      <c r="C1038" s="8" t="str">
        <f t="array" ref="C1038">IFERROR(INDEX(atlas!H:H,MATCH(A1038,atlas!C:C,0)),"")</f>
        <v/>
      </c>
      <c r="D1038" s="8" t="str">
        <f t="array" ref="D1038">IFERROR(INDEX(atlas!D:D,MATCH(A1038,atlas!C:C,0)),"")</f>
        <v/>
      </c>
      <c r="E1038" s="8" t="str">
        <f t="array" ref="E1038">IFERROR(INDEX(atlas!F:F,MATCH(A1038,atlas!C:C,0)),"")</f>
        <v/>
      </c>
      <c r="F1038" s="9"/>
      <c r="G1038" s="10"/>
      <c r="H1038" s="11"/>
      <c r="I1038" s="12" t="str">
        <f t="array" ref="I1038">IFERROR(INDEX(atlas!B:B,MATCH(A1038,atlas!C:C,0)),"")</f>
        <v/>
      </c>
      <c r="J1038" s="8" t="str">
        <f>IFERROR(VLOOKUP(F1038,tecnica!A:B,2,0),"")</f>
        <v/>
      </c>
      <c r="K1038" s="8" t="str">
        <f>IFERROR(VLOOKUP(J1038,tecnica!B:C,2,0),"")</f>
        <v/>
      </c>
      <c r="L1038" s="13"/>
      <c r="M1038" s="14" t="str">
        <f>IFERROR(VLOOKUP(I1038,material!A:D,4,0),"")</f>
        <v/>
      </c>
      <c r="N1038" s="14" t="str">
        <f t="shared" si="1"/>
        <v/>
      </c>
      <c r="O1038" s="15" t="str">
        <f>IFERROR(VLOOKUP(I1038,material!A:D,2,0),"")</f>
        <v/>
      </c>
    </row>
    <row r="1039">
      <c r="A1039" s="6"/>
      <c r="B1039" s="7"/>
      <c r="C1039" s="8" t="str">
        <f t="array" ref="C1039">IFERROR(INDEX(atlas!H:H,MATCH(A1039,atlas!C:C,0)),"")</f>
        <v/>
      </c>
      <c r="D1039" s="8" t="str">
        <f t="array" ref="D1039">IFERROR(INDEX(atlas!D:D,MATCH(A1039,atlas!C:C,0)),"")</f>
        <v/>
      </c>
      <c r="E1039" s="8" t="str">
        <f t="array" ref="E1039">IFERROR(INDEX(atlas!F:F,MATCH(A1039,atlas!C:C,0)),"")</f>
        <v/>
      </c>
      <c r="F1039" s="9"/>
      <c r="G1039" s="10"/>
      <c r="H1039" s="11"/>
      <c r="I1039" s="12" t="str">
        <f t="array" ref="I1039">IFERROR(INDEX(atlas!B:B,MATCH(A1039,atlas!C:C,0)),"")</f>
        <v/>
      </c>
      <c r="J1039" s="8" t="str">
        <f>IFERROR(VLOOKUP(F1039,tecnica!A:B,2,0),"")</f>
        <v/>
      </c>
      <c r="K1039" s="8" t="str">
        <f>IFERROR(VLOOKUP(J1039,tecnica!B:C,2,0),"")</f>
        <v/>
      </c>
      <c r="L1039" s="13"/>
      <c r="M1039" s="14" t="str">
        <f>IFERROR(VLOOKUP(I1039,material!A:D,4,0),"")</f>
        <v/>
      </c>
      <c r="N1039" s="14" t="str">
        <f t="shared" si="1"/>
        <v/>
      </c>
      <c r="O1039" s="15" t="str">
        <f>IFERROR(VLOOKUP(I1039,material!A:D,2,0),"")</f>
        <v/>
      </c>
    </row>
    <row r="1040">
      <c r="A1040" s="6"/>
      <c r="B1040" s="7"/>
      <c r="C1040" s="8" t="str">
        <f t="array" ref="C1040">IFERROR(INDEX(atlas!H:H,MATCH(A1040,atlas!C:C,0)),"")</f>
        <v/>
      </c>
      <c r="D1040" s="8" t="str">
        <f t="array" ref="D1040">IFERROR(INDEX(atlas!D:D,MATCH(A1040,atlas!C:C,0)),"")</f>
        <v/>
      </c>
      <c r="E1040" s="8" t="str">
        <f t="array" ref="E1040">IFERROR(INDEX(atlas!F:F,MATCH(A1040,atlas!C:C,0)),"")</f>
        <v/>
      </c>
      <c r="F1040" s="9"/>
      <c r="G1040" s="10"/>
      <c r="H1040" s="11"/>
      <c r="I1040" s="12" t="str">
        <f t="array" ref="I1040">IFERROR(INDEX(atlas!B:B,MATCH(A1040,atlas!C:C,0)),"")</f>
        <v/>
      </c>
      <c r="J1040" s="8" t="str">
        <f>IFERROR(VLOOKUP(F1040,tecnica!A:B,2,0),"")</f>
        <v/>
      </c>
      <c r="K1040" s="8" t="str">
        <f>IFERROR(VLOOKUP(J1040,tecnica!B:C,2,0),"")</f>
        <v/>
      </c>
      <c r="L1040" s="13"/>
      <c r="M1040" s="14" t="str">
        <f>IFERROR(VLOOKUP(I1040,material!A:D,4,0),"")</f>
        <v/>
      </c>
      <c r="N1040" s="14" t="str">
        <f t="shared" si="1"/>
        <v/>
      </c>
      <c r="O1040" s="15" t="str">
        <f>IFERROR(VLOOKUP(I1040,material!A:D,2,0),"")</f>
        <v/>
      </c>
    </row>
    <row r="1041">
      <c r="A1041" s="6"/>
      <c r="B1041" s="7"/>
      <c r="C1041" s="8" t="str">
        <f t="array" ref="C1041">IFERROR(INDEX(atlas!H:H,MATCH(A1041,atlas!C:C,0)),"")</f>
        <v/>
      </c>
      <c r="D1041" s="8" t="str">
        <f t="array" ref="D1041">IFERROR(INDEX(atlas!D:D,MATCH(A1041,atlas!C:C,0)),"")</f>
        <v/>
      </c>
      <c r="E1041" s="8" t="str">
        <f t="array" ref="E1041">IFERROR(INDEX(atlas!F:F,MATCH(A1041,atlas!C:C,0)),"")</f>
        <v/>
      </c>
      <c r="F1041" s="9"/>
      <c r="G1041" s="10"/>
      <c r="H1041" s="11"/>
      <c r="I1041" s="12" t="str">
        <f t="array" ref="I1041">IFERROR(INDEX(atlas!B:B,MATCH(A1041,atlas!C:C,0)),"")</f>
        <v/>
      </c>
      <c r="J1041" s="8" t="str">
        <f>IFERROR(VLOOKUP(F1041,tecnica!A:B,2,0),"")</f>
        <v/>
      </c>
      <c r="K1041" s="8" t="str">
        <f>IFERROR(VLOOKUP(J1041,tecnica!B:C,2,0),"")</f>
        <v/>
      </c>
      <c r="L1041" s="13"/>
      <c r="M1041" s="14" t="str">
        <f>IFERROR(VLOOKUP(I1041,material!A:D,4,0),"")</f>
        <v/>
      </c>
      <c r="N1041" s="14" t="str">
        <f t="shared" si="1"/>
        <v/>
      </c>
      <c r="O1041" s="15" t="str">
        <f>IFERROR(VLOOKUP(I1041,material!A:D,2,0),"")</f>
        <v/>
      </c>
    </row>
    <row r="1042">
      <c r="A1042" s="6"/>
      <c r="B1042" s="7"/>
      <c r="C1042" s="8" t="str">
        <f t="array" ref="C1042">IFERROR(INDEX(atlas!H:H,MATCH(A1042,atlas!C:C,0)),"")</f>
        <v/>
      </c>
      <c r="D1042" s="8" t="str">
        <f t="array" ref="D1042">IFERROR(INDEX(atlas!D:D,MATCH(A1042,atlas!C:C,0)),"")</f>
        <v/>
      </c>
      <c r="E1042" s="8" t="str">
        <f t="array" ref="E1042">IFERROR(INDEX(atlas!F:F,MATCH(A1042,atlas!C:C,0)),"")</f>
        <v/>
      </c>
      <c r="F1042" s="9"/>
      <c r="G1042" s="10"/>
      <c r="H1042" s="11"/>
      <c r="I1042" s="12" t="str">
        <f t="array" ref="I1042">IFERROR(INDEX(atlas!B:B,MATCH(A1042,atlas!C:C,0)),"")</f>
        <v/>
      </c>
      <c r="J1042" s="8" t="str">
        <f>IFERROR(VLOOKUP(F1042,tecnica!A:B,2,0),"")</f>
        <v/>
      </c>
      <c r="K1042" s="8" t="str">
        <f>IFERROR(VLOOKUP(J1042,tecnica!B:C,2,0),"")</f>
        <v/>
      </c>
      <c r="L1042" s="13"/>
      <c r="M1042" s="14" t="str">
        <f>IFERROR(VLOOKUP(I1042,material!A:D,4,0),"")</f>
        <v/>
      </c>
      <c r="N1042" s="14" t="str">
        <f t="shared" si="1"/>
        <v/>
      </c>
      <c r="O1042" s="15" t="str">
        <f>IFERROR(VLOOKUP(I1042,material!A:D,2,0),"")</f>
        <v/>
      </c>
    </row>
    <row r="1043">
      <c r="A1043" s="6"/>
      <c r="B1043" s="7"/>
      <c r="C1043" s="8" t="str">
        <f t="array" ref="C1043">IFERROR(INDEX(atlas!H:H,MATCH(A1043,atlas!C:C,0)),"")</f>
        <v/>
      </c>
      <c r="D1043" s="8" t="str">
        <f t="array" ref="D1043">IFERROR(INDEX(atlas!D:D,MATCH(A1043,atlas!C:C,0)),"")</f>
        <v/>
      </c>
      <c r="E1043" s="8" t="str">
        <f t="array" ref="E1043">IFERROR(INDEX(atlas!F:F,MATCH(A1043,atlas!C:C,0)),"")</f>
        <v/>
      </c>
      <c r="F1043" s="9"/>
      <c r="G1043" s="10"/>
      <c r="H1043" s="11"/>
      <c r="I1043" s="12" t="str">
        <f t="array" ref="I1043">IFERROR(INDEX(atlas!B:B,MATCH(A1043,atlas!C:C,0)),"")</f>
        <v/>
      </c>
      <c r="J1043" s="8" t="str">
        <f>IFERROR(VLOOKUP(F1043,tecnica!A:B,2,0),"")</f>
        <v/>
      </c>
      <c r="K1043" s="8" t="str">
        <f>IFERROR(VLOOKUP(J1043,tecnica!B:C,2,0),"")</f>
        <v/>
      </c>
      <c r="L1043" s="13"/>
      <c r="M1043" s="14" t="str">
        <f>IFERROR(VLOOKUP(I1043,material!A:D,4,0),"")</f>
        <v/>
      </c>
      <c r="N1043" s="14" t="str">
        <f t="shared" si="1"/>
        <v/>
      </c>
      <c r="O1043" s="15" t="str">
        <f>IFERROR(VLOOKUP(I1043,material!A:D,2,0),"")</f>
        <v/>
      </c>
    </row>
    <row r="1044">
      <c r="A1044" s="6"/>
      <c r="B1044" s="7"/>
      <c r="C1044" s="8" t="str">
        <f t="array" ref="C1044">IFERROR(INDEX(atlas!H:H,MATCH(A1044,atlas!C:C,0)),"")</f>
        <v/>
      </c>
      <c r="D1044" s="8" t="str">
        <f t="array" ref="D1044">IFERROR(INDEX(atlas!D:D,MATCH(A1044,atlas!C:C,0)),"")</f>
        <v/>
      </c>
      <c r="E1044" s="8" t="str">
        <f t="array" ref="E1044">IFERROR(INDEX(atlas!F:F,MATCH(A1044,atlas!C:C,0)),"")</f>
        <v/>
      </c>
      <c r="F1044" s="9"/>
      <c r="G1044" s="10"/>
      <c r="H1044" s="11"/>
      <c r="I1044" s="12" t="str">
        <f t="array" ref="I1044">IFERROR(INDEX(atlas!B:B,MATCH(A1044,atlas!C:C,0)),"")</f>
        <v/>
      </c>
      <c r="J1044" s="8" t="str">
        <f>IFERROR(VLOOKUP(F1044,tecnica!A:B,2,0),"")</f>
        <v/>
      </c>
      <c r="K1044" s="8" t="str">
        <f>IFERROR(VLOOKUP(J1044,tecnica!B:C,2,0),"")</f>
        <v/>
      </c>
      <c r="L1044" s="13"/>
      <c r="M1044" s="14" t="str">
        <f>IFERROR(VLOOKUP(I1044,material!A:D,4,0),"")</f>
        <v/>
      </c>
      <c r="N1044" s="14" t="str">
        <f t="shared" si="1"/>
        <v/>
      </c>
      <c r="O1044" s="15" t="str">
        <f>IFERROR(VLOOKUP(I1044,material!A:D,2,0),"")</f>
        <v/>
      </c>
    </row>
    <row r="1045">
      <c r="A1045" s="6"/>
      <c r="B1045" s="7"/>
      <c r="C1045" s="8" t="str">
        <f t="array" ref="C1045">IFERROR(INDEX(atlas!H:H,MATCH(A1045,atlas!C:C,0)),"")</f>
        <v/>
      </c>
      <c r="D1045" s="8" t="str">
        <f t="array" ref="D1045">IFERROR(INDEX(atlas!D:D,MATCH(A1045,atlas!C:C,0)),"")</f>
        <v/>
      </c>
      <c r="E1045" s="8" t="str">
        <f t="array" ref="E1045">IFERROR(INDEX(atlas!F:F,MATCH(A1045,atlas!C:C,0)),"")</f>
        <v/>
      </c>
      <c r="F1045" s="9"/>
      <c r="G1045" s="10"/>
      <c r="H1045" s="11"/>
      <c r="I1045" s="12" t="str">
        <f t="array" ref="I1045">IFERROR(INDEX(atlas!B:B,MATCH(A1045,atlas!C:C,0)),"")</f>
        <v/>
      </c>
      <c r="J1045" s="8" t="str">
        <f>IFERROR(VLOOKUP(F1045,tecnica!A:B,2,0),"")</f>
        <v/>
      </c>
      <c r="K1045" s="8" t="str">
        <f>IFERROR(VLOOKUP(J1045,tecnica!B:C,2,0),"")</f>
        <v/>
      </c>
      <c r="L1045" s="13"/>
      <c r="M1045" s="14" t="str">
        <f>IFERROR(VLOOKUP(I1045,material!A:D,4,0),"")</f>
        <v/>
      </c>
      <c r="N1045" s="14" t="str">
        <f t="shared" si="1"/>
        <v/>
      </c>
      <c r="O1045" s="15" t="str">
        <f>IFERROR(VLOOKUP(I1045,material!A:D,2,0),"")</f>
        <v/>
      </c>
    </row>
    <row r="1046">
      <c r="A1046" s="6"/>
      <c r="B1046" s="7"/>
      <c r="C1046" s="8" t="str">
        <f t="array" ref="C1046">IFERROR(INDEX(atlas!H:H,MATCH(A1046,atlas!C:C,0)),"")</f>
        <v/>
      </c>
      <c r="D1046" s="8" t="str">
        <f t="array" ref="D1046">IFERROR(INDEX(atlas!D:D,MATCH(A1046,atlas!C:C,0)),"")</f>
        <v/>
      </c>
      <c r="E1046" s="8" t="str">
        <f t="array" ref="E1046">IFERROR(INDEX(atlas!F:F,MATCH(A1046,atlas!C:C,0)),"")</f>
        <v/>
      </c>
      <c r="F1046" s="9"/>
      <c r="G1046" s="10"/>
      <c r="H1046" s="11"/>
      <c r="I1046" s="12" t="str">
        <f t="array" ref="I1046">IFERROR(INDEX(atlas!B:B,MATCH(A1046,atlas!C:C,0)),"")</f>
        <v/>
      </c>
      <c r="J1046" s="8" t="str">
        <f>IFERROR(VLOOKUP(F1046,tecnica!A:B,2,0),"")</f>
        <v/>
      </c>
      <c r="K1046" s="8" t="str">
        <f>IFERROR(VLOOKUP(J1046,tecnica!B:C,2,0),"")</f>
        <v/>
      </c>
      <c r="L1046" s="13"/>
      <c r="M1046" s="14" t="str">
        <f>IFERROR(VLOOKUP(I1046,material!A:D,4,0),"")</f>
        <v/>
      </c>
      <c r="N1046" s="14" t="str">
        <f t="shared" si="1"/>
        <v/>
      </c>
      <c r="O1046" s="15" t="str">
        <f>IFERROR(VLOOKUP(I1046,material!A:D,2,0),"")</f>
        <v/>
      </c>
    </row>
    <row r="1047">
      <c r="A1047" s="6"/>
      <c r="B1047" s="7"/>
      <c r="C1047" s="8" t="str">
        <f t="array" ref="C1047">IFERROR(INDEX(atlas!H:H,MATCH(A1047,atlas!C:C,0)),"")</f>
        <v/>
      </c>
      <c r="D1047" s="8" t="str">
        <f t="array" ref="D1047">IFERROR(INDEX(atlas!D:D,MATCH(A1047,atlas!C:C,0)),"")</f>
        <v/>
      </c>
      <c r="E1047" s="8" t="str">
        <f t="array" ref="E1047">IFERROR(INDEX(atlas!F:F,MATCH(A1047,atlas!C:C,0)),"")</f>
        <v/>
      </c>
      <c r="F1047" s="9"/>
      <c r="G1047" s="10"/>
      <c r="H1047" s="11"/>
      <c r="I1047" s="12" t="str">
        <f t="array" ref="I1047">IFERROR(INDEX(atlas!B:B,MATCH(A1047,atlas!C:C,0)),"")</f>
        <v/>
      </c>
      <c r="J1047" s="8" t="str">
        <f>IFERROR(VLOOKUP(F1047,tecnica!A:B,2,0),"")</f>
        <v/>
      </c>
      <c r="K1047" s="8" t="str">
        <f>IFERROR(VLOOKUP(J1047,tecnica!B:C,2,0),"")</f>
        <v/>
      </c>
      <c r="L1047" s="13"/>
      <c r="M1047" s="14" t="str">
        <f>IFERROR(VLOOKUP(I1047,material!A:D,4,0),"")</f>
        <v/>
      </c>
      <c r="N1047" s="14" t="str">
        <f t="shared" si="1"/>
        <v/>
      </c>
      <c r="O1047" s="15" t="str">
        <f>IFERROR(VLOOKUP(I1047,material!A:D,2,0),"")</f>
        <v/>
      </c>
    </row>
    <row r="1048">
      <c r="A1048" s="6"/>
      <c r="B1048" s="7"/>
      <c r="C1048" s="8" t="str">
        <f t="array" ref="C1048">IFERROR(INDEX(atlas!H:H,MATCH(A1048,atlas!C:C,0)),"")</f>
        <v/>
      </c>
      <c r="D1048" s="8" t="str">
        <f t="array" ref="D1048">IFERROR(INDEX(atlas!D:D,MATCH(A1048,atlas!C:C,0)),"")</f>
        <v/>
      </c>
      <c r="E1048" s="8" t="str">
        <f t="array" ref="E1048">IFERROR(INDEX(atlas!F:F,MATCH(A1048,atlas!C:C,0)),"")</f>
        <v/>
      </c>
      <c r="F1048" s="9"/>
      <c r="G1048" s="10"/>
      <c r="H1048" s="11"/>
      <c r="I1048" s="12" t="str">
        <f t="array" ref="I1048">IFERROR(INDEX(atlas!B:B,MATCH(A1048,atlas!C:C,0)),"")</f>
        <v/>
      </c>
      <c r="J1048" s="8" t="str">
        <f>IFERROR(VLOOKUP(F1048,tecnica!A:B,2,0),"")</f>
        <v/>
      </c>
      <c r="K1048" s="8" t="str">
        <f>IFERROR(VLOOKUP(J1048,tecnica!B:C,2,0),"")</f>
        <v/>
      </c>
      <c r="L1048" s="13"/>
      <c r="M1048" s="14" t="str">
        <f>IFERROR(VLOOKUP(I1048,material!A:D,4,0),"")</f>
        <v/>
      </c>
      <c r="N1048" s="14" t="str">
        <f t="shared" si="1"/>
        <v/>
      </c>
      <c r="O1048" s="15" t="str">
        <f>IFERROR(VLOOKUP(I1048,material!A:D,2,0),"")</f>
        <v/>
      </c>
    </row>
    <row r="1049">
      <c r="A1049" s="6"/>
      <c r="B1049" s="7"/>
      <c r="C1049" s="8" t="str">
        <f t="array" ref="C1049">IFERROR(INDEX(atlas!H:H,MATCH(A1049,atlas!C:C,0)),"")</f>
        <v/>
      </c>
      <c r="D1049" s="8" t="str">
        <f t="array" ref="D1049">IFERROR(INDEX(atlas!D:D,MATCH(A1049,atlas!C:C,0)),"")</f>
        <v/>
      </c>
      <c r="E1049" s="8" t="str">
        <f t="array" ref="E1049">IFERROR(INDEX(atlas!F:F,MATCH(A1049,atlas!C:C,0)),"")</f>
        <v/>
      </c>
      <c r="F1049" s="9"/>
      <c r="G1049" s="10"/>
      <c r="H1049" s="11"/>
      <c r="I1049" s="12" t="str">
        <f t="array" ref="I1049">IFERROR(INDEX(atlas!B:B,MATCH(A1049,atlas!C:C,0)),"")</f>
        <v/>
      </c>
      <c r="J1049" s="8" t="str">
        <f>IFERROR(VLOOKUP(F1049,tecnica!A:B,2,0),"")</f>
        <v/>
      </c>
      <c r="K1049" s="8" t="str">
        <f>IFERROR(VLOOKUP(J1049,tecnica!B:C,2,0),"")</f>
        <v/>
      </c>
      <c r="L1049" s="13"/>
      <c r="M1049" s="14" t="str">
        <f>IFERROR(VLOOKUP(I1049,material!A:D,4,0),"")</f>
        <v/>
      </c>
      <c r="N1049" s="14" t="str">
        <f t="shared" si="1"/>
        <v/>
      </c>
      <c r="O1049" s="15" t="str">
        <f>IFERROR(VLOOKUP(I1049,material!A:D,2,0),"")</f>
        <v/>
      </c>
    </row>
    <row r="1050">
      <c r="A1050" s="6"/>
      <c r="B1050" s="7"/>
      <c r="C1050" s="8" t="str">
        <f t="array" ref="C1050">IFERROR(INDEX(atlas!H:H,MATCH(A1050,atlas!C:C,0)),"")</f>
        <v/>
      </c>
      <c r="D1050" s="8" t="str">
        <f t="array" ref="D1050">IFERROR(INDEX(atlas!D:D,MATCH(A1050,atlas!C:C,0)),"")</f>
        <v/>
      </c>
      <c r="E1050" s="8" t="str">
        <f t="array" ref="E1050">IFERROR(INDEX(atlas!F:F,MATCH(A1050,atlas!C:C,0)),"")</f>
        <v/>
      </c>
      <c r="F1050" s="9"/>
      <c r="G1050" s="10"/>
      <c r="H1050" s="11"/>
      <c r="I1050" s="12" t="str">
        <f t="array" ref="I1050">IFERROR(INDEX(atlas!B:B,MATCH(A1050,atlas!C:C,0)),"")</f>
        <v/>
      </c>
      <c r="J1050" s="8" t="str">
        <f>IFERROR(VLOOKUP(F1050,tecnica!A:B,2,0),"")</f>
        <v/>
      </c>
      <c r="K1050" s="8" t="str">
        <f>IFERROR(VLOOKUP(J1050,tecnica!B:C,2,0),"")</f>
        <v/>
      </c>
      <c r="L1050" s="13"/>
      <c r="M1050" s="14" t="str">
        <f>IFERROR(VLOOKUP(I1050,material!A:D,4,0),"")</f>
        <v/>
      </c>
      <c r="N1050" s="14" t="str">
        <f t="shared" si="1"/>
        <v/>
      </c>
      <c r="O1050" s="15" t="str">
        <f>IFERROR(VLOOKUP(I1050,material!A:D,2,0),"")</f>
        <v/>
      </c>
    </row>
    <row r="1051">
      <c r="A1051" s="6"/>
      <c r="B1051" s="7"/>
      <c r="C1051" s="8" t="str">
        <f t="array" ref="C1051">IFERROR(INDEX(atlas!H:H,MATCH(A1051,atlas!C:C,0)),"")</f>
        <v/>
      </c>
      <c r="D1051" s="8" t="str">
        <f t="array" ref="D1051">IFERROR(INDEX(atlas!D:D,MATCH(A1051,atlas!C:C,0)),"")</f>
        <v/>
      </c>
      <c r="E1051" s="8" t="str">
        <f t="array" ref="E1051">IFERROR(INDEX(atlas!F:F,MATCH(A1051,atlas!C:C,0)),"")</f>
        <v/>
      </c>
      <c r="F1051" s="9"/>
      <c r="G1051" s="10"/>
      <c r="H1051" s="11"/>
      <c r="I1051" s="12" t="str">
        <f t="array" ref="I1051">IFERROR(INDEX(atlas!B:B,MATCH(A1051,atlas!C:C,0)),"")</f>
        <v/>
      </c>
      <c r="J1051" s="8" t="str">
        <f>IFERROR(VLOOKUP(F1051,tecnica!A:B,2,0),"")</f>
        <v/>
      </c>
      <c r="K1051" s="8" t="str">
        <f>IFERROR(VLOOKUP(J1051,tecnica!B:C,2,0),"")</f>
        <v/>
      </c>
      <c r="L1051" s="13"/>
      <c r="M1051" s="14" t="str">
        <f>IFERROR(VLOOKUP(I1051,material!A:D,4,0),"")</f>
        <v/>
      </c>
      <c r="N1051" s="14" t="str">
        <f t="shared" si="1"/>
        <v/>
      </c>
      <c r="O1051" s="15" t="str">
        <f>IFERROR(VLOOKUP(I1051,material!A:D,2,0),"")</f>
        <v/>
      </c>
    </row>
    <row r="1052">
      <c r="A1052" s="6"/>
      <c r="B1052" s="7"/>
      <c r="C1052" s="8" t="str">
        <f t="array" ref="C1052">IFERROR(INDEX(atlas!H:H,MATCH(A1052,atlas!C:C,0)),"")</f>
        <v/>
      </c>
      <c r="D1052" s="8" t="str">
        <f t="array" ref="D1052">IFERROR(INDEX(atlas!D:D,MATCH(A1052,atlas!C:C,0)),"")</f>
        <v/>
      </c>
      <c r="E1052" s="8" t="str">
        <f t="array" ref="E1052">IFERROR(INDEX(atlas!F:F,MATCH(A1052,atlas!C:C,0)),"")</f>
        <v/>
      </c>
      <c r="F1052" s="9"/>
      <c r="G1052" s="10"/>
      <c r="H1052" s="11"/>
      <c r="I1052" s="12" t="str">
        <f t="array" ref="I1052">IFERROR(INDEX(atlas!B:B,MATCH(A1052,atlas!C:C,0)),"")</f>
        <v/>
      </c>
      <c r="J1052" s="8" t="str">
        <f>IFERROR(VLOOKUP(F1052,tecnica!A:B,2,0),"")</f>
        <v/>
      </c>
      <c r="K1052" s="8" t="str">
        <f>IFERROR(VLOOKUP(J1052,tecnica!B:C,2,0),"")</f>
        <v/>
      </c>
      <c r="L1052" s="13"/>
      <c r="M1052" s="14" t="str">
        <f>IFERROR(VLOOKUP(I1052,material!A:D,4,0),"")</f>
        <v/>
      </c>
      <c r="N1052" s="14" t="str">
        <f t="shared" si="1"/>
        <v/>
      </c>
      <c r="O1052" s="15" t="str">
        <f>IFERROR(VLOOKUP(I1052,material!A:D,2,0),"")</f>
        <v/>
      </c>
    </row>
    <row r="1053">
      <c r="A1053" s="6"/>
      <c r="B1053" s="7"/>
      <c r="C1053" s="8" t="str">
        <f t="array" ref="C1053">IFERROR(INDEX(atlas!H:H,MATCH(A1053,atlas!C:C,0)),"")</f>
        <v/>
      </c>
      <c r="D1053" s="8" t="str">
        <f t="array" ref="D1053">IFERROR(INDEX(atlas!D:D,MATCH(A1053,atlas!C:C,0)),"")</f>
        <v/>
      </c>
      <c r="E1053" s="8" t="str">
        <f t="array" ref="E1053">IFERROR(INDEX(atlas!F:F,MATCH(A1053,atlas!C:C,0)),"")</f>
        <v/>
      </c>
      <c r="F1053" s="9"/>
      <c r="G1053" s="10"/>
      <c r="H1053" s="11"/>
      <c r="I1053" s="12" t="str">
        <f t="array" ref="I1053">IFERROR(INDEX(atlas!B:B,MATCH(A1053,atlas!C:C,0)),"")</f>
        <v/>
      </c>
      <c r="J1053" s="8" t="str">
        <f>IFERROR(VLOOKUP(F1053,tecnica!A:B,2,0),"")</f>
        <v/>
      </c>
      <c r="K1053" s="8" t="str">
        <f>IFERROR(VLOOKUP(J1053,tecnica!B:C,2,0),"")</f>
        <v/>
      </c>
      <c r="L1053" s="13"/>
      <c r="M1053" s="14" t="str">
        <f>IFERROR(VLOOKUP(I1053,material!A:D,4,0),"")</f>
        <v/>
      </c>
      <c r="N1053" s="14" t="str">
        <f t="shared" si="1"/>
        <v/>
      </c>
      <c r="O1053" s="15" t="str">
        <f>IFERROR(VLOOKUP(I1053,material!A:D,2,0),"")</f>
        <v/>
      </c>
    </row>
    <row r="1054">
      <c r="A1054" s="6"/>
      <c r="B1054" s="7"/>
      <c r="C1054" s="8" t="str">
        <f t="array" ref="C1054">IFERROR(INDEX(atlas!H:H,MATCH(A1054,atlas!C:C,0)),"")</f>
        <v/>
      </c>
      <c r="D1054" s="8" t="str">
        <f t="array" ref="D1054">IFERROR(INDEX(atlas!D:D,MATCH(A1054,atlas!C:C,0)),"")</f>
        <v/>
      </c>
      <c r="E1054" s="8" t="str">
        <f t="array" ref="E1054">IFERROR(INDEX(atlas!F:F,MATCH(A1054,atlas!C:C,0)),"")</f>
        <v/>
      </c>
      <c r="F1054" s="9"/>
      <c r="G1054" s="10"/>
      <c r="H1054" s="11"/>
      <c r="I1054" s="12" t="str">
        <f t="array" ref="I1054">IFERROR(INDEX(atlas!B:B,MATCH(A1054,atlas!C:C,0)),"")</f>
        <v/>
      </c>
      <c r="J1054" s="8" t="str">
        <f>IFERROR(VLOOKUP(F1054,tecnica!A:B,2,0),"")</f>
        <v/>
      </c>
      <c r="K1054" s="8" t="str">
        <f>IFERROR(VLOOKUP(J1054,tecnica!B:C,2,0),"")</f>
        <v/>
      </c>
      <c r="L1054" s="13"/>
      <c r="M1054" s="14" t="str">
        <f>IFERROR(VLOOKUP(I1054,material!A:D,4,0),"")</f>
        <v/>
      </c>
      <c r="N1054" s="14" t="str">
        <f t="shared" si="1"/>
        <v/>
      </c>
      <c r="O1054" s="15" t="str">
        <f>IFERROR(VLOOKUP(I1054,material!A:D,2,0),"")</f>
        <v/>
      </c>
    </row>
    <row r="1055">
      <c r="A1055" s="6"/>
      <c r="B1055" s="7"/>
      <c r="C1055" s="8" t="str">
        <f t="array" ref="C1055">IFERROR(INDEX(atlas!H:H,MATCH(A1055,atlas!C:C,0)),"")</f>
        <v/>
      </c>
      <c r="D1055" s="8" t="str">
        <f t="array" ref="D1055">IFERROR(INDEX(atlas!D:D,MATCH(A1055,atlas!C:C,0)),"")</f>
        <v/>
      </c>
      <c r="E1055" s="8" t="str">
        <f t="array" ref="E1055">IFERROR(INDEX(atlas!F:F,MATCH(A1055,atlas!C:C,0)),"")</f>
        <v/>
      </c>
      <c r="F1055" s="9"/>
      <c r="G1055" s="10"/>
      <c r="H1055" s="11"/>
      <c r="I1055" s="12" t="str">
        <f t="array" ref="I1055">IFERROR(INDEX(atlas!B:B,MATCH(A1055,atlas!C:C,0)),"")</f>
        <v/>
      </c>
      <c r="J1055" s="8" t="str">
        <f>IFERROR(VLOOKUP(F1055,tecnica!A:B,2,0),"")</f>
        <v/>
      </c>
      <c r="K1055" s="8" t="str">
        <f>IFERROR(VLOOKUP(J1055,tecnica!B:C,2,0),"")</f>
        <v/>
      </c>
      <c r="L1055" s="13"/>
      <c r="M1055" s="14" t="str">
        <f>IFERROR(VLOOKUP(I1055,material!A:D,4,0),"")</f>
        <v/>
      </c>
      <c r="N1055" s="14" t="str">
        <f t="shared" si="1"/>
        <v/>
      </c>
      <c r="O1055" s="15" t="str">
        <f>IFERROR(VLOOKUP(I1055,material!A:D,2,0),"")</f>
        <v/>
      </c>
    </row>
    <row r="1056">
      <c r="A1056" s="6"/>
      <c r="B1056" s="7"/>
      <c r="C1056" s="8" t="str">
        <f t="array" ref="C1056">IFERROR(INDEX(atlas!H:H,MATCH(A1056,atlas!C:C,0)),"")</f>
        <v/>
      </c>
      <c r="D1056" s="8" t="str">
        <f t="array" ref="D1056">IFERROR(INDEX(atlas!D:D,MATCH(A1056,atlas!C:C,0)),"")</f>
        <v/>
      </c>
      <c r="E1056" s="8" t="str">
        <f t="array" ref="E1056">IFERROR(INDEX(atlas!F:F,MATCH(A1056,atlas!C:C,0)),"")</f>
        <v/>
      </c>
      <c r="F1056" s="9"/>
      <c r="G1056" s="10"/>
      <c r="H1056" s="11"/>
      <c r="I1056" s="12" t="str">
        <f t="array" ref="I1056">IFERROR(INDEX(atlas!B:B,MATCH(A1056,atlas!C:C,0)),"")</f>
        <v/>
      </c>
      <c r="J1056" s="8" t="str">
        <f>IFERROR(VLOOKUP(F1056,tecnica!A:B,2,0),"")</f>
        <v/>
      </c>
      <c r="K1056" s="8" t="str">
        <f>IFERROR(VLOOKUP(J1056,tecnica!B:C,2,0),"")</f>
        <v/>
      </c>
      <c r="L1056" s="13"/>
      <c r="M1056" s="14" t="str">
        <f>IFERROR(VLOOKUP(I1056,material!A:D,4,0),"")</f>
        <v/>
      </c>
      <c r="N1056" s="14" t="str">
        <f t="shared" si="1"/>
        <v/>
      </c>
      <c r="O1056" s="15" t="str">
        <f>IFERROR(VLOOKUP(I1056,material!A:D,2,0),"")</f>
        <v/>
      </c>
    </row>
    <row r="1057">
      <c r="A1057" s="6"/>
      <c r="B1057" s="7"/>
      <c r="C1057" s="8" t="str">
        <f t="array" ref="C1057">IFERROR(INDEX(atlas!H:H,MATCH(A1057,atlas!C:C,0)),"")</f>
        <v/>
      </c>
      <c r="D1057" s="8" t="str">
        <f t="array" ref="D1057">IFERROR(INDEX(atlas!D:D,MATCH(A1057,atlas!C:C,0)),"")</f>
        <v/>
      </c>
      <c r="E1057" s="8" t="str">
        <f t="array" ref="E1057">IFERROR(INDEX(atlas!F:F,MATCH(A1057,atlas!C:C,0)),"")</f>
        <v/>
      </c>
      <c r="F1057" s="9"/>
      <c r="G1057" s="10"/>
      <c r="H1057" s="11"/>
      <c r="I1057" s="12" t="str">
        <f t="array" ref="I1057">IFERROR(INDEX(atlas!B:B,MATCH(A1057,atlas!C:C,0)),"")</f>
        <v/>
      </c>
      <c r="J1057" s="8" t="str">
        <f>IFERROR(VLOOKUP(F1057,tecnica!A:B,2,0),"")</f>
        <v/>
      </c>
      <c r="K1057" s="8" t="str">
        <f>IFERROR(VLOOKUP(J1057,tecnica!B:C,2,0),"")</f>
        <v/>
      </c>
      <c r="L1057" s="13"/>
      <c r="M1057" s="14" t="str">
        <f>IFERROR(VLOOKUP(I1057,material!A:D,4,0),"")</f>
        <v/>
      </c>
      <c r="N1057" s="14" t="str">
        <f t="shared" si="1"/>
        <v/>
      </c>
      <c r="O1057" s="15" t="str">
        <f>IFERROR(VLOOKUP(I1057,material!A:D,2,0),"")</f>
        <v/>
      </c>
    </row>
    <row r="1058">
      <c r="A1058" s="6"/>
      <c r="B1058" s="7"/>
      <c r="C1058" s="8" t="str">
        <f t="array" ref="C1058">IFERROR(INDEX(atlas!H:H,MATCH(A1058,atlas!C:C,0)),"")</f>
        <v/>
      </c>
      <c r="D1058" s="8" t="str">
        <f t="array" ref="D1058">IFERROR(INDEX(atlas!D:D,MATCH(A1058,atlas!C:C,0)),"")</f>
        <v/>
      </c>
      <c r="E1058" s="8" t="str">
        <f t="array" ref="E1058">IFERROR(INDEX(atlas!F:F,MATCH(A1058,atlas!C:C,0)),"")</f>
        <v/>
      </c>
      <c r="F1058" s="9"/>
      <c r="G1058" s="10"/>
      <c r="H1058" s="11"/>
      <c r="I1058" s="12" t="str">
        <f t="array" ref="I1058">IFERROR(INDEX(atlas!B:B,MATCH(A1058,atlas!C:C,0)),"")</f>
        <v/>
      </c>
      <c r="J1058" s="8" t="str">
        <f>IFERROR(VLOOKUP(F1058,tecnica!A:B,2,0),"")</f>
        <v/>
      </c>
      <c r="K1058" s="8" t="str">
        <f>IFERROR(VLOOKUP(J1058,tecnica!B:C,2,0),"")</f>
        <v/>
      </c>
      <c r="L1058" s="13"/>
      <c r="M1058" s="14" t="str">
        <f>IFERROR(VLOOKUP(I1058,material!A:D,4,0),"")</f>
        <v/>
      </c>
      <c r="N1058" s="14" t="str">
        <f t="shared" si="1"/>
        <v/>
      </c>
      <c r="O1058" s="15" t="str">
        <f>IFERROR(VLOOKUP(I1058,material!A:D,2,0),"")</f>
        <v/>
      </c>
    </row>
    <row r="1059">
      <c r="A1059" s="6"/>
      <c r="B1059" s="7"/>
      <c r="C1059" s="8" t="str">
        <f t="array" ref="C1059">IFERROR(INDEX(atlas!H:H,MATCH(A1059,atlas!C:C,0)),"")</f>
        <v/>
      </c>
      <c r="D1059" s="8" t="str">
        <f t="array" ref="D1059">IFERROR(INDEX(atlas!D:D,MATCH(A1059,atlas!C:C,0)),"")</f>
        <v/>
      </c>
      <c r="E1059" s="8" t="str">
        <f t="array" ref="E1059">IFERROR(INDEX(atlas!F:F,MATCH(A1059,atlas!C:C,0)),"")</f>
        <v/>
      </c>
      <c r="F1059" s="9"/>
      <c r="G1059" s="10"/>
      <c r="H1059" s="11"/>
      <c r="I1059" s="12" t="str">
        <f t="array" ref="I1059">IFERROR(INDEX(atlas!B:B,MATCH(A1059,atlas!C:C,0)),"")</f>
        <v/>
      </c>
      <c r="J1059" s="8" t="str">
        <f>IFERROR(VLOOKUP(F1059,tecnica!A:B,2,0),"")</f>
        <v/>
      </c>
      <c r="K1059" s="8" t="str">
        <f>IFERROR(VLOOKUP(J1059,tecnica!B:C,2,0),"")</f>
        <v/>
      </c>
      <c r="L1059" s="13"/>
      <c r="M1059" s="14" t="str">
        <f>IFERROR(VLOOKUP(I1059,material!A:D,4,0),"")</f>
        <v/>
      </c>
      <c r="N1059" s="14" t="str">
        <f t="shared" si="1"/>
        <v/>
      </c>
      <c r="O1059" s="15" t="str">
        <f>IFERROR(VLOOKUP(I1059,material!A:D,2,0),"")</f>
        <v/>
      </c>
    </row>
    <row r="1060">
      <c r="A1060" s="6"/>
      <c r="B1060" s="7"/>
      <c r="C1060" s="8" t="str">
        <f t="array" ref="C1060">IFERROR(INDEX(atlas!H:H,MATCH(A1060,atlas!C:C,0)),"")</f>
        <v/>
      </c>
      <c r="D1060" s="8" t="str">
        <f t="array" ref="D1060">IFERROR(INDEX(atlas!D:D,MATCH(A1060,atlas!C:C,0)),"")</f>
        <v/>
      </c>
      <c r="E1060" s="8" t="str">
        <f t="array" ref="E1060">IFERROR(INDEX(atlas!F:F,MATCH(A1060,atlas!C:C,0)),"")</f>
        <v/>
      </c>
      <c r="F1060" s="9"/>
      <c r="G1060" s="10"/>
      <c r="H1060" s="11"/>
      <c r="I1060" s="12" t="str">
        <f t="array" ref="I1060">IFERROR(INDEX(atlas!B:B,MATCH(A1060,atlas!C:C,0)),"")</f>
        <v/>
      </c>
      <c r="J1060" s="8" t="str">
        <f>IFERROR(VLOOKUP(F1060,tecnica!A:B,2,0),"")</f>
        <v/>
      </c>
      <c r="K1060" s="8" t="str">
        <f>IFERROR(VLOOKUP(J1060,tecnica!B:C,2,0),"")</f>
        <v/>
      </c>
      <c r="L1060" s="13"/>
      <c r="M1060" s="14" t="str">
        <f>IFERROR(VLOOKUP(I1060,material!A:D,4,0),"")</f>
        <v/>
      </c>
      <c r="N1060" s="14" t="str">
        <f t="shared" si="1"/>
        <v/>
      </c>
      <c r="O1060" s="15" t="str">
        <f>IFERROR(VLOOKUP(I1060,material!A:D,2,0),"")</f>
        <v/>
      </c>
    </row>
    <row r="1061">
      <c r="A1061" s="6"/>
      <c r="B1061" s="7"/>
      <c r="C1061" s="8" t="str">
        <f t="array" ref="C1061">IFERROR(INDEX(atlas!H:H,MATCH(A1061,atlas!C:C,0)),"")</f>
        <v/>
      </c>
      <c r="D1061" s="8" t="str">
        <f t="array" ref="D1061">IFERROR(INDEX(atlas!D:D,MATCH(A1061,atlas!C:C,0)),"")</f>
        <v/>
      </c>
      <c r="E1061" s="8" t="str">
        <f t="array" ref="E1061">IFERROR(INDEX(atlas!F:F,MATCH(A1061,atlas!C:C,0)),"")</f>
        <v/>
      </c>
      <c r="F1061" s="9"/>
      <c r="G1061" s="10"/>
      <c r="H1061" s="11"/>
      <c r="I1061" s="12" t="str">
        <f t="array" ref="I1061">IFERROR(INDEX(atlas!B:B,MATCH(A1061,atlas!C:C,0)),"")</f>
        <v/>
      </c>
      <c r="J1061" s="8" t="str">
        <f>IFERROR(VLOOKUP(F1061,tecnica!A:B,2,0),"")</f>
        <v/>
      </c>
      <c r="K1061" s="8" t="str">
        <f>IFERROR(VLOOKUP(J1061,tecnica!B:C,2,0),"")</f>
        <v/>
      </c>
      <c r="L1061" s="13"/>
      <c r="M1061" s="14" t="str">
        <f>IFERROR(VLOOKUP(I1061,material!A:D,4,0),"")</f>
        <v/>
      </c>
      <c r="N1061" s="14" t="str">
        <f t="shared" si="1"/>
        <v/>
      </c>
      <c r="O1061" s="15" t="str">
        <f>IFERROR(VLOOKUP(I1061,material!A:D,2,0),"")</f>
        <v/>
      </c>
    </row>
    <row r="1062">
      <c r="A1062" s="6"/>
      <c r="B1062" s="7"/>
      <c r="C1062" s="8" t="str">
        <f t="array" ref="C1062">IFERROR(INDEX(atlas!H:H,MATCH(A1062,atlas!C:C,0)),"")</f>
        <v/>
      </c>
      <c r="D1062" s="8" t="str">
        <f t="array" ref="D1062">IFERROR(INDEX(atlas!D:D,MATCH(A1062,atlas!C:C,0)),"")</f>
        <v/>
      </c>
      <c r="E1062" s="8" t="str">
        <f t="array" ref="E1062">IFERROR(INDEX(atlas!F:F,MATCH(A1062,atlas!C:C,0)),"")</f>
        <v/>
      </c>
      <c r="F1062" s="9"/>
      <c r="G1062" s="10"/>
      <c r="H1062" s="11"/>
      <c r="I1062" s="12" t="str">
        <f t="array" ref="I1062">IFERROR(INDEX(atlas!B:B,MATCH(A1062,atlas!C:C,0)),"")</f>
        <v/>
      </c>
      <c r="J1062" s="8" t="str">
        <f>IFERROR(VLOOKUP(F1062,tecnica!A:B,2,0),"")</f>
        <v/>
      </c>
      <c r="K1062" s="8" t="str">
        <f>IFERROR(VLOOKUP(J1062,tecnica!B:C,2,0),"")</f>
        <v/>
      </c>
      <c r="L1062" s="13"/>
      <c r="M1062" s="14" t="str">
        <f>IFERROR(VLOOKUP(I1062,material!A:D,4,0),"")</f>
        <v/>
      </c>
      <c r="N1062" s="14" t="str">
        <f t="shared" si="1"/>
        <v/>
      </c>
      <c r="O1062" s="15" t="str">
        <f>IFERROR(VLOOKUP(I1062,material!A:D,2,0),"")</f>
        <v/>
      </c>
    </row>
    <row r="1063">
      <c r="A1063" s="6"/>
      <c r="B1063" s="7"/>
      <c r="C1063" s="8" t="str">
        <f t="array" ref="C1063">IFERROR(INDEX(atlas!H:H,MATCH(A1063,atlas!C:C,0)),"")</f>
        <v/>
      </c>
      <c r="D1063" s="8" t="str">
        <f t="array" ref="D1063">IFERROR(INDEX(atlas!D:D,MATCH(A1063,atlas!C:C,0)),"")</f>
        <v/>
      </c>
      <c r="E1063" s="8" t="str">
        <f t="array" ref="E1063">IFERROR(INDEX(atlas!F:F,MATCH(A1063,atlas!C:C,0)),"")</f>
        <v/>
      </c>
      <c r="F1063" s="9"/>
      <c r="G1063" s="10"/>
      <c r="H1063" s="11"/>
      <c r="I1063" s="12" t="str">
        <f t="array" ref="I1063">IFERROR(INDEX(atlas!B:B,MATCH(A1063,atlas!C:C,0)),"")</f>
        <v/>
      </c>
      <c r="J1063" s="8" t="str">
        <f>IFERROR(VLOOKUP(F1063,tecnica!A:B,2,0),"")</f>
        <v/>
      </c>
      <c r="K1063" s="8" t="str">
        <f>IFERROR(VLOOKUP(J1063,tecnica!B:C,2,0),"")</f>
        <v/>
      </c>
      <c r="L1063" s="13"/>
      <c r="M1063" s="14" t="str">
        <f>IFERROR(VLOOKUP(I1063,material!A:D,4,0),"")</f>
        <v/>
      </c>
      <c r="N1063" s="14" t="str">
        <f t="shared" si="1"/>
        <v/>
      </c>
      <c r="O1063" s="15" t="str">
        <f>IFERROR(VLOOKUP(I1063,material!A:D,2,0),"")</f>
        <v/>
      </c>
    </row>
    <row r="1064">
      <c r="A1064" s="6"/>
      <c r="B1064" s="7"/>
      <c r="C1064" s="8" t="str">
        <f t="array" ref="C1064">IFERROR(INDEX(atlas!H:H,MATCH(A1064,atlas!C:C,0)),"")</f>
        <v/>
      </c>
      <c r="D1064" s="8" t="str">
        <f t="array" ref="D1064">IFERROR(INDEX(atlas!D:D,MATCH(A1064,atlas!C:C,0)),"")</f>
        <v/>
      </c>
      <c r="E1064" s="8" t="str">
        <f t="array" ref="E1064">IFERROR(INDEX(atlas!F:F,MATCH(A1064,atlas!C:C,0)),"")</f>
        <v/>
      </c>
      <c r="F1064" s="9"/>
      <c r="G1064" s="10"/>
      <c r="H1064" s="11"/>
      <c r="I1064" s="12" t="str">
        <f t="array" ref="I1064">IFERROR(INDEX(atlas!B:B,MATCH(A1064,atlas!C:C,0)),"")</f>
        <v/>
      </c>
      <c r="J1064" s="8" t="str">
        <f>IFERROR(VLOOKUP(F1064,tecnica!A:B,2,0),"")</f>
        <v/>
      </c>
      <c r="K1064" s="8" t="str">
        <f>IFERROR(VLOOKUP(J1064,tecnica!B:C,2,0),"")</f>
        <v/>
      </c>
      <c r="L1064" s="13"/>
      <c r="M1064" s="14" t="str">
        <f>IFERROR(VLOOKUP(I1064,material!A:D,4,0),"")</f>
        <v/>
      </c>
      <c r="N1064" s="14" t="str">
        <f t="shared" si="1"/>
        <v/>
      </c>
      <c r="O1064" s="15" t="str">
        <f>IFERROR(VLOOKUP(I1064,material!A:D,2,0),"")</f>
        <v/>
      </c>
    </row>
    <row r="1065">
      <c r="A1065" s="6"/>
      <c r="B1065" s="7"/>
      <c r="C1065" s="8" t="str">
        <f t="array" ref="C1065">IFERROR(INDEX(atlas!H:H,MATCH(A1065,atlas!C:C,0)),"")</f>
        <v/>
      </c>
      <c r="D1065" s="8" t="str">
        <f t="array" ref="D1065">IFERROR(INDEX(atlas!D:D,MATCH(A1065,atlas!C:C,0)),"")</f>
        <v/>
      </c>
      <c r="E1065" s="8" t="str">
        <f t="array" ref="E1065">IFERROR(INDEX(atlas!F:F,MATCH(A1065,atlas!C:C,0)),"")</f>
        <v/>
      </c>
      <c r="F1065" s="9"/>
      <c r="G1065" s="10"/>
      <c r="H1065" s="11"/>
      <c r="I1065" s="12" t="str">
        <f t="array" ref="I1065">IFERROR(INDEX(atlas!B:B,MATCH(A1065,atlas!C:C,0)),"")</f>
        <v/>
      </c>
      <c r="J1065" s="8" t="str">
        <f>IFERROR(VLOOKUP(F1065,tecnica!A:B,2,0),"")</f>
        <v/>
      </c>
      <c r="K1065" s="8" t="str">
        <f>IFERROR(VLOOKUP(J1065,tecnica!B:C,2,0),"")</f>
        <v/>
      </c>
      <c r="L1065" s="13"/>
      <c r="M1065" s="14" t="str">
        <f>IFERROR(VLOOKUP(I1065,material!A:D,4,0),"")</f>
        <v/>
      </c>
      <c r="N1065" s="14" t="str">
        <f t="shared" si="1"/>
        <v/>
      </c>
      <c r="O1065" s="15" t="str">
        <f>IFERROR(VLOOKUP(I1065,material!A:D,2,0),"")</f>
        <v/>
      </c>
    </row>
    <row r="1066">
      <c r="A1066" s="6"/>
      <c r="B1066" s="7"/>
      <c r="C1066" s="8" t="str">
        <f t="array" ref="C1066">IFERROR(INDEX(atlas!H:H,MATCH(A1066,atlas!C:C,0)),"")</f>
        <v/>
      </c>
      <c r="D1066" s="8" t="str">
        <f t="array" ref="D1066">IFERROR(INDEX(atlas!D:D,MATCH(A1066,atlas!C:C,0)),"")</f>
        <v/>
      </c>
      <c r="E1066" s="8" t="str">
        <f t="array" ref="E1066">IFERROR(INDEX(atlas!F:F,MATCH(A1066,atlas!C:C,0)),"")</f>
        <v/>
      </c>
      <c r="F1066" s="9"/>
      <c r="G1066" s="10"/>
      <c r="H1066" s="11"/>
      <c r="I1066" s="12" t="str">
        <f t="array" ref="I1066">IFERROR(INDEX(atlas!B:B,MATCH(A1066,atlas!C:C,0)),"")</f>
        <v/>
      </c>
      <c r="J1066" s="8" t="str">
        <f>IFERROR(VLOOKUP(F1066,tecnica!A:B,2,0),"")</f>
        <v/>
      </c>
      <c r="K1066" s="8" t="str">
        <f>IFERROR(VLOOKUP(J1066,tecnica!B:C,2,0),"")</f>
        <v/>
      </c>
      <c r="L1066" s="13"/>
      <c r="M1066" s="14" t="str">
        <f>IFERROR(VLOOKUP(I1066,material!A:D,4,0),"")</f>
        <v/>
      </c>
      <c r="N1066" s="14" t="str">
        <f t="shared" si="1"/>
        <v/>
      </c>
      <c r="O1066" s="15" t="str">
        <f>IFERROR(VLOOKUP(I1066,material!A:D,2,0),"")</f>
        <v/>
      </c>
    </row>
    <row r="1067">
      <c r="A1067" s="6"/>
      <c r="B1067" s="7"/>
      <c r="C1067" s="8" t="str">
        <f t="array" ref="C1067">IFERROR(INDEX(atlas!H:H,MATCH(A1067,atlas!C:C,0)),"")</f>
        <v/>
      </c>
      <c r="D1067" s="8" t="str">
        <f t="array" ref="D1067">IFERROR(INDEX(atlas!D:D,MATCH(A1067,atlas!C:C,0)),"")</f>
        <v/>
      </c>
      <c r="E1067" s="8" t="str">
        <f t="array" ref="E1067">IFERROR(INDEX(atlas!F:F,MATCH(A1067,atlas!C:C,0)),"")</f>
        <v/>
      </c>
      <c r="F1067" s="9"/>
      <c r="G1067" s="10"/>
      <c r="H1067" s="11"/>
      <c r="I1067" s="12" t="str">
        <f t="array" ref="I1067">IFERROR(INDEX(atlas!B:B,MATCH(A1067,atlas!C:C,0)),"")</f>
        <v/>
      </c>
      <c r="J1067" s="8" t="str">
        <f>IFERROR(VLOOKUP(F1067,tecnica!A:B,2,0),"")</f>
        <v/>
      </c>
      <c r="K1067" s="8" t="str">
        <f>IFERROR(VLOOKUP(J1067,tecnica!B:C,2,0),"")</f>
        <v/>
      </c>
      <c r="L1067" s="13"/>
      <c r="M1067" s="14" t="str">
        <f>IFERROR(VLOOKUP(I1067,material!A:D,4,0),"")</f>
        <v/>
      </c>
      <c r="N1067" s="14" t="str">
        <f t="shared" si="1"/>
        <v/>
      </c>
      <c r="O1067" s="15" t="str">
        <f>IFERROR(VLOOKUP(I1067,material!A:D,2,0),"")</f>
        <v/>
      </c>
    </row>
    <row r="1068">
      <c r="A1068" s="6"/>
      <c r="B1068" s="7"/>
      <c r="C1068" s="8" t="str">
        <f t="array" ref="C1068">IFERROR(INDEX(atlas!H:H,MATCH(A1068,atlas!C:C,0)),"")</f>
        <v/>
      </c>
      <c r="D1068" s="8" t="str">
        <f t="array" ref="D1068">IFERROR(INDEX(atlas!D:D,MATCH(A1068,atlas!C:C,0)),"")</f>
        <v/>
      </c>
      <c r="E1068" s="8" t="str">
        <f t="array" ref="E1068">IFERROR(INDEX(atlas!F:F,MATCH(A1068,atlas!C:C,0)),"")</f>
        <v/>
      </c>
      <c r="F1068" s="9"/>
      <c r="G1068" s="10"/>
      <c r="H1068" s="11"/>
      <c r="I1068" s="12" t="str">
        <f t="array" ref="I1068">IFERROR(INDEX(atlas!B:B,MATCH(A1068,atlas!C:C,0)),"")</f>
        <v/>
      </c>
      <c r="J1068" s="8" t="str">
        <f>IFERROR(VLOOKUP(F1068,tecnica!A:B,2,0),"")</f>
        <v/>
      </c>
      <c r="K1068" s="8" t="str">
        <f>IFERROR(VLOOKUP(J1068,tecnica!B:C,2,0),"")</f>
        <v/>
      </c>
      <c r="L1068" s="13"/>
      <c r="M1068" s="14" t="str">
        <f>IFERROR(VLOOKUP(I1068,material!A:D,4,0),"")</f>
        <v/>
      </c>
      <c r="N1068" s="14" t="str">
        <f t="shared" si="1"/>
        <v/>
      </c>
      <c r="O1068" s="15" t="str">
        <f>IFERROR(VLOOKUP(I1068,material!A:D,2,0),"")</f>
        <v/>
      </c>
    </row>
    <row r="1069">
      <c r="A1069" s="6"/>
      <c r="B1069" s="7"/>
      <c r="C1069" s="8" t="str">
        <f t="array" ref="C1069">IFERROR(INDEX(atlas!H:H,MATCH(A1069,atlas!C:C,0)),"")</f>
        <v/>
      </c>
      <c r="D1069" s="8" t="str">
        <f t="array" ref="D1069">IFERROR(INDEX(atlas!D:D,MATCH(A1069,atlas!C:C,0)),"")</f>
        <v/>
      </c>
      <c r="E1069" s="8" t="str">
        <f t="array" ref="E1069">IFERROR(INDEX(atlas!F:F,MATCH(A1069,atlas!C:C,0)),"")</f>
        <v/>
      </c>
      <c r="F1069" s="9"/>
      <c r="G1069" s="10"/>
      <c r="H1069" s="11"/>
      <c r="I1069" s="12" t="str">
        <f t="array" ref="I1069">IFERROR(INDEX(atlas!B:B,MATCH(A1069,atlas!C:C,0)),"")</f>
        <v/>
      </c>
      <c r="J1069" s="8" t="str">
        <f>IFERROR(VLOOKUP(F1069,tecnica!A:B,2,0),"")</f>
        <v/>
      </c>
      <c r="K1069" s="8" t="str">
        <f>IFERROR(VLOOKUP(J1069,tecnica!B:C,2,0),"")</f>
        <v/>
      </c>
      <c r="L1069" s="13"/>
      <c r="M1069" s="14" t="str">
        <f>IFERROR(VLOOKUP(I1069,material!A:D,4,0),"")</f>
        <v/>
      </c>
      <c r="N1069" s="14" t="str">
        <f t="shared" si="1"/>
        <v/>
      </c>
      <c r="O1069" s="15" t="str">
        <f>IFERROR(VLOOKUP(I1069,material!A:D,2,0),"")</f>
        <v/>
      </c>
    </row>
    <row r="1070">
      <c r="A1070" s="6"/>
      <c r="B1070" s="7"/>
      <c r="C1070" s="8" t="str">
        <f t="array" ref="C1070">IFERROR(INDEX(atlas!H:H,MATCH(A1070,atlas!C:C,0)),"")</f>
        <v/>
      </c>
      <c r="D1070" s="8" t="str">
        <f t="array" ref="D1070">IFERROR(INDEX(atlas!D:D,MATCH(A1070,atlas!C:C,0)),"")</f>
        <v/>
      </c>
      <c r="E1070" s="8" t="str">
        <f t="array" ref="E1070">IFERROR(INDEX(atlas!F:F,MATCH(A1070,atlas!C:C,0)),"")</f>
        <v/>
      </c>
      <c r="F1070" s="9"/>
      <c r="G1070" s="10"/>
      <c r="H1070" s="11"/>
      <c r="I1070" s="12" t="str">
        <f t="array" ref="I1070">IFERROR(INDEX(atlas!B:B,MATCH(A1070,atlas!C:C,0)),"")</f>
        <v/>
      </c>
      <c r="J1070" s="8" t="str">
        <f>IFERROR(VLOOKUP(F1070,tecnica!A:B,2,0),"")</f>
        <v/>
      </c>
      <c r="K1070" s="8" t="str">
        <f>IFERROR(VLOOKUP(J1070,tecnica!B:C,2,0),"")</f>
        <v/>
      </c>
      <c r="L1070" s="13"/>
      <c r="M1070" s="14" t="str">
        <f>IFERROR(VLOOKUP(I1070,material!A:D,4,0),"")</f>
        <v/>
      </c>
      <c r="N1070" s="14" t="str">
        <f t="shared" si="1"/>
        <v/>
      </c>
      <c r="O1070" s="15" t="str">
        <f>IFERROR(VLOOKUP(I1070,material!A:D,2,0),"")</f>
        <v/>
      </c>
    </row>
    <row r="1071">
      <c r="A1071" s="6"/>
      <c r="B1071" s="7"/>
      <c r="C1071" s="8" t="str">
        <f t="array" ref="C1071">IFERROR(INDEX(atlas!H:H,MATCH(A1071,atlas!C:C,0)),"")</f>
        <v/>
      </c>
      <c r="D1071" s="8" t="str">
        <f t="array" ref="D1071">IFERROR(INDEX(atlas!D:D,MATCH(A1071,atlas!C:C,0)),"")</f>
        <v/>
      </c>
      <c r="E1071" s="8" t="str">
        <f t="array" ref="E1071">IFERROR(INDEX(atlas!F:F,MATCH(A1071,atlas!C:C,0)),"")</f>
        <v/>
      </c>
      <c r="F1071" s="9"/>
      <c r="G1071" s="10"/>
      <c r="H1071" s="11"/>
      <c r="I1071" s="12" t="str">
        <f t="array" ref="I1071">IFERROR(INDEX(atlas!B:B,MATCH(A1071,atlas!C:C,0)),"")</f>
        <v/>
      </c>
      <c r="J1071" s="8" t="str">
        <f>IFERROR(VLOOKUP(F1071,tecnica!A:B,2,0),"")</f>
        <v/>
      </c>
      <c r="K1071" s="8" t="str">
        <f>IFERROR(VLOOKUP(J1071,tecnica!B:C,2,0),"")</f>
        <v/>
      </c>
      <c r="L1071" s="13"/>
      <c r="M1071" s="14" t="str">
        <f>IFERROR(VLOOKUP(I1071,material!A:D,4,0),"")</f>
        <v/>
      </c>
      <c r="N1071" s="14" t="str">
        <f t="shared" si="1"/>
        <v/>
      </c>
      <c r="O1071" s="15" t="str">
        <f>IFERROR(VLOOKUP(I1071,material!A:D,2,0),"")</f>
        <v/>
      </c>
    </row>
    <row r="1072">
      <c r="A1072" s="6"/>
      <c r="B1072" s="7"/>
      <c r="C1072" s="8" t="str">
        <f t="array" ref="C1072">IFERROR(INDEX(atlas!H:H,MATCH(A1072,atlas!C:C,0)),"")</f>
        <v/>
      </c>
      <c r="D1072" s="8" t="str">
        <f t="array" ref="D1072">IFERROR(INDEX(atlas!D:D,MATCH(A1072,atlas!C:C,0)),"")</f>
        <v/>
      </c>
      <c r="E1072" s="8" t="str">
        <f t="array" ref="E1072">IFERROR(INDEX(atlas!F:F,MATCH(A1072,atlas!C:C,0)),"")</f>
        <v/>
      </c>
      <c r="F1072" s="9"/>
      <c r="G1072" s="10"/>
      <c r="H1072" s="11"/>
      <c r="I1072" s="12" t="str">
        <f t="array" ref="I1072">IFERROR(INDEX(atlas!B:B,MATCH(A1072,atlas!C:C,0)),"")</f>
        <v/>
      </c>
      <c r="J1072" s="8" t="str">
        <f>IFERROR(VLOOKUP(F1072,tecnica!A:B,2,0),"")</f>
        <v/>
      </c>
      <c r="K1072" s="8" t="str">
        <f>IFERROR(VLOOKUP(J1072,tecnica!B:C,2,0),"")</f>
        <v/>
      </c>
      <c r="L1072" s="13"/>
      <c r="M1072" s="14" t="str">
        <f>IFERROR(VLOOKUP(I1072,material!A:D,4,0),"")</f>
        <v/>
      </c>
      <c r="N1072" s="14" t="str">
        <f t="shared" si="1"/>
        <v/>
      </c>
      <c r="O1072" s="15" t="str">
        <f>IFERROR(VLOOKUP(I1072,material!A:D,2,0),"")</f>
        <v/>
      </c>
    </row>
    <row r="1073">
      <c r="A1073" s="6"/>
      <c r="B1073" s="7"/>
      <c r="C1073" s="8" t="str">
        <f t="array" ref="C1073">IFERROR(INDEX(atlas!H:H,MATCH(A1073,atlas!C:C,0)),"")</f>
        <v/>
      </c>
      <c r="D1073" s="8" t="str">
        <f t="array" ref="D1073">IFERROR(INDEX(atlas!D:D,MATCH(A1073,atlas!C:C,0)),"")</f>
        <v/>
      </c>
      <c r="E1073" s="8" t="str">
        <f t="array" ref="E1073">IFERROR(INDEX(atlas!F:F,MATCH(A1073,atlas!C:C,0)),"")</f>
        <v/>
      </c>
      <c r="F1073" s="9"/>
      <c r="G1073" s="10"/>
      <c r="H1073" s="11"/>
      <c r="I1073" s="12" t="str">
        <f t="array" ref="I1073">IFERROR(INDEX(atlas!B:B,MATCH(A1073,atlas!C:C,0)),"")</f>
        <v/>
      </c>
      <c r="J1073" s="8" t="str">
        <f>IFERROR(VLOOKUP(F1073,tecnica!A:B,2,0),"")</f>
        <v/>
      </c>
      <c r="K1073" s="8" t="str">
        <f>IFERROR(VLOOKUP(J1073,tecnica!B:C,2,0),"")</f>
        <v/>
      </c>
      <c r="L1073" s="13"/>
      <c r="M1073" s="14" t="str">
        <f>IFERROR(VLOOKUP(I1073,material!A:D,4,0),"")</f>
        <v/>
      </c>
      <c r="N1073" s="14" t="str">
        <f t="shared" si="1"/>
        <v/>
      </c>
      <c r="O1073" s="15" t="str">
        <f>IFERROR(VLOOKUP(I1073,material!A:D,2,0),"")</f>
        <v/>
      </c>
    </row>
    <row r="1074">
      <c r="A1074" s="6"/>
      <c r="B1074" s="7"/>
      <c r="C1074" s="8" t="str">
        <f t="array" ref="C1074">IFERROR(INDEX(atlas!H:H,MATCH(A1074,atlas!C:C,0)),"")</f>
        <v/>
      </c>
      <c r="D1074" s="8" t="str">
        <f t="array" ref="D1074">IFERROR(INDEX(atlas!D:D,MATCH(A1074,atlas!C:C,0)),"")</f>
        <v/>
      </c>
      <c r="E1074" s="8" t="str">
        <f t="array" ref="E1074">IFERROR(INDEX(atlas!F:F,MATCH(A1074,atlas!C:C,0)),"")</f>
        <v/>
      </c>
      <c r="F1074" s="9"/>
      <c r="G1074" s="10"/>
      <c r="H1074" s="11"/>
      <c r="I1074" s="12" t="str">
        <f t="array" ref="I1074">IFERROR(INDEX(atlas!B:B,MATCH(A1074,atlas!C:C,0)),"")</f>
        <v/>
      </c>
      <c r="J1074" s="8" t="str">
        <f>IFERROR(VLOOKUP(F1074,tecnica!A:B,2,0),"")</f>
        <v/>
      </c>
      <c r="K1074" s="8" t="str">
        <f>IFERROR(VLOOKUP(J1074,tecnica!B:C,2,0),"")</f>
        <v/>
      </c>
      <c r="L1074" s="13"/>
      <c r="M1074" s="14" t="str">
        <f>IFERROR(VLOOKUP(I1074,material!A:D,4,0),"")</f>
        <v/>
      </c>
      <c r="N1074" s="14" t="str">
        <f t="shared" si="1"/>
        <v/>
      </c>
      <c r="O1074" s="15" t="str">
        <f>IFERROR(VLOOKUP(I1074,material!A:D,2,0),"")</f>
        <v/>
      </c>
    </row>
    <row r="1075">
      <c r="A1075" s="6"/>
      <c r="B1075" s="7"/>
      <c r="C1075" s="8" t="str">
        <f t="array" ref="C1075">IFERROR(INDEX(atlas!H:H,MATCH(A1075,atlas!C:C,0)),"")</f>
        <v/>
      </c>
      <c r="D1075" s="8" t="str">
        <f t="array" ref="D1075">IFERROR(INDEX(atlas!D:D,MATCH(A1075,atlas!C:C,0)),"")</f>
        <v/>
      </c>
      <c r="E1075" s="8" t="str">
        <f t="array" ref="E1075">IFERROR(INDEX(atlas!F:F,MATCH(A1075,atlas!C:C,0)),"")</f>
        <v/>
      </c>
      <c r="F1075" s="9"/>
      <c r="G1075" s="10"/>
      <c r="H1075" s="11"/>
      <c r="I1075" s="12" t="str">
        <f t="array" ref="I1075">IFERROR(INDEX(atlas!B:B,MATCH(A1075,atlas!C:C,0)),"")</f>
        <v/>
      </c>
      <c r="J1075" s="8" t="str">
        <f>IFERROR(VLOOKUP(F1075,tecnica!A:B,2,0),"")</f>
        <v/>
      </c>
      <c r="K1075" s="8" t="str">
        <f>IFERROR(VLOOKUP(J1075,tecnica!B:C,2,0),"")</f>
        <v/>
      </c>
      <c r="L1075" s="13"/>
      <c r="M1075" s="14" t="str">
        <f>IFERROR(VLOOKUP(I1075,material!A:D,4,0),"")</f>
        <v/>
      </c>
      <c r="N1075" s="14" t="str">
        <f t="shared" si="1"/>
        <v/>
      </c>
      <c r="O1075" s="15" t="str">
        <f>IFERROR(VLOOKUP(I1075,material!A:D,2,0),"")</f>
        <v/>
      </c>
    </row>
    <row r="1076">
      <c r="A1076" s="6"/>
      <c r="B1076" s="7"/>
      <c r="C1076" s="8" t="str">
        <f t="array" ref="C1076">IFERROR(INDEX(atlas!H:H,MATCH(A1076,atlas!C:C,0)),"")</f>
        <v/>
      </c>
      <c r="D1076" s="8" t="str">
        <f t="array" ref="D1076">IFERROR(INDEX(atlas!D:D,MATCH(A1076,atlas!C:C,0)),"")</f>
        <v/>
      </c>
      <c r="E1076" s="8" t="str">
        <f t="array" ref="E1076">IFERROR(INDEX(atlas!F:F,MATCH(A1076,atlas!C:C,0)),"")</f>
        <v/>
      </c>
      <c r="F1076" s="9"/>
      <c r="G1076" s="10"/>
      <c r="H1076" s="11"/>
      <c r="I1076" s="12" t="str">
        <f t="array" ref="I1076">IFERROR(INDEX(atlas!B:B,MATCH(A1076,atlas!C:C,0)),"")</f>
        <v/>
      </c>
      <c r="J1076" s="8" t="str">
        <f>IFERROR(VLOOKUP(F1076,tecnica!A:B,2,0),"")</f>
        <v/>
      </c>
      <c r="K1076" s="8" t="str">
        <f>IFERROR(VLOOKUP(J1076,tecnica!B:C,2,0),"")</f>
        <v/>
      </c>
      <c r="L1076" s="13"/>
      <c r="M1076" s="14" t="str">
        <f>IFERROR(VLOOKUP(I1076,material!A:D,4,0),"")</f>
        <v/>
      </c>
      <c r="N1076" s="14" t="str">
        <f t="shared" si="1"/>
        <v/>
      </c>
      <c r="O1076" s="15" t="str">
        <f>IFERROR(VLOOKUP(I1076,material!A:D,2,0),"")</f>
        <v/>
      </c>
    </row>
    <row r="1077">
      <c r="A1077" s="6"/>
      <c r="B1077" s="7"/>
      <c r="C1077" s="8" t="str">
        <f t="array" ref="C1077">IFERROR(INDEX(atlas!H:H,MATCH(A1077,atlas!C:C,0)),"")</f>
        <v/>
      </c>
      <c r="D1077" s="8" t="str">
        <f t="array" ref="D1077">IFERROR(INDEX(atlas!D:D,MATCH(A1077,atlas!C:C,0)),"")</f>
        <v/>
      </c>
      <c r="E1077" s="8" t="str">
        <f t="array" ref="E1077">IFERROR(INDEX(atlas!F:F,MATCH(A1077,atlas!C:C,0)),"")</f>
        <v/>
      </c>
      <c r="F1077" s="9"/>
      <c r="G1077" s="10"/>
      <c r="H1077" s="11"/>
      <c r="I1077" s="12" t="str">
        <f t="array" ref="I1077">IFERROR(INDEX(atlas!B:B,MATCH(A1077,atlas!C:C,0)),"")</f>
        <v/>
      </c>
      <c r="J1077" s="8" t="str">
        <f>IFERROR(VLOOKUP(F1077,tecnica!A:B,2,0),"")</f>
        <v/>
      </c>
      <c r="K1077" s="8" t="str">
        <f>IFERROR(VLOOKUP(J1077,tecnica!B:C,2,0),"")</f>
        <v/>
      </c>
      <c r="L1077" s="13"/>
      <c r="M1077" s="14" t="str">
        <f>IFERROR(VLOOKUP(I1077,material!A:D,4,0),"")</f>
        <v/>
      </c>
      <c r="N1077" s="14" t="str">
        <f t="shared" si="1"/>
        <v/>
      </c>
      <c r="O1077" s="15" t="str">
        <f>IFERROR(VLOOKUP(I1077,material!A:D,2,0),"")</f>
        <v/>
      </c>
    </row>
    <row r="1078">
      <c r="A1078" s="6"/>
      <c r="B1078" s="7"/>
      <c r="C1078" s="8" t="str">
        <f t="array" ref="C1078">IFERROR(INDEX(atlas!H:H,MATCH(A1078,atlas!C:C,0)),"")</f>
        <v/>
      </c>
      <c r="D1078" s="8" t="str">
        <f t="array" ref="D1078">IFERROR(INDEX(atlas!D:D,MATCH(A1078,atlas!C:C,0)),"")</f>
        <v/>
      </c>
      <c r="E1078" s="8" t="str">
        <f t="array" ref="E1078">IFERROR(INDEX(atlas!F:F,MATCH(A1078,atlas!C:C,0)),"")</f>
        <v/>
      </c>
      <c r="F1078" s="9"/>
      <c r="G1078" s="10"/>
      <c r="H1078" s="11"/>
      <c r="I1078" s="12" t="str">
        <f t="array" ref="I1078">IFERROR(INDEX(atlas!B:B,MATCH(A1078,atlas!C:C,0)),"")</f>
        <v/>
      </c>
      <c r="J1078" s="8" t="str">
        <f>IFERROR(VLOOKUP(F1078,tecnica!A:B,2,0),"")</f>
        <v/>
      </c>
      <c r="K1078" s="8" t="str">
        <f>IFERROR(VLOOKUP(J1078,tecnica!B:C,2,0),"")</f>
        <v/>
      </c>
      <c r="L1078" s="13"/>
      <c r="M1078" s="14" t="str">
        <f>IFERROR(VLOOKUP(I1078,material!A:D,4,0),"")</f>
        <v/>
      </c>
      <c r="N1078" s="14" t="str">
        <f t="shared" si="1"/>
        <v/>
      </c>
      <c r="O1078" s="15" t="str">
        <f>IFERROR(VLOOKUP(I1078,material!A:D,2,0),"")</f>
        <v/>
      </c>
    </row>
    <row r="1079">
      <c r="A1079" s="6"/>
      <c r="B1079" s="7"/>
      <c r="C1079" s="8" t="str">
        <f t="array" ref="C1079">IFERROR(INDEX(atlas!H:H,MATCH(A1079,atlas!C:C,0)),"")</f>
        <v/>
      </c>
      <c r="D1079" s="8" t="str">
        <f t="array" ref="D1079">IFERROR(INDEX(atlas!D:D,MATCH(A1079,atlas!C:C,0)),"")</f>
        <v/>
      </c>
      <c r="E1079" s="8" t="str">
        <f t="array" ref="E1079">IFERROR(INDEX(atlas!F:F,MATCH(A1079,atlas!C:C,0)),"")</f>
        <v/>
      </c>
      <c r="F1079" s="9"/>
      <c r="G1079" s="10"/>
      <c r="H1079" s="11"/>
      <c r="I1079" s="12" t="str">
        <f t="array" ref="I1079">IFERROR(INDEX(atlas!B:B,MATCH(A1079,atlas!C:C,0)),"")</f>
        <v/>
      </c>
      <c r="J1079" s="8" t="str">
        <f>IFERROR(VLOOKUP(F1079,tecnica!A:B,2,0),"")</f>
        <v/>
      </c>
      <c r="K1079" s="8" t="str">
        <f>IFERROR(VLOOKUP(J1079,tecnica!B:C,2,0),"")</f>
        <v/>
      </c>
      <c r="L1079" s="13"/>
      <c r="M1079" s="14" t="str">
        <f>IFERROR(VLOOKUP(I1079,material!A:D,4,0),"")</f>
        <v/>
      </c>
      <c r="N1079" s="14" t="str">
        <f t="shared" si="1"/>
        <v/>
      </c>
      <c r="O1079" s="15" t="str">
        <f>IFERROR(VLOOKUP(I1079,material!A:D,2,0),"")</f>
        <v/>
      </c>
    </row>
    <row r="1080">
      <c r="A1080" s="6"/>
      <c r="B1080" s="7"/>
      <c r="C1080" s="8" t="str">
        <f t="array" ref="C1080">IFERROR(INDEX(atlas!H:H,MATCH(A1080,atlas!C:C,0)),"")</f>
        <v/>
      </c>
      <c r="D1080" s="8" t="str">
        <f t="array" ref="D1080">IFERROR(INDEX(atlas!D:D,MATCH(A1080,atlas!C:C,0)),"")</f>
        <v/>
      </c>
      <c r="E1080" s="8" t="str">
        <f t="array" ref="E1080">IFERROR(INDEX(atlas!F:F,MATCH(A1080,atlas!C:C,0)),"")</f>
        <v/>
      </c>
      <c r="F1080" s="9"/>
      <c r="G1080" s="10"/>
      <c r="H1080" s="11"/>
      <c r="I1080" s="12" t="str">
        <f t="array" ref="I1080">IFERROR(INDEX(atlas!B:B,MATCH(A1080,atlas!C:C,0)),"")</f>
        <v/>
      </c>
      <c r="J1080" s="8" t="str">
        <f>IFERROR(VLOOKUP(F1080,tecnica!A:B,2,0),"")</f>
        <v/>
      </c>
      <c r="K1080" s="8" t="str">
        <f>IFERROR(VLOOKUP(J1080,tecnica!B:C,2,0),"")</f>
        <v/>
      </c>
      <c r="L1080" s="13"/>
      <c r="M1080" s="14" t="str">
        <f>IFERROR(VLOOKUP(I1080,material!A:D,4,0),"")</f>
        <v/>
      </c>
      <c r="N1080" s="14" t="str">
        <f t="shared" si="1"/>
        <v/>
      </c>
      <c r="O1080" s="15" t="str">
        <f>IFERROR(VLOOKUP(I1080,material!A:D,2,0),"")</f>
        <v/>
      </c>
    </row>
    <row r="1081">
      <c r="A1081" s="6"/>
      <c r="B1081" s="7"/>
      <c r="C1081" s="8" t="str">
        <f t="array" ref="C1081">IFERROR(INDEX(atlas!H:H,MATCH(A1081,atlas!C:C,0)),"")</f>
        <v/>
      </c>
      <c r="D1081" s="8" t="str">
        <f t="array" ref="D1081">IFERROR(INDEX(atlas!D:D,MATCH(A1081,atlas!C:C,0)),"")</f>
        <v/>
      </c>
      <c r="E1081" s="8" t="str">
        <f t="array" ref="E1081">IFERROR(INDEX(atlas!F:F,MATCH(A1081,atlas!C:C,0)),"")</f>
        <v/>
      </c>
      <c r="F1081" s="9"/>
      <c r="G1081" s="10"/>
      <c r="H1081" s="11"/>
      <c r="I1081" s="12" t="str">
        <f t="array" ref="I1081">IFERROR(INDEX(atlas!B:B,MATCH(A1081,atlas!C:C,0)),"")</f>
        <v/>
      </c>
      <c r="J1081" s="8" t="str">
        <f>IFERROR(VLOOKUP(F1081,tecnica!A:B,2,0),"")</f>
        <v/>
      </c>
      <c r="K1081" s="8" t="str">
        <f>IFERROR(VLOOKUP(J1081,tecnica!B:C,2,0),"")</f>
        <v/>
      </c>
      <c r="L1081" s="13"/>
      <c r="M1081" s="14" t="str">
        <f>IFERROR(VLOOKUP(I1081,material!A:D,4,0),"")</f>
        <v/>
      </c>
      <c r="N1081" s="14" t="str">
        <f t="shared" si="1"/>
        <v/>
      </c>
      <c r="O1081" s="15" t="str">
        <f>IFERROR(VLOOKUP(I1081,material!A:D,2,0),"")</f>
        <v/>
      </c>
    </row>
    <row r="1082">
      <c r="A1082" s="6"/>
      <c r="B1082" s="7"/>
      <c r="C1082" s="8" t="str">
        <f t="array" ref="C1082">IFERROR(INDEX(atlas!H:H,MATCH(A1082,atlas!C:C,0)),"")</f>
        <v/>
      </c>
      <c r="D1082" s="8" t="str">
        <f t="array" ref="D1082">IFERROR(INDEX(atlas!D:D,MATCH(A1082,atlas!C:C,0)),"")</f>
        <v/>
      </c>
      <c r="E1082" s="8" t="str">
        <f t="array" ref="E1082">IFERROR(INDEX(atlas!F:F,MATCH(A1082,atlas!C:C,0)),"")</f>
        <v/>
      </c>
      <c r="F1082" s="9"/>
      <c r="G1082" s="10"/>
      <c r="H1082" s="11"/>
      <c r="I1082" s="12" t="str">
        <f t="array" ref="I1082">IFERROR(INDEX(atlas!B:B,MATCH(A1082,atlas!C:C,0)),"")</f>
        <v/>
      </c>
      <c r="J1082" s="8" t="str">
        <f>IFERROR(VLOOKUP(F1082,tecnica!A:B,2,0),"")</f>
        <v/>
      </c>
      <c r="K1082" s="8" t="str">
        <f>IFERROR(VLOOKUP(J1082,tecnica!B:C,2,0),"")</f>
        <v/>
      </c>
      <c r="L1082" s="13"/>
      <c r="M1082" s="14" t="str">
        <f>IFERROR(VLOOKUP(I1082,material!A:D,4,0),"")</f>
        <v/>
      </c>
      <c r="N1082" s="14" t="str">
        <f t="shared" si="1"/>
        <v/>
      </c>
      <c r="O1082" s="15" t="str">
        <f>IFERROR(VLOOKUP(I1082,material!A:D,2,0),"")</f>
        <v/>
      </c>
    </row>
    <row r="1083">
      <c r="A1083" s="6"/>
      <c r="B1083" s="7"/>
      <c r="C1083" s="8" t="str">
        <f t="array" ref="C1083">IFERROR(INDEX(atlas!H:H,MATCH(A1083,atlas!C:C,0)),"")</f>
        <v/>
      </c>
      <c r="D1083" s="8" t="str">
        <f t="array" ref="D1083">IFERROR(INDEX(atlas!D:D,MATCH(A1083,atlas!C:C,0)),"")</f>
        <v/>
      </c>
      <c r="E1083" s="8" t="str">
        <f t="array" ref="E1083">IFERROR(INDEX(atlas!F:F,MATCH(A1083,atlas!C:C,0)),"")</f>
        <v/>
      </c>
      <c r="F1083" s="9"/>
      <c r="G1083" s="10"/>
      <c r="H1083" s="11"/>
      <c r="I1083" s="12" t="str">
        <f t="array" ref="I1083">IFERROR(INDEX(atlas!B:B,MATCH(A1083,atlas!C:C,0)),"")</f>
        <v/>
      </c>
      <c r="J1083" s="8" t="str">
        <f>IFERROR(VLOOKUP(F1083,tecnica!A:B,2,0),"")</f>
        <v/>
      </c>
      <c r="K1083" s="8" t="str">
        <f>IFERROR(VLOOKUP(J1083,tecnica!B:C,2,0),"")</f>
        <v/>
      </c>
      <c r="L1083" s="13"/>
      <c r="M1083" s="14" t="str">
        <f>IFERROR(VLOOKUP(I1083,material!A:D,4,0),"")</f>
        <v/>
      </c>
      <c r="N1083" s="14" t="str">
        <f t="shared" si="1"/>
        <v/>
      </c>
      <c r="O1083" s="15" t="str">
        <f>IFERROR(VLOOKUP(I1083,material!A:D,2,0),"")</f>
        <v/>
      </c>
    </row>
    <row r="1084">
      <c r="A1084" s="6"/>
      <c r="B1084" s="7"/>
      <c r="C1084" s="8" t="str">
        <f t="array" ref="C1084">IFERROR(INDEX(atlas!H:H,MATCH(A1084,atlas!C:C,0)),"")</f>
        <v/>
      </c>
      <c r="D1084" s="8" t="str">
        <f t="array" ref="D1084">IFERROR(INDEX(atlas!D:D,MATCH(A1084,atlas!C:C,0)),"")</f>
        <v/>
      </c>
      <c r="E1084" s="8" t="str">
        <f t="array" ref="E1084">IFERROR(INDEX(atlas!F:F,MATCH(A1084,atlas!C:C,0)),"")</f>
        <v/>
      </c>
      <c r="F1084" s="9"/>
      <c r="G1084" s="10"/>
      <c r="H1084" s="11"/>
      <c r="I1084" s="12" t="str">
        <f t="array" ref="I1084">IFERROR(INDEX(atlas!B:B,MATCH(A1084,atlas!C:C,0)),"")</f>
        <v/>
      </c>
      <c r="J1084" s="8" t="str">
        <f>IFERROR(VLOOKUP(F1084,tecnica!A:B,2,0),"")</f>
        <v/>
      </c>
      <c r="K1084" s="8" t="str">
        <f>IFERROR(VLOOKUP(J1084,tecnica!B:C,2,0),"")</f>
        <v/>
      </c>
      <c r="L1084" s="13"/>
      <c r="M1084" s="14" t="str">
        <f>IFERROR(VLOOKUP(I1084,material!A:D,4,0),"")</f>
        <v/>
      </c>
      <c r="N1084" s="14" t="str">
        <f t="shared" si="1"/>
        <v/>
      </c>
      <c r="O1084" s="15" t="str">
        <f>IFERROR(VLOOKUP(I1084,material!A:D,2,0),"")</f>
        <v/>
      </c>
    </row>
    <row r="1085">
      <c r="A1085" s="6"/>
      <c r="B1085" s="7"/>
      <c r="C1085" s="8" t="str">
        <f t="array" ref="C1085">IFERROR(INDEX(atlas!H:H,MATCH(A1085,atlas!C:C,0)),"")</f>
        <v/>
      </c>
      <c r="D1085" s="8" t="str">
        <f t="array" ref="D1085">IFERROR(INDEX(atlas!D:D,MATCH(A1085,atlas!C:C,0)),"")</f>
        <v/>
      </c>
      <c r="E1085" s="8" t="str">
        <f t="array" ref="E1085">IFERROR(INDEX(atlas!F:F,MATCH(A1085,atlas!C:C,0)),"")</f>
        <v/>
      </c>
      <c r="F1085" s="9"/>
      <c r="G1085" s="10"/>
      <c r="H1085" s="11"/>
      <c r="I1085" s="12" t="str">
        <f t="array" ref="I1085">IFERROR(INDEX(atlas!B:B,MATCH(A1085,atlas!C:C,0)),"")</f>
        <v/>
      </c>
      <c r="J1085" s="8" t="str">
        <f>IFERROR(VLOOKUP(F1085,tecnica!A:B,2,0),"")</f>
        <v/>
      </c>
      <c r="K1085" s="8" t="str">
        <f>IFERROR(VLOOKUP(J1085,tecnica!B:C,2,0),"")</f>
        <v/>
      </c>
      <c r="L1085" s="13"/>
      <c r="M1085" s="14" t="str">
        <f>IFERROR(VLOOKUP(I1085,material!A:D,4,0),"")</f>
        <v/>
      </c>
      <c r="N1085" s="14" t="str">
        <f t="shared" si="1"/>
        <v/>
      </c>
      <c r="O1085" s="15" t="str">
        <f>IFERROR(VLOOKUP(I1085,material!A:D,2,0),"")</f>
        <v/>
      </c>
    </row>
    <row r="1086">
      <c r="A1086" s="6"/>
      <c r="B1086" s="7"/>
      <c r="C1086" s="8" t="str">
        <f t="array" ref="C1086">IFERROR(INDEX(atlas!H:H,MATCH(A1086,atlas!C:C,0)),"")</f>
        <v/>
      </c>
      <c r="D1086" s="8" t="str">
        <f t="array" ref="D1086">IFERROR(INDEX(atlas!D:D,MATCH(A1086,atlas!C:C,0)),"")</f>
        <v/>
      </c>
      <c r="E1086" s="8" t="str">
        <f t="array" ref="E1086">IFERROR(INDEX(atlas!F:F,MATCH(A1086,atlas!C:C,0)),"")</f>
        <v/>
      </c>
      <c r="F1086" s="9"/>
      <c r="G1086" s="10"/>
      <c r="H1086" s="11"/>
      <c r="I1086" s="12" t="str">
        <f t="array" ref="I1086">IFERROR(INDEX(atlas!B:B,MATCH(A1086,atlas!C:C,0)),"")</f>
        <v/>
      </c>
      <c r="J1086" s="8" t="str">
        <f>IFERROR(VLOOKUP(F1086,tecnica!A:B,2,0),"")</f>
        <v/>
      </c>
      <c r="K1086" s="8" t="str">
        <f>IFERROR(VLOOKUP(J1086,tecnica!B:C,2,0),"")</f>
        <v/>
      </c>
      <c r="L1086" s="13"/>
      <c r="M1086" s="14" t="str">
        <f>IFERROR(VLOOKUP(I1086,material!A:D,4,0),"")</f>
        <v/>
      </c>
      <c r="N1086" s="14" t="str">
        <f t="shared" si="1"/>
        <v/>
      </c>
      <c r="O1086" s="15" t="str">
        <f>IFERROR(VLOOKUP(I1086,material!A:D,2,0),"")</f>
        <v/>
      </c>
    </row>
    <row r="1087">
      <c r="A1087" s="6"/>
      <c r="B1087" s="7"/>
      <c r="C1087" s="8" t="str">
        <f t="array" ref="C1087">IFERROR(INDEX(atlas!H:H,MATCH(A1087,atlas!C:C,0)),"")</f>
        <v/>
      </c>
      <c r="D1087" s="8" t="str">
        <f t="array" ref="D1087">IFERROR(INDEX(atlas!D:D,MATCH(A1087,atlas!C:C,0)),"")</f>
        <v/>
      </c>
      <c r="E1087" s="8" t="str">
        <f t="array" ref="E1087">IFERROR(INDEX(atlas!F:F,MATCH(A1087,atlas!C:C,0)),"")</f>
        <v/>
      </c>
      <c r="F1087" s="9"/>
      <c r="G1087" s="10"/>
      <c r="H1087" s="11"/>
      <c r="I1087" s="12" t="str">
        <f t="array" ref="I1087">IFERROR(INDEX(atlas!B:B,MATCH(A1087,atlas!C:C,0)),"")</f>
        <v/>
      </c>
      <c r="J1087" s="8" t="str">
        <f>IFERROR(VLOOKUP(F1087,tecnica!A:B,2,0),"")</f>
        <v/>
      </c>
      <c r="K1087" s="8" t="str">
        <f>IFERROR(VLOOKUP(J1087,tecnica!B:C,2,0),"")</f>
        <v/>
      </c>
      <c r="L1087" s="13"/>
      <c r="M1087" s="14" t="str">
        <f>IFERROR(VLOOKUP(I1087,material!A:D,4,0),"")</f>
        <v/>
      </c>
      <c r="N1087" s="14" t="str">
        <f t="shared" si="1"/>
        <v/>
      </c>
      <c r="O1087" s="15" t="str">
        <f>IFERROR(VLOOKUP(I1087,material!A:D,2,0),"")</f>
        <v/>
      </c>
    </row>
    <row r="1088">
      <c r="A1088" s="6"/>
      <c r="B1088" s="7"/>
      <c r="C1088" s="8" t="str">
        <f t="array" ref="C1088">IFERROR(INDEX(atlas!H:H,MATCH(A1088,atlas!C:C,0)),"")</f>
        <v/>
      </c>
      <c r="D1088" s="8" t="str">
        <f t="array" ref="D1088">IFERROR(INDEX(atlas!D:D,MATCH(A1088,atlas!C:C,0)),"")</f>
        <v/>
      </c>
      <c r="E1088" s="8" t="str">
        <f t="array" ref="E1088">IFERROR(INDEX(atlas!F:F,MATCH(A1088,atlas!C:C,0)),"")</f>
        <v/>
      </c>
      <c r="F1088" s="9"/>
      <c r="G1088" s="10"/>
      <c r="H1088" s="11"/>
      <c r="I1088" s="12" t="str">
        <f t="array" ref="I1088">IFERROR(INDEX(atlas!B:B,MATCH(A1088,atlas!C:C,0)),"")</f>
        <v/>
      </c>
      <c r="J1088" s="8" t="str">
        <f>IFERROR(VLOOKUP(F1088,tecnica!A:B,2,0),"")</f>
        <v/>
      </c>
      <c r="K1088" s="8" t="str">
        <f>IFERROR(VLOOKUP(J1088,tecnica!B:C,2,0),"")</f>
        <v/>
      </c>
      <c r="L1088" s="13"/>
      <c r="M1088" s="14" t="str">
        <f>IFERROR(VLOOKUP(I1088,material!A:D,4,0),"")</f>
        <v/>
      </c>
      <c r="N1088" s="14" t="str">
        <f t="shared" si="1"/>
        <v/>
      </c>
      <c r="O1088" s="15" t="str">
        <f>IFERROR(VLOOKUP(I1088,material!A:D,2,0),"")</f>
        <v/>
      </c>
    </row>
    <row r="1089">
      <c r="A1089" s="6"/>
      <c r="B1089" s="7"/>
      <c r="C1089" s="8" t="str">
        <f t="array" ref="C1089">IFERROR(INDEX(atlas!H:H,MATCH(A1089,atlas!C:C,0)),"")</f>
        <v/>
      </c>
      <c r="D1089" s="8" t="str">
        <f t="array" ref="D1089">IFERROR(INDEX(atlas!D:D,MATCH(A1089,atlas!C:C,0)),"")</f>
        <v/>
      </c>
      <c r="E1089" s="8" t="str">
        <f t="array" ref="E1089">IFERROR(INDEX(atlas!F:F,MATCH(A1089,atlas!C:C,0)),"")</f>
        <v/>
      </c>
      <c r="F1089" s="9"/>
      <c r="G1089" s="10"/>
      <c r="H1089" s="11"/>
      <c r="I1089" s="12" t="str">
        <f t="array" ref="I1089">IFERROR(INDEX(atlas!B:B,MATCH(A1089,atlas!C:C,0)),"")</f>
        <v/>
      </c>
      <c r="J1089" s="8" t="str">
        <f>IFERROR(VLOOKUP(F1089,tecnica!A:B,2,0),"")</f>
        <v/>
      </c>
      <c r="K1089" s="8" t="str">
        <f>IFERROR(VLOOKUP(J1089,tecnica!B:C,2,0),"")</f>
        <v/>
      </c>
      <c r="L1089" s="13"/>
      <c r="M1089" s="14" t="str">
        <f>IFERROR(VLOOKUP(I1089,material!A:D,4,0),"")</f>
        <v/>
      </c>
      <c r="N1089" s="14" t="str">
        <f t="shared" si="1"/>
        <v/>
      </c>
      <c r="O1089" s="15" t="str">
        <f>IFERROR(VLOOKUP(I1089,material!A:D,2,0),"")</f>
        <v/>
      </c>
    </row>
    <row r="1090">
      <c r="A1090" s="6"/>
      <c r="B1090" s="7"/>
      <c r="C1090" s="8" t="str">
        <f t="array" ref="C1090">IFERROR(INDEX(atlas!H:H,MATCH(A1090,atlas!C:C,0)),"")</f>
        <v/>
      </c>
      <c r="D1090" s="8" t="str">
        <f t="array" ref="D1090">IFERROR(INDEX(atlas!D:D,MATCH(A1090,atlas!C:C,0)),"")</f>
        <v/>
      </c>
      <c r="E1090" s="8" t="str">
        <f t="array" ref="E1090">IFERROR(INDEX(atlas!F:F,MATCH(A1090,atlas!C:C,0)),"")</f>
        <v/>
      </c>
      <c r="F1090" s="9"/>
      <c r="G1090" s="10"/>
      <c r="H1090" s="11"/>
      <c r="I1090" s="12" t="str">
        <f t="array" ref="I1090">IFERROR(INDEX(atlas!B:B,MATCH(A1090,atlas!C:C,0)),"")</f>
        <v/>
      </c>
      <c r="J1090" s="8" t="str">
        <f>IFERROR(VLOOKUP(F1090,tecnica!A:B,2,0),"")</f>
        <v/>
      </c>
      <c r="K1090" s="8" t="str">
        <f>IFERROR(VLOOKUP(J1090,tecnica!B:C,2,0),"")</f>
        <v/>
      </c>
      <c r="L1090" s="13"/>
      <c r="M1090" s="14" t="str">
        <f>IFERROR(VLOOKUP(I1090,material!A:D,4,0),"")</f>
        <v/>
      </c>
      <c r="N1090" s="14" t="str">
        <f t="shared" si="1"/>
        <v/>
      </c>
      <c r="O1090" s="15" t="str">
        <f>IFERROR(VLOOKUP(I1090,material!A:D,2,0),"")</f>
        <v/>
      </c>
    </row>
    <row r="1091">
      <c r="A1091" s="6"/>
      <c r="B1091" s="7"/>
      <c r="C1091" s="8" t="str">
        <f t="array" ref="C1091">IFERROR(INDEX(atlas!H:H,MATCH(A1091,atlas!C:C,0)),"")</f>
        <v/>
      </c>
      <c r="D1091" s="8" t="str">
        <f t="array" ref="D1091">IFERROR(INDEX(atlas!D:D,MATCH(A1091,atlas!C:C,0)),"")</f>
        <v/>
      </c>
      <c r="E1091" s="8" t="str">
        <f t="array" ref="E1091">IFERROR(INDEX(atlas!F:F,MATCH(A1091,atlas!C:C,0)),"")</f>
        <v/>
      </c>
      <c r="F1091" s="9"/>
      <c r="G1091" s="10"/>
      <c r="H1091" s="11"/>
      <c r="I1091" s="12" t="str">
        <f t="array" ref="I1091">IFERROR(INDEX(atlas!B:B,MATCH(A1091,atlas!C:C,0)),"")</f>
        <v/>
      </c>
      <c r="J1091" s="8" t="str">
        <f>IFERROR(VLOOKUP(F1091,tecnica!A:B,2,0),"")</f>
        <v/>
      </c>
      <c r="K1091" s="8" t="str">
        <f>IFERROR(VLOOKUP(J1091,tecnica!B:C,2,0),"")</f>
        <v/>
      </c>
      <c r="L1091" s="13"/>
      <c r="M1091" s="14" t="str">
        <f>IFERROR(VLOOKUP(I1091,material!A:D,4,0),"")</f>
        <v/>
      </c>
      <c r="N1091" s="14" t="str">
        <f t="shared" si="1"/>
        <v/>
      </c>
      <c r="O1091" s="15" t="str">
        <f>IFERROR(VLOOKUP(I1091,material!A:D,2,0),"")</f>
        <v/>
      </c>
    </row>
    <row r="1092">
      <c r="A1092" s="6"/>
      <c r="B1092" s="7"/>
      <c r="C1092" s="8" t="str">
        <f t="array" ref="C1092">IFERROR(INDEX(atlas!H:H,MATCH(A1092,atlas!C:C,0)),"")</f>
        <v/>
      </c>
      <c r="D1092" s="8" t="str">
        <f t="array" ref="D1092">IFERROR(INDEX(atlas!D:D,MATCH(A1092,atlas!C:C,0)),"")</f>
        <v/>
      </c>
      <c r="E1092" s="8" t="str">
        <f t="array" ref="E1092">IFERROR(INDEX(atlas!F:F,MATCH(A1092,atlas!C:C,0)),"")</f>
        <v/>
      </c>
      <c r="F1092" s="9"/>
      <c r="G1092" s="10"/>
      <c r="H1092" s="11"/>
      <c r="I1092" s="12" t="str">
        <f t="array" ref="I1092">IFERROR(INDEX(atlas!B:B,MATCH(A1092,atlas!C:C,0)),"")</f>
        <v/>
      </c>
      <c r="J1092" s="8" t="str">
        <f>IFERROR(VLOOKUP(F1092,tecnica!A:B,2,0),"")</f>
        <v/>
      </c>
      <c r="K1092" s="8" t="str">
        <f>IFERROR(VLOOKUP(J1092,tecnica!B:C,2,0),"")</f>
        <v/>
      </c>
      <c r="L1092" s="13"/>
      <c r="M1092" s="14" t="str">
        <f>IFERROR(VLOOKUP(I1092,material!A:D,4,0),"")</f>
        <v/>
      </c>
      <c r="N1092" s="14" t="str">
        <f t="shared" si="1"/>
        <v/>
      </c>
      <c r="O1092" s="15" t="str">
        <f>IFERROR(VLOOKUP(I1092,material!A:D,2,0),"")</f>
        <v/>
      </c>
    </row>
    <row r="1093">
      <c r="A1093" s="6"/>
      <c r="B1093" s="7"/>
      <c r="C1093" s="8" t="str">
        <f t="array" ref="C1093">IFERROR(INDEX(atlas!H:H,MATCH(A1093,atlas!C:C,0)),"")</f>
        <v/>
      </c>
      <c r="D1093" s="8" t="str">
        <f t="array" ref="D1093">IFERROR(INDEX(atlas!D:D,MATCH(A1093,atlas!C:C,0)),"")</f>
        <v/>
      </c>
      <c r="E1093" s="8" t="str">
        <f t="array" ref="E1093">IFERROR(INDEX(atlas!F:F,MATCH(A1093,atlas!C:C,0)),"")</f>
        <v/>
      </c>
      <c r="F1093" s="9"/>
      <c r="G1093" s="10"/>
      <c r="H1093" s="11"/>
      <c r="I1093" s="12" t="str">
        <f t="array" ref="I1093">IFERROR(INDEX(atlas!B:B,MATCH(A1093,atlas!C:C,0)),"")</f>
        <v/>
      </c>
      <c r="J1093" s="8" t="str">
        <f>IFERROR(VLOOKUP(F1093,tecnica!A:B,2,0),"")</f>
        <v/>
      </c>
      <c r="K1093" s="8" t="str">
        <f>IFERROR(VLOOKUP(J1093,tecnica!B:C,2,0),"")</f>
        <v/>
      </c>
      <c r="L1093" s="13"/>
      <c r="M1093" s="14" t="str">
        <f>IFERROR(VLOOKUP(I1093,material!A:D,4,0),"")</f>
        <v/>
      </c>
      <c r="N1093" s="14" t="str">
        <f t="shared" si="1"/>
        <v/>
      </c>
      <c r="O1093" s="15" t="str">
        <f>IFERROR(VLOOKUP(I1093,material!A:D,2,0),"")</f>
        <v/>
      </c>
    </row>
    <row r="1094">
      <c r="A1094" s="6"/>
      <c r="B1094" s="7"/>
      <c r="C1094" s="8" t="str">
        <f t="array" ref="C1094">IFERROR(INDEX(atlas!H:H,MATCH(A1094,atlas!C:C,0)),"")</f>
        <v/>
      </c>
      <c r="D1094" s="8" t="str">
        <f t="array" ref="D1094">IFERROR(INDEX(atlas!D:D,MATCH(A1094,atlas!C:C,0)),"")</f>
        <v/>
      </c>
      <c r="E1094" s="8" t="str">
        <f t="array" ref="E1094">IFERROR(INDEX(atlas!F:F,MATCH(A1094,atlas!C:C,0)),"")</f>
        <v/>
      </c>
      <c r="F1094" s="9"/>
      <c r="G1094" s="10"/>
      <c r="H1094" s="11"/>
      <c r="I1094" s="12" t="str">
        <f t="array" ref="I1094">IFERROR(INDEX(atlas!B:B,MATCH(A1094,atlas!C:C,0)),"")</f>
        <v/>
      </c>
      <c r="J1094" s="8" t="str">
        <f>IFERROR(VLOOKUP(F1094,tecnica!A:B,2,0),"")</f>
        <v/>
      </c>
      <c r="K1094" s="8" t="str">
        <f>IFERROR(VLOOKUP(J1094,tecnica!B:C,2,0),"")</f>
        <v/>
      </c>
      <c r="L1094" s="13"/>
      <c r="M1094" s="14" t="str">
        <f>IFERROR(VLOOKUP(I1094,material!A:D,4,0),"")</f>
        <v/>
      </c>
      <c r="N1094" s="14" t="str">
        <f t="shared" si="1"/>
        <v/>
      </c>
      <c r="O1094" s="15" t="str">
        <f>IFERROR(VLOOKUP(I1094,material!A:D,2,0),"")</f>
        <v/>
      </c>
    </row>
    <row r="1095">
      <c r="A1095" s="6"/>
      <c r="B1095" s="7"/>
      <c r="C1095" s="8" t="str">
        <f t="array" ref="C1095">IFERROR(INDEX(atlas!H:H,MATCH(A1095,atlas!C:C,0)),"")</f>
        <v/>
      </c>
      <c r="D1095" s="8" t="str">
        <f t="array" ref="D1095">IFERROR(INDEX(atlas!D:D,MATCH(A1095,atlas!C:C,0)),"")</f>
        <v/>
      </c>
      <c r="E1095" s="8" t="str">
        <f t="array" ref="E1095">IFERROR(INDEX(atlas!F:F,MATCH(A1095,atlas!C:C,0)),"")</f>
        <v/>
      </c>
      <c r="F1095" s="9"/>
      <c r="G1095" s="10"/>
      <c r="H1095" s="11"/>
      <c r="I1095" s="12" t="str">
        <f t="array" ref="I1095">IFERROR(INDEX(atlas!B:B,MATCH(A1095,atlas!C:C,0)),"")</f>
        <v/>
      </c>
      <c r="J1095" s="8" t="str">
        <f>IFERROR(VLOOKUP(F1095,tecnica!A:B,2,0),"")</f>
        <v/>
      </c>
      <c r="K1095" s="8" t="str">
        <f>IFERROR(VLOOKUP(J1095,tecnica!B:C,2,0),"")</f>
        <v/>
      </c>
      <c r="L1095" s="13"/>
      <c r="M1095" s="14" t="str">
        <f>IFERROR(VLOOKUP(I1095,material!A:D,4,0),"")</f>
        <v/>
      </c>
      <c r="N1095" s="14" t="str">
        <f t="shared" si="1"/>
        <v/>
      </c>
      <c r="O1095" s="15" t="str">
        <f>IFERROR(VLOOKUP(I1095,material!A:D,2,0),"")</f>
        <v/>
      </c>
    </row>
    <row r="1096">
      <c r="A1096" s="6"/>
      <c r="B1096" s="7"/>
      <c r="C1096" s="8" t="str">
        <f t="array" ref="C1096">IFERROR(INDEX(atlas!H:H,MATCH(A1096,atlas!C:C,0)),"")</f>
        <v/>
      </c>
      <c r="D1096" s="8" t="str">
        <f t="array" ref="D1096">IFERROR(INDEX(atlas!D:D,MATCH(A1096,atlas!C:C,0)),"")</f>
        <v/>
      </c>
      <c r="E1096" s="8" t="str">
        <f t="array" ref="E1096">IFERROR(INDEX(atlas!F:F,MATCH(A1096,atlas!C:C,0)),"")</f>
        <v/>
      </c>
      <c r="F1096" s="9"/>
      <c r="G1096" s="10"/>
      <c r="H1096" s="11"/>
      <c r="I1096" s="12" t="str">
        <f t="array" ref="I1096">IFERROR(INDEX(atlas!B:B,MATCH(A1096,atlas!C:C,0)),"")</f>
        <v/>
      </c>
      <c r="J1096" s="8" t="str">
        <f>IFERROR(VLOOKUP(F1096,tecnica!A:B,2,0),"")</f>
        <v/>
      </c>
      <c r="K1096" s="8" t="str">
        <f>IFERROR(VLOOKUP(J1096,tecnica!B:C,2,0),"")</f>
        <v/>
      </c>
      <c r="L1096" s="13"/>
      <c r="M1096" s="14" t="str">
        <f>IFERROR(VLOOKUP(I1096,material!A:D,4,0),"")</f>
        <v/>
      </c>
      <c r="N1096" s="14" t="str">
        <f t="shared" si="1"/>
        <v/>
      </c>
      <c r="O1096" s="15" t="str">
        <f>IFERROR(VLOOKUP(I1096,material!A:D,2,0),"")</f>
        <v/>
      </c>
    </row>
    <row r="1097">
      <c r="A1097" s="6"/>
      <c r="B1097" s="7"/>
      <c r="C1097" s="8" t="str">
        <f t="array" ref="C1097">IFERROR(INDEX(atlas!H:H,MATCH(A1097,atlas!C:C,0)),"")</f>
        <v/>
      </c>
      <c r="D1097" s="8" t="str">
        <f t="array" ref="D1097">IFERROR(INDEX(atlas!D:D,MATCH(A1097,atlas!C:C,0)),"")</f>
        <v/>
      </c>
      <c r="E1097" s="8" t="str">
        <f t="array" ref="E1097">IFERROR(INDEX(atlas!F:F,MATCH(A1097,atlas!C:C,0)),"")</f>
        <v/>
      </c>
      <c r="F1097" s="9"/>
      <c r="G1097" s="10"/>
      <c r="H1097" s="11"/>
      <c r="I1097" s="12" t="str">
        <f t="array" ref="I1097">IFERROR(INDEX(atlas!B:B,MATCH(A1097,atlas!C:C,0)),"")</f>
        <v/>
      </c>
      <c r="J1097" s="8" t="str">
        <f>IFERROR(VLOOKUP(F1097,tecnica!A:B,2,0),"")</f>
        <v/>
      </c>
      <c r="K1097" s="8" t="str">
        <f>IFERROR(VLOOKUP(J1097,tecnica!B:C,2,0),"")</f>
        <v/>
      </c>
      <c r="L1097" s="13"/>
      <c r="M1097" s="14" t="str">
        <f>IFERROR(VLOOKUP(I1097,material!A:D,4,0),"")</f>
        <v/>
      </c>
      <c r="N1097" s="14" t="str">
        <f t="shared" si="1"/>
        <v/>
      </c>
      <c r="O1097" s="15" t="str">
        <f>IFERROR(VLOOKUP(I1097,material!A:D,2,0),"")</f>
        <v/>
      </c>
    </row>
    <row r="1098">
      <c r="A1098" s="6"/>
      <c r="B1098" s="7"/>
      <c r="C1098" s="8" t="str">
        <f t="array" ref="C1098">IFERROR(INDEX(atlas!H:H,MATCH(A1098,atlas!C:C,0)),"")</f>
        <v/>
      </c>
      <c r="D1098" s="8" t="str">
        <f t="array" ref="D1098">IFERROR(INDEX(atlas!D:D,MATCH(A1098,atlas!C:C,0)),"")</f>
        <v/>
      </c>
      <c r="E1098" s="8" t="str">
        <f t="array" ref="E1098">IFERROR(INDEX(atlas!F:F,MATCH(A1098,atlas!C:C,0)),"")</f>
        <v/>
      </c>
      <c r="F1098" s="9"/>
      <c r="G1098" s="10"/>
      <c r="H1098" s="11"/>
      <c r="I1098" s="12" t="str">
        <f t="array" ref="I1098">IFERROR(INDEX(atlas!B:B,MATCH(A1098,atlas!C:C,0)),"")</f>
        <v/>
      </c>
      <c r="J1098" s="8" t="str">
        <f>IFERROR(VLOOKUP(F1098,tecnica!A:B,2,0),"")</f>
        <v/>
      </c>
      <c r="K1098" s="8" t="str">
        <f>IFERROR(VLOOKUP(J1098,tecnica!B:C,2,0),"")</f>
        <v/>
      </c>
      <c r="L1098" s="13"/>
      <c r="M1098" s="14" t="str">
        <f>IFERROR(VLOOKUP(I1098,material!A:D,4,0),"")</f>
        <v/>
      </c>
      <c r="N1098" s="14" t="str">
        <f t="shared" si="1"/>
        <v/>
      </c>
      <c r="O1098" s="15" t="str">
        <f>IFERROR(VLOOKUP(I1098,material!A:D,2,0),"")</f>
        <v/>
      </c>
    </row>
    <row r="1099">
      <c r="A1099" s="6"/>
      <c r="B1099" s="7"/>
      <c r="C1099" s="8" t="str">
        <f t="array" ref="C1099">IFERROR(INDEX(atlas!H:H,MATCH(A1099,atlas!C:C,0)),"")</f>
        <v/>
      </c>
      <c r="D1099" s="8" t="str">
        <f t="array" ref="D1099">IFERROR(INDEX(atlas!D:D,MATCH(A1099,atlas!C:C,0)),"")</f>
        <v/>
      </c>
      <c r="E1099" s="8" t="str">
        <f t="array" ref="E1099">IFERROR(INDEX(atlas!F:F,MATCH(A1099,atlas!C:C,0)),"")</f>
        <v/>
      </c>
      <c r="F1099" s="9"/>
      <c r="G1099" s="10"/>
      <c r="H1099" s="11"/>
      <c r="I1099" s="12" t="str">
        <f t="array" ref="I1099">IFERROR(INDEX(atlas!B:B,MATCH(A1099,atlas!C:C,0)),"")</f>
        <v/>
      </c>
      <c r="J1099" s="8" t="str">
        <f>IFERROR(VLOOKUP(F1099,tecnica!A:B,2,0),"")</f>
        <v/>
      </c>
      <c r="K1099" s="8" t="str">
        <f>IFERROR(VLOOKUP(J1099,tecnica!B:C,2,0),"")</f>
        <v/>
      </c>
      <c r="L1099" s="13"/>
      <c r="M1099" s="14" t="str">
        <f>IFERROR(VLOOKUP(I1099,material!A:D,4,0),"")</f>
        <v/>
      </c>
      <c r="N1099" s="14" t="str">
        <f t="shared" si="1"/>
        <v/>
      </c>
      <c r="O1099" s="15" t="str">
        <f>IFERROR(VLOOKUP(I1099,material!A:D,2,0),"")</f>
        <v/>
      </c>
    </row>
    <row r="1100">
      <c r="A1100" s="6"/>
      <c r="B1100" s="7"/>
      <c r="C1100" s="8" t="str">
        <f t="array" ref="C1100">IFERROR(INDEX(atlas!H:H,MATCH(A1100,atlas!C:C,0)),"")</f>
        <v/>
      </c>
      <c r="D1100" s="8" t="str">
        <f t="array" ref="D1100">IFERROR(INDEX(atlas!D:D,MATCH(A1100,atlas!C:C,0)),"")</f>
        <v/>
      </c>
      <c r="E1100" s="8" t="str">
        <f t="array" ref="E1100">IFERROR(INDEX(atlas!F:F,MATCH(A1100,atlas!C:C,0)),"")</f>
        <v/>
      </c>
      <c r="F1100" s="9"/>
      <c r="G1100" s="10"/>
      <c r="H1100" s="11"/>
      <c r="I1100" s="12" t="str">
        <f t="array" ref="I1100">IFERROR(INDEX(atlas!B:B,MATCH(A1100,atlas!C:C,0)),"")</f>
        <v/>
      </c>
      <c r="J1100" s="8" t="str">
        <f>IFERROR(VLOOKUP(F1100,tecnica!A:B,2,0),"")</f>
        <v/>
      </c>
      <c r="K1100" s="8" t="str">
        <f>IFERROR(VLOOKUP(J1100,tecnica!B:C,2,0),"")</f>
        <v/>
      </c>
      <c r="L1100" s="13"/>
      <c r="M1100" s="14" t="str">
        <f>IFERROR(VLOOKUP(I1100,material!A:D,4,0),"")</f>
        <v/>
      </c>
      <c r="N1100" s="14" t="str">
        <f t="shared" si="1"/>
        <v/>
      </c>
      <c r="O1100" s="15" t="str">
        <f>IFERROR(VLOOKUP(I1100,material!A:D,2,0),"")</f>
        <v/>
      </c>
    </row>
    <row r="1101">
      <c r="A1101" s="6"/>
      <c r="B1101" s="7"/>
      <c r="C1101" s="8" t="str">
        <f t="array" ref="C1101">IFERROR(INDEX(atlas!H:H,MATCH(A1101,atlas!C:C,0)),"")</f>
        <v/>
      </c>
      <c r="D1101" s="8" t="str">
        <f t="array" ref="D1101">IFERROR(INDEX(atlas!D:D,MATCH(A1101,atlas!C:C,0)),"")</f>
        <v/>
      </c>
      <c r="E1101" s="8" t="str">
        <f t="array" ref="E1101">IFERROR(INDEX(atlas!F:F,MATCH(A1101,atlas!C:C,0)),"")</f>
        <v/>
      </c>
      <c r="F1101" s="9"/>
      <c r="G1101" s="10"/>
      <c r="H1101" s="11"/>
      <c r="I1101" s="12" t="str">
        <f t="array" ref="I1101">IFERROR(INDEX(atlas!B:B,MATCH(A1101,atlas!C:C,0)),"")</f>
        <v/>
      </c>
      <c r="J1101" s="8" t="str">
        <f>IFERROR(VLOOKUP(F1101,tecnica!A:B,2,0),"")</f>
        <v/>
      </c>
      <c r="K1101" s="8" t="str">
        <f>IFERROR(VLOOKUP(J1101,tecnica!B:C,2,0),"")</f>
        <v/>
      </c>
      <c r="L1101" s="13"/>
      <c r="M1101" s="14" t="str">
        <f>IFERROR(VLOOKUP(I1101,material!A:D,4,0),"")</f>
        <v/>
      </c>
      <c r="N1101" s="14" t="str">
        <f t="shared" si="1"/>
        <v/>
      </c>
      <c r="O1101" s="15" t="str">
        <f>IFERROR(VLOOKUP(I1101,material!A:D,2,0),"")</f>
        <v/>
      </c>
    </row>
    <row r="1102">
      <c r="A1102" s="6"/>
      <c r="B1102" s="7"/>
      <c r="C1102" s="8" t="str">
        <f t="array" ref="C1102">IFERROR(INDEX(atlas!H:H,MATCH(A1102,atlas!C:C,0)),"")</f>
        <v/>
      </c>
      <c r="D1102" s="8" t="str">
        <f t="array" ref="D1102">IFERROR(INDEX(atlas!D:D,MATCH(A1102,atlas!C:C,0)),"")</f>
        <v/>
      </c>
      <c r="E1102" s="8" t="str">
        <f t="array" ref="E1102">IFERROR(INDEX(atlas!F:F,MATCH(A1102,atlas!C:C,0)),"")</f>
        <v/>
      </c>
      <c r="F1102" s="9"/>
      <c r="G1102" s="10"/>
      <c r="H1102" s="11"/>
      <c r="I1102" s="12" t="str">
        <f t="array" ref="I1102">IFERROR(INDEX(atlas!B:B,MATCH(A1102,atlas!C:C,0)),"")</f>
        <v/>
      </c>
      <c r="J1102" s="8" t="str">
        <f>IFERROR(VLOOKUP(F1102,tecnica!A:B,2,0),"")</f>
        <v/>
      </c>
      <c r="K1102" s="8" t="str">
        <f>IFERROR(VLOOKUP(J1102,tecnica!B:C,2,0),"")</f>
        <v/>
      </c>
      <c r="L1102" s="13"/>
      <c r="M1102" s="14" t="str">
        <f>IFERROR(VLOOKUP(I1102,material!A:D,4,0),"")</f>
        <v/>
      </c>
      <c r="N1102" s="14" t="str">
        <f t="shared" si="1"/>
        <v/>
      </c>
      <c r="O1102" s="15" t="str">
        <f>IFERROR(VLOOKUP(I1102,material!A:D,2,0),"")</f>
        <v/>
      </c>
    </row>
    <row r="1103">
      <c r="A1103" s="6"/>
      <c r="B1103" s="7"/>
      <c r="C1103" s="8" t="str">
        <f t="array" ref="C1103">IFERROR(INDEX(atlas!H:H,MATCH(A1103,atlas!C:C,0)),"")</f>
        <v/>
      </c>
      <c r="D1103" s="8" t="str">
        <f t="array" ref="D1103">IFERROR(INDEX(atlas!D:D,MATCH(A1103,atlas!C:C,0)),"")</f>
        <v/>
      </c>
      <c r="E1103" s="8" t="str">
        <f t="array" ref="E1103">IFERROR(INDEX(atlas!F:F,MATCH(A1103,atlas!C:C,0)),"")</f>
        <v/>
      </c>
      <c r="F1103" s="9"/>
      <c r="G1103" s="10"/>
      <c r="H1103" s="11"/>
      <c r="I1103" s="12" t="str">
        <f t="array" ref="I1103">IFERROR(INDEX(atlas!B:B,MATCH(A1103,atlas!C:C,0)),"")</f>
        <v/>
      </c>
      <c r="J1103" s="8" t="str">
        <f>IFERROR(VLOOKUP(F1103,tecnica!A:B,2,0),"")</f>
        <v/>
      </c>
      <c r="K1103" s="8" t="str">
        <f>IFERROR(VLOOKUP(J1103,tecnica!B:C,2,0),"")</f>
        <v/>
      </c>
      <c r="L1103" s="13"/>
      <c r="M1103" s="14" t="str">
        <f>IFERROR(VLOOKUP(I1103,material!A:D,4,0),"")</f>
        <v/>
      </c>
      <c r="N1103" s="14" t="str">
        <f t="shared" si="1"/>
        <v/>
      </c>
      <c r="O1103" s="15" t="str">
        <f>IFERROR(VLOOKUP(I1103,material!A:D,2,0),"")</f>
        <v/>
      </c>
    </row>
    <row r="1104">
      <c r="A1104" s="6"/>
      <c r="B1104" s="7"/>
      <c r="C1104" s="8" t="str">
        <f t="array" ref="C1104">IFERROR(INDEX(atlas!H:H,MATCH(A1104,atlas!C:C,0)),"")</f>
        <v/>
      </c>
      <c r="D1104" s="8" t="str">
        <f t="array" ref="D1104">IFERROR(INDEX(atlas!D:D,MATCH(A1104,atlas!C:C,0)),"")</f>
        <v/>
      </c>
      <c r="E1104" s="8" t="str">
        <f t="array" ref="E1104">IFERROR(INDEX(atlas!F:F,MATCH(A1104,atlas!C:C,0)),"")</f>
        <v/>
      </c>
      <c r="F1104" s="9"/>
      <c r="G1104" s="10"/>
      <c r="H1104" s="11"/>
      <c r="I1104" s="12" t="str">
        <f t="array" ref="I1104">IFERROR(INDEX(atlas!B:B,MATCH(A1104,atlas!C:C,0)),"")</f>
        <v/>
      </c>
      <c r="J1104" s="8" t="str">
        <f>IFERROR(VLOOKUP(F1104,tecnica!A:B,2,0),"")</f>
        <v/>
      </c>
      <c r="K1104" s="8" t="str">
        <f>IFERROR(VLOOKUP(J1104,tecnica!B:C,2,0),"")</f>
        <v/>
      </c>
      <c r="L1104" s="13"/>
      <c r="M1104" s="14" t="str">
        <f>IFERROR(VLOOKUP(I1104,material!A:D,4,0),"")</f>
        <v/>
      </c>
      <c r="N1104" s="14" t="str">
        <f t="shared" si="1"/>
        <v/>
      </c>
      <c r="O1104" s="15" t="str">
        <f>IFERROR(VLOOKUP(I1104,material!A:D,2,0),"")</f>
        <v/>
      </c>
    </row>
    <row r="1105">
      <c r="A1105" s="6"/>
      <c r="B1105" s="7"/>
      <c r="C1105" s="8" t="str">
        <f t="array" ref="C1105">IFERROR(INDEX(atlas!H:H,MATCH(A1105,atlas!C:C,0)),"")</f>
        <v/>
      </c>
      <c r="D1105" s="8" t="str">
        <f t="array" ref="D1105">IFERROR(INDEX(atlas!D:D,MATCH(A1105,atlas!C:C,0)),"")</f>
        <v/>
      </c>
      <c r="E1105" s="8" t="str">
        <f t="array" ref="E1105">IFERROR(INDEX(atlas!F:F,MATCH(A1105,atlas!C:C,0)),"")</f>
        <v/>
      </c>
      <c r="F1105" s="9"/>
      <c r="G1105" s="10"/>
      <c r="H1105" s="11"/>
      <c r="I1105" s="12" t="str">
        <f t="array" ref="I1105">IFERROR(INDEX(atlas!B:B,MATCH(A1105,atlas!C:C,0)),"")</f>
        <v/>
      </c>
      <c r="J1105" s="8" t="str">
        <f>IFERROR(VLOOKUP(F1105,tecnica!A:B,2,0),"")</f>
        <v/>
      </c>
      <c r="K1105" s="8" t="str">
        <f>IFERROR(VLOOKUP(J1105,tecnica!B:C,2,0),"")</f>
        <v/>
      </c>
      <c r="L1105" s="13"/>
      <c r="M1105" s="14" t="str">
        <f>IFERROR(VLOOKUP(I1105,material!A:D,4,0),"")</f>
        <v/>
      </c>
      <c r="N1105" s="14" t="str">
        <f t="shared" si="1"/>
        <v/>
      </c>
      <c r="O1105" s="15" t="str">
        <f>IFERROR(VLOOKUP(I1105,material!A:D,2,0),"")</f>
        <v/>
      </c>
    </row>
    <row r="1106">
      <c r="A1106" s="6"/>
      <c r="B1106" s="7"/>
      <c r="C1106" s="8" t="str">
        <f t="array" ref="C1106">IFERROR(INDEX(atlas!H:H,MATCH(A1106,atlas!C:C,0)),"")</f>
        <v/>
      </c>
      <c r="D1106" s="8" t="str">
        <f t="array" ref="D1106">IFERROR(INDEX(atlas!D:D,MATCH(A1106,atlas!C:C,0)),"")</f>
        <v/>
      </c>
      <c r="E1106" s="8" t="str">
        <f t="array" ref="E1106">IFERROR(INDEX(atlas!F:F,MATCH(A1106,atlas!C:C,0)),"")</f>
        <v/>
      </c>
      <c r="F1106" s="9"/>
      <c r="G1106" s="10"/>
      <c r="H1106" s="11"/>
      <c r="I1106" s="12" t="str">
        <f t="array" ref="I1106">IFERROR(INDEX(atlas!B:B,MATCH(A1106,atlas!C:C,0)),"")</f>
        <v/>
      </c>
      <c r="J1106" s="8" t="str">
        <f>IFERROR(VLOOKUP(F1106,tecnica!A:B,2,0),"")</f>
        <v/>
      </c>
      <c r="K1106" s="8" t="str">
        <f>IFERROR(VLOOKUP(J1106,tecnica!B:C,2,0),"")</f>
        <v/>
      </c>
      <c r="L1106" s="13"/>
      <c r="M1106" s="14" t="str">
        <f>IFERROR(VLOOKUP(I1106,material!A:D,4,0),"")</f>
        <v/>
      </c>
      <c r="N1106" s="14" t="str">
        <f t="shared" si="1"/>
        <v/>
      </c>
      <c r="O1106" s="15" t="str">
        <f>IFERROR(VLOOKUP(I1106,material!A:D,2,0),"")</f>
        <v/>
      </c>
    </row>
    <row r="1107">
      <c r="A1107" s="6"/>
      <c r="B1107" s="7"/>
      <c r="C1107" s="8" t="str">
        <f t="array" ref="C1107">IFERROR(INDEX(atlas!H:H,MATCH(A1107,atlas!C:C,0)),"")</f>
        <v/>
      </c>
      <c r="D1107" s="8" t="str">
        <f t="array" ref="D1107">IFERROR(INDEX(atlas!D:D,MATCH(A1107,atlas!C:C,0)),"")</f>
        <v/>
      </c>
      <c r="E1107" s="8" t="str">
        <f t="array" ref="E1107">IFERROR(INDEX(atlas!F:F,MATCH(A1107,atlas!C:C,0)),"")</f>
        <v/>
      </c>
      <c r="F1107" s="9"/>
      <c r="G1107" s="10"/>
      <c r="H1107" s="11"/>
      <c r="I1107" s="12" t="str">
        <f t="array" ref="I1107">IFERROR(INDEX(atlas!B:B,MATCH(A1107,atlas!C:C,0)),"")</f>
        <v/>
      </c>
      <c r="J1107" s="8" t="str">
        <f>IFERROR(VLOOKUP(F1107,tecnica!A:B,2,0),"")</f>
        <v/>
      </c>
      <c r="K1107" s="8" t="str">
        <f>IFERROR(VLOOKUP(J1107,tecnica!B:C,2,0),"")</f>
        <v/>
      </c>
      <c r="L1107" s="13"/>
      <c r="M1107" s="14" t="str">
        <f>IFERROR(VLOOKUP(I1107,material!A:D,4,0),"")</f>
        <v/>
      </c>
      <c r="N1107" s="14" t="str">
        <f t="shared" si="1"/>
        <v/>
      </c>
      <c r="O1107" s="15" t="str">
        <f>IFERROR(VLOOKUP(I1107,material!A:D,2,0),"")</f>
        <v/>
      </c>
    </row>
    <row r="1108">
      <c r="A1108" s="6"/>
      <c r="B1108" s="7"/>
      <c r="C1108" s="8" t="str">
        <f t="array" ref="C1108">IFERROR(INDEX(atlas!H:H,MATCH(A1108,atlas!C:C,0)),"")</f>
        <v/>
      </c>
      <c r="D1108" s="8" t="str">
        <f t="array" ref="D1108">IFERROR(INDEX(atlas!D:D,MATCH(A1108,atlas!C:C,0)),"")</f>
        <v/>
      </c>
      <c r="E1108" s="8" t="str">
        <f t="array" ref="E1108">IFERROR(INDEX(atlas!F:F,MATCH(A1108,atlas!C:C,0)),"")</f>
        <v/>
      </c>
      <c r="F1108" s="9"/>
      <c r="G1108" s="10"/>
      <c r="H1108" s="11"/>
      <c r="I1108" s="12" t="str">
        <f t="array" ref="I1108">IFERROR(INDEX(atlas!B:B,MATCH(A1108,atlas!C:C,0)),"")</f>
        <v/>
      </c>
      <c r="J1108" s="8" t="str">
        <f>IFERROR(VLOOKUP(F1108,tecnica!A:B,2,0),"")</f>
        <v/>
      </c>
      <c r="K1108" s="8" t="str">
        <f>IFERROR(VLOOKUP(J1108,tecnica!B:C,2,0),"")</f>
        <v/>
      </c>
      <c r="L1108" s="13"/>
      <c r="M1108" s="14" t="str">
        <f>IFERROR(VLOOKUP(I1108,material!A:D,4,0),"")</f>
        <v/>
      </c>
      <c r="N1108" s="14" t="str">
        <f t="shared" si="1"/>
        <v/>
      </c>
      <c r="O1108" s="15" t="str">
        <f>IFERROR(VLOOKUP(I1108,material!A:D,2,0),"")</f>
        <v/>
      </c>
    </row>
    <row r="1109">
      <c r="A1109" s="6"/>
      <c r="B1109" s="7"/>
      <c r="C1109" s="8" t="str">
        <f t="array" ref="C1109">IFERROR(INDEX(atlas!H:H,MATCH(A1109,atlas!C:C,0)),"")</f>
        <v/>
      </c>
      <c r="D1109" s="8" t="str">
        <f t="array" ref="D1109">IFERROR(INDEX(atlas!D:D,MATCH(A1109,atlas!C:C,0)),"")</f>
        <v/>
      </c>
      <c r="E1109" s="8" t="str">
        <f t="array" ref="E1109">IFERROR(INDEX(atlas!F:F,MATCH(A1109,atlas!C:C,0)),"")</f>
        <v/>
      </c>
      <c r="F1109" s="9"/>
      <c r="G1109" s="10"/>
      <c r="H1109" s="11"/>
      <c r="I1109" s="12" t="str">
        <f t="array" ref="I1109">IFERROR(INDEX(atlas!B:B,MATCH(A1109,atlas!C:C,0)),"")</f>
        <v/>
      </c>
      <c r="J1109" s="8" t="str">
        <f>IFERROR(VLOOKUP(F1109,tecnica!A:B,2,0),"")</f>
        <v/>
      </c>
      <c r="K1109" s="8" t="str">
        <f>IFERROR(VLOOKUP(J1109,tecnica!B:C,2,0),"")</f>
        <v/>
      </c>
      <c r="L1109" s="13"/>
      <c r="M1109" s="14" t="str">
        <f>IFERROR(VLOOKUP(I1109,material!A:D,4,0),"")</f>
        <v/>
      </c>
      <c r="N1109" s="14" t="str">
        <f t="shared" si="1"/>
        <v/>
      </c>
      <c r="O1109" s="15" t="str">
        <f>IFERROR(VLOOKUP(I1109,material!A:D,2,0),"")</f>
        <v/>
      </c>
    </row>
    <row r="1110">
      <c r="A1110" s="6"/>
      <c r="B1110" s="7"/>
      <c r="C1110" s="8" t="str">
        <f t="array" ref="C1110">IFERROR(INDEX(atlas!H:H,MATCH(A1110,atlas!C:C,0)),"")</f>
        <v/>
      </c>
      <c r="D1110" s="8" t="str">
        <f t="array" ref="D1110">IFERROR(INDEX(atlas!D:D,MATCH(A1110,atlas!C:C,0)),"")</f>
        <v/>
      </c>
      <c r="E1110" s="8" t="str">
        <f t="array" ref="E1110">IFERROR(INDEX(atlas!F:F,MATCH(A1110,atlas!C:C,0)),"")</f>
        <v/>
      </c>
      <c r="F1110" s="9"/>
      <c r="G1110" s="10"/>
      <c r="H1110" s="11"/>
      <c r="I1110" s="12" t="str">
        <f t="array" ref="I1110">IFERROR(INDEX(atlas!B:B,MATCH(A1110,atlas!C:C,0)),"")</f>
        <v/>
      </c>
      <c r="J1110" s="8" t="str">
        <f>IFERROR(VLOOKUP(F1110,tecnica!A:B,2,0),"")</f>
        <v/>
      </c>
      <c r="K1110" s="8" t="str">
        <f>IFERROR(VLOOKUP(J1110,tecnica!B:C,2,0),"")</f>
        <v/>
      </c>
      <c r="L1110" s="13"/>
      <c r="M1110" s="14" t="str">
        <f>IFERROR(VLOOKUP(I1110,material!A:D,4,0),"")</f>
        <v/>
      </c>
      <c r="N1110" s="14" t="str">
        <f t="shared" si="1"/>
        <v/>
      </c>
      <c r="O1110" s="15" t="str">
        <f>IFERROR(VLOOKUP(I1110,material!A:D,2,0),"")</f>
        <v/>
      </c>
    </row>
    <row r="1111">
      <c r="A1111" s="6"/>
      <c r="B1111" s="7"/>
      <c r="C1111" s="8" t="str">
        <f t="array" ref="C1111">IFERROR(INDEX(atlas!H:H,MATCH(A1111,atlas!C:C,0)),"")</f>
        <v/>
      </c>
      <c r="D1111" s="8" t="str">
        <f t="array" ref="D1111">IFERROR(INDEX(atlas!D:D,MATCH(A1111,atlas!C:C,0)),"")</f>
        <v/>
      </c>
      <c r="E1111" s="8" t="str">
        <f t="array" ref="E1111">IFERROR(INDEX(atlas!F:F,MATCH(A1111,atlas!C:C,0)),"")</f>
        <v/>
      </c>
      <c r="F1111" s="9"/>
      <c r="G1111" s="10"/>
      <c r="H1111" s="11"/>
      <c r="I1111" s="12" t="str">
        <f t="array" ref="I1111">IFERROR(INDEX(atlas!B:B,MATCH(A1111,atlas!C:C,0)),"")</f>
        <v/>
      </c>
      <c r="J1111" s="8" t="str">
        <f>IFERROR(VLOOKUP(F1111,tecnica!A:B,2,0),"")</f>
        <v/>
      </c>
      <c r="K1111" s="8" t="str">
        <f>IFERROR(VLOOKUP(J1111,tecnica!B:C,2,0),"")</f>
        <v/>
      </c>
      <c r="L1111" s="13"/>
      <c r="M1111" s="14" t="str">
        <f>IFERROR(VLOOKUP(I1111,material!A:D,4,0),"")</f>
        <v/>
      </c>
      <c r="N1111" s="14" t="str">
        <f t="shared" si="1"/>
        <v/>
      </c>
      <c r="O1111" s="15" t="str">
        <f>IFERROR(VLOOKUP(I1111,material!A:D,2,0),"")</f>
        <v/>
      </c>
    </row>
    <row r="1112">
      <c r="A1112" s="6"/>
      <c r="B1112" s="7"/>
      <c r="C1112" s="8" t="str">
        <f t="array" ref="C1112">IFERROR(INDEX(atlas!H:H,MATCH(A1112,atlas!C:C,0)),"")</f>
        <v/>
      </c>
      <c r="D1112" s="8" t="str">
        <f t="array" ref="D1112">IFERROR(INDEX(atlas!D:D,MATCH(A1112,atlas!C:C,0)),"")</f>
        <v/>
      </c>
      <c r="E1112" s="8" t="str">
        <f t="array" ref="E1112">IFERROR(INDEX(atlas!F:F,MATCH(A1112,atlas!C:C,0)),"")</f>
        <v/>
      </c>
      <c r="F1112" s="9"/>
      <c r="G1112" s="10"/>
      <c r="H1112" s="11"/>
      <c r="I1112" s="12" t="str">
        <f t="array" ref="I1112">IFERROR(INDEX(atlas!B:B,MATCH(A1112,atlas!C:C,0)),"")</f>
        <v/>
      </c>
      <c r="J1112" s="8" t="str">
        <f>IFERROR(VLOOKUP(F1112,tecnica!A:B,2,0),"")</f>
        <v/>
      </c>
      <c r="K1112" s="8" t="str">
        <f>IFERROR(VLOOKUP(J1112,tecnica!B:C,2,0),"")</f>
        <v/>
      </c>
      <c r="L1112" s="13"/>
      <c r="M1112" s="14" t="str">
        <f>IFERROR(VLOOKUP(I1112,material!A:D,4,0),"")</f>
        <v/>
      </c>
      <c r="N1112" s="14" t="str">
        <f t="shared" si="1"/>
        <v/>
      </c>
      <c r="O1112" s="15" t="str">
        <f>IFERROR(VLOOKUP(I1112,material!A:D,2,0),"")</f>
        <v/>
      </c>
    </row>
    <row r="1113">
      <c r="A1113" s="6"/>
      <c r="B1113" s="7"/>
      <c r="C1113" s="8" t="str">
        <f t="array" ref="C1113">IFERROR(INDEX(atlas!H:H,MATCH(A1113,atlas!C:C,0)),"")</f>
        <v/>
      </c>
      <c r="D1113" s="8" t="str">
        <f t="array" ref="D1113">IFERROR(INDEX(atlas!D:D,MATCH(A1113,atlas!C:C,0)),"")</f>
        <v/>
      </c>
      <c r="E1113" s="8" t="str">
        <f t="array" ref="E1113">IFERROR(INDEX(atlas!F:F,MATCH(A1113,atlas!C:C,0)),"")</f>
        <v/>
      </c>
      <c r="F1113" s="9"/>
      <c r="G1113" s="10"/>
      <c r="H1113" s="11"/>
      <c r="I1113" s="12" t="str">
        <f t="array" ref="I1113">IFERROR(INDEX(atlas!B:B,MATCH(A1113,atlas!C:C,0)),"")</f>
        <v/>
      </c>
      <c r="J1113" s="8" t="str">
        <f>IFERROR(VLOOKUP(F1113,tecnica!A:B,2,0),"")</f>
        <v/>
      </c>
      <c r="K1113" s="8" t="str">
        <f>IFERROR(VLOOKUP(J1113,tecnica!B:C,2,0),"")</f>
        <v/>
      </c>
      <c r="L1113" s="13"/>
      <c r="M1113" s="14" t="str">
        <f>IFERROR(VLOOKUP(I1113,material!A:D,4,0),"")</f>
        <v/>
      </c>
      <c r="N1113" s="14" t="str">
        <f t="shared" si="1"/>
        <v/>
      </c>
      <c r="O1113" s="15" t="str">
        <f>IFERROR(VLOOKUP(I1113,material!A:D,2,0),"")</f>
        <v/>
      </c>
    </row>
    <row r="1114">
      <c r="A1114" s="6"/>
      <c r="B1114" s="7"/>
      <c r="C1114" s="8" t="str">
        <f t="array" ref="C1114">IFERROR(INDEX(atlas!H:H,MATCH(A1114,atlas!C:C,0)),"")</f>
        <v/>
      </c>
      <c r="D1114" s="8" t="str">
        <f t="array" ref="D1114">IFERROR(INDEX(atlas!D:D,MATCH(A1114,atlas!C:C,0)),"")</f>
        <v/>
      </c>
      <c r="E1114" s="8" t="str">
        <f t="array" ref="E1114">IFERROR(INDEX(atlas!F:F,MATCH(A1114,atlas!C:C,0)),"")</f>
        <v/>
      </c>
      <c r="F1114" s="9"/>
      <c r="G1114" s="10"/>
      <c r="H1114" s="11"/>
      <c r="I1114" s="12" t="str">
        <f t="array" ref="I1114">IFERROR(INDEX(atlas!B:B,MATCH(A1114,atlas!C:C,0)),"")</f>
        <v/>
      </c>
      <c r="J1114" s="8" t="str">
        <f>IFERROR(VLOOKUP(F1114,tecnica!A:B,2,0),"")</f>
        <v/>
      </c>
      <c r="K1114" s="8" t="str">
        <f>IFERROR(VLOOKUP(J1114,tecnica!B:C,2,0),"")</f>
        <v/>
      </c>
      <c r="L1114" s="13"/>
      <c r="M1114" s="14" t="str">
        <f>IFERROR(VLOOKUP(I1114,material!A:D,4,0),"")</f>
        <v/>
      </c>
      <c r="N1114" s="14" t="str">
        <f t="shared" si="1"/>
        <v/>
      </c>
      <c r="O1114" s="15" t="str">
        <f>IFERROR(VLOOKUP(I1114,material!A:D,2,0),"")</f>
        <v/>
      </c>
    </row>
    <row r="1115">
      <c r="A1115" s="6"/>
      <c r="B1115" s="7"/>
      <c r="C1115" s="8" t="str">
        <f t="array" ref="C1115">IFERROR(INDEX(atlas!H:H,MATCH(A1115,atlas!C:C,0)),"")</f>
        <v/>
      </c>
      <c r="D1115" s="8" t="str">
        <f t="array" ref="D1115">IFERROR(INDEX(atlas!D:D,MATCH(A1115,atlas!C:C,0)),"")</f>
        <v/>
      </c>
      <c r="E1115" s="8" t="str">
        <f t="array" ref="E1115">IFERROR(INDEX(atlas!F:F,MATCH(A1115,atlas!C:C,0)),"")</f>
        <v/>
      </c>
      <c r="F1115" s="9"/>
      <c r="G1115" s="10"/>
      <c r="H1115" s="11"/>
      <c r="I1115" s="12" t="str">
        <f t="array" ref="I1115">IFERROR(INDEX(atlas!B:B,MATCH(A1115,atlas!C:C,0)),"")</f>
        <v/>
      </c>
      <c r="J1115" s="8" t="str">
        <f>IFERROR(VLOOKUP(F1115,tecnica!A:B,2,0),"")</f>
        <v/>
      </c>
      <c r="K1115" s="8" t="str">
        <f>IFERROR(VLOOKUP(J1115,tecnica!B:C,2,0),"")</f>
        <v/>
      </c>
      <c r="L1115" s="13"/>
      <c r="M1115" s="14" t="str">
        <f>IFERROR(VLOOKUP(I1115,material!A:D,4,0),"")</f>
        <v/>
      </c>
      <c r="N1115" s="14" t="str">
        <f t="shared" si="1"/>
        <v/>
      </c>
      <c r="O1115" s="15" t="str">
        <f>IFERROR(VLOOKUP(I1115,material!A:D,2,0),"")</f>
        <v/>
      </c>
    </row>
    <row r="1116">
      <c r="A1116" s="6"/>
      <c r="B1116" s="7"/>
      <c r="C1116" s="8" t="str">
        <f t="array" ref="C1116">IFERROR(INDEX(atlas!H:H,MATCH(A1116,atlas!C:C,0)),"")</f>
        <v/>
      </c>
      <c r="D1116" s="8" t="str">
        <f t="array" ref="D1116">IFERROR(INDEX(atlas!D:D,MATCH(A1116,atlas!C:C,0)),"")</f>
        <v/>
      </c>
      <c r="E1116" s="8" t="str">
        <f t="array" ref="E1116">IFERROR(INDEX(atlas!F:F,MATCH(A1116,atlas!C:C,0)),"")</f>
        <v/>
      </c>
      <c r="F1116" s="9"/>
      <c r="G1116" s="10"/>
      <c r="H1116" s="11"/>
      <c r="I1116" s="12" t="str">
        <f t="array" ref="I1116">IFERROR(INDEX(atlas!B:B,MATCH(A1116,atlas!C:C,0)),"")</f>
        <v/>
      </c>
      <c r="J1116" s="8" t="str">
        <f>IFERROR(VLOOKUP(F1116,tecnica!A:B,2,0),"")</f>
        <v/>
      </c>
      <c r="K1116" s="8" t="str">
        <f>IFERROR(VLOOKUP(J1116,tecnica!B:C,2,0),"")</f>
        <v/>
      </c>
      <c r="L1116" s="13"/>
      <c r="M1116" s="14" t="str">
        <f>IFERROR(VLOOKUP(I1116,material!A:D,4,0),"")</f>
        <v/>
      </c>
      <c r="N1116" s="14" t="str">
        <f t="shared" si="1"/>
        <v/>
      </c>
      <c r="O1116" s="15" t="str">
        <f>IFERROR(VLOOKUP(I1116,material!A:D,2,0),"")</f>
        <v/>
      </c>
    </row>
    <row r="1117">
      <c r="A1117" s="6"/>
      <c r="B1117" s="7"/>
      <c r="C1117" s="8" t="str">
        <f t="array" ref="C1117">IFERROR(INDEX(atlas!H:H,MATCH(A1117,atlas!C:C,0)),"")</f>
        <v/>
      </c>
      <c r="D1117" s="8" t="str">
        <f t="array" ref="D1117">IFERROR(INDEX(atlas!D:D,MATCH(A1117,atlas!C:C,0)),"")</f>
        <v/>
      </c>
      <c r="E1117" s="8" t="str">
        <f t="array" ref="E1117">IFERROR(INDEX(atlas!F:F,MATCH(A1117,atlas!C:C,0)),"")</f>
        <v/>
      </c>
      <c r="F1117" s="9"/>
      <c r="G1117" s="10"/>
      <c r="H1117" s="11"/>
      <c r="I1117" s="12" t="str">
        <f t="array" ref="I1117">IFERROR(INDEX(atlas!B:B,MATCH(A1117,atlas!C:C,0)),"")</f>
        <v/>
      </c>
      <c r="J1117" s="8" t="str">
        <f>IFERROR(VLOOKUP(F1117,tecnica!A:B,2,0),"")</f>
        <v/>
      </c>
      <c r="K1117" s="8" t="str">
        <f>IFERROR(VLOOKUP(J1117,tecnica!B:C,2,0),"")</f>
        <v/>
      </c>
      <c r="L1117" s="13"/>
      <c r="M1117" s="14" t="str">
        <f>IFERROR(VLOOKUP(I1117,material!A:D,4,0),"")</f>
        <v/>
      </c>
      <c r="N1117" s="14" t="str">
        <f t="shared" si="1"/>
        <v/>
      </c>
      <c r="O1117" s="15" t="str">
        <f>IFERROR(VLOOKUP(I1117,material!A:D,2,0),"")</f>
        <v/>
      </c>
    </row>
    <row r="1118">
      <c r="A1118" s="6"/>
      <c r="B1118" s="7"/>
      <c r="C1118" s="8" t="str">
        <f t="array" ref="C1118">IFERROR(INDEX(atlas!H:H,MATCH(A1118,atlas!C:C,0)),"")</f>
        <v/>
      </c>
      <c r="D1118" s="8" t="str">
        <f t="array" ref="D1118">IFERROR(INDEX(atlas!D:D,MATCH(A1118,atlas!C:C,0)),"")</f>
        <v/>
      </c>
      <c r="E1118" s="8" t="str">
        <f t="array" ref="E1118">IFERROR(INDEX(atlas!F:F,MATCH(A1118,atlas!C:C,0)),"")</f>
        <v/>
      </c>
      <c r="F1118" s="9"/>
      <c r="G1118" s="10"/>
      <c r="H1118" s="11"/>
      <c r="I1118" s="12" t="str">
        <f t="array" ref="I1118">IFERROR(INDEX(atlas!B:B,MATCH(A1118,atlas!C:C,0)),"")</f>
        <v/>
      </c>
      <c r="J1118" s="8" t="str">
        <f>IFERROR(VLOOKUP(F1118,tecnica!A:B,2,0),"")</f>
        <v/>
      </c>
      <c r="K1118" s="8" t="str">
        <f>IFERROR(VLOOKUP(J1118,tecnica!B:C,2,0),"")</f>
        <v/>
      </c>
      <c r="L1118" s="13"/>
      <c r="M1118" s="14" t="str">
        <f>IFERROR(VLOOKUP(I1118,material!A:D,4,0),"")</f>
        <v/>
      </c>
      <c r="N1118" s="14" t="str">
        <f t="shared" si="1"/>
        <v/>
      </c>
      <c r="O1118" s="15" t="str">
        <f>IFERROR(VLOOKUP(I1118,material!A:D,2,0),"")</f>
        <v/>
      </c>
    </row>
    <row r="1119">
      <c r="A1119" s="6"/>
      <c r="B1119" s="7"/>
      <c r="C1119" s="8" t="str">
        <f t="array" ref="C1119">IFERROR(INDEX(atlas!H:H,MATCH(A1119,atlas!C:C,0)),"")</f>
        <v/>
      </c>
      <c r="D1119" s="8" t="str">
        <f t="array" ref="D1119">IFERROR(INDEX(atlas!D:D,MATCH(A1119,atlas!C:C,0)),"")</f>
        <v/>
      </c>
      <c r="E1119" s="8" t="str">
        <f t="array" ref="E1119">IFERROR(INDEX(atlas!F:F,MATCH(A1119,atlas!C:C,0)),"")</f>
        <v/>
      </c>
      <c r="F1119" s="9"/>
      <c r="G1119" s="10"/>
      <c r="H1119" s="11"/>
      <c r="I1119" s="12" t="str">
        <f t="array" ref="I1119">IFERROR(INDEX(atlas!B:B,MATCH(A1119,atlas!C:C,0)),"")</f>
        <v/>
      </c>
      <c r="J1119" s="8" t="str">
        <f>IFERROR(VLOOKUP(F1119,tecnica!A:B,2,0),"")</f>
        <v/>
      </c>
      <c r="K1119" s="8" t="str">
        <f>IFERROR(VLOOKUP(J1119,tecnica!B:C,2,0),"")</f>
        <v/>
      </c>
      <c r="L1119" s="13"/>
      <c r="M1119" s="14" t="str">
        <f>IFERROR(VLOOKUP(I1119,material!A:D,4,0),"")</f>
        <v/>
      </c>
      <c r="N1119" s="14" t="str">
        <f t="shared" si="1"/>
        <v/>
      </c>
      <c r="O1119" s="15" t="str">
        <f>IFERROR(VLOOKUP(I1119,material!A:D,2,0),"")</f>
        <v/>
      </c>
    </row>
    <row r="1120">
      <c r="A1120" s="6"/>
      <c r="B1120" s="7"/>
      <c r="C1120" s="8" t="str">
        <f t="array" ref="C1120">IFERROR(INDEX(atlas!H:H,MATCH(A1120,atlas!C:C,0)),"")</f>
        <v/>
      </c>
      <c r="D1120" s="8" t="str">
        <f t="array" ref="D1120">IFERROR(INDEX(atlas!D:D,MATCH(A1120,atlas!C:C,0)),"")</f>
        <v/>
      </c>
      <c r="E1120" s="8" t="str">
        <f t="array" ref="E1120">IFERROR(INDEX(atlas!F:F,MATCH(A1120,atlas!C:C,0)),"")</f>
        <v/>
      </c>
      <c r="F1120" s="9"/>
      <c r="G1120" s="10"/>
      <c r="H1120" s="11"/>
      <c r="I1120" s="12" t="str">
        <f t="array" ref="I1120">IFERROR(INDEX(atlas!B:B,MATCH(A1120,atlas!C:C,0)),"")</f>
        <v/>
      </c>
      <c r="J1120" s="8" t="str">
        <f>IFERROR(VLOOKUP(F1120,tecnica!A:B,2,0),"")</f>
        <v/>
      </c>
      <c r="K1120" s="8" t="str">
        <f>IFERROR(VLOOKUP(J1120,tecnica!B:C,2,0),"")</f>
        <v/>
      </c>
      <c r="L1120" s="13"/>
      <c r="M1120" s="14" t="str">
        <f>IFERROR(VLOOKUP(I1120,material!A:D,4,0),"")</f>
        <v/>
      </c>
      <c r="N1120" s="14" t="str">
        <f t="shared" si="1"/>
        <v/>
      </c>
      <c r="O1120" s="15" t="str">
        <f>IFERROR(VLOOKUP(I1120,material!A:D,2,0),"")</f>
        <v/>
      </c>
    </row>
    <row r="1121">
      <c r="A1121" s="6"/>
      <c r="B1121" s="7"/>
      <c r="C1121" s="8" t="str">
        <f t="array" ref="C1121">IFERROR(INDEX(atlas!H:H,MATCH(A1121,atlas!C:C,0)),"")</f>
        <v/>
      </c>
      <c r="D1121" s="8" t="str">
        <f t="array" ref="D1121">IFERROR(INDEX(atlas!D:D,MATCH(A1121,atlas!C:C,0)),"")</f>
        <v/>
      </c>
      <c r="E1121" s="8" t="str">
        <f t="array" ref="E1121">IFERROR(INDEX(atlas!F:F,MATCH(A1121,atlas!C:C,0)),"")</f>
        <v/>
      </c>
      <c r="F1121" s="9"/>
      <c r="G1121" s="10"/>
      <c r="H1121" s="11"/>
      <c r="I1121" s="12" t="str">
        <f t="array" ref="I1121">IFERROR(INDEX(atlas!B:B,MATCH(A1121,atlas!C:C,0)),"")</f>
        <v/>
      </c>
      <c r="J1121" s="8" t="str">
        <f>IFERROR(VLOOKUP(F1121,tecnica!A:B,2,0),"")</f>
        <v/>
      </c>
      <c r="K1121" s="8" t="str">
        <f>IFERROR(VLOOKUP(J1121,tecnica!B:C,2,0),"")</f>
        <v/>
      </c>
      <c r="L1121" s="13"/>
      <c r="M1121" s="14" t="str">
        <f>IFERROR(VLOOKUP(I1121,material!A:D,4,0),"")</f>
        <v/>
      </c>
      <c r="N1121" s="14" t="str">
        <f t="shared" si="1"/>
        <v/>
      </c>
      <c r="O1121" s="15" t="str">
        <f>IFERROR(VLOOKUP(I1121,material!A:D,2,0),"")</f>
        <v/>
      </c>
    </row>
    <row r="1122">
      <c r="A1122" s="6"/>
      <c r="B1122" s="7"/>
      <c r="C1122" s="8" t="str">
        <f t="array" ref="C1122">IFERROR(INDEX(atlas!H:H,MATCH(A1122,atlas!C:C,0)),"")</f>
        <v/>
      </c>
      <c r="D1122" s="8" t="str">
        <f t="array" ref="D1122">IFERROR(INDEX(atlas!D:D,MATCH(A1122,atlas!C:C,0)),"")</f>
        <v/>
      </c>
      <c r="E1122" s="8" t="str">
        <f t="array" ref="E1122">IFERROR(INDEX(atlas!F:F,MATCH(A1122,atlas!C:C,0)),"")</f>
        <v/>
      </c>
      <c r="F1122" s="9"/>
      <c r="G1122" s="10"/>
      <c r="H1122" s="11"/>
      <c r="I1122" s="12" t="str">
        <f t="array" ref="I1122">IFERROR(INDEX(atlas!B:B,MATCH(A1122,atlas!C:C,0)),"")</f>
        <v/>
      </c>
      <c r="J1122" s="8" t="str">
        <f>IFERROR(VLOOKUP(F1122,tecnica!A:B,2,0),"")</f>
        <v/>
      </c>
      <c r="K1122" s="8" t="str">
        <f>IFERROR(VLOOKUP(J1122,tecnica!B:C,2,0),"")</f>
        <v/>
      </c>
      <c r="L1122" s="13"/>
      <c r="M1122" s="14" t="str">
        <f>IFERROR(VLOOKUP(I1122,material!A:D,4,0),"")</f>
        <v/>
      </c>
      <c r="N1122" s="14" t="str">
        <f t="shared" si="1"/>
        <v/>
      </c>
      <c r="O1122" s="15" t="str">
        <f>IFERROR(VLOOKUP(I1122,material!A:D,2,0),"")</f>
        <v/>
      </c>
    </row>
    <row r="1123">
      <c r="A1123" s="6"/>
      <c r="B1123" s="7"/>
      <c r="C1123" s="8" t="str">
        <f t="array" ref="C1123">IFERROR(INDEX(atlas!H:H,MATCH(A1123,atlas!C:C,0)),"")</f>
        <v/>
      </c>
      <c r="D1123" s="8" t="str">
        <f t="array" ref="D1123">IFERROR(INDEX(atlas!D:D,MATCH(A1123,atlas!C:C,0)),"")</f>
        <v/>
      </c>
      <c r="E1123" s="8" t="str">
        <f t="array" ref="E1123">IFERROR(INDEX(atlas!F:F,MATCH(A1123,atlas!C:C,0)),"")</f>
        <v/>
      </c>
      <c r="F1123" s="9"/>
      <c r="G1123" s="10"/>
      <c r="H1123" s="11"/>
      <c r="I1123" s="12" t="str">
        <f t="array" ref="I1123">IFERROR(INDEX(atlas!B:B,MATCH(A1123,atlas!C:C,0)),"")</f>
        <v/>
      </c>
      <c r="J1123" s="8" t="str">
        <f>IFERROR(VLOOKUP(F1123,tecnica!A:B,2,0),"")</f>
        <v/>
      </c>
      <c r="K1123" s="8" t="str">
        <f>IFERROR(VLOOKUP(J1123,tecnica!B:C,2,0),"")</f>
        <v/>
      </c>
      <c r="L1123" s="13"/>
      <c r="M1123" s="14" t="str">
        <f>IFERROR(VLOOKUP(I1123,material!A:D,4,0),"")</f>
        <v/>
      </c>
      <c r="N1123" s="14" t="str">
        <f t="shared" si="1"/>
        <v/>
      </c>
      <c r="O1123" s="15" t="str">
        <f>IFERROR(VLOOKUP(I1123,material!A:D,2,0),"")</f>
        <v/>
      </c>
    </row>
    <row r="1124">
      <c r="A1124" s="6"/>
      <c r="B1124" s="7"/>
      <c r="C1124" s="8" t="str">
        <f t="array" ref="C1124">IFERROR(INDEX(atlas!H:H,MATCH(A1124,atlas!C:C,0)),"")</f>
        <v/>
      </c>
      <c r="D1124" s="8" t="str">
        <f t="array" ref="D1124">IFERROR(INDEX(atlas!D:D,MATCH(A1124,atlas!C:C,0)),"")</f>
        <v/>
      </c>
      <c r="E1124" s="8" t="str">
        <f t="array" ref="E1124">IFERROR(INDEX(atlas!F:F,MATCH(A1124,atlas!C:C,0)),"")</f>
        <v/>
      </c>
      <c r="F1124" s="9"/>
      <c r="G1124" s="10"/>
      <c r="H1124" s="11"/>
      <c r="I1124" s="12" t="str">
        <f t="array" ref="I1124">IFERROR(INDEX(atlas!B:B,MATCH(A1124,atlas!C:C,0)),"")</f>
        <v/>
      </c>
      <c r="J1124" s="8" t="str">
        <f>IFERROR(VLOOKUP(F1124,tecnica!A:B,2,0),"")</f>
        <v/>
      </c>
      <c r="K1124" s="8" t="str">
        <f>IFERROR(VLOOKUP(J1124,tecnica!B:C,2,0),"")</f>
        <v/>
      </c>
      <c r="L1124" s="13"/>
      <c r="M1124" s="14" t="str">
        <f>IFERROR(VLOOKUP(I1124,material!A:D,4,0),"")</f>
        <v/>
      </c>
      <c r="N1124" s="14" t="str">
        <f t="shared" si="1"/>
        <v/>
      </c>
      <c r="O1124" s="15" t="str">
        <f>IFERROR(VLOOKUP(I1124,material!A:D,2,0),"")</f>
        <v/>
      </c>
    </row>
    <row r="1125">
      <c r="A1125" s="6"/>
      <c r="B1125" s="7"/>
      <c r="C1125" s="8" t="str">
        <f t="array" ref="C1125">IFERROR(INDEX(atlas!H:H,MATCH(A1125,atlas!C:C,0)),"")</f>
        <v/>
      </c>
      <c r="D1125" s="8" t="str">
        <f t="array" ref="D1125">IFERROR(INDEX(atlas!D:D,MATCH(A1125,atlas!C:C,0)),"")</f>
        <v/>
      </c>
      <c r="E1125" s="8" t="str">
        <f t="array" ref="E1125">IFERROR(INDEX(atlas!F:F,MATCH(A1125,atlas!C:C,0)),"")</f>
        <v/>
      </c>
      <c r="F1125" s="9"/>
      <c r="G1125" s="10"/>
      <c r="H1125" s="11"/>
      <c r="I1125" s="12" t="str">
        <f t="array" ref="I1125">IFERROR(INDEX(atlas!B:B,MATCH(A1125,atlas!C:C,0)),"")</f>
        <v/>
      </c>
      <c r="J1125" s="8" t="str">
        <f>IFERROR(VLOOKUP(F1125,tecnica!A:B,2,0),"")</f>
        <v/>
      </c>
      <c r="K1125" s="8" t="str">
        <f>IFERROR(VLOOKUP(J1125,tecnica!B:C,2,0),"")</f>
        <v/>
      </c>
      <c r="L1125" s="13"/>
      <c r="M1125" s="14" t="str">
        <f>IFERROR(VLOOKUP(I1125,material!A:D,4,0),"")</f>
        <v/>
      </c>
      <c r="N1125" s="14" t="str">
        <f t="shared" si="1"/>
        <v/>
      </c>
      <c r="O1125" s="15" t="str">
        <f>IFERROR(VLOOKUP(I1125,material!A:D,2,0),"")</f>
        <v/>
      </c>
    </row>
    <row r="1126">
      <c r="A1126" s="6"/>
      <c r="B1126" s="7"/>
      <c r="C1126" s="8" t="str">
        <f t="array" ref="C1126">IFERROR(INDEX(atlas!H:H,MATCH(A1126,atlas!C:C,0)),"")</f>
        <v/>
      </c>
      <c r="D1126" s="8" t="str">
        <f t="array" ref="D1126">IFERROR(INDEX(atlas!D:D,MATCH(A1126,atlas!C:C,0)),"")</f>
        <v/>
      </c>
      <c r="E1126" s="8" t="str">
        <f t="array" ref="E1126">IFERROR(INDEX(atlas!F:F,MATCH(A1126,atlas!C:C,0)),"")</f>
        <v/>
      </c>
      <c r="F1126" s="9"/>
      <c r="G1126" s="10"/>
      <c r="H1126" s="11"/>
      <c r="I1126" s="12" t="str">
        <f t="array" ref="I1126">IFERROR(INDEX(atlas!B:B,MATCH(A1126,atlas!C:C,0)),"")</f>
        <v/>
      </c>
      <c r="J1126" s="8" t="str">
        <f>IFERROR(VLOOKUP(F1126,tecnica!A:B,2,0),"")</f>
        <v/>
      </c>
      <c r="K1126" s="8" t="str">
        <f>IFERROR(VLOOKUP(J1126,tecnica!B:C,2,0),"")</f>
        <v/>
      </c>
      <c r="L1126" s="13"/>
      <c r="M1126" s="14" t="str">
        <f>IFERROR(VLOOKUP(I1126,material!A:D,4,0),"")</f>
        <v/>
      </c>
      <c r="N1126" s="14" t="str">
        <f t="shared" si="1"/>
        <v/>
      </c>
      <c r="O1126" s="15" t="str">
        <f>IFERROR(VLOOKUP(I1126,material!A:D,2,0),"")</f>
        <v/>
      </c>
    </row>
    <row r="1127">
      <c r="A1127" s="6"/>
      <c r="B1127" s="7"/>
      <c r="C1127" s="8" t="str">
        <f t="array" ref="C1127">IFERROR(INDEX(atlas!H:H,MATCH(A1127,atlas!C:C,0)),"")</f>
        <v/>
      </c>
      <c r="D1127" s="8" t="str">
        <f t="array" ref="D1127">IFERROR(INDEX(atlas!D:D,MATCH(A1127,atlas!C:C,0)),"")</f>
        <v/>
      </c>
      <c r="E1127" s="8" t="str">
        <f t="array" ref="E1127">IFERROR(INDEX(atlas!F:F,MATCH(A1127,atlas!C:C,0)),"")</f>
        <v/>
      </c>
      <c r="F1127" s="9"/>
      <c r="G1127" s="10"/>
      <c r="H1127" s="11"/>
      <c r="I1127" s="12" t="str">
        <f t="array" ref="I1127">IFERROR(INDEX(atlas!B:B,MATCH(A1127,atlas!C:C,0)),"")</f>
        <v/>
      </c>
      <c r="J1127" s="8" t="str">
        <f>IFERROR(VLOOKUP(F1127,tecnica!A:B,2,0),"")</f>
        <v/>
      </c>
      <c r="K1127" s="8" t="str">
        <f>IFERROR(VLOOKUP(J1127,tecnica!B:C,2,0),"")</f>
        <v/>
      </c>
      <c r="L1127" s="13"/>
      <c r="M1127" s="14" t="str">
        <f>IFERROR(VLOOKUP(I1127,material!A:D,4,0),"")</f>
        <v/>
      </c>
      <c r="N1127" s="14" t="str">
        <f t="shared" si="1"/>
        <v/>
      </c>
      <c r="O1127" s="15" t="str">
        <f>IFERROR(VLOOKUP(I1127,material!A:D,2,0),"")</f>
        <v/>
      </c>
    </row>
    <row r="1128">
      <c r="A1128" s="6"/>
      <c r="B1128" s="7"/>
      <c r="C1128" s="8" t="str">
        <f t="array" ref="C1128">IFERROR(INDEX(atlas!H:H,MATCH(A1128,atlas!C:C,0)),"")</f>
        <v/>
      </c>
      <c r="D1128" s="8" t="str">
        <f t="array" ref="D1128">IFERROR(INDEX(atlas!D:D,MATCH(A1128,atlas!C:C,0)),"")</f>
        <v/>
      </c>
      <c r="E1128" s="8" t="str">
        <f t="array" ref="E1128">IFERROR(INDEX(atlas!F:F,MATCH(A1128,atlas!C:C,0)),"")</f>
        <v/>
      </c>
      <c r="F1128" s="9"/>
      <c r="G1128" s="10"/>
      <c r="H1128" s="11"/>
      <c r="I1128" s="12" t="str">
        <f t="array" ref="I1128">IFERROR(INDEX(atlas!B:B,MATCH(A1128,atlas!C:C,0)),"")</f>
        <v/>
      </c>
      <c r="J1128" s="8" t="str">
        <f>IFERROR(VLOOKUP(F1128,tecnica!A:B,2,0),"")</f>
        <v/>
      </c>
      <c r="K1128" s="8" t="str">
        <f>IFERROR(VLOOKUP(J1128,tecnica!B:C,2,0),"")</f>
        <v/>
      </c>
      <c r="L1128" s="13"/>
      <c r="M1128" s="14" t="str">
        <f>IFERROR(VLOOKUP(I1128,material!A:D,4,0),"")</f>
        <v/>
      </c>
      <c r="N1128" s="14" t="str">
        <f t="shared" si="1"/>
        <v/>
      </c>
      <c r="O1128" s="15" t="str">
        <f>IFERROR(VLOOKUP(I1128,material!A:D,2,0),"")</f>
        <v/>
      </c>
    </row>
    <row r="1129">
      <c r="A1129" s="6"/>
      <c r="B1129" s="7"/>
      <c r="C1129" s="8" t="str">
        <f t="array" ref="C1129">IFERROR(INDEX(atlas!H:H,MATCH(A1129,atlas!C:C,0)),"")</f>
        <v/>
      </c>
      <c r="D1129" s="8" t="str">
        <f t="array" ref="D1129">IFERROR(INDEX(atlas!D:D,MATCH(A1129,atlas!C:C,0)),"")</f>
        <v/>
      </c>
      <c r="E1129" s="8" t="str">
        <f t="array" ref="E1129">IFERROR(INDEX(atlas!F:F,MATCH(A1129,atlas!C:C,0)),"")</f>
        <v/>
      </c>
      <c r="F1129" s="9"/>
      <c r="G1129" s="10"/>
      <c r="H1129" s="11"/>
      <c r="I1129" s="12" t="str">
        <f t="array" ref="I1129">IFERROR(INDEX(atlas!B:B,MATCH(A1129,atlas!C:C,0)),"")</f>
        <v/>
      </c>
      <c r="J1129" s="8" t="str">
        <f>IFERROR(VLOOKUP(F1129,tecnica!A:B,2,0),"")</f>
        <v/>
      </c>
      <c r="K1129" s="8" t="str">
        <f>IFERROR(VLOOKUP(J1129,tecnica!B:C,2,0),"")</f>
        <v/>
      </c>
      <c r="L1129" s="13"/>
      <c r="M1129" s="14" t="str">
        <f>IFERROR(VLOOKUP(I1129,material!A:D,4,0),"")</f>
        <v/>
      </c>
      <c r="N1129" s="14" t="str">
        <f t="shared" si="1"/>
        <v/>
      </c>
      <c r="O1129" s="15" t="str">
        <f>IFERROR(VLOOKUP(I1129,material!A:D,2,0),"")</f>
        <v/>
      </c>
    </row>
    <row r="1130">
      <c r="A1130" s="6"/>
      <c r="B1130" s="7"/>
      <c r="C1130" s="8" t="str">
        <f t="array" ref="C1130">IFERROR(INDEX(atlas!H:H,MATCH(A1130,atlas!C:C,0)),"")</f>
        <v/>
      </c>
      <c r="D1130" s="8" t="str">
        <f t="array" ref="D1130">IFERROR(INDEX(atlas!D:D,MATCH(A1130,atlas!C:C,0)),"")</f>
        <v/>
      </c>
      <c r="E1130" s="8" t="str">
        <f t="array" ref="E1130">IFERROR(INDEX(atlas!F:F,MATCH(A1130,atlas!C:C,0)),"")</f>
        <v/>
      </c>
      <c r="F1130" s="9"/>
      <c r="G1130" s="10"/>
      <c r="H1130" s="11"/>
      <c r="I1130" s="12" t="str">
        <f t="array" ref="I1130">IFERROR(INDEX(atlas!B:B,MATCH(A1130,atlas!C:C,0)),"")</f>
        <v/>
      </c>
      <c r="J1130" s="8" t="str">
        <f>IFERROR(VLOOKUP(F1130,tecnica!A:B,2,0),"")</f>
        <v/>
      </c>
      <c r="K1130" s="8" t="str">
        <f>IFERROR(VLOOKUP(J1130,tecnica!B:C,2,0),"")</f>
        <v/>
      </c>
      <c r="L1130" s="13"/>
      <c r="M1130" s="14" t="str">
        <f>IFERROR(VLOOKUP(I1130,material!A:D,4,0),"")</f>
        <v/>
      </c>
      <c r="N1130" s="14" t="str">
        <f t="shared" si="1"/>
        <v/>
      </c>
      <c r="O1130" s="15" t="str">
        <f>IFERROR(VLOOKUP(I1130,material!A:D,2,0),"")</f>
        <v/>
      </c>
    </row>
    <row r="1131">
      <c r="A1131" s="6"/>
      <c r="B1131" s="7"/>
      <c r="C1131" s="8" t="str">
        <f t="array" ref="C1131">IFERROR(INDEX(atlas!H:H,MATCH(A1131,atlas!C:C,0)),"")</f>
        <v/>
      </c>
      <c r="D1131" s="8" t="str">
        <f t="array" ref="D1131">IFERROR(INDEX(atlas!D:D,MATCH(A1131,atlas!C:C,0)),"")</f>
        <v/>
      </c>
      <c r="E1131" s="8" t="str">
        <f t="array" ref="E1131">IFERROR(INDEX(atlas!F:F,MATCH(A1131,atlas!C:C,0)),"")</f>
        <v/>
      </c>
      <c r="F1131" s="9"/>
      <c r="G1131" s="10"/>
      <c r="H1131" s="11"/>
      <c r="I1131" s="12" t="str">
        <f t="array" ref="I1131">IFERROR(INDEX(atlas!B:B,MATCH(A1131,atlas!C:C,0)),"")</f>
        <v/>
      </c>
      <c r="J1131" s="8" t="str">
        <f>IFERROR(VLOOKUP(F1131,tecnica!A:B,2,0),"")</f>
        <v/>
      </c>
      <c r="K1131" s="8" t="str">
        <f>IFERROR(VLOOKUP(J1131,tecnica!B:C,2,0),"")</f>
        <v/>
      </c>
      <c r="L1131" s="13"/>
      <c r="M1131" s="14" t="str">
        <f>IFERROR(VLOOKUP(I1131,material!A:D,4,0),"")</f>
        <v/>
      </c>
      <c r="N1131" s="14" t="str">
        <f t="shared" si="1"/>
        <v/>
      </c>
      <c r="O1131" s="15" t="str">
        <f>IFERROR(VLOOKUP(I1131,material!A:D,2,0),"")</f>
        <v/>
      </c>
    </row>
    <row r="1132">
      <c r="A1132" s="6"/>
      <c r="B1132" s="7"/>
      <c r="C1132" s="8" t="str">
        <f t="array" ref="C1132">IFERROR(INDEX(atlas!H:H,MATCH(A1132,atlas!C:C,0)),"")</f>
        <v/>
      </c>
      <c r="D1132" s="8" t="str">
        <f t="array" ref="D1132">IFERROR(INDEX(atlas!D:D,MATCH(A1132,atlas!C:C,0)),"")</f>
        <v/>
      </c>
      <c r="E1132" s="8" t="str">
        <f t="array" ref="E1132">IFERROR(INDEX(atlas!F:F,MATCH(A1132,atlas!C:C,0)),"")</f>
        <v/>
      </c>
      <c r="F1132" s="9"/>
      <c r="G1132" s="10"/>
      <c r="H1132" s="11"/>
      <c r="I1132" s="12" t="str">
        <f t="array" ref="I1132">IFERROR(INDEX(atlas!B:B,MATCH(A1132,atlas!C:C,0)),"")</f>
        <v/>
      </c>
      <c r="J1132" s="8" t="str">
        <f>IFERROR(VLOOKUP(F1132,tecnica!A:B,2,0),"")</f>
        <v/>
      </c>
      <c r="K1132" s="8" t="str">
        <f>IFERROR(VLOOKUP(J1132,tecnica!B:C,2,0),"")</f>
        <v/>
      </c>
      <c r="L1132" s="13"/>
      <c r="M1132" s="14" t="str">
        <f>IFERROR(VLOOKUP(I1132,material!A:D,4,0),"")</f>
        <v/>
      </c>
      <c r="N1132" s="14" t="str">
        <f t="shared" si="1"/>
        <v/>
      </c>
      <c r="O1132" s="15" t="str">
        <f>IFERROR(VLOOKUP(I1132,material!A:D,2,0),"")</f>
        <v/>
      </c>
    </row>
    <row r="1133">
      <c r="A1133" s="6"/>
      <c r="B1133" s="7"/>
      <c r="C1133" s="8" t="str">
        <f t="array" ref="C1133">IFERROR(INDEX(atlas!H:H,MATCH(A1133,atlas!C:C,0)),"")</f>
        <v/>
      </c>
      <c r="D1133" s="8" t="str">
        <f t="array" ref="D1133">IFERROR(INDEX(atlas!D:D,MATCH(A1133,atlas!C:C,0)),"")</f>
        <v/>
      </c>
      <c r="E1133" s="8" t="str">
        <f t="array" ref="E1133">IFERROR(INDEX(atlas!F:F,MATCH(A1133,atlas!C:C,0)),"")</f>
        <v/>
      </c>
      <c r="F1133" s="9"/>
      <c r="G1133" s="10"/>
      <c r="H1133" s="11"/>
      <c r="I1133" s="12" t="str">
        <f t="array" ref="I1133">IFERROR(INDEX(atlas!B:B,MATCH(A1133,atlas!C:C,0)),"")</f>
        <v/>
      </c>
      <c r="J1133" s="8" t="str">
        <f>IFERROR(VLOOKUP(F1133,tecnica!A:B,2,0),"")</f>
        <v/>
      </c>
      <c r="K1133" s="8" t="str">
        <f>IFERROR(VLOOKUP(J1133,tecnica!B:C,2,0),"")</f>
        <v/>
      </c>
      <c r="L1133" s="13"/>
      <c r="M1133" s="14" t="str">
        <f>IFERROR(VLOOKUP(I1133,material!A:D,4,0),"")</f>
        <v/>
      </c>
      <c r="N1133" s="14" t="str">
        <f t="shared" si="1"/>
        <v/>
      </c>
      <c r="O1133" s="15" t="str">
        <f>IFERROR(VLOOKUP(I1133,material!A:D,2,0),"")</f>
        <v/>
      </c>
    </row>
    <row r="1134">
      <c r="A1134" s="6"/>
      <c r="B1134" s="7"/>
      <c r="C1134" s="8" t="str">
        <f t="array" ref="C1134">IFERROR(INDEX(atlas!H:H,MATCH(A1134,atlas!C:C,0)),"")</f>
        <v/>
      </c>
      <c r="D1134" s="8" t="str">
        <f t="array" ref="D1134">IFERROR(INDEX(atlas!D:D,MATCH(A1134,atlas!C:C,0)),"")</f>
        <v/>
      </c>
      <c r="E1134" s="8" t="str">
        <f t="array" ref="E1134">IFERROR(INDEX(atlas!F:F,MATCH(A1134,atlas!C:C,0)),"")</f>
        <v/>
      </c>
      <c r="F1134" s="9"/>
      <c r="G1134" s="10"/>
      <c r="H1134" s="11"/>
      <c r="I1134" s="12" t="str">
        <f t="array" ref="I1134">IFERROR(INDEX(atlas!B:B,MATCH(A1134,atlas!C:C,0)),"")</f>
        <v/>
      </c>
      <c r="J1134" s="8" t="str">
        <f>IFERROR(VLOOKUP(F1134,tecnica!A:B,2,0),"")</f>
        <v/>
      </c>
      <c r="K1134" s="8" t="str">
        <f>IFERROR(VLOOKUP(J1134,tecnica!B:C,2,0),"")</f>
        <v/>
      </c>
      <c r="L1134" s="13"/>
      <c r="M1134" s="14" t="str">
        <f>IFERROR(VLOOKUP(I1134,material!A:D,4,0),"")</f>
        <v/>
      </c>
      <c r="N1134" s="14" t="str">
        <f t="shared" si="1"/>
        <v/>
      </c>
      <c r="O1134" s="15" t="str">
        <f>IFERROR(VLOOKUP(I1134,material!A:D,2,0),"")</f>
        <v/>
      </c>
    </row>
    <row r="1135">
      <c r="A1135" s="6"/>
      <c r="B1135" s="7"/>
      <c r="C1135" s="8" t="str">
        <f t="array" ref="C1135">IFERROR(INDEX(atlas!H:H,MATCH(A1135,atlas!C:C,0)),"")</f>
        <v/>
      </c>
      <c r="D1135" s="8" t="str">
        <f t="array" ref="D1135">IFERROR(INDEX(atlas!D:D,MATCH(A1135,atlas!C:C,0)),"")</f>
        <v/>
      </c>
      <c r="E1135" s="8" t="str">
        <f t="array" ref="E1135">IFERROR(INDEX(atlas!F:F,MATCH(A1135,atlas!C:C,0)),"")</f>
        <v/>
      </c>
      <c r="F1135" s="9"/>
      <c r="G1135" s="10"/>
      <c r="H1135" s="11"/>
      <c r="I1135" s="12" t="str">
        <f t="array" ref="I1135">IFERROR(INDEX(atlas!B:B,MATCH(A1135,atlas!C:C,0)),"")</f>
        <v/>
      </c>
      <c r="J1135" s="8" t="str">
        <f>IFERROR(VLOOKUP(F1135,tecnica!A:B,2,0),"")</f>
        <v/>
      </c>
      <c r="K1135" s="8" t="str">
        <f>IFERROR(VLOOKUP(J1135,tecnica!B:C,2,0),"")</f>
        <v/>
      </c>
      <c r="L1135" s="13"/>
      <c r="M1135" s="14" t="str">
        <f>IFERROR(VLOOKUP(I1135,material!A:D,4,0),"")</f>
        <v/>
      </c>
      <c r="N1135" s="14" t="str">
        <f t="shared" si="1"/>
        <v/>
      </c>
      <c r="O1135" s="15" t="str">
        <f>IFERROR(VLOOKUP(I1135,material!A:D,2,0),"")</f>
        <v/>
      </c>
    </row>
    <row r="1136">
      <c r="A1136" s="6"/>
      <c r="B1136" s="7"/>
      <c r="C1136" s="8" t="str">
        <f t="array" ref="C1136">IFERROR(INDEX(atlas!H:H,MATCH(A1136,atlas!C:C,0)),"")</f>
        <v/>
      </c>
      <c r="D1136" s="8" t="str">
        <f t="array" ref="D1136">IFERROR(INDEX(atlas!D:D,MATCH(A1136,atlas!C:C,0)),"")</f>
        <v/>
      </c>
      <c r="E1136" s="8" t="str">
        <f t="array" ref="E1136">IFERROR(INDEX(atlas!F:F,MATCH(A1136,atlas!C:C,0)),"")</f>
        <v/>
      </c>
      <c r="F1136" s="9"/>
      <c r="G1136" s="10"/>
      <c r="H1136" s="11"/>
      <c r="I1136" s="12" t="str">
        <f t="array" ref="I1136">IFERROR(INDEX(atlas!B:B,MATCH(A1136,atlas!C:C,0)),"")</f>
        <v/>
      </c>
      <c r="J1136" s="8" t="str">
        <f>IFERROR(VLOOKUP(F1136,tecnica!A:B,2,0),"")</f>
        <v/>
      </c>
      <c r="K1136" s="8" t="str">
        <f>IFERROR(VLOOKUP(J1136,tecnica!B:C,2,0),"")</f>
        <v/>
      </c>
      <c r="L1136" s="13"/>
      <c r="M1136" s="14" t="str">
        <f>IFERROR(VLOOKUP(I1136,material!A:D,4,0),"")</f>
        <v/>
      </c>
      <c r="N1136" s="14" t="str">
        <f t="shared" si="1"/>
        <v/>
      </c>
      <c r="O1136" s="15" t="str">
        <f>IFERROR(VLOOKUP(I1136,material!A:D,2,0),"")</f>
        <v/>
      </c>
    </row>
    <row r="1137">
      <c r="A1137" s="6"/>
      <c r="B1137" s="7"/>
      <c r="C1137" s="8" t="str">
        <f t="array" ref="C1137">IFERROR(INDEX(atlas!H:H,MATCH(A1137,atlas!C:C,0)),"")</f>
        <v/>
      </c>
      <c r="D1137" s="8" t="str">
        <f t="array" ref="D1137">IFERROR(INDEX(atlas!D:D,MATCH(A1137,atlas!C:C,0)),"")</f>
        <v/>
      </c>
      <c r="E1137" s="8" t="str">
        <f t="array" ref="E1137">IFERROR(INDEX(atlas!F:F,MATCH(A1137,atlas!C:C,0)),"")</f>
        <v/>
      </c>
      <c r="F1137" s="9"/>
      <c r="G1137" s="10"/>
      <c r="H1137" s="11"/>
      <c r="I1137" s="12" t="str">
        <f t="array" ref="I1137">IFERROR(INDEX(atlas!B:B,MATCH(A1137,atlas!C:C,0)),"")</f>
        <v/>
      </c>
      <c r="J1137" s="8" t="str">
        <f>IFERROR(VLOOKUP(F1137,tecnica!A:B,2,0),"")</f>
        <v/>
      </c>
      <c r="K1137" s="8" t="str">
        <f>IFERROR(VLOOKUP(J1137,tecnica!B:C,2,0),"")</f>
        <v/>
      </c>
      <c r="L1137" s="13"/>
      <c r="M1137" s="14" t="str">
        <f>IFERROR(VLOOKUP(I1137,material!A:D,4,0),"")</f>
        <v/>
      </c>
      <c r="N1137" s="14" t="str">
        <f t="shared" si="1"/>
        <v/>
      </c>
      <c r="O1137" s="15" t="str">
        <f>IFERROR(VLOOKUP(I1137,material!A:D,2,0),"")</f>
        <v/>
      </c>
    </row>
    <row r="1138">
      <c r="A1138" s="6"/>
      <c r="B1138" s="7"/>
      <c r="C1138" s="8" t="str">
        <f t="array" ref="C1138">IFERROR(INDEX(atlas!H:H,MATCH(A1138,atlas!C:C,0)),"")</f>
        <v/>
      </c>
      <c r="D1138" s="8" t="str">
        <f t="array" ref="D1138">IFERROR(INDEX(atlas!D:D,MATCH(A1138,atlas!C:C,0)),"")</f>
        <v/>
      </c>
      <c r="E1138" s="8" t="str">
        <f t="array" ref="E1138">IFERROR(INDEX(atlas!F:F,MATCH(A1138,atlas!C:C,0)),"")</f>
        <v/>
      </c>
      <c r="F1138" s="9"/>
      <c r="G1138" s="10"/>
      <c r="H1138" s="11"/>
      <c r="I1138" s="12" t="str">
        <f t="array" ref="I1138">IFERROR(INDEX(atlas!B:B,MATCH(A1138,atlas!C:C,0)),"")</f>
        <v/>
      </c>
      <c r="J1138" s="8" t="str">
        <f>IFERROR(VLOOKUP(F1138,tecnica!A:B,2,0),"")</f>
        <v/>
      </c>
      <c r="K1138" s="8" t="str">
        <f>IFERROR(VLOOKUP(J1138,tecnica!B:C,2,0),"")</f>
        <v/>
      </c>
      <c r="L1138" s="13"/>
      <c r="M1138" s="14" t="str">
        <f>IFERROR(VLOOKUP(I1138,material!A:D,4,0),"")</f>
        <v/>
      </c>
      <c r="N1138" s="14" t="str">
        <f t="shared" si="1"/>
        <v/>
      </c>
      <c r="O1138" s="15" t="str">
        <f>IFERROR(VLOOKUP(I1138,material!A:D,2,0),"")</f>
        <v/>
      </c>
    </row>
    <row r="1139">
      <c r="A1139" s="6"/>
      <c r="B1139" s="7"/>
      <c r="C1139" s="8" t="str">
        <f t="array" ref="C1139">IFERROR(INDEX(atlas!H:H,MATCH(A1139,atlas!C:C,0)),"")</f>
        <v/>
      </c>
      <c r="D1139" s="8" t="str">
        <f t="array" ref="D1139">IFERROR(INDEX(atlas!D:D,MATCH(A1139,atlas!C:C,0)),"")</f>
        <v/>
      </c>
      <c r="E1139" s="8" t="str">
        <f t="array" ref="E1139">IFERROR(INDEX(atlas!F:F,MATCH(A1139,atlas!C:C,0)),"")</f>
        <v/>
      </c>
      <c r="F1139" s="9"/>
      <c r="G1139" s="10"/>
      <c r="H1139" s="11"/>
      <c r="I1139" s="12" t="str">
        <f t="array" ref="I1139">IFERROR(INDEX(atlas!B:B,MATCH(A1139,atlas!C:C,0)),"")</f>
        <v/>
      </c>
      <c r="J1139" s="8" t="str">
        <f>IFERROR(VLOOKUP(F1139,tecnica!A:B,2,0),"")</f>
        <v/>
      </c>
      <c r="K1139" s="8" t="str">
        <f>IFERROR(VLOOKUP(J1139,tecnica!B:C,2,0),"")</f>
        <v/>
      </c>
      <c r="L1139" s="13"/>
      <c r="M1139" s="14" t="str">
        <f>IFERROR(VLOOKUP(I1139,material!A:D,4,0),"")</f>
        <v/>
      </c>
      <c r="N1139" s="14" t="str">
        <f t="shared" si="1"/>
        <v/>
      </c>
      <c r="O1139" s="15" t="str">
        <f>IFERROR(VLOOKUP(I1139,material!A:D,2,0),"")</f>
        <v/>
      </c>
    </row>
    <row r="1140">
      <c r="A1140" s="6"/>
      <c r="B1140" s="7"/>
      <c r="C1140" s="8" t="str">
        <f t="array" ref="C1140">IFERROR(INDEX(atlas!H:H,MATCH(A1140,atlas!C:C,0)),"")</f>
        <v/>
      </c>
      <c r="D1140" s="8" t="str">
        <f t="array" ref="D1140">IFERROR(INDEX(atlas!D:D,MATCH(A1140,atlas!C:C,0)),"")</f>
        <v/>
      </c>
      <c r="E1140" s="8" t="str">
        <f t="array" ref="E1140">IFERROR(INDEX(atlas!F:F,MATCH(A1140,atlas!C:C,0)),"")</f>
        <v/>
      </c>
      <c r="F1140" s="9"/>
      <c r="G1140" s="10"/>
      <c r="H1140" s="11"/>
      <c r="I1140" s="12" t="str">
        <f t="array" ref="I1140">IFERROR(INDEX(atlas!B:B,MATCH(A1140,atlas!C:C,0)),"")</f>
        <v/>
      </c>
      <c r="J1140" s="8" t="str">
        <f>IFERROR(VLOOKUP(F1140,tecnica!A:B,2,0),"")</f>
        <v/>
      </c>
      <c r="K1140" s="8" t="str">
        <f>IFERROR(VLOOKUP(J1140,tecnica!B:C,2,0),"")</f>
        <v/>
      </c>
      <c r="L1140" s="13"/>
      <c r="M1140" s="14" t="str">
        <f>IFERROR(VLOOKUP(I1140,material!A:D,4,0),"")</f>
        <v/>
      </c>
      <c r="N1140" s="14" t="str">
        <f t="shared" si="1"/>
        <v/>
      </c>
      <c r="O1140" s="15" t="str">
        <f>IFERROR(VLOOKUP(I1140,material!A:D,2,0),"")</f>
        <v/>
      </c>
    </row>
    <row r="1141">
      <c r="A1141" s="6"/>
      <c r="B1141" s="7"/>
      <c r="C1141" s="8" t="str">
        <f t="array" ref="C1141">IFERROR(INDEX(atlas!H:H,MATCH(A1141,atlas!C:C,0)),"")</f>
        <v/>
      </c>
      <c r="D1141" s="8" t="str">
        <f t="array" ref="D1141">IFERROR(INDEX(atlas!D:D,MATCH(A1141,atlas!C:C,0)),"")</f>
        <v/>
      </c>
      <c r="E1141" s="8" t="str">
        <f t="array" ref="E1141">IFERROR(INDEX(atlas!F:F,MATCH(A1141,atlas!C:C,0)),"")</f>
        <v/>
      </c>
      <c r="F1141" s="9"/>
      <c r="G1141" s="10"/>
      <c r="H1141" s="11"/>
      <c r="I1141" s="12" t="str">
        <f t="array" ref="I1141">IFERROR(INDEX(atlas!B:B,MATCH(A1141,atlas!C:C,0)),"")</f>
        <v/>
      </c>
      <c r="J1141" s="8" t="str">
        <f>IFERROR(VLOOKUP(F1141,tecnica!A:B,2,0),"")</f>
        <v/>
      </c>
      <c r="K1141" s="8" t="str">
        <f>IFERROR(VLOOKUP(J1141,tecnica!B:C,2,0),"")</f>
        <v/>
      </c>
      <c r="L1141" s="13"/>
      <c r="M1141" s="14" t="str">
        <f>IFERROR(VLOOKUP(I1141,material!A:D,4,0),"")</f>
        <v/>
      </c>
      <c r="N1141" s="14" t="str">
        <f t="shared" si="1"/>
        <v/>
      </c>
      <c r="O1141" s="15" t="str">
        <f>IFERROR(VLOOKUP(I1141,material!A:D,2,0),"")</f>
        <v/>
      </c>
    </row>
    <row r="1142">
      <c r="A1142" s="6"/>
      <c r="B1142" s="7"/>
      <c r="C1142" s="8" t="str">
        <f t="array" ref="C1142">IFERROR(INDEX(atlas!H:H,MATCH(A1142,atlas!C:C,0)),"")</f>
        <v/>
      </c>
      <c r="D1142" s="8" t="str">
        <f t="array" ref="D1142">IFERROR(INDEX(atlas!D:D,MATCH(A1142,atlas!C:C,0)),"")</f>
        <v/>
      </c>
      <c r="E1142" s="8" t="str">
        <f t="array" ref="E1142">IFERROR(INDEX(atlas!F:F,MATCH(A1142,atlas!C:C,0)),"")</f>
        <v/>
      </c>
      <c r="F1142" s="9"/>
      <c r="G1142" s="10"/>
      <c r="H1142" s="11"/>
      <c r="I1142" s="12" t="str">
        <f t="array" ref="I1142">IFERROR(INDEX(atlas!B:B,MATCH(A1142,atlas!C:C,0)),"")</f>
        <v/>
      </c>
      <c r="J1142" s="8" t="str">
        <f>IFERROR(VLOOKUP(F1142,tecnica!A:B,2,0),"")</f>
        <v/>
      </c>
      <c r="K1142" s="8" t="str">
        <f>IFERROR(VLOOKUP(J1142,tecnica!B:C,2,0),"")</f>
        <v/>
      </c>
      <c r="L1142" s="13"/>
      <c r="M1142" s="14" t="str">
        <f>IFERROR(VLOOKUP(I1142,material!A:D,4,0),"")</f>
        <v/>
      </c>
      <c r="N1142" s="14" t="str">
        <f t="shared" si="1"/>
        <v/>
      </c>
      <c r="O1142" s="15" t="str">
        <f>IFERROR(VLOOKUP(I1142,material!A:D,2,0),"")</f>
        <v/>
      </c>
    </row>
    <row r="1143">
      <c r="A1143" s="6"/>
      <c r="B1143" s="7"/>
      <c r="C1143" s="8" t="str">
        <f t="array" ref="C1143">IFERROR(INDEX(atlas!H:H,MATCH(A1143,atlas!C:C,0)),"")</f>
        <v/>
      </c>
      <c r="D1143" s="8" t="str">
        <f t="array" ref="D1143">IFERROR(INDEX(atlas!D:D,MATCH(A1143,atlas!C:C,0)),"")</f>
        <v/>
      </c>
      <c r="E1143" s="8" t="str">
        <f t="array" ref="E1143">IFERROR(INDEX(atlas!F:F,MATCH(A1143,atlas!C:C,0)),"")</f>
        <v/>
      </c>
      <c r="F1143" s="9"/>
      <c r="G1143" s="10"/>
      <c r="H1143" s="11"/>
      <c r="I1143" s="12" t="str">
        <f t="array" ref="I1143">IFERROR(INDEX(atlas!B:B,MATCH(A1143,atlas!C:C,0)),"")</f>
        <v/>
      </c>
      <c r="J1143" s="8" t="str">
        <f>IFERROR(VLOOKUP(F1143,tecnica!A:B,2,0),"")</f>
        <v/>
      </c>
      <c r="K1143" s="8" t="str">
        <f>IFERROR(VLOOKUP(J1143,tecnica!B:C,2,0),"")</f>
        <v/>
      </c>
      <c r="L1143" s="13"/>
      <c r="M1143" s="14" t="str">
        <f>IFERROR(VLOOKUP(I1143,material!A:D,4,0),"")</f>
        <v/>
      </c>
      <c r="N1143" s="14" t="str">
        <f t="shared" si="1"/>
        <v/>
      </c>
      <c r="O1143" s="15" t="str">
        <f>IFERROR(VLOOKUP(I1143,material!A:D,2,0),"")</f>
        <v/>
      </c>
    </row>
    <row r="1144">
      <c r="A1144" s="6"/>
      <c r="B1144" s="7"/>
      <c r="C1144" s="8" t="str">
        <f t="array" ref="C1144">IFERROR(INDEX(atlas!H:H,MATCH(A1144,atlas!C:C,0)),"")</f>
        <v/>
      </c>
      <c r="D1144" s="8" t="str">
        <f t="array" ref="D1144">IFERROR(INDEX(atlas!D:D,MATCH(A1144,atlas!C:C,0)),"")</f>
        <v/>
      </c>
      <c r="E1144" s="8" t="str">
        <f t="array" ref="E1144">IFERROR(INDEX(atlas!F:F,MATCH(A1144,atlas!C:C,0)),"")</f>
        <v/>
      </c>
      <c r="F1144" s="9"/>
      <c r="G1144" s="10"/>
      <c r="H1144" s="11"/>
      <c r="I1144" s="12" t="str">
        <f t="array" ref="I1144">IFERROR(INDEX(atlas!B:B,MATCH(A1144,atlas!C:C,0)),"")</f>
        <v/>
      </c>
      <c r="J1144" s="8" t="str">
        <f>IFERROR(VLOOKUP(F1144,tecnica!A:B,2,0),"")</f>
        <v/>
      </c>
      <c r="K1144" s="8" t="str">
        <f>IFERROR(VLOOKUP(J1144,tecnica!B:C,2,0),"")</f>
        <v/>
      </c>
      <c r="L1144" s="13"/>
      <c r="M1144" s="14" t="str">
        <f>IFERROR(VLOOKUP(I1144,material!A:D,4,0),"")</f>
        <v/>
      </c>
      <c r="N1144" s="14" t="str">
        <f t="shared" si="1"/>
        <v/>
      </c>
      <c r="O1144" s="15" t="str">
        <f>IFERROR(VLOOKUP(I1144,material!A:D,2,0),"")</f>
        <v/>
      </c>
    </row>
    <row r="1145">
      <c r="A1145" s="6"/>
      <c r="B1145" s="7"/>
      <c r="C1145" s="8" t="str">
        <f t="array" ref="C1145">IFERROR(INDEX(atlas!H:H,MATCH(A1145,atlas!C:C,0)),"")</f>
        <v/>
      </c>
      <c r="D1145" s="8" t="str">
        <f t="array" ref="D1145">IFERROR(INDEX(atlas!D:D,MATCH(A1145,atlas!C:C,0)),"")</f>
        <v/>
      </c>
      <c r="E1145" s="8" t="str">
        <f t="array" ref="E1145">IFERROR(INDEX(atlas!F:F,MATCH(A1145,atlas!C:C,0)),"")</f>
        <v/>
      </c>
      <c r="F1145" s="9"/>
      <c r="G1145" s="10"/>
      <c r="H1145" s="11"/>
      <c r="I1145" s="12" t="str">
        <f t="array" ref="I1145">IFERROR(INDEX(atlas!B:B,MATCH(A1145,atlas!C:C,0)),"")</f>
        <v/>
      </c>
      <c r="J1145" s="8" t="str">
        <f>IFERROR(VLOOKUP(F1145,tecnica!A:B,2,0),"")</f>
        <v/>
      </c>
      <c r="K1145" s="8" t="str">
        <f>IFERROR(VLOOKUP(J1145,tecnica!B:C,2,0),"")</f>
        <v/>
      </c>
      <c r="L1145" s="13"/>
      <c r="M1145" s="14" t="str">
        <f>IFERROR(VLOOKUP(I1145,material!A:D,4,0),"")</f>
        <v/>
      </c>
      <c r="N1145" s="14" t="str">
        <f t="shared" si="1"/>
        <v/>
      </c>
      <c r="O1145" s="15" t="str">
        <f>IFERROR(VLOOKUP(I1145,material!A:D,2,0),"")</f>
        <v/>
      </c>
    </row>
    <row r="1146">
      <c r="A1146" s="6"/>
      <c r="B1146" s="7"/>
      <c r="C1146" s="8" t="str">
        <f t="array" ref="C1146">IFERROR(INDEX(atlas!H:H,MATCH(A1146,atlas!C:C,0)),"")</f>
        <v/>
      </c>
      <c r="D1146" s="8" t="str">
        <f t="array" ref="D1146">IFERROR(INDEX(atlas!D:D,MATCH(A1146,atlas!C:C,0)),"")</f>
        <v/>
      </c>
      <c r="E1146" s="8" t="str">
        <f t="array" ref="E1146">IFERROR(INDEX(atlas!F:F,MATCH(A1146,atlas!C:C,0)),"")</f>
        <v/>
      </c>
      <c r="F1146" s="9"/>
      <c r="G1146" s="10"/>
      <c r="H1146" s="11"/>
      <c r="I1146" s="12" t="str">
        <f t="array" ref="I1146">IFERROR(INDEX(atlas!B:B,MATCH(A1146,atlas!C:C,0)),"")</f>
        <v/>
      </c>
      <c r="J1146" s="8" t="str">
        <f>IFERROR(VLOOKUP(F1146,tecnica!A:B,2,0),"")</f>
        <v/>
      </c>
      <c r="K1146" s="8" t="str">
        <f>IFERROR(VLOOKUP(J1146,tecnica!B:C,2,0),"")</f>
        <v/>
      </c>
      <c r="L1146" s="13"/>
      <c r="M1146" s="14" t="str">
        <f>IFERROR(VLOOKUP(I1146,material!A:D,4,0),"")</f>
        <v/>
      </c>
      <c r="N1146" s="14" t="str">
        <f t="shared" si="1"/>
        <v/>
      </c>
      <c r="O1146" s="15" t="str">
        <f>IFERROR(VLOOKUP(I1146,material!A:D,2,0),"")</f>
        <v/>
      </c>
    </row>
    <row r="1147">
      <c r="A1147" s="6"/>
      <c r="B1147" s="7"/>
      <c r="C1147" s="8" t="str">
        <f t="array" ref="C1147">IFERROR(INDEX(atlas!H:H,MATCH(A1147,atlas!C:C,0)),"")</f>
        <v/>
      </c>
      <c r="D1147" s="8" t="str">
        <f t="array" ref="D1147">IFERROR(INDEX(atlas!D:D,MATCH(A1147,atlas!C:C,0)),"")</f>
        <v/>
      </c>
      <c r="E1147" s="8" t="str">
        <f t="array" ref="E1147">IFERROR(INDEX(atlas!F:F,MATCH(A1147,atlas!C:C,0)),"")</f>
        <v/>
      </c>
      <c r="F1147" s="9"/>
      <c r="G1147" s="10"/>
      <c r="H1147" s="11"/>
      <c r="I1147" s="12" t="str">
        <f t="array" ref="I1147">IFERROR(INDEX(atlas!B:B,MATCH(A1147,atlas!C:C,0)),"")</f>
        <v/>
      </c>
      <c r="J1147" s="8" t="str">
        <f>IFERROR(VLOOKUP(F1147,tecnica!A:B,2,0),"")</f>
        <v/>
      </c>
      <c r="K1147" s="8" t="str">
        <f>IFERROR(VLOOKUP(J1147,tecnica!B:C,2,0),"")</f>
        <v/>
      </c>
      <c r="L1147" s="13"/>
      <c r="M1147" s="14" t="str">
        <f>IFERROR(VLOOKUP(I1147,material!A:D,4,0),"")</f>
        <v/>
      </c>
      <c r="N1147" s="14" t="str">
        <f t="shared" si="1"/>
        <v/>
      </c>
      <c r="O1147" s="15" t="str">
        <f>IFERROR(VLOOKUP(I1147,material!A:D,2,0),"")</f>
        <v/>
      </c>
    </row>
    <row r="1148">
      <c r="A1148" s="6"/>
      <c r="B1148" s="7"/>
      <c r="C1148" s="8" t="str">
        <f t="array" ref="C1148">IFERROR(INDEX(atlas!H:H,MATCH(A1148,atlas!C:C,0)),"")</f>
        <v/>
      </c>
      <c r="D1148" s="8" t="str">
        <f t="array" ref="D1148">IFERROR(INDEX(atlas!D:D,MATCH(A1148,atlas!C:C,0)),"")</f>
        <v/>
      </c>
      <c r="E1148" s="8" t="str">
        <f t="array" ref="E1148">IFERROR(INDEX(atlas!F:F,MATCH(A1148,atlas!C:C,0)),"")</f>
        <v/>
      </c>
      <c r="F1148" s="9"/>
      <c r="G1148" s="10"/>
      <c r="H1148" s="11"/>
      <c r="I1148" s="12" t="str">
        <f t="array" ref="I1148">IFERROR(INDEX(atlas!B:B,MATCH(A1148,atlas!C:C,0)),"")</f>
        <v/>
      </c>
      <c r="J1148" s="8" t="str">
        <f>IFERROR(VLOOKUP(F1148,tecnica!A:B,2,0),"")</f>
        <v/>
      </c>
      <c r="K1148" s="8" t="str">
        <f>IFERROR(VLOOKUP(J1148,tecnica!B:C,2,0),"")</f>
        <v/>
      </c>
      <c r="L1148" s="13"/>
      <c r="M1148" s="14" t="str">
        <f>IFERROR(VLOOKUP(I1148,material!A:D,4,0),"")</f>
        <v/>
      </c>
      <c r="N1148" s="14" t="str">
        <f t="shared" si="1"/>
        <v/>
      </c>
      <c r="O1148" s="15" t="str">
        <f>IFERROR(VLOOKUP(I1148,material!A:D,2,0),"")</f>
        <v/>
      </c>
    </row>
    <row r="1149">
      <c r="A1149" s="6"/>
      <c r="B1149" s="7"/>
      <c r="C1149" s="8" t="str">
        <f t="array" ref="C1149">IFERROR(INDEX(atlas!H:H,MATCH(A1149,atlas!C:C,0)),"")</f>
        <v/>
      </c>
      <c r="D1149" s="8" t="str">
        <f t="array" ref="D1149">IFERROR(INDEX(atlas!D:D,MATCH(A1149,atlas!C:C,0)),"")</f>
        <v/>
      </c>
      <c r="E1149" s="8" t="str">
        <f t="array" ref="E1149">IFERROR(INDEX(atlas!F:F,MATCH(A1149,atlas!C:C,0)),"")</f>
        <v/>
      </c>
      <c r="F1149" s="9"/>
      <c r="G1149" s="10"/>
      <c r="H1149" s="11"/>
      <c r="I1149" s="12" t="str">
        <f t="array" ref="I1149">IFERROR(INDEX(atlas!B:B,MATCH(A1149,atlas!C:C,0)),"")</f>
        <v/>
      </c>
      <c r="J1149" s="8" t="str">
        <f>IFERROR(VLOOKUP(F1149,tecnica!A:B,2,0),"")</f>
        <v/>
      </c>
      <c r="K1149" s="8" t="str">
        <f>IFERROR(VLOOKUP(J1149,tecnica!B:C,2,0),"")</f>
        <v/>
      </c>
      <c r="L1149" s="13"/>
      <c r="M1149" s="14" t="str">
        <f>IFERROR(VLOOKUP(I1149,material!A:D,4,0),"")</f>
        <v/>
      </c>
      <c r="N1149" s="14" t="str">
        <f t="shared" si="1"/>
        <v/>
      </c>
      <c r="O1149" s="15" t="str">
        <f>IFERROR(VLOOKUP(I1149,material!A:D,2,0),"")</f>
        <v/>
      </c>
    </row>
    <row r="1150">
      <c r="A1150" s="6"/>
      <c r="B1150" s="7"/>
      <c r="C1150" s="8" t="str">
        <f t="array" ref="C1150">IFERROR(INDEX(atlas!H:H,MATCH(A1150,atlas!C:C,0)),"")</f>
        <v/>
      </c>
      <c r="D1150" s="8" t="str">
        <f t="array" ref="D1150">IFERROR(INDEX(atlas!D:D,MATCH(A1150,atlas!C:C,0)),"")</f>
        <v/>
      </c>
      <c r="E1150" s="8" t="str">
        <f t="array" ref="E1150">IFERROR(INDEX(atlas!F:F,MATCH(A1150,atlas!C:C,0)),"")</f>
        <v/>
      </c>
      <c r="F1150" s="9"/>
      <c r="G1150" s="10"/>
      <c r="H1150" s="11"/>
      <c r="I1150" s="12" t="str">
        <f t="array" ref="I1150">IFERROR(INDEX(atlas!B:B,MATCH(A1150,atlas!C:C,0)),"")</f>
        <v/>
      </c>
      <c r="J1150" s="8" t="str">
        <f>IFERROR(VLOOKUP(F1150,tecnica!A:B,2,0),"")</f>
        <v/>
      </c>
      <c r="K1150" s="8" t="str">
        <f>IFERROR(VLOOKUP(J1150,tecnica!B:C,2,0),"")</f>
        <v/>
      </c>
      <c r="L1150" s="13"/>
      <c r="M1150" s="14" t="str">
        <f>IFERROR(VLOOKUP(I1150,material!A:D,4,0),"")</f>
        <v/>
      </c>
      <c r="N1150" s="14" t="str">
        <f t="shared" si="1"/>
        <v/>
      </c>
      <c r="O1150" s="15" t="str">
        <f>IFERROR(VLOOKUP(I1150,material!A:D,2,0),"")</f>
        <v/>
      </c>
    </row>
    <row r="1151">
      <c r="A1151" s="6"/>
      <c r="B1151" s="7"/>
      <c r="C1151" s="8" t="str">
        <f t="array" ref="C1151">IFERROR(INDEX(atlas!H:H,MATCH(A1151,atlas!C:C,0)),"")</f>
        <v/>
      </c>
      <c r="D1151" s="8" t="str">
        <f t="array" ref="D1151">IFERROR(INDEX(atlas!D:D,MATCH(A1151,atlas!C:C,0)),"")</f>
        <v/>
      </c>
      <c r="E1151" s="8" t="str">
        <f t="array" ref="E1151">IFERROR(INDEX(atlas!F:F,MATCH(A1151,atlas!C:C,0)),"")</f>
        <v/>
      </c>
      <c r="F1151" s="9"/>
      <c r="G1151" s="10"/>
      <c r="H1151" s="11"/>
      <c r="I1151" s="12" t="str">
        <f t="array" ref="I1151">IFERROR(INDEX(atlas!B:B,MATCH(A1151,atlas!C:C,0)),"")</f>
        <v/>
      </c>
      <c r="J1151" s="8" t="str">
        <f>IFERROR(VLOOKUP(F1151,tecnica!A:B,2,0),"")</f>
        <v/>
      </c>
      <c r="K1151" s="8" t="str">
        <f>IFERROR(VLOOKUP(J1151,tecnica!B:C,2,0),"")</f>
        <v/>
      </c>
      <c r="L1151" s="13"/>
      <c r="M1151" s="14" t="str">
        <f>IFERROR(VLOOKUP(I1151,material!A:D,4,0),"")</f>
        <v/>
      </c>
      <c r="N1151" s="14" t="str">
        <f t="shared" si="1"/>
        <v/>
      </c>
      <c r="O1151" s="15" t="str">
        <f>IFERROR(VLOOKUP(I1151,material!A:D,2,0),"")</f>
        <v/>
      </c>
    </row>
    <row r="1152">
      <c r="A1152" s="6"/>
      <c r="B1152" s="7"/>
      <c r="C1152" s="8" t="str">
        <f t="array" ref="C1152">IFERROR(INDEX(atlas!H:H,MATCH(A1152,atlas!C:C,0)),"")</f>
        <v/>
      </c>
      <c r="D1152" s="8" t="str">
        <f t="array" ref="D1152">IFERROR(INDEX(atlas!D:D,MATCH(A1152,atlas!C:C,0)),"")</f>
        <v/>
      </c>
      <c r="E1152" s="8" t="str">
        <f t="array" ref="E1152">IFERROR(INDEX(atlas!F:F,MATCH(A1152,atlas!C:C,0)),"")</f>
        <v/>
      </c>
      <c r="F1152" s="9"/>
      <c r="G1152" s="10"/>
      <c r="H1152" s="11"/>
      <c r="I1152" s="12" t="str">
        <f t="array" ref="I1152">IFERROR(INDEX(atlas!B:B,MATCH(A1152,atlas!C:C,0)),"")</f>
        <v/>
      </c>
      <c r="J1152" s="8" t="str">
        <f>IFERROR(VLOOKUP(F1152,tecnica!A:B,2,0),"")</f>
        <v/>
      </c>
      <c r="K1152" s="8" t="str">
        <f>IFERROR(VLOOKUP(J1152,tecnica!B:C,2,0),"")</f>
        <v/>
      </c>
      <c r="L1152" s="13"/>
      <c r="M1152" s="14" t="str">
        <f>IFERROR(VLOOKUP(I1152,material!A:D,4,0),"")</f>
        <v/>
      </c>
      <c r="N1152" s="14" t="str">
        <f t="shared" si="1"/>
        <v/>
      </c>
      <c r="O1152" s="15" t="str">
        <f>IFERROR(VLOOKUP(I1152,material!A:D,2,0),"")</f>
        <v/>
      </c>
    </row>
    <row r="1153">
      <c r="A1153" s="6"/>
      <c r="B1153" s="7"/>
      <c r="C1153" s="8" t="str">
        <f t="array" ref="C1153">IFERROR(INDEX(atlas!H:H,MATCH(A1153,atlas!C:C,0)),"")</f>
        <v/>
      </c>
      <c r="D1153" s="8" t="str">
        <f t="array" ref="D1153">IFERROR(INDEX(atlas!D:D,MATCH(A1153,atlas!C:C,0)),"")</f>
        <v/>
      </c>
      <c r="E1153" s="8" t="str">
        <f t="array" ref="E1153">IFERROR(INDEX(atlas!F:F,MATCH(A1153,atlas!C:C,0)),"")</f>
        <v/>
      </c>
      <c r="F1153" s="9"/>
      <c r="G1153" s="10"/>
      <c r="H1153" s="11"/>
      <c r="I1153" s="12" t="str">
        <f t="array" ref="I1153">IFERROR(INDEX(atlas!B:B,MATCH(A1153,atlas!C:C,0)),"")</f>
        <v/>
      </c>
      <c r="J1153" s="8" t="str">
        <f>IFERROR(VLOOKUP(F1153,tecnica!A:B,2,0),"")</f>
        <v/>
      </c>
      <c r="K1153" s="8" t="str">
        <f>IFERROR(VLOOKUP(J1153,tecnica!B:C,2,0),"")</f>
        <v/>
      </c>
      <c r="L1153" s="13"/>
      <c r="M1153" s="14" t="str">
        <f>IFERROR(VLOOKUP(I1153,material!A:D,4,0),"")</f>
        <v/>
      </c>
      <c r="N1153" s="14" t="str">
        <f t="shared" si="1"/>
        <v/>
      </c>
      <c r="O1153" s="15" t="str">
        <f>IFERROR(VLOOKUP(I1153,material!A:D,2,0),"")</f>
        <v/>
      </c>
    </row>
    <row r="1154">
      <c r="A1154" s="6"/>
      <c r="B1154" s="7"/>
      <c r="C1154" s="8" t="str">
        <f t="array" ref="C1154">IFERROR(INDEX(atlas!H:H,MATCH(A1154,atlas!C:C,0)),"")</f>
        <v/>
      </c>
      <c r="D1154" s="8" t="str">
        <f t="array" ref="D1154">IFERROR(INDEX(atlas!D:D,MATCH(A1154,atlas!C:C,0)),"")</f>
        <v/>
      </c>
      <c r="E1154" s="8" t="str">
        <f t="array" ref="E1154">IFERROR(INDEX(atlas!F:F,MATCH(A1154,atlas!C:C,0)),"")</f>
        <v/>
      </c>
      <c r="F1154" s="9"/>
      <c r="G1154" s="10"/>
      <c r="H1154" s="11"/>
      <c r="I1154" s="12" t="str">
        <f t="array" ref="I1154">IFERROR(INDEX(atlas!B:B,MATCH(A1154,atlas!C:C,0)),"")</f>
        <v/>
      </c>
      <c r="J1154" s="8" t="str">
        <f>IFERROR(VLOOKUP(F1154,tecnica!A:B,2,0),"")</f>
        <v/>
      </c>
      <c r="K1154" s="8" t="str">
        <f>IFERROR(VLOOKUP(J1154,tecnica!B:C,2,0),"")</f>
        <v/>
      </c>
      <c r="L1154" s="13"/>
      <c r="M1154" s="14" t="str">
        <f>IFERROR(VLOOKUP(I1154,material!A:D,4,0),"")</f>
        <v/>
      </c>
      <c r="N1154" s="14" t="str">
        <f t="shared" si="1"/>
        <v/>
      </c>
      <c r="O1154" s="15" t="str">
        <f>IFERROR(VLOOKUP(I1154,material!A:D,2,0),"")</f>
        <v/>
      </c>
    </row>
    <row r="1155">
      <c r="A1155" s="6"/>
      <c r="B1155" s="7"/>
      <c r="C1155" s="8" t="str">
        <f t="array" ref="C1155">IFERROR(INDEX(atlas!H:H,MATCH(A1155,atlas!C:C,0)),"")</f>
        <v/>
      </c>
      <c r="D1155" s="8" t="str">
        <f t="array" ref="D1155">IFERROR(INDEX(atlas!D:D,MATCH(A1155,atlas!C:C,0)),"")</f>
        <v/>
      </c>
      <c r="E1155" s="8" t="str">
        <f t="array" ref="E1155">IFERROR(INDEX(atlas!F:F,MATCH(A1155,atlas!C:C,0)),"")</f>
        <v/>
      </c>
      <c r="F1155" s="9"/>
      <c r="G1155" s="10"/>
      <c r="H1155" s="11"/>
      <c r="I1155" s="12" t="str">
        <f t="array" ref="I1155">IFERROR(INDEX(atlas!B:B,MATCH(A1155,atlas!C:C,0)),"")</f>
        <v/>
      </c>
      <c r="J1155" s="8" t="str">
        <f>IFERROR(VLOOKUP(F1155,tecnica!A:B,2,0),"")</f>
        <v/>
      </c>
      <c r="K1155" s="8" t="str">
        <f>IFERROR(VLOOKUP(J1155,tecnica!B:C,2,0),"")</f>
        <v/>
      </c>
      <c r="L1155" s="13"/>
      <c r="M1155" s="14" t="str">
        <f>IFERROR(VLOOKUP(I1155,material!A:D,4,0),"")</f>
        <v/>
      </c>
      <c r="N1155" s="14" t="str">
        <f t="shared" si="1"/>
        <v/>
      </c>
      <c r="O1155" s="15" t="str">
        <f>IFERROR(VLOOKUP(I1155,material!A:D,2,0),"")</f>
        <v/>
      </c>
    </row>
    <row r="1156">
      <c r="A1156" s="6"/>
      <c r="B1156" s="7"/>
      <c r="C1156" s="8" t="str">
        <f t="array" ref="C1156">IFERROR(INDEX(atlas!H:H,MATCH(A1156,atlas!C:C,0)),"")</f>
        <v/>
      </c>
      <c r="D1156" s="8" t="str">
        <f t="array" ref="D1156">IFERROR(INDEX(atlas!D:D,MATCH(A1156,atlas!C:C,0)),"")</f>
        <v/>
      </c>
      <c r="E1156" s="8" t="str">
        <f t="array" ref="E1156">IFERROR(INDEX(atlas!F:F,MATCH(A1156,atlas!C:C,0)),"")</f>
        <v/>
      </c>
      <c r="F1156" s="9"/>
      <c r="G1156" s="10"/>
      <c r="H1156" s="11"/>
      <c r="I1156" s="12" t="str">
        <f t="array" ref="I1156">IFERROR(INDEX(atlas!B:B,MATCH(A1156,atlas!C:C,0)),"")</f>
        <v/>
      </c>
      <c r="J1156" s="8" t="str">
        <f>IFERROR(VLOOKUP(F1156,tecnica!A:B,2,0),"")</f>
        <v/>
      </c>
      <c r="K1156" s="8" t="str">
        <f>IFERROR(VLOOKUP(J1156,tecnica!B:C,2,0),"")</f>
        <v/>
      </c>
      <c r="L1156" s="13"/>
      <c r="M1156" s="14" t="str">
        <f>IFERROR(VLOOKUP(I1156,material!A:D,4,0),"")</f>
        <v/>
      </c>
      <c r="N1156" s="14" t="str">
        <f t="shared" si="1"/>
        <v/>
      </c>
      <c r="O1156" s="15" t="str">
        <f>IFERROR(VLOOKUP(I1156,material!A:D,2,0),"")</f>
        <v/>
      </c>
    </row>
    <row r="1157">
      <c r="A1157" s="6"/>
      <c r="B1157" s="7"/>
      <c r="C1157" s="8" t="str">
        <f t="array" ref="C1157">IFERROR(INDEX(atlas!H:H,MATCH(A1157,atlas!C:C,0)),"")</f>
        <v/>
      </c>
      <c r="D1157" s="8" t="str">
        <f t="array" ref="D1157">IFERROR(INDEX(atlas!D:D,MATCH(A1157,atlas!C:C,0)),"")</f>
        <v/>
      </c>
      <c r="E1157" s="8" t="str">
        <f t="array" ref="E1157">IFERROR(INDEX(atlas!F:F,MATCH(A1157,atlas!C:C,0)),"")</f>
        <v/>
      </c>
      <c r="F1157" s="9"/>
      <c r="G1157" s="10"/>
      <c r="H1157" s="11"/>
      <c r="I1157" s="12" t="str">
        <f t="array" ref="I1157">IFERROR(INDEX(atlas!B:B,MATCH(A1157,atlas!C:C,0)),"")</f>
        <v/>
      </c>
      <c r="J1157" s="8" t="str">
        <f>IFERROR(VLOOKUP(F1157,tecnica!A:B,2,0),"")</f>
        <v/>
      </c>
      <c r="K1157" s="8" t="str">
        <f>IFERROR(VLOOKUP(J1157,tecnica!B:C,2,0),"")</f>
        <v/>
      </c>
      <c r="L1157" s="13"/>
      <c r="M1157" s="14" t="str">
        <f>IFERROR(VLOOKUP(I1157,material!A:D,4,0),"")</f>
        <v/>
      </c>
      <c r="N1157" s="14" t="str">
        <f t="shared" si="1"/>
        <v/>
      </c>
      <c r="O1157" s="15" t="str">
        <f>IFERROR(VLOOKUP(I1157,material!A:D,2,0),"")</f>
        <v/>
      </c>
    </row>
    <row r="1158">
      <c r="A1158" s="6"/>
      <c r="B1158" s="7"/>
      <c r="C1158" s="8" t="str">
        <f t="array" ref="C1158">IFERROR(INDEX(atlas!H:H,MATCH(A1158,atlas!C:C,0)),"")</f>
        <v/>
      </c>
      <c r="D1158" s="8" t="str">
        <f t="array" ref="D1158">IFERROR(INDEX(atlas!D:D,MATCH(A1158,atlas!C:C,0)),"")</f>
        <v/>
      </c>
      <c r="E1158" s="8" t="str">
        <f t="array" ref="E1158">IFERROR(INDEX(atlas!F:F,MATCH(A1158,atlas!C:C,0)),"")</f>
        <v/>
      </c>
      <c r="F1158" s="9"/>
      <c r="G1158" s="10"/>
      <c r="H1158" s="11"/>
      <c r="I1158" s="12" t="str">
        <f t="array" ref="I1158">IFERROR(INDEX(atlas!B:B,MATCH(A1158,atlas!C:C,0)),"")</f>
        <v/>
      </c>
      <c r="J1158" s="8" t="str">
        <f>IFERROR(VLOOKUP(F1158,tecnica!A:B,2,0),"")</f>
        <v/>
      </c>
      <c r="K1158" s="8" t="str">
        <f>IFERROR(VLOOKUP(J1158,tecnica!B:C,2,0),"")</f>
        <v/>
      </c>
      <c r="L1158" s="13"/>
      <c r="M1158" s="14" t="str">
        <f>IFERROR(VLOOKUP(I1158,material!A:D,4,0),"")</f>
        <v/>
      </c>
      <c r="N1158" s="14" t="str">
        <f t="shared" si="1"/>
        <v/>
      </c>
      <c r="O1158" s="15" t="str">
        <f>IFERROR(VLOOKUP(I1158,material!A:D,2,0),"")</f>
        <v/>
      </c>
    </row>
    <row r="1159">
      <c r="A1159" s="6"/>
      <c r="B1159" s="7"/>
      <c r="C1159" s="8" t="str">
        <f t="array" ref="C1159">IFERROR(INDEX(atlas!H:H,MATCH(A1159,atlas!C:C,0)),"")</f>
        <v/>
      </c>
      <c r="D1159" s="8" t="str">
        <f t="array" ref="D1159">IFERROR(INDEX(atlas!D:D,MATCH(A1159,atlas!C:C,0)),"")</f>
        <v/>
      </c>
      <c r="E1159" s="8" t="str">
        <f t="array" ref="E1159">IFERROR(INDEX(atlas!F:F,MATCH(A1159,atlas!C:C,0)),"")</f>
        <v/>
      </c>
      <c r="F1159" s="9"/>
      <c r="G1159" s="10"/>
      <c r="H1159" s="11"/>
      <c r="I1159" s="12" t="str">
        <f t="array" ref="I1159">IFERROR(INDEX(atlas!B:B,MATCH(A1159,atlas!C:C,0)),"")</f>
        <v/>
      </c>
      <c r="J1159" s="8" t="str">
        <f>IFERROR(VLOOKUP(F1159,tecnica!A:B,2,0),"")</f>
        <v/>
      </c>
      <c r="K1159" s="8" t="str">
        <f>IFERROR(VLOOKUP(J1159,tecnica!B:C,2,0),"")</f>
        <v/>
      </c>
      <c r="L1159" s="13"/>
      <c r="M1159" s="14" t="str">
        <f>IFERROR(VLOOKUP(I1159,material!A:D,4,0),"")</f>
        <v/>
      </c>
      <c r="N1159" s="14" t="str">
        <f t="shared" si="1"/>
        <v/>
      </c>
      <c r="O1159" s="15" t="str">
        <f>IFERROR(VLOOKUP(I1159,material!A:D,2,0),"")</f>
        <v/>
      </c>
    </row>
    <row r="1160">
      <c r="A1160" s="6"/>
      <c r="B1160" s="7"/>
      <c r="C1160" s="8" t="str">
        <f t="array" ref="C1160">IFERROR(INDEX(atlas!H:H,MATCH(A1160,atlas!C:C,0)),"")</f>
        <v/>
      </c>
      <c r="D1160" s="8" t="str">
        <f t="array" ref="D1160">IFERROR(INDEX(atlas!D:D,MATCH(A1160,atlas!C:C,0)),"")</f>
        <v/>
      </c>
      <c r="E1160" s="8" t="str">
        <f t="array" ref="E1160">IFERROR(INDEX(atlas!F:F,MATCH(A1160,atlas!C:C,0)),"")</f>
        <v/>
      </c>
      <c r="F1160" s="9"/>
      <c r="G1160" s="10"/>
      <c r="H1160" s="11"/>
      <c r="I1160" s="12" t="str">
        <f t="array" ref="I1160">IFERROR(INDEX(atlas!B:B,MATCH(A1160,atlas!C:C,0)),"")</f>
        <v/>
      </c>
      <c r="J1160" s="8" t="str">
        <f>IFERROR(VLOOKUP(F1160,tecnica!A:B,2,0),"")</f>
        <v/>
      </c>
      <c r="K1160" s="8" t="str">
        <f>IFERROR(VLOOKUP(J1160,tecnica!B:C,2,0),"")</f>
        <v/>
      </c>
      <c r="L1160" s="13"/>
      <c r="M1160" s="14" t="str">
        <f>IFERROR(VLOOKUP(I1160,material!A:D,4,0),"")</f>
        <v/>
      </c>
      <c r="N1160" s="14" t="str">
        <f t="shared" si="1"/>
        <v/>
      </c>
      <c r="O1160" s="15" t="str">
        <f>IFERROR(VLOOKUP(I1160,material!A:D,2,0),"")</f>
        <v/>
      </c>
    </row>
    <row r="1161">
      <c r="A1161" s="6"/>
      <c r="B1161" s="7"/>
      <c r="C1161" s="8" t="str">
        <f t="array" ref="C1161">IFERROR(INDEX(atlas!H:H,MATCH(A1161,atlas!C:C,0)),"")</f>
        <v/>
      </c>
      <c r="D1161" s="8" t="str">
        <f t="array" ref="D1161">IFERROR(INDEX(atlas!D:D,MATCH(A1161,atlas!C:C,0)),"")</f>
        <v/>
      </c>
      <c r="E1161" s="8" t="str">
        <f t="array" ref="E1161">IFERROR(INDEX(atlas!F:F,MATCH(A1161,atlas!C:C,0)),"")</f>
        <v/>
      </c>
      <c r="F1161" s="9"/>
      <c r="G1161" s="10"/>
      <c r="H1161" s="11"/>
      <c r="I1161" s="12" t="str">
        <f t="array" ref="I1161">IFERROR(INDEX(atlas!B:B,MATCH(A1161,atlas!C:C,0)),"")</f>
        <v/>
      </c>
      <c r="J1161" s="8" t="str">
        <f>IFERROR(VLOOKUP(F1161,tecnica!A:B,2,0),"")</f>
        <v/>
      </c>
      <c r="K1161" s="8" t="str">
        <f>IFERROR(VLOOKUP(J1161,tecnica!B:C,2,0),"")</f>
        <v/>
      </c>
      <c r="L1161" s="13"/>
      <c r="M1161" s="14" t="str">
        <f>IFERROR(VLOOKUP(I1161,material!A:D,4,0),"")</f>
        <v/>
      </c>
      <c r="N1161" s="14" t="str">
        <f t="shared" si="1"/>
        <v/>
      </c>
      <c r="O1161" s="15" t="str">
        <f>IFERROR(VLOOKUP(I1161,material!A:D,2,0),"")</f>
        <v/>
      </c>
    </row>
    <row r="1162">
      <c r="A1162" s="6"/>
      <c r="B1162" s="7"/>
      <c r="C1162" s="8" t="str">
        <f t="array" ref="C1162">IFERROR(INDEX(atlas!H:H,MATCH(A1162,atlas!C:C,0)),"")</f>
        <v/>
      </c>
      <c r="D1162" s="8" t="str">
        <f t="array" ref="D1162">IFERROR(INDEX(atlas!D:D,MATCH(A1162,atlas!C:C,0)),"")</f>
        <v/>
      </c>
      <c r="E1162" s="8" t="str">
        <f t="array" ref="E1162">IFERROR(INDEX(atlas!F:F,MATCH(A1162,atlas!C:C,0)),"")</f>
        <v/>
      </c>
      <c r="F1162" s="9"/>
      <c r="G1162" s="10"/>
      <c r="H1162" s="11"/>
      <c r="I1162" s="12" t="str">
        <f t="array" ref="I1162">IFERROR(INDEX(atlas!B:B,MATCH(A1162,atlas!C:C,0)),"")</f>
        <v/>
      </c>
      <c r="J1162" s="8" t="str">
        <f>IFERROR(VLOOKUP(F1162,tecnica!A:B,2,0),"")</f>
        <v/>
      </c>
      <c r="K1162" s="8" t="str">
        <f>IFERROR(VLOOKUP(J1162,tecnica!B:C,2,0),"")</f>
        <v/>
      </c>
      <c r="L1162" s="13"/>
      <c r="M1162" s="14" t="str">
        <f>IFERROR(VLOOKUP(I1162,material!A:D,4,0),"")</f>
        <v/>
      </c>
      <c r="N1162" s="14" t="str">
        <f t="shared" si="1"/>
        <v/>
      </c>
      <c r="O1162" s="15" t="str">
        <f>IFERROR(VLOOKUP(I1162,material!A:D,2,0),"")</f>
        <v/>
      </c>
    </row>
    <row r="1163">
      <c r="A1163" s="6"/>
      <c r="B1163" s="7"/>
      <c r="C1163" s="8" t="str">
        <f t="array" ref="C1163">IFERROR(INDEX(atlas!H:H,MATCH(A1163,atlas!C:C,0)),"")</f>
        <v/>
      </c>
      <c r="D1163" s="8" t="str">
        <f t="array" ref="D1163">IFERROR(INDEX(atlas!D:D,MATCH(A1163,atlas!C:C,0)),"")</f>
        <v/>
      </c>
      <c r="E1163" s="8" t="str">
        <f t="array" ref="E1163">IFERROR(INDEX(atlas!F:F,MATCH(A1163,atlas!C:C,0)),"")</f>
        <v/>
      </c>
      <c r="F1163" s="9"/>
      <c r="G1163" s="10"/>
      <c r="H1163" s="11"/>
      <c r="I1163" s="12" t="str">
        <f t="array" ref="I1163">IFERROR(INDEX(atlas!B:B,MATCH(A1163,atlas!C:C,0)),"")</f>
        <v/>
      </c>
      <c r="J1163" s="8" t="str">
        <f>IFERROR(VLOOKUP(F1163,tecnica!A:B,2,0),"")</f>
        <v/>
      </c>
      <c r="K1163" s="8" t="str">
        <f>IFERROR(VLOOKUP(J1163,tecnica!B:C,2,0),"")</f>
        <v/>
      </c>
      <c r="L1163" s="13"/>
      <c r="M1163" s="14" t="str">
        <f>IFERROR(VLOOKUP(I1163,material!A:D,4,0),"")</f>
        <v/>
      </c>
      <c r="N1163" s="14" t="str">
        <f t="shared" si="1"/>
        <v/>
      </c>
      <c r="O1163" s="15" t="str">
        <f>IFERROR(VLOOKUP(I1163,material!A:D,2,0),"")</f>
        <v/>
      </c>
    </row>
    <row r="1164">
      <c r="A1164" s="6"/>
      <c r="B1164" s="7"/>
      <c r="C1164" s="8" t="str">
        <f t="array" ref="C1164">IFERROR(INDEX(atlas!H:H,MATCH(A1164,atlas!C:C,0)),"")</f>
        <v/>
      </c>
      <c r="D1164" s="8" t="str">
        <f t="array" ref="D1164">IFERROR(INDEX(atlas!D:D,MATCH(A1164,atlas!C:C,0)),"")</f>
        <v/>
      </c>
      <c r="E1164" s="8" t="str">
        <f t="array" ref="E1164">IFERROR(INDEX(atlas!F:F,MATCH(A1164,atlas!C:C,0)),"")</f>
        <v/>
      </c>
      <c r="F1164" s="9"/>
      <c r="G1164" s="10"/>
      <c r="H1164" s="11"/>
      <c r="I1164" s="12" t="str">
        <f t="array" ref="I1164">IFERROR(INDEX(atlas!B:B,MATCH(A1164,atlas!C:C,0)),"")</f>
        <v/>
      </c>
      <c r="J1164" s="8" t="str">
        <f>IFERROR(VLOOKUP(F1164,tecnica!A:B,2,0),"")</f>
        <v/>
      </c>
      <c r="K1164" s="8" t="str">
        <f>IFERROR(VLOOKUP(J1164,tecnica!B:C,2,0),"")</f>
        <v/>
      </c>
      <c r="L1164" s="13"/>
      <c r="M1164" s="14" t="str">
        <f>IFERROR(VLOOKUP(I1164,material!A:D,4,0),"")</f>
        <v/>
      </c>
      <c r="N1164" s="14" t="str">
        <f t="shared" si="1"/>
        <v/>
      </c>
      <c r="O1164" s="15" t="str">
        <f>IFERROR(VLOOKUP(I1164,material!A:D,2,0),"")</f>
        <v/>
      </c>
    </row>
    <row r="1165">
      <c r="A1165" s="6"/>
      <c r="B1165" s="7"/>
      <c r="C1165" s="8" t="str">
        <f t="array" ref="C1165">IFERROR(INDEX(atlas!H:H,MATCH(A1165,atlas!C:C,0)),"")</f>
        <v/>
      </c>
      <c r="D1165" s="8" t="str">
        <f t="array" ref="D1165">IFERROR(INDEX(atlas!D:D,MATCH(A1165,atlas!C:C,0)),"")</f>
        <v/>
      </c>
      <c r="E1165" s="8" t="str">
        <f t="array" ref="E1165">IFERROR(INDEX(atlas!F:F,MATCH(A1165,atlas!C:C,0)),"")</f>
        <v/>
      </c>
      <c r="F1165" s="9"/>
      <c r="G1165" s="10"/>
      <c r="H1165" s="11"/>
      <c r="I1165" s="12" t="str">
        <f t="array" ref="I1165">IFERROR(INDEX(atlas!B:B,MATCH(A1165,atlas!C:C,0)),"")</f>
        <v/>
      </c>
      <c r="J1165" s="8" t="str">
        <f>IFERROR(VLOOKUP(F1165,tecnica!A:B,2,0),"")</f>
        <v/>
      </c>
      <c r="K1165" s="8" t="str">
        <f>IFERROR(VLOOKUP(J1165,tecnica!B:C,2,0),"")</f>
        <v/>
      </c>
      <c r="L1165" s="13"/>
      <c r="M1165" s="14" t="str">
        <f>IFERROR(VLOOKUP(I1165,material!A:D,4,0),"")</f>
        <v/>
      </c>
      <c r="N1165" s="14" t="str">
        <f t="shared" si="1"/>
        <v/>
      </c>
      <c r="O1165" s="15" t="str">
        <f>IFERROR(VLOOKUP(I1165,material!A:D,2,0),"")</f>
        <v/>
      </c>
    </row>
    <row r="1166">
      <c r="A1166" s="6"/>
      <c r="B1166" s="7"/>
      <c r="C1166" s="8" t="str">
        <f t="array" ref="C1166">IFERROR(INDEX(atlas!H:H,MATCH(A1166,atlas!C:C,0)),"")</f>
        <v/>
      </c>
      <c r="D1166" s="8" t="str">
        <f t="array" ref="D1166">IFERROR(INDEX(atlas!D:D,MATCH(A1166,atlas!C:C,0)),"")</f>
        <v/>
      </c>
      <c r="E1166" s="8" t="str">
        <f t="array" ref="E1166">IFERROR(INDEX(atlas!F:F,MATCH(A1166,atlas!C:C,0)),"")</f>
        <v/>
      </c>
      <c r="F1166" s="9"/>
      <c r="G1166" s="10"/>
      <c r="H1166" s="11"/>
      <c r="I1166" s="12" t="str">
        <f t="array" ref="I1166">IFERROR(INDEX(atlas!B:B,MATCH(A1166,atlas!C:C,0)),"")</f>
        <v/>
      </c>
      <c r="J1166" s="8" t="str">
        <f>IFERROR(VLOOKUP(F1166,tecnica!A:B,2,0),"")</f>
        <v/>
      </c>
      <c r="K1166" s="8" t="str">
        <f>IFERROR(VLOOKUP(J1166,tecnica!B:C,2,0),"")</f>
        <v/>
      </c>
      <c r="L1166" s="13"/>
      <c r="M1166" s="14" t="str">
        <f>IFERROR(VLOOKUP(I1166,material!A:D,4,0),"")</f>
        <v/>
      </c>
      <c r="N1166" s="14" t="str">
        <f t="shared" si="1"/>
        <v/>
      </c>
      <c r="O1166" s="15" t="str">
        <f>IFERROR(VLOOKUP(I1166,material!A:D,2,0),"")</f>
        <v/>
      </c>
    </row>
    <row r="1167">
      <c r="A1167" s="6"/>
      <c r="B1167" s="7"/>
      <c r="C1167" s="8" t="str">
        <f t="array" ref="C1167">IFERROR(INDEX(atlas!H:H,MATCH(A1167,atlas!C:C,0)),"")</f>
        <v/>
      </c>
      <c r="D1167" s="8" t="str">
        <f t="array" ref="D1167">IFERROR(INDEX(atlas!D:D,MATCH(A1167,atlas!C:C,0)),"")</f>
        <v/>
      </c>
      <c r="E1167" s="8" t="str">
        <f t="array" ref="E1167">IFERROR(INDEX(atlas!F:F,MATCH(A1167,atlas!C:C,0)),"")</f>
        <v/>
      </c>
      <c r="F1167" s="9"/>
      <c r="G1167" s="10"/>
      <c r="H1167" s="11"/>
      <c r="I1167" s="12" t="str">
        <f t="array" ref="I1167">IFERROR(INDEX(atlas!B:B,MATCH(A1167,atlas!C:C,0)),"")</f>
        <v/>
      </c>
      <c r="J1167" s="8" t="str">
        <f>IFERROR(VLOOKUP(F1167,tecnica!A:B,2,0),"")</f>
        <v/>
      </c>
      <c r="K1167" s="8" t="str">
        <f>IFERROR(VLOOKUP(J1167,tecnica!B:C,2,0),"")</f>
        <v/>
      </c>
      <c r="L1167" s="13"/>
      <c r="M1167" s="14" t="str">
        <f>IFERROR(VLOOKUP(I1167,material!A:D,4,0),"")</f>
        <v/>
      </c>
      <c r="N1167" s="14" t="str">
        <f t="shared" si="1"/>
        <v/>
      </c>
      <c r="O1167" s="15" t="str">
        <f>IFERROR(VLOOKUP(I1167,material!A:D,2,0),"")</f>
        <v/>
      </c>
    </row>
    <row r="1168">
      <c r="A1168" s="6"/>
      <c r="B1168" s="7"/>
      <c r="C1168" s="8" t="str">
        <f t="array" ref="C1168">IFERROR(INDEX(atlas!H:H,MATCH(A1168,atlas!C:C,0)),"")</f>
        <v/>
      </c>
      <c r="D1168" s="8" t="str">
        <f t="array" ref="D1168">IFERROR(INDEX(atlas!D:D,MATCH(A1168,atlas!C:C,0)),"")</f>
        <v/>
      </c>
      <c r="E1168" s="8" t="str">
        <f t="array" ref="E1168">IFERROR(INDEX(atlas!F:F,MATCH(A1168,atlas!C:C,0)),"")</f>
        <v/>
      </c>
      <c r="F1168" s="9"/>
      <c r="G1168" s="10"/>
      <c r="H1168" s="11"/>
      <c r="I1168" s="12" t="str">
        <f t="array" ref="I1168">IFERROR(INDEX(atlas!B:B,MATCH(A1168,atlas!C:C,0)),"")</f>
        <v/>
      </c>
      <c r="J1168" s="8" t="str">
        <f>IFERROR(VLOOKUP(F1168,tecnica!A:B,2,0),"")</f>
        <v/>
      </c>
      <c r="K1168" s="8" t="str">
        <f>IFERROR(VLOOKUP(J1168,tecnica!B:C,2,0),"")</f>
        <v/>
      </c>
      <c r="L1168" s="13"/>
      <c r="M1168" s="14" t="str">
        <f>IFERROR(VLOOKUP(I1168,material!A:D,4,0),"")</f>
        <v/>
      </c>
      <c r="N1168" s="14" t="str">
        <f t="shared" si="1"/>
        <v/>
      </c>
      <c r="O1168" s="15" t="str">
        <f>IFERROR(VLOOKUP(I1168,material!A:D,2,0),"")</f>
        <v/>
      </c>
    </row>
    <row r="1169">
      <c r="A1169" s="6"/>
      <c r="B1169" s="7"/>
      <c r="C1169" s="8" t="str">
        <f t="array" ref="C1169">IFERROR(INDEX(atlas!H:H,MATCH(A1169,atlas!C:C,0)),"")</f>
        <v/>
      </c>
      <c r="D1169" s="8" t="str">
        <f t="array" ref="D1169">IFERROR(INDEX(atlas!D:D,MATCH(A1169,atlas!C:C,0)),"")</f>
        <v/>
      </c>
      <c r="E1169" s="8" t="str">
        <f t="array" ref="E1169">IFERROR(INDEX(atlas!F:F,MATCH(A1169,atlas!C:C,0)),"")</f>
        <v/>
      </c>
      <c r="F1169" s="9"/>
      <c r="G1169" s="10"/>
      <c r="H1169" s="11"/>
      <c r="I1169" s="12" t="str">
        <f t="array" ref="I1169">IFERROR(INDEX(atlas!B:B,MATCH(A1169,atlas!C:C,0)),"")</f>
        <v/>
      </c>
      <c r="J1169" s="8" t="str">
        <f>IFERROR(VLOOKUP(F1169,tecnica!A:B,2,0),"")</f>
        <v/>
      </c>
      <c r="K1169" s="8" t="str">
        <f>IFERROR(VLOOKUP(J1169,tecnica!B:C,2,0),"")</f>
        <v/>
      </c>
      <c r="L1169" s="13"/>
      <c r="M1169" s="14" t="str">
        <f>IFERROR(VLOOKUP(I1169,material!A:D,4,0),"")</f>
        <v/>
      </c>
      <c r="N1169" s="14" t="str">
        <f t="shared" si="1"/>
        <v/>
      </c>
      <c r="O1169" s="15" t="str">
        <f>IFERROR(VLOOKUP(I1169,material!A:D,2,0),"")</f>
        <v/>
      </c>
    </row>
    <row r="1170">
      <c r="A1170" s="6"/>
      <c r="B1170" s="7"/>
      <c r="C1170" s="8" t="str">
        <f t="array" ref="C1170">IFERROR(INDEX(atlas!H:H,MATCH(A1170,atlas!C:C,0)),"")</f>
        <v/>
      </c>
      <c r="D1170" s="8" t="str">
        <f t="array" ref="D1170">IFERROR(INDEX(atlas!D:D,MATCH(A1170,atlas!C:C,0)),"")</f>
        <v/>
      </c>
      <c r="E1170" s="8" t="str">
        <f t="array" ref="E1170">IFERROR(INDEX(atlas!F:F,MATCH(A1170,atlas!C:C,0)),"")</f>
        <v/>
      </c>
      <c r="F1170" s="9"/>
      <c r="G1170" s="10"/>
      <c r="H1170" s="11"/>
      <c r="I1170" s="12" t="str">
        <f t="array" ref="I1170">IFERROR(INDEX(atlas!B:B,MATCH(A1170,atlas!C:C,0)),"")</f>
        <v/>
      </c>
      <c r="J1170" s="8" t="str">
        <f>IFERROR(VLOOKUP(F1170,tecnica!A:B,2,0),"")</f>
        <v/>
      </c>
      <c r="K1170" s="8" t="str">
        <f>IFERROR(VLOOKUP(J1170,tecnica!B:C,2,0),"")</f>
        <v/>
      </c>
      <c r="L1170" s="13"/>
      <c r="M1170" s="14" t="str">
        <f>IFERROR(VLOOKUP(I1170,material!A:D,4,0),"")</f>
        <v/>
      </c>
      <c r="N1170" s="14" t="str">
        <f t="shared" si="1"/>
        <v/>
      </c>
      <c r="O1170" s="15" t="str">
        <f>IFERROR(VLOOKUP(I1170,material!A:D,2,0),"")</f>
        <v/>
      </c>
    </row>
    <row r="1171">
      <c r="A1171" s="6"/>
      <c r="B1171" s="7"/>
      <c r="C1171" s="8" t="str">
        <f t="array" ref="C1171">IFERROR(INDEX(atlas!H:H,MATCH(A1171,atlas!C:C,0)),"")</f>
        <v/>
      </c>
      <c r="D1171" s="8" t="str">
        <f t="array" ref="D1171">IFERROR(INDEX(atlas!D:D,MATCH(A1171,atlas!C:C,0)),"")</f>
        <v/>
      </c>
      <c r="E1171" s="8" t="str">
        <f t="array" ref="E1171">IFERROR(INDEX(atlas!F:F,MATCH(A1171,atlas!C:C,0)),"")</f>
        <v/>
      </c>
      <c r="F1171" s="9"/>
      <c r="G1171" s="10"/>
      <c r="H1171" s="11"/>
      <c r="I1171" s="12" t="str">
        <f t="array" ref="I1171">IFERROR(INDEX(atlas!B:B,MATCH(A1171,atlas!C:C,0)),"")</f>
        <v/>
      </c>
      <c r="J1171" s="8" t="str">
        <f>IFERROR(VLOOKUP(F1171,tecnica!A:B,2,0),"")</f>
        <v/>
      </c>
      <c r="K1171" s="8" t="str">
        <f>IFERROR(VLOOKUP(J1171,tecnica!B:C,2,0),"")</f>
        <v/>
      </c>
      <c r="L1171" s="13"/>
      <c r="M1171" s="14" t="str">
        <f>IFERROR(VLOOKUP(I1171,material!A:D,4,0),"")</f>
        <v/>
      </c>
      <c r="N1171" s="14" t="str">
        <f t="shared" si="1"/>
        <v/>
      </c>
      <c r="O1171" s="15" t="str">
        <f>IFERROR(VLOOKUP(I1171,material!A:D,2,0),"")</f>
        <v/>
      </c>
    </row>
    <row r="1172">
      <c r="A1172" s="6"/>
      <c r="B1172" s="7"/>
      <c r="C1172" s="8" t="str">
        <f t="array" ref="C1172">IFERROR(INDEX(atlas!H:H,MATCH(A1172,atlas!C:C,0)),"")</f>
        <v/>
      </c>
      <c r="D1172" s="8" t="str">
        <f t="array" ref="D1172">IFERROR(INDEX(atlas!D:D,MATCH(A1172,atlas!C:C,0)),"")</f>
        <v/>
      </c>
      <c r="E1172" s="8" t="str">
        <f t="array" ref="E1172">IFERROR(INDEX(atlas!F:F,MATCH(A1172,atlas!C:C,0)),"")</f>
        <v/>
      </c>
      <c r="F1172" s="9"/>
      <c r="G1172" s="10"/>
      <c r="H1172" s="11"/>
      <c r="I1172" s="12" t="str">
        <f t="array" ref="I1172">IFERROR(INDEX(atlas!B:B,MATCH(A1172,atlas!C:C,0)),"")</f>
        <v/>
      </c>
      <c r="J1172" s="8" t="str">
        <f>IFERROR(VLOOKUP(F1172,tecnica!A:B,2,0),"")</f>
        <v/>
      </c>
      <c r="K1172" s="8" t="str">
        <f>IFERROR(VLOOKUP(J1172,tecnica!B:C,2,0),"")</f>
        <v/>
      </c>
      <c r="L1172" s="13"/>
      <c r="M1172" s="14" t="str">
        <f>IFERROR(VLOOKUP(I1172,material!A:D,4,0),"")</f>
        <v/>
      </c>
      <c r="N1172" s="14" t="str">
        <f t="shared" si="1"/>
        <v/>
      </c>
      <c r="O1172" s="15" t="str">
        <f>IFERROR(VLOOKUP(I1172,material!A:D,2,0),"")</f>
        <v/>
      </c>
    </row>
    <row r="1173">
      <c r="A1173" s="6"/>
      <c r="B1173" s="7"/>
      <c r="C1173" s="8" t="str">
        <f t="array" ref="C1173">IFERROR(INDEX(atlas!H:H,MATCH(A1173,atlas!C:C,0)),"")</f>
        <v/>
      </c>
      <c r="D1173" s="8" t="str">
        <f t="array" ref="D1173">IFERROR(INDEX(atlas!D:D,MATCH(A1173,atlas!C:C,0)),"")</f>
        <v/>
      </c>
      <c r="E1173" s="8" t="str">
        <f t="array" ref="E1173">IFERROR(INDEX(atlas!F:F,MATCH(A1173,atlas!C:C,0)),"")</f>
        <v/>
      </c>
      <c r="F1173" s="9"/>
      <c r="G1173" s="10"/>
      <c r="H1173" s="11"/>
      <c r="I1173" s="12" t="str">
        <f t="array" ref="I1173">IFERROR(INDEX(atlas!B:B,MATCH(A1173,atlas!C:C,0)),"")</f>
        <v/>
      </c>
      <c r="J1173" s="8" t="str">
        <f>IFERROR(VLOOKUP(F1173,tecnica!A:B,2,0),"")</f>
        <v/>
      </c>
      <c r="K1173" s="8" t="str">
        <f>IFERROR(VLOOKUP(J1173,tecnica!B:C,2,0),"")</f>
        <v/>
      </c>
      <c r="L1173" s="13"/>
      <c r="M1173" s="14" t="str">
        <f>IFERROR(VLOOKUP(I1173,material!A:D,4,0),"")</f>
        <v/>
      </c>
      <c r="N1173" s="14" t="str">
        <f t="shared" si="1"/>
        <v/>
      </c>
      <c r="O1173" s="15" t="str">
        <f>IFERROR(VLOOKUP(I1173,material!A:D,2,0),"")</f>
        <v/>
      </c>
    </row>
    <row r="1174">
      <c r="A1174" s="6"/>
      <c r="B1174" s="7"/>
      <c r="C1174" s="8" t="str">
        <f t="array" ref="C1174">IFERROR(INDEX(atlas!H:H,MATCH(A1174,atlas!C:C,0)),"")</f>
        <v/>
      </c>
      <c r="D1174" s="8" t="str">
        <f t="array" ref="D1174">IFERROR(INDEX(atlas!D:D,MATCH(A1174,atlas!C:C,0)),"")</f>
        <v/>
      </c>
      <c r="E1174" s="8" t="str">
        <f t="array" ref="E1174">IFERROR(INDEX(atlas!F:F,MATCH(A1174,atlas!C:C,0)),"")</f>
        <v/>
      </c>
      <c r="F1174" s="9"/>
      <c r="G1174" s="10"/>
      <c r="H1174" s="11"/>
      <c r="I1174" s="12" t="str">
        <f t="array" ref="I1174">IFERROR(INDEX(atlas!B:B,MATCH(A1174,atlas!C:C,0)),"")</f>
        <v/>
      </c>
      <c r="J1174" s="8" t="str">
        <f>IFERROR(VLOOKUP(F1174,tecnica!A:B,2,0),"")</f>
        <v/>
      </c>
      <c r="K1174" s="8" t="str">
        <f>IFERROR(VLOOKUP(J1174,tecnica!B:C,2,0),"")</f>
        <v/>
      </c>
      <c r="L1174" s="13"/>
      <c r="M1174" s="14" t="str">
        <f>IFERROR(VLOOKUP(I1174,material!A:D,4,0),"")</f>
        <v/>
      </c>
      <c r="N1174" s="14" t="str">
        <f t="shared" si="1"/>
        <v/>
      </c>
      <c r="O1174" s="15" t="str">
        <f>IFERROR(VLOOKUP(I1174,material!A:D,2,0),"")</f>
        <v/>
      </c>
    </row>
    <row r="1175">
      <c r="A1175" s="6"/>
      <c r="B1175" s="7"/>
      <c r="C1175" s="8" t="str">
        <f t="array" ref="C1175">IFERROR(INDEX(atlas!H:H,MATCH(A1175,atlas!C:C,0)),"")</f>
        <v/>
      </c>
      <c r="D1175" s="8" t="str">
        <f t="array" ref="D1175">IFERROR(INDEX(atlas!D:D,MATCH(A1175,atlas!C:C,0)),"")</f>
        <v/>
      </c>
      <c r="E1175" s="8" t="str">
        <f t="array" ref="E1175">IFERROR(INDEX(atlas!F:F,MATCH(A1175,atlas!C:C,0)),"")</f>
        <v/>
      </c>
      <c r="F1175" s="9"/>
      <c r="G1175" s="10"/>
      <c r="H1175" s="11"/>
      <c r="I1175" s="12" t="str">
        <f t="array" ref="I1175">IFERROR(INDEX(atlas!B:B,MATCH(A1175,atlas!C:C,0)),"")</f>
        <v/>
      </c>
      <c r="J1175" s="8" t="str">
        <f>IFERROR(VLOOKUP(F1175,tecnica!A:B,2,0),"")</f>
        <v/>
      </c>
      <c r="K1175" s="8" t="str">
        <f>IFERROR(VLOOKUP(J1175,tecnica!B:C,2,0),"")</f>
        <v/>
      </c>
      <c r="L1175" s="13"/>
      <c r="M1175" s="14" t="str">
        <f>IFERROR(VLOOKUP(I1175,material!A:D,4,0),"")</f>
        <v/>
      </c>
      <c r="N1175" s="14" t="str">
        <f t="shared" si="1"/>
        <v/>
      </c>
      <c r="O1175" s="15" t="str">
        <f>IFERROR(VLOOKUP(I1175,material!A:D,2,0),"")</f>
        <v/>
      </c>
    </row>
    <row r="1176">
      <c r="A1176" s="6"/>
      <c r="B1176" s="7"/>
      <c r="C1176" s="8" t="str">
        <f t="array" ref="C1176">IFERROR(INDEX(atlas!H:H,MATCH(A1176,atlas!C:C,0)),"")</f>
        <v/>
      </c>
      <c r="D1176" s="8" t="str">
        <f t="array" ref="D1176">IFERROR(INDEX(atlas!D:D,MATCH(A1176,atlas!C:C,0)),"")</f>
        <v/>
      </c>
      <c r="E1176" s="8" t="str">
        <f t="array" ref="E1176">IFERROR(INDEX(atlas!F:F,MATCH(A1176,atlas!C:C,0)),"")</f>
        <v/>
      </c>
      <c r="F1176" s="9"/>
      <c r="G1176" s="10"/>
      <c r="H1176" s="11"/>
      <c r="I1176" s="12" t="str">
        <f t="array" ref="I1176">IFERROR(INDEX(atlas!B:B,MATCH(A1176,atlas!C:C,0)),"")</f>
        <v/>
      </c>
      <c r="J1176" s="8" t="str">
        <f>IFERROR(VLOOKUP(F1176,tecnica!A:B,2,0),"")</f>
        <v/>
      </c>
      <c r="K1176" s="8" t="str">
        <f>IFERROR(VLOOKUP(J1176,tecnica!B:C,2,0),"")</f>
        <v/>
      </c>
      <c r="L1176" s="13"/>
      <c r="M1176" s="14" t="str">
        <f>IFERROR(VLOOKUP(I1176,material!A:D,4,0),"")</f>
        <v/>
      </c>
      <c r="N1176" s="14" t="str">
        <f t="shared" si="1"/>
        <v/>
      </c>
      <c r="O1176" s="15" t="str">
        <f>IFERROR(VLOOKUP(I1176,material!A:D,2,0),"")</f>
        <v/>
      </c>
    </row>
    <row r="1177">
      <c r="A1177" s="6"/>
      <c r="B1177" s="7"/>
      <c r="C1177" s="8" t="str">
        <f t="array" ref="C1177">IFERROR(INDEX(atlas!H:H,MATCH(A1177,atlas!C:C,0)),"")</f>
        <v/>
      </c>
      <c r="D1177" s="8" t="str">
        <f t="array" ref="D1177">IFERROR(INDEX(atlas!D:D,MATCH(A1177,atlas!C:C,0)),"")</f>
        <v/>
      </c>
      <c r="E1177" s="8" t="str">
        <f t="array" ref="E1177">IFERROR(INDEX(atlas!F:F,MATCH(A1177,atlas!C:C,0)),"")</f>
        <v/>
      </c>
      <c r="F1177" s="9"/>
      <c r="G1177" s="10"/>
      <c r="H1177" s="11"/>
      <c r="I1177" s="12" t="str">
        <f t="array" ref="I1177">IFERROR(INDEX(atlas!B:B,MATCH(A1177,atlas!C:C,0)),"")</f>
        <v/>
      </c>
      <c r="J1177" s="8" t="str">
        <f>IFERROR(VLOOKUP(F1177,tecnica!A:B,2,0),"")</f>
        <v/>
      </c>
      <c r="K1177" s="8" t="str">
        <f>IFERROR(VLOOKUP(J1177,tecnica!B:C,2,0),"")</f>
        <v/>
      </c>
      <c r="L1177" s="13"/>
      <c r="M1177" s="14" t="str">
        <f>IFERROR(VLOOKUP(I1177,material!A:D,4,0),"")</f>
        <v/>
      </c>
      <c r="N1177" s="14" t="str">
        <f t="shared" si="1"/>
        <v/>
      </c>
      <c r="O1177" s="15" t="str">
        <f>IFERROR(VLOOKUP(I1177,material!A:D,2,0),"")</f>
        <v/>
      </c>
    </row>
    <row r="1178">
      <c r="A1178" s="6"/>
      <c r="B1178" s="7"/>
      <c r="C1178" s="8" t="str">
        <f t="array" ref="C1178">IFERROR(INDEX(atlas!H:H,MATCH(A1178,atlas!C:C,0)),"")</f>
        <v/>
      </c>
      <c r="D1178" s="8" t="str">
        <f t="array" ref="D1178">IFERROR(INDEX(atlas!D:D,MATCH(A1178,atlas!C:C,0)),"")</f>
        <v/>
      </c>
      <c r="E1178" s="8" t="str">
        <f t="array" ref="E1178">IFERROR(INDEX(atlas!F:F,MATCH(A1178,atlas!C:C,0)),"")</f>
        <v/>
      </c>
      <c r="F1178" s="9"/>
      <c r="G1178" s="10"/>
      <c r="H1178" s="11"/>
      <c r="I1178" s="12" t="str">
        <f t="array" ref="I1178">IFERROR(INDEX(atlas!B:B,MATCH(A1178,atlas!C:C,0)),"")</f>
        <v/>
      </c>
      <c r="J1178" s="8" t="str">
        <f>IFERROR(VLOOKUP(F1178,tecnica!A:B,2,0),"")</f>
        <v/>
      </c>
      <c r="K1178" s="8" t="str">
        <f>IFERROR(VLOOKUP(J1178,tecnica!B:C,2,0),"")</f>
        <v/>
      </c>
      <c r="L1178" s="13"/>
      <c r="M1178" s="14" t="str">
        <f>IFERROR(VLOOKUP(I1178,material!A:D,4,0),"")</f>
        <v/>
      </c>
      <c r="N1178" s="14" t="str">
        <f t="shared" si="1"/>
        <v/>
      </c>
      <c r="O1178" s="15" t="str">
        <f>IFERROR(VLOOKUP(I1178,material!A:D,2,0),"")</f>
        <v/>
      </c>
    </row>
    <row r="1179">
      <c r="A1179" s="6"/>
      <c r="B1179" s="7"/>
      <c r="C1179" s="8" t="str">
        <f t="array" ref="C1179">IFERROR(INDEX(atlas!H:H,MATCH(A1179,atlas!C:C,0)),"")</f>
        <v/>
      </c>
      <c r="D1179" s="8" t="str">
        <f t="array" ref="D1179">IFERROR(INDEX(atlas!D:D,MATCH(A1179,atlas!C:C,0)),"")</f>
        <v/>
      </c>
      <c r="E1179" s="8" t="str">
        <f t="array" ref="E1179">IFERROR(INDEX(atlas!F:F,MATCH(A1179,atlas!C:C,0)),"")</f>
        <v/>
      </c>
      <c r="F1179" s="9"/>
      <c r="G1179" s="10"/>
      <c r="H1179" s="11"/>
      <c r="I1179" s="12" t="str">
        <f t="array" ref="I1179">IFERROR(INDEX(atlas!B:B,MATCH(A1179,atlas!C:C,0)),"")</f>
        <v/>
      </c>
      <c r="J1179" s="8" t="str">
        <f>IFERROR(VLOOKUP(F1179,tecnica!A:B,2,0),"")</f>
        <v/>
      </c>
      <c r="K1179" s="8" t="str">
        <f>IFERROR(VLOOKUP(J1179,tecnica!B:C,2,0),"")</f>
        <v/>
      </c>
      <c r="L1179" s="13"/>
      <c r="M1179" s="14" t="str">
        <f>IFERROR(VLOOKUP(I1179,material!A:D,4,0),"")</f>
        <v/>
      </c>
      <c r="N1179" s="14" t="str">
        <f t="shared" si="1"/>
        <v/>
      </c>
      <c r="O1179" s="15" t="str">
        <f>IFERROR(VLOOKUP(I1179,material!A:D,2,0),"")</f>
        <v/>
      </c>
    </row>
    <row r="1180">
      <c r="A1180" s="6"/>
      <c r="B1180" s="7"/>
      <c r="C1180" s="8" t="str">
        <f t="array" ref="C1180">IFERROR(INDEX(atlas!H:H,MATCH(A1180,atlas!C:C,0)),"")</f>
        <v/>
      </c>
      <c r="D1180" s="8" t="str">
        <f t="array" ref="D1180">IFERROR(INDEX(atlas!D:D,MATCH(A1180,atlas!C:C,0)),"")</f>
        <v/>
      </c>
      <c r="E1180" s="8" t="str">
        <f t="array" ref="E1180">IFERROR(INDEX(atlas!F:F,MATCH(A1180,atlas!C:C,0)),"")</f>
        <v/>
      </c>
      <c r="F1180" s="9"/>
      <c r="G1180" s="10"/>
      <c r="H1180" s="11"/>
      <c r="I1180" s="12" t="str">
        <f t="array" ref="I1180">IFERROR(INDEX(atlas!B:B,MATCH(A1180,atlas!C:C,0)),"")</f>
        <v/>
      </c>
      <c r="J1180" s="8" t="str">
        <f>IFERROR(VLOOKUP(F1180,tecnica!A:B,2,0),"")</f>
        <v/>
      </c>
      <c r="K1180" s="8" t="str">
        <f>IFERROR(VLOOKUP(J1180,tecnica!B:C,2,0),"")</f>
        <v/>
      </c>
      <c r="L1180" s="13"/>
      <c r="M1180" s="14" t="str">
        <f>IFERROR(VLOOKUP(I1180,material!A:D,4,0),"")</f>
        <v/>
      </c>
      <c r="N1180" s="14" t="str">
        <f t="shared" si="1"/>
        <v/>
      </c>
      <c r="O1180" s="15" t="str">
        <f>IFERROR(VLOOKUP(I1180,material!A:D,2,0),"")</f>
        <v/>
      </c>
    </row>
    <row r="1181">
      <c r="A1181" s="6"/>
      <c r="B1181" s="7"/>
      <c r="C1181" s="8" t="str">
        <f t="array" ref="C1181">IFERROR(INDEX(atlas!H:H,MATCH(A1181,atlas!C:C,0)),"")</f>
        <v/>
      </c>
      <c r="D1181" s="8" t="str">
        <f t="array" ref="D1181">IFERROR(INDEX(atlas!D:D,MATCH(A1181,atlas!C:C,0)),"")</f>
        <v/>
      </c>
      <c r="E1181" s="8" t="str">
        <f t="array" ref="E1181">IFERROR(INDEX(atlas!F:F,MATCH(A1181,atlas!C:C,0)),"")</f>
        <v/>
      </c>
      <c r="F1181" s="9"/>
      <c r="G1181" s="10"/>
      <c r="H1181" s="11"/>
      <c r="I1181" s="12" t="str">
        <f t="array" ref="I1181">IFERROR(INDEX(atlas!B:B,MATCH(A1181,atlas!C:C,0)),"")</f>
        <v/>
      </c>
      <c r="J1181" s="8" t="str">
        <f>IFERROR(VLOOKUP(F1181,tecnica!A:B,2,0),"")</f>
        <v/>
      </c>
      <c r="K1181" s="8" t="str">
        <f>IFERROR(VLOOKUP(J1181,tecnica!B:C,2,0),"")</f>
        <v/>
      </c>
      <c r="L1181" s="13"/>
      <c r="M1181" s="14" t="str">
        <f>IFERROR(VLOOKUP(I1181,material!A:D,4,0),"")</f>
        <v/>
      </c>
      <c r="N1181" s="14" t="str">
        <f t="shared" si="1"/>
        <v/>
      </c>
      <c r="O1181" s="15" t="str">
        <f>IFERROR(VLOOKUP(I1181,material!A:D,2,0),"")</f>
        <v/>
      </c>
    </row>
    <row r="1182">
      <c r="A1182" s="6"/>
      <c r="B1182" s="7"/>
      <c r="C1182" s="8" t="str">
        <f t="array" ref="C1182">IFERROR(INDEX(atlas!H:H,MATCH(A1182,atlas!C:C,0)),"")</f>
        <v/>
      </c>
      <c r="D1182" s="8" t="str">
        <f t="array" ref="D1182">IFERROR(INDEX(atlas!D:D,MATCH(A1182,atlas!C:C,0)),"")</f>
        <v/>
      </c>
      <c r="E1182" s="8" t="str">
        <f t="array" ref="E1182">IFERROR(INDEX(atlas!F:F,MATCH(A1182,atlas!C:C,0)),"")</f>
        <v/>
      </c>
      <c r="F1182" s="9"/>
      <c r="G1182" s="10"/>
      <c r="H1182" s="11"/>
      <c r="I1182" s="12" t="str">
        <f t="array" ref="I1182">IFERROR(INDEX(atlas!B:B,MATCH(A1182,atlas!C:C,0)),"")</f>
        <v/>
      </c>
      <c r="J1182" s="8" t="str">
        <f>IFERROR(VLOOKUP(F1182,tecnica!A:B,2,0),"")</f>
        <v/>
      </c>
      <c r="K1182" s="8" t="str">
        <f>IFERROR(VLOOKUP(J1182,tecnica!B:C,2,0),"")</f>
        <v/>
      </c>
      <c r="L1182" s="13"/>
      <c r="M1182" s="14" t="str">
        <f>IFERROR(VLOOKUP(I1182,material!A:D,4,0),"")</f>
        <v/>
      </c>
      <c r="N1182" s="14" t="str">
        <f t="shared" si="1"/>
        <v/>
      </c>
      <c r="O1182" s="15" t="str">
        <f>IFERROR(VLOOKUP(I1182,material!A:D,2,0),"")</f>
        <v/>
      </c>
    </row>
    <row r="1183">
      <c r="A1183" s="6"/>
      <c r="B1183" s="7"/>
      <c r="C1183" s="8" t="str">
        <f t="array" ref="C1183">IFERROR(INDEX(atlas!H:H,MATCH(A1183,atlas!C:C,0)),"")</f>
        <v/>
      </c>
      <c r="D1183" s="8" t="str">
        <f t="array" ref="D1183">IFERROR(INDEX(atlas!D:D,MATCH(A1183,atlas!C:C,0)),"")</f>
        <v/>
      </c>
      <c r="E1183" s="8" t="str">
        <f t="array" ref="E1183">IFERROR(INDEX(atlas!F:F,MATCH(A1183,atlas!C:C,0)),"")</f>
        <v/>
      </c>
      <c r="F1183" s="9"/>
      <c r="G1183" s="10"/>
      <c r="H1183" s="11"/>
      <c r="I1183" s="12" t="str">
        <f t="array" ref="I1183">IFERROR(INDEX(atlas!B:B,MATCH(A1183,atlas!C:C,0)),"")</f>
        <v/>
      </c>
      <c r="J1183" s="8" t="str">
        <f>IFERROR(VLOOKUP(F1183,tecnica!A:B,2,0),"")</f>
        <v/>
      </c>
      <c r="K1183" s="8" t="str">
        <f>IFERROR(VLOOKUP(J1183,tecnica!B:C,2,0),"")</f>
        <v/>
      </c>
      <c r="L1183" s="13"/>
      <c r="M1183" s="14" t="str">
        <f>IFERROR(VLOOKUP(I1183,material!A:D,4,0),"")</f>
        <v/>
      </c>
      <c r="N1183" s="14" t="str">
        <f t="shared" si="1"/>
        <v/>
      </c>
      <c r="O1183" s="15" t="str">
        <f>IFERROR(VLOOKUP(I1183,material!A:D,2,0),"")</f>
        <v/>
      </c>
    </row>
    <row r="1184">
      <c r="A1184" s="6"/>
      <c r="B1184" s="7"/>
      <c r="C1184" s="8" t="str">
        <f t="array" ref="C1184">IFERROR(INDEX(atlas!H:H,MATCH(A1184,atlas!C:C,0)),"")</f>
        <v/>
      </c>
      <c r="D1184" s="8" t="str">
        <f t="array" ref="D1184">IFERROR(INDEX(atlas!D:D,MATCH(A1184,atlas!C:C,0)),"")</f>
        <v/>
      </c>
      <c r="E1184" s="8" t="str">
        <f t="array" ref="E1184">IFERROR(INDEX(atlas!F:F,MATCH(A1184,atlas!C:C,0)),"")</f>
        <v/>
      </c>
      <c r="F1184" s="9"/>
      <c r="G1184" s="10"/>
      <c r="H1184" s="11"/>
      <c r="I1184" s="12" t="str">
        <f t="array" ref="I1184">IFERROR(INDEX(atlas!B:B,MATCH(A1184,atlas!C:C,0)),"")</f>
        <v/>
      </c>
      <c r="J1184" s="8" t="str">
        <f>IFERROR(VLOOKUP(F1184,tecnica!A:B,2,0),"")</f>
        <v/>
      </c>
      <c r="K1184" s="8" t="str">
        <f>IFERROR(VLOOKUP(J1184,tecnica!B:C,2,0),"")</f>
        <v/>
      </c>
      <c r="L1184" s="13"/>
      <c r="M1184" s="14" t="str">
        <f>IFERROR(VLOOKUP(I1184,material!A:D,4,0),"")</f>
        <v/>
      </c>
      <c r="N1184" s="14" t="str">
        <f t="shared" si="1"/>
        <v/>
      </c>
      <c r="O1184" s="15" t="str">
        <f>IFERROR(VLOOKUP(I1184,material!A:D,2,0),"")</f>
        <v/>
      </c>
    </row>
    <row r="1185">
      <c r="A1185" s="6"/>
      <c r="B1185" s="7"/>
      <c r="C1185" s="8" t="str">
        <f t="array" ref="C1185">IFERROR(INDEX(atlas!H:H,MATCH(A1185,atlas!C:C,0)),"")</f>
        <v/>
      </c>
      <c r="D1185" s="8" t="str">
        <f t="array" ref="D1185">IFERROR(INDEX(atlas!D:D,MATCH(A1185,atlas!C:C,0)),"")</f>
        <v/>
      </c>
      <c r="E1185" s="8" t="str">
        <f t="array" ref="E1185">IFERROR(INDEX(atlas!F:F,MATCH(A1185,atlas!C:C,0)),"")</f>
        <v/>
      </c>
      <c r="F1185" s="9"/>
      <c r="G1185" s="10"/>
      <c r="H1185" s="11"/>
      <c r="I1185" s="12" t="str">
        <f t="array" ref="I1185">IFERROR(INDEX(atlas!B:B,MATCH(A1185,atlas!C:C,0)),"")</f>
        <v/>
      </c>
      <c r="J1185" s="8" t="str">
        <f>IFERROR(VLOOKUP(F1185,tecnica!A:B,2,0),"")</f>
        <v/>
      </c>
      <c r="K1185" s="8" t="str">
        <f>IFERROR(VLOOKUP(J1185,tecnica!B:C,2,0),"")</f>
        <v/>
      </c>
      <c r="L1185" s="13"/>
      <c r="M1185" s="14" t="str">
        <f>IFERROR(VLOOKUP(I1185,material!A:D,4,0),"")</f>
        <v/>
      </c>
      <c r="N1185" s="14" t="str">
        <f t="shared" si="1"/>
        <v/>
      </c>
      <c r="O1185" s="15" t="str">
        <f>IFERROR(VLOOKUP(I1185,material!A:D,2,0),"")</f>
        <v/>
      </c>
    </row>
    <row r="1186">
      <c r="A1186" s="6"/>
      <c r="B1186" s="7"/>
      <c r="C1186" s="8" t="str">
        <f t="array" ref="C1186">IFERROR(INDEX(atlas!H:H,MATCH(A1186,atlas!C:C,0)),"")</f>
        <v/>
      </c>
      <c r="D1186" s="8" t="str">
        <f t="array" ref="D1186">IFERROR(INDEX(atlas!D:D,MATCH(A1186,atlas!C:C,0)),"")</f>
        <v/>
      </c>
      <c r="E1186" s="8" t="str">
        <f t="array" ref="E1186">IFERROR(INDEX(atlas!F:F,MATCH(A1186,atlas!C:C,0)),"")</f>
        <v/>
      </c>
      <c r="F1186" s="9"/>
      <c r="G1186" s="10"/>
      <c r="H1186" s="11"/>
      <c r="I1186" s="12" t="str">
        <f t="array" ref="I1186">IFERROR(INDEX(atlas!B:B,MATCH(A1186,atlas!C:C,0)),"")</f>
        <v/>
      </c>
      <c r="J1186" s="8" t="str">
        <f>IFERROR(VLOOKUP(F1186,tecnica!A:B,2,0),"")</f>
        <v/>
      </c>
      <c r="K1186" s="8" t="str">
        <f>IFERROR(VLOOKUP(J1186,tecnica!B:C,2,0),"")</f>
        <v/>
      </c>
      <c r="L1186" s="13"/>
      <c r="M1186" s="14" t="str">
        <f>IFERROR(VLOOKUP(I1186,material!A:D,4,0),"")</f>
        <v/>
      </c>
      <c r="N1186" s="14" t="str">
        <f t="shared" si="1"/>
        <v/>
      </c>
      <c r="O1186" s="15" t="str">
        <f>IFERROR(VLOOKUP(I1186,material!A:D,2,0),"")</f>
        <v/>
      </c>
    </row>
    <row r="1187">
      <c r="A1187" s="6"/>
      <c r="B1187" s="7"/>
      <c r="C1187" s="8" t="str">
        <f t="array" ref="C1187">IFERROR(INDEX(atlas!H:H,MATCH(A1187,atlas!C:C,0)),"")</f>
        <v/>
      </c>
      <c r="D1187" s="8" t="str">
        <f t="array" ref="D1187">IFERROR(INDEX(atlas!D:D,MATCH(A1187,atlas!C:C,0)),"")</f>
        <v/>
      </c>
      <c r="E1187" s="8" t="str">
        <f t="array" ref="E1187">IFERROR(INDEX(atlas!F:F,MATCH(A1187,atlas!C:C,0)),"")</f>
        <v/>
      </c>
      <c r="F1187" s="9"/>
      <c r="G1187" s="10"/>
      <c r="H1187" s="11"/>
      <c r="I1187" s="12" t="str">
        <f t="array" ref="I1187">IFERROR(INDEX(atlas!B:B,MATCH(A1187,atlas!C:C,0)),"")</f>
        <v/>
      </c>
      <c r="J1187" s="8" t="str">
        <f>IFERROR(VLOOKUP(F1187,tecnica!A:B,2,0),"")</f>
        <v/>
      </c>
      <c r="K1187" s="8" t="str">
        <f>IFERROR(VLOOKUP(J1187,tecnica!B:C,2,0),"")</f>
        <v/>
      </c>
      <c r="L1187" s="13"/>
      <c r="M1187" s="14" t="str">
        <f>IFERROR(VLOOKUP(I1187,material!A:D,4,0),"")</f>
        <v/>
      </c>
      <c r="N1187" s="14" t="str">
        <f t="shared" si="1"/>
        <v/>
      </c>
      <c r="O1187" s="15" t="str">
        <f>IFERROR(VLOOKUP(I1187,material!A:D,2,0),"")</f>
        <v/>
      </c>
    </row>
    <row r="1188">
      <c r="A1188" s="6"/>
      <c r="B1188" s="7"/>
      <c r="C1188" s="8" t="str">
        <f t="array" ref="C1188">IFERROR(INDEX(atlas!H:H,MATCH(A1188,atlas!C:C,0)),"")</f>
        <v/>
      </c>
      <c r="D1188" s="8" t="str">
        <f t="array" ref="D1188">IFERROR(INDEX(atlas!D:D,MATCH(A1188,atlas!C:C,0)),"")</f>
        <v/>
      </c>
      <c r="E1188" s="8" t="str">
        <f t="array" ref="E1188">IFERROR(INDEX(atlas!F:F,MATCH(A1188,atlas!C:C,0)),"")</f>
        <v/>
      </c>
      <c r="F1188" s="9"/>
      <c r="G1188" s="10"/>
      <c r="H1188" s="11"/>
      <c r="I1188" s="12" t="str">
        <f t="array" ref="I1188">IFERROR(INDEX(atlas!B:B,MATCH(A1188,atlas!C:C,0)),"")</f>
        <v/>
      </c>
      <c r="J1188" s="8" t="str">
        <f>IFERROR(VLOOKUP(F1188,tecnica!A:B,2,0),"")</f>
        <v/>
      </c>
      <c r="K1188" s="8" t="str">
        <f>IFERROR(VLOOKUP(J1188,tecnica!B:C,2,0),"")</f>
        <v/>
      </c>
      <c r="L1188" s="13"/>
      <c r="M1188" s="14" t="str">
        <f>IFERROR(VLOOKUP(I1188,material!A:D,4,0),"")</f>
        <v/>
      </c>
      <c r="N1188" s="14" t="str">
        <f t="shared" si="1"/>
        <v/>
      </c>
      <c r="O1188" s="15" t="str">
        <f>IFERROR(VLOOKUP(I1188,material!A:D,2,0),"")</f>
        <v/>
      </c>
    </row>
    <row r="1189">
      <c r="A1189" s="6"/>
      <c r="B1189" s="7"/>
      <c r="C1189" s="8" t="str">
        <f t="array" ref="C1189">IFERROR(INDEX(atlas!H:H,MATCH(A1189,atlas!C:C,0)),"")</f>
        <v/>
      </c>
      <c r="D1189" s="8" t="str">
        <f t="array" ref="D1189">IFERROR(INDEX(atlas!D:D,MATCH(A1189,atlas!C:C,0)),"")</f>
        <v/>
      </c>
      <c r="E1189" s="8" t="str">
        <f t="array" ref="E1189">IFERROR(INDEX(atlas!F:F,MATCH(A1189,atlas!C:C,0)),"")</f>
        <v/>
      </c>
      <c r="F1189" s="9"/>
      <c r="G1189" s="10"/>
      <c r="H1189" s="11"/>
      <c r="I1189" s="12" t="str">
        <f t="array" ref="I1189">IFERROR(INDEX(atlas!B:B,MATCH(A1189,atlas!C:C,0)),"")</f>
        <v/>
      </c>
      <c r="J1189" s="8" t="str">
        <f>IFERROR(VLOOKUP(F1189,tecnica!A:B,2,0),"")</f>
        <v/>
      </c>
      <c r="K1189" s="8" t="str">
        <f>IFERROR(VLOOKUP(J1189,tecnica!B:C,2,0),"")</f>
        <v/>
      </c>
      <c r="L1189" s="13"/>
      <c r="M1189" s="14" t="str">
        <f>IFERROR(VLOOKUP(I1189,material!A:D,4,0),"")</f>
        <v/>
      </c>
      <c r="N1189" s="14" t="str">
        <f t="shared" si="1"/>
        <v/>
      </c>
      <c r="O1189" s="15" t="str">
        <f>IFERROR(VLOOKUP(I1189,material!A:D,2,0),"")</f>
        <v/>
      </c>
    </row>
    <row r="1190">
      <c r="A1190" s="6"/>
      <c r="B1190" s="7"/>
      <c r="C1190" s="8" t="str">
        <f t="array" ref="C1190">IFERROR(INDEX(atlas!H:H,MATCH(A1190,atlas!C:C,0)),"")</f>
        <v/>
      </c>
      <c r="D1190" s="8" t="str">
        <f t="array" ref="D1190">IFERROR(INDEX(atlas!D:D,MATCH(A1190,atlas!C:C,0)),"")</f>
        <v/>
      </c>
      <c r="E1190" s="8" t="str">
        <f t="array" ref="E1190">IFERROR(INDEX(atlas!F:F,MATCH(A1190,atlas!C:C,0)),"")</f>
        <v/>
      </c>
      <c r="F1190" s="9"/>
      <c r="G1190" s="10"/>
      <c r="H1190" s="11"/>
      <c r="I1190" s="12" t="str">
        <f t="array" ref="I1190">IFERROR(INDEX(atlas!B:B,MATCH(A1190,atlas!C:C,0)),"")</f>
        <v/>
      </c>
      <c r="J1190" s="8" t="str">
        <f>IFERROR(VLOOKUP(F1190,tecnica!A:B,2,0),"")</f>
        <v/>
      </c>
      <c r="K1190" s="8" t="str">
        <f>IFERROR(VLOOKUP(J1190,tecnica!B:C,2,0),"")</f>
        <v/>
      </c>
      <c r="L1190" s="13"/>
      <c r="M1190" s="14" t="str">
        <f>IFERROR(VLOOKUP(I1190,material!A:D,4,0),"")</f>
        <v/>
      </c>
      <c r="N1190" s="14" t="str">
        <f t="shared" si="1"/>
        <v/>
      </c>
      <c r="O1190" s="15" t="str">
        <f>IFERROR(VLOOKUP(I1190,material!A:D,2,0),"")</f>
        <v/>
      </c>
    </row>
    <row r="1191">
      <c r="A1191" s="6"/>
      <c r="B1191" s="7"/>
      <c r="C1191" s="8" t="str">
        <f t="array" ref="C1191">IFERROR(INDEX(atlas!H:H,MATCH(A1191,atlas!C:C,0)),"")</f>
        <v/>
      </c>
      <c r="D1191" s="8" t="str">
        <f t="array" ref="D1191">IFERROR(INDEX(atlas!D:D,MATCH(A1191,atlas!C:C,0)),"")</f>
        <v/>
      </c>
      <c r="E1191" s="8" t="str">
        <f t="array" ref="E1191">IFERROR(INDEX(atlas!F:F,MATCH(A1191,atlas!C:C,0)),"")</f>
        <v/>
      </c>
      <c r="F1191" s="9"/>
      <c r="G1191" s="10"/>
      <c r="H1191" s="11"/>
      <c r="I1191" s="12" t="str">
        <f t="array" ref="I1191">IFERROR(INDEX(atlas!B:B,MATCH(A1191,atlas!C:C,0)),"")</f>
        <v/>
      </c>
      <c r="J1191" s="8" t="str">
        <f>IFERROR(VLOOKUP(F1191,tecnica!A:B,2,0),"")</f>
        <v/>
      </c>
      <c r="K1191" s="8" t="str">
        <f>IFERROR(VLOOKUP(J1191,tecnica!B:C,2,0),"")</f>
        <v/>
      </c>
      <c r="L1191" s="13"/>
      <c r="M1191" s="14" t="str">
        <f>IFERROR(VLOOKUP(I1191,material!A:D,4,0),"")</f>
        <v/>
      </c>
      <c r="N1191" s="14" t="str">
        <f t="shared" si="1"/>
        <v/>
      </c>
      <c r="O1191" s="15" t="str">
        <f>IFERROR(VLOOKUP(I1191,material!A:D,2,0),"")</f>
        <v/>
      </c>
    </row>
    <row r="1192">
      <c r="A1192" s="6"/>
      <c r="B1192" s="7"/>
      <c r="C1192" s="8" t="str">
        <f t="array" ref="C1192">IFERROR(INDEX(atlas!H:H,MATCH(A1192,atlas!C:C,0)),"")</f>
        <v/>
      </c>
      <c r="D1192" s="8" t="str">
        <f t="array" ref="D1192">IFERROR(INDEX(atlas!D:D,MATCH(A1192,atlas!C:C,0)),"")</f>
        <v/>
      </c>
      <c r="E1192" s="8" t="str">
        <f t="array" ref="E1192">IFERROR(INDEX(atlas!F:F,MATCH(A1192,atlas!C:C,0)),"")</f>
        <v/>
      </c>
      <c r="F1192" s="9"/>
      <c r="G1192" s="10"/>
      <c r="H1192" s="11"/>
      <c r="I1192" s="12" t="str">
        <f t="array" ref="I1192">IFERROR(INDEX(atlas!B:B,MATCH(A1192,atlas!C:C,0)),"")</f>
        <v/>
      </c>
      <c r="J1192" s="8" t="str">
        <f>IFERROR(VLOOKUP(F1192,tecnica!A:B,2,0),"")</f>
        <v/>
      </c>
      <c r="K1192" s="8" t="str">
        <f>IFERROR(VLOOKUP(J1192,tecnica!B:C,2,0),"")</f>
        <v/>
      </c>
      <c r="L1192" s="13"/>
      <c r="M1192" s="14" t="str">
        <f>IFERROR(VLOOKUP(I1192,material!A:D,4,0),"")</f>
        <v/>
      </c>
      <c r="N1192" s="14" t="str">
        <f t="shared" si="1"/>
        <v/>
      </c>
      <c r="O1192" s="15" t="str">
        <f>IFERROR(VLOOKUP(I1192,material!A:D,2,0),"")</f>
        <v/>
      </c>
    </row>
    <row r="1193">
      <c r="A1193" s="6"/>
      <c r="B1193" s="7"/>
      <c r="C1193" s="8" t="str">
        <f t="array" ref="C1193">IFERROR(INDEX(atlas!H:H,MATCH(A1193,atlas!C:C,0)),"")</f>
        <v/>
      </c>
      <c r="D1193" s="8" t="str">
        <f t="array" ref="D1193">IFERROR(INDEX(atlas!D:D,MATCH(A1193,atlas!C:C,0)),"")</f>
        <v/>
      </c>
      <c r="E1193" s="8" t="str">
        <f t="array" ref="E1193">IFERROR(INDEX(atlas!F:F,MATCH(A1193,atlas!C:C,0)),"")</f>
        <v/>
      </c>
      <c r="F1193" s="9"/>
      <c r="G1193" s="10"/>
      <c r="H1193" s="11"/>
      <c r="I1193" s="12" t="str">
        <f t="array" ref="I1193">IFERROR(INDEX(atlas!B:B,MATCH(A1193,atlas!C:C,0)),"")</f>
        <v/>
      </c>
      <c r="J1193" s="8" t="str">
        <f>IFERROR(VLOOKUP(F1193,tecnica!A:B,2,0),"")</f>
        <v/>
      </c>
      <c r="K1193" s="8" t="str">
        <f>IFERROR(VLOOKUP(J1193,tecnica!B:C,2,0),"")</f>
        <v/>
      </c>
      <c r="L1193" s="13"/>
      <c r="M1193" s="14" t="str">
        <f>IFERROR(VLOOKUP(I1193,material!A:D,4,0),"")</f>
        <v/>
      </c>
      <c r="N1193" s="14" t="str">
        <f t="shared" si="1"/>
        <v/>
      </c>
      <c r="O1193" s="15" t="str">
        <f>IFERROR(VLOOKUP(I1193,material!A:D,2,0),"")</f>
        <v/>
      </c>
    </row>
    <row r="1194">
      <c r="A1194" s="6"/>
      <c r="B1194" s="7"/>
      <c r="C1194" s="8" t="str">
        <f t="array" ref="C1194">IFERROR(INDEX(atlas!H:H,MATCH(A1194,atlas!C:C,0)),"")</f>
        <v/>
      </c>
      <c r="D1194" s="8" t="str">
        <f t="array" ref="D1194">IFERROR(INDEX(atlas!D:D,MATCH(A1194,atlas!C:C,0)),"")</f>
        <v/>
      </c>
      <c r="E1194" s="8" t="str">
        <f t="array" ref="E1194">IFERROR(INDEX(atlas!F:F,MATCH(A1194,atlas!C:C,0)),"")</f>
        <v/>
      </c>
      <c r="F1194" s="9"/>
      <c r="G1194" s="10"/>
      <c r="H1194" s="11"/>
      <c r="I1194" s="12" t="str">
        <f t="array" ref="I1194">IFERROR(INDEX(atlas!B:B,MATCH(A1194,atlas!C:C,0)),"")</f>
        <v/>
      </c>
      <c r="J1194" s="8" t="str">
        <f>IFERROR(VLOOKUP(F1194,tecnica!A:B,2,0),"")</f>
        <v/>
      </c>
      <c r="K1194" s="8" t="str">
        <f>IFERROR(VLOOKUP(J1194,tecnica!B:C,2,0),"")</f>
        <v/>
      </c>
      <c r="L1194" s="13"/>
      <c r="M1194" s="14" t="str">
        <f>IFERROR(VLOOKUP(I1194,material!A:D,4,0),"")</f>
        <v/>
      </c>
      <c r="N1194" s="14" t="str">
        <f t="shared" si="1"/>
        <v/>
      </c>
      <c r="O1194" s="15" t="str">
        <f>IFERROR(VLOOKUP(I1194,material!A:D,2,0),"")</f>
        <v/>
      </c>
    </row>
    <row r="1195">
      <c r="A1195" s="6"/>
      <c r="B1195" s="7"/>
      <c r="C1195" s="8" t="str">
        <f t="array" ref="C1195">IFERROR(INDEX(atlas!H:H,MATCH(A1195,atlas!C:C,0)),"")</f>
        <v/>
      </c>
      <c r="D1195" s="8" t="str">
        <f t="array" ref="D1195">IFERROR(INDEX(atlas!D:D,MATCH(A1195,atlas!C:C,0)),"")</f>
        <v/>
      </c>
      <c r="E1195" s="8" t="str">
        <f t="array" ref="E1195">IFERROR(INDEX(atlas!F:F,MATCH(A1195,atlas!C:C,0)),"")</f>
        <v/>
      </c>
      <c r="F1195" s="9"/>
      <c r="G1195" s="10"/>
      <c r="H1195" s="11"/>
      <c r="I1195" s="12" t="str">
        <f t="array" ref="I1195">IFERROR(INDEX(atlas!B:B,MATCH(A1195,atlas!C:C,0)),"")</f>
        <v/>
      </c>
      <c r="J1195" s="8" t="str">
        <f>IFERROR(VLOOKUP(F1195,tecnica!A:B,2,0),"")</f>
        <v/>
      </c>
      <c r="K1195" s="8" t="str">
        <f>IFERROR(VLOOKUP(J1195,tecnica!B:C,2,0),"")</f>
        <v/>
      </c>
      <c r="L1195" s="13"/>
      <c r="M1195" s="14" t="str">
        <f>IFERROR(VLOOKUP(I1195,material!A:D,4,0),"")</f>
        <v/>
      </c>
      <c r="N1195" s="14" t="str">
        <f t="shared" si="1"/>
        <v/>
      </c>
      <c r="O1195" s="15" t="str">
        <f>IFERROR(VLOOKUP(I1195,material!A:D,2,0),"")</f>
        <v/>
      </c>
    </row>
    <row r="1196">
      <c r="A1196" s="6"/>
      <c r="B1196" s="7"/>
      <c r="C1196" s="8" t="str">
        <f t="array" ref="C1196">IFERROR(INDEX(atlas!H:H,MATCH(A1196,atlas!C:C,0)),"")</f>
        <v/>
      </c>
      <c r="D1196" s="8" t="str">
        <f t="array" ref="D1196">IFERROR(INDEX(atlas!D:D,MATCH(A1196,atlas!C:C,0)),"")</f>
        <v/>
      </c>
      <c r="E1196" s="8" t="str">
        <f t="array" ref="E1196">IFERROR(INDEX(atlas!F:F,MATCH(A1196,atlas!C:C,0)),"")</f>
        <v/>
      </c>
      <c r="F1196" s="9"/>
      <c r="G1196" s="10"/>
      <c r="H1196" s="11"/>
      <c r="I1196" s="12" t="str">
        <f t="array" ref="I1196">IFERROR(INDEX(atlas!B:B,MATCH(A1196,atlas!C:C,0)),"")</f>
        <v/>
      </c>
      <c r="J1196" s="8" t="str">
        <f>IFERROR(VLOOKUP(F1196,tecnica!A:B,2,0),"")</f>
        <v/>
      </c>
      <c r="K1196" s="8" t="str">
        <f>IFERROR(VLOOKUP(J1196,tecnica!B:C,2,0),"")</f>
        <v/>
      </c>
      <c r="L1196" s="13"/>
      <c r="M1196" s="14" t="str">
        <f>IFERROR(VLOOKUP(I1196,material!A:D,4,0),"")</f>
        <v/>
      </c>
      <c r="N1196" s="14" t="str">
        <f t="shared" si="1"/>
        <v/>
      </c>
      <c r="O1196" s="15" t="str">
        <f>IFERROR(VLOOKUP(I1196,material!A:D,2,0),"")</f>
        <v/>
      </c>
    </row>
    <row r="1197">
      <c r="A1197" s="6"/>
      <c r="B1197" s="7"/>
      <c r="C1197" s="8" t="str">
        <f t="array" ref="C1197">IFERROR(INDEX(atlas!H:H,MATCH(A1197,atlas!C:C,0)),"")</f>
        <v/>
      </c>
      <c r="D1197" s="8" t="str">
        <f t="array" ref="D1197">IFERROR(INDEX(atlas!D:D,MATCH(A1197,atlas!C:C,0)),"")</f>
        <v/>
      </c>
      <c r="E1197" s="8" t="str">
        <f t="array" ref="E1197">IFERROR(INDEX(atlas!F:F,MATCH(A1197,atlas!C:C,0)),"")</f>
        <v/>
      </c>
      <c r="F1197" s="9"/>
      <c r="G1197" s="10"/>
      <c r="H1197" s="11"/>
      <c r="I1197" s="12" t="str">
        <f t="array" ref="I1197">IFERROR(INDEX(atlas!B:B,MATCH(A1197,atlas!C:C,0)),"")</f>
        <v/>
      </c>
      <c r="J1197" s="8" t="str">
        <f>IFERROR(VLOOKUP(F1197,tecnica!A:B,2,0),"")</f>
        <v/>
      </c>
      <c r="K1197" s="8" t="str">
        <f>IFERROR(VLOOKUP(J1197,tecnica!B:C,2,0),"")</f>
        <v/>
      </c>
      <c r="L1197" s="13"/>
      <c r="M1197" s="14" t="str">
        <f>IFERROR(VLOOKUP(I1197,material!A:D,4,0),"")</f>
        <v/>
      </c>
      <c r="N1197" s="14" t="str">
        <f t="shared" si="1"/>
        <v/>
      </c>
      <c r="O1197" s="15" t="str">
        <f>IFERROR(VLOOKUP(I1197,material!A:D,2,0),"")</f>
        <v/>
      </c>
    </row>
    <row r="1198">
      <c r="A1198" s="6"/>
      <c r="B1198" s="7"/>
      <c r="C1198" s="8" t="str">
        <f t="array" ref="C1198">IFERROR(INDEX(atlas!H:H,MATCH(A1198,atlas!C:C,0)),"")</f>
        <v/>
      </c>
      <c r="D1198" s="8" t="str">
        <f t="array" ref="D1198">IFERROR(INDEX(atlas!D:D,MATCH(A1198,atlas!C:C,0)),"")</f>
        <v/>
      </c>
      <c r="E1198" s="8" t="str">
        <f t="array" ref="E1198">IFERROR(INDEX(atlas!F:F,MATCH(A1198,atlas!C:C,0)),"")</f>
        <v/>
      </c>
      <c r="F1198" s="9"/>
      <c r="G1198" s="10"/>
      <c r="H1198" s="11"/>
      <c r="I1198" s="12" t="str">
        <f t="array" ref="I1198">IFERROR(INDEX(atlas!B:B,MATCH(A1198,atlas!C:C,0)),"")</f>
        <v/>
      </c>
      <c r="J1198" s="8" t="str">
        <f>IFERROR(VLOOKUP(F1198,tecnica!A:B,2,0),"")</f>
        <v/>
      </c>
      <c r="K1198" s="8" t="str">
        <f>IFERROR(VLOOKUP(J1198,tecnica!B:C,2,0),"")</f>
        <v/>
      </c>
      <c r="L1198" s="13"/>
      <c r="M1198" s="14" t="str">
        <f>IFERROR(VLOOKUP(I1198,material!A:D,4,0),"")</f>
        <v/>
      </c>
      <c r="N1198" s="14" t="str">
        <f t="shared" si="1"/>
        <v/>
      </c>
      <c r="O1198" s="15" t="str">
        <f>IFERROR(VLOOKUP(I1198,material!A:D,2,0),"")</f>
        <v/>
      </c>
    </row>
    <row r="1199">
      <c r="A1199" s="6"/>
      <c r="B1199" s="7"/>
      <c r="C1199" s="8" t="str">
        <f t="array" ref="C1199">IFERROR(INDEX(atlas!H:H,MATCH(A1199,atlas!C:C,0)),"")</f>
        <v/>
      </c>
      <c r="D1199" s="8" t="str">
        <f t="array" ref="D1199">IFERROR(INDEX(atlas!D:D,MATCH(A1199,atlas!C:C,0)),"")</f>
        <v/>
      </c>
      <c r="E1199" s="8" t="str">
        <f t="array" ref="E1199">IFERROR(INDEX(atlas!F:F,MATCH(A1199,atlas!C:C,0)),"")</f>
        <v/>
      </c>
      <c r="F1199" s="9"/>
      <c r="G1199" s="10"/>
      <c r="H1199" s="11"/>
      <c r="I1199" s="12" t="str">
        <f t="array" ref="I1199">IFERROR(INDEX(atlas!B:B,MATCH(A1199,atlas!C:C,0)),"")</f>
        <v/>
      </c>
      <c r="J1199" s="8" t="str">
        <f>IFERROR(VLOOKUP(F1199,tecnica!A:B,2,0),"")</f>
        <v/>
      </c>
      <c r="K1199" s="8" t="str">
        <f>IFERROR(VLOOKUP(J1199,tecnica!B:C,2,0),"")</f>
        <v/>
      </c>
      <c r="L1199" s="13"/>
      <c r="M1199" s="14" t="str">
        <f>IFERROR(VLOOKUP(I1199,material!A:D,4,0),"")</f>
        <v/>
      </c>
      <c r="N1199" s="14" t="str">
        <f t="shared" si="1"/>
        <v/>
      </c>
      <c r="O1199" s="15" t="str">
        <f>IFERROR(VLOOKUP(I1199,material!A:D,2,0),"")</f>
        <v/>
      </c>
    </row>
    <row r="1200">
      <c r="A1200" s="6"/>
      <c r="B1200" s="7"/>
      <c r="C1200" s="8" t="str">
        <f t="array" ref="C1200">IFERROR(INDEX(atlas!H:H,MATCH(A1200,atlas!C:C,0)),"")</f>
        <v/>
      </c>
      <c r="D1200" s="8" t="str">
        <f t="array" ref="D1200">IFERROR(INDEX(atlas!D:D,MATCH(A1200,atlas!C:C,0)),"")</f>
        <v/>
      </c>
      <c r="E1200" s="8" t="str">
        <f t="array" ref="E1200">IFERROR(INDEX(atlas!F:F,MATCH(A1200,atlas!C:C,0)),"")</f>
        <v/>
      </c>
      <c r="F1200" s="9"/>
      <c r="G1200" s="10"/>
      <c r="H1200" s="11"/>
      <c r="I1200" s="12" t="str">
        <f t="array" ref="I1200">IFERROR(INDEX(atlas!B:B,MATCH(A1200,atlas!C:C,0)),"")</f>
        <v/>
      </c>
      <c r="J1200" s="8" t="str">
        <f>IFERROR(VLOOKUP(F1200,tecnica!A:B,2,0),"")</f>
        <v/>
      </c>
      <c r="K1200" s="8" t="str">
        <f>IFERROR(VLOOKUP(J1200,tecnica!B:C,2,0),"")</f>
        <v/>
      </c>
      <c r="L1200" s="13"/>
      <c r="M1200" s="14" t="str">
        <f>IFERROR(VLOOKUP(I1200,material!A:D,4,0),"")</f>
        <v/>
      </c>
      <c r="N1200" s="14" t="str">
        <f t="shared" si="1"/>
        <v/>
      </c>
      <c r="O1200" s="15" t="str">
        <f>IFERROR(VLOOKUP(I1200,material!A:D,2,0),"")</f>
        <v/>
      </c>
    </row>
    <row r="1201">
      <c r="A1201" s="6"/>
      <c r="B1201" s="7"/>
      <c r="C1201" s="8" t="str">
        <f t="array" ref="C1201">IFERROR(INDEX(atlas!H:H,MATCH(A1201,atlas!C:C,0)),"")</f>
        <v/>
      </c>
      <c r="D1201" s="8" t="str">
        <f t="array" ref="D1201">IFERROR(INDEX(atlas!D:D,MATCH(A1201,atlas!C:C,0)),"")</f>
        <v/>
      </c>
      <c r="E1201" s="8" t="str">
        <f t="array" ref="E1201">IFERROR(INDEX(atlas!F:F,MATCH(A1201,atlas!C:C,0)),"")</f>
        <v/>
      </c>
      <c r="F1201" s="9"/>
      <c r="G1201" s="10"/>
      <c r="H1201" s="11"/>
      <c r="I1201" s="12" t="str">
        <f t="array" ref="I1201">IFERROR(INDEX(atlas!B:B,MATCH(A1201,atlas!C:C,0)),"")</f>
        <v/>
      </c>
      <c r="J1201" s="8" t="str">
        <f>IFERROR(VLOOKUP(F1201,tecnica!A:B,2,0),"")</f>
        <v/>
      </c>
      <c r="K1201" s="8" t="str">
        <f>IFERROR(VLOOKUP(J1201,tecnica!B:C,2,0),"")</f>
        <v/>
      </c>
      <c r="L1201" s="13"/>
      <c r="M1201" s="14" t="str">
        <f>IFERROR(VLOOKUP(I1201,material!A:D,4,0),"")</f>
        <v/>
      </c>
      <c r="N1201" s="14" t="str">
        <f t="shared" si="1"/>
        <v/>
      </c>
      <c r="O1201" s="15" t="str">
        <f>IFERROR(VLOOKUP(I1201,material!A:D,2,0),"")</f>
        <v/>
      </c>
    </row>
    <row r="1202">
      <c r="A1202" s="6"/>
      <c r="B1202" s="7"/>
      <c r="C1202" s="8" t="str">
        <f t="array" ref="C1202">IFERROR(INDEX(atlas!H:H,MATCH(A1202,atlas!C:C,0)),"")</f>
        <v/>
      </c>
      <c r="D1202" s="8" t="str">
        <f t="array" ref="D1202">IFERROR(INDEX(atlas!D:D,MATCH(A1202,atlas!C:C,0)),"")</f>
        <v/>
      </c>
      <c r="E1202" s="8" t="str">
        <f t="array" ref="E1202">IFERROR(INDEX(atlas!F:F,MATCH(A1202,atlas!C:C,0)),"")</f>
        <v/>
      </c>
      <c r="F1202" s="9"/>
      <c r="G1202" s="10"/>
      <c r="H1202" s="11"/>
      <c r="I1202" s="12" t="str">
        <f t="array" ref="I1202">IFERROR(INDEX(atlas!B:B,MATCH(A1202,atlas!C:C,0)),"")</f>
        <v/>
      </c>
      <c r="J1202" s="8" t="str">
        <f>IFERROR(VLOOKUP(F1202,tecnica!A:B,2,0),"")</f>
        <v/>
      </c>
      <c r="K1202" s="8" t="str">
        <f>IFERROR(VLOOKUP(J1202,tecnica!B:C,2,0),"")</f>
        <v/>
      </c>
      <c r="L1202" s="13"/>
      <c r="M1202" s="14" t="str">
        <f>IFERROR(VLOOKUP(I1202,material!A:D,4,0),"")</f>
        <v/>
      </c>
      <c r="N1202" s="14" t="str">
        <f t="shared" si="1"/>
        <v/>
      </c>
      <c r="O1202" s="15" t="str">
        <f>IFERROR(VLOOKUP(I1202,material!A:D,2,0),"")</f>
        <v/>
      </c>
    </row>
    <row r="1203">
      <c r="A1203" s="6"/>
      <c r="B1203" s="7"/>
      <c r="C1203" s="8" t="str">
        <f t="array" ref="C1203">IFERROR(INDEX(atlas!H:H,MATCH(A1203,atlas!C:C,0)),"")</f>
        <v/>
      </c>
      <c r="D1203" s="8" t="str">
        <f t="array" ref="D1203">IFERROR(INDEX(atlas!D:D,MATCH(A1203,atlas!C:C,0)),"")</f>
        <v/>
      </c>
      <c r="E1203" s="8" t="str">
        <f t="array" ref="E1203">IFERROR(INDEX(atlas!F:F,MATCH(A1203,atlas!C:C,0)),"")</f>
        <v/>
      </c>
      <c r="F1203" s="9"/>
      <c r="G1203" s="10"/>
      <c r="H1203" s="11"/>
      <c r="I1203" s="12" t="str">
        <f t="array" ref="I1203">IFERROR(INDEX(atlas!B:B,MATCH(A1203,atlas!C:C,0)),"")</f>
        <v/>
      </c>
      <c r="J1203" s="8" t="str">
        <f>IFERROR(VLOOKUP(F1203,tecnica!A:B,2,0),"")</f>
        <v/>
      </c>
      <c r="K1203" s="8" t="str">
        <f>IFERROR(VLOOKUP(J1203,tecnica!B:C,2,0),"")</f>
        <v/>
      </c>
      <c r="L1203" s="13"/>
      <c r="M1203" s="14" t="str">
        <f>IFERROR(VLOOKUP(I1203,material!A:D,4,0),"")</f>
        <v/>
      </c>
      <c r="N1203" s="14" t="str">
        <f t="shared" si="1"/>
        <v/>
      </c>
      <c r="O1203" s="15" t="str">
        <f>IFERROR(VLOOKUP(I1203,material!A:D,2,0),"")</f>
        <v/>
      </c>
    </row>
    <row r="1204">
      <c r="A1204" s="6"/>
      <c r="B1204" s="7"/>
      <c r="C1204" s="8" t="str">
        <f t="array" ref="C1204">IFERROR(INDEX(atlas!H:H,MATCH(A1204,atlas!C:C,0)),"")</f>
        <v/>
      </c>
      <c r="D1204" s="8" t="str">
        <f t="array" ref="D1204">IFERROR(INDEX(atlas!D:D,MATCH(A1204,atlas!C:C,0)),"")</f>
        <v/>
      </c>
      <c r="E1204" s="8" t="str">
        <f t="array" ref="E1204">IFERROR(INDEX(atlas!F:F,MATCH(A1204,atlas!C:C,0)),"")</f>
        <v/>
      </c>
      <c r="F1204" s="9"/>
      <c r="G1204" s="10"/>
      <c r="H1204" s="11"/>
      <c r="I1204" s="12" t="str">
        <f t="array" ref="I1204">IFERROR(INDEX(atlas!B:B,MATCH(A1204,atlas!C:C,0)),"")</f>
        <v/>
      </c>
      <c r="J1204" s="8" t="str">
        <f>IFERROR(VLOOKUP(F1204,tecnica!A:B,2,0),"")</f>
        <v/>
      </c>
      <c r="K1204" s="8" t="str">
        <f>IFERROR(VLOOKUP(J1204,tecnica!B:C,2,0),"")</f>
        <v/>
      </c>
      <c r="L1204" s="13"/>
      <c r="M1204" s="14" t="str">
        <f>IFERROR(VLOOKUP(I1204,material!A:D,4,0),"")</f>
        <v/>
      </c>
      <c r="N1204" s="14" t="str">
        <f t="shared" si="1"/>
        <v/>
      </c>
      <c r="O1204" s="15" t="str">
        <f>IFERROR(VLOOKUP(I1204,material!A:D,2,0),"")</f>
        <v/>
      </c>
    </row>
    <row r="1205">
      <c r="A1205" s="6"/>
      <c r="B1205" s="7"/>
      <c r="C1205" s="8" t="str">
        <f t="array" ref="C1205">IFERROR(INDEX(atlas!H:H,MATCH(A1205,atlas!C:C,0)),"")</f>
        <v/>
      </c>
      <c r="D1205" s="8" t="str">
        <f t="array" ref="D1205">IFERROR(INDEX(atlas!D:D,MATCH(A1205,atlas!C:C,0)),"")</f>
        <v/>
      </c>
      <c r="E1205" s="8" t="str">
        <f t="array" ref="E1205">IFERROR(INDEX(atlas!F:F,MATCH(A1205,atlas!C:C,0)),"")</f>
        <v/>
      </c>
      <c r="F1205" s="9"/>
      <c r="G1205" s="10"/>
      <c r="H1205" s="11"/>
      <c r="I1205" s="12" t="str">
        <f t="array" ref="I1205">IFERROR(INDEX(atlas!B:B,MATCH(A1205,atlas!C:C,0)),"")</f>
        <v/>
      </c>
      <c r="J1205" s="8" t="str">
        <f>IFERROR(VLOOKUP(F1205,tecnica!A:B,2,0),"")</f>
        <v/>
      </c>
      <c r="K1205" s="8" t="str">
        <f>IFERROR(VLOOKUP(J1205,tecnica!B:C,2,0),"")</f>
        <v/>
      </c>
      <c r="L1205" s="13"/>
      <c r="M1205" s="14" t="str">
        <f>IFERROR(VLOOKUP(I1205,material!A:D,4,0),"")</f>
        <v/>
      </c>
      <c r="N1205" s="14" t="str">
        <f t="shared" si="1"/>
        <v/>
      </c>
      <c r="O1205" s="15" t="str">
        <f>IFERROR(VLOOKUP(I1205,material!A:D,2,0),"")</f>
        <v/>
      </c>
    </row>
    <row r="1206">
      <c r="A1206" s="6"/>
      <c r="B1206" s="7"/>
      <c r="C1206" s="8" t="str">
        <f t="array" ref="C1206">IFERROR(INDEX(atlas!H:H,MATCH(A1206,atlas!C:C,0)),"")</f>
        <v/>
      </c>
      <c r="D1206" s="8" t="str">
        <f t="array" ref="D1206">IFERROR(INDEX(atlas!D:D,MATCH(A1206,atlas!C:C,0)),"")</f>
        <v/>
      </c>
      <c r="E1206" s="8" t="str">
        <f t="array" ref="E1206">IFERROR(INDEX(atlas!F:F,MATCH(A1206,atlas!C:C,0)),"")</f>
        <v/>
      </c>
      <c r="F1206" s="9"/>
      <c r="G1206" s="10"/>
      <c r="H1206" s="11"/>
      <c r="I1206" s="12" t="str">
        <f t="array" ref="I1206">IFERROR(INDEX(atlas!B:B,MATCH(A1206,atlas!C:C,0)),"")</f>
        <v/>
      </c>
      <c r="J1206" s="8" t="str">
        <f>IFERROR(VLOOKUP(F1206,tecnica!A:B,2,0),"")</f>
        <v/>
      </c>
      <c r="K1206" s="8" t="str">
        <f>IFERROR(VLOOKUP(J1206,tecnica!B:C,2,0),"")</f>
        <v/>
      </c>
      <c r="L1206" s="13"/>
      <c r="M1206" s="14" t="str">
        <f>IFERROR(VLOOKUP(I1206,material!A:D,4,0),"")</f>
        <v/>
      </c>
      <c r="N1206" s="14" t="str">
        <f t="shared" si="1"/>
        <v/>
      </c>
      <c r="O1206" s="15" t="str">
        <f>IFERROR(VLOOKUP(I1206,material!A:D,2,0),"")</f>
        <v/>
      </c>
    </row>
    <row r="1207">
      <c r="A1207" s="6"/>
      <c r="B1207" s="7"/>
      <c r="C1207" s="8" t="str">
        <f t="array" ref="C1207">IFERROR(INDEX(atlas!H:H,MATCH(A1207,atlas!C:C,0)),"")</f>
        <v/>
      </c>
      <c r="D1207" s="8" t="str">
        <f t="array" ref="D1207">IFERROR(INDEX(atlas!D:D,MATCH(A1207,atlas!C:C,0)),"")</f>
        <v/>
      </c>
      <c r="E1207" s="8" t="str">
        <f t="array" ref="E1207">IFERROR(INDEX(atlas!F:F,MATCH(A1207,atlas!C:C,0)),"")</f>
        <v/>
      </c>
      <c r="F1207" s="9"/>
      <c r="G1207" s="10"/>
      <c r="H1207" s="11"/>
      <c r="I1207" s="12" t="str">
        <f t="array" ref="I1207">IFERROR(INDEX(atlas!B:B,MATCH(A1207,atlas!C:C,0)),"")</f>
        <v/>
      </c>
      <c r="J1207" s="8" t="str">
        <f>IFERROR(VLOOKUP(F1207,tecnica!A:B,2,0),"")</f>
        <v/>
      </c>
      <c r="K1207" s="8" t="str">
        <f>IFERROR(VLOOKUP(J1207,tecnica!B:C,2,0),"")</f>
        <v/>
      </c>
      <c r="L1207" s="13"/>
      <c r="M1207" s="14" t="str">
        <f>IFERROR(VLOOKUP(I1207,material!A:D,4,0),"")</f>
        <v/>
      </c>
      <c r="N1207" s="14" t="str">
        <f t="shared" si="1"/>
        <v/>
      </c>
      <c r="O1207" s="15" t="str">
        <f>IFERROR(VLOOKUP(I1207,material!A:D,2,0),"")</f>
        <v/>
      </c>
    </row>
    <row r="1208">
      <c r="A1208" s="6"/>
      <c r="B1208" s="7"/>
      <c r="C1208" s="8" t="str">
        <f t="array" ref="C1208">IFERROR(INDEX(atlas!H:H,MATCH(A1208,atlas!C:C,0)),"")</f>
        <v/>
      </c>
      <c r="D1208" s="8" t="str">
        <f t="array" ref="D1208">IFERROR(INDEX(atlas!D:D,MATCH(A1208,atlas!C:C,0)),"")</f>
        <v/>
      </c>
      <c r="E1208" s="8" t="str">
        <f t="array" ref="E1208">IFERROR(INDEX(atlas!F:F,MATCH(A1208,atlas!C:C,0)),"")</f>
        <v/>
      </c>
      <c r="F1208" s="9"/>
      <c r="G1208" s="10"/>
      <c r="H1208" s="11"/>
      <c r="I1208" s="12" t="str">
        <f t="array" ref="I1208">IFERROR(INDEX(atlas!B:B,MATCH(A1208,atlas!C:C,0)),"")</f>
        <v/>
      </c>
      <c r="J1208" s="8" t="str">
        <f>IFERROR(VLOOKUP(F1208,tecnica!A:B,2,0),"")</f>
        <v/>
      </c>
      <c r="K1208" s="8" t="str">
        <f>IFERROR(VLOOKUP(J1208,tecnica!B:C,2,0),"")</f>
        <v/>
      </c>
      <c r="L1208" s="13"/>
      <c r="M1208" s="14" t="str">
        <f>IFERROR(VLOOKUP(I1208,material!A:D,4,0),"")</f>
        <v/>
      </c>
      <c r="N1208" s="14" t="str">
        <f t="shared" si="1"/>
        <v/>
      </c>
      <c r="O1208" s="15" t="str">
        <f>IFERROR(VLOOKUP(I1208,material!A:D,2,0),"")</f>
        <v/>
      </c>
    </row>
    <row r="1209">
      <c r="A1209" s="6"/>
      <c r="B1209" s="7"/>
      <c r="C1209" s="8" t="str">
        <f t="array" ref="C1209">IFERROR(INDEX(atlas!H:H,MATCH(A1209,atlas!C:C,0)),"")</f>
        <v/>
      </c>
      <c r="D1209" s="8" t="str">
        <f t="array" ref="D1209">IFERROR(INDEX(atlas!D:D,MATCH(A1209,atlas!C:C,0)),"")</f>
        <v/>
      </c>
      <c r="E1209" s="8" t="str">
        <f t="array" ref="E1209">IFERROR(INDEX(atlas!F:F,MATCH(A1209,atlas!C:C,0)),"")</f>
        <v/>
      </c>
      <c r="F1209" s="9"/>
      <c r="G1209" s="10"/>
      <c r="H1209" s="11"/>
      <c r="I1209" s="12" t="str">
        <f t="array" ref="I1209">IFERROR(INDEX(atlas!B:B,MATCH(A1209,atlas!C:C,0)),"")</f>
        <v/>
      </c>
      <c r="J1209" s="8" t="str">
        <f>IFERROR(VLOOKUP(F1209,tecnica!A:B,2,0),"")</f>
        <v/>
      </c>
      <c r="K1209" s="8" t="str">
        <f>IFERROR(VLOOKUP(J1209,tecnica!B:C,2,0),"")</f>
        <v/>
      </c>
      <c r="L1209" s="13"/>
      <c r="M1209" s="14" t="str">
        <f>IFERROR(VLOOKUP(I1209,material!A:D,4,0),"")</f>
        <v/>
      </c>
      <c r="N1209" s="14" t="str">
        <f t="shared" si="1"/>
        <v/>
      </c>
      <c r="O1209" s="15" t="str">
        <f>IFERROR(VLOOKUP(I1209,material!A:D,2,0),"")</f>
        <v/>
      </c>
    </row>
    <row r="1210">
      <c r="A1210" s="6"/>
      <c r="B1210" s="7"/>
      <c r="C1210" s="8" t="str">
        <f t="array" ref="C1210">IFERROR(INDEX(atlas!H:H,MATCH(A1210,atlas!C:C,0)),"")</f>
        <v/>
      </c>
      <c r="D1210" s="8" t="str">
        <f t="array" ref="D1210">IFERROR(INDEX(atlas!D:D,MATCH(A1210,atlas!C:C,0)),"")</f>
        <v/>
      </c>
      <c r="E1210" s="8" t="str">
        <f t="array" ref="E1210">IFERROR(INDEX(atlas!F:F,MATCH(A1210,atlas!C:C,0)),"")</f>
        <v/>
      </c>
      <c r="F1210" s="9"/>
      <c r="G1210" s="10"/>
      <c r="H1210" s="11"/>
      <c r="I1210" s="12" t="str">
        <f t="array" ref="I1210">IFERROR(INDEX(atlas!B:B,MATCH(A1210,atlas!C:C,0)),"")</f>
        <v/>
      </c>
      <c r="J1210" s="8" t="str">
        <f>IFERROR(VLOOKUP(F1210,tecnica!A:B,2,0),"")</f>
        <v/>
      </c>
      <c r="K1210" s="8" t="str">
        <f>IFERROR(VLOOKUP(J1210,tecnica!B:C,2,0),"")</f>
        <v/>
      </c>
      <c r="L1210" s="13"/>
      <c r="M1210" s="14" t="str">
        <f>IFERROR(VLOOKUP(I1210,material!A:D,4,0),"")</f>
        <v/>
      </c>
      <c r="N1210" s="14" t="str">
        <f t="shared" si="1"/>
        <v/>
      </c>
      <c r="O1210" s="15" t="str">
        <f>IFERROR(VLOOKUP(I1210,material!A:D,2,0),"")</f>
        <v/>
      </c>
    </row>
    <row r="1211">
      <c r="A1211" s="6"/>
      <c r="B1211" s="7"/>
      <c r="C1211" s="8" t="str">
        <f t="array" ref="C1211">IFERROR(INDEX(atlas!H:H,MATCH(A1211,atlas!C:C,0)),"")</f>
        <v/>
      </c>
      <c r="D1211" s="8" t="str">
        <f t="array" ref="D1211">IFERROR(INDEX(atlas!D:D,MATCH(A1211,atlas!C:C,0)),"")</f>
        <v/>
      </c>
      <c r="E1211" s="8" t="str">
        <f t="array" ref="E1211">IFERROR(INDEX(atlas!F:F,MATCH(A1211,atlas!C:C,0)),"")</f>
        <v/>
      </c>
      <c r="F1211" s="9"/>
      <c r="G1211" s="10"/>
      <c r="H1211" s="11"/>
      <c r="I1211" s="12" t="str">
        <f t="array" ref="I1211">IFERROR(INDEX(atlas!B:B,MATCH(A1211,atlas!C:C,0)),"")</f>
        <v/>
      </c>
      <c r="J1211" s="8" t="str">
        <f>IFERROR(VLOOKUP(F1211,tecnica!A:B,2,0),"")</f>
        <v/>
      </c>
      <c r="K1211" s="8" t="str">
        <f>IFERROR(VLOOKUP(J1211,tecnica!B:C,2,0),"")</f>
        <v/>
      </c>
      <c r="L1211" s="13"/>
      <c r="M1211" s="14" t="str">
        <f>IFERROR(VLOOKUP(I1211,material!A:D,4,0),"")</f>
        <v/>
      </c>
      <c r="N1211" s="14" t="str">
        <f t="shared" si="1"/>
        <v/>
      </c>
      <c r="O1211" s="15" t="str">
        <f>IFERROR(VLOOKUP(I1211,material!A:D,2,0),"")</f>
        <v/>
      </c>
    </row>
    <row r="1212">
      <c r="A1212" s="6"/>
      <c r="B1212" s="7"/>
      <c r="C1212" s="8" t="str">
        <f t="array" ref="C1212">IFERROR(INDEX(atlas!H:H,MATCH(A1212,atlas!C:C,0)),"")</f>
        <v/>
      </c>
      <c r="D1212" s="8" t="str">
        <f t="array" ref="D1212">IFERROR(INDEX(atlas!D:D,MATCH(A1212,atlas!C:C,0)),"")</f>
        <v/>
      </c>
      <c r="E1212" s="8" t="str">
        <f t="array" ref="E1212">IFERROR(INDEX(atlas!F:F,MATCH(A1212,atlas!C:C,0)),"")</f>
        <v/>
      </c>
      <c r="F1212" s="9"/>
      <c r="G1212" s="10"/>
      <c r="H1212" s="11"/>
      <c r="I1212" s="12" t="str">
        <f t="array" ref="I1212">IFERROR(INDEX(atlas!B:B,MATCH(A1212,atlas!C:C,0)),"")</f>
        <v/>
      </c>
      <c r="J1212" s="8" t="str">
        <f>IFERROR(VLOOKUP(F1212,tecnica!A:B,2,0),"")</f>
        <v/>
      </c>
      <c r="K1212" s="8" t="str">
        <f>IFERROR(VLOOKUP(J1212,tecnica!B:C,2,0),"")</f>
        <v/>
      </c>
      <c r="L1212" s="13"/>
      <c r="M1212" s="14" t="str">
        <f>IFERROR(VLOOKUP(I1212,material!A:D,4,0),"")</f>
        <v/>
      </c>
      <c r="N1212" s="14" t="str">
        <f t="shared" si="1"/>
        <v/>
      </c>
      <c r="O1212" s="15" t="str">
        <f>IFERROR(VLOOKUP(I1212,material!A:D,2,0),"")</f>
        <v/>
      </c>
    </row>
    <row r="1213">
      <c r="A1213" s="6"/>
      <c r="B1213" s="7"/>
      <c r="C1213" s="8" t="str">
        <f t="array" ref="C1213">IFERROR(INDEX(atlas!H:H,MATCH(A1213,atlas!C:C,0)),"")</f>
        <v/>
      </c>
      <c r="D1213" s="8" t="str">
        <f t="array" ref="D1213">IFERROR(INDEX(atlas!D:D,MATCH(A1213,atlas!C:C,0)),"")</f>
        <v/>
      </c>
      <c r="E1213" s="8" t="str">
        <f t="array" ref="E1213">IFERROR(INDEX(atlas!F:F,MATCH(A1213,atlas!C:C,0)),"")</f>
        <v/>
      </c>
      <c r="F1213" s="9"/>
      <c r="G1213" s="10"/>
      <c r="H1213" s="11"/>
      <c r="I1213" s="12" t="str">
        <f t="array" ref="I1213">IFERROR(INDEX(atlas!B:B,MATCH(A1213,atlas!C:C,0)),"")</f>
        <v/>
      </c>
      <c r="J1213" s="8" t="str">
        <f>IFERROR(VLOOKUP(F1213,tecnica!A:B,2,0),"")</f>
        <v/>
      </c>
      <c r="K1213" s="8" t="str">
        <f>IFERROR(VLOOKUP(J1213,tecnica!B:C,2,0),"")</f>
        <v/>
      </c>
      <c r="L1213" s="13"/>
      <c r="M1213" s="14" t="str">
        <f>IFERROR(VLOOKUP(I1213,material!A:D,4,0),"")</f>
        <v/>
      </c>
      <c r="N1213" s="14" t="str">
        <f t="shared" si="1"/>
        <v/>
      </c>
      <c r="O1213" s="15" t="str">
        <f>IFERROR(VLOOKUP(I1213,material!A:D,2,0),"")</f>
        <v/>
      </c>
    </row>
    <row r="1214">
      <c r="A1214" s="6"/>
      <c r="B1214" s="7"/>
      <c r="C1214" s="8" t="str">
        <f t="array" ref="C1214">IFERROR(INDEX(atlas!H:H,MATCH(A1214,atlas!C:C,0)),"")</f>
        <v/>
      </c>
      <c r="D1214" s="8" t="str">
        <f t="array" ref="D1214">IFERROR(INDEX(atlas!D:D,MATCH(A1214,atlas!C:C,0)),"")</f>
        <v/>
      </c>
      <c r="E1214" s="8" t="str">
        <f t="array" ref="E1214">IFERROR(INDEX(atlas!F:F,MATCH(A1214,atlas!C:C,0)),"")</f>
        <v/>
      </c>
      <c r="F1214" s="9"/>
      <c r="G1214" s="10"/>
      <c r="H1214" s="11"/>
      <c r="I1214" s="12" t="str">
        <f t="array" ref="I1214">IFERROR(INDEX(atlas!B:B,MATCH(A1214,atlas!C:C,0)),"")</f>
        <v/>
      </c>
      <c r="J1214" s="8" t="str">
        <f>IFERROR(VLOOKUP(F1214,tecnica!A:B,2,0),"")</f>
        <v/>
      </c>
      <c r="K1214" s="8" t="str">
        <f>IFERROR(VLOOKUP(J1214,tecnica!B:C,2,0),"")</f>
        <v/>
      </c>
      <c r="L1214" s="13"/>
      <c r="M1214" s="14" t="str">
        <f>IFERROR(VLOOKUP(I1214,material!A:D,4,0),"")</f>
        <v/>
      </c>
      <c r="N1214" s="14" t="str">
        <f t="shared" si="1"/>
        <v/>
      </c>
      <c r="O1214" s="15" t="str">
        <f>IFERROR(VLOOKUP(I1214,material!A:D,2,0),"")</f>
        <v/>
      </c>
    </row>
    <row r="1215">
      <c r="A1215" s="6"/>
      <c r="B1215" s="7"/>
      <c r="C1215" s="8" t="str">
        <f t="array" ref="C1215">IFERROR(INDEX(atlas!H:H,MATCH(A1215,atlas!C:C,0)),"")</f>
        <v/>
      </c>
      <c r="D1215" s="8" t="str">
        <f t="array" ref="D1215">IFERROR(INDEX(atlas!D:D,MATCH(A1215,atlas!C:C,0)),"")</f>
        <v/>
      </c>
      <c r="E1215" s="8" t="str">
        <f t="array" ref="E1215">IFERROR(INDEX(atlas!F:F,MATCH(A1215,atlas!C:C,0)),"")</f>
        <v/>
      </c>
      <c r="F1215" s="9"/>
      <c r="G1215" s="10"/>
      <c r="H1215" s="11"/>
      <c r="I1215" s="12" t="str">
        <f t="array" ref="I1215">IFERROR(INDEX(atlas!B:B,MATCH(A1215,atlas!C:C,0)),"")</f>
        <v/>
      </c>
      <c r="J1215" s="8" t="str">
        <f>IFERROR(VLOOKUP(F1215,tecnica!A:B,2,0),"")</f>
        <v/>
      </c>
      <c r="K1215" s="8" t="str">
        <f>IFERROR(VLOOKUP(J1215,tecnica!B:C,2,0),"")</f>
        <v/>
      </c>
      <c r="L1215" s="13"/>
      <c r="M1215" s="14" t="str">
        <f>IFERROR(VLOOKUP(I1215,material!A:D,4,0),"")</f>
        <v/>
      </c>
      <c r="N1215" s="14" t="str">
        <f t="shared" si="1"/>
        <v/>
      </c>
      <c r="O1215" s="15" t="str">
        <f>IFERROR(VLOOKUP(I1215,material!A:D,2,0),"")</f>
        <v/>
      </c>
    </row>
    <row r="1216">
      <c r="A1216" s="6"/>
      <c r="B1216" s="7"/>
      <c r="C1216" s="8" t="str">
        <f t="array" ref="C1216">IFERROR(INDEX(atlas!H:H,MATCH(A1216,atlas!C:C,0)),"")</f>
        <v/>
      </c>
      <c r="D1216" s="8" t="str">
        <f t="array" ref="D1216">IFERROR(INDEX(atlas!D:D,MATCH(A1216,atlas!C:C,0)),"")</f>
        <v/>
      </c>
      <c r="E1216" s="8" t="str">
        <f t="array" ref="E1216">IFERROR(INDEX(atlas!F:F,MATCH(A1216,atlas!C:C,0)),"")</f>
        <v/>
      </c>
      <c r="F1216" s="9"/>
      <c r="G1216" s="10"/>
      <c r="H1216" s="11"/>
      <c r="I1216" s="12" t="str">
        <f t="array" ref="I1216">IFERROR(INDEX(atlas!B:B,MATCH(A1216,atlas!C:C,0)),"")</f>
        <v/>
      </c>
      <c r="J1216" s="8" t="str">
        <f>IFERROR(VLOOKUP(F1216,tecnica!A:B,2,0),"")</f>
        <v/>
      </c>
      <c r="K1216" s="8" t="str">
        <f>IFERROR(VLOOKUP(J1216,tecnica!B:C,2,0),"")</f>
        <v/>
      </c>
      <c r="L1216" s="13"/>
      <c r="M1216" s="14" t="str">
        <f>IFERROR(VLOOKUP(I1216,material!A:D,4,0),"")</f>
        <v/>
      </c>
      <c r="N1216" s="14" t="str">
        <f t="shared" si="1"/>
        <v/>
      </c>
      <c r="O1216" s="15" t="str">
        <f>IFERROR(VLOOKUP(I1216,material!A:D,2,0),"")</f>
        <v/>
      </c>
    </row>
    <row r="1217">
      <c r="A1217" s="6"/>
      <c r="B1217" s="7"/>
      <c r="C1217" s="8" t="str">
        <f t="array" ref="C1217">IFERROR(INDEX(atlas!H:H,MATCH(A1217,atlas!C:C,0)),"")</f>
        <v/>
      </c>
      <c r="D1217" s="8" t="str">
        <f t="array" ref="D1217">IFERROR(INDEX(atlas!D:D,MATCH(A1217,atlas!C:C,0)),"")</f>
        <v/>
      </c>
      <c r="E1217" s="8" t="str">
        <f t="array" ref="E1217">IFERROR(INDEX(atlas!F:F,MATCH(A1217,atlas!C:C,0)),"")</f>
        <v/>
      </c>
      <c r="F1217" s="9"/>
      <c r="G1217" s="10"/>
      <c r="H1217" s="11"/>
      <c r="I1217" s="12" t="str">
        <f t="array" ref="I1217">IFERROR(INDEX(atlas!B:B,MATCH(A1217,atlas!C:C,0)),"")</f>
        <v/>
      </c>
      <c r="J1217" s="8" t="str">
        <f>IFERROR(VLOOKUP(F1217,tecnica!A:B,2,0),"")</f>
        <v/>
      </c>
      <c r="K1217" s="8" t="str">
        <f>IFERROR(VLOOKUP(J1217,tecnica!B:C,2,0),"")</f>
        <v/>
      </c>
      <c r="L1217" s="13"/>
      <c r="M1217" s="14" t="str">
        <f>IFERROR(VLOOKUP(I1217,material!A:D,4,0),"")</f>
        <v/>
      </c>
      <c r="N1217" s="14" t="str">
        <f t="shared" si="1"/>
        <v/>
      </c>
      <c r="O1217" s="15" t="str">
        <f>IFERROR(VLOOKUP(I1217,material!A:D,2,0),"")</f>
        <v/>
      </c>
    </row>
    <row r="1218">
      <c r="A1218" s="6"/>
      <c r="B1218" s="7"/>
      <c r="C1218" s="8" t="str">
        <f t="array" ref="C1218">IFERROR(INDEX(atlas!H:H,MATCH(A1218,atlas!C:C,0)),"")</f>
        <v/>
      </c>
      <c r="D1218" s="8" t="str">
        <f t="array" ref="D1218">IFERROR(INDEX(atlas!D:D,MATCH(A1218,atlas!C:C,0)),"")</f>
        <v/>
      </c>
      <c r="E1218" s="8" t="str">
        <f t="array" ref="E1218">IFERROR(INDEX(atlas!F:F,MATCH(A1218,atlas!C:C,0)),"")</f>
        <v/>
      </c>
      <c r="F1218" s="9"/>
      <c r="G1218" s="10"/>
      <c r="H1218" s="11"/>
      <c r="I1218" s="12" t="str">
        <f t="array" ref="I1218">IFERROR(INDEX(atlas!B:B,MATCH(A1218,atlas!C:C,0)),"")</f>
        <v/>
      </c>
      <c r="J1218" s="8" t="str">
        <f>IFERROR(VLOOKUP(F1218,tecnica!A:B,2,0),"")</f>
        <v/>
      </c>
      <c r="K1218" s="8" t="str">
        <f>IFERROR(VLOOKUP(J1218,tecnica!B:C,2,0),"")</f>
        <v/>
      </c>
      <c r="L1218" s="13"/>
      <c r="M1218" s="14" t="str">
        <f>IFERROR(VLOOKUP(I1218,material!A:D,4,0),"")</f>
        <v/>
      </c>
      <c r="N1218" s="14" t="str">
        <f t="shared" si="1"/>
        <v/>
      </c>
      <c r="O1218" s="15" t="str">
        <f>IFERROR(VLOOKUP(I1218,material!A:D,2,0),"")</f>
        <v/>
      </c>
    </row>
    <row r="1219">
      <c r="A1219" s="6"/>
      <c r="B1219" s="7"/>
      <c r="C1219" s="8" t="str">
        <f t="array" ref="C1219">IFERROR(INDEX(atlas!H:H,MATCH(A1219,atlas!C:C,0)),"")</f>
        <v/>
      </c>
      <c r="D1219" s="8" t="str">
        <f t="array" ref="D1219">IFERROR(INDEX(atlas!D:D,MATCH(A1219,atlas!C:C,0)),"")</f>
        <v/>
      </c>
      <c r="E1219" s="8" t="str">
        <f t="array" ref="E1219">IFERROR(INDEX(atlas!F:F,MATCH(A1219,atlas!C:C,0)),"")</f>
        <v/>
      </c>
      <c r="F1219" s="9"/>
      <c r="G1219" s="10"/>
      <c r="H1219" s="11"/>
      <c r="I1219" s="12" t="str">
        <f t="array" ref="I1219">IFERROR(INDEX(atlas!B:B,MATCH(A1219,atlas!C:C,0)),"")</f>
        <v/>
      </c>
      <c r="J1219" s="8" t="str">
        <f>IFERROR(VLOOKUP(F1219,tecnica!A:B,2,0),"")</f>
        <v/>
      </c>
      <c r="K1219" s="8" t="str">
        <f>IFERROR(VLOOKUP(J1219,tecnica!B:C,2,0),"")</f>
        <v/>
      </c>
      <c r="L1219" s="13"/>
      <c r="M1219" s="14" t="str">
        <f>IFERROR(VLOOKUP(I1219,material!A:D,4,0),"")</f>
        <v/>
      </c>
      <c r="N1219" s="14" t="str">
        <f t="shared" si="1"/>
        <v/>
      </c>
      <c r="O1219" s="15" t="str">
        <f>IFERROR(VLOOKUP(I1219,material!A:D,2,0),"")</f>
        <v/>
      </c>
    </row>
    <row r="1220">
      <c r="A1220" s="6"/>
      <c r="B1220" s="7"/>
      <c r="C1220" s="8" t="str">
        <f t="array" ref="C1220">IFERROR(INDEX(atlas!H:H,MATCH(A1220,atlas!C:C,0)),"")</f>
        <v/>
      </c>
      <c r="D1220" s="8" t="str">
        <f t="array" ref="D1220">IFERROR(INDEX(atlas!D:D,MATCH(A1220,atlas!C:C,0)),"")</f>
        <v/>
      </c>
      <c r="E1220" s="8" t="str">
        <f t="array" ref="E1220">IFERROR(INDEX(atlas!F:F,MATCH(A1220,atlas!C:C,0)),"")</f>
        <v/>
      </c>
      <c r="F1220" s="9"/>
      <c r="G1220" s="10"/>
      <c r="H1220" s="11"/>
      <c r="I1220" s="12" t="str">
        <f t="array" ref="I1220">IFERROR(INDEX(atlas!B:B,MATCH(A1220,atlas!C:C,0)),"")</f>
        <v/>
      </c>
      <c r="J1220" s="8" t="str">
        <f>IFERROR(VLOOKUP(F1220,tecnica!A:B,2,0),"")</f>
        <v/>
      </c>
      <c r="K1220" s="8" t="str">
        <f>IFERROR(VLOOKUP(J1220,tecnica!B:C,2,0),"")</f>
        <v/>
      </c>
      <c r="L1220" s="13"/>
      <c r="M1220" s="14" t="str">
        <f>IFERROR(VLOOKUP(I1220,material!A:D,4,0),"")</f>
        <v/>
      </c>
      <c r="N1220" s="14" t="str">
        <f t="shared" si="1"/>
        <v/>
      </c>
      <c r="O1220" s="15" t="str">
        <f>IFERROR(VLOOKUP(I1220,material!A:D,2,0),"")</f>
        <v/>
      </c>
    </row>
    <row r="1221">
      <c r="A1221" s="6"/>
      <c r="B1221" s="7"/>
      <c r="C1221" s="8" t="str">
        <f t="array" ref="C1221">IFERROR(INDEX(atlas!H:H,MATCH(A1221,atlas!C:C,0)),"")</f>
        <v/>
      </c>
      <c r="D1221" s="8" t="str">
        <f t="array" ref="D1221">IFERROR(INDEX(atlas!D:D,MATCH(A1221,atlas!C:C,0)),"")</f>
        <v/>
      </c>
      <c r="E1221" s="8" t="str">
        <f t="array" ref="E1221">IFERROR(INDEX(atlas!F:F,MATCH(A1221,atlas!C:C,0)),"")</f>
        <v/>
      </c>
      <c r="F1221" s="9"/>
      <c r="G1221" s="10"/>
      <c r="H1221" s="11"/>
      <c r="I1221" s="12" t="str">
        <f t="array" ref="I1221">IFERROR(INDEX(atlas!B:B,MATCH(A1221,atlas!C:C,0)),"")</f>
        <v/>
      </c>
      <c r="J1221" s="8" t="str">
        <f>IFERROR(VLOOKUP(F1221,tecnica!A:B,2,0),"")</f>
        <v/>
      </c>
      <c r="K1221" s="8" t="str">
        <f>IFERROR(VLOOKUP(J1221,tecnica!B:C,2,0),"")</f>
        <v/>
      </c>
      <c r="L1221" s="13"/>
      <c r="M1221" s="14" t="str">
        <f>IFERROR(VLOOKUP(I1221,material!A:D,4,0),"")</f>
        <v/>
      </c>
      <c r="N1221" s="14" t="str">
        <f t="shared" si="1"/>
        <v/>
      </c>
      <c r="O1221" s="15" t="str">
        <f>IFERROR(VLOOKUP(I1221,material!A:D,2,0),"")</f>
        <v/>
      </c>
    </row>
    <row r="1222">
      <c r="A1222" s="6"/>
      <c r="B1222" s="7"/>
      <c r="C1222" s="8" t="str">
        <f t="array" ref="C1222">IFERROR(INDEX(atlas!H:H,MATCH(A1222,atlas!C:C,0)),"")</f>
        <v/>
      </c>
      <c r="D1222" s="8" t="str">
        <f t="array" ref="D1222">IFERROR(INDEX(atlas!D:D,MATCH(A1222,atlas!C:C,0)),"")</f>
        <v/>
      </c>
      <c r="E1222" s="8" t="str">
        <f t="array" ref="E1222">IFERROR(INDEX(atlas!F:F,MATCH(A1222,atlas!C:C,0)),"")</f>
        <v/>
      </c>
      <c r="F1222" s="9"/>
      <c r="G1222" s="10"/>
      <c r="H1222" s="11"/>
      <c r="I1222" s="12" t="str">
        <f t="array" ref="I1222">IFERROR(INDEX(atlas!B:B,MATCH(A1222,atlas!C:C,0)),"")</f>
        <v/>
      </c>
      <c r="J1222" s="8" t="str">
        <f>IFERROR(VLOOKUP(F1222,tecnica!A:B,2,0),"")</f>
        <v/>
      </c>
      <c r="K1222" s="8" t="str">
        <f>IFERROR(VLOOKUP(J1222,tecnica!B:C,2,0),"")</f>
        <v/>
      </c>
      <c r="L1222" s="13"/>
      <c r="M1222" s="14" t="str">
        <f>IFERROR(VLOOKUP(I1222,material!A:D,4,0),"")</f>
        <v/>
      </c>
      <c r="N1222" s="14" t="str">
        <f t="shared" si="1"/>
        <v/>
      </c>
      <c r="O1222" s="15" t="str">
        <f>IFERROR(VLOOKUP(I1222,material!A:D,2,0),"")</f>
        <v/>
      </c>
    </row>
    <row r="1223">
      <c r="A1223" s="6"/>
      <c r="B1223" s="7"/>
      <c r="C1223" s="8" t="str">
        <f t="array" ref="C1223">IFERROR(INDEX(atlas!H:H,MATCH(A1223,atlas!C:C,0)),"")</f>
        <v/>
      </c>
      <c r="D1223" s="8" t="str">
        <f t="array" ref="D1223">IFERROR(INDEX(atlas!D:D,MATCH(A1223,atlas!C:C,0)),"")</f>
        <v/>
      </c>
      <c r="E1223" s="8" t="str">
        <f t="array" ref="E1223">IFERROR(INDEX(atlas!F:F,MATCH(A1223,atlas!C:C,0)),"")</f>
        <v/>
      </c>
      <c r="F1223" s="9"/>
      <c r="G1223" s="10"/>
      <c r="H1223" s="11"/>
      <c r="I1223" s="12" t="str">
        <f t="array" ref="I1223">IFERROR(INDEX(atlas!B:B,MATCH(A1223,atlas!C:C,0)),"")</f>
        <v/>
      </c>
      <c r="J1223" s="8" t="str">
        <f>IFERROR(VLOOKUP(F1223,tecnica!A:B,2,0),"")</f>
        <v/>
      </c>
      <c r="K1223" s="8" t="str">
        <f>IFERROR(VLOOKUP(J1223,tecnica!B:C,2,0),"")</f>
        <v/>
      </c>
      <c r="L1223" s="13"/>
      <c r="M1223" s="14" t="str">
        <f>IFERROR(VLOOKUP(I1223,material!A:D,4,0),"")</f>
        <v/>
      </c>
      <c r="N1223" s="14" t="str">
        <f t="shared" si="1"/>
        <v/>
      </c>
      <c r="O1223" s="15" t="str">
        <f>IFERROR(VLOOKUP(I1223,material!A:D,2,0),"")</f>
        <v/>
      </c>
    </row>
    <row r="1224">
      <c r="A1224" s="6"/>
      <c r="B1224" s="7"/>
      <c r="C1224" s="8" t="str">
        <f t="array" ref="C1224">IFERROR(INDEX(atlas!H:H,MATCH(A1224,atlas!C:C,0)),"")</f>
        <v/>
      </c>
      <c r="D1224" s="8" t="str">
        <f t="array" ref="D1224">IFERROR(INDEX(atlas!D:D,MATCH(A1224,atlas!C:C,0)),"")</f>
        <v/>
      </c>
      <c r="E1224" s="8" t="str">
        <f t="array" ref="E1224">IFERROR(INDEX(atlas!F:F,MATCH(A1224,atlas!C:C,0)),"")</f>
        <v/>
      </c>
      <c r="F1224" s="9"/>
      <c r="G1224" s="10"/>
      <c r="H1224" s="11"/>
      <c r="I1224" s="12" t="str">
        <f t="array" ref="I1224">IFERROR(INDEX(atlas!B:B,MATCH(A1224,atlas!C:C,0)),"")</f>
        <v/>
      </c>
      <c r="J1224" s="8" t="str">
        <f>IFERROR(VLOOKUP(F1224,tecnica!A:B,2,0),"")</f>
        <v/>
      </c>
      <c r="K1224" s="8" t="str">
        <f>IFERROR(VLOOKUP(J1224,tecnica!B:C,2,0),"")</f>
        <v/>
      </c>
      <c r="L1224" s="13"/>
      <c r="M1224" s="14" t="str">
        <f>IFERROR(VLOOKUP(I1224,material!A:D,4,0),"")</f>
        <v/>
      </c>
      <c r="N1224" s="14" t="str">
        <f t="shared" si="1"/>
        <v/>
      </c>
      <c r="O1224" s="15" t="str">
        <f>IFERROR(VLOOKUP(I1224,material!A:D,2,0),"")</f>
        <v/>
      </c>
    </row>
    <row r="1225">
      <c r="A1225" s="6"/>
      <c r="B1225" s="7"/>
      <c r="C1225" s="8" t="str">
        <f t="array" ref="C1225">IFERROR(INDEX(atlas!H:H,MATCH(A1225,atlas!C:C,0)),"")</f>
        <v/>
      </c>
      <c r="D1225" s="8" t="str">
        <f t="array" ref="D1225">IFERROR(INDEX(atlas!D:D,MATCH(A1225,atlas!C:C,0)),"")</f>
        <v/>
      </c>
      <c r="E1225" s="8" t="str">
        <f t="array" ref="E1225">IFERROR(INDEX(atlas!F:F,MATCH(A1225,atlas!C:C,0)),"")</f>
        <v/>
      </c>
      <c r="F1225" s="9"/>
      <c r="G1225" s="10"/>
      <c r="H1225" s="11"/>
      <c r="I1225" s="12" t="str">
        <f t="array" ref="I1225">IFERROR(INDEX(atlas!B:B,MATCH(A1225,atlas!C:C,0)),"")</f>
        <v/>
      </c>
      <c r="J1225" s="8" t="str">
        <f>IFERROR(VLOOKUP(F1225,tecnica!A:B,2,0),"")</f>
        <v/>
      </c>
      <c r="K1225" s="8" t="str">
        <f>IFERROR(VLOOKUP(J1225,tecnica!B:C,2,0),"")</f>
        <v/>
      </c>
      <c r="L1225" s="13"/>
      <c r="M1225" s="14" t="str">
        <f>IFERROR(VLOOKUP(I1225,material!A:D,4,0),"")</f>
        <v/>
      </c>
      <c r="N1225" s="14" t="str">
        <f t="shared" si="1"/>
        <v/>
      </c>
      <c r="O1225" s="15" t="str">
        <f>IFERROR(VLOOKUP(I1225,material!A:D,2,0),"")</f>
        <v/>
      </c>
    </row>
    <row r="1226">
      <c r="A1226" s="6"/>
      <c r="B1226" s="7"/>
      <c r="C1226" s="8" t="str">
        <f t="array" ref="C1226">IFERROR(INDEX(atlas!H:H,MATCH(A1226,atlas!C:C,0)),"")</f>
        <v/>
      </c>
      <c r="D1226" s="8" t="str">
        <f t="array" ref="D1226">IFERROR(INDEX(atlas!D:D,MATCH(A1226,atlas!C:C,0)),"")</f>
        <v/>
      </c>
      <c r="E1226" s="8" t="str">
        <f t="array" ref="E1226">IFERROR(INDEX(atlas!F:F,MATCH(A1226,atlas!C:C,0)),"")</f>
        <v/>
      </c>
      <c r="F1226" s="9"/>
      <c r="G1226" s="10"/>
      <c r="H1226" s="11"/>
      <c r="I1226" s="12" t="str">
        <f t="array" ref="I1226">IFERROR(INDEX(atlas!B:B,MATCH(A1226,atlas!C:C,0)),"")</f>
        <v/>
      </c>
      <c r="J1226" s="8" t="str">
        <f>IFERROR(VLOOKUP(F1226,tecnica!A:B,2,0),"")</f>
        <v/>
      </c>
      <c r="K1226" s="8" t="str">
        <f>IFERROR(VLOOKUP(J1226,tecnica!B:C,2,0),"")</f>
        <v/>
      </c>
      <c r="L1226" s="13"/>
      <c r="M1226" s="14" t="str">
        <f>IFERROR(VLOOKUP(I1226,material!A:D,4,0),"")</f>
        <v/>
      </c>
      <c r="N1226" s="14" t="str">
        <f t="shared" si="1"/>
        <v/>
      </c>
      <c r="O1226" s="15" t="str">
        <f>IFERROR(VLOOKUP(I1226,material!A:D,2,0),"")</f>
        <v/>
      </c>
    </row>
    <row r="1227">
      <c r="A1227" s="6"/>
      <c r="B1227" s="7"/>
      <c r="C1227" s="8" t="str">
        <f t="array" ref="C1227">IFERROR(INDEX(atlas!H:H,MATCH(A1227,atlas!C:C,0)),"")</f>
        <v/>
      </c>
      <c r="D1227" s="8" t="str">
        <f t="array" ref="D1227">IFERROR(INDEX(atlas!D:D,MATCH(A1227,atlas!C:C,0)),"")</f>
        <v/>
      </c>
      <c r="E1227" s="8" t="str">
        <f t="array" ref="E1227">IFERROR(INDEX(atlas!F:F,MATCH(A1227,atlas!C:C,0)),"")</f>
        <v/>
      </c>
      <c r="F1227" s="9"/>
      <c r="G1227" s="10"/>
      <c r="H1227" s="11"/>
      <c r="I1227" s="12" t="str">
        <f t="array" ref="I1227">IFERROR(INDEX(atlas!B:B,MATCH(A1227,atlas!C:C,0)),"")</f>
        <v/>
      </c>
      <c r="J1227" s="8" t="str">
        <f>IFERROR(VLOOKUP(F1227,tecnica!A:B,2,0),"")</f>
        <v/>
      </c>
      <c r="K1227" s="8" t="str">
        <f>IFERROR(VLOOKUP(J1227,tecnica!B:C,2,0),"")</f>
        <v/>
      </c>
      <c r="L1227" s="13"/>
      <c r="M1227" s="14" t="str">
        <f>IFERROR(VLOOKUP(I1227,material!A:D,4,0),"")</f>
        <v/>
      </c>
      <c r="N1227" s="14" t="str">
        <f t="shared" si="1"/>
        <v/>
      </c>
      <c r="O1227" s="15" t="str">
        <f>IFERROR(VLOOKUP(I1227,material!A:D,2,0),"")</f>
        <v/>
      </c>
    </row>
    <row r="1228">
      <c r="A1228" s="6"/>
      <c r="B1228" s="7"/>
      <c r="C1228" s="8" t="str">
        <f t="array" ref="C1228">IFERROR(INDEX(atlas!H:H,MATCH(A1228,atlas!C:C,0)),"")</f>
        <v/>
      </c>
      <c r="D1228" s="8" t="str">
        <f t="array" ref="D1228">IFERROR(INDEX(atlas!D:D,MATCH(A1228,atlas!C:C,0)),"")</f>
        <v/>
      </c>
      <c r="E1228" s="8" t="str">
        <f t="array" ref="E1228">IFERROR(INDEX(atlas!F:F,MATCH(A1228,atlas!C:C,0)),"")</f>
        <v/>
      </c>
      <c r="F1228" s="9"/>
      <c r="G1228" s="10"/>
      <c r="H1228" s="11"/>
      <c r="I1228" s="12" t="str">
        <f t="array" ref="I1228">IFERROR(INDEX(atlas!B:B,MATCH(A1228,atlas!C:C,0)),"")</f>
        <v/>
      </c>
      <c r="J1228" s="8" t="str">
        <f>IFERROR(VLOOKUP(F1228,tecnica!A:B,2,0),"")</f>
        <v/>
      </c>
      <c r="K1228" s="8" t="str">
        <f>IFERROR(VLOOKUP(J1228,tecnica!B:C,2,0),"")</f>
        <v/>
      </c>
      <c r="L1228" s="13"/>
      <c r="M1228" s="14" t="str">
        <f>IFERROR(VLOOKUP(I1228,material!A:D,4,0),"")</f>
        <v/>
      </c>
      <c r="N1228" s="14" t="str">
        <f t="shared" si="1"/>
        <v/>
      </c>
      <c r="O1228" s="15" t="str">
        <f>IFERROR(VLOOKUP(I1228,material!A:D,2,0),"")</f>
        <v/>
      </c>
    </row>
    <row r="1229">
      <c r="A1229" s="6"/>
      <c r="B1229" s="7"/>
      <c r="C1229" s="8" t="str">
        <f t="array" ref="C1229">IFERROR(INDEX(atlas!H:H,MATCH(A1229,atlas!C:C,0)),"")</f>
        <v/>
      </c>
      <c r="D1229" s="8" t="str">
        <f t="array" ref="D1229">IFERROR(INDEX(atlas!D:D,MATCH(A1229,atlas!C:C,0)),"")</f>
        <v/>
      </c>
      <c r="E1229" s="8" t="str">
        <f t="array" ref="E1229">IFERROR(INDEX(atlas!F:F,MATCH(A1229,atlas!C:C,0)),"")</f>
        <v/>
      </c>
      <c r="F1229" s="9"/>
      <c r="G1229" s="10"/>
      <c r="H1229" s="11"/>
      <c r="I1229" s="12" t="str">
        <f t="array" ref="I1229">IFERROR(INDEX(atlas!B:B,MATCH(A1229,atlas!C:C,0)),"")</f>
        <v/>
      </c>
      <c r="J1229" s="8" t="str">
        <f>IFERROR(VLOOKUP(F1229,tecnica!A:B,2,0),"")</f>
        <v/>
      </c>
      <c r="K1229" s="8" t="str">
        <f>IFERROR(VLOOKUP(J1229,tecnica!B:C,2,0),"")</f>
        <v/>
      </c>
      <c r="L1229" s="13"/>
      <c r="M1229" s="14" t="str">
        <f>IFERROR(VLOOKUP(I1229,material!A:D,4,0),"")</f>
        <v/>
      </c>
      <c r="N1229" s="14" t="str">
        <f t="shared" si="1"/>
        <v/>
      </c>
      <c r="O1229" s="15" t="str">
        <f>IFERROR(VLOOKUP(I1229,material!A:D,2,0),"")</f>
        <v/>
      </c>
    </row>
    <row r="1230">
      <c r="A1230" s="6"/>
      <c r="B1230" s="7"/>
      <c r="C1230" s="8" t="str">
        <f t="array" ref="C1230">IFERROR(INDEX(atlas!H:H,MATCH(A1230,atlas!C:C,0)),"")</f>
        <v/>
      </c>
      <c r="D1230" s="8" t="str">
        <f t="array" ref="D1230">IFERROR(INDEX(atlas!D:D,MATCH(A1230,atlas!C:C,0)),"")</f>
        <v/>
      </c>
      <c r="E1230" s="8" t="str">
        <f t="array" ref="E1230">IFERROR(INDEX(atlas!F:F,MATCH(A1230,atlas!C:C,0)),"")</f>
        <v/>
      </c>
      <c r="F1230" s="9"/>
      <c r="G1230" s="10"/>
      <c r="H1230" s="11"/>
      <c r="I1230" s="12" t="str">
        <f t="array" ref="I1230">IFERROR(INDEX(atlas!B:B,MATCH(A1230,atlas!C:C,0)),"")</f>
        <v/>
      </c>
      <c r="J1230" s="8" t="str">
        <f>IFERROR(VLOOKUP(F1230,tecnica!A:B,2,0),"")</f>
        <v/>
      </c>
      <c r="K1230" s="8" t="str">
        <f>IFERROR(VLOOKUP(J1230,tecnica!B:C,2,0),"")</f>
        <v/>
      </c>
      <c r="L1230" s="13"/>
      <c r="M1230" s="14" t="str">
        <f>IFERROR(VLOOKUP(I1230,material!A:D,4,0),"")</f>
        <v/>
      </c>
      <c r="N1230" s="14" t="str">
        <f t="shared" si="1"/>
        <v/>
      </c>
      <c r="O1230" s="15" t="str">
        <f>IFERROR(VLOOKUP(I1230,material!A:D,2,0),"")</f>
        <v/>
      </c>
    </row>
    <row r="1231">
      <c r="A1231" s="6"/>
      <c r="B1231" s="7"/>
      <c r="C1231" s="8" t="str">
        <f t="array" ref="C1231">IFERROR(INDEX(atlas!H:H,MATCH(A1231,atlas!C:C,0)),"")</f>
        <v/>
      </c>
      <c r="D1231" s="8" t="str">
        <f t="array" ref="D1231">IFERROR(INDEX(atlas!D:D,MATCH(A1231,atlas!C:C,0)),"")</f>
        <v/>
      </c>
      <c r="E1231" s="8" t="str">
        <f t="array" ref="E1231">IFERROR(INDEX(atlas!F:F,MATCH(A1231,atlas!C:C,0)),"")</f>
        <v/>
      </c>
      <c r="F1231" s="9"/>
      <c r="G1231" s="10"/>
      <c r="H1231" s="11"/>
      <c r="I1231" s="12" t="str">
        <f t="array" ref="I1231">IFERROR(INDEX(atlas!B:B,MATCH(A1231,atlas!C:C,0)),"")</f>
        <v/>
      </c>
      <c r="J1231" s="8" t="str">
        <f>IFERROR(VLOOKUP(F1231,tecnica!A:B,2,0),"")</f>
        <v/>
      </c>
      <c r="K1231" s="8" t="str">
        <f>IFERROR(VLOOKUP(J1231,tecnica!B:C,2,0),"")</f>
        <v/>
      </c>
      <c r="L1231" s="13"/>
      <c r="M1231" s="14" t="str">
        <f>IFERROR(VLOOKUP(I1231,material!A:D,4,0),"")</f>
        <v/>
      </c>
      <c r="N1231" s="14" t="str">
        <f t="shared" si="1"/>
        <v/>
      </c>
      <c r="O1231" s="15" t="str">
        <f>IFERROR(VLOOKUP(I1231,material!A:D,2,0),"")</f>
        <v/>
      </c>
    </row>
    <row r="1232">
      <c r="A1232" s="6"/>
      <c r="B1232" s="7"/>
      <c r="C1232" s="8" t="str">
        <f t="array" ref="C1232">IFERROR(INDEX(atlas!H:H,MATCH(A1232,atlas!C:C,0)),"")</f>
        <v/>
      </c>
      <c r="D1232" s="8" t="str">
        <f t="array" ref="D1232">IFERROR(INDEX(atlas!D:D,MATCH(A1232,atlas!C:C,0)),"")</f>
        <v/>
      </c>
      <c r="E1232" s="8" t="str">
        <f t="array" ref="E1232">IFERROR(INDEX(atlas!F:F,MATCH(A1232,atlas!C:C,0)),"")</f>
        <v/>
      </c>
      <c r="F1232" s="9"/>
      <c r="G1232" s="10"/>
      <c r="H1232" s="11"/>
      <c r="I1232" s="12" t="str">
        <f t="array" ref="I1232">IFERROR(INDEX(atlas!B:B,MATCH(A1232,atlas!C:C,0)),"")</f>
        <v/>
      </c>
      <c r="J1232" s="8" t="str">
        <f>IFERROR(VLOOKUP(F1232,tecnica!A:B,2,0),"")</f>
        <v/>
      </c>
      <c r="K1232" s="8" t="str">
        <f>IFERROR(VLOOKUP(J1232,tecnica!B:C,2,0),"")</f>
        <v/>
      </c>
      <c r="L1232" s="13"/>
      <c r="M1232" s="14" t="str">
        <f>IFERROR(VLOOKUP(I1232,material!A:D,4,0),"")</f>
        <v/>
      </c>
      <c r="N1232" s="14" t="str">
        <f t="shared" si="1"/>
        <v/>
      </c>
      <c r="O1232" s="15" t="str">
        <f>IFERROR(VLOOKUP(I1232,material!A:D,2,0),"")</f>
        <v/>
      </c>
    </row>
    <row r="1233">
      <c r="A1233" s="6"/>
      <c r="B1233" s="7"/>
      <c r="C1233" s="8" t="str">
        <f t="array" ref="C1233">IFERROR(INDEX(atlas!H:H,MATCH(A1233,atlas!C:C,0)),"")</f>
        <v/>
      </c>
      <c r="D1233" s="8" t="str">
        <f t="array" ref="D1233">IFERROR(INDEX(atlas!D:D,MATCH(A1233,atlas!C:C,0)),"")</f>
        <v/>
      </c>
      <c r="E1233" s="8" t="str">
        <f t="array" ref="E1233">IFERROR(INDEX(atlas!F:F,MATCH(A1233,atlas!C:C,0)),"")</f>
        <v/>
      </c>
      <c r="F1233" s="9"/>
      <c r="G1233" s="10"/>
      <c r="H1233" s="11"/>
      <c r="I1233" s="12" t="str">
        <f t="array" ref="I1233">IFERROR(INDEX(atlas!B:B,MATCH(A1233,atlas!C:C,0)),"")</f>
        <v/>
      </c>
      <c r="J1233" s="8" t="str">
        <f>IFERROR(VLOOKUP(F1233,tecnica!A:B,2,0),"")</f>
        <v/>
      </c>
      <c r="K1233" s="8" t="str">
        <f>IFERROR(VLOOKUP(J1233,tecnica!B:C,2,0),"")</f>
        <v/>
      </c>
      <c r="L1233" s="13"/>
      <c r="M1233" s="14" t="str">
        <f>IFERROR(VLOOKUP(I1233,material!A:D,4,0),"")</f>
        <v/>
      </c>
      <c r="N1233" s="14" t="str">
        <f t="shared" si="1"/>
        <v/>
      </c>
      <c r="O1233" s="15" t="str">
        <f>IFERROR(VLOOKUP(I1233,material!A:D,2,0),"")</f>
        <v/>
      </c>
    </row>
    <row r="1234">
      <c r="A1234" s="6"/>
      <c r="B1234" s="7"/>
      <c r="C1234" s="8" t="str">
        <f t="array" ref="C1234">IFERROR(INDEX(atlas!H:H,MATCH(A1234,atlas!C:C,0)),"")</f>
        <v/>
      </c>
      <c r="D1234" s="8" t="str">
        <f t="array" ref="D1234">IFERROR(INDEX(atlas!D:D,MATCH(A1234,atlas!C:C,0)),"")</f>
        <v/>
      </c>
      <c r="E1234" s="8" t="str">
        <f t="array" ref="E1234">IFERROR(INDEX(atlas!F:F,MATCH(A1234,atlas!C:C,0)),"")</f>
        <v/>
      </c>
      <c r="F1234" s="9"/>
      <c r="G1234" s="10"/>
      <c r="H1234" s="11"/>
      <c r="I1234" s="12" t="str">
        <f t="array" ref="I1234">IFERROR(INDEX(atlas!B:B,MATCH(A1234,atlas!C:C,0)),"")</f>
        <v/>
      </c>
      <c r="J1234" s="8" t="str">
        <f>IFERROR(VLOOKUP(F1234,tecnica!A:B,2,0),"")</f>
        <v/>
      </c>
      <c r="K1234" s="8" t="str">
        <f>IFERROR(VLOOKUP(J1234,tecnica!B:C,2,0),"")</f>
        <v/>
      </c>
      <c r="L1234" s="13"/>
      <c r="M1234" s="14" t="str">
        <f>IFERROR(VLOOKUP(I1234,material!A:D,4,0),"")</f>
        <v/>
      </c>
      <c r="N1234" s="14" t="str">
        <f t="shared" si="1"/>
        <v/>
      </c>
      <c r="O1234" s="15" t="str">
        <f>IFERROR(VLOOKUP(I1234,material!A:D,2,0),"")</f>
        <v/>
      </c>
    </row>
    <row r="1235">
      <c r="A1235" s="6"/>
      <c r="B1235" s="7"/>
      <c r="C1235" s="8" t="str">
        <f t="array" ref="C1235">IFERROR(INDEX(atlas!H:H,MATCH(A1235,atlas!C:C,0)),"")</f>
        <v/>
      </c>
      <c r="D1235" s="8" t="str">
        <f t="array" ref="D1235">IFERROR(INDEX(atlas!D:D,MATCH(A1235,atlas!C:C,0)),"")</f>
        <v/>
      </c>
      <c r="E1235" s="8" t="str">
        <f t="array" ref="E1235">IFERROR(INDEX(atlas!F:F,MATCH(A1235,atlas!C:C,0)),"")</f>
        <v/>
      </c>
      <c r="F1235" s="9"/>
      <c r="G1235" s="10"/>
      <c r="H1235" s="11"/>
      <c r="I1235" s="12" t="str">
        <f t="array" ref="I1235">IFERROR(INDEX(atlas!B:B,MATCH(A1235,atlas!C:C,0)),"")</f>
        <v/>
      </c>
      <c r="J1235" s="8" t="str">
        <f>IFERROR(VLOOKUP(F1235,tecnica!A:B,2,0),"")</f>
        <v/>
      </c>
      <c r="K1235" s="8" t="str">
        <f>IFERROR(VLOOKUP(J1235,tecnica!B:C,2,0),"")</f>
        <v/>
      </c>
      <c r="L1235" s="13"/>
      <c r="M1235" s="14" t="str">
        <f>IFERROR(VLOOKUP(I1235,material!A:D,4,0),"")</f>
        <v/>
      </c>
      <c r="N1235" s="14" t="str">
        <f t="shared" si="1"/>
        <v/>
      </c>
      <c r="O1235" s="15" t="str">
        <f>IFERROR(VLOOKUP(I1235,material!A:D,2,0),"")</f>
        <v/>
      </c>
    </row>
    <row r="1236">
      <c r="A1236" s="6"/>
      <c r="B1236" s="7"/>
      <c r="C1236" s="8" t="str">
        <f t="array" ref="C1236">IFERROR(INDEX(atlas!H:H,MATCH(A1236,atlas!C:C,0)),"")</f>
        <v/>
      </c>
      <c r="D1236" s="8" t="str">
        <f t="array" ref="D1236">IFERROR(INDEX(atlas!D:D,MATCH(A1236,atlas!C:C,0)),"")</f>
        <v/>
      </c>
      <c r="E1236" s="8" t="str">
        <f t="array" ref="E1236">IFERROR(INDEX(atlas!F:F,MATCH(A1236,atlas!C:C,0)),"")</f>
        <v/>
      </c>
      <c r="F1236" s="9"/>
      <c r="G1236" s="10"/>
      <c r="H1236" s="11"/>
      <c r="I1236" s="12" t="str">
        <f t="array" ref="I1236">IFERROR(INDEX(atlas!B:B,MATCH(A1236,atlas!C:C,0)),"")</f>
        <v/>
      </c>
      <c r="J1236" s="8" t="str">
        <f>IFERROR(VLOOKUP(F1236,tecnica!A:B,2,0),"")</f>
        <v/>
      </c>
      <c r="K1236" s="8" t="str">
        <f>IFERROR(VLOOKUP(J1236,tecnica!B:C,2,0),"")</f>
        <v/>
      </c>
      <c r="L1236" s="13"/>
      <c r="M1236" s="14" t="str">
        <f>IFERROR(VLOOKUP(I1236,material!A:D,4,0),"")</f>
        <v/>
      </c>
      <c r="N1236" s="14" t="str">
        <f t="shared" si="1"/>
        <v/>
      </c>
      <c r="O1236" s="15" t="str">
        <f>IFERROR(VLOOKUP(I1236,material!A:D,2,0),"")</f>
        <v/>
      </c>
    </row>
    <row r="1237">
      <c r="A1237" s="6"/>
      <c r="B1237" s="7"/>
      <c r="C1237" s="8" t="str">
        <f t="array" ref="C1237">IFERROR(INDEX(atlas!H:H,MATCH(A1237,atlas!C:C,0)),"")</f>
        <v/>
      </c>
      <c r="D1237" s="8" t="str">
        <f t="array" ref="D1237">IFERROR(INDEX(atlas!D:D,MATCH(A1237,atlas!C:C,0)),"")</f>
        <v/>
      </c>
      <c r="E1237" s="8" t="str">
        <f t="array" ref="E1237">IFERROR(INDEX(atlas!F:F,MATCH(A1237,atlas!C:C,0)),"")</f>
        <v/>
      </c>
      <c r="F1237" s="9"/>
      <c r="G1237" s="10"/>
      <c r="H1237" s="11"/>
      <c r="I1237" s="12" t="str">
        <f t="array" ref="I1237">IFERROR(INDEX(atlas!B:B,MATCH(A1237,atlas!C:C,0)),"")</f>
        <v/>
      </c>
      <c r="J1237" s="8" t="str">
        <f>IFERROR(VLOOKUP(F1237,tecnica!A:B,2,0),"")</f>
        <v/>
      </c>
      <c r="K1237" s="8" t="str">
        <f>IFERROR(VLOOKUP(J1237,tecnica!B:C,2,0),"")</f>
        <v/>
      </c>
      <c r="L1237" s="13"/>
      <c r="M1237" s="14" t="str">
        <f>IFERROR(VLOOKUP(I1237,material!A:D,4,0),"")</f>
        <v/>
      </c>
      <c r="N1237" s="14" t="str">
        <f t="shared" si="1"/>
        <v/>
      </c>
      <c r="O1237" s="15" t="str">
        <f>IFERROR(VLOOKUP(I1237,material!A:D,2,0),"")</f>
        <v/>
      </c>
    </row>
    <row r="1238">
      <c r="A1238" s="6"/>
      <c r="B1238" s="7"/>
      <c r="C1238" s="8" t="str">
        <f t="array" ref="C1238">IFERROR(INDEX(atlas!H:H,MATCH(A1238,atlas!C:C,0)),"")</f>
        <v/>
      </c>
      <c r="D1238" s="8" t="str">
        <f t="array" ref="D1238">IFERROR(INDEX(atlas!D:D,MATCH(A1238,atlas!C:C,0)),"")</f>
        <v/>
      </c>
      <c r="E1238" s="8" t="str">
        <f t="array" ref="E1238">IFERROR(INDEX(atlas!F:F,MATCH(A1238,atlas!C:C,0)),"")</f>
        <v/>
      </c>
      <c r="F1238" s="9"/>
      <c r="G1238" s="10"/>
      <c r="H1238" s="11"/>
      <c r="I1238" s="12" t="str">
        <f t="array" ref="I1238">IFERROR(INDEX(atlas!B:B,MATCH(A1238,atlas!C:C,0)),"")</f>
        <v/>
      </c>
      <c r="J1238" s="8" t="str">
        <f>IFERROR(VLOOKUP(F1238,tecnica!A:B,2,0),"")</f>
        <v/>
      </c>
      <c r="K1238" s="8" t="str">
        <f>IFERROR(VLOOKUP(J1238,tecnica!B:C,2,0),"")</f>
        <v/>
      </c>
      <c r="L1238" s="13"/>
      <c r="M1238" s="14" t="str">
        <f>IFERROR(VLOOKUP(I1238,material!A:D,4,0),"")</f>
        <v/>
      </c>
      <c r="N1238" s="14" t="str">
        <f t="shared" si="1"/>
        <v/>
      </c>
      <c r="O1238" s="15" t="str">
        <f>IFERROR(VLOOKUP(I1238,material!A:D,2,0),"")</f>
        <v/>
      </c>
    </row>
    <row r="1239">
      <c r="A1239" s="6"/>
      <c r="B1239" s="7"/>
      <c r="C1239" s="8" t="str">
        <f t="array" ref="C1239">IFERROR(INDEX(atlas!H:H,MATCH(A1239,atlas!C:C,0)),"")</f>
        <v/>
      </c>
      <c r="D1239" s="8" t="str">
        <f t="array" ref="D1239">IFERROR(INDEX(atlas!D:D,MATCH(A1239,atlas!C:C,0)),"")</f>
        <v/>
      </c>
      <c r="E1239" s="8" t="str">
        <f t="array" ref="E1239">IFERROR(INDEX(atlas!F:F,MATCH(A1239,atlas!C:C,0)),"")</f>
        <v/>
      </c>
      <c r="F1239" s="9"/>
      <c r="G1239" s="10"/>
      <c r="H1239" s="11"/>
      <c r="I1239" s="12" t="str">
        <f t="array" ref="I1239">IFERROR(INDEX(atlas!B:B,MATCH(A1239,atlas!C:C,0)),"")</f>
        <v/>
      </c>
      <c r="J1239" s="8" t="str">
        <f>IFERROR(VLOOKUP(F1239,tecnica!A:B,2,0),"")</f>
        <v/>
      </c>
      <c r="K1239" s="8" t="str">
        <f>IFERROR(VLOOKUP(J1239,tecnica!B:C,2,0),"")</f>
        <v/>
      </c>
      <c r="L1239" s="13"/>
      <c r="M1239" s="14" t="str">
        <f>IFERROR(VLOOKUP(I1239,material!A:D,4,0),"")</f>
        <v/>
      </c>
      <c r="N1239" s="14" t="str">
        <f t="shared" si="1"/>
        <v/>
      </c>
      <c r="O1239" s="15" t="str">
        <f>IFERROR(VLOOKUP(I1239,material!A:D,2,0),"")</f>
        <v/>
      </c>
    </row>
    <row r="1240">
      <c r="A1240" s="6"/>
      <c r="B1240" s="7"/>
      <c r="C1240" s="8" t="str">
        <f t="array" ref="C1240">IFERROR(INDEX(atlas!H:H,MATCH(A1240,atlas!C:C,0)),"")</f>
        <v/>
      </c>
      <c r="D1240" s="8" t="str">
        <f t="array" ref="D1240">IFERROR(INDEX(atlas!D:D,MATCH(A1240,atlas!C:C,0)),"")</f>
        <v/>
      </c>
      <c r="E1240" s="8" t="str">
        <f t="array" ref="E1240">IFERROR(INDEX(atlas!F:F,MATCH(A1240,atlas!C:C,0)),"")</f>
        <v/>
      </c>
      <c r="F1240" s="9"/>
      <c r="G1240" s="10"/>
      <c r="H1240" s="11"/>
      <c r="I1240" s="12" t="str">
        <f t="array" ref="I1240">IFERROR(INDEX(atlas!B:B,MATCH(A1240,atlas!C:C,0)),"")</f>
        <v/>
      </c>
      <c r="J1240" s="8" t="str">
        <f>IFERROR(VLOOKUP(F1240,tecnica!A:B,2,0),"")</f>
        <v/>
      </c>
      <c r="K1240" s="8" t="str">
        <f>IFERROR(VLOOKUP(J1240,tecnica!B:C,2,0),"")</f>
        <v/>
      </c>
      <c r="L1240" s="13"/>
      <c r="M1240" s="14" t="str">
        <f>IFERROR(VLOOKUP(I1240,material!A:D,4,0),"")</f>
        <v/>
      </c>
      <c r="N1240" s="14" t="str">
        <f t="shared" si="1"/>
        <v/>
      </c>
      <c r="O1240" s="15" t="str">
        <f>IFERROR(VLOOKUP(I1240,material!A:D,2,0),"")</f>
        <v/>
      </c>
    </row>
    <row r="1241">
      <c r="A1241" s="6"/>
      <c r="B1241" s="7"/>
      <c r="C1241" s="8" t="str">
        <f t="array" ref="C1241">IFERROR(INDEX(atlas!H:H,MATCH(A1241,atlas!C:C,0)),"")</f>
        <v/>
      </c>
      <c r="D1241" s="8" t="str">
        <f t="array" ref="D1241">IFERROR(INDEX(atlas!D:D,MATCH(A1241,atlas!C:C,0)),"")</f>
        <v/>
      </c>
      <c r="E1241" s="8" t="str">
        <f t="array" ref="E1241">IFERROR(INDEX(atlas!F:F,MATCH(A1241,atlas!C:C,0)),"")</f>
        <v/>
      </c>
      <c r="F1241" s="9"/>
      <c r="G1241" s="10"/>
      <c r="H1241" s="11"/>
      <c r="I1241" s="12" t="str">
        <f t="array" ref="I1241">IFERROR(INDEX(atlas!B:B,MATCH(A1241,atlas!C:C,0)),"")</f>
        <v/>
      </c>
      <c r="J1241" s="8" t="str">
        <f>IFERROR(VLOOKUP(F1241,tecnica!A:B,2,0),"")</f>
        <v/>
      </c>
      <c r="K1241" s="8" t="str">
        <f>IFERROR(VLOOKUP(J1241,tecnica!B:C,2,0),"")</f>
        <v/>
      </c>
      <c r="L1241" s="13"/>
      <c r="M1241" s="14" t="str">
        <f>IFERROR(VLOOKUP(I1241,material!A:D,4,0),"")</f>
        <v/>
      </c>
      <c r="N1241" s="14" t="str">
        <f t="shared" si="1"/>
        <v/>
      </c>
      <c r="O1241" s="15" t="str">
        <f>IFERROR(VLOOKUP(I1241,material!A:D,2,0),"")</f>
        <v/>
      </c>
    </row>
    <row r="1242">
      <c r="A1242" s="6"/>
      <c r="B1242" s="7"/>
      <c r="C1242" s="8" t="str">
        <f t="array" ref="C1242">IFERROR(INDEX(atlas!H:H,MATCH(A1242,atlas!C:C,0)),"")</f>
        <v/>
      </c>
      <c r="D1242" s="8" t="str">
        <f t="array" ref="D1242">IFERROR(INDEX(atlas!D:D,MATCH(A1242,atlas!C:C,0)),"")</f>
        <v/>
      </c>
      <c r="E1242" s="8" t="str">
        <f t="array" ref="E1242">IFERROR(INDEX(atlas!F:F,MATCH(A1242,atlas!C:C,0)),"")</f>
        <v/>
      </c>
      <c r="F1242" s="9"/>
      <c r="G1242" s="10"/>
      <c r="H1242" s="11"/>
      <c r="I1242" s="12" t="str">
        <f t="array" ref="I1242">IFERROR(INDEX(atlas!B:B,MATCH(A1242,atlas!C:C,0)),"")</f>
        <v/>
      </c>
      <c r="J1242" s="8" t="str">
        <f>IFERROR(VLOOKUP(F1242,tecnica!A:B,2,0),"")</f>
        <v/>
      </c>
      <c r="K1242" s="8" t="str">
        <f>IFERROR(VLOOKUP(J1242,tecnica!B:C,2,0),"")</f>
        <v/>
      </c>
      <c r="L1242" s="13"/>
      <c r="M1242" s="14" t="str">
        <f>IFERROR(VLOOKUP(I1242,material!A:D,4,0),"")</f>
        <v/>
      </c>
      <c r="N1242" s="14" t="str">
        <f t="shared" si="1"/>
        <v/>
      </c>
      <c r="O1242" s="15" t="str">
        <f>IFERROR(VLOOKUP(I1242,material!A:D,2,0),"")</f>
        <v/>
      </c>
    </row>
    <row r="1243">
      <c r="A1243" s="6"/>
      <c r="B1243" s="7"/>
      <c r="C1243" s="8" t="str">
        <f t="array" ref="C1243">IFERROR(INDEX(atlas!H:H,MATCH(A1243,atlas!C:C,0)),"")</f>
        <v/>
      </c>
      <c r="D1243" s="8" t="str">
        <f t="array" ref="D1243">IFERROR(INDEX(atlas!D:D,MATCH(A1243,atlas!C:C,0)),"")</f>
        <v/>
      </c>
      <c r="E1243" s="8" t="str">
        <f t="array" ref="E1243">IFERROR(INDEX(atlas!F:F,MATCH(A1243,atlas!C:C,0)),"")</f>
        <v/>
      </c>
      <c r="F1243" s="9"/>
      <c r="G1243" s="10"/>
      <c r="H1243" s="11"/>
      <c r="I1243" s="12" t="str">
        <f t="array" ref="I1243">IFERROR(INDEX(atlas!B:B,MATCH(A1243,atlas!C:C,0)),"")</f>
        <v/>
      </c>
      <c r="J1243" s="8" t="str">
        <f>IFERROR(VLOOKUP(F1243,tecnica!A:B,2,0),"")</f>
        <v/>
      </c>
      <c r="K1243" s="8" t="str">
        <f>IFERROR(VLOOKUP(J1243,tecnica!B:C,2,0),"")</f>
        <v/>
      </c>
      <c r="L1243" s="13"/>
      <c r="M1243" s="14" t="str">
        <f>IFERROR(VLOOKUP(I1243,material!A:D,4,0),"")</f>
        <v/>
      </c>
      <c r="N1243" s="14" t="str">
        <f t="shared" si="1"/>
        <v/>
      </c>
      <c r="O1243" s="15" t="str">
        <f>IFERROR(VLOOKUP(I1243,material!A:D,2,0),"")</f>
        <v/>
      </c>
    </row>
    <row r="1244">
      <c r="A1244" s="6"/>
      <c r="B1244" s="7"/>
      <c r="C1244" s="8" t="str">
        <f t="array" ref="C1244">IFERROR(INDEX(atlas!H:H,MATCH(A1244,atlas!C:C,0)),"")</f>
        <v/>
      </c>
      <c r="D1244" s="8" t="str">
        <f t="array" ref="D1244">IFERROR(INDEX(atlas!D:D,MATCH(A1244,atlas!C:C,0)),"")</f>
        <v/>
      </c>
      <c r="E1244" s="8" t="str">
        <f t="array" ref="E1244">IFERROR(INDEX(atlas!F:F,MATCH(A1244,atlas!C:C,0)),"")</f>
        <v/>
      </c>
      <c r="F1244" s="9"/>
      <c r="G1244" s="10"/>
      <c r="H1244" s="11"/>
      <c r="I1244" s="12" t="str">
        <f t="array" ref="I1244">IFERROR(INDEX(atlas!B:B,MATCH(A1244,atlas!C:C,0)),"")</f>
        <v/>
      </c>
      <c r="J1244" s="8" t="str">
        <f>IFERROR(VLOOKUP(F1244,tecnica!A:B,2,0),"")</f>
        <v/>
      </c>
      <c r="K1244" s="8" t="str">
        <f>IFERROR(VLOOKUP(J1244,tecnica!B:C,2,0),"")</f>
        <v/>
      </c>
      <c r="L1244" s="13"/>
      <c r="M1244" s="14" t="str">
        <f>IFERROR(VLOOKUP(I1244,material!A:D,4,0),"")</f>
        <v/>
      </c>
      <c r="N1244" s="14" t="str">
        <f t="shared" si="1"/>
        <v/>
      </c>
      <c r="O1244" s="15" t="str">
        <f>IFERROR(VLOOKUP(I1244,material!A:D,2,0),"")</f>
        <v/>
      </c>
    </row>
    <row r="1245">
      <c r="A1245" s="6"/>
      <c r="B1245" s="7"/>
      <c r="C1245" s="8" t="str">
        <f t="array" ref="C1245">IFERROR(INDEX(atlas!H:H,MATCH(A1245,atlas!C:C,0)),"")</f>
        <v/>
      </c>
      <c r="D1245" s="8" t="str">
        <f t="array" ref="D1245">IFERROR(INDEX(atlas!D:D,MATCH(A1245,atlas!C:C,0)),"")</f>
        <v/>
      </c>
      <c r="E1245" s="8" t="str">
        <f t="array" ref="E1245">IFERROR(INDEX(atlas!F:F,MATCH(A1245,atlas!C:C,0)),"")</f>
        <v/>
      </c>
      <c r="F1245" s="9"/>
      <c r="G1245" s="10"/>
      <c r="H1245" s="11"/>
      <c r="I1245" s="12" t="str">
        <f t="array" ref="I1245">IFERROR(INDEX(atlas!B:B,MATCH(A1245,atlas!C:C,0)),"")</f>
        <v/>
      </c>
      <c r="J1245" s="8" t="str">
        <f>IFERROR(VLOOKUP(F1245,tecnica!A:B,2,0),"")</f>
        <v/>
      </c>
      <c r="K1245" s="8" t="str">
        <f>IFERROR(VLOOKUP(J1245,tecnica!B:C,2,0),"")</f>
        <v/>
      </c>
      <c r="L1245" s="13"/>
      <c r="M1245" s="14" t="str">
        <f>IFERROR(VLOOKUP(I1245,material!A:D,4,0),"")</f>
        <v/>
      </c>
      <c r="N1245" s="14" t="str">
        <f t="shared" si="1"/>
        <v/>
      </c>
      <c r="O1245" s="15" t="str">
        <f>IFERROR(VLOOKUP(I1245,material!A:D,2,0),"")</f>
        <v/>
      </c>
    </row>
    <row r="1246">
      <c r="A1246" s="6"/>
      <c r="B1246" s="7"/>
      <c r="C1246" s="8" t="str">
        <f t="array" ref="C1246">IFERROR(INDEX(atlas!H:H,MATCH(A1246,atlas!C:C,0)),"")</f>
        <v/>
      </c>
      <c r="D1246" s="8" t="str">
        <f t="array" ref="D1246">IFERROR(INDEX(atlas!D:D,MATCH(A1246,atlas!C:C,0)),"")</f>
        <v/>
      </c>
      <c r="E1246" s="8" t="str">
        <f t="array" ref="E1246">IFERROR(INDEX(atlas!F:F,MATCH(A1246,atlas!C:C,0)),"")</f>
        <v/>
      </c>
      <c r="F1246" s="9"/>
      <c r="G1246" s="10"/>
      <c r="H1246" s="11"/>
      <c r="I1246" s="12" t="str">
        <f t="array" ref="I1246">IFERROR(INDEX(atlas!B:B,MATCH(A1246,atlas!C:C,0)),"")</f>
        <v/>
      </c>
      <c r="J1246" s="8" t="str">
        <f>IFERROR(VLOOKUP(F1246,tecnica!A:B,2,0),"")</f>
        <v/>
      </c>
      <c r="K1246" s="8" t="str">
        <f>IFERROR(VLOOKUP(J1246,tecnica!B:C,2,0),"")</f>
        <v/>
      </c>
      <c r="L1246" s="13"/>
      <c r="M1246" s="14" t="str">
        <f>IFERROR(VLOOKUP(I1246,material!A:D,4,0),"")</f>
        <v/>
      </c>
      <c r="N1246" s="14" t="str">
        <f t="shared" si="1"/>
        <v/>
      </c>
      <c r="O1246" s="15" t="str">
        <f>IFERROR(VLOOKUP(I1246,material!A:D,2,0),"")</f>
        <v/>
      </c>
    </row>
    <row r="1247">
      <c r="A1247" s="6"/>
      <c r="B1247" s="7"/>
      <c r="C1247" s="8" t="str">
        <f t="array" ref="C1247">IFERROR(INDEX(atlas!H:H,MATCH(A1247,atlas!C:C,0)),"")</f>
        <v/>
      </c>
      <c r="D1247" s="8" t="str">
        <f t="array" ref="D1247">IFERROR(INDEX(atlas!D:D,MATCH(A1247,atlas!C:C,0)),"")</f>
        <v/>
      </c>
      <c r="E1247" s="8" t="str">
        <f t="array" ref="E1247">IFERROR(INDEX(atlas!F:F,MATCH(A1247,atlas!C:C,0)),"")</f>
        <v/>
      </c>
      <c r="F1247" s="9"/>
      <c r="G1247" s="10"/>
      <c r="H1247" s="11"/>
      <c r="I1247" s="12" t="str">
        <f t="array" ref="I1247">IFERROR(INDEX(atlas!B:B,MATCH(A1247,atlas!C:C,0)),"")</f>
        <v/>
      </c>
      <c r="J1247" s="8" t="str">
        <f>IFERROR(VLOOKUP(F1247,tecnica!A:B,2,0),"")</f>
        <v/>
      </c>
      <c r="K1247" s="8" t="str">
        <f>IFERROR(VLOOKUP(J1247,tecnica!B:C,2,0),"")</f>
        <v/>
      </c>
      <c r="L1247" s="13"/>
      <c r="M1247" s="14" t="str">
        <f>IFERROR(VLOOKUP(I1247,material!A:D,4,0),"")</f>
        <v/>
      </c>
      <c r="N1247" s="14" t="str">
        <f t="shared" si="1"/>
        <v/>
      </c>
      <c r="O1247" s="15" t="str">
        <f>IFERROR(VLOOKUP(I1247,material!A:D,2,0),"")</f>
        <v/>
      </c>
    </row>
    <row r="1248">
      <c r="A1248" s="6"/>
      <c r="B1248" s="7"/>
      <c r="C1248" s="8" t="str">
        <f t="array" ref="C1248">IFERROR(INDEX(atlas!H:H,MATCH(A1248,atlas!C:C,0)),"")</f>
        <v/>
      </c>
      <c r="D1248" s="8" t="str">
        <f t="array" ref="D1248">IFERROR(INDEX(atlas!D:D,MATCH(A1248,atlas!C:C,0)),"")</f>
        <v/>
      </c>
      <c r="E1248" s="8" t="str">
        <f t="array" ref="E1248">IFERROR(INDEX(atlas!F:F,MATCH(A1248,atlas!C:C,0)),"")</f>
        <v/>
      </c>
      <c r="F1248" s="9"/>
      <c r="G1248" s="10"/>
      <c r="H1248" s="11"/>
      <c r="I1248" s="12" t="str">
        <f t="array" ref="I1248">IFERROR(INDEX(atlas!B:B,MATCH(A1248,atlas!C:C,0)),"")</f>
        <v/>
      </c>
      <c r="J1248" s="8" t="str">
        <f>IFERROR(VLOOKUP(F1248,tecnica!A:B,2,0),"")</f>
        <v/>
      </c>
      <c r="K1248" s="8" t="str">
        <f>IFERROR(VLOOKUP(J1248,tecnica!B:C,2,0),"")</f>
        <v/>
      </c>
      <c r="L1248" s="13"/>
      <c r="M1248" s="14" t="str">
        <f>IFERROR(VLOOKUP(I1248,material!A:D,4,0),"")</f>
        <v/>
      </c>
      <c r="N1248" s="14" t="str">
        <f t="shared" si="1"/>
        <v/>
      </c>
      <c r="O1248" s="15" t="str">
        <f>IFERROR(VLOOKUP(I1248,material!A:D,2,0),"")</f>
        <v/>
      </c>
    </row>
    <row r="1249">
      <c r="A1249" s="6"/>
      <c r="B1249" s="7"/>
      <c r="C1249" s="8" t="str">
        <f t="array" ref="C1249">IFERROR(INDEX(atlas!H:H,MATCH(A1249,atlas!C:C,0)),"")</f>
        <v/>
      </c>
      <c r="D1249" s="8" t="str">
        <f t="array" ref="D1249">IFERROR(INDEX(atlas!D:D,MATCH(A1249,atlas!C:C,0)),"")</f>
        <v/>
      </c>
      <c r="E1249" s="8" t="str">
        <f t="array" ref="E1249">IFERROR(INDEX(atlas!F:F,MATCH(A1249,atlas!C:C,0)),"")</f>
        <v/>
      </c>
      <c r="F1249" s="9"/>
      <c r="G1249" s="10"/>
      <c r="H1249" s="11"/>
      <c r="I1249" s="12" t="str">
        <f t="array" ref="I1249">IFERROR(INDEX(atlas!B:B,MATCH(A1249,atlas!C:C,0)),"")</f>
        <v/>
      </c>
      <c r="J1249" s="8" t="str">
        <f>IFERROR(VLOOKUP(F1249,tecnica!A:B,2,0),"")</f>
        <v/>
      </c>
      <c r="K1249" s="8" t="str">
        <f>IFERROR(VLOOKUP(J1249,tecnica!B:C,2,0),"")</f>
        <v/>
      </c>
      <c r="L1249" s="13"/>
      <c r="M1249" s="14" t="str">
        <f>IFERROR(VLOOKUP(I1249,material!A:D,4,0),"")</f>
        <v/>
      </c>
      <c r="N1249" s="14" t="str">
        <f t="shared" si="1"/>
        <v/>
      </c>
      <c r="O1249" s="15" t="str">
        <f>IFERROR(VLOOKUP(I1249,material!A:D,2,0),"")</f>
        <v/>
      </c>
    </row>
    <row r="1250">
      <c r="A1250" s="6"/>
      <c r="B1250" s="7"/>
      <c r="C1250" s="8" t="str">
        <f t="array" ref="C1250">IFERROR(INDEX(atlas!H:H,MATCH(A1250,atlas!C:C,0)),"")</f>
        <v/>
      </c>
      <c r="D1250" s="8" t="str">
        <f t="array" ref="D1250">IFERROR(INDEX(atlas!D:D,MATCH(A1250,atlas!C:C,0)),"")</f>
        <v/>
      </c>
      <c r="E1250" s="8" t="str">
        <f t="array" ref="E1250">IFERROR(INDEX(atlas!F:F,MATCH(A1250,atlas!C:C,0)),"")</f>
        <v/>
      </c>
      <c r="F1250" s="9"/>
      <c r="G1250" s="10"/>
      <c r="H1250" s="11"/>
      <c r="I1250" s="12" t="str">
        <f t="array" ref="I1250">IFERROR(INDEX(atlas!B:B,MATCH(A1250,atlas!C:C,0)),"")</f>
        <v/>
      </c>
      <c r="J1250" s="8" t="str">
        <f>IFERROR(VLOOKUP(F1250,tecnica!A:B,2,0),"")</f>
        <v/>
      </c>
      <c r="K1250" s="8" t="str">
        <f>IFERROR(VLOOKUP(J1250,tecnica!B:C,2,0),"")</f>
        <v/>
      </c>
      <c r="L1250" s="13"/>
      <c r="M1250" s="14" t="str">
        <f>IFERROR(VLOOKUP(I1250,material!A:D,4,0),"")</f>
        <v/>
      </c>
      <c r="N1250" s="14" t="str">
        <f t="shared" si="1"/>
        <v/>
      </c>
      <c r="O1250" s="15" t="str">
        <f>IFERROR(VLOOKUP(I1250,material!A:D,2,0),"")</f>
        <v/>
      </c>
    </row>
    <row r="1251">
      <c r="A1251" s="6"/>
      <c r="B1251" s="7"/>
      <c r="C1251" s="8" t="str">
        <f t="array" ref="C1251">IFERROR(INDEX(atlas!H:H,MATCH(A1251,atlas!C:C,0)),"")</f>
        <v/>
      </c>
      <c r="D1251" s="8" t="str">
        <f t="array" ref="D1251">IFERROR(INDEX(atlas!D:D,MATCH(A1251,atlas!C:C,0)),"")</f>
        <v/>
      </c>
      <c r="E1251" s="8" t="str">
        <f t="array" ref="E1251">IFERROR(INDEX(atlas!F:F,MATCH(A1251,atlas!C:C,0)),"")</f>
        <v/>
      </c>
      <c r="F1251" s="9"/>
      <c r="G1251" s="10"/>
      <c r="H1251" s="11"/>
      <c r="I1251" s="12" t="str">
        <f t="array" ref="I1251">IFERROR(INDEX(atlas!B:B,MATCH(A1251,atlas!C:C,0)),"")</f>
        <v/>
      </c>
      <c r="J1251" s="8" t="str">
        <f>IFERROR(VLOOKUP(F1251,tecnica!A:B,2,0),"")</f>
        <v/>
      </c>
      <c r="K1251" s="8" t="str">
        <f>IFERROR(VLOOKUP(J1251,tecnica!B:C,2,0),"")</f>
        <v/>
      </c>
      <c r="L1251" s="13"/>
      <c r="M1251" s="14" t="str">
        <f>IFERROR(VLOOKUP(I1251,material!A:D,4,0),"")</f>
        <v/>
      </c>
      <c r="N1251" s="14" t="str">
        <f t="shared" si="1"/>
        <v/>
      </c>
      <c r="O1251" s="15" t="str">
        <f>IFERROR(VLOOKUP(I1251,material!A:D,2,0),"")</f>
        <v/>
      </c>
    </row>
    <row r="1252">
      <c r="A1252" s="6"/>
      <c r="B1252" s="7"/>
      <c r="C1252" s="8" t="str">
        <f t="array" ref="C1252">IFERROR(INDEX(atlas!H:H,MATCH(A1252,atlas!C:C,0)),"")</f>
        <v/>
      </c>
      <c r="D1252" s="8" t="str">
        <f t="array" ref="D1252">IFERROR(INDEX(atlas!D:D,MATCH(A1252,atlas!C:C,0)),"")</f>
        <v/>
      </c>
      <c r="E1252" s="8" t="str">
        <f t="array" ref="E1252">IFERROR(INDEX(atlas!F:F,MATCH(A1252,atlas!C:C,0)),"")</f>
        <v/>
      </c>
      <c r="F1252" s="9"/>
      <c r="G1252" s="10"/>
      <c r="H1252" s="11"/>
      <c r="I1252" s="12" t="str">
        <f t="array" ref="I1252">IFERROR(INDEX(atlas!B:B,MATCH(A1252,atlas!C:C,0)),"")</f>
        <v/>
      </c>
      <c r="J1252" s="8" t="str">
        <f>IFERROR(VLOOKUP(F1252,tecnica!A:B,2,0),"")</f>
        <v/>
      </c>
      <c r="K1252" s="8" t="str">
        <f>IFERROR(VLOOKUP(J1252,tecnica!B:C,2,0),"")</f>
        <v/>
      </c>
      <c r="L1252" s="13"/>
      <c r="M1252" s="14" t="str">
        <f>IFERROR(VLOOKUP(I1252,material!A:D,4,0),"")</f>
        <v/>
      </c>
      <c r="N1252" s="14" t="str">
        <f t="shared" si="1"/>
        <v/>
      </c>
      <c r="O1252" s="15" t="str">
        <f>IFERROR(VLOOKUP(I1252,material!A:D,2,0),"")</f>
        <v/>
      </c>
    </row>
    <row r="1253">
      <c r="A1253" s="6"/>
      <c r="B1253" s="7"/>
      <c r="C1253" s="8" t="str">
        <f t="array" ref="C1253">IFERROR(INDEX(atlas!H:H,MATCH(A1253,atlas!C:C,0)),"")</f>
        <v/>
      </c>
      <c r="D1253" s="8" t="str">
        <f t="array" ref="D1253">IFERROR(INDEX(atlas!D:D,MATCH(A1253,atlas!C:C,0)),"")</f>
        <v/>
      </c>
      <c r="E1253" s="8" t="str">
        <f t="array" ref="E1253">IFERROR(INDEX(atlas!F:F,MATCH(A1253,atlas!C:C,0)),"")</f>
        <v/>
      </c>
      <c r="F1253" s="9"/>
      <c r="G1253" s="10"/>
      <c r="H1253" s="11"/>
      <c r="I1253" s="12" t="str">
        <f t="array" ref="I1253">IFERROR(INDEX(atlas!B:B,MATCH(A1253,atlas!C:C,0)),"")</f>
        <v/>
      </c>
      <c r="J1253" s="8" t="str">
        <f>IFERROR(VLOOKUP(F1253,tecnica!A:B,2,0),"")</f>
        <v/>
      </c>
      <c r="K1253" s="8" t="str">
        <f>IFERROR(VLOOKUP(J1253,tecnica!B:C,2,0),"")</f>
        <v/>
      </c>
      <c r="L1253" s="13"/>
      <c r="M1253" s="14" t="str">
        <f>IFERROR(VLOOKUP(I1253,material!A:D,4,0),"")</f>
        <v/>
      </c>
      <c r="N1253" s="14" t="str">
        <f t="shared" si="1"/>
        <v/>
      </c>
      <c r="O1253" s="15" t="str">
        <f>IFERROR(VLOOKUP(I1253,material!A:D,2,0),"")</f>
        <v/>
      </c>
    </row>
    <row r="1254">
      <c r="A1254" s="6"/>
      <c r="B1254" s="7"/>
      <c r="C1254" s="8" t="str">
        <f t="array" ref="C1254">IFERROR(INDEX(atlas!H:H,MATCH(A1254,atlas!C:C,0)),"")</f>
        <v/>
      </c>
      <c r="D1254" s="8" t="str">
        <f t="array" ref="D1254">IFERROR(INDEX(atlas!D:D,MATCH(A1254,atlas!C:C,0)),"")</f>
        <v/>
      </c>
      <c r="E1254" s="8" t="str">
        <f t="array" ref="E1254">IFERROR(INDEX(atlas!F:F,MATCH(A1254,atlas!C:C,0)),"")</f>
        <v/>
      </c>
      <c r="F1254" s="9"/>
      <c r="G1254" s="10"/>
      <c r="H1254" s="11"/>
      <c r="I1254" s="12" t="str">
        <f t="array" ref="I1254">IFERROR(INDEX(atlas!B:B,MATCH(A1254,atlas!C:C,0)),"")</f>
        <v/>
      </c>
      <c r="J1254" s="8" t="str">
        <f>IFERROR(VLOOKUP(F1254,tecnica!A:B,2,0),"")</f>
        <v/>
      </c>
      <c r="K1254" s="8" t="str">
        <f>IFERROR(VLOOKUP(J1254,tecnica!B:C,2,0),"")</f>
        <v/>
      </c>
      <c r="L1254" s="13"/>
      <c r="M1254" s="14" t="str">
        <f>IFERROR(VLOOKUP(I1254,material!A:D,4,0),"")</f>
        <v/>
      </c>
      <c r="N1254" s="14" t="str">
        <f t="shared" si="1"/>
        <v/>
      </c>
      <c r="O1254" s="15" t="str">
        <f>IFERROR(VLOOKUP(I1254,material!A:D,2,0),"")</f>
        <v/>
      </c>
    </row>
    <row r="1255">
      <c r="A1255" s="6"/>
      <c r="B1255" s="7"/>
      <c r="C1255" s="8" t="str">
        <f t="array" ref="C1255">IFERROR(INDEX(atlas!H:H,MATCH(A1255,atlas!C:C,0)),"")</f>
        <v/>
      </c>
      <c r="D1255" s="8" t="str">
        <f t="array" ref="D1255">IFERROR(INDEX(atlas!D:D,MATCH(A1255,atlas!C:C,0)),"")</f>
        <v/>
      </c>
      <c r="E1255" s="8" t="str">
        <f t="array" ref="E1255">IFERROR(INDEX(atlas!F:F,MATCH(A1255,atlas!C:C,0)),"")</f>
        <v/>
      </c>
      <c r="F1255" s="9"/>
      <c r="G1255" s="10"/>
      <c r="H1255" s="11"/>
      <c r="I1255" s="12" t="str">
        <f t="array" ref="I1255">IFERROR(INDEX(atlas!B:B,MATCH(A1255,atlas!C:C,0)),"")</f>
        <v/>
      </c>
      <c r="J1255" s="8" t="str">
        <f>IFERROR(VLOOKUP(F1255,tecnica!A:B,2,0),"")</f>
        <v/>
      </c>
      <c r="K1255" s="8" t="str">
        <f>IFERROR(VLOOKUP(J1255,tecnica!B:C,2,0),"")</f>
        <v/>
      </c>
      <c r="L1255" s="13"/>
      <c r="M1255" s="14" t="str">
        <f>IFERROR(VLOOKUP(I1255,material!A:D,4,0),"")</f>
        <v/>
      </c>
      <c r="N1255" s="14" t="str">
        <f t="shared" si="1"/>
        <v/>
      </c>
      <c r="O1255" s="15" t="str">
        <f>IFERROR(VLOOKUP(I1255,material!A:D,2,0),"")</f>
        <v/>
      </c>
    </row>
    <row r="1256">
      <c r="A1256" s="6"/>
      <c r="B1256" s="7"/>
      <c r="C1256" s="8" t="str">
        <f t="array" ref="C1256">IFERROR(INDEX(atlas!H:H,MATCH(A1256,atlas!C:C,0)),"")</f>
        <v/>
      </c>
      <c r="D1256" s="8" t="str">
        <f t="array" ref="D1256">IFERROR(INDEX(atlas!D:D,MATCH(A1256,atlas!C:C,0)),"")</f>
        <v/>
      </c>
      <c r="E1256" s="8" t="str">
        <f t="array" ref="E1256">IFERROR(INDEX(atlas!F:F,MATCH(A1256,atlas!C:C,0)),"")</f>
        <v/>
      </c>
      <c r="F1256" s="9"/>
      <c r="G1256" s="10"/>
      <c r="H1256" s="11"/>
      <c r="I1256" s="12" t="str">
        <f t="array" ref="I1256">IFERROR(INDEX(atlas!B:B,MATCH(A1256,atlas!C:C,0)),"")</f>
        <v/>
      </c>
      <c r="J1256" s="8" t="str">
        <f>IFERROR(VLOOKUP(F1256,tecnica!A:B,2,0),"")</f>
        <v/>
      </c>
      <c r="K1256" s="8" t="str">
        <f>IFERROR(VLOOKUP(J1256,tecnica!B:C,2,0),"")</f>
        <v/>
      </c>
      <c r="L1256" s="13"/>
      <c r="M1256" s="14" t="str">
        <f>IFERROR(VLOOKUP(I1256,material!A:D,4,0),"")</f>
        <v/>
      </c>
      <c r="N1256" s="14" t="str">
        <f t="shared" si="1"/>
        <v/>
      </c>
      <c r="O1256" s="15" t="str">
        <f>IFERROR(VLOOKUP(I1256,material!A:D,2,0),"")</f>
        <v/>
      </c>
    </row>
    <row r="1257">
      <c r="A1257" s="6"/>
      <c r="B1257" s="7"/>
      <c r="C1257" s="8" t="str">
        <f t="array" ref="C1257">IFERROR(INDEX(atlas!H:H,MATCH(A1257,atlas!C:C,0)),"")</f>
        <v/>
      </c>
      <c r="D1257" s="8" t="str">
        <f t="array" ref="D1257">IFERROR(INDEX(atlas!D:D,MATCH(A1257,atlas!C:C,0)),"")</f>
        <v/>
      </c>
      <c r="E1257" s="8" t="str">
        <f t="array" ref="E1257">IFERROR(INDEX(atlas!F:F,MATCH(A1257,atlas!C:C,0)),"")</f>
        <v/>
      </c>
      <c r="F1257" s="9"/>
      <c r="G1257" s="10"/>
      <c r="H1257" s="11"/>
      <c r="I1257" s="12" t="str">
        <f t="array" ref="I1257">IFERROR(INDEX(atlas!B:B,MATCH(A1257,atlas!C:C,0)),"")</f>
        <v/>
      </c>
      <c r="J1257" s="8" t="str">
        <f>IFERROR(VLOOKUP(F1257,tecnica!A:B,2,0),"")</f>
        <v/>
      </c>
      <c r="K1257" s="8" t="str">
        <f>IFERROR(VLOOKUP(J1257,tecnica!B:C,2,0),"")</f>
        <v/>
      </c>
      <c r="L1257" s="13"/>
      <c r="M1257" s="14" t="str">
        <f>IFERROR(VLOOKUP(I1257,material!A:D,4,0),"")</f>
        <v/>
      </c>
      <c r="N1257" s="14" t="str">
        <f t="shared" si="1"/>
        <v/>
      </c>
      <c r="O1257" s="15" t="str">
        <f>IFERROR(VLOOKUP(I1257,material!A:D,2,0),"")</f>
        <v/>
      </c>
    </row>
    <row r="1258">
      <c r="A1258" s="6"/>
      <c r="B1258" s="7"/>
      <c r="C1258" s="8" t="str">
        <f t="array" ref="C1258">IFERROR(INDEX(atlas!H:H,MATCH(A1258,atlas!C:C,0)),"")</f>
        <v/>
      </c>
      <c r="D1258" s="8" t="str">
        <f t="array" ref="D1258">IFERROR(INDEX(atlas!D:D,MATCH(A1258,atlas!C:C,0)),"")</f>
        <v/>
      </c>
      <c r="E1258" s="8" t="str">
        <f t="array" ref="E1258">IFERROR(INDEX(atlas!F:F,MATCH(A1258,atlas!C:C,0)),"")</f>
        <v/>
      </c>
      <c r="F1258" s="9"/>
      <c r="G1258" s="10"/>
      <c r="H1258" s="11"/>
      <c r="I1258" s="12" t="str">
        <f t="array" ref="I1258">IFERROR(INDEX(atlas!B:B,MATCH(A1258,atlas!C:C,0)),"")</f>
        <v/>
      </c>
      <c r="J1258" s="8" t="str">
        <f>IFERROR(VLOOKUP(F1258,tecnica!A:B,2,0),"")</f>
        <v/>
      </c>
      <c r="K1258" s="8" t="str">
        <f>IFERROR(VLOOKUP(J1258,tecnica!B:C,2,0),"")</f>
        <v/>
      </c>
      <c r="L1258" s="13"/>
      <c r="M1258" s="14" t="str">
        <f>IFERROR(VLOOKUP(I1258,material!A:D,4,0),"")</f>
        <v/>
      </c>
      <c r="N1258" s="14" t="str">
        <f t="shared" si="1"/>
        <v/>
      </c>
      <c r="O1258" s="15" t="str">
        <f>IFERROR(VLOOKUP(I1258,material!A:D,2,0),"")</f>
        <v/>
      </c>
    </row>
    <row r="1259">
      <c r="A1259" s="6"/>
      <c r="B1259" s="7"/>
      <c r="C1259" s="8" t="str">
        <f t="array" ref="C1259">IFERROR(INDEX(atlas!H:H,MATCH(A1259,atlas!C:C,0)),"")</f>
        <v/>
      </c>
      <c r="D1259" s="8" t="str">
        <f t="array" ref="D1259">IFERROR(INDEX(atlas!D:D,MATCH(A1259,atlas!C:C,0)),"")</f>
        <v/>
      </c>
      <c r="E1259" s="8" t="str">
        <f t="array" ref="E1259">IFERROR(INDEX(atlas!F:F,MATCH(A1259,atlas!C:C,0)),"")</f>
        <v/>
      </c>
      <c r="F1259" s="9"/>
      <c r="G1259" s="10"/>
      <c r="H1259" s="11"/>
      <c r="I1259" s="12" t="str">
        <f t="array" ref="I1259">IFERROR(INDEX(atlas!B:B,MATCH(A1259,atlas!C:C,0)),"")</f>
        <v/>
      </c>
      <c r="J1259" s="8" t="str">
        <f>IFERROR(VLOOKUP(F1259,tecnica!A:B,2,0),"")</f>
        <v/>
      </c>
      <c r="K1259" s="8" t="str">
        <f>IFERROR(VLOOKUP(J1259,tecnica!B:C,2,0),"")</f>
        <v/>
      </c>
      <c r="L1259" s="13"/>
      <c r="M1259" s="14" t="str">
        <f>IFERROR(VLOOKUP(I1259,material!A:D,4,0),"")</f>
        <v/>
      </c>
      <c r="N1259" s="14" t="str">
        <f t="shared" si="1"/>
        <v/>
      </c>
      <c r="O1259" s="15" t="str">
        <f>IFERROR(VLOOKUP(I1259,material!A:D,2,0),"")</f>
        <v/>
      </c>
    </row>
    <row r="1260">
      <c r="A1260" s="6"/>
      <c r="B1260" s="7"/>
      <c r="C1260" s="8" t="str">
        <f t="array" ref="C1260">IFERROR(INDEX(atlas!H:H,MATCH(A1260,atlas!C:C,0)),"")</f>
        <v/>
      </c>
      <c r="D1260" s="8" t="str">
        <f t="array" ref="D1260">IFERROR(INDEX(atlas!D:D,MATCH(A1260,atlas!C:C,0)),"")</f>
        <v/>
      </c>
      <c r="E1260" s="8" t="str">
        <f t="array" ref="E1260">IFERROR(INDEX(atlas!F:F,MATCH(A1260,atlas!C:C,0)),"")</f>
        <v/>
      </c>
      <c r="F1260" s="9"/>
      <c r="G1260" s="10"/>
      <c r="H1260" s="11"/>
      <c r="I1260" s="12" t="str">
        <f t="array" ref="I1260">IFERROR(INDEX(atlas!B:B,MATCH(A1260,atlas!C:C,0)),"")</f>
        <v/>
      </c>
      <c r="J1260" s="8" t="str">
        <f>IFERROR(VLOOKUP(F1260,tecnica!A:B,2,0),"")</f>
        <v/>
      </c>
      <c r="K1260" s="8" t="str">
        <f>IFERROR(VLOOKUP(J1260,tecnica!B:C,2,0),"")</f>
        <v/>
      </c>
      <c r="L1260" s="13"/>
      <c r="M1260" s="14" t="str">
        <f>IFERROR(VLOOKUP(I1260,material!A:D,4,0),"")</f>
        <v/>
      </c>
      <c r="N1260" s="14" t="str">
        <f t="shared" si="1"/>
        <v/>
      </c>
      <c r="O1260" s="15" t="str">
        <f>IFERROR(VLOOKUP(I1260,material!A:D,2,0),"")</f>
        <v/>
      </c>
    </row>
    <row r="1261">
      <c r="A1261" s="6"/>
      <c r="B1261" s="7"/>
      <c r="C1261" s="8" t="str">
        <f t="array" ref="C1261">IFERROR(INDEX(atlas!H:H,MATCH(A1261,atlas!C:C,0)),"")</f>
        <v/>
      </c>
      <c r="D1261" s="8" t="str">
        <f t="array" ref="D1261">IFERROR(INDEX(atlas!D:D,MATCH(A1261,atlas!C:C,0)),"")</f>
        <v/>
      </c>
      <c r="E1261" s="8" t="str">
        <f t="array" ref="E1261">IFERROR(INDEX(atlas!F:F,MATCH(A1261,atlas!C:C,0)),"")</f>
        <v/>
      </c>
      <c r="F1261" s="9"/>
      <c r="G1261" s="10"/>
      <c r="H1261" s="11"/>
      <c r="I1261" s="12" t="str">
        <f t="array" ref="I1261">IFERROR(INDEX(atlas!B:B,MATCH(A1261,atlas!C:C,0)),"")</f>
        <v/>
      </c>
      <c r="J1261" s="8" t="str">
        <f>IFERROR(VLOOKUP(F1261,tecnica!A:B,2,0),"")</f>
        <v/>
      </c>
      <c r="K1261" s="8" t="str">
        <f>IFERROR(VLOOKUP(J1261,tecnica!B:C,2,0),"")</f>
        <v/>
      </c>
      <c r="L1261" s="13"/>
      <c r="M1261" s="14" t="str">
        <f>IFERROR(VLOOKUP(I1261,material!A:D,4,0),"")</f>
        <v/>
      </c>
      <c r="N1261" s="14" t="str">
        <f t="shared" si="1"/>
        <v/>
      </c>
      <c r="O1261" s="15" t="str">
        <f>IFERROR(VLOOKUP(I1261,material!A:D,2,0),"")</f>
        <v/>
      </c>
    </row>
    <row r="1262">
      <c r="A1262" s="6"/>
      <c r="B1262" s="7"/>
      <c r="C1262" s="8" t="str">
        <f t="array" ref="C1262">IFERROR(INDEX(atlas!H:H,MATCH(A1262,atlas!C:C,0)),"")</f>
        <v/>
      </c>
      <c r="D1262" s="8" t="str">
        <f t="array" ref="D1262">IFERROR(INDEX(atlas!D:D,MATCH(A1262,atlas!C:C,0)),"")</f>
        <v/>
      </c>
      <c r="E1262" s="8" t="str">
        <f t="array" ref="E1262">IFERROR(INDEX(atlas!F:F,MATCH(A1262,atlas!C:C,0)),"")</f>
        <v/>
      </c>
      <c r="F1262" s="9"/>
      <c r="G1262" s="10"/>
      <c r="H1262" s="11"/>
      <c r="I1262" s="12" t="str">
        <f t="array" ref="I1262">IFERROR(INDEX(atlas!B:B,MATCH(A1262,atlas!C:C,0)),"")</f>
        <v/>
      </c>
      <c r="J1262" s="8" t="str">
        <f>IFERROR(VLOOKUP(F1262,tecnica!A:B,2,0),"")</f>
        <v/>
      </c>
      <c r="K1262" s="8" t="str">
        <f>IFERROR(VLOOKUP(J1262,tecnica!B:C,2,0),"")</f>
        <v/>
      </c>
      <c r="L1262" s="13"/>
      <c r="M1262" s="14" t="str">
        <f>IFERROR(VLOOKUP(I1262,material!A:D,4,0),"")</f>
        <v/>
      </c>
      <c r="N1262" s="14" t="str">
        <f t="shared" si="1"/>
        <v/>
      </c>
      <c r="O1262" s="15" t="str">
        <f>IFERROR(VLOOKUP(I1262,material!A:D,2,0),"")</f>
        <v/>
      </c>
    </row>
    <row r="1263">
      <c r="A1263" s="6"/>
      <c r="B1263" s="7"/>
      <c r="C1263" s="8" t="str">
        <f t="array" ref="C1263">IFERROR(INDEX(atlas!H:H,MATCH(A1263,atlas!C:C,0)),"")</f>
        <v/>
      </c>
      <c r="D1263" s="8" t="str">
        <f t="array" ref="D1263">IFERROR(INDEX(atlas!D:D,MATCH(A1263,atlas!C:C,0)),"")</f>
        <v/>
      </c>
      <c r="E1263" s="8" t="str">
        <f t="array" ref="E1263">IFERROR(INDEX(atlas!F:F,MATCH(A1263,atlas!C:C,0)),"")</f>
        <v/>
      </c>
      <c r="F1263" s="9"/>
      <c r="G1263" s="10"/>
      <c r="H1263" s="11"/>
      <c r="I1263" s="12" t="str">
        <f t="array" ref="I1263">IFERROR(INDEX(atlas!B:B,MATCH(A1263,atlas!C:C,0)),"")</f>
        <v/>
      </c>
      <c r="J1263" s="8" t="str">
        <f>IFERROR(VLOOKUP(F1263,tecnica!A:B,2,0),"")</f>
        <v/>
      </c>
      <c r="K1263" s="8" t="str">
        <f>IFERROR(VLOOKUP(J1263,tecnica!B:C,2,0),"")</f>
        <v/>
      </c>
      <c r="L1263" s="13"/>
      <c r="M1263" s="14" t="str">
        <f>IFERROR(VLOOKUP(I1263,material!A:D,4,0),"")</f>
        <v/>
      </c>
      <c r="N1263" s="14" t="str">
        <f t="shared" si="1"/>
        <v/>
      </c>
      <c r="O1263" s="15" t="str">
        <f>IFERROR(VLOOKUP(I1263,material!A:D,2,0),"")</f>
        <v/>
      </c>
    </row>
    <row r="1264">
      <c r="A1264" s="6"/>
      <c r="B1264" s="7"/>
      <c r="C1264" s="8" t="str">
        <f t="array" ref="C1264">IFERROR(INDEX(atlas!H:H,MATCH(A1264,atlas!C:C,0)),"")</f>
        <v/>
      </c>
      <c r="D1264" s="8" t="str">
        <f t="array" ref="D1264">IFERROR(INDEX(atlas!D:D,MATCH(A1264,atlas!C:C,0)),"")</f>
        <v/>
      </c>
      <c r="E1264" s="8" t="str">
        <f t="array" ref="E1264">IFERROR(INDEX(atlas!F:F,MATCH(A1264,atlas!C:C,0)),"")</f>
        <v/>
      </c>
      <c r="F1264" s="9"/>
      <c r="G1264" s="10"/>
      <c r="H1264" s="11"/>
      <c r="I1264" s="12" t="str">
        <f t="array" ref="I1264">IFERROR(INDEX(atlas!B:B,MATCH(A1264,atlas!C:C,0)),"")</f>
        <v/>
      </c>
      <c r="J1264" s="8" t="str">
        <f>IFERROR(VLOOKUP(F1264,tecnica!A:B,2,0),"")</f>
        <v/>
      </c>
      <c r="K1264" s="8" t="str">
        <f>IFERROR(VLOOKUP(J1264,tecnica!B:C,2,0),"")</f>
        <v/>
      </c>
      <c r="L1264" s="13"/>
      <c r="M1264" s="14" t="str">
        <f>IFERROR(VLOOKUP(I1264,material!A:D,4,0),"")</f>
        <v/>
      </c>
      <c r="N1264" s="14" t="str">
        <f t="shared" si="1"/>
        <v/>
      </c>
      <c r="O1264" s="15" t="str">
        <f>IFERROR(VLOOKUP(I1264,material!A:D,2,0),"")</f>
        <v/>
      </c>
    </row>
    <row r="1265">
      <c r="A1265" s="6"/>
      <c r="B1265" s="7"/>
      <c r="C1265" s="8" t="str">
        <f t="array" ref="C1265">IFERROR(INDEX(atlas!H:H,MATCH(A1265,atlas!C:C,0)),"")</f>
        <v/>
      </c>
      <c r="D1265" s="8" t="str">
        <f t="array" ref="D1265">IFERROR(INDEX(atlas!D:D,MATCH(A1265,atlas!C:C,0)),"")</f>
        <v/>
      </c>
      <c r="E1265" s="8" t="str">
        <f t="array" ref="E1265">IFERROR(INDEX(atlas!F:F,MATCH(A1265,atlas!C:C,0)),"")</f>
        <v/>
      </c>
      <c r="F1265" s="9"/>
      <c r="G1265" s="10"/>
      <c r="H1265" s="11"/>
      <c r="I1265" s="12" t="str">
        <f t="array" ref="I1265">IFERROR(INDEX(atlas!B:B,MATCH(A1265,atlas!C:C,0)),"")</f>
        <v/>
      </c>
      <c r="J1265" s="8" t="str">
        <f>IFERROR(VLOOKUP(F1265,tecnica!A:B,2,0),"")</f>
        <v/>
      </c>
      <c r="K1265" s="8" t="str">
        <f>IFERROR(VLOOKUP(J1265,tecnica!B:C,2,0),"")</f>
        <v/>
      </c>
      <c r="L1265" s="13"/>
      <c r="M1265" s="14" t="str">
        <f>IFERROR(VLOOKUP(I1265,material!A:D,4,0),"")</f>
        <v/>
      </c>
      <c r="N1265" s="14" t="str">
        <f t="shared" si="1"/>
        <v/>
      </c>
      <c r="O1265" s="15" t="str">
        <f>IFERROR(VLOOKUP(I1265,material!A:D,2,0),"")</f>
        <v/>
      </c>
    </row>
    <row r="1266">
      <c r="A1266" s="6"/>
      <c r="B1266" s="7"/>
      <c r="C1266" s="8" t="str">
        <f t="array" ref="C1266">IFERROR(INDEX(atlas!H:H,MATCH(A1266,atlas!C:C,0)),"")</f>
        <v/>
      </c>
      <c r="D1266" s="8" t="str">
        <f t="array" ref="D1266">IFERROR(INDEX(atlas!D:D,MATCH(A1266,atlas!C:C,0)),"")</f>
        <v/>
      </c>
      <c r="E1266" s="8" t="str">
        <f t="array" ref="E1266">IFERROR(INDEX(atlas!F:F,MATCH(A1266,atlas!C:C,0)),"")</f>
        <v/>
      </c>
      <c r="F1266" s="9"/>
      <c r="G1266" s="10"/>
      <c r="H1266" s="11"/>
      <c r="I1266" s="12" t="str">
        <f t="array" ref="I1266">IFERROR(INDEX(atlas!B:B,MATCH(A1266,atlas!C:C,0)),"")</f>
        <v/>
      </c>
      <c r="J1266" s="8" t="str">
        <f>IFERROR(VLOOKUP(F1266,tecnica!A:B,2,0),"")</f>
        <v/>
      </c>
      <c r="K1266" s="8" t="str">
        <f>IFERROR(VLOOKUP(J1266,tecnica!B:C,2,0),"")</f>
        <v/>
      </c>
      <c r="L1266" s="13"/>
      <c r="M1266" s="14" t="str">
        <f>IFERROR(VLOOKUP(I1266,material!A:D,4,0),"")</f>
        <v/>
      </c>
      <c r="N1266" s="14" t="str">
        <f t="shared" si="1"/>
        <v/>
      </c>
      <c r="O1266" s="15" t="str">
        <f>IFERROR(VLOOKUP(I1266,material!A:D,2,0),"")</f>
        <v/>
      </c>
    </row>
    <row r="1267">
      <c r="A1267" s="6"/>
      <c r="B1267" s="7"/>
      <c r="C1267" s="8" t="str">
        <f t="array" ref="C1267">IFERROR(INDEX(atlas!H:H,MATCH(A1267,atlas!C:C,0)),"")</f>
        <v/>
      </c>
      <c r="D1267" s="8" t="str">
        <f t="array" ref="D1267">IFERROR(INDEX(atlas!D:D,MATCH(A1267,atlas!C:C,0)),"")</f>
        <v/>
      </c>
      <c r="E1267" s="8" t="str">
        <f t="array" ref="E1267">IFERROR(INDEX(atlas!F:F,MATCH(A1267,atlas!C:C,0)),"")</f>
        <v/>
      </c>
      <c r="F1267" s="9"/>
      <c r="G1267" s="10"/>
      <c r="H1267" s="11"/>
      <c r="I1267" s="12" t="str">
        <f t="array" ref="I1267">IFERROR(INDEX(atlas!B:B,MATCH(A1267,atlas!C:C,0)),"")</f>
        <v/>
      </c>
      <c r="J1267" s="8" t="str">
        <f>IFERROR(VLOOKUP(F1267,tecnica!A:B,2,0),"")</f>
        <v/>
      </c>
      <c r="K1267" s="8" t="str">
        <f>IFERROR(VLOOKUP(J1267,tecnica!B:C,2,0),"")</f>
        <v/>
      </c>
      <c r="L1267" s="13"/>
      <c r="M1267" s="14" t="str">
        <f>IFERROR(VLOOKUP(I1267,material!A:D,4,0),"")</f>
        <v/>
      </c>
      <c r="N1267" s="14" t="str">
        <f t="shared" si="1"/>
        <v/>
      </c>
      <c r="O1267" s="15" t="str">
        <f>IFERROR(VLOOKUP(I1267,material!A:D,2,0),"")</f>
        <v/>
      </c>
    </row>
    <row r="1268">
      <c r="A1268" s="6"/>
      <c r="B1268" s="7"/>
      <c r="C1268" s="8" t="str">
        <f t="array" ref="C1268">IFERROR(INDEX(atlas!H:H,MATCH(A1268,atlas!C:C,0)),"")</f>
        <v/>
      </c>
      <c r="D1268" s="8" t="str">
        <f t="array" ref="D1268">IFERROR(INDEX(atlas!D:D,MATCH(A1268,atlas!C:C,0)),"")</f>
        <v/>
      </c>
      <c r="E1268" s="8" t="str">
        <f t="array" ref="E1268">IFERROR(INDEX(atlas!F:F,MATCH(A1268,atlas!C:C,0)),"")</f>
        <v/>
      </c>
      <c r="F1268" s="9"/>
      <c r="G1268" s="10"/>
      <c r="H1268" s="11"/>
      <c r="I1268" s="12" t="str">
        <f t="array" ref="I1268">IFERROR(INDEX(atlas!B:B,MATCH(A1268,atlas!C:C,0)),"")</f>
        <v/>
      </c>
      <c r="J1268" s="8" t="str">
        <f>IFERROR(VLOOKUP(F1268,tecnica!A:B,2,0),"")</f>
        <v/>
      </c>
      <c r="K1268" s="8" t="str">
        <f>IFERROR(VLOOKUP(J1268,tecnica!B:C,2,0),"")</f>
        <v/>
      </c>
      <c r="L1268" s="13"/>
      <c r="M1268" s="14" t="str">
        <f>IFERROR(VLOOKUP(I1268,material!A:D,4,0),"")</f>
        <v/>
      </c>
      <c r="N1268" s="14" t="str">
        <f t="shared" si="1"/>
        <v/>
      </c>
      <c r="O1268" s="15" t="str">
        <f>IFERROR(VLOOKUP(I1268,material!A:D,2,0),"")</f>
        <v/>
      </c>
    </row>
    <row r="1269">
      <c r="A1269" s="6"/>
      <c r="B1269" s="7"/>
      <c r="C1269" s="8" t="str">
        <f t="array" ref="C1269">IFERROR(INDEX(atlas!H:H,MATCH(A1269,atlas!C:C,0)),"")</f>
        <v/>
      </c>
      <c r="D1269" s="8" t="str">
        <f t="array" ref="D1269">IFERROR(INDEX(atlas!D:D,MATCH(A1269,atlas!C:C,0)),"")</f>
        <v/>
      </c>
      <c r="E1269" s="8" t="str">
        <f t="array" ref="E1269">IFERROR(INDEX(atlas!F:F,MATCH(A1269,atlas!C:C,0)),"")</f>
        <v/>
      </c>
      <c r="F1269" s="9"/>
      <c r="G1269" s="10"/>
      <c r="H1269" s="11"/>
      <c r="I1269" s="12" t="str">
        <f t="array" ref="I1269">IFERROR(INDEX(atlas!B:B,MATCH(A1269,atlas!C:C,0)),"")</f>
        <v/>
      </c>
      <c r="J1269" s="8" t="str">
        <f>IFERROR(VLOOKUP(F1269,tecnica!A:B,2,0),"")</f>
        <v/>
      </c>
      <c r="K1269" s="8" t="str">
        <f>IFERROR(VLOOKUP(J1269,tecnica!B:C,2,0),"")</f>
        <v/>
      </c>
      <c r="L1269" s="13"/>
      <c r="M1269" s="14" t="str">
        <f>IFERROR(VLOOKUP(I1269,material!A:D,4,0),"")</f>
        <v/>
      </c>
      <c r="N1269" s="14" t="str">
        <f t="shared" si="1"/>
        <v/>
      </c>
      <c r="O1269" s="15" t="str">
        <f>IFERROR(VLOOKUP(I1269,material!A:D,2,0),"")</f>
        <v/>
      </c>
    </row>
    <row r="1270">
      <c r="A1270" s="6"/>
      <c r="B1270" s="7"/>
      <c r="C1270" s="8" t="str">
        <f t="array" ref="C1270">IFERROR(INDEX(atlas!H:H,MATCH(A1270,atlas!C:C,0)),"")</f>
        <v/>
      </c>
      <c r="D1270" s="8" t="str">
        <f t="array" ref="D1270">IFERROR(INDEX(atlas!D:D,MATCH(A1270,atlas!C:C,0)),"")</f>
        <v/>
      </c>
      <c r="E1270" s="8" t="str">
        <f t="array" ref="E1270">IFERROR(INDEX(atlas!F:F,MATCH(A1270,atlas!C:C,0)),"")</f>
        <v/>
      </c>
      <c r="F1270" s="9"/>
      <c r="G1270" s="10"/>
      <c r="H1270" s="11"/>
      <c r="I1270" s="12" t="str">
        <f t="array" ref="I1270">IFERROR(INDEX(atlas!B:B,MATCH(A1270,atlas!C:C,0)),"")</f>
        <v/>
      </c>
      <c r="J1270" s="8" t="str">
        <f>IFERROR(VLOOKUP(F1270,tecnica!A:B,2,0),"")</f>
        <v/>
      </c>
      <c r="K1270" s="8" t="str">
        <f>IFERROR(VLOOKUP(J1270,tecnica!B:C,2,0),"")</f>
        <v/>
      </c>
      <c r="L1270" s="13"/>
      <c r="M1270" s="14" t="str">
        <f>IFERROR(VLOOKUP(I1270,material!A:D,4,0),"")</f>
        <v/>
      </c>
      <c r="N1270" s="14" t="str">
        <f t="shared" si="1"/>
        <v/>
      </c>
      <c r="O1270" s="15" t="str">
        <f>IFERROR(VLOOKUP(I1270,material!A:D,2,0),"")</f>
        <v/>
      </c>
    </row>
    <row r="1271">
      <c r="A1271" s="6"/>
      <c r="B1271" s="7"/>
      <c r="C1271" s="8" t="str">
        <f t="array" ref="C1271">IFERROR(INDEX(atlas!H:H,MATCH(A1271,atlas!C:C,0)),"")</f>
        <v/>
      </c>
      <c r="D1271" s="8" t="str">
        <f t="array" ref="D1271">IFERROR(INDEX(atlas!D:D,MATCH(A1271,atlas!C:C,0)),"")</f>
        <v/>
      </c>
      <c r="E1271" s="8" t="str">
        <f t="array" ref="E1271">IFERROR(INDEX(atlas!F:F,MATCH(A1271,atlas!C:C,0)),"")</f>
        <v/>
      </c>
      <c r="F1271" s="9"/>
      <c r="G1271" s="10"/>
      <c r="H1271" s="11"/>
      <c r="I1271" s="12" t="str">
        <f t="array" ref="I1271">IFERROR(INDEX(atlas!B:B,MATCH(A1271,atlas!C:C,0)),"")</f>
        <v/>
      </c>
      <c r="J1271" s="8" t="str">
        <f>IFERROR(VLOOKUP(F1271,tecnica!A:B,2,0),"")</f>
        <v/>
      </c>
      <c r="K1271" s="8" t="str">
        <f>IFERROR(VLOOKUP(J1271,tecnica!B:C,2,0),"")</f>
        <v/>
      </c>
      <c r="L1271" s="13"/>
      <c r="M1271" s="14" t="str">
        <f>IFERROR(VLOOKUP(I1271,material!A:D,4,0),"")</f>
        <v/>
      </c>
      <c r="N1271" s="14" t="str">
        <f t="shared" si="1"/>
        <v/>
      </c>
      <c r="O1271" s="15" t="str">
        <f>IFERROR(VLOOKUP(I1271,material!A:D,2,0),"")</f>
        <v/>
      </c>
    </row>
    <row r="1272">
      <c r="A1272" s="6"/>
      <c r="B1272" s="7"/>
      <c r="C1272" s="8" t="str">
        <f t="array" ref="C1272">IFERROR(INDEX(atlas!H:H,MATCH(A1272,atlas!C:C,0)),"")</f>
        <v/>
      </c>
      <c r="D1272" s="8" t="str">
        <f t="array" ref="D1272">IFERROR(INDEX(atlas!D:D,MATCH(A1272,atlas!C:C,0)),"")</f>
        <v/>
      </c>
      <c r="E1272" s="8" t="str">
        <f t="array" ref="E1272">IFERROR(INDEX(atlas!F:F,MATCH(A1272,atlas!C:C,0)),"")</f>
        <v/>
      </c>
      <c r="F1272" s="9"/>
      <c r="G1272" s="10"/>
      <c r="H1272" s="11"/>
      <c r="I1272" s="12" t="str">
        <f t="array" ref="I1272">IFERROR(INDEX(atlas!B:B,MATCH(A1272,atlas!C:C,0)),"")</f>
        <v/>
      </c>
      <c r="J1272" s="8" t="str">
        <f>IFERROR(VLOOKUP(F1272,tecnica!A:B,2,0),"")</f>
        <v/>
      </c>
      <c r="K1272" s="8" t="str">
        <f>IFERROR(VLOOKUP(J1272,tecnica!B:C,2,0),"")</f>
        <v/>
      </c>
      <c r="L1272" s="13"/>
      <c r="M1272" s="14" t="str">
        <f>IFERROR(VLOOKUP(I1272,material!A:D,4,0),"")</f>
        <v/>
      </c>
      <c r="N1272" s="14" t="str">
        <f t="shared" si="1"/>
        <v/>
      </c>
      <c r="O1272" s="15" t="str">
        <f>IFERROR(VLOOKUP(I1272,material!A:D,2,0),"")</f>
        <v/>
      </c>
    </row>
    <row r="1273">
      <c r="A1273" s="6"/>
      <c r="B1273" s="7"/>
      <c r="C1273" s="8" t="str">
        <f t="array" ref="C1273">IFERROR(INDEX(atlas!H:H,MATCH(A1273,atlas!C:C,0)),"")</f>
        <v/>
      </c>
      <c r="D1273" s="8" t="str">
        <f t="array" ref="D1273">IFERROR(INDEX(atlas!D:D,MATCH(A1273,atlas!C:C,0)),"")</f>
        <v/>
      </c>
      <c r="E1273" s="8" t="str">
        <f t="array" ref="E1273">IFERROR(INDEX(atlas!F:F,MATCH(A1273,atlas!C:C,0)),"")</f>
        <v/>
      </c>
      <c r="F1273" s="9"/>
      <c r="G1273" s="10"/>
      <c r="H1273" s="11"/>
      <c r="I1273" s="12" t="str">
        <f t="array" ref="I1273">IFERROR(INDEX(atlas!B:B,MATCH(A1273,atlas!C:C,0)),"")</f>
        <v/>
      </c>
      <c r="J1273" s="8" t="str">
        <f>IFERROR(VLOOKUP(F1273,tecnica!A:B,2,0),"")</f>
        <v/>
      </c>
      <c r="K1273" s="8" t="str">
        <f>IFERROR(VLOOKUP(J1273,tecnica!B:C,2,0),"")</f>
        <v/>
      </c>
      <c r="L1273" s="13"/>
      <c r="M1273" s="14" t="str">
        <f>IFERROR(VLOOKUP(I1273,material!A:D,4,0),"")</f>
        <v/>
      </c>
      <c r="N1273" s="14" t="str">
        <f t="shared" si="1"/>
        <v/>
      </c>
      <c r="O1273" s="15" t="str">
        <f>IFERROR(VLOOKUP(I1273,material!A:D,2,0),"")</f>
        <v/>
      </c>
    </row>
    <row r="1274">
      <c r="A1274" s="6"/>
      <c r="B1274" s="7"/>
      <c r="C1274" s="8" t="str">
        <f t="array" ref="C1274">IFERROR(INDEX(atlas!H:H,MATCH(A1274,atlas!C:C,0)),"")</f>
        <v/>
      </c>
      <c r="D1274" s="8" t="str">
        <f t="array" ref="D1274">IFERROR(INDEX(atlas!D:D,MATCH(A1274,atlas!C:C,0)),"")</f>
        <v/>
      </c>
      <c r="E1274" s="8" t="str">
        <f t="array" ref="E1274">IFERROR(INDEX(atlas!F:F,MATCH(A1274,atlas!C:C,0)),"")</f>
        <v/>
      </c>
      <c r="F1274" s="9"/>
      <c r="G1274" s="10"/>
      <c r="H1274" s="11"/>
      <c r="I1274" s="12" t="str">
        <f t="array" ref="I1274">IFERROR(INDEX(atlas!B:B,MATCH(A1274,atlas!C:C,0)),"")</f>
        <v/>
      </c>
      <c r="J1274" s="8" t="str">
        <f>IFERROR(VLOOKUP(F1274,tecnica!A:B,2,0),"")</f>
        <v/>
      </c>
      <c r="K1274" s="8" t="str">
        <f>IFERROR(VLOOKUP(J1274,tecnica!B:C,2,0),"")</f>
        <v/>
      </c>
      <c r="L1274" s="13"/>
      <c r="M1274" s="14" t="str">
        <f>IFERROR(VLOOKUP(I1274,material!A:D,4,0),"")</f>
        <v/>
      </c>
      <c r="N1274" s="14" t="str">
        <f t="shared" si="1"/>
        <v/>
      </c>
      <c r="O1274" s="15" t="str">
        <f>IFERROR(VLOOKUP(I1274,material!A:D,2,0),"")</f>
        <v/>
      </c>
    </row>
    <row r="1275">
      <c r="A1275" s="6"/>
      <c r="B1275" s="7"/>
      <c r="C1275" s="8" t="str">
        <f t="array" ref="C1275">IFERROR(INDEX(atlas!H:H,MATCH(A1275,atlas!C:C,0)),"")</f>
        <v/>
      </c>
      <c r="D1275" s="8" t="str">
        <f t="array" ref="D1275">IFERROR(INDEX(atlas!D:D,MATCH(A1275,atlas!C:C,0)),"")</f>
        <v/>
      </c>
      <c r="E1275" s="8" t="str">
        <f t="array" ref="E1275">IFERROR(INDEX(atlas!F:F,MATCH(A1275,atlas!C:C,0)),"")</f>
        <v/>
      </c>
      <c r="F1275" s="9"/>
      <c r="G1275" s="10"/>
      <c r="H1275" s="11"/>
      <c r="I1275" s="12" t="str">
        <f t="array" ref="I1275">IFERROR(INDEX(atlas!B:B,MATCH(A1275,atlas!C:C,0)),"")</f>
        <v/>
      </c>
      <c r="J1275" s="8" t="str">
        <f>IFERROR(VLOOKUP(F1275,tecnica!A:B,2,0),"")</f>
        <v/>
      </c>
      <c r="K1275" s="8" t="str">
        <f>IFERROR(VLOOKUP(J1275,tecnica!B:C,2,0),"")</f>
        <v/>
      </c>
      <c r="L1275" s="13"/>
      <c r="M1275" s="14" t="str">
        <f>IFERROR(VLOOKUP(I1275,material!A:D,4,0),"")</f>
        <v/>
      </c>
      <c r="N1275" s="14" t="str">
        <f t="shared" si="1"/>
        <v/>
      </c>
      <c r="O1275" s="15" t="str">
        <f>IFERROR(VLOOKUP(I1275,material!A:D,2,0),"")</f>
        <v/>
      </c>
    </row>
    <row r="1276">
      <c r="A1276" s="6"/>
      <c r="B1276" s="7"/>
      <c r="C1276" s="8" t="str">
        <f t="array" ref="C1276">IFERROR(INDEX(atlas!H:H,MATCH(A1276,atlas!C:C,0)),"")</f>
        <v/>
      </c>
      <c r="D1276" s="8" t="str">
        <f t="array" ref="D1276">IFERROR(INDEX(atlas!D:D,MATCH(A1276,atlas!C:C,0)),"")</f>
        <v/>
      </c>
      <c r="E1276" s="8" t="str">
        <f t="array" ref="E1276">IFERROR(INDEX(atlas!F:F,MATCH(A1276,atlas!C:C,0)),"")</f>
        <v/>
      </c>
      <c r="F1276" s="9"/>
      <c r="G1276" s="10"/>
      <c r="H1276" s="11"/>
      <c r="I1276" s="12" t="str">
        <f t="array" ref="I1276">IFERROR(INDEX(atlas!B:B,MATCH(A1276,atlas!C:C,0)),"")</f>
        <v/>
      </c>
      <c r="J1276" s="8" t="str">
        <f>IFERROR(VLOOKUP(F1276,tecnica!A:B,2,0),"")</f>
        <v/>
      </c>
      <c r="K1276" s="8" t="str">
        <f>IFERROR(VLOOKUP(J1276,tecnica!B:C,2,0),"")</f>
        <v/>
      </c>
      <c r="L1276" s="13"/>
      <c r="M1276" s="14" t="str">
        <f>IFERROR(VLOOKUP(I1276,material!A:D,4,0),"")</f>
        <v/>
      </c>
      <c r="N1276" s="14" t="str">
        <f t="shared" si="1"/>
        <v/>
      </c>
      <c r="O1276" s="15" t="str">
        <f>IFERROR(VLOOKUP(I1276,material!A:D,2,0),"")</f>
        <v/>
      </c>
    </row>
    <row r="1277">
      <c r="A1277" s="6"/>
      <c r="B1277" s="7"/>
      <c r="C1277" s="8" t="str">
        <f t="array" ref="C1277">IFERROR(INDEX(atlas!H:H,MATCH(A1277,atlas!C:C,0)),"")</f>
        <v/>
      </c>
      <c r="D1277" s="8" t="str">
        <f t="array" ref="D1277">IFERROR(INDEX(atlas!D:D,MATCH(A1277,atlas!C:C,0)),"")</f>
        <v/>
      </c>
      <c r="E1277" s="8" t="str">
        <f t="array" ref="E1277">IFERROR(INDEX(atlas!F:F,MATCH(A1277,atlas!C:C,0)),"")</f>
        <v/>
      </c>
      <c r="F1277" s="9"/>
      <c r="G1277" s="10"/>
      <c r="H1277" s="11"/>
      <c r="I1277" s="12" t="str">
        <f t="array" ref="I1277">IFERROR(INDEX(atlas!B:B,MATCH(A1277,atlas!C:C,0)),"")</f>
        <v/>
      </c>
      <c r="J1277" s="8" t="str">
        <f>IFERROR(VLOOKUP(F1277,tecnica!A:B,2,0),"")</f>
        <v/>
      </c>
      <c r="K1277" s="8" t="str">
        <f>IFERROR(VLOOKUP(J1277,tecnica!B:C,2,0),"")</f>
        <v/>
      </c>
      <c r="L1277" s="13"/>
      <c r="M1277" s="14" t="str">
        <f>IFERROR(VLOOKUP(I1277,material!A:D,4,0),"")</f>
        <v/>
      </c>
      <c r="N1277" s="14" t="str">
        <f t="shared" si="1"/>
        <v/>
      </c>
      <c r="O1277" s="15" t="str">
        <f>IFERROR(VLOOKUP(I1277,material!A:D,2,0),"")</f>
        <v/>
      </c>
    </row>
    <row r="1278">
      <c r="A1278" s="6"/>
      <c r="B1278" s="7"/>
      <c r="C1278" s="8" t="str">
        <f t="array" ref="C1278">IFERROR(INDEX(atlas!H:H,MATCH(A1278,atlas!C:C,0)),"")</f>
        <v/>
      </c>
      <c r="D1278" s="8" t="str">
        <f t="array" ref="D1278">IFERROR(INDEX(atlas!D:D,MATCH(A1278,atlas!C:C,0)),"")</f>
        <v/>
      </c>
      <c r="E1278" s="8" t="str">
        <f t="array" ref="E1278">IFERROR(INDEX(atlas!F:F,MATCH(A1278,atlas!C:C,0)),"")</f>
        <v/>
      </c>
      <c r="F1278" s="9"/>
      <c r="G1278" s="10"/>
      <c r="H1278" s="11"/>
      <c r="I1278" s="12" t="str">
        <f t="array" ref="I1278">IFERROR(INDEX(atlas!B:B,MATCH(A1278,atlas!C:C,0)),"")</f>
        <v/>
      </c>
      <c r="J1278" s="8" t="str">
        <f>IFERROR(VLOOKUP(F1278,tecnica!A:B,2,0),"")</f>
        <v/>
      </c>
      <c r="K1278" s="8" t="str">
        <f>IFERROR(VLOOKUP(J1278,tecnica!B:C,2,0),"")</f>
        <v/>
      </c>
      <c r="L1278" s="13"/>
      <c r="M1278" s="14" t="str">
        <f>IFERROR(VLOOKUP(I1278,material!A:D,4,0),"")</f>
        <v/>
      </c>
      <c r="N1278" s="14" t="str">
        <f t="shared" si="1"/>
        <v/>
      </c>
      <c r="O1278" s="15" t="str">
        <f>IFERROR(VLOOKUP(I1278,material!A:D,2,0),"")</f>
        <v/>
      </c>
    </row>
    <row r="1279">
      <c r="A1279" s="6"/>
      <c r="B1279" s="7"/>
      <c r="C1279" s="8" t="str">
        <f t="array" ref="C1279">IFERROR(INDEX(atlas!H:H,MATCH(A1279,atlas!C:C,0)),"")</f>
        <v/>
      </c>
      <c r="D1279" s="8" t="str">
        <f t="array" ref="D1279">IFERROR(INDEX(atlas!D:D,MATCH(A1279,atlas!C:C,0)),"")</f>
        <v/>
      </c>
      <c r="E1279" s="8" t="str">
        <f t="array" ref="E1279">IFERROR(INDEX(atlas!F:F,MATCH(A1279,atlas!C:C,0)),"")</f>
        <v/>
      </c>
      <c r="F1279" s="9"/>
      <c r="G1279" s="10"/>
      <c r="H1279" s="11"/>
      <c r="I1279" s="12" t="str">
        <f t="array" ref="I1279">IFERROR(INDEX(atlas!B:B,MATCH(A1279,atlas!C:C,0)),"")</f>
        <v/>
      </c>
      <c r="J1279" s="8" t="str">
        <f>IFERROR(VLOOKUP(F1279,tecnica!A:B,2,0),"")</f>
        <v/>
      </c>
      <c r="K1279" s="8" t="str">
        <f>IFERROR(VLOOKUP(J1279,tecnica!B:C,2,0),"")</f>
        <v/>
      </c>
      <c r="L1279" s="13"/>
      <c r="M1279" s="14" t="str">
        <f>IFERROR(VLOOKUP(I1279,material!A:D,4,0),"")</f>
        <v/>
      </c>
      <c r="N1279" s="14" t="str">
        <f t="shared" si="1"/>
        <v/>
      </c>
      <c r="O1279" s="15" t="str">
        <f>IFERROR(VLOOKUP(I1279,material!A:D,2,0),"")</f>
        <v/>
      </c>
    </row>
    <row r="1280">
      <c r="A1280" s="6"/>
      <c r="B1280" s="7"/>
      <c r="C1280" s="8" t="str">
        <f t="array" ref="C1280">IFERROR(INDEX(atlas!H:H,MATCH(A1280,atlas!C:C,0)),"")</f>
        <v/>
      </c>
      <c r="D1280" s="8" t="str">
        <f t="array" ref="D1280">IFERROR(INDEX(atlas!D:D,MATCH(A1280,atlas!C:C,0)),"")</f>
        <v/>
      </c>
      <c r="E1280" s="8" t="str">
        <f t="array" ref="E1280">IFERROR(INDEX(atlas!F:F,MATCH(A1280,atlas!C:C,0)),"")</f>
        <v/>
      </c>
      <c r="F1280" s="9"/>
      <c r="G1280" s="10"/>
      <c r="H1280" s="11"/>
      <c r="I1280" s="12" t="str">
        <f t="array" ref="I1280">IFERROR(INDEX(atlas!B:B,MATCH(A1280,atlas!C:C,0)),"")</f>
        <v/>
      </c>
      <c r="J1280" s="8" t="str">
        <f>IFERROR(VLOOKUP(F1280,tecnica!A:B,2,0),"")</f>
        <v/>
      </c>
      <c r="K1280" s="8" t="str">
        <f>IFERROR(VLOOKUP(J1280,tecnica!B:C,2,0),"")</f>
        <v/>
      </c>
      <c r="L1280" s="13"/>
      <c r="M1280" s="14" t="str">
        <f>IFERROR(VLOOKUP(I1280,material!A:D,4,0),"")</f>
        <v/>
      </c>
      <c r="N1280" s="14" t="str">
        <f t="shared" si="1"/>
        <v/>
      </c>
      <c r="O1280" s="15" t="str">
        <f>IFERROR(VLOOKUP(I1280,material!A:D,2,0),"")</f>
        <v/>
      </c>
    </row>
    <row r="1281">
      <c r="A1281" s="6"/>
      <c r="B1281" s="7"/>
      <c r="C1281" s="8" t="str">
        <f t="array" ref="C1281">IFERROR(INDEX(atlas!H:H,MATCH(A1281,atlas!C:C,0)),"")</f>
        <v/>
      </c>
      <c r="D1281" s="8" t="str">
        <f t="array" ref="D1281">IFERROR(INDEX(atlas!D:D,MATCH(A1281,atlas!C:C,0)),"")</f>
        <v/>
      </c>
      <c r="E1281" s="8" t="str">
        <f t="array" ref="E1281">IFERROR(INDEX(atlas!F:F,MATCH(A1281,atlas!C:C,0)),"")</f>
        <v/>
      </c>
      <c r="F1281" s="9"/>
      <c r="G1281" s="10"/>
      <c r="H1281" s="11"/>
      <c r="I1281" s="12" t="str">
        <f t="array" ref="I1281">IFERROR(INDEX(atlas!B:B,MATCH(A1281,atlas!C:C,0)),"")</f>
        <v/>
      </c>
      <c r="J1281" s="8" t="str">
        <f>IFERROR(VLOOKUP(F1281,tecnica!A:B,2,0),"")</f>
        <v/>
      </c>
      <c r="K1281" s="8" t="str">
        <f>IFERROR(VLOOKUP(J1281,tecnica!B:C,2,0),"")</f>
        <v/>
      </c>
      <c r="L1281" s="13"/>
      <c r="M1281" s="14" t="str">
        <f>IFERROR(VLOOKUP(I1281,material!A:D,4,0),"")</f>
        <v/>
      </c>
      <c r="N1281" s="14" t="str">
        <f t="shared" si="1"/>
        <v/>
      </c>
      <c r="O1281" s="15" t="str">
        <f>IFERROR(VLOOKUP(I1281,material!A:D,2,0),"")</f>
        <v/>
      </c>
    </row>
    <row r="1282">
      <c r="A1282" s="6"/>
      <c r="B1282" s="7"/>
      <c r="C1282" s="8" t="str">
        <f t="array" ref="C1282">IFERROR(INDEX(atlas!H:H,MATCH(A1282,atlas!C:C,0)),"")</f>
        <v/>
      </c>
      <c r="D1282" s="8" t="str">
        <f t="array" ref="D1282">IFERROR(INDEX(atlas!D:D,MATCH(A1282,atlas!C:C,0)),"")</f>
        <v/>
      </c>
      <c r="E1282" s="8" t="str">
        <f t="array" ref="E1282">IFERROR(INDEX(atlas!F:F,MATCH(A1282,atlas!C:C,0)),"")</f>
        <v/>
      </c>
      <c r="F1282" s="9"/>
      <c r="G1282" s="10"/>
      <c r="H1282" s="11"/>
      <c r="I1282" s="12" t="str">
        <f t="array" ref="I1282">IFERROR(INDEX(atlas!B:B,MATCH(A1282,atlas!C:C,0)),"")</f>
        <v/>
      </c>
      <c r="J1282" s="8" t="str">
        <f>IFERROR(VLOOKUP(F1282,tecnica!A:B,2,0),"")</f>
        <v/>
      </c>
      <c r="K1282" s="8" t="str">
        <f>IFERROR(VLOOKUP(J1282,tecnica!B:C,2,0),"")</f>
        <v/>
      </c>
      <c r="L1282" s="13"/>
      <c r="M1282" s="14" t="str">
        <f>IFERROR(VLOOKUP(I1282,material!A:D,4,0),"")</f>
        <v/>
      </c>
      <c r="N1282" s="14" t="str">
        <f t="shared" si="1"/>
        <v/>
      </c>
      <c r="O1282" s="15" t="str">
        <f>IFERROR(VLOOKUP(I1282,material!A:D,2,0),"")</f>
        <v/>
      </c>
    </row>
    <row r="1283">
      <c r="A1283" s="6"/>
      <c r="B1283" s="7"/>
      <c r="C1283" s="8" t="str">
        <f t="array" ref="C1283">IFERROR(INDEX(atlas!H:H,MATCH(A1283,atlas!C:C,0)),"")</f>
        <v/>
      </c>
      <c r="D1283" s="8" t="str">
        <f t="array" ref="D1283">IFERROR(INDEX(atlas!D:D,MATCH(A1283,atlas!C:C,0)),"")</f>
        <v/>
      </c>
      <c r="E1283" s="8" t="str">
        <f t="array" ref="E1283">IFERROR(INDEX(atlas!F:F,MATCH(A1283,atlas!C:C,0)),"")</f>
        <v/>
      </c>
      <c r="F1283" s="9"/>
      <c r="G1283" s="10"/>
      <c r="H1283" s="11"/>
      <c r="I1283" s="12" t="str">
        <f t="array" ref="I1283">IFERROR(INDEX(atlas!B:B,MATCH(A1283,atlas!C:C,0)),"")</f>
        <v/>
      </c>
      <c r="J1283" s="8" t="str">
        <f>IFERROR(VLOOKUP(F1283,tecnica!A:B,2,0),"")</f>
        <v/>
      </c>
      <c r="K1283" s="8" t="str">
        <f>IFERROR(VLOOKUP(J1283,tecnica!B:C,2,0),"")</f>
        <v/>
      </c>
      <c r="L1283" s="13"/>
      <c r="M1283" s="14" t="str">
        <f>IFERROR(VLOOKUP(I1283,material!A:D,4,0),"")</f>
        <v/>
      </c>
      <c r="N1283" s="14" t="str">
        <f t="shared" si="1"/>
        <v/>
      </c>
      <c r="O1283" s="15" t="str">
        <f>IFERROR(VLOOKUP(I1283,material!A:D,2,0),"")</f>
        <v/>
      </c>
    </row>
    <row r="1284">
      <c r="A1284" s="6"/>
      <c r="B1284" s="7"/>
      <c r="C1284" s="8" t="str">
        <f t="array" ref="C1284">IFERROR(INDEX(atlas!H:H,MATCH(A1284,atlas!C:C,0)),"")</f>
        <v/>
      </c>
      <c r="D1284" s="8" t="str">
        <f t="array" ref="D1284">IFERROR(INDEX(atlas!D:D,MATCH(A1284,atlas!C:C,0)),"")</f>
        <v/>
      </c>
      <c r="E1284" s="8" t="str">
        <f t="array" ref="E1284">IFERROR(INDEX(atlas!F:F,MATCH(A1284,atlas!C:C,0)),"")</f>
        <v/>
      </c>
      <c r="F1284" s="9"/>
      <c r="G1284" s="10"/>
      <c r="H1284" s="11"/>
      <c r="I1284" s="12" t="str">
        <f t="array" ref="I1284">IFERROR(INDEX(atlas!B:B,MATCH(A1284,atlas!C:C,0)),"")</f>
        <v/>
      </c>
      <c r="J1284" s="8" t="str">
        <f>IFERROR(VLOOKUP(F1284,tecnica!A:B,2,0),"")</f>
        <v/>
      </c>
      <c r="K1284" s="8" t="str">
        <f>IFERROR(VLOOKUP(J1284,tecnica!B:C,2,0),"")</f>
        <v/>
      </c>
      <c r="L1284" s="13"/>
      <c r="M1284" s="14" t="str">
        <f>IFERROR(VLOOKUP(I1284,material!A:D,4,0),"")</f>
        <v/>
      </c>
      <c r="N1284" s="14" t="str">
        <f t="shared" si="1"/>
        <v/>
      </c>
      <c r="O1284" s="15" t="str">
        <f>IFERROR(VLOOKUP(I1284,material!A:D,2,0),"")</f>
        <v/>
      </c>
    </row>
    <row r="1285">
      <c r="A1285" s="6"/>
      <c r="B1285" s="7"/>
      <c r="C1285" s="8" t="str">
        <f t="array" ref="C1285">IFERROR(INDEX(atlas!H:H,MATCH(A1285,atlas!C:C,0)),"")</f>
        <v/>
      </c>
      <c r="D1285" s="8" t="str">
        <f t="array" ref="D1285">IFERROR(INDEX(atlas!D:D,MATCH(A1285,atlas!C:C,0)),"")</f>
        <v/>
      </c>
      <c r="E1285" s="8" t="str">
        <f t="array" ref="E1285">IFERROR(INDEX(atlas!F:F,MATCH(A1285,atlas!C:C,0)),"")</f>
        <v/>
      </c>
      <c r="F1285" s="9"/>
      <c r="G1285" s="10"/>
      <c r="H1285" s="11"/>
      <c r="I1285" s="12" t="str">
        <f t="array" ref="I1285">IFERROR(INDEX(atlas!B:B,MATCH(A1285,atlas!C:C,0)),"")</f>
        <v/>
      </c>
      <c r="J1285" s="8" t="str">
        <f>IFERROR(VLOOKUP(F1285,tecnica!A:B,2,0),"")</f>
        <v/>
      </c>
      <c r="K1285" s="8" t="str">
        <f>IFERROR(VLOOKUP(J1285,tecnica!B:C,2,0),"")</f>
        <v/>
      </c>
      <c r="L1285" s="13"/>
      <c r="M1285" s="14" t="str">
        <f>IFERROR(VLOOKUP(I1285,material!A:D,4,0),"")</f>
        <v/>
      </c>
      <c r="N1285" s="14" t="str">
        <f t="shared" si="1"/>
        <v/>
      </c>
      <c r="O1285" s="15" t="str">
        <f>IFERROR(VLOOKUP(I1285,material!A:D,2,0),"")</f>
        <v/>
      </c>
    </row>
    <row r="1286">
      <c r="A1286" s="6"/>
      <c r="B1286" s="7"/>
      <c r="C1286" s="8" t="str">
        <f t="array" ref="C1286">IFERROR(INDEX(atlas!H:H,MATCH(A1286,atlas!C:C,0)),"")</f>
        <v/>
      </c>
      <c r="D1286" s="8" t="str">
        <f t="array" ref="D1286">IFERROR(INDEX(atlas!D:D,MATCH(A1286,atlas!C:C,0)),"")</f>
        <v/>
      </c>
      <c r="E1286" s="8" t="str">
        <f t="array" ref="E1286">IFERROR(INDEX(atlas!F:F,MATCH(A1286,atlas!C:C,0)),"")</f>
        <v/>
      </c>
      <c r="F1286" s="9"/>
      <c r="G1286" s="10"/>
      <c r="H1286" s="11"/>
      <c r="I1286" s="12" t="str">
        <f t="array" ref="I1286">IFERROR(INDEX(atlas!B:B,MATCH(A1286,atlas!C:C,0)),"")</f>
        <v/>
      </c>
      <c r="J1286" s="8" t="str">
        <f>IFERROR(VLOOKUP(F1286,tecnica!A:B,2,0),"")</f>
        <v/>
      </c>
      <c r="K1286" s="8" t="str">
        <f>IFERROR(VLOOKUP(J1286,tecnica!B:C,2,0),"")</f>
        <v/>
      </c>
      <c r="L1286" s="13"/>
      <c r="M1286" s="14" t="str">
        <f>IFERROR(VLOOKUP(I1286,material!A:D,4,0),"")</f>
        <v/>
      </c>
      <c r="N1286" s="14" t="str">
        <f t="shared" si="1"/>
        <v/>
      </c>
      <c r="O1286" s="15" t="str">
        <f>IFERROR(VLOOKUP(I1286,material!A:D,2,0),"")</f>
        <v/>
      </c>
    </row>
    <row r="1287">
      <c r="A1287" s="6"/>
      <c r="B1287" s="7"/>
      <c r="C1287" s="8" t="str">
        <f t="array" ref="C1287">IFERROR(INDEX(atlas!H:H,MATCH(A1287,atlas!C:C,0)),"")</f>
        <v/>
      </c>
      <c r="D1287" s="8" t="str">
        <f t="array" ref="D1287">IFERROR(INDEX(atlas!D:D,MATCH(A1287,atlas!C:C,0)),"")</f>
        <v/>
      </c>
      <c r="E1287" s="8" t="str">
        <f t="array" ref="E1287">IFERROR(INDEX(atlas!F:F,MATCH(A1287,atlas!C:C,0)),"")</f>
        <v/>
      </c>
      <c r="F1287" s="9"/>
      <c r="G1287" s="10"/>
      <c r="H1287" s="11"/>
      <c r="I1287" s="12" t="str">
        <f t="array" ref="I1287">IFERROR(INDEX(atlas!B:B,MATCH(A1287,atlas!C:C,0)),"")</f>
        <v/>
      </c>
      <c r="J1287" s="8" t="str">
        <f>IFERROR(VLOOKUP(F1287,tecnica!A:B,2,0),"")</f>
        <v/>
      </c>
      <c r="K1287" s="8" t="str">
        <f>IFERROR(VLOOKUP(J1287,tecnica!B:C,2,0),"")</f>
        <v/>
      </c>
      <c r="L1287" s="13"/>
      <c r="M1287" s="14" t="str">
        <f>IFERROR(VLOOKUP(I1287,material!A:D,4,0),"")</f>
        <v/>
      </c>
      <c r="N1287" s="14" t="str">
        <f t="shared" si="1"/>
        <v/>
      </c>
      <c r="O1287" s="15" t="str">
        <f>IFERROR(VLOOKUP(I1287,material!A:D,2,0),"")</f>
        <v/>
      </c>
    </row>
    <row r="1288">
      <c r="A1288" s="6"/>
      <c r="B1288" s="7"/>
      <c r="C1288" s="8" t="str">
        <f t="array" ref="C1288">IFERROR(INDEX(atlas!H:H,MATCH(A1288,atlas!C:C,0)),"")</f>
        <v/>
      </c>
      <c r="D1288" s="8" t="str">
        <f t="array" ref="D1288">IFERROR(INDEX(atlas!D:D,MATCH(A1288,atlas!C:C,0)),"")</f>
        <v/>
      </c>
      <c r="E1288" s="8" t="str">
        <f t="array" ref="E1288">IFERROR(INDEX(atlas!F:F,MATCH(A1288,atlas!C:C,0)),"")</f>
        <v/>
      </c>
      <c r="F1288" s="9"/>
      <c r="G1288" s="10"/>
      <c r="H1288" s="11"/>
      <c r="I1288" s="12" t="str">
        <f t="array" ref="I1288">IFERROR(INDEX(atlas!B:B,MATCH(A1288,atlas!C:C,0)),"")</f>
        <v/>
      </c>
      <c r="J1288" s="8" t="str">
        <f>IFERROR(VLOOKUP(F1288,tecnica!A:B,2,0),"")</f>
        <v/>
      </c>
      <c r="K1288" s="8" t="str">
        <f>IFERROR(VLOOKUP(J1288,tecnica!B:C,2,0),"")</f>
        <v/>
      </c>
      <c r="L1288" s="13"/>
      <c r="M1288" s="14" t="str">
        <f>IFERROR(VLOOKUP(I1288,material!A:D,4,0),"")</f>
        <v/>
      </c>
      <c r="N1288" s="14" t="str">
        <f t="shared" si="1"/>
        <v/>
      </c>
      <c r="O1288" s="15" t="str">
        <f>IFERROR(VLOOKUP(I1288,material!A:D,2,0),"")</f>
        <v/>
      </c>
    </row>
    <row r="1289">
      <c r="A1289" s="6"/>
      <c r="B1289" s="7"/>
      <c r="C1289" s="8" t="str">
        <f t="array" ref="C1289">IFERROR(INDEX(atlas!H:H,MATCH(A1289,atlas!C:C,0)),"")</f>
        <v/>
      </c>
      <c r="D1289" s="8" t="str">
        <f t="array" ref="D1289">IFERROR(INDEX(atlas!D:D,MATCH(A1289,atlas!C:C,0)),"")</f>
        <v/>
      </c>
      <c r="E1289" s="8" t="str">
        <f t="array" ref="E1289">IFERROR(INDEX(atlas!F:F,MATCH(A1289,atlas!C:C,0)),"")</f>
        <v/>
      </c>
      <c r="F1289" s="9"/>
      <c r="G1289" s="10"/>
      <c r="H1289" s="11"/>
      <c r="I1289" s="12" t="str">
        <f t="array" ref="I1289">IFERROR(INDEX(atlas!B:B,MATCH(A1289,atlas!C:C,0)),"")</f>
        <v/>
      </c>
      <c r="J1289" s="8" t="str">
        <f>IFERROR(VLOOKUP(F1289,tecnica!A:B,2,0),"")</f>
        <v/>
      </c>
      <c r="K1289" s="8" t="str">
        <f>IFERROR(VLOOKUP(J1289,tecnica!B:C,2,0),"")</f>
        <v/>
      </c>
      <c r="L1289" s="13"/>
      <c r="M1289" s="14" t="str">
        <f>IFERROR(VLOOKUP(I1289,material!A:D,4,0),"")</f>
        <v/>
      </c>
      <c r="N1289" s="14" t="str">
        <f t="shared" si="1"/>
        <v/>
      </c>
      <c r="O1289" s="15" t="str">
        <f>IFERROR(VLOOKUP(I1289,material!A:D,2,0),"")</f>
        <v/>
      </c>
    </row>
    <row r="1290">
      <c r="A1290" s="6"/>
      <c r="B1290" s="7"/>
      <c r="C1290" s="8" t="str">
        <f t="array" ref="C1290">IFERROR(INDEX(atlas!H:H,MATCH(A1290,atlas!C:C,0)),"")</f>
        <v/>
      </c>
      <c r="D1290" s="8" t="str">
        <f t="array" ref="D1290">IFERROR(INDEX(atlas!D:D,MATCH(A1290,atlas!C:C,0)),"")</f>
        <v/>
      </c>
      <c r="E1290" s="8" t="str">
        <f t="array" ref="E1290">IFERROR(INDEX(atlas!F:F,MATCH(A1290,atlas!C:C,0)),"")</f>
        <v/>
      </c>
      <c r="F1290" s="9"/>
      <c r="G1290" s="10"/>
      <c r="H1290" s="11"/>
      <c r="I1290" s="12" t="str">
        <f t="array" ref="I1290">IFERROR(INDEX(atlas!B:B,MATCH(A1290,atlas!C:C,0)),"")</f>
        <v/>
      </c>
      <c r="J1290" s="8" t="str">
        <f>IFERROR(VLOOKUP(F1290,tecnica!A:B,2,0),"")</f>
        <v/>
      </c>
      <c r="K1290" s="8" t="str">
        <f>IFERROR(VLOOKUP(J1290,tecnica!B:C,2,0),"")</f>
        <v/>
      </c>
      <c r="L1290" s="13"/>
      <c r="M1290" s="14" t="str">
        <f>IFERROR(VLOOKUP(I1290,material!A:D,4,0),"")</f>
        <v/>
      </c>
      <c r="N1290" s="14" t="str">
        <f t="shared" si="1"/>
        <v/>
      </c>
      <c r="O1290" s="15" t="str">
        <f>IFERROR(VLOOKUP(I1290,material!A:D,2,0),"")</f>
        <v/>
      </c>
    </row>
    <row r="1291">
      <c r="A1291" s="6"/>
      <c r="B1291" s="7"/>
      <c r="C1291" s="8" t="str">
        <f t="array" ref="C1291">IFERROR(INDEX(atlas!H:H,MATCH(A1291,atlas!C:C,0)),"")</f>
        <v/>
      </c>
      <c r="D1291" s="8" t="str">
        <f t="array" ref="D1291">IFERROR(INDEX(atlas!D:D,MATCH(A1291,atlas!C:C,0)),"")</f>
        <v/>
      </c>
      <c r="E1291" s="8" t="str">
        <f t="array" ref="E1291">IFERROR(INDEX(atlas!F:F,MATCH(A1291,atlas!C:C,0)),"")</f>
        <v/>
      </c>
      <c r="F1291" s="9"/>
      <c r="G1291" s="10"/>
      <c r="H1291" s="11"/>
      <c r="I1291" s="12" t="str">
        <f t="array" ref="I1291">IFERROR(INDEX(atlas!B:B,MATCH(A1291,atlas!C:C,0)),"")</f>
        <v/>
      </c>
      <c r="J1291" s="8" t="str">
        <f>IFERROR(VLOOKUP(F1291,tecnica!A:B,2,0),"")</f>
        <v/>
      </c>
      <c r="K1291" s="8" t="str">
        <f>IFERROR(VLOOKUP(J1291,tecnica!B:C,2,0),"")</f>
        <v/>
      </c>
      <c r="L1291" s="13"/>
      <c r="M1291" s="14" t="str">
        <f>IFERROR(VLOOKUP(I1291,material!A:D,4,0),"")</f>
        <v/>
      </c>
      <c r="N1291" s="14" t="str">
        <f t="shared" si="1"/>
        <v/>
      </c>
      <c r="O1291" s="15" t="str">
        <f>IFERROR(VLOOKUP(I1291,material!A:D,2,0),"")</f>
        <v/>
      </c>
    </row>
    <row r="1292">
      <c r="A1292" s="6"/>
      <c r="B1292" s="7"/>
      <c r="C1292" s="8" t="str">
        <f t="array" ref="C1292">IFERROR(INDEX(atlas!H:H,MATCH(A1292,atlas!C:C,0)),"")</f>
        <v/>
      </c>
      <c r="D1292" s="8" t="str">
        <f t="array" ref="D1292">IFERROR(INDEX(atlas!D:D,MATCH(A1292,atlas!C:C,0)),"")</f>
        <v/>
      </c>
      <c r="E1292" s="8" t="str">
        <f t="array" ref="E1292">IFERROR(INDEX(atlas!F:F,MATCH(A1292,atlas!C:C,0)),"")</f>
        <v/>
      </c>
      <c r="F1292" s="9"/>
      <c r="G1292" s="10"/>
      <c r="H1292" s="11"/>
      <c r="I1292" s="12" t="str">
        <f t="array" ref="I1292">IFERROR(INDEX(atlas!B:B,MATCH(A1292,atlas!C:C,0)),"")</f>
        <v/>
      </c>
      <c r="J1292" s="8" t="str">
        <f>IFERROR(VLOOKUP(F1292,tecnica!A:B,2,0),"")</f>
        <v/>
      </c>
      <c r="K1292" s="8" t="str">
        <f>IFERROR(VLOOKUP(J1292,tecnica!B:C,2,0),"")</f>
        <v/>
      </c>
      <c r="L1292" s="13"/>
      <c r="M1292" s="14" t="str">
        <f>IFERROR(VLOOKUP(I1292,material!A:D,4,0),"")</f>
        <v/>
      </c>
      <c r="N1292" s="14" t="str">
        <f t="shared" si="1"/>
        <v/>
      </c>
      <c r="O1292" s="15" t="str">
        <f>IFERROR(VLOOKUP(I1292,material!A:D,2,0),"")</f>
        <v/>
      </c>
    </row>
    <row r="1293">
      <c r="A1293" s="6"/>
      <c r="B1293" s="7"/>
      <c r="C1293" s="8" t="str">
        <f t="array" ref="C1293">IFERROR(INDEX(atlas!H:H,MATCH(A1293,atlas!C:C,0)),"")</f>
        <v/>
      </c>
      <c r="D1293" s="8" t="str">
        <f t="array" ref="D1293">IFERROR(INDEX(atlas!D:D,MATCH(A1293,atlas!C:C,0)),"")</f>
        <v/>
      </c>
      <c r="E1293" s="8" t="str">
        <f t="array" ref="E1293">IFERROR(INDEX(atlas!F:F,MATCH(A1293,atlas!C:C,0)),"")</f>
        <v/>
      </c>
      <c r="F1293" s="9"/>
      <c r="G1293" s="10"/>
      <c r="H1293" s="11"/>
      <c r="I1293" s="12" t="str">
        <f t="array" ref="I1293">IFERROR(INDEX(atlas!B:B,MATCH(A1293,atlas!C:C,0)),"")</f>
        <v/>
      </c>
      <c r="J1293" s="8" t="str">
        <f>IFERROR(VLOOKUP(F1293,tecnica!A:B,2,0),"")</f>
        <v/>
      </c>
      <c r="K1293" s="8" t="str">
        <f>IFERROR(VLOOKUP(J1293,tecnica!B:C,2,0),"")</f>
        <v/>
      </c>
      <c r="L1293" s="13"/>
      <c r="M1293" s="14" t="str">
        <f>IFERROR(VLOOKUP(I1293,material!A:D,4,0),"")</f>
        <v/>
      </c>
      <c r="N1293" s="14" t="str">
        <f t="shared" si="1"/>
        <v/>
      </c>
      <c r="O1293" s="15" t="str">
        <f>IFERROR(VLOOKUP(I1293,material!A:D,2,0),"")</f>
        <v/>
      </c>
    </row>
    <row r="1294">
      <c r="A1294" s="6"/>
      <c r="B1294" s="7"/>
      <c r="C1294" s="8" t="str">
        <f t="array" ref="C1294">IFERROR(INDEX(atlas!H:H,MATCH(A1294,atlas!C:C,0)),"")</f>
        <v/>
      </c>
      <c r="D1294" s="8" t="str">
        <f t="array" ref="D1294">IFERROR(INDEX(atlas!D:D,MATCH(A1294,atlas!C:C,0)),"")</f>
        <v/>
      </c>
      <c r="E1294" s="8" t="str">
        <f t="array" ref="E1294">IFERROR(INDEX(atlas!F:F,MATCH(A1294,atlas!C:C,0)),"")</f>
        <v/>
      </c>
      <c r="F1294" s="9"/>
      <c r="G1294" s="10"/>
      <c r="H1294" s="11"/>
      <c r="I1294" s="12" t="str">
        <f t="array" ref="I1294">IFERROR(INDEX(atlas!B:B,MATCH(A1294,atlas!C:C,0)),"")</f>
        <v/>
      </c>
      <c r="J1294" s="8" t="str">
        <f>IFERROR(VLOOKUP(F1294,tecnica!A:B,2,0),"")</f>
        <v/>
      </c>
      <c r="K1294" s="8" t="str">
        <f>IFERROR(VLOOKUP(J1294,tecnica!B:C,2,0),"")</f>
        <v/>
      </c>
      <c r="L1294" s="13"/>
      <c r="M1294" s="14" t="str">
        <f>IFERROR(VLOOKUP(I1294,material!A:D,4,0),"")</f>
        <v/>
      </c>
      <c r="N1294" s="14" t="str">
        <f t="shared" si="1"/>
        <v/>
      </c>
      <c r="O1294" s="15" t="str">
        <f>IFERROR(VLOOKUP(I1294,material!A:D,2,0),"")</f>
        <v/>
      </c>
    </row>
    <row r="1295">
      <c r="A1295" s="6"/>
      <c r="B1295" s="7"/>
      <c r="C1295" s="8" t="str">
        <f t="array" ref="C1295">IFERROR(INDEX(atlas!H:H,MATCH(A1295,atlas!C:C,0)),"")</f>
        <v/>
      </c>
      <c r="D1295" s="8" t="str">
        <f t="array" ref="D1295">IFERROR(INDEX(atlas!D:D,MATCH(A1295,atlas!C:C,0)),"")</f>
        <v/>
      </c>
      <c r="E1295" s="8" t="str">
        <f t="array" ref="E1295">IFERROR(INDEX(atlas!F:F,MATCH(A1295,atlas!C:C,0)),"")</f>
        <v/>
      </c>
      <c r="F1295" s="9"/>
      <c r="G1295" s="10"/>
      <c r="H1295" s="11"/>
      <c r="I1295" s="12" t="str">
        <f t="array" ref="I1295">IFERROR(INDEX(atlas!B:B,MATCH(A1295,atlas!C:C,0)),"")</f>
        <v/>
      </c>
      <c r="J1295" s="8" t="str">
        <f>IFERROR(VLOOKUP(F1295,tecnica!A:B,2,0),"")</f>
        <v/>
      </c>
      <c r="K1295" s="8" t="str">
        <f>IFERROR(VLOOKUP(J1295,tecnica!B:C,2,0),"")</f>
        <v/>
      </c>
      <c r="L1295" s="13"/>
      <c r="M1295" s="14" t="str">
        <f>IFERROR(VLOOKUP(I1295,material!A:D,4,0),"")</f>
        <v/>
      </c>
      <c r="N1295" s="14" t="str">
        <f t="shared" si="1"/>
        <v/>
      </c>
      <c r="O1295" s="15" t="str">
        <f>IFERROR(VLOOKUP(I1295,material!A:D,2,0),"")</f>
        <v/>
      </c>
    </row>
    <row r="1296">
      <c r="A1296" s="6"/>
      <c r="B1296" s="7"/>
      <c r="C1296" s="8" t="str">
        <f t="array" ref="C1296">IFERROR(INDEX(atlas!H:H,MATCH(A1296,atlas!C:C,0)),"")</f>
        <v/>
      </c>
      <c r="D1296" s="8" t="str">
        <f t="array" ref="D1296">IFERROR(INDEX(atlas!D:D,MATCH(A1296,atlas!C:C,0)),"")</f>
        <v/>
      </c>
      <c r="E1296" s="8" t="str">
        <f t="array" ref="E1296">IFERROR(INDEX(atlas!F:F,MATCH(A1296,atlas!C:C,0)),"")</f>
        <v/>
      </c>
      <c r="F1296" s="9"/>
      <c r="G1296" s="10"/>
      <c r="H1296" s="11"/>
      <c r="I1296" s="12" t="str">
        <f t="array" ref="I1296">IFERROR(INDEX(atlas!B:B,MATCH(A1296,atlas!C:C,0)),"")</f>
        <v/>
      </c>
      <c r="J1296" s="8" t="str">
        <f>IFERROR(VLOOKUP(F1296,tecnica!A:B,2,0),"")</f>
        <v/>
      </c>
      <c r="K1296" s="8" t="str">
        <f>IFERROR(VLOOKUP(J1296,tecnica!B:C,2,0),"")</f>
        <v/>
      </c>
      <c r="L1296" s="13"/>
      <c r="M1296" s="14" t="str">
        <f>IFERROR(VLOOKUP(I1296,material!A:D,4,0),"")</f>
        <v/>
      </c>
      <c r="N1296" s="14" t="str">
        <f t="shared" si="1"/>
        <v/>
      </c>
      <c r="O1296" s="15" t="str">
        <f>IFERROR(VLOOKUP(I1296,material!A:D,2,0),"")</f>
        <v/>
      </c>
    </row>
    <row r="1297">
      <c r="A1297" s="6"/>
      <c r="B1297" s="7"/>
      <c r="C1297" s="8" t="str">
        <f t="array" ref="C1297">IFERROR(INDEX(atlas!H:H,MATCH(A1297,atlas!C:C,0)),"")</f>
        <v/>
      </c>
      <c r="D1297" s="8" t="str">
        <f t="array" ref="D1297">IFERROR(INDEX(atlas!D:D,MATCH(A1297,atlas!C:C,0)),"")</f>
        <v/>
      </c>
      <c r="E1297" s="8" t="str">
        <f t="array" ref="E1297">IFERROR(INDEX(atlas!F:F,MATCH(A1297,atlas!C:C,0)),"")</f>
        <v/>
      </c>
      <c r="F1297" s="9"/>
      <c r="G1297" s="10"/>
      <c r="H1297" s="11"/>
      <c r="I1297" s="12" t="str">
        <f t="array" ref="I1297">IFERROR(INDEX(atlas!B:B,MATCH(A1297,atlas!C:C,0)),"")</f>
        <v/>
      </c>
      <c r="J1297" s="8" t="str">
        <f>IFERROR(VLOOKUP(F1297,tecnica!A:B,2,0),"")</f>
        <v/>
      </c>
      <c r="K1297" s="8" t="str">
        <f>IFERROR(VLOOKUP(J1297,tecnica!B:C,2,0),"")</f>
        <v/>
      </c>
      <c r="L1297" s="13"/>
      <c r="M1297" s="14" t="str">
        <f>IFERROR(VLOOKUP(I1297,material!A:D,4,0),"")</f>
        <v/>
      </c>
      <c r="N1297" s="14" t="str">
        <f t="shared" si="1"/>
        <v/>
      </c>
      <c r="O1297" s="15" t="str">
        <f>IFERROR(VLOOKUP(I1297,material!A:D,2,0),"")</f>
        <v/>
      </c>
    </row>
    <row r="1298">
      <c r="A1298" s="6"/>
      <c r="B1298" s="7"/>
      <c r="C1298" s="8" t="str">
        <f t="array" ref="C1298">IFERROR(INDEX(atlas!H:H,MATCH(A1298,atlas!C:C,0)),"")</f>
        <v/>
      </c>
      <c r="D1298" s="8" t="str">
        <f t="array" ref="D1298">IFERROR(INDEX(atlas!D:D,MATCH(A1298,atlas!C:C,0)),"")</f>
        <v/>
      </c>
      <c r="E1298" s="8" t="str">
        <f t="array" ref="E1298">IFERROR(INDEX(atlas!F:F,MATCH(A1298,atlas!C:C,0)),"")</f>
        <v/>
      </c>
      <c r="F1298" s="9"/>
      <c r="G1298" s="10"/>
      <c r="H1298" s="11"/>
      <c r="I1298" s="12" t="str">
        <f t="array" ref="I1298">IFERROR(INDEX(atlas!B:B,MATCH(A1298,atlas!C:C,0)),"")</f>
        <v/>
      </c>
      <c r="J1298" s="8" t="str">
        <f>IFERROR(VLOOKUP(F1298,tecnica!A:B,2,0),"")</f>
        <v/>
      </c>
      <c r="K1298" s="8" t="str">
        <f>IFERROR(VLOOKUP(J1298,tecnica!B:C,2,0),"")</f>
        <v/>
      </c>
      <c r="L1298" s="13"/>
      <c r="M1298" s="14" t="str">
        <f>IFERROR(VLOOKUP(I1298,material!A:D,4,0),"")</f>
        <v/>
      </c>
      <c r="N1298" s="14" t="str">
        <f t="shared" si="1"/>
        <v/>
      </c>
      <c r="O1298" s="15" t="str">
        <f>IFERROR(VLOOKUP(I1298,material!A:D,2,0),"")</f>
        <v/>
      </c>
    </row>
    <row r="1299">
      <c r="A1299" s="6"/>
      <c r="B1299" s="7"/>
      <c r="C1299" s="8" t="str">
        <f t="array" ref="C1299">IFERROR(INDEX(atlas!H:H,MATCH(A1299,atlas!C:C,0)),"")</f>
        <v/>
      </c>
      <c r="D1299" s="8" t="str">
        <f t="array" ref="D1299">IFERROR(INDEX(atlas!D:D,MATCH(A1299,atlas!C:C,0)),"")</f>
        <v/>
      </c>
      <c r="E1299" s="8" t="str">
        <f t="array" ref="E1299">IFERROR(INDEX(atlas!F:F,MATCH(A1299,atlas!C:C,0)),"")</f>
        <v/>
      </c>
      <c r="F1299" s="9"/>
      <c r="G1299" s="10"/>
      <c r="H1299" s="11"/>
      <c r="I1299" s="12" t="str">
        <f t="array" ref="I1299">IFERROR(INDEX(atlas!B:B,MATCH(A1299,atlas!C:C,0)),"")</f>
        <v/>
      </c>
      <c r="J1299" s="8" t="str">
        <f>IFERROR(VLOOKUP(F1299,tecnica!A:B,2,0),"")</f>
        <v/>
      </c>
      <c r="K1299" s="8" t="str">
        <f>IFERROR(VLOOKUP(J1299,tecnica!B:C,2,0),"")</f>
        <v/>
      </c>
      <c r="L1299" s="13"/>
      <c r="M1299" s="14" t="str">
        <f>IFERROR(VLOOKUP(I1299,material!A:D,4,0),"")</f>
        <v/>
      </c>
      <c r="N1299" s="14" t="str">
        <f t="shared" si="1"/>
        <v/>
      </c>
      <c r="O1299" s="15" t="str">
        <f>IFERROR(VLOOKUP(I1299,material!A:D,2,0),"")</f>
        <v/>
      </c>
    </row>
    <row r="1300">
      <c r="A1300" s="6"/>
      <c r="B1300" s="7"/>
      <c r="C1300" s="8" t="str">
        <f t="array" ref="C1300">IFERROR(INDEX(atlas!H:H,MATCH(A1300,atlas!C:C,0)),"")</f>
        <v/>
      </c>
      <c r="D1300" s="8" t="str">
        <f t="array" ref="D1300">IFERROR(INDEX(atlas!D:D,MATCH(A1300,atlas!C:C,0)),"")</f>
        <v/>
      </c>
      <c r="E1300" s="8" t="str">
        <f t="array" ref="E1300">IFERROR(INDEX(atlas!F:F,MATCH(A1300,atlas!C:C,0)),"")</f>
        <v/>
      </c>
      <c r="F1300" s="9"/>
      <c r="G1300" s="10"/>
      <c r="H1300" s="11"/>
      <c r="I1300" s="12" t="str">
        <f t="array" ref="I1300">IFERROR(INDEX(atlas!B:B,MATCH(A1300,atlas!C:C,0)),"")</f>
        <v/>
      </c>
      <c r="J1300" s="8" t="str">
        <f>IFERROR(VLOOKUP(F1300,tecnica!A:B,2,0),"")</f>
        <v/>
      </c>
      <c r="K1300" s="8" t="str">
        <f>IFERROR(VLOOKUP(J1300,tecnica!B:C,2,0),"")</f>
        <v/>
      </c>
      <c r="L1300" s="13"/>
      <c r="M1300" s="14" t="str">
        <f>IFERROR(VLOOKUP(I1300,material!A:D,4,0),"")</f>
        <v/>
      </c>
      <c r="N1300" s="14" t="str">
        <f t="shared" si="1"/>
        <v/>
      </c>
      <c r="O1300" s="15" t="str">
        <f>IFERROR(VLOOKUP(I1300,material!A:D,2,0),"")</f>
        <v/>
      </c>
    </row>
    <row r="1301">
      <c r="A1301" s="6"/>
      <c r="B1301" s="7"/>
      <c r="C1301" s="8" t="str">
        <f t="array" ref="C1301">IFERROR(INDEX(atlas!H:H,MATCH(A1301,atlas!C:C,0)),"")</f>
        <v/>
      </c>
      <c r="D1301" s="8" t="str">
        <f t="array" ref="D1301">IFERROR(INDEX(atlas!D:D,MATCH(A1301,atlas!C:C,0)),"")</f>
        <v/>
      </c>
      <c r="E1301" s="8" t="str">
        <f t="array" ref="E1301">IFERROR(INDEX(atlas!F:F,MATCH(A1301,atlas!C:C,0)),"")</f>
        <v/>
      </c>
      <c r="F1301" s="9"/>
      <c r="G1301" s="10"/>
      <c r="H1301" s="11"/>
      <c r="I1301" s="12" t="str">
        <f t="array" ref="I1301">IFERROR(INDEX(atlas!B:B,MATCH(A1301,atlas!C:C,0)),"")</f>
        <v/>
      </c>
      <c r="J1301" s="8" t="str">
        <f>IFERROR(VLOOKUP(F1301,tecnica!A:B,2,0),"")</f>
        <v/>
      </c>
      <c r="K1301" s="8" t="str">
        <f>IFERROR(VLOOKUP(J1301,tecnica!B:C,2,0),"")</f>
        <v/>
      </c>
      <c r="L1301" s="13"/>
      <c r="M1301" s="14" t="str">
        <f>IFERROR(VLOOKUP(I1301,material!A:D,4,0),"")</f>
        <v/>
      </c>
      <c r="N1301" s="14" t="str">
        <f t="shared" si="1"/>
        <v/>
      </c>
      <c r="O1301" s="15" t="str">
        <f>IFERROR(VLOOKUP(I1301,material!A:D,2,0),"")</f>
        <v/>
      </c>
    </row>
    <row r="1302">
      <c r="A1302" s="6"/>
      <c r="B1302" s="7"/>
      <c r="C1302" s="8" t="str">
        <f t="array" ref="C1302">IFERROR(INDEX(atlas!H:H,MATCH(A1302,atlas!C:C,0)),"")</f>
        <v/>
      </c>
      <c r="D1302" s="8" t="str">
        <f t="array" ref="D1302">IFERROR(INDEX(atlas!D:D,MATCH(A1302,atlas!C:C,0)),"")</f>
        <v/>
      </c>
      <c r="E1302" s="8" t="str">
        <f t="array" ref="E1302">IFERROR(INDEX(atlas!F:F,MATCH(A1302,atlas!C:C,0)),"")</f>
        <v/>
      </c>
      <c r="F1302" s="9"/>
      <c r="G1302" s="10"/>
      <c r="H1302" s="11"/>
      <c r="I1302" s="12" t="str">
        <f t="array" ref="I1302">IFERROR(INDEX(atlas!B:B,MATCH(A1302,atlas!C:C,0)),"")</f>
        <v/>
      </c>
      <c r="J1302" s="8" t="str">
        <f>IFERROR(VLOOKUP(F1302,tecnica!A:B,2,0),"")</f>
        <v/>
      </c>
      <c r="K1302" s="8" t="str">
        <f>IFERROR(VLOOKUP(J1302,tecnica!B:C,2,0),"")</f>
        <v/>
      </c>
      <c r="L1302" s="13"/>
      <c r="M1302" s="14" t="str">
        <f>IFERROR(VLOOKUP(I1302,material!A:D,4,0),"")</f>
        <v/>
      </c>
      <c r="N1302" s="14" t="str">
        <f t="shared" si="1"/>
        <v/>
      </c>
      <c r="O1302" s="15" t="str">
        <f>IFERROR(VLOOKUP(I1302,material!A:D,2,0),"")</f>
        <v/>
      </c>
    </row>
    <row r="1303">
      <c r="A1303" s="6"/>
      <c r="B1303" s="7"/>
      <c r="C1303" s="8" t="str">
        <f t="array" ref="C1303">IFERROR(INDEX(atlas!H:H,MATCH(A1303,atlas!C:C,0)),"")</f>
        <v/>
      </c>
      <c r="D1303" s="8" t="str">
        <f t="array" ref="D1303">IFERROR(INDEX(atlas!D:D,MATCH(A1303,atlas!C:C,0)),"")</f>
        <v/>
      </c>
      <c r="E1303" s="8" t="str">
        <f t="array" ref="E1303">IFERROR(INDEX(atlas!F:F,MATCH(A1303,atlas!C:C,0)),"")</f>
        <v/>
      </c>
      <c r="F1303" s="9"/>
      <c r="G1303" s="10"/>
      <c r="H1303" s="11"/>
      <c r="I1303" s="12" t="str">
        <f t="array" ref="I1303">IFERROR(INDEX(atlas!B:B,MATCH(A1303,atlas!C:C,0)),"")</f>
        <v/>
      </c>
      <c r="J1303" s="8" t="str">
        <f>IFERROR(VLOOKUP(F1303,tecnica!A:B,2,0),"")</f>
        <v/>
      </c>
      <c r="K1303" s="8" t="str">
        <f>IFERROR(VLOOKUP(J1303,tecnica!B:C,2,0),"")</f>
        <v/>
      </c>
      <c r="L1303" s="13"/>
      <c r="M1303" s="14" t="str">
        <f>IFERROR(VLOOKUP(I1303,material!A:D,4,0),"")</f>
        <v/>
      </c>
      <c r="N1303" s="14" t="str">
        <f t="shared" si="1"/>
        <v/>
      </c>
      <c r="O1303" s="15" t="str">
        <f>IFERROR(VLOOKUP(I1303,material!A:D,2,0),"")</f>
        <v/>
      </c>
    </row>
    <row r="1304">
      <c r="A1304" s="6"/>
      <c r="B1304" s="7"/>
      <c r="C1304" s="8" t="str">
        <f t="array" ref="C1304">IFERROR(INDEX(atlas!H:H,MATCH(A1304,atlas!C:C,0)),"")</f>
        <v/>
      </c>
      <c r="D1304" s="8" t="str">
        <f t="array" ref="D1304">IFERROR(INDEX(atlas!D:D,MATCH(A1304,atlas!C:C,0)),"")</f>
        <v/>
      </c>
      <c r="E1304" s="8" t="str">
        <f t="array" ref="E1304">IFERROR(INDEX(atlas!F:F,MATCH(A1304,atlas!C:C,0)),"")</f>
        <v/>
      </c>
      <c r="F1304" s="9"/>
      <c r="G1304" s="10"/>
      <c r="H1304" s="11"/>
      <c r="I1304" s="12" t="str">
        <f t="array" ref="I1304">IFERROR(INDEX(atlas!B:B,MATCH(A1304,atlas!C:C,0)),"")</f>
        <v/>
      </c>
      <c r="J1304" s="8" t="str">
        <f>IFERROR(VLOOKUP(F1304,tecnica!A:B,2,0),"")</f>
        <v/>
      </c>
      <c r="K1304" s="8" t="str">
        <f>IFERROR(VLOOKUP(J1304,tecnica!B:C,2,0),"")</f>
        <v/>
      </c>
      <c r="L1304" s="13"/>
      <c r="M1304" s="14" t="str">
        <f>IFERROR(VLOOKUP(I1304,material!A:D,4,0),"")</f>
        <v/>
      </c>
      <c r="N1304" s="14" t="str">
        <f t="shared" si="1"/>
        <v/>
      </c>
      <c r="O1304" s="15" t="str">
        <f>IFERROR(VLOOKUP(I1304,material!A:D,2,0),"")</f>
        <v/>
      </c>
    </row>
    <row r="1305">
      <c r="A1305" s="6"/>
      <c r="B1305" s="7"/>
      <c r="C1305" s="8" t="str">
        <f t="array" ref="C1305">IFERROR(INDEX(atlas!H:H,MATCH(A1305,atlas!C:C,0)),"")</f>
        <v/>
      </c>
      <c r="D1305" s="8" t="str">
        <f t="array" ref="D1305">IFERROR(INDEX(atlas!D:D,MATCH(A1305,atlas!C:C,0)),"")</f>
        <v/>
      </c>
      <c r="E1305" s="8" t="str">
        <f t="array" ref="E1305">IFERROR(INDEX(atlas!F:F,MATCH(A1305,atlas!C:C,0)),"")</f>
        <v/>
      </c>
      <c r="F1305" s="9"/>
      <c r="G1305" s="10"/>
      <c r="H1305" s="11"/>
      <c r="I1305" s="12" t="str">
        <f t="array" ref="I1305">IFERROR(INDEX(atlas!B:B,MATCH(A1305,atlas!C:C,0)),"")</f>
        <v/>
      </c>
      <c r="J1305" s="8" t="str">
        <f>IFERROR(VLOOKUP(F1305,tecnica!A:B,2,0),"")</f>
        <v/>
      </c>
      <c r="K1305" s="8" t="str">
        <f>IFERROR(VLOOKUP(J1305,tecnica!B:C,2,0),"")</f>
        <v/>
      </c>
      <c r="L1305" s="13"/>
      <c r="M1305" s="14" t="str">
        <f>IFERROR(VLOOKUP(I1305,material!A:D,4,0),"")</f>
        <v/>
      </c>
      <c r="N1305" s="14" t="str">
        <f t="shared" si="1"/>
        <v/>
      </c>
      <c r="O1305" s="15" t="str">
        <f>IFERROR(VLOOKUP(I1305,material!A:D,2,0),"")</f>
        <v/>
      </c>
    </row>
    <row r="1306">
      <c r="A1306" s="6"/>
      <c r="B1306" s="7"/>
      <c r="C1306" s="8" t="str">
        <f t="array" ref="C1306">IFERROR(INDEX(atlas!H:H,MATCH(A1306,atlas!C:C,0)),"")</f>
        <v/>
      </c>
      <c r="D1306" s="8" t="str">
        <f t="array" ref="D1306">IFERROR(INDEX(atlas!D:D,MATCH(A1306,atlas!C:C,0)),"")</f>
        <v/>
      </c>
      <c r="E1306" s="8" t="str">
        <f t="array" ref="E1306">IFERROR(INDEX(atlas!F:F,MATCH(A1306,atlas!C:C,0)),"")</f>
        <v/>
      </c>
      <c r="F1306" s="9"/>
      <c r="G1306" s="10"/>
      <c r="H1306" s="11"/>
      <c r="I1306" s="12" t="str">
        <f t="array" ref="I1306">IFERROR(INDEX(atlas!B:B,MATCH(A1306,atlas!C:C,0)),"")</f>
        <v/>
      </c>
      <c r="J1306" s="8" t="str">
        <f>IFERROR(VLOOKUP(F1306,tecnica!A:B,2,0),"")</f>
        <v/>
      </c>
      <c r="K1306" s="8" t="str">
        <f>IFERROR(VLOOKUP(J1306,tecnica!B:C,2,0),"")</f>
        <v/>
      </c>
      <c r="L1306" s="13"/>
      <c r="M1306" s="14" t="str">
        <f>IFERROR(VLOOKUP(I1306,material!A:D,4,0),"")</f>
        <v/>
      </c>
      <c r="N1306" s="14" t="str">
        <f t="shared" si="1"/>
        <v/>
      </c>
      <c r="O1306" s="15" t="str">
        <f>IFERROR(VLOOKUP(I1306,material!A:D,2,0),"")</f>
        <v/>
      </c>
    </row>
    <row r="1307">
      <c r="A1307" s="6"/>
      <c r="B1307" s="7"/>
      <c r="C1307" s="8" t="str">
        <f t="array" ref="C1307">IFERROR(INDEX(atlas!H:H,MATCH(A1307,atlas!C:C,0)),"")</f>
        <v/>
      </c>
      <c r="D1307" s="8" t="str">
        <f t="array" ref="D1307">IFERROR(INDEX(atlas!D:D,MATCH(A1307,atlas!C:C,0)),"")</f>
        <v/>
      </c>
      <c r="E1307" s="8" t="str">
        <f t="array" ref="E1307">IFERROR(INDEX(atlas!F:F,MATCH(A1307,atlas!C:C,0)),"")</f>
        <v/>
      </c>
      <c r="F1307" s="9"/>
      <c r="G1307" s="10"/>
      <c r="H1307" s="11"/>
      <c r="I1307" s="12" t="str">
        <f t="array" ref="I1307">IFERROR(INDEX(atlas!B:B,MATCH(A1307,atlas!C:C,0)),"")</f>
        <v/>
      </c>
      <c r="J1307" s="8" t="str">
        <f>IFERROR(VLOOKUP(F1307,tecnica!A:B,2,0),"")</f>
        <v/>
      </c>
      <c r="K1307" s="8" t="str">
        <f>IFERROR(VLOOKUP(J1307,tecnica!B:C,2,0),"")</f>
        <v/>
      </c>
      <c r="L1307" s="13"/>
      <c r="M1307" s="14" t="str">
        <f>IFERROR(VLOOKUP(I1307,material!A:D,4,0),"")</f>
        <v/>
      </c>
      <c r="N1307" s="14" t="str">
        <f t="shared" si="1"/>
        <v/>
      </c>
      <c r="O1307" s="15" t="str">
        <f>IFERROR(VLOOKUP(I1307,material!A:D,2,0),"")</f>
        <v/>
      </c>
    </row>
    <row r="1308">
      <c r="A1308" s="6"/>
      <c r="B1308" s="7"/>
      <c r="C1308" s="8" t="str">
        <f t="array" ref="C1308">IFERROR(INDEX(atlas!H:H,MATCH(A1308,atlas!C:C,0)),"")</f>
        <v/>
      </c>
      <c r="D1308" s="8" t="str">
        <f t="array" ref="D1308">IFERROR(INDEX(atlas!D:D,MATCH(A1308,atlas!C:C,0)),"")</f>
        <v/>
      </c>
      <c r="E1308" s="8" t="str">
        <f t="array" ref="E1308">IFERROR(INDEX(atlas!F:F,MATCH(A1308,atlas!C:C,0)),"")</f>
        <v/>
      </c>
      <c r="F1308" s="9"/>
      <c r="G1308" s="10"/>
      <c r="H1308" s="11"/>
      <c r="I1308" s="12" t="str">
        <f t="array" ref="I1308">IFERROR(INDEX(atlas!B:B,MATCH(A1308,atlas!C:C,0)),"")</f>
        <v/>
      </c>
      <c r="J1308" s="8" t="str">
        <f>IFERROR(VLOOKUP(F1308,tecnica!A:B,2,0),"")</f>
        <v/>
      </c>
      <c r="K1308" s="8" t="str">
        <f>IFERROR(VLOOKUP(J1308,tecnica!B:C,2,0),"")</f>
        <v/>
      </c>
      <c r="L1308" s="13"/>
      <c r="M1308" s="14" t="str">
        <f>IFERROR(VLOOKUP(I1308,material!A:D,4,0),"")</f>
        <v/>
      </c>
      <c r="N1308" s="14" t="str">
        <f t="shared" si="1"/>
        <v/>
      </c>
      <c r="O1308" s="15" t="str">
        <f>IFERROR(VLOOKUP(I1308,material!A:D,2,0),"")</f>
        <v/>
      </c>
    </row>
    <row r="1309">
      <c r="A1309" s="6"/>
      <c r="B1309" s="7"/>
      <c r="C1309" s="8" t="str">
        <f t="array" ref="C1309">IFERROR(INDEX(atlas!H:H,MATCH(A1309,atlas!C:C,0)),"")</f>
        <v/>
      </c>
      <c r="D1309" s="8" t="str">
        <f t="array" ref="D1309">IFERROR(INDEX(atlas!D:D,MATCH(A1309,atlas!C:C,0)),"")</f>
        <v/>
      </c>
      <c r="E1309" s="8" t="str">
        <f t="array" ref="E1309">IFERROR(INDEX(atlas!F:F,MATCH(A1309,atlas!C:C,0)),"")</f>
        <v/>
      </c>
      <c r="F1309" s="9"/>
      <c r="G1309" s="10"/>
      <c r="H1309" s="11"/>
      <c r="I1309" s="12" t="str">
        <f t="array" ref="I1309">IFERROR(INDEX(atlas!B:B,MATCH(A1309,atlas!C:C,0)),"")</f>
        <v/>
      </c>
      <c r="J1309" s="8" t="str">
        <f>IFERROR(VLOOKUP(F1309,tecnica!A:B,2,0),"")</f>
        <v/>
      </c>
      <c r="K1309" s="8" t="str">
        <f>IFERROR(VLOOKUP(J1309,tecnica!B:C,2,0),"")</f>
        <v/>
      </c>
      <c r="L1309" s="13"/>
      <c r="M1309" s="14" t="str">
        <f>IFERROR(VLOOKUP(I1309,material!A:D,4,0),"")</f>
        <v/>
      </c>
      <c r="N1309" s="14" t="str">
        <f t="shared" si="1"/>
        <v/>
      </c>
      <c r="O1309" s="15" t="str">
        <f>IFERROR(VLOOKUP(I1309,material!A:D,2,0),"")</f>
        <v/>
      </c>
    </row>
    <row r="1310">
      <c r="A1310" s="6"/>
      <c r="B1310" s="7"/>
      <c r="C1310" s="8" t="str">
        <f t="array" ref="C1310">IFERROR(INDEX(atlas!H:H,MATCH(A1310,atlas!C:C,0)),"")</f>
        <v/>
      </c>
      <c r="D1310" s="8" t="str">
        <f t="array" ref="D1310">IFERROR(INDEX(atlas!D:D,MATCH(A1310,atlas!C:C,0)),"")</f>
        <v/>
      </c>
      <c r="E1310" s="8" t="str">
        <f t="array" ref="E1310">IFERROR(INDEX(atlas!F:F,MATCH(A1310,atlas!C:C,0)),"")</f>
        <v/>
      </c>
      <c r="F1310" s="9"/>
      <c r="G1310" s="10"/>
      <c r="H1310" s="11"/>
      <c r="I1310" s="12" t="str">
        <f t="array" ref="I1310">IFERROR(INDEX(atlas!B:B,MATCH(A1310,atlas!C:C,0)),"")</f>
        <v/>
      </c>
      <c r="J1310" s="8" t="str">
        <f>IFERROR(VLOOKUP(F1310,tecnica!A:B,2,0),"")</f>
        <v/>
      </c>
      <c r="K1310" s="8" t="str">
        <f>IFERROR(VLOOKUP(J1310,tecnica!B:C,2,0),"")</f>
        <v/>
      </c>
      <c r="L1310" s="13"/>
      <c r="M1310" s="14" t="str">
        <f>IFERROR(VLOOKUP(I1310,material!A:D,4,0),"")</f>
        <v/>
      </c>
      <c r="N1310" s="14" t="str">
        <f t="shared" si="1"/>
        <v/>
      </c>
      <c r="O1310" s="15" t="str">
        <f>IFERROR(VLOOKUP(I1310,material!A:D,2,0),"")</f>
        <v/>
      </c>
    </row>
    <row r="1311">
      <c r="A1311" s="6"/>
      <c r="B1311" s="7"/>
      <c r="C1311" s="8" t="str">
        <f t="array" ref="C1311">IFERROR(INDEX(atlas!H:H,MATCH(A1311,atlas!C:C,0)),"")</f>
        <v/>
      </c>
      <c r="D1311" s="8" t="str">
        <f t="array" ref="D1311">IFERROR(INDEX(atlas!D:D,MATCH(A1311,atlas!C:C,0)),"")</f>
        <v/>
      </c>
      <c r="E1311" s="8" t="str">
        <f t="array" ref="E1311">IFERROR(INDEX(atlas!F:F,MATCH(A1311,atlas!C:C,0)),"")</f>
        <v/>
      </c>
      <c r="F1311" s="9"/>
      <c r="G1311" s="10"/>
      <c r="H1311" s="11"/>
      <c r="I1311" s="12" t="str">
        <f t="array" ref="I1311">IFERROR(INDEX(atlas!B:B,MATCH(A1311,atlas!C:C,0)),"")</f>
        <v/>
      </c>
      <c r="J1311" s="8" t="str">
        <f>IFERROR(VLOOKUP(F1311,tecnica!A:B,2,0),"")</f>
        <v/>
      </c>
      <c r="K1311" s="8" t="str">
        <f>IFERROR(VLOOKUP(J1311,tecnica!B:C,2,0),"")</f>
        <v/>
      </c>
      <c r="L1311" s="13"/>
      <c r="M1311" s="14" t="str">
        <f>IFERROR(VLOOKUP(I1311,material!A:D,4,0),"")</f>
        <v/>
      </c>
      <c r="N1311" s="14" t="str">
        <f t="shared" si="1"/>
        <v/>
      </c>
      <c r="O1311" s="15" t="str">
        <f>IFERROR(VLOOKUP(I1311,material!A:D,2,0),"")</f>
        <v/>
      </c>
    </row>
    <row r="1312">
      <c r="A1312" s="6"/>
      <c r="B1312" s="7"/>
      <c r="C1312" s="8" t="str">
        <f t="array" ref="C1312">IFERROR(INDEX(atlas!H:H,MATCH(A1312,atlas!C:C,0)),"")</f>
        <v/>
      </c>
      <c r="D1312" s="8" t="str">
        <f t="array" ref="D1312">IFERROR(INDEX(atlas!D:D,MATCH(A1312,atlas!C:C,0)),"")</f>
        <v/>
      </c>
      <c r="E1312" s="8" t="str">
        <f t="array" ref="E1312">IFERROR(INDEX(atlas!F:F,MATCH(A1312,atlas!C:C,0)),"")</f>
        <v/>
      </c>
      <c r="F1312" s="9"/>
      <c r="G1312" s="10"/>
      <c r="H1312" s="11"/>
      <c r="I1312" s="12" t="str">
        <f t="array" ref="I1312">IFERROR(INDEX(atlas!B:B,MATCH(A1312,atlas!C:C,0)),"")</f>
        <v/>
      </c>
      <c r="J1312" s="8" t="str">
        <f>IFERROR(VLOOKUP(F1312,tecnica!A:B,2,0),"")</f>
        <v/>
      </c>
      <c r="K1312" s="8" t="str">
        <f>IFERROR(VLOOKUP(J1312,tecnica!B:C,2,0),"")</f>
        <v/>
      </c>
      <c r="L1312" s="13"/>
      <c r="M1312" s="14" t="str">
        <f>IFERROR(VLOOKUP(I1312,material!A:D,4,0),"")</f>
        <v/>
      </c>
      <c r="N1312" s="14" t="str">
        <f t="shared" si="1"/>
        <v/>
      </c>
      <c r="O1312" s="15" t="str">
        <f>IFERROR(VLOOKUP(I1312,material!A:D,2,0),"")</f>
        <v/>
      </c>
    </row>
    <row r="1313">
      <c r="A1313" s="6"/>
      <c r="B1313" s="7"/>
      <c r="C1313" s="8" t="str">
        <f t="array" ref="C1313">IFERROR(INDEX(atlas!H:H,MATCH(A1313,atlas!C:C,0)),"")</f>
        <v/>
      </c>
      <c r="D1313" s="8" t="str">
        <f t="array" ref="D1313">IFERROR(INDEX(atlas!D:D,MATCH(A1313,atlas!C:C,0)),"")</f>
        <v/>
      </c>
      <c r="E1313" s="8" t="str">
        <f t="array" ref="E1313">IFERROR(INDEX(atlas!F:F,MATCH(A1313,atlas!C:C,0)),"")</f>
        <v/>
      </c>
      <c r="F1313" s="9"/>
      <c r="G1313" s="10"/>
      <c r="H1313" s="11"/>
      <c r="I1313" s="12" t="str">
        <f t="array" ref="I1313">IFERROR(INDEX(atlas!B:B,MATCH(A1313,atlas!C:C,0)),"")</f>
        <v/>
      </c>
      <c r="J1313" s="8" t="str">
        <f>IFERROR(VLOOKUP(F1313,tecnica!A:B,2,0),"")</f>
        <v/>
      </c>
      <c r="K1313" s="8" t="str">
        <f>IFERROR(VLOOKUP(J1313,tecnica!B:C,2,0),"")</f>
        <v/>
      </c>
      <c r="L1313" s="13"/>
      <c r="M1313" s="14" t="str">
        <f>IFERROR(VLOOKUP(I1313,material!A:D,4,0),"")</f>
        <v/>
      </c>
      <c r="N1313" s="14" t="str">
        <f t="shared" si="1"/>
        <v/>
      </c>
      <c r="O1313" s="15" t="str">
        <f>IFERROR(VLOOKUP(I1313,material!A:D,2,0),"")</f>
        <v/>
      </c>
    </row>
    <row r="1314">
      <c r="A1314" s="6"/>
      <c r="B1314" s="7"/>
      <c r="C1314" s="8" t="str">
        <f t="array" ref="C1314">IFERROR(INDEX(atlas!H:H,MATCH(A1314,atlas!C:C,0)),"")</f>
        <v/>
      </c>
      <c r="D1314" s="8" t="str">
        <f t="array" ref="D1314">IFERROR(INDEX(atlas!D:D,MATCH(A1314,atlas!C:C,0)),"")</f>
        <v/>
      </c>
      <c r="E1314" s="8" t="str">
        <f t="array" ref="E1314">IFERROR(INDEX(atlas!F:F,MATCH(A1314,atlas!C:C,0)),"")</f>
        <v/>
      </c>
      <c r="F1314" s="9"/>
      <c r="G1314" s="10"/>
      <c r="H1314" s="11"/>
      <c r="I1314" s="12" t="str">
        <f t="array" ref="I1314">IFERROR(INDEX(atlas!B:B,MATCH(A1314,atlas!C:C,0)),"")</f>
        <v/>
      </c>
      <c r="J1314" s="8" t="str">
        <f>IFERROR(VLOOKUP(F1314,tecnica!A:B,2,0),"")</f>
        <v/>
      </c>
      <c r="K1314" s="8" t="str">
        <f>IFERROR(VLOOKUP(J1314,tecnica!B:C,2,0),"")</f>
        <v/>
      </c>
      <c r="L1314" s="13"/>
      <c r="M1314" s="14" t="str">
        <f>IFERROR(VLOOKUP(I1314,material!A:D,4,0),"")</f>
        <v/>
      </c>
      <c r="N1314" s="14" t="str">
        <f t="shared" si="1"/>
        <v/>
      </c>
      <c r="O1314" s="15" t="str">
        <f>IFERROR(VLOOKUP(I1314,material!A:D,2,0),"")</f>
        <v/>
      </c>
    </row>
    <row r="1315">
      <c r="A1315" s="6"/>
      <c r="B1315" s="7"/>
      <c r="C1315" s="8" t="str">
        <f t="array" ref="C1315">IFERROR(INDEX(atlas!H:H,MATCH(A1315,atlas!C:C,0)),"")</f>
        <v/>
      </c>
      <c r="D1315" s="8" t="str">
        <f t="array" ref="D1315">IFERROR(INDEX(atlas!D:D,MATCH(A1315,atlas!C:C,0)),"")</f>
        <v/>
      </c>
      <c r="E1315" s="8" t="str">
        <f t="array" ref="E1315">IFERROR(INDEX(atlas!F:F,MATCH(A1315,atlas!C:C,0)),"")</f>
        <v/>
      </c>
      <c r="F1315" s="9"/>
      <c r="G1315" s="10"/>
      <c r="H1315" s="11"/>
      <c r="I1315" s="12" t="str">
        <f t="array" ref="I1315">IFERROR(INDEX(atlas!B:B,MATCH(A1315,atlas!C:C,0)),"")</f>
        <v/>
      </c>
      <c r="J1315" s="8" t="str">
        <f>IFERROR(VLOOKUP(F1315,tecnica!A:B,2,0),"")</f>
        <v/>
      </c>
      <c r="K1315" s="8" t="str">
        <f>IFERROR(VLOOKUP(J1315,tecnica!B:C,2,0),"")</f>
        <v/>
      </c>
      <c r="L1315" s="13"/>
      <c r="M1315" s="14" t="str">
        <f>IFERROR(VLOOKUP(I1315,material!A:D,4,0),"")</f>
        <v/>
      </c>
      <c r="N1315" s="14" t="str">
        <f t="shared" si="1"/>
        <v/>
      </c>
      <c r="O1315" s="15" t="str">
        <f>IFERROR(VLOOKUP(I1315,material!A:D,2,0),"")</f>
        <v/>
      </c>
    </row>
    <row r="1316">
      <c r="A1316" s="6"/>
      <c r="B1316" s="7"/>
      <c r="C1316" s="8" t="str">
        <f t="array" ref="C1316">IFERROR(INDEX(atlas!H:H,MATCH(A1316,atlas!C:C,0)),"")</f>
        <v/>
      </c>
      <c r="D1316" s="8" t="str">
        <f t="array" ref="D1316">IFERROR(INDEX(atlas!D:D,MATCH(A1316,atlas!C:C,0)),"")</f>
        <v/>
      </c>
      <c r="E1316" s="8" t="str">
        <f t="array" ref="E1316">IFERROR(INDEX(atlas!F:F,MATCH(A1316,atlas!C:C,0)),"")</f>
        <v/>
      </c>
      <c r="F1316" s="9"/>
      <c r="G1316" s="10"/>
      <c r="H1316" s="11"/>
      <c r="I1316" s="12" t="str">
        <f t="array" ref="I1316">IFERROR(INDEX(atlas!B:B,MATCH(A1316,atlas!C:C,0)),"")</f>
        <v/>
      </c>
      <c r="J1316" s="8" t="str">
        <f>IFERROR(VLOOKUP(F1316,tecnica!A:B,2,0),"")</f>
        <v/>
      </c>
      <c r="K1316" s="8" t="str">
        <f>IFERROR(VLOOKUP(J1316,tecnica!B:C,2,0),"")</f>
        <v/>
      </c>
      <c r="L1316" s="13"/>
      <c r="M1316" s="14" t="str">
        <f>IFERROR(VLOOKUP(I1316,material!A:D,4,0),"")</f>
        <v/>
      </c>
      <c r="N1316" s="14" t="str">
        <f t="shared" si="1"/>
        <v/>
      </c>
      <c r="O1316" s="15" t="str">
        <f>IFERROR(VLOOKUP(I1316,material!A:D,2,0),"")</f>
        <v/>
      </c>
    </row>
    <row r="1317">
      <c r="A1317" s="6"/>
      <c r="B1317" s="7"/>
      <c r="C1317" s="8" t="str">
        <f t="array" ref="C1317">IFERROR(INDEX(atlas!H:H,MATCH(A1317,atlas!C:C,0)),"")</f>
        <v/>
      </c>
      <c r="D1317" s="8" t="str">
        <f t="array" ref="D1317">IFERROR(INDEX(atlas!D:D,MATCH(A1317,atlas!C:C,0)),"")</f>
        <v/>
      </c>
      <c r="E1317" s="8" t="str">
        <f t="array" ref="E1317">IFERROR(INDEX(atlas!F:F,MATCH(A1317,atlas!C:C,0)),"")</f>
        <v/>
      </c>
      <c r="F1317" s="9"/>
      <c r="G1317" s="10"/>
      <c r="H1317" s="11"/>
      <c r="I1317" s="12" t="str">
        <f t="array" ref="I1317">IFERROR(INDEX(atlas!B:B,MATCH(A1317,atlas!C:C,0)),"")</f>
        <v/>
      </c>
      <c r="J1317" s="8" t="str">
        <f>IFERROR(VLOOKUP(F1317,tecnica!A:B,2,0),"")</f>
        <v/>
      </c>
      <c r="K1317" s="8" t="str">
        <f>IFERROR(VLOOKUP(J1317,tecnica!B:C,2,0),"")</f>
        <v/>
      </c>
      <c r="L1317" s="13"/>
      <c r="M1317" s="14" t="str">
        <f>IFERROR(VLOOKUP(I1317,material!A:D,4,0),"")</f>
        <v/>
      </c>
      <c r="N1317" s="14" t="str">
        <f t="shared" si="1"/>
        <v/>
      </c>
      <c r="O1317" s="15" t="str">
        <f>IFERROR(VLOOKUP(I1317,material!A:D,2,0),"")</f>
        <v/>
      </c>
    </row>
    <row r="1318">
      <c r="A1318" s="6"/>
      <c r="B1318" s="7"/>
      <c r="C1318" s="8" t="str">
        <f t="array" ref="C1318">IFERROR(INDEX(atlas!H:H,MATCH(A1318,atlas!C:C,0)),"")</f>
        <v/>
      </c>
      <c r="D1318" s="8" t="str">
        <f t="array" ref="D1318">IFERROR(INDEX(atlas!D:D,MATCH(A1318,atlas!C:C,0)),"")</f>
        <v/>
      </c>
      <c r="E1318" s="8" t="str">
        <f t="array" ref="E1318">IFERROR(INDEX(atlas!F:F,MATCH(A1318,atlas!C:C,0)),"")</f>
        <v/>
      </c>
      <c r="F1318" s="9"/>
      <c r="G1318" s="10"/>
      <c r="H1318" s="11"/>
      <c r="I1318" s="12" t="str">
        <f t="array" ref="I1318">IFERROR(INDEX(atlas!B:B,MATCH(A1318,atlas!C:C,0)),"")</f>
        <v/>
      </c>
      <c r="J1318" s="8" t="str">
        <f>IFERROR(VLOOKUP(F1318,tecnica!A:B,2,0),"")</f>
        <v/>
      </c>
      <c r="K1318" s="8" t="str">
        <f>IFERROR(VLOOKUP(J1318,tecnica!B:C,2,0),"")</f>
        <v/>
      </c>
      <c r="L1318" s="13"/>
      <c r="M1318" s="14" t="str">
        <f>IFERROR(VLOOKUP(I1318,material!A:D,4,0),"")</f>
        <v/>
      </c>
      <c r="N1318" s="14" t="str">
        <f t="shared" si="1"/>
        <v/>
      </c>
      <c r="O1318" s="15" t="str">
        <f>IFERROR(VLOOKUP(I1318,material!A:D,2,0),"")</f>
        <v/>
      </c>
    </row>
    <row r="1319">
      <c r="A1319" s="6"/>
      <c r="B1319" s="7"/>
      <c r="C1319" s="8" t="str">
        <f t="array" ref="C1319">IFERROR(INDEX(atlas!H:H,MATCH(A1319,atlas!C:C,0)),"")</f>
        <v/>
      </c>
      <c r="D1319" s="8" t="str">
        <f t="array" ref="D1319">IFERROR(INDEX(atlas!D:D,MATCH(A1319,atlas!C:C,0)),"")</f>
        <v/>
      </c>
      <c r="E1319" s="8" t="str">
        <f t="array" ref="E1319">IFERROR(INDEX(atlas!F:F,MATCH(A1319,atlas!C:C,0)),"")</f>
        <v/>
      </c>
      <c r="F1319" s="9"/>
      <c r="G1319" s="10"/>
      <c r="H1319" s="11"/>
      <c r="I1319" s="12" t="str">
        <f t="array" ref="I1319">IFERROR(INDEX(atlas!B:B,MATCH(A1319,atlas!C:C,0)),"")</f>
        <v/>
      </c>
      <c r="J1319" s="8" t="str">
        <f>IFERROR(VLOOKUP(F1319,tecnica!A:B,2,0),"")</f>
        <v/>
      </c>
      <c r="K1319" s="8" t="str">
        <f>IFERROR(VLOOKUP(J1319,tecnica!B:C,2,0),"")</f>
        <v/>
      </c>
      <c r="L1319" s="13"/>
      <c r="M1319" s="14" t="str">
        <f>IFERROR(VLOOKUP(I1319,material!A:D,4,0),"")</f>
        <v/>
      </c>
      <c r="N1319" s="14" t="str">
        <f t="shared" si="1"/>
        <v/>
      </c>
      <c r="O1319" s="15" t="str">
        <f>IFERROR(VLOOKUP(I1319,material!A:D,2,0),"")</f>
        <v/>
      </c>
    </row>
    <row r="1320">
      <c r="A1320" s="6"/>
      <c r="B1320" s="7"/>
      <c r="C1320" s="8" t="str">
        <f t="array" ref="C1320">IFERROR(INDEX(atlas!H:H,MATCH(A1320,atlas!C:C,0)),"")</f>
        <v/>
      </c>
      <c r="D1320" s="8" t="str">
        <f t="array" ref="D1320">IFERROR(INDEX(atlas!D:D,MATCH(A1320,atlas!C:C,0)),"")</f>
        <v/>
      </c>
      <c r="E1320" s="8" t="str">
        <f t="array" ref="E1320">IFERROR(INDEX(atlas!F:F,MATCH(A1320,atlas!C:C,0)),"")</f>
        <v/>
      </c>
      <c r="F1320" s="9"/>
      <c r="G1320" s="10"/>
      <c r="H1320" s="11"/>
      <c r="I1320" s="12" t="str">
        <f t="array" ref="I1320">IFERROR(INDEX(atlas!B:B,MATCH(A1320,atlas!C:C,0)),"")</f>
        <v/>
      </c>
      <c r="J1320" s="8" t="str">
        <f>IFERROR(VLOOKUP(F1320,tecnica!A:B,2,0),"")</f>
        <v/>
      </c>
      <c r="K1320" s="8" t="str">
        <f>IFERROR(VLOOKUP(J1320,tecnica!B:C,2,0),"")</f>
        <v/>
      </c>
      <c r="L1320" s="13"/>
      <c r="M1320" s="14" t="str">
        <f>IFERROR(VLOOKUP(I1320,material!A:D,4,0),"")</f>
        <v/>
      </c>
      <c r="N1320" s="14" t="str">
        <f t="shared" si="1"/>
        <v/>
      </c>
      <c r="O1320" s="15" t="str">
        <f>IFERROR(VLOOKUP(I1320,material!A:D,2,0),"")</f>
        <v/>
      </c>
    </row>
    <row r="1321">
      <c r="A1321" s="6"/>
      <c r="B1321" s="7"/>
      <c r="C1321" s="8" t="str">
        <f t="array" ref="C1321">IFERROR(INDEX(atlas!H:H,MATCH(A1321,atlas!C:C,0)),"")</f>
        <v/>
      </c>
      <c r="D1321" s="8" t="str">
        <f t="array" ref="D1321">IFERROR(INDEX(atlas!D:D,MATCH(A1321,atlas!C:C,0)),"")</f>
        <v/>
      </c>
      <c r="E1321" s="8" t="str">
        <f t="array" ref="E1321">IFERROR(INDEX(atlas!F:F,MATCH(A1321,atlas!C:C,0)),"")</f>
        <v/>
      </c>
      <c r="F1321" s="9"/>
      <c r="G1321" s="10"/>
      <c r="H1321" s="11"/>
      <c r="I1321" s="12" t="str">
        <f t="array" ref="I1321">IFERROR(INDEX(atlas!B:B,MATCH(A1321,atlas!C:C,0)),"")</f>
        <v/>
      </c>
      <c r="J1321" s="8" t="str">
        <f>IFERROR(VLOOKUP(F1321,tecnica!A:B,2,0),"")</f>
        <v/>
      </c>
      <c r="K1321" s="8" t="str">
        <f>IFERROR(VLOOKUP(J1321,tecnica!B:C,2,0),"")</f>
        <v/>
      </c>
      <c r="L1321" s="13"/>
      <c r="M1321" s="14" t="str">
        <f>IFERROR(VLOOKUP(I1321,material!A:D,4,0),"")</f>
        <v/>
      </c>
      <c r="N1321" s="14" t="str">
        <f t="shared" si="1"/>
        <v/>
      </c>
      <c r="O1321" s="15" t="str">
        <f>IFERROR(VLOOKUP(I1321,material!A:D,2,0),"")</f>
        <v/>
      </c>
    </row>
    <row r="1322">
      <c r="A1322" s="6"/>
      <c r="B1322" s="7"/>
      <c r="C1322" s="8" t="str">
        <f t="array" ref="C1322">IFERROR(INDEX(atlas!H:H,MATCH(A1322,atlas!C:C,0)),"")</f>
        <v/>
      </c>
      <c r="D1322" s="8" t="str">
        <f t="array" ref="D1322">IFERROR(INDEX(atlas!D:D,MATCH(A1322,atlas!C:C,0)),"")</f>
        <v/>
      </c>
      <c r="E1322" s="8" t="str">
        <f t="array" ref="E1322">IFERROR(INDEX(atlas!F:F,MATCH(A1322,atlas!C:C,0)),"")</f>
        <v/>
      </c>
      <c r="F1322" s="9"/>
      <c r="G1322" s="10"/>
      <c r="H1322" s="11"/>
      <c r="I1322" s="12" t="str">
        <f t="array" ref="I1322">IFERROR(INDEX(atlas!B:B,MATCH(A1322,atlas!C:C,0)),"")</f>
        <v/>
      </c>
      <c r="J1322" s="8" t="str">
        <f>IFERROR(VLOOKUP(F1322,tecnica!A:B,2,0),"")</f>
        <v/>
      </c>
      <c r="K1322" s="8" t="str">
        <f>IFERROR(VLOOKUP(J1322,tecnica!B:C,2,0),"")</f>
        <v/>
      </c>
      <c r="L1322" s="13"/>
      <c r="M1322" s="14" t="str">
        <f>IFERROR(VLOOKUP(I1322,material!A:D,4,0),"")</f>
        <v/>
      </c>
      <c r="N1322" s="14" t="str">
        <f t="shared" si="1"/>
        <v/>
      </c>
      <c r="O1322" s="15" t="str">
        <f>IFERROR(VLOOKUP(I1322,material!A:D,2,0),"")</f>
        <v/>
      </c>
    </row>
    <row r="1323">
      <c r="A1323" s="6"/>
      <c r="B1323" s="7"/>
      <c r="C1323" s="8" t="str">
        <f t="array" ref="C1323">IFERROR(INDEX(atlas!H:H,MATCH(A1323,atlas!C:C,0)),"")</f>
        <v/>
      </c>
      <c r="D1323" s="8" t="str">
        <f t="array" ref="D1323">IFERROR(INDEX(atlas!D:D,MATCH(A1323,atlas!C:C,0)),"")</f>
        <v/>
      </c>
      <c r="E1323" s="8" t="str">
        <f t="array" ref="E1323">IFERROR(INDEX(atlas!F:F,MATCH(A1323,atlas!C:C,0)),"")</f>
        <v/>
      </c>
      <c r="F1323" s="9"/>
      <c r="G1323" s="10"/>
      <c r="H1323" s="11"/>
      <c r="I1323" s="12" t="str">
        <f t="array" ref="I1323">IFERROR(INDEX(atlas!B:B,MATCH(A1323,atlas!C:C,0)),"")</f>
        <v/>
      </c>
      <c r="J1323" s="8" t="str">
        <f>IFERROR(VLOOKUP(F1323,tecnica!A:B,2,0),"")</f>
        <v/>
      </c>
      <c r="K1323" s="8" t="str">
        <f>IFERROR(VLOOKUP(J1323,tecnica!B:C,2,0),"")</f>
        <v/>
      </c>
      <c r="L1323" s="13"/>
      <c r="M1323" s="14" t="str">
        <f>IFERROR(VLOOKUP(I1323,material!A:D,4,0),"")</f>
        <v/>
      </c>
      <c r="N1323" s="14" t="str">
        <f t="shared" si="1"/>
        <v/>
      </c>
      <c r="O1323" s="15" t="str">
        <f>IFERROR(VLOOKUP(I1323,material!A:D,2,0),"")</f>
        <v/>
      </c>
    </row>
    <row r="1324">
      <c r="A1324" s="6"/>
      <c r="B1324" s="7"/>
      <c r="C1324" s="8" t="str">
        <f t="array" ref="C1324">IFERROR(INDEX(atlas!H:H,MATCH(A1324,atlas!C:C,0)),"")</f>
        <v/>
      </c>
      <c r="D1324" s="8" t="str">
        <f t="array" ref="D1324">IFERROR(INDEX(atlas!D:D,MATCH(A1324,atlas!C:C,0)),"")</f>
        <v/>
      </c>
      <c r="E1324" s="8" t="str">
        <f t="array" ref="E1324">IFERROR(INDEX(atlas!F:F,MATCH(A1324,atlas!C:C,0)),"")</f>
        <v/>
      </c>
      <c r="F1324" s="9"/>
      <c r="G1324" s="10"/>
      <c r="H1324" s="11"/>
      <c r="I1324" s="12" t="str">
        <f t="array" ref="I1324">IFERROR(INDEX(atlas!B:B,MATCH(A1324,atlas!C:C,0)),"")</f>
        <v/>
      </c>
      <c r="J1324" s="8" t="str">
        <f>IFERROR(VLOOKUP(F1324,tecnica!A:B,2,0),"")</f>
        <v/>
      </c>
      <c r="K1324" s="8" t="str">
        <f>IFERROR(VLOOKUP(J1324,tecnica!B:C,2,0),"")</f>
        <v/>
      </c>
      <c r="L1324" s="13"/>
      <c r="M1324" s="14" t="str">
        <f>IFERROR(VLOOKUP(I1324,material!A:D,4,0),"")</f>
        <v/>
      </c>
      <c r="N1324" s="14" t="str">
        <f t="shared" si="1"/>
        <v/>
      </c>
      <c r="O1324" s="15" t="str">
        <f>IFERROR(VLOOKUP(I1324,material!A:D,2,0),"")</f>
        <v/>
      </c>
    </row>
    <row r="1325">
      <c r="A1325" s="6"/>
      <c r="B1325" s="7"/>
      <c r="C1325" s="8" t="str">
        <f t="array" ref="C1325">IFERROR(INDEX(atlas!H:H,MATCH(A1325,atlas!C:C,0)),"")</f>
        <v/>
      </c>
      <c r="D1325" s="8" t="str">
        <f t="array" ref="D1325">IFERROR(INDEX(atlas!D:D,MATCH(A1325,atlas!C:C,0)),"")</f>
        <v/>
      </c>
      <c r="E1325" s="8" t="str">
        <f t="array" ref="E1325">IFERROR(INDEX(atlas!F:F,MATCH(A1325,atlas!C:C,0)),"")</f>
        <v/>
      </c>
      <c r="F1325" s="9"/>
      <c r="G1325" s="10"/>
      <c r="H1325" s="11"/>
      <c r="I1325" s="12" t="str">
        <f t="array" ref="I1325">IFERROR(INDEX(atlas!B:B,MATCH(A1325,atlas!C:C,0)),"")</f>
        <v/>
      </c>
      <c r="J1325" s="8" t="str">
        <f>IFERROR(VLOOKUP(F1325,tecnica!A:B,2,0),"")</f>
        <v/>
      </c>
      <c r="K1325" s="8" t="str">
        <f>IFERROR(VLOOKUP(J1325,tecnica!B:C,2,0),"")</f>
        <v/>
      </c>
      <c r="L1325" s="13"/>
      <c r="M1325" s="14" t="str">
        <f>IFERROR(VLOOKUP(I1325,material!A:D,4,0),"")</f>
        <v/>
      </c>
      <c r="N1325" s="14" t="str">
        <f t="shared" si="1"/>
        <v/>
      </c>
      <c r="O1325" s="15" t="str">
        <f>IFERROR(VLOOKUP(I1325,material!A:D,2,0),"")</f>
        <v/>
      </c>
    </row>
    <row r="1326">
      <c r="A1326" s="6"/>
      <c r="B1326" s="7"/>
      <c r="C1326" s="8" t="str">
        <f t="array" ref="C1326">IFERROR(INDEX(atlas!H:H,MATCH(A1326,atlas!C:C,0)),"")</f>
        <v/>
      </c>
      <c r="D1326" s="8" t="str">
        <f t="array" ref="D1326">IFERROR(INDEX(atlas!D:D,MATCH(A1326,atlas!C:C,0)),"")</f>
        <v/>
      </c>
      <c r="E1326" s="8" t="str">
        <f t="array" ref="E1326">IFERROR(INDEX(atlas!F:F,MATCH(A1326,atlas!C:C,0)),"")</f>
        <v/>
      </c>
      <c r="F1326" s="9"/>
      <c r="G1326" s="10"/>
      <c r="H1326" s="11"/>
      <c r="I1326" s="12" t="str">
        <f t="array" ref="I1326">IFERROR(INDEX(atlas!B:B,MATCH(A1326,atlas!C:C,0)),"")</f>
        <v/>
      </c>
      <c r="J1326" s="8" t="str">
        <f>IFERROR(VLOOKUP(F1326,tecnica!A:B,2,0),"")</f>
        <v/>
      </c>
      <c r="K1326" s="8" t="str">
        <f>IFERROR(VLOOKUP(J1326,tecnica!B:C,2,0),"")</f>
        <v/>
      </c>
      <c r="L1326" s="13"/>
      <c r="M1326" s="14" t="str">
        <f>IFERROR(VLOOKUP(I1326,material!A:D,4,0),"")</f>
        <v/>
      </c>
      <c r="N1326" s="14" t="str">
        <f t="shared" si="1"/>
        <v/>
      </c>
      <c r="O1326" s="15" t="str">
        <f>IFERROR(VLOOKUP(I1326,material!A:D,2,0),"")</f>
        <v/>
      </c>
    </row>
    <row r="1327">
      <c r="A1327" s="6"/>
      <c r="B1327" s="7"/>
      <c r="C1327" s="8" t="str">
        <f t="array" ref="C1327">IFERROR(INDEX(atlas!H:H,MATCH(A1327,atlas!C:C,0)),"")</f>
        <v/>
      </c>
      <c r="D1327" s="8" t="str">
        <f t="array" ref="D1327">IFERROR(INDEX(atlas!D:D,MATCH(A1327,atlas!C:C,0)),"")</f>
        <v/>
      </c>
      <c r="E1327" s="8" t="str">
        <f t="array" ref="E1327">IFERROR(INDEX(atlas!F:F,MATCH(A1327,atlas!C:C,0)),"")</f>
        <v/>
      </c>
      <c r="F1327" s="9"/>
      <c r="G1327" s="10"/>
      <c r="H1327" s="11"/>
      <c r="I1327" s="12" t="str">
        <f t="array" ref="I1327">IFERROR(INDEX(atlas!B:B,MATCH(A1327,atlas!C:C,0)),"")</f>
        <v/>
      </c>
      <c r="J1327" s="8" t="str">
        <f>IFERROR(VLOOKUP(F1327,tecnica!A:B,2,0),"")</f>
        <v/>
      </c>
      <c r="K1327" s="8" t="str">
        <f>IFERROR(VLOOKUP(J1327,tecnica!B:C,2,0),"")</f>
        <v/>
      </c>
      <c r="L1327" s="13"/>
      <c r="M1327" s="14" t="str">
        <f>IFERROR(VLOOKUP(I1327,material!A:D,4,0),"")</f>
        <v/>
      </c>
      <c r="N1327" s="14" t="str">
        <f t="shared" si="1"/>
        <v/>
      </c>
      <c r="O1327" s="15" t="str">
        <f>IFERROR(VLOOKUP(I1327,material!A:D,2,0),"")</f>
        <v/>
      </c>
    </row>
    <row r="1328">
      <c r="A1328" s="6"/>
      <c r="B1328" s="7"/>
      <c r="C1328" s="8" t="str">
        <f t="array" ref="C1328">IFERROR(INDEX(atlas!H:H,MATCH(A1328,atlas!C:C,0)),"")</f>
        <v/>
      </c>
      <c r="D1328" s="8" t="str">
        <f t="array" ref="D1328">IFERROR(INDEX(atlas!D:D,MATCH(A1328,atlas!C:C,0)),"")</f>
        <v/>
      </c>
      <c r="E1328" s="8" t="str">
        <f t="array" ref="E1328">IFERROR(INDEX(atlas!F:F,MATCH(A1328,atlas!C:C,0)),"")</f>
        <v/>
      </c>
      <c r="F1328" s="9"/>
      <c r="G1328" s="10"/>
      <c r="H1328" s="11"/>
      <c r="I1328" s="12" t="str">
        <f t="array" ref="I1328">IFERROR(INDEX(atlas!B:B,MATCH(A1328,atlas!C:C,0)),"")</f>
        <v/>
      </c>
      <c r="J1328" s="8" t="str">
        <f>IFERROR(VLOOKUP(F1328,tecnica!A:B,2,0),"")</f>
        <v/>
      </c>
      <c r="K1328" s="8" t="str">
        <f>IFERROR(VLOOKUP(J1328,tecnica!B:C,2,0),"")</f>
        <v/>
      </c>
      <c r="L1328" s="13"/>
      <c r="M1328" s="14" t="str">
        <f>IFERROR(VLOOKUP(I1328,material!A:D,4,0),"")</f>
        <v/>
      </c>
      <c r="N1328" s="14" t="str">
        <f t="shared" si="1"/>
        <v/>
      </c>
      <c r="O1328" s="15" t="str">
        <f>IFERROR(VLOOKUP(I1328,material!A:D,2,0),"")</f>
        <v/>
      </c>
    </row>
    <row r="1329">
      <c r="A1329" s="6"/>
      <c r="B1329" s="7"/>
      <c r="C1329" s="8" t="str">
        <f t="array" ref="C1329">IFERROR(INDEX(atlas!H:H,MATCH(A1329,atlas!C:C,0)),"")</f>
        <v/>
      </c>
      <c r="D1329" s="8" t="str">
        <f t="array" ref="D1329">IFERROR(INDEX(atlas!D:D,MATCH(A1329,atlas!C:C,0)),"")</f>
        <v/>
      </c>
      <c r="E1329" s="8" t="str">
        <f t="array" ref="E1329">IFERROR(INDEX(atlas!F:F,MATCH(A1329,atlas!C:C,0)),"")</f>
        <v/>
      </c>
      <c r="F1329" s="9"/>
      <c r="G1329" s="10"/>
      <c r="H1329" s="11"/>
      <c r="I1329" s="12" t="str">
        <f t="array" ref="I1329">IFERROR(INDEX(atlas!B:B,MATCH(A1329,atlas!C:C,0)),"")</f>
        <v/>
      </c>
      <c r="J1329" s="8" t="str">
        <f>IFERROR(VLOOKUP(F1329,tecnica!A:B,2,0),"")</f>
        <v/>
      </c>
      <c r="K1329" s="8" t="str">
        <f>IFERROR(VLOOKUP(J1329,tecnica!B:C,2,0),"")</f>
        <v/>
      </c>
      <c r="L1329" s="13"/>
      <c r="M1329" s="14" t="str">
        <f>IFERROR(VLOOKUP(I1329,material!A:D,4,0),"")</f>
        <v/>
      </c>
      <c r="N1329" s="14" t="str">
        <f t="shared" si="1"/>
        <v/>
      </c>
      <c r="O1329" s="15" t="str">
        <f>IFERROR(VLOOKUP(I1329,material!A:D,2,0),"")</f>
        <v/>
      </c>
    </row>
    <row r="1330">
      <c r="A1330" s="6"/>
      <c r="B1330" s="7"/>
      <c r="C1330" s="8" t="str">
        <f t="array" ref="C1330">IFERROR(INDEX(atlas!H:H,MATCH(A1330,atlas!C:C,0)),"")</f>
        <v/>
      </c>
      <c r="D1330" s="8" t="str">
        <f t="array" ref="D1330">IFERROR(INDEX(atlas!D:D,MATCH(A1330,atlas!C:C,0)),"")</f>
        <v/>
      </c>
      <c r="E1330" s="8" t="str">
        <f t="array" ref="E1330">IFERROR(INDEX(atlas!F:F,MATCH(A1330,atlas!C:C,0)),"")</f>
        <v/>
      </c>
      <c r="F1330" s="9"/>
      <c r="G1330" s="10"/>
      <c r="H1330" s="11"/>
      <c r="I1330" s="12" t="str">
        <f t="array" ref="I1330">IFERROR(INDEX(atlas!B:B,MATCH(A1330,atlas!C:C,0)),"")</f>
        <v/>
      </c>
      <c r="J1330" s="8" t="str">
        <f>IFERROR(VLOOKUP(F1330,tecnica!A:B,2,0),"")</f>
        <v/>
      </c>
      <c r="K1330" s="8" t="str">
        <f>IFERROR(VLOOKUP(J1330,tecnica!B:C,2,0),"")</f>
        <v/>
      </c>
      <c r="L1330" s="13"/>
      <c r="M1330" s="14" t="str">
        <f>IFERROR(VLOOKUP(I1330,material!A:D,4,0),"")</f>
        <v/>
      </c>
      <c r="N1330" s="14" t="str">
        <f t="shared" si="1"/>
        <v/>
      </c>
      <c r="O1330" s="15" t="str">
        <f>IFERROR(VLOOKUP(I1330,material!A:D,2,0),"")</f>
        <v/>
      </c>
    </row>
    <row r="1331">
      <c r="A1331" s="6"/>
      <c r="B1331" s="7"/>
      <c r="C1331" s="8" t="str">
        <f t="array" ref="C1331">IFERROR(INDEX(atlas!H:H,MATCH(A1331,atlas!C:C,0)),"")</f>
        <v/>
      </c>
      <c r="D1331" s="8" t="str">
        <f t="array" ref="D1331">IFERROR(INDEX(atlas!D:D,MATCH(A1331,atlas!C:C,0)),"")</f>
        <v/>
      </c>
      <c r="E1331" s="8" t="str">
        <f t="array" ref="E1331">IFERROR(INDEX(atlas!F:F,MATCH(A1331,atlas!C:C,0)),"")</f>
        <v/>
      </c>
      <c r="F1331" s="9"/>
      <c r="G1331" s="10"/>
      <c r="H1331" s="11"/>
      <c r="I1331" s="12" t="str">
        <f t="array" ref="I1331">IFERROR(INDEX(atlas!B:B,MATCH(A1331,atlas!C:C,0)),"")</f>
        <v/>
      </c>
      <c r="J1331" s="8" t="str">
        <f>IFERROR(VLOOKUP(F1331,tecnica!A:B,2,0),"")</f>
        <v/>
      </c>
      <c r="K1331" s="8" t="str">
        <f>IFERROR(VLOOKUP(J1331,tecnica!B:C,2,0),"")</f>
        <v/>
      </c>
      <c r="L1331" s="13"/>
      <c r="M1331" s="14" t="str">
        <f>IFERROR(VLOOKUP(I1331,material!A:D,4,0),"")</f>
        <v/>
      </c>
      <c r="N1331" s="14" t="str">
        <f t="shared" si="1"/>
        <v/>
      </c>
      <c r="O1331" s="15" t="str">
        <f>IFERROR(VLOOKUP(I1331,material!A:D,2,0),"")</f>
        <v/>
      </c>
    </row>
    <row r="1332">
      <c r="A1332" s="6"/>
      <c r="B1332" s="7"/>
      <c r="C1332" s="8" t="str">
        <f t="array" ref="C1332">IFERROR(INDEX(atlas!H:H,MATCH(A1332,atlas!C:C,0)),"")</f>
        <v/>
      </c>
      <c r="D1332" s="8" t="str">
        <f t="array" ref="D1332">IFERROR(INDEX(atlas!D:D,MATCH(A1332,atlas!C:C,0)),"")</f>
        <v/>
      </c>
      <c r="E1332" s="8" t="str">
        <f t="array" ref="E1332">IFERROR(INDEX(atlas!F:F,MATCH(A1332,atlas!C:C,0)),"")</f>
        <v/>
      </c>
      <c r="F1332" s="9"/>
      <c r="G1332" s="10"/>
      <c r="H1332" s="11"/>
      <c r="I1332" s="12" t="str">
        <f t="array" ref="I1332">IFERROR(INDEX(atlas!B:B,MATCH(A1332,atlas!C:C,0)),"")</f>
        <v/>
      </c>
      <c r="J1332" s="8" t="str">
        <f>IFERROR(VLOOKUP(F1332,tecnica!A:B,2,0),"")</f>
        <v/>
      </c>
      <c r="K1332" s="8" t="str">
        <f>IFERROR(VLOOKUP(J1332,tecnica!B:C,2,0),"")</f>
        <v/>
      </c>
      <c r="L1332" s="13"/>
      <c r="M1332" s="14" t="str">
        <f>IFERROR(VLOOKUP(I1332,material!A:D,4,0),"")</f>
        <v/>
      </c>
      <c r="N1332" s="14" t="str">
        <f t="shared" si="1"/>
        <v/>
      </c>
      <c r="O1332" s="15" t="str">
        <f>IFERROR(VLOOKUP(I1332,material!A:D,2,0),"")</f>
        <v/>
      </c>
    </row>
    <row r="1333">
      <c r="A1333" s="6"/>
      <c r="B1333" s="7"/>
      <c r="C1333" s="8" t="str">
        <f t="array" ref="C1333">IFERROR(INDEX(atlas!H:H,MATCH(A1333,atlas!C:C,0)),"")</f>
        <v/>
      </c>
      <c r="D1333" s="8" t="str">
        <f t="array" ref="D1333">IFERROR(INDEX(atlas!D:D,MATCH(A1333,atlas!C:C,0)),"")</f>
        <v/>
      </c>
      <c r="E1333" s="8" t="str">
        <f t="array" ref="E1333">IFERROR(INDEX(atlas!F:F,MATCH(A1333,atlas!C:C,0)),"")</f>
        <v/>
      </c>
      <c r="F1333" s="9"/>
      <c r="G1333" s="10"/>
      <c r="H1333" s="11"/>
      <c r="I1333" s="12" t="str">
        <f t="array" ref="I1333">IFERROR(INDEX(atlas!B:B,MATCH(A1333,atlas!C:C,0)),"")</f>
        <v/>
      </c>
      <c r="J1333" s="8" t="str">
        <f>IFERROR(VLOOKUP(F1333,tecnica!A:B,2,0),"")</f>
        <v/>
      </c>
      <c r="K1333" s="8" t="str">
        <f>IFERROR(VLOOKUP(J1333,tecnica!B:C,2,0),"")</f>
        <v/>
      </c>
      <c r="L1333" s="13"/>
      <c r="M1333" s="14" t="str">
        <f>IFERROR(VLOOKUP(I1333,material!A:D,4,0),"")</f>
        <v/>
      </c>
      <c r="N1333" s="14" t="str">
        <f t="shared" si="1"/>
        <v/>
      </c>
      <c r="O1333" s="15" t="str">
        <f>IFERROR(VLOOKUP(I1333,material!A:D,2,0),"")</f>
        <v/>
      </c>
    </row>
    <row r="1334">
      <c r="A1334" s="6"/>
      <c r="B1334" s="7"/>
      <c r="C1334" s="8" t="str">
        <f t="array" ref="C1334">IFERROR(INDEX(atlas!H:H,MATCH(A1334,atlas!C:C,0)),"")</f>
        <v/>
      </c>
      <c r="D1334" s="8" t="str">
        <f t="array" ref="D1334">IFERROR(INDEX(atlas!D:D,MATCH(A1334,atlas!C:C,0)),"")</f>
        <v/>
      </c>
      <c r="E1334" s="8" t="str">
        <f t="array" ref="E1334">IFERROR(INDEX(atlas!F:F,MATCH(A1334,atlas!C:C,0)),"")</f>
        <v/>
      </c>
      <c r="F1334" s="9"/>
      <c r="G1334" s="10"/>
      <c r="H1334" s="11"/>
      <c r="I1334" s="12" t="str">
        <f t="array" ref="I1334">IFERROR(INDEX(atlas!B:B,MATCH(A1334,atlas!C:C,0)),"")</f>
        <v/>
      </c>
      <c r="J1334" s="8" t="str">
        <f>IFERROR(VLOOKUP(F1334,tecnica!A:B,2,0),"")</f>
        <v/>
      </c>
      <c r="K1334" s="8" t="str">
        <f>IFERROR(VLOOKUP(J1334,tecnica!B:C,2,0),"")</f>
        <v/>
      </c>
      <c r="L1334" s="13"/>
      <c r="M1334" s="14" t="str">
        <f>IFERROR(VLOOKUP(I1334,material!A:D,4,0),"")</f>
        <v/>
      </c>
      <c r="N1334" s="14" t="str">
        <f t="shared" si="1"/>
        <v/>
      </c>
      <c r="O1334" s="15" t="str">
        <f>IFERROR(VLOOKUP(I1334,material!A:D,2,0),"")</f>
        <v/>
      </c>
    </row>
    <row r="1335">
      <c r="A1335" s="6"/>
      <c r="B1335" s="7"/>
      <c r="C1335" s="8" t="str">
        <f t="array" ref="C1335">IFERROR(INDEX(atlas!H:H,MATCH(A1335,atlas!C:C,0)),"")</f>
        <v/>
      </c>
      <c r="D1335" s="8" t="str">
        <f t="array" ref="D1335">IFERROR(INDEX(atlas!D:D,MATCH(A1335,atlas!C:C,0)),"")</f>
        <v/>
      </c>
      <c r="E1335" s="8" t="str">
        <f t="array" ref="E1335">IFERROR(INDEX(atlas!F:F,MATCH(A1335,atlas!C:C,0)),"")</f>
        <v/>
      </c>
      <c r="F1335" s="9"/>
      <c r="G1335" s="10"/>
      <c r="H1335" s="11"/>
      <c r="I1335" s="12" t="str">
        <f t="array" ref="I1335">IFERROR(INDEX(atlas!B:B,MATCH(A1335,atlas!C:C,0)),"")</f>
        <v/>
      </c>
      <c r="J1335" s="8" t="str">
        <f>IFERROR(VLOOKUP(F1335,tecnica!A:B,2,0),"")</f>
        <v/>
      </c>
      <c r="K1335" s="8" t="str">
        <f>IFERROR(VLOOKUP(J1335,tecnica!B:C,2,0),"")</f>
        <v/>
      </c>
      <c r="L1335" s="13"/>
      <c r="M1335" s="14" t="str">
        <f>IFERROR(VLOOKUP(I1335,material!A:D,4,0),"")</f>
        <v/>
      </c>
      <c r="N1335" s="14" t="str">
        <f t="shared" si="1"/>
        <v/>
      </c>
      <c r="O1335" s="15" t="str">
        <f>IFERROR(VLOOKUP(I1335,material!A:D,2,0),"")</f>
        <v/>
      </c>
    </row>
    <row r="1336">
      <c r="A1336" s="6"/>
      <c r="B1336" s="7"/>
      <c r="C1336" s="8" t="str">
        <f t="array" ref="C1336">IFERROR(INDEX(atlas!H:H,MATCH(A1336,atlas!C:C,0)),"")</f>
        <v/>
      </c>
      <c r="D1336" s="8" t="str">
        <f t="array" ref="D1336">IFERROR(INDEX(atlas!D:D,MATCH(A1336,atlas!C:C,0)),"")</f>
        <v/>
      </c>
      <c r="E1336" s="8" t="str">
        <f t="array" ref="E1336">IFERROR(INDEX(atlas!F:F,MATCH(A1336,atlas!C:C,0)),"")</f>
        <v/>
      </c>
      <c r="F1336" s="9"/>
      <c r="G1336" s="10"/>
      <c r="H1336" s="11"/>
      <c r="I1336" s="12" t="str">
        <f t="array" ref="I1336">IFERROR(INDEX(atlas!B:B,MATCH(A1336,atlas!C:C,0)),"")</f>
        <v/>
      </c>
      <c r="J1336" s="8" t="str">
        <f>IFERROR(VLOOKUP(F1336,tecnica!A:B,2,0),"")</f>
        <v/>
      </c>
      <c r="K1336" s="8" t="str">
        <f>IFERROR(VLOOKUP(J1336,tecnica!B:C,2,0),"")</f>
        <v/>
      </c>
      <c r="L1336" s="13"/>
      <c r="M1336" s="14" t="str">
        <f>IFERROR(VLOOKUP(I1336,material!A:D,4,0),"")</f>
        <v/>
      </c>
      <c r="N1336" s="14" t="str">
        <f t="shared" si="1"/>
        <v/>
      </c>
      <c r="O1336" s="15" t="str">
        <f>IFERROR(VLOOKUP(I1336,material!A:D,2,0),"")</f>
        <v/>
      </c>
    </row>
    <row r="1337">
      <c r="A1337" s="6"/>
      <c r="B1337" s="7"/>
      <c r="C1337" s="8" t="str">
        <f t="array" ref="C1337">IFERROR(INDEX(atlas!H:H,MATCH(A1337,atlas!C:C,0)),"")</f>
        <v/>
      </c>
      <c r="D1337" s="8" t="str">
        <f t="array" ref="D1337">IFERROR(INDEX(atlas!D:D,MATCH(A1337,atlas!C:C,0)),"")</f>
        <v/>
      </c>
      <c r="E1337" s="8" t="str">
        <f t="array" ref="E1337">IFERROR(INDEX(atlas!F:F,MATCH(A1337,atlas!C:C,0)),"")</f>
        <v/>
      </c>
      <c r="F1337" s="9"/>
      <c r="G1337" s="10"/>
      <c r="H1337" s="11"/>
      <c r="I1337" s="12" t="str">
        <f t="array" ref="I1337">IFERROR(INDEX(atlas!B:B,MATCH(A1337,atlas!C:C,0)),"")</f>
        <v/>
      </c>
      <c r="J1337" s="8" t="str">
        <f>IFERROR(VLOOKUP(F1337,tecnica!A:B,2,0),"")</f>
        <v/>
      </c>
      <c r="K1337" s="8" t="str">
        <f>IFERROR(VLOOKUP(J1337,tecnica!B:C,2,0),"")</f>
        <v/>
      </c>
      <c r="L1337" s="13"/>
      <c r="M1337" s="14" t="str">
        <f>IFERROR(VLOOKUP(I1337,material!A:D,4,0),"")</f>
        <v/>
      </c>
      <c r="N1337" s="14" t="str">
        <f t="shared" si="1"/>
        <v/>
      </c>
      <c r="O1337" s="15" t="str">
        <f>IFERROR(VLOOKUP(I1337,material!A:D,2,0),"")</f>
        <v/>
      </c>
    </row>
    <row r="1338">
      <c r="A1338" s="6"/>
      <c r="B1338" s="7"/>
      <c r="C1338" s="8" t="str">
        <f t="array" ref="C1338">IFERROR(INDEX(atlas!H:H,MATCH(A1338,atlas!C:C,0)),"")</f>
        <v/>
      </c>
      <c r="D1338" s="8" t="str">
        <f t="array" ref="D1338">IFERROR(INDEX(atlas!D:D,MATCH(A1338,atlas!C:C,0)),"")</f>
        <v/>
      </c>
      <c r="E1338" s="8" t="str">
        <f t="array" ref="E1338">IFERROR(INDEX(atlas!F:F,MATCH(A1338,atlas!C:C,0)),"")</f>
        <v/>
      </c>
      <c r="F1338" s="9"/>
      <c r="G1338" s="10"/>
      <c r="H1338" s="11"/>
      <c r="I1338" s="12" t="str">
        <f t="array" ref="I1338">IFERROR(INDEX(atlas!B:B,MATCH(A1338,atlas!C:C,0)),"")</f>
        <v/>
      </c>
      <c r="J1338" s="8" t="str">
        <f>IFERROR(VLOOKUP(F1338,tecnica!A:B,2,0),"")</f>
        <v/>
      </c>
      <c r="K1338" s="8" t="str">
        <f>IFERROR(VLOOKUP(J1338,tecnica!B:C,2,0),"")</f>
        <v/>
      </c>
      <c r="L1338" s="13"/>
      <c r="M1338" s="14" t="str">
        <f>IFERROR(VLOOKUP(I1338,material!A:D,4,0),"")</f>
        <v/>
      </c>
      <c r="N1338" s="14" t="str">
        <f t="shared" si="1"/>
        <v/>
      </c>
      <c r="O1338" s="15" t="str">
        <f>IFERROR(VLOOKUP(I1338,material!A:D,2,0),"")</f>
        <v/>
      </c>
    </row>
    <row r="1339">
      <c r="A1339" s="6"/>
      <c r="B1339" s="7"/>
      <c r="C1339" s="8" t="str">
        <f t="array" ref="C1339">IFERROR(INDEX(atlas!H:H,MATCH(A1339,atlas!C:C,0)),"")</f>
        <v/>
      </c>
      <c r="D1339" s="8" t="str">
        <f t="array" ref="D1339">IFERROR(INDEX(atlas!D:D,MATCH(A1339,atlas!C:C,0)),"")</f>
        <v/>
      </c>
      <c r="E1339" s="8" t="str">
        <f t="array" ref="E1339">IFERROR(INDEX(atlas!F:F,MATCH(A1339,atlas!C:C,0)),"")</f>
        <v/>
      </c>
      <c r="F1339" s="9"/>
      <c r="G1339" s="10"/>
      <c r="H1339" s="11"/>
      <c r="I1339" s="12" t="str">
        <f t="array" ref="I1339">IFERROR(INDEX(atlas!B:B,MATCH(A1339,atlas!C:C,0)),"")</f>
        <v/>
      </c>
      <c r="J1339" s="8" t="str">
        <f>IFERROR(VLOOKUP(F1339,tecnica!A:B,2,0),"")</f>
        <v/>
      </c>
      <c r="K1339" s="8" t="str">
        <f>IFERROR(VLOOKUP(J1339,tecnica!B:C,2,0),"")</f>
        <v/>
      </c>
      <c r="L1339" s="13"/>
      <c r="M1339" s="14" t="str">
        <f>IFERROR(VLOOKUP(I1339,material!A:D,4,0),"")</f>
        <v/>
      </c>
      <c r="N1339" s="14" t="str">
        <f t="shared" si="1"/>
        <v/>
      </c>
      <c r="O1339" s="15" t="str">
        <f>IFERROR(VLOOKUP(I1339,material!A:D,2,0),"")</f>
        <v/>
      </c>
    </row>
    <row r="1340">
      <c r="A1340" s="6"/>
      <c r="B1340" s="7"/>
      <c r="C1340" s="8" t="str">
        <f t="array" ref="C1340">IFERROR(INDEX(atlas!H:H,MATCH(A1340,atlas!C:C,0)),"")</f>
        <v/>
      </c>
      <c r="D1340" s="8" t="str">
        <f t="array" ref="D1340">IFERROR(INDEX(atlas!D:D,MATCH(A1340,atlas!C:C,0)),"")</f>
        <v/>
      </c>
      <c r="E1340" s="8" t="str">
        <f t="array" ref="E1340">IFERROR(INDEX(atlas!F:F,MATCH(A1340,atlas!C:C,0)),"")</f>
        <v/>
      </c>
      <c r="F1340" s="9"/>
      <c r="G1340" s="10"/>
      <c r="H1340" s="11"/>
      <c r="I1340" s="12" t="str">
        <f t="array" ref="I1340">IFERROR(INDEX(atlas!B:B,MATCH(A1340,atlas!C:C,0)),"")</f>
        <v/>
      </c>
      <c r="J1340" s="8" t="str">
        <f>IFERROR(VLOOKUP(F1340,tecnica!A:B,2,0),"")</f>
        <v/>
      </c>
      <c r="K1340" s="8" t="str">
        <f>IFERROR(VLOOKUP(J1340,tecnica!B:C,2,0),"")</f>
        <v/>
      </c>
      <c r="L1340" s="13"/>
      <c r="M1340" s="14" t="str">
        <f>IFERROR(VLOOKUP(I1340,material!A:D,4,0),"")</f>
        <v/>
      </c>
      <c r="N1340" s="14" t="str">
        <f t="shared" si="1"/>
        <v/>
      </c>
      <c r="O1340" s="15" t="str">
        <f>IFERROR(VLOOKUP(I1340,material!A:D,2,0),"")</f>
        <v/>
      </c>
    </row>
    <row r="1341">
      <c r="A1341" s="6"/>
      <c r="B1341" s="7"/>
      <c r="C1341" s="8" t="str">
        <f t="array" ref="C1341">IFERROR(INDEX(atlas!H:H,MATCH(A1341,atlas!C:C,0)),"")</f>
        <v/>
      </c>
      <c r="D1341" s="8" t="str">
        <f t="array" ref="D1341">IFERROR(INDEX(atlas!D:D,MATCH(A1341,atlas!C:C,0)),"")</f>
        <v/>
      </c>
      <c r="E1341" s="8" t="str">
        <f t="array" ref="E1341">IFERROR(INDEX(atlas!F:F,MATCH(A1341,atlas!C:C,0)),"")</f>
        <v/>
      </c>
      <c r="F1341" s="9"/>
      <c r="G1341" s="10"/>
      <c r="H1341" s="11"/>
      <c r="I1341" s="12" t="str">
        <f t="array" ref="I1341">IFERROR(INDEX(atlas!B:B,MATCH(A1341,atlas!C:C,0)),"")</f>
        <v/>
      </c>
      <c r="J1341" s="8" t="str">
        <f>IFERROR(VLOOKUP(F1341,tecnica!A:B,2,0),"")</f>
        <v/>
      </c>
      <c r="K1341" s="8" t="str">
        <f>IFERROR(VLOOKUP(J1341,tecnica!B:C,2,0),"")</f>
        <v/>
      </c>
      <c r="L1341" s="13"/>
      <c r="M1341" s="14" t="str">
        <f>IFERROR(VLOOKUP(I1341,material!A:D,4,0),"")</f>
        <v/>
      </c>
      <c r="N1341" s="14" t="str">
        <f t="shared" si="1"/>
        <v/>
      </c>
      <c r="O1341" s="15" t="str">
        <f>IFERROR(VLOOKUP(I1341,material!A:D,2,0),"")</f>
        <v/>
      </c>
    </row>
    <row r="1342">
      <c r="A1342" s="6"/>
      <c r="B1342" s="7"/>
      <c r="C1342" s="8" t="str">
        <f t="array" ref="C1342">IFERROR(INDEX(atlas!H:H,MATCH(A1342,atlas!C:C,0)),"")</f>
        <v/>
      </c>
      <c r="D1342" s="8" t="str">
        <f t="array" ref="D1342">IFERROR(INDEX(atlas!D:D,MATCH(A1342,atlas!C:C,0)),"")</f>
        <v/>
      </c>
      <c r="E1342" s="8" t="str">
        <f t="array" ref="E1342">IFERROR(INDEX(atlas!F:F,MATCH(A1342,atlas!C:C,0)),"")</f>
        <v/>
      </c>
      <c r="F1342" s="9"/>
      <c r="G1342" s="10"/>
      <c r="H1342" s="11"/>
      <c r="I1342" s="12" t="str">
        <f t="array" ref="I1342">IFERROR(INDEX(atlas!B:B,MATCH(A1342,atlas!C:C,0)),"")</f>
        <v/>
      </c>
      <c r="J1342" s="8" t="str">
        <f>IFERROR(VLOOKUP(F1342,tecnica!A:B,2,0),"")</f>
        <v/>
      </c>
      <c r="K1342" s="8" t="str">
        <f>IFERROR(VLOOKUP(J1342,tecnica!B:C,2,0),"")</f>
        <v/>
      </c>
      <c r="L1342" s="13"/>
      <c r="M1342" s="14" t="str">
        <f>IFERROR(VLOOKUP(I1342,material!A:D,4,0),"")</f>
        <v/>
      </c>
      <c r="N1342" s="14" t="str">
        <f t="shared" si="1"/>
        <v/>
      </c>
      <c r="O1342" s="15" t="str">
        <f>IFERROR(VLOOKUP(I1342,material!A:D,2,0),"")</f>
        <v/>
      </c>
    </row>
    <row r="1343">
      <c r="A1343" s="6"/>
      <c r="B1343" s="7"/>
      <c r="C1343" s="8" t="str">
        <f t="array" ref="C1343">IFERROR(INDEX(atlas!H:H,MATCH(A1343,atlas!C:C,0)),"")</f>
        <v/>
      </c>
      <c r="D1343" s="8" t="str">
        <f t="array" ref="D1343">IFERROR(INDEX(atlas!D:D,MATCH(A1343,atlas!C:C,0)),"")</f>
        <v/>
      </c>
      <c r="E1343" s="8" t="str">
        <f t="array" ref="E1343">IFERROR(INDEX(atlas!F:F,MATCH(A1343,atlas!C:C,0)),"")</f>
        <v/>
      </c>
      <c r="F1343" s="9"/>
      <c r="G1343" s="10"/>
      <c r="H1343" s="11"/>
      <c r="I1343" s="12" t="str">
        <f t="array" ref="I1343">IFERROR(INDEX(atlas!B:B,MATCH(A1343,atlas!C:C,0)),"")</f>
        <v/>
      </c>
      <c r="J1343" s="8" t="str">
        <f>IFERROR(VLOOKUP(F1343,tecnica!A:B,2,0),"")</f>
        <v/>
      </c>
      <c r="K1343" s="8" t="str">
        <f>IFERROR(VLOOKUP(J1343,tecnica!B:C,2,0),"")</f>
        <v/>
      </c>
      <c r="L1343" s="13"/>
      <c r="M1343" s="14" t="str">
        <f>IFERROR(VLOOKUP(I1343,material!A:D,4,0),"")</f>
        <v/>
      </c>
      <c r="N1343" s="14" t="str">
        <f t="shared" si="1"/>
        <v/>
      </c>
      <c r="O1343" s="15" t="str">
        <f>IFERROR(VLOOKUP(I1343,material!A:D,2,0),"")</f>
        <v/>
      </c>
    </row>
    <row r="1344">
      <c r="A1344" s="6"/>
      <c r="B1344" s="7"/>
      <c r="C1344" s="8" t="str">
        <f t="array" ref="C1344">IFERROR(INDEX(atlas!H:H,MATCH(A1344,atlas!C:C,0)),"")</f>
        <v/>
      </c>
      <c r="D1344" s="8" t="str">
        <f t="array" ref="D1344">IFERROR(INDEX(atlas!D:D,MATCH(A1344,atlas!C:C,0)),"")</f>
        <v/>
      </c>
      <c r="E1344" s="8" t="str">
        <f t="array" ref="E1344">IFERROR(INDEX(atlas!F:F,MATCH(A1344,atlas!C:C,0)),"")</f>
        <v/>
      </c>
      <c r="F1344" s="9"/>
      <c r="G1344" s="10"/>
      <c r="H1344" s="11"/>
      <c r="I1344" s="12" t="str">
        <f t="array" ref="I1344">IFERROR(INDEX(atlas!B:B,MATCH(A1344,atlas!C:C,0)),"")</f>
        <v/>
      </c>
      <c r="J1344" s="8" t="str">
        <f>IFERROR(VLOOKUP(F1344,tecnica!A:B,2,0),"")</f>
        <v/>
      </c>
      <c r="K1344" s="8" t="str">
        <f>IFERROR(VLOOKUP(J1344,tecnica!B:C,2,0),"")</f>
        <v/>
      </c>
      <c r="L1344" s="13"/>
      <c r="M1344" s="14" t="str">
        <f>IFERROR(VLOOKUP(I1344,material!A:D,4,0),"")</f>
        <v/>
      </c>
      <c r="N1344" s="14" t="str">
        <f t="shared" si="1"/>
        <v/>
      </c>
      <c r="O1344" s="15" t="str">
        <f>IFERROR(VLOOKUP(I1344,material!A:D,2,0),"")</f>
        <v/>
      </c>
    </row>
    <row r="1345">
      <c r="A1345" s="6"/>
      <c r="B1345" s="7"/>
      <c r="C1345" s="8" t="str">
        <f t="array" ref="C1345">IFERROR(INDEX(atlas!H:H,MATCH(A1345,atlas!C:C,0)),"")</f>
        <v/>
      </c>
      <c r="D1345" s="8" t="str">
        <f t="array" ref="D1345">IFERROR(INDEX(atlas!D:D,MATCH(A1345,atlas!C:C,0)),"")</f>
        <v/>
      </c>
      <c r="E1345" s="8" t="str">
        <f t="array" ref="E1345">IFERROR(INDEX(atlas!F:F,MATCH(A1345,atlas!C:C,0)),"")</f>
        <v/>
      </c>
      <c r="F1345" s="9"/>
      <c r="G1345" s="10"/>
      <c r="H1345" s="11"/>
      <c r="I1345" s="12" t="str">
        <f t="array" ref="I1345">IFERROR(INDEX(atlas!B:B,MATCH(A1345,atlas!C:C,0)),"")</f>
        <v/>
      </c>
      <c r="J1345" s="8" t="str">
        <f>IFERROR(VLOOKUP(F1345,tecnica!A:B,2,0),"")</f>
        <v/>
      </c>
      <c r="K1345" s="8" t="str">
        <f>IFERROR(VLOOKUP(J1345,tecnica!B:C,2,0),"")</f>
        <v/>
      </c>
      <c r="L1345" s="13"/>
      <c r="M1345" s="14" t="str">
        <f>IFERROR(VLOOKUP(I1345,material!A:D,4,0),"")</f>
        <v/>
      </c>
      <c r="N1345" s="14" t="str">
        <f t="shared" si="1"/>
        <v/>
      </c>
      <c r="O1345" s="15" t="str">
        <f>IFERROR(VLOOKUP(I1345,material!A:D,2,0),"")</f>
        <v/>
      </c>
    </row>
    <row r="1346">
      <c r="A1346" s="6"/>
      <c r="B1346" s="7"/>
      <c r="C1346" s="8" t="str">
        <f t="array" ref="C1346">IFERROR(INDEX(atlas!H:H,MATCH(A1346,atlas!C:C,0)),"")</f>
        <v/>
      </c>
      <c r="D1346" s="8" t="str">
        <f t="array" ref="D1346">IFERROR(INDEX(atlas!D:D,MATCH(A1346,atlas!C:C,0)),"")</f>
        <v/>
      </c>
      <c r="E1346" s="8" t="str">
        <f t="array" ref="E1346">IFERROR(INDEX(atlas!F:F,MATCH(A1346,atlas!C:C,0)),"")</f>
        <v/>
      </c>
      <c r="F1346" s="9"/>
      <c r="G1346" s="10"/>
      <c r="H1346" s="11"/>
      <c r="I1346" s="12" t="str">
        <f t="array" ref="I1346">IFERROR(INDEX(atlas!B:B,MATCH(A1346,atlas!C:C,0)),"")</f>
        <v/>
      </c>
      <c r="J1346" s="8" t="str">
        <f>IFERROR(VLOOKUP(F1346,tecnica!A:B,2,0),"")</f>
        <v/>
      </c>
      <c r="K1346" s="8" t="str">
        <f>IFERROR(VLOOKUP(J1346,tecnica!B:C,2,0),"")</f>
        <v/>
      </c>
      <c r="L1346" s="13"/>
      <c r="M1346" s="14" t="str">
        <f>IFERROR(VLOOKUP(I1346,material!A:D,4,0),"")</f>
        <v/>
      </c>
      <c r="N1346" s="14" t="str">
        <f t="shared" si="1"/>
        <v/>
      </c>
      <c r="O1346" s="15" t="str">
        <f>IFERROR(VLOOKUP(I1346,material!A:D,2,0),"")</f>
        <v/>
      </c>
    </row>
    <row r="1347">
      <c r="A1347" s="6"/>
      <c r="B1347" s="7"/>
      <c r="C1347" s="8" t="str">
        <f t="array" ref="C1347">IFERROR(INDEX(atlas!H:H,MATCH(A1347,atlas!C:C,0)),"")</f>
        <v/>
      </c>
      <c r="D1347" s="8" t="str">
        <f t="array" ref="D1347">IFERROR(INDEX(atlas!D:D,MATCH(A1347,atlas!C:C,0)),"")</f>
        <v/>
      </c>
      <c r="E1347" s="8" t="str">
        <f t="array" ref="E1347">IFERROR(INDEX(atlas!F:F,MATCH(A1347,atlas!C:C,0)),"")</f>
        <v/>
      </c>
      <c r="F1347" s="9"/>
      <c r="G1347" s="10"/>
      <c r="H1347" s="11"/>
      <c r="I1347" s="12" t="str">
        <f t="array" ref="I1347">IFERROR(INDEX(atlas!B:B,MATCH(A1347,atlas!C:C,0)),"")</f>
        <v/>
      </c>
      <c r="J1347" s="8" t="str">
        <f>IFERROR(VLOOKUP(F1347,tecnica!A:B,2,0),"")</f>
        <v/>
      </c>
      <c r="K1347" s="8" t="str">
        <f>IFERROR(VLOOKUP(J1347,tecnica!B:C,2,0),"")</f>
        <v/>
      </c>
      <c r="L1347" s="13"/>
      <c r="M1347" s="14" t="str">
        <f>IFERROR(VLOOKUP(I1347,material!A:D,4,0),"")</f>
        <v/>
      </c>
      <c r="N1347" s="14" t="str">
        <f t="shared" si="1"/>
        <v/>
      </c>
      <c r="O1347" s="15" t="str">
        <f>IFERROR(VLOOKUP(I1347,material!A:D,2,0),"")</f>
        <v/>
      </c>
    </row>
    <row r="1348">
      <c r="A1348" s="6"/>
      <c r="B1348" s="7"/>
      <c r="C1348" s="8" t="str">
        <f t="array" ref="C1348">IFERROR(INDEX(atlas!H:H,MATCH(A1348,atlas!C:C,0)),"")</f>
        <v/>
      </c>
      <c r="D1348" s="8" t="str">
        <f t="array" ref="D1348">IFERROR(INDEX(atlas!D:D,MATCH(A1348,atlas!C:C,0)),"")</f>
        <v/>
      </c>
      <c r="E1348" s="8" t="str">
        <f t="array" ref="E1348">IFERROR(INDEX(atlas!F:F,MATCH(A1348,atlas!C:C,0)),"")</f>
        <v/>
      </c>
      <c r="F1348" s="9"/>
      <c r="G1348" s="10"/>
      <c r="H1348" s="11"/>
      <c r="I1348" s="12" t="str">
        <f t="array" ref="I1348">IFERROR(INDEX(atlas!B:B,MATCH(A1348,atlas!C:C,0)),"")</f>
        <v/>
      </c>
      <c r="J1348" s="8" t="str">
        <f>IFERROR(VLOOKUP(F1348,tecnica!A:B,2,0),"")</f>
        <v/>
      </c>
      <c r="K1348" s="8" t="str">
        <f>IFERROR(VLOOKUP(J1348,tecnica!B:C,2,0),"")</f>
        <v/>
      </c>
      <c r="L1348" s="13"/>
      <c r="M1348" s="14" t="str">
        <f>IFERROR(VLOOKUP(I1348,material!A:D,4,0),"")</f>
        <v/>
      </c>
      <c r="N1348" s="14" t="str">
        <f t="shared" si="1"/>
        <v/>
      </c>
      <c r="O1348" s="15" t="str">
        <f>IFERROR(VLOOKUP(I1348,material!A:D,2,0),"")</f>
        <v/>
      </c>
    </row>
    <row r="1349">
      <c r="A1349" s="6"/>
      <c r="B1349" s="7"/>
      <c r="C1349" s="8" t="str">
        <f t="array" ref="C1349">IFERROR(INDEX(atlas!H:H,MATCH(A1349,atlas!C:C,0)),"")</f>
        <v/>
      </c>
      <c r="D1349" s="8" t="str">
        <f t="array" ref="D1349">IFERROR(INDEX(atlas!D:D,MATCH(A1349,atlas!C:C,0)),"")</f>
        <v/>
      </c>
      <c r="E1349" s="8" t="str">
        <f t="array" ref="E1349">IFERROR(INDEX(atlas!F:F,MATCH(A1349,atlas!C:C,0)),"")</f>
        <v/>
      </c>
      <c r="F1349" s="9"/>
      <c r="G1349" s="10"/>
      <c r="H1349" s="11"/>
      <c r="I1349" s="12" t="str">
        <f t="array" ref="I1349">IFERROR(INDEX(atlas!B:B,MATCH(A1349,atlas!C:C,0)),"")</f>
        <v/>
      </c>
      <c r="J1349" s="8" t="str">
        <f>IFERROR(VLOOKUP(F1349,tecnica!A:B,2,0),"")</f>
        <v/>
      </c>
      <c r="K1349" s="8" t="str">
        <f>IFERROR(VLOOKUP(J1349,tecnica!B:C,2,0),"")</f>
        <v/>
      </c>
      <c r="L1349" s="13"/>
      <c r="M1349" s="14" t="str">
        <f>IFERROR(VLOOKUP(I1349,material!A:D,4,0),"")</f>
        <v/>
      </c>
      <c r="N1349" s="14" t="str">
        <f t="shared" si="1"/>
        <v/>
      </c>
      <c r="O1349" s="15" t="str">
        <f>IFERROR(VLOOKUP(I1349,material!A:D,2,0),"")</f>
        <v/>
      </c>
    </row>
    <row r="1350">
      <c r="A1350" s="6"/>
      <c r="B1350" s="7"/>
      <c r="C1350" s="8" t="str">
        <f t="array" ref="C1350">IFERROR(INDEX(atlas!H:H,MATCH(A1350,atlas!C:C,0)),"")</f>
        <v/>
      </c>
      <c r="D1350" s="8" t="str">
        <f t="array" ref="D1350">IFERROR(INDEX(atlas!D:D,MATCH(A1350,atlas!C:C,0)),"")</f>
        <v/>
      </c>
      <c r="E1350" s="8" t="str">
        <f t="array" ref="E1350">IFERROR(INDEX(atlas!F:F,MATCH(A1350,atlas!C:C,0)),"")</f>
        <v/>
      </c>
      <c r="F1350" s="9"/>
      <c r="G1350" s="10"/>
      <c r="H1350" s="11"/>
      <c r="I1350" s="12" t="str">
        <f t="array" ref="I1350">IFERROR(INDEX(atlas!B:B,MATCH(A1350,atlas!C:C,0)),"")</f>
        <v/>
      </c>
      <c r="J1350" s="8" t="str">
        <f>IFERROR(VLOOKUP(F1350,tecnica!A:B,2,0),"")</f>
        <v/>
      </c>
      <c r="K1350" s="8" t="str">
        <f>IFERROR(VLOOKUP(J1350,tecnica!B:C,2,0),"")</f>
        <v/>
      </c>
      <c r="L1350" s="13"/>
      <c r="M1350" s="14" t="str">
        <f>IFERROR(VLOOKUP(I1350,material!A:D,4,0),"")</f>
        <v/>
      </c>
      <c r="N1350" s="14" t="str">
        <f t="shared" si="1"/>
        <v/>
      </c>
      <c r="O1350" s="15" t="str">
        <f>IFERROR(VLOOKUP(I1350,material!A:D,2,0),"")</f>
        <v/>
      </c>
    </row>
    <row r="1351">
      <c r="A1351" s="6"/>
      <c r="B1351" s="7"/>
      <c r="C1351" s="8" t="str">
        <f t="array" ref="C1351">IFERROR(INDEX(atlas!H:H,MATCH(A1351,atlas!C:C,0)),"")</f>
        <v/>
      </c>
      <c r="D1351" s="8" t="str">
        <f t="array" ref="D1351">IFERROR(INDEX(atlas!D:D,MATCH(A1351,atlas!C:C,0)),"")</f>
        <v/>
      </c>
      <c r="E1351" s="8" t="str">
        <f t="array" ref="E1351">IFERROR(INDEX(atlas!F:F,MATCH(A1351,atlas!C:C,0)),"")</f>
        <v/>
      </c>
      <c r="F1351" s="9"/>
      <c r="G1351" s="10"/>
      <c r="H1351" s="11"/>
      <c r="I1351" s="12" t="str">
        <f t="array" ref="I1351">IFERROR(INDEX(atlas!B:B,MATCH(A1351,atlas!C:C,0)),"")</f>
        <v/>
      </c>
      <c r="J1351" s="8" t="str">
        <f>IFERROR(VLOOKUP(F1351,tecnica!A:B,2,0),"")</f>
        <v/>
      </c>
      <c r="K1351" s="8" t="str">
        <f>IFERROR(VLOOKUP(J1351,tecnica!B:C,2,0),"")</f>
        <v/>
      </c>
      <c r="L1351" s="13"/>
      <c r="M1351" s="14" t="str">
        <f>IFERROR(VLOOKUP(I1351,material!A:D,4,0),"")</f>
        <v/>
      </c>
      <c r="N1351" s="14" t="str">
        <f t="shared" si="1"/>
        <v/>
      </c>
      <c r="O1351" s="15" t="str">
        <f>IFERROR(VLOOKUP(I1351,material!A:D,2,0),"")</f>
        <v/>
      </c>
    </row>
    <row r="1352">
      <c r="A1352" s="6"/>
      <c r="B1352" s="7"/>
      <c r="C1352" s="8" t="str">
        <f t="array" ref="C1352">IFERROR(INDEX(atlas!H:H,MATCH(A1352,atlas!C:C,0)),"")</f>
        <v/>
      </c>
      <c r="D1352" s="8" t="str">
        <f t="array" ref="D1352">IFERROR(INDEX(atlas!D:D,MATCH(A1352,atlas!C:C,0)),"")</f>
        <v/>
      </c>
      <c r="E1352" s="8" t="str">
        <f t="array" ref="E1352">IFERROR(INDEX(atlas!F:F,MATCH(A1352,atlas!C:C,0)),"")</f>
        <v/>
      </c>
      <c r="F1352" s="9"/>
      <c r="G1352" s="10"/>
      <c r="H1352" s="11"/>
      <c r="I1352" s="12" t="str">
        <f t="array" ref="I1352">IFERROR(INDEX(atlas!B:B,MATCH(A1352,atlas!C:C,0)),"")</f>
        <v/>
      </c>
      <c r="J1352" s="8" t="str">
        <f>IFERROR(VLOOKUP(F1352,tecnica!A:B,2,0),"")</f>
        <v/>
      </c>
      <c r="K1352" s="8" t="str">
        <f>IFERROR(VLOOKUP(J1352,tecnica!B:C,2,0),"")</f>
        <v/>
      </c>
      <c r="L1352" s="13"/>
      <c r="M1352" s="14" t="str">
        <f>IFERROR(VLOOKUP(I1352,material!A:D,4,0),"")</f>
        <v/>
      </c>
      <c r="N1352" s="14" t="str">
        <f t="shared" si="1"/>
        <v/>
      </c>
      <c r="O1352" s="15" t="str">
        <f>IFERROR(VLOOKUP(I1352,material!A:D,2,0),"")</f>
        <v/>
      </c>
    </row>
    <row r="1353">
      <c r="A1353" s="6"/>
      <c r="B1353" s="7"/>
      <c r="C1353" s="8" t="str">
        <f t="array" ref="C1353">IFERROR(INDEX(atlas!H:H,MATCH(A1353,atlas!C:C,0)),"")</f>
        <v/>
      </c>
      <c r="D1353" s="8" t="str">
        <f t="array" ref="D1353">IFERROR(INDEX(atlas!D:D,MATCH(A1353,atlas!C:C,0)),"")</f>
        <v/>
      </c>
      <c r="E1353" s="8" t="str">
        <f t="array" ref="E1353">IFERROR(INDEX(atlas!F:F,MATCH(A1353,atlas!C:C,0)),"")</f>
        <v/>
      </c>
      <c r="F1353" s="9"/>
      <c r="G1353" s="10"/>
      <c r="H1353" s="11"/>
      <c r="I1353" s="12" t="str">
        <f t="array" ref="I1353">IFERROR(INDEX(atlas!B:B,MATCH(A1353,atlas!C:C,0)),"")</f>
        <v/>
      </c>
      <c r="J1353" s="8" t="str">
        <f>IFERROR(VLOOKUP(F1353,tecnica!A:B,2,0),"")</f>
        <v/>
      </c>
      <c r="K1353" s="8" t="str">
        <f>IFERROR(VLOOKUP(J1353,tecnica!B:C,2,0),"")</f>
        <v/>
      </c>
      <c r="L1353" s="13"/>
      <c r="M1353" s="14" t="str">
        <f>IFERROR(VLOOKUP(I1353,material!A:D,4,0),"")</f>
        <v/>
      </c>
      <c r="N1353" s="14" t="str">
        <f t="shared" si="1"/>
        <v/>
      </c>
      <c r="O1353" s="15" t="str">
        <f>IFERROR(VLOOKUP(I1353,material!A:D,2,0),"")</f>
        <v/>
      </c>
    </row>
    <row r="1354">
      <c r="A1354" s="6"/>
      <c r="B1354" s="7"/>
      <c r="C1354" s="8" t="str">
        <f t="array" ref="C1354">IFERROR(INDEX(atlas!H:H,MATCH(A1354,atlas!C:C,0)),"")</f>
        <v/>
      </c>
      <c r="D1354" s="8" t="str">
        <f t="array" ref="D1354">IFERROR(INDEX(atlas!D:D,MATCH(A1354,atlas!C:C,0)),"")</f>
        <v/>
      </c>
      <c r="E1354" s="8" t="str">
        <f t="array" ref="E1354">IFERROR(INDEX(atlas!F:F,MATCH(A1354,atlas!C:C,0)),"")</f>
        <v/>
      </c>
      <c r="F1354" s="9"/>
      <c r="G1354" s="10"/>
      <c r="H1354" s="11"/>
      <c r="I1354" s="12" t="str">
        <f t="array" ref="I1354">IFERROR(INDEX(atlas!B:B,MATCH(A1354,atlas!C:C,0)),"")</f>
        <v/>
      </c>
      <c r="J1354" s="8" t="str">
        <f>IFERROR(VLOOKUP(F1354,tecnica!A:B,2,0),"")</f>
        <v/>
      </c>
      <c r="K1354" s="8" t="str">
        <f>IFERROR(VLOOKUP(J1354,tecnica!B:C,2,0),"")</f>
        <v/>
      </c>
      <c r="L1354" s="13"/>
      <c r="M1354" s="14" t="str">
        <f>IFERROR(VLOOKUP(I1354,material!A:D,4,0),"")</f>
        <v/>
      </c>
      <c r="N1354" s="14" t="str">
        <f t="shared" si="1"/>
        <v/>
      </c>
      <c r="O1354" s="15" t="str">
        <f>IFERROR(VLOOKUP(I1354,material!A:D,2,0),"")</f>
        <v/>
      </c>
    </row>
    <row r="1355">
      <c r="A1355" s="6"/>
      <c r="B1355" s="7"/>
      <c r="C1355" s="8" t="str">
        <f t="array" ref="C1355">IFERROR(INDEX(atlas!H:H,MATCH(A1355,atlas!C:C,0)),"")</f>
        <v/>
      </c>
      <c r="D1355" s="8" t="str">
        <f t="array" ref="D1355">IFERROR(INDEX(atlas!D:D,MATCH(A1355,atlas!C:C,0)),"")</f>
        <v/>
      </c>
      <c r="E1355" s="8" t="str">
        <f t="array" ref="E1355">IFERROR(INDEX(atlas!F:F,MATCH(A1355,atlas!C:C,0)),"")</f>
        <v/>
      </c>
      <c r="F1355" s="9"/>
      <c r="G1355" s="10"/>
      <c r="H1355" s="11"/>
      <c r="I1355" s="12" t="str">
        <f t="array" ref="I1355">IFERROR(INDEX(atlas!B:B,MATCH(A1355,atlas!C:C,0)),"")</f>
        <v/>
      </c>
      <c r="J1355" s="8" t="str">
        <f>IFERROR(VLOOKUP(F1355,tecnica!A:B,2,0),"")</f>
        <v/>
      </c>
      <c r="K1355" s="8" t="str">
        <f>IFERROR(VLOOKUP(J1355,tecnica!B:C,2,0),"")</f>
        <v/>
      </c>
      <c r="L1355" s="13"/>
      <c r="M1355" s="14" t="str">
        <f>IFERROR(VLOOKUP(I1355,material!A:D,4,0),"")</f>
        <v/>
      </c>
      <c r="N1355" s="14" t="str">
        <f t="shared" si="1"/>
        <v/>
      </c>
      <c r="O1355" s="15" t="str">
        <f>IFERROR(VLOOKUP(I1355,material!A:D,2,0),"")</f>
        <v/>
      </c>
    </row>
    <row r="1356">
      <c r="A1356" s="6"/>
      <c r="B1356" s="7"/>
      <c r="C1356" s="8" t="str">
        <f t="array" ref="C1356">IFERROR(INDEX(atlas!H:H,MATCH(A1356,atlas!C:C,0)),"")</f>
        <v/>
      </c>
      <c r="D1356" s="8" t="str">
        <f t="array" ref="D1356">IFERROR(INDEX(atlas!D:D,MATCH(A1356,atlas!C:C,0)),"")</f>
        <v/>
      </c>
      <c r="E1356" s="8" t="str">
        <f t="array" ref="E1356">IFERROR(INDEX(atlas!F:F,MATCH(A1356,atlas!C:C,0)),"")</f>
        <v/>
      </c>
      <c r="F1356" s="9"/>
      <c r="G1356" s="10"/>
      <c r="H1356" s="11"/>
      <c r="I1356" s="12" t="str">
        <f t="array" ref="I1356">IFERROR(INDEX(atlas!B:B,MATCH(A1356,atlas!C:C,0)),"")</f>
        <v/>
      </c>
      <c r="J1356" s="8" t="str">
        <f>IFERROR(VLOOKUP(F1356,tecnica!A:B,2,0),"")</f>
        <v/>
      </c>
      <c r="K1356" s="8" t="str">
        <f>IFERROR(VLOOKUP(J1356,tecnica!B:C,2,0),"")</f>
        <v/>
      </c>
      <c r="L1356" s="13"/>
      <c r="M1356" s="14" t="str">
        <f>IFERROR(VLOOKUP(I1356,material!A:D,4,0),"")</f>
        <v/>
      </c>
      <c r="N1356" s="14" t="str">
        <f t="shared" si="1"/>
        <v/>
      </c>
      <c r="O1356" s="15" t="str">
        <f>IFERROR(VLOOKUP(I1356,material!A:D,2,0),"")</f>
        <v/>
      </c>
    </row>
    <row r="1357">
      <c r="A1357" s="6"/>
      <c r="B1357" s="7"/>
      <c r="C1357" s="8" t="str">
        <f t="array" ref="C1357">IFERROR(INDEX(atlas!H:H,MATCH(A1357,atlas!C:C,0)),"")</f>
        <v/>
      </c>
      <c r="D1357" s="8" t="str">
        <f t="array" ref="D1357">IFERROR(INDEX(atlas!D:D,MATCH(A1357,atlas!C:C,0)),"")</f>
        <v/>
      </c>
      <c r="E1357" s="8" t="str">
        <f t="array" ref="E1357">IFERROR(INDEX(atlas!F:F,MATCH(A1357,atlas!C:C,0)),"")</f>
        <v/>
      </c>
      <c r="F1357" s="9"/>
      <c r="G1357" s="10"/>
      <c r="H1357" s="11"/>
      <c r="I1357" s="12" t="str">
        <f t="array" ref="I1357">IFERROR(INDEX(atlas!B:B,MATCH(A1357,atlas!C:C,0)),"")</f>
        <v/>
      </c>
      <c r="J1357" s="8" t="str">
        <f>IFERROR(VLOOKUP(F1357,tecnica!A:B,2,0),"")</f>
        <v/>
      </c>
      <c r="K1357" s="8" t="str">
        <f>IFERROR(VLOOKUP(J1357,tecnica!B:C,2,0),"")</f>
        <v/>
      </c>
      <c r="L1357" s="13"/>
      <c r="M1357" s="14" t="str">
        <f>IFERROR(VLOOKUP(I1357,material!A:D,4,0),"")</f>
        <v/>
      </c>
      <c r="N1357" s="14" t="str">
        <f t="shared" si="1"/>
        <v/>
      </c>
      <c r="O1357" s="15" t="str">
        <f>IFERROR(VLOOKUP(I1357,material!A:D,2,0),"")</f>
        <v/>
      </c>
    </row>
    <row r="1358">
      <c r="A1358" s="6"/>
      <c r="B1358" s="7"/>
      <c r="C1358" s="8" t="str">
        <f t="array" ref="C1358">IFERROR(INDEX(atlas!H:H,MATCH(A1358,atlas!C:C,0)),"")</f>
        <v/>
      </c>
      <c r="D1358" s="8" t="str">
        <f t="array" ref="D1358">IFERROR(INDEX(atlas!D:D,MATCH(A1358,atlas!C:C,0)),"")</f>
        <v/>
      </c>
      <c r="E1358" s="8" t="str">
        <f t="array" ref="E1358">IFERROR(INDEX(atlas!F:F,MATCH(A1358,atlas!C:C,0)),"")</f>
        <v/>
      </c>
      <c r="F1358" s="9"/>
      <c r="G1358" s="10"/>
      <c r="H1358" s="11"/>
      <c r="I1358" s="12" t="str">
        <f t="array" ref="I1358">IFERROR(INDEX(atlas!B:B,MATCH(A1358,atlas!C:C,0)),"")</f>
        <v/>
      </c>
      <c r="J1358" s="8" t="str">
        <f>IFERROR(VLOOKUP(F1358,tecnica!A:B,2,0),"")</f>
        <v/>
      </c>
      <c r="K1358" s="8" t="str">
        <f>IFERROR(VLOOKUP(J1358,tecnica!B:C,2,0),"")</f>
        <v/>
      </c>
      <c r="L1358" s="13"/>
      <c r="M1358" s="14" t="str">
        <f>IFERROR(VLOOKUP(I1358,material!A:D,4,0),"")</f>
        <v/>
      </c>
      <c r="N1358" s="14" t="str">
        <f t="shared" si="1"/>
        <v/>
      </c>
      <c r="O1358" s="15" t="str">
        <f>IFERROR(VLOOKUP(I1358,material!A:D,2,0),"")</f>
        <v/>
      </c>
    </row>
    <row r="1359">
      <c r="A1359" s="6"/>
      <c r="B1359" s="7"/>
      <c r="C1359" s="8" t="str">
        <f t="array" ref="C1359">IFERROR(INDEX(atlas!H:H,MATCH(A1359,atlas!C:C,0)),"")</f>
        <v/>
      </c>
      <c r="D1359" s="8" t="str">
        <f t="array" ref="D1359">IFERROR(INDEX(atlas!D:D,MATCH(A1359,atlas!C:C,0)),"")</f>
        <v/>
      </c>
      <c r="E1359" s="8" t="str">
        <f t="array" ref="E1359">IFERROR(INDEX(atlas!F:F,MATCH(A1359,atlas!C:C,0)),"")</f>
        <v/>
      </c>
      <c r="F1359" s="9"/>
      <c r="G1359" s="10"/>
      <c r="H1359" s="11"/>
      <c r="I1359" s="12" t="str">
        <f t="array" ref="I1359">IFERROR(INDEX(atlas!B:B,MATCH(A1359,atlas!C:C,0)),"")</f>
        <v/>
      </c>
      <c r="J1359" s="8" t="str">
        <f>IFERROR(VLOOKUP(F1359,tecnica!A:B,2,0),"")</f>
        <v/>
      </c>
      <c r="K1359" s="8" t="str">
        <f>IFERROR(VLOOKUP(J1359,tecnica!B:C,2,0),"")</f>
        <v/>
      </c>
      <c r="L1359" s="13"/>
      <c r="M1359" s="14" t="str">
        <f>IFERROR(VLOOKUP(I1359,material!A:D,4,0),"")</f>
        <v/>
      </c>
      <c r="N1359" s="14" t="str">
        <f t="shared" si="1"/>
        <v/>
      </c>
      <c r="O1359" s="15" t="str">
        <f>IFERROR(VLOOKUP(I1359,material!A:D,2,0),"")</f>
        <v/>
      </c>
    </row>
    <row r="1360">
      <c r="A1360" s="6"/>
      <c r="B1360" s="7"/>
      <c r="C1360" s="8" t="str">
        <f t="array" ref="C1360">IFERROR(INDEX(atlas!H:H,MATCH(A1360,atlas!C:C,0)),"")</f>
        <v/>
      </c>
      <c r="D1360" s="8" t="str">
        <f t="array" ref="D1360">IFERROR(INDEX(atlas!D:D,MATCH(A1360,atlas!C:C,0)),"")</f>
        <v/>
      </c>
      <c r="E1360" s="8" t="str">
        <f t="array" ref="E1360">IFERROR(INDEX(atlas!F:F,MATCH(A1360,atlas!C:C,0)),"")</f>
        <v/>
      </c>
      <c r="F1360" s="9"/>
      <c r="G1360" s="10"/>
      <c r="H1360" s="11"/>
      <c r="I1360" s="12" t="str">
        <f t="array" ref="I1360">IFERROR(INDEX(atlas!B:B,MATCH(A1360,atlas!C:C,0)),"")</f>
        <v/>
      </c>
      <c r="J1360" s="8" t="str">
        <f>IFERROR(VLOOKUP(F1360,tecnica!A:B,2,0),"")</f>
        <v/>
      </c>
      <c r="K1360" s="8" t="str">
        <f>IFERROR(VLOOKUP(J1360,tecnica!B:C,2,0),"")</f>
        <v/>
      </c>
      <c r="L1360" s="13"/>
      <c r="M1360" s="14" t="str">
        <f>IFERROR(VLOOKUP(I1360,material!A:D,4,0),"")</f>
        <v/>
      </c>
      <c r="N1360" s="14" t="str">
        <f t="shared" si="1"/>
        <v/>
      </c>
      <c r="O1360" s="15" t="str">
        <f>IFERROR(VLOOKUP(I1360,material!A:D,2,0),"")</f>
        <v/>
      </c>
    </row>
    <row r="1361">
      <c r="A1361" s="6"/>
      <c r="B1361" s="7"/>
      <c r="C1361" s="8" t="str">
        <f t="array" ref="C1361">IFERROR(INDEX(atlas!H:H,MATCH(A1361,atlas!C:C,0)),"")</f>
        <v/>
      </c>
      <c r="D1361" s="8" t="str">
        <f t="array" ref="D1361">IFERROR(INDEX(atlas!D:D,MATCH(A1361,atlas!C:C,0)),"")</f>
        <v/>
      </c>
      <c r="E1361" s="8" t="str">
        <f t="array" ref="E1361">IFERROR(INDEX(atlas!F:F,MATCH(A1361,atlas!C:C,0)),"")</f>
        <v/>
      </c>
      <c r="F1361" s="9"/>
      <c r="G1361" s="10"/>
      <c r="H1361" s="11"/>
      <c r="I1361" s="12" t="str">
        <f t="array" ref="I1361">IFERROR(INDEX(atlas!B:B,MATCH(A1361,atlas!C:C,0)),"")</f>
        <v/>
      </c>
      <c r="J1361" s="8" t="str">
        <f>IFERROR(VLOOKUP(F1361,tecnica!A:B,2,0),"")</f>
        <v/>
      </c>
      <c r="K1361" s="8" t="str">
        <f>IFERROR(VLOOKUP(J1361,tecnica!B:C,2,0),"")</f>
        <v/>
      </c>
      <c r="L1361" s="13"/>
      <c r="M1361" s="14" t="str">
        <f>IFERROR(VLOOKUP(I1361,material!A:D,4,0),"")</f>
        <v/>
      </c>
      <c r="N1361" s="14" t="str">
        <f t="shared" si="1"/>
        <v/>
      </c>
      <c r="O1361" s="15" t="str">
        <f>IFERROR(VLOOKUP(I1361,material!A:D,2,0),"")</f>
        <v/>
      </c>
    </row>
    <row r="1362">
      <c r="A1362" s="6"/>
      <c r="B1362" s="7"/>
      <c r="C1362" s="8" t="str">
        <f t="array" ref="C1362">IFERROR(INDEX(atlas!H:H,MATCH(A1362,atlas!C:C,0)),"")</f>
        <v/>
      </c>
      <c r="D1362" s="8" t="str">
        <f t="array" ref="D1362">IFERROR(INDEX(atlas!D:D,MATCH(A1362,atlas!C:C,0)),"")</f>
        <v/>
      </c>
      <c r="E1362" s="8" t="str">
        <f t="array" ref="E1362">IFERROR(INDEX(atlas!F:F,MATCH(A1362,atlas!C:C,0)),"")</f>
        <v/>
      </c>
      <c r="F1362" s="9"/>
      <c r="G1362" s="10"/>
      <c r="H1362" s="11"/>
      <c r="I1362" s="12" t="str">
        <f t="array" ref="I1362">IFERROR(INDEX(atlas!B:B,MATCH(A1362,atlas!C:C,0)),"")</f>
        <v/>
      </c>
      <c r="J1362" s="8" t="str">
        <f>IFERROR(VLOOKUP(F1362,tecnica!A:B,2,0),"")</f>
        <v/>
      </c>
      <c r="K1362" s="8" t="str">
        <f>IFERROR(VLOOKUP(J1362,tecnica!B:C,2,0),"")</f>
        <v/>
      </c>
      <c r="L1362" s="13"/>
      <c r="M1362" s="14" t="str">
        <f>IFERROR(VLOOKUP(I1362,material!A:D,4,0),"")</f>
        <v/>
      </c>
      <c r="N1362" s="14" t="str">
        <f t="shared" si="1"/>
        <v/>
      </c>
      <c r="O1362" s="15" t="str">
        <f>IFERROR(VLOOKUP(I1362,material!A:D,2,0),"")</f>
        <v/>
      </c>
    </row>
    <row r="1363">
      <c r="A1363" s="6"/>
      <c r="B1363" s="7"/>
      <c r="C1363" s="8" t="str">
        <f t="array" ref="C1363">IFERROR(INDEX(atlas!H:H,MATCH(A1363,atlas!C:C,0)),"")</f>
        <v/>
      </c>
      <c r="D1363" s="8" t="str">
        <f t="array" ref="D1363">IFERROR(INDEX(atlas!D:D,MATCH(A1363,atlas!C:C,0)),"")</f>
        <v/>
      </c>
      <c r="E1363" s="8" t="str">
        <f t="array" ref="E1363">IFERROR(INDEX(atlas!F:F,MATCH(A1363,atlas!C:C,0)),"")</f>
        <v/>
      </c>
      <c r="F1363" s="9"/>
      <c r="G1363" s="10"/>
      <c r="H1363" s="11"/>
      <c r="I1363" s="12" t="str">
        <f t="array" ref="I1363">IFERROR(INDEX(atlas!B:B,MATCH(A1363,atlas!C:C,0)),"")</f>
        <v/>
      </c>
      <c r="J1363" s="8" t="str">
        <f>IFERROR(VLOOKUP(F1363,tecnica!A:B,2,0),"")</f>
        <v/>
      </c>
      <c r="K1363" s="8" t="str">
        <f>IFERROR(VLOOKUP(J1363,tecnica!B:C,2,0),"")</f>
        <v/>
      </c>
      <c r="L1363" s="13"/>
      <c r="M1363" s="14" t="str">
        <f>IFERROR(VLOOKUP(I1363,material!A:D,4,0),"")</f>
        <v/>
      </c>
      <c r="N1363" s="14" t="str">
        <f t="shared" si="1"/>
        <v/>
      </c>
      <c r="O1363" s="15" t="str">
        <f>IFERROR(VLOOKUP(I1363,material!A:D,2,0),"")</f>
        <v/>
      </c>
    </row>
    <row r="1364">
      <c r="A1364" s="6"/>
      <c r="B1364" s="7"/>
      <c r="C1364" s="8" t="str">
        <f t="array" ref="C1364">IFERROR(INDEX(atlas!H:H,MATCH(A1364,atlas!C:C,0)),"")</f>
        <v/>
      </c>
      <c r="D1364" s="8" t="str">
        <f t="array" ref="D1364">IFERROR(INDEX(atlas!D:D,MATCH(A1364,atlas!C:C,0)),"")</f>
        <v/>
      </c>
      <c r="E1364" s="8" t="str">
        <f t="array" ref="E1364">IFERROR(INDEX(atlas!F:F,MATCH(A1364,atlas!C:C,0)),"")</f>
        <v/>
      </c>
      <c r="F1364" s="9"/>
      <c r="G1364" s="10"/>
      <c r="H1364" s="11"/>
      <c r="I1364" s="12" t="str">
        <f t="array" ref="I1364">IFERROR(INDEX(atlas!B:B,MATCH(A1364,atlas!C:C,0)),"")</f>
        <v/>
      </c>
      <c r="J1364" s="8" t="str">
        <f>IFERROR(VLOOKUP(F1364,tecnica!A:B,2,0),"")</f>
        <v/>
      </c>
      <c r="K1364" s="8" t="str">
        <f>IFERROR(VLOOKUP(J1364,tecnica!B:C,2,0),"")</f>
        <v/>
      </c>
      <c r="L1364" s="13"/>
      <c r="M1364" s="14" t="str">
        <f>IFERROR(VLOOKUP(I1364,material!A:D,4,0),"")</f>
        <v/>
      </c>
      <c r="N1364" s="14" t="str">
        <f t="shared" si="1"/>
        <v/>
      </c>
      <c r="O1364" s="15" t="str">
        <f>IFERROR(VLOOKUP(I1364,material!A:D,2,0),"")</f>
        <v/>
      </c>
    </row>
    <row r="1365">
      <c r="A1365" s="6"/>
      <c r="B1365" s="7"/>
      <c r="C1365" s="8" t="str">
        <f t="array" ref="C1365">IFERROR(INDEX(atlas!H:H,MATCH(A1365,atlas!C:C,0)),"")</f>
        <v/>
      </c>
      <c r="D1365" s="8" t="str">
        <f t="array" ref="D1365">IFERROR(INDEX(atlas!D:D,MATCH(A1365,atlas!C:C,0)),"")</f>
        <v/>
      </c>
      <c r="E1365" s="8" t="str">
        <f t="array" ref="E1365">IFERROR(INDEX(atlas!F:F,MATCH(A1365,atlas!C:C,0)),"")</f>
        <v/>
      </c>
      <c r="F1365" s="9"/>
      <c r="G1365" s="10"/>
      <c r="H1365" s="11"/>
      <c r="I1365" s="12" t="str">
        <f t="array" ref="I1365">IFERROR(INDEX(atlas!B:B,MATCH(A1365,atlas!C:C,0)),"")</f>
        <v/>
      </c>
      <c r="J1365" s="8" t="str">
        <f>IFERROR(VLOOKUP(F1365,tecnica!A:B,2,0),"")</f>
        <v/>
      </c>
      <c r="K1365" s="8" t="str">
        <f>IFERROR(VLOOKUP(J1365,tecnica!B:C,2,0),"")</f>
        <v/>
      </c>
      <c r="L1365" s="13"/>
      <c r="M1365" s="14" t="str">
        <f>IFERROR(VLOOKUP(I1365,material!A:D,4,0),"")</f>
        <v/>
      </c>
      <c r="N1365" s="14" t="str">
        <f t="shared" si="1"/>
        <v/>
      </c>
      <c r="O1365" s="15" t="str">
        <f>IFERROR(VLOOKUP(I1365,material!A:D,2,0),"")</f>
        <v/>
      </c>
    </row>
    <row r="1366">
      <c r="A1366" s="6"/>
      <c r="B1366" s="7"/>
      <c r="C1366" s="8" t="str">
        <f t="array" ref="C1366">IFERROR(INDEX(atlas!H:H,MATCH(A1366,atlas!C:C,0)),"")</f>
        <v/>
      </c>
      <c r="D1366" s="8" t="str">
        <f t="array" ref="D1366">IFERROR(INDEX(atlas!D:D,MATCH(A1366,atlas!C:C,0)),"")</f>
        <v/>
      </c>
      <c r="E1366" s="8" t="str">
        <f t="array" ref="E1366">IFERROR(INDEX(atlas!F:F,MATCH(A1366,atlas!C:C,0)),"")</f>
        <v/>
      </c>
      <c r="F1366" s="9"/>
      <c r="G1366" s="10"/>
      <c r="H1366" s="11"/>
      <c r="I1366" s="12" t="str">
        <f t="array" ref="I1366">IFERROR(INDEX(atlas!B:B,MATCH(A1366,atlas!C:C,0)),"")</f>
        <v/>
      </c>
      <c r="J1366" s="8" t="str">
        <f>IFERROR(VLOOKUP(F1366,tecnica!A:B,2,0),"")</f>
        <v/>
      </c>
      <c r="K1366" s="8" t="str">
        <f>IFERROR(VLOOKUP(J1366,tecnica!B:C,2,0),"")</f>
        <v/>
      </c>
      <c r="L1366" s="13"/>
      <c r="M1366" s="14" t="str">
        <f>IFERROR(VLOOKUP(I1366,material!A:D,4,0),"")</f>
        <v/>
      </c>
      <c r="N1366" s="14" t="str">
        <f t="shared" si="1"/>
        <v/>
      </c>
      <c r="O1366" s="15" t="str">
        <f>IFERROR(VLOOKUP(I1366,material!A:D,2,0),"")</f>
        <v/>
      </c>
    </row>
    <row r="1367">
      <c r="A1367" s="6"/>
      <c r="B1367" s="7"/>
      <c r="C1367" s="8" t="str">
        <f t="array" ref="C1367">IFERROR(INDEX(atlas!H:H,MATCH(A1367,atlas!C:C,0)),"")</f>
        <v/>
      </c>
      <c r="D1367" s="8" t="str">
        <f t="array" ref="D1367">IFERROR(INDEX(atlas!D:D,MATCH(A1367,atlas!C:C,0)),"")</f>
        <v/>
      </c>
      <c r="E1367" s="8" t="str">
        <f t="array" ref="E1367">IFERROR(INDEX(atlas!F:F,MATCH(A1367,atlas!C:C,0)),"")</f>
        <v/>
      </c>
      <c r="F1367" s="9"/>
      <c r="G1367" s="10"/>
      <c r="H1367" s="11"/>
      <c r="I1367" s="12" t="str">
        <f t="array" ref="I1367">IFERROR(INDEX(atlas!B:B,MATCH(A1367,atlas!C:C,0)),"")</f>
        <v/>
      </c>
      <c r="J1367" s="8" t="str">
        <f>IFERROR(VLOOKUP(F1367,tecnica!A:B,2,0),"")</f>
        <v/>
      </c>
      <c r="K1367" s="8" t="str">
        <f>IFERROR(VLOOKUP(J1367,tecnica!B:C,2,0),"")</f>
        <v/>
      </c>
      <c r="L1367" s="13"/>
      <c r="M1367" s="14" t="str">
        <f>IFERROR(VLOOKUP(I1367,material!A:D,4,0),"")</f>
        <v/>
      </c>
      <c r="N1367" s="14" t="str">
        <f t="shared" si="1"/>
        <v/>
      </c>
      <c r="O1367" s="15" t="str">
        <f>IFERROR(VLOOKUP(I1367,material!A:D,2,0),"")</f>
        <v/>
      </c>
    </row>
    <row r="1368">
      <c r="A1368" s="6"/>
      <c r="B1368" s="7"/>
      <c r="C1368" s="8" t="str">
        <f t="array" ref="C1368">IFERROR(INDEX(atlas!H:H,MATCH(A1368,atlas!C:C,0)),"")</f>
        <v/>
      </c>
      <c r="D1368" s="8" t="str">
        <f t="array" ref="D1368">IFERROR(INDEX(atlas!D:D,MATCH(A1368,atlas!C:C,0)),"")</f>
        <v/>
      </c>
      <c r="E1368" s="8" t="str">
        <f t="array" ref="E1368">IFERROR(INDEX(atlas!F:F,MATCH(A1368,atlas!C:C,0)),"")</f>
        <v/>
      </c>
      <c r="F1368" s="9"/>
      <c r="G1368" s="10"/>
      <c r="H1368" s="11"/>
      <c r="I1368" s="12" t="str">
        <f t="array" ref="I1368">IFERROR(INDEX(atlas!B:B,MATCH(A1368,atlas!C:C,0)),"")</f>
        <v/>
      </c>
      <c r="J1368" s="8" t="str">
        <f>IFERROR(VLOOKUP(F1368,tecnica!A:B,2,0),"")</f>
        <v/>
      </c>
      <c r="K1368" s="8" t="str">
        <f>IFERROR(VLOOKUP(J1368,tecnica!B:C,2,0),"")</f>
        <v/>
      </c>
      <c r="L1368" s="13"/>
      <c r="M1368" s="14" t="str">
        <f>IFERROR(VLOOKUP(I1368,material!A:D,4,0),"")</f>
        <v/>
      </c>
      <c r="N1368" s="14" t="str">
        <f t="shared" si="1"/>
        <v/>
      </c>
      <c r="O1368" s="15" t="str">
        <f>IFERROR(VLOOKUP(I1368,material!A:D,2,0),"")</f>
        <v/>
      </c>
    </row>
    <row r="1369">
      <c r="A1369" s="6"/>
      <c r="B1369" s="7"/>
      <c r="C1369" s="8" t="str">
        <f t="array" ref="C1369">IFERROR(INDEX(atlas!H:H,MATCH(A1369,atlas!C:C,0)),"")</f>
        <v/>
      </c>
      <c r="D1369" s="8" t="str">
        <f t="array" ref="D1369">IFERROR(INDEX(atlas!D:D,MATCH(A1369,atlas!C:C,0)),"")</f>
        <v/>
      </c>
      <c r="E1369" s="8" t="str">
        <f t="array" ref="E1369">IFERROR(INDEX(atlas!F:F,MATCH(A1369,atlas!C:C,0)),"")</f>
        <v/>
      </c>
      <c r="F1369" s="9"/>
      <c r="G1369" s="10"/>
      <c r="H1369" s="11"/>
      <c r="I1369" s="12" t="str">
        <f t="array" ref="I1369">IFERROR(INDEX(atlas!B:B,MATCH(A1369,atlas!C:C,0)),"")</f>
        <v/>
      </c>
      <c r="J1369" s="8" t="str">
        <f>IFERROR(VLOOKUP(F1369,tecnica!A:B,2,0),"")</f>
        <v/>
      </c>
      <c r="K1369" s="8" t="str">
        <f>IFERROR(VLOOKUP(J1369,tecnica!B:C,2,0),"")</f>
        <v/>
      </c>
      <c r="L1369" s="13"/>
      <c r="M1369" s="14" t="str">
        <f>IFERROR(VLOOKUP(I1369,material!A:D,4,0),"")</f>
        <v/>
      </c>
      <c r="N1369" s="14" t="str">
        <f t="shared" si="1"/>
        <v/>
      </c>
      <c r="O1369" s="15" t="str">
        <f>IFERROR(VLOOKUP(I1369,material!A:D,2,0),"")</f>
        <v/>
      </c>
    </row>
    <row r="1370">
      <c r="A1370" s="6"/>
      <c r="B1370" s="7"/>
      <c r="C1370" s="8" t="str">
        <f t="array" ref="C1370">IFERROR(INDEX(atlas!H:H,MATCH(A1370,atlas!C:C,0)),"")</f>
        <v/>
      </c>
      <c r="D1370" s="8" t="str">
        <f t="array" ref="D1370">IFERROR(INDEX(atlas!D:D,MATCH(A1370,atlas!C:C,0)),"")</f>
        <v/>
      </c>
      <c r="E1370" s="8" t="str">
        <f t="array" ref="E1370">IFERROR(INDEX(atlas!F:F,MATCH(A1370,atlas!C:C,0)),"")</f>
        <v/>
      </c>
      <c r="F1370" s="9"/>
      <c r="G1370" s="10"/>
      <c r="H1370" s="11"/>
      <c r="I1370" s="12" t="str">
        <f t="array" ref="I1370">IFERROR(INDEX(atlas!B:B,MATCH(A1370,atlas!C:C,0)),"")</f>
        <v/>
      </c>
      <c r="J1370" s="8" t="str">
        <f>IFERROR(VLOOKUP(F1370,tecnica!A:B,2,0),"")</f>
        <v/>
      </c>
      <c r="K1370" s="8" t="str">
        <f>IFERROR(VLOOKUP(J1370,tecnica!B:C,2,0),"")</f>
        <v/>
      </c>
      <c r="L1370" s="13"/>
      <c r="M1370" s="14" t="str">
        <f>IFERROR(VLOOKUP(I1370,material!A:D,4,0),"")</f>
        <v/>
      </c>
      <c r="N1370" s="14" t="str">
        <f t="shared" si="1"/>
        <v/>
      </c>
      <c r="O1370" s="15" t="str">
        <f>IFERROR(VLOOKUP(I1370,material!A:D,2,0),"")</f>
        <v/>
      </c>
    </row>
    <row r="1371">
      <c r="A1371" s="6"/>
      <c r="B1371" s="7"/>
      <c r="C1371" s="8" t="str">
        <f t="array" ref="C1371">IFERROR(INDEX(atlas!H:H,MATCH(A1371,atlas!C:C,0)),"")</f>
        <v/>
      </c>
      <c r="D1371" s="8" t="str">
        <f t="array" ref="D1371">IFERROR(INDEX(atlas!D:D,MATCH(A1371,atlas!C:C,0)),"")</f>
        <v/>
      </c>
      <c r="E1371" s="8" t="str">
        <f t="array" ref="E1371">IFERROR(INDEX(atlas!F:F,MATCH(A1371,atlas!C:C,0)),"")</f>
        <v/>
      </c>
      <c r="F1371" s="9"/>
      <c r="G1371" s="10"/>
      <c r="H1371" s="11"/>
      <c r="I1371" s="12" t="str">
        <f t="array" ref="I1371">IFERROR(INDEX(atlas!B:B,MATCH(A1371,atlas!C:C,0)),"")</f>
        <v/>
      </c>
      <c r="J1371" s="8" t="str">
        <f>IFERROR(VLOOKUP(F1371,tecnica!A:B,2,0),"")</f>
        <v/>
      </c>
      <c r="K1371" s="8" t="str">
        <f>IFERROR(VLOOKUP(J1371,tecnica!B:C,2,0),"")</f>
        <v/>
      </c>
      <c r="L1371" s="13"/>
      <c r="M1371" s="14" t="str">
        <f>IFERROR(VLOOKUP(I1371,material!A:D,4,0),"")</f>
        <v/>
      </c>
      <c r="N1371" s="14" t="str">
        <f t="shared" si="1"/>
        <v/>
      </c>
      <c r="O1371" s="15" t="str">
        <f>IFERROR(VLOOKUP(I1371,material!A:D,2,0),"")</f>
        <v/>
      </c>
    </row>
    <row r="1372">
      <c r="A1372" s="6"/>
      <c r="B1372" s="7"/>
      <c r="C1372" s="8" t="str">
        <f t="array" ref="C1372">IFERROR(INDEX(atlas!H:H,MATCH(A1372,atlas!C:C,0)),"")</f>
        <v/>
      </c>
      <c r="D1372" s="8" t="str">
        <f t="array" ref="D1372">IFERROR(INDEX(atlas!D:D,MATCH(A1372,atlas!C:C,0)),"")</f>
        <v/>
      </c>
      <c r="E1372" s="8" t="str">
        <f t="array" ref="E1372">IFERROR(INDEX(atlas!F:F,MATCH(A1372,atlas!C:C,0)),"")</f>
        <v/>
      </c>
      <c r="F1372" s="9"/>
      <c r="G1372" s="10"/>
      <c r="H1372" s="11"/>
      <c r="I1372" s="12" t="str">
        <f t="array" ref="I1372">IFERROR(INDEX(atlas!B:B,MATCH(A1372,atlas!C:C,0)),"")</f>
        <v/>
      </c>
      <c r="J1372" s="8" t="str">
        <f>IFERROR(VLOOKUP(F1372,tecnica!A:B,2,0),"")</f>
        <v/>
      </c>
      <c r="K1372" s="8" t="str">
        <f>IFERROR(VLOOKUP(J1372,tecnica!B:C,2,0),"")</f>
        <v/>
      </c>
      <c r="L1372" s="13"/>
      <c r="M1372" s="14" t="str">
        <f>IFERROR(VLOOKUP(I1372,material!A:D,4,0),"")</f>
        <v/>
      </c>
      <c r="N1372" s="14" t="str">
        <f t="shared" si="1"/>
        <v/>
      </c>
      <c r="O1372" s="15" t="str">
        <f>IFERROR(VLOOKUP(I1372,material!A:D,2,0),"")</f>
        <v/>
      </c>
    </row>
    <row r="1373">
      <c r="A1373" s="6"/>
      <c r="B1373" s="7"/>
      <c r="C1373" s="8" t="str">
        <f t="array" ref="C1373">IFERROR(INDEX(atlas!H:H,MATCH(A1373,atlas!C:C,0)),"")</f>
        <v/>
      </c>
      <c r="D1373" s="8" t="str">
        <f t="array" ref="D1373">IFERROR(INDEX(atlas!D:D,MATCH(A1373,atlas!C:C,0)),"")</f>
        <v/>
      </c>
      <c r="E1373" s="8" t="str">
        <f t="array" ref="E1373">IFERROR(INDEX(atlas!F:F,MATCH(A1373,atlas!C:C,0)),"")</f>
        <v/>
      </c>
      <c r="F1373" s="9"/>
      <c r="G1373" s="10"/>
      <c r="H1373" s="11"/>
      <c r="I1373" s="12" t="str">
        <f t="array" ref="I1373">IFERROR(INDEX(atlas!B:B,MATCH(A1373,atlas!C:C,0)),"")</f>
        <v/>
      </c>
      <c r="J1373" s="8" t="str">
        <f>IFERROR(VLOOKUP(F1373,tecnica!A:B,2,0),"")</f>
        <v/>
      </c>
      <c r="K1373" s="8" t="str">
        <f>IFERROR(VLOOKUP(J1373,tecnica!B:C,2,0),"")</f>
        <v/>
      </c>
      <c r="L1373" s="13"/>
      <c r="M1373" s="14" t="str">
        <f>IFERROR(VLOOKUP(I1373,material!A:D,4,0),"")</f>
        <v/>
      </c>
      <c r="N1373" s="14" t="str">
        <f t="shared" si="1"/>
        <v/>
      </c>
      <c r="O1373" s="15" t="str">
        <f>IFERROR(VLOOKUP(I1373,material!A:D,2,0),"")</f>
        <v/>
      </c>
    </row>
    <row r="1374">
      <c r="A1374" s="6"/>
      <c r="B1374" s="7"/>
      <c r="C1374" s="8" t="str">
        <f t="array" ref="C1374">IFERROR(INDEX(atlas!H:H,MATCH(A1374,atlas!C:C,0)),"")</f>
        <v/>
      </c>
      <c r="D1374" s="8" t="str">
        <f t="array" ref="D1374">IFERROR(INDEX(atlas!D:D,MATCH(A1374,atlas!C:C,0)),"")</f>
        <v/>
      </c>
      <c r="E1374" s="8" t="str">
        <f t="array" ref="E1374">IFERROR(INDEX(atlas!F:F,MATCH(A1374,atlas!C:C,0)),"")</f>
        <v/>
      </c>
      <c r="F1374" s="9"/>
      <c r="G1374" s="10"/>
      <c r="H1374" s="11"/>
      <c r="I1374" s="12" t="str">
        <f t="array" ref="I1374">IFERROR(INDEX(atlas!B:B,MATCH(A1374,atlas!C:C,0)),"")</f>
        <v/>
      </c>
      <c r="J1374" s="8" t="str">
        <f>IFERROR(VLOOKUP(F1374,tecnica!A:B,2,0),"")</f>
        <v/>
      </c>
      <c r="K1374" s="8" t="str">
        <f>IFERROR(VLOOKUP(J1374,tecnica!B:C,2,0),"")</f>
        <v/>
      </c>
      <c r="L1374" s="13"/>
      <c r="M1374" s="14" t="str">
        <f>IFERROR(VLOOKUP(I1374,material!A:D,4,0),"")</f>
        <v/>
      </c>
      <c r="N1374" s="14" t="str">
        <f t="shared" si="1"/>
        <v/>
      </c>
      <c r="O1374" s="15" t="str">
        <f>IFERROR(VLOOKUP(I1374,material!A:D,2,0),"")</f>
        <v/>
      </c>
    </row>
    <row r="1375">
      <c r="A1375" s="6"/>
      <c r="B1375" s="7"/>
      <c r="C1375" s="8" t="str">
        <f t="array" ref="C1375">IFERROR(INDEX(atlas!H:H,MATCH(A1375,atlas!C:C,0)),"")</f>
        <v/>
      </c>
      <c r="D1375" s="8" t="str">
        <f t="array" ref="D1375">IFERROR(INDEX(atlas!D:D,MATCH(A1375,atlas!C:C,0)),"")</f>
        <v/>
      </c>
      <c r="E1375" s="8" t="str">
        <f t="array" ref="E1375">IFERROR(INDEX(atlas!F:F,MATCH(A1375,atlas!C:C,0)),"")</f>
        <v/>
      </c>
      <c r="F1375" s="9"/>
      <c r="G1375" s="10"/>
      <c r="H1375" s="11"/>
      <c r="I1375" s="12" t="str">
        <f t="array" ref="I1375">IFERROR(INDEX(atlas!B:B,MATCH(A1375,atlas!C:C,0)),"")</f>
        <v/>
      </c>
      <c r="J1375" s="8" t="str">
        <f>IFERROR(VLOOKUP(F1375,tecnica!A:B,2,0),"")</f>
        <v/>
      </c>
      <c r="K1375" s="8" t="str">
        <f>IFERROR(VLOOKUP(J1375,tecnica!B:C,2,0),"")</f>
        <v/>
      </c>
      <c r="L1375" s="13"/>
      <c r="M1375" s="14" t="str">
        <f>IFERROR(VLOOKUP(I1375,material!A:D,4,0),"")</f>
        <v/>
      </c>
      <c r="N1375" s="14" t="str">
        <f t="shared" si="1"/>
        <v/>
      </c>
      <c r="O1375" s="15" t="str">
        <f>IFERROR(VLOOKUP(I1375,material!A:D,2,0),"")</f>
        <v/>
      </c>
    </row>
    <row r="1376">
      <c r="A1376" s="6"/>
      <c r="B1376" s="7"/>
      <c r="C1376" s="8" t="str">
        <f t="array" ref="C1376">IFERROR(INDEX(atlas!H:H,MATCH(A1376,atlas!C:C,0)),"")</f>
        <v/>
      </c>
      <c r="D1376" s="8" t="str">
        <f t="array" ref="D1376">IFERROR(INDEX(atlas!D:D,MATCH(A1376,atlas!C:C,0)),"")</f>
        <v/>
      </c>
      <c r="E1376" s="8" t="str">
        <f t="array" ref="E1376">IFERROR(INDEX(atlas!F:F,MATCH(A1376,atlas!C:C,0)),"")</f>
        <v/>
      </c>
      <c r="F1376" s="9"/>
      <c r="G1376" s="10"/>
      <c r="H1376" s="11"/>
      <c r="I1376" s="12" t="str">
        <f t="array" ref="I1376">IFERROR(INDEX(atlas!B:B,MATCH(A1376,atlas!C:C,0)),"")</f>
        <v/>
      </c>
      <c r="J1376" s="8" t="str">
        <f>IFERROR(VLOOKUP(F1376,tecnica!A:B,2,0),"")</f>
        <v/>
      </c>
      <c r="K1376" s="8" t="str">
        <f>IFERROR(VLOOKUP(J1376,tecnica!B:C,2,0),"")</f>
        <v/>
      </c>
      <c r="L1376" s="13"/>
      <c r="M1376" s="14" t="str">
        <f>IFERROR(VLOOKUP(I1376,material!A:D,4,0),"")</f>
        <v/>
      </c>
      <c r="N1376" s="14" t="str">
        <f t="shared" si="1"/>
        <v/>
      </c>
      <c r="O1376" s="15" t="str">
        <f>IFERROR(VLOOKUP(I1376,material!A:D,2,0),"")</f>
        <v/>
      </c>
    </row>
    <row r="1377">
      <c r="A1377" s="6"/>
      <c r="B1377" s="7"/>
      <c r="C1377" s="8" t="str">
        <f t="array" ref="C1377">IFERROR(INDEX(atlas!H:H,MATCH(A1377,atlas!C:C,0)),"")</f>
        <v/>
      </c>
      <c r="D1377" s="8" t="str">
        <f t="array" ref="D1377">IFERROR(INDEX(atlas!D:D,MATCH(A1377,atlas!C:C,0)),"")</f>
        <v/>
      </c>
      <c r="E1377" s="8" t="str">
        <f t="array" ref="E1377">IFERROR(INDEX(atlas!F:F,MATCH(A1377,atlas!C:C,0)),"")</f>
        <v/>
      </c>
      <c r="F1377" s="9"/>
      <c r="G1377" s="10"/>
      <c r="H1377" s="11"/>
      <c r="I1377" s="12" t="str">
        <f t="array" ref="I1377">IFERROR(INDEX(atlas!B:B,MATCH(A1377,atlas!C:C,0)),"")</f>
        <v/>
      </c>
      <c r="J1377" s="8" t="str">
        <f>IFERROR(VLOOKUP(F1377,tecnica!A:B,2,0),"")</f>
        <v/>
      </c>
      <c r="K1377" s="8" t="str">
        <f>IFERROR(VLOOKUP(J1377,tecnica!B:C,2,0),"")</f>
        <v/>
      </c>
      <c r="L1377" s="13"/>
      <c r="M1377" s="14" t="str">
        <f>IFERROR(VLOOKUP(I1377,material!A:D,4,0),"")</f>
        <v/>
      </c>
      <c r="N1377" s="14" t="str">
        <f t="shared" si="1"/>
        <v/>
      </c>
      <c r="O1377" s="15" t="str">
        <f>IFERROR(VLOOKUP(I1377,material!A:D,2,0),"")</f>
        <v/>
      </c>
    </row>
    <row r="1378">
      <c r="A1378" s="6"/>
      <c r="B1378" s="7"/>
      <c r="C1378" s="8" t="str">
        <f t="array" ref="C1378">IFERROR(INDEX(atlas!H:H,MATCH(A1378,atlas!C:C,0)),"")</f>
        <v/>
      </c>
      <c r="D1378" s="8" t="str">
        <f t="array" ref="D1378">IFERROR(INDEX(atlas!D:D,MATCH(A1378,atlas!C:C,0)),"")</f>
        <v/>
      </c>
      <c r="E1378" s="8" t="str">
        <f t="array" ref="E1378">IFERROR(INDEX(atlas!F:F,MATCH(A1378,atlas!C:C,0)),"")</f>
        <v/>
      </c>
      <c r="F1378" s="9"/>
      <c r="G1378" s="10"/>
      <c r="H1378" s="11"/>
      <c r="I1378" s="12" t="str">
        <f t="array" ref="I1378">IFERROR(INDEX(atlas!B:B,MATCH(A1378,atlas!C:C,0)),"")</f>
        <v/>
      </c>
      <c r="J1378" s="8" t="str">
        <f>IFERROR(VLOOKUP(F1378,tecnica!A:B,2,0),"")</f>
        <v/>
      </c>
      <c r="K1378" s="8" t="str">
        <f>IFERROR(VLOOKUP(J1378,tecnica!B:C,2,0),"")</f>
        <v/>
      </c>
      <c r="L1378" s="13"/>
      <c r="M1378" s="14" t="str">
        <f>IFERROR(VLOOKUP(I1378,material!A:D,4,0),"")</f>
        <v/>
      </c>
      <c r="N1378" s="14" t="str">
        <f t="shared" si="1"/>
        <v/>
      </c>
      <c r="O1378" s="15" t="str">
        <f>IFERROR(VLOOKUP(I1378,material!A:D,2,0),"")</f>
        <v/>
      </c>
    </row>
    <row r="1379">
      <c r="A1379" s="6"/>
      <c r="B1379" s="7"/>
      <c r="C1379" s="8" t="str">
        <f t="array" ref="C1379">IFERROR(INDEX(atlas!H:H,MATCH(A1379,atlas!C:C,0)),"")</f>
        <v/>
      </c>
      <c r="D1379" s="8" t="str">
        <f t="array" ref="D1379">IFERROR(INDEX(atlas!D:D,MATCH(A1379,atlas!C:C,0)),"")</f>
        <v/>
      </c>
      <c r="E1379" s="8" t="str">
        <f t="array" ref="E1379">IFERROR(INDEX(atlas!F:F,MATCH(A1379,atlas!C:C,0)),"")</f>
        <v/>
      </c>
      <c r="F1379" s="9"/>
      <c r="G1379" s="10"/>
      <c r="H1379" s="11"/>
      <c r="I1379" s="12" t="str">
        <f t="array" ref="I1379">IFERROR(INDEX(atlas!B:B,MATCH(A1379,atlas!C:C,0)),"")</f>
        <v/>
      </c>
      <c r="J1379" s="8" t="str">
        <f>IFERROR(VLOOKUP(F1379,tecnica!A:B,2,0),"")</f>
        <v/>
      </c>
      <c r="K1379" s="8" t="str">
        <f>IFERROR(VLOOKUP(J1379,tecnica!B:C,2,0),"")</f>
        <v/>
      </c>
      <c r="L1379" s="13"/>
      <c r="M1379" s="14" t="str">
        <f>IFERROR(VLOOKUP(I1379,material!A:D,4,0),"")</f>
        <v/>
      </c>
      <c r="N1379" s="14" t="str">
        <f t="shared" si="1"/>
        <v/>
      </c>
      <c r="O1379" s="15" t="str">
        <f>IFERROR(VLOOKUP(I1379,material!A:D,2,0),"")</f>
        <v/>
      </c>
    </row>
    <row r="1380">
      <c r="A1380" s="6"/>
      <c r="B1380" s="7"/>
      <c r="C1380" s="8" t="str">
        <f t="array" ref="C1380">IFERROR(INDEX(atlas!H:H,MATCH(A1380,atlas!C:C,0)),"")</f>
        <v/>
      </c>
      <c r="D1380" s="8" t="str">
        <f t="array" ref="D1380">IFERROR(INDEX(atlas!D:D,MATCH(A1380,atlas!C:C,0)),"")</f>
        <v/>
      </c>
      <c r="E1380" s="8" t="str">
        <f t="array" ref="E1380">IFERROR(INDEX(atlas!F:F,MATCH(A1380,atlas!C:C,0)),"")</f>
        <v/>
      </c>
      <c r="F1380" s="9"/>
      <c r="G1380" s="10"/>
      <c r="H1380" s="11"/>
      <c r="I1380" s="12" t="str">
        <f t="array" ref="I1380">IFERROR(INDEX(atlas!B:B,MATCH(A1380,atlas!C:C,0)),"")</f>
        <v/>
      </c>
      <c r="J1380" s="8" t="str">
        <f>IFERROR(VLOOKUP(F1380,tecnica!A:B,2,0),"")</f>
        <v/>
      </c>
      <c r="K1380" s="8" t="str">
        <f>IFERROR(VLOOKUP(J1380,tecnica!B:C,2,0),"")</f>
        <v/>
      </c>
      <c r="L1380" s="13"/>
      <c r="M1380" s="14" t="str">
        <f>IFERROR(VLOOKUP(I1380,material!A:D,4,0),"")</f>
        <v/>
      </c>
      <c r="N1380" s="14" t="str">
        <f t="shared" si="1"/>
        <v/>
      </c>
      <c r="O1380" s="15" t="str">
        <f>IFERROR(VLOOKUP(I1380,material!A:D,2,0),"")</f>
        <v/>
      </c>
    </row>
    <row r="1381">
      <c r="A1381" s="6"/>
      <c r="B1381" s="7"/>
      <c r="C1381" s="8" t="str">
        <f t="array" ref="C1381">IFERROR(INDEX(atlas!H:H,MATCH(A1381,atlas!C:C,0)),"")</f>
        <v/>
      </c>
      <c r="D1381" s="8" t="str">
        <f t="array" ref="D1381">IFERROR(INDEX(atlas!D:D,MATCH(A1381,atlas!C:C,0)),"")</f>
        <v/>
      </c>
      <c r="E1381" s="8" t="str">
        <f t="array" ref="E1381">IFERROR(INDEX(atlas!F:F,MATCH(A1381,atlas!C:C,0)),"")</f>
        <v/>
      </c>
      <c r="F1381" s="9"/>
      <c r="G1381" s="10"/>
      <c r="H1381" s="11"/>
      <c r="I1381" s="12" t="str">
        <f t="array" ref="I1381">IFERROR(INDEX(atlas!B:B,MATCH(A1381,atlas!C:C,0)),"")</f>
        <v/>
      </c>
      <c r="J1381" s="8" t="str">
        <f>IFERROR(VLOOKUP(F1381,tecnica!A:B,2,0),"")</f>
        <v/>
      </c>
      <c r="K1381" s="8" t="str">
        <f>IFERROR(VLOOKUP(J1381,tecnica!B:C,2,0),"")</f>
        <v/>
      </c>
      <c r="L1381" s="13"/>
      <c r="M1381" s="14" t="str">
        <f>IFERROR(VLOOKUP(I1381,material!A:D,4,0),"")</f>
        <v/>
      </c>
      <c r="N1381" s="14" t="str">
        <f t="shared" si="1"/>
        <v/>
      </c>
      <c r="O1381" s="15" t="str">
        <f>IFERROR(VLOOKUP(I1381,material!A:D,2,0),"")</f>
        <v/>
      </c>
    </row>
    <row r="1382">
      <c r="A1382" s="6"/>
      <c r="B1382" s="7"/>
      <c r="C1382" s="8" t="str">
        <f t="array" ref="C1382">IFERROR(INDEX(atlas!H:H,MATCH(A1382,atlas!C:C,0)),"")</f>
        <v/>
      </c>
      <c r="D1382" s="8" t="str">
        <f t="array" ref="D1382">IFERROR(INDEX(atlas!D:D,MATCH(A1382,atlas!C:C,0)),"")</f>
        <v/>
      </c>
      <c r="E1382" s="8" t="str">
        <f t="array" ref="E1382">IFERROR(INDEX(atlas!F:F,MATCH(A1382,atlas!C:C,0)),"")</f>
        <v/>
      </c>
      <c r="F1382" s="9"/>
      <c r="G1382" s="10"/>
      <c r="H1382" s="11"/>
      <c r="I1382" s="12" t="str">
        <f t="array" ref="I1382">IFERROR(INDEX(atlas!B:B,MATCH(A1382,atlas!C:C,0)),"")</f>
        <v/>
      </c>
      <c r="J1382" s="8" t="str">
        <f>IFERROR(VLOOKUP(F1382,tecnica!A:B,2,0),"")</f>
        <v/>
      </c>
      <c r="K1382" s="8" t="str">
        <f>IFERROR(VLOOKUP(J1382,tecnica!B:C,2,0),"")</f>
        <v/>
      </c>
      <c r="L1382" s="13"/>
      <c r="M1382" s="14" t="str">
        <f>IFERROR(VLOOKUP(I1382,material!A:D,4,0),"")</f>
        <v/>
      </c>
      <c r="N1382" s="14" t="str">
        <f t="shared" si="1"/>
        <v/>
      </c>
      <c r="O1382" s="15" t="str">
        <f>IFERROR(VLOOKUP(I1382,material!A:D,2,0),"")</f>
        <v/>
      </c>
    </row>
    <row r="1383">
      <c r="A1383" s="6"/>
      <c r="B1383" s="7"/>
      <c r="C1383" s="8" t="str">
        <f t="array" ref="C1383">IFERROR(INDEX(atlas!H:H,MATCH(A1383,atlas!C:C,0)),"")</f>
        <v/>
      </c>
      <c r="D1383" s="8" t="str">
        <f t="array" ref="D1383">IFERROR(INDEX(atlas!D:D,MATCH(A1383,atlas!C:C,0)),"")</f>
        <v/>
      </c>
      <c r="E1383" s="8" t="str">
        <f t="array" ref="E1383">IFERROR(INDEX(atlas!F:F,MATCH(A1383,atlas!C:C,0)),"")</f>
        <v/>
      </c>
      <c r="F1383" s="9"/>
      <c r="G1383" s="10"/>
      <c r="H1383" s="11"/>
      <c r="I1383" s="12" t="str">
        <f t="array" ref="I1383">IFERROR(INDEX(atlas!B:B,MATCH(A1383,atlas!C:C,0)),"")</f>
        <v/>
      </c>
      <c r="J1383" s="8" t="str">
        <f>IFERROR(VLOOKUP(F1383,tecnica!A:B,2,0),"")</f>
        <v/>
      </c>
      <c r="K1383" s="8" t="str">
        <f>IFERROR(VLOOKUP(J1383,tecnica!B:C,2,0),"")</f>
        <v/>
      </c>
      <c r="L1383" s="13"/>
      <c r="M1383" s="14" t="str">
        <f>IFERROR(VLOOKUP(I1383,material!A:D,4,0),"")</f>
        <v/>
      </c>
      <c r="N1383" s="14" t="str">
        <f t="shared" si="1"/>
        <v/>
      </c>
      <c r="O1383" s="15" t="str">
        <f>IFERROR(VLOOKUP(I1383,material!A:D,2,0),"")</f>
        <v/>
      </c>
    </row>
    <row r="1384">
      <c r="A1384" s="6"/>
      <c r="B1384" s="7"/>
      <c r="C1384" s="8" t="str">
        <f t="array" ref="C1384">IFERROR(INDEX(atlas!H:H,MATCH(A1384,atlas!C:C,0)),"")</f>
        <v/>
      </c>
      <c r="D1384" s="8" t="str">
        <f t="array" ref="D1384">IFERROR(INDEX(atlas!D:D,MATCH(A1384,atlas!C:C,0)),"")</f>
        <v/>
      </c>
      <c r="E1384" s="8" t="str">
        <f t="array" ref="E1384">IFERROR(INDEX(atlas!F:F,MATCH(A1384,atlas!C:C,0)),"")</f>
        <v/>
      </c>
      <c r="F1384" s="9"/>
      <c r="G1384" s="10"/>
      <c r="H1384" s="11"/>
      <c r="I1384" s="12" t="str">
        <f t="array" ref="I1384">IFERROR(INDEX(atlas!B:B,MATCH(A1384,atlas!C:C,0)),"")</f>
        <v/>
      </c>
      <c r="J1384" s="8" t="str">
        <f>IFERROR(VLOOKUP(F1384,tecnica!A:B,2,0),"")</f>
        <v/>
      </c>
      <c r="K1384" s="8" t="str">
        <f>IFERROR(VLOOKUP(J1384,tecnica!B:C,2,0),"")</f>
        <v/>
      </c>
      <c r="L1384" s="13"/>
      <c r="M1384" s="14" t="str">
        <f>IFERROR(VLOOKUP(I1384,material!A:D,4,0),"")</f>
        <v/>
      </c>
      <c r="N1384" s="14" t="str">
        <f t="shared" si="1"/>
        <v/>
      </c>
      <c r="O1384" s="15" t="str">
        <f>IFERROR(VLOOKUP(I1384,material!A:D,2,0),"")</f>
        <v/>
      </c>
    </row>
    <row r="1385">
      <c r="A1385" s="6"/>
      <c r="B1385" s="7"/>
      <c r="C1385" s="8" t="str">
        <f t="array" ref="C1385">IFERROR(INDEX(atlas!H:H,MATCH(A1385,atlas!C:C,0)),"")</f>
        <v/>
      </c>
      <c r="D1385" s="8" t="str">
        <f t="array" ref="D1385">IFERROR(INDEX(atlas!D:D,MATCH(A1385,atlas!C:C,0)),"")</f>
        <v/>
      </c>
      <c r="E1385" s="8" t="str">
        <f t="array" ref="E1385">IFERROR(INDEX(atlas!F:F,MATCH(A1385,atlas!C:C,0)),"")</f>
        <v/>
      </c>
      <c r="F1385" s="9"/>
      <c r="G1385" s="10"/>
      <c r="H1385" s="11"/>
      <c r="I1385" s="12" t="str">
        <f t="array" ref="I1385">IFERROR(INDEX(atlas!B:B,MATCH(A1385,atlas!C:C,0)),"")</f>
        <v/>
      </c>
      <c r="J1385" s="8" t="str">
        <f>IFERROR(VLOOKUP(F1385,tecnica!A:B,2,0),"")</f>
        <v/>
      </c>
      <c r="K1385" s="8" t="str">
        <f>IFERROR(VLOOKUP(J1385,tecnica!B:C,2,0),"")</f>
        <v/>
      </c>
      <c r="L1385" s="13"/>
      <c r="M1385" s="14" t="str">
        <f>IFERROR(VLOOKUP(I1385,material!A:D,4,0),"")</f>
        <v/>
      </c>
      <c r="N1385" s="14" t="str">
        <f t="shared" si="1"/>
        <v/>
      </c>
      <c r="O1385" s="15" t="str">
        <f>IFERROR(VLOOKUP(I1385,material!A:D,2,0),"")</f>
        <v/>
      </c>
    </row>
    <row r="1386">
      <c r="A1386" s="6"/>
      <c r="B1386" s="7"/>
      <c r="C1386" s="8" t="str">
        <f t="array" ref="C1386">IFERROR(INDEX(atlas!H:H,MATCH(A1386,atlas!C:C,0)),"")</f>
        <v/>
      </c>
      <c r="D1386" s="8" t="str">
        <f t="array" ref="D1386">IFERROR(INDEX(atlas!D:D,MATCH(A1386,atlas!C:C,0)),"")</f>
        <v/>
      </c>
      <c r="E1386" s="8" t="str">
        <f t="array" ref="E1386">IFERROR(INDEX(atlas!F:F,MATCH(A1386,atlas!C:C,0)),"")</f>
        <v/>
      </c>
      <c r="F1386" s="9"/>
      <c r="G1386" s="10"/>
      <c r="H1386" s="11"/>
      <c r="I1386" s="12" t="str">
        <f t="array" ref="I1386">IFERROR(INDEX(atlas!B:B,MATCH(A1386,atlas!C:C,0)),"")</f>
        <v/>
      </c>
      <c r="J1386" s="8" t="str">
        <f>IFERROR(VLOOKUP(F1386,tecnica!A:B,2,0),"")</f>
        <v/>
      </c>
      <c r="K1386" s="8" t="str">
        <f>IFERROR(VLOOKUP(J1386,tecnica!B:C,2,0),"")</f>
        <v/>
      </c>
      <c r="L1386" s="13"/>
      <c r="M1386" s="14" t="str">
        <f>IFERROR(VLOOKUP(I1386,material!A:D,4,0),"")</f>
        <v/>
      </c>
      <c r="N1386" s="14" t="str">
        <f t="shared" si="1"/>
        <v/>
      </c>
      <c r="O1386" s="15" t="str">
        <f>IFERROR(VLOOKUP(I1386,material!A:D,2,0),"")</f>
        <v/>
      </c>
    </row>
    <row r="1387">
      <c r="A1387" s="6"/>
      <c r="B1387" s="7"/>
      <c r="C1387" s="8" t="str">
        <f t="array" ref="C1387">IFERROR(INDEX(atlas!H:H,MATCH(A1387,atlas!C:C,0)),"")</f>
        <v/>
      </c>
      <c r="D1387" s="8" t="str">
        <f t="array" ref="D1387">IFERROR(INDEX(atlas!D:D,MATCH(A1387,atlas!C:C,0)),"")</f>
        <v/>
      </c>
      <c r="E1387" s="8" t="str">
        <f t="array" ref="E1387">IFERROR(INDEX(atlas!F:F,MATCH(A1387,atlas!C:C,0)),"")</f>
        <v/>
      </c>
      <c r="F1387" s="9"/>
      <c r="G1387" s="10"/>
      <c r="H1387" s="11"/>
      <c r="I1387" s="12" t="str">
        <f t="array" ref="I1387">IFERROR(INDEX(atlas!B:B,MATCH(A1387,atlas!C:C,0)),"")</f>
        <v/>
      </c>
      <c r="J1387" s="8" t="str">
        <f>IFERROR(VLOOKUP(F1387,tecnica!A:B,2,0),"")</f>
        <v/>
      </c>
      <c r="K1387" s="8" t="str">
        <f>IFERROR(VLOOKUP(J1387,tecnica!B:C,2,0),"")</f>
        <v/>
      </c>
      <c r="L1387" s="13"/>
      <c r="M1387" s="14" t="str">
        <f>IFERROR(VLOOKUP(I1387,material!A:D,4,0),"")</f>
        <v/>
      </c>
      <c r="N1387" s="14" t="str">
        <f t="shared" si="1"/>
        <v/>
      </c>
      <c r="O1387" s="15" t="str">
        <f>IFERROR(VLOOKUP(I1387,material!A:D,2,0),"")</f>
        <v/>
      </c>
    </row>
    <row r="1388">
      <c r="A1388" s="6"/>
      <c r="B1388" s="7"/>
      <c r="C1388" s="8" t="str">
        <f t="array" ref="C1388">IFERROR(INDEX(atlas!H:H,MATCH(A1388,atlas!C:C,0)),"")</f>
        <v/>
      </c>
      <c r="D1388" s="8" t="str">
        <f t="array" ref="D1388">IFERROR(INDEX(atlas!D:D,MATCH(A1388,atlas!C:C,0)),"")</f>
        <v/>
      </c>
      <c r="E1388" s="8" t="str">
        <f t="array" ref="E1388">IFERROR(INDEX(atlas!F:F,MATCH(A1388,atlas!C:C,0)),"")</f>
        <v/>
      </c>
      <c r="F1388" s="9"/>
      <c r="G1388" s="10"/>
      <c r="H1388" s="11"/>
      <c r="I1388" s="12" t="str">
        <f t="array" ref="I1388">IFERROR(INDEX(atlas!B:B,MATCH(A1388,atlas!C:C,0)),"")</f>
        <v/>
      </c>
      <c r="J1388" s="8" t="str">
        <f>IFERROR(VLOOKUP(F1388,tecnica!A:B,2,0),"")</f>
        <v/>
      </c>
      <c r="K1388" s="8" t="str">
        <f>IFERROR(VLOOKUP(J1388,tecnica!B:C,2,0),"")</f>
        <v/>
      </c>
      <c r="L1388" s="13"/>
      <c r="M1388" s="14" t="str">
        <f>IFERROR(VLOOKUP(I1388,material!A:D,4,0),"")</f>
        <v/>
      </c>
      <c r="N1388" s="14" t="str">
        <f t="shared" si="1"/>
        <v/>
      </c>
      <c r="O1388" s="15" t="str">
        <f>IFERROR(VLOOKUP(I1388,material!A:D,2,0),"")</f>
        <v/>
      </c>
    </row>
    <row r="1389">
      <c r="A1389" s="6"/>
      <c r="B1389" s="7"/>
      <c r="C1389" s="8" t="str">
        <f t="array" ref="C1389">IFERROR(INDEX(atlas!H:H,MATCH(A1389,atlas!C:C,0)),"")</f>
        <v/>
      </c>
      <c r="D1389" s="8" t="str">
        <f t="array" ref="D1389">IFERROR(INDEX(atlas!D:D,MATCH(A1389,atlas!C:C,0)),"")</f>
        <v/>
      </c>
      <c r="E1389" s="8" t="str">
        <f t="array" ref="E1389">IFERROR(INDEX(atlas!F:F,MATCH(A1389,atlas!C:C,0)),"")</f>
        <v/>
      </c>
      <c r="F1389" s="9"/>
      <c r="G1389" s="10"/>
      <c r="H1389" s="11"/>
      <c r="I1389" s="12" t="str">
        <f t="array" ref="I1389">IFERROR(INDEX(atlas!B:B,MATCH(A1389,atlas!C:C,0)),"")</f>
        <v/>
      </c>
      <c r="J1389" s="8" t="str">
        <f>IFERROR(VLOOKUP(F1389,tecnica!A:B,2,0),"")</f>
        <v/>
      </c>
      <c r="K1389" s="8" t="str">
        <f>IFERROR(VLOOKUP(J1389,tecnica!B:C,2,0),"")</f>
        <v/>
      </c>
      <c r="L1389" s="13"/>
      <c r="M1389" s="14" t="str">
        <f>IFERROR(VLOOKUP(I1389,material!A:D,4,0),"")</f>
        <v/>
      </c>
      <c r="N1389" s="14" t="str">
        <f t="shared" si="1"/>
        <v/>
      </c>
      <c r="O1389" s="15" t="str">
        <f>IFERROR(VLOOKUP(I1389,material!A:D,2,0),"")</f>
        <v/>
      </c>
    </row>
    <row r="1390">
      <c r="A1390" s="6"/>
      <c r="B1390" s="7"/>
      <c r="C1390" s="8" t="str">
        <f t="array" ref="C1390">IFERROR(INDEX(atlas!H:H,MATCH(A1390,atlas!C:C,0)),"")</f>
        <v/>
      </c>
      <c r="D1390" s="8" t="str">
        <f t="array" ref="D1390">IFERROR(INDEX(atlas!D:D,MATCH(A1390,atlas!C:C,0)),"")</f>
        <v/>
      </c>
      <c r="E1390" s="8" t="str">
        <f t="array" ref="E1390">IFERROR(INDEX(atlas!F:F,MATCH(A1390,atlas!C:C,0)),"")</f>
        <v/>
      </c>
      <c r="F1390" s="9"/>
      <c r="G1390" s="10"/>
      <c r="H1390" s="11"/>
      <c r="I1390" s="12" t="str">
        <f t="array" ref="I1390">IFERROR(INDEX(atlas!B:B,MATCH(A1390,atlas!C:C,0)),"")</f>
        <v/>
      </c>
      <c r="J1390" s="8" t="str">
        <f>IFERROR(VLOOKUP(F1390,tecnica!A:B,2,0),"")</f>
        <v/>
      </c>
      <c r="K1390" s="8" t="str">
        <f>IFERROR(VLOOKUP(J1390,tecnica!B:C,2,0),"")</f>
        <v/>
      </c>
      <c r="L1390" s="13"/>
      <c r="M1390" s="14" t="str">
        <f>IFERROR(VLOOKUP(I1390,material!A:D,4,0),"")</f>
        <v/>
      </c>
      <c r="N1390" s="14" t="str">
        <f t="shared" si="1"/>
        <v/>
      </c>
      <c r="O1390" s="15" t="str">
        <f>IFERROR(VLOOKUP(I1390,material!A:D,2,0),"")</f>
        <v/>
      </c>
    </row>
    <row r="1391">
      <c r="A1391" s="6"/>
      <c r="B1391" s="7"/>
      <c r="C1391" s="8" t="str">
        <f t="array" ref="C1391">IFERROR(INDEX(atlas!H:H,MATCH(A1391,atlas!C:C,0)),"")</f>
        <v/>
      </c>
      <c r="D1391" s="8" t="str">
        <f t="array" ref="D1391">IFERROR(INDEX(atlas!D:D,MATCH(A1391,atlas!C:C,0)),"")</f>
        <v/>
      </c>
      <c r="E1391" s="8" t="str">
        <f t="array" ref="E1391">IFERROR(INDEX(atlas!F:F,MATCH(A1391,atlas!C:C,0)),"")</f>
        <v/>
      </c>
      <c r="F1391" s="9"/>
      <c r="G1391" s="10"/>
      <c r="H1391" s="11"/>
      <c r="I1391" s="12" t="str">
        <f t="array" ref="I1391">IFERROR(INDEX(atlas!B:B,MATCH(A1391,atlas!C:C,0)),"")</f>
        <v/>
      </c>
      <c r="J1391" s="8" t="str">
        <f>IFERROR(VLOOKUP(F1391,tecnica!A:B,2,0),"")</f>
        <v/>
      </c>
      <c r="K1391" s="8" t="str">
        <f>IFERROR(VLOOKUP(J1391,tecnica!B:C,2,0),"")</f>
        <v/>
      </c>
      <c r="L1391" s="13"/>
      <c r="M1391" s="14" t="str">
        <f>IFERROR(VLOOKUP(I1391,material!A:D,4,0),"")</f>
        <v/>
      </c>
      <c r="N1391" s="14" t="str">
        <f t="shared" si="1"/>
        <v/>
      </c>
      <c r="O1391" s="15" t="str">
        <f>IFERROR(VLOOKUP(I1391,material!A:D,2,0),"")</f>
        <v/>
      </c>
    </row>
    <row r="1392">
      <c r="A1392" s="6"/>
      <c r="B1392" s="7"/>
      <c r="C1392" s="8" t="str">
        <f t="array" ref="C1392">IFERROR(INDEX(atlas!H:H,MATCH(A1392,atlas!C:C,0)),"")</f>
        <v/>
      </c>
      <c r="D1392" s="8" t="str">
        <f t="array" ref="D1392">IFERROR(INDEX(atlas!D:D,MATCH(A1392,atlas!C:C,0)),"")</f>
        <v/>
      </c>
      <c r="E1392" s="8" t="str">
        <f t="array" ref="E1392">IFERROR(INDEX(atlas!F:F,MATCH(A1392,atlas!C:C,0)),"")</f>
        <v/>
      </c>
      <c r="F1392" s="9"/>
      <c r="G1392" s="10"/>
      <c r="H1392" s="11"/>
      <c r="I1392" s="12" t="str">
        <f t="array" ref="I1392">IFERROR(INDEX(atlas!B:B,MATCH(A1392,atlas!C:C,0)),"")</f>
        <v/>
      </c>
      <c r="J1392" s="8" t="str">
        <f>IFERROR(VLOOKUP(F1392,tecnica!A:B,2,0),"")</f>
        <v/>
      </c>
      <c r="K1392" s="8" t="str">
        <f>IFERROR(VLOOKUP(J1392,tecnica!B:C,2,0),"")</f>
        <v/>
      </c>
      <c r="L1392" s="13"/>
      <c r="M1392" s="14" t="str">
        <f>IFERROR(VLOOKUP(I1392,material!A:D,4,0),"")</f>
        <v/>
      </c>
      <c r="N1392" s="14" t="str">
        <f t="shared" si="1"/>
        <v/>
      </c>
      <c r="O1392" s="15" t="str">
        <f>IFERROR(VLOOKUP(I1392,material!A:D,2,0),"")</f>
        <v/>
      </c>
    </row>
    <row r="1393">
      <c r="A1393" s="6"/>
      <c r="B1393" s="7"/>
      <c r="C1393" s="8" t="str">
        <f t="array" ref="C1393">IFERROR(INDEX(atlas!H:H,MATCH(A1393,atlas!C:C,0)),"")</f>
        <v/>
      </c>
      <c r="D1393" s="8" t="str">
        <f t="array" ref="D1393">IFERROR(INDEX(atlas!D:D,MATCH(A1393,atlas!C:C,0)),"")</f>
        <v/>
      </c>
      <c r="E1393" s="8" t="str">
        <f t="array" ref="E1393">IFERROR(INDEX(atlas!F:F,MATCH(A1393,atlas!C:C,0)),"")</f>
        <v/>
      </c>
      <c r="F1393" s="9"/>
      <c r="G1393" s="10"/>
      <c r="H1393" s="11"/>
      <c r="I1393" s="12" t="str">
        <f t="array" ref="I1393">IFERROR(INDEX(atlas!B:B,MATCH(A1393,atlas!C:C,0)),"")</f>
        <v/>
      </c>
      <c r="J1393" s="8" t="str">
        <f>IFERROR(VLOOKUP(F1393,tecnica!A:B,2,0),"")</f>
        <v/>
      </c>
      <c r="K1393" s="8" t="str">
        <f>IFERROR(VLOOKUP(J1393,tecnica!B:C,2,0),"")</f>
        <v/>
      </c>
      <c r="L1393" s="13"/>
      <c r="M1393" s="14" t="str">
        <f>IFERROR(VLOOKUP(I1393,material!A:D,4,0),"")</f>
        <v/>
      </c>
      <c r="N1393" s="14" t="str">
        <f t="shared" si="1"/>
        <v/>
      </c>
      <c r="O1393" s="15" t="str">
        <f>IFERROR(VLOOKUP(I1393,material!A:D,2,0),"")</f>
        <v/>
      </c>
    </row>
    <row r="1394">
      <c r="A1394" s="6"/>
      <c r="B1394" s="7"/>
      <c r="C1394" s="8" t="str">
        <f t="array" ref="C1394">IFERROR(INDEX(atlas!H:H,MATCH(A1394,atlas!C:C,0)),"")</f>
        <v/>
      </c>
      <c r="D1394" s="8" t="str">
        <f t="array" ref="D1394">IFERROR(INDEX(atlas!D:D,MATCH(A1394,atlas!C:C,0)),"")</f>
        <v/>
      </c>
      <c r="E1394" s="8" t="str">
        <f t="array" ref="E1394">IFERROR(INDEX(atlas!F:F,MATCH(A1394,atlas!C:C,0)),"")</f>
        <v/>
      </c>
      <c r="F1394" s="9"/>
      <c r="G1394" s="10"/>
      <c r="H1394" s="11"/>
      <c r="I1394" s="12" t="str">
        <f t="array" ref="I1394">IFERROR(INDEX(atlas!B:B,MATCH(A1394,atlas!C:C,0)),"")</f>
        <v/>
      </c>
      <c r="J1394" s="8" t="str">
        <f>IFERROR(VLOOKUP(F1394,tecnica!A:B,2,0),"")</f>
        <v/>
      </c>
      <c r="K1394" s="8" t="str">
        <f>IFERROR(VLOOKUP(J1394,tecnica!B:C,2,0),"")</f>
        <v/>
      </c>
      <c r="L1394" s="13"/>
      <c r="M1394" s="14" t="str">
        <f>IFERROR(VLOOKUP(I1394,material!A:D,4,0),"")</f>
        <v/>
      </c>
      <c r="N1394" s="14" t="str">
        <f t="shared" si="1"/>
        <v/>
      </c>
      <c r="O1394" s="15" t="str">
        <f>IFERROR(VLOOKUP(I1394,material!A:D,2,0),"")</f>
        <v/>
      </c>
    </row>
    <row r="1395">
      <c r="A1395" s="6"/>
      <c r="B1395" s="7"/>
      <c r="C1395" s="8" t="str">
        <f t="array" ref="C1395">IFERROR(INDEX(atlas!H:H,MATCH(A1395,atlas!C:C,0)),"")</f>
        <v/>
      </c>
      <c r="D1395" s="8" t="str">
        <f t="array" ref="D1395">IFERROR(INDEX(atlas!D:D,MATCH(A1395,atlas!C:C,0)),"")</f>
        <v/>
      </c>
      <c r="E1395" s="8" t="str">
        <f t="array" ref="E1395">IFERROR(INDEX(atlas!F:F,MATCH(A1395,atlas!C:C,0)),"")</f>
        <v/>
      </c>
      <c r="F1395" s="9"/>
      <c r="G1395" s="10"/>
      <c r="H1395" s="11"/>
      <c r="I1395" s="12" t="str">
        <f t="array" ref="I1395">IFERROR(INDEX(atlas!B:B,MATCH(A1395,atlas!C:C,0)),"")</f>
        <v/>
      </c>
      <c r="J1395" s="8" t="str">
        <f>IFERROR(VLOOKUP(F1395,tecnica!A:B,2,0),"")</f>
        <v/>
      </c>
      <c r="K1395" s="8" t="str">
        <f>IFERROR(VLOOKUP(J1395,tecnica!B:C,2,0),"")</f>
        <v/>
      </c>
      <c r="L1395" s="13"/>
      <c r="M1395" s="14" t="str">
        <f>IFERROR(VLOOKUP(I1395,material!A:D,4,0),"")</f>
        <v/>
      </c>
      <c r="N1395" s="14" t="str">
        <f t="shared" si="1"/>
        <v/>
      </c>
      <c r="O1395" s="15" t="str">
        <f>IFERROR(VLOOKUP(I1395,material!A:D,2,0),"")</f>
        <v/>
      </c>
    </row>
    <row r="1396">
      <c r="A1396" s="6"/>
      <c r="B1396" s="7"/>
      <c r="C1396" s="8" t="str">
        <f t="array" ref="C1396">IFERROR(INDEX(atlas!H:H,MATCH(A1396,atlas!C:C,0)),"")</f>
        <v/>
      </c>
      <c r="D1396" s="8" t="str">
        <f t="array" ref="D1396">IFERROR(INDEX(atlas!D:D,MATCH(A1396,atlas!C:C,0)),"")</f>
        <v/>
      </c>
      <c r="E1396" s="8" t="str">
        <f t="array" ref="E1396">IFERROR(INDEX(atlas!F:F,MATCH(A1396,atlas!C:C,0)),"")</f>
        <v/>
      </c>
      <c r="F1396" s="9"/>
      <c r="G1396" s="10"/>
      <c r="H1396" s="11"/>
      <c r="I1396" s="12" t="str">
        <f t="array" ref="I1396">IFERROR(INDEX(atlas!B:B,MATCH(A1396,atlas!C:C,0)),"")</f>
        <v/>
      </c>
      <c r="J1396" s="8" t="str">
        <f>IFERROR(VLOOKUP(F1396,tecnica!A:B,2,0),"")</f>
        <v/>
      </c>
      <c r="K1396" s="8" t="str">
        <f>IFERROR(VLOOKUP(J1396,tecnica!B:C,2,0),"")</f>
        <v/>
      </c>
      <c r="L1396" s="13"/>
      <c r="M1396" s="14" t="str">
        <f>IFERROR(VLOOKUP(I1396,material!A:D,4,0),"")</f>
        <v/>
      </c>
      <c r="N1396" s="14" t="str">
        <f t="shared" si="1"/>
        <v/>
      </c>
      <c r="O1396" s="15" t="str">
        <f>IFERROR(VLOOKUP(I1396,material!A:D,2,0),"")</f>
        <v/>
      </c>
    </row>
    <row r="1397">
      <c r="A1397" s="6"/>
      <c r="B1397" s="7"/>
      <c r="C1397" s="8" t="str">
        <f t="array" ref="C1397">IFERROR(INDEX(atlas!H:H,MATCH(A1397,atlas!C:C,0)),"")</f>
        <v/>
      </c>
      <c r="D1397" s="8" t="str">
        <f t="array" ref="D1397">IFERROR(INDEX(atlas!D:D,MATCH(A1397,atlas!C:C,0)),"")</f>
        <v/>
      </c>
      <c r="E1397" s="8" t="str">
        <f t="array" ref="E1397">IFERROR(INDEX(atlas!F:F,MATCH(A1397,atlas!C:C,0)),"")</f>
        <v/>
      </c>
      <c r="F1397" s="9"/>
      <c r="G1397" s="10"/>
      <c r="H1397" s="11"/>
      <c r="I1397" s="12" t="str">
        <f t="array" ref="I1397">IFERROR(INDEX(atlas!B:B,MATCH(A1397,atlas!C:C,0)),"")</f>
        <v/>
      </c>
      <c r="J1397" s="8" t="str">
        <f>IFERROR(VLOOKUP(F1397,tecnica!A:B,2,0),"")</f>
        <v/>
      </c>
      <c r="K1397" s="8" t="str">
        <f>IFERROR(VLOOKUP(J1397,tecnica!B:C,2,0),"")</f>
        <v/>
      </c>
      <c r="L1397" s="13"/>
      <c r="M1397" s="14" t="str">
        <f>IFERROR(VLOOKUP(I1397,material!A:D,4,0),"")</f>
        <v/>
      </c>
      <c r="N1397" s="14" t="str">
        <f t="shared" si="1"/>
        <v/>
      </c>
      <c r="O1397" s="15" t="str">
        <f>IFERROR(VLOOKUP(I1397,material!A:D,2,0),"")</f>
        <v/>
      </c>
    </row>
    <row r="1398">
      <c r="A1398" s="6"/>
      <c r="B1398" s="7"/>
      <c r="C1398" s="8" t="str">
        <f t="array" ref="C1398">IFERROR(INDEX(atlas!H:H,MATCH(A1398,atlas!C:C,0)),"")</f>
        <v/>
      </c>
      <c r="D1398" s="8" t="str">
        <f t="array" ref="D1398">IFERROR(INDEX(atlas!D:D,MATCH(A1398,atlas!C:C,0)),"")</f>
        <v/>
      </c>
      <c r="E1398" s="8" t="str">
        <f t="array" ref="E1398">IFERROR(INDEX(atlas!F:F,MATCH(A1398,atlas!C:C,0)),"")</f>
        <v/>
      </c>
      <c r="F1398" s="9"/>
      <c r="G1398" s="10"/>
      <c r="H1398" s="11"/>
      <c r="I1398" s="12" t="str">
        <f t="array" ref="I1398">IFERROR(INDEX(atlas!B:B,MATCH(A1398,atlas!C:C,0)),"")</f>
        <v/>
      </c>
      <c r="J1398" s="8" t="str">
        <f>IFERROR(VLOOKUP(F1398,tecnica!A:B,2,0),"")</f>
        <v/>
      </c>
      <c r="K1398" s="8" t="str">
        <f>IFERROR(VLOOKUP(J1398,tecnica!B:C,2,0),"")</f>
        <v/>
      </c>
      <c r="L1398" s="13"/>
      <c r="M1398" s="14" t="str">
        <f>IFERROR(VLOOKUP(I1398,material!A:D,4,0),"")</f>
        <v/>
      </c>
      <c r="N1398" s="14" t="str">
        <f t="shared" si="1"/>
        <v/>
      </c>
      <c r="O1398" s="15" t="str">
        <f>IFERROR(VLOOKUP(I1398,material!A:D,2,0),"")</f>
        <v/>
      </c>
    </row>
    <row r="1399">
      <c r="A1399" s="6"/>
      <c r="B1399" s="7"/>
      <c r="C1399" s="8" t="str">
        <f t="array" ref="C1399">IFERROR(INDEX(atlas!H:H,MATCH(A1399,atlas!C:C,0)),"")</f>
        <v/>
      </c>
      <c r="D1399" s="8" t="str">
        <f t="array" ref="D1399">IFERROR(INDEX(atlas!D:D,MATCH(A1399,atlas!C:C,0)),"")</f>
        <v/>
      </c>
      <c r="E1399" s="8" t="str">
        <f t="array" ref="E1399">IFERROR(INDEX(atlas!F:F,MATCH(A1399,atlas!C:C,0)),"")</f>
        <v/>
      </c>
      <c r="F1399" s="9"/>
      <c r="G1399" s="10"/>
      <c r="H1399" s="11"/>
      <c r="I1399" s="12" t="str">
        <f t="array" ref="I1399">IFERROR(INDEX(atlas!B:B,MATCH(A1399,atlas!C:C,0)),"")</f>
        <v/>
      </c>
      <c r="J1399" s="8" t="str">
        <f>IFERROR(VLOOKUP(F1399,tecnica!A:B,2,0),"")</f>
        <v/>
      </c>
      <c r="K1399" s="8" t="str">
        <f>IFERROR(VLOOKUP(J1399,tecnica!B:C,2,0),"")</f>
        <v/>
      </c>
      <c r="L1399" s="13"/>
      <c r="M1399" s="14" t="str">
        <f>IFERROR(VLOOKUP(I1399,material!A:D,4,0),"")</f>
        <v/>
      </c>
      <c r="N1399" s="14" t="str">
        <f t="shared" si="1"/>
        <v/>
      </c>
      <c r="O1399" s="15" t="str">
        <f>IFERROR(VLOOKUP(I1399,material!A:D,2,0),"")</f>
        <v/>
      </c>
    </row>
    <row r="1400">
      <c r="A1400" s="6"/>
      <c r="B1400" s="7"/>
      <c r="C1400" s="8" t="str">
        <f t="array" ref="C1400">IFERROR(INDEX(atlas!H:H,MATCH(A1400,atlas!C:C,0)),"")</f>
        <v/>
      </c>
      <c r="D1400" s="8" t="str">
        <f t="array" ref="D1400">IFERROR(INDEX(atlas!D:D,MATCH(A1400,atlas!C:C,0)),"")</f>
        <v/>
      </c>
      <c r="E1400" s="8" t="str">
        <f t="array" ref="E1400">IFERROR(INDEX(atlas!F:F,MATCH(A1400,atlas!C:C,0)),"")</f>
        <v/>
      </c>
      <c r="F1400" s="9"/>
      <c r="G1400" s="10"/>
      <c r="H1400" s="11"/>
      <c r="I1400" s="12" t="str">
        <f t="array" ref="I1400">IFERROR(INDEX(atlas!B:B,MATCH(A1400,atlas!C:C,0)),"")</f>
        <v/>
      </c>
      <c r="J1400" s="8" t="str">
        <f>IFERROR(VLOOKUP(F1400,tecnica!A:B,2,0),"")</f>
        <v/>
      </c>
      <c r="K1400" s="8" t="str">
        <f>IFERROR(VLOOKUP(J1400,tecnica!B:C,2,0),"")</f>
        <v/>
      </c>
      <c r="L1400" s="13"/>
      <c r="M1400" s="14" t="str">
        <f>IFERROR(VLOOKUP(I1400,material!A:D,4,0),"")</f>
        <v/>
      </c>
      <c r="N1400" s="14" t="str">
        <f t="shared" si="1"/>
        <v/>
      </c>
      <c r="O1400" s="15" t="str">
        <f>IFERROR(VLOOKUP(I1400,material!A:D,2,0),"")</f>
        <v/>
      </c>
    </row>
    <row r="1401">
      <c r="A1401" s="6"/>
      <c r="B1401" s="7"/>
      <c r="C1401" s="8" t="str">
        <f t="array" ref="C1401">IFERROR(INDEX(atlas!H:H,MATCH(A1401,atlas!C:C,0)),"")</f>
        <v/>
      </c>
      <c r="D1401" s="8" t="str">
        <f t="array" ref="D1401">IFERROR(INDEX(atlas!D:D,MATCH(A1401,atlas!C:C,0)),"")</f>
        <v/>
      </c>
      <c r="E1401" s="8" t="str">
        <f t="array" ref="E1401">IFERROR(INDEX(atlas!F:F,MATCH(A1401,atlas!C:C,0)),"")</f>
        <v/>
      </c>
      <c r="F1401" s="9"/>
      <c r="G1401" s="10"/>
      <c r="H1401" s="11"/>
      <c r="I1401" s="12" t="str">
        <f t="array" ref="I1401">IFERROR(INDEX(atlas!B:B,MATCH(A1401,atlas!C:C,0)),"")</f>
        <v/>
      </c>
      <c r="J1401" s="8" t="str">
        <f>IFERROR(VLOOKUP(F1401,tecnica!A:B,2,0),"")</f>
        <v/>
      </c>
      <c r="K1401" s="8" t="str">
        <f>IFERROR(VLOOKUP(J1401,tecnica!B:C,2,0),"")</f>
        <v/>
      </c>
      <c r="L1401" s="13"/>
      <c r="M1401" s="14" t="str">
        <f>IFERROR(VLOOKUP(I1401,material!A:D,4,0),"")</f>
        <v/>
      </c>
      <c r="N1401" s="14" t="str">
        <f t="shared" si="1"/>
        <v/>
      </c>
      <c r="O1401" s="15" t="str">
        <f>IFERROR(VLOOKUP(I1401,material!A:D,2,0),"")</f>
        <v/>
      </c>
    </row>
    <row r="1402">
      <c r="A1402" s="6"/>
      <c r="B1402" s="7"/>
      <c r="C1402" s="8" t="str">
        <f t="array" ref="C1402">IFERROR(INDEX(atlas!H:H,MATCH(A1402,atlas!C:C,0)),"")</f>
        <v/>
      </c>
      <c r="D1402" s="8" t="str">
        <f t="array" ref="D1402">IFERROR(INDEX(atlas!D:D,MATCH(A1402,atlas!C:C,0)),"")</f>
        <v/>
      </c>
      <c r="E1402" s="8" t="str">
        <f t="array" ref="E1402">IFERROR(INDEX(atlas!F:F,MATCH(A1402,atlas!C:C,0)),"")</f>
        <v/>
      </c>
      <c r="F1402" s="9"/>
      <c r="G1402" s="10"/>
      <c r="H1402" s="11"/>
      <c r="I1402" s="12" t="str">
        <f t="array" ref="I1402">IFERROR(INDEX(atlas!B:B,MATCH(A1402,atlas!C:C,0)),"")</f>
        <v/>
      </c>
      <c r="J1402" s="8" t="str">
        <f>IFERROR(VLOOKUP(F1402,tecnica!A:B,2,0),"")</f>
        <v/>
      </c>
      <c r="K1402" s="8" t="str">
        <f>IFERROR(VLOOKUP(J1402,tecnica!B:C,2,0),"")</f>
        <v/>
      </c>
      <c r="L1402" s="13"/>
      <c r="M1402" s="14" t="str">
        <f>IFERROR(VLOOKUP(I1402,material!A:D,4,0),"")</f>
        <v/>
      </c>
      <c r="N1402" s="14" t="str">
        <f t="shared" si="1"/>
        <v/>
      </c>
      <c r="O1402" s="15" t="str">
        <f>IFERROR(VLOOKUP(I1402,material!A:D,2,0),"")</f>
        <v/>
      </c>
    </row>
    <row r="1403">
      <c r="A1403" s="6"/>
      <c r="B1403" s="7"/>
      <c r="C1403" s="8" t="str">
        <f t="array" ref="C1403">IFERROR(INDEX(atlas!H:H,MATCH(A1403,atlas!C:C,0)),"")</f>
        <v/>
      </c>
      <c r="D1403" s="8" t="str">
        <f t="array" ref="D1403">IFERROR(INDEX(atlas!D:D,MATCH(A1403,atlas!C:C,0)),"")</f>
        <v/>
      </c>
      <c r="E1403" s="8" t="str">
        <f t="array" ref="E1403">IFERROR(INDEX(atlas!F:F,MATCH(A1403,atlas!C:C,0)),"")</f>
        <v/>
      </c>
      <c r="F1403" s="9"/>
      <c r="G1403" s="10"/>
      <c r="H1403" s="11"/>
      <c r="I1403" s="12" t="str">
        <f t="array" ref="I1403">IFERROR(INDEX(atlas!B:B,MATCH(A1403,atlas!C:C,0)),"")</f>
        <v/>
      </c>
      <c r="J1403" s="8" t="str">
        <f>IFERROR(VLOOKUP(F1403,tecnica!A:B,2,0),"")</f>
        <v/>
      </c>
      <c r="K1403" s="8" t="str">
        <f>IFERROR(VLOOKUP(J1403,tecnica!B:C,2,0),"")</f>
        <v/>
      </c>
      <c r="L1403" s="13"/>
      <c r="M1403" s="14" t="str">
        <f>IFERROR(VLOOKUP(I1403,material!A:D,4,0),"")</f>
        <v/>
      </c>
      <c r="N1403" s="14" t="str">
        <f t="shared" si="1"/>
        <v/>
      </c>
      <c r="O1403" s="15" t="str">
        <f>IFERROR(VLOOKUP(I1403,material!A:D,2,0),"")</f>
        <v/>
      </c>
    </row>
    <row r="1404">
      <c r="A1404" s="6"/>
      <c r="B1404" s="7"/>
      <c r="C1404" s="8" t="str">
        <f t="array" ref="C1404">IFERROR(INDEX(atlas!H:H,MATCH(A1404,atlas!C:C,0)),"")</f>
        <v/>
      </c>
      <c r="D1404" s="8" t="str">
        <f t="array" ref="D1404">IFERROR(INDEX(atlas!D:D,MATCH(A1404,atlas!C:C,0)),"")</f>
        <v/>
      </c>
      <c r="E1404" s="8" t="str">
        <f t="array" ref="E1404">IFERROR(INDEX(atlas!F:F,MATCH(A1404,atlas!C:C,0)),"")</f>
        <v/>
      </c>
      <c r="F1404" s="9"/>
      <c r="G1404" s="10"/>
      <c r="H1404" s="11"/>
      <c r="I1404" s="12" t="str">
        <f t="array" ref="I1404">IFERROR(INDEX(atlas!B:B,MATCH(A1404,atlas!C:C,0)),"")</f>
        <v/>
      </c>
      <c r="J1404" s="8" t="str">
        <f>IFERROR(VLOOKUP(F1404,tecnica!A:B,2,0),"")</f>
        <v/>
      </c>
      <c r="K1404" s="8" t="str">
        <f>IFERROR(VLOOKUP(J1404,tecnica!B:C,2,0),"")</f>
        <v/>
      </c>
      <c r="L1404" s="13"/>
      <c r="M1404" s="14" t="str">
        <f>IFERROR(VLOOKUP(I1404,material!A:D,4,0),"")</f>
        <v/>
      </c>
      <c r="N1404" s="14" t="str">
        <f t="shared" si="1"/>
        <v/>
      </c>
      <c r="O1404" s="15" t="str">
        <f>IFERROR(VLOOKUP(I1404,material!A:D,2,0),"")</f>
        <v/>
      </c>
    </row>
    <row r="1405">
      <c r="A1405" s="6"/>
      <c r="B1405" s="7"/>
      <c r="C1405" s="8" t="str">
        <f t="array" ref="C1405">IFERROR(INDEX(atlas!H:H,MATCH(A1405,atlas!C:C,0)),"")</f>
        <v/>
      </c>
      <c r="D1405" s="8" t="str">
        <f t="array" ref="D1405">IFERROR(INDEX(atlas!D:D,MATCH(A1405,atlas!C:C,0)),"")</f>
        <v/>
      </c>
      <c r="E1405" s="8" t="str">
        <f t="array" ref="E1405">IFERROR(INDEX(atlas!F:F,MATCH(A1405,atlas!C:C,0)),"")</f>
        <v/>
      </c>
      <c r="F1405" s="9"/>
      <c r="G1405" s="10"/>
      <c r="H1405" s="11"/>
      <c r="I1405" s="12" t="str">
        <f t="array" ref="I1405">IFERROR(INDEX(atlas!B:B,MATCH(A1405,atlas!C:C,0)),"")</f>
        <v/>
      </c>
      <c r="J1405" s="8" t="str">
        <f>IFERROR(VLOOKUP(F1405,tecnica!A:B,2,0),"")</f>
        <v/>
      </c>
      <c r="K1405" s="8" t="str">
        <f>IFERROR(VLOOKUP(J1405,tecnica!B:C,2,0),"")</f>
        <v/>
      </c>
      <c r="L1405" s="13"/>
      <c r="M1405" s="14" t="str">
        <f>IFERROR(VLOOKUP(I1405,material!A:D,4,0),"")</f>
        <v/>
      </c>
      <c r="N1405" s="14" t="str">
        <f t="shared" si="1"/>
        <v/>
      </c>
      <c r="O1405" s="15" t="str">
        <f>IFERROR(VLOOKUP(I1405,material!A:D,2,0),"")</f>
        <v/>
      </c>
    </row>
    <row r="1406">
      <c r="A1406" s="6"/>
      <c r="B1406" s="7"/>
      <c r="C1406" s="8" t="str">
        <f t="array" ref="C1406">IFERROR(INDEX(atlas!H:H,MATCH(A1406,atlas!C:C,0)),"")</f>
        <v/>
      </c>
      <c r="D1406" s="8" t="str">
        <f t="array" ref="D1406">IFERROR(INDEX(atlas!D:D,MATCH(A1406,atlas!C:C,0)),"")</f>
        <v/>
      </c>
      <c r="E1406" s="8" t="str">
        <f t="array" ref="E1406">IFERROR(INDEX(atlas!F:F,MATCH(A1406,atlas!C:C,0)),"")</f>
        <v/>
      </c>
      <c r="F1406" s="9"/>
      <c r="G1406" s="10"/>
      <c r="H1406" s="11"/>
      <c r="I1406" s="12" t="str">
        <f t="array" ref="I1406">IFERROR(INDEX(atlas!B:B,MATCH(A1406,atlas!C:C,0)),"")</f>
        <v/>
      </c>
      <c r="J1406" s="8" t="str">
        <f>IFERROR(VLOOKUP(F1406,tecnica!A:B,2,0),"")</f>
        <v/>
      </c>
      <c r="K1406" s="8" t="str">
        <f>IFERROR(VLOOKUP(J1406,tecnica!B:C,2,0),"")</f>
        <v/>
      </c>
      <c r="L1406" s="13"/>
      <c r="M1406" s="14" t="str">
        <f>IFERROR(VLOOKUP(I1406,material!A:D,4,0),"")</f>
        <v/>
      </c>
      <c r="N1406" s="14" t="str">
        <f t="shared" si="1"/>
        <v/>
      </c>
      <c r="O1406" s="15" t="str">
        <f>IFERROR(VLOOKUP(I1406,material!A:D,2,0),"")</f>
        <v/>
      </c>
    </row>
    <row r="1407">
      <c r="A1407" s="6"/>
      <c r="B1407" s="7"/>
      <c r="C1407" s="8" t="str">
        <f t="array" ref="C1407">IFERROR(INDEX(atlas!H:H,MATCH(A1407,atlas!C:C,0)),"")</f>
        <v/>
      </c>
      <c r="D1407" s="8" t="str">
        <f t="array" ref="D1407">IFERROR(INDEX(atlas!D:D,MATCH(A1407,atlas!C:C,0)),"")</f>
        <v/>
      </c>
      <c r="E1407" s="8" t="str">
        <f t="array" ref="E1407">IFERROR(INDEX(atlas!F:F,MATCH(A1407,atlas!C:C,0)),"")</f>
        <v/>
      </c>
      <c r="F1407" s="9"/>
      <c r="G1407" s="10"/>
      <c r="H1407" s="11"/>
      <c r="I1407" s="12" t="str">
        <f t="array" ref="I1407">IFERROR(INDEX(atlas!B:B,MATCH(A1407,atlas!C:C,0)),"")</f>
        <v/>
      </c>
      <c r="J1407" s="8" t="str">
        <f>IFERROR(VLOOKUP(F1407,tecnica!A:B,2,0),"")</f>
        <v/>
      </c>
      <c r="K1407" s="8" t="str">
        <f>IFERROR(VLOOKUP(J1407,tecnica!B:C,2,0),"")</f>
        <v/>
      </c>
      <c r="L1407" s="13"/>
      <c r="M1407" s="14" t="str">
        <f>IFERROR(VLOOKUP(I1407,material!A:D,4,0),"")</f>
        <v/>
      </c>
      <c r="N1407" s="14" t="str">
        <f t="shared" si="1"/>
        <v/>
      </c>
      <c r="O1407" s="15" t="str">
        <f>IFERROR(VLOOKUP(I1407,material!A:D,2,0),"")</f>
        <v/>
      </c>
    </row>
    <row r="1408">
      <c r="A1408" s="6"/>
      <c r="B1408" s="7"/>
      <c r="C1408" s="8" t="str">
        <f t="array" ref="C1408">IFERROR(INDEX(atlas!H:H,MATCH(A1408,atlas!C:C,0)),"")</f>
        <v/>
      </c>
      <c r="D1408" s="8" t="str">
        <f t="array" ref="D1408">IFERROR(INDEX(atlas!D:D,MATCH(A1408,atlas!C:C,0)),"")</f>
        <v/>
      </c>
      <c r="E1408" s="8" t="str">
        <f t="array" ref="E1408">IFERROR(INDEX(atlas!F:F,MATCH(A1408,atlas!C:C,0)),"")</f>
        <v/>
      </c>
      <c r="F1408" s="9"/>
      <c r="G1408" s="10"/>
      <c r="H1408" s="11"/>
      <c r="I1408" s="12" t="str">
        <f t="array" ref="I1408">IFERROR(INDEX(atlas!B:B,MATCH(A1408,atlas!C:C,0)),"")</f>
        <v/>
      </c>
      <c r="J1408" s="8" t="str">
        <f>IFERROR(VLOOKUP(F1408,tecnica!A:B,2,0),"")</f>
        <v/>
      </c>
      <c r="K1408" s="8" t="str">
        <f>IFERROR(VLOOKUP(J1408,tecnica!B:C,2,0),"")</f>
        <v/>
      </c>
      <c r="L1408" s="13"/>
      <c r="M1408" s="14" t="str">
        <f>IFERROR(VLOOKUP(I1408,material!A:D,4,0),"")</f>
        <v/>
      </c>
      <c r="N1408" s="14" t="str">
        <f t="shared" si="1"/>
        <v/>
      </c>
      <c r="O1408" s="15" t="str">
        <f>IFERROR(VLOOKUP(I1408,material!A:D,2,0),"")</f>
        <v/>
      </c>
    </row>
    <row r="1409">
      <c r="A1409" s="6"/>
      <c r="B1409" s="7"/>
      <c r="C1409" s="8" t="str">
        <f t="array" ref="C1409">IFERROR(INDEX(atlas!H:H,MATCH(A1409,atlas!C:C,0)),"")</f>
        <v/>
      </c>
      <c r="D1409" s="8" t="str">
        <f t="array" ref="D1409">IFERROR(INDEX(atlas!D:D,MATCH(A1409,atlas!C:C,0)),"")</f>
        <v/>
      </c>
      <c r="E1409" s="8" t="str">
        <f t="array" ref="E1409">IFERROR(INDEX(atlas!F:F,MATCH(A1409,atlas!C:C,0)),"")</f>
        <v/>
      </c>
      <c r="F1409" s="9"/>
      <c r="G1409" s="10"/>
      <c r="H1409" s="11"/>
      <c r="I1409" s="12" t="str">
        <f t="array" ref="I1409">IFERROR(INDEX(atlas!B:B,MATCH(A1409,atlas!C:C,0)),"")</f>
        <v/>
      </c>
      <c r="J1409" s="8" t="str">
        <f>IFERROR(VLOOKUP(F1409,tecnica!A:B,2,0),"")</f>
        <v/>
      </c>
      <c r="K1409" s="8" t="str">
        <f>IFERROR(VLOOKUP(J1409,tecnica!B:C,2,0),"")</f>
        <v/>
      </c>
      <c r="L1409" s="13"/>
      <c r="M1409" s="14" t="str">
        <f>IFERROR(VLOOKUP(I1409,material!A:D,4,0),"")</f>
        <v/>
      </c>
      <c r="N1409" s="14" t="str">
        <f t="shared" si="1"/>
        <v/>
      </c>
      <c r="O1409" s="15" t="str">
        <f>IFERROR(VLOOKUP(I1409,material!A:D,2,0),"")</f>
        <v/>
      </c>
    </row>
    <row r="1410">
      <c r="A1410" s="6"/>
      <c r="B1410" s="7"/>
      <c r="C1410" s="8" t="str">
        <f t="array" ref="C1410">IFERROR(INDEX(atlas!H:H,MATCH(A1410,atlas!C:C,0)),"")</f>
        <v/>
      </c>
      <c r="D1410" s="8" t="str">
        <f t="array" ref="D1410">IFERROR(INDEX(atlas!D:D,MATCH(A1410,atlas!C:C,0)),"")</f>
        <v/>
      </c>
      <c r="E1410" s="8" t="str">
        <f t="array" ref="E1410">IFERROR(INDEX(atlas!F:F,MATCH(A1410,atlas!C:C,0)),"")</f>
        <v/>
      </c>
      <c r="F1410" s="9"/>
      <c r="G1410" s="10"/>
      <c r="H1410" s="11"/>
      <c r="I1410" s="12" t="str">
        <f t="array" ref="I1410">IFERROR(INDEX(atlas!B:B,MATCH(A1410,atlas!C:C,0)),"")</f>
        <v/>
      </c>
      <c r="J1410" s="8" t="str">
        <f>IFERROR(VLOOKUP(F1410,tecnica!A:B,2,0),"")</f>
        <v/>
      </c>
      <c r="K1410" s="8" t="str">
        <f>IFERROR(VLOOKUP(J1410,tecnica!B:C,2,0),"")</f>
        <v/>
      </c>
      <c r="L1410" s="13"/>
      <c r="M1410" s="14" t="str">
        <f>IFERROR(VLOOKUP(I1410,material!A:D,4,0),"")</f>
        <v/>
      </c>
      <c r="N1410" s="14" t="str">
        <f t="shared" si="1"/>
        <v/>
      </c>
      <c r="O1410" s="15" t="str">
        <f>IFERROR(VLOOKUP(I1410,material!A:D,2,0),"")</f>
        <v/>
      </c>
    </row>
    <row r="1411">
      <c r="A1411" s="6"/>
      <c r="B1411" s="7"/>
      <c r="C1411" s="8" t="str">
        <f t="array" ref="C1411">IFERROR(INDEX(atlas!H:H,MATCH(A1411,atlas!C:C,0)),"")</f>
        <v/>
      </c>
      <c r="D1411" s="8" t="str">
        <f t="array" ref="D1411">IFERROR(INDEX(atlas!D:D,MATCH(A1411,atlas!C:C,0)),"")</f>
        <v/>
      </c>
      <c r="E1411" s="8" t="str">
        <f t="array" ref="E1411">IFERROR(INDEX(atlas!F:F,MATCH(A1411,atlas!C:C,0)),"")</f>
        <v/>
      </c>
      <c r="F1411" s="9"/>
      <c r="G1411" s="10"/>
      <c r="H1411" s="11"/>
      <c r="I1411" s="12" t="str">
        <f t="array" ref="I1411">IFERROR(INDEX(atlas!B:B,MATCH(A1411,atlas!C:C,0)),"")</f>
        <v/>
      </c>
      <c r="J1411" s="8" t="str">
        <f>IFERROR(VLOOKUP(F1411,tecnica!A:B,2,0),"")</f>
        <v/>
      </c>
      <c r="K1411" s="8" t="str">
        <f>IFERROR(VLOOKUP(J1411,tecnica!B:C,2,0),"")</f>
        <v/>
      </c>
      <c r="L1411" s="13"/>
      <c r="M1411" s="14" t="str">
        <f>IFERROR(VLOOKUP(I1411,material!A:D,4,0),"")</f>
        <v/>
      </c>
      <c r="N1411" s="14" t="str">
        <f t="shared" si="1"/>
        <v/>
      </c>
      <c r="O1411" s="15" t="str">
        <f>IFERROR(VLOOKUP(I1411,material!A:D,2,0),"")</f>
        <v/>
      </c>
    </row>
    <row r="1412">
      <c r="A1412" s="6"/>
      <c r="B1412" s="7"/>
      <c r="C1412" s="8" t="str">
        <f t="array" ref="C1412">IFERROR(INDEX(atlas!H:H,MATCH(A1412,atlas!C:C,0)),"")</f>
        <v/>
      </c>
      <c r="D1412" s="8" t="str">
        <f t="array" ref="D1412">IFERROR(INDEX(atlas!D:D,MATCH(A1412,atlas!C:C,0)),"")</f>
        <v/>
      </c>
      <c r="E1412" s="8" t="str">
        <f t="array" ref="E1412">IFERROR(INDEX(atlas!F:F,MATCH(A1412,atlas!C:C,0)),"")</f>
        <v/>
      </c>
      <c r="F1412" s="9"/>
      <c r="G1412" s="10"/>
      <c r="H1412" s="11"/>
      <c r="I1412" s="12" t="str">
        <f t="array" ref="I1412">IFERROR(INDEX(atlas!B:B,MATCH(A1412,atlas!C:C,0)),"")</f>
        <v/>
      </c>
      <c r="J1412" s="8" t="str">
        <f>IFERROR(VLOOKUP(F1412,tecnica!A:B,2,0),"")</f>
        <v/>
      </c>
      <c r="K1412" s="8" t="str">
        <f>IFERROR(VLOOKUP(J1412,tecnica!B:C,2,0),"")</f>
        <v/>
      </c>
      <c r="L1412" s="13"/>
      <c r="M1412" s="14" t="str">
        <f>IFERROR(VLOOKUP(I1412,material!A:D,4,0),"")</f>
        <v/>
      </c>
      <c r="N1412" s="14" t="str">
        <f t="shared" si="1"/>
        <v/>
      </c>
      <c r="O1412" s="15" t="str">
        <f>IFERROR(VLOOKUP(I1412,material!A:D,2,0),"")</f>
        <v/>
      </c>
    </row>
    <row r="1413">
      <c r="A1413" s="6"/>
      <c r="B1413" s="7"/>
      <c r="C1413" s="8" t="str">
        <f t="array" ref="C1413">IFERROR(INDEX(atlas!H:H,MATCH(A1413,atlas!C:C,0)),"")</f>
        <v/>
      </c>
      <c r="D1413" s="8" t="str">
        <f t="array" ref="D1413">IFERROR(INDEX(atlas!D:D,MATCH(A1413,atlas!C:C,0)),"")</f>
        <v/>
      </c>
      <c r="E1413" s="8" t="str">
        <f t="array" ref="E1413">IFERROR(INDEX(atlas!F:F,MATCH(A1413,atlas!C:C,0)),"")</f>
        <v/>
      </c>
      <c r="F1413" s="9"/>
      <c r="G1413" s="10"/>
      <c r="H1413" s="11"/>
      <c r="I1413" s="12" t="str">
        <f t="array" ref="I1413">IFERROR(INDEX(atlas!B:B,MATCH(A1413,atlas!C:C,0)),"")</f>
        <v/>
      </c>
      <c r="J1413" s="8" t="str">
        <f>IFERROR(VLOOKUP(F1413,tecnica!A:B,2,0),"")</f>
        <v/>
      </c>
      <c r="K1413" s="8" t="str">
        <f>IFERROR(VLOOKUP(J1413,tecnica!B:C,2,0),"")</f>
        <v/>
      </c>
      <c r="L1413" s="13"/>
      <c r="M1413" s="14" t="str">
        <f>IFERROR(VLOOKUP(I1413,material!A:D,4,0),"")</f>
        <v/>
      </c>
      <c r="N1413" s="14" t="str">
        <f t="shared" si="1"/>
        <v/>
      </c>
      <c r="O1413" s="15" t="str">
        <f>IFERROR(VLOOKUP(I1413,material!A:D,2,0),"")</f>
        <v/>
      </c>
    </row>
    <row r="1414">
      <c r="A1414" s="6"/>
      <c r="B1414" s="7"/>
      <c r="C1414" s="8" t="str">
        <f t="array" ref="C1414">IFERROR(INDEX(atlas!H:H,MATCH(A1414,atlas!C:C,0)),"")</f>
        <v/>
      </c>
      <c r="D1414" s="8" t="str">
        <f t="array" ref="D1414">IFERROR(INDEX(atlas!D:D,MATCH(A1414,atlas!C:C,0)),"")</f>
        <v/>
      </c>
      <c r="E1414" s="8" t="str">
        <f t="array" ref="E1414">IFERROR(INDEX(atlas!F:F,MATCH(A1414,atlas!C:C,0)),"")</f>
        <v/>
      </c>
      <c r="F1414" s="9"/>
      <c r="G1414" s="10"/>
      <c r="H1414" s="11"/>
      <c r="I1414" s="12" t="str">
        <f t="array" ref="I1414">IFERROR(INDEX(atlas!B:B,MATCH(A1414,atlas!C:C,0)),"")</f>
        <v/>
      </c>
      <c r="J1414" s="8" t="str">
        <f>IFERROR(VLOOKUP(F1414,tecnica!A:B,2,0),"")</f>
        <v/>
      </c>
      <c r="K1414" s="8" t="str">
        <f>IFERROR(VLOOKUP(J1414,tecnica!B:C,2,0),"")</f>
        <v/>
      </c>
      <c r="L1414" s="13"/>
      <c r="M1414" s="14" t="str">
        <f>IFERROR(VLOOKUP(I1414,material!A:D,4,0),"")</f>
        <v/>
      </c>
      <c r="N1414" s="14" t="str">
        <f t="shared" si="1"/>
        <v/>
      </c>
      <c r="O1414" s="15" t="str">
        <f>IFERROR(VLOOKUP(I1414,material!A:D,2,0),"")</f>
        <v/>
      </c>
    </row>
    <row r="1415">
      <c r="A1415" s="6"/>
      <c r="B1415" s="7"/>
      <c r="C1415" s="8" t="str">
        <f t="array" ref="C1415">IFERROR(INDEX(atlas!H:H,MATCH(A1415,atlas!C:C,0)),"")</f>
        <v/>
      </c>
      <c r="D1415" s="8" t="str">
        <f t="array" ref="D1415">IFERROR(INDEX(atlas!D:D,MATCH(A1415,atlas!C:C,0)),"")</f>
        <v/>
      </c>
      <c r="E1415" s="8" t="str">
        <f t="array" ref="E1415">IFERROR(INDEX(atlas!F:F,MATCH(A1415,atlas!C:C,0)),"")</f>
        <v/>
      </c>
      <c r="F1415" s="9"/>
      <c r="G1415" s="10"/>
      <c r="H1415" s="11"/>
      <c r="I1415" s="12" t="str">
        <f t="array" ref="I1415">IFERROR(INDEX(atlas!B:B,MATCH(A1415,atlas!C:C,0)),"")</f>
        <v/>
      </c>
      <c r="J1415" s="8" t="str">
        <f>IFERROR(VLOOKUP(F1415,tecnica!A:B,2,0),"")</f>
        <v/>
      </c>
      <c r="K1415" s="8" t="str">
        <f>IFERROR(VLOOKUP(J1415,tecnica!B:C,2,0),"")</f>
        <v/>
      </c>
      <c r="L1415" s="13"/>
      <c r="M1415" s="14" t="str">
        <f>IFERROR(VLOOKUP(I1415,material!A:D,4,0),"")</f>
        <v/>
      </c>
      <c r="N1415" s="14" t="str">
        <f t="shared" si="1"/>
        <v/>
      </c>
      <c r="O1415" s="15" t="str">
        <f>IFERROR(VLOOKUP(I1415,material!A:D,2,0),"")</f>
        <v/>
      </c>
    </row>
    <row r="1416">
      <c r="A1416" s="6"/>
      <c r="B1416" s="7"/>
      <c r="C1416" s="8" t="str">
        <f t="array" ref="C1416">IFERROR(INDEX(atlas!H:H,MATCH(A1416,atlas!C:C,0)),"")</f>
        <v/>
      </c>
      <c r="D1416" s="8" t="str">
        <f t="array" ref="D1416">IFERROR(INDEX(atlas!D:D,MATCH(A1416,atlas!C:C,0)),"")</f>
        <v/>
      </c>
      <c r="E1416" s="8" t="str">
        <f t="array" ref="E1416">IFERROR(INDEX(atlas!F:F,MATCH(A1416,atlas!C:C,0)),"")</f>
        <v/>
      </c>
      <c r="F1416" s="9"/>
      <c r="G1416" s="10"/>
      <c r="H1416" s="11"/>
      <c r="I1416" s="12" t="str">
        <f t="array" ref="I1416">IFERROR(INDEX(atlas!B:B,MATCH(A1416,atlas!C:C,0)),"")</f>
        <v/>
      </c>
      <c r="J1416" s="8" t="str">
        <f>IFERROR(VLOOKUP(F1416,tecnica!A:B,2,0),"")</f>
        <v/>
      </c>
      <c r="K1416" s="8" t="str">
        <f>IFERROR(VLOOKUP(J1416,tecnica!B:C,2,0),"")</f>
        <v/>
      </c>
      <c r="L1416" s="13"/>
      <c r="M1416" s="14" t="str">
        <f>IFERROR(VLOOKUP(I1416,material!A:D,4,0),"")</f>
        <v/>
      </c>
      <c r="N1416" s="14" t="str">
        <f t="shared" si="1"/>
        <v/>
      </c>
      <c r="O1416" s="15" t="str">
        <f>IFERROR(VLOOKUP(I1416,material!A:D,2,0),"")</f>
        <v/>
      </c>
    </row>
    <row r="1417">
      <c r="A1417" s="6"/>
      <c r="B1417" s="7"/>
      <c r="C1417" s="8" t="str">
        <f t="array" ref="C1417">IFERROR(INDEX(atlas!H:H,MATCH(A1417,atlas!C:C,0)),"")</f>
        <v/>
      </c>
      <c r="D1417" s="8" t="str">
        <f t="array" ref="D1417">IFERROR(INDEX(atlas!D:D,MATCH(A1417,atlas!C:C,0)),"")</f>
        <v/>
      </c>
      <c r="E1417" s="8" t="str">
        <f t="array" ref="E1417">IFERROR(INDEX(atlas!F:F,MATCH(A1417,atlas!C:C,0)),"")</f>
        <v/>
      </c>
      <c r="F1417" s="9"/>
      <c r="G1417" s="10"/>
      <c r="H1417" s="11"/>
      <c r="I1417" s="12" t="str">
        <f t="array" ref="I1417">IFERROR(INDEX(atlas!B:B,MATCH(A1417,atlas!C:C,0)),"")</f>
        <v/>
      </c>
      <c r="J1417" s="8" t="str">
        <f>IFERROR(VLOOKUP(F1417,tecnica!A:B,2,0),"")</f>
        <v/>
      </c>
      <c r="K1417" s="8" t="str">
        <f>IFERROR(VLOOKUP(J1417,tecnica!B:C,2,0),"")</f>
        <v/>
      </c>
      <c r="L1417" s="13"/>
      <c r="M1417" s="14" t="str">
        <f>IFERROR(VLOOKUP(I1417,material!A:D,4,0),"")</f>
        <v/>
      </c>
      <c r="N1417" s="14" t="str">
        <f t="shared" si="1"/>
        <v/>
      </c>
      <c r="O1417" s="15" t="str">
        <f>IFERROR(VLOOKUP(I1417,material!A:D,2,0),"")</f>
        <v/>
      </c>
    </row>
    <row r="1418">
      <c r="A1418" s="6"/>
      <c r="B1418" s="7"/>
      <c r="C1418" s="8" t="str">
        <f t="array" ref="C1418">IFERROR(INDEX(atlas!H:H,MATCH(A1418,atlas!C:C,0)),"")</f>
        <v/>
      </c>
      <c r="D1418" s="8" t="str">
        <f t="array" ref="D1418">IFERROR(INDEX(atlas!D:D,MATCH(A1418,atlas!C:C,0)),"")</f>
        <v/>
      </c>
      <c r="E1418" s="8" t="str">
        <f t="array" ref="E1418">IFERROR(INDEX(atlas!F:F,MATCH(A1418,atlas!C:C,0)),"")</f>
        <v/>
      </c>
      <c r="F1418" s="9"/>
      <c r="G1418" s="10"/>
      <c r="H1418" s="11"/>
      <c r="I1418" s="12" t="str">
        <f t="array" ref="I1418">IFERROR(INDEX(atlas!B:B,MATCH(A1418,atlas!C:C,0)),"")</f>
        <v/>
      </c>
      <c r="J1418" s="8" t="str">
        <f>IFERROR(VLOOKUP(F1418,tecnica!A:B,2,0),"")</f>
        <v/>
      </c>
      <c r="K1418" s="8" t="str">
        <f>IFERROR(VLOOKUP(J1418,tecnica!B:C,2,0),"")</f>
        <v/>
      </c>
      <c r="L1418" s="13"/>
      <c r="M1418" s="14" t="str">
        <f>IFERROR(VLOOKUP(I1418,material!A:D,4,0),"")</f>
        <v/>
      </c>
      <c r="N1418" s="14" t="str">
        <f t="shared" si="1"/>
        <v/>
      </c>
      <c r="O1418" s="15" t="str">
        <f>IFERROR(VLOOKUP(I1418,material!A:D,2,0),"")</f>
        <v/>
      </c>
    </row>
    <row r="1419">
      <c r="A1419" s="6"/>
      <c r="B1419" s="7"/>
      <c r="C1419" s="8" t="str">
        <f t="array" ref="C1419">IFERROR(INDEX(atlas!H:H,MATCH(A1419,atlas!C:C,0)),"")</f>
        <v/>
      </c>
      <c r="D1419" s="8" t="str">
        <f t="array" ref="D1419">IFERROR(INDEX(atlas!D:D,MATCH(A1419,atlas!C:C,0)),"")</f>
        <v/>
      </c>
      <c r="E1419" s="8" t="str">
        <f t="array" ref="E1419">IFERROR(INDEX(atlas!F:F,MATCH(A1419,atlas!C:C,0)),"")</f>
        <v/>
      </c>
      <c r="F1419" s="9"/>
      <c r="G1419" s="10"/>
      <c r="H1419" s="11"/>
      <c r="I1419" s="12" t="str">
        <f t="array" ref="I1419">IFERROR(INDEX(atlas!B:B,MATCH(A1419,atlas!C:C,0)),"")</f>
        <v/>
      </c>
      <c r="J1419" s="8" t="str">
        <f>IFERROR(VLOOKUP(F1419,tecnica!A:B,2,0),"")</f>
        <v/>
      </c>
      <c r="K1419" s="8" t="str">
        <f>IFERROR(VLOOKUP(J1419,tecnica!B:C,2,0),"")</f>
        <v/>
      </c>
      <c r="L1419" s="13"/>
      <c r="M1419" s="14" t="str">
        <f>IFERROR(VLOOKUP(I1419,material!A:D,4,0),"")</f>
        <v/>
      </c>
      <c r="N1419" s="14" t="str">
        <f t="shared" si="1"/>
        <v/>
      </c>
      <c r="O1419" s="15" t="str">
        <f>IFERROR(VLOOKUP(I1419,material!A:D,2,0),"")</f>
        <v/>
      </c>
    </row>
    <row r="1420">
      <c r="A1420" s="6"/>
      <c r="B1420" s="7"/>
      <c r="C1420" s="8" t="str">
        <f t="array" ref="C1420">IFERROR(INDEX(atlas!H:H,MATCH(A1420,atlas!C:C,0)),"")</f>
        <v/>
      </c>
      <c r="D1420" s="8" t="str">
        <f t="array" ref="D1420">IFERROR(INDEX(atlas!D:D,MATCH(A1420,atlas!C:C,0)),"")</f>
        <v/>
      </c>
      <c r="E1420" s="8" t="str">
        <f t="array" ref="E1420">IFERROR(INDEX(atlas!F:F,MATCH(A1420,atlas!C:C,0)),"")</f>
        <v/>
      </c>
      <c r="F1420" s="9"/>
      <c r="G1420" s="10"/>
      <c r="H1420" s="11"/>
      <c r="I1420" s="12" t="str">
        <f t="array" ref="I1420">IFERROR(INDEX(atlas!B:B,MATCH(A1420,atlas!C:C,0)),"")</f>
        <v/>
      </c>
      <c r="J1420" s="8" t="str">
        <f>IFERROR(VLOOKUP(F1420,tecnica!A:B,2,0),"")</f>
        <v/>
      </c>
      <c r="K1420" s="8" t="str">
        <f>IFERROR(VLOOKUP(J1420,tecnica!B:C,2,0),"")</f>
        <v/>
      </c>
      <c r="L1420" s="13"/>
      <c r="M1420" s="14" t="str">
        <f>IFERROR(VLOOKUP(I1420,material!A:D,4,0),"")</f>
        <v/>
      </c>
      <c r="N1420" s="14" t="str">
        <f t="shared" si="1"/>
        <v/>
      </c>
      <c r="O1420" s="15" t="str">
        <f>IFERROR(VLOOKUP(I1420,material!A:D,2,0),"")</f>
        <v/>
      </c>
    </row>
    <row r="1421">
      <c r="A1421" s="6"/>
      <c r="B1421" s="7"/>
      <c r="C1421" s="8" t="str">
        <f t="array" ref="C1421">IFERROR(INDEX(atlas!H:H,MATCH(A1421,atlas!C:C,0)),"")</f>
        <v/>
      </c>
      <c r="D1421" s="8" t="str">
        <f t="array" ref="D1421">IFERROR(INDEX(atlas!D:D,MATCH(A1421,atlas!C:C,0)),"")</f>
        <v/>
      </c>
      <c r="E1421" s="8" t="str">
        <f t="array" ref="E1421">IFERROR(INDEX(atlas!F:F,MATCH(A1421,atlas!C:C,0)),"")</f>
        <v/>
      </c>
      <c r="F1421" s="9"/>
      <c r="G1421" s="10"/>
      <c r="H1421" s="11"/>
      <c r="I1421" s="12" t="str">
        <f t="array" ref="I1421">IFERROR(INDEX(atlas!B:B,MATCH(A1421,atlas!C:C,0)),"")</f>
        <v/>
      </c>
      <c r="J1421" s="8" t="str">
        <f>IFERROR(VLOOKUP(F1421,tecnica!A:B,2,0),"")</f>
        <v/>
      </c>
      <c r="K1421" s="8" t="str">
        <f>IFERROR(VLOOKUP(J1421,tecnica!B:C,2,0),"")</f>
        <v/>
      </c>
      <c r="L1421" s="13"/>
      <c r="M1421" s="14" t="str">
        <f>IFERROR(VLOOKUP(I1421,material!A:D,4,0),"")</f>
        <v/>
      </c>
      <c r="N1421" s="14" t="str">
        <f t="shared" si="1"/>
        <v/>
      </c>
      <c r="O1421" s="15" t="str">
        <f>IFERROR(VLOOKUP(I1421,material!A:D,2,0),"")</f>
        <v/>
      </c>
    </row>
    <row r="1422">
      <c r="A1422" s="6"/>
      <c r="B1422" s="7"/>
      <c r="C1422" s="8" t="str">
        <f t="array" ref="C1422">IFERROR(INDEX(atlas!H:H,MATCH(A1422,atlas!C:C,0)),"")</f>
        <v/>
      </c>
      <c r="D1422" s="8" t="str">
        <f t="array" ref="D1422">IFERROR(INDEX(atlas!D:D,MATCH(A1422,atlas!C:C,0)),"")</f>
        <v/>
      </c>
      <c r="E1422" s="8" t="str">
        <f t="array" ref="E1422">IFERROR(INDEX(atlas!F:F,MATCH(A1422,atlas!C:C,0)),"")</f>
        <v/>
      </c>
      <c r="F1422" s="9"/>
      <c r="G1422" s="10"/>
      <c r="H1422" s="11"/>
      <c r="I1422" s="12" t="str">
        <f t="array" ref="I1422">IFERROR(INDEX(atlas!B:B,MATCH(A1422,atlas!C:C,0)),"")</f>
        <v/>
      </c>
      <c r="J1422" s="8" t="str">
        <f>IFERROR(VLOOKUP(F1422,tecnica!A:B,2,0),"")</f>
        <v/>
      </c>
      <c r="K1422" s="8" t="str">
        <f>IFERROR(VLOOKUP(J1422,tecnica!B:C,2,0),"")</f>
        <v/>
      </c>
      <c r="L1422" s="13"/>
      <c r="M1422" s="14" t="str">
        <f>IFERROR(VLOOKUP(I1422,material!A:D,4,0),"")</f>
        <v/>
      </c>
      <c r="N1422" s="14" t="str">
        <f t="shared" si="1"/>
        <v/>
      </c>
      <c r="O1422" s="15" t="str">
        <f>IFERROR(VLOOKUP(I1422,material!A:D,2,0),"")</f>
        <v/>
      </c>
    </row>
    <row r="1423">
      <c r="A1423" s="6"/>
      <c r="B1423" s="7"/>
      <c r="C1423" s="8" t="str">
        <f t="array" ref="C1423">IFERROR(INDEX(atlas!H:H,MATCH(A1423,atlas!C:C,0)),"")</f>
        <v/>
      </c>
      <c r="D1423" s="8" t="str">
        <f t="array" ref="D1423">IFERROR(INDEX(atlas!D:D,MATCH(A1423,atlas!C:C,0)),"")</f>
        <v/>
      </c>
      <c r="E1423" s="8" t="str">
        <f t="array" ref="E1423">IFERROR(INDEX(atlas!F:F,MATCH(A1423,atlas!C:C,0)),"")</f>
        <v/>
      </c>
      <c r="F1423" s="9"/>
      <c r="G1423" s="10"/>
      <c r="H1423" s="11"/>
      <c r="I1423" s="12" t="str">
        <f t="array" ref="I1423">IFERROR(INDEX(atlas!B:B,MATCH(A1423,atlas!C:C,0)),"")</f>
        <v/>
      </c>
      <c r="J1423" s="8" t="str">
        <f>IFERROR(VLOOKUP(F1423,tecnica!A:B,2,0),"")</f>
        <v/>
      </c>
      <c r="K1423" s="8" t="str">
        <f>IFERROR(VLOOKUP(J1423,tecnica!B:C,2,0),"")</f>
        <v/>
      </c>
      <c r="L1423" s="13"/>
      <c r="M1423" s="14" t="str">
        <f>IFERROR(VLOOKUP(I1423,material!A:D,4,0),"")</f>
        <v/>
      </c>
      <c r="N1423" s="14" t="str">
        <f t="shared" si="1"/>
        <v/>
      </c>
      <c r="O1423" s="15" t="str">
        <f>IFERROR(VLOOKUP(I1423,material!A:D,2,0),"")</f>
        <v/>
      </c>
    </row>
    <row r="1424">
      <c r="A1424" s="6"/>
      <c r="B1424" s="7"/>
      <c r="C1424" s="8" t="str">
        <f t="array" ref="C1424">IFERROR(INDEX(atlas!H:H,MATCH(A1424,atlas!C:C,0)),"")</f>
        <v/>
      </c>
      <c r="D1424" s="8" t="str">
        <f t="array" ref="D1424">IFERROR(INDEX(atlas!D:D,MATCH(A1424,atlas!C:C,0)),"")</f>
        <v/>
      </c>
      <c r="E1424" s="8" t="str">
        <f t="array" ref="E1424">IFERROR(INDEX(atlas!F:F,MATCH(A1424,atlas!C:C,0)),"")</f>
        <v/>
      </c>
      <c r="F1424" s="9"/>
      <c r="G1424" s="10"/>
      <c r="H1424" s="11"/>
      <c r="I1424" s="12" t="str">
        <f t="array" ref="I1424">IFERROR(INDEX(atlas!B:B,MATCH(A1424,atlas!C:C,0)),"")</f>
        <v/>
      </c>
      <c r="J1424" s="8" t="str">
        <f>IFERROR(VLOOKUP(F1424,tecnica!A:B,2,0),"")</f>
        <v/>
      </c>
      <c r="K1424" s="8" t="str">
        <f>IFERROR(VLOOKUP(J1424,tecnica!B:C,2,0),"")</f>
        <v/>
      </c>
      <c r="L1424" s="13"/>
      <c r="M1424" s="14" t="str">
        <f>IFERROR(VLOOKUP(I1424,material!A:D,4,0),"")</f>
        <v/>
      </c>
      <c r="N1424" s="14" t="str">
        <f t="shared" si="1"/>
        <v/>
      </c>
      <c r="O1424" s="15" t="str">
        <f>IFERROR(VLOOKUP(I1424,material!A:D,2,0),"")</f>
        <v/>
      </c>
    </row>
    <row r="1425">
      <c r="A1425" s="6"/>
      <c r="B1425" s="7"/>
      <c r="C1425" s="8" t="str">
        <f t="array" ref="C1425">IFERROR(INDEX(atlas!H:H,MATCH(A1425,atlas!C:C,0)),"")</f>
        <v/>
      </c>
      <c r="D1425" s="8" t="str">
        <f t="array" ref="D1425">IFERROR(INDEX(atlas!D:D,MATCH(A1425,atlas!C:C,0)),"")</f>
        <v/>
      </c>
      <c r="E1425" s="8" t="str">
        <f t="array" ref="E1425">IFERROR(INDEX(atlas!F:F,MATCH(A1425,atlas!C:C,0)),"")</f>
        <v/>
      </c>
      <c r="F1425" s="9"/>
      <c r="G1425" s="10"/>
      <c r="H1425" s="11"/>
      <c r="I1425" s="12" t="str">
        <f t="array" ref="I1425">IFERROR(INDEX(atlas!B:B,MATCH(A1425,atlas!C:C,0)),"")</f>
        <v/>
      </c>
      <c r="J1425" s="8" t="str">
        <f>IFERROR(VLOOKUP(F1425,tecnica!A:B,2,0),"")</f>
        <v/>
      </c>
      <c r="K1425" s="8" t="str">
        <f>IFERROR(VLOOKUP(J1425,tecnica!B:C,2,0),"")</f>
        <v/>
      </c>
      <c r="L1425" s="13"/>
      <c r="M1425" s="14" t="str">
        <f>IFERROR(VLOOKUP(I1425,material!A:D,4,0),"")</f>
        <v/>
      </c>
      <c r="N1425" s="14" t="str">
        <f t="shared" si="1"/>
        <v/>
      </c>
      <c r="O1425" s="15" t="str">
        <f>IFERROR(VLOOKUP(I1425,material!A:D,2,0),"")</f>
        <v/>
      </c>
    </row>
    <row r="1426">
      <c r="A1426" s="6"/>
      <c r="B1426" s="7"/>
      <c r="C1426" s="8" t="str">
        <f t="array" ref="C1426">IFERROR(INDEX(atlas!H:H,MATCH(A1426,atlas!C:C,0)),"")</f>
        <v/>
      </c>
      <c r="D1426" s="8" t="str">
        <f t="array" ref="D1426">IFERROR(INDEX(atlas!D:D,MATCH(A1426,atlas!C:C,0)),"")</f>
        <v/>
      </c>
      <c r="E1426" s="8" t="str">
        <f t="array" ref="E1426">IFERROR(INDEX(atlas!F:F,MATCH(A1426,atlas!C:C,0)),"")</f>
        <v/>
      </c>
      <c r="F1426" s="9"/>
      <c r="G1426" s="10"/>
      <c r="H1426" s="11"/>
      <c r="I1426" s="12" t="str">
        <f t="array" ref="I1426">IFERROR(INDEX(atlas!B:B,MATCH(A1426,atlas!C:C,0)),"")</f>
        <v/>
      </c>
      <c r="J1426" s="8" t="str">
        <f>IFERROR(VLOOKUP(F1426,tecnica!A:B,2,0),"")</f>
        <v/>
      </c>
      <c r="K1426" s="8" t="str">
        <f>IFERROR(VLOOKUP(J1426,tecnica!B:C,2,0),"")</f>
        <v/>
      </c>
      <c r="L1426" s="13"/>
      <c r="M1426" s="14" t="str">
        <f>IFERROR(VLOOKUP(I1426,material!A:D,4,0),"")</f>
        <v/>
      </c>
      <c r="N1426" s="14" t="str">
        <f t="shared" si="1"/>
        <v/>
      </c>
      <c r="O1426" s="15" t="str">
        <f>IFERROR(VLOOKUP(I1426,material!A:D,2,0),"")</f>
        <v/>
      </c>
    </row>
    <row r="1427">
      <c r="A1427" s="6"/>
      <c r="B1427" s="7"/>
      <c r="C1427" s="8" t="str">
        <f t="array" ref="C1427">IFERROR(INDEX(atlas!H:H,MATCH(A1427,atlas!C:C,0)),"")</f>
        <v/>
      </c>
      <c r="D1427" s="8" t="str">
        <f t="array" ref="D1427">IFERROR(INDEX(atlas!D:D,MATCH(A1427,atlas!C:C,0)),"")</f>
        <v/>
      </c>
      <c r="E1427" s="8" t="str">
        <f t="array" ref="E1427">IFERROR(INDEX(atlas!F:F,MATCH(A1427,atlas!C:C,0)),"")</f>
        <v/>
      </c>
      <c r="F1427" s="9"/>
      <c r="G1427" s="10"/>
      <c r="H1427" s="11"/>
      <c r="I1427" s="12" t="str">
        <f t="array" ref="I1427">IFERROR(INDEX(atlas!B:B,MATCH(A1427,atlas!C:C,0)),"")</f>
        <v/>
      </c>
      <c r="J1427" s="8" t="str">
        <f>IFERROR(VLOOKUP(F1427,tecnica!A:B,2,0),"")</f>
        <v/>
      </c>
      <c r="K1427" s="8" t="str">
        <f>IFERROR(VLOOKUP(J1427,tecnica!B:C,2,0),"")</f>
        <v/>
      </c>
      <c r="L1427" s="13"/>
      <c r="M1427" s="14" t="str">
        <f>IFERROR(VLOOKUP(I1427,material!A:D,4,0),"")</f>
        <v/>
      </c>
      <c r="N1427" s="14" t="str">
        <f t="shared" si="1"/>
        <v/>
      </c>
      <c r="O1427" s="15" t="str">
        <f>IFERROR(VLOOKUP(I1427,material!A:D,2,0),"")</f>
        <v/>
      </c>
    </row>
    <row r="1428">
      <c r="A1428" s="6"/>
      <c r="B1428" s="7"/>
      <c r="C1428" s="8" t="str">
        <f t="array" ref="C1428">IFERROR(INDEX(atlas!H:H,MATCH(A1428,atlas!C:C,0)),"")</f>
        <v/>
      </c>
      <c r="D1428" s="8" t="str">
        <f t="array" ref="D1428">IFERROR(INDEX(atlas!D:D,MATCH(A1428,atlas!C:C,0)),"")</f>
        <v/>
      </c>
      <c r="E1428" s="8" t="str">
        <f t="array" ref="E1428">IFERROR(INDEX(atlas!F:F,MATCH(A1428,atlas!C:C,0)),"")</f>
        <v/>
      </c>
      <c r="F1428" s="9"/>
      <c r="G1428" s="10"/>
      <c r="H1428" s="11"/>
      <c r="I1428" s="12" t="str">
        <f t="array" ref="I1428">IFERROR(INDEX(atlas!B:B,MATCH(A1428,atlas!C:C,0)),"")</f>
        <v/>
      </c>
      <c r="J1428" s="8" t="str">
        <f>IFERROR(VLOOKUP(F1428,tecnica!A:B,2,0),"")</f>
        <v/>
      </c>
      <c r="K1428" s="8" t="str">
        <f>IFERROR(VLOOKUP(J1428,tecnica!B:C,2,0),"")</f>
        <v/>
      </c>
      <c r="L1428" s="13"/>
      <c r="M1428" s="14" t="str">
        <f>IFERROR(VLOOKUP(I1428,material!A:D,4,0),"")</f>
        <v/>
      </c>
      <c r="N1428" s="14" t="str">
        <f t="shared" si="1"/>
        <v/>
      </c>
      <c r="O1428" s="15" t="str">
        <f>IFERROR(VLOOKUP(I1428,material!A:D,2,0),"")</f>
        <v/>
      </c>
    </row>
    <row r="1429">
      <c r="A1429" s="6"/>
      <c r="B1429" s="7"/>
      <c r="C1429" s="8" t="str">
        <f t="array" ref="C1429">IFERROR(INDEX(atlas!H:H,MATCH(A1429,atlas!C:C,0)),"")</f>
        <v/>
      </c>
      <c r="D1429" s="8" t="str">
        <f t="array" ref="D1429">IFERROR(INDEX(atlas!D:D,MATCH(A1429,atlas!C:C,0)),"")</f>
        <v/>
      </c>
      <c r="E1429" s="8" t="str">
        <f t="array" ref="E1429">IFERROR(INDEX(atlas!F:F,MATCH(A1429,atlas!C:C,0)),"")</f>
        <v/>
      </c>
      <c r="F1429" s="9"/>
      <c r="G1429" s="10"/>
      <c r="H1429" s="11"/>
      <c r="I1429" s="12" t="str">
        <f t="array" ref="I1429">IFERROR(INDEX(atlas!B:B,MATCH(A1429,atlas!C:C,0)),"")</f>
        <v/>
      </c>
      <c r="J1429" s="8" t="str">
        <f>IFERROR(VLOOKUP(F1429,tecnica!A:B,2,0),"")</f>
        <v/>
      </c>
      <c r="K1429" s="8" t="str">
        <f>IFERROR(VLOOKUP(J1429,tecnica!B:C,2,0),"")</f>
        <v/>
      </c>
      <c r="L1429" s="13"/>
      <c r="M1429" s="14" t="str">
        <f>IFERROR(VLOOKUP(I1429,material!A:D,4,0),"")</f>
        <v/>
      </c>
      <c r="N1429" s="14" t="str">
        <f t="shared" si="1"/>
        <v/>
      </c>
      <c r="O1429" s="15" t="str">
        <f>IFERROR(VLOOKUP(I1429,material!A:D,2,0),"")</f>
        <v/>
      </c>
    </row>
    <row r="1430">
      <c r="A1430" s="6"/>
      <c r="B1430" s="7"/>
      <c r="C1430" s="8" t="str">
        <f t="array" ref="C1430">IFERROR(INDEX(atlas!H:H,MATCH(A1430,atlas!C:C,0)),"")</f>
        <v/>
      </c>
      <c r="D1430" s="8" t="str">
        <f t="array" ref="D1430">IFERROR(INDEX(atlas!D:D,MATCH(A1430,atlas!C:C,0)),"")</f>
        <v/>
      </c>
      <c r="E1430" s="8" t="str">
        <f t="array" ref="E1430">IFERROR(INDEX(atlas!F:F,MATCH(A1430,atlas!C:C,0)),"")</f>
        <v/>
      </c>
      <c r="F1430" s="9"/>
      <c r="G1430" s="10"/>
      <c r="H1430" s="11"/>
      <c r="I1430" s="12" t="str">
        <f t="array" ref="I1430">IFERROR(INDEX(atlas!B:B,MATCH(A1430,atlas!C:C,0)),"")</f>
        <v/>
      </c>
      <c r="J1430" s="8" t="str">
        <f>IFERROR(VLOOKUP(F1430,tecnica!A:B,2,0),"")</f>
        <v/>
      </c>
      <c r="K1430" s="8" t="str">
        <f>IFERROR(VLOOKUP(J1430,tecnica!B:C,2,0),"")</f>
        <v/>
      </c>
      <c r="L1430" s="13"/>
      <c r="M1430" s="14" t="str">
        <f>IFERROR(VLOOKUP(I1430,material!A:D,4,0),"")</f>
        <v/>
      </c>
      <c r="N1430" s="14" t="str">
        <f t="shared" si="1"/>
        <v/>
      </c>
      <c r="O1430" s="15" t="str">
        <f>IFERROR(VLOOKUP(I1430,material!A:D,2,0),"")</f>
        <v/>
      </c>
    </row>
    <row r="1431">
      <c r="A1431" s="6"/>
      <c r="B1431" s="7"/>
      <c r="C1431" s="8" t="str">
        <f t="array" ref="C1431">IFERROR(INDEX(atlas!H:H,MATCH(A1431,atlas!C:C,0)),"")</f>
        <v/>
      </c>
      <c r="D1431" s="8" t="str">
        <f t="array" ref="D1431">IFERROR(INDEX(atlas!D:D,MATCH(A1431,atlas!C:C,0)),"")</f>
        <v/>
      </c>
      <c r="E1431" s="8" t="str">
        <f t="array" ref="E1431">IFERROR(INDEX(atlas!F:F,MATCH(A1431,atlas!C:C,0)),"")</f>
        <v/>
      </c>
      <c r="F1431" s="9"/>
      <c r="G1431" s="10"/>
      <c r="H1431" s="11"/>
      <c r="I1431" s="12" t="str">
        <f t="array" ref="I1431">IFERROR(INDEX(atlas!B:B,MATCH(A1431,atlas!C:C,0)),"")</f>
        <v/>
      </c>
      <c r="J1431" s="8" t="str">
        <f>IFERROR(VLOOKUP(F1431,tecnica!A:B,2,0),"")</f>
        <v/>
      </c>
      <c r="K1431" s="8" t="str">
        <f>IFERROR(VLOOKUP(J1431,tecnica!B:C,2,0),"")</f>
        <v/>
      </c>
      <c r="L1431" s="13"/>
      <c r="M1431" s="14" t="str">
        <f>IFERROR(VLOOKUP(I1431,material!A:D,4,0),"")</f>
        <v/>
      </c>
      <c r="N1431" s="14" t="str">
        <f t="shared" si="1"/>
        <v/>
      </c>
      <c r="O1431" s="15" t="str">
        <f>IFERROR(VLOOKUP(I1431,material!A:D,2,0),"")</f>
        <v/>
      </c>
    </row>
    <row r="1432">
      <c r="A1432" s="6"/>
      <c r="B1432" s="7"/>
      <c r="C1432" s="8" t="str">
        <f t="array" ref="C1432">IFERROR(INDEX(atlas!H:H,MATCH(A1432,atlas!C:C,0)),"")</f>
        <v/>
      </c>
      <c r="D1432" s="8" t="str">
        <f t="array" ref="D1432">IFERROR(INDEX(atlas!D:D,MATCH(A1432,atlas!C:C,0)),"")</f>
        <v/>
      </c>
      <c r="E1432" s="8" t="str">
        <f t="array" ref="E1432">IFERROR(INDEX(atlas!F:F,MATCH(A1432,atlas!C:C,0)),"")</f>
        <v/>
      </c>
      <c r="F1432" s="9"/>
      <c r="G1432" s="10"/>
      <c r="H1432" s="11"/>
      <c r="I1432" s="12" t="str">
        <f t="array" ref="I1432">IFERROR(INDEX(atlas!B:B,MATCH(A1432,atlas!C:C,0)),"")</f>
        <v/>
      </c>
      <c r="J1432" s="8" t="str">
        <f>IFERROR(VLOOKUP(F1432,tecnica!A:B,2,0),"")</f>
        <v/>
      </c>
      <c r="K1432" s="8" t="str">
        <f>IFERROR(VLOOKUP(J1432,tecnica!B:C,2,0),"")</f>
        <v/>
      </c>
      <c r="L1432" s="13"/>
      <c r="M1432" s="14" t="str">
        <f>IFERROR(VLOOKUP(I1432,material!A:D,4,0),"")</f>
        <v/>
      </c>
      <c r="N1432" s="14" t="str">
        <f t="shared" si="1"/>
        <v/>
      </c>
      <c r="O1432" s="15" t="str">
        <f>IFERROR(VLOOKUP(I1432,material!A:D,2,0),"")</f>
        <v/>
      </c>
    </row>
    <row r="1433">
      <c r="A1433" s="6"/>
      <c r="B1433" s="7"/>
      <c r="C1433" s="8" t="str">
        <f t="array" ref="C1433">IFERROR(INDEX(atlas!H:H,MATCH(A1433,atlas!C:C,0)),"")</f>
        <v/>
      </c>
      <c r="D1433" s="8" t="str">
        <f t="array" ref="D1433">IFERROR(INDEX(atlas!D:D,MATCH(A1433,atlas!C:C,0)),"")</f>
        <v/>
      </c>
      <c r="E1433" s="8" t="str">
        <f t="array" ref="E1433">IFERROR(INDEX(atlas!F:F,MATCH(A1433,atlas!C:C,0)),"")</f>
        <v/>
      </c>
      <c r="F1433" s="9"/>
      <c r="G1433" s="10"/>
      <c r="H1433" s="11"/>
      <c r="I1433" s="12" t="str">
        <f t="array" ref="I1433">IFERROR(INDEX(atlas!B:B,MATCH(A1433,atlas!C:C,0)),"")</f>
        <v/>
      </c>
      <c r="J1433" s="8" t="str">
        <f>IFERROR(VLOOKUP(F1433,tecnica!A:B,2,0),"")</f>
        <v/>
      </c>
      <c r="K1433" s="8" t="str">
        <f>IFERROR(VLOOKUP(J1433,tecnica!B:C,2,0),"")</f>
        <v/>
      </c>
      <c r="L1433" s="13"/>
      <c r="M1433" s="14" t="str">
        <f>IFERROR(VLOOKUP(I1433,material!A:D,4,0),"")</f>
        <v/>
      </c>
      <c r="N1433" s="14" t="str">
        <f t="shared" si="1"/>
        <v/>
      </c>
      <c r="O1433" s="15" t="str">
        <f>IFERROR(VLOOKUP(I1433,material!A:D,2,0),"")</f>
        <v/>
      </c>
    </row>
    <row r="1434">
      <c r="A1434" s="6"/>
      <c r="B1434" s="7"/>
      <c r="C1434" s="8" t="str">
        <f t="array" ref="C1434">IFERROR(INDEX(atlas!H:H,MATCH(A1434,atlas!C:C,0)),"")</f>
        <v/>
      </c>
      <c r="D1434" s="8" t="str">
        <f t="array" ref="D1434">IFERROR(INDEX(atlas!D:D,MATCH(A1434,atlas!C:C,0)),"")</f>
        <v/>
      </c>
      <c r="E1434" s="8" t="str">
        <f t="array" ref="E1434">IFERROR(INDEX(atlas!F:F,MATCH(A1434,atlas!C:C,0)),"")</f>
        <v/>
      </c>
      <c r="F1434" s="9"/>
      <c r="G1434" s="10"/>
      <c r="H1434" s="11"/>
      <c r="I1434" s="12" t="str">
        <f t="array" ref="I1434">IFERROR(INDEX(atlas!B:B,MATCH(A1434,atlas!C:C,0)),"")</f>
        <v/>
      </c>
      <c r="J1434" s="8" t="str">
        <f>IFERROR(VLOOKUP(F1434,tecnica!A:B,2,0),"")</f>
        <v/>
      </c>
      <c r="K1434" s="8" t="str">
        <f>IFERROR(VLOOKUP(J1434,tecnica!B:C,2,0),"")</f>
        <v/>
      </c>
      <c r="L1434" s="13"/>
      <c r="M1434" s="14" t="str">
        <f>IFERROR(VLOOKUP(I1434,material!A:D,4,0),"")</f>
        <v/>
      </c>
      <c r="N1434" s="14" t="str">
        <f t="shared" si="1"/>
        <v/>
      </c>
      <c r="O1434" s="15" t="str">
        <f>IFERROR(VLOOKUP(I1434,material!A:D,2,0),"")</f>
        <v/>
      </c>
    </row>
    <row r="1435">
      <c r="A1435" s="6"/>
      <c r="B1435" s="7"/>
      <c r="C1435" s="8" t="str">
        <f t="array" ref="C1435">IFERROR(INDEX(atlas!H:H,MATCH(A1435,atlas!C:C,0)),"")</f>
        <v/>
      </c>
      <c r="D1435" s="8" t="str">
        <f t="array" ref="D1435">IFERROR(INDEX(atlas!D:D,MATCH(A1435,atlas!C:C,0)),"")</f>
        <v/>
      </c>
      <c r="E1435" s="8" t="str">
        <f t="array" ref="E1435">IFERROR(INDEX(atlas!F:F,MATCH(A1435,atlas!C:C,0)),"")</f>
        <v/>
      </c>
      <c r="F1435" s="9"/>
      <c r="G1435" s="10"/>
      <c r="H1435" s="11"/>
      <c r="I1435" s="12" t="str">
        <f t="array" ref="I1435">IFERROR(INDEX(atlas!B:B,MATCH(A1435,atlas!C:C,0)),"")</f>
        <v/>
      </c>
      <c r="J1435" s="8" t="str">
        <f>IFERROR(VLOOKUP(F1435,tecnica!A:B,2,0),"")</f>
        <v/>
      </c>
      <c r="K1435" s="8" t="str">
        <f>IFERROR(VLOOKUP(J1435,tecnica!B:C,2,0),"")</f>
        <v/>
      </c>
      <c r="L1435" s="13"/>
      <c r="M1435" s="14" t="str">
        <f>IFERROR(VLOOKUP(I1435,material!A:D,4,0),"")</f>
        <v/>
      </c>
      <c r="N1435" s="14" t="str">
        <f t="shared" si="1"/>
        <v/>
      </c>
      <c r="O1435" s="15" t="str">
        <f>IFERROR(VLOOKUP(I1435,material!A:D,2,0),"")</f>
        <v/>
      </c>
    </row>
    <row r="1436">
      <c r="A1436" s="6"/>
      <c r="B1436" s="7"/>
      <c r="C1436" s="8" t="str">
        <f t="array" ref="C1436">IFERROR(INDEX(atlas!H:H,MATCH(A1436,atlas!C:C,0)),"")</f>
        <v/>
      </c>
      <c r="D1436" s="8" t="str">
        <f t="array" ref="D1436">IFERROR(INDEX(atlas!D:D,MATCH(A1436,atlas!C:C,0)),"")</f>
        <v/>
      </c>
      <c r="E1436" s="8" t="str">
        <f t="array" ref="E1436">IFERROR(INDEX(atlas!F:F,MATCH(A1436,atlas!C:C,0)),"")</f>
        <v/>
      </c>
      <c r="F1436" s="9"/>
      <c r="G1436" s="10"/>
      <c r="H1436" s="11"/>
      <c r="I1436" s="12" t="str">
        <f t="array" ref="I1436">IFERROR(INDEX(atlas!B:B,MATCH(A1436,atlas!C:C,0)),"")</f>
        <v/>
      </c>
      <c r="J1436" s="8" t="str">
        <f>IFERROR(VLOOKUP(F1436,tecnica!A:B,2,0),"")</f>
        <v/>
      </c>
      <c r="K1436" s="8" t="str">
        <f>IFERROR(VLOOKUP(J1436,tecnica!B:C,2,0),"")</f>
        <v/>
      </c>
      <c r="L1436" s="13"/>
      <c r="M1436" s="14" t="str">
        <f>IFERROR(VLOOKUP(I1436,material!A:D,4,0),"")</f>
        <v/>
      </c>
      <c r="N1436" s="14" t="str">
        <f t="shared" si="1"/>
        <v/>
      </c>
      <c r="O1436" s="15" t="str">
        <f>IFERROR(VLOOKUP(I1436,material!A:D,2,0),"")</f>
        <v/>
      </c>
    </row>
    <row r="1437">
      <c r="A1437" s="6"/>
      <c r="B1437" s="7"/>
      <c r="C1437" s="8" t="str">
        <f t="array" ref="C1437">IFERROR(INDEX(atlas!H:H,MATCH(A1437,atlas!C:C,0)),"")</f>
        <v/>
      </c>
      <c r="D1437" s="8" t="str">
        <f t="array" ref="D1437">IFERROR(INDEX(atlas!D:D,MATCH(A1437,atlas!C:C,0)),"")</f>
        <v/>
      </c>
      <c r="E1437" s="8" t="str">
        <f t="array" ref="E1437">IFERROR(INDEX(atlas!F:F,MATCH(A1437,atlas!C:C,0)),"")</f>
        <v/>
      </c>
      <c r="F1437" s="9"/>
      <c r="G1437" s="10"/>
      <c r="H1437" s="11"/>
      <c r="I1437" s="12" t="str">
        <f t="array" ref="I1437">IFERROR(INDEX(atlas!B:B,MATCH(A1437,atlas!C:C,0)),"")</f>
        <v/>
      </c>
      <c r="J1437" s="8" t="str">
        <f>IFERROR(VLOOKUP(F1437,tecnica!A:B,2,0),"")</f>
        <v/>
      </c>
      <c r="K1437" s="8" t="str">
        <f>IFERROR(VLOOKUP(J1437,tecnica!B:C,2,0),"")</f>
        <v/>
      </c>
      <c r="L1437" s="13"/>
      <c r="M1437" s="14" t="str">
        <f>IFERROR(VLOOKUP(I1437,material!A:D,4,0),"")</f>
        <v/>
      </c>
      <c r="N1437" s="14" t="str">
        <f t="shared" si="1"/>
        <v/>
      </c>
      <c r="O1437" s="15" t="str">
        <f>IFERROR(VLOOKUP(I1437,material!A:D,2,0),"")</f>
        <v/>
      </c>
    </row>
    <row r="1438">
      <c r="A1438" s="6"/>
      <c r="B1438" s="7"/>
      <c r="C1438" s="8" t="str">
        <f t="array" ref="C1438">IFERROR(INDEX(atlas!H:H,MATCH(A1438,atlas!C:C,0)),"")</f>
        <v/>
      </c>
      <c r="D1438" s="8" t="str">
        <f t="array" ref="D1438">IFERROR(INDEX(atlas!D:D,MATCH(A1438,atlas!C:C,0)),"")</f>
        <v/>
      </c>
      <c r="E1438" s="8" t="str">
        <f t="array" ref="E1438">IFERROR(INDEX(atlas!F:F,MATCH(A1438,atlas!C:C,0)),"")</f>
        <v/>
      </c>
      <c r="F1438" s="9"/>
      <c r="G1438" s="10"/>
      <c r="H1438" s="11"/>
      <c r="I1438" s="12" t="str">
        <f t="array" ref="I1438">IFERROR(INDEX(atlas!B:B,MATCH(A1438,atlas!C:C,0)),"")</f>
        <v/>
      </c>
      <c r="J1438" s="8" t="str">
        <f>IFERROR(VLOOKUP(F1438,tecnica!A:B,2,0),"")</f>
        <v/>
      </c>
      <c r="K1438" s="8" t="str">
        <f>IFERROR(VLOOKUP(J1438,tecnica!B:C,2,0),"")</f>
        <v/>
      </c>
      <c r="L1438" s="13"/>
      <c r="M1438" s="14" t="str">
        <f>IFERROR(VLOOKUP(I1438,material!A:D,4,0),"")</f>
        <v/>
      </c>
      <c r="N1438" s="14" t="str">
        <f t="shared" si="1"/>
        <v/>
      </c>
      <c r="O1438" s="15" t="str">
        <f>IFERROR(VLOOKUP(I1438,material!A:D,2,0),"")</f>
        <v/>
      </c>
    </row>
    <row r="1439">
      <c r="A1439" s="6"/>
      <c r="B1439" s="7"/>
      <c r="C1439" s="8" t="str">
        <f t="array" ref="C1439">IFERROR(INDEX(atlas!H:H,MATCH(A1439,atlas!C:C,0)),"")</f>
        <v/>
      </c>
      <c r="D1439" s="8" t="str">
        <f t="array" ref="D1439">IFERROR(INDEX(atlas!D:D,MATCH(A1439,atlas!C:C,0)),"")</f>
        <v/>
      </c>
      <c r="E1439" s="8" t="str">
        <f t="array" ref="E1439">IFERROR(INDEX(atlas!F:F,MATCH(A1439,atlas!C:C,0)),"")</f>
        <v/>
      </c>
      <c r="F1439" s="9"/>
      <c r="G1439" s="10"/>
      <c r="H1439" s="11"/>
      <c r="I1439" s="12" t="str">
        <f t="array" ref="I1439">IFERROR(INDEX(atlas!B:B,MATCH(A1439,atlas!C:C,0)),"")</f>
        <v/>
      </c>
      <c r="J1439" s="8" t="str">
        <f>IFERROR(VLOOKUP(F1439,tecnica!A:B,2,0),"")</f>
        <v/>
      </c>
      <c r="K1439" s="8" t="str">
        <f>IFERROR(VLOOKUP(J1439,tecnica!B:C,2,0),"")</f>
        <v/>
      </c>
      <c r="L1439" s="13"/>
      <c r="M1439" s="14" t="str">
        <f>IFERROR(VLOOKUP(I1439,material!A:D,4,0),"")</f>
        <v/>
      </c>
      <c r="N1439" s="14" t="str">
        <f t="shared" si="1"/>
        <v/>
      </c>
      <c r="O1439" s="15" t="str">
        <f>IFERROR(VLOOKUP(I1439,material!A:D,2,0),"")</f>
        <v/>
      </c>
    </row>
    <row r="1440">
      <c r="A1440" s="6"/>
      <c r="B1440" s="7"/>
      <c r="C1440" s="8" t="str">
        <f t="array" ref="C1440">IFERROR(INDEX(atlas!H:H,MATCH(A1440,atlas!C:C,0)),"")</f>
        <v/>
      </c>
      <c r="D1440" s="8" t="str">
        <f t="array" ref="D1440">IFERROR(INDEX(atlas!D:D,MATCH(A1440,atlas!C:C,0)),"")</f>
        <v/>
      </c>
      <c r="E1440" s="8" t="str">
        <f t="array" ref="E1440">IFERROR(INDEX(atlas!F:F,MATCH(A1440,atlas!C:C,0)),"")</f>
        <v/>
      </c>
      <c r="F1440" s="9"/>
      <c r="G1440" s="10"/>
      <c r="H1440" s="11"/>
      <c r="I1440" s="12" t="str">
        <f t="array" ref="I1440">IFERROR(INDEX(atlas!B:B,MATCH(A1440,atlas!C:C,0)),"")</f>
        <v/>
      </c>
      <c r="J1440" s="8" t="str">
        <f>IFERROR(VLOOKUP(F1440,tecnica!A:B,2,0),"")</f>
        <v/>
      </c>
      <c r="K1440" s="8" t="str">
        <f>IFERROR(VLOOKUP(J1440,tecnica!B:C,2,0),"")</f>
        <v/>
      </c>
      <c r="L1440" s="13"/>
      <c r="M1440" s="14" t="str">
        <f>IFERROR(VLOOKUP(I1440,material!A:D,4,0),"")</f>
        <v/>
      </c>
      <c r="N1440" s="14" t="str">
        <f t="shared" si="1"/>
        <v/>
      </c>
      <c r="O1440" s="15" t="str">
        <f>IFERROR(VLOOKUP(I1440,material!A:D,2,0),"")</f>
        <v/>
      </c>
    </row>
    <row r="1441">
      <c r="A1441" s="6"/>
      <c r="B1441" s="7"/>
      <c r="C1441" s="8" t="str">
        <f t="array" ref="C1441">IFERROR(INDEX(atlas!H:H,MATCH(A1441,atlas!C:C,0)),"")</f>
        <v/>
      </c>
      <c r="D1441" s="8" t="str">
        <f t="array" ref="D1441">IFERROR(INDEX(atlas!D:D,MATCH(A1441,atlas!C:C,0)),"")</f>
        <v/>
      </c>
      <c r="E1441" s="8" t="str">
        <f t="array" ref="E1441">IFERROR(INDEX(atlas!F:F,MATCH(A1441,atlas!C:C,0)),"")</f>
        <v/>
      </c>
      <c r="F1441" s="9"/>
      <c r="G1441" s="10"/>
      <c r="H1441" s="11"/>
      <c r="I1441" s="12" t="str">
        <f t="array" ref="I1441">IFERROR(INDEX(atlas!B:B,MATCH(A1441,atlas!C:C,0)),"")</f>
        <v/>
      </c>
      <c r="J1441" s="8" t="str">
        <f>IFERROR(VLOOKUP(F1441,tecnica!A:B,2,0),"")</f>
        <v/>
      </c>
      <c r="K1441" s="8" t="str">
        <f>IFERROR(VLOOKUP(J1441,tecnica!B:C,2,0),"")</f>
        <v/>
      </c>
      <c r="L1441" s="13"/>
      <c r="M1441" s="14" t="str">
        <f>IFERROR(VLOOKUP(I1441,material!A:D,4,0),"")</f>
        <v/>
      </c>
      <c r="N1441" s="14" t="str">
        <f t="shared" si="1"/>
        <v/>
      </c>
      <c r="O1441" s="15" t="str">
        <f>IFERROR(VLOOKUP(I1441,material!A:D,2,0),"")</f>
        <v/>
      </c>
    </row>
    <row r="1442">
      <c r="A1442" s="6"/>
      <c r="B1442" s="7"/>
      <c r="C1442" s="8" t="str">
        <f t="array" ref="C1442">IFERROR(INDEX(atlas!H:H,MATCH(A1442,atlas!C:C,0)),"")</f>
        <v/>
      </c>
      <c r="D1442" s="8" t="str">
        <f t="array" ref="D1442">IFERROR(INDEX(atlas!D:D,MATCH(A1442,atlas!C:C,0)),"")</f>
        <v/>
      </c>
      <c r="E1442" s="8" t="str">
        <f t="array" ref="E1442">IFERROR(INDEX(atlas!F:F,MATCH(A1442,atlas!C:C,0)),"")</f>
        <v/>
      </c>
      <c r="F1442" s="9"/>
      <c r="G1442" s="10"/>
      <c r="H1442" s="11"/>
      <c r="I1442" s="12" t="str">
        <f t="array" ref="I1442">IFERROR(INDEX(atlas!B:B,MATCH(A1442,atlas!C:C,0)),"")</f>
        <v/>
      </c>
      <c r="J1442" s="8" t="str">
        <f>IFERROR(VLOOKUP(F1442,tecnica!A:B,2,0),"")</f>
        <v/>
      </c>
      <c r="K1442" s="8" t="str">
        <f>IFERROR(VLOOKUP(J1442,tecnica!B:C,2,0),"")</f>
        <v/>
      </c>
      <c r="L1442" s="13"/>
      <c r="M1442" s="14" t="str">
        <f>IFERROR(VLOOKUP(I1442,material!A:D,4,0),"")</f>
        <v/>
      </c>
      <c r="N1442" s="14" t="str">
        <f t="shared" si="1"/>
        <v/>
      </c>
      <c r="O1442" s="15" t="str">
        <f>IFERROR(VLOOKUP(I1442,material!A:D,2,0),"")</f>
        <v/>
      </c>
    </row>
    <row r="1443">
      <c r="A1443" s="6"/>
      <c r="B1443" s="7"/>
      <c r="C1443" s="8" t="str">
        <f t="array" ref="C1443">IFERROR(INDEX(atlas!H:H,MATCH(A1443,atlas!C:C,0)),"")</f>
        <v/>
      </c>
      <c r="D1443" s="8" t="str">
        <f t="array" ref="D1443">IFERROR(INDEX(atlas!D:D,MATCH(A1443,atlas!C:C,0)),"")</f>
        <v/>
      </c>
      <c r="E1443" s="8" t="str">
        <f t="array" ref="E1443">IFERROR(INDEX(atlas!F:F,MATCH(A1443,atlas!C:C,0)),"")</f>
        <v/>
      </c>
      <c r="F1443" s="9"/>
      <c r="G1443" s="10"/>
      <c r="H1443" s="11"/>
      <c r="I1443" s="12" t="str">
        <f t="array" ref="I1443">IFERROR(INDEX(atlas!B:B,MATCH(A1443,atlas!C:C,0)),"")</f>
        <v/>
      </c>
      <c r="J1443" s="8" t="str">
        <f>IFERROR(VLOOKUP(F1443,tecnica!A:B,2,0),"")</f>
        <v/>
      </c>
      <c r="K1443" s="8" t="str">
        <f>IFERROR(VLOOKUP(J1443,tecnica!B:C,2,0),"")</f>
        <v/>
      </c>
      <c r="L1443" s="13"/>
      <c r="M1443" s="14" t="str">
        <f>IFERROR(VLOOKUP(I1443,material!A:D,4,0),"")</f>
        <v/>
      </c>
      <c r="N1443" s="14" t="str">
        <f t="shared" si="1"/>
        <v/>
      </c>
      <c r="O1443" s="15" t="str">
        <f>IFERROR(VLOOKUP(I1443,material!A:D,2,0),"")</f>
        <v/>
      </c>
    </row>
    <row r="1444">
      <c r="A1444" s="6"/>
      <c r="B1444" s="7"/>
      <c r="C1444" s="8" t="str">
        <f t="array" ref="C1444">IFERROR(INDEX(atlas!H:H,MATCH(A1444,atlas!C:C,0)),"")</f>
        <v/>
      </c>
      <c r="D1444" s="8" t="str">
        <f t="array" ref="D1444">IFERROR(INDEX(atlas!D:D,MATCH(A1444,atlas!C:C,0)),"")</f>
        <v/>
      </c>
      <c r="E1444" s="8" t="str">
        <f t="array" ref="E1444">IFERROR(INDEX(atlas!F:F,MATCH(A1444,atlas!C:C,0)),"")</f>
        <v/>
      </c>
      <c r="F1444" s="9"/>
      <c r="G1444" s="10"/>
      <c r="H1444" s="11"/>
      <c r="I1444" s="12" t="str">
        <f t="array" ref="I1444">IFERROR(INDEX(atlas!B:B,MATCH(A1444,atlas!C:C,0)),"")</f>
        <v/>
      </c>
      <c r="J1444" s="8" t="str">
        <f>IFERROR(VLOOKUP(F1444,tecnica!A:B,2,0),"")</f>
        <v/>
      </c>
      <c r="K1444" s="8" t="str">
        <f>IFERROR(VLOOKUP(J1444,tecnica!B:C,2,0),"")</f>
        <v/>
      </c>
      <c r="L1444" s="13"/>
      <c r="M1444" s="14" t="str">
        <f>IFERROR(VLOOKUP(I1444,material!A:D,4,0),"")</f>
        <v/>
      </c>
      <c r="N1444" s="14" t="str">
        <f t="shared" si="1"/>
        <v/>
      </c>
      <c r="O1444" s="15" t="str">
        <f>IFERROR(VLOOKUP(I1444,material!A:D,2,0),"")</f>
        <v/>
      </c>
    </row>
    <row r="1445">
      <c r="A1445" s="6"/>
      <c r="B1445" s="7"/>
      <c r="C1445" s="8" t="str">
        <f t="array" ref="C1445">IFERROR(INDEX(atlas!H:H,MATCH(A1445,atlas!C:C,0)),"")</f>
        <v/>
      </c>
      <c r="D1445" s="8" t="str">
        <f t="array" ref="D1445">IFERROR(INDEX(atlas!D:D,MATCH(A1445,atlas!C:C,0)),"")</f>
        <v/>
      </c>
      <c r="E1445" s="8" t="str">
        <f t="array" ref="E1445">IFERROR(INDEX(atlas!F:F,MATCH(A1445,atlas!C:C,0)),"")</f>
        <v/>
      </c>
      <c r="F1445" s="9"/>
      <c r="G1445" s="10"/>
      <c r="H1445" s="11"/>
      <c r="I1445" s="12" t="str">
        <f t="array" ref="I1445">IFERROR(INDEX(atlas!B:B,MATCH(A1445,atlas!C:C,0)),"")</f>
        <v/>
      </c>
      <c r="J1445" s="8" t="str">
        <f>IFERROR(VLOOKUP(F1445,tecnica!A:B,2,0),"")</f>
        <v/>
      </c>
      <c r="K1445" s="8" t="str">
        <f>IFERROR(VLOOKUP(J1445,tecnica!B:C,2,0),"")</f>
        <v/>
      </c>
      <c r="L1445" s="13"/>
      <c r="M1445" s="14" t="str">
        <f>IFERROR(VLOOKUP(I1445,material!A:D,4,0),"")</f>
        <v/>
      </c>
      <c r="N1445" s="14" t="str">
        <f t="shared" si="1"/>
        <v/>
      </c>
      <c r="O1445" s="15" t="str">
        <f>IFERROR(VLOOKUP(I1445,material!A:D,2,0),"")</f>
        <v/>
      </c>
    </row>
    <row r="1446">
      <c r="A1446" s="6"/>
      <c r="B1446" s="7"/>
      <c r="C1446" s="8" t="str">
        <f t="array" ref="C1446">IFERROR(INDEX(atlas!H:H,MATCH(A1446,atlas!C:C,0)),"")</f>
        <v/>
      </c>
      <c r="D1446" s="8" t="str">
        <f t="array" ref="D1446">IFERROR(INDEX(atlas!D:D,MATCH(A1446,atlas!C:C,0)),"")</f>
        <v/>
      </c>
      <c r="E1446" s="8" t="str">
        <f t="array" ref="E1446">IFERROR(INDEX(atlas!F:F,MATCH(A1446,atlas!C:C,0)),"")</f>
        <v/>
      </c>
      <c r="F1446" s="9"/>
      <c r="G1446" s="10"/>
      <c r="H1446" s="11"/>
      <c r="I1446" s="12" t="str">
        <f t="array" ref="I1446">IFERROR(INDEX(atlas!B:B,MATCH(A1446,atlas!C:C,0)),"")</f>
        <v/>
      </c>
      <c r="J1446" s="8" t="str">
        <f>IFERROR(VLOOKUP(F1446,tecnica!A:B,2,0),"")</f>
        <v/>
      </c>
      <c r="K1446" s="8" t="str">
        <f>IFERROR(VLOOKUP(J1446,tecnica!B:C,2,0),"")</f>
        <v/>
      </c>
      <c r="L1446" s="13"/>
      <c r="M1446" s="14" t="str">
        <f>IFERROR(VLOOKUP(I1446,material!A:D,4,0),"")</f>
        <v/>
      </c>
      <c r="N1446" s="14" t="str">
        <f t="shared" si="1"/>
        <v/>
      </c>
      <c r="O1446" s="15" t="str">
        <f>IFERROR(VLOOKUP(I1446,material!A:D,2,0),"")</f>
        <v/>
      </c>
    </row>
    <row r="1447">
      <c r="A1447" s="6"/>
      <c r="B1447" s="7"/>
      <c r="C1447" s="8" t="str">
        <f t="array" ref="C1447">IFERROR(INDEX(atlas!H:H,MATCH(A1447,atlas!C:C,0)),"")</f>
        <v/>
      </c>
      <c r="D1447" s="8" t="str">
        <f t="array" ref="D1447">IFERROR(INDEX(atlas!D:D,MATCH(A1447,atlas!C:C,0)),"")</f>
        <v/>
      </c>
      <c r="E1447" s="8" t="str">
        <f t="array" ref="E1447">IFERROR(INDEX(atlas!F:F,MATCH(A1447,atlas!C:C,0)),"")</f>
        <v/>
      </c>
      <c r="F1447" s="9"/>
      <c r="G1447" s="10"/>
      <c r="H1447" s="11"/>
      <c r="I1447" s="12" t="str">
        <f t="array" ref="I1447">IFERROR(INDEX(atlas!B:B,MATCH(A1447,atlas!C:C,0)),"")</f>
        <v/>
      </c>
      <c r="J1447" s="8" t="str">
        <f>IFERROR(VLOOKUP(F1447,tecnica!A:B,2,0),"")</f>
        <v/>
      </c>
      <c r="K1447" s="8" t="str">
        <f>IFERROR(VLOOKUP(J1447,tecnica!B:C,2,0),"")</f>
        <v/>
      </c>
      <c r="L1447" s="13"/>
      <c r="M1447" s="14" t="str">
        <f>IFERROR(VLOOKUP(I1447,material!A:D,4,0),"")</f>
        <v/>
      </c>
      <c r="N1447" s="14" t="str">
        <f t="shared" si="1"/>
        <v/>
      </c>
      <c r="O1447" s="15" t="str">
        <f>IFERROR(VLOOKUP(I1447,material!A:D,2,0),"")</f>
        <v/>
      </c>
    </row>
    <row r="1448">
      <c r="A1448" s="6"/>
      <c r="B1448" s="7"/>
      <c r="C1448" s="8" t="str">
        <f t="array" ref="C1448">IFERROR(INDEX(atlas!H:H,MATCH(A1448,atlas!C:C,0)),"")</f>
        <v/>
      </c>
      <c r="D1448" s="8" t="str">
        <f t="array" ref="D1448">IFERROR(INDEX(atlas!D:D,MATCH(A1448,atlas!C:C,0)),"")</f>
        <v/>
      </c>
      <c r="E1448" s="8" t="str">
        <f t="array" ref="E1448">IFERROR(INDEX(atlas!F:F,MATCH(A1448,atlas!C:C,0)),"")</f>
        <v/>
      </c>
      <c r="F1448" s="9"/>
      <c r="G1448" s="10"/>
      <c r="H1448" s="11"/>
      <c r="I1448" s="12" t="str">
        <f t="array" ref="I1448">IFERROR(INDEX(atlas!B:B,MATCH(A1448,atlas!C:C,0)),"")</f>
        <v/>
      </c>
      <c r="J1448" s="8" t="str">
        <f>IFERROR(VLOOKUP(F1448,tecnica!A:B,2,0),"")</f>
        <v/>
      </c>
      <c r="K1448" s="8" t="str">
        <f>IFERROR(VLOOKUP(J1448,tecnica!B:C,2,0),"")</f>
        <v/>
      </c>
      <c r="L1448" s="13"/>
      <c r="M1448" s="14" t="str">
        <f>IFERROR(VLOOKUP(I1448,material!A:D,4,0),"")</f>
        <v/>
      </c>
      <c r="N1448" s="14" t="str">
        <f t="shared" si="1"/>
        <v/>
      </c>
      <c r="O1448" s="15" t="str">
        <f>IFERROR(VLOOKUP(I1448,material!A:D,2,0),"")</f>
        <v/>
      </c>
    </row>
    <row r="1449">
      <c r="A1449" s="6"/>
      <c r="B1449" s="7"/>
      <c r="C1449" s="8" t="str">
        <f t="array" ref="C1449">IFERROR(INDEX(atlas!H:H,MATCH(A1449,atlas!C:C,0)),"")</f>
        <v/>
      </c>
      <c r="D1449" s="8" t="str">
        <f t="array" ref="D1449">IFERROR(INDEX(atlas!D:D,MATCH(A1449,atlas!C:C,0)),"")</f>
        <v/>
      </c>
      <c r="E1449" s="8" t="str">
        <f t="array" ref="E1449">IFERROR(INDEX(atlas!F:F,MATCH(A1449,atlas!C:C,0)),"")</f>
        <v/>
      </c>
      <c r="F1449" s="9"/>
      <c r="G1449" s="10"/>
      <c r="H1449" s="11"/>
      <c r="I1449" s="12" t="str">
        <f t="array" ref="I1449">IFERROR(INDEX(atlas!B:B,MATCH(A1449,atlas!C:C,0)),"")</f>
        <v/>
      </c>
      <c r="J1449" s="8" t="str">
        <f>IFERROR(VLOOKUP(F1449,tecnica!A:B,2,0),"")</f>
        <v/>
      </c>
      <c r="K1449" s="8" t="str">
        <f>IFERROR(VLOOKUP(J1449,tecnica!B:C,2,0),"")</f>
        <v/>
      </c>
      <c r="L1449" s="13"/>
      <c r="M1449" s="14" t="str">
        <f>IFERROR(VLOOKUP(I1449,material!A:D,4,0),"")</f>
        <v/>
      </c>
      <c r="N1449" s="14" t="str">
        <f t="shared" si="1"/>
        <v/>
      </c>
      <c r="O1449" s="15" t="str">
        <f>IFERROR(VLOOKUP(I1449,material!A:D,2,0),"")</f>
        <v/>
      </c>
    </row>
    <row r="1450">
      <c r="A1450" s="6"/>
      <c r="B1450" s="7"/>
      <c r="C1450" s="8" t="str">
        <f t="array" ref="C1450">IFERROR(INDEX(atlas!H:H,MATCH(A1450,atlas!C:C,0)),"")</f>
        <v/>
      </c>
      <c r="D1450" s="8" t="str">
        <f t="array" ref="D1450">IFERROR(INDEX(atlas!D:D,MATCH(A1450,atlas!C:C,0)),"")</f>
        <v/>
      </c>
      <c r="E1450" s="8" t="str">
        <f t="array" ref="E1450">IFERROR(INDEX(atlas!F:F,MATCH(A1450,atlas!C:C,0)),"")</f>
        <v/>
      </c>
      <c r="F1450" s="9"/>
      <c r="G1450" s="10"/>
      <c r="H1450" s="11"/>
      <c r="I1450" s="12" t="str">
        <f t="array" ref="I1450">IFERROR(INDEX(atlas!B:B,MATCH(A1450,atlas!C:C,0)),"")</f>
        <v/>
      </c>
      <c r="J1450" s="8" t="str">
        <f>IFERROR(VLOOKUP(F1450,tecnica!A:B,2,0),"")</f>
        <v/>
      </c>
      <c r="K1450" s="8" t="str">
        <f>IFERROR(VLOOKUP(J1450,tecnica!B:C,2,0),"")</f>
        <v/>
      </c>
      <c r="L1450" s="13"/>
      <c r="M1450" s="14" t="str">
        <f>IFERROR(VLOOKUP(I1450,material!A:D,4,0),"")</f>
        <v/>
      </c>
      <c r="N1450" s="14" t="str">
        <f t="shared" si="1"/>
        <v/>
      </c>
      <c r="O1450" s="15" t="str">
        <f>IFERROR(VLOOKUP(I1450,material!A:D,2,0),"")</f>
        <v/>
      </c>
    </row>
    <row r="1451">
      <c r="A1451" s="6"/>
      <c r="B1451" s="7"/>
      <c r="C1451" s="8" t="str">
        <f t="array" ref="C1451">IFERROR(INDEX(atlas!H:H,MATCH(A1451,atlas!C:C,0)),"")</f>
        <v/>
      </c>
      <c r="D1451" s="8" t="str">
        <f t="array" ref="D1451">IFERROR(INDEX(atlas!D:D,MATCH(A1451,atlas!C:C,0)),"")</f>
        <v/>
      </c>
      <c r="E1451" s="8" t="str">
        <f t="array" ref="E1451">IFERROR(INDEX(atlas!F:F,MATCH(A1451,atlas!C:C,0)),"")</f>
        <v/>
      </c>
      <c r="F1451" s="9"/>
      <c r="G1451" s="10"/>
      <c r="H1451" s="11"/>
      <c r="I1451" s="12" t="str">
        <f t="array" ref="I1451">IFERROR(INDEX(atlas!B:B,MATCH(A1451,atlas!C:C,0)),"")</f>
        <v/>
      </c>
      <c r="J1451" s="8" t="str">
        <f>IFERROR(VLOOKUP(F1451,tecnica!A:B,2,0),"")</f>
        <v/>
      </c>
      <c r="K1451" s="8" t="str">
        <f>IFERROR(VLOOKUP(J1451,tecnica!B:C,2,0),"")</f>
        <v/>
      </c>
      <c r="L1451" s="13"/>
      <c r="M1451" s="14" t="str">
        <f>IFERROR(VLOOKUP(I1451,material!A:D,4,0),"")</f>
        <v/>
      </c>
      <c r="N1451" s="14" t="str">
        <f t="shared" si="1"/>
        <v/>
      </c>
      <c r="O1451" s="15" t="str">
        <f>IFERROR(VLOOKUP(I1451,material!A:D,2,0),"")</f>
        <v/>
      </c>
    </row>
    <row r="1452">
      <c r="A1452" s="6"/>
      <c r="B1452" s="7"/>
      <c r="C1452" s="8" t="str">
        <f t="array" ref="C1452">IFERROR(INDEX(atlas!H:H,MATCH(A1452,atlas!C:C,0)),"")</f>
        <v/>
      </c>
      <c r="D1452" s="8" t="str">
        <f t="array" ref="D1452">IFERROR(INDEX(atlas!D:D,MATCH(A1452,atlas!C:C,0)),"")</f>
        <v/>
      </c>
      <c r="E1452" s="8" t="str">
        <f t="array" ref="E1452">IFERROR(INDEX(atlas!F:F,MATCH(A1452,atlas!C:C,0)),"")</f>
        <v/>
      </c>
      <c r="F1452" s="9"/>
      <c r="G1452" s="10"/>
      <c r="H1452" s="11"/>
      <c r="I1452" s="12" t="str">
        <f t="array" ref="I1452">IFERROR(INDEX(atlas!B:B,MATCH(A1452,atlas!C:C,0)),"")</f>
        <v/>
      </c>
      <c r="J1452" s="8" t="str">
        <f>IFERROR(VLOOKUP(F1452,tecnica!A:B,2,0),"")</f>
        <v/>
      </c>
      <c r="K1452" s="8" t="str">
        <f>IFERROR(VLOOKUP(J1452,tecnica!B:C,2,0),"")</f>
        <v/>
      </c>
      <c r="L1452" s="13"/>
      <c r="M1452" s="14" t="str">
        <f>IFERROR(VLOOKUP(I1452,material!A:D,4,0),"")</f>
        <v/>
      </c>
      <c r="N1452" s="14" t="str">
        <f t="shared" si="1"/>
        <v/>
      </c>
      <c r="O1452" s="15" t="str">
        <f>IFERROR(VLOOKUP(I1452,material!A:D,2,0),"")</f>
        <v/>
      </c>
    </row>
    <row r="1453">
      <c r="A1453" s="6"/>
      <c r="B1453" s="7"/>
      <c r="C1453" s="8" t="str">
        <f t="array" ref="C1453">IFERROR(INDEX(atlas!H:H,MATCH(A1453,atlas!C:C,0)),"")</f>
        <v/>
      </c>
      <c r="D1453" s="8" t="str">
        <f t="array" ref="D1453">IFERROR(INDEX(atlas!D:D,MATCH(A1453,atlas!C:C,0)),"")</f>
        <v/>
      </c>
      <c r="E1453" s="8" t="str">
        <f t="array" ref="E1453">IFERROR(INDEX(atlas!F:F,MATCH(A1453,atlas!C:C,0)),"")</f>
        <v/>
      </c>
      <c r="F1453" s="9"/>
      <c r="G1453" s="10"/>
      <c r="H1453" s="11"/>
      <c r="I1453" s="12" t="str">
        <f t="array" ref="I1453">IFERROR(INDEX(atlas!B:B,MATCH(A1453,atlas!C:C,0)),"")</f>
        <v/>
      </c>
      <c r="J1453" s="8" t="str">
        <f>IFERROR(VLOOKUP(F1453,tecnica!A:B,2,0),"")</f>
        <v/>
      </c>
      <c r="K1453" s="8" t="str">
        <f>IFERROR(VLOOKUP(J1453,tecnica!B:C,2,0),"")</f>
        <v/>
      </c>
      <c r="L1453" s="13"/>
      <c r="M1453" s="14" t="str">
        <f>IFERROR(VLOOKUP(I1453,material!A:D,4,0),"")</f>
        <v/>
      </c>
      <c r="N1453" s="14" t="str">
        <f t="shared" si="1"/>
        <v/>
      </c>
      <c r="O1453" s="15" t="str">
        <f>IFERROR(VLOOKUP(I1453,material!A:D,2,0),"")</f>
        <v/>
      </c>
    </row>
    <row r="1454">
      <c r="A1454" s="6"/>
      <c r="B1454" s="7"/>
      <c r="C1454" s="8" t="str">
        <f t="array" ref="C1454">IFERROR(INDEX(atlas!H:H,MATCH(A1454,atlas!C:C,0)),"")</f>
        <v/>
      </c>
      <c r="D1454" s="8" t="str">
        <f t="array" ref="D1454">IFERROR(INDEX(atlas!D:D,MATCH(A1454,atlas!C:C,0)),"")</f>
        <v/>
      </c>
      <c r="E1454" s="8" t="str">
        <f t="array" ref="E1454">IFERROR(INDEX(atlas!F:F,MATCH(A1454,atlas!C:C,0)),"")</f>
        <v/>
      </c>
      <c r="F1454" s="9"/>
      <c r="G1454" s="10"/>
      <c r="H1454" s="11"/>
      <c r="I1454" s="12" t="str">
        <f t="array" ref="I1454">IFERROR(INDEX(atlas!B:B,MATCH(A1454,atlas!C:C,0)),"")</f>
        <v/>
      </c>
      <c r="J1454" s="8" t="str">
        <f>IFERROR(VLOOKUP(F1454,tecnica!A:B,2,0),"")</f>
        <v/>
      </c>
      <c r="K1454" s="8" t="str">
        <f>IFERROR(VLOOKUP(J1454,tecnica!B:C,2,0),"")</f>
        <v/>
      </c>
      <c r="L1454" s="13"/>
      <c r="M1454" s="14" t="str">
        <f>IFERROR(VLOOKUP(I1454,material!A:D,4,0),"")</f>
        <v/>
      </c>
      <c r="N1454" s="14" t="str">
        <f t="shared" si="1"/>
        <v/>
      </c>
      <c r="O1454" s="15" t="str">
        <f>IFERROR(VLOOKUP(I1454,material!A:D,2,0),"")</f>
        <v/>
      </c>
    </row>
    <row r="1455">
      <c r="A1455" s="6"/>
      <c r="B1455" s="7"/>
      <c r="C1455" s="8" t="str">
        <f t="array" ref="C1455">IFERROR(INDEX(atlas!H:H,MATCH(A1455,atlas!C:C,0)),"")</f>
        <v/>
      </c>
      <c r="D1455" s="8" t="str">
        <f t="array" ref="D1455">IFERROR(INDEX(atlas!D:D,MATCH(A1455,atlas!C:C,0)),"")</f>
        <v/>
      </c>
      <c r="E1455" s="8" t="str">
        <f t="array" ref="E1455">IFERROR(INDEX(atlas!F:F,MATCH(A1455,atlas!C:C,0)),"")</f>
        <v/>
      </c>
      <c r="F1455" s="9"/>
      <c r="G1455" s="10"/>
      <c r="H1455" s="11"/>
      <c r="I1455" s="12" t="str">
        <f t="array" ref="I1455">IFERROR(INDEX(atlas!B:B,MATCH(A1455,atlas!C:C,0)),"")</f>
        <v/>
      </c>
      <c r="J1455" s="8" t="str">
        <f>IFERROR(VLOOKUP(F1455,tecnica!A:B,2,0),"")</f>
        <v/>
      </c>
      <c r="K1455" s="8" t="str">
        <f>IFERROR(VLOOKUP(J1455,tecnica!B:C,2,0),"")</f>
        <v/>
      </c>
      <c r="L1455" s="13"/>
      <c r="M1455" s="14" t="str">
        <f>IFERROR(VLOOKUP(I1455,material!A:D,4,0),"")</f>
        <v/>
      </c>
      <c r="N1455" s="14" t="str">
        <f t="shared" si="1"/>
        <v/>
      </c>
      <c r="O1455" s="15" t="str">
        <f>IFERROR(VLOOKUP(I1455,material!A:D,2,0),"")</f>
        <v/>
      </c>
    </row>
    <row r="1456">
      <c r="A1456" s="6"/>
      <c r="B1456" s="7"/>
      <c r="C1456" s="8" t="str">
        <f t="array" ref="C1456">IFERROR(INDEX(atlas!H:H,MATCH(A1456,atlas!C:C,0)),"")</f>
        <v/>
      </c>
      <c r="D1456" s="8" t="str">
        <f t="array" ref="D1456">IFERROR(INDEX(atlas!D:D,MATCH(A1456,atlas!C:C,0)),"")</f>
        <v/>
      </c>
      <c r="E1456" s="8" t="str">
        <f t="array" ref="E1456">IFERROR(INDEX(atlas!F:F,MATCH(A1456,atlas!C:C,0)),"")</f>
        <v/>
      </c>
      <c r="F1456" s="9"/>
      <c r="G1456" s="10"/>
      <c r="H1456" s="11"/>
      <c r="I1456" s="12" t="str">
        <f t="array" ref="I1456">IFERROR(INDEX(atlas!B:B,MATCH(A1456,atlas!C:C,0)),"")</f>
        <v/>
      </c>
      <c r="J1456" s="8" t="str">
        <f>IFERROR(VLOOKUP(F1456,tecnica!A:B,2,0),"")</f>
        <v/>
      </c>
      <c r="K1456" s="8" t="str">
        <f>IFERROR(VLOOKUP(J1456,tecnica!B:C,2,0),"")</f>
        <v/>
      </c>
      <c r="L1456" s="13"/>
      <c r="M1456" s="14" t="str">
        <f>IFERROR(VLOOKUP(I1456,material!A:D,4,0),"")</f>
        <v/>
      </c>
      <c r="N1456" s="14" t="str">
        <f t="shared" si="1"/>
        <v/>
      </c>
      <c r="O1456" s="15" t="str">
        <f>IFERROR(VLOOKUP(I1456,material!A:D,2,0),"")</f>
        <v/>
      </c>
    </row>
    <row r="1457">
      <c r="A1457" s="6"/>
      <c r="B1457" s="7"/>
      <c r="C1457" s="8" t="str">
        <f t="array" ref="C1457">IFERROR(INDEX(atlas!H:H,MATCH(A1457,atlas!C:C,0)),"")</f>
        <v/>
      </c>
      <c r="D1457" s="8" t="str">
        <f t="array" ref="D1457">IFERROR(INDEX(atlas!D:D,MATCH(A1457,atlas!C:C,0)),"")</f>
        <v/>
      </c>
      <c r="E1457" s="8" t="str">
        <f t="array" ref="E1457">IFERROR(INDEX(atlas!F:F,MATCH(A1457,atlas!C:C,0)),"")</f>
        <v/>
      </c>
      <c r="F1457" s="9"/>
      <c r="G1457" s="10"/>
      <c r="H1457" s="11"/>
      <c r="I1457" s="12" t="str">
        <f t="array" ref="I1457">IFERROR(INDEX(atlas!B:B,MATCH(A1457,atlas!C:C,0)),"")</f>
        <v/>
      </c>
      <c r="J1457" s="8" t="str">
        <f>IFERROR(VLOOKUP(F1457,tecnica!A:B,2,0),"")</f>
        <v/>
      </c>
      <c r="K1457" s="8" t="str">
        <f>IFERROR(VLOOKUP(J1457,tecnica!B:C,2,0),"")</f>
        <v/>
      </c>
      <c r="L1457" s="13"/>
      <c r="M1457" s="14" t="str">
        <f>IFERROR(VLOOKUP(I1457,material!A:D,4,0),"")</f>
        <v/>
      </c>
      <c r="N1457" s="14" t="str">
        <f t="shared" si="1"/>
        <v/>
      </c>
      <c r="O1457" s="15" t="str">
        <f>IFERROR(VLOOKUP(I1457,material!A:D,2,0),"")</f>
        <v/>
      </c>
    </row>
    <row r="1458">
      <c r="A1458" s="6"/>
      <c r="B1458" s="7"/>
      <c r="C1458" s="8" t="str">
        <f t="array" ref="C1458">IFERROR(INDEX(atlas!H:H,MATCH(A1458,atlas!C:C,0)),"")</f>
        <v/>
      </c>
      <c r="D1458" s="8" t="str">
        <f t="array" ref="D1458">IFERROR(INDEX(atlas!D:D,MATCH(A1458,atlas!C:C,0)),"")</f>
        <v/>
      </c>
      <c r="E1458" s="8" t="str">
        <f t="array" ref="E1458">IFERROR(INDEX(atlas!F:F,MATCH(A1458,atlas!C:C,0)),"")</f>
        <v/>
      </c>
      <c r="F1458" s="9"/>
      <c r="G1458" s="10"/>
      <c r="H1458" s="11"/>
      <c r="I1458" s="12" t="str">
        <f t="array" ref="I1458">IFERROR(INDEX(atlas!B:B,MATCH(A1458,atlas!C:C,0)),"")</f>
        <v/>
      </c>
      <c r="J1458" s="8" t="str">
        <f>IFERROR(VLOOKUP(F1458,tecnica!A:B,2,0),"")</f>
        <v/>
      </c>
      <c r="K1458" s="8" t="str">
        <f>IFERROR(VLOOKUP(J1458,tecnica!B:C,2,0),"")</f>
        <v/>
      </c>
      <c r="L1458" s="13"/>
      <c r="M1458" s="14" t="str">
        <f>IFERROR(VLOOKUP(I1458,material!A:D,4,0),"")</f>
        <v/>
      </c>
      <c r="N1458" s="14" t="str">
        <f t="shared" si="1"/>
        <v/>
      </c>
      <c r="O1458" s="15" t="str">
        <f>IFERROR(VLOOKUP(I1458,material!A:D,2,0),"")</f>
        <v/>
      </c>
    </row>
    <row r="1459">
      <c r="A1459" s="6"/>
      <c r="B1459" s="7"/>
      <c r="C1459" s="8" t="str">
        <f t="array" ref="C1459">IFERROR(INDEX(atlas!H:H,MATCH(A1459,atlas!C:C,0)),"")</f>
        <v/>
      </c>
      <c r="D1459" s="8" t="str">
        <f t="array" ref="D1459">IFERROR(INDEX(atlas!D:D,MATCH(A1459,atlas!C:C,0)),"")</f>
        <v/>
      </c>
      <c r="E1459" s="8" t="str">
        <f t="array" ref="E1459">IFERROR(INDEX(atlas!F:F,MATCH(A1459,atlas!C:C,0)),"")</f>
        <v/>
      </c>
      <c r="F1459" s="9"/>
      <c r="G1459" s="10"/>
      <c r="H1459" s="11"/>
      <c r="I1459" s="12" t="str">
        <f t="array" ref="I1459">IFERROR(INDEX(atlas!B:B,MATCH(A1459,atlas!C:C,0)),"")</f>
        <v/>
      </c>
      <c r="J1459" s="8" t="str">
        <f>IFERROR(VLOOKUP(F1459,tecnica!A:B,2,0),"")</f>
        <v/>
      </c>
      <c r="K1459" s="8" t="str">
        <f>IFERROR(VLOOKUP(J1459,tecnica!B:C,2,0),"")</f>
        <v/>
      </c>
      <c r="L1459" s="13"/>
      <c r="M1459" s="14" t="str">
        <f>IFERROR(VLOOKUP(I1459,material!A:D,4,0),"")</f>
        <v/>
      </c>
      <c r="N1459" s="14" t="str">
        <f t="shared" si="1"/>
        <v/>
      </c>
      <c r="O1459" s="15" t="str">
        <f>IFERROR(VLOOKUP(I1459,material!A:D,2,0),"")</f>
        <v/>
      </c>
    </row>
    <row r="1460">
      <c r="A1460" s="6"/>
      <c r="B1460" s="7"/>
      <c r="C1460" s="8" t="str">
        <f t="array" ref="C1460">IFERROR(INDEX(atlas!H:H,MATCH(A1460,atlas!C:C,0)),"")</f>
        <v/>
      </c>
      <c r="D1460" s="8" t="str">
        <f t="array" ref="D1460">IFERROR(INDEX(atlas!D:D,MATCH(A1460,atlas!C:C,0)),"")</f>
        <v/>
      </c>
      <c r="E1460" s="8" t="str">
        <f t="array" ref="E1460">IFERROR(INDEX(atlas!F:F,MATCH(A1460,atlas!C:C,0)),"")</f>
        <v/>
      </c>
      <c r="F1460" s="9"/>
      <c r="G1460" s="10"/>
      <c r="H1460" s="11"/>
      <c r="I1460" s="12" t="str">
        <f t="array" ref="I1460">IFERROR(INDEX(atlas!B:B,MATCH(A1460,atlas!C:C,0)),"")</f>
        <v/>
      </c>
      <c r="J1460" s="8" t="str">
        <f>IFERROR(VLOOKUP(F1460,tecnica!A:B,2,0),"")</f>
        <v/>
      </c>
      <c r="K1460" s="8" t="str">
        <f>IFERROR(VLOOKUP(J1460,tecnica!B:C,2,0),"")</f>
        <v/>
      </c>
      <c r="L1460" s="13"/>
      <c r="M1460" s="14" t="str">
        <f>IFERROR(VLOOKUP(I1460,material!A:D,4,0),"")</f>
        <v/>
      </c>
      <c r="N1460" s="14" t="str">
        <f t="shared" si="1"/>
        <v/>
      </c>
      <c r="O1460" s="15" t="str">
        <f>IFERROR(VLOOKUP(I1460,material!A:D,2,0),"")</f>
        <v/>
      </c>
    </row>
    <row r="1461">
      <c r="A1461" s="6"/>
      <c r="B1461" s="7"/>
      <c r="C1461" s="8" t="str">
        <f t="array" ref="C1461">IFERROR(INDEX(atlas!H:H,MATCH(A1461,atlas!C:C,0)),"")</f>
        <v/>
      </c>
      <c r="D1461" s="8" t="str">
        <f t="array" ref="D1461">IFERROR(INDEX(atlas!D:D,MATCH(A1461,atlas!C:C,0)),"")</f>
        <v/>
      </c>
      <c r="E1461" s="8" t="str">
        <f t="array" ref="E1461">IFERROR(INDEX(atlas!F:F,MATCH(A1461,atlas!C:C,0)),"")</f>
        <v/>
      </c>
      <c r="F1461" s="9"/>
      <c r="G1461" s="10"/>
      <c r="H1461" s="11"/>
      <c r="I1461" s="12" t="str">
        <f t="array" ref="I1461">IFERROR(INDEX(atlas!B:B,MATCH(A1461,atlas!C:C,0)),"")</f>
        <v/>
      </c>
      <c r="J1461" s="8" t="str">
        <f>IFERROR(VLOOKUP(F1461,tecnica!A:B,2,0),"")</f>
        <v/>
      </c>
      <c r="K1461" s="8" t="str">
        <f>IFERROR(VLOOKUP(J1461,tecnica!B:C,2,0),"")</f>
        <v/>
      </c>
      <c r="L1461" s="13"/>
      <c r="M1461" s="14" t="str">
        <f>IFERROR(VLOOKUP(I1461,material!A:D,4,0),"")</f>
        <v/>
      </c>
      <c r="N1461" s="14" t="str">
        <f t="shared" si="1"/>
        <v/>
      </c>
      <c r="O1461" s="15" t="str">
        <f>IFERROR(VLOOKUP(I1461,material!A:D,2,0),"")</f>
        <v/>
      </c>
    </row>
    <row r="1462">
      <c r="A1462" s="6"/>
      <c r="B1462" s="7"/>
      <c r="C1462" s="8" t="str">
        <f t="array" ref="C1462">IFERROR(INDEX(atlas!H:H,MATCH(A1462,atlas!C:C,0)),"")</f>
        <v/>
      </c>
      <c r="D1462" s="8" t="str">
        <f t="array" ref="D1462">IFERROR(INDEX(atlas!D:D,MATCH(A1462,atlas!C:C,0)),"")</f>
        <v/>
      </c>
      <c r="E1462" s="8" t="str">
        <f t="array" ref="E1462">IFERROR(INDEX(atlas!F:F,MATCH(A1462,atlas!C:C,0)),"")</f>
        <v/>
      </c>
      <c r="F1462" s="9"/>
      <c r="G1462" s="10"/>
      <c r="H1462" s="11"/>
      <c r="I1462" s="12" t="str">
        <f t="array" ref="I1462">IFERROR(INDEX(atlas!B:B,MATCH(A1462,atlas!C:C,0)),"")</f>
        <v/>
      </c>
      <c r="J1462" s="8" t="str">
        <f>IFERROR(VLOOKUP(F1462,tecnica!A:B,2,0),"")</f>
        <v/>
      </c>
      <c r="K1462" s="8" t="str">
        <f>IFERROR(VLOOKUP(J1462,tecnica!B:C,2,0),"")</f>
        <v/>
      </c>
      <c r="L1462" s="13"/>
      <c r="M1462" s="14" t="str">
        <f>IFERROR(VLOOKUP(I1462,material!A:D,4,0),"")</f>
        <v/>
      </c>
      <c r="N1462" s="14" t="str">
        <f t="shared" si="1"/>
        <v/>
      </c>
      <c r="O1462" s="15" t="str">
        <f>IFERROR(VLOOKUP(I1462,material!A:D,2,0),"")</f>
        <v/>
      </c>
    </row>
    <row r="1463">
      <c r="A1463" s="6"/>
      <c r="B1463" s="7"/>
      <c r="C1463" s="8" t="str">
        <f t="array" ref="C1463">IFERROR(INDEX(atlas!H:H,MATCH(A1463,atlas!C:C,0)),"")</f>
        <v/>
      </c>
      <c r="D1463" s="8" t="str">
        <f t="array" ref="D1463">IFERROR(INDEX(atlas!D:D,MATCH(A1463,atlas!C:C,0)),"")</f>
        <v/>
      </c>
      <c r="E1463" s="8" t="str">
        <f t="array" ref="E1463">IFERROR(INDEX(atlas!F:F,MATCH(A1463,atlas!C:C,0)),"")</f>
        <v/>
      </c>
      <c r="F1463" s="9"/>
      <c r="G1463" s="10"/>
      <c r="H1463" s="11"/>
      <c r="I1463" s="12" t="str">
        <f t="array" ref="I1463">IFERROR(INDEX(atlas!B:B,MATCH(A1463,atlas!C:C,0)),"")</f>
        <v/>
      </c>
      <c r="J1463" s="8" t="str">
        <f>IFERROR(VLOOKUP(F1463,tecnica!A:B,2,0),"")</f>
        <v/>
      </c>
      <c r="K1463" s="8" t="str">
        <f>IFERROR(VLOOKUP(J1463,tecnica!B:C,2,0),"")</f>
        <v/>
      </c>
      <c r="L1463" s="13"/>
      <c r="M1463" s="14" t="str">
        <f>IFERROR(VLOOKUP(I1463,material!A:D,4,0),"")</f>
        <v/>
      </c>
      <c r="N1463" s="14" t="str">
        <f t="shared" si="1"/>
        <v/>
      </c>
      <c r="O1463" s="15" t="str">
        <f>IFERROR(VLOOKUP(I1463,material!A:D,2,0),"")</f>
        <v/>
      </c>
    </row>
    <row r="1464">
      <c r="A1464" s="6"/>
      <c r="B1464" s="7"/>
      <c r="C1464" s="8" t="str">
        <f t="array" ref="C1464">IFERROR(INDEX(atlas!H:H,MATCH(A1464,atlas!C:C,0)),"")</f>
        <v/>
      </c>
      <c r="D1464" s="8" t="str">
        <f t="array" ref="D1464">IFERROR(INDEX(atlas!D:D,MATCH(A1464,atlas!C:C,0)),"")</f>
        <v/>
      </c>
      <c r="E1464" s="8" t="str">
        <f t="array" ref="E1464">IFERROR(INDEX(atlas!F:F,MATCH(A1464,atlas!C:C,0)),"")</f>
        <v/>
      </c>
      <c r="F1464" s="9"/>
      <c r="G1464" s="10"/>
      <c r="H1464" s="11"/>
      <c r="I1464" s="12" t="str">
        <f t="array" ref="I1464">IFERROR(INDEX(atlas!B:B,MATCH(A1464,atlas!C:C,0)),"")</f>
        <v/>
      </c>
      <c r="J1464" s="8" t="str">
        <f>IFERROR(VLOOKUP(F1464,tecnica!A:B,2,0),"")</f>
        <v/>
      </c>
      <c r="K1464" s="8" t="str">
        <f>IFERROR(VLOOKUP(J1464,tecnica!B:C,2,0),"")</f>
        <v/>
      </c>
      <c r="L1464" s="13"/>
      <c r="M1464" s="14" t="str">
        <f>IFERROR(VLOOKUP(I1464,material!A:D,4,0),"")</f>
        <v/>
      </c>
      <c r="N1464" s="14" t="str">
        <f t="shared" si="1"/>
        <v/>
      </c>
      <c r="O1464" s="15" t="str">
        <f>IFERROR(VLOOKUP(I1464,material!A:D,2,0),"")</f>
        <v/>
      </c>
    </row>
    <row r="1465">
      <c r="A1465" s="6"/>
      <c r="B1465" s="7"/>
      <c r="C1465" s="8" t="str">
        <f t="array" ref="C1465">IFERROR(INDEX(atlas!H:H,MATCH(A1465,atlas!C:C,0)),"")</f>
        <v/>
      </c>
      <c r="D1465" s="8" t="str">
        <f t="array" ref="D1465">IFERROR(INDEX(atlas!D:D,MATCH(A1465,atlas!C:C,0)),"")</f>
        <v/>
      </c>
      <c r="E1465" s="8" t="str">
        <f t="array" ref="E1465">IFERROR(INDEX(atlas!F:F,MATCH(A1465,atlas!C:C,0)),"")</f>
        <v/>
      </c>
      <c r="F1465" s="9"/>
      <c r="G1465" s="10"/>
      <c r="H1465" s="11"/>
      <c r="I1465" s="12" t="str">
        <f t="array" ref="I1465">IFERROR(INDEX(atlas!B:B,MATCH(A1465,atlas!C:C,0)),"")</f>
        <v/>
      </c>
      <c r="J1465" s="8" t="str">
        <f>IFERROR(VLOOKUP(F1465,tecnica!A:B,2,0),"")</f>
        <v/>
      </c>
      <c r="K1465" s="8" t="str">
        <f>IFERROR(VLOOKUP(J1465,tecnica!B:C,2,0),"")</f>
        <v/>
      </c>
      <c r="L1465" s="13"/>
      <c r="M1465" s="14" t="str">
        <f>IFERROR(VLOOKUP(I1465,material!A:D,4,0),"")</f>
        <v/>
      </c>
      <c r="N1465" s="14" t="str">
        <f t="shared" si="1"/>
        <v/>
      </c>
      <c r="O1465" s="15" t="str">
        <f>IFERROR(VLOOKUP(I1465,material!A:D,2,0),"")</f>
        <v/>
      </c>
    </row>
    <row r="1466">
      <c r="A1466" s="6"/>
      <c r="B1466" s="7"/>
      <c r="C1466" s="8" t="str">
        <f t="array" ref="C1466">IFERROR(INDEX(atlas!H:H,MATCH(A1466,atlas!C:C,0)),"")</f>
        <v/>
      </c>
      <c r="D1466" s="8" t="str">
        <f t="array" ref="D1466">IFERROR(INDEX(atlas!D:D,MATCH(A1466,atlas!C:C,0)),"")</f>
        <v/>
      </c>
      <c r="E1466" s="8" t="str">
        <f t="array" ref="E1466">IFERROR(INDEX(atlas!F:F,MATCH(A1466,atlas!C:C,0)),"")</f>
        <v/>
      </c>
      <c r="F1466" s="9"/>
      <c r="G1466" s="10"/>
      <c r="H1466" s="11"/>
      <c r="I1466" s="12" t="str">
        <f t="array" ref="I1466">IFERROR(INDEX(atlas!B:B,MATCH(A1466,atlas!C:C,0)),"")</f>
        <v/>
      </c>
      <c r="J1466" s="8" t="str">
        <f>IFERROR(VLOOKUP(F1466,tecnica!A:B,2,0),"")</f>
        <v/>
      </c>
      <c r="K1466" s="8" t="str">
        <f>IFERROR(VLOOKUP(J1466,tecnica!B:C,2,0),"")</f>
        <v/>
      </c>
      <c r="L1466" s="13"/>
      <c r="M1466" s="14" t="str">
        <f>IFERROR(VLOOKUP(I1466,material!A:D,4,0),"")</f>
        <v/>
      </c>
      <c r="N1466" s="14" t="str">
        <f t="shared" si="1"/>
        <v/>
      </c>
      <c r="O1466" s="15" t="str">
        <f>IFERROR(VLOOKUP(I1466,material!A:D,2,0),"")</f>
        <v/>
      </c>
    </row>
    <row r="1467">
      <c r="A1467" s="6"/>
      <c r="B1467" s="7"/>
      <c r="C1467" s="8" t="str">
        <f t="array" ref="C1467">IFERROR(INDEX(atlas!H:H,MATCH(A1467,atlas!C:C,0)),"")</f>
        <v/>
      </c>
      <c r="D1467" s="8" t="str">
        <f t="array" ref="D1467">IFERROR(INDEX(atlas!D:D,MATCH(A1467,atlas!C:C,0)),"")</f>
        <v/>
      </c>
      <c r="E1467" s="8" t="str">
        <f t="array" ref="E1467">IFERROR(INDEX(atlas!F:F,MATCH(A1467,atlas!C:C,0)),"")</f>
        <v/>
      </c>
      <c r="F1467" s="9"/>
      <c r="G1467" s="10"/>
      <c r="H1467" s="11"/>
      <c r="I1467" s="12" t="str">
        <f t="array" ref="I1467">IFERROR(INDEX(atlas!B:B,MATCH(A1467,atlas!C:C,0)),"")</f>
        <v/>
      </c>
      <c r="J1467" s="8" t="str">
        <f>IFERROR(VLOOKUP(F1467,tecnica!A:B,2,0),"")</f>
        <v/>
      </c>
      <c r="K1467" s="8" t="str">
        <f>IFERROR(VLOOKUP(J1467,tecnica!B:C,2,0),"")</f>
        <v/>
      </c>
      <c r="L1467" s="13"/>
      <c r="M1467" s="14" t="str">
        <f>IFERROR(VLOOKUP(I1467,material!A:D,4,0),"")</f>
        <v/>
      </c>
      <c r="N1467" s="14" t="str">
        <f t="shared" si="1"/>
        <v/>
      </c>
      <c r="O1467" s="15" t="str">
        <f>IFERROR(VLOOKUP(I1467,material!A:D,2,0),"")</f>
        <v/>
      </c>
    </row>
    <row r="1468">
      <c r="A1468" s="6"/>
      <c r="B1468" s="7"/>
      <c r="C1468" s="8" t="str">
        <f t="array" ref="C1468">IFERROR(INDEX(atlas!H:H,MATCH(A1468,atlas!C:C,0)),"")</f>
        <v/>
      </c>
      <c r="D1468" s="8" t="str">
        <f t="array" ref="D1468">IFERROR(INDEX(atlas!D:D,MATCH(A1468,atlas!C:C,0)),"")</f>
        <v/>
      </c>
      <c r="E1468" s="8" t="str">
        <f t="array" ref="E1468">IFERROR(INDEX(atlas!F:F,MATCH(A1468,atlas!C:C,0)),"")</f>
        <v/>
      </c>
      <c r="F1468" s="9"/>
      <c r="G1468" s="10"/>
      <c r="H1468" s="11"/>
      <c r="I1468" s="12" t="str">
        <f t="array" ref="I1468">IFERROR(INDEX(atlas!B:B,MATCH(A1468,atlas!C:C,0)),"")</f>
        <v/>
      </c>
      <c r="J1468" s="8" t="str">
        <f>IFERROR(VLOOKUP(F1468,tecnica!A:B,2,0),"")</f>
        <v/>
      </c>
      <c r="K1468" s="8" t="str">
        <f>IFERROR(VLOOKUP(J1468,tecnica!B:C,2,0),"")</f>
        <v/>
      </c>
      <c r="L1468" s="13"/>
      <c r="M1468" s="14" t="str">
        <f>IFERROR(VLOOKUP(I1468,material!A:D,4,0),"")</f>
        <v/>
      </c>
      <c r="N1468" s="14" t="str">
        <f t="shared" si="1"/>
        <v/>
      </c>
      <c r="O1468" s="15" t="str">
        <f>IFERROR(VLOOKUP(I1468,material!A:D,2,0),"")</f>
        <v/>
      </c>
    </row>
    <row r="1469">
      <c r="A1469" s="6"/>
      <c r="B1469" s="7"/>
      <c r="C1469" s="8" t="str">
        <f t="array" ref="C1469">IFERROR(INDEX(atlas!H:H,MATCH(A1469,atlas!C:C,0)),"")</f>
        <v/>
      </c>
      <c r="D1469" s="8" t="str">
        <f t="array" ref="D1469">IFERROR(INDEX(atlas!D:D,MATCH(A1469,atlas!C:C,0)),"")</f>
        <v/>
      </c>
      <c r="E1469" s="8" t="str">
        <f t="array" ref="E1469">IFERROR(INDEX(atlas!F:F,MATCH(A1469,atlas!C:C,0)),"")</f>
        <v/>
      </c>
      <c r="F1469" s="9"/>
      <c r="G1469" s="10"/>
      <c r="H1469" s="11"/>
      <c r="I1469" s="12" t="str">
        <f t="array" ref="I1469">IFERROR(INDEX(atlas!B:B,MATCH(A1469,atlas!C:C,0)),"")</f>
        <v/>
      </c>
      <c r="J1469" s="8" t="str">
        <f>IFERROR(VLOOKUP(F1469,tecnica!A:B,2,0),"")</f>
        <v/>
      </c>
      <c r="K1469" s="8" t="str">
        <f>IFERROR(VLOOKUP(J1469,tecnica!B:C,2,0),"")</f>
        <v/>
      </c>
      <c r="L1469" s="13"/>
      <c r="M1469" s="14" t="str">
        <f>IFERROR(VLOOKUP(I1469,material!A:D,4,0),"")</f>
        <v/>
      </c>
      <c r="N1469" s="14" t="str">
        <f t="shared" si="1"/>
        <v/>
      </c>
      <c r="O1469" s="15" t="str">
        <f>IFERROR(VLOOKUP(I1469,material!A:D,2,0),"")</f>
        <v/>
      </c>
    </row>
    <row r="1470">
      <c r="A1470" s="6"/>
      <c r="B1470" s="7"/>
      <c r="C1470" s="8" t="str">
        <f t="array" ref="C1470">IFERROR(INDEX(atlas!H:H,MATCH(A1470,atlas!C:C,0)),"")</f>
        <v/>
      </c>
      <c r="D1470" s="8" t="str">
        <f t="array" ref="D1470">IFERROR(INDEX(atlas!D:D,MATCH(A1470,atlas!C:C,0)),"")</f>
        <v/>
      </c>
      <c r="E1470" s="8" t="str">
        <f t="array" ref="E1470">IFERROR(INDEX(atlas!F:F,MATCH(A1470,atlas!C:C,0)),"")</f>
        <v/>
      </c>
      <c r="F1470" s="9"/>
      <c r="G1470" s="10"/>
      <c r="H1470" s="11"/>
      <c r="I1470" s="12" t="str">
        <f t="array" ref="I1470">IFERROR(INDEX(atlas!B:B,MATCH(A1470,atlas!C:C,0)),"")</f>
        <v/>
      </c>
      <c r="J1470" s="8" t="str">
        <f>IFERROR(VLOOKUP(F1470,tecnica!A:B,2,0),"")</f>
        <v/>
      </c>
      <c r="K1470" s="8" t="str">
        <f>IFERROR(VLOOKUP(J1470,tecnica!B:C,2,0),"")</f>
        <v/>
      </c>
      <c r="L1470" s="13"/>
      <c r="M1470" s="14" t="str">
        <f>IFERROR(VLOOKUP(I1470,material!A:D,4,0),"")</f>
        <v/>
      </c>
      <c r="N1470" s="14" t="str">
        <f t="shared" si="1"/>
        <v/>
      </c>
      <c r="O1470" s="15" t="str">
        <f>IFERROR(VLOOKUP(I1470,material!A:D,2,0),"")</f>
        <v/>
      </c>
    </row>
    <row r="1471">
      <c r="A1471" s="6"/>
      <c r="B1471" s="7"/>
      <c r="C1471" s="8" t="str">
        <f t="array" ref="C1471">IFERROR(INDEX(atlas!H:H,MATCH(A1471,atlas!C:C,0)),"")</f>
        <v/>
      </c>
      <c r="D1471" s="8" t="str">
        <f t="array" ref="D1471">IFERROR(INDEX(atlas!D:D,MATCH(A1471,atlas!C:C,0)),"")</f>
        <v/>
      </c>
      <c r="E1471" s="8" t="str">
        <f t="array" ref="E1471">IFERROR(INDEX(atlas!F:F,MATCH(A1471,atlas!C:C,0)),"")</f>
        <v/>
      </c>
      <c r="F1471" s="9"/>
      <c r="G1471" s="10"/>
      <c r="H1471" s="11"/>
      <c r="I1471" s="12" t="str">
        <f t="array" ref="I1471">IFERROR(INDEX(atlas!B:B,MATCH(A1471,atlas!C:C,0)),"")</f>
        <v/>
      </c>
      <c r="J1471" s="8" t="str">
        <f>IFERROR(VLOOKUP(F1471,tecnica!A:B,2,0),"")</f>
        <v/>
      </c>
      <c r="K1471" s="8" t="str">
        <f>IFERROR(VLOOKUP(J1471,tecnica!B:C,2,0),"")</f>
        <v/>
      </c>
      <c r="L1471" s="13"/>
      <c r="M1471" s="14" t="str">
        <f>IFERROR(VLOOKUP(I1471,material!A:D,4,0),"")</f>
        <v/>
      </c>
      <c r="N1471" s="14" t="str">
        <f t="shared" si="1"/>
        <v/>
      </c>
      <c r="O1471" s="15" t="str">
        <f>IFERROR(VLOOKUP(I1471,material!A:D,2,0),"")</f>
        <v/>
      </c>
    </row>
    <row r="1472">
      <c r="A1472" s="6"/>
      <c r="B1472" s="7"/>
      <c r="C1472" s="8" t="str">
        <f t="array" ref="C1472">IFERROR(INDEX(atlas!H:H,MATCH(A1472,atlas!C:C,0)),"")</f>
        <v/>
      </c>
      <c r="D1472" s="8" t="str">
        <f t="array" ref="D1472">IFERROR(INDEX(atlas!D:D,MATCH(A1472,atlas!C:C,0)),"")</f>
        <v/>
      </c>
      <c r="E1472" s="8" t="str">
        <f t="array" ref="E1472">IFERROR(INDEX(atlas!F:F,MATCH(A1472,atlas!C:C,0)),"")</f>
        <v/>
      </c>
      <c r="F1472" s="9"/>
      <c r="G1472" s="10"/>
      <c r="H1472" s="11"/>
      <c r="I1472" s="12" t="str">
        <f t="array" ref="I1472">IFERROR(INDEX(atlas!B:B,MATCH(A1472,atlas!C:C,0)),"")</f>
        <v/>
      </c>
      <c r="J1472" s="8" t="str">
        <f>IFERROR(VLOOKUP(F1472,tecnica!A:B,2,0),"")</f>
        <v/>
      </c>
      <c r="K1472" s="8" t="str">
        <f>IFERROR(VLOOKUP(J1472,tecnica!B:C,2,0),"")</f>
        <v/>
      </c>
      <c r="L1472" s="13"/>
      <c r="M1472" s="14" t="str">
        <f>IFERROR(VLOOKUP(I1472,material!A:D,4,0),"")</f>
        <v/>
      </c>
      <c r="N1472" s="14" t="str">
        <f t="shared" si="1"/>
        <v/>
      </c>
      <c r="O1472" s="15" t="str">
        <f>IFERROR(VLOOKUP(I1472,material!A:D,2,0),"")</f>
        <v/>
      </c>
    </row>
    <row r="1473">
      <c r="A1473" s="6"/>
      <c r="B1473" s="7"/>
      <c r="C1473" s="8" t="str">
        <f t="array" ref="C1473">IFERROR(INDEX(atlas!H:H,MATCH(A1473,atlas!C:C,0)),"")</f>
        <v/>
      </c>
      <c r="D1473" s="8" t="str">
        <f t="array" ref="D1473">IFERROR(INDEX(atlas!D:D,MATCH(A1473,atlas!C:C,0)),"")</f>
        <v/>
      </c>
      <c r="E1473" s="8" t="str">
        <f t="array" ref="E1473">IFERROR(INDEX(atlas!F:F,MATCH(A1473,atlas!C:C,0)),"")</f>
        <v/>
      </c>
      <c r="F1473" s="9"/>
      <c r="G1473" s="10"/>
      <c r="H1473" s="11"/>
      <c r="I1473" s="12" t="str">
        <f t="array" ref="I1473">IFERROR(INDEX(atlas!B:B,MATCH(A1473,atlas!C:C,0)),"")</f>
        <v/>
      </c>
      <c r="J1473" s="8" t="str">
        <f>IFERROR(VLOOKUP(F1473,tecnica!A:B,2,0),"")</f>
        <v/>
      </c>
      <c r="K1473" s="8" t="str">
        <f>IFERROR(VLOOKUP(J1473,tecnica!B:C,2,0),"")</f>
        <v/>
      </c>
      <c r="L1473" s="13"/>
      <c r="M1473" s="14" t="str">
        <f>IFERROR(VLOOKUP(I1473,material!A:D,4,0),"")</f>
        <v/>
      </c>
      <c r="N1473" s="14" t="str">
        <f t="shared" si="1"/>
        <v/>
      </c>
      <c r="O1473" s="15" t="str">
        <f>IFERROR(VLOOKUP(I1473,material!A:D,2,0),"")</f>
        <v/>
      </c>
    </row>
    <row r="1474">
      <c r="A1474" s="6"/>
      <c r="B1474" s="7"/>
      <c r="C1474" s="8" t="str">
        <f t="array" ref="C1474">IFERROR(INDEX(atlas!H:H,MATCH(A1474,atlas!C:C,0)),"")</f>
        <v/>
      </c>
      <c r="D1474" s="8" t="str">
        <f t="array" ref="D1474">IFERROR(INDEX(atlas!D:D,MATCH(A1474,atlas!C:C,0)),"")</f>
        <v/>
      </c>
      <c r="E1474" s="8" t="str">
        <f t="array" ref="E1474">IFERROR(INDEX(atlas!F:F,MATCH(A1474,atlas!C:C,0)),"")</f>
        <v/>
      </c>
      <c r="F1474" s="9"/>
      <c r="G1474" s="10"/>
      <c r="H1474" s="11"/>
      <c r="I1474" s="12" t="str">
        <f t="array" ref="I1474">IFERROR(INDEX(atlas!B:B,MATCH(A1474,atlas!C:C,0)),"")</f>
        <v/>
      </c>
      <c r="J1474" s="8" t="str">
        <f>IFERROR(VLOOKUP(F1474,tecnica!A:B,2,0),"")</f>
        <v/>
      </c>
      <c r="K1474" s="8" t="str">
        <f>IFERROR(VLOOKUP(J1474,tecnica!B:C,2,0),"")</f>
        <v/>
      </c>
      <c r="L1474" s="13"/>
      <c r="M1474" s="14" t="str">
        <f>IFERROR(VLOOKUP(I1474,material!A:D,4,0),"")</f>
        <v/>
      </c>
      <c r="N1474" s="14" t="str">
        <f t="shared" si="1"/>
        <v/>
      </c>
      <c r="O1474" s="15" t="str">
        <f>IFERROR(VLOOKUP(I1474,material!A:D,2,0),"")</f>
        <v/>
      </c>
    </row>
    <row r="1475">
      <c r="A1475" s="6"/>
      <c r="B1475" s="7"/>
      <c r="C1475" s="8" t="str">
        <f t="array" ref="C1475">IFERROR(INDEX(atlas!H:H,MATCH(A1475,atlas!C:C,0)),"")</f>
        <v/>
      </c>
      <c r="D1475" s="8" t="str">
        <f t="array" ref="D1475">IFERROR(INDEX(atlas!D:D,MATCH(A1475,atlas!C:C,0)),"")</f>
        <v/>
      </c>
      <c r="E1475" s="8" t="str">
        <f t="array" ref="E1475">IFERROR(INDEX(atlas!F:F,MATCH(A1475,atlas!C:C,0)),"")</f>
        <v/>
      </c>
      <c r="F1475" s="9"/>
      <c r="G1475" s="10"/>
      <c r="H1475" s="11"/>
      <c r="I1475" s="12" t="str">
        <f t="array" ref="I1475">IFERROR(INDEX(atlas!B:B,MATCH(A1475,atlas!C:C,0)),"")</f>
        <v/>
      </c>
      <c r="J1475" s="8" t="str">
        <f>IFERROR(VLOOKUP(F1475,tecnica!A:B,2,0),"")</f>
        <v/>
      </c>
      <c r="K1475" s="8" t="str">
        <f>IFERROR(VLOOKUP(J1475,tecnica!B:C,2,0),"")</f>
        <v/>
      </c>
      <c r="L1475" s="13"/>
      <c r="M1475" s="14" t="str">
        <f>IFERROR(VLOOKUP(I1475,material!A:D,4,0),"")</f>
        <v/>
      </c>
      <c r="N1475" s="14" t="str">
        <f t="shared" si="1"/>
        <v/>
      </c>
      <c r="O1475" s="15" t="str">
        <f>IFERROR(VLOOKUP(I1475,material!A:D,2,0),"")</f>
        <v/>
      </c>
    </row>
    <row r="1476">
      <c r="A1476" s="6"/>
      <c r="B1476" s="7"/>
      <c r="C1476" s="8" t="str">
        <f t="array" ref="C1476">IFERROR(INDEX(atlas!H:H,MATCH(A1476,atlas!C:C,0)),"")</f>
        <v/>
      </c>
      <c r="D1476" s="8" t="str">
        <f t="array" ref="D1476">IFERROR(INDEX(atlas!D:D,MATCH(A1476,atlas!C:C,0)),"")</f>
        <v/>
      </c>
      <c r="E1476" s="8" t="str">
        <f t="array" ref="E1476">IFERROR(INDEX(atlas!F:F,MATCH(A1476,atlas!C:C,0)),"")</f>
        <v/>
      </c>
      <c r="F1476" s="9"/>
      <c r="G1476" s="10"/>
      <c r="H1476" s="11"/>
      <c r="I1476" s="12" t="str">
        <f t="array" ref="I1476">IFERROR(INDEX(atlas!B:B,MATCH(A1476,atlas!C:C,0)),"")</f>
        <v/>
      </c>
      <c r="J1476" s="8" t="str">
        <f>IFERROR(VLOOKUP(F1476,tecnica!A:B,2,0),"")</f>
        <v/>
      </c>
      <c r="K1476" s="8" t="str">
        <f>IFERROR(VLOOKUP(J1476,tecnica!B:C,2,0),"")</f>
        <v/>
      </c>
      <c r="L1476" s="13"/>
      <c r="M1476" s="14" t="str">
        <f>IFERROR(VLOOKUP(I1476,material!A:D,4,0),"")</f>
        <v/>
      </c>
      <c r="N1476" s="14" t="str">
        <f t="shared" si="1"/>
        <v/>
      </c>
      <c r="O1476" s="15" t="str">
        <f>IFERROR(VLOOKUP(I1476,material!A:D,2,0),"")</f>
        <v/>
      </c>
    </row>
    <row r="1477">
      <c r="A1477" s="6"/>
      <c r="B1477" s="7"/>
      <c r="C1477" s="8" t="str">
        <f t="array" ref="C1477">IFERROR(INDEX(atlas!H:H,MATCH(A1477,atlas!C:C,0)),"")</f>
        <v/>
      </c>
      <c r="D1477" s="8" t="str">
        <f t="array" ref="D1477">IFERROR(INDEX(atlas!D:D,MATCH(A1477,atlas!C:C,0)),"")</f>
        <v/>
      </c>
      <c r="E1477" s="8" t="str">
        <f t="array" ref="E1477">IFERROR(INDEX(atlas!F:F,MATCH(A1477,atlas!C:C,0)),"")</f>
        <v/>
      </c>
      <c r="F1477" s="9"/>
      <c r="G1477" s="10"/>
      <c r="H1477" s="11"/>
      <c r="I1477" s="12" t="str">
        <f t="array" ref="I1477">IFERROR(INDEX(atlas!B:B,MATCH(A1477,atlas!C:C,0)),"")</f>
        <v/>
      </c>
      <c r="J1477" s="8" t="str">
        <f>IFERROR(VLOOKUP(F1477,tecnica!A:B,2,0),"")</f>
        <v/>
      </c>
      <c r="K1477" s="8" t="str">
        <f>IFERROR(VLOOKUP(J1477,tecnica!B:C,2,0),"")</f>
        <v/>
      </c>
      <c r="L1477" s="13"/>
      <c r="M1477" s="14" t="str">
        <f>IFERROR(VLOOKUP(I1477,material!A:D,4,0),"")</f>
        <v/>
      </c>
      <c r="N1477" s="14" t="str">
        <f t="shared" si="1"/>
        <v/>
      </c>
      <c r="O1477" s="15" t="str">
        <f>IFERROR(VLOOKUP(I1477,material!A:D,2,0),"")</f>
        <v/>
      </c>
    </row>
    <row r="1478">
      <c r="A1478" s="6"/>
      <c r="B1478" s="7"/>
      <c r="C1478" s="8" t="str">
        <f t="array" ref="C1478">IFERROR(INDEX(atlas!H:H,MATCH(A1478,atlas!C:C,0)),"")</f>
        <v/>
      </c>
      <c r="D1478" s="8" t="str">
        <f t="array" ref="D1478">IFERROR(INDEX(atlas!D:D,MATCH(A1478,atlas!C:C,0)),"")</f>
        <v/>
      </c>
      <c r="E1478" s="8" t="str">
        <f t="array" ref="E1478">IFERROR(INDEX(atlas!F:F,MATCH(A1478,atlas!C:C,0)),"")</f>
        <v/>
      </c>
      <c r="F1478" s="9"/>
      <c r="G1478" s="10"/>
      <c r="H1478" s="11"/>
      <c r="I1478" s="12" t="str">
        <f t="array" ref="I1478">IFERROR(INDEX(atlas!B:B,MATCH(A1478,atlas!C:C,0)),"")</f>
        <v/>
      </c>
      <c r="J1478" s="8" t="str">
        <f>IFERROR(VLOOKUP(F1478,tecnica!A:B,2,0),"")</f>
        <v/>
      </c>
      <c r="K1478" s="8" t="str">
        <f>IFERROR(VLOOKUP(J1478,tecnica!B:C,2,0),"")</f>
        <v/>
      </c>
      <c r="L1478" s="13"/>
      <c r="M1478" s="14" t="str">
        <f>IFERROR(VLOOKUP(I1478,material!A:D,4,0),"")</f>
        <v/>
      </c>
      <c r="N1478" s="14" t="str">
        <f t="shared" si="1"/>
        <v/>
      </c>
      <c r="O1478" s="15" t="str">
        <f>IFERROR(VLOOKUP(I1478,material!A:D,2,0),"")</f>
        <v/>
      </c>
    </row>
    <row r="1479">
      <c r="A1479" s="6"/>
      <c r="B1479" s="7"/>
      <c r="C1479" s="8" t="str">
        <f t="array" ref="C1479">IFERROR(INDEX(atlas!H:H,MATCH(A1479,atlas!C:C,0)),"")</f>
        <v/>
      </c>
      <c r="D1479" s="8" t="str">
        <f t="array" ref="D1479">IFERROR(INDEX(atlas!D:D,MATCH(A1479,atlas!C:C,0)),"")</f>
        <v/>
      </c>
      <c r="E1479" s="8" t="str">
        <f t="array" ref="E1479">IFERROR(INDEX(atlas!F:F,MATCH(A1479,atlas!C:C,0)),"")</f>
        <v/>
      </c>
      <c r="F1479" s="9"/>
      <c r="G1479" s="10"/>
      <c r="H1479" s="11"/>
      <c r="I1479" s="12" t="str">
        <f t="array" ref="I1479">IFERROR(INDEX(atlas!B:B,MATCH(A1479,atlas!C:C,0)),"")</f>
        <v/>
      </c>
      <c r="J1479" s="8" t="str">
        <f>IFERROR(VLOOKUP(F1479,tecnica!A:B,2,0),"")</f>
        <v/>
      </c>
      <c r="K1479" s="8" t="str">
        <f>IFERROR(VLOOKUP(J1479,tecnica!B:C,2,0),"")</f>
        <v/>
      </c>
      <c r="L1479" s="13"/>
      <c r="M1479" s="14" t="str">
        <f>IFERROR(VLOOKUP(I1479,material!A:D,4,0),"")</f>
        <v/>
      </c>
      <c r="N1479" s="14" t="str">
        <f t="shared" si="1"/>
        <v/>
      </c>
      <c r="O1479" s="15" t="str">
        <f>IFERROR(VLOOKUP(I1479,material!A:D,2,0),"")</f>
        <v/>
      </c>
    </row>
    <row r="1480">
      <c r="A1480" s="6"/>
      <c r="B1480" s="7"/>
      <c r="C1480" s="8" t="str">
        <f t="array" ref="C1480">IFERROR(INDEX(atlas!H:H,MATCH(A1480,atlas!C:C,0)),"")</f>
        <v/>
      </c>
      <c r="D1480" s="8" t="str">
        <f t="array" ref="D1480">IFERROR(INDEX(atlas!D:D,MATCH(A1480,atlas!C:C,0)),"")</f>
        <v/>
      </c>
      <c r="E1480" s="8" t="str">
        <f t="array" ref="E1480">IFERROR(INDEX(atlas!F:F,MATCH(A1480,atlas!C:C,0)),"")</f>
        <v/>
      </c>
      <c r="F1480" s="9"/>
      <c r="G1480" s="10"/>
      <c r="H1480" s="11"/>
      <c r="I1480" s="12" t="str">
        <f t="array" ref="I1480">IFERROR(INDEX(atlas!B:B,MATCH(A1480,atlas!C:C,0)),"")</f>
        <v/>
      </c>
      <c r="J1480" s="8" t="str">
        <f>IFERROR(VLOOKUP(F1480,tecnica!A:B,2,0),"")</f>
        <v/>
      </c>
      <c r="K1480" s="8" t="str">
        <f>IFERROR(VLOOKUP(J1480,tecnica!B:C,2,0),"")</f>
        <v/>
      </c>
      <c r="L1480" s="13"/>
      <c r="M1480" s="14" t="str">
        <f>IFERROR(VLOOKUP(I1480,material!A:D,4,0),"")</f>
        <v/>
      </c>
      <c r="N1480" s="14" t="str">
        <f t="shared" si="1"/>
        <v/>
      </c>
      <c r="O1480" s="15" t="str">
        <f>IFERROR(VLOOKUP(I1480,material!A:D,2,0),"")</f>
        <v/>
      </c>
    </row>
    <row r="1481">
      <c r="A1481" s="6"/>
      <c r="B1481" s="7"/>
      <c r="C1481" s="8" t="str">
        <f t="array" ref="C1481">IFERROR(INDEX(atlas!H:H,MATCH(A1481,atlas!C:C,0)),"")</f>
        <v/>
      </c>
      <c r="D1481" s="8" t="str">
        <f t="array" ref="D1481">IFERROR(INDEX(atlas!D:D,MATCH(A1481,atlas!C:C,0)),"")</f>
        <v/>
      </c>
      <c r="E1481" s="8" t="str">
        <f t="array" ref="E1481">IFERROR(INDEX(atlas!F:F,MATCH(A1481,atlas!C:C,0)),"")</f>
        <v/>
      </c>
      <c r="F1481" s="9"/>
      <c r="G1481" s="10"/>
      <c r="H1481" s="11"/>
      <c r="I1481" s="12" t="str">
        <f t="array" ref="I1481">IFERROR(INDEX(atlas!B:B,MATCH(A1481,atlas!C:C,0)),"")</f>
        <v/>
      </c>
      <c r="J1481" s="8" t="str">
        <f>IFERROR(VLOOKUP(F1481,tecnica!A:B,2,0),"")</f>
        <v/>
      </c>
      <c r="K1481" s="8" t="str">
        <f>IFERROR(VLOOKUP(J1481,tecnica!B:C,2,0),"")</f>
        <v/>
      </c>
      <c r="L1481" s="13"/>
      <c r="M1481" s="14" t="str">
        <f>IFERROR(VLOOKUP(I1481,material!A:D,4,0),"")</f>
        <v/>
      </c>
      <c r="N1481" s="14" t="str">
        <f t="shared" si="1"/>
        <v/>
      </c>
      <c r="O1481" s="15" t="str">
        <f>IFERROR(VLOOKUP(I1481,material!A:D,2,0),"")</f>
        <v/>
      </c>
    </row>
    <row r="1482">
      <c r="A1482" s="6"/>
      <c r="B1482" s="7"/>
      <c r="C1482" s="8" t="str">
        <f t="array" ref="C1482">IFERROR(INDEX(atlas!H:H,MATCH(A1482,atlas!C:C,0)),"")</f>
        <v/>
      </c>
      <c r="D1482" s="8" t="str">
        <f t="array" ref="D1482">IFERROR(INDEX(atlas!D:D,MATCH(A1482,atlas!C:C,0)),"")</f>
        <v/>
      </c>
      <c r="E1482" s="8" t="str">
        <f t="array" ref="E1482">IFERROR(INDEX(atlas!F:F,MATCH(A1482,atlas!C:C,0)),"")</f>
        <v/>
      </c>
      <c r="F1482" s="9"/>
      <c r="G1482" s="10"/>
      <c r="H1482" s="11"/>
      <c r="I1482" s="12" t="str">
        <f t="array" ref="I1482">IFERROR(INDEX(atlas!B:B,MATCH(A1482,atlas!C:C,0)),"")</f>
        <v/>
      </c>
      <c r="J1482" s="8" t="str">
        <f>IFERROR(VLOOKUP(F1482,tecnica!A:B,2,0),"")</f>
        <v/>
      </c>
      <c r="K1482" s="8" t="str">
        <f>IFERROR(VLOOKUP(J1482,tecnica!B:C,2,0),"")</f>
        <v/>
      </c>
      <c r="L1482" s="13"/>
      <c r="M1482" s="14" t="str">
        <f>IFERROR(VLOOKUP(I1482,material!A:D,4,0),"")</f>
        <v/>
      </c>
      <c r="N1482" s="14" t="str">
        <f t="shared" si="1"/>
        <v/>
      </c>
      <c r="O1482" s="15" t="str">
        <f>IFERROR(VLOOKUP(I1482,material!A:D,2,0),"")</f>
        <v/>
      </c>
    </row>
    <row r="1483">
      <c r="A1483" s="6"/>
      <c r="B1483" s="7"/>
      <c r="C1483" s="8" t="str">
        <f t="array" ref="C1483">IFERROR(INDEX(atlas!H:H,MATCH(A1483,atlas!C:C,0)),"")</f>
        <v/>
      </c>
      <c r="D1483" s="8" t="str">
        <f t="array" ref="D1483">IFERROR(INDEX(atlas!D:D,MATCH(A1483,atlas!C:C,0)),"")</f>
        <v/>
      </c>
      <c r="E1483" s="8" t="str">
        <f t="array" ref="E1483">IFERROR(INDEX(atlas!F:F,MATCH(A1483,atlas!C:C,0)),"")</f>
        <v/>
      </c>
      <c r="F1483" s="9"/>
      <c r="G1483" s="10"/>
      <c r="H1483" s="11"/>
      <c r="I1483" s="12" t="str">
        <f t="array" ref="I1483">IFERROR(INDEX(atlas!B:B,MATCH(A1483,atlas!C:C,0)),"")</f>
        <v/>
      </c>
      <c r="J1483" s="8" t="str">
        <f>IFERROR(VLOOKUP(F1483,tecnica!A:B,2,0),"")</f>
        <v/>
      </c>
      <c r="K1483" s="8" t="str">
        <f>IFERROR(VLOOKUP(J1483,tecnica!B:C,2,0),"")</f>
        <v/>
      </c>
      <c r="L1483" s="13"/>
      <c r="M1483" s="14" t="str">
        <f>IFERROR(VLOOKUP(I1483,material!A:D,4,0),"")</f>
        <v/>
      </c>
      <c r="N1483" s="14" t="str">
        <f t="shared" si="1"/>
        <v/>
      </c>
      <c r="O1483" s="15" t="str">
        <f>IFERROR(VLOOKUP(I1483,material!A:D,2,0),"")</f>
        <v/>
      </c>
    </row>
    <row r="1484">
      <c r="A1484" s="6"/>
      <c r="B1484" s="7"/>
      <c r="C1484" s="8" t="str">
        <f t="array" ref="C1484">IFERROR(INDEX(atlas!H:H,MATCH(A1484,atlas!C:C,0)),"")</f>
        <v/>
      </c>
      <c r="D1484" s="8" t="str">
        <f t="array" ref="D1484">IFERROR(INDEX(atlas!D:D,MATCH(A1484,atlas!C:C,0)),"")</f>
        <v/>
      </c>
      <c r="E1484" s="8" t="str">
        <f t="array" ref="E1484">IFERROR(INDEX(atlas!F:F,MATCH(A1484,atlas!C:C,0)),"")</f>
        <v/>
      </c>
      <c r="F1484" s="9"/>
      <c r="G1484" s="10"/>
      <c r="H1484" s="11"/>
      <c r="I1484" s="12" t="str">
        <f t="array" ref="I1484">IFERROR(INDEX(atlas!B:B,MATCH(A1484,atlas!C:C,0)),"")</f>
        <v/>
      </c>
      <c r="J1484" s="8" t="str">
        <f>IFERROR(VLOOKUP(F1484,tecnica!A:B,2,0),"")</f>
        <v/>
      </c>
      <c r="K1484" s="8" t="str">
        <f>IFERROR(VLOOKUP(J1484,tecnica!B:C,2,0),"")</f>
        <v/>
      </c>
      <c r="L1484" s="13"/>
      <c r="M1484" s="14" t="str">
        <f>IFERROR(VLOOKUP(I1484,material!A:D,4,0),"")</f>
        <v/>
      </c>
      <c r="N1484" s="14" t="str">
        <f t="shared" si="1"/>
        <v/>
      </c>
      <c r="O1484" s="15" t="str">
        <f>IFERROR(VLOOKUP(I1484,material!A:D,2,0),"")</f>
        <v/>
      </c>
    </row>
    <row r="1485">
      <c r="A1485" s="6"/>
      <c r="B1485" s="7"/>
      <c r="C1485" s="8" t="str">
        <f t="array" ref="C1485">IFERROR(INDEX(atlas!H:H,MATCH(A1485,atlas!C:C,0)),"")</f>
        <v/>
      </c>
      <c r="D1485" s="8" t="str">
        <f t="array" ref="D1485">IFERROR(INDEX(atlas!D:D,MATCH(A1485,atlas!C:C,0)),"")</f>
        <v/>
      </c>
      <c r="E1485" s="8" t="str">
        <f t="array" ref="E1485">IFERROR(INDEX(atlas!F:F,MATCH(A1485,atlas!C:C,0)),"")</f>
        <v/>
      </c>
      <c r="F1485" s="9"/>
      <c r="G1485" s="10"/>
      <c r="H1485" s="11"/>
      <c r="I1485" s="12" t="str">
        <f t="array" ref="I1485">IFERROR(INDEX(atlas!B:B,MATCH(A1485,atlas!C:C,0)),"")</f>
        <v/>
      </c>
      <c r="J1485" s="8" t="str">
        <f>IFERROR(VLOOKUP(F1485,tecnica!A:B,2,0),"")</f>
        <v/>
      </c>
      <c r="K1485" s="8" t="str">
        <f>IFERROR(VLOOKUP(J1485,tecnica!B:C,2,0),"")</f>
        <v/>
      </c>
      <c r="L1485" s="13"/>
      <c r="M1485" s="14" t="str">
        <f>IFERROR(VLOOKUP(I1485,material!A:D,4,0),"")</f>
        <v/>
      </c>
      <c r="N1485" s="14" t="str">
        <f t="shared" si="1"/>
        <v/>
      </c>
      <c r="O1485" s="15" t="str">
        <f>IFERROR(VLOOKUP(I1485,material!A:D,2,0),"")</f>
        <v/>
      </c>
    </row>
    <row r="1486">
      <c r="A1486" s="6"/>
      <c r="B1486" s="7"/>
      <c r="C1486" s="8" t="str">
        <f t="array" ref="C1486">IFERROR(INDEX(atlas!H:H,MATCH(A1486,atlas!C:C,0)),"")</f>
        <v/>
      </c>
      <c r="D1486" s="8" t="str">
        <f t="array" ref="D1486">IFERROR(INDEX(atlas!D:D,MATCH(A1486,atlas!C:C,0)),"")</f>
        <v/>
      </c>
      <c r="E1486" s="8" t="str">
        <f t="array" ref="E1486">IFERROR(INDEX(atlas!F:F,MATCH(A1486,atlas!C:C,0)),"")</f>
        <v/>
      </c>
      <c r="F1486" s="9"/>
      <c r="G1486" s="10"/>
      <c r="H1486" s="11"/>
      <c r="I1486" s="12" t="str">
        <f t="array" ref="I1486">IFERROR(INDEX(atlas!B:B,MATCH(A1486,atlas!C:C,0)),"")</f>
        <v/>
      </c>
      <c r="J1486" s="8" t="str">
        <f>IFERROR(VLOOKUP(F1486,tecnica!A:B,2,0),"")</f>
        <v/>
      </c>
      <c r="K1486" s="8" t="str">
        <f>IFERROR(VLOOKUP(J1486,tecnica!B:C,2,0),"")</f>
        <v/>
      </c>
      <c r="L1486" s="13"/>
      <c r="M1486" s="14" t="str">
        <f>IFERROR(VLOOKUP(I1486,material!A:D,4,0),"")</f>
        <v/>
      </c>
      <c r="N1486" s="14" t="str">
        <f t="shared" si="1"/>
        <v/>
      </c>
      <c r="O1486" s="15" t="str">
        <f>IFERROR(VLOOKUP(I1486,material!A:D,2,0),"")</f>
        <v/>
      </c>
    </row>
    <row r="1487">
      <c r="A1487" s="6"/>
      <c r="B1487" s="7"/>
      <c r="C1487" s="8" t="str">
        <f t="array" ref="C1487">IFERROR(INDEX(atlas!H:H,MATCH(A1487,atlas!C:C,0)),"")</f>
        <v/>
      </c>
      <c r="D1487" s="8" t="str">
        <f t="array" ref="D1487">IFERROR(INDEX(atlas!D:D,MATCH(A1487,atlas!C:C,0)),"")</f>
        <v/>
      </c>
      <c r="E1487" s="8" t="str">
        <f t="array" ref="E1487">IFERROR(INDEX(atlas!F:F,MATCH(A1487,atlas!C:C,0)),"")</f>
        <v/>
      </c>
      <c r="F1487" s="9"/>
      <c r="G1487" s="10"/>
      <c r="H1487" s="11"/>
      <c r="I1487" s="12" t="str">
        <f t="array" ref="I1487">IFERROR(INDEX(atlas!B:B,MATCH(A1487,atlas!C:C,0)),"")</f>
        <v/>
      </c>
      <c r="J1487" s="8" t="str">
        <f>IFERROR(VLOOKUP(F1487,tecnica!A:B,2,0),"")</f>
        <v/>
      </c>
      <c r="K1487" s="8" t="str">
        <f>IFERROR(VLOOKUP(J1487,tecnica!B:C,2,0),"")</f>
        <v/>
      </c>
      <c r="L1487" s="13"/>
      <c r="M1487" s="14" t="str">
        <f>IFERROR(VLOOKUP(I1487,material!A:D,4,0),"")</f>
        <v/>
      </c>
      <c r="N1487" s="14" t="str">
        <f t="shared" si="1"/>
        <v/>
      </c>
      <c r="O1487" s="15" t="str">
        <f>IFERROR(VLOOKUP(I1487,material!A:D,2,0),"")</f>
        <v/>
      </c>
    </row>
    <row r="1488">
      <c r="A1488" s="6"/>
      <c r="B1488" s="7"/>
      <c r="C1488" s="8" t="str">
        <f t="array" ref="C1488">IFERROR(INDEX(atlas!H:H,MATCH(A1488,atlas!C:C,0)),"")</f>
        <v/>
      </c>
      <c r="D1488" s="8" t="str">
        <f t="array" ref="D1488">IFERROR(INDEX(atlas!D:D,MATCH(A1488,atlas!C:C,0)),"")</f>
        <v/>
      </c>
      <c r="E1488" s="8" t="str">
        <f t="array" ref="E1488">IFERROR(INDEX(atlas!F:F,MATCH(A1488,atlas!C:C,0)),"")</f>
        <v/>
      </c>
      <c r="F1488" s="9"/>
      <c r="G1488" s="10"/>
      <c r="H1488" s="11"/>
      <c r="I1488" s="12" t="str">
        <f t="array" ref="I1488">IFERROR(INDEX(atlas!B:B,MATCH(A1488,atlas!C:C,0)),"")</f>
        <v/>
      </c>
      <c r="J1488" s="8" t="str">
        <f>IFERROR(VLOOKUP(F1488,tecnica!A:B,2,0),"")</f>
        <v/>
      </c>
      <c r="K1488" s="8" t="str">
        <f>IFERROR(VLOOKUP(J1488,tecnica!B:C,2,0),"")</f>
        <v/>
      </c>
      <c r="L1488" s="13"/>
      <c r="M1488" s="14" t="str">
        <f>IFERROR(VLOOKUP(I1488,material!A:D,4,0),"")</f>
        <v/>
      </c>
      <c r="N1488" s="14" t="str">
        <f t="shared" si="1"/>
        <v/>
      </c>
      <c r="O1488" s="15" t="str">
        <f>IFERROR(VLOOKUP(I1488,material!A:D,2,0),"")</f>
        <v/>
      </c>
    </row>
    <row r="1489">
      <c r="A1489" s="6"/>
      <c r="B1489" s="7"/>
      <c r="C1489" s="8" t="str">
        <f t="array" ref="C1489">IFERROR(INDEX(atlas!H:H,MATCH(A1489,atlas!C:C,0)),"")</f>
        <v/>
      </c>
      <c r="D1489" s="8" t="str">
        <f t="array" ref="D1489">IFERROR(INDEX(atlas!D:D,MATCH(A1489,atlas!C:C,0)),"")</f>
        <v/>
      </c>
      <c r="E1489" s="8" t="str">
        <f t="array" ref="E1489">IFERROR(INDEX(atlas!F:F,MATCH(A1489,atlas!C:C,0)),"")</f>
        <v/>
      </c>
      <c r="F1489" s="9"/>
      <c r="G1489" s="10"/>
      <c r="H1489" s="11"/>
      <c r="I1489" s="12" t="str">
        <f t="array" ref="I1489">IFERROR(INDEX(atlas!B:B,MATCH(A1489,atlas!C:C,0)),"")</f>
        <v/>
      </c>
      <c r="J1489" s="8" t="str">
        <f>IFERROR(VLOOKUP(F1489,tecnica!A:B,2,0),"")</f>
        <v/>
      </c>
      <c r="K1489" s="8" t="str">
        <f>IFERROR(VLOOKUP(J1489,tecnica!B:C,2,0),"")</f>
        <v/>
      </c>
      <c r="L1489" s="13"/>
      <c r="M1489" s="14" t="str">
        <f>IFERROR(VLOOKUP(I1489,material!A:D,4,0),"")</f>
        <v/>
      </c>
      <c r="N1489" s="14" t="str">
        <f t="shared" si="1"/>
        <v/>
      </c>
      <c r="O1489" s="15" t="str">
        <f>IFERROR(VLOOKUP(I1489,material!A:D,2,0),"")</f>
        <v/>
      </c>
    </row>
    <row r="1490">
      <c r="A1490" s="6"/>
      <c r="B1490" s="7"/>
      <c r="C1490" s="8" t="str">
        <f t="array" ref="C1490">IFERROR(INDEX(atlas!H:H,MATCH(A1490,atlas!C:C,0)),"")</f>
        <v/>
      </c>
      <c r="D1490" s="8" t="str">
        <f t="array" ref="D1490">IFERROR(INDEX(atlas!D:D,MATCH(A1490,atlas!C:C,0)),"")</f>
        <v/>
      </c>
      <c r="E1490" s="8" t="str">
        <f t="array" ref="E1490">IFERROR(INDEX(atlas!F:F,MATCH(A1490,atlas!C:C,0)),"")</f>
        <v/>
      </c>
      <c r="F1490" s="9"/>
      <c r="G1490" s="10"/>
      <c r="H1490" s="11"/>
      <c r="I1490" s="12" t="str">
        <f t="array" ref="I1490">IFERROR(INDEX(atlas!B:B,MATCH(A1490,atlas!C:C,0)),"")</f>
        <v/>
      </c>
      <c r="J1490" s="8" t="str">
        <f>IFERROR(VLOOKUP(F1490,tecnica!A:B,2,0),"")</f>
        <v/>
      </c>
      <c r="K1490" s="8" t="str">
        <f>IFERROR(VLOOKUP(J1490,tecnica!B:C,2,0),"")</f>
        <v/>
      </c>
      <c r="L1490" s="13"/>
      <c r="M1490" s="14" t="str">
        <f>IFERROR(VLOOKUP(I1490,material!A:D,4,0),"")</f>
        <v/>
      </c>
      <c r="N1490" s="14" t="str">
        <f t="shared" si="1"/>
        <v/>
      </c>
      <c r="O1490" s="15" t="str">
        <f>IFERROR(VLOOKUP(I1490,material!A:D,2,0),"")</f>
        <v/>
      </c>
    </row>
    <row r="1491">
      <c r="A1491" s="6"/>
      <c r="B1491" s="7"/>
      <c r="C1491" s="8" t="str">
        <f t="array" ref="C1491">IFERROR(INDEX(atlas!H:H,MATCH(A1491,atlas!C:C,0)),"")</f>
        <v/>
      </c>
      <c r="D1491" s="8" t="str">
        <f t="array" ref="D1491">IFERROR(INDEX(atlas!D:D,MATCH(A1491,atlas!C:C,0)),"")</f>
        <v/>
      </c>
      <c r="E1491" s="8" t="str">
        <f t="array" ref="E1491">IFERROR(INDEX(atlas!F:F,MATCH(A1491,atlas!C:C,0)),"")</f>
        <v/>
      </c>
      <c r="F1491" s="9"/>
      <c r="G1491" s="10"/>
      <c r="H1491" s="11"/>
      <c r="I1491" s="12" t="str">
        <f t="array" ref="I1491">IFERROR(INDEX(atlas!B:B,MATCH(A1491,atlas!C:C,0)),"")</f>
        <v/>
      </c>
      <c r="J1491" s="8" t="str">
        <f>IFERROR(VLOOKUP(F1491,tecnica!A:B,2,0),"")</f>
        <v/>
      </c>
      <c r="K1491" s="8" t="str">
        <f>IFERROR(VLOOKUP(J1491,tecnica!B:C,2,0),"")</f>
        <v/>
      </c>
      <c r="L1491" s="13"/>
      <c r="M1491" s="14" t="str">
        <f>IFERROR(VLOOKUP(I1491,material!A:D,4,0),"")</f>
        <v/>
      </c>
      <c r="N1491" s="14" t="str">
        <f t="shared" si="1"/>
        <v/>
      </c>
      <c r="O1491" s="15" t="str">
        <f>IFERROR(VLOOKUP(I1491,material!A:D,2,0),"")</f>
        <v/>
      </c>
    </row>
    <row r="1492">
      <c r="A1492" s="6"/>
      <c r="B1492" s="7"/>
      <c r="C1492" s="8" t="str">
        <f t="array" ref="C1492">IFERROR(INDEX(atlas!H:H,MATCH(A1492,atlas!C:C,0)),"")</f>
        <v/>
      </c>
      <c r="D1492" s="8" t="str">
        <f t="array" ref="D1492">IFERROR(INDEX(atlas!D:D,MATCH(A1492,atlas!C:C,0)),"")</f>
        <v/>
      </c>
      <c r="E1492" s="8" t="str">
        <f t="array" ref="E1492">IFERROR(INDEX(atlas!F:F,MATCH(A1492,atlas!C:C,0)),"")</f>
        <v/>
      </c>
      <c r="F1492" s="9"/>
      <c r="G1492" s="10"/>
      <c r="H1492" s="11"/>
      <c r="I1492" s="12" t="str">
        <f t="array" ref="I1492">IFERROR(INDEX(atlas!B:B,MATCH(A1492,atlas!C:C,0)),"")</f>
        <v/>
      </c>
      <c r="J1492" s="8" t="str">
        <f>IFERROR(VLOOKUP(F1492,tecnica!A:B,2,0),"")</f>
        <v/>
      </c>
      <c r="K1492" s="8" t="str">
        <f>IFERROR(VLOOKUP(J1492,tecnica!B:C,2,0),"")</f>
        <v/>
      </c>
      <c r="L1492" s="13"/>
      <c r="M1492" s="14" t="str">
        <f>IFERROR(VLOOKUP(I1492,material!A:D,4,0),"")</f>
        <v/>
      </c>
      <c r="N1492" s="14" t="str">
        <f t="shared" si="1"/>
        <v/>
      </c>
      <c r="O1492" s="15" t="str">
        <f>IFERROR(VLOOKUP(I1492,material!A:D,2,0),"")</f>
        <v/>
      </c>
    </row>
    <row r="1493">
      <c r="A1493" s="6"/>
      <c r="B1493" s="7"/>
      <c r="C1493" s="8" t="str">
        <f t="array" ref="C1493">IFERROR(INDEX(atlas!H:H,MATCH(A1493,atlas!C:C,0)),"")</f>
        <v/>
      </c>
      <c r="D1493" s="8" t="str">
        <f t="array" ref="D1493">IFERROR(INDEX(atlas!D:D,MATCH(A1493,atlas!C:C,0)),"")</f>
        <v/>
      </c>
      <c r="E1493" s="8" t="str">
        <f t="array" ref="E1493">IFERROR(INDEX(atlas!F:F,MATCH(A1493,atlas!C:C,0)),"")</f>
        <v/>
      </c>
      <c r="F1493" s="9"/>
      <c r="G1493" s="10"/>
      <c r="H1493" s="11"/>
      <c r="I1493" s="12" t="str">
        <f t="array" ref="I1493">IFERROR(INDEX(atlas!B:B,MATCH(A1493,atlas!C:C,0)),"")</f>
        <v/>
      </c>
      <c r="J1493" s="8" t="str">
        <f>IFERROR(VLOOKUP(F1493,tecnica!A:B,2,0),"")</f>
        <v/>
      </c>
      <c r="K1493" s="8" t="str">
        <f>IFERROR(VLOOKUP(J1493,tecnica!B:C,2,0),"")</f>
        <v/>
      </c>
      <c r="L1493" s="13"/>
      <c r="M1493" s="14" t="str">
        <f>IFERROR(VLOOKUP(I1493,material!A:D,4,0),"")</f>
        <v/>
      </c>
      <c r="N1493" s="14" t="str">
        <f t="shared" si="1"/>
        <v/>
      </c>
      <c r="O1493" s="15" t="str">
        <f>IFERROR(VLOOKUP(I1493,material!A:D,2,0),"")</f>
        <v/>
      </c>
    </row>
    <row r="1494">
      <c r="A1494" s="6"/>
      <c r="B1494" s="7"/>
      <c r="C1494" s="8" t="str">
        <f t="array" ref="C1494">IFERROR(INDEX(atlas!H:H,MATCH(A1494,atlas!C:C,0)),"")</f>
        <v/>
      </c>
      <c r="D1494" s="8" t="str">
        <f t="array" ref="D1494">IFERROR(INDEX(atlas!D:D,MATCH(A1494,atlas!C:C,0)),"")</f>
        <v/>
      </c>
      <c r="E1494" s="8" t="str">
        <f t="array" ref="E1494">IFERROR(INDEX(atlas!F:F,MATCH(A1494,atlas!C:C,0)),"")</f>
        <v/>
      </c>
      <c r="F1494" s="9"/>
      <c r="G1494" s="10"/>
      <c r="H1494" s="11"/>
      <c r="I1494" s="12" t="str">
        <f t="array" ref="I1494">IFERROR(INDEX(atlas!B:B,MATCH(A1494,atlas!C:C,0)),"")</f>
        <v/>
      </c>
      <c r="J1494" s="8" t="str">
        <f>IFERROR(VLOOKUP(F1494,tecnica!A:B,2,0),"")</f>
        <v/>
      </c>
      <c r="K1494" s="8" t="str">
        <f>IFERROR(VLOOKUP(J1494,tecnica!B:C,2,0),"")</f>
        <v/>
      </c>
      <c r="L1494" s="13"/>
      <c r="M1494" s="14" t="str">
        <f>IFERROR(VLOOKUP(I1494,material!A:D,4,0),"")</f>
        <v/>
      </c>
      <c r="N1494" s="14" t="str">
        <f t="shared" si="1"/>
        <v/>
      </c>
      <c r="O1494" s="15" t="str">
        <f>IFERROR(VLOOKUP(I1494,material!A:D,2,0),"")</f>
        <v/>
      </c>
    </row>
    <row r="1495">
      <c r="A1495" s="6"/>
      <c r="B1495" s="7"/>
      <c r="C1495" s="8" t="str">
        <f t="array" ref="C1495">IFERROR(INDEX(atlas!H:H,MATCH(A1495,atlas!C:C,0)),"")</f>
        <v/>
      </c>
      <c r="D1495" s="8" t="str">
        <f t="array" ref="D1495">IFERROR(INDEX(atlas!D:D,MATCH(A1495,atlas!C:C,0)),"")</f>
        <v/>
      </c>
      <c r="E1495" s="8" t="str">
        <f t="array" ref="E1495">IFERROR(INDEX(atlas!F:F,MATCH(A1495,atlas!C:C,0)),"")</f>
        <v/>
      </c>
      <c r="F1495" s="9"/>
      <c r="G1495" s="10"/>
      <c r="H1495" s="11"/>
      <c r="I1495" s="12" t="str">
        <f t="array" ref="I1495">IFERROR(INDEX(atlas!B:B,MATCH(A1495,atlas!C:C,0)),"")</f>
        <v/>
      </c>
      <c r="J1495" s="8" t="str">
        <f>IFERROR(VLOOKUP(F1495,tecnica!A:B,2,0),"")</f>
        <v/>
      </c>
      <c r="K1495" s="8" t="str">
        <f>IFERROR(VLOOKUP(J1495,tecnica!B:C,2,0),"")</f>
        <v/>
      </c>
      <c r="L1495" s="13"/>
      <c r="M1495" s="14" t="str">
        <f>IFERROR(VLOOKUP(I1495,material!A:D,4,0),"")</f>
        <v/>
      </c>
      <c r="N1495" s="14" t="str">
        <f t="shared" si="1"/>
        <v/>
      </c>
      <c r="O1495" s="15" t="str">
        <f>IFERROR(VLOOKUP(I1495,material!A:D,2,0),"")</f>
        <v/>
      </c>
    </row>
    <row r="1496">
      <c r="A1496" s="6"/>
      <c r="B1496" s="7"/>
      <c r="C1496" s="8" t="str">
        <f t="array" ref="C1496">IFERROR(INDEX(atlas!H:H,MATCH(A1496,atlas!C:C,0)),"")</f>
        <v/>
      </c>
      <c r="D1496" s="8" t="str">
        <f t="array" ref="D1496">IFERROR(INDEX(atlas!D:D,MATCH(A1496,atlas!C:C,0)),"")</f>
        <v/>
      </c>
      <c r="E1496" s="8" t="str">
        <f t="array" ref="E1496">IFERROR(INDEX(atlas!F:F,MATCH(A1496,atlas!C:C,0)),"")</f>
        <v/>
      </c>
      <c r="F1496" s="9"/>
      <c r="G1496" s="10"/>
      <c r="H1496" s="11"/>
      <c r="I1496" s="12" t="str">
        <f t="array" ref="I1496">IFERROR(INDEX(atlas!B:B,MATCH(A1496,atlas!C:C,0)),"")</f>
        <v/>
      </c>
      <c r="J1496" s="8" t="str">
        <f>IFERROR(VLOOKUP(F1496,tecnica!A:B,2,0),"")</f>
        <v/>
      </c>
      <c r="K1496" s="8" t="str">
        <f>IFERROR(VLOOKUP(J1496,tecnica!B:C,2,0),"")</f>
        <v/>
      </c>
      <c r="L1496" s="13"/>
      <c r="M1496" s="14" t="str">
        <f>IFERROR(VLOOKUP(I1496,material!A:D,4,0),"")</f>
        <v/>
      </c>
      <c r="N1496" s="14" t="str">
        <f t="shared" si="1"/>
        <v/>
      </c>
      <c r="O1496" s="15" t="str">
        <f>IFERROR(VLOOKUP(I1496,material!A:D,2,0),"")</f>
        <v/>
      </c>
    </row>
    <row r="1497">
      <c r="A1497" s="6"/>
      <c r="B1497" s="7"/>
      <c r="C1497" s="8" t="str">
        <f t="array" ref="C1497">IFERROR(INDEX(atlas!H:H,MATCH(A1497,atlas!C:C,0)),"")</f>
        <v/>
      </c>
      <c r="D1497" s="8" t="str">
        <f t="array" ref="D1497">IFERROR(INDEX(atlas!D:D,MATCH(A1497,atlas!C:C,0)),"")</f>
        <v/>
      </c>
      <c r="E1497" s="8" t="str">
        <f t="array" ref="E1497">IFERROR(INDEX(atlas!F:F,MATCH(A1497,atlas!C:C,0)),"")</f>
        <v/>
      </c>
      <c r="F1497" s="9"/>
      <c r="G1497" s="10"/>
      <c r="H1497" s="11"/>
      <c r="I1497" s="12" t="str">
        <f t="array" ref="I1497">IFERROR(INDEX(atlas!B:B,MATCH(A1497,atlas!C:C,0)),"")</f>
        <v/>
      </c>
      <c r="J1497" s="8" t="str">
        <f>IFERROR(VLOOKUP(F1497,tecnica!A:B,2,0),"")</f>
        <v/>
      </c>
      <c r="K1497" s="8" t="str">
        <f>IFERROR(VLOOKUP(J1497,tecnica!B:C,2,0),"")</f>
        <v/>
      </c>
      <c r="L1497" s="13"/>
      <c r="M1497" s="14" t="str">
        <f>IFERROR(VLOOKUP(I1497,material!A:D,4,0),"")</f>
        <v/>
      </c>
      <c r="N1497" s="14" t="str">
        <f t="shared" si="1"/>
        <v/>
      </c>
      <c r="O1497" s="15" t="str">
        <f>IFERROR(VLOOKUP(I1497,material!A:D,2,0),"")</f>
        <v/>
      </c>
    </row>
    <row r="1498">
      <c r="A1498" s="6"/>
      <c r="B1498" s="7"/>
      <c r="C1498" s="8" t="str">
        <f t="array" ref="C1498">IFERROR(INDEX(atlas!H:H,MATCH(A1498,atlas!C:C,0)),"")</f>
        <v/>
      </c>
      <c r="D1498" s="8" t="str">
        <f t="array" ref="D1498">IFERROR(INDEX(atlas!D:D,MATCH(A1498,atlas!C:C,0)),"")</f>
        <v/>
      </c>
      <c r="E1498" s="8" t="str">
        <f t="array" ref="E1498">IFERROR(INDEX(atlas!F:F,MATCH(A1498,atlas!C:C,0)),"")</f>
        <v/>
      </c>
      <c r="F1498" s="9"/>
      <c r="G1498" s="10"/>
      <c r="H1498" s="11"/>
      <c r="I1498" s="12" t="str">
        <f t="array" ref="I1498">IFERROR(INDEX(atlas!B:B,MATCH(A1498,atlas!C:C,0)),"")</f>
        <v/>
      </c>
      <c r="J1498" s="8" t="str">
        <f>IFERROR(VLOOKUP(F1498,tecnica!A:B,2,0),"")</f>
        <v/>
      </c>
      <c r="K1498" s="8" t="str">
        <f>IFERROR(VLOOKUP(J1498,tecnica!B:C,2,0),"")</f>
        <v/>
      </c>
      <c r="L1498" s="13"/>
      <c r="M1498" s="14" t="str">
        <f>IFERROR(VLOOKUP(I1498,material!A:D,4,0),"")</f>
        <v/>
      </c>
      <c r="N1498" s="14" t="str">
        <f t="shared" si="1"/>
        <v/>
      </c>
      <c r="O1498" s="15" t="str">
        <f>IFERROR(VLOOKUP(I1498,material!A:D,2,0),"")</f>
        <v/>
      </c>
    </row>
    <row r="1499">
      <c r="A1499" s="6"/>
      <c r="B1499" s="7"/>
      <c r="C1499" s="8" t="str">
        <f t="array" ref="C1499">IFERROR(INDEX(atlas!H:H,MATCH(A1499,atlas!C:C,0)),"")</f>
        <v/>
      </c>
      <c r="D1499" s="8" t="str">
        <f t="array" ref="D1499">IFERROR(INDEX(atlas!D:D,MATCH(A1499,atlas!C:C,0)),"")</f>
        <v/>
      </c>
      <c r="E1499" s="8" t="str">
        <f t="array" ref="E1499">IFERROR(INDEX(atlas!F:F,MATCH(A1499,atlas!C:C,0)),"")</f>
        <v/>
      </c>
      <c r="F1499" s="9"/>
      <c r="G1499" s="10"/>
      <c r="H1499" s="11"/>
      <c r="I1499" s="12" t="str">
        <f t="array" ref="I1499">IFERROR(INDEX(atlas!B:B,MATCH(A1499,atlas!C:C,0)),"")</f>
        <v/>
      </c>
      <c r="J1499" s="8" t="str">
        <f>IFERROR(VLOOKUP(F1499,tecnica!A:B,2,0),"")</f>
        <v/>
      </c>
      <c r="K1499" s="8" t="str">
        <f>IFERROR(VLOOKUP(J1499,tecnica!B:C,2,0),"")</f>
        <v/>
      </c>
      <c r="L1499" s="13"/>
      <c r="M1499" s="14" t="str">
        <f>IFERROR(VLOOKUP(I1499,material!A:D,4,0),"")</f>
        <v/>
      </c>
      <c r="N1499" s="14" t="str">
        <f t="shared" si="1"/>
        <v/>
      </c>
      <c r="O1499" s="15" t="str">
        <f>IFERROR(VLOOKUP(I1499,material!A:D,2,0),"")</f>
        <v/>
      </c>
    </row>
    <row r="1500">
      <c r="A1500" s="6"/>
      <c r="B1500" s="7"/>
      <c r="C1500" s="8" t="str">
        <f t="array" ref="C1500">IFERROR(INDEX(atlas!H:H,MATCH(A1500,atlas!C:C,0)),"")</f>
        <v/>
      </c>
      <c r="D1500" s="8" t="str">
        <f t="array" ref="D1500">IFERROR(INDEX(atlas!D:D,MATCH(A1500,atlas!C:C,0)),"")</f>
        <v/>
      </c>
      <c r="E1500" s="8" t="str">
        <f t="array" ref="E1500">IFERROR(INDEX(atlas!F:F,MATCH(A1500,atlas!C:C,0)),"")</f>
        <v/>
      </c>
      <c r="F1500" s="9"/>
      <c r="G1500" s="10"/>
      <c r="H1500" s="11"/>
      <c r="I1500" s="12" t="str">
        <f t="array" ref="I1500">IFERROR(INDEX(atlas!B:B,MATCH(A1500,atlas!C:C,0)),"")</f>
        <v/>
      </c>
      <c r="J1500" s="8" t="str">
        <f>IFERROR(VLOOKUP(F1500,tecnica!A:B,2,0),"")</f>
        <v/>
      </c>
      <c r="K1500" s="8" t="str">
        <f>IFERROR(VLOOKUP(J1500,tecnica!B:C,2,0),"")</f>
        <v/>
      </c>
      <c r="L1500" s="13"/>
      <c r="M1500" s="14" t="str">
        <f>IFERROR(VLOOKUP(I1500,material!A:D,4,0),"")</f>
        <v/>
      </c>
      <c r="N1500" s="14" t="str">
        <f t="shared" si="1"/>
        <v/>
      </c>
      <c r="O1500" s="15" t="str">
        <f>IFERROR(VLOOKUP(I1500,material!A:D,2,0),"")</f>
        <v/>
      </c>
    </row>
    <row r="1501">
      <c r="A1501" s="6"/>
      <c r="B1501" s="7"/>
      <c r="C1501" s="8" t="str">
        <f t="array" ref="C1501">IFERROR(INDEX(atlas!H:H,MATCH(A1501,atlas!C:C,0)),"")</f>
        <v/>
      </c>
      <c r="D1501" s="8" t="str">
        <f t="array" ref="D1501">IFERROR(INDEX(atlas!D:D,MATCH(A1501,atlas!C:C,0)),"")</f>
        <v/>
      </c>
      <c r="E1501" s="8" t="str">
        <f t="array" ref="E1501">IFERROR(INDEX(atlas!F:F,MATCH(A1501,atlas!C:C,0)),"")</f>
        <v/>
      </c>
      <c r="F1501" s="9"/>
      <c r="G1501" s="10"/>
      <c r="H1501" s="11"/>
      <c r="I1501" s="12" t="str">
        <f t="array" ref="I1501">IFERROR(INDEX(atlas!B:B,MATCH(A1501,atlas!C:C,0)),"")</f>
        <v/>
      </c>
      <c r="J1501" s="8" t="str">
        <f>IFERROR(VLOOKUP(F1501,tecnica!A:B,2,0),"")</f>
        <v/>
      </c>
      <c r="K1501" s="8" t="str">
        <f>IFERROR(VLOOKUP(J1501,tecnica!B:C,2,0),"")</f>
        <v/>
      </c>
      <c r="L1501" s="13"/>
      <c r="M1501" s="14" t="str">
        <f>IFERROR(VLOOKUP(I1501,material!A:D,4,0),"")</f>
        <v/>
      </c>
      <c r="N1501" s="14" t="str">
        <f t="shared" si="1"/>
        <v/>
      </c>
      <c r="O1501" s="15" t="str">
        <f>IFERROR(VLOOKUP(I1501,material!A:D,2,0),"")</f>
        <v/>
      </c>
    </row>
    <row r="1502">
      <c r="A1502" s="6"/>
      <c r="B1502" s="7"/>
      <c r="C1502" s="8" t="str">
        <f t="array" ref="C1502">IFERROR(INDEX(atlas!H:H,MATCH(A1502,atlas!C:C,0)),"")</f>
        <v/>
      </c>
      <c r="D1502" s="8" t="str">
        <f t="array" ref="D1502">IFERROR(INDEX(atlas!D:D,MATCH(A1502,atlas!C:C,0)),"")</f>
        <v/>
      </c>
      <c r="E1502" s="8" t="str">
        <f t="array" ref="E1502">IFERROR(INDEX(atlas!F:F,MATCH(A1502,atlas!C:C,0)),"")</f>
        <v/>
      </c>
      <c r="F1502" s="9"/>
      <c r="G1502" s="10"/>
      <c r="H1502" s="11"/>
      <c r="I1502" s="12" t="str">
        <f t="array" ref="I1502">IFERROR(INDEX(atlas!B:B,MATCH(A1502,atlas!C:C,0)),"")</f>
        <v/>
      </c>
      <c r="J1502" s="8" t="str">
        <f>IFERROR(VLOOKUP(F1502,tecnica!A:B,2,0),"")</f>
        <v/>
      </c>
      <c r="K1502" s="8" t="str">
        <f>IFERROR(VLOOKUP(J1502,tecnica!B:C,2,0),"")</f>
        <v/>
      </c>
      <c r="L1502" s="13"/>
      <c r="M1502" s="14" t="str">
        <f>IFERROR(VLOOKUP(I1502,material!A:D,4,0),"")</f>
        <v/>
      </c>
      <c r="N1502" s="14" t="str">
        <f t="shared" si="1"/>
        <v/>
      </c>
      <c r="O1502" s="15" t="str">
        <f>IFERROR(VLOOKUP(I1502,material!A:D,2,0),"")</f>
        <v/>
      </c>
    </row>
    <row r="1503">
      <c r="A1503" s="6"/>
      <c r="B1503" s="7"/>
      <c r="C1503" s="8" t="str">
        <f t="array" ref="C1503">IFERROR(INDEX(atlas!H:H,MATCH(A1503,atlas!C:C,0)),"")</f>
        <v/>
      </c>
      <c r="D1503" s="8" t="str">
        <f t="array" ref="D1503">IFERROR(INDEX(atlas!D:D,MATCH(A1503,atlas!C:C,0)),"")</f>
        <v/>
      </c>
      <c r="E1503" s="8" t="str">
        <f t="array" ref="E1503">IFERROR(INDEX(atlas!F:F,MATCH(A1503,atlas!C:C,0)),"")</f>
        <v/>
      </c>
      <c r="F1503" s="9"/>
      <c r="G1503" s="10"/>
      <c r="H1503" s="11"/>
      <c r="I1503" s="12" t="str">
        <f t="array" ref="I1503">IFERROR(INDEX(atlas!B:B,MATCH(A1503,atlas!C:C,0)),"")</f>
        <v/>
      </c>
      <c r="J1503" s="8" t="str">
        <f>IFERROR(VLOOKUP(F1503,tecnica!A:B,2,0),"")</f>
        <v/>
      </c>
      <c r="K1503" s="8" t="str">
        <f>IFERROR(VLOOKUP(J1503,tecnica!B:C,2,0),"")</f>
        <v/>
      </c>
      <c r="L1503" s="13"/>
      <c r="M1503" s="14" t="str">
        <f>IFERROR(VLOOKUP(I1503,material!A:D,4,0),"")</f>
        <v/>
      </c>
      <c r="N1503" s="14" t="str">
        <f t="shared" si="1"/>
        <v/>
      </c>
      <c r="O1503" s="15" t="str">
        <f>IFERROR(VLOOKUP(I1503,material!A:D,2,0),"")</f>
        <v/>
      </c>
    </row>
    <row r="1504">
      <c r="A1504" s="6"/>
      <c r="B1504" s="7"/>
      <c r="C1504" s="8" t="str">
        <f t="array" ref="C1504">IFERROR(INDEX(atlas!H:H,MATCH(A1504,atlas!C:C,0)),"")</f>
        <v/>
      </c>
      <c r="D1504" s="8" t="str">
        <f t="array" ref="D1504">IFERROR(INDEX(atlas!D:D,MATCH(A1504,atlas!C:C,0)),"")</f>
        <v/>
      </c>
      <c r="E1504" s="8" t="str">
        <f t="array" ref="E1504">IFERROR(INDEX(atlas!F:F,MATCH(A1504,atlas!C:C,0)),"")</f>
        <v/>
      </c>
      <c r="F1504" s="9"/>
      <c r="G1504" s="10"/>
      <c r="H1504" s="11"/>
      <c r="I1504" s="12" t="str">
        <f t="array" ref="I1504">IFERROR(INDEX(atlas!B:B,MATCH(A1504,atlas!C:C,0)),"")</f>
        <v/>
      </c>
      <c r="J1504" s="8" t="str">
        <f>IFERROR(VLOOKUP(F1504,tecnica!A:B,2,0),"")</f>
        <v/>
      </c>
      <c r="K1504" s="8" t="str">
        <f>IFERROR(VLOOKUP(J1504,tecnica!B:C,2,0),"")</f>
        <v/>
      </c>
      <c r="L1504" s="13"/>
      <c r="M1504" s="14" t="str">
        <f>IFERROR(VLOOKUP(I1504,material!A:D,4,0),"")</f>
        <v/>
      </c>
      <c r="N1504" s="14" t="str">
        <f t="shared" si="1"/>
        <v/>
      </c>
      <c r="O1504" s="15" t="str">
        <f>IFERROR(VLOOKUP(I1504,material!A:D,2,0),"")</f>
        <v/>
      </c>
    </row>
    <row r="1505">
      <c r="A1505" s="6"/>
      <c r="B1505" s="7"/>
      <c r="C1505" s="8" t="str">
        <f t="array" ref="C1505">IFERROR(INDEX(atlas!H:H,MATCH(A1505,atlas!C:C,0)),"")</f>
        <v/>
      </c>
      <c r="D1505" s="8" t="str">
        <f t="array" ref="D1505">IFERROR(INDEX(atlas!D:D,MATCH(A1505,atlas!C:C,0)),"")</f>
        <v/>
      </c>
      <c r="E1505" s="8" t="str">
        <f t="array" ref="E1505">IFERROR(INDEX(atlas!F:F,MATCH(A1505,atlas!C:C,0)),"")</f>
        <v/>
      </c>
      <c r="F1505" s="9"/>
      <c r="G1505" s="10"/>
      <c r="H1505" s="11"/>
      <c r="I1505" s="12" t="str">
        <f t="array" ref="I1505">IFERROR(INDEX(atlas!B:B,MATCH(A1505,atlas!C:C,0)),"")</f>
        <v/>
      </c>
      <c r="J1505" s="8" t="str">
        <f>IFERROR(VLOOKUP(F1505,tecnica!A:B,2,0),"")</f>
        <v/>
      </c>
      <c r="K1505" s="8" t="str">
        <f>IFERROR(VLOOKUP(J1505,tecnica!B:C,2,0),"")</f>
        <v/>
      </c>
      <c r="L1505" s="13"/>
      <c r="M1505" s="14" t="str">
        <f>IFERROR(VLOOKUP(I1505,material!A:D,4,0),"")</f>
        <v/>
      </c>
      <c r="N1505" s="14" t="str">
        <f t="shared" si="1"/>
        <v/>
      </c>
      <c r="O1505" s="15" t="str">
        <f>IFERROR(VLOOKUP(I1505,material!A:D,2,0),"")</f>
        <v/>
      </c>
    </row>
    <row r="1506">
      <c r="A1506" s="6"/>
      <c r="B1506" s="7"/>
      <c r="C1506" s="8" t="str">
        <f t="array" ref="C1506">IFERROR(INDEX(atlas!H:H,MATCH(A1506,atlas!C:C,0)),"")</f>
        <v/>
      </c>
      <c r="D1506" s="8" t="str">
        <f t="array" ref="D1506">IFERROR(INDEX(atlas!D:D,MATCH(A1506,atlas!C:C,0)),"")</f>
        <v/>
      </c>
      <c r="E1506" s="8" t="str">
        <f t="array" ref="E1506">IFERROR(INDEX(atlas!F:F,MATCH(A1506,atlas!C:C,0)),"")</f>
        <v/>
      </c>
      <c r="F1506" s="9"/>
      <c r="G1506" s="10"/>
      <c r="H1506" s="11"/>
      <c r="I1506" s="12" t="str">
        <f t="array" ref="I1506">IFERROR(INDEX(atlas!B:B,MATCH(A1506,atlas!C:C,0)),"")</f>
        <v/>
      </c>
      <c r="J1506" s="8" t="str">
        <f>IFERROR(VLOOKUP(F1506,tecnica!A:B,2,0),"")</f>
        <v/>
      </c>
      <c r="K1506" s="8" t="str">
        <f>IFERROR(VLOOKUP(J1506,tecnica!B:C,2,0),"")</f>
        <v/>
      </c>
      <c r="L1506" s="13"/>
      <c r="M1506" s="14" t="str">
        <f>IFERROR(VLOOKUP(I1506,material!A:D,4,0),"")</f>
        <v/>
      </c>
      <c r="N1506" s="14" t="str">
        <f t="shared" si="1"/>
        <v/>
      </c>
      <c r="O1506" s="15" t="str">
        <f>IFERROR(VLOOKUP(I1506,material!A:D,2,0),"")</f>
        <v/>
      </c>
    </row>
    <row r="1507">
      <c r="A1507" s="6"/>
      <c r="B1507" s="7"/>
      <c r="C1507" s="8" t="str">
        <f t="array" ref="C1507">IFERROR(INDEX(atlas!H:H,MATCH(A1507,atlas!C:C,0)),"")</f>
        <v/>
      </c>
      <c r="D1507" s="8" t="str">
        <f t="array" ref="D1507">IFERROR(INDEX(atlas!D:D,MATCH(A1507,atlas!C:C,0)),"")</f>
        <v/>
      </c>
      <c r="E1507" s="8" t="str">
        <f t="array" ref="E1507">IFERROR(INDEX(atlas!F:F,MATCH(A1507,atlas!C:C,0)),"")</f>
        <v/>
      </c>
      <c r="F1507" s="9"/>
      <c r="G1507" s="10"/>
      <c r="H1507" s="11"/>
      <c r="I1507" s="12" t="str">
        <f t="array" ref="I1507">IFERROR(INDEX(atlas!B:B,MATCH(A1507,atlas!C:C,0)),"")</f>
        <v/>
      </c>
      <c r="J1507" s="8" t="str">
        <f>IFERROR(VLOOKUP(F1507,tecnica!A:B,2,0),"")</f>
        <v/>
      </c>
      <c r="K1507" s="8" t="str">
        <f>IFERROR(VLOOKUP(J1507,tecnica!B:C,2,0),"")</f>
        <v/>
      </c>
      <c r="L1507" s="13"/>
      <c r="M1507" s="14" t="str">
        <f>IFERROR(VLOOKUP(I1507,material!A:D,4,0),"")</f>
        <v/>
      </c>
      <c r="N1507" s="14" t="str">
        <f t="shared" si="1"/>
        <v/>
      </c>
      <c r="O1507" s="15" t="str">
        <f>IFERROR(VLOOKUP(I1507,material!A:D,2,0),"")</f>
        <v/>
      </c>
    </row>
    <row r="1508">
      <c r="A1508" s="6"/>
      <c r="B1508" s="7"/>
      <c r="C1508" s="8" t="str">
        <f t="array" ref="C1508">IFERROR(INDEX(atlas!H:H,MATCH(A1508,atlas!C:C,0)),"")</f>
        <v/>
      </c>
      <c r="D1508" s="8" t="str">
        <f t="array" ref="D1508">IFERROR(INDEX(atlas!D:D,MATCH(A1508,atlas!C:C,0)),"")</f>
        <v/>
      </c>
      <c r="E1508" s="8" t="str">
        <f t="array" ref="E1508">IFERROR(INDEX(atlas!F:F,MATCH(A1508,atlas!C:C,0)),"")</f>
        <v/>
      </c>
      <c r="F1508" s="9"/>
      <c r="G1508" s="10"/>
      <c r="H1508" s="11"/>
      <c r="I1508" s="12" t="str">
        <f t="array" ref="I1508">IFERROR(INDEX(atlas!B:B,MATCH(A1508,atlas!C:C,0)),"")</f>
        <v/>
      </c>
      <c r="J1508" s="8" t="str">
        <f>IFERROR(VLOOKUP(F1508,tecnica!A:B,2,0),"")</f>
        <v/>
      </c>
      <c r="K1508" s="8" t="str">
        <f>IFERROR(VLOOKUP(J1508,tecnica!B:C,2,0),"")</f>
        <v/>
      </c>
      <c r="L1508" s="13"/>
      <c r="M1508" s="14" t="str">
        <f>IFERROR(VLOOKUP(I1508,material!A:D,4,0),"")</f>
        <v/>
      </c>
      <c r="N1508" s="14" t="str">
        <f t="shared" si="1"/>
        <v/>
      </c>
      <c r="O1508" s="15" t="str">
        <f>IFERROR(VLOOKUP(I1508,material!A:D,2,0),"")</f>
        <v/>
      </c>
    </row>
    <row r="1509">
      <c r="A1509" s="6"/>
      <c r="B1509" s="7"/>
      <c r="C1509" s="8" t="str">
        <f t="array" ref="C1509">IFERROR(INDEX(atlas!H:H,MATCH(A1509,atlas!C:C,0)),"")</f>
        <v/>
      </c>
      <c r="D1509" s="8" t="str">
        <f t="array" ref="D1509">IFERROR(INDEX(atlas!D:D,MATCH(A1509,atlas!C:C,0)),"")</f>
        <v/>
      </c>
      <c r="E1509" s="8" t="str">
        <f t="array" ref="E1509">IFERROR(INDEX(atlas!F:F,MATCH(A1509,atlas!C:C,0)),"")</f>
        <v/>
      </c>
      <c r="F1509" s="9"/>
      <c r="G1509" s="10"/>
      <c r="H1509" s="11"/>
      <c r="I1509" s="12" t="str">
        <f t="array" ref="I1509">IFERROR(INDEX(atlas!B:B,MATCH(A1509,atlas!C:C,0)),"")</f>
        <v/>
      </c>
      <c r="J1509" s="8" t="str">
        <f>IFERROR(VLOOKUP(F1509,tecnica!A:B,2,0),"")</f>
        <v/>
      </c>
      <c r="K1509" s="8" t="str">
        <f>IFERROR(VLOOKUP(J1509,tecnica!B:C,2,0),"")</f>
        <v/>
      </c>
      <c r="L1509" s="13"/>
      <c r="M1509" s="14" t="str">
        <f>IFERROR(VLOOKUP(I1509,material!A:D,4,0),"")</f>
        <v/>
      </c>
      <c r="N1509" s="14" t="str">
        <f t="shared" si="1"/>
        <v/>
      </c>
      <c r="O1509" s="15" t="str">
        <f>IFERROR(VLOOKUP(I1509,material!A:D,2,0),"")</f>
        <v/>
      </c>
    </row>
    <row r="1510">
      <c r="A1510" s="6"/>
      <c r="B1510" s="7"/>
      <c r="C1510" s="8" t="str">
        <f t="array" ref="C1510">IFERROR(INDEX(atlas!H:H,MATCH(A1510,atlas!C:C,0)),"")</f>
        <v/>
      </c>
      <c r="D1510" s="8" t="str">
        <f t="array" ref="D1510">IFERROR(INDEX(atlas!D:D,MATCH(A1510,atlas!C:C,0)),"")</f>
        <v/>
      </c>
      <c r="E1510" s="8" t="str">
        <f t="array" ref="E1510">IFERROR(INDEX(atlas!F:F,MATCH(A1510,atlas!C:C,0)),"")</f>
        <v/>
      </c>
      <c r="F1510" s="9"/>
      <c r="G1510" s="10"/>
      <c r="H1510" s="11"/>
      <c r="I1510" s="12" t="str">
        <f t="array" ref="I1510">IFERROR(INDEX(atlas!B:B,MATCH(A1510,atlas!C:C,0)),"")</f>
        <v/>
      </c>
      <c r="J1510" s="8" t="str">
        <f>IFERROR(VLOOKUP(F1510,tecnica!A:B,2,0),"")</f>
        <v/>
      </c>
      <c r="K1510" s="8" t="str">
        <f>IFERROR(VLOOKUP(J1510,tecnica!B:C,2,0),"")</f>
        <v/>
      </c>
      <c r="L1510" s="13"/>
      <c r="M1510" s="14" t="str">
        <f>IFERROR(VLOOKUP(I1510,material!A:D,4,0),"")</f>
        <v/>
      </c>
      <c r="N1510" s="14" t="str">
        <f t="shared" si="1"/>
        <v/>
      </c>
      <c r="O1510" s="15" t="str">
        <f>IFERROR(VLOOKUP(I1510,material!A:D,2,0),"")</f>
        <v/>
      </c>
    </row>
    <row r="1511">
      <c r="A1511" s="6"/>
      <c r="B1511" s="7"/>
      <c r="C1511" s="8" t="str">
        <f t="array" ref="C1511">IFERROR(INDEX(atlas!H:H,MATCH(A1511,atlas!C:C,0)),"")</f>
        <v/>
      </c>
      <c r="D1511" s="8" t="str">
        <f t="array" ref="D1511">IFERROR(INDEX(atlas!D:D,MATCH(A1511,atlas!C:C,0)),"")</f>
        <v/>
      </c>
      <c r="E1511" s="8" t="str">
        <f t="array" ref="E1511">IFERROR(INDEX(atlas!F:F,MATCH(A1511,atlas!C:C,0)),"")</f>
        <v/>
      </c>
      <c r="F1511" s="9"/>
      <c r="G1511" s="10"/>
      <c r="H1511" s="11"/>
      <c r="I1511" s="12" t="str">
        <f t="array" ref="I1511">IFERROR(INDEX(atlas!B:B,MATCH(A1511,atlas!C:C,0)),"")</f>
        <v/>
      </c>
      <c r="J1511" s="8" t="str">
        <f>IFERROR(VLOOKUP(F1511,tecnica!A:B,2,0),"")</f>
        <v/>
      </c>
      <c r="K1511" s="8" t="str">
        <f>IFERROR(VLOOKUP(J1511,tecnica!B:C,2,0),"")</f>
        <v/>
      </c>
      <c r="L1511" s="13"/>
      <c r="M1511" s="14" t="str">
        <f>IFERROR(VLOOKUP(I1511,material!A:D,4,0),"")</f>
        <v/>
      </c>
      <c r="N1511" s="14" t="str">
        <f t="shared" si="1"/>
        <v/>
      </c>
      <c r="O1511" s="15" t="str">
        <f>IFERROR(VLOOKUP(I1511,material!A:D,2,0),"")</f>
        <v/>
      </c>
    </row>
    <row r="1512">
      <c r="A1512" s="6"/>
      <c r="B1512" s="7"/>
      <c r="C1512" s="8" t="str">
        <f t="array" ref="C1512">IFERROR(INDEX(atlas!H:H,MATCH(A1512,atlas!C:C,0)),"")</f>
        <v/>
      </c>
      <c r="D1512" s="8" t="str">
        <f t="array" ref="D1512">IFERROR(INDEX(atlas!D:D,MATCH(A1512,atlas!C:C,0)),"")</f>
        <v/>
      </c>
      <c r="E1512" s="8" t="str">
        <f t="array" ref="E1512">IFERROR(INDEX(atlas!F:F,MATCH(A1512,atlas!C:C,0)),"")</f>
        <v/>
      </c>
      <c r="F1512" s="9"/>
      <c r="G1512" s="10"/>
      <c r="H1512" s="11"/>
      <c r="I1512" s="12" t="str">
        <f t="array" ref="I1512">IFERROR(INDEX(atlas!B:B,MATCH(A1512,atlas!C:C,0)),"")</f>
        <v/>
      </c>
      <c r="J1512" s="8" t="str">
        <f>IFERROR(VLOOKUP(F1512,tecnica!A:B,2,0),"")</f>
        <v/>
      </c>
      <c r="K1512" s="8" t="str">
        <f>IFERROR(VLOOKUP(J1512,tecnica!B:C,2,0),"")</f>
        <v/>
      </c>
      <c r="L1512" s="13"/>
      <c r="M1512" s="14" t="str">
        <f>IFERROR(VLOOKUP(I1512,material!A:D,4,0),"")</f>
        <v/>
      </c>
      <c r="N1512" s="14" t="str">
        <f t="shared" si="1"/>
        <v/>
      </c>
      <c r="O1512" s="15" t="str">
        <f>IFERROR(VLOOKUP(I1512,material!A:D,2,0),"")</f>
        <v/>
      </c>
    </row>
    <row r="1513">
      <c r="A1513" s="6"/>
      <c r="B1513" s="7"/>
      <c r="C1513" s="8" t="str">
        <f t="array" ref="C1513">IFERROR(INDEX(atlas!H:H,MATCH(A1513,atlas!C:C,0)),"")</f>
        <v/>
      </c>
      <c r="D1513" s="8" t="str">
        <f t="array" ref="D1513">IFERROR(INDEX(atlas!D:D,MATCH(A1513,atlas!C:C,0)),"")</f>
        <v/>
      </c>
      <c r="E1513" s="8" t="str">
        <f t="array" ref="E1513">IFERROR(INDEX(atlas!F:F,MATCH(A1513,atlas!C:C,0)),"")</f>
        <v/>
      </c>
      <c r="F1513" s="9"/>
      <c r="G1513" s="10"/>
      <c r="H1513" s="11"/>
      <c r="I1513" s="12" t="str">
        <f t="array" ref="I1513">IFERROR(INDEX(atlas!B:B,MATCH(A1513,atlas!C:C,0)),"")</f>
        <v/>
      </c>
      <c r="J1513" s="8" t="str">
        <f>IFERROR(VLOOKUP(F1513,tecnica!A:B,2,0),"")</f>
        <v/>
      </c>
      <c r="K1513" s="8" t="str">
        <f>IFERROR(VLOOKUP(J1513,tecnica!B:C,2,0),"")</f>
        <v/>
      </c>
      <c r="L1513" s="13"/>
      <c r="M1513" s="14" t="str">
        <f>IFERROR(VLOOKUP(I1513,material!A:D,4,0),"")</f>
        <v/>
      </c>
      <c r="N1513" s="14" t="str">
        <f t="shared" si="1"/>
        <v/>
      </c>
      <c r="O1513" s="15" t="str">
        <f>IFERROR(VLOOKUP(I1513,material!A:D,2,0),"")</f>
        <v/>
      </c>
    </row>
    <row r="1514">
      <c r="A1514" s="6"/>
      <c r="B1514" s="7"/>
      <c r="C1514" s="8" t="str">
        <f t="array" ref="C1514">IFERROR(INDEX(atlas!H:H,MATCH(A1514,atlas!C:C,0)),"")</f>
        <v/>
      </c>
      <c r="D1514" s="8" t="str">
        <f t="array" ref="D1514">IFERROR(INDEX(atlas!D:D,MATCH(A1514,atlas!C:C,0)),"")</f>
        <v/>
      </c>
      <c r="E1514" s="8" t="str">
        <f t="array" ref="E1514">IFERROR(INDEX(atlas!F:F,MATCH(A1514,atlas!C:C,0)),"")</f>
        <v/>
      </c>
      <c r="F1514" s="9"/>
      <c r="G1514" s="10"/>
      <c r="H1514" s="11"/>
      <c r="I1514" s="12" t="str">
        <f t="array" ref="I1514">IFERROR(INDEX(atlas!B:B,MATCH(A1514,atlas!C:C,0)),"")</f>
        <v/>
      </c>
      <c r="J1514" s="8" t="str">
        <f>IFERROR(VLOOKUP(F1514,tecnica!A:B,2,0),"")</f>
        <v/>
      </c>
      <c r="K1514" s="8" t="str">
        <f>IFERROR(VLOOKUP(J1514,tecnica!B:C,2,0),"")</f>
        <v/>
      </c>
      <c r="L1514" s="13"/>
      <c r="M1514" s="14" t="str">
        <f>IFERROR(VLOOKUP(I1514,material!A:D,4,0),"")</f>
        <v/>
      </c>
      <c r="N1514" s="14" t="str">
        <f t="shared" si="1"/>
        <v/>
      </c>
      <c r="O1514" s="15" t="str">
        <f>IFERROR(VLOOKUP(I1514,material!A:D,2,0),"")</f>
        <v/>
      </c>
    </row>
    <row r="1515">
      <c r="A1515" s="6"/>
      <c r="B1515" s="7"/>
      <c r="C1515" s="8" t="str">
        <f t="array" ref="C1515">IFERROR(INDEX(atlas!H:H,MATCH(A1515,atlas!C:C,0)),"")</f>
        <v/>
      </c>
      <c r="D1515" s="8" t="str">
        <f t="array" ref="D1515">IFERROR(INDEX(atlas!D:D,MATCH(A1515,atlas!C:C,0)),"")</f>
        <v/>
      </c>
      <c r="E1515" s="8" t="str">
        <f t="array" ref="E1515">IFERROR(INDEX(atlas!F:F,MATCH(A1515,atlas!C:C,0)),"")</f>
        <v/>
      </c>
      <c r="F1515" s="9"/>
      <c r="G1515" s="10"/>
      <c r="H1515" s="11"/>
      <c r="I1515" s="12" t="str">
        <f t="array" ref="I1515">IFERROR(INDEX(atlas!B:B,MATCH(A1515,atlas!C:C,0)),"")</f>
        <v/>
      </c>
      <c r="J1515" s="8" t="str">
        <f>IFERROR(VLOOKUP(F1515,tecnica!A:B,2,0),"")</f>
        <v/>
      </c>
      <c r="K1515" s="8" t="str">
        <f>IFERROR(VLOOKUP(J1515,tecnica!B:C,2,0),"")</f>
        <v/>
      </c>
      <c r="L1515" s="13"/>
      <c r="M1515" s="14" t="str">
        <f>IFERROR(VLOOKUP(I1515,material!A:D,4,0),"")</f>
        <v/>
      </c>
      <c r="N1515" s="14" t="str">
        <f t="shared" si="1"/>
        <v/>
      </c>
      <c r="O1515" s="15" t="str">
        <f>IFERROR(VLOOKUP(I1515,material!A:D,2,0),"")</f>
        <v/>
      </c>
    </row>
    <row r="1516">
      <c r="A1516" s="6"/>
      <c r="B1516" s="7"/>
      <c r="C1516" s="8" t="str">
        <f t="array" ref="C1516">IFERROR(INDEX(atlas!H:H,MATCH(A1516,atlas!C:C,0)),"")</f>
        <v/>
      </c>
      <c r="D1516" s="8" t="str">
        <f t="array" ref="D1516">IFERROR(INDEX(atlas!D:D,MATCH(A1516,atlas!C:C,0)),"")</f>
        <v/>
      </c>
      <c r="E1516" s="8" t="str">
        <f t="array" ref="E1516">IFERROR(INDEX(atlas!F:F,MATCH(A1516,atlas!C:C,0)),"")</f>
        <v/>
      </c>
      <c r="F1516" s="9"/>
      <c r="G1516" s="10"/>
      <c r="H1516" s="11"/>
      <c r="I1516" s="12" t="str">
        <f t="array" ref="I1516">IFERROR(INDEX(atlas!B:B,MATCH(A1516,atlas!C:C,0)),"")</f>
        <v/>
      </c>
      <c r="J1516" s="8" t="str">
        <f>IFERROR(VLOOKUP(F1516,tecnica!A:B,2,0),"")</f>
        <v/>
      </c>
      <c r="K1516" s="8" t="str">
        <f>IFERROR(VLOOKUP(J1516,tecnica!B:C,2,0),"")</f>
        <v/>
      </c>
      <c r="L1516" s="13"/>
      <c r="M1516" s="14" t="str">
        <f>IFERROR(VLOOKUP(I1516,material!A:D,4,0),"")</f>
        <v/>
      </c>
      <c r="N1516" s="14" t="str">
        <f t="shared" si="1"/>
        <v/>
      </c>
      <c r="O1516" s="15" t="str">
        <f>IFERROR(VLOOKUP(I1516,material!A:D,2,0),"")</f>
        <v/>
      </c>
    </row>
    <row r="1517">
      <c r="A1517" s="6"/>
      <c r="B1517" s="7"/>
      <c r="C1517" s="8" t="str">
        <f t="array" ref="C1517">IFERROR(INDEX(atlas!H:H,MATCH(A1517,atlas!C:C,0)),"")</f>
        <v/>
      </c>
      <c r="D1517" s="8" t="str">
        <f t="array" ref="D1517">IFERROR(INDEX(atlas!D:D,MATCH(A1517,atlas!C:C,0)),"")</f>
        <v/>
      </c>
      <c r="E1517" s="8" t="str">
        <f t="array" ref="E1517">IFERROR(INDEX(atlas!F:F,MATCH(A1517,atlas!C:C,0)),"")</f>
        <v/>
      </c>
      <c r="F1517" s="9"/>
      <c r="G1517" s="10"/>
      <c r="H1517" s="11"/>
      <c r="I1517" s="12" t="str">
        <f t="array" ref="I1517">IFERROR(INDEX(atlas!B:B,MATCH(A1517,atlas!C:C,0)),"")</f>
        <v/>
      </c>
      <c r="J1517" s="8" t="str">
        <f>IFERROR(VLOOKUP(F1517,tecnica!A:B,2,0),"")</f>
        <v/>
      </c>
      <c r="K1517" s="8" t="str">
        <f>IFERROR(VLOOKUP(J1517,tecnica!B:C,2,0),"")</f>
        <v/>
      </c>
      <c r="L1517" s="13"/>
      <c r="M1517" s="14" t="str">
        <f>IFERROR(VLOOKUP(I1517,material!A:D,4,0),"")</f>
        <v/>
      </c>
      <c r="N1517" s="14" t="str">
        <f t="shared" si="1"/>
        <v/>
      </c>
      <c r="O1517" s="15" t="str">
        <f>IFERROR(VLOOKUP(I1517,material!A:D,2,0),"")</f>
        <v/>
      </c>
    </row>
    <row r="1518">
      <c r="A1518" s="6"/>
      <c r="B1518" s="7"/>
      <c r="C1518" s="8" t="str">
        <f t="array" ref="C1518">IFERROR(INDEX(atlas!H:H,MATCH(A1518,atlas!C:C,0)),"")</f>
        <v/>
      </c>
      <c r="D1518" s="8" t="str">
        <f t="array" ref="D1518">IFERROR(INDEX(atlas!D:D,MATCH(A1518,atlas!C:C,0)),"")</f>
        <v/>
      </c>
      <c r="E1518" s="8" t="str">
        <f t="array" ref="E1518">IFERROR(INDEX(atlas!F:F,MATCH(A1518,atlas!C:C,0)),"")</f>
        <v/>
      </c>
      <c r="F1518" s="9"/>
      <c r="G1518" s="10"/>
      <c r="H1518" s="11"/>
      <c r="I1518" s="12" t="str">
        <f t="array" ref="I1518">IFERROR(INDEX(atlas!B:B,MATCH(A1518,atlas!C:C,0)),"")</f>
        <v/>
      </c>
      <c r="J1518" s="8" t="str">
        <f>IFERROR(VLOOKUP(F1518,tecnica!A:B,2,0),"")</f>
        <v/>
      </c>
      <c r="K1518" s="8" t="str">
        <f>IFERROR(VLOOKUP(J1518,tecnica!B:C,2,0),"")</f>
        <v/>
      </c>
      <c r="L1518" s="13"/>
      <c r="M1518" s="14" t="str">
        <f>IFERROR(VLOOKUP(I1518,material!A:D,4,0),"")</f>
        <v/>
      </c>
      <c r="N1518" s="14" t="str">
        <f t="shared" si="1"/>
        <v/>
      </c>
      <c r="O1518" s="15" t="str">
        <f>IFERROR(VLOOKUP(I1518,material!A:D,2,0),"")</f>
        <v/>
      </c>
    </row>
    <row r="1519">
      <c r="A1519" s="6"/>
      <c r="B1519" s="7"/>
      <c r="C1519" s="8" t="str">
        <f t="array" ref="C1519">IFERROR(INDEX(atlas!H:H,MATCH(A1519,atlas!C:C,0)),"")</f>
        <v/>
      </c>
      <c r="D1519" s="8" t="str">
        <f t="array" ref="D1519">IFERROR(INDEX(atlas!D:D,MATCH(A1519,atlas!C:C,0)),"")</f>
        <v/>
      </c>
      <c r="E1519" s="8" t="str">
        <f t="array" ref="E1519">IFERROR(INDEX(atlas!F:F,MATCH(A1519,atlas!C:C,0)),"")</f>
        <v/>
      </c>
      <c r="F1519" s="9"/>
      <c r="G1519" s="10"/>
      <c r="H1519" s="11"/>
      <c r="I1519" s="12" t="str">
        <f t="array" ref="I1519">IFERROR(INDEX(atlas!B:B,MATCH(A1519,atlas!C:C,0)),"")</f>
        <v/>
      </c>
      <c r="J1519" s="8" t="str">
        <f>IFERROR(VLOOKUP(F1519,tecnica!A:B,2,0),"")</f>
        <v/>
      </c>
      <c r="K1519" s="8" t="str">
        <f>IFERROR(VLOOKUP(J1519,tecnica!B:C,2,0),"")</f>
        <v/>
      </c>
      <c r="L1519" s="13"/>
      <c r="M1519" s="14" t="str">
        <f>IFERROR(VLOOKUP(I1519,material!A:D,4,0),"")</f>
        <v/>
      </c>
      <c r="N1519" s="14" t="str">
        <f t="shared" si="1"/>
        <v/>
      </c>
      <c r="O1519" s="15" t="str">
        <f>IFERROR(VLOOKUP(I1519,material!A:D,2,0),"")</f>
        <v/>
      </c>
    </row>
    <row r="1520">
      <c r="A1520" s="6"/>
      <c r="B1520" s="7"/>
      <c r="C1520" s="8" t="str">
        <f t="array" ref="C1520">IFERROR(INDEX(atlas!H:H,MATCH(A1520,atlas!C:C,0)),"")</f>
        <v/>
      </c>
      <c r="D1520" s="8" t="str">
        <f t="array" ref="D1520">IFERROR(INDEX(atlas!D:D,MATCH(A1520,atlas!C:C,0)),"")</f>
        <v/>
      </c>
      <c r="E1520" s="8" t="str">
        <f t="array" ref="E1520">IFERROR(INDEX(atlas!F:F,MATCH(A1520,atlas!C:C,0)),"")</f>
        <v/>
      </c>
      <c r="F1520" s="9"/>
      <c r="G1520" s="10"/>
      <c r="H1520" s="11"/>
      <c r="I1520" s="12" t="str">
        <f t="array" ref="I1520">IFERROR(INDEX(atlas!B:B,MATCH(A1520,atlas!C:C,0)),"")</f>
        <v/>
      </c>
      <c r="J1520" s="8" t="str">
        <f>IFERROR(VLOOKUP(F1520,tecnica!A:B,2,0),"")</f>
        <v/>
      </c>
      <c r="K1520" s="8" t="str">
        <f>IFERROR(VLOOKUP(J1520,tecnica!B:C,2,0),"")</f>
        <v/>
      </c>
      <c r="L1520" s="13"/>
      <c r="M1520" s="14" t="str">
        <f>IFERROR(VLOOKUP(I1520,material!A:D,4,0),"")</f>
        <v/>
      </c>
      <c r="N1520" s="14" t="str">
        <f t="shared" si="1"/>
        <v/>
      </c>
      <c r="O1520" s="15" t="str">
        <f>IFERROR(VLOOKUP(I1520,material!A:D,2,0),"")</f>
        <v/>
      </c>
    </row>
    <row r="1521">
      <c r="A1521" s="6"/>
      <c r="B1521" s="7"/>
      <c r="C1521" s="8" t="str">
        <f t="array" ref="C1521">IFERROR(INDEX(atlas!H:H,MATCH(A1521,atlas!C:C,0)),"")</f>
        <v/>
      </c>
      <c r="D1521" s="8" t="str">
        <f t="array" ref="D1521">IFERROR(INDEX(atlas!D:D,MATCH(A1521,atlas!C:C,0)),"")</f>
        <v/>
      </c>
      <c r="E1521" s="8" t="str">
        <f t="array" ref="E1521">IFERROR(INDEX(atlas!F:F,MATCH(A1521,atlas!C:C,0)),"")</f>
        <v/>
      </c>
      <c r="F1521" s="9"/>
      <c r="G1521" s="10"/>
      <c r="H1521" s="11"/>
      <c r="I1521" s="12" t="str">
        <f t="array" ref="I1521">IFERROR(INDEX(atlas!B:B,MATCH(A1521,atlas!C:C,0)),"")</f>
        <v/>
      </c>
      <c r="J1521" s="8" t="str">
        <f>IFERROR(VLOOKUP(F1521,tecnica!A:B,2,0),"")</f>
        <v/>
      </c>
      <c r="K1521" s="8" t="str">
        <f>IFERROR(VLOOKUP(J1521,tecnica!B:C,2,0),"")</f>
        <v/>
      </c>
      <c r="L1521" s="13"/>
      <c r="M1521" s="14" t="str">
        <f>IFERROR(VLOOKUP(I1521,material!A:D,4,0),"")</f>
        <v/>
      </c>
      <c r="N1521" s="14" t="str">
        <f t="shared" si="1"/>
        <v/>
      </c>
      <c r="O1521" s="15" t="str">
        <f>IFERROR(VLOOKUP(I1521,material!A:D,2,0),"")</f>
        <v/>
      </c>
    </row>
    <row r="1522">
      <c r="A1522" s="6"/>
      <c r="B1522" s="7"/>
      <c r="C1522" s="8" t="str">
        <f t="array" ref="C1522">IFERROR(INDEX(atlas!H:H,MATCH(A1522,atlas!C:C,0)),"")</f>
        <v/>
      </c>
      <c r="D1522" s="8" t="str">
        <f t="array" ref="D1522">IFERROR(INDEX(atlas!D:D,MATCH(A1522,atlas!C:C,0)),"")</f>
        <v/>
      </c>
      <c r="E1522" s="8" t="str">
        <f t="array" ref="E1522">IFERROR(INDEX(atlas!F:F,MATCH(A1522,atlas!C:C,0)),"")</f>
        <v/>
      </c>
      <c r="F1522" s="9"/>
      <c r="G1522" s="10"/>
      <c r="H1522" s="11"/>
      <c r="I1522" s="12" t="str">
        <f t="array" ref="I1522">IFERROR(INDEX(atlas!B:B,MATCH(A1522,atlas!C:C,0)),"")</f>
        <v/>
      </c>
      <c r="J1522" s="8" t="str">
        <f>IFERROR(VLOOKUP(F1522,tecnica!A:B,2,0),"")</f>
        <v/>
      </c>
      <c r="K1522" s="8" t="str">
        <f>IFERROR(VLOOKUP(J1522,tecnica!B:C,2,0),"")</f>
        <v/>
      </c>
      <c r="L1522" s="13"/>
      <c r="M1522" s="14" t="str">
        <f>IFERROR(VLOOKUP(I1522,material!A:D,4,0),"")</f>
        <v/>
      </c>
      <c r="N1522" s="14" t="str">
        <f t="shared" si="1"/>
        <v/>
      </c>
      <c r="O1522" s="15" t="str">
        <f>IFERROR(VLOOKUP(I1522,material!A:D,2,0),"")</f>
        <v/>
      </c>
    </row>
    <row r="1523">
      <c r="A1523" s="6"/>
      <c r="B1523" s="7"/>
      <c r="C1523" s="8" t="str">
        <f t="array" ref="C1523">IFERROR(INDEX(atlas!H:H,MATCH(A1523,atlas!C:C,0)),"")</f>
        <v/>
      </c>
      <c r="D1523" s="8" t="str">
        <f t="array" ref="D1523">IFERROR(INDEX(atlas!D:D,MATCH(A1523,atlas!C:C,0)),"")</f>
        <v/>
      </c>
      <c r="E1523" s="8" t="str">
        <f t="array" ref="E1523">IFERROR(INDEX(atlas!F:F,MATCH(A1523,atlas!C:C,0)),"")</f>
        <v/>
      </c>
      <c r="F1523" s="9"/>
      <c r="G1523" s="10"/>
      <c r="H1523" s="11"/>
      <c r="I1523" s="12" t="str">
        <f t="array" ref="I1523">IFERROR(INDEX(atlas!B:B,MATCH(A1523,atlas!C:C,0)),"")</f>
        <v/>
      </c>
      <c r="J1523" s="8" t="str">
        <f>IFERROR(VLOOKUP(F1523,tecnica!A:B,2,0),"")</f>
        <v/>
      </c>
      <c r="K1523" s="8" t="str">
        <f>IFERROR(VLOOKUP(J1523,tecnica!B:C,2,0),"")</f>
        <v/>
      </c>
      <c r="L1523" s="13"/>
      <c r="M1523" s="14" t="str">
        <f>IFERROR(VLOOKUP(I1523,material!A:D,4,0),"")</f>
        <v/>
      </c>
      <c r="N1523" s="14" t="str">
        <f t="shared" si="1"/>
        <v/>
      </c>
      <c r="O1523" s="15" t="str">
        <f>IFERROR(VLOOKUP(I1523,material!A:D,2,0),"")</f>
        <v/>
      </c>
    </row>
    <row r="1524">
      <c r="A1524" s="6"/>
      <c r="B1524" s="7"/>
      <c r="C1524" s="8" t="str">
        <f t="array" ref="C1524">IFERROR(INDEX(atlas!H:H,MATCH(A1524,atlas!C:C,0)),"")</f>
        <v/>
      </c>
      <c r="D1524" s="8" t="str">
        <f t="array" ref="D1524">IFERROR(INDEX(atlas!D:D,MATCH(A1524,atlas!C:C,0)),"")</f>
        <v/>
      </c>
      <c r="E1524" s="8" t="str">
        <f t="array" ref="E1524">IFERROR(INDEX(atlas!F:F,MATCH(A1524,atlas!C:C,0)),"")</f>
        <v/>
      </c>
      <c r="F1524" s="9"/>
      <c r="G1524" s="10"/>
      <c r="H1524" s="11"/>
      <c r="I1524" s="12" t="str">
        <f t="array" ref="I1524">IFERROR(INDEX(atlas!B:B,MATCH(A1524,atlas!C:C,0)),"")</f>
        <v/>
      </c>
      <c r="J1524" s="8" t="str">
        <f>IFERROR(VLOOKUP(F1524,tecnica!A:B,2,0),"")</f>
        <v/>
      </c>
      <c r="K1524" s="8" t="str">
        <f>IFERROR(VLOOKUP(J1524,tecnica!B:C,2,0),"")</f>
        <v/>
      </c>
      <c r="L1524" s="13"/>
      <c r="M1524" s="14" t="str">
        <f>IFERROR(VLOOKUP(I1524,material!A:D,4,0),"")</f>
        <v/>
      </c>
      <c r="N1524" s="14" t="str">
        <f t="shared" si="1"/>
        <v/>
      </c>
      <c r="O1524" s="15" t="str">
        <f>IFERROR(VLOOKUP(I1524,material!A:D,2,0),"")</f>
        <v/>
      </c>
    </row>
    <row r="1525">
      <c r="A1525" s="6"/>
      <c r="B1525" s="7"/>
      <c r="C1525" s="8" t="str">
        <f t="array" ref="C1525">IFERROR(INDEX(atlas!H:H,MATCH(A1525,atlas!C:C,0)),"")</f>
        <v/>
      </c>
      <c r="D1525" s="8" t="str">
        <f t="array" ref="D1525">IFERROR(INDEX(atlas!D:D,MATCH(A1525,atlas!C:C,0)),"")</f>
        <v/>
      </c>
      <c r="E1525" s="8" t="str">
        <f t="array" ref="E1525">IFERROR(INDEX(atlas!F:F,MATCH(A1525,atlas!C:C,0)),"")</f>
        <v/>
      </c>
      <c r="F1525" s="9"/>
      <c r="G1525" s="10"/>
      <c r="H1525" s="11"/>
      <c r="I1525" s="12" t="str">
        <f t="array" ref="I1525">IFERROR(INDEX(atlas!B:B,MATCH(A1525,atlas!C:C,0)),"")</f>
        <v/>
      </c>
      <c r="J1525" s="8" t="str">
        <f>IFERROR(VLOOKUP(F1525,tecnica!A:B,2,0),"")</f>
        <v/>
      </c>
      <c r="K1525" s="8" t="str">
        <f>IFERROR(VLOOKUP(J1525,tecnica!B:C,2,0),"")</f>
        <v/>
      </c>
      <c r="L1525" s="13"/>
      <c r="M1525" s="14" t="str">
        <f>IFERROR(VLOOKUP(I1525,material!A:D,4,0),"")</f>
        <v/>
      </c>
      <c r="N1525" s="14" t="str">
        <f t="shared" si="1"/>
        <v/>
      </c>
      <c r="O1525" s="15" t="str">
        <f>IFERROR(VLOOKUP(I1525,material!A:D,2,0),"")</f>
        <v/>
      </c>
    </row>
    <row r="1526">
      <c r="A1526" s="6"/>
      <c r="B1526" s="7"/>
      <c r="C1526" s="8" t="str">
        <f t="array" ref="C1526">IFERROR(INDEX(atlas!H:H,MATCH(A1526,atlas!C:C,0)),"")</f>
        <v/>
      </c>
      <c r="D1526" s="8" t="str">
        <f t="array" ref="D1526">IFERROR(INDEX(atlas!D:D,MATCH(A1526,atlas!C:C,0)),"")</f>
        <v/>
      </c>
      <c r="E1526" s="8" t="str">
        <f t="array" ref="E1526">IFERROR(INDEX(atlas!F:F,MATCH(A1526,atlas!C:C,0)),"")</f>
        <v/>
      </c>
      <c r="F1526" s="9"/>
      <c r="G1526" s="10"/>
      <c r="H1526" s="11"/>
      <c r="I1526" s="12" t="str">
        <f t="array" ref="I1526">IFERROR(INDEX(atlas!B:B,MATCH(A1526,atlas!C:C,0)),"")</f>
        <v/>
      </c>
      <c r="J1526" s="8" t="str">
        <f>IFERROR(VLOOKUP(F1526,tecnica!A:B,2,0),"")</f>
        <v/>
      </c>
      <c r="K1526" s="8" t="str">
        <f>IFERROR(VLOOKUP(J1526,tecnica!B:C,2,0),"")</f>
        <v/>
      </c>
      <c r="L1526" s="13"/>
      <c r="M1526" s="14" t="str">
        <f>IFERROR(VLOOKUP(I1526,material!A:D,4,0),"")</f>
        <v/>
      </c>
      <c r="N1526" s="14" t="str">
        <f t="shared" si="1"/>
        <v/>
      </c>
      <c r="O1526" s="15" t="str">
        <f>IFERROR(VLOOKUP(I1526,material!A:D,2,0),"")</f>
        <v/>
      </c>
    </row>
    <row r="1527">
      <c r="A1527" s="6"/>
      <c r="B1527" s="7"/>
      <c r="C1527" s="8" t="str">
        <f t="array" ref="C1527">IFERROR(INDEX(atlas!H:H,MATCH(A1527,atlas!C:C,0)),"")</f>
        <v/>
      </c>
      <c r="D1527" s="8" t="str">
        <f t="array" ref="D1527">IFERROR(INDEX(atlas!D:D,MATCH(A1527,atlas!C:C,0)),"")</f>
        <v/>
      </c>
      <c r="E1527" s="8" t="str">
        <f t="array" ref="E1527">IFERROR(INDEX(atlas!F:F,MATCH(A1527,atlas!C:C,0)),"")</f>
        <v/>
      </c>
      <c r="F1527" s="9"/>
      <c r="G1527" s="10"/>
      <c r="H1527" s="11"/>
      <c r="I1527" s="12" t="str">
        <f t="array" ref="I1527">IFERROR(INDEX(atlas!B:B,MATCH(A1527,atlas!C:C,0)),"")</f>
        <v/>
      </c>
      <c r="J1527" s="8" t="str">
        <f>IFERROR(VLOOKUP(F1527,tecnica!A:B,2,0),"")</f>
        <v/>
      </c>
      <c r="K1527" s="8" t="str">
        <f>IFERROR(VLOOKUP(J1527,tecnica!B:C,2,0),"")</f>
        <v/>
      </c>
      <c r="L1527" s="13"/>
      <c r="M1527" s="14" t="str">
        <f>IFERROR(VLOOKUP(I1527,material!A:D,4,0),"")</f>
        <v/>
      </c>
      <c r="N1527" s="14" t="str">
        <f t="shared" si="1"/>
        <v/>
      </c>
      <c r="O1527" s="15" t="str">
        <f>IFERROR(VLOOKUP(I1527,material!A:D,2,0),"")</f>
        <v/>
      </c>
    </row>
    <row r="1528">
      <c r="A1528" s="6"/>
      <c r="B1528" s="7"/>
      <c r="C1528" s="8" t="str">
        <f t="array" ref="C1528">IFERROR(INDEX(atlas!H:H,MATCH(A1528,atlas!C:C,0)),"")</f>
        <v/>
      </c>
      <c r="D1528" s="8" t="str">
        <f t="array" ref="D1528">IFERROR(INDEX(atlas!D:D,MATCH(A1528,atlas!C:C,0)),"")</f>
        <v/>
      </c>
      <c r="E1528" s="8" t="str">
        <f t="array" ref="E1528">IFERROR(INDEX(atlas!F:F,MATCH(A1528,atlas!C:C,0)),"")</f>
        <v/>
      </c>
      <c r="F1528" s="9"/>
      <c r="G1528" s="10"/>
      <c r="H1528" s="11"/>
      <c r="I1528" s="12" t="str">
        <f t="array" ref="I1528">IFERROR(INDEX(atlas!B:B,MATCH(A1528,atlas!C:C,0)),"")</f>
        <v/>
      </c>
      <c r="J1528" s="8" t="str">
        <f>IFERROR(VLOOKUP(F1528,tecnica!A:B,2,0),"")</f>
        <v/>
      </c>
      <c r="K1528" s="8" t="str">
        <f>IFERROR(VLOOKUP(J1528,tecnica!B:C,2,0),"")</f>
        <v/>
      </c>
      <c r="L1528" s="13"/>
      <c r="M1528" s="14" t="str">
        <f>IFERROR(VLOOKUP(I1528,material!A:D,4,0),"")</f>
        <v/>
      </c>
      <c r="N1528" s="14" t="str">
        <f t="shared" si="1"/>
        <v/>
      </c>
      <c r="O1528" s="15" t="str">
        <f>IFERROR(VLOOKUP(I1528,material!A:D,2,0),"")</f>
        <v/>
      </c>
    </row>
    <row r="1529">
      <c r="A1529" s="6"/>
      <c r="B1529" s="7"/>
      <c r="C1529" s="8" t="str">
        <f t="array" ref="C1529">IFERROR(INDEX(atlas!H:H,MATCH(A1529,atlas!C:C,0)),"")</f>
        <v/>
      </c>
      <c r="D1529" s="8" t="str">
        <f t="array" ref="D1529">IFERROR(INDEX(atlas!D:D,MATCH(A1529,atlas!C:C,0)),"")</f>
        <v/>
      </c>
      <c r="E1529" s="8" t="str">
        <f t="array" ref="E1529">IFERROR(INDEX(atlas!F:F,MATCH(A1529,atlas!C:C,0)),"")</f>
        <v/>
      </c>
      <c r="F1529" s="9"/>
      <c r="G1529" s="10"/>
      <c r="H1529" s="11"/>
      <c r="I1529" s="12" t="str">
        <f t="array" ref="I1529">IFERROR(INDEX(atlas!B:B,MATCH(A1529,atlas!C:C,0)),"")</f>
        <v/>
      </c>
      <c r="J1529" s="8" t="str">
        <f>IFERROR(VLOOKUP(F1529,tecnica!A:B,2,0),"")</f>
        <v/>
      </c>
      <c r="K1529" s="8" t="str">
        <f>IFERROR(VLOOKUP(J1529,tecnica!B:C,2,0),"")</f>
        <v/>
      </c>
      <c r="L1529" s="13"/>
      <c r="M1529" s="14" t="str">
        <f>IFERROR(VLOOKUP(I1529,material!A:D,4,0),"")</f>
        <v/>
      </c>
      <c r="N1529" s="14" t="str">
        <f t="shared" si="1"/>
        <v/>
      </c>
      <c r="O1529" s="15" t="str">
        <f>IFERROR(VLOOKUP(I1529,material!A:D,2,0),"")</f>
        <v/>
      </c>
    </row>
    <row r="1530">
      <c r="A1530" s="6"/>
      <c r="B1530" s="7"/>
      <c r="C1530" s="8" t="str">
        <f t="array" ref="C1530">IFERROR(INDEX(atlas!H:H,MATCH(A1530,atlas!C:C,0)),"")</f>
        <v/>
      </c>
      <c r="D1530" s="8" t="str">
        <f t="array" ref="D1530">IFERROR(INDEX(atlas!D:D,MATCH(A1530,atlas!C:C,0)),"")</f>
        <v/>
      </c>
      <c r="E1530" s="8" t="str">
        <f t="array" ref="E1530">IFERROR(INDEX(atlas!F:F,MATCH(A1530,atlas!C:C,0)),"")</f>
        <v/>
      </c>
      <c r="F1530" s="9"/>
      <c r="G1530" s="10"/>
      <c r="H1530" s="11"/>
      <c r="I1530" s="12" t="str">
        <f t="array" ref="I1530">IFERROR(INDEX(atlas!B:B,MATCH(A1530,atlas!C:C,0)),"")</f>
        <v/>
      </c>
      <c r="J1530" s="8" t="str">
        <f>IFERROR(VLOOKUP(F1530,tecnica!A:B,2,0),"")</f>
        <v/>
      </c>
      <c r="K1530" s="8" t="str">
        <f>IFERROR(VLOOKUP(J1530,tecnica!B:C,2,0),"")</f>
        <v/>
      </c>
      <c r="L1530" s="13"/>
      <c r="M1530" s="14" t="str">
        <f>IFERROR(VLOOKUP(I1530,material!A:D,4,0),"")</f>
        <v/>
      </c>
      <c r="N1530" s="14" t="str">
        <f t="shared" si="1"/>
        <v/>
      </c>
      <c r="O1530" s="15" t="str">
        <f>IFERROR(VLOOKUP(I1530,material!A:D,2,0),"")</f>
        <v/>
      </c>
    </row>
    <row r="1531">
      <c r="A1531" s="6"/>
      <c r="B1531" s="7"/>
      <c r="C1531" s="8" t="str">
        <f t="array" ref="C1531">IFERROR(INDEX(atlas!H:H,MATCH(A1531,atlas!C:C,0)),"")</f>
        <v/>
      </c>
      <c r="D1531" s="8" t="str">
        <f t="array" ref="D1531">IFERROR(INDEX(atlas!D:D,MATCH(A1531,atlas!C:C,0)),"")</f>
        <v/>
      </c>
      <c r="E1531" s="8" t="str">
        <f t="array" ref="E1531">IFERROR(INDEX(atlas!F:F,MATCH(A1531,atlas!C:C,0)),"")</f>
        <v/>
      </c>
      <c r="F1531" s="9"/>
      <c r="G1531" s="10"/>
      <c r="H1531" s="11"/>
      <c r="I1531" s="12" t="str">
        <f t="array" ref="I1531">IFERROR(INDEX(atlas!B:B,MATCH(A1531,atlas!C:C,0)),"")</f>
        <v/>
      </c>
      <c r="J1531" s="8" t="str">
        <f>IFERROR(VLOOKUP(F1531,tecnica!A:B,2,0),"")</f>
        <v/>
      </c>
      <c r="K1531" s="8" t="str">
        <f>IFERROR(VLOOKUP(J1531,tecnica!B:C,2,0),"")</f>
        <v/>
      </c>
      <c r="L1531" s="13"/>
      <c r="M1531" s="14" t="str">
        <f>IFERROR(VLOOKUP(I1531,material!A:D,4,0),"")</f>
        <v/>
      </c>
      <c r="N1531" s="14" t="str">
        <f t="shared" si="1"/>
        <v/>
      </c>
      <c r="O1531" s="15" t="str">
        <f>IFERROR(VLOOKUP(I1531,material!A:D,2,0),"")</f>
        <v/>
      </c>
    </row>
    <row r="1532">
      <c r="A1532" s="6"/>
      <c r="B1532" s="7"/>
      <c r="C1532" s="8" t="str">
        <f t="array" ref="C1532">IFERROR(INDEX(atlas!H:H,MATCH(A1532,atlas!C:C,0)),"")</f>
        <v/>
      </c>
      <c r="D1532" s="8" t="str">
        <f t="array" ref="D1532">IFERROR(INDEX(atlas!D:D,MATCH(A1532,atlas!C:C,0)),"")</f>
        <v/>
      </c>
      <c r="E1532" s="8" t="str">
        <f t="array" ref="E1532">IFERROR(INDEX(atlas!F:F,MATCH(A1532,atlas!C:C,0)),"")</f>
        <v/>
      </c>
      <c r="F1532" s="9"/>
      <c r="G1532" s="10"/>
      <c r="H1532" s="11"/>
      <c r="I1532" s="12" t="str">
        <f t="array" ref="I1532">IFERROR(INDEX(atlas!B:B,MATCH(A1532,atlas!C:C,0)),"")</f>
        <v/>
      </c>
      <c r="J1532" s="8" t="str">
        <f>IFERROR(VLOOKUP(F1532,tecnica!A:B,2,0),"")</f>
        <v/>
      </c>
      <c r="K1532" s="8" t="str">
        <f>IFERROR(VLOOKUP(J1532,tecnica!B:C,2,0),"")</f>
        <v/>
      </c>
      <c r="L1532" s="13"/>
      <c r="M1532" s="14" t="str">
        <f>IFERROR(VLOOKUP(I1532,material!A:D,4,0),"")</f>
        <v/>
      </c>
      <c r="N1532" s="14" t="str">
        <f t="shared" si="1"/>
        <v/>
      </c>
      <c r="O1532" s="15" t="str">
        <f>IFERROR(VLOOKUP(I1532,material!A:D,2,0),"")</f>
        <v/>
      </c>
    </row>
    <row r="1533">
      <c r="A1533" s="6"/>
      <c r="B1533" s="7"/>
      <c r="C1533" s="8" t="str">
        <f t="array" ref="C1533">IFERROR(INDEX(atlas!H:H,MATCH(A1533,atlas!C:C,0)),"")</f>
        <v/>
      </c>
      <c r="D1533" s="8" t="str">
        <f t="array" ref="D1533">IFERROR(INDEX(atlas!D:D,MATCH(A1533,atlas!C:C,0)),"")</f>
        <v/>
      </c>
      <c r="E1533" s="8" t="str">
        <f t="array" ref="E1533">IFERROR(INDEX(atlas!F:F,MATCH(A1533,atlas!C:C,0)),"")</f>
        <v/>
      </c>
      <c r="F1533" s="9"/>
      <c r="G1533" s="10"/>
      <c r="H1533" s="11"/>
      <c r="I1533" s="12" t="str">
        <f t="array" ref="I1533">IFERROR(INDEX(atlas!B:B,MATCH(A1533,atlas!C:C,0)),"")</f>
        <v/>
      </c>
      <c r="J1533" s="8" t="str">
        <f>IFERROR(VLOOKUP(F1533,tecnica!A:B,2,0),"")</f>
        <v/>
      </c>
      <c r="K1533" s="8" t="str">
        <f>IFERROR(VLOOKUP(J1533,tecnica!B:C,2,0),"")</f>
        <v/>
      </c>
      <c r="L1533" s="13"/>
      <c r="M1533" s="14" t="str">
        <f>IFERROR(VLOOKUP(I1533,material!A:D,4,0),"")</f>
        <v/>
      </c>
      <c r="N1533" s="14" t="str">
        <f t="shared" si="1"/>
        <v/>
      </c>
      <c r="O1533" s="15" t="str">
        <f>IFERROR(VLOOKUP(I1533,material!A:D,2,0),"")</f>
        <v/>
      </c>
    </row>
    <row r="1534">
      <c r="A1534" s="6"/>
      <c r="B1534" s="7"/>
      <c r="C1534" s="8" t="str">
        <f t="array" ref="C1534">IFERROR(INDEX(atlas!H:H,MATCH(A1534,atlas!C:C,0)),"")</f>
        <v/>
      </c>
      <c r="D1534" s="8" t="str">
        <f t="array" ref="D1534">IFERROR(INDEX(atlas!D:D,MATCH(A1534,atlas!C:C,0)),"")</f>
        <v/>
      </c>
      <c r="E1534" s="8" t="str">
        <f t="array" ref="E1534">IFERROR(INDEX(atlas!F:F,MATCH(A1534,atlas!C:C,0)),"")</f>
        <v/>
      </c>
      <c r="F1534" s="9"/>
      <c r="G1534" s="10"/>
      <c r="H1534" s="11"/>
      <c r="I1534" s="12" t="str">
        <f t="array" ref="I1534">IFERROR(INDEX(atlas!B:B,MATCH(A1534,atlas!C:C,0)),"")</f>
        <v/>
      </c>
      <c r="J1534" s="8" t="str">
        <f>IFERROR(VLOOKUP(F1534,tecnica!A:B,2,0),"")</f>
        <v/>
      </c>
      <c r="K1534" s="8" t="str">
        <f>IFERROR(VLOOKUP(J1534,tecnica!B:C,2,0),"")</f>
        <v/>
      </c>
      <c r="L1534" s="13"/>
      <c r="M1534" s="14" t="str">
        <f>IFERROR(VLOOKUP(I1534,material!A:D,4,0),"")</f>
        <v/>
      </c>
      <c r="N1534" s="14" t="str">
        <f t="shared" si="1"/>
        <v/>
      </c>
      <c r="O1534" s="15" t="str">
        <f>IFERROR(VLOOKUP(I1534,material!A:D,2,0),"")</f>
        <v/>
      </c>
    </row>
    <row r="1535">
      <c r="A1535" s="6"/>
      <c r="B1535" s="7"/>
      <c r="C1535" s="8" t="str">
        <f t="array" ref="C1535">IFERROR(INDEX(atlas!H:H,MATCH(A1535,atlas!C:C,0)),"")</f>
        <v/>
      </c>
      <c r="D1535" s="8" t="str">
        <f t="array" ref="D1535">IFERROR(INDEX(atlas!D:D,MATCH(A1535,atlas!C:C,0)),"")</f>
        <v/>
      </c>
      <c r="E1535" s="8" t="str">
        <f t="array" ref="E1535">IFERROR(INDEX(atlas!F:F,MATCH(A1535,atlas!C:C,0)),"")</f>
        <v/>
      </c>
      <c r="F1535" s="9"/>
      <c r="G1535" s="10"/>
      <c r="H1535" s="11"/>
      <c r="I1535" s="12" t="str">
        <f t="array" ref="I1535">IFERROR(INDEX(atlas!B:B,MATCH(A1535,atlas!C:C,0)),"")</f>
        <v/>
      </c>
      <c r="J1535" s="8" t="str">
        <f>IFERROR(VLOOKUP(F1535,tecnica!A:B,2,0),"")</f>
        <v/>
      </c>
      <c r="K1535" s="8" t="str">
        <f>IFERROR(VLOOKUP(J1535,tecnica!B:C,2,0),"")</f>
        <v/>
      </c>
      <c r="L1535" s="13"/>
      <c r="M1535" s="14" t="str">
        <f>IFERROR(VLOOKUP(I1535,material!A:D,4,0),"")</f>
        <v/>
      </c>
      <c r="N1535" s="14" t="str">
        <f t="shared" si="1"/>
        <v/>
      </c>
      <c r="O1535" s="15" t="str">
        <f>IFERROR(VLOOKUP(I1535,material!A:D,2,0),"")</f>
        <v/>
      </c>
    </row>
    <row r="1536">
      <c r="A1536" s="6"/>
      <c r="B1536" s="7"/>
      <c r="C1536" s="8" t="str">
        <f t="array" ref="C1536">IFERROR(INDEX(atlas!H:H,MATCH(A1536,atlas!C:C,0)),"")</f>
        <v/>
      </c>
      <c r="D1536" s="8" t="str">
        <f t="array" ref="D1536">IFERROR(INDEX(atlas!D:D,MATCH(A1536,atlas!C:C,0)),"")</f>
        <v/>
      </c>
      <c r="E1536" s="8" t="str">
        <f t="array" ref="E1536">IFERROR(INDEX(atlas!F:F,MATCH(A1536,atlas!C:C,0)),"")</f>
        <v/>
      </c>
      <c r="F1536" s="9"/>
      <c r="G1536" s="10"/>
      <c r="H1536" s="11"/>
      <c r="I1536" s="12" t="str">
        <f t="array" ref="I1536">IFERROR(INDEX(atlas!B:B,MATCH(A1536,atlas!C:C,0)),"")</f>
        <v/>
      </c>
      <c r="J1536" s="8" t="str">
        <f>IFERROR(VLOOKUP(F1536,tecnica!A:B,2,0),"")</f>
        <v/>
      </c>
      <c r="K1536" s="8" t="str">
        <f>IFERROR(VLOOKUP(J1536,tecnica!B:C,2,0),"")</f>
        <v/>
      </c>
      <c r="L1536" s="13"/>
      <c r="M1536" s="14" t="str">
        <f>IFERROR(VLOOKUP(I1536,material!A:D,4,0),"")</f>
        <v/>
      </c>
      <c r="N1536" s="14" t="str">
        <f t="shared" si="1"/>
        <v/>
      </c>
      <c r="O1536" s="15" t="str">
        <f>IFERROR(VLOOKUP(I1536,material!A:D,2,0),"")</f>
        <v/>
      </c>
    </row>
    <row r="1537">
      <c r="A1537" s="6"/>
      <c r="B1537" s="7"/>
      <c r="C1537" s="8" t="str">
        <f t="array" ref="C1537">IFERROR(INDEX(atlas!H:H,MATCH(A1537,atlas!C:C,0)),"")</f>
        <v/>
      </c>
      <c r="D1537" s="8" t="str">
        <f t="array" ref="D1537">IFERROR(INDEX(atlas!D:D,MATCH(A1537,atlas!C:C,0)),"")</f>
        <v/>
      </c>
      <c r="E1537" s="8" t="str">
        <f t="array" ref="E1537">IFERROR(INDEX(atlas!F:F,MATCH(A1537,atlas!C:C,0)),"")</f>
        <v/>
      </c>
      <c r="F1537" s="9"/>
      <c r="G1537" s="10"/>
      <c r="H1537" s="11"/>
      <c r="I1537" s="12" t="str">
        <f t="array" ref="I1537">IFERROR(INDEX(atlas!B:B,MATCH(A1537,atlas!C:C,0)),"")</f>
        <v/>
      </c>
      <c r="J1537" s="8" t="str">
        <f>IFERROR(VLOOKUP(F1537,tecnica!A:B,2,0),"")</f>
        <v/>
      </c>
      <c r="K1537" s="8" t="str">
        <f>IFERROR(VLOOKUP(J1537,tecnica!B:C,2,0),"")</f>
        <v/>
      </c>
      <c r="L1537" s="13"/>
      <c r="M1537" s="14" t="str">
        <f>IFERROR(VLOOKUP(I1537,material!A:D,4,0),"")</f>
        <v/>
      </c>
      <c r="N1537" s="14" t="str">
        <f t="shared" si="1"/>
        <v/>
      </c>
      <c r="O1537" s="15" t="str">
        <f>IFERROR(VLOOKUP(I1537,material!A:D,2,0),"")</f>
        <v/>
      </c>
    </row>
    <row r="1538">
      <c r="A1538" s="6"/>
      <c r="B1538" s="7"/>
      <c r="C1538" s="8" t="str">
        <f t="array" ref="C1538">IFERROR(INDEX(atlas!H:H,MATCH(A1538,atlas!C:C,0)),"")</f>
        <v/>
      </c>
      <c r="D1538" s="8" t="str">
        <f t="array" ref="D1538">IFERROR(INDEX(atlas!D:D,MATCH(A1538,atlas!C:C,0)),"")</f>
        <v/>
      </c>
      <c r="E1538" s="8" t="str">
        <f t="array" ref="E1538">IFERROR(INDEX(atlas!F:F,MATCH(A1538,atlas!C:C,0)),"")</f>
        <v/>
      </c>
      <c r="F1538" s="9"/>
      <c r="G1538" s="10"/>
      <c r="H1538" s="11"/>
      <c r="I1538" s="12" t="str">
        <f t="array" ref="I1538">IFERROR(INDEX(atlas!B:B,MATCH(A1538,atlas!C:C,0)),"")</f>
        <v/>
      </c>
      <c r="J1538" s="8" t="str">
        <f>IFERROR(VLOOKUP(F1538,tecnica!A:B,2,0),"")</f>
        <v/>
      </c>
      <c r="K1538" s="8" t="str">
        <f>IFERROR(VLOOKUP(J1538,tecnica!B:C,2,0),"")</f>
        <v/>
      </c>
      <c r="L1538" s="13"/>
      <c r="M1538" s="14" t="str">
        <f>IFERROR(VLOOKUP(I1538,material!A:D,4,0),"")</f>
        <v/>
      </c>
      <c r="N1538" s="14" t="str">
        <f t="shared" si="1"/>
        <v/>
      </c>
      <c r="O1538" s="15" t="str">
        <f>IFERROR(VLOOKUP(I1538,material!A:D,2,0),"")</f>
        <v/>
      </c>
    </row>
    <row r="1539">
      <c r="A1539" s="6"/>
      <c r="B1539" s="7"/>
      <c r="C1539" s="8" t="str">
        <f t="array" ref="C1539">IFERROR(INDEX(atlas!H:H,MATCH(A1539,atlas!C:C,0)),"")</f>
        <v/>
      </c>
      <c r="D1539" s="8" t="str">
        <f t="array" ref="D1539">IFERROR(INDEX(atlas!D:D,MATCH(A1539,atlas!C:C,0)),"")</f>
        <v/>
      </c>
      <c r="E1539" s="8" t="str">
        <f t="array" ref="E1539">IFERROR(INDEX(atlas!F:F,MATCH(A1539,atlas!C:C,0)),"")</f>
        <v/>
      </c>
      <c r="F1539" s="9"/>
      <c r="G1539" s="10"/>
      <c r="H1539" s="11"/>
      <c r="I1539" s="12" t="str">
        <f t="array" ref="I1539">IFERROR(INDEX(atlas!B:B,MATCH(A1539,atlas!C:C,0)),"")</f>
        <v/>
      </c>
      <c r="J1539" s="8" t="str">
        <f>IFERROR(VLOOKUP(F1539,tecnica!A:B,2,0),"")</f>
        <v/>
      </c>
      <c r="K1539" s="8" t="str">
        <f>IFERROR(VLOOKUP(J1539,tecnica!B:C,2,0),"")</f>
        <v/>
      </c>
      <c r="L1539" s="13"/>
      <c r="M1539" s="14" t="str">
        <f>IFERROR(VLOOKUP(I1539,material!A:D,4,0),"")</f>
        <v/>
      </c>
      <c r="N1539" s="14" t="str">
        <f t="shared" si="1"/>
        <v/>
      </c>
      <c r="O1539" s="15" t="str">
        <f>IFERROR(VLOOKUP(I1539,material!A:D,2,0),"")</f>
        <v/>
      </c>
    </row>
    <row r="1540">
      <c r="A1540" s="6"/>
      <c r="B1540" s="7"/>
      <c r="C1540" s="8" t="str">
        <f t="array" ref="C1540">IFERROR(INDEX(atlas!H:H,MATCH(A1540,atlas!C:C,0)),"")</f>
        <v/>
      </c>
      <c r="D1540" s="8" t="str">
        <f t="array" ref="D1540">IFERROR(INDEX(atlas!D:D,MATCH(A1540,atlas!C:C,0)),"")</f>
        <v/>
      </c>
      <c r="E1540" s="8" t="str">
        <f t="array" ref="E1540">IFERROR(INDEX(atlas!F:F,MATCH(A1540,atlas!C:C,0)),"")</f>
        <v/>
      </c>
      <c r="F1540" s="9"/>
      <c r="G1540" s="10"/>
      <c r="H1540" s="11"/>
      <c r="I1540" s="12" t="str">
        <f t="array" ref="I1540">IFERROR(INDEX(atlas!B:B,MATCH(A1540,atlas!C:C,0)),"")</f>
        <v/>
      </c>
      <c r="J1540" s="8" t="str">
        <f>IFERROR(VLOOKUP(F1540,tecnica!A:B,2,0),"")</f>
        <v/>
      </c>
      <c r="K1540" s="8" t="str">
        <f>IFERROR(VLOOKUP(J1540,tecnica!B:C,2,0),"")</f>
        <v/>
      </c>
      <c r="L1540" s="13"/>
      <c r="M1540" s="14" t="str">
        <f>IFERROR(VLOOKUP(I1540,material!A:D,4,0),"")</f>
        <v/>
      </c>
      <c r="N1540" s="14" t="str">
        <f t="shared" si="1"/>
        <v/>
      </c>
      <c r="O1540" s="15" t="str">
        <f>IFERROR(VLOOKUP(I1540,material!A:D,2,0),"")</f>
        <v/>
      </c>
    </row>
    <row r="1541">
      <c r="A1541" s="6"/>
      <c r="B1541" s="7"/>
      <c r="C1541" s="8" t="str">
        <f t="array" ref="C1541">IFERROR(INDEX(atlas!H:H,MATCH(A1541,atlas!C:C,0)),"")</f>
        <v/>
      </c>
      <c r="D1541" s="8" t="str">
        <f t="array" ref="D1541">IFERROR(INDEX(atlas!D:D,MATCH(A1541,atlas!C:C,0)),"")</f>
        <v/>
      </c>
      <c r="E1541" s="8" t="str">
        <f t="array" ref="E1541">IFERROR(INDEX(atlas!F:F,MATCH(A1541,atlas!C:C,0)),"")</f>
        <v/>
      </c>
      <c r="F1541" s="9"/>
      <c r="G1541" s="10"/>
      <c r="H1541" s="11"/>
      <c r="I1541" s="12" t="str">
        <f t="array" ref="I1541">IFERROR(INDEX(atlas!B:B,MATCH(A1541,atlas!C:C,0)),"")</f>
        <v/>
      </c>
      <c r="J1541" s="8" t="str">
        <f>IFERROR(VLOOKUP(F1541,tecnica!A:B,2,0),"")</f>
        <v/>
      </c>
      <c r="K1541" s="8" t="str">
        <f>IFERROR(VLOOKUP(J1541,tecnica!B:C,2,0),"")</f>
        <v/>
      </c>
      <c r="L1541" s="13"/>
      <c r="M1541" s="14" t="str">
        <f>IFERROR(VLOOKUP(I1541,material!A:D,4,0),"")</f>
        <v/>
      </c>
      <c r="N1541" s="14" t="str">
        <f t="shared" si="1"/>
        <v/>
      </c>
      <c r="O1541" s="15" t="str">
        <f>IFERROR(VLOOKUP(I1541,material!A:D,2,0),"")</f>
        <v/>
      </c>
    </row>
    <row r="1542">
      <c r="A1542" s="6"/>
      <c r="B1542" s="7"/>
      <c r="C1542" s="8" t="str">
        <f t="array" ref="C1542">IFERROR(INDEX(atlas!H:H,MATCH(A1542,atlas!C:C,0)),"")</f>
        <v/>
      </c>
      <c r="D1542" s="8" t="str">
        <f t="array" ref="D1542">IFERROR(INDEX(atlas!D:D,MATCH(A1542,atlas!C:C,0)),"")</f>
        <v/>
      </c>
      <c r="E1542" s="8" t="str">
        <f t="array" ref="E1542">IFERROR(INDEX(atlas!F:F,MATCH(A1542,atlas!C:C,0)),"")</f>
        <v/>
      </c>
      <c r="F1542" s="9"/>
      <c r="G1542" s="10"/>
      <c r="H1542" s="11"/>
      <c r="I1542" s="12" t="str">
        <f t="array" ref="I1542">IFERROR(INDEX(atlas!B:B,MATCH(A1542,atlas!C:C,0)),"")</f>
        <v/>
      </c>
      <c r="J1542" s="8" t="str">
        <f>IFERROR(VLOOKUP(F1542,tecnica!A:B,2,0),"")</f>
        <v/>
      </c>
      <c r="K1542" s="8" t="str">
        <f>IFERROR(VLOOKUP(J1542,tecnica!B:C,2,0),"")</f>
        <v/>
      </c>
      <c r="L1542" s="13"/>
      <c r="M1542" s="14" t="str">
        <f>IFERROR(VLOOKUP(I1542,material!A:D,4,0),"")</f>
        <v/>
      </c>
      <c r="N1542" s="14" t="str">
        <f t="shared" si="1"/>
        <v/>
      </c>
      <c r="O1542" s="15" t="str">
        <f>IFERROR(VLOOKUP(I1542,material!A:D,2,0),"")</f>
        <v/>
      </c>
    </row>
    <row r="1543">
      <c r="A1543" s="6"/>
      <c r="B1543" s="7"/>
      <c r="C1543" s="8" t="str">
        <f t="array" ref="C1543">IFERROR(INDEX(atlas!H:H,MATCH(A1543,atlas!C:C,0)),"")</f>
        <v/>
      </c>
      <c r="D1543" s="8" t="str">
        <f t="array" ref="D1543">IFERROR(INDEX(atlas!D:D,MATCH(A1543,atlas!C:C,0)),"")</f>
        <v/>
      </c>
      <c r="E1543" s="8" t="str">
        <f t="array" ref="E1543">IFERROR(INDEX(atlas!F:F,MATCH(A1543,atlas!C:C,0)),"")</f>
        <v/>
      </c>
      <c r="F1543" s="9"/>
      <c r="G1543" s="10"/>
      <c r="H1543" s="11"/>
      <c r="I1543" s="12" t="str">
        <f t="array" ref="I1543">IFERROR(INDEX(atlas!B:B,MATCH(A1543,atlas!C:C,0)),"")</f>
        <v/>
      </c>
      <c r="J1543" s="8" t="str">
        <f>IFERROR(VLOOKUP(F1543,tecnica!A:B,2,0),"")</f>
        <v/>
      </c>
      <c r="K1543" s="8" t="str">
        <f>IFERROR(VLOOKUP(J1543,tecnica!B:C,2,0),"")</f>
        <v/>
      </c>
      <c r="L1543" s="13"/>
      <c r="M1543" s="14" t="str">
        <f>IFERROR(VLOOKUP(I1543,material!A:D,4,0),"")</f>
        <v/>
      </c>
      <c r="N1543" s="14" t="str">
        <f t="shared" si="1"/>
        <v/>
      </c>
      <c r="O1543" s="15" t="str">
        <f>IFERROR(VLOOKUP(I1543,material!A:D,2,0),"")</f>
        <v/>
      </c>
    </row>
    <row r="1544">
      <c r="A1544" s="6"/>
      <c r="B1544" s="7"/>
      <c r="C1544" s="8" t="str">
        <f t="array" ref="C1544">IFERROR(INDEX(atlas!H:H,MATCH(A1544,atlas!C:C,0)),"")</f>
        <v/>
      </c>
      <c r="D1544" s="8" t="str">
        <f t="array" ref="D1544">IFERROR(INDEX(atlas!D:D,MATCH(A1544,atlas!C:C,0)),"")</f>
        <v/>
      </c>
      <c r="E1544" s="8" t="str">
        <f t="array" ref="E1544">IFERROR(INDEX(atlas!F:F,MATCH(A1544,atlas!C:C,0)),"")</f>
        <v/>
      </c>
      <c r="F1544" s="9"/>
      <c r="G1544" s="10"/>
      <c r="H1544" s="11"/>
      <c r="I1544" s="12" t="str">
        <f t="array" ref="I1544">IFERROR(INDEX(atlas!B:B,MATCH(A1544,atlas!C:C,0)),"")</f>
        <v/>
      </c>
      <c r="J1544" s="8" t="str">
        <f>IFERROR(VLOOKUP(F1544,tecnica!A:B,2,0),"")</f>
        <v/>
      </c>
      <c r="K1544" s="8" t="str">
        <f>IFERROR(VLOOKUP(J1544,tecnica!B:C,2,0),"")</f>
        <v/>
      </c>
      <c r="L1544" s="13"/>
      <c r="M1544" s="14" t="str">
        <f>IFERROR(VLOOKUP(I1544,material!A:D,4,0),"")</f>
        <v/>
      </c>
      <c r="N1544" s="14" t="str">
        <f t="shared" si="1"/>
        <v/>
      </c>
      <c r="O1544" s="15" t="str">
        <f>IFERROR(VLOOKUP(I1544,material!A:D,2,0),"")</f>
        <v/>
      </c>
    </row>
    <row r="1545">
      <c r="A1545" s="6"/>
      <c r="B1545" s="7"/>
      <c r="C1545" s="8" t="str">
        <f t="array" ref="C1545">IFERROR(INDEX(atlas!H:H,MATCH(A1545,atlas!C:C,0)),"")</f>
        <v/>
      </c>
      <c r="D1545" s="8" t="str">
        <f t="array" ref="D1545">IFERROR(INDEX(atlas!D:D,MATCH(A1545,atlas!C:C,0)),"")</f>
        <v/>
      </c>
      <c r="E1545" s="8" t="str">
        <f t="array" ref="E1545">IFERROR(INDEX(atlas!F:F,MATCH(A1545,atlas!C:C,0)),"")</f>
        <v/>
      </c>
      <c r="F1545" s="9"/>
      <c r="G1545" s="10"/>
      <c r="H1545" s="11"/>
      <c r="I1545" s="12" t="str">
        <f t="array" ref="I1545">IFERROR(INDEX(atlas!B:B,MATCH(A1545,atlas!C:C,0)),"")</f>
        <v/>
      </c>
      <c r="J1545" s="8" t="str">
        <f>IFERROR(VLOOKUP(F1545,tecnica!A:B,2,0),"")</f>
        <v/>
      </c>
      <c r="K1545" s="8" t="str">
        <f>IFERROR(VLOOKUP(J1545,tecnica!B:C,2,0),"")</f>
        <v/>
      </c>
      <c r="L1545" s="13"/>
      <c r="M1545" s="14" t="str">
        <f>IFERROR(VLOOKUP(I1545,material!A:D,4,0),"")</f>
        <v/>
      </c>
      <c r="N1545" s="14" t="str">
        <f t="shared" si="1"/>
        <v/>
      </c>
      <c r="O1545" s="15" t="str">
        <f>IFERROR(VLOOKUP(I1545,material!A:D,2,0),"")</f>
        <v/>
      </c>
    </row>
    <row r="1546">
      <c r="A1546" s="6"/>
      <c r="B1546" s="7"/>
      <c r="C1546" s="8" t="str">
        <f t="array" ref="C1546">IFERROR(INDEX(atlas!H:H,MATCH(A1546,atlas!C:C,0)),"")</f>
        <v/>
      </c>
      <c r="D1546" s="8" t="str">
        <f t="array" ref="D1546">IFERROR(INDEX(atlas!D:D,MATCH(A1546,atlas!C:C,0)),"")</f>
        <v/>
      </c>
      <c r="E1546" s="8" t="str">
        <f t="array" ref="E1546">IFERROR(INDEX(atlas!F:F,MATCH(A1546,atlas!C:C,0)),"")</f>
        <v/>
      </c>
      <c r="F1546" s="9"/>
      <c r="G1546" s="10"/>
      <c r="H1546" s="11"/>
      <c r="I1546" s="12" t="str">
        <f t="array" ref="I1546">IFERROR(INDEX(atlas!B:B,MATCH(A1546,atlas!C:C,0)),"")</f>
        <v/>
      </c>
      <c r="J1546" s="8" t="str">
        <f>IFERROR(VLOOKUP(F1546,tecnica!A:B,2,0),"")</f>
        <v/>
      </c>
      <c r="K1546" s="8" t="str">
        <f>IFERROR(VLOOKUP(J1546,tecnica!B:C,2,0),"")</f>
        <v/>
      </c>
      <c r="L1546" s="13"/>
      <c r="M1546" s="14" t="str">
        <f>IFERROR(VLOOKUP(I1546,material!A:D,4,0),"")</f>
        <v/>
      </c>
      <c r="N1546" s="14" t="str">
        <f t="shared" si="1"/>
        <v/>
      </c>
      <c r="O1546" s="15" t="str">
        <f>IFERROR(VLOOKUP(I1546,material!A:D,2,0),"")</f>
        <v/>
      </c>
    </row>
    <row r="1547">
      <c r="A1547" s="6"/>
      <c r="B1547" s="7"/>
      <c r="C1547" s="8" t="str">
        <f t="array" ref="C1547">IFERROR(INDEX(atlas!H:H,MATCH(A1547,atlas!C:C,0)),"")</f>
        <v/>
      </c>
      <c r="D1547" s="8" t="str">
        <f t="array" ref="D1547">IFERROR(INDEX(atlas!D:D,MATCH(A1547,atlas!C:C,0)),"")</f>
        <v/>
      </c>
      <c r="E1547" s="8" t="str">
        <f t="array" ref="E1547">IFERROR(INDEX(atlas!F:F,MATCH(A1547,atlas!C:C,0)),"")</f>
        <v/>
      </c>
      <c r="F1547" s="9"/>
      <c r="G1547" s="10"/>
      <c r="H1547" s="11"/>
      <c r="I1547" s="12" t="str">
        <f t="array" ref="I1547">IFERROR(INDEX(atlas!B:B,MATCH(A1547,atlas!C:C,0)),"")</f>
        <v/>
      </c>
      <c r="J1547" s="8" t="str">
        <f>IFERROR(VLOOKUP(F1547,tecnica!A:B,2,0),"")</f>
        <v/>
      </c>
      <c r="K1547" s="8" t="str">
        <f>IFERROR(VLOOKUP(J1547,tecnica!B:C,2,0),"")</f>
        <v/>
      </c>
      <c r="L1547" s="13"/>
      <c r="M1547" s="14" t="str">
        <f>IFERROR(VLOOKUP(I1547,material!A:D,4,0),"")</f>
        <v/>
      </c>
      <c r="N1547" s="14" t="str">
        <f t="shared" si="1"/>
        <v/>
      </c>
      <c r="O1547" s="15" t="str">
        <f>IFERROR(VLOOKUP(I1547,material!A:D,2,0),"")</f>
        <v/>
      </c>
    </row>
    <row r="1548">
      <c r="A1548" s="6"/>
      <c r="B1548" s="7"/>
      <c r="C1548" s="8" t="str">
        <f t="array" ref="C1548">IFERROR(INDEX(atlas!H:H,MATCH(A1548,atlas!C:C,0)),"")</f>
        <v/>
      </c>
      <c r="D1548" s="8" t="str">
        <f t="array" ref="D1548">IFERROR(INDEX(atlas!D:D,MATCH(A1548,atlas!C:C,0)),"")</f>
        <v/>
      </c>
      <c r="E1548" s="8" t="str">
        <f t="array" ref="E1548">IFERROR(INDEX(atlas!F:F,MATCH(A1548,atlas!C:C,0)),"")</f>
        <v/>
      </c>
      <c r="F1548" s="9"/>
      <c r="G1548" s="10"/>
      <c r="H1548" s="11"/>
      <c r="I1548" s="12" t="str">
        <f t="array" ref="I1548">IFERROR(INDEX(atlas!B:B,MATCH(A1548,atlas!C:C,0)),"")</f>
        <v/>
      </c>
      <c r="J1548" s="8" t="str">
        <f>IFERROR(VLOOKUP(F1548,tecnica!A:B,2,0),"")</f>
        <v/>
      </c>
      <c r="K1548" s="8" t="str">
        <f>IFERROR(VLOOKUP(J1548,tecnica!B:C,2,0),"")</f>
        <v/>
      </c>
      <c r="L1548" s="13"/>
      <c r="M1548" s="14" t="str">
        <f>IFERROR(VLOOKUP(I1548,material!A:D,4,0),"")</f>
        <v/>
      </c>
      <c r="N1548" s="14" t="str">
        <f t="shared" si="1"/>
        <v/>
      </c>
      <c r="O1548" s="15" t="str">
        <f>IFERROR(VLOOKUP(I1548,material!A:D,2,0),"")</f>
        <v/>
      </c>
    </row>
    <row r="1549">
      <c r="A1549" s="6"/>
      <c r="B1549" s="7"/>
      <c r="C1549" s="8" t="str">
        <f t="array" ref="C1549">IFERROR(INDEX(atlas!H:H,MATCH(A1549,atlas!C:C,0)),"")</f>
        <v/>
      </c>
      <c r="D1549" s="8" t="str">
        <f t="array" ref="D1549">IFERROR(INDEX(atlas!D:D,MATCH(A1549,atlas!C:C,0)),"")</f>
        <v/>
      </c>
      <c r="E1549" s="8" t="str">
        <f t="array" ref="E1549">IFERROR(INDEX(atlas!F:F,MATCH(A1549,atlas!C:C,0)),"")</f>
        <v/>
      </c>
      <c r="F1549" s="9"/>
      <c r="G1549" s="10"/>
      <c r="H1549" s="11"/>
      <c r="I1549" s="12" t="str">
        <f t="array" ref="I1549">IFERROR(INDEX(atlas!B:B,MATCH(A1549,atlas!C:C,0)),"")</f>
        <v/>
      </c>
      <c r="J1549" s="8" t="str">
        <f>IFERROR(VLOOKUP(F1549,tecnica!A:B,2,0),"")</f>
        <v/>
      </c>
      <c r="K1549" s="8" t="str">
        <f>IFERROR(VLOOKUP(J1549,tecnica!B:C,2,0),"")</f>
        <v/>
      </c>
      <c r="L1549" s="13"/>
      <c r="M1549" s="14" t="str">
        <f>IFERROR(VLOOKUP(I1549,material!A:D,4,0),"")</f>
        <v/>
      </c>
      <c r="N1549" s="14" t="str">
        <f t="shared" si="1"/>
        <v/>
      </c>
      <c r="O1549" s="15" t="str">
        <f>IFERROR(VLOOKUP(I1549,material!A:D,2,0),"")</f>
        <v/>
      </c>
    </row>
    <row r="1550">
      <c r="A1550" s="6"/>
      <c r="B1550" s="7"/>
      <c r="C1550" s="8" t="str">
        <f t="array" ref="C1550">IFERROR(INDEX(atlas!H:H,MATCH(A1550,atlas!C:C,0)),"")</f>
        <v/>
      </c>
      <c r="D1550" s="8" t="str">
        <f t="array" ref="D1550">IFERROR(INDEX(atlas!D:D,MATCH(A1550,atlas!C:C,0)),"")</f>
        <v/>
      </c>
      <c r="E1550" s="8" t="str">
        <f t="array" ref="E1550">IFERROR(INDEX(atlas!F:F,MATCH(A1550,atlas!C:C,0)),"")</f>
        <v/>
      </c>
      <c r="F1550" s="9"/>
      <c r="G1550" s="10"/>
      <c r="H1550" s="11"/>
      <c r="I1550" s="12" t="str">
        <f t="array" ref="I1550">IFERROR(INDEX(atlas!B:B,MATCH(A1550,atlas!C:C,0)),"")</f>
        <v/>
      </c>
      <c r="J1550" s="8" t="str">
        <f>IFERROR(VLOOKUP(F1550,tecnica!A:B,2,0),"")</f>
        <v/>
      </c>
      <c r="K1550" s="8" t="str">
        <f>IFERROR(VLOOKUP(J1550,tecnica!B:C,2,0),"")</f>
        <v/>
      </c>
      <c r="L1550" s="13"/>
      <c r="M1550" s="14" t="str">
        <f>IFERROR(VLOOKUP(I1550,material!A:D,4,0),"")</f>
        <v/>
      </c>
      <c r="N1550" s="14" t="str">
        <f t="shared" si="1"/>
        <v/>
      </c>
      <c r="O1550" s="15" t="str">
        <f>IFERROR(VLOOKUP(I1550,material!A:D,2,0),"")</f>
        <v/>
      </c>
    </row>
    <row r="1551">
      <c r="A1551" s="6"/>
      <c r="B1551" s="7"/>
      <c r="C1551" s="8" t="str">
        <f t="array" ref="C1551">IFERROR(INDEX(atlas!H:H,MATCH(A1551,atlas!C:C,0)),"")</f>
        <v/>
      </c>
      <c r="D1551" s="8" t="str">
        <f t="array" ref="D1551">IFERROR(INDEX(atlas!D:D,MATCH(A1551,atlas!C:C,0)),"")</f>
        <v/>
      </c>
      <c r="E1551" s="8" t="str">
        <f t="array" ref="E1551">IFERROR(INDEX(atlas!F:F,MATCH(A1551,atlas!C:C,0)),"")</f>
        <v/>
      </c>
      <c r="F1551" s="9"/>
      <c r="G1551" s="10"/>
      <c r="H1551" s="11"/>
      <c r="I1551" s="12" t="str">
        <f t="array" ref="I1551">IFERROR(INDEX(atlas!B:B,MATCH(A1551,atlas!C:C,0)),"")</f>
        <v/>
      </c>
      <c r="J1551" s="8" t="str">
        <f>IFERROR(VLOOKUP(F1551,tecnica!A:B,2,0),"")</f>
        <v/>
      </c>
      <c r="K1551" s="8" t="str">
        <f>IFERROR(VLOOKUP(J1551,tecnica!B:C,2,0),"")</f>
        <v/>
      </c>
      <c r="L1551" s="13"/>
      <c r="M1551" s="14" t="str">
        <f>IFERROR(VLOOKUP(I1551,material!A:D,4,0),"")</f>
        <v/>
      </c>
      <c r="N1551" s="14" t="str">
        <f t="shared" si="1"/>
        <v/>
      </c>
      <c r="O1551" s="15" t="str">
        <f>IFERROR(VLOOKUP(I1551,material!A:D,2,0),"")</f>
        <v/>
      </c>
    </row>
    <row r="1552">
      <c r="A1552" s="6"/>
      <c r="B1552" s="7"/>
      <c r="C1552" s="8" t="str">
        <f t="array" ref="C1552">IFERROR(INDEX(atlas!H:H,MATCH(A1552,atlas!C:C,0)),"")</f>
        <v/>
      </c>
      <c r="D1552" s="8" t="str">
        <f t="array" ref="D1552">IFERROR(INDEX(atlas!D:D,MATCH(A1552,atlas!C:C,0)),"")</f>
        <v/>
      </c>
      <c r="E1552" s="8" t="str">
        <f t="array" ref="E1552">IFERROR(INDEX(atlas!F:F,MATCH(A1552,atlas!C:C,0)),"")</f>
        <v/>
      </c>
      <c r="F1552" s="9"/>
      <c r="G1552" s="10"/>
      <c r="H1552" s="11"/>
      <c r="I1552" s="12" t="str">
        <f t="array" ref="I1552">IFERROR(INDEX(atlas!B:B,MATCH(A1552,atlas!C:C,0)),"")</f>
        <v/>
      </c>
      <c r="J1552" s="8" t="str">
        <f>IFERROR(VLOOKUP(F1552,tecnica!A:B,2,0),"")</f>
        <v/>
      </c>
      <c r="K1552" s="8" t="str">
        <f>IFERROR(VLOOKUP(J1552,tecnica!B:C,2,0),"")</f>
        <v/>
      </c>
      <c r="L1552" s="13"/>
      <c r="M1552" s="14" t="str">
        <f>IFERROR(VLOOKUP(I1552,material!A:D,4,0),"")</f>
        <v/>
      </c>
      <c r="N1552" s="14" t="str">
        <f t="shared" si="1"/>
        <v/>
      </c>
      <c r="O1552" s="15" t="str">
        <f>IFERROR(VLOOKUP(I1552,material!A:D,2,0),"")</f>
        <v/>
      </c>
    </row>
    <row r="1553">
      <c r="A1553" s="6"/>
      <c r="B1553" s="7"/>
      <c r="C1553" s="8" t="str">
        <f t="array" ref="C1553">IFERROR(INDEX(atlas!H:H,MATCH(A1553,atlas!C:C,0)),"")</f>
        <v/>
      </c>
      <c r="D1553" s="8" t="str">
        <f t="array" ref="D1553">IFERROR(INDEX(atlas!D:D,MATCH(A1553,atlas!C:C,0)),"")</f>
        <v/>
      </c>
      <c r="E1553" s="8" t="str">
        <f t="array" ref="E1553">IFERROR(INDEX(atlas!F:F,MATCH(A1553,atlas!C:C,0)),"")</f>
        <v/>
      </c>
      <c r="F1553" s="9"/>
      <c r="G1553" s="10"/>
      <c r="H1553" s="11"/>
      <c r="I1553" s="12" t="str">
        <f t="array" ref="I1553">IFERROR(INDEX(atlas!B:B,MATCH(A1553,atlas!C:C,0)),"")</f>
        <v/>
      </c>
      <c r="J1553" s="8" t="str">
        <f>IFERROR(VLOOKUP(F1553,tecnica!A:B,2,0),"")</f>
        <v/>
      </c>
      <c r="K1553" s="8" t="str">
        <f>IFERROR(VLOOKUP(J1553,tecnica!B:C,2,0),"")</f>
        <v/>
      </c>
      <c r="L1553" s="13"/>
      <c r="M1553" s="14" t="str">
        <f>IFERROR(VLOOKUP(I1553,material!A:D,4,0),"")</f>
        <v/>
      </c>
      <c r="N1553" s="14" t="str">
        <f t="shared" si="1"/>
        <v/>
      </c>
      <c r="O1553" s="15" t="str">
        <f>IFERROR(VLOOKUP(I1553,material!A:D,2,0),"")</f>
        <v/>
      </c>
    </row>
    <row r="1554">
      <c r="A1554" s="6"/>
      <c r="B1554" s="7"/>
      <c r="C1554" s="8" t="str">
        <f t="array" ref="C1554">IFERROR(INDEX(atlas!H:H,MATCH(A1554,atlas!C:C,0)),"")</f>
        <v/>
      </c>
      <c r="D1554" s="8" t="str">
        <f t="array" ref="D1554">IFERROR(INDEX(atlas!D:D,MATCH(A1554,atlas!C:C,0)),"")</f>
        <v/>
      </c>
      <c r="E1554" s="8" t="str">
        <f t="array" ref="E1554">IFERROR(INDEX(atlas!F:F,MATCH(A1554,atlas!C:C,0)),"")</f>
        <v/>
      </c>
      <c r="F1554" s="9"/>
      <c r="G1554" s="10"/>
      <c r="H1554" s="11"/>
      <c r="I1554" s="12" t="str">
        <f t="array" ref="I1554">IFERROR(INDEX(atlas!B:B,MATCH(A1554,atlas!C:C,0)),"")</f>
        <v/>
      </c>
      <c r="J1554" s="8" t="str">
        <f>IFERROR(VLOOKUP(F1554,tecnica!A:B,2,0),"")</f>
        <v/>
      </c>
      <c r="K1554" s="8" t="str">
        <f>IFERROR(VLOOKUP(J1554,tecnica!B:C,2,0),"")</f>
        <v/>
      </c>
      <c r="L1554" s="13"/>
      <c r="M1554" s="14" t="str">
        <f>IFERROR(VLOOKUP(I1554,material!A:D,4,0),"")</f>
        <v/>
      </c>
      <c r="N1554" s="14" t="str">
        <f t="shared" si="1"/>
        <v/>
      </c>
      <c r="O1554" s="15" t="str">
        <f>IFERROR(VLOOKUP(I1554,material!A:D,2,0),"")</f>
        <v/>
      </c>
    </row>
    <row r="1555">
      <c r="A1555" s="6"/>
      <c r="B1555" s="7"/>
      <c r="C1555" s="8" t="str">
        <f t="array" ref="C1555">IFERROR(INDEX(atlas!H:H,MATCH(A1555,atlas!C:C,0)),"")</f>
        <v/>
      </c>
      <c r="D1555" s="8" t="str">
        <f t="array" ref="D1555">IFERROR(INDEX(atlas!D:D,MATCH(A1555,atlas!C:C,0)),"")</f>
        <v/>
      </c>
      <c r="E1555" s="8" t="str">
        <f t="array" ref="E1555">IFERROR(INDEX(atlas!F:F,MATCH(A1555,atlas!C:C,0)),"")</f>
        <v/>
      </c>
      <c r="F1555" s="9"/>
      <c r="G1555" s="10"/>
      <c r="H1555" s="11"/>
      <c r="I1555" s="12" t="str">
        <f t="array" ref="I1555">IFERROR(INDEX(atlas!B:B,MATCH(A1555,atlas!C:C,0)),"")</f>
        <v/>
      </c>
      <c r="J1555" s="8" t="str">
        <f>IFERROR(VLOOKUP(F1555,tecnica!A:B,2,0),"")</f>
        <v/>
      </c>
      <c r="K1555" s="8" t="str">
        <f>IFERROR(VLOOKUP(J1555,tecnica!B:C,2,0),"")</f>
        <v/>
      </c>
      <c r="L1555" s="13"/>
      <c r="M1555" s="14" t="str">
        <f>IFERROR(VLOOKUP(I1555,material!A:D,4,0),"")</f>
        <v/>
      </c>
      <c r="N1555" s="14" t="str">
        <f t="shared" si="1"/>
        <v/>
      </c>
      <c r="O1555" s="15" t="str">
        <f>IFERROR(VLOOKUP(I1555,material!A:D,2,0),"")</f>
        <v/>
      </c>
    </row>
    <row r="1556">
      <c r="A1556" s="6"/>
      <c r="B1556" s="7"/>
      <c r="C1556" s="8" t="str">
        <f t="array" ref="C1556">IFERROR(INDEX(atlas!H:H,MATCH(A1556,atlas!C:C,0)),"")</f>
        <v/>
      </c>
      <c r="D1556" s="8" t="str">
        <f t="array" ref="D1556">IFERROR(INDEX(atlas!D:D,MATCH(A1556,atlas!C:C,0)),"")</f>
        <v/>
      </c>
      <c r="E1556" s="8" t="str">
        <f t="array" ref="E1556">IFERROR(INDEX(atlas!F:F,MATCH(A1556,atlas!C:C,0)),"")</f>
        <v/>
      </c>
      <c r="F1556" s="9"/>
      <c r="G1556" s="10"/>
      <c r="H1556" s="11"/>
      <c r="I1556" s="12" t="str">
        <f t="array" ref="I1556">IFERROR(INDEX(atlas!B:B,MATCH(A1556,atlas!C:C,0)),"")</f>
        <v/>
      </c>
      <c r="J1556" s="8" t="str">
        <f>IFERROR(VLOOKUP(F1556,tecnica!A:B,2,0),"")</f>
        <v/>
      </c>
      <c r="K1556" s="8" t="str">
        <f>IFERROR(VLOOKUP(J1556,tecnica!B:C,2,0),"")</f>
        <v/>
      </c>
      <c r="L1556" s="13"/>
      <c r="M1556" s="14" t="str">
        <f>IFERROR(VLOOKUP(I1556,material!A:D,4,0),"")</f>
        <v/>
      </c>
      <c r="N1556" s="14" t="str">
        <f t="shared" si="1"/>
        <v/>
      </c>
      <c r="O1556" s="15" t="str">
        <f>IFERROR(VLOOKUP(I1556,material!A:D,2,0),"")</f>
        <v/>
      </c>
    </row>
    <row r="1557">
      <c r="A1557" s="6"/>
      <c r="B1557" s="7"/>
      <c r="C1557" s="8" t="str">
        <f t="array" ref="C1557">IFERROR(INDEX(atlas!H:H,MATCH(A1557,atlas!C:C,0)),"")</f>
        <v/>
      </c>
      <c r="D1557" s="8" t="str">
        <f t="array" ref="D1557">IFERROR(INDEX(atlas!D:D,MATCH(A1557,atlas!C:C,0)),"")</f>
        <v/>
      </c>
      <c r="E1557" s="8" t="str">
        <f t="array" ref="E1557">IFERROR(INDEX(atlas!F:F,MATCH(A1557,atlas!C:C,0)),"")</f>
        <v/>
      </c>
      <c r="F1557" s="9"/>
      <c r="G1557" s="10"/>
      <c r="H1557" s="11"/>
      <c r="I1557" s="12" t="str">
        <f t="array" ref="I1557">IFERROR(INDEX(atlas!B:B,MATCH(A1557,atlas!C:C,0)),"")</f>
        <v/>
      </c>
      <c r="J1557" s="8" t="str">
        <f>IFERROR(VLOOKUP(F1557,tecnica!A:B,2,0),"")</f>
        <v/>
      </c>
      <c r="K1557" s="8" t="str">
        <f>IFERROR(VLOOKUP(J1557,tecnica!B:C,2,0),"")</f>
        <v/>
      </c>
      <c r="L1557" s="13"/>
      <c r="M1557" s="14" t="str">
        <f>IFERROR(VLOOKUP(I1557,material!A:D,4,0),"")</f>
        <v/>
      </c>
      <c r="N1557" s="14" t="str">
        <f t="shared" si="1"/>
        <v/>
      </c>
      <c r="O1557" s="15" t="str">
        <f>IFERROR(VLOOKUP(I1557,material!A:D,2,0),"")</f>
        <v/>
      </c>
    </row>
    <row r="1558">
      <c r="A1558" s="6"/>
      <c r="B1558" s="7"/>
      <c r="C1558" s="8" t="str">
        <f t="array" ref="C1558">IFERROR(INDEX(atlas!H:H,MATCH(A1558,atlas!C:C,0)),"")</f>
        <v/>
      </c>
      <c r="D1558" s="8" t="str">
        <f t="array" ref="D1558">IFERROR(INDEX(atlas!D:D,MATCH(A1558,atlas!C:C,0)),"")</f>
        <v/>
      </c>
      <c r="E1558" s="8" t="str">
        <f t="array" ref="E1558">IFERROR(INDEX(atlas!F:F,MATCH(A1558,atlas!C:C,0)),"")</f>
        <v/>
      </c>
      <c r="F1558" s="9"/>
      <c r="G1558" s="10"/>
      <c r="H1558" s="11"/>
      <c r="I1558" s="12" t="str">
        <f t="array" ref="I1558">IFERROR(INDEX(atlas!B:B,MATCH(A1558,atlas!C:C,0)),"")</f>
        <v/>
      </c>
      <c r="J1558" s="8" t="str">
        <f>IFERROR(VLOOKUP(F1558,tecnica!A:B,2,0),"")</f>
        <v/>
      </c>
      <c r="K1558" s="8" t="str">
        <f>IFERROR(VLOOKUP(J1558,tecnica!B:C,2,0),"")</f>
        <v/>
      </c>
      <c r="L1558" s="13"/>
      <c r="M1558" s="14" t="str">
        <f>IFERROR(VLOOKUP(I1558,material!A:D,4,0),"")</f>
        <v/>
      </c>
      <c r="N1558" s="14" t="str">
        <f t="shared" si="1"/>
        <v/>
      </c>
      <c r="O1558" s="15" t="str">
        <f>IFERROR(VLOOKUP(I1558,material!A:D,2,0),"")</f>
        <v/>
      </c>
    </row>
    <row r="1559">
      <c r="A1559" s="6"/>
      <c r="B1559" s="7"/>
      <c r="C1559" s="8" t="str">
        <f t="array" ref="C1559">IFERROR(INDEX(atlas!H:H,MATCH(A1559,atlas!C:C,0)),"")</f>
        <v/>
      </c>
      <c r="D1559" s="8" t="str">
        <f t="array" ref="D1559">IFERROR(INDEX(atlas!D:D,MATCH(A1559,atlas!C:C,0)),"")</f>
        <v/>
      </c>
      <c r="E1559" s="8" t="str">
        <f t="array" ref="E1559">IFERROR(INDEX(atlas!F:F,MATCH(A1559,atlas!C:C,0)),"")</f>
        <v/>
      </c>
      <c r="F1559" s="9"/>
      <c r="G1559" s="10"/>
      <c r="H1559" s="11"/>
      <c r="I1559" s="12" t="str">
        <f t="array" ref="I1559">IFERROR(INDEX(atlas!B:B,MATCH(A1559,atlas!C:C,0)),"")</f>
        <v/>
      </c>
      <c r="J1559" s="8" t="str">
        <f>IFERROR(VLOOKUP(F1559,tecnica!A:B,2,0),"")</f>
        <v/>
      </c>
      <c r="K1559" s="8" t="str">
        <f>IFERROR(VLOOKUP(J1559,tecnica!B:C,2,0),"")</f>
        <v/>
      </c>
      <c r="L1559" s="13"/>
      <c r="M1559" s="14" t="str">
        <f>IFERROR(VLOOKUP(I1559,material!A:D,4,0),"")</f>
        <v/>
      </c>
      <c r="N1559" s="14" t="str">
        <f t="shared" si="1"/>
        <v/>
      </c>
      <c r="O1559" s="15" t="str">
        <f>IFERROR(VLOOKUP(I1559,material!A:D,2,0),"")</f>
        <v/>
      </c>
    </row>
    <row r="1560">
      <c r="A1560" s="6"/>
      <c r="B1560" s="7"/>
      <c r="C1560" s="8" t="str">
        <f t="array" ref="C1560">IFERROR(INDEX(atlas!H:H,MATCH(A1560,atlas!C:C,0)),"")</f>
        <v/>
      </c>
      <c r="D1560" s="8" t="str">
        <f t="array" ref="D1560">IFERROR(INDEX(atlas!D:D,MATCH(A1560,atlas!C:C,0)),"")</f>
        <v/>
      </c>
      <c r="E1560" s="8" t="str">
        <f t="array" ref="E1560">IFERROR(INDEX(atlas!F:F,MATCH(A1560,atlas!C:C,0)),"")</f>
        <v/>
      </c>
      <c r="F1560" s="9"/>
      <c r="G1560" s="10"/>
      <c r="H1560" s="11"/>
      <c r="I1560" s="12" t="str">
        <f t="array" ref="I1560">IFERROR(INDEX(atlas!B:B,MATCH(A1560,atlas!C:C,0)),"")</f>
        <v/>
      </c>
      <c r="J1560" s="8" t="str">
        <f>IFERROR(VLOOKUP(F1560,tecnica!A:B,2,0),"")</f>
        <v/>
      </c>
      <c r="K1560" s="8" t="str">
        <f>IFERROR(VLOOKUP(J1560,tecnica!B:C,2,0),"")</f>
        <v/>
      </c>
      <c r="L1560" s="13"/>
      <c r="M1560" s="14" t="str">
        <f>IFERROR(VLOOKUP(I1560,material!A:D,4,0),"")</f>
        <v/>
      </c>
      <c r="N1560" s="14" t="str">
        <f t="shared" si="1"/>
        <v/>
      </c>
      <c r="O1560" s="15" t="str">
        <f>IFERROR(VLOOKUP(I1560,material!A:D,2,0),"")</f>
        <v/>
      </c>
    </row>
    <row r="1561">
      <c r="A1561" s="6"/>
      <c r="B1561" s="7"/>
      <c r="C1561" s="8" t="str">
        <f t="array" ref="C1561">IFERROR(INDEX(atlas!H:H,MATCH(A1561,atlas!C:C,0)),"")</f>
        <v/>
      </c>
      <c r="D1561" s="8" t="str">
        <f t="array" ref="D1561">IFERROR(INDEX(atlas!D:D,MATCH(A1561,atlas!C:C,0)),"")</f>
        <v/>
      </c>
      <c r="E1561" s="8" t="str">
        <f t="array" ref="E1561">IFERROR(INDEX(atlas!F:F,MATCH(A1561,atlas!C:C,0)),"")</f>
        <v/>
      </c>
      <c r="F1561" s="9"/>
      <c r="G1561" s="10"/>
      <c r="H1561" s="11"/>
      <c r="I1561" s="12" t="str">
        <f t="array" ref="I1561">IFERROR(INDEX(atlas!B:B,MATCH(A1561,atlas!C:C,0)),"")</f>
        <v/>
      </c>
      <c r="J1561" s="8" t="str">
        <f>IFERROR(VLOOKUP(F1561,tecnica!A:B,2,0),"")</f>
        <v/>
      </c>
      <c r="K1561" s="8" t="str">
        <f>IFERROR(VLOOKUP(J1561,tecnica!B:C,2,0),"")</f>
        <v/>
      </c>
      <c r="L1561" s="13"/>
      <c r="M1561" s="14" t="str">
        <f>IFERROR(VLOOKUP(I1561,material!A:D,4,0),"")</f>
        <v/>
      </c>
      <c r="N1561" s="14" t="str">
        <f t="shared" si="1"/>
        <v/>
      </c>
      <c r="O1561" s="15" t="str">
        <f>IFERROR(VLOOKUP(I1561,material!A:D,2,0),"")</f>
        <v/>
      </c>
    </row>
    <row r="1562">
      <c r="A1562" s="6"/>
      <c r="B1562" s="7"/>
      <c r="C1562" s="8" t="str">
        <f t="array" ref="C1562">IFERROR(INDEX(atlas!H:H,MATCH(A1562,atlas!C:C,0)),"")</f>
        <v/>
      </c>
      <c r="D1562" s="8" t="str">
        <f t="array" ref="D1562">IFERROR(INDEX(atlas!D:D,MATCH(A1562,atlas!C:C,0)),"")</f>
        <v/>
      </c>
      <c r="E1562" s="8" t="str">
        <f t="array" ref="E1562">IFERROR(INDEX(atlas!F:F,MATCH(A1562,atlas!C:C,0)),"")</f>
        <v/>
      </c>
      <c r="F1562" s="9"/>
      <c r="G1562" s="10"/>
      <c r="H1562" s="11"/>
      <c r="I1562" s="12" t="str">
        <f t="array" ref="I1562">IFERROR(INDEX(atlas!B:B,MATCH(A1562,atlas!C:C,0)),"")</f>
        <v/>
      </c>
      <c r="J1562" s="8" t="str">
        <f>IFERROR(VLOOKUP(F1562,tecnica!A:B,2,0),"")</f>
        <v/>
      </c>
      <c r="K1562" s="8" t="str">
        <f>IFERROR(VLOOKUP(J1562,tecnica!B:C,2,0),"")</f>
        <v/>
      </c>
      <c r="L1562" s="13"/>
      <c r="M1562" s="14" t="str">
        <f>IFERROR(VLOOKUP(I1562,material!A:D,4,0),"")</f>
        <v/>
      </c>
      <c r="N1562" s="14" t="str">
        <f t="shared" si="1"/>
        <v/>
      </c>
      <c r="O1562" s="15" t="str">
        <f>IFERROR(VLOOKUP(I1562,material!A:D,2,0),"")</f>
        <v/>
      </c>
    </row>
    <row r="1563">
      <c r="A1563" s="6"/>
      <c r="B1563" s="7"/>
      <c r="C1563" s="8" t="str">
        <f t="array" ref="C1563">IFERROR(INDEX(atlas!H:H,MATCH(A1563,atlas!C:C,0)),"")</f>
        <v/>
      </c>
      <c r="D1563" s="8" t="str">
        <f t="array" ref="D1563">IFERROR(INDEX(atlas!D:D,MATCH(A1563,atlas!C:C,0)),"")</f>
        <v/>
      </c>
      <c r="E1563" s="8" t="str">
        <f t="array" ref="E1563">IFERROR(INDEX(atlas!F:F,MATCH(A1563,atlas!C:C,0)),"")</f>
        <v/>
      </c>
      <c r="F1563" s="9"/>
      <c r="G1563" s="10"/>
      <c r="H1563" s="11"/>
      <c r="I1563" s="12" t="str">
        <f t="array" ref="I1563">IFERROR(INDEX(atlas!B:B,MATCH(A1563,atlas!C:C,0)),"")</f>
        <v/>
      </c>
      <c r="J1563" s="8" t="str">
        <f>IFERROR(VLOOKUP(F1563,tecnica!A:B,2,0),"")</f>
        <v/>
      </c>
      <c r="K1563" s="8" t="str">
        <f>IFERROR(VLOOKUP(J1563,tecnica!B:C,2,0),"")</f>
        <v/>
      </c>
      <c r="L1563" s="13"/>
      <c r="M1563" s="14" t="str">
        <f>IFERROR(VLOOKUP(I1563,material!A:D,4,0),"")</f>
        <v/>
      </c>
      <c r="N1563" s="14" t="str">
        <f t="shared" si="1"/>
        <v/>
      </c>
      <c r="O1563" s="15" t="str">
        <f>IFERROR(VLOOKUP(I1563,material!A:D,2,0),"")</f>
        <v/>
      </c>
    </row>
    <row r="1564">
      <c r="A1564" s="6"/>
      <c r="B1564" s="7"/>
      <c r="C1564" s="8" t="str">
        <f t="array" ref="C1564">IFERROR(INDEX(atlas!H:H,MATCH(A1564,atlas!C:C,0)),"")</f>
        <v/>
      </c>
      <c r="D1564" s="8" t="str">
        <f t="array" ref="D1564">IFERROR(INDEX(atlas!D:D,MATCH(A1564,atlas!C:C,0)),"")</f>
        <v/>
      </c>
      <c r="E1564" s="8" t="str">
        <f t="array" ref="E1564">IFERROR(INDEX(atlas!F:F,MATCH(A1564,atlas!C:C,0)),"")</f>
        <v/>
      </c>
      <c r="F1564" s="9"/>
      <c r="G1564" s="10"/>
      <c r="H1564" s="11"/>
      <c r="I1564" s="12" t="str">
        <f t="array" ref="I1564">IFERROR(INDEX(atlas!B:B,MATCH(A1564,atlas!C:C,0)),"")</f>
        <v/>
      </c>
      <c r="J1564" s="8" t="str">
        <f>IFERROR(VLOOKUP(F1564,tecnica!A:B,2,0),"")</f>
        <v/>
      </c>
      <c r="K1564" s="8" t="str">
        <f>IFERROR(VLOOKUP(J1564,tecnica!B:C,2,0),"")</f>
        <v/>
      </c>
      <c r="L1564" s="13"/>
      <c r="M1564" s="14" t="str">
        <f>IFERROR(VLOOKUP(I1564,material!A:D,4,0),"")</f>
        <v/>
      </c>
      <c r="N1564" s="14" t="str">
        <f t="shared" si="1"/>
        <v/>
      </c>
      <c r="O1564" s="15" t="str">
        <f>IFERROR(VLOOKUP(I1564,material!A:D,2,0),"")</f>
        <v/>
      </c>
    </row>
    <row r="1565">
      <c r="A1565" s="6"/>
      <c r="B1565" s="7"/>
      <c r="C1565" s="8" t="str">
        <f t="array" ref="C1565">IFERROR(INDEX(atlas!H:H,MATCH(A1565,atlas!C:C,0)),"")</f>
        <v/>
      </c>
      <c r="D1565" s="8" t="str">
        <f t="array" ref="D1565">IFERROR(INDEX(atlas!D:D,MATCH(A1565,atlas!C:C,0)),"")</f>
        <v/>
      </c>
      <c r="E1565" s="8" t="str">
        <f t="array" ref="E1565">IFERROR(INDEX(atlas!F:F,MATCH(A1565,atlas!C:C,0)),"")</f>
        <v/>
      </c>
      <c r="F1565" s="9"/>
      <c r="G1565" s="10"/>
      <c r="H1565" s="11"/>
      <c r="I1565" s="12" t="str">
        <f t="array" ref="I1565">IFERROR(INDEX(atlas!B:B,MATCH(A1565,atlas!C:C,0)),"")</f>
        <v/>
      </c>
      <c r="J1565" s="8" t="str">
        <f>IFERROR(VLOOKUP(F1565,tecnica!A:B,2,0),"")</f>
        <v/>
      </c>
      <c r="K1565" s="8" t="str">
        <f>IFERROR(VLOOKUP(J1565,tecnica!B:C,2,0),"")</f>
        <v/>
      </c>
      <c r="L1565" s="13"/>
      <c r="M1565" s="14" t="str">
        <f>IFERROR(VLOOKUP(I1565,material!A:D,4,0),"")</f>
        <v/>
      </c>
      <c r="N1565" s="14" t="str">
        <f t="shared" si="1"/>
        <v/>
      </c>
      <c r="O1565" s="15" t="str">
        <f>IFERROR(VLOOKUP(I1565,material!A:D,2,0),"")</f>
        <v/>
      </c>
    </row>
    <row r="1566">
      <c r="A1566" s="6"/>
      <c r="B1566" s="7"/>
      <c r="C1566" s="8" t="str">
        <f t="array" ref="C1566">IFERROR(INDEX(atlas!H:H,MATCH(A1566,atlas!C:C,0)),"")</f>
        <v/>
      </c>
      <c r="D1566" s="8" t="str">
        <f t="array" ref="D1566">IFERROR(INDEX(atlas!D:D,MATCH(A1566,atlas!C:C,0)),"")</f>
        <v/>
      </c>
      <c r="E1566" s="8" t="str">
        <f t="array" ref="E1566">IFERROR(INDEX(atlas!F:F,MATCH(A1566,atlas!C:C,0)),"")</f>
        <v/>
      </c>
      <c r="F1566" s="9"/>
      <c r="G1566" s="10"/>
      <c r="H1566" s="11"/>
      <c r="I1566" s="12" t="str">
        <f t="array" ref="I1566">IFERROR(INDEX(atlas!B:B,MATCH(A1566,atlas!C:C,0)),"")</f>
        <v/>
      </c>
      <c r="J1566" s="8" t="str">
        <f>IFERROR(VLOOKUP(F1566,tecnica!A:B,2,0),"")</f>
        <v/>
      </c>
      <c r="K1566" s="8" t="str">
        <f>IFERROR(VLOOKUP(J1566,tecnica!B:C,2,0),"")</f>
        <v/>
      </c>
      <c r="L1566" s="13"/>
      <c r="M1566" s="14" t="str">
        <f>IFERROR(VLOOKUP(I1566,material!A:D,4,0),"")</f>
        <v/>
      </c>
      <c r="N1566" s="14" t="str">
        <f t="shared" si="1"/>
        <v/>
      </c>
      <c r="O1566" s="15" t="str">
        <f>IFERROR(VLOOKUP(I1566,material!A:D,2,0),"")</f>
        <v/>
      </c>
    </row>
    <row r="1567">
      <c r="A1567" s="6"/>
      <c r="B1567" s="7"/>
      <c r="C1567" s="8" t="str">
        <f t="array" ref="C1567">IFERROR(INDEX(atlas!H:H,MATCH(A1567,atlas!C:C,0)),"")</f>
        <v/>
      </c>
      <c r="D1567" s="8" t="str">
        <f t="array" ref="D1567">IFERROR(INDEX(atlas!D:D,MATCH(A1567,atlas!C:C,0)),"")</f>
        <v/>
      </c>
      <c r="E1567" s="8" t="str">
        <f t="array" ref="E1567">IFERROR(INDEX(atlas!F:F,MATCH(A1567,atlas!C:C,0)),"")</f>
        <v/>
      </c>
      <c r="F1567" s="9"/>
      <c r="G1567" s="10"/>
      <c r="H1567" s="11"/>
      <c r="I1567" s="12" t="str">
        <f t="array" ref="I1567">IFERROR(INDEX(atlas!B:B,MATCH(A1567,atlas!C:C,0)),"")</f>
        <v/>
      </c>
      <c r="J1567" s="8" t="str">
        <f>IFERROR(VLOOKUP(F1567,tecnica!A:B,2,0),"")</f>
        <v/>
      </c>
      <c r="K1567" s="8" t="str">
        <f>IFERROR(VLOOKUP(J1567,tecnica!B:C,2,0),"")</f>
        <v/>
      </c>
      <c r="L1567" s="13"/>
      <c r="M1567" s="14" t="str">
        <f>IFERROR(VLOOKUP(I1567,material!A:D,4,0),"")</f>
        <v/>
      </c>
      <c r="N1567" s="14" t="str">
        <f t="shared" si="1"/>
        <v/>
      </c>
      <c r="O1567" s="15" t="str">
        <f>IFERROR(VLOOKUP(I1567,material!A:D,2,0),"")</f>
        <v/>
      </c>
    </row>
    <row r="1568">
      <c r="A1568" s="6"/>
      <c r="B1568" s="7"/>
      <c r="C1568" s="8" t="str">
        <f t="array" ref="C1568">IFERROR(INDEX(atlas!H:H,MATCH(A1568,atlas!C:C,0)),"")</f>
        <v/>
      </c>
      <c r="D1568" s="8" t="str">
        <f t="array" ref="D1568">IFERROR(INDEX(atlas!D:D,MATCH(A1568,atlas!C:C,0)),"")</f>
        <v/>
      </c>
      <c r="E1568" s="8" t="str">
        <f t="array" ref="E1568">IFERROR(INDEX(atlas!F:F,MATCH(A1568,atlas!C:C,0)),"")</f>
        <v/>
      </c>
      <c r="F1568" s="9"/>
      <c r="G1568" s="10"/>
      <c r="H1568" s="11"/>
      <c r="I1568" s="12" t="str">
        <f t="array" ref="I1568">IFERROR(INDEX(atlas!B:B,MATCH(A1568,atlas!C:C,0)),"")</f>
        <v/>
      </c>
      <c r="J1568" s="8" t="str">
        <f>IFERROR(VLOOKUP(F1568,tecnica!A:B,2,0),"")</f>
        <v/>
      </c>
      <c r="K1568" s="8" t="str">
        <f>IFERROR(VLOOKUP(J1568,tecnica!B:C,2,0),"")</f>
        <v/>
      </c>
      <c r="L1568" s="13"/>
      <c r="M1568" s="14" t="str">
        <f>IFERROR(VLOOKUP(I1568,material!A:D,4,0),"")</f>
        <v/>
      </c>
      <c r="N1568" s="14" t="str">
        <f t="shared" si="1"/>
        <v/>
      </c>
      <c r="O1568" s="15" t="str">
        <f>IFERROR(VLOOKUP(I1568,material!A:D,2,0),"")</f>
        <v/>
      </c>
    </row>
    <row r="1569">
      <c r="A1569" s="6"/>
      <c r="B1569" s="7"/>
      <c r="C1569" s="8" t="str">
        <f t="array" ref="C1569">IFERROR(INDEX(atlas!H:H,MATCH(A1569,atlas!C:C,0)),"")</f>
        <v/>
      </c>
      <c r="D1569" s="8" t="str">
        <f t="array" ref="D1569">IFERROR(INDEX(atlas!D:D,MATCH(A1569,atlas!C:C,0)),"")</f>
        <v/>
      </c>
      <c r="E1569" s="8" t="str">
        <f t="array" ref="E1569">IFERROR(INDEX(atlas!F:F,MATCH(A1569,atlas!C:C,0)),"")</f>
        <v/>
      </c>
      <c r="F1569" s="9"/>
      <c r="G1569" s="10"/>
      <c r="H1569" s="11"/>
      <c r="I1569" s="12" t="str">
        <f t="array" ref="I1569">IFERROR(INDEX(atlas!B:B,MATCH(A1569,atlas!C:C,0)),"")</f>
        <v/>
      </c>
      <c r="J1569" s="8" t="str">
        <f>IFERROR(VLOOKUP(F1569,tecnica!A:B,2,0),"")</f>
        <v/>
      </c>
      <c r="K1569" s="8" t="str">
        <f>IFERROR(VLOOKUP(J1569,tecnica!B:C,2,0),"")</f>
        <v/>
      </c>
      <c r="L1569" s="13"/>
      <c r="M1569" s="14" t="str">
        <f>IFERROR(VLOOKUP(I1569,material!A:D,4,0),"")</f>
        <v/>
      </c>
      <c r="N1569" s="14" t="str">
        <f t="shared" si="1"/>
        <v/>
      </c>
      <c r="O1569" s="15" t="str">
        <f>IFERROR(VLOOKUP(I1569,material!A:D,2,0),"")</f>
        <v/>
      </c>
    </row>
    <row r="1570">
      <c r="A1570" s="6"/>
      <c r="B1570" s="7"/>
      <c r="C1570" s="8" t="str">
        <f t="array" ref="C1570">IFERROR(INDEX(atlas!H:H,MATCH(A1570,atlas!C:C,0)),"")</f>
        <v/>
      </c>
      <c r="D1570" s="8" t="str">
        <f t="array" ref="D1570">IFERROR(INDEX(atlas!D:D,MATCH(A1570,atlas!C:C,0)),"")</f>
        <v/>
      </c>
      <c r="E1570" s="8" t="str">
        <f t="array" ref="E1570">IFERROR(INDEX(atlas!F:F,MATCH(A1570,atlas!C:C,0)),"")</f>
        <v/>
      </c>
      <c r="F1570" s="9"/>
      <c r="G1570" s="10"/>
      <c r="H1570" s="11"/>
      <c r="I1570" s="12" t="str">
        <f t="array" ref="I1570">IFERROR(INDEX(atlas!B:B,MATCH(A1570,atlas!C:C,0)),"")</f>
        <v/>
      </c>
      <c r="J1570" s="8" t="str">
        <f>IFERROR(VLOOKUP(F1570,tecnica!A:B,2,0),"")</f>
        <v/>
      </c>
      <c r="K1570" s="8" t="str">
        <f>IFERROR(VLOOKUP(J1570,tecnica!B:C,2,0),"")</f>
        <v/>
      </c>
      <c r="L1570" s="13"/>
      <c r="M1570" s="14" t="str">
        <f>IFERROR(VLOOKUP(I1570,material!A:D,4,0),"")</f>
        <v/>
      </c>
      <c r="N1570" s="14" t="str">
        <f t="shared" si="1"/>
        <v/>
      </c>
      <c r="O1570" s="15" t="str">
        <f>IFERROR(VLOOKUP(I1570,material!A:D,2,0),"")</f>
        <v/>
      </c>
    </row>
    <row r="1571">
      <c r="A1571" s="6"/>
      <c r="B1571" s="7"/>
      <c r="C1571" s="8" t="str">
        <f t="array" ref="C1571">IFERROR(INDEX(atlas!H:H,MATCH(A1571,atlas!C:C,0)),"")</f>
        <v/>
      </c>
      <c r="D1571" s="8" t="str">
        <f t="array" ref="D1571">IFERROR(INDEX(atlas!D:D,MATCH(A1571,atlas!C:C,0)),"")</f>
        <v/>
      </c>
      <c r="E1571" s="8" t="str">
        <f t="array" ref="E1571">IFERROR(INDEX(atlas!F:F,MATCH(A1571,atlas!C:C,0)),"")</f>
        <v/>
      </c>
      <c r="F1571" s="9"/>
      <c r="G1571" s="10"/>
      <c r="H1571" s="11"/>
      <c r="I1571" s="12" t="str">
        <f t="array" ref="I1571">IFERROR(INDEX(atlas!B:B,MATCH(A1571,atlas!C:C,0)),"")</f>
        <v/>
      </c>
      <c r="J1571" s="8" t="str">
        <f>IFERROR(VLOOKUP(F1571,tecnica!A:B,2,0),"")</f>
        <v/>
      </c>
      <c r="K1571" s="8" t="str">
        <f>IFERROR(VLOOKUP(J1571,tecnica!B:C,2,0),"")</f>
        <v/>
      </c>
      <c r="L1571" s="13"/>
      <c r="M1571" s="14" t="str">
        <f>IFERROR(VLOOKUP(I1571,material!A:D,4,0),"")</f>
        <v/>
      </c>
      <c r="N1571" s="14" t="str">
        <f t="shared" si="1"/>
        <v/>
      </c>
      <c r="O1571" s="15" t="str">
        <f>IFERROR(VLOOKUP(I1571,material!A:D,2,0),"")</f>
        <v/>
      </c>
    </row>
    <row r="1572">
      <c r="A1572" s="6"/>
      <c r="B1572" s="7"/>
      <c r="C1572" s="8" t="str">
        <f t="array" ref="C1572">IFERROR(INDEX(atlas!H:H,MATCH(A1572,atlas!C:C,0)),"")</f>
        <v/>
      </c>
      <c r="D1572" s="8" t="str">
        <f t="array" ref="D1572">IFERROR(INDEX(atlas!D:D,MATCH(A1572,atlas!C:C,0)),"")</f>
        <v/>
      </c>
      <c r="E1572" s="8" t="str">
        <f t="array" ref="E1572">IFERROR(INDEX(atlas!F:F,MATCH(A1572,atlas!C:C,0)),"")</f>
        <v/>
      </c>
      <c r="F1572" s="9"/>
      <c r="G1572" s="10"/>
      <c r="H1572" s="11"/>
      <c r="I1572" s="12" t="str">
        <f t="array" ref="I1572">IFERROR(INDEX(atlas!B:B,MATCH(A1572,atlas!C:C,0)),"")</f>
        <v/>
      </c>
      <c r="J1572" s="8" t="str">
        <f>IFERROR(VLOOKUP(F1572,tecnica!A:B,2,0),"")</f>
        <v/>
      </c>
      <c r="K1572" s="8" t="str">
        <f>IFERROR(VLOOKUP(J1572,tecnica!B:C,2,0),"")</f>
        <v/>
      </c>
      <c r="L1572" s="13"/>
      <c r="M1572" s="14" t="str">
        <f>IFERROR(VLOOKUP(I1572,material!A:D,4,0),"")</f>
        <v/>
      </c>
      <c r="N1572" s="14" t="str">
        <f t="shared" si="1"/>
        <v/>
      </c>
      <c r="O1572" s="15" t="str">
        <f>IFERROR(VLOOKUP(I1572,material!A:D,2,0),"")</f>
        <v/>
      </c>
    </row>
    <row r="1573">
      <c r="A1573" s="6"/>
      <c r="B1573" s="7"/>
      <c r="C1573" s="8" t="str">
        <f t="array" ref="C1573">IFERROR(INDEX(atlas!H:H,MATCH(A1573,atlas!C:C,0)),"")</f>
        <v/>
      </c>
      <c r="D1573" s="8" t="str">
        <f t="array" ref="D1573">IFERROR(INDEX(atlas!D:D,MATCH(A1573,atlas!C:C,0)),"")</f>
        <v/>
      </c>
      <c r="E1573" s="8" t="str">
        <f t="array" ref="E1573">IFERROR(INDEX(atlas!F:F,MATCH(A1573,atlas!C:C,0)),"")</f>
        <v/>
      </c>
      <c r="F1573" s="9"/>
      <c r="G1573" s="10"/>
      <c r="H1573" s="11"/>
      <c r="I1573" s="12" t="str">
        <f t="array" ref="I1573">IFERROR(INDEX(atlas!B:B,MATCH(A1573,atlas!C:C,0)),"")</f>
        <v/>
      </c>
      <c r="J1573" s="8" t="str">
        <f>IFERROR(VLOOKUP(F1573,tecnica!A:B,2,0),"")</f>
        <v/>
      </c>
      <c r="K1573" s="8" t="str">
        <f>IFERROR(VLOOKUP(J1573,tecnica!B:C,2,0),"")</f>
        <v/>
      </c>
      <c r="L1573" s="13"/>
      <c r="M1573" s="14" t="str">
        <f>IFERROR(VLOOKUP(I1573,material!A:D,4,0),"")</f>
        <v/>
      </c>
      <c r="N1573" s="14" t="str">
        <f t="shared" si="1"/>
        <v/>
      </c>
      <c r="O1573" s="15" t="str">
        <f>IFERROR(VLOOKUP(I1573,material!A:D,2,0),"")</f>
        <v/>
      </c>
    </row>
    <row r="1574">
      <c r="A1574" s="6"/>
      <c r="B1574" s="7"/>
      <c r="C1574" s="8" t="str">
        <f t="array" ref="C1574">IFERROR(INDEX(atlas!H:H,MATCH(A1574,atlas!C:C,0)),"")</f>
        <v/>
      </c>
      <c r="D1574" s="8" t="str">
        <f t="array" ref="D1574">IFERROR(INDEX(atlas!D:D,MATCH(A1574,atlas!C:C,0)),"")</f>
        <v/>
      </c>
      <c r="E1574" s="8" t="str">
        <f t="array" ref="E1574">IFERROR(INDEX(atlas!F:F,MATCH(A1574,atlas!C:C,0)),"")</f>
        <v/>
      </c>
      <c r="F1574" s="9"/>
      <c r="G1574" s="10"/>
      <c r="H1574" s="11"/>
      <c r="I1574" s="12" t="str">
        <f t="array" ref="I1574">IFERROR(INDEX(atlas!B:B,MATCH(A1574,atlas!C:C,0)),"")</f>
        <v/>
      </c>
      <c r="J1574" s="8" t="str">
        <f>IFERROR(VLOOKUP(F1574,tecnica!A:B,2,0),"")</f>
        <v/>
      </c>
      <c r="K1574" s="8" t="str">
        <f>IFERROR(VLOOKUP(J1574,tecnica!B:C,2,0),"")</f>
        <v/>
      </c>
      <c r="L1574" s="13"/>
      <c r="M1574" s="14" t="str">
        <f>IFERROR(VLOOKUP(I1574,material!A:D,4,0),"")</f>
        <v/>
      </c>
      <c r="N1574" s="14" t="str">
        <f t="shared" si="1"/>
        <v/>
      </c>
      <c r="O1574" s="15" t="str">
        <f>IFERROR(VLOOKUP(I1574,material!A:D,2,0),"")</f>
        <v/>
      </c>
    </row>
    <row r="1575">
      <c r="A1575" s="6"/>
      <c r="B1575" s="7"/>
      <c r="C1575" s="8" t="str">
        <f t="array" ref="C1575">IFERROR(INDEX(atlas!H:H,MATCH(A1575,atlas!C:C,0)),"")</f>
        <v/>
      </c>
      <c r="D1575" s="8" t="str">
        <f t="array" ref="D1575">IFERROR(INDEX(atlas!D:D,MATCH(A1575,atlas!C:C,0)),"")</f>
        <v/>
      </c>
      <c r="E1575" s="8" t="str">
        <f t="array" ref="E1575">IFERROR(INDEX(atlas!F:F,MATCH(A1575,atlas!C:C,0)),"")</f>
        <v/>
      </c>
      <c r="F1575" s="9"/>
      <c r="G1575" s="10"/>
      <c r="H1575" s="11"/>
      <c r="I1575" s="12" t="str">
        <f t="array" ref="I1575">IFERROR(INDEX(atlas!B:B,MATCH(A1575,atlas!C:C,0)),"")</f>
        <v/>
      </c>
      <c r="J1575" s="8" t="str">
        <f>IFERROR(VLOOKUP(F1575,tecnica!A:B,2,0),"")</f>
        <v/>
      </c>
      <c r="K1575" s="8" t="str">
        <f>IFERROR(VLOOKUP(J1575,tecnica!B:C,2,0),"")</f>
        <v/>
      </c>
      <c r="L1575" s="13"/>
      <c r="M1575" s="14" t="str">
        <f>IFERROR(VLOOKUP(I1575,material!A:D,4,0),"")</f>
        <v/>
      </c>
      <c r="N1575" s="14" t="str">
        <f t="shared" si="1"/>
        <v/>
      </c>
      <c r="O1575" s="15" t="str">
        <f>IFERROR(VLOOKUP(I1575,material!A:D,2,0),"")</f>
        <v/>
      </c>
    </row>
    <row r="1576">
      <c r="A1576" s="6"/>
      <c r="B1576" s="7"/>
      <c r="C1576" s="8" t="str">
        <f t="array" ref="C1576">IFERROR(INDEX(atlas!H:H,MATCH(A1576,atlas!C:C,0)),"")</f>
        <v/>
      </c>
      <c r="D1576" s="8" t="str">
        <f t="array" ref="D1576">IFERROR(INDEX(atlas!D:D,MATCH(A1576,atlas!C:C,0)),"")</f>
        <v/>
      </c>
      <c r="E1576" s="8" t="str">
        <f t="array" ref="E1576">IFERROR(INDEX(atlas!F:F,MATCH(A1576,atlas!C:C,0)),"")</f>
        <v/>
      </c>
      <c r="F1576" s="9"/>
      <c r="G1576" s="10"/>
      <c r="H1576" s="11"/>
      <c r="I1576" s="12" t="str">
        <f t="array" ref="I1576">IFERROR(INDEX(atlas!B:B,MATCH(A1576,atlas!C:C,0)),"")</f>
        <v/>
      </c>
      <c r="J1576" s="8" t="str">
        <f>IFERROR(VLOOKUP(F1576,tecnica!A:B,2,0),"")</f>
        <v/>
      </c>
      <c r="K1576" s="8" t="str">
        <f>IFERROR(VLOOKUP(J1576,tecnica!B:C,2,0),"")</f>
        <v/>
      </c>
      <c r="L1576" s="13"/>
      <c r="M1576" s="14" t="str">
        <f>IFERROR(VLOOKUP(I1576,material!A:D,4,0),"")</f>
        <v/>
      </c>
      <c r="N1576" s="14" t="str">
        <f t="shared" si="1"/>
        <v/>
      </c>
      <c r="O1576" s="15" t="str">
        <f>IFERROR(VLOOKUP(I1576,material!A:D,2,0),"")</f>
        <v/>
      </c>
    </row>
    <row r="1577">
      <c r="A1577" s="6"/>
      <c r="B1577" s="7"/>
      <c r="C1577" s="8" t="str">
        <f t="array" ref="C1577">IFERROR(INDEX(atlas!H:H,MATCH(A1577,atlas!C:C,0)),"")</f>
        <v/>
      </c>
      <c r="D1577" s="8" t="str">
        <f t="array" ref="D1577">IFERROR(INDEX(atlas!D:D,MATCH(A1577,atlas!C:C,0)),"")</f>
        <v/>
      </c>
      <c r="E1577" s="8" t="str">
        <f t="array" ref="E1577">IFERROR(INDEX(atlas!F:F,MATCH(A1577,atlas!C:C,0)),"")</f>
        <v/>
      </c>
      <c r="F1577" s="9"/>
      <c r="G1577" s="10"/>
      <c r="H1577" s="11"/>
      <c r="I1577" s="12" t="str">
        <f t="array" ref="I1577">IFERROR(INDEX(atlas!B:B,MATCH(A1577,atlas!C:C,0)),"")</f>
        <v/>
      </c>
      <c r="J1577" s="8" t="str">
        <f>IFERROR(VLOOKUP(F1577,tecnica!A:B,2,0),"")</f>
        <v/>
      </c>
      <c r="K1577" s="8" t="str">
        <f>IFERROR(VLOOKUP(J1577,tecnica!B:C,2,0),"")</f>
        <v/>
      </c>
      <c r="L1577" s="13"/>
      <c r="M1577" s="14" t="str">
        <f>IFERROR(VLOOKUP(I1577,material!A:D,4,0),"")</f>
        <v/>
      </c>
      <c r="N1577" s="14" t="str">
        <f t="shared" si="1"/>
        <v/>
      </c>
      <c r="O1577" s="15" t="str">
        <f>IFERROR(VLOOKUP(I1577,material!A:D,2,0),"")</f>
        <v/>
      </c>
    </row>
    <row r="1578">
      <c r="A1578" s="6"/>
      <c r="B1578" s="7"/>
      <c r="C1578" s="8" t="str">
        <f t="array" ref="C1578">IFERROR(INDEX(atlas!H:H,MATCH(A1578,atlas!C:C,0)),"")</f>
        <v/>
      </c>
      <c r="D1578" s="8" t="str">
        <f t="array" ref="D1578">IFERROR(INDEX(atlas!D:D,MATCH(A1578,atlas!C:C,0)),"")</f>
        <v/>
      </c>
      <c r="E1578" s="8" t="str">
        <f t="array" ref="E1578">IFERROR(INDEX(atlas!F:F,MATCH(A1578,atlas!C:C,0)),"")</f>
        <v/>
      </c>
      <c r="F1578" s="9"/>
      <c r="G1578" s="10"/>
      <c r="H1578" s="11"/>
      <c r="I1578" s="12" t="str">
        <f t="array" ref="I1578">IFERROR(INDEX(atlas!B:B,MATCH(A1578,atlas!C:C,0)),"")</f>
        <v/>
      </c>
      <c r="J1578" s="8" t="str">
        <f>IFERROR(VLOOKUP(F1578,tecnica!A:B,2,0),"")</f>
        <v/>
      </c>
      <c r="K1578" s="8" t="str">
        <f>IFERROR(VLOOKUP(J1578,tecnica!B:C,2,0),"")</f>
        <v/>
      </c>
      <c r="L1578" s="13"/>
      <c r="M1578" s="14" t="str">
        <f>IFERROR(VLOOKUP(I1578,material!A:D,4,0),"")</f>
        <v/>
      </c>
      <c r="N1578" s="14" t="str">
        <f t="shared" si="1"/>
        <v/>
      </c>
      <c r="O1578" s="15" t="str">
        <f>IFERROR(VLOOKUP(I1578,material!A:D,2,0),"")</f>
        <v/>
      </c>
    </row>
    <row r="1579">
      <c r="A1579" s="6"/>
      <c r="B1579" s="7"/>
      <c r="C1579" s="8" t="str">
        <f t="array" ref="C1579">IFERROR(INDEX(atlas!H:H,MATCH(A1579,atlas!C:C,0)),"")</f>
        <v/>
      </c>
      <c r="D1579" s="8" t="str">
        <f t="array" ref="D1579">IFERROR(INDEX(atlas!D:D,MATCH(A1579,atlas!C:C,0)),"")</f>
        <v/>
      </c>
      <c r="E1579" s="8" t="str">
        <f t="array" ref="E1579">IFERROR(INDEX(atlas!F:F,MATCH(A1579,atlas!C:C,0)),"")</f>
        <v/>
      </c>
      <c r="F1579" s="9"/>
      <c r="G1579" s="10"/>
      <c r="H1579" s="11"/>
      <c r="I1579" s="12" t="str">
        <f t="array" ref="I1579">IFERROR(INDEX(atlas!B:B,MATCH(A1579,atlas!C:C,0)),"")</f>
        <v/>
      </c>
      <c r="J1579" s="8" t="str">
        <f>IFERROR(VLOOKUP(F1579,tecnica!A:B,2,0),"")</f>
        <v/>
      </c>
      <c r="K1579" s="8" t="str">
        <f>IFERROR(VLOOKUP(J1579,tecnica!B:C,2,0),"")</f>
        <v/>
      </c>
      <c r="L1579" s="13"/>
      <c r="M1579" s="14" t="str">
        <f>IFERROR(VLOOKUP(I1579,material!A:D,4,0),"")</f>
        <v/>
      </c>
      <c r="N1579" s="14" t="str">
        <f t="shared" si="1"/>
        <v/>
      </c>
      <c r="O1579" s="15" t="str">
        <f>IFERROR(VLOOKUP(I1579,material!A:D,2,0),"")</f>
        <v/>
      </c>
    </row>
    <row r="1580">
      <c r="A1580" s="6"/>
      <c r="B1580" s="7"/>
      <c r="C1580" s="8" t="str">
        <f t="array" ref="C1580">IFERROR(INDEX(atlas!H:H,MATCH(A1580,atlas!C:C,0)),"")</f>
        <v/>
      </c>
      <c r="D1580" s="8" t="str">
        <f t="array" ref="D1580">IFERROR(INDEX(atlas!D:D,MATCH(A1580,atlas!C:C,0)),"")</f>
        <v/>
      </c>
      <c r="E1580" s="8" t="str">
        <f t="array" ref="E1580">IFERROR(INDEX(atlas!F:F,MATCH(A1580,atlas!C:C,0)),"")</f>
        <v/>
      </c>
      <c r="F1580" s="9"/>
      <c r="G1580" s="10"/>
      <c r="H1580" s="11"/>
      <c r="I1580" s="12" t="str">
        <f t="array" ref="I1580">IFERROR(INDEX(atlas!B:B,MATCH(A1580,atlas!C:C,0)),"")</f>
        <v/>
      </c>
      <c r="J1580" s="8" t="str">
        <f>IFERROR(VLOOKUP(F1580,tecnica!A:B,2,0),"")</f>
        <v/>
      </c>
      <c r="K1580" s="8" t="str">
        <f>IFERROR(VLOOKUP(J1580,tecnica!B:C,2,0),"")</f>
        <v/>
      </c>
      <c r="L1580" s="13"/>
      <c r="M1580" s="14" t="str">
        <f>IFERROR(VLOOKUP(I1580,material!A:D,4,0),"")</f>
        <v/>
      </c>
      <c r="N1580" s="14" t="str">
        <f t="shared" si="1"/>
        <v/>
      </c>
      <c r="O1580" s="15" t="str">
        <f>IFERROR(VLOOKUP(I1580,material!A:D,2,0),"")</f>
        <v/>
      </c>
    </row>
    <row r="1581">
      <c r="A1581" s="6"/>
      <c r="B1581" s="7"/>
      <c r="C1581" s="8" t="str">
        <f t="array" ref="C1581">IFERROR(INDEX(atlas!H:H,MATCH(A1581,atlas!C:C,0)),"")</f>
        <v/>
      </c>
      <c r="D1581" s="8" t="str">
        <f t="array" ref="D1581">IFERROR(INDEX(atlas!D:D,MATCH(A1581,atlas!C:C,0)),"")</f>
        <v/>
      </c>
      <c r="E1581" s="8" t="str">
        <f t="array" ref="E1581">IFERROR(INDEX(atlas!F:F,MATCH(A1581,atlas!C:C,0)),"")</f>
        <v/>
      </c>
      <c r="F1581" s="9"/>
      <c r="G1581" s="10"/>
      <c r="H1581" s="11"/>
      <c r="I1581" s="12" t="str">
        <f t="array" ref="I1581">IFERROR(INDEX(atlas!B:B,MATCH(A1581,atlas!C:C,0)),"")</f>
        <v/>
      </c>
      <c r="J1581" s="8" t="str">
        <f>IFERROR(VLOOKUP(F1581,tecnica!A:B,2,0),"")</f>
        <v/>
      </c>
      <c r="K1581" s="8" t="str">
        <f>IFERROR(VLOOKUP(J1581,tecnica!B:C,2,0),"")</f>
        <v/>
      </c>
      <c r="L1581" s="13"/>
      <c r="M1581" s="14" t="str">
        <f>IFERROR(VLOOKUP(I1581,material!A:D,4,0),"")</f>
        <v/>
      </c>
      <c r="N1581" s="14" t="str">
        <f t="shared" si="1"/>
        <v/>
      </c>
      <c r="O1581" s="15" t="str">
        <f>IFERROR(VLOOKUP(I1581,material!A:D,2,0),"")</f>
        <v/>
      </c>
    </row>
    <row r="1582">
      <c r="A1582" s="6"/>
      <c r="B1582" s="7"/>
      <c r="C1582" s="8" t="str">
        <f t="array" ref="C1582">IFERROR(INDEX(atlas!H:H,MATCH(A1582,atlas!C:C,0)),"")</f>
        <v/>
      </c>
      <c r="D1582" s="8" t="str">
        <f t="array" ref="D1582">IFERROR(INDEX(atlas!D:D,MATCH(A1582,atlas!C:C,0)),"")</f>
        <v/>
      </c>
      <c r="E1582" s="8" t="str">
        <f t="array" ref="E1582">IFERROR(INDEX(atlas!F:F,MATCH(A1582,atlas!C:C,0)),"")</f>
        <v/>
      </c>
      <c r="F1582" s="9"/>
      <c r="G1582" s="10"/>
      <c r="H1582" s="11"/>
      <c r="I1582" s="12" t="str">
        <f t="array" ref="I1582">IFERROR(INDEX(atlas!B:B,MATCH(A1582,atlas!C:C,0)),"")</f>
        <v/>
      </c>
      <c r="J1582" s="8" t="str">
        <f>IFERROR(VLOOKUP(F1582,tecnica!A:B,2,0),"")</f>
        <v/>
      </c>
      <c r="K1582" s="8" t="str">
        <f>IFERROR(VLOOKUP(J1582,tecnica!B:C,2,0),"")</f>
        <v/>
      </c>
      <c r="L1582" s="13"/>
      <c r="M1582" s="14" t="str">
        <f>IFERROR(VLOOKUP(I1582,material!A:D,4,0),"")</f>
        <v/>
      </c>
      <c r="N1582" s="14" t="str">
        <f t="shared" si="1"/>
        <v/>
      </c>
      <c r="O1582" s="15" t="str">
        <f>IFERROR(VLOOKUP(I1582,material!A:D,2,0),"")</f>
        <v/>
      </c>
    </row>
    <row r="1583">
      <c r="A1583" s="6"/>
      <c r="B1583" s="7"/>
      <c r="C1583" s="8" t="str">
        <f t="array" ref="C1583">IFERROR(INDEX(atlas!H:H,MATCH(A1583,atlas!C:C,0)),"")</f>
        <v/>
      </c>
      <c r="D1583" s="8" t="str">
        <f t="array" ref="D1583">IFERROR(INDEX(atlas!D:D,MATCH(A1583,atlas!C:C,0)),"")</f>
        <v/>
      </c>
      <c r="E1583" s="8" t="str">
        <f t="array" ref="E1583">IFERROR(INDEX(atlas!F:F,MATCH(A1583,atlas!C:C,0)),"")</f>
        <v/>
      </c>
      <c r="F1583" s="9"/>
      <c r="G1583" s="10"/>
      <c r="H1583" s="11"/>
      <c r="I1583" s="12" t="str">
        <f t="array" ref="I1583">IFERROR(INDEX(atlas!B:B,MATCH(A1583,atlas!C:C,0)),"")</f>
        <v/>
      </c>
      <c r="J1583" s="8" t="str">
        <f>IFERROR(VLOOKUP(F1583,tecnica!A:B,2,0),"")</f>
        <v/>
      </c>
      <c r="K1583" s="8" t="str">
        <f>IFERROR(VLOOKUP(J1583,tecnica!B:C,2,0),"")</f>
        <v/>
      </c>
      <c r="L1583" s="13"/>
      <c r="M1583" s="14" t="str">
        <f>IFERROR(VLOOKUP(I1583,material!A:D,4,0),"")</f>
        <v/>
      </c>
      <c r="N1583" s="14" t="str">
        <f t="shared" si="1"/>
        <v/>
      </c>
      <c r="O1583" s="15" t="str">
        <f>IFERROR(VLOOKUP(I1583,material!A:D,2,0),"")</f>
        <v/>
      </c>
    </row>
    <row r="1584">
      <c r="A1584" s="6"/>
      <c r="B1584" s="7"/>
      <c r="C1584" s="8" t="str">
        <f t="array" ref="C1584">IFERROR(INDEX(atlas!H:H,MATCH(A1584,atlas!C:C,0)),"")</f>
        <v/>
      </c>
      <c r="D1584" s="8" t="str">
        <f t="array" ref="D1584">IFERROR(INDEX(atlas!D:D,MATCH(A1584,atlas!C:C,0)),"")</f>
        <v/>
      </c>
      <c r="E1584" s="8" t="str">
        <f t="array" ref="E1584">IFERROR(INDEX(atlas!F:F,MATCH(A1584,atlas!C:C,0)),"")</f>
        <v/>
      </c>
      <c r="F1584" s="9"/>
      <c r="G1584" s="10"/>
      <c r="H1584" s="11"/>
      <c r="I1584" s="12" t="str">
        <f t="array" ref="I1584">IFERROR(INDEX(atlas!B:B,MATCH(A1584,atlas!C:C,0)),"")</f>
        <v/>
      </c>
      <c r="J1584" s="8" t="str">
        <f>IFERROR(VLOOKUP(F1584,tecnica!A:B,2,0),"")</f>
        <v/>
      </c>
      <c r="K1584" s="8" t="str">
        <f>IFERROR(VLOOKUP(J1584,tecnica!B:C,2,0),"")</f>
        <v/>
      </c>
      <c r="L1584" s="13"/>
      <c r="M1584" s="14" t="str">
        <f>IFERROR(VLOOKUP(I1584,material!A:D,4,0),"")</f>
        <v/>
      </c>
      <c r="N1584" s="14" t="str">
        <f t="shared" si="1"/>
        <v/>
      </c>
      <c r="O1584" s="15" t="str">
        <f>IFERROR(VLOOKUP(I1584,material!A:D,2,0),"")</f>
        <v/>
      </c>
    </row>
    <row r="1585">
      <c r="A1585" s="6"/>
      <c r="B1585" s="7"/>
      <c r="C1585" s="8" t="str">
        <f t="array" ref="C1585">IFERROR(INDEX(atlas!H:H,MATCH(A1585,atlas!C:C,0)),"")</f>
        <v/>
      </c>
      <c r="D1585" s="8" t="str">
        <f t="array" ref="D1585">IFERROR(INDEX(atlas!D:D,MATCH(A1585,atlas!C:C,0)),"")</f>
        <v/>
      </c>
      <c r="E1585" s="8" t="str">
        <f t="array" ref="E1585">IFERROR(INDEX(atlas!F:F,MATCH(A1585,atlas!C:C,0)),"")</f>
        <v/>
      </c>
      <c r="F1585" s="9"/>
      <c r="G1585" s="10"/>
      <c r="H1585" s="11"/>
      <c r="I1585" s="12" t="str">
        <f t="array" ref="I1585">IFERROR(INDEX(atlas!B:B,MATCH(A1585,atlas!C:C,0)),"")</f>
        <v/>
      </c>
      <c r="J1585" s="8" t="str">
        <f>IFERROR(VLOOKUP(F1585,tecnica!A:B,2,0),"")</f>
        <v/>
      </c>
      <c r="K1585" s="8" t="str">
        <f>IFERROR(VLOOKUP(J1585,tecnica!B:C,2,0),"")</f>
        <v/>
      </c>
      <c r="L1585" s="13"/>
      <c r="M1585" s="14" t="str">
        <f>IFERROR(VLOOKUP(I1585,material!A:D,4,0),"")</f>
        <v/>
      </c>
      <c r="N1585" s="14" t="str">
        <f t="shared" si="1"/>
        <v/>
      </c>
      <c r="O1585" s="15" t="str">
        <f>IFERROR(VLOOKUP(I1585,material!A:D,2,0),"")</f>
        <v/>
      </c>
    </row>
    <row r="1586">
      <c r="A1586" s="6"/>
      <c r="B1586" s="7"/>
      <c r="C1586" s="8" t="str">
        <f t="array" ref="C1586">IFERROR(INDEX(atlas!H:H,MATCH(A1586,atlas!C:C,0)),"")</f>
        <v/>
      </c>
      <c r="D1586" s="8" t="str">
        <f t="array" ref="D1586">IFERROR(INDEX(atlas!D:D,MATCH(A1586,atlas!C:C,0)),"")</f>
        <v/>
      </c>
      <c r="E1586" s="8" t="str">
        <f t="array" ref="E1586">IFERROR(INDEX(atlas!F:F,MATCH(A1586,atlas!C:C,0)),"")</f>
        <v/>
      </c>
      <c r="F1586" s="9"/>
      <c r="G1586" s="10"/>
      <c r="H1586" s="11"/>
      <c r="I1586" s="12" t="str">
        <f t="array" ref="I1586">IFERROR(INDEX(atlas!B:B,MATCH(A1586,atlas!C:C,0)),"")</f>
        <v/>
      </c>
      <c r="J1586" s="8" t="str">
        <f>IFERROR(VLOOKUP(F1586,tecnica!A:B,2,0),"")</f>
        <v/>
      </c>
      <c r="K1586" s="8" t="str">
        <f>IFERROR(VLOOKUP(J1586,tecnica!B:C,2,0),"")</f>
        <v/>
      </c>
      <c r="L1586" s="13"/>
      <c r="M1586" s="14" t="str">
        <f>IFERROR(VLOOKUP(I1586,material!A:D,4,0),"")</f>
        <v/>
      </c>
      <c r="N1586" s="14" t="str">
        <f t="shared" si="1"/>
        <v/>
      </c>
      <c r="O1586" s="15" t="str">
        <f>IFERROR(VLOOKUP(I1586,material!A:D,2,0),"")</f>
        <v/>
      </c>
    </row>
    <row r="1587">
      <c r="A1587" s="6"/>
      <c r="B1587" s="7"/>
      <c r="C1587" s="8" t="str">
        <f t="array" ref="C1587">IFERROR(INDEX(atlas!H:H,MATCH(A1587,atlas!C:C,0)),"")</f>
        <v/>
      </c>
      <c r="D1587" s="8" t="str">
        <f t="array" ref="D1587">IFERROR(INDEX(atlas!D:D,MATCH(A1587,atlas!C:C,0)),"")</f>
        <v/>
      </c>
      <c r="E1587" s="8" t="str">
        <f t="array" ref="E1587">IFERROR(INDEX(atlas!F:F,MATCH(A1587,atlas!C:C,0)),"")</f>
        <v/>
      </c>
      <c r="F1587" s="9"/>
      <c r="G1587" s="10"/>
      <c r="H1587" s="11"/>
      <c r="I1587" s="12" t="str">
        <f t="array" ref="I1587">IFERROR(INDEX(atlas!B:B,MATCH(A1587,atlas!C:C,0)),"")</f>
        <v/>
      </c>
      <c r="J1587" s="8" t="str">
        <f>IFERROR(VLOOKUP(F1587,tecnica!A:B,2,0),"")</f>
        <v/>
      </c>
      <c r="K1587" s="8" t="str">
        <f>IFERROR(VLOOKUP(J1587,tecnica!B:C,2,0),"")</f>
        <v/>
      </c>
      <c r="L1587" s="13"/>
      <c r="M1587" s="14" t="str">
        <f>IFERROR(VLOOKUP(I1587,material!A:D,4,0),"")</f>
        <v/>
      </c>
      <c r="N1587" s="14" t="str">
        <f t="shared" si="1"/>
        <v/>
      </c>
      <c r="O1587" s="15" t="str">
        <f>IFERROR(VLOOKUP(I1587,material!A:D,2,0),"")</f>
        <v/>
      </c>
    </row>
    <row r="1588">
      <c r="A1588" s="6"/>
      <c r="B1588" s="7"/>
      <c r="C1588" s="8" t="str">
        <f t="array" ref="C1588">IFERROR(INDEX(atlas!H:H,MATCH(A1588,atlas!C:C,0)),"")</f>
        <v/>
      </c>
      <c r="D1588" s="8" t="str">
        <f t="array" ref="D1588">IFERROR(INDEX(atlas!D:D,MATCH(A1588,atlas!C:C,0)),"")</f>
        <v/>
      </c>
      <c r="E1588" s="8" t="str">
        <f t="array" ref="E1588">IFERROR(INDEX(atlas!F:F,MATCH(A1588,atlas!C:C,0)),"")</f>
        <v/>
      </c>
      <c r="F1588" s="9"/>
      <c r="G1588" s="10"/>
      <c r="H1588" s="11"/>
      <c r="I1588" s="12" t="str">
        <f t="array" ref="I1588">IFERROR(INDEX(atlas!B:B,MATCH(A1588,atlas!C:C,0)),"")</f>
        <v/>
      </c>
      <c r="J1588" s="8" t="str">
        <f>IFERROR(VLOOKUP(F1588,tecnica!A:B,2,0),"")</f>
        <v/>
      </c>
      <c r="K1588" s="8" t="str">
        <f>IFERROR(VLOOKUP(J1588,tecnica!B:C,2,0),"")</f>
        <v/>
      </c>
      <c r="L1588" s="13"/>
      <c r="M1588" s="14" t="str">
        <f>IFERROR(VLOOKUP(I1588,material!A:D,4,0),"")</f>
        <v/>
      </c>
      <c r="N1588" s="14" t="str">
        <f t="shared" si="1"/>
        <v/>
      </c>
      <c r="O1588" s="15" t="str">
        <f>IFERROR(VLOOKUP(I1588,material!A:D,2,0),"")</f>
        <v/>
      </c>
    </row>
    <row r="1589">
      <c r="A1589" s="6"/>
      <c r="B1589" s="7"/>
      <c r="C1589" s="8" t="str">
        <f t="array" ref="C1589">IFERROR(INDEX(atlas!H:H,MATCH(A1589,atlas!C:C,0)),"")</f>
        <v/>
      </c>
      <c r="D1589" s="8" t="str">
        <f t="array" ref="D1589">IFERROR(INDEX(atlas!D:D,MATCH(A1589,atlas!C:C,0)),"")</f>
        <v/>
      </c>
      <c r="E1589" s="8" t="str">
        <f t="array" ref="E1589">IFERROR(INDEX(atlas!F:F,MATCH(A1589,atlas!C:C,0)),"")</f>
        <v/>
      </c>
      <c r="F1589" s="9"/>
      <c r="G1589" s="10"/>
      <c r="H1589" s="11"/>
      <c r="I1589" s="12" t="str">
        <f t="array" ref="I1589">IFERROR(INDEX(atlas!B:B,MATCH(A1589,atlas!C:C,0)),"")</f>
        <v/>
      </c>
      <c r="J1589" s="8" t="str">
        <f>IFERROR(VLOOKUP(F1589,tecnica!A:B,2,0),"")</f>
        <v/>
      </c>
      <c r="K1589" s="8" t="str">
        <f>IFERROR(VLOOKUP(J1589,tecnica!B:C,2,0),"")</f>
        <v/>
      </c>
      <c r="L1589" s="13"/>
      <c r="M1589" s="14" t="str">
        <f>IFERROR(VLOOKUP(I1589,material!A:D,4,0),"")</f>
        <v/>
      </c>
      <c r="N1589" s="14" t="str">
        <f t="shared" si="1"/>
        <v/>
      </c>
      <c r="O1589" s="15" t="str">
        <f>IFERROR(VLOOKUP(I1589,material!A:D,2,0),"")</f>
        <v/>
      </c>
    </row>
    <row r="1590">
      <c r="A1590" s="6"/>
      <c r="B1590" s="7"/>
      <c r="C1590" s="8" t="str">
        <f t="array" ref="C1590">IFERROR(INDEX(atlas!H:H,MATCH(A1590,atlas!C:C,0)),"")</f>
        <v/>
      </c>
      <c r="D1590" s="8" t="str">
        <f t="array" ref="D1590">IFERROR(INDEX(atlas!D:D,MATCH(A1590,atlas!C:C,0)),"")</f>
        <v/>
      </c>
      <c r="E1590" s="8" t="str">
        <f t="array" ref="E1590">IFERROR(INDEX(atlas!F:F,MATCH(A1590,atlas!C:C,0)),"")</f>
        <v/>
      </c>
      <c r="F1590" s="9"/>
      <c r="G1590" s="10"/>
      <c r="H1590" s="11"/>
      <c r="I1590" s="12" t="str">
        <f t="array" ref="I1590">IFERROR(INDEX(atlas!B:B,MATCH(A1590,atlas!C:C,0)),"")</f>
        <v/>
      </c>
      <c r="J1590" s="8" t="str">
        <f>IFERROR(VLOOKUP(F1590,tecnica!A:B,2,0),"")</f>
        <v/>
      </c>
      <c r="K1590" s="8" t="str">
        <f>IFERROR(VLOOKUP(J1590,tecnica!B:C,2,0),"")</f>
        <v/>
      </c>
      <c r="L1590" s="13"/>
      <c r="M1590" s="14" t="str">
        <f>IFERROR(VLOOKUP(I1590,material!A:D,4,0),"")</f>
        <v/>
      </c>
      <c r="N1590" s="14" t="str">
        <f t="shared" si="1"/>
        <v/>
      </c>
      <c r="O1590" s="15" t="str">
        <f>IFERROR(VLOOKUP(I1590,material!A:D,2,0),"")</f>
        <v/>
      </c>
    </row>
    <row r="1591">
      <c r="A1591" s="6"/>
      <c r="B1591" s="7"/>
      <c r="C1591" s="8" t="str">
        <f t="array" ref="C1591">IFERROR(INDEX(atlas!H:H,MATCH(A1591,atlas!C:C,0)),"")</f>
        <v/>
      </c>
      <c r="D1591" s="8" t="str">
        <f t="array" ref="D1591">IFERROR(INDEX(atlas!D:D,MATCH(A1591,atlas!C:C,0)),"")</f>
        <v/>
      </c>
      <c r="E1591" s="8" t="str">
        <f t="array" ref="E1591">IFERROR(INDEX(atlas!F:F,MATCH(A1591,atlas!C:C,0)),"")</f>
        <v/>
      </c>
      <c r="F1591" s="9"/>
      <c r="G1591" s="10"/>
      <c r="H1591" s="11"/>
      <c r="I1591" s="12" t="str">
        <f t="array" ref="I1591">IFERROR(INDEX(atlas!B:B,MATCH(A1591,atlas!C:C,0)),"")</f>
        <v/>
      </c>
      <c r="J1591" s="8" t="str">
        <f>IFERROR(VLOOKUP(F1591,tecnica!A:B,2,0),"")</f>
        <v/>
      </c>
      <c r="K1591" s="8" t="str">
        <f>IFERROR(VLOOKUP(J1591,tecnica!B:C,2,0),"")</f>
        <v/>
      </c>
      <c r="L1591" s="13"/>
      <c r="M1591" s="14" t="str">
        <f>IFERROR(VLOOKUP(I1591,material!A:D,4,0),"")</f>
        <v/>
      </c>
      <c r="N1591" s="14" t="str">
        <f t="shared" si="1"/>
        <v/>
      </c>
      <c r="O1591" s="15" t="str">
        <f>IFERROR(VLOOKUP(I1591,material!A:D,2,0),"")</f>
        <v/>
      </c>
    </row>
    <row r="1592">
      <c r="A1592" s="6"/>
      <c r="B1592" s="7"/>
      <c r="C1592" s="8" t="str">
        <f t="array" ref="C1592">IFERROR(INDEX(atlas!H:H,MATCH(A1592,atlas!C:C,0)),"")</f>
        <v/>
      </c>
      <c r="D1592" s="8" t="str">
        <f t="array" ref="D1592">IFERROR(INDEX(atlas!D:D,MATCH(A1592,atlas!C:C,0)),"")</f>
        <v/>
      </c>
      <c r="E1592" s="8" t="str">
        <f t="array" ref="E1592">IFERROR(INDEX(atlas!F:F,MATCH(A1592,atlas!C:C,0)),"")</f>
        <v/>
      </c>
      <c r="F1592" s="9"/>
      <c r="G1592" s="10"/>
      <c r="H1592" s="11"/>
      <c r="I1592" s="12" t="str">
        <f t="array" ref="I1592">IFERROR(INDEX(atlas!B:B,MATCH(A1592,atlas!C:C,0)),"")</f>
        <v/>
      </c>
      <c r="J1592" s="8" t="str">
        <f>IFERROR(VLOOKUP(F1592,tecnica!A:B,2,0),"")</f>
        <v/>
      </c>
      <c r="K1592" s="8" t="str">
        <f>IFERROR(VLOOKUP(J1592,tecnica!B:C,2,0),"")</f>
        <v/>
      </c>
      <c r="L1592" s="13"/>
      <c r="M1592" s="14" t="str">
        <f>IFERROR(VLOOKUP(I1592,material!A:D,4,0),"")</f>
        <v/>
      </c>
      <c r="N1592" s="14" t="str">
        <f t="shared" si="1"/>
        <v/>
      </c>
      <c r="O1592" s="15" t="str">
        <f>IFERROR(VLOOKUP(I1592,material!A:D,2,0),"")</f>
        <v/>
      </c>
    </row>
    <row r="1593">
      <c r="A1593" s="6"/>
      <c r="B1593" s="7"/>
      <c r="C1593" s="8" t="str">
        <f t="array" ref="C1593">IFERROR(INDEX(atlas!H:H,MATCH(A1593,atlas!C:C,0)),"")</f>
        <v/>
      </c>
      <c r="D1593" s="8" t="str">
        <f t="array" ref="D1593">IFERROR(INDEX(atlas!D:D,MATCH(A1593,atlas!C:C,0)),"")</f>
        <v/>
      </c>
      <c r="E1593" s="8" t="str">
        <f t="array" ref="E1593">IFERROR(INDEX(atlas!F:F,MATCH(A1593,atlas!C:C,0)),"")</f>
        <v/>
      </c>
      <c r="F1593" s="9"/>
      <c r="G1593" s="10"/>
      <c r="H1593" s="11"/>
      <c r="I1593" s="12" t="str">
        <f t="array" ref="I1593">IFERROR(INDEX(atlas!B:B,MATCH(A1593,atlas!C:C,0)),"")</f>
        <v/>
      </c>
      <c r="J1593" s="8" t="str">
        <f>IFERROR(VLOOKUP(F1593,tecnica!A:B,2,0),"")</f>
        <v/>
      </c>
      <c r="K1593" s="8" t="str">
        <f>IFERROR(VLOOKUP(J1593,tecnica!B:C,2,0),"")</f>
        <v/>
      </c>
      <c r="L1593" s="13"/>
      <c r="M1593" s="14" t="str">
        <f>IFERROR(VLOOKUP(I1593,material!A:D,4,0),"")</f>
        <v/>
      </c>
      <c r="N1593" s="14" t="str">
        <f t="shared" si="1"/>
        <v/>
      </c>
      <c r="O1593" s="15" t="str">
        <f>IFERROR(VLOOKUP(I1593,material!A:D,2,0),"")</f>
        <v/>
      </c>
    </row>
    <row r="1594">
      <c r="A1594" s="6"/>
      <c r="B1594" s="7"/>
      <c r="C1594" s="8" t="str">
        <f t="array" ref="C1594">IFERROR(INDEX(atlas!H:H,MATCH(A1594,atlas!C:C,0)),"")</f>
        <v/>
      </c>
      <c r="D1594" s="8" t="str">
        <f t="array" ref="D1594">IFERROR(INDEX(atlas!D:D,MATCH(A1594,atlas!C:C,0)),"")</f>
        <v/>
      </c>
      <c r="E1594" s="8" t="str">
        <f t="array" ref="E1594">IFERROR(INDEX(atlas!F:F,MATCH(A1594,atlas!C:C,0)),"")</f>
        <v/>
      </c>
      <c r="F1594" s="9"/>
      <c r="G1594" s="10"/>
      <c r="H1594" s="11"/>
      <c r="I1594" s="12" t="str">
        <f t="array" ref="I1594">IFERROR(INDEX(atlas!B:B,MATCH(A1594,atlas!C:C,0)),"")</f>
        <v/>
      </c>
      <c r="J1594" s="8" t="str">
        <f>IFERROR(VLOOKUP(F1594,tecnica!A:B,2,0),"")</f>
        <v/>
      </c>
      <c r="K1594" s="8" t="str">
        <f>IFERROR(VLOOKUP(J1594,tecnica!B:C,2,0),"")</f>
        <v/>
      </c>
      <c r="L1594" s="13"/>
      <c r="M1594" s="14" t="str">
        <f>IFERROR(VLOOKUP(I1594,material!A:D,4,0),"")</f>
        <v/>
      </c>
      <c r="N1594" s="14" t="str">
        <f t="shared" si="1"/>
        <v/>
      </c>
      <c r="O1594" s="15" t="str">
        <f>IFERROR(VLOOKUP(I1594,material!A:D,2,0),"")</f>
        <v/>
      </c>
    </row>
    <row r="1595">
      <c r="A1595" s="6"/>
      <c r="B1595" s="7"/>
      <c r="C1595" s="8" t="str">
        <f t="array" ref="C1595">IFERROR(INDEX(atlas!H:H,MATCH(A1595,atlas!C:C,0)),"")</f>
        <v/>
      </c>
      <c r="D1595" s="8" t="str">
        <f t="array" ref="D1595">IFERROR(INDEX(atlas!D:D,MATCH(A1595,atlas!C:C,0)),"")</f>
        <v/>
      </c>
      <c r="E1595" s="8" t="str">
        <f t="array" ref="E1595">IFERROR(INDEX(atlas!F:F,MATCH(A1595,atlas!C:C,0)),"")</f>
        <v/>
      </c>
      <c r="F1595" s="9"/>
      <c r="G1595" s="10"/>
      <c r="H1595" s="11"/>
      <c r="I1595" s="12" t="str">
        <f t="array" ref="I1595">IFERROR(INDEX(atlas!B:B,MATCH(A1595,atlas!C:C,0)),"")</f>
        <v/>
      </c>
      <c r="J1595" s="8" t="str">
        <f>IFERROR(VLOOKUP(F1595,tecnica!A:B,2,0),"")</f>
        <v/>
      </c>
      <c r="K1595" s="8" t="str">
        <f>IFERROR(VLOOKUP(J1595,tecnica!B:C,2,0),"")</f>
        <v/>
      </c>
      <c r="L1595" s="13"/>
      <c r="M1595" s="14" t="str">
        <f>IFERROR(VLOOKUP(I1595,material!A:D,4,0),"")</f>
        <v/>
      </c>
      <c r="N1595" s="14" t="str">
        <f t="shared" si="1"/>
        <v/>
      </c>
      <c r="O1595" s="15" t="str">
        <f>IFERROR(VLOOKUP(I1595,material!A:D,2,0),"")</f>
        <v/>
      </c>
    </row>
    <row r="1596">
      <c r="A1596" s="6"/>
      <c r="B1596" s="7"/>
      <c r="C1596" s="8" t="str">
        <f t="array" ref="C1596">IFERROR(INDEX(atlas!H:H,MATCH(A1596,atlas!C:C,0)),"")</f>
        <v/>
      </c>
      <c r="D1596" s="8" t="str">
        <f t="array" ref="D1596">IFERROR(INDEX(atlas!D:D,MATCH(A1596,atlas!C:C,0)),"")</f>
        <v/>
      </c>
      <c r="E1596" s="8" t="str">
        <f t="array" ref="E1596">IFERROR(INDEX(atlas!F:F,MATCH(A1596,atlas!C:C,0)),"")</f>
        <v/>
      </c>
      <c r="F1596" s="9"/>
      <c r="G1596" s="10"/>
      <c r="H1596" s="11"/>
      <c r="I1596" s="12" t="str">
        <f t="array" ref="I1596">IFERROR(INDEX(atlas!B:B,MATCH(A1596,atlas!C:C,0)),"")</f>
        <v/>
      </c>
      <c r="J1596" s="8" t="str">
        <f>IFERROR(VLOOKUP(F1596,tecnica!A:B,2,0),"")</f>
        <v/>
      </c>
      <c r="K1596" s="8" t="str">
        <f>IFERROR(VLOOKUP(J1596,tecnica!B:C,2,0),"")</f>
        <v/>
      </c>
      <c r="L1596" s="13"/>
      <c r="M1596" s="14" t="str">
        <f>IFERROR(VLOOKUP(I1596,material!A:D,4,0),"")</f>
        <v/>
      </c>
      <c r="N1596" s="14" t="str">
        <f t="shared" si="1"/>
        <v/>
      </c>
      <c r="O1596" s="15" t="str">
        <f>IFERROR(VLOOKUP(I1596,material!A:D,2,0),"")</f>
        <v/>
      </c>
    </row>
    <row r="1597">
      <c r="A1597" s="6"/>
      <c r="B1597" s="7"/>
      <c r="C1597" s="8" t="str">
        <f t="array" ref="C1597">IFERROR(INDEX(atlas!H:H,MATCH(A1597,atlas!C:C,0)),"")</f>
        <v/>
      </c>
      <c r="D1597" s="8" t="str">
        <f t="array" ref="D1597">IFERROR(INDEX(atlas!D:D,MATCH(A1597,atlas!C:C,0)),"")</f>
        <v/>
      </c>
      <c r="E1597" s="8" t="str">
        <f t="array" ref="E1597">IFERROR(INDEX(atlas!F:F,MATCH(A1597,atlas!C:C,0)),"")</f>
        <v/>
      </c>
      <c r="F1597" s="9"/>
      <c r="G1597" s="10"/>
      <c r="H1597" s="11"/>
      <c r="I1597" s="12" t="str">
        <f t="array" ref="I1597">IFERROR(INDEX(atlas!B:B,MATCH(A1597,atlas!C:C,0)),"")</f>
        <v/>
      </c>
      <c r="J1597" s="8" t="str">
        <f>IFERROR(VLOOKUP(F1597,tecnica!A:B,2,0),"")</f>
        <v/>
      </c>
      <c r="K1597" s="8" t="str">
        <f>IFERROR(VLOOKUP(J1597,tecnica!B:C,2,0),"")</f>
        <v/>
      </c>
      <c r="L1597" s="13"/>
      <c r="M1597" s="14" t="str">
        <f>IFERROR(VLOOKUP(I1597,material!A:D,4,0),"")</f>
        <v/>
      </c>
      <c r="N1597" s="14" t="str">
        <f t="shared" si="1"/>
        <v/>
      </c>
      <c r="O1597" s="15" t="str">
        <f>IFERROR(VLOOKUP(I1597,material!A:D,2,0),"")</f>
        <v/>
      </c>
    </row>
    <row r="1598">
      <c r="A1598" s="6"/>
      <c r="B1598" s="7"/>
      <c r="C1598" s="8" t="str">
        <f t="array" ref="C1598">IFERROR(INDEX(atlas!H:H,MATCH(A1598,atlas!C:C,0)),"")</f>
        <v/>
      </c>
      <c r="D1598" s="8" t="str">
        <f t="array" ref="D1598">IFERROR(INDEX(atlas!D:D,MATCH(A1598,atlas!C:C,0)),"")</f>
        <v/>
      </c>
      <c r="E1598" s="8" t="str">
        <f t="array" ref="E1598">IFERROR(INDEX(atlas!F:F,MATCH(A1598,atlas!C:C,0)),"")</f>
        <v/>
      </c>
      <c r="F1598" s="9"/>
      <c r="G1598" s="10"/>
      <c r="H1598" s="11"/>
      <c r="I1598" s="12" t="str">
        <f t="array" ref="I1598">IFERROR(INDEX(atlas!B:B,MATCH(A1598,atlas!C:C,0)),"")</f>
        <v/>
      </c>
      <c r="J1598" s="8" t="str">
        <f>IFERROR(VLOOKUP(F1598,tecnica!A:B,2,0),"")</f>
        <v/>
      </c>
      <c r="K1598" s="8" t="str">
        <f>IFERROR(VLOOKUP(J1598,tecnica!B:C,2,0),"")</f>
        <v/>
      </c>
      <c r="L1598" s="13"/>
      <c r="M1598" s="14" t="str">
        <f>IFERROR(VLOOKUP(I1598,material!A:D,4,0),"")</f>
        <v/>
      </c>
      <c r="N1598" s="14" t="str">
        <f t="shared" si="1"/>
        <v/>
      </c>
      <c r="O1598" s="15" t="str">
        <f>IFERROR(VLOOKUP(I1598,material!A:D,2,0),"")</f>
        <v/>
      </c>
    </row>
    <row r="1599">
      <c r="A1599" s="6"/>
      <c r="B1599" s="7"/>
      <c r="C1599" s="8" t="str">
        <f t="array" ref="C1599">IFERROR(INDEX(atlas!H:H,MATCH(A1599,atlas!C:C,0)),"")</f>
        <v/>
      </c>
      <c r="D1599" s="8" t="str">
        <f t="array" ref="D1599">IFERROR(INDEX(atlas!D:D,MATCH(A1599,atlas!C:C,0)),"")</f>
        <v/>
      </c>
      <c r="E1599" s="8" t="str">
        <f t="array" ref="E1599">IFERROR(INDEX(atlas!F:F,MATCH(A1599,atlas!C:C,0)),"")</f>
        <v/>
      </c>
      <c r="F1599" s="9"/>
      <c r="G1599" s="10"/>
      <c r="H1599" s="11"/>
      <c r="I1599" s="12" t="str">
        <f t="array" ref="I1599">IFERROR(INDEX(atlas!B:B,MATCH(A1599,atlas!C:C,0)),"")</f>
        <v/>
      </c>
      <c r="J1599" s="8" t="str">
        <f>IFERROR(VLOOKUP(F1599,tecnica!A:B,2,0),"")</f>
        <v/>
      </c>
      <c r="K1599" s="8" t="str">
        <f>IFERROR(VLOOKUP(J1599,tecnica!B:C,2,0),"")</f>
        <v/>
      </c>
      <c r="L1599" s="13"/>
      <c r="M1599" s="14" t="str">
        <f>IFERROR(VLOOKUP(I1599,material!A:D,4,0),"")</f>
        <v/>
      </c>
      <c r="N1599" s="14" t="str">
        <f t="shared" si="1"/>
        <v/>
      </c>
      <c r="O1599" s="15" t="str">
        <f>IFERROR(VLOOKUP(I1599,material!A:D,2,0),"")</f>
        <v/>
      </c>
    </row>
    <row r="1600">
      <c r="A1600" s="6"/>
      <c r="B1600" s="7"/>
      <c r="C1600" s="8" t="str">
        <f t="array" ref="C1600">IFERROR(INDEX(atlas!H:H,MATCH(A1600,atlas!C:C,0)),"")</f>
        <v/>
      </c>
      <c r="D1600" s="8" t="str">
        <f t="array" ref="D1600">IFERROR(INDEX(atlas!D:D,MATCH(A1600,atlas!C:C,0)),"")</f>
        <v/>
      </c>
      <c r="E1600" s="8" t="str">
        <f t="array" ref="E1600">IFERROR(INDEX(atlas!F:F,MATCH(A1600,atlas!C:C,0)),"")</f>
        <v/>
      </c>
      <c r="F1600" s="9"/>
      <c r="G1600" s="10"/>
      <c r="H1600" s="11"/>
      <c r="I1600" s="12" t="str">
        <f t="array" ref="I1600">IFERROR(INDEX(atlas!B:B,MATCH(A1600,atlas!C:C,0)),"")</f>
        <v/>
      </c>
      <c r="J1600" s="8" t="str">
        <f>IFERROR(VLOOKUP(F1600,tecnica!A:B,2,0),"")</f>
        <v/>
      </c>
      <c r="K1600" s="8" t="str">
        <f>IFERROR(VLOOKUP(J1600,tecnica!B:C,2,0),"")</f>
        <v/>
      </c>
      <c r="L1600" s="13"/>
      <c r="M1600" s="14" t="str">
        <f>IFERROR(VLOOKUP(I1600,material!A:D,4,0),"")</f>
        <v/>
      </c>
      <c r="N1600" s="14" t="str">
        <f t="shared" si="1"/>
        <v/>
      </c>
      <c r="O1600" s="15" t="str">
        <f>IFERROR(VLOOKUP(I1600,material!A:D,2,0),"")</f>
        <v/>
      </c>
    </row>
    <row r="1601">
      <c r="A1601" s="6"/>
      <c r="B1601" s="7"/>
      <c r="C1601" s="8" t="str">
        <f t="array" ref="C1601">IFERROR(INDEX(atlas!H:H,MATCH(A1601,atlas!C:C,0)),"")</f>
        <v/>
      </c>
      <c r="D1601" s="8" t="str">
        <f t="array" ref="D1601">IFERROR(INDEX(atlas!D:D,MATCH(A1601,atlas!C:C,0)),"")</f>
        <v/>
      </c>
      <c r="E1601" s="8" t="str">
        <f t="array" ref="E1601">IFERROR(INDEX(atlas!F:F,MATCH(A1601,atlas!C:C,0)),"")</f>
        <v/>
      </c>
      <c r="F1601" s="9"/>
      <c r="G1601" s="10"/>
      <c r="H1601" s="11"/>
      <c r="I1601" s="12" t="str">
        <f t="array" ref="I1601">IFERROR(INDEX(atlas!B:B,MATCH(A1601,atlas!C:C,0)),"")</f>
        <v/>
      </c>
      <c r="J1601" s="8" t="str">
        <f>IFERROR(VLOOKUP(F1601,tecnica!A:B,2,0),"")</f>
        <v/>
      </c>
      <c r="K1601" s="8" t="str">
        <f>IFERROR(VLOOKUP(J1601,tecnica!B:C,2,0),"")</f>
        <v/>
      </c>
      <c r="L1601" s="13"/>
      <c r="M1601" s="14" t="str">
        <f>IFERROR(VLOOKUP(I1601,material!A:D,4,0),"")</f>
        <v/>
      </c>
      <c r="N1601" s="14" t="str">
        <f t="shared" si="1"/>
        <v/>
      </c>
      <c r="O1601" s="15" t="str">
        <f>IFERROR(VLOOKUP(I1601,material!A:D,2,0),"")</f>
        <v/>
      </c>
    </row>
    <row r="1602">
      <c r="A1602" s="6"/>
      <c r="B1602" s="7"/>
      <c r="C1602" s="8" t="str">
        <f t="array" ref="C1602">IFERROR(INDEX(atlas!H:H,MATCH(A1602,atlas!C:C,0)),"")</f>
        <v/>
      </c>
      <c r="D1602" s="8" t="str">
        <f t="array" ref="D1602">IFERROR(INDEX(atlas!D:D,MATCH(A1602,atlas!C:C,0)),"")</f>
        <v/>
      </c>
      <c r="E1602" s="8" t="str">
        <f t="array" ref="E1602">IFERROR(INDEX(atlas!F:F,MATCH(A1602,atlas!C:C,0)),"")</f>
        <v/>
      </c>
      <c r="F1602" s="9"/>
      <c r="G1602" s="10"/>
      <c r="H1602" s="11"/>
      <c r="I1602" s="12" t="str">
        <f t="array" ref="I1602">IFERROR(INDEX(atlas!B:B,MATCH(A1602,atlas!C:C,0)),"")</f>
        <v/>
      </c>
      <c r="J1602" s="8" t="str">
        <f>IFERROR(VLOOKUP(F1602,tecnica!A:B,2,0),"")</f>
        <v/>
      </c>
      <c r="K1602" s="8" t="str">
        <f>IFERROR(VLOOKUP(J1602,tecnica!B:C,2,0),"")</f>
        <v/>
      </c>
      <c r="L1602" s="13"/>
      <c r="M1602" s="14" t="str">
        <f>IFERROR(VLOOKUP(I1602,material!A:D,4,0),"")</f>
        <v/>
      </c>
      <c r="N1602" s="14" t="str">
        <f t="shared" si="1"/>
        <v/>
      </c>
      <c r="O1602" s="15" t="str">
        <f>IFERROR(VLOOKUP(I1602,material!A:D,2,0),"")</f>
        <v/>
      </c>
    </row>
    <row r="1603">
      <c r="A1603" s="6"/>
      <c r="B1603" s="7"/>
      <c r="C1603" s="8" t="str">
        <f t="array" ref="C1603">IFERROR(INDEX(atlas!H:H,MATCH(A1603,atlas!C:C,0)),"")</f>
        <v/>
      </c>
      <c r="D1603" s="8" t="str">
        <f t="array" ref="D1603">IFERROR(INDEX(atlas!D:D,MATCH(A1603,atlas!C:C,0)),"")</f>
        <v/>
      </c>
      <c r="E1603" s="8" t="str">
        <f t="array" ref="E1603">IFERROR(INDEX(atlas!F:F,MATCH(A1603,atlas!C:C,0)),"")</f>
        <v/>
      </c>
      <c r="F1603" s="9"/>
      <c r="G1603" s="10"/>
      <c r="H1603" s="11"/>
      <c r="I1603" s="12" t="str">
        <f t="array" ref="I1603">IFERROR(INDEX(atlas!B:B,MATCH(A1603,atlas!C:C,0)),"")</f>
        <v/>
      </c>
      <c r="J1603" s="8" t="str">
        <f>IFERROR(VLOOKUP(F1603,tecnica!A:B,2,0),"")</f>
        <v/>
      </c>
      <c r="K1603" s="8" t="str">
        <f>IFERROR(VLOOKUP(J1603,tecnica!B:C,2,0),"")</f>
        <v/>
      </c>
      <c r="L1603" s="13"/>
      <c r="M1603" s="14" t="str">
        <f>IFERROR(VLOOKUP(I1603,material!A:D,4,0),"")</f>
        <v/>
      </c>
      <c r="N1603" s="14" t="str">
        <f t="shared" si="1"/>
        <v/>
      </c>
      <c r="O1603" s="15" t="str">
        <f>IFERROR(VLOOKUP(I1603,material!A:D,2,0),"")</f>
        <v/>
      </c>
    </row>
    <row r="1604">
      <c r="A1604" s="6"/>
      <c r="B1604" s="7"/>
      <c r="C1604" s="8" t="str">
        <f t="array" ref="C1604">IFERROR(INDEX(atlas!H:H,MATCH(A1604,atlas!C:C,0)),"")</f>
        <v/>
      </c>
      <c r="D1604" s="8" t="str">
        <f t="array" ref="D1604">IFERROR(INDEX(atlas!D:D,MATCH(A1604,atlas!C:C,0)),"")</f>
        <v/>
      </c>
      <c r="E1604" s="8" t="str">
        <f t="array" ref="E1604">IFERROR(INDEX(atlas!F:F,MATCH(A1604,atlas!C:C,0)),"")</f>
        <v/>
      </c>
      <c r="F1604" s="9"/>
      <c r="G1604" s="10"/>
      <c r="H1604" s="11"/>
      <c r="I1604" s="12" t="str">
        <f t="array" ref="I1604">IFERROR(INDEX(atlas!B:B,MATCH(A1604,atlas!C:C,0)),"")</f>
        <v/>
      </c>
      <c r="J1604" s="8" t="str">
        <f>IFERROR(VLOOKUP(F1604,tecnica!A:B,2,0),"")</f>
        <v/>
      </c>
      <c r="K1604" s="8" t="str">
        <f>IFERROR(VLOOKUP(J1604,tecnica!B:C,2,0),"")</f>
        <v/>
      </c>
      <c r="L1604" s="13"/>
      <c r="M1604" s="14" t="str">
        <f>IFERROR(VLOOKUP(I1604,material!A:D,4,0),"")</f>
        <v/>
      </c>
      <c r="N1604" s="14" t="str">
        <f t="shared" si="1"/>
        <v/>
      </c>
      <c r="O1604" s="15" t="str">
        <f>IFERROR(VLOOKUP(I1604,material!A:D,2,0),"")</f>
        <v/>
      </c>
    </row>
    <row r="1605">
      <c r="A1605" s="6"/>
      <c r="B1605" s="7"/>
      <c r="C1605" s="8" t="str">
        <f t="array" ref="C1605">IFERROR(INDEX(atlas!H:H,MATCH(A1605,atlas!C:C,0)),"")</f>
        <v/>
      </c>
      <c r="D1605" s="8" t="str">
        <f t="array" ref="D1605">IFERROR(INDEX(atlas!D:D,MATCH(A1605,atlas!C:C,0)),"")</f>
        <v/>
      </c>
      <c r="E1605" s="8" t="str">
        <f t="array" ref="E1605">IFERROR(INDEX(atlas!F:F,MATCH(A1605,atlas!C:C,0)),"")</f>
        <v/>
      </c>
      <c r="F1605" s="9"/>
      <c r="G1605" s="10"/>
      <c r="H1605" s="11"/>
      <c r="I1605" s="12" t="str">
        <f t="array" ref="I1605">IFERROR(INDEX(atlas!B:B,MATCH(A1605,atlas!C:C,0)),"")</f>
        <v/>
      </c>
      <c r="J1605" s="8" t="str">
        <f>IFERROR(VLOOKUP(F1605,tecnica!A:B,2,0),"")</f>
        <v/>
      </c>
      <c r="K1605" s="8" t="str">
        <f>IFERROR(VLOOKUP(J1605,tecnica!B:C,2,0),"")</f>
        <v/>
      </c>
      <c r="L1605" s="13"/>
      <c r="M1605" s="14" t="str">
        <f>IFERROR(VLOOKUP(I1605,material!A:D,4,0),"")</f>
        <v/>
      </c>
      <c r="N1605" s="14" t="str">
        <f t="shared" si="1"/>
        <v/>
      </c>
      <c r="O1605" s="15" t="str">
        <f>IFERROR(VLOOKUP(I1605,material!A:D,2,0),"")</f>
        <v/>
      </c>
    </row>
    <row r="1606">
      <c r="A1606" s="6"/>
      <c r="B1606" s="7"/>
      <c r="C1606" s="8" t="str">
        <f t="array" ref="C1606">IFERROR(INDEX(atlas!H:H,MATCH(A1606,atlas!C:C,0)),"")</f>
        <v/>
      </c>
      <c r="D1606" s="8" t="str">
        <f t="array" ref="D1606">IFERROR(INDEX(atlas!D:D,MATCH(A1606,atlas!C:C,0)),"")</f>
        <v/>
      </c>
      <c r="E1606" s="8" t="str">
        <f t="array" ref="E1606">IFERROR(INDEX(atlas!F:F,MATCH(A1606,atlas!C:C,0)),"")</f>
        <v/>
      </c>
      <c r="F1606" s="9"/>
      <c r="G1606" s="10"/>
      <c r="H1606" s="11"/>
      <c r="I1606" s="12" t="str">
        <f t="array" ref="I1606">IFERROR(INDEX(atlas!B:B,MATCH(A1606,atlas!C:C,0)),"")</f>
        <v/>
      </c>
      <c r="J1606" s="8" t="str">
        <f>IFERROR(VLOOKUP(F1606,tecnica!A:B,2,0),"")</f>
        <v/>
      </c>
      <c r="K1606" s="8" t="str">
        <f>IFERROR(VLOOKUP(J1606,tecnica!B:C,2,0),"")</f>
        <v/>
      </c>
      <c r="L1606" s="13"/>
      <c r="M1606" s="14" t="str">
        <f>IFERROR(VLOOKUP(I1606,material!A:D,4,0),"")</f>
        <v/>
      </c>
      <c r="N1606" s="14" t="str">
        <f t="shared" si="1"/>
        <v/>
      </c>
      <c r="O1606" s="15" t="str">
        <f>IFERROR(VLOOKUP(I1606,material!A:D,2,0),"")</f>
        <v/>
      </c>
    </row>
    <row r="1607">
      <c r="A1607" s="6"/>
      <c r="B1607" s="7"/>
      <c r="C1607" s="8" t="str">
        <f t="array" ref="C1607">IFERROR(INDEX(atlas!H:H,MATCH(A1607,atlas!C:C,0)),"")</f>
        <v/>
      </c>
      <c r="D1607" s="8" t="str">
        <f t="array" ref="D1607">IFERROR(INDEX(atlas!D:D,MATCH(A1607,atlas!C:C,0)),"")</f>
        <v/>
      </c>
      <c r="E1607" s="8" t="str">
        <f t="array" ref="E1607">IFERROR(INDEX(atlas!F:F,MATCH(A1607,atlas!C:C,0)),"")</f>
        <v/>
      </c>
      <c r="F1607" s="9"/>
      <c r="G1607" s="10"/>
      <c r="H1607" s="11"/>
      <c r="I1607" s="12" t="str">
        <f t="array" ref="I1607">IFERROR(INDEX(atlas!B:B,MATCH(A1607,atlas!C:C,0)),"")</f>
        <v/>
      </c>
      <c r="J1607" s="8" t="str">
        <f>IFERROR(VLOOKUP(F1607,tecnica!A:B,2,0),"")</f>
        <v/>
      </c>
      <c r="K1607" s="8" t="str">
        <f>IFERROR(VLOOKUP(J1607,tecnica!B:C,2,0),"")</f>
        <v/>
      </c>
      <c r="L1607" s="13"/>
      <c r="M1607" s="14" t="str">
        <f>IFERROR(VLOOKUP(I1607,material!A:D,4,0),"")</f>
        <v/>
      </c>
      <c r="N1607" s="14" t="str">
        <f t="shared" si="1"/>
        <v/>
      </c>
      <c r="O1607" s="15" t="str">
        <f>IFERROR(VLOOKUP(I1607,material!A:D,2,0),"")</f>
        <v/>
      </c>
    </row>
    <row r="1608">
      <c r="A1608" s="6"/>
      <c r="B1608" s="7"/>
      <c r="C1608" s="8" t="str">
        <f t="array" ref="C1608">IFERROR(INDEX(atlas!H:H,MATCH(A1608,atlas!C:C,0)),"")</f>
        <v/>
      </c>
      <c r="D1608" s="8" t="str">
        <f t="array" ref="D1608">IFERROR(INDEX(atlas!D:D,MATCH(A1608,atlas!C:C,0)),"")</f>
        <v/>
      </c>
      <c r="E1608" s="8" t="str">
        <f t="array" ref="E1608">IFERROR(INDEX(atlas!F:F,MATCH(A1608,atlas!C:C,0)),"")</f>
        <v/>
      </c>
      <c r="F1608" s="9"/>
      <c r="G1608" s="10"/>
      <c r="H1608" s="11"/>
      <c r="I1608" s="12" t="str">
        <f t="array" ref="I1608">IFERROR(INDEX(atlas!B:B,MATCH(A1608,atlas!C:C,0)),"")</f>
        <v/>
      </c>
      <c r="J1608" s="8" t="str">
        <f>IFERROR(VLOOKUP(F1608,tecnica!A:B,2,0),"")</f>
        <v/>
      </c>
      <c r="K1608" s="8" t="str">
        <f>IFERROR(VLOOKUP(J1608,tecnica!B:C,2,0),"")</f>
        <v/>
      </c>
      <c r="L1608" s="13"/>
      <c r="M1608" s="14" t="str">
        <f>IFERROR(VLOOKUP(I1608,material!A:D,4,0),"")</f>
        <v/>
      </c>
      <c r="N1608" s="14" t="str">
        <f t="shared" si="1"/>
        <v/>
      </c>
      <c r="O1608" s="15" t="str">
        <f>IFERROR(VLOOKUP(I1608,material!A:D,2,0),"")</f>
        <v/>
      </c>
    </row>
    <row r="1609">
      <c r="A1609" s="6"/>
      <c r="B1609" s="7"/>
      <c r="C1609" s="8" t="str">
        <f t="array" ref="C1609">IFERROR(INDEX(atlas!H:H,MATCH(A1609,atlas!C:C,0)),"")</f>
        <v/>
      </c>
      <c r="D1609" s="8" t="str">
        <f t="array" ref="D1609">IFERROR(INDEX(atlas!D:D,MATCH(A1609,atlas!C:C,0)),"")</f>
        <v/>
      </c>
      <c r="E1609" s="8" t="str">
        <f t="array" ref="E1609">IFERROR(INDEX(atlas!F:F,MATCH(A1609,atlas!C:C,0)),"")</f>
        <v/>
      </c>
      <c r="F1609" s="9"/>
      <c r="G1609" s="10"/>
      <c r="H1609" s="11"/>
      <c r="I1609" s="12" t="str">
        <f t="array" ref="I1609">IFERROR(INDEX(atlas!B:B,MATCH(A1609,atlas!C:C,0)),"")</f>
        <v/>
      </c>
      <c r="J1609" s="8" t="str">
        <f>IFERROR(VLOOKUP(F1609,tecnica!A:B,2,0),"")</f>
        <v/>
      </c>
      <c r="K1609" s="8" t="str">
        <f>IFERROR(VLOOKUP(J1609,tecnica!B:C,2,0),"")</f>
        <v/>
      </c>
      <c r="L1609" s="13"/>
      <c r="M1609" s="14" t="str">
        <f>IFERROR(VLOOKUP(I1609,material!A:D,4,0),"")</f>
        <v/>
      </c>
      <c r="N1609" s="14" t="str">
        <f t="shared" si="1"/>
        <v/>
      </c>
      <c r="O1609" s="15" t="str">
        <f>IFERROR(VLOOKUP(I1609,material!A:D,2,0),"")</f>
        <v/>
      </c>
    </row>
    <row r="1610">
      <c r="A1610" s="6"/>
      <c r="B1610" s="7"/>
      <c r="C1610" s="8" t="str">
        <f t="array" ref="C1610">IFERROR(INDEX(atlas!H:H,MATCH(A1610,atlas!C:C,0)),"")</f>
        <v/>
      </c>
      <c r="D1610" s="8" t="str">
        <f t="array" ref="D1610">IFERROR(INDEX(atlas!D:D,MATCH(A1610,atlas!C:C,0)),"")</f>
        <v/>
      </c>
      <c r="E1610" s="8" t="str">
        <f t="array" ref="E1610">IFERROR(INDEX(atlas!F:F,MATCH(A1610,atlas!C:C,0)),"")</f>
        <v/>
      </c>
      <c r="F1610" s="9"/>
      <c r="G1610" s="10"/>
      <c r="H1610" s="11"/>
      <c r="I1610" s="12" t="str">
        <f t="array" ref="I1610">IFERROR(INDEX(atlas!B:B,MATCH(A1610,atlas!C:C,0)),"")</f>
        <v/>
      </c>
      <c r="J1610" s="8" t="str">
        <f>IFERROR(VLOOKUP(F1610,tecnica!A:B,2,0),"")</f>
        <v/>
      </c>
      <c r="K1610" s="8" t="str">
        <f>IFERROR(VLOOKUP(J1610,tecnica!B:C,2,0),"")</f>
        <v/>
      </c>
      <c r="L1610" s="13"/>
      <c r="M1610" s="14" t="str">
        <f>IFERROR(VLOOKUP(I1610,material!A:D,4,0),"")</f>
        <v/>
      </c>
      <c r="N1610" s="14" t="str">
        <f t="shared" si="1"/>
        <v/>
      </c>
      <c r="O1610" s="15" t="str">
        <f>IFERROR(VLOOKUP(I1610,material!A:D,2,0),"")</f>
        <v/>
      </c>
    </row>
    <row r="1611">
      <c r="A1611" s="6"/>
      <c r="B1611" s="7"/>
      <c r="C1611" s="8" t="str">
        <f t="array" ref="C1611">IFERROR(INDEX(atlas!H:H,MATCH(A1611,atlas!C:C,0)),"")</f>
        <v/>
      </c>
      <c r="D1611" s="8" t="str">
        <f t="array" ref="D1611">IFERROR(INDEX(atlas!D:D,MATCH(A1611,atlas!C:C,0)),"")</f>
        <v/>
      </c>
      <c r="E1611" s="8" t="str">
        <f t="array" ref="E1611">IFERROR(INDEX(atlas!F:F,MATCH(A1611,atlas!C:C,0)),"")</f>
        <v/>
      </c>
      <c r="F1611" s="9"/>
      <c r="G1611" s="10"/>
      <c r="H1611" s="11"/>
      <c r="I1611" s="12" t="str">
        <f t="array" ref="I1611">IFERROR(INDEX(atlas!B:B,MATCH(A1611,atlas!C:C,0)),"")</f>
        <v/>
      </c>
      <c r="J1611" s="8" t="str">
        <f>IFERROR(VLOOKUP(F1611,tecnica!A:B,2,0),"")</f>
        <v/>
      </c>
      <c r="K1611" s="8" t="str">
        <f>IFERROR(VLOOKUP(J1611,tecnica!B:C,2,0),"")</f>
        <v/>
      </c>
      <c r="L1611" s="13"/>
      <c r="M1611" s="14" t="str">
        <f>IFERROR(VLOOKUP(I1611,material!A:D,4,0),"")</f>
        <v/>
      </c>
      <c r="N1611" s="14" t="str">
        <f t="shared" si="1"/>
        <v/>
      </c>
      <c r="O1611" s="15" t="str">
        <f>IFERROR(VLOOKUP(I1611,material!A:D,2,0),"")</f>
        <v/>
      </c>
    </row>
    <row r="1612">
      <c r="A1612" s="6"/>
      <c r="B1612" s="7"/>
      <c r="C1612" s="8" t="str">
        <f t="array" ref="C1612">IFERROR(INDEX(atlas!H:H,MATCH(A1612,atlas!C:C,0)),"")</f>
        <v/>
      </c>
      <c r="D1612" s="8" t="str">
        <f t="array" ref="D1612">IFERROR(INDEX(atlas!D:D,MATCH(A1612,atlas!C:C,0)),"")</f>
        <v/>
      </c>
      <c r="E1612" s="8" t="str">
        <f t="array" ref="E1612">IFERROR(INDEX(atlas!F:F,MATCH(A1612,atlas!C:C,0)),"")</f>
        <v/>
      </c>
      <c r="F1612" s="9"/>
      <c r="G1612" s="10"/>
      <c r="H1612" s="11"/>
      <c r="I1612" s="12" t="str">
        <f t="array" ref="I1612">IFERROR(INDEX(atlas!B:B,MATCH(A1612,atlas!C:C,0)),"")</f>
        <v/>
      </c>
      <c r="J1612" s="8" t="str">
        <f>IFERROR(VLOOKUP(F1612,tecnica!A:B,2,0),"")</f>
        <v/>
      </c>
      <c r="K1612" s="8" t="str">
        <f>IFERROR(VLOOKUP(J1612,tecnica!B:C,2,0),"")</f>
        <v/>
      </c>
      <c r="L1612" s="13"/>
      <c r="M1612" s="14" t="str">
        <f>IFERROR(VLOOKUP(I1612,material!A:D,4,0),"")</f>
        <v/>
      </c>
      <c r="N1612" s="14" t="str">
        <f t="shared" si="1"/>
        <v/>
      </c>
      <c r="O1612" s="15" t="str">
        <f>IFERROR(VLOOKUP(I1612,material!A:D,2,0),"")</f>
        <v/>
      </c>
    </row>
    <row r="1613">
      <c r="A1613" s="6"/>
      <c r="B1613" s="7"/>
      <c r="C1613" s="8" t="str">
        <f t="array" ref="C1613">IFERROR(INDEX(atlas!H:H,MATCH(A1613,atlas!C:C,0)),"")</f>
        <v/>
      </c>
      <c r="D1613" s="8" t="str">
        <f t="array" ref="D1613">IFERROR(INDEX(atlas!D:D,MATCH(A1613,atlas!C:C,0)),"")</f>
        <v/>
      </c>
      <c r="E1613" s="8" t="str">
        <f t="array" ref="E1613">IFERROR(INDEX(atlas!F:F,MATCH(A1613,atlas!C:C,0)),"")</f>
        <v/>
      </c>
      <c r="F1613" s="9"/>
      <c r="G1613" s="10"/>
      <c r="H1613" s="11"/>
      <c r="I1613" s="12" t="str">
        <f t="array" ref="I1613">IFERROR(INDEX(atlas!B:B,MATCH(A1613,atlas!C:C,0)),"")</f>
        <v/>
      </c>
      <c r="J1613" s="8" t="str">
        <f>IFERROR(VLOOKUP(F1613,tecnica!A:B,2,0),"")</f>
        <v/>
      </c>
      <c r="K1613" s="8" t="str">
        <f>IFERROR(VLOOKUP(J1613,tecnica!B:C,2,0),"")</f>
        <v/>
      </c>
      <c r="L1613" s="13"/>
      <c r="M1613" s="14" t="str">
        <f>IFERROR(VLOOKUP(I1613,material!A:D,4,0),"")</f>
        <v/>
      </c>
      <c r="N1613" s="14" t="str">
        <f t="shared" si="1"/>
        <v/>
      </c>
      <c r="O1613" s="15" t="str">
        <f>IFERROR(VLOOKUP(I1613,material!A:D,2,0),"")</f>
        <v/>
      </c>
    </row>
    <row r="1614">
      <c r="A1614" s="6"/>
      <c r="B1614" s="7"/>
      <c r="C1614" s="8" t="str">
        <f t="array" ref="C1614">IFERROR(INDEX(atlas!H:H,MATCH(A1614,atlas!C:C,0)),"")</f>
        <v/>
      </c>
      <c r="D1614" s="8" t="str">
        <f t="array" ref="D1614">IFERROR(INDEX(atlas!D:D,MATCH(A1614,atlas!C:C,0)),"")</f>
        <v/>
      </c>
      <c r="E1614" s="8" t="str">
        <f t="array" ref="E1614">IFERROR(INDEX(atlas!F:F,MATCH(A1614,atlas!C:C,0)),"")</f>
        <v/>
      </c>
      <c r="F1614" s="9"/>
      <c r="G1614" s="10"/>
      <c r="H1614" s="11"/>
      <c r="I1614" s="12" t="str">
        <f t="array" ref="I1614">IFERROR(INDEX(atlas!B:B,MATCH(A1614,atlas!C:C,0)),"")</f>
        <v/>
      </c>
      <c r="J1614" s="8" t="str">
        <f>IFERROR(VLOOKUP(F1614,tecnica!A:B,2,0),"")</f>
        <v/>
      </c>
      <c r="K1614" s="8" t="str">
        <f>IFERROR(VLOOKUP(J1614,tecnica!B:C,2,0),"")</f>
        <v/>
      </c>
      <c r="L1614" s="13"/>
      <c r="M1614" s="14" t="str">
        <f>IFERROR(VLOOKUP(I1614,material!A:D,4,0),"")</f>
        <v/>
      </c>
      <c r="N1614" s="14" t="str">
        <f t="shared" si="1"/>
        <v/>
      </c>
      <c r="O1614" s="15" t="str">
        <f>IFERROR(VLOOKUP(I1614,material!A:D,2,0),"")</f>
        <v/>
      </c>
    </row>
    <row r="1615">
      <c r="A1615" s="6"/>
      <c r="B1615" s="7"/>
      <c r="C1615" s="8" t="str">
        <f t="array" ref="C1615">IFERROR(INDEX(atlas!H:H,MATCH(A1615,atlas!C:C,0)),"")</f>
        <v/>
      </c>
      <c r="D1615" s="8" t="str">
        <f t="array" ref="D1615">IFERROR(INDEX(atlas!D:D,MATCH(A1615,atlas!C:C,0)),"")</f>
        <v/>
      </c>
      <c r="E1615" s="8" t="str">
        <f t="array" ref="E1615">IFERROR(INDEX(atlas!F:F,MATCH(A1615,atlas!C:C,0)),"")</f>
        <v/>
      </c>
      <c r="F1615" s="9"/>
      <c r="G1615" s="10"/>
      <c r="H1615" s="11"/>
      <c r="I1615" s="12" t="str">
        <f t="array" ref="I1615">IFERROR(INDEX(atlas!B:B,MATCH(A1615,atlas!C:C,0)),"")</f>
        <v/>
      </c>
      <c r="J1615" s="8" t="str">
        <f>IFERROR(VLOOKUP(F1615,tecnica!A:B,2,0),"")</f>
        <v/>
      </c>
      <c r="K1615" s="8" t="str">
        <f>IFERROR(VLOOKUP(J1615,tecnica!B:C,2,0),"")</f>
        <v/>
      </c>
      <c r="L1615" s="13"/>
      <c r="M1615" s="14" t="str">
        <f>IFERROR(VLOOKUP(I1615,material!A:D,4,0),"")</f>
        <v/>
      </c>
      <c r="N1615" s="14" t="str">
        <f t="shared" si="1"/>
        <v/>
      </c>
      <c r="O1615" s="15" t="str">
        <f>IFERROR(VLOOKUP(I1615,material!A:D,2,0),"")</f>
        <v/>
      </c>
    </row>
    <row r="1616">
      <c r="A1616" s="6"/>
      <c r="B1616" s="7"/>
      <c r="C1616" s="8" t="str">
        <f t="array" ref="C1616">IFERROR(INDEX(atlas!H:H,MATCH(A1616,atlas!C:C,0)),"")</f>
        <v/>
      </c>
      <c r="D1616" s="8" t="str">
        <f t="array" ref="D1616">IFERROR(INDEX(atlas!D:D,MATCH(A1616,atlas!C:C,0)),"")</f>
        <v/>
      </c>
      <c r="E1616" s="8" t="str">
        <f t="array" ref="E1616">IFERROR(INDEX(atlas!F:F,MATCH(A1616,atlas!C:C,0)),"")</f>
        <v/>
      </c>
      <c r="F1616" s="9"/>
      <c r="G1616" s="10"/>
      <c r="H1616" s="11"/>
      <c r="I1616" s="12" t="str">
        <f t="array" ref="I1616">IFERROR(INDEX(atlas!B:B,MATCH(A1616,atlas!C:C,0)),"")</f>
        <v/>
      </c>
      <c r="J1616" s="8" t="str">
        <f>IFERROR(VLOOKUP(F1616,tecnica!A:B,2,0),"")</f>
        <v/>
      </c>
      <c r="K1616" s="8" t="str">
        <f>IFERROR(VLOOKUP(J1616,tecnica!B:C,2,0),"")</f>
        <v/>
      </c>
      <c r="L1616" s="13"/>
      <c r="M1616" s="14" t="str">
        <f>IFERROR(VLOOKUP(I1616,material!A:D,4,0),"")</f>
        <v/>
      </c>
      <c r="N1616" s="14" t="str">
        <f t="shared" si="1"/>
        <v/>
      </c>
      <c r="O1616" s="15" t="str">
        <f>IFERROR(VLOOKUP(I1616,material!A:D,2,0),"")</f>
        <v/>
      </c>
    </row>
    <row r="1617">
      <c r="A1617" s="6"/>
      <c r="B1617" s="7"/>
      <c r="C1617" s="8" t="str">
        <f t="array" ref="C1617">IFERROR(INDEX(atlas!H:H,MATCH(A1617,atlas!C:C,0)),"")</f>
        <v/>
      </c>
      <c r="D1617" s="8" t="str">
        <f t="array" ref="D1617">IFERROR(INDEX(atlas!D:D,MATCH(A1617,atlas!C:C,0)),"")</f>
        <v/>
      </c>
      <c r="E1617" s="8" t="str">
        <f t="array" ref="E1617">IFERROR(INDEX(atlas!F:F,MATCH(A1617,atlas!C:C,0)),"")</f>
        <v/>
      </c>
      <c r="F1617" s="9"/>
      <c r="G1617" s="10"/>
      <c r="H1617" s="11"/>
      <c r="I1617" s="12" t="str">
        <f t="array" ref="I1617">IFERROR(INDEX(atlas!B:B,MATCH(A1617,atlas!C:C,0)),"")</f>
        <v/>
      </c>
      <c r="J1617" s="8" t="str">
        <f>IFERROR(VLOOKUP(F1617,tecnica!A:B,2,0),"")</f>
        <v/>
      </c>
      <c r="K1617" s="8" t="str">
        <f>IFERROR(VLOOKUP(J1617,tecnica!B:C,2,0),"")</f>
        <v/>
      </c>
      <c r="L1617" s="13"/>
      <c r="M1617" s="14" t="str">
        <f>IFERROR(VLOOKUP(I1617,material!A:D,4,0),"")</f>
        <v/>
      </c>
      <c r="N1617" s="14" t="str">
        <f t="shared" si="1"/>
        <v/>
      </c>
      <c r="O1617" s="15" t="str">
        <f>IFERROR(VLOOKUP(I1617,material!A:D,2,0),"")</f>
        <v/>
      </c>
    </row>
    <row r="1618">
      <c r="A1618" s="6"/>
      <c r="B1618" s="7"/>
      <c r="C1618" s="8" t="str">
        <f t="array" ref="C1618">IFERROR(INDEX(atlas!H:H,MATCH(A1618,atlas!C:C,0)),"")</f>
        <v/>
      </c>
      <c r="D1618" s="8" t="str">
        <f t="array" ref="D1618">IFERROR(INDEX(atlas!D:D,MATCH(A1618,atlas!C:C,0)),"")</f>
        <v/>
      </c>
      <c r="E1618" s="8" t="str">
        <f t="array" ref="E1618">IFERROR(INDEX(atlas!F:F,MATCH(A1618,atlas!C:C,0)),"")</f>
        <v/>
      </c>
      <c r="F1618" s="9"/>
      <c r="G1618" s="10"/>
      <c r="H1618" s="11"/>
      <c r="I1618" s="12" t="str">
        <f t="array" ref="I1618">IFERROR(INDEX(atlas!B:B,MATCH(A1618,atlas!C:C,0)),"")</f>
        <v/>
      </c>
      <c r="J1618" s="8" t="str">
        <f>IFERROR(VLOOKUP(F1618,tecnica!A:B,2,0),"")</f>
        <v/>
      </c>
      <c r="K1618" s="8" t="str">
        <f>IFERROR(VLOOKUP(J1618,tecnica!B:C,2,0),"")</f>
        <v/>
      </c>
      <c r="L1618" s="13"/>
      <c r="M1618" s="14" t="str">
        <f>IFERROR(VLOOKUP(I1618,material!A:D,4,0),"")</f>
        <v/>
      </c>
      <c r="N1618" s="14" t="str">
        <f t="shared" si="1"/>
        <v/>
      </c>
      <c r="O1618" s="15" t="str">
        <f>IFERROR(VLOOKUP(I1618,material!A:D,2,0),"")</f>
        <v/>
      </c>
    </row>
    <row r="1619">
      <c r="A1619" s="6"/>
      <c r="B1619" s="7"/>
      <c r="C1619" s="8" t="str">
        <f t="array" ref="C1619">IFERROR(INDEX(atlas!H:H,MATCH(A1619,atlas!C:C,0)),"")</f>
        <v/>
      </c>
      <c r="D1619" s="8" t="str">
        <f t="array" ref="D1619">IFERROR(INDEX(atlas!D:D,MATCH(A1619,atlas!C:C,0)),"")</f>
        <v/>
      </c>
      <c r="E1619" s="8" t="str">
        <f t="array" ref="E1619">IFERROR(INDEX(atlas!F:F,MATCH(A1619,atlas!C:C,0)),"")</f>
        <v/>
      </c>
      <c r="F1619" s="9"/>
      <c r="G1619" s="10"/>
      <c r="H1619" s="11"/>
      <c r="I1619" s="12" t="str">
        <f t="array" ref="I1619">IFERROR(INDEX(atlas!B:B,MATCH(A1619,atlas!C:C,0)),"")</f>
        <v/>
      </c>
      <c r="J1619" s="8" t="str">
        <f>IFERROR(VLOOKUP(F1619,tecnica!A:B,2,0),"")</f>
        <v/>
      </c>
      <c r="K1619" s="8" t="str">
        <f>IFERROR(VLOOKUP(J1619,tecnica!B:C,2,0),"")</f>
        <v/>
      </c>
      <c r="L1619" s="13"/>
      <c r="M1619" s="14" t="str">
        <f>IFERROR(VLOOKUP(I1619,material!A:D,4,0),"")</f>
        <v/>
      </c>
      <c r="N1619" s="14" t="str">
        <f t="shared" si="1"/>
        <v/>
      </c>
      <c r="O1619" s="15" t="str">
        <f>IFERROR(VLOOKUP(I1619,material!A:D,2,0),"")</f>
        <v/>
      </c>
    </row>
    <row r="1620">
      <c r="A1620" s="6"/>
      <c r="B1620" s="7"/>
      <c r="C1620" s="8" t="str">
        <f t="array" ref="C1620">IFERROR(INDEX(atlas!H:H,MATCH(A1620,atlas!C:C,0)),"")</f>
        <v/>
      </c>
      <c r="D1620" s="8" t="str">
        <f t="array" ref="D1620">IFERROR(INDEX(atlas!D:D,MATCH(A1620,atlas!C:C,0)),"")</f>
        <v/>
      </c>
      <c r="E1620" s="8" t="str">
        <f t="array" ref="E1620">IFERROR(INDEX(atlas!F:F,MATCH(A1620,atlas!C:C,0)),"")</f>
        <v/>
      </c>
      <c r="F1620" s="9"/>
      <c r="G1620" s="10"/>
      <c r="H1620" s="11"/>
      <c r="I1620" s="12" t="str">
        <f t="array" ref="I1620">IFERROR(INDEX(atlas!B:B,MATCH(A1620,atlas!C:C,0)),"")</f>
        <v/>
      </c>
      <c r="J1620" s="8" t="str">
        <f>IFERROR(VLOOKUP(F1620,tecnica!A:B,2,0),"")</f>
        <v/>
      </c>
      <c r="K1620" s="8" t="str">
        <f>IFERROR(VLOOKUP(J1620,tecnica!B:C,2,0),"")</f>
        <v/>
      </c>
      <c r="L1620" s="13"/>
      <c r="M1620" s="14" t="str">
        <f>IFERROR(VLOOKUP(I1620,material!A:D,4,0),"")</f>
        <v/>
      </c>
      <c r="N1620" s="14" t="str">
        <f t="shared" si="1"/>
        <v/>
      </c>
      <c r="O1620" s="15" t="str">
        <f>IFERROR(VLOOKUP(I1620,material!A:D,2,0),"")</f>
        <v/>
      </c>
    </row>
    <row r="1621">
      <c r="A1621" s="6"/>
      <c r="B1621" s="7"/>
      <c r="C1621" s="8" t="str">
        <f t="array" ref="C1621">IFERROR(INDEX(atlas!H:H,MATCH(A1621,atlas!C:C,0)),"")</f>
        <v/>
      </c>
      <c r="D1621" s="8" t="str">
        <f t="array" ref="D1621">IFERROR(INDEX(atlas!D:D,MATCH(A1621,atlas!C:C,0)),"")</f>
        <v/>
      </c>
      <c r="E1621" s="8" t="str">
        <f t="array" ref="E1621">IFERROR(INDEX(atlas!F:F,MATCH(A1621,atlas!C:C,0)),"")</f>
        <v/>
      </c>
      <c r="F1621" s="9"/>
      <c r="G1621" s="10"/>
      <c r="H1621" s="11"/>
      <c r="I1621" s="12" t="str">
        <f t="array" ref="I1621">IFERROR(INDEX(atlas!B:B,MATCH(A1621,atlas!C:C,0)),"")</f>
        <v/>
      </c>
      <c r="J1621" s="8" t="str">
        <f>IFERROR(VLOOKUP(F1621,tecnica!A:B,2,0),"")</f>
        <v/>
      </c>
      <c r="K1621" s="8" t="str">
        <f>IFERROR(VLOOKUP(J1621,tecnica!B:C,2,0),"")</f>
        <v/>
      </c>
      <c r="L1621" s="13"/>
      <c r="M1621" s="14" t="str">
        <f>IFERROR(VLOOKUP(I1621,material!A:D,4,0),"")</f>
        <v/>
      </c>
      <c r="N1621" s="14" t="str">
        <f t="shared" si="1"/>
        <v/>
      </c>
      <c r="O1621" s="15" t="str">
        <f>IFERROR(VLOOKUP(I1621,material!A:D,2,0),"")</f>
        <v/>
      </c>
    </row>
    <row r="1622">
      <c r="A1622" s="6"/>
      <c r="B1622" s="7"/>
      <c r="C1622" s="8" t="str">
        <f t="array" ref="C1622">IFERROR(INDEX(atlas!H:H,MATCH(A1622,atlas!C:C,0)),"")</f>
        <v/>
      </c>
      <c r="D1622" s="8" t="str">
        <f t="array" ref="D1622">IFERROR(INDEX(atlas!D:D,MATCH(A1622,atlas!C:C,0)),"")</f>
        <v/>
      </c>
      <c r="E1622" s="8" t="str">
        <f t="array" ref="E1622">IFERROR(INDEX(atlas!F:F,MATCH(A1622,atlas!C:C,0)),"")</f>
        <v/>
      </c>
      <c r="F1622" s="9"/>
      <c r="G1622" s="10"/>
      <c r="H1622" s="11"/>
      <c r="I1622" s="12" t="str">
        <f t="array" ref="I1622">IFERROR(INDEX(atlas!B:B,MATCH(A1622,atlas!C:C,0)),"")</f>
        <v/>
      </c>
      <c r="J1622" s="8" t="str">
        <f>IFERROR(VLOOKUP(F1622,tecnica!A:B,2,0),"")</f>
        <v/>
      </c>
      <c r="K1622" s="8" t="str">
        <f>IFERROR(VLOOKUP(J1622,tecnica!B:C,2,0),"")</f>
        <v/>
      </c>
      <c r="L1622" s="13"/>
      <c r="M1622" s="14" t="str">
        <f>IFERROR(VLOOKUP(I1622,material!A:D,4,0),"")</f>
        <v/>
      </c>
      <c r="N1622" s="14" t="str">
        <f t="shared" si="1"/>
        <v/>
      </c>
      <c r="O1622" s="15" t="str">
        <f>IFERROR(VLOOKUP(I1622,material!A:D,2,0),"")</f>
        <v/>
      </c>
    </row>
    <row r="1623">
      <c r="A1623" s="6"/>
      <c r="B1623" s="7"/>
      <c r="C1623" s="8" t="str">
        <f t="array" ref="C1623">IFERROR(INDEX(atlas!H:H,MATCH(A1623,atlas!C:C,0)),"")</f>
        <v/>
      </c>
      <c r="D1623" s="8" t="str">
        <f t="array" ref="D1623">IFERROR(INDEX(atlas!D:D,MATCH(A1623,atlas!C:C,0)),"")</f>
        <v/>
      </c>
      <c r="E1623" s="8" t="str">
        <f t="array" ref="E1623">IFERROR(INDEX(atlas!F:F,MATCH(A1623,atlas!C:C,0)),"")</f>
        <v/>
      </c>
      <c r="F1623" s="9"/>
      <c r="G1623" s="10"/>
      <c r="H1623" s="11"/>
      <c r="I1623" s="12" t="str">
        <f t="array" ref="I1623">IFERROR(INDEX(atlas!B:B,MATCH(A1623,atlas!C:C,0)),"")</f>
        <v/>
      </c>
      <c r="J1623" s="8" t="str">
        <f>IFERROR(VLOOKUP(F1623,tecnica!A:B,2,0),"")</f>
        <v/>
      </c>
      <c r="K1623" s="8" t="str">
        <f>IFERROR(VLOOKUP(J1623,tecnica!B:C,2,0),"")</f>
        <v/>
      </c>
      <c r="L1623" s="13"/>
      <c r="M1623" s="14" t="str">
        <f>IFERROR(VLOOKUP(I1623,material!A:D,4,0),"")</f>
        <v/>
      </c>
      <c r="N1623" s="14" t="str">
        <f t="shared" si="1"/>
        <v/>
      </c>
      <c r="O1623" s="15" t="str">
        <f>IFERROR(VLOOKUP(I1623,material!A:D,2,0),"")</f>
        <v/>
      </c>
    </row>
    <row r="1624">
      <c r="A1624" s="6"/>
      <c r="B1624" s="7"/>
      <c r="C1624" s="8" t="str">
        <f t="array" ref="C1624">IFERROR(INDEX(atlas!H:H,MATCH(A1624,atlas!C:C,0)),"")</f>
        <v/>
      </c>
      <c r="D1624" s="8" t="str">
        <f t="array" ref="D1624">IFERROR(INDEX(atlas!D:D,MATCH(A1624,atlas!C:C,0)),"")</f>
        <v/>
      </c>
      <c r="E1624" s="8" t="str">
        <f t="array" ref="E1624">IFERROR(INDEX(atlas!F:F,MATCH(A1624,atlas!C:C,0)),"")</f>
        <v/>
      </c>
      <c r="F1624" s="9"/>
      <c r="G1624" s="10"/>
      <c r="H1624" s="11"/>
      <c r="I1624" s="12" t="str">
        <f t="array" ref="I1624">IFERROR(INDEX(atlas!B:B,MATCH(A1624,atlas!C:C,0)),"")</f>
        <v/>
      </c>
      <c r="J1624" s="8" t="str">
        <f>IFERROR(VLOOKUP(F1624,tecnica!A:B,2,0),"")</f>
        <v/>
      </c>
      <c r="K1624" s="8" t="str">
        <f>IFERROR(VLOOKUP(J1624,tecnica!B:C,2,0),"")</f>
        <v/>
      </c>
      <c r="L1624" s="13"/>
      <c r="M1624" s="14" t="str">
        <f>IFERROR(VLOOKUP(I1624,material!A:D,4,0),"")</f>
        <v/>
      </c>
      <c r="N1624" s="14" t="str">
        <f t="shared" si="1"/>
        <v/>
      </c>
      <c r="O1624" s="15" t="str">
        <f>IFERROR(VLOOKUP(I1624,material!A:D,2,0),"")</f>
        <v/>
      </c>
    </row>
    <row r="1625">
      <c r="A1625" s="6"/>
      <c r="B1625" s="7"/>
      <c r="C1625" s="8" t="str">
        <f t="array" ref="C1625">IFERROR(INDEX(atlas!H:H,MATCH(A1625,atlas!C:C,0)),"")</f>
        <v/>
      </c>
      <c r="D1625" s="8" t="str">
        <f t="array" ref="D1625">IFERROR(INDEX(atlas!D:D,MATCH(A1625,atlas!C:C,0)),"")</f>
        <v/>
      </c>
      <c r="E1625" s="8" t="str">
        <f t="array" ref="E1625">IFERROR(INDEX(atlas!F:F,MATCH(A1625,atlas!C:C,0)),"")</f>
        <v/>
      </c>
      <c r="F1625" s="9"/>
      <c r="G1625" s="10"/>
      <c r="H1625" s="11"/>
      <c r="I1625" s="12" t="str">
        <f t="array" ref="I1625">IFERROR(INDEX(atlas!B:B,MATCH(A1625,atlas!C:C,0)),"")</f>
        <v/>
      </c>
      <c r="J1625" s="8" t="str">
        <f>IFERROR(VLOOKUP(F1625,tecnica!A:B,2,0),"")</f>
        <v/>
      </c>
      <c r="K1625" s="8" t="str">
        <f>IFERROR(VLOOKUP(J1625,tecnica!B:C,2,0),"")</f>
        <v/>
      </c>
      <c r="L1625" s="13"/>
      <c r="M1625" s="14" t="str">
        <f>IFERROR(VLOOKUP(I1625,material!A:D,4,0),"")</f>
        <v/>
      </c>
      <c r="N1625" s="14" t="str">
        <f t="shared" si="1"/>
        <v/>
      </c>
      <c r="O1625" s="15" t="str">
        <f>IFERROR(VLOOKUP(I1625,material!A:D,2,0),"")</f>
        <v/>
      </c>
    </row>
    <row r="1626">
      <c r="A1626" s="6"/>
      <c r="B1626" s="7"/>
      <c r="C1626" s="8" t="str">
        <f t="array" ref="C1626">IFERROR(INDEX(atlas!H:H,MATCH(A1626,atlas!C:C,0)),"")</f>
        <v/>
      </c>
      <c r="D1626" s="8" t="str">
        <f t="array" ref="D1626">IFERROR(INDEX(atlas!D:D,MATCH(A1626,atlas!C:C,0)),"")</f>
        <v/>
      </c>
      <c r="E1626" s="8" t="str">
        <f t="array" ref="E1626">IFERROR(INDEX(atlas!F:F,MATCH(A1626,atlas!C:C,0)),"")</f>
        <v/>
      </c>
      <c r="F1626" s="9"/>
      <c r="G1626" s="10"/>
      <c r="H1626" s="11"/>
      <c r="I1626" s="12" t="str">
        <f t="array" ref="I1626">IFERROR(INDEX(atlas!B:B,MATCH(A1626,atlas!C:C,0)),"")</f>
        <v/>
      </c>
      <c r="J1626" s="8" t="str">
        <f>IFERROR(VLOOKUP(F1626,tecnica!A:B,2,0),"")</f>
        <v/>
      </c>
      <c r="K1626" s="8" t="str">
        <f>IFERROR(VLOOKUP(J1626,tecnica!B:C,2,0),"")</f>
        <v/>
      </c>
      <c r="L1626" s="13"/>
      <c r="M1626" s="14" t="str">
        <f>IFERROR(VLOOKUP(I1626,material!A:D,4,0),"")</f>
        <v/>
      </c>
      <c r="N1626" s="14" t="str">
        <f t="shared" si="1"/>
        <v/>
      </c>
      <c r="O1626" s="15" t="str">
        <f>IFERROR(VLOOKUP(I1626,material!A:D,2,0),"")</f>
        <v/>
      </c>
    </row>
    <row r="1627">
      <c r="A1627" s="6"/>
      <c r="B1627" s="7"/>
      <c r="C1627" s="8" t="str">
        <f t="array" ref="C1627">IFERROR(INDEX(atlas!H:H,MATCH(A1627,atlas!C:C,0)),"")</f>
        <v/>
      </c>
      <c r="D1627" s="8" t="str">
        <f t="array" ref="D1627">IFERROR(INDEX(atlas!D:D,MATCH(A1627,atlas!C:C,0)),"")</f>
        <v/>
      </c>
      <c r="E1627" s="8" t="str">
        <f t="array" ref="E1627">IFERROR(INDEX(atlas!F:F,MATCH(A1627,atlas!C:C,0)),"")</f>
        <v/>
      </c>
      <c r="F1627" s="9"/>
      <c r="G1627" s="10"/>
      <c r="H1627" s="11"/>
      <c r="I1627" s="12" t="str">
        <f t="array" ref="I1627">IFERROR(INDEX(atlas!B:B,MATCH(A1627,atlas!C:C,0)),"")</f>
        <v/>
      </c>
      <c r="J1627" s="8" t="str">
        <f>IFERROR(VLOOKUP(F1627,tecnica!A:B,2,0),"")</f>
        <v/>
      </c>
      <c r="K1627" s="8" t="str">
        <f>IFERROR(VLOOKUP(J1627,tecnica!B:C,2,0),"")</f>
        <v/>
      </c>
      <c r="L1627" s="13"/>
      <c r="M1627" s="14" t="str">
        <f>IFERROR(VLOOKUP(I1627,material!A:D,4,0),"")</f>
        <v/>
      </c>
      <c r="N1627" s="14" t="str">
        <f t="shared" si="1"/>
        <v/>
      </c>
      <c r="O1627" s="15" t="str">
        <f>IFERROR(VLOOKUP(I1627,material!A:D,2,0),"")</f>
        <v/>
      </c>
    </row>
    <row r="1628">
      <c r="A1628" s="6"/>
      <c r="B1628" s="7"/>
      <c r="C1628" s="8" t="str">
        <f t="array" ref="C1628">IFERROR(INDEX(atlas!H:H,MATCH(A1628,atlas!C:C,0)),"")</f>
        <v/>
      </c>
      <c r="D1628" s="8" t="str">
        <f t="array" ref="D1628">IFERROR(INDEX(atlas!D:D,MATCH(A1628,atlas!C:C,0)),"")</f>
        <v/>
      </c>
      <c r="E1628" s="8" t="str">
        <f t="array" ref="E1628">IFERROR(INDEX(atlas!F:F,MATCH(A1628,atlas!C:C,0)),"")</f>
        <v/>
      </c>
      <c r="F1628" s="9"/>
      <c r="G1628" s="10"/>
      <c r="H1628" s="11"/>
      <c r="I1628" s="12" t="str">
        <f t="array" ref="I1628">IFERROR(INDEX(atlas!B:B,MATCH(A1628,atlas!C:C,0)),"")</f>
        <v/>
      </c>
      <c r="J1628" s="8" t="str">
        <f>IFERROR(VLOOKUP(F1628,tecnica!A:B,2,0),"")</f>
        <v/>
      </c>
      <c r="K1628" s="8" t="str">
        <f>IFERROR(VLOOKUP(J1628,tecnica!B:C,2,0),"")</f>
        <v/>
      </c>
      <c r="L1628" s="13"/>
      <c r="M1628" s="14" t="str">
        <f>IFERROR(VLOOKUP(I1628,material!A:D,4,0),"")</f>
        <v/>
      </c>
      <c r="N1628" s="14" t="str">
        <f t="shared" si="1"/>
        <v/>
      </c>
      <c r="O1628" s="15" t="str">
        <f>IFERROR(VLOOKUP(I1628,material!A:D,2,0),"")</f>
        <v/>
      </c>
    </row>
    <row r="1629">
      <c r="A1629" s="6"/>
      <c r="B1629" s="7"/>
      <c r="C1629" s="8" t="str">
        <f t="array" ref="C1629">IFERROR(INDEX(atlas!H:H,MATCH(A1629,atlas!C:C,0)),"")</f>
        <v/>
      </c>
      <c r="D1629" s="8" t="str">
        <f t="array" ref="D1629">IFERROR(INDEX(atlas!D:D,MATCH(A1629,atlas!C:C,0)),"")</f>
        <v/>
      </c>
      <c r="E1629" s="8" t="str">
        <f t="array" ref="E1629">IFERROR(INDEX(atlas!F:F,MATCH(A1629,atlas!C:C,0)),"")</f>
        <v/>
      </c>
      <c r="F1629" s="9"/>
      <c r="G1629" s="10"/>
      <c r="H1629" s="11"/>
      <c r="I1629" s="12" t="str">
        <f t="array" ref="I1629">IFERROR(INDEX(atlas!B:B,MATCH(A1629,atlas!C:C,0)),"")</f>
        <v/>
      </c>
      <c r="J1629" s="8" t="str">
        <f>IFERROR(VLOOKUP(F1629,tecnica!A:B,2,0),"")</f>
        <v/>
      </c>
      <c r="K1629" s="8" t="str">
        <f>IFERROR(VLOOKUP(J1629,tecnica!B:C,2,0),"")</f>
        <v/>
      </c>
      <c r="L1629" s="13"/>
      <c r="M1629" s="14" t="str">
        <f>IFERROR(VLOOKUP(I1629,material!A:D,4,0),"")</f>
        <v/>
      </c>
      <c r="N1629" s="14" t="str">
        <f t="shared" si="1"/>
        <v/>
      </c>
      <c r="O1629" s="15" t="str">
        <f>IFERROR(VLOOKUP(I1629,material!A:D,2,0),"")</f>
        <v/>
      </c>
    </row>
    <row r="1630">
      <c r="A1630" s="6"/>
      <c r="B1630" s="7"/>
      <c r="C1630" s="8" t="str">
        <f t="array" ref="C1630">IFERROR(INDEX(atlas!H:H,MATCH(A1630,atlas!C:C,0)),"")</f>
        <v/>
      </c>
      <c r="D1630" s="8" t="str">
        <f t="array" ref="D1630">IFERROR(INDEX(atlas!D:D,MATCH(A1630,atlas!C:C,0)),"")</f>
        <v/>
      </c>
      <c r="E1630" s="8" t="str">
        <f t="array" ref="E1630">IFERROR(INDEX(atlas!F:F,MATCH(A1630,atlas!C:C,0)),"")</f>
        <v/>
      </c>
      <c r="F1630" s="9"/>
      <c r="G1630" s="10"/>
      <c r="H1630" s="11"/>
      <c r="I1630" s="12" t="str">
        <f t="array" ref="I1630">IFERROR(INDEX(atlas!B:B,MATCH(A1630,atlas!C:C,0)),"")</f>
        <v/>
      </c>
      <c r="J1630" s="8" t="str">
        <f>IFERROR(VLOOKUP(F1630,tecnica!A:B,2,0),"")</f>
        <v/>
      </c>
      <c r="K1630" s="8" t="str">
        <f>IFERROR(VLOOKUP(J1630,tecnica!B:C,2,0),"")</f>
        <v/>
      </c>
      <c r="L1630" s="13"/>
      <c r="M1630" s="14" t="str">
        <f>IFERROR(VLOOKUP(I1630,material!A:D,4,0),"")</f>
        <v/>
      </c>
      <c r="N1630" s="14" t="str">
        <f t="shared" si="1"/>
        <v/>
      </c>
      <c r="O1630" s="15" t="str">
        <f>IFERROR(VLOOKUP(I1630,material!A:D,2,0),"")</f>
        <v/>
      </c>
    </row>
    <row r="1631">
      <c r="A1631" s="6"/>
      <c r="B1631" s="7"/>
      <c r="C1631" s="8" t="str">
        <f t="array" ref="C1631">IFERROR(INDEX(atlas!H:H,MATCH(A1631,atlas!C:C,0)),"")</f>
        <v/>
      </c>
      <c r="D1631" s="8" t="str">
        <f t="array" ref="D1631">IFERROR(INDEX(atlas!D:D,MATCH(A1631,atlas!C:C,0)),"")</f>
        <v/>
      </c>
      <c r="E1631" s="8" t="str">
        <f t="array" ref="E1631">IFERROR(INDEX(atlas!F:F,MATCH(A1631,atlas!C:C,0)),"")</f>
        <v/>
      </c>
      <c r="F1631" s="9"/>
      <c r="G1631" s="10"/>
      <c r="H1631" s="11"/>
      <c r="I1631" s="12" t="str">
        <f t="array" ref="I1631">IFERROR(INDEX(atlas!B:B,MATCH(A1631,atlas!C:C,0)),"")</f>
        <v/>
      </c>
      <c r="J1631" s="8" t="str">
        <f>IFERROR(VLOOKUP(F1631,tecnica!A:B,2,0),"")</f>
        <v/>
      </c>
      <c r="K1631" s="8" t="str">
        <f>IFERROR(VLOOKUP(J1631,tecnica!B:C,2,0),"")</f>
        <v/>
      </c>
      <c r="L1631" s="13"/>
      <c r="M1631" s="14" t="str">
        <f>IFERROR(VLOOKUP(I1631,material!A:D,4,0),"")</f>
        <v/>
      </c>
      <c r="N1631" s="14" t="str">
        <f t="shared" si="1"/>
        <v/>
      </c>
      <c r="O1631" s="15" t="str">
        <f>IFERROR(VLOOKUP(I1631,material!A:D,2,0),"")</f>
        <v/>
      </c>
    </row>
    <row r="1632">
      <c r="A1632" s="6"/>
      <c r="B1632" s="7"/>
      <c r="C1632" s="8" t="str">
        <f t="array" ref="C1632">IFERROR(INDEX(atlas!H:H,MATCH(A1632,atlas!C:C,0)),"")</f>
        <v/>
      </c>
      <c r="D1632" s="8" t="str">
        <f t="array" ref="D1632">IFERROR(INDEX(atlas!D:D,MATCH(A1632,atlas!C:C,0)),"")</f>
        <v/>
      </c>
      <c r="E1632" s="8" t="str">
        <f t="array" ref="E1632">IFERROR(INDEX(atlas!F:F,MATCH(A1632,atlas!C:C,0)),"")</f>
        <v/>
      </c>
      <c r="F1632" s="9"/>
      <c r="G1632" s="10"/>
      <c r="H1632" s="11"/>
      <c r="I1632" s="12" t="str">
        <f t="array" ref="I1632">IFERROR(INDEX(atlas!B:B,MATCH(A1632,atlas!C:C,0)),"")</f>
        <v/>
      </c>
      <c r="J1632" s="8" t="str">
        <f>IFERROR(VLOOKUP(F1632,tecnica!A:B,2,0),"")</f>
        <v/>
      </c>
      <c r="K1632" s="8" t="str">
        <f>IFERROR(VLOOKUP(J1632,tecnica!B:C,2,0),"")</f>
        <v/>
      </c>
      <c r="L1632" s="13"/>
      <c r="M1632" s="14" t="str">
        <f>IFERROR(VLOOKUP(I1632,material!A:D,4,0),"")</f>
        <v/>
      </c>
      <c r="N1632" s="14" t="str">
        <f t="shared" si="1"/>
        <v/>
      </c>
      <c r="O1632" s="15" t="str">
        <f>IFERROR(VLOOKUP(I1632,material!A:D,2,0),"")</f>
        <v/>
      </c>
    </row>
    <row r="1633">
      <c r="A1633" s="6"/>
      <c r="B1633" s="7"/>
      <c r="C1633" s="8" t="str">
        <f t="array" ref="C1633">IFERROR(INDEX(atlas!H:H,MATCH(A1633,atlas!C:C,0)),"")</f>
        <v/>
      </c>
      <c r="D1633" s="8" t="str">
        <f t="array" ref="D1633">IFERROR(INDEX(atlas!D:D,MATCH(A1633,atlas!C:C,0)),"")</f>
        <v/>
      </c>
      <c r="E1633" s="8" t="str">
        <f t="array" ref="E1633">IFERROR(INDEX(atlas!F:F,MATCH(A1633,atlas!C:C,0)),"")</f>
        <v/>
      </c>
      <c r="F1633" s="9"/>
      <c r="G1633" s="10"/>
      <c r="H1633" s="11"/>
      <c r="I1633" s="12" t="str">
        <f t="array" ref="I1633">IFERROR(INDEX(atlas!B:B,MATCH(A1633,atlas!C:C,0)),"")</f>
        <v/>
      </c>
      <c r="J1633" s="8" t="str">
        <f>IFERROR(VLOOKUP(F1633,tecnica!A:B,2,0),"")</f>
        <v/>
      </c>
      <c r="K1633" s="8" t="str">
        <f>IFERROR(VLOOKUP(J1633,tecnica!B:C,2,0),"")</f>
        <v/>
      </c>
      <c r="L1633" s="13"/>
      <c r="M1633" s="14" t="str">
        <f>IFERROR(VLOOKUP(I1633,material!A:D,4,0),"")</f>
        <v/>
      </c>
      <c r="N1633" s="14" t="str">
        <f t="shared" si="1"/>
        <v/>
      </c>
      <c r="O1633" s="15" t="str">
        <f>IFERROR(VLOOKUP(I1633,material!A:D,2,0),"")</f>
        <v/>
      </c>
    </row>
    <row r="1634">
      <c r="A1634" s="6"/>
      <c r="B1634" s="7"/>
      <c r="C1634" s="8" t="str">
        <f t="array" ref="C1634">IFERROR(INDEX(atlas!H:H,MATCH(A1634,atlas!C:C,0)),"")</f>
        <v/>
      </c>
      <c r="D1634" s="8" t="str">
        <f t="array" ref="D1634">IFERROR(INDEX(atlas!D:D,MATCH(A1634,atlas!C:C,0)),"")</f>
        <v/>
      </c>
      <c r="E1634" s="8" t="str">
        <f t="array" ref="E1634">IFERROR(INDEX(atlas!F:F,MATCH(A1634,atlas!C:C,0)),"")</f>
        <v/>
      </c>
      <c r="F1634" s="9"/>
      <c r="G1634" s="10"/>
      <c r="H1634" s="11"/>
      <c r="I1634" s="12" t="str">
        <f t="array" ref="I1634">IFERROR(INDEX(atlas!B:B,MATCH(A1634,atlas!C:C,0)),"")</f>
        <v/>
      </c>
      <c r="J1634" s="8" t="str">
        <f>IFERROR(VLOOKUP(F1634,tecnica!A:B,2,0),"")</f>
        <v/>
      </c>
      <c r="K1634" s="8" t="str">
        <f>IFERROR(VLOOKUP(J1634,tecnica!B:C,2,0),"")</f>
        <v/>
      </c>
      <c r="L1634" s="13"/>
      <c r="M1634" s="14" t="str">
        <f>IFERROR(VLOOKUP(I1634,material!A:D,4,0),"")</f>
        <v/>
      </c>
      <c r="N1634" s="14" t="str">
        <f t="shared" si="1"/>
        <v/>
      </c>
      <c r="O1634" s="15" t="str">
        <f>IFERROR(VLOOKUP(I1634,material!A:D,2,0),"")</f>
        <v/>
      </c>
    </row>
    <row r="1635">
      <c r="A1635" s="6"/>
      <c r="B1635" s="7"/>
      <c r="C1635" s="8" t="str">
        <f t="array" ref="C1635">IFERROR(INDEX(atlas!H:H,MATCH(A1635,atlas!C:C,0)),"")</f>
        <v/>
      </c>
      <c r="D1635" s="8" t="str">
        <f t="array" ref="D1635">IFERROR(INDEX(atlas!D:D,MATCH(A1635,atlas!C:C,0)),"")</f>
        <v/>
      </c>
      <c r="E1635" s="8" t="str">
        <f t="array" ref="E1635">IFERROR(INDEX(atlas!F:F,MATCH(A1635,atlas!C:C,0)),"")</f>
        <v/>
      </c>
      <c r="F1635" s="9"/>
      <c r="G1635" s="10"/>
      <c r="H1635" s="11"/>
      <c r="I1635" s="12" t="str">
        <f t="array" ref="I1635">IFERROR(INDEX(atlas!B:B,MATCH(A1635,atlas!C:C,0)),"")</f>
        <v/>
      </c>
      <c r="J1635" s="8" t="str">
        <f>IFERROR(VLOOKUP(F1635,tecnica!A:B,2,0),"")</f>
        <v/>
      </c>
      <c r="K1635" s="8" t="str">
        <f>IFERROR(VLOOKUP(J1635,tecnica!B:C,2,0),"")</f>
        <v/>
      </c>
      <c r="L1635" s="13"/>
      <c r="M1635" s="14" t="str">
        <f>IFERROR(VLOOKUP(I1635,material!A:D,4,0),"")</f>
        <v/>
      </c>
      <c r="N1635" s="14" t="str">
        <f t="shared" si="1"/>
        <v/>
      </c>
      <c r="O1635" s="15" t="str">
        <f>IFERROR(VLOOKUP(I1635,material!A:D,2,0),"")</f>
        <v/>
      </c>
    </row>
    <row r="1636">
      <c r="A1636" s="6"/>
      <c r="B1636" s="7"/>
      <c r="C1636" s="8" t="str">
        <f t="array" ref="C1636">IFERROR(INDEX(atlas!H:H,MATCH(A1636,atlas!C:C,0)),"")</f>
        <v/>
      </c>
      <c r="D1636" s="8" t="str">
        <f t="array" ref="D1636">IFERROR(INDEX(atlas!D:D,MATCH(A1636,atlas!C:C,0)),"")</f>
        <v/>
      </c>
      <c r="E1636" s="8" t="str">
        <f t="array" ref="E1636">IFERROR(INDEX(atlas!F:F,MATCH(A1636,atlas!C:C,0)),"")</f>
        <v/>
      </c>
      <c r="F1636" s="9"/>
      <c r="G1636" s="10"/>
      <c r="H1636" s="11"/>
      <c r="I1636" s="12" t="str">
        <f t="array" ref="I1636">IFERROR(INDEX(atlas!B:B,MATCH(A1636,atlas!C:C,0)),"")</f>
        <v/>
      </c>
      <c r="J1636" s="8" t="str">
        <f>IFERROR(VLOOKUP(F1636,tecnica!A:B,2,0),"")</f>
        <v/>
      </c>
      <c r="K1636" s="8" t="str">
        <f>IFERROR(VLOOKUP(J1636,tecnica!B:C,2,0),"")</f>
        <v/>
      </c>
      <c r="L1636" s="13"/>
      <c r="M1636" s="14" t="str">
        <f>IFERROR(VLOOKUP(I1636,material!A:D,4,0),"")</f>
        <v/>
      </c>
      <c r="N1636" s="14" t="str">
        <f t="shared" si="1"/>
        <v/>
      </c>
      <c r="O1636" s="15" t="str">
        <f>IFERROR(VLOOKUP(I1636,material!A:D,2,0),"")</f>
        <v/>
      </c>
    </row>
    <row r="1637">
      <c r="A1637" s="6"/>
      <c r="B1637" s="7"/>
      <c r="C1637" s="8" t="str">
        <f t="array" ref="C1637">IFERROR(INDEX(atlas!H:H,MATCH(A1637,atlas!C:C,0)),"")</f>
        <v/>
      </c>
      <c r="D1637" s="8" t="str">
        <f t="array" ref="D1637">IFERROR(INDEX(atlas!D:D,MATCH(A1637,atlas!C:C,0)),"")</f>
        <v/>
      </c>
      <c r="E1637" s="8" t="str">
        <f t="array" ref="E1637">IFERROR(INDEX(atlas!F:F,MATCH(A1637,atlas!C:C,0)),"")</f>
        <v/>
      </c>
      <c r="F1637" s="9"/>
      <c r="G1637" s="10"/>
      <c r="H1637" s="11"/>
      <c r="I1637" s="12" t="str">
        <f t="array" ref="I1637">IFERROR(INDEX(atlas!B:B,MATCH(A1637,atlas!C:C,0)),"")</f>
        <v/>
      </c>
      <c r="J1637" s="8" t="str">
        <f>IFERROR(VLOOKUP(F1637,tecnica!A:B,2,0),"")</f>
        <v/>
      </c>
      <c r="K1637" s="8" t="str">
        <f>IFERROR(VLOOKUP(J1637,tecnica!B:C,2,0),"")</f>
        <v/>
      </c>
      <c r="L1637" s="13"/>
      <c r="M1637" s="14" t="str">
        <f>IFERROR(VLOOKUP(I1637,material!A:D,4,0),"")</f>
        <v/>
      </c>
      <c r="N1637" s="14" t="str">
        <f t="shared" si="1"/>
        <v/>
      </c>
      <c r="O1637" s="15" t="str">
        <f>IFERROR(VLOOKUP(I1637,material!A:D,2,0),"")</f>
        <v/>
      </c>
    </row>
    <row r="1638">
      <c r="A1638" s="6"/>
      <c r="B1638" s="7"/>
      <c r="C1638" s="8" t="str">
        <f t="array" ref="C1638">IFERROR(INDEX(atlas!H:H,MATCH(A1638,atlas!C:C,0)),"")</f>
        <v/>
      </c>
      <c r="D1638" s="8" t="str">
        <f t="array" ref="D1638">IFERROR(INDEX(atlas!D:D,MATCH(A1638,atlas!C:C,0)),"")</f>
        <v/>
      </c>
      <c r="E1638" s="8" t="str">
        <f t="array" ref="E1638">IFERROR(INDEX(atlas!F:F,MATCH(A1638,atlas!C:C,0)),"")</f>
        <v/>
      </c>
      <c r="F1638" s="9"/>
      <c r="G1638" s="10"/>
      <c r="H1638" s="11"/>
      <c r="I1638" s="12" t="str">
        <f t="array" ref="I1638">IFERROR(INDEX(atlas!B:B,MATCH(A1638,atlas!C:C,0)),"")</f>
        <v/>
      </c>
      <c r="J1638" s="8" t="str">
        <f>IFERROR(VLOOKUP(F1638,tecnica!A:B,2,0),"")</f>
        <v/>
      </c>
      <c r="K1638" s="8" t="str">
        <f>IFERROR(VLOOKUP(J1638,tecnica!B:C,2,0),"")</f>
        <v/>
      </c>
      <c r="L1638" s="13"/>
      <c r="M1638" s="14" t="str">
        <f>IFERROR(VLOOKUP(I1638,material!A:D,4,0),"")</f>
        <v/>
      </c>
      <c r="N1638" s="14" t="str">
        <f t="shared" si="1"/>
        <v/>
      </c>
      <c r="O1638" s="15" t="str">
        <f>IFERROR(VLOOKUP(I1638,material!A:D,2,0),"")</f>
        <v/>
      </c>
    </row>
    <row r="1639">
      <c r="A1639" s="6"/>
      <c r="B1639" s="7"/>
      <c r="C1639" s="8" t="str">
        <f t="array" ref="C1639">IFERROR(INDEX(atlas!H:H,MATCH(A1639,atlas!C:C,0)),"")</f>
        <v/>
      </c>
      <c r="D1639" s="8" t="str">
        <f t="array" ref="D1639">IFERROR(INDEX(atlas!D:D,MATCH(A1639,atlas!C:C,0)),"")</f>
        <v/>
      </c>
      <c r="E1639" s="8" t="str">
        <f t="array" ref="E1639">IFERROR(INDEX(atlas!F:F,MATCH(A1639,atlas!C:C,0)),"")</f>
        <v/>
      </c>
      <c r="F1639" s="9"/>
      <c r="G1639" s="10"/>
      <c r="H1639" s="11"/>
      <c r="I1639" s="12" t="str">
        <f t="array" ref="I1639">IFERROR(INDEX(atlas!B:B,MATCH(A1639,atlas!C:C,0)),"")</f>
        <v/>
      </c>
      <c r="J1639" s="8" t="str">
        <f>IFERROR(VLOOKUP(F1639,tecnica!A:B,2,0),"")</f>
        <v/>
      </c>
      <c r="K1639" s="8" t="str">
        <f>IFERROR(VLOOKUP(J1639,tecnica!B:C,2,0),"")</f>
        <v/>
      </c>
      <c r="L1639" s="13"/>
      <c r="M1639" s="14" t="str">
        <f>IFERROR(VLOOKUP(I1639,material!A:D,4,0),"")</f>
        <v/>
      </c>
      <c r="N1639" s="14" t="str">
        <f t="shared" si="1"/>
        <v/>
      </c>
      <c r="O1639" s="15" t="str">
        <f>IFERROR(VLOOKUP(I1639,material!A:D,2,0),"")</f>
        <v/>
      </c>
    </row>
    <row r="1640">
      <c r="A1640" s="6"/>
      <c r="B1640" s="7"/>
      <c r="C1640" s="8" t="str">
        <f t="array" ref="C1640">IFERROR(INDEX(atlas!H:H,MATCH(A1640,atlas!C:C,0)),"")</f>
        <v/>
      </c>
      <c r="D1640" s="8" t="str">
        <f t="array" ref="D1640">IFERROR(INDEX(atlas!D:D,MATCH(A1640,atlas!C:C,0)),"")</f>
        <v/>
      </c>
      <c r="E1640" s="8" t="str">
        <f t="array" ref="E1640">IFERROR(INDEX(atlas!F:F,MATCH(A1640,atlas!C:C,0)),"")</f>
        <v/>
      </c>
      <c r="F1640" s="9"/>
      <c r="G1640" s="10"/>
      <c r="H1640" s="11"/>
      <c r="I1640" s="12" t="str">
        <f t="array" ref="I1640">IFERROR(INDEX(atlas!B:B,MATCH(A1640,atlas!C:C,0)),"")</f>
        <v/>
      </c>
      <c r="J1640" s="8" t="str">
        <f>IFERROR(VLOOKUP(F1640,tecnica!A:B,2,0),"")</f>
        <v/>
      </c>
      <c r="K1640" s="8" t="str">
        <f>IFERROR(VLOOKUP(J1640,tecnica!B:C,2,0),"")</f>
        <v/>
      </c>
      <c r="L1640" s="13"/>
      <c r="M1640" s="14" t="str">
        <f>IFERROR(VLOOKUP(I1640,material!A:D,4,0),"")</f>
        <v/>
      </c>
      <c r="N1640" s="14" t="str">
        <f t="shared" si="1"/>
        <v/>
      </c>
      <c r="O1640" s="15" t="str">
        <f>IFERROR(VLOOKUP(I1640,material!A:D,2,0),"")</f>
        <v/>
      </c>
    </row>
    <row r="1641">
      <c r="A1641" s="6"/>
      <c r="B1641" s="7"/>
      <c r="C1641" s="8" t="str">
        <f t="array" ref="C1641">IFERROR(INDEX(atlas!H:H,MATCH(A1641,atlas!C:C,0)),"")</f>
        <v/>
      </c>
      <c r="D1641" s="8" t="str">
        <f t="array" ref="D1641">IFERROR(INDEX(atlas!D:D,MATCH(A1641,atlas!C:C,0)),"")</f>
        <v/>
      </c>
      <c r="E1641" s="8" t="str">
        <f t="array" ref="E1641">IFERROR(INDEX(atlas!F:F,MATCH(A1641,atlas!C:C,0)),"")</f>
        <v/>
      </c>
      <c r="F1641" s="9"/>
      <c r="G1641" s="10"/>
      <c r="H1641" s="11"/>
      <c r="I1641" s="12" t="str">
        <f t="array" ref="I1641">IFERROR(INDEX(atlas!B:B,MATCH(A1641,atlas!C:C,0)),"")</f>
        <v/>
      </c>
      <c r="J1641" s="8" t="str">
        <f>IFERROR(VLOOKUP(F1641,tecnica!A:B,2,0),"")</f>
        <v/>
      </c>
      <c r="K1641" s="8" t="str">
        <f>IFERROR(VLOOKUP(J1641,tecnica!B:C,2,0),"")</f>
        <v/>
      </c>
      <c r="L1641" s="13"/>
      <c r="M1641" s="14" t="str">
        <f>IFERROR(VLOOKUP(I1641,material!A:D,4,0),"")</f>
        <v/>
      </c>
      <c r="N1641" s="14" t="str">
        <f t="shared" si="1"/>
        <v/>
      </c>
      <c r="O1641" s="15" t="str">
        <f>IFERROR(VLOOKUP(I1641,material!A:D,2,0),"")</f>
        <v/>
      </c>
    </row>
    <row r="1642">
      <c r="A1642" s="6"/>
      <c r="B1642" s="7"/>
      <c r="C1642" s="8" t="str">
        <f t="array" ref="C1642">IFERROR(INDEX(atlas!H:H,MATCH(A1642,atlas!C:C,0)),"")</f>
        <v/>
      </c>
      <c r="D1642" s="8" t="str">
        <f t="array" ref="D1642">IFERROR(INDEX(atlas!D:D,MATCH(A1642,atlas!C:C,0)),"")</f>
        <v/>
      </c>
      <c r="E1642" s="8" t="str">
        <f t="array" ref="E1642">IFERROR(INDEX(atlas!F:F,MATCH(A1642,atlas!C:C,0)),"")</f>
        <v/>
      </c>
      <c r="F1642" s="9"/>
      <c r="G1642" s="10"/>
      <c r="H1642" s="11"/>
      <c r="I1642" s="12" t="str">
        <f t="array" ref="I1642">IFERROR(INDEX(atlas!B:B,MATCH(A1642,atlas!C:C,0)),"")</f>
        <v/>
      </c>
      <c r="J1642" s="8" t="str">
        <f>IFERROR(VLOOKUP(F1642,tecnica!A:B,2,0),"")</f>
        <v/>
      </c>
      <c r="K1642" s="8" t="str">
        <f>IFERROR(VLOOKUP(J1642,tecnica!B:C,2,0),"")</f>
        <v/>
      </c>
      <c r="L1642" s="13"/>
      <c r="M1642" s="14" t="str">
        <f>IFERROR(VLOOKUP(I1642,material!A:D,4,0),"")</f>
        <v/>
      </c>
      <c r="N1642" s="14" t="str">
        <f t="shared" si="1"/>
        <v/>
      </c>
      <c r="O1642" s="15" t="str">
        <f>IFERROR(VLOOKUP(I1642,material!A:D,2,0),"")</f>
        <v/>
      </c>
    </row>
    <row r="1643">
      <c r="A1643" s="6"/>
      <c r="B1643" s="7"/>
      <c r="C1643" s="8" t="str">
        <f t="array" ref="C1643">IFERROR(INDEX(atlas!H:H,MATCH(A1643,atlas!C:C,0)),"")</f>
        <v/>
      </c>
      <c r="D1643" s="8" t="str">
        <f t="array" ref="D1643">IFERROR(INDEX(atlas!D:D,MATCH(A1643,atlas!C:C,0)),"")</f>
        <v/>
      </c>
      <c r="E1643" s="8" t="str">
        <f t="array" ref="E1643">IFERROR(INDEX(atlas!F:F,MATCH(A1643,atlas!C:C,0)),"")</f>
        <v/>
      </c>
      <c r="F1643" s="9"/>
      <c r="G1643" s="10"/>
      <c r="H1643" s="11"/>
      <c r="I1643" s="12" t="str">
        <f t="array" ref="I1643">IFERROR(INDEX(atlas!B:B,MATCH(A1643,atlas!C:C,0)),"")</f>
        <v/>
      </c>
      <c r="J1643" s="8" t="str">
        <f>IFERROR(VLOOKUP(F1643,tecnica!A:B,2,0),"")</f>
        <v/>
      </c>
      <c r="K1643" s="8" t="str">
        <f>IFERROR(VLOOKUP(J1643,tecnica!B:C,2,0),"")</f>
        <v/>
      </c>
      <c r="L1643" s="13"/>
      <c r="M1643" s="14" t="str">
        <f>IFERROR(VLOOKUP(I1643,material!A:D,4,0),"")</f>
        <v/>
      </c>
      <c r="N1643" s="14" t="str">
        <f t="shared" si="1"/>
        <v/>
      </c>
      <c r="O1643" s="15" t="str">
        <f>IFERROR(VLOOKUP(I1643,material!A:D,2,0),"")</f>
        <v/>
      </c>
    </row>
    <row r="1644">
      <c r="A1644" s="6"/>
      <c r="B1644" s="7"/>
      <c r="C1644" s="8" t="str">
        <f t="array" ref="C1644">IFERROR(INDEX(atlas!H:H,MATCH(A1644,atlas!C:C,0)),"")</f>
        <v/>
      </c>
      <c r="D1644" s="8" t="str">
        <f t="array" ref="D1644">IFERROR(INDEX(atlas!D:D,MATCH(A1644,atlas!C:C,0)),"")</f>
        <v/>
      </c>
      <c r="E1644" s="8" t="str">
        <f t="array" ref="E1644">IFERROR(INDEX(atlas!F:F,MATCH(A1644,atlas!C:C,0)),"")</f>
        <v/>
      </c>
      <c r="F1644" s="9"/>
      <c r="G1644" s="10"/>
      <c r="H1644" s="11"/>
      <c r="I1644" s="12" t="str">
        <f t="array" ref="I1644">IFERROR(INDEX(atlas!B:B,MATCH(A1644,atlas!C:C,0)),"")</f>
        <v/>
      </c>
      <c r="J1644" s="8" t="str">
        <f>IFERROR(VLOOKUP(F1644,tecnica!A:B,2,0),"")</f>
        <v/>
      </c>
      <c r="K1644" s="8" t="str">
        <f>IFERROR(VLOOKUP(J1644,tecnica!B:C,2,0),"")</f>
        <v/>
      </c>
      <c r="L1644" s="13"/>
      <c r="M1644" s="14" t="str">
        <f>IFERROR(VLOOKUP(I1644,material!A:D,4,0),"")</f>
        <v/>
      </c>
      <c r="N1644" s="14" t="str">
        <f t="shared" si="1"/>
        <v/>
      </c>
      <c r="O1644" s="15" t="str">
        <f>IFERROR(VLOOKUP(I1644,material!A:D,2,0),"")</f>
        <v/>
      </c>
    </row>
    <row r="1645">
      <c r="A1645" s="6"/>
      <c r="B1645" s="7"/>
      <c r="C1645" s="8" t="str">
        <f t="array" ref="C1645">IFERROR(INDEX(atlas!H:H,MATCH(A1645,atlas!C:C,0)),"")</f>
        <v/>
      </c>
      <c r="D1645" s="8" t="str">
        <f t="array" ref="D1645">IFERROR(INDEX(atlas!D:D,MATCH(A1645,atlas!C:C,0)),"")</f>
        <v/>
      </c>
      <c r="E1645" s="8" t="str">
        <f t="array" ref="E1645">IFERROR(INDEX(atlas!F:F,MATCH(A1645,atlas!C:C,0)),"")</f>
        <v/>
      </c>
      <c r="F1645" s="9"/>
      <c r="G1645" s="10"/>
      <c r="H1645" s="11"/>
      <c r="I1645" s="12" t="str">
        <f t="array" ref="I1645">IFERROR(INDEX(atlas!B:B,MATCH(A1645,atlas!C:C,0)),"")</f>
        <v/>
      </c>
      <c r="J1645" s="8" t="str">
        <f>IFERROR(VLOOKUP(F1645,tecnica!A:B,2,0),"")</f>
        <v/>
      </c>
      <c r="K1645" s="8" t="str">
        <f>IFERROR(VLOOKUP(J1645,tecnica!B:C,2,0),"")</f>
        <v/>
      </c>
      <c r="L1645" s="13"/>
      <c r="M1645" s="14" t="str">
        <f>IFERROR(VLOOKUP(I1645,material!A:D,4,0),"")</f>
        <v/>
      </c>
      <c r="N1645" s="14" t="str">
        <f t="shared" si="1"/>
        <v/>
      </c>
      <c r="O1645" s="15" t="str">
        <f>IFERROR(VLOOKUP(I1645,material!A:D,2,0),"")</f>
        <v/>
      </c>
    </row>
    <row r="1646">
      <c r="A1646" s="6"/>
      <c r="B1646" s="7"/>
      <c r="C1646" s="8" t="str">
        <f t="array" ref="C1646">IFERROR(INDEX(atlas!H:H,MATCH(A1646,atlas!C:C,0)),"")</f>
        <v/>
      </c>
      <c r="D1646" s="8" t="str">
        <f t="array" ref="D1646">IFERROR(INDEX(atlas!D:D,MATCH(A1646,atlas!C:C,0)),"")</f>
        <v/>
      </c>
      <c r="E1646" s="8" t="str">
        <f t="array" ref="E1646">IFERROR(INDEX(atlas!F:F,MATCH(A1646,atlas!C:C,0)),"")</f>
        <v/>
      </c>
      <c r="F1646" s="9"/>
      <c r="G1646" s="10"/>
      <c r="H1646" s="11"/>
      <c r="I1646" s="12" t="str">
        <f t="array" ref="I1646">IFERROR(INDEX(atlas!B:B,MATCH(A1646,atlas!C:C,0)),"")</f>
        <v/>
      </c>
      <c r="J1646" s="8" t="str">
        <f>IFERROR(VLOOKUP(F1646,tecnica!A:B,2,0),"")</f>
        <v/>
      </c>
      <c r="K1646" s="8" t="str">
        <f>IFERROR(VLOOKUP(J1646,tecnica!B:C,2,0),"")</f>
        <v/>
      </c>
      <c r="L1646" s="13"/>
      <c r="M1646" s="14" t="str">
        <f>IFERROR(VLOOKUP(I1646,material!A:D,4,0),"")</f>
        <v/>
      </c>
      <c r="N1646" s="14" t="str">
        <f t="shared" si="1"/>
        <v/>
      </c>
      <c r="O1646" s="15" t="str">
        <f>IFERROR(VLOOKUP(I1646,material!A:D,2,0),"")</f>
        <v/>
      </c>
    </row>
    <row r="1647">
      <c r="A1647" s="6"/>
      <c r="B1647" s="7"/>
      <c r="C1647" s="8" t="str">
        <f t="array" ref="C1647">IFERROR(INDEX(atlas!H:H,MATCH(A1647,atlas!C:C,0)),"")</f>
        <v/>
      </c>
      <c r="D1647" s="8" t="str">
        <f t="array" ref="D1647">IFERROR(INDEX(atlas!D:D,MATCH(A1647,atlas!C:C,0)),"")</f>
        <v/>
      </c>
      <c r="E1647" s="8" t="str">
        <f t="array" ref="E1647">IFERROR(INDEX(atlas!F:F,MATCH(A1647,atlas!C:C,0)),"")</f>
        <v/>
      </c>
      <c r="F1647" s="9"/>
      <c r="G1647" s="10"/>
      <c r="H1647" s="11"/>
      <c r="I1647" s="12" t="str">
        <f t="array" ref="I1647">IFERROR(INDEX(atlas!B:B,MATCH(A1647,atlas!C:C,0)),"")</f>
        <v/>
      </c>
      <c r="J1647" s="8" t="str">
        <f>IFERROR(VLOOKUP(F1647,tecnica!A:B,2,0),"")</f>
        <v/>
      </c>
      <c r="K1647" s="8" t="str">
        <f>IFERROR(VLOOKUP(J1647,tecnica!B:C,2,0),"")</f>
        <v/>
      </c>
      <c r="L1647" s="13"/>
      <c r="M1647" s="14" t="str">
        <f>IFERROR(VLOOKUP(I1647,material!A:D,4,0),"")</f>
        <v/>
      </c>
      <c r="N1647" s="14" t="str">
        <f t="shared" si="1"/>
        <v/>
      </c>
      <c r="O1647" s="15" t="str">
        <f>IFERROR(VLOOKUP(I1647,material!A:D,2,0),"")</f>
        <v/>
      </c>
    </row>
    <row r="1648">
      <c r="A1648" s="6"/>
      <c r="B1648" s="7"/>
      <c r="C1648" s="8" t="str">
        <f t="array" ref="C1648">IFERROR(INDEX(atlas!H:H,MATCH(A1648,atlas!C:C,0)),"")</f>
        <v/>
      </c>
      <c r="D1648" s="8" t="str">
        <f t="array" ref="D1648">IFERROR(INDEX(atlas!D:D,MATCH(A1648,atlas!C:C,0)),"")</f>
        <v/>
      </c>
      <c r="E1648" s="8" t="str">
        <f t="array" ref="E1648">IFERROR(INDEX(atlas!F:F,MATCH(A1648,atlas!C:C,0)),"")</f>
        <v/>
      </c>
      <c r="F1648" s="9"/>
      <c r="G1648" s="10"/>
      <c r="H1648" s="11"/>
      <c r="I1648" s="12" t="str">
        <f t="array" ref="I1648">IFERROR(INDEX(atlas!B:B,MATCH(A1648,atlas!C:C,0)),"")</f>
        <v/>
      </c>
      <c r="J1648" s="8" t="str">
        <f>IFERROR(VLOOKUP(F1648,tecnica!A:B,2,0),"")</f>
        <v/>
      </c>
      <c r="K1648" s="8" t="str">
        <f>IFERROR(VLOOKUP(J1648,tecnica!B:C,2,0),"")</f>
        <v/>
      </c>
      <c r="L1648" s="13"/>
      <c r="M1648" s="14" t="str">
        <f>IFERROR(VLOOKUP(I1648,material!A:D,4,0),"")</f>
        <v/>
      </c>
      <c r="N1648" s="14" t="str">
        <f t="shared" si="1"/>
        <v/>
      </c>
      <c r="O1648" s="15" t="str">
        <f>IFERROR(VLOOKUP(I1648,material!A:D,2,0),"")</f>
        <v/>
      </c>
    </row>
    <row r="1649">
      <c r="A1649" s="6"/>
      <c r="B1649" s="7"/>
      <c r="C1649" s="8" t="str">
        <f t="array" ref="C1649">IFERROR(INDEX(atlas!H:H,MATCH(A1649,atlas!C:C,0)),"")</f>
        <v/>
      </c>
      <c r="D1649" s="8" t="str">
        <f t="array" ref="D1649">IFERROR(INDEX(atlas!D:D,MATCH(A1649,atlas!C:C,0)),"")</f>
        <v/>
      </c>
      <c r="E1649" s="8" t="str">
        <f t="array" ref="E1649">IFERROR(INDEX(atlas!F:F,MATCH(A1649,atlas!C:C,0)),"")</f>
        <v/>
      </c>
      <c r="F1649" s="9"/>
      <c r="G1649" s="10"/>
      <c r="H1649" s="11"/>
      <c r="I1649" s="12" t="str">
        <f t="array" ref="I1649">IFERROR(INDEX(atlas!B:B,MATCH(A1649,atlas!C:C,0)),"")</f>
        <v/>
      </c>
      <c r="J1649" s="8" t="str">
        <f>IFERROR(VLOOKUP(F1649,tecnica!A:B,2,0),"")</f>
        <v/>
      </c>
      <c r="K1649" s="8" t="str">
        <f>IFERROR(VLOOKUP(J1649,tecnica!B:C,2,0),"")</f>
        <v/>
      </c>
      <c r="L1649" s="13"/>
      <c r="M1649" s="14" t="str">
        <f>IFERROR(VLOOKUP(I1649,material!A:D,4,0),"")</f>
        <v/>
      </c>
      <c r="N1649" s="14" t="str">
        <f t="shared" si="1"/>
        <v/>
      </c>
      <c r="O1649" s="15" t="str">
        <f>IFERROR(VLOOKUP(I1649,material!A:D,2,0),"")</f>
        <v/>
      </c>
    </row>
    <row r="1650">
      <c r="A1650" s="6"/>
      <c r="B1650" s="7"/>
      <c r="C1650" s="8" t="str">
        <f t="array" ref="C1650">IFERROR(INDEX(atlas!H:H,MATCH(A1650,atlas!C:C,0)),"")</f>
        <v/>
      </c>
      <c r="D1650" s="8" t="str">
        <f t="array" ref="D1650">IFERROR(INDEX(atlas!D:D,MATCH(A1650,atlas!C:C,0)),"")</f>
        <v/>
      </c>
      <c r="E1650" s="8" t="str">
        <f t="array" ref="E1650">IFERROR(INDEX(atlas!F:F,MATCH(A1650,atlas!C:C,0)),"")</f>
        <v/>
      </c>
      <c r="F1650" s="9"/>
      <c r="G1650" s="10"/>
      <c r="H1650" s="11"/>
      <c r="I1650" s="12" t="str">
        <f t="array" ref="I1650">IFERROR(INDEX(atlas!B:B,MATCH(A1650,atlas!C:C,0)),"")</f>
        <v/>
      </c>
      <c r="J1650" s="8" t="str">
        <f>IFERROR(VLOOKUP(F1650,tecnica!A:B,2,0),"")</f>
        <v/>
      </c>
      <c r="K1650" s="8" t="str">
        <f>IFERROR(VLOOKUP(J1650,tecnica!B:C,2,0),"")</f>
        <v/>
      </c>
      <c r="L1650" s="13"/>
      <c r="M1650" s="14" t="str">
        <f>IFERROR(VLOOKUP(I1650,material!A:D,4,0),"")</f>
        <v/>
      </c>
      <c r="N1650" s="14" t="str">
        <f t="shared" si="1"/>
        <v/>
      </c>
      <c r="O1650" s="15" t="str">
        <f>IFERROR(VLOOKUP(I1650,material!A:D,2,0),"")</f>
        <v/>
      </c>
    </row>
    <row r="1651">
      <c r="A1651" s="6"/>
      <c r="B1651" s="7"/>
      <c r="C1651" s="8" t="str">
        <f t="array" ref="C1651">IFERROR(INDEX(atlas!H:H,MATCH(A1651,atlas!C:C,0)),"")</f>
        <v/>
      </c>
      <c r="D1651" s="8" t="str">
        <f t="array" ref="D1651">IFERROR(INDEX(atlas!D:D,MATCH(A1651,atlas!C:C,0)),"")</f>
        <v/>
      </c>
      <c r="E1651" s="8" t="str">
        <f t="array" ref="E1651">IFERROR(INDEX(atlas!F:F,MATCH(A1651,atlas!C:C,0)),"")</f>
        <v/>
      </c>
      <c r="F1651" s="9"/>
      <c r="G1651" s="10"/>
      <c r="H1651" s="11"/>
      <c r="I1651" s="12" t="str">
        <f t="array" ref="I1651">IFERROR(INDEX(atlas!B:B,MATCH(A1651,atlas!C:C,0)),"")</f>
        <v/>
      </c>
      <c r="J1651" s="8" t="str">
        <f>IFERROR(VLOOKUP(F1651,tecnica!A:B,2,0),"")</f>
        <v/>
      </c>
      <c r="K1651" s="8" t="str">
        <f>IFERROR(VLOOKUP(J1651,tecnica!B:C,2,0),"")</f>
        <v/>
      </c>
      <c r="L1651" s="13"/>
      <c r="M1651" s="14" t="str">
        <f>IFERROR(VLOOKUP(I1651,material!A:D,4,0),"")</f>
        <v/>
      </c>
      <c r="N1651" s="14" t="str">
        <f t="shared" si="1"/>
        <v/>
      </c>
      <c r="O1651" s="15" t="str">
        <f>IFERROR(VLOOKUP(I1651,material!A:D,2,0),"")</f>
        <v/>
      </c>
    </row>
    <row r="1652">
      <c r="A1652" s="6"/>
      <c r="B1652" s="7"/>
      <c r="C1652" s="8" t="str">
        <f t="array" ref="C1652">IFERROR(INDEX(atlas!H:H,MATCH(A1652,atlas!C:C,0)),"")</f>
        <v/>
      </c>
      <c r="D1652" s="8" t="str">
        <f t="array" ref="D1652">IFERROR(INDEX(atlas!D:D,MATCH(A1652,atlas!C:C,0)),"")</f>
        <v/>
      </c>
      <c r="E1652" s="8" t="str">
        <f t="array" ref="E1652">IFERROR(INDEX(atlas!F:F,MATCH(A1652,atlas!C:C,0)),"")</f>
        <v/>
      </c>
      <c r="F1652" s="9"/>
      <c r="G1652" s="10"/>
      <c r="H1652" s="11"/>
      <c r="I1652" s="12" t="str">
        <f t="array" ref="I1652">IFERROR(INDEX(atlas!B:B,MATCH(A1652,atlas!C:C,0)),"")</f>
        <v/>
      </c>
      <c r="J1652" s="8" t="str">
        <f>IFERROR(VLOOKUP(F1652,tecnica!A:B,2,0),"")</f>
        <v/>
      </c>
      <c r="K1652" s="8" t="str">
        <f>IFERROR(VLOOKUP(J1652,tecnica!B:C,2,0),"")</f>
        <v/>
      </c>
      <c r="L1652" s="13"/>
      <c r="M1652" s="14" t="str">
        <f>IFERROR(VLOOKUP(I1652,material!A:D,4,0),"")</f>
        <v/>
      </c>
      <c r="N1652" s="14" t="str">
        <f t="shared" si="1"/>
        <v/>
      </c>
      <c r="O1652" s="15" t="str">
        <f>IFERROR(VLOOKUP(I1652,material!A:D,2,0),"")</f>
        <v/>
      </c>
    </row>
    <row r="1653">
      <c r="A1653" s="6"/>
      <c r="B1653" s="7"/>
      <c r="C1653" s="8" t="str">
        <f t="array" ref="C1653">IFERROR(INDEX(atlas!H:H,MATCH(A1653,atlas!C:C,0)),"")</f>
        <v/>
      </c>
      <c r="D1653" s="8" t="str">
        <f t="array" ref="D1653">IFERROR(INDEX(atlas!D:D,MATCH(A1653,atlas!C:C,0)),"")</f>
        <v/>
      </c>
      <c r="E1653" s="8" t="str">
        <f t="array" ref="E1653">IFERROR(INDEX(atlas!F:F,MATCH(A1653,atlas!C:C,0)),"")</f>
        <v/>
      </c>
      <c r="F1653" s="9"/>
      <c r="G1653" s="10"/>
      <c r="H1653" s="11"/>
      <c r="I1653" s="12" t="str">
        <f t="array" ref="I1653">IFERROR(INDEX(atlas!B:B,MATCH(A1653,atlas!C:C,0)),"")</f>
        <v/>
      </c>
      <c r="J1653" s="8" t="str">
        <f>IFERROR(VLOOKUP(F1653,tecnica!A:B,2,0),"")</f>
        <v/>
      </c>
      <c r="K1653" s="8" t="str">
        <f>IFERROR(VLOOKUP(J1653,tecnica!B:C,2,0),"")</f>
        <v/>
      </c>
      <c r="L1653" s="13"/>
      <c r="M1653" s="14" t="str">
        <f>IFERROR(VLOOKUP(I1653,material!A:D,4,0),"")</f>
        <v/>
      </c>
      <c r="N1653" s="14" t="str">
        <f t="shared" si="1"/>
        <v/>
      </c>
      <c r="O1653" s="15" t="str">
        <f>IFERROR(VLOOKUP(I1653,material!A:D,2,0),"")</f>
        <v/>
      </c>
    </row>
    <row r="1654">
      <c r="A1654" s="6"/>
      <c r="B1654" s="7"/>
      <c r="C1654" s="8" t="str">
        <f t="array" ref="C1654">IFERROR(INDEX(atlas!H:H,MATCH(A1654,atlas!C:C,0)),"")</f>
        <v/>
      </c>
      <c r="D1654" s="8" t="str">
        <f t="array" ref="D1654">IFERROR(INDEX(atlas!D:D,MATCH(A1654,atlas!C:C,0)),"")</f>
        <v/>
      </c>
      <c r="E1654" s="8" t="str">
        <f t="array" ref="E1654">IFERROR(INDEX(atlas!F:F,MATCH(A1654,atlas!C:C,0)),"")</f>
        <v/>
      </c>
      <c r="F1654" s="9"/>
      <c r="G1654" s="10"/>
      <c r="H1654" s="11"/>
      <c r="I1654" s="12" t="str">
        <f t="array" ref="I1654">IFERROR(INDEX(atlas!B:B,MATCH(A1654,atlas!C:C,0)),"")</f>
        <v/>
      </c>
      <c r="J1654" s="8" t="str">
        <f>IFERROR(VLOOKUP(F1654,tecnica!A:B,2,0),"")</f>
        <v/>
      </c>
      <c r="K1654" s="8" t="str">
        <f>IFERROR(VLOOKUP(J1654,tecnica!B:C,2,0),"")</f>
        <v/>
      </c>
      <c r="L1654" s="13"/>
      <c r="M1654" s="14" t="str">
        <f>IFERROR(VLOOKUP(I1654,material!A:D,4,0),"")</f>
        <v/>
      </c>
      <c r="N1654" s="14" t="str">
        <f t="shared" si="1"/>
        <v/>
      </c>
      <c r="O1654" s="15" t="str">
        <f>IFERROR(VLOOKUP(I1654,material!A:D,2,0),"")</f>
        <v/>
      </c>
    </row>
    <row r="1655">
      <c r="A1655" s="6"/>
      <c r="B1655" s="7"/>
      <c r="C1655" s="8" t="str">
        <f t="array" ref="C1655">IFERROR(INDEX(atlas!H:H,MATCH(A1655,atlas!C:C,0)),"")</f>
        <v/>
      </c>
      <c r="D1655" s="8" t="str">
        <f t="array" ref="D1655">IFERROR(INDEX(atlas!D:D,MATCH(A1655,atlas!C:C,0)),"")</f>
        <v/>
      </c>
      <c r="E1655" s="8" t="str">
        <f t="array" ref="E1655">IFERROR(INDEX(atlas!F:F,MATCH(A1655,atlas!C:C,0)),"")</f>
        <v/>
      </c>
      <c r="F1655" s="9"/>
      <c r="G1655" s="10"/>
      <c r="H1655" s="11"/>
      <c r="I1655" s="12" t="str">
        <f t="array" ref="I1655">IFERROR(INDEX(atlas!B:B,MATCH(A1655,atlas!C:C,0)),"")</f>
        <v/>
      </c>
      <c r="J1655" s="8" t="str">
        <f>IFERROR(VLOOKUP(F1655,tecnica!A:B,2,0),"")</f>
        <v/>
      </c>
      <c r="K1655" s="8" t="str">
        <f>IFERROR(VLOOKUP(J1655,tecnica!B:C,2,0),"")</f>
        <v/>
      </c>
      <c r="L1655" s="13"/>
      <c r="M1655" s="14" t="str">
        <f>IFERROR(VLOOKUP(I1655,material!A:D,4,0),"")</f>
        <v/>
      </c>
      <c r="N1655" s="14" t="str">
        <f t="shared" si="1"/>
        <v/>
      </c>
      <c r="O1655" s="15" t="str">
        <f>IFERROR(VLOOKUP(I1655,material!A:D,2,0),"")</f>
        <v/>
      </c>
    </row>
    <row r="1656">
      <c r="A1656" s="6"/>
      <c r="B1656" s="7"/>
      <c r="C1656" s="8" t="str">
        <f t="array" ref="C1656">IFERROR(INDEX(atlas!H:H,MATCH(A1656,atlas!C:C,0)),"")</f>
        <v/>
      </c>
      <c r="D1656" s="8" t="str">
        <f t="array" ref="D1656">IFERROR(INDEX(atlas!D:D,MATCH(A1656,atlas!C:C,0)),"")</f>
        <v/>
      </c>
      <c r="E1656" s="8" t="str">
        <f t="array" ref="E1656">IFERROR(INDEX(atlas!F:F,MATCH(A1656,atlas!C:C,0)),"")</f>
        <v/>
      </c>
      <c r="F1656" s="9"/>
      <c r="G1656" s="10"/>
      <c r="H1656" s="11"/>
      <c r="I1656" s="12" t="str">
        <f t="array" ref="I1656">IFERROR(INDEX(atlas!B:B,MATCH(A1656,atlas!C:C,0)),"")</f>
        <v/>
      </c>
      <c r="J1656" s="8" t="str">
        <f>IFERROR(VLOOKUP(F1656,tecnica!A:B,2,0),"")</f>
        <v/>
      </c>
      <c r="K1656" s="8" t="str">
        <f>IFERROR(VLOOKUP(J1656,tecnica!B:C,2,0),"")</f>
        <v/>
      </c>
      <c r="L1656" s="13"/>
      <c r="M1656" s="14" t="str">
        <f>IFERROR(VLOOKUP(I1656,material!A:D,4,0),"")</f>
        <v/>
      </c>
      <c r="N1656" s="14" t="str">
        <f t="shared" si="1"/>
        <v/>
      </c>
      <c r="O1656" s="15" t="str">
        <f>IFERROR(VLOOKUP(I1656,material!A:D,2,0),"")</f>
        <v/>
      </c>
    </row>
    <row r="1657">
      <c r="A1657" s="6"/>
      <c r="B1657" s="7"/>
      <c r="C1657" s="8" t="str">
        <f t="array" ref="C1657">IFERROR(INDEX(atlas!H:H,MATCH(A1657,atlas!C:C,0)),"")</f>
        <v/>
      </c>
      <c r="D1657" s="8" t="str">
        <f t="array" ref="D1657">IFERROR(INDEX(atlas!D:D,MATCH(A1657,atlas!C:C,0)),"")</f>
        <v/>
      </c>
      <c r="E1657" s="8" t="str">
        <f t="array" ref="E1657">IFERROR(INDEX(atlas!F:F,MATCH(A1657,atlas!C:C,0)),"")</f>
        <v/>
      </c>
      <c r="F1657" s="9"/>
      <c r="G1657" s="10"/>
      <c r="H1657" s="11"/>
      <c r="I1657" s="12" t="str">
        <f t="array" ref="I1657">IFERROR(INDEX(atlas!B:B,MATCH(A1657,atlas!C:C,0)),"")</f>
        <v/>
      </c>
      <c r="J1657" s="8" t="str">
        <f>IFERROR(VLOOKUP(F1657,tecnica!A:B,2,0),"")</f>
        <v/>
      </c>
      <c r="K1657" s="8" t="str">
        <f>IFERROR(VLOOKUP(J1657,tecnica!B:C,2,0),"")</f>
        <v/>
      </c>
      <c r="L1657" s="13"/>
      <c r="M1657" s="14" t="str">
        <f>IFERROR(VLOOKUP(I1657,material!A:D,4,0),"")</f>
        <v/>
      </c>
      <c r="N1657" s="14" t="str">
        <f t="shared" si="1"/>
        <v/>
      </c>
      <c r="O1657" s="15" t="str">
        <f>IFERROR(VLOOKUP(I1657,material!A:D,2,0),"")</f>
        <v/>
      </c>
    </row>
    <row r="1658">
      <c r="A1658" s="6"/>
      <c r="B1658" s="7"/>
      <c r="C1658" s="8" t="str">
        <f t="array" ref="C1658">IFERROR(INDEX(atlas!H:H,MATCH(A1658,atlas!C:C,0)),"")</f>
        <v/>
      </c>
      <c r="D1658" s="8" t="str">
        <f t="array" ref="D1658">IFERROR(INDEX(atlas!D:D,MATCH(A1658,atlas!C:C,0)),"")</f>
        <v/>
      </c>
      <c r="E1658" s="8" t="str">
        <f t="array" ref="E1658">IFERROR(INDEX(atlas!F:F,MATCH(A1658,atlas!C:C,0)),"")</f>
        <v/>
      </c>
      <c r="F1658" s="9"/>
      <c r="G1658" s="10"/>
      <c r="H1658" s="11"/>
      <c r="I1658" s="12" t="str">
        <f t="array" ref="I1658">IFERROR(INDEX(atlas!B:B,MATCH(A1658,atlas!C:C,0)),"")</f>
        <v/>
      </c>
      <c r="J1658" s="8" t="str">
        <f>IFERROR(VLOOKUP(F1658,tecnica!A:B,2,0),"")</f>
        <v/>
      </c>
      <c r="K1658" s="8" t="str">
        <f>IFERROR(VLOOKUP(J1658,tecnica!B:C,2,0),"")</f>
        <v/>
      </c>
      <c r="L1658" s="13"/>
      <c r="M1658" s="14" t="str">
        <f>IFERROR(VLOOKUP(I1658,material!A:D,4,0),"")</f>
        <v/>
      </c>
      <c r="N1658" s="14" t="str">
        <f t="shared" si="1"/>
        <v/>
      </c>
      <c r="O1658" s="15" t="str">
        <f>IFERROR(VLOOKUP(I1658,material!A:D,2,0),"")</f>
        <v/>
      </c>
    </row>
    <row r="1659">
      <c r="A1659" s="6"/>
      <c r="B1659" s="7"/>
      <c r="C1659" s="8" t="str">
        <f t="array" ref="C1659">IFERROR(INDEX(atlas!H:H,MATCH(A1659,atlas!C:C,0)),"")</f>
        <v/>
      </c>
      <c r="D1659" s="8" t="str">
        <f t="array" ref="D1659">IFERROR(INDEX(atlas!D:D,MATCH(A1659,atlas!C:C,0)),"")</f>
        <v/>
      </c>
      <c r="E1659" s="8" t="str">
        <f t="array" ref="E1659">IFERROR(INDEX(atlas!F:F,MATCH(A1659,atlas!C:C,0)),"")</f>
        <v/>
      </c>
      <c r="F1659" s="9"/>
      <c r="G1659" s="10"/>
      <c r="H1659" s="11"/>
      <c r="I1659" s="12" t="str">
        <f t="array" ref="I1659">IFERROR(INDEX(atlas!B:B,MATCH(A1659,atlas!C:C,0)),"")</f>
        <v/>
      </c>
      <c r="J1659" s="8" t="str">
        <f>IFERROR(VLOOKUP(F1659,tecnica!A:B,2,0),"")</f>
        <v/>
      </c>
      <c r="K1659" s="8" t="str">
        <f>IFERROR(VLOOKUP(J1659,tecnica!B:C,2,0),"")</f>
        <v/>
      </c>
      <c r="L1659" s="13"/>
      <c r="M1659" s="14" t="str">
        <f>IFERROR(VLOOKUP(I1659,material!A:D,4,0),"")</f>
        <v/>
      </c>
      <c r="N1659" s="14" t="str">
        <f t="shared" si="1"/>
        <v/>
      </c>
      <c r="O1659" s="15" t="str">
        <f>IFERROR(VLOOKUP(I1659,material!A:D,2,0),"")</f>
        <v/>
      </c>
    </row>
    <row r="1660">
      <c r="A1660" s="6"/>
      <c r="B1660" s="7"/>
      <c r="C1660" s="8" t="str">
        <f t="array" ref="C1660">IFERROR(INDEX(atlas!H:H,MATCH(A1660,atlas!C:C,0)),"")</f>
        <v/>
      </c>
      <c r="D1660" s="8" t="str">
        <f t="array" ref="D1660">IFERROR(INDEX(atlas!D:D,MATCH(A1660,atlas!C:C,0)),"")</f>
        <v/>
      </c>
      <c r="E1660" s="8" t="str">
        <f t="array" ref="E1660">IFERROR(INDEX(atlas!F:F,MATCH(A1660,atlas!C:C,0)),"")</f>
        <v/>
      </c>
      <c r="F1660" s="9"/>
      <c r="G1660" s="10"/>
      <c r="H1660" s="11"/>
      <c r="I1660" s="12" t="str">
        <f t="array" ref="I1660">IFERROR(INDEX(atlas!B:B,MATCH(A1660,atlas!C:C,0)),"")</f>
        <v/>
      </c>
      <c r="J1660" s="8" t="str">
        <f>IFERROR(VLOOKUP(F1660,tecnica!A:B,2,0),"")</f>
        <v/>
      </c>
      <c r="K1660" s="8" t="str">
        <f>IFERROR(VLOOKUP(J1660,tecnica!B:C,2,0),"")</f>
        <v/>
      </c>
      <c r="L1660" s="13"/>
      <c r="M1660" s="14" t="str">
        <f>IFERROR(VLOOKUP(I1660,material!A:D,4,0),"")</f>
        <v/>
      </c>
      <c r="N1660" s="14" t="str">
        <f t="shared" si="1"/>
        <v/>
      </c>
      <c r="O1660" s="15" t="str">
        <f>IFERROR(VLOOKUP(I1660,material!A:D,2,0),"")</f>
        <v/>
      </c>
    </row>
    <row r="1661">
      <c r="A1661" s="6"/>
      <c r="B1661" s="7"/>
      <c r="C1661" s="8" t="str">
        <f t="array" ref="C1661">IFERROR(INDEX(atlas!H:H,MATCH(A1661,atlas!C:C,0)),"")</f>
        <v/>
      </c>
      <c r="D1661" s="8" t="str">
        <f t="array" ref="D1661">IFERROR(INDEX(atlas!D:D,MATCH(A1661,atlas!C:C,0)),"")</f>
        <v/>
      </c>
      <c r="E1661" s="8" t="str">
        <f t="array" ref="E1661">IFERROR(INDEX(atlas!F:F,MATCH(A1661,atlas!C:C,0)),"")</f>
        <v/>
      </c>
      <c r="F1661" s="9"/>
      <c r="G1661" s="10"/>
      <c r="H1661" s="11"/>
      <c r="I1661" s="12" t="str">
        <f t="array" ref="I1661">IFERROR(INDEX(atlas!B:B,MATCH(A1661,atlas!C:C,0)),"")</f>
        <v/>
      </c>
      <c r="J1661" s="8" t="str">
        <f>IFERROR(VLOOKUP(F1661,tecnica!A:B,2,0),"")</f>
        <v/>
      </c>
      <c r="K1661" s="8" t="str">
        <f>IFERROR(VLOOKUP(J1661,tecnica!B:C,2,0),"")</f>
        <v/>
      </c>
      <c r="L1661" s="13"/>
      <c r="M1661" s="14" t="str">
        <f>IFERROR(VLOOKUP(I1661,material!A:D,4,0),"")</f>
        <v/>
      </c>
      <c r="N1661" s="14" t="str">
        <f t="shared" si="1"/>
        <v/>
      </c>
      <c r="O1661" s="15" t="str">
        <f>IFERROR(VLOOKUP(I1661,material!A:D,2,0),"")</f>
        <v/>
      </c>
    </row>
    <row r="1662">
      <c r="A1662" s="6"/>
      <c r="B1662" s="7"/>
      <c r="C1662" s="8" t="str">
        <f t="array" ref="C1662">IFERROR(INDEX(atlas!H:H,MATCH(A1662,atlas!C:C,0)),"")</f>
        <v/>
      </c>
      <c r="D1662" s="8" t="str">
        <f t="array" ref="D1662">IFERROR(INDEX(atlas!D:D,MATCH(A1662,atlas!C:C,0)),"")</f>
        <v/>
      </c>
      <c r="E1662" s="8" t="str">
        <f t="array" ref="E1662">IFERROR(INDEX(atlas!F:F,MATCH(A1662,atlas!C:C,0)),"")</f>
        <v/>
      </c>
      <c r="F1662" s="9"/>
      <c r="G1662" s="10"/>
      <c r="H1662" s="11"/>
      <c r="I1662" s="12" t="str">
        <f t="array" ref="I1662">IFERROR(INDEX(atlas!B:B,MATCH(A1662,atlas!C:C,0)),"")</f>
        <v/>
      </c>
      <c r="J1662" s="8" t="str">
        <f>IFERROR(VLOOKUP(F1662,tecnica!A:B,2,0),"")</f>
        <v/>
      </c>
      <c r="K1662" s="8" t="str">
        <f>IFERROR(VLOOKUP(J1662,tecnica!B:C,2,0),"")</f>
        <v/>
      </c>
      <c r="L1662" s="13"/>
      <c r="M1662" s="14" t="str">
        <f>IFERROR(VLOOKUP(I1662,material!A:D,4,0),"")</f>
        <v/>
      </c>
      <c r="N1662" s="14" t="str">
        <f t="shared" si="1"/>
        <v/>
      </c>
      <c r="O1662" s="15" t="str">
        <f>IFERROR(VLOOKUP(I1662,material!A:D,2,0),"")</f>
        <v/>
      </c>
    </row>
    <row r="1663">
      <c r="A1663" s="6"/>
      <c r="B1663" s="7"/>
      <c r="C1663" s="8" t="str">
        <f t="array" ref="C1663">IFERROR(INDEX(atlas!H:H,MATCH(A1663,atlas!C:C,0)),"")</f>
        <v/>
      </c>
      <c r="D1663" s="8" t="str">
        <f t="array" ref="D1663">IFERROR(INDEX(atlas!D:D,MATCH(A1663,atlas!C:C,0)),"")</f>
        <v/>
      </c>
      <c r="E1663" s="8" t="str">
        <f t="array" ref="E1663">IFERROR(INDEX(atlas!F:F,MATCH(A1663,atlas!C:C,0)),"")</f>
        <v/>
      </c>
      <c r="F1663" s="9"/>
      <c r="G1663" s="10"/>
      <c r="H1663" s="11"/>
      <c r="I1663" s="12" t="str">
        <f t="array" ref="I1663">IFERROR(INDEX(atlas!B:B,MATCH(A1663,atlas!C:C,0)),"")</f>
        <v/>
      </c>
      <c r="J1663" s="8" t="str">
        <f>IFERROR(VLOOKUP(F1663,tecnica!A:B,2,0),"")</f>
        <v/>
      </c>
      <c r="K1663" s="8" t="str">
        <f>IFERROR(VLOOKUP(J1663,tecnica!B:C,2,0),"")</f>
        <v/>
      </c>
      <c r="L1663" s="13"/>
      <c r="M1663" s="14" t="str">
        <f>IFERROR(VLOOKUP(I1663,material!A:D,4,0),"")</f>
        <v/>
      </c>
      <c r="N1663" s="14" t="str">
        <f t="shared" si="1"/>
        <v/>
      </c>
      <c r="O1663" s="15" t="str">
        <f>IFERROR(VLOOKUP(I1663,material!A:D,2,0),"")</f>
        <v/>
      </c>
    </row>
    <row r="1664">
      <c r="A1664" s="6"/>
      <c r="B1664" s="7"/>
      <c r="C1664" s="8" t="str">
        <f t="array" ref="C1664">IFERROR(INDEX(atlas!H:H,MATCH(A1664,atlas!C:C,0)),"")</f>
        <v/>
      </c>
      <c r="D1664" s="8" t="str">
        <f t="array" ref="D1664">IFERROR(INDEX(atlas!D:D,MATCH(A1664,atlas!C:C,0)),"")</f>
        <v/>
      </c>
      <c r="E1664" s="8" t="str">
        <f t="array" ref="E1664">IFERROR(INDEX(atlas!F:F,MATCH(A1664,atlas!C:C,0)),"")</f>
        <v/>
      </c>
      <c r="F1664" s="9"/>
      <c r="G1664" s="10"/>
      <c r="H1664" s="11"/>
      <c r="I1664" s="12" t="str">
        <f t="array" ref="I1664">IFERROR(INDEX(atlas!B:B,MATCH(A1664,atlas!C:C,0)),"")</f>
        <v/>
      </c>
      <c r="J1664" s="8" t="str">
        <f>IFERROR(VLOOKUP(F1664,tecnica!A:B,2,0),"")</f>
        <v/>
      </c>
      <c r="K1664" s="8" t="str">
        <f>IFERROR(VLOOKUP(J1664,tecnica!B:C,2,0),"")</f>
        <v/>
      </c>
      <c r="L1664" s="13"/>
      <c r="M1664" s="14" t="str">
        <f>IFERROR(VLOOKUP(I1664,material!A:D,4,0),"")</f>
        <v/>
      </c>
      <c r="N1664" s="14" t="str">
        <f t="shared" si="1"/>
        <v/>
      </c>
      <c r="O1664" s="15" t="str">
        <f>IFERROR(VLOOKUP(I1664,material!A:D,2,0),"")</f>
        <v/>
      </c>
    </row>
    <row r="1665">
      <c r="A1665" s="6"/>
      <c r="B1665" s="7"/>
      <c r="C1665" s="8" t="str">
        <f t="array" ref="C1665">IFERROR(INDEX(atlas!H:H,MATCH(A1665,atlas!C:C,0)),"")</f>
        <v/>
      </c>
      <c r="D1665" s="8" t="str">
        <f t="array" ref="D1665">IFERROR(INDEX(atlas!D:D,MATCH(A1665,atlas!C:C,0)),"")</f>
        <v/>
      </c>
      <c r="E1665" s="8" t="str">
        <f t="array" ref="E1665">IFERROR(INDEX(atlas!F:F,MATCH(A1665,atlas!C:C,0)),"")</f>
        <v/>
      </c>
      <c r="F1665" s="9"/>
      <c r="G1665" s="10"/>
      <c r="H1665" s="11"/>
      <c r="I1665" s="12" t="str">
        <f t="array" ref="I1665">IFERROR(INDEX(atlas!B:B,MATCH(A1665,atlas!C:C,0)),"")</f>
        <v/>
      </c>
      <c r="J1665" s="8" t="str">
        <f>IFERROR(VLOOKUP(F1665,tecnica!A:B,2,0),"")</f>
        <v/>
      </c>
      <c r="K1665" s="8" t="str">
        <f>IFERROR(VLOOKUP(J1665,tecnica!B:C,2,0),"")</f>
        <v/>
      </c>
      <c r="L1665" s="13"/>
      <c r="M1665" s="14" t="str">
        <f>IFERROR(VLOOKUP(I1665,material!A:D,4,0),"")</f>
        <v/>
      </c>
      <c r="N1665" s="14" t="str">
        <f t="shared" si="1"/>
        <v/>
      </c>
      <c r="O1665" s="15" t="str">
        <f>IFERROR(VLOOKUP(I1665,material!A:D,2,0),"")</f>
        <v/>
      </c>
    </row>
    <row r="1666">
      <c r="A1666" s="6"/>
      <c r="B1666" s="7"/>
      <c r="C1666" s="8" t="str">
        <f t="array" ref="C1666">IFERROR(INDEX(atlas!H:H,MATCH(A1666,atlas!C:C,0)),"")</f>
        <v/>
      </c>
      <c r="D1666" s="8" t="str">
        <f t="array" ref="D1666">IFERROR(INDEX(atlas!D:D,MATCH(A1666,atlas!C:C,0)),"")</f>
        <v/>
      </c>
      <c r="E1666" s="8" t="str">
        <f t="array" ref="E1666">IFERROR(INDEX(atlas!F:F,MATCH(A1666,atlas!C:C,0)),"")</f>
        <v/>
      </c>
      <c r="F1666" s="9"/>
      <c r="G1666" s="10"/>
      <c r="H1666" s="11"/>
      <c r="I1666" s="12" t="str">
        <f t="array" ref="I1666">IFERROR(INDEX(atlas!B:B,MATCH(A1666,atlas!C:C,0)),"")</f>
        <v/>
      </c>
      <c r="J1666" s="8" t="str">
        <f>IFERROR(VLOOKUP(F1666,tecnica!A:B,2,0),"")</f>
        <v/>
      </c>
      <c r="K1666" s="8" t="str">
        <f>IFERROR(VLOOKUP(J1666,tecnica!B:C,2,0),"")</f>
        <v/>
      </c>
      <c r="L1666" s="13"/>
      <c r="M1666" s="14" t="str">
        <f>IFERROR(VLOOKUP(I1666,material!A:D,4,0),"")</f>
        <v/>
      </c>
      <c r="N1666" s="14" t="str">
        <f t="shared" si="1"/>
        <v/>
      </c>
      <c r="O1666" s="15" t="str">
        <f>IFERROR(VLOOKUP(I1666,material!A:D,2,0),"")</f>
        <v/>
      </c>
    </row>
    <row r="1667">
      <c r="A1667" s="6"/>
      <c r="B1667" s="7"/>
      <c r="C1667" s="8" t="str">
        <f t="array" ref="C1667">IFERROR(INDEX(atlas!H:H,MATCH(A1667,atlas!C:C,0)),"")</f>
        <v/>
      </c>
      <c r="D1667" s="8" t="str">
        <f t="array" ref="D1667">IFERROR(INDEX(atlas!D:D,MATCH(A1667,atlas!C:C,0)),"")</f>
        <v/>
      </c>
      <c r="E1667" s="8" t="str">
        <f t="array" ref="E1667">IFERROR(INDEX(atlas!F:F,MATCH(A1667,atlas!C:C,0)),"")</f>
        <v/>
      </c>
      <c r="F1667" s="9"/>
      <c r="G1667" s="10"/>
      <c r="H1667" s="11"/>
      <c r="I1667" s="12" t="str">
        <f t="array" ref="I1667">IFERROR(INDEX(atlas!B:B,MATCH(A1667,atlas!C:C,0)),"")</f>
        <v/>
      </c>
      <c r="J1667" s="8" t="str">
        <f>IFERROR(VLOOKUP(F1667,tecnica!A:B,2,0),"")</f>
        <v/>
      </c>
      <c r="K1667" s="8" t="str">
        <f>IFERROR(VLOOKUP(J1667,tecnica!B:C,2,0),"")</f>
        <v/>
      </c>
      <c r="L1667" s="13"/>
      <c r="M1667" s="14" t="str">
        <f>IFERROR(VLOOKUP(I1667,material!A:D,4,0),"")</f>
        <v/>
      </c>
      <c r="N1667" s="14" t="str">
        <f t="shared" si="1"/>
        <v/>
      </c>
      <c r="O1667" s="15" t="str">
        <f>IFERROR(VLOOKUP(I1667,material!A:D,2,0),"")</f>
        <v/>
      </c>
    </row>
    <row r="1668">
      <c r="A1668" s="6"/>
      <c r="B1668" s="7"/>
      <c r="C1668" s="8" t="str">
        <f t="array" ref="C1668">IFERROR(INDEX(atlas!H:H,MATCH(A1668,atlas!C:C,0)),"")</f>
        <v/>
      </c>
      <c r="D1668" s="8" t="str">
        <f t="array" ref="D1668">IFERROR(INDEX(atlas!D:D,MATCH(A1668,atlas!C:C,0)),"")</f>
        <v/>
      </c>
      <c r="E1668" s="8" t="str">
        <f t="array" ref="E1668">IFERROR(INDEX(atlas!F:F,MATCH(A1668,atlas!C:C,0)),"")</f>
        <v/>
      </c>
      <c r="F1668" s="9"/>
      <c r="G1668" s="10"/>
      <c r="H1668" s="11"/>
      <c r="I1668" s="12" t="str">
        <f t="array" ref="I1668">IFERROR(INDEX(atlas!B:B,MATCH(A1668,atlas!C:C,0)),"")</f>
        <v/>
      </c>
      <c r="J1668" s="8" t="str">
        <f>IFERROR(VLOOKUP(F1668,tecnica!A:B,2,0),"")</f>
        <v/>
      </c>
      <c r="K1668" s="8" t="str">
        <f>IFERROR(VLOOKUP(J1668,tecnica!B:C,2,0),"")</f>
        <v/>
      </c>
      <c r="L1668" s="13"/>
      <c r="M1668" s="14" t="str">
        <f>IFERROR(VLOOKUP(I1668,material!A:D,4,0),"")</f>
        <v/>
      </c>
      <c r="N1668" s="14" t="str">
        <f t="shared" si="1"/>
        <v/>
      </c>
      <c r="O1668" s="15" t="str">
        <f>IFERROR(VLOOKUP(I1668,material!A:D,2,0),"")</f>
        <v/>
      </c>
    </row>
    <row r="1669">
      <c r="A1669" s="6"/>
      <c r="B1669" s="7"/>
      <c r="C1669" s="8" t="str">
        <f t="array" ref="C1669">IFERROR(INDEX(atlas!H:H,MATCH(A1669,atlas!C:C,0)),"")</f>
        <v/>
      </c>
      <c r="D1669" s="8" t="str">
        <f t="array" ref="D1669">IFERROR(INDEX(atlas!D:D,MATCH(A1669,atlas!C:C,0)),"")</f>
        <v/>
      </c>
      <c r="E1669" s="8" t="str">
        <f t="array" ref="E1669">IFERROR(INDEX(atlas!F:F,MATCH(A1669,atlas!C:C,0)),"")</f>
        <v/>
      </c>
      <c r="F1669" s="9"/>
      <c r="G1669" s="10"/>
      <c r="H1669" s="11"/>
      <c r="I1669" s="12" t="str">
        <f t="array" ref="I1669">IFERROR(INDEX(atlas!B:B,MATCH(A1669,atlas!C:C,0)),"")</f>
        <v/>
      </c>
      <c r="J1669" s="8" t="str">
        <f>IFERROR(VLOOKUP(F1669,tecnica!A:B,2,0),"")</f>
        <v/>
      </c>
      <c r="K1669" s="8" t="str">
        <f>IFERROR(VLOOKUP(J1669,tecnica!B:C,2,0),"")</f>
        <v/>
      </c>
      <c r="L1669" s="13"/>
      <c r="M1669" s="14" t="str">
        <f>IFERROR(VLOOKUP(I1669,material!A:D,4,0),"")</f>
        <v/>
      </c>
      <c r="N1669" s="14" t="str">
        <f t="shared" si="1"/>
        <v/>
      </c>
      <c r="O1669" s="15" t="str">
        <f>IFERROR(VLOOKUP(I1669,material!A:D,2,0),"")</f>
        <v/>
      </c>
    </row>
    <row r="1670">
      <c r="A1670" s="6"/>
      <c r="B1670" s="7"/>
      <c r="C1670" s="8" t="str">
        <f t="array" ref="C1670">IFERROR(INDEX(atlas!H:H,MATCH(A1670,atlas!C:C,0)),"")</f>
        <v/>
      </c>
      <c r="D1670" s="8" t="str">
        <f t="array" ref="D1670">IFERROR(INDEX(atlas!D:D,MATCH(A1670,atlas!C:C,0)),"")</f>
        <v/>
      </c>
      <c r="E1670" s="8" t="str">
        <f t="array" ref="E1670">IFERROR(INDEX(atlas!F:F,MATCH(A1670,atlas!C:C,0)),"")</f>
        <v/>
      </c>
      <c r="F1670" s="9"/>
      <c r="G1670" s="10"/>
      <c r="H1670" s="11"/>
      <c r="I1670" s="12" t="str">
        <f t="array" ref="I1670">IFERROR(INDEX(atlas!B:B,MATCH(A1670,atlas!C:C,0)),"")</f>
        <v/>
      </c>
      <c r="J1670" s="8" t="str">
        <f>IFERROR(VLOOKUP(F1670,tecnica!A:B,2,0),"")</f>
        <v/>
      </c>
      <c r="K1670" s="8" t="str">
        <f>IFERROR(VLOOKUP(J1670,tecnica!B:C,2,0),"")</f>
        <v/>
      </c>
      <c r="L1670" s="13"/>
      <c r="M1670" s="14" t="str">
        <f>IFERROR(VLOOKUP(I1670,material!A:D,4,0),"")</f>
        <v/>
      </c>
      <c r="N1670" s="14" t="str">
        <f t="shared" si="1"/>
        <v/>
      </c>
      <c r="O1670" s="15" t="str">
        <f>IFERROR(VLOOKUP(I1670,material!A:D,2,0),"")</f>
        <v/>
      </c>
    </row>
    <row r="1671">
      <c r="A1671" s="6"/>
      <c r="B1671" s="7"/>
      <c r="C1671" s="8" t="str">
        <f t="array" ref="C1671">IFERROR(INDEX(atlas!H:H,MATCH(A1671,atlas!C:C,0)),"")</f>
        <v/>
      </c>
      <c r="D1671" s="8" t="str">
        <f t="array" ref="D1671">IFERROR(INDEX(atlas!D:D,MATCH(A1671,atlas!C:C,0)),"")</f>
        <v/>
      </c>
      <c r="E1671" s="8" t="str">
        <f t="array" ref="E1671">IFERROR(INDEX(atlas!F:F,MATCH(A1671,atlas!C:C,0)),"")</f>
        <v/>
      </c>
      <c r="F1671" s="9"/>
      <c r="G1671" s="10"/>
      <c r="H1671" s="11"/>
      <c r="I1671" s="12" t="str">
        <f t="array" ref="I1671">IFERROR(INDEX(atlas!B:B,MATCH(A1671,atlas!C:C,0)),"")</f>
        <v/>
      </c>
      <c r="J1671" s="8" t="str">
        <f>IFERROR(VLOOKUP(F1671,tecnica!A:B,2,0),"")</f>
        <v/>
      </c>
      <c r="K1671" s="8" t="str">
        <f>IFERROR(VLOOKUP(J1671,tecnica!B:C,2,0),"")</f>
        <v/>
      </c>
      <c r="L1671" s="13"/>
      <c r="M1671" s="14" t="str">
        <f>IFERROR(VLOOKUP(I1671,material!A:D,4,0),"")</f>
        <v/>
      </c>
      <c r="N1671" s="14" t="str">
        <f t="shared" si="1"/>
        <v/>
      </c>
      <c r="O1671" s="15" t="str">
        <f>IFERROR(VLOOKUP(I1671,material!A:D,2,0),"")</f>
        <v/>
      </c>
    </row>
    <row r="1672">
      <c r="A1672" s="6"/>
      <c r="B1672" s="7"/>
      <c r="C1672" s="8" t="str">
        <f t="array" ref="C1672">IFERROR(INDEX(atlas!H:H,MATCH(A1672,atlas!C:C,0)),"")</f>
        <v/>
      </c>
      <c r="D1672" s="8" t="str">
        <f t="array" ref="D1672">IFERROR(INDEX(atlas!D:D,MATCH(A1672,atlas!C:C,0)),"")</f>
        <v/>
      </c>
      <c r="E1672" s="8" t="str">
        <f t="array" ref="E1672">IFERROR(INDEX(atlas!F:F,MATCH(A1672,atlas!C:C,0)),"")</f>
        <v/>
      </c>
      <c r="F1672" s="9"/>
      <c r="G1672" s="10"/>
      <c r="H1672" s="11"/>
      <c r="I1672" s="12" t="str">
        <f t="array" ref="I1672">IFERROR(INDEX(atlas!B:B,MATCH(A1672,atlas!C:C,0)),"")</f>
        <v/>
      </c>
      <c r="J1672" s="8" t="str">
        <f>IFERROR(VLOOKUP(F1672,tecnica!A:B,2,0),"")</f>
        <v/>
      </c>
      <c r="K1672" s="8" t="str">
        <f>IFERROR(VLOOKUP(J1672,tecnica!B:C,2,0),"")</f>
        <v/>
      </c>
      <c r="L1672" s="13"/>
      <c r="M1672" s="14" t="str">
        <f>IFERROR(VLOOKUP(I1672,material!A:D,4,0),"")</f>
        <v/>
      </c>
      <c r="N1672" s="14" t="str">
        <f t="shared" si="1"/>
        <v/>
      </c>
      <c r="O1672" s="15" t="str">
        <f>IFERROR(VLOOKUP(I1672,material!A:D,2,0),"")</f>
        <v/>
      </c>
    </row>
    <row r="1673">
      <c r="A1673" s="6"/>
      <c r="B1673" s="7"/>
      <c r="C1673" s="8" t="str">
        <f t="array" ref="C1673">IFERROR(INDEX(atlas!H:H,MATCH(A1673,atlas!C:C,0)),"")</f>
        <v/>
      </c>
      <c r="D1673" s="8" t="str">
        <f t="array" ref="D1673">IFERROR(INDEX(atlas!D:D,MATCH(A1673,atlas!C:C,0)),"")</f>
        <v/>
      </c>
      <c r="E1673" s="8" t="str">
        <f t="array" ref="E1673">IFERROR(INDEX(atlas!F:F,MATCH(A1673,atlas!C:C,0)),"")</f>
        <v/>
      </c>
      <c r="F1673" s="9"/>
      <c r="G1673" s="10"/>
      <c r="H1673" s="11"/>
      <c r="I1673" s="12" t="str">
        <f t="array" ref="I1673">IFERROR(INDEX(atlas!B:B,MATCH(A1673,atlas!C:C,0)),"")</f>
        <v/>
      </c>
      <c r="J1673" s="8" t="str">
        <f>IFERROR(VLOOKUP(F1673,tecnica!A:B,2,0),"")</f>
        <v/>
      </c>
      <c r="K1673" s="8" t="str">
        <f>IFERROR(VLOOKUP(J1673,tecnica!B:C,2,0),"")</f>
        <v/>
      </c>
      <c r="L1673" s="13"/>
      <c r="M1673" s="14" t="str">
        <f>IFERROR(VLOOKUP(I1673,material!A:D,4,0),"")</f>
        <v/>
      </c>
      <c r="N1673" s="14" t="str">
        <f t="shared" si="1"/>
        <v/>
      </c>
      <c r="O1673" s="15" t="str">
        <f>IFERROR(VLOOKUP(I1673,material!A:D,2,0),"")</f>
        <v/>
      </c>
    </row>
    <row r="1674">
      <c r="A1674" s="6"/>
      <c r="B1674" s="7"/>
      <c r="C1674" s="8" t="str">
        <f t="array" ref="C1674">IFERROR(INDEX(atlas!H:H,MATCH(A1674,atlas!C:C,0)),"")</f>
        <v/>
      </c>
      <c r="D1674" s="8" t="str">
        <f t="array" ref="D1674">IFERROR(INDEX(atlas!D:D,MATCH(A1674,atlas!C:C,0)),"")</f>
        <v/>
      </c>
      <c r="E1674" s="8" t="str">
        <f t="array" ref="E1674">IFERROR(INDEX(atlas!F:F,MATCH(A1674,atlas!C:C,0)),"")</f>
        <v/>
      </c>
      <c r="F1674" s="9"/>
      <c r="G1674" s="10"/>
      <c r="H1674" s="11"/>
      <c r="I1674" s="12" t="str">
        <f t="array" ref="I1674">IFERROR(INDEX(atlas!B:B,MATCH(A1674,atlas!C:C,0)),"")</f>
        <v/>
      </c>
      <c r="J1674" s="8" t="str">
        <f>IFERROR(VLOOKUP(F1674,tecnica!A:B,2,0),"")</f>
        <v/>
      </c>
      <c r="K1674" s="8" t="str">
        <f>IFERROR(VLOOKUP(J1674,tecnica!B:C,2,0),"")</f>
        <v/>
      </c>
      <c r="L1674" s="13"/>
      <c r="M1674" s="14" t="str">
        <f>IFERROR(VLOOKUP(I1674,material!A:D,4,0),"")</f>
        <v/>
      </c>
      <c r="N1674" s="14" t="str">
        <f t="shared" si="1"/>
        <v/>
      </c>
      <c r="O1674" s="15" t="str">
        <f>IFERROR(VLOOKUP(I1674,material!A:D,2,0),"")</f>
        <v/>
      </c>
    </row>
    <row r="1675">
      <c r="A1675" s="6"/>
      <c r="B1675" s="7"/>
      <c r="C1675" s="8" t="str">
        <f t="array" ref="C1675">IFERROR(INDEX(atlas!H:H,MATCH(A1675,atlas!C:C,0)),"")</f>
        <v/>
      </c>
      <c r="D1675" s="8" t="str">
        <f t="array" ref="D1675">IFERROR(INDEX(atlas!D:D,MATCH(A1675,atlas!C:C,0)),"")</f>
        <v/>
      </c>
      <c r="E1675" s="8" t="str">
        <f t="array" ref="E1675">IFERROR(INDEX(atlas!F:F,MATCH(A1675,atlas!C:C,0)),"")</f>
        <v/>
      </c>
      <c r="F1675" s="9"/>
      <c r="G1675" s="10"/>
      <c r="H1675" s="11"/>
      <c r="I1675" s="12" t="str">
        <f t="array" ref="I1675">IFERROR(INDEX(atlas!B:B,MATCH(A1675,atlas!C:C,0)),"")</f>
        <v/>
      </c>
      <c r="J1675" s="8" t="str">
        <f>IFERROR(VLOOKUP(F1675,tecnica!A:B,2,0),"")</f>
        <v/>
      </c>
      <c r="K1675" s="8" t="str">
        <f>IFERROR(VLOOKUP(J1675,tecnica!B:C,2,0),"")</f>
        <v/>
      </c>
      <c r="L1675" s="13"/>
      <c r="M1675" s="14" t="str">
        <f>IFERROR(VLOOKUP(I1675,material!A:D,4,0),"")</f>
        <v/>
      </c>
      <c r="N1675" s="14" t="str">
        <f t="shared" si="1"/>
        <v/>
      </c>
      <c r="O1675" s="15" t="str">
        <f>IFERROR(VLOOKUP(I1675,material!A:D,2,0),"")</f>
        <v/>
      </c>
    </row>
    <row r="1676">
      <c r="A1676" s="6"/>
      <c r="B1676" s="7"/>
      <c r="C1676" s="8" t="str">
        <f t="array" ref="C1676">IFERROR(INDEX(atlas!H:H,MATCH(A1676,atlas!C:C,0)),"")</f>
        <v/>
      </c>
      <c r="D1676" s="8" t="str">
        <f t="array" ref="D1676">IFERROR(INDEX(atlas!D:D,MATCH(A1676,atlas!C:C,0)),"")</f>
        <v/>
      </c>
      <c r="E1676" s="8" t="str">
        <f t="array" ref="E1676">IFERROR(INDEX(atlas!F:F,MATCH(A1676,atlas!C:C,0)),"")</f>
        <v/>
      </c>
      <c r="F1676" s="9"/>
      <c r="G1676" s="10"/>
      <c r="H1676" s="11"/>
      <c r="I1676" s="12" t="str">
        <f t="array" ref="I1676">IFERROR(INDEX(atlas!B:B,MATCH(A1676,atlas!C:C,0)),"")</f>
        <v/>
      </c>
      <c r="J1676" s="8" t="str">
        <f>IFERROR(VLOOKUP(F1676,tecnica!A:B,2,0),"")</f>
        <v/>
      </c>
      <c r="K1676" s="8" t="str">
        <f>IFERROR(VLOOKUP(J1676,tecnica!B:C,2,0),"")</f>
        <v/>
      </c>
      <c r="L1676" s="13"/>
      <c r="M1676" s="14" t="str">
        <f>IFERROR(VLOOKUP(I1676,material!A:D,4,0),"")</f>
        <v/>
      </c>
      <c r="N1676" s="14" t="str">
        <f t="shared" si="1"/>
        <v/>
      </c>
      <c r="O1676" s="15" t="str">
        <f>IFERROR(VLOOKUP(I1676,material!A:D,2,0),"")</f>
        <v/>
      </c>
    </row>
    <row r="1677">
      <c r="A1677" s="6"/>
      <c r="B1677" s="7"/>
      <c r="C1677" s="8" t="str">
        <f t="array" ref="C1677">IFERROR(INDEX(atlas!H:H,MATCH(A1677,atlas!C:C,0)),"")</f>
        <v/>
      </c>
      <c r="D1677" s="8" t="str">
        <f t="array" ref="D1677">IFERROR(INDEX(atlas!D:D,MATCH(A1677,atlas!C:C,0)),"")</f>
        <v/>
      </c>
      <c r="E1677" s="8" t="str">
        <f t="array" ref="E1677">IFERROR(INDEX(atlas!F:F,MATCH(A1677,atlas!C:C,0)),"")</f>
        <v/>
      </c>
      <c r="F1677" s="9"/>
      <c r="G1677" s="10"/>
      <c r="H1677" s="11"/>
      <c r="I1677" s="12" t="str">
        <f t="array" ref="I1677">IFERROR(INDEX(atlas!B:B,MATCH(A1677,atlas!C:C,0)),"")</f>
        <v/>
      </c>
      <c r="J1677" s="8" t="str">
        <f>IFERROR(VLOOKUP(F1677,tecnica!A:B,2,0),"")</f>
        <v/>
      </c>
      <c r="K1677" s="8" t="str">
        <f>IFERROR(VLOOKUP(J1677,tecnica!B:C,2,0),"")</f>
        <v/>
      </c>
      <c r="L1677" s="13"/>
      <c r="M1677" s="14" t="str">
        <f>IFERROR(VLOOKUP(I1677,material!A:D,4,0),"")</f>
        <v/>
      </c>
      <c r="N1677" s="14" t="str">
        <f t="shared" si="1"/>
        <v/>
      </c>
      <c r="O1677" s="15" t="str">
        <f>IFERROR(VLOOKUP(I1677,material!A:D,2,0),"")</f>
        <v/>
      </c>
    </row>
    <row r="1678">
      <c r="A1678" s="6"/>
      <c r="B1678" s="7"/>
      <c r="C1678" s="8" t="str">
        <f t="array" ref="C1678">IFERROR(INDEX(atlas!H:H,MATCH(A1678,atlas!C:C,0)),"")</f>
        <v/>
      </c>
      <c r="D1678" s="8" t="str">
        <f t="array" ref="D1678">IFERROR(INDEX(atlas!D:D,MATCH(A1678,atlas!C:C,0)),"")</f>
        <v/>
      </c>
      <c r="E1678" s="8" t="str">
        <f t="array" ref="E1678">IFERROR(INDEX(atlas!F:F,MATCH(A1678,atlas!C:C,0)),"")</f>
        <v/>
      </c>
      <c r="F1678" s="9"/>
      <c r="G1678" s="10"/>
      <c r="H1678" s="11"/>
      <c r="I1678" s="12" t="str">
        <f t="array" ref="I1678">IFERROR(INDEX(atlas!B:B,MATCH(A1678,atlas!C:C,0)),"")</f>
        <v/>
      </c>
      <c r="J1678" s="8" t="str">
        <f>IFERROR(VLOOKUP(F1678,tecnica!A:B,2,0),"")</f>
        <v/>
      </c>
      <c r="K1678" s="8" t="str">
        <f>IFERROR(VLOOKUP(J1678,tecnica!B:C,2,0),"")</f>
        <v/>
      </c>
      <c r="L1678" s="13"/>
      <c r="M1678" s="14" t="str">
        <f>IFERROR(VLOOKUP(I1678,material!A:D,4,0),"")</f>
        <v/>
      </c>
      <c r="N1678" s="14" t="str">
        <f t="shared" si="1"/>
        <v/>
      </c>
      <c r="O1678" s="15" t="str">
        <f>IFERROR(VLOOKUP(I1678,material!A:D,2,0),"")</f>
        <v/>
      </c>
    </row>
    <row r="1679">
      <c r="A1679" s="6"/>
      <c r="B1679" s="7"/>
      <c r="C1679" s="8" t="str">
        <f t="array" ref="C1679">IFERROR(INDEX(atlas!H:H,MATCH(A1679,atlas!C:C,0)),"")</f>
        <v/>
      </c>
      <c r="D1679" s="8" t="str">
        <f t="array" ref="D1679">IFERROR(INDEX(atlas!D:D,MATCH(A1679,atlas!C:C,0)),"")</f>
        <v/>
      </c>
      <c r="E1679" s="8" t="str">
        <f t="array" ref="E1679">IFERROR(INDEX(atlas!F:F,MATCH(A1679,atlas!C:C,0)),"")</f>
        <v/>
      </c>
      <c r="F1679" s="9"/>
      <c r="G1679" s="10"/>
      <c r="H1679" s="11"/>
      <c r="I1679" s="12" t="str">
        <f t="array" ref="I1679">IFERROR(INDEX(atlas!B:B,MATCH(A1679,atlas!C:C,0)),"")</f>
        <v/>
      </c>
      <c r="J1679" s="8" t="str">
        <f>IFERROR(VLOOKUP(F1679,tecnica!A:B,2,0),"")</f>
        <v/>
      </c>
      <c r="K1679" s="8" t="str">
        <f>IFERROR(VLOOKUP(J1679,tecnica!B:C,2,0),"")</f>
        <v/>
      </c>
      <c r="L1679" s="13"/>
      <c r="M1679" s="14" t="str">
        <f>IFERROR(VLOOKUP(I1679,material!A:D,4,0),"")</f>
        <v/>
      </c>
      <c r="N1679" s="14" t="str">
        <f t="shared" si="1"/>
        <v/>
      </c>
      <c r="O1679" s="15" t="str">
        <f>IFERROR(VLOOKUP(I1679,material!A:D,2,0),"")</f>
        <v/>
      </c>
    </row>
    <row r="1680">
      <c r="A1680" s="6"/>
      <c r="B1680" s="7"/>
      <c r="C1680" s="8" t="str">
        <f t="array" ref="C1680">IFERROR(INDEX(atlas!H:H,MATCH(A1680,atlas!C:C,0)),"")</f>
        <v/>
      </c>
      <c r="D1680" s="8" t="str">
        <f t="array" ref="D1680">IFERROR(INDEX(atlas!D:D,MATCH(A1680,atlas!C:C,0)),"")</f>
        <v/>
      </c>
      <c r="E1680" s="8" t="str">
        <f t="array" ref="E1680">IFERROR(INDEX(atlas!F:F,MATCH(A1680,atlas!C:C,0)),"")</f>
        <v/>
      </c>
      <c r="F1680" s="9"/>
      <c r="G1680" s="10"/>
      <c r="H1680" s="11"/>
      <c r="I1680" s="12" t="str">
        <f t="array" ref="I1680">IFERROR(INDEX(atlas!B:B,MATCH(A1680,atlas!C:C,0)),"")</f>
        <v/>
      </c>
      <c r="J1680" s="8" t="str">
        <f>IFERROR(VLOOKUP(F1680,tecnica!A:B,2,0),"")</f>
        <v/>
      </c>
      <c r="K1680" s="8" t="str">
        <f>IFERROR(VLOOKUP(J1680,tecnica!B:C,2,0),"")</f>
        <v/>
      </c>
      <c r="L1680" s="13"/>
      <c r="M1680" s="14" t="str">
        <f>IFERROR(VLOOKUP(I1680,material!A:D,4,0),"")</f>
        <v/>
      </c>
      <c r="N1680" s="14" t="str">
        <f t="shared" si="1"/>
        <v/>
      </c>
      <c r="O1680" s="15" t="str">
        <f>IFERROR(VLOOKUP(I1680,material!A:D,2,0),"")</f>
        <v/>
      </c>
    </row>
    <row r="1681">
      <c r="A1681" s="6"/>
      <c r="B1681" s="7"/>
      <c r="C1681" s="8" t="str">
        <f t="array" ref="C1681">IFERROR(INDEX(atlas!H:H,MATCH(A1681,atlas!C:C,0)),"")</f>
        <v/>
      </c>
      <c r="D1681" s="8" t="str">
        <f t="array" ref="D1681">IFERROR(INDEX(atlas!D:D,MATCH(A1681,atlas!C:C,0)),"")</f>
        <v/>
      </c>
      <c r="E1681" s="8" t="str">
        <f t="array" ref="E1681">IFERROR(INDEX(atlas!F:F,MATCH(A1681,atlas!C:C,0)),"")</f>
        <v/>
      </c>
      <c r="F1681" s="9"/>
      <c r="G1681" s="10"/>
      <c r="H1681" s="11"/>
      <c r="I1681" s="12" t="str">
        <f t="array" ref="I1681">IFERROR(INDEX(atlas!B:B,MATCH(A1681,atlas!C:C,0)),"")</f>
        <v/>
      </c>
      <c r="J1681" s="8" t="str">
        <f>IFERROR(VLOOKUP(F1681,tecnica!A:B,2,0),"")</f>
        <v/>
      </c>
      <c r="K1681" s="8" t="str">
        <f>IFERROR(VLOOKUP(J1681,tecnica!B:C,2,0),"")</f>
        <v/>
      </c>
      <c r="L1681" s="13"/>
      <c r="M1681" s="14" t="str">
        <f>IFERROR(VLOOKUP(I1681,material!A:D,4,0),"")</f>
        <v/>
      </c>
      <c r="N1681" s="14" t="str">
        <f t="shared" si="1"/>
        <v/>
      </c>
      <c r="O1681" s="15" t="str">
        <f>IFERROR(VLOOKUP(I1681,material!A:D,2,0),"")</f>
        <v/>
      </c>
    </row>
    <row r="1682">
      <c r="A1682" s="6"/>
      <c r="B1682" s="7"/>
      <c r="C1682" s="8" t="str">
        <f t="array" ref="C1682">IFERROR(INDEX(atlas!H:H,MATCH(A1682,atlas!C:C,0)),"")</f>
        <v/>
      </c>
      <c r="D1682" s="8" t="str">
        <f t="array" ref="D1682">IFERROR(INDEX(atlas!D:D,MATCH(A1682,atlas!C:C,0)),"")</f>
        <v/>
      </c>
      <c r="E1682" s="8" t="str">
        <f t="array" ref="E1682">IFERROR(INDEX(atlas!F:F,MATCH(A1682,atlas!C:C,0)),"")</f>
        <v/>
      </c>
      <c r="F1682" s="9"/>
      <c r="G1682" s="10"/>
      <c r="H1682" s="11"/>
      <c r="I1682" s="12" t="str">
        <f t="array" ref="I1682">IFERROR(INDEX(atlas!B:B,MATCH(A1682,atlas!C:C,0)),"")</f>
        <v/>
      </c>
      <c r="J1682" s="8" t="str">
        <f>IFERROR(VLOOKUP(F1682,tecnica!A:B,2,0),"")</f>
        <v/>
      </c>
      <c r="K1682" s="8" t="str">
        <f>IFERROR(VLOOKUP(J1682,tecnica!B:C,2,0),"")</f>
        <v/>
      </c>
      <c r="L1682" s="13"/>
      <c r="M1682" s="14" t="str">
        <f>IFERROR(VLOOKUP(I1682,material!A:D,4,0),"")</f>
        <v/>
      </c>
      <c r="N1682" s="14" t="str">
        <f t="shared" si="1"/>
        <v/>
      </c>
      <c r="O1682" s="15" t="str">
        <f>IFERROR(VLOOKUP(I1682,material!A:D,2,0),"")</f>
        <v/>
      </c>
    </row>
    <row r="1683">
      <c r="A1683" s="6"/>
      <c r="B1683" s="7"/>
      <c r="C1683" s="8" t="str">
        <f t="array" ref="C1683">IFERROR(INDEX(atlas!H:H,MATCH(A1683,atlas!C:C,0)),"")</f>
        <v/>
      </c>
      <c r="D1683" s="8" t="str">
        <f t="array" ref="D1683">IFERROR(INDEX(atlas!D:D,MATCH(A1683,atlas!C:C,0)),"")</f>
        <v/>
      </c>
      <c r="E1683" s="8" t="str">
        <f t="array" ref="E1683">IFERROR(INDEX(atlas!F:F,MATCH(A1683,atlas!C:C,0)),"")</f>
        <v/>
      </c>
      <c r="F1683" s="9"/>
      <c r="G1683" s="10"/>
      <c r="H1683" s="11"/>
      <c r="I1683" s="12" t="str">
        <f t="array" ref="I1683">IFERROR(INDEX(atlas!B:B,MATCH(A1683,atlas!C:C,0)),"")</f>
        <v/>
      </c>
      <c r="J1683" s="8" t="str">
        <f>IFERROR(VLOOKUP(F1683,tecnica!A:B,2,0),"")</f>
        <v/>
      </c>
      <c r="K1683" s="8" t="str">
        <f>IFERROR(VLOOKUP(J1683,tecnica!B:C,2,0),"")</f>
        <v/>
      </c>
      <c r="L1683" s="13"/>
      <c r="M1683" s="14" t="str">
        <f>IFERROR(VLOOKUP(I1683,material!A:D,4,0),"")</f>
        <v/>
      </c>
      <c r="N1683" s="14" t="str">
        <f t="shared" si="1"/>
        <v/>
      </c>
      <c r="O1683" s="15" t="str">
        <f>IFERROR(VLOOKUP(I1683,material!A:D,2,0),"")</f>
        <v/>
      </c>
    </row>
    <row r="1684">
      <c r="A1684" s="6"/>
      <c r="B1684" s="7"/>
      <c r="C1684" s="8" t="str">
        <f t="array" ref="C1684">IFERROR(INDEX(atlas!H:H,MATCH(A1684,atlas!C:C,0)),"")</f>
        <v/>
      </c>
      <c r="D1684" s="8" t="str">
        <f t="array" ref="D1684">IFERROR(INDEX(atlas!D:D,MATCH(A1684,atlas!C:C,0)),"")</f>
        <v/>
      </c>
      <c r="E1684" s="8" t="str">
        <f t="array" ref="E1684">IFERROR(INDEX(atlas!F:F,MATCH(A1684,atlas!C:C,0)),"")</f>
        <v/>
      </c>
      <c r="F1684" s="9"/>
      <c r="G1684" s="10"/>
      <c r="H1684" s="11"/>
      <c r="I1684" s="12" t="str">
        <f t="array" ref="I1684">IFERROR(INDEX(atlas!B:B,MATCH(A1684,atlas!C:C,0)),"")</f>
        <v/>
      </c>
      <c r="J1684" s="8" t="str">
        <f>IFERROR(VLOOKUP(F1684,tecnica!A:B,2,0),"")</f>
        <v/>
      </c>
      <c r="K1684" s="8" t="str">
        <f>IFERROR(VLOOKUP(J1684,tecnica!B:C,2,0),"")</f>
        <v/>
      </c>
      <c r="L1684" s="13"/>
      <c r="M1684" s="14" t="str">
        <f>IFERROR(VLOOKUP(I1684,material!A:D,4,0),"")</f>
        <v/>
      </c>
      <c r="N1684" s="14" t="str">
        <f t="shared" si="1"/>
        <v/>
      </c>
      <c r="O1684" s="15" t="str">
        <f>IFERROR(VLOOKUP(I1684,material!A:D,2,0),"")</f>
        <v/>
      </c>
    </row>
    <row r="1685">
      <c r="A1685" s="6"/>
      <c r="B1685" s="7"/>
      <c r="C1685" s="8" t="str">
        <f t="array" ref="C1685">IFERROR(INDEX(atlas!H:H,MATCH(A1685,atlas!C:C,0)),"")</f>
        <v/>
      </c>
      <c r="D1685" s="8" t="str">
        <f t="array" ref="D1685">IFERROR(INDEX(atlas!D:D,MATCH(A1685,atlas!C:C,0)),"")</f>
        <v/>
      </c>
      <c r="E1685" s="8" t="str">
        <f t="array" ref="E1685">IFERROR(INDEX(atlas!F:F,MATCH(A1685,atlas!C:C,0)),"")</f>
        <v/>
      </c>
      <c r="F1685" s="9"/>
      <c r="G1685" s="10"/>
      <c r="H1685" s="11"/>
      <c r="I1685" s="12" t="str">
        <f t="array" ref="I1685">IFERROR(INDEX(atlas!B:B,MATCH(A1685,atlas!C:C,0)),"")</f>
        <v/>
      </c>
      <c r="J1685" s="8" t="str">
        <f>IFERROR(VLOOKUP(F1685,tecnica!A:B,2,0),"")</f>
        <v/>
      </c>
      <c r="K1685" s="8" t="str">
        <f>IFERROR(VLOOKUP(J1685,tecnica!B:C,2,0),"")</f>
        <v/>
      </c>
      <c r="L1685" s="13"/>
      <c r="M1685" s="14" t="str">
        <f>IFERROR(VLOOKUP(I1685,material!A:D,4,0),"")</f>
        <v/>
      </c>
      <c r="N1685" s="14" t="str">
        <f t="shared" si="1"/>
        <v/>
      </c>
      <c r="O1685" s="15" t="str">
        <f>IFERROR(VLOOKUP(I1685,material!A:D,2,0),"")</f>
        <v/>
      </c>
    </row>
    <row r="1686">
      <c r="A1686" s="6"/>
      <c r="B1686" s="7"/>
      <c r="C1686" s="8" t="str">
        <f t="array" ref="C1686">IFERROR(INDEX(atlas!H:H,MATCH(A1686,atlas!C:C,0)),"")</f>
        <v/>
      </c>
      <c r="D1686" s="8" t="str">
        <f t="array" ref="D1686">IFERROR(INDEX(atlas!D:D,MATCH(A1686,atlas!C:C,0)),"")</f>
        <v/>
      </c>
      <c r="E1686" s="8" t="str">
        <f t="array" ref="E1686">IFERROR(INDEX(atlas!F:F,MATCH(A1686,atlas!C:C,0)),"")</f>
        <v/>
      </c>
      <c r="F1686" s="9"/>
      <c r="G1686" s="10"/>
      <c r="H1686" s="11"/>
      <c r="I1686" s="12" t="str">
        <f t="array" ref="I1686">IFERROR(INDEX(atlas!B:B,MATCH(A1686,atlas!C:C,0)),"")</f>
        <v/>
      </c>
      <c r="J1686" s="8" t="str">
        <f>IFERROR(VLOOKUP(F1686,tecnica!A:B,2,0),"")</f>
        <v/>
      </c>
      <c r="K1686" s="8" t="str">
        <f>IFERROR(VLOOKUP(J1686,tecnica!B:C,2,0),"")</f>
        <v/>
      </c>
      <c r="L1686" s="13"/>
      <c r="M1686" s="14" t="str">
        <f>IFERROR(VLOOKUP(I1686,material!A:D,4,0),"")</f>
        <v/>
      </c>
      <c r="N1686" s="14" t="str">
        <f t="shared" si="1"/>
        <v/>
      </c>
      <c r="O1686" s="15" t="str">
        <f>IFERROR(VLOOKUP(I1686,material!A:D,2,0),"")</f>
        <v/>
      </c>
    </row>
    <row r="1687">
      <c r="A1687" s="6"/>
      <c r="B1687" s="7"/>
      <c r="C1687" s="8" t="str">
        <f t="array" ref="C1687">IFERROR(INDEX(atlas!H:H,MATCH(A1687,atlas!C:C,0)),"")</f>
        <v/>
      </c>
      <c r="D1687" s="8" t="str">
        <f t="array" ref="D1687">IFERROR(INDEX(atlas!D:D,MATCH(A1687,atlas!C:C,0)),"")</f>
        <v/>
      </c>
      <c r="E1687" s="8" t="str">
        <f t="array" ref="E1687">IFERROR(INDEX(atlas!F:F,MATCH(A1687,atlas!C:C,0)),"")</f>
        <v/>
      </c>
      <c r="F1687" s="9"/>
      <c r="G1687" s="10"/>
      <c r="H1687" s="11"/>
      <c r="I1687" s="12" t="str">
        <f t="array" ref="I1687">IFERROR(INDEX(atlas!B:B,MATCH(A1687,atlas!C:C,0)),"")</f>
        <v/>
      </c>
      <c r="J1687" s="8" t="str">
        <f>IFERROR(VLOOKUP(F1687,tecnica!A:B,2,0),"")</f>
        <v/>
      </c>
      <c r="K1687" s="8" t="str">
        <f>IFERROR(VLOOKUP(J1687,tecnica!B:C,2,0),"")</f>
        <v/>
      </c>
      <c r="L1687" s="13"/>
      <c r="M1687" s="14" t="str">
        <f>IFERROR(VLOOKUP(I1687,material!A:D,4,0),"")</f>
        <v/>
      </c>
      <c r="N1687" s="14" t="str">
        <f t="shared" si="1"/>
        <v/>
      </c>
      <c r="O1687" s="15" t="str">
        <f>IFERROR(VLOOKUP(I1687,material!A:D,2,0),"")</f>
        <v/>
      </c>
    </row>
    <row r="1688">
      <c r="A1688" s="6"/>
      <c r="B1688" s="7"/>
      <c r="C1688" s="8" t="str">
        <f t="array" ref="C1688">IFERROR(INDEX(atlas!H:H,MATCH(A1688,atlas!C:C,0)),"")</f>
        <v/>
      </c>
      <c r="D1688" s="8" t="str">
        <f t="array" ref="D1688">IFERROR(INDEX(atlas!D:D,MATCH(A1688,atlas!C:C,0)),"")</f>
        <v/>
      </c>
      <c r="E1688" s="8" t="str">
        <f t="array" ref="E1688">IFERROR(INDEX(atlas!F:F,MATCH(A1688,atlas!C:C,0)),"")</f>
        <v/>
      </c>
      <c r="F1688" s="9"/>
      <c r="G1688" s="10"/>
      <c r="H1688" s="11"/>
      <c r="I1688" s="12" t="str">
        <f t="array" ref="I1688">IFERROR(INDEX(atlas!B:B,MATCH(A1688,atlas!C:C,0)),"")</f>
        <v/>
      </c>
      <c r="J1688" s="8" t="str">
        <f>IFERROR(VLOOKUP(F1688,tecnica!A:B,2,0),"")</f>
        <v/>
      </c>
      <c r="K1688" s="8" t="str">
        <f>IFERROR(VLOOKUP(J1688,tecnica!B:C,2,0),"")</f>
        <v/>
      </c>
      <c r="L1688" s="13"/>
      <c r="M1688" s="14" t="str">
        <f>IFERROR(VLOOKUP(I1688,material!A:D,4,0),"")</f>
        <v/>
      </c>
      <c r="N1688" s="14" t="str">
        <f t="shared" si="1"/>
        <v/>
      </c>
      <c r="O1688" s="15" t="str">
        <f>IFERROR(VLOOKUP(I1688,material!A:D,2,0),"")</f>
        <v/>
      </c>
    </row>
    <row r="1689">
      <c r="A1689" s="6"/>
      <c r="B1689" s="7"/>
      <c r="C1689" s="8" t="str">
        <f t="array" ref="C1689">IFERROR(INDEX(atlas!H:H,MATCH(A1689,atlas!C:C,0)),"")</f>
        <v/>
      </c>
      <c r="D1689" s="8" t="str">
        <f t="array" ref="D1689">IFERROR(INDEX(atlas!D:D,MATCH(A1689,atlas!C:C,0)),"")</f>
        <v/>
      </c>
      <c r="E1689" s="8" t="str">
        <f t="array" ref="E1689">IFERROR(INDEX(atlas!F:F,MATCH(A1689,atlas!C:C,0)),"")</f>
        <v/>
      </c>
      <c r="F1689" s="9"/>
      <c r="G1689" s="10"/>
      <c r="H1689" s="11"/>
      <c r="I1689" s="12" t="str">
        <f t="array" ref="I1689">IFERROR(INDEX(atlas!B:B,MATCH(A1689,atlas!C:C,0)),"")</f>
        <v/>
      </c>
      <c r="J1689" s="8" t="str">
        <f>IFERROR(VLOOKUP(F1689,tecnica!A:B,2,0),"")</f>
        <v/>
      </c>
      <c r="K1689" s="8" t="str">
        <f>IFERROR(VLOOKUP(J1689,tecnica!B:C,2,0),"")</f>
        <v/>
      </c>
      <c r="L1689" s="13"/>
      <c r="M1689" s="14" t="str">
        <f>IFERROR(VLOOKUP(I1689,material!A:D,4,0),"")</f>
        <v/>
      </c>
      <c r="N1689" s="14" t="str">
        <f t="shared" si="1"/>
        <v/>
      </c>
      <c r="O1689" s="15" t="str">
        <f>IFERROR(VLOOKUP(I1689,material!A:D,2,0),"")</f>
        <v/>
      </c>
    </row>
    <row r="1690">
      <c r="A1690" s="6"/>
      <c r="B1690" s="7"/>
      <c r="C1690" s="8" t="str">
        <f t="array" ref="C1690">IFERROR(INDEX(atlas!H:H,MATCH(A1690,atlas!C:C,0)),"")</f>
        <v/>
      </c>
      <c r="D1690" s="8" t="str">
        <f t="array" ref="D1690">IFERROR(INDEX(atlas!D:D,MATCH(A1690,atlas!C:C,0)),"")</f>
        <v/>
      </c>
      <c r="E1690" s="8" t="str">
        <f t="array" ref="E1690">IFERROR(INDEX(atlas!F:F,MATCH(A1690,atlas!C:C,0)),"")</f>
        <v/>
      </c>
      <c r="F1690" s="9"/>
      <c r="G1690" s="10"/>
      <c r="H1690" s="11"/>
      <c r="I1690" s="12" t="str">
        <f t="array" ref="I1690">IFERROR(INDEX(atlas!B:B,MATCH(A1690,atlas!C:C,0)),"")</f>
        <v/>
      </c>
      <c r="J1690" s="8" t="str">
        <f>IFERROR(VLOOKUP(F1690,tecnica!A:B,2,0),"")</f>
        <v/>
      </c>
      <c r="K1690" s="8" t="str">
        <f>IFERROR(VLOOKUP(J1690,tecnica!B:C,2,0),"")</f>
        <v/>
      </c>
      <c r="L1690" s="13"/>
      <c r="M1690" s="14" t="str">
        <f>IFERROR(VLOOKUP(I1690,material!A:D,4,0),"")</f>
        <v/>
      </c>
      <c r="N1690" s="14" t="str">
        <f t="shared" si="1"/>
        <v/>
      </c>
      <c r="O1690" s="15" t="str">
        <f>IFERROR(VLOOKUP(I1690,material!A:D,2,0),"")</f>
        <v/>
      </c>
    </row>
    <row r="1691">
      <c r="A1691" s="6"/>
      <c r="B1691" s="7"/>
      <c r="C1691" s="8" t="str">
        <f t="array" ref="C1691">IFERROR(INDEX(atlas!H:H,MATCH(A1691,atlas!C:C,0)),"")</f>
        <v/>
      </c>
      <c r="D1691" s="8" t="str">
        <f t="array" ref="D1691">IFERROR(INDEX(atlas!D:D,MATCH(A1691,atlas!C:C,0)),"")</f>
        <v/>
      </c>
      <c r="E1691" s="8" t="str">
        <f t="array" ref="E1691">IFERROR(INDEX(atlas!F:F,MATCH(A1691,atlas!C:C,0)),"")</f>
        <v/>
      </c>
      <c r="F1691" s="9"/>
      <c r="G1691" s="10"/>
      <c r="H1691" s="11"/>
      <c r="I1691" s="12" t="str">
        <f t="array" ref="I1691">IFERROR(INDEX(atlas!B:B,MATCH(A1691,atlas!C:C,0)),"")</f>
        <v/>
      </c>
      <c r="J1691" s="8" t="str">
        <f>IFERROR(VLOOKUP(F1691,tecnica!A:B,2,0),"")</f>
        <v/>
      </c>
      <c r="K1691" s="8" t="str">
        <f>IFERROR(VLOOKUP(J1691,tecnica!B:C,2,0),"")</f>
        <v/>
      </c>
      <c r="L1691" s="13"/>
      <c r="M1691" s="14" t="str">
        <f>IFERROR(VLOOKUP(I1691,material!A:D,4,0),"")</f>
        <v/>
      </c>
      <c r="N1691" s="14" t="str">
        <f t="shared" si="1"/>
        <v/>
      </c>
      <c r="O1691" s="15" t="str">
        <f>IFERROR(VLOOKUP(I1691,material!A:D,2,0),"")</f>
        <v/>
      </c>
    </row>
    <row r="1692">
      <c r="A1692" s="6"/>
      <c r="B1692" s="7"/>
      <c r="C1692" s="8" t="str">
        <f t="array" ref="C1692">IFERROR(INDEX(atlas!H:H,MATCH(A1692,atlas!C:C,0)),"")</f>
        <v/>
      </c>
      <c r="D1692" s="8" t="str">
        <f t="array" ref="D1692">IFERROR(INDEX(atlas!D:D,MATCH(A1692,atlas!C:C,0)),"")</f>
        <v/>
      </c>
      <c r="E1692" s="8" t="str">
        <f t="array" ref="E1692">IFERROR(INDEX(atlas!F:F,MATCH(A1692,atlas!C:C,0)),"")</f>
        <v/>
      </c>
      <c r="F1692" s="9"/>
      <c r="G1692" s="10"/>
      <c r="H1692" s="11"/>
      <c r="I1692" s="12" t="str">
        <f t="array" ref="I1692">IFERROR(INDEX(atlas!B:B,MATCH(A1692,atlas!C:C,0)),"")</f>
        <v/>
      </c>
      <c r="J1692" s="8" t="str">
        <f>IFERROR(VLOOKUP(F1692,tecnica!A:B,2,0),"")</f>
        <v/>
      </c>
      <c r="K1692" s="8" t="str">
        <f>IFERROR(VLOOKUP(J1692,tecnica!B:C,2,0),"")</f>
        <v/>
      </c>
      <c r="L1692" s="13"/>
      <c r="M1692" s="14" t="str">
        <f>IFERROR(VLOOKUP(I1692,material!A:D,4,0),"")</f>
        <v/>
      </c>
      <c r="N1692" s="14" t="str">
        <f t="shared" si="1"/>
        <v/>
      </c>
      <c r="O1692" s="15" t="str">
        <f>IFERROR(VLOOKUP(I1692,material!A:D,2,0),"")</f>
        <v/>
      </c>
    </row>
    <row r="1693">
      <c r="A1693" s="6"/>
      <c r="B1693" s="7"/>
      <c r="C1693" s="8" t="str">
        <f t="array" ref="C1693">IFERROR(INDEX(atlas!H:H,MATCH(A1693,atlas!C:C,0)),"")</f>
        <v/>
      </c>
      <c r="D1693" s="8" t="str">
        <f t="array" ref="D1693">IFERROR(INDEX(atlas!D:D,MATCH(A1693,atlas!C:C,0)),"")</f>
        <v/>
      </c>
      <c r="E1693" s="8" t="str">
        <f t="array" ref="E1693">IFERROR(INDEX(atlas!F:F,MATCH(A1693,atlas!C:C,0)),"")</f>
        <v/>
      </c>
      <c r="F1693" s="9"/>
      <c r="G1693" s="10"/>
      <c r="H1693" s="11"/>
      <c r="I1693" s="12" t="str">
        <f t="array" ref="I1693">IFERROR(INDEX(atlas!B:B,MATCH(A1693,atlas!C:C,0)),"")</f>
        <v/>
      </c>
      <c r="J1693" s="8" t="str">
        <f>IFERROR(VLOOKUP(F1693,tecnica!A:B,2,0),"")</f>
        <v/>
      </c>
      <c r="K1693" s="8" t="str">
        <f>IFERROR(VLOOKUP(J1693,tecnica!B:C,2,0),"")</f>
        <v/>
      </c>
      <c r="L1693" s="13"/>
      <c r="M1693" s="14" t="str">
        <f>IFERROR(VLOOKUP(I1693,material!A:D,4,0),"")</f>
        <v/>
      </c>
      <c r="N1693" s="14" t="str">
        <f t="shared" si="1"/>
        <v/>
      </c>
      <c r="O1693" s="15" t="str">
        <f>IFERROR(VLOOKUP(I1693,material!A:D,2,0),"")</f>
        <v/>
      </c>
    </row>
    <row r="1694">
      <c r="A1694" s="6"/>
      <c r="B1694" s="7"/>
      <c r="C1694" s="8" t="str">
        <f t="array" ref="C1694">IFERROR(INDEX(atlas!H:H,MATCH(A1694,atlas!C:C,0)),"")</f>
        <v/>
      </c>
      <c r="D1694" s="8" t="str">
        <f t="array" ref="D1694">IFERROR(INDEX(atlas!D:D,MATCH(A1694,atlas!C:C,0)),"")</f>
        <v/>
      </c>
      <c r="E1694" s="8" t="str">
        <f t="array" ref="E1694">IFERROR(INDEX(atlas!F:F,MATCH(A1694,atlas!C:C,0)),"")</f>
        <v/>
      </c>
      <c r="F1694" s="9"/>
      <c r="G1694" s="10"/>
      <c r="H1694" s="11"/>
      <c r="I1694" s="12" t="str">
        <f t="array" ref="I1694">IFERROR(INDEX(atlas!B:B,MATCH(A1694,atlas!C:C,0)),"")</f>
        <v/>
      </c>
      <c r="J1694" s="8" t="str">
        <f>IFERROR(VLOOKUP(F1694,tecnica!A:B,2,0),"")</f>
        <v/>
      </c>
      <c r="K1694" s="8" t="str">
        <f>IFERROR(VLOOKUP(J1694,tecnica!B:C,2,0),"")</f>
        <v/>
      </c>
      <c r="L1694" s="13"/>
      <c r="M1694" s="14" t="str">
        <f>IFERROR(VLOOKUP(I1694,material!A:D,4,0),"")</f>
        <v/>
      </c>
      <c r="N1694" s="14" t="str">
        <f t="shared" si="1"/>
        <v/>
      </c>
      <c r="O1694" s="15" t="str">
        <f>IFERROR(VLOOKUP(I1694,material!A:D,2,0),"")</f>
        <v/>
      </c>
    </row>
    <row r="1695">
      <c r="A1695" s="6"/>
      <c r="B1695" s="7"/>
      <c r="C1695" s="8" t="str">
        <f t="array" ref="C1695">IFERROR(INDEX(atlas!H:H,MATCH(A1695,atlas!C:C,0)),"")</f>
        <v/>
      </c>
      <c r="D1695" s="8" t="str">
        <f t="array" ref="D1695">IFERROR(INDEX(atlas!D:D,MATCH(A1695,atlas!C:C,0)),"")</f>
        <v/>
      </c>
      <c r="E1695" s="8" t="str">
        <f t="array" ref="E1695">IFERROR(INDEX(atlas!F:F,MATCH(A1695,atlas!C:C,0)),"")</f>
        <v/>
      </c>
      <c r="F1695" s="9"/>
      <c r="G1695" s="10"/>
      <c r="H1695" s="11"/>
      <c r="I1695" s="12" t="str">
        <f t="array" ref="I1695">IFERROR(INDEX(atlas!B:B,MATCH(A1695,atlas!C:C,0)),"")</f>
        <v/>
      </c>
      <c r="J1695" s="8" t="str">
        <f>IFERROR(VLOOKUP(F1695,tecnica!A:B,2,0),"")</f>
        <v/>
      </c>
      <c r="K1695" s="8" t="str">
        <f>IFERROR(VLOOKUP(J1695,tecnica!B:C,2,0),"")</f>
        <v/>
      </c>
      <c r="L1695" s="13"/>
      <c r="M1695" s="14" t="str">
        <f>IFERROR(VLOOKUP(I1695,material!A:D,4,0),"")</f>
        <v/>
      </c>
      <c r="N1695" s="14" t="str">
        <f t="shared" si="1"/>
        <v/>
      </c>
      <c r="O1695" s="15" t="str">
        <f>IFERROR(VLOOKUP(I1695,material!A:D,2,0),"")</f>
        <v/>
      </c>
    </row>
    <row r="1696">
      <c r="A1696" s="6"/>
      <c r="B1696" s="7"/>
      <c r="C1696" s="8" t="str">
        <f t="array" ref="C1696">IFERROR(INDEX(atlas!H:H,MATCH(A1696,atlas!C:C,0)),"")</f>
        <v/>
      </c>
      <c r="D1696" s="8" t="str">
        <f t="array" ref="D1696">IFERROR(INDEX(atlas!D:D,MATCH(A1696,atlas!C:C,0)),"")</f>
        <v/>
      </c>
      <c r="E1696" s="8" t="str">
        <f t="array" ref="E1696">IFERROR(INDEX(atlas!F:F,MATCH(A1696,atlas!C:C,0)),"")</f>
        <v/>
      </c>
      <c r="F1696" s="9"/>
      <c r="G1696" s="10"/>
      <c r="H1696" s="11"/>
      <c r="I1696" s="12" t="str">
        <f t="array" ref="I1696">IFERROR(INDEX(atlas!B:B,MATCH(A1696,atlas!C:C,0)),"")</f>
        <v/>
      </c>
      <c r="J1696" s="8" t="str">
        <f>IFERROR(VLOOKUP(F1696,tecnica!A:B,2,0),"")</f>
        <v/>
      </c>
      <c r="K1696" s="8" t="str">
        <f>IFERROR(VLOOKUP(J1696,tecnica!B:C,2,0),"")</f>
        <v/>
      </c>
      <c r="L1696" s="13"/>
      <c r="M1696" s="14" t="str">
        <f>IFERROR(VLOOKUP(I1696,material!A:D,4,0),"")</f>
        <v/>
      </c>
      <c r="N1696" s="14" t="str">
        <f t="shared" si="1"/>
        <v/>
      </c>
      <c r="O1696" s="15" t="str">
        <f>IFERROR(VLOOKUP(I1696,material!A:D,2,0),"")</f>
        <v/>
      </c>
    </row>
    <row r="1697">
      <c r="A1697" s="6"/>
      <c r="B1697" s="7"/>
      <c r="C1697" s="8" t="str">
        <f t="array" ref="C1697">IFERROR(INDEX(atlas!H:H,MATCH(A1697,atlas!C:C,0)),"")</f>
        <v/>
      </c>
      <c r="D1697" s="8" t="str">
        <f t="array" ref="D1697">IFERROR(INDEX(atlas!D:D,MATCH(A1697,atlas!C:C,0)),"")</f>
        <v/>
      </c>
      <c r="E1697" s="8" t="str">
        <f t="array" ref="E1697">IFERROR(INDEX(atlas!F:F,MATCH(A1697,atlas!C:C,0)),"")</f>
        <v/>
      </c>
      <c r="F1697" s="9"/>
      <c r="G1697" s="10"/>
      <c r="H1697" s="11"/>
      <c r="I1697" s="12" t="str">
        <f t="array" ref="I1697">IFERROR(INDEX(atlas!B:B,MATCH(A1697,atlas!C:C,0)),"")</f>
        <v/>
      </c>
      <c r="J1697" s="8" t="str">
        <f>IFERROR(VLOOKUP(F1697,tecnica!A:B,2,0),"")</f>
        <v/>
      </c>
      <c r="K1697" s="8" t="str">
        <f>IFERROR(VLOOKUP(J1697,tecnica!B:C,2,0),"")</f>
        <v/>
      </c>
      <c r="L1697" s="13"/>
      <c r="M1697" s="14" t="str">
        <f>IFERROR(VLOOKUP(I1697,material!A:D,4,0),"")</f>
        <v/>
      </c>
      <c r="N1697" s="14" t="str">
        <f t="shared" si="1"/>
        <v/>
      </c>
      <c r="O1697" s="15" t="str">
        <f>IFERROR(VLOOKUP(I1697,material!A:D,2,0),"")</f>
        <v/>
      </c>
    </row>
    <row r="1698">
      <c r="A1698" s="6"/>
      <c r="B1698" s="7"/>
      <c r="C1698" s="8" t="str">
        <f t="array" ref="C1698">IFERROR(INDEX(atlas!H:H,MATCH(A1698,atlas!C:C,0)),"")</f>
        <v/>
      </c>
      <c r="D1698" s="8" t="str">
        <f t="array" ref="D1698">IFERROR(INDEX(atlas!D:D,MATCH(A1698,atlas!C:C,0)),"")</f>
        <v/>
      </c>
      <c r="E1698" s="8" t="str">
        <f t="array" ref="E1698">IFERROR(INDEX(atlas!F:F,MATCH(A1698,atlas!C:C,0)),"")</f>
        <v/>
      </c>
      <c r="F1698" s="9"/>
      <c r="G1698" s="10"/>
      <c r="H1698" s="11"/>
      <c r="I1698" s="12" t="str">
        <f t="array" ref="I1698">IFERROR(INDEX(atlas!B:B,MATCH(A1698,atlas!C:C,0)),"")</f>
        <v/>
      </c>
      <c r="J1698" s="8" t="str">
        <f>IFERROR(VLOOKUP(F1698,tecnica!A:B,2,0),"")</f>
        <v/>
      </c>
      <c r="K1698" s="8" t="str">
        <f>IFERROR(VLOOKUP(J1698,tecnica!B:C,2,0),"")</f>
        <v/>
      </c>
      <c r="L1698" s="13"/>
      <c r="M1698" s="14" t="str">
        <f>IFERROR(VLOOKUP(I1698,material!A:D,4,0),"")</f>
        <v/>
      </c>
      <c r="N1698" s="14" t="str">
        <f t="shared" si="1"/>
        <v/>
      </c>
      <c r="O1698" s="15" t="str">
        <f>IFERROR(VLOOKUP(I1698,material!A:D,2,0),"")</f>
        <v/>
      </c>
    </row>
    <row r="1699">
      <c r="A1699" s="6"/>
      <c r="B1699" s="7"/>
      <c r="C1699" s="8" t="str">
        <f t="array" ref="C1699">IFERROR(INDEX(atlas!H:H,MATCH(A1699,atlas!C:C,0)),"")</f>
        <v/>
      </c>
      <c r="D1699" s="8" t="str">
        <f t="array" ref="D1699">IFERROR(INDEX(atlas!D:D,MATCH(A1699,atlas!C:C,0)),"")</f>
        <v/>
      </c>
      <c r="E1699" s="8" t="str">
        <f t="array" ref="E1699">IFERROR(INDEX(atlas!F:F,MATCH(A1699,atlas!C:C,0)),"")</f>
        <v/>
      </c>
      <c r="F1699" s="9"/>
      <c r="G1699" s="10"/>
      <c r="H1699" s="11"/>
      <c r="I1699" s="12" t="str">
        <f t="array" ref="I1699">IFERROR(INDEX(atlas!B:B,MATCH(A1699,atlas!C:C,0)),"")</f>
        <v/>
      </c>
      <c r="J1699" s="8" t="str">
        <f>IFERROR(VLOOKUP(F1699,tecnica!A:B,2,0),"")</f>
        <v/>
      </c>
      <c r="K1699" s="8" t="str">
        <f>IFERROR(VLOOKUP(J1699,tecnica!B:C,2,0),"")</f>
        <v/>
      </c>
      <c r="L1699" s="13"/>
      <c r="M1699" s="14" t="str">
        <f>IFERROR(VLOOKUP(I1699,material!A:D,4,0),"")</f>
        <v/>
      </c>
      <c r="N1699" s="14" t="str">
        <f t="shared" si="1"/>
        <v/>
      </c>
      <c r="O1699" s="15" t="str">
        <f>IFERROR(VLOOKUP(I1699,material!A:D,2,0),"")</f>
        <v/>
      </c>
    </row>
    <row r="1700">
      <c r="A1700" s="6"/>
      <c r="B1700" s="7"/>
      <c r="C1700" s="8" t="str">
        <f t="array" ref="C1700">IFERROR(INDEX(atlas!H:H,MATCH(A1700,atlas!C:C,0)),"")</f>
        <v/>
      </c>
      <c r="D1700" s="8" t="str">
        <f t="array" ref="D1700">IFERROR(INDEX(atlas!D:D,MATCH(A1700,atlas!C:C,0)),"")</f>
        <v/>
      </c>
      <c r="E1700" s="8" t="str">
        <f t="array" ref="E1700">IFERROR(INDEX(atlas!F:F,MATCH(A1700,atlas!C:C,0)),"")</f>
        <v/>
      </c>
      <c r="F1700" s="9"/>
      <c r="G1700" s="10"/>
      <c r="H1700" s="11"/>
      <c r="I1700" s="12" t="str">
        <f t="array" ref="I1700">IFERROR(INDEX(atlas!B:B,MATCH(A1700,atlas!C:C,0)),"")</f>
        <v/>
      </c>
      <c r="J1700" s="8" t="str">
        <f>IFERROR(VLOOKUP(F1700,tecnica!A:B,2,0),"")</f>
        <v/>
      </c>
      <c r="K1700" s="8" t="str">
        <f>IFERROR(VLOOKUP(J1700,tecnica!B:C,2,0),"")</f>
        <v/>
      </c>
      <c r="L1700" s="13"/>
      <c r="M1700" s="14" t="str">
        <f>IFERROR(VLOOKUP(I1700,material!A:D,4,0),"")</f>
        <v/>
      </c>
      <c r="N1700" s="14" t="str">
        <f t="shared" si="1"/>
        <v/>
      </c>
      <c r="O1700" s="15" t="str">
        <f>IFERROR(VLOOKUP(I1700,material!A:D,2,0),"")</f>
        <v/>
      </c>
    </row>
    <row r="1701">
      <c r="A1701" s="6"/>
      <c r="B1701" s="7"/>
      <c r="C1701" s="8" t="str">
        <f t="array" ref="C1701">IFERROR(INDEX(atlas!H:H,MATCH(A1701,atlas!C:C,0)),"")</f>
        <v/>
      </c>
      <c r="D1701" s="8" t="str">
        <f t="array" ref="D1701">IFERROR(INDEX(atlas!D:D,MATCH(A1701,atlas!C:C,0)),"")</f>
        <v/>
      </c>
      <c r="E1701" s="8" t="str">
        <f t="array" ref="E1701">IFERROR(INDEX(atlas!F:F,MATCH(A1701,atlas!C:C,0)),"")</f>
        <v/>
      </c>
      <c r="F1701" s="9"/>
      <c r="G1701" s="10"/>
      <c r="H1701" s="11"/>
      <c r="I1701" s="12" t="str">
        <f t="array" ref="I1701">IFERROR(INDEX(atlas!B:B,MATCH(A1701,atlas!C:C,0)),"")</f>
        <v/>
      </c>
      <c r="J1701" s="8" t="str">
        <f>IFERROR(VLOOKUP(F1701,tecnica!A:B,2,0),"")</f>
        <v/>
      </c>
      <c r="K1701" s="8" t="str">
        <f>IFERROR(VLOOKUP(J1701,tecnica!B:C,2,0),"")</f>
        <v/>
      </c>
      <c r="L1701" s="13"/>
      <c r="M1701" s="14" t="str">
        <f>IFERROR(VLOOKUP(I1701,material!A:D,4,0),"")</f>
        <v/>
      </c>
      <c r="N1701" s="14" t="str">
        <f t="shared" si="1"/>
        <v/>
      </c>
      <c r="O1701" s="15" t="str">
        <f>IFERROR(VLOOKUP(I1701,material!A:D,2,0),"")</f>
        <v/>
      </c>
    </row>
    <row r="1702">
      <c r="A1702" s="6"/>
      <c r="B1702" s="7"/>
      <c r="C1702" s="8" t="str">
        <f t="array" ref="C1702">IFERROR(INDEX(atlas!H:H,MATCH(A1702,atlas!C:C,0)),"")</f>
        <v/>
      </c>
      <c r="D1702" s="8" t="str">
        <f t="array" ref="D1702">IFERROR(INDEX(atlas!D:D,MATCH(A1702,atlas!C:C,0)),"")</f>
        <v/>
      </c>
      <c r="E1702" s="8" t="str">
        <f t="array" ref="E1702">IFERROR(INDEX(atlas!F:F,MATCH(A1702,atlas!C:C,0)),"")</f>
        <v/>
      </c>
      <c r="F1702" s="9"/>
      <c r="G1702" s="10"/>
      <c r="H1702" s="11"/>
      <c r="I1702" s="12" t="str">
        <f t="array" ref="I1702">IFERROR(INDEX(atlas!B:B,MATCH(A1702,atlas!C:C,0)),"")</f>
        <v/>
      </c>
      <c r="J1702" s="8" t="str">
        <f>IFERROR(VLOOKUP(F1702,tecnica!A:B,2,0),"")</f>
        <v/>
      </c>
      <c r="K1702" s="8" t="str">
        <f>IFERROR(VLOOKUP(J1702,tecnica!B:C,2,0),"")</f>
        <v/>
      </c>
      <c r="L1702" s="13"/>
      <c r="M1702" s="14" t="str">
        <f>IFERROR(VLOOKUP(I1702,material!A:D,4,0),"")</f>
        <v/>
      </c>
      <c r="N1702" s="14" t="str">
        <f t="shared" si="1"/>
        <v/>
      </c>
      <c r="O1702" s="15" t="str">
        <f>IFERROR(VLOOKUP(I1702,material!A:D,2,0),"")</f>
        <v/>
      </c>
    </row>
    <row r="1703">
      <c r="A1703" s="6"/>
      <c r="B1703" s="7"/>
      <c r="C1703" s="8" t="str">
        <f t="array" ref="C1703">IFERROR(INDEX(atlas!H:H,MATCH(A1703,atlas!C:C,0)),"")</f>
        <v/>
      </c>
      <c r="D1703" s="8" t="str">
        <f t="array" ref="D1703">IFERROR(INDEX(atlas!D:D,MATCH(A1703,atlas!C:C,0)),"")</f>
        <v/>
      </c>
      <c r="E1703" s="8" t="str">
        <f t="array" ref="E1703">IFERROR(INDEX(atlas!F:F,MATCH(A1703,atlas!C:C,0)),"")</f>
        <v/>
      </c>
      <c r="F1703" s="9"/>
      <c r="G1703" s="10"/>
      <c r="H1703" s="11"/>
      <c r="I1703" s="12" t="str">
        <f t="array" ref="I1703">IFERROR(INDEX(atlas!B:B,MATCH(A1703,atlas!C:C,0)),"")</f>
        <v/>
      </c>
      <c r="J1703" s="8" t="str">
        <f>IFERROR(VLOOKUP(F1703,tecnica!A:B,2,0),"")</f>
        <v/>
      </c>
      <c r="K1703" s="8" t="str">
        <f>IFERROR(VLOOKUP(J1703,tecnica!B:C,2,0),"")</f>
        <v/>
      </c>
      <c r="L1703" s="13"/>
      <c r="M1703" s="14" t="str">
        <f>IFERROR(VLOOKUP(I1703,material!A:D,4,0),"")</f>
        <v/>
      </c>
      <c r="N1703" s="14" t="str">
        <f t="shared" si="1"/>
        <v/>
      </c>
      <c r="O1703" s="15" t="str">
        <f>IFERROR(VLOOKUP(I1703,material!A:D,2,0),"")</f>
        <v/>
      </c>
    </row>
    <row r="1704">
      <c r="A1704" s="6"/>
      <c r="B1704" s="7"/>
      <c r="C1704" s="8" t="str">
        <f t="array" ref="C1704">IFERROR(INDEX(atlas!H:H,MATCH(A1704,atlas!C:C,0)),"")</f>
        <v/>
      </c>
      <c r="D1704" s="8" t="str">
        <f t="array" ref="D1704">IFERROR(INDEX(atlas!D:D,MATCH(A1704,atlas!C:C,0)),"")</f>
        <v/>
      </c>
      <c r="E1704" s="8" t="str">
        <f t="array" ref="E1704">IFERROR(INDEX(atlas!F:F,MATCH(A1704,atlas!C:C,0)),"")</f>
        <v/>
      </c>
      <c r="F1704" s="9"/>
      <c r="G1704" s="10"/>
      <c r="H1704" s="11"/>
      <c r="I1704" s="12" t="str">
        <f t="array" ref="I1704">IFERROR(INDEX(atlas!B:B,MATCH(A1704,atlas!C:C,0)),"")</f>
        <v/>
      </c>
      <c r="J1704" s="8" t="str">
        <f>IFERROR(VLOOKUP(F1704,tecnica!A:B,2,0),"")</f>
        <v/>
      </c>
      <c r="K1704" s="8" t="str">
        <f>IFERROR(VLOOKUP(J1704,tecnica!B:C,2,0),"")</f>
        <v/>
      </c>
      <c r="L1704" s="13"/>
      <c r="M1704" s="14" t="str">
        <f>IFERROR(VLOOKUP(I1704,material!A:D,4,0),"")</f>
        <v/>
      </c>
      <c r="N1704" s="14" t="str">
        <f t="shared" si="1"/>
        <v/>
      </c>
      <c r="O1704" s="15" t="str">
        <f>IFERROR(VLOOKUP(I1704,material!A:D,2,0),"")</f>
        <v/>
      </c>
    </row>
    <row r="1705">
      <c r="A1705" s="6"/>
      <c r="B1705" s="7"/>
      <c r="C1705" s="8" t="str">
        <f t="array" ref="C1705">IFERROR(INDEX(atlas!H:H,MATCH(A1705,atlas!C:C,0)),"")</f>
        <v/>
      </c>
      <c r="D1705" s="8" t="str">
        <f t="array" ref="D1705">IFERROR(INDEX(atlas!D:D,MATCH(A1705,atlas!C:C,0)),"")</f>
        <v/>
      </c>
      <c r="E1705" s="8" t="str">
        <f t="array" ref="E1705">IFERROR(INDEX(atlas!F:F,MATCH(A1705,atlas!C:C,0)),"")</f>
        <v/>
      </c>
      <c r="F1705" s="9"/>
      <c r="G1705" s="10"/>
      <c r="H1705" s="11"/>
      <c r="I1705" s="12" t="str">
        <f t="array" ref="I1705">IFERROR(INDEX(atlas!B:B,MATCH(A1705,atlas!C:C,0)),"")</f>
        <v/>
      </c>
      <c r="J1705" s="8" t="str">
        <f>IFERROR(VLOOKUP(F1705,tecnica!A:B,2,0),"")</f>
        <v/>
      </c>
      <c r="K1705" s="8" t="str">
        <f>IFERROR(VLOOKUP(J1705,tecnica!B:C,2,0),"")</f>
        <v/>
      </c>
      <c r="L1705" s="13"/>
      <c r="M1705" s="14" t="str">
        <f>IFERROR(VLOOKUP(I1705,material!A:D,4,0),"")</f>
        <v/>
      </c>
      <c r="N1705" s="14" t="str">
        <f t="shared" si="1"/>
        <v/>
      </c>
      <c r="O1705" s="15" t="str">
        <f>IFERROR(VLOOKUP(I1705,material!A:D,2,0),"")</f>
        <v/>
      </c>
    </row>
    <row r="1706">
      <c r="A1706" s="6"/>
      <c r="B1706" s="7"/>
      <c r="C1706" s="8" t="str">
        <f t="array" ref="C1706">IFERROR(INDEX(atlas!H:H,MATCH(A1706,atlas!C:C,0)),"")</f>
        <v/>
      </c>
      <c r="D1706" s="8" t="str">
        <f t="array" ref="D1706">IFERROR(INDEX(atlas!D:D,MATCH(A1706,atlas!C:C,0)),"")</f>
        <v/>
      </c>
      <c r="E1706" s="8" t="str">
        <f t="array" ref="E1706">IFERROR(INDEX(atlas!F:F,MATCH(A1706,atlas!C:C,0)),"")</f>
        <v/>
      </c>
      <c r="F1706" s="9"/>
      <c r="G1706" s="10"/>
      <c r="H1706" s="11"/>
      <c r="I1706" s="12" t="str">
        <f t="array" ref="I1706">IFERROR(INDEX(atlas!B:B,MATCH(A1706,atlas!C:C,0)),"")</f>
        <v/>
      </c>
      <c r="J1706" s="8" t="str">
        <f>IFERROR(VLOOKUP(F1706,tecnica!A:B,2,0),"")</f>
        <v/>
      </c>
      <c r="K1706" s="8" t="str">
        <f>IFERROR(VLOOKUP(J1706,tecnica!B:C,2,0),"")</f>
        <v/>
      </c>
      <c r="L1706" s="13"/>
      <c r="M1706" s="14" t="str">
        <f>IFERROR(VLOOKUP(I1706,material!A:D,4,0),"")</f>
        <v/>
      </c>
      <c r="N1706" s="14" t="str">
        <f t="shared" si="1"/>
        <v/>
      </c>
      <c r="O1706" s="15" t="str">
        <f>IFERROR(VLOOKUP(I1706,material!A:D,2,0),"")</f>
        <v/>
      </c>
    </row>
    <row r="1707">
      <c r="A1707" s="6"/>
      <c r="B1707" s="7"/>
      <c r="C1707" s="8" t="str">
        <f t="array" ref="C1707">IFERROR(INDEX(atlas!H:H,MATCH(A1707,atlas!C:C,0)),"")</f>
        <v/>
      </c>
      <c r="D1707" s="8" t="str">
        <f t="array" ref="D1707">IFERROR(INDEX(atlas!D:D,MATCH(A1707,atlas!C:C,0)),"")</f>
        <v/>
      </c>
      <c r="E1707" s="8" t="str">
        <f t="array" ref="E1707">IFERROR(INDEX(atlas!F:F,MATCH(A1707,atlas!C:C,0)),"")</f>
        <v/>
      </c>
      <c r="F1707" s="9"/>
      <c r="G1707" s="10"/>
      <c r="H1707" s="11"/>
      <c r="I1707" s="12" t="str">
        <f t="array" ref="I1707">IFERROR(INDEX(atlas!B:B,MATCH(A1707,atlas!C:C,0)),"")</f>
        <v/>
      </c>
      <c r="J1707" s="8" t="str">
        <f>IFERROR(VLOOKUP(F1707,tecnica!A:B,2,0),"")</f>
        <v/>
      </c>
      <c r="K1707" s="8" t="str">
        <f>IFERROR(VLOOKUP(J1707,tecnica!B:C,2,0),"")</f>
        <v/>
      </c>
      <c r="L1707" s="13"/>
      <c r="M1707" s="14" t="str">
        <f>IFERROR(VLOOKUP(I1707,material!A:D,4,0),"")</f>
        <v/>
      </c>
      <c r="N1707" s="14" t="str">
        <f t="shared" si="1"/>
        <v/>
      </c>
      <c r="O1707" s="15" t="str">
        <f>IFERROR(VLOOKUP(I1707,material!A:D,2,0),"")</f>
        <v/>
      </c>
    </row>
    <row r="1708">
      <c r="A1708" s="6"/>
      <c r="B1708" s="7"/>
      <c r="C1708" s="8" t="str">
        <f t="array" ref="C1708">IFERROR(INDEX(atlas!H:H,MATCH(A1708,atlas!C:C,0)),"")</f>
        <v/>
      </c>
      <c r="D1708" s="8" t="str">
        <f t="array" ref="D1708">IFERROR(INDEX(atlas!D:D,MATCH(A1708,atlas!C:C,0)),"")</f>
        <v/>
      </c>
      <c r="E1708" s="8" t="str">
        <f t="array" ref="E1708">IFERROR(INDEX(atlas!F:F,MATCH(A1708,atlas!C:C,0)),"")</f>
        <v/>
      </c>
      <c r="F1708" s="9"/>
      <c r="G1708" s="10"/>
      <c r="H1708" s="11"/>
      <c r="I1708" s="12" t="str">
        <f t="array" ref="I1708">IFERROR(INDEX(atlas!B:B,MATCH(A1708,atlas!C:C,0)),"")</f>
        <v/>
      </c>
      <c r="J1708" s="8" t="str">
        <f>IFERROR(VLOOKUP(F1708,tecnica!A:B,2,0),"")</f>
        <v/>
      </c>
      <c r="K1708" s="8" t="str">
        <f>IFERROR(VLOOKUP(J1708,tecnica!B:C,2,0),"")</f>
        <v/>
      </c>
      <c r="L1708" s="13"/>
      <c r="M1708" s="14" t="str">
        <f>IFERROR(VLOOKUP(I1708,material!A:D,4,0),"")</f>
        <v/>
      </c>
      <c r="N1708" s="14" t="str">
        <f t="shared" si="1"/>
        <v/>
      </c>
      <c r="O1708" s="15" t="str">
        <f>IFERROR(VLOOKUP(I1708,material!A:D,2,0),"")</f>
        <v/>
      </c>
    </row>
    <row r="1709">
      <c r="A1709" s="6"/>
      <c r="B1709" s="7"/>
      <c r="C1709" s="8" t="str">
        <f t="array" ref="C1709">IFERROR(INDEX(atlas!H:H,MATCH(A1709,atlas!C:C,0)),"")</f>
        <v/>
      </c>
      <c r="D1709" s="8" t="str">
        <f t="array" ref="D1709">IFERROR(INDEX(atlas!D:D,MATCH(A1709,atlas!C:C,0)),"")</f>
        <v/>
      </c>
      <c r="E1709" s="8" t="str">
        <f t="array" ref="E1709">IFERROR(INDEX(atlas!F:F,MATCH(A1709,atlas!C:C,0)),"")</f>
        <v/>
      </c>
      <c r="F1709" s="9"/>
      <c r="G1709" s="10"/>
      <c r="H1709" s="11"/>
      <c r="I1709" s="12" t="str">
        <f t="array" ref="I1709">IFERROR(INDEX(atlas!B:B,MATCH(A1709,atlas!C:C,0)),"")</f>
        <v/>
      </c>
      <c r="J1709" s="8" t="str">
        <f>IFERROR(VLOOKUP(F1709,tecnica!A:B,2,0),"")</f>
        <v/>
      </c>
      <c r="K1709" s="8" t="str">
        <f>IFERROR(VLOOKUP(J1709,tecnica!B:C,2,0),"")</f>
        <v/>
      </c>
      <c r="L1709" s="13"/>
      <c r="M1709" s="14" t="str">
        <f>IFERROR(VLOOKUP(I1709,material!A:D,4,0),"")</f>
        <v/>
      </c>
      <c r="N1709" s="14" t="str">
        <f t="shared" si="1"/>
        <v/>
      </c>
      <c r="O1709" s="15" t="str">
        <f>IFERROR(VLOOKUP(I1709,material!A:D,2,0),"")</f>
        <v/>
      </c>
    </row>
    <row r="1710">
      <c r="A1710" s="6"/>
      <c r="B1710" s="7"/>
      <c r="C1710" s="8" t="str">
        <f t="array" ref="C1710">IFERROR(INDEX(atlas!H:H,MATCH(A1710,atlas!C:C,0)),"")</f>
        <v/>
      </c>
      <c r="D1710" s="8" t="str">
        <f t="array" ref="D1710">IFERROR(INDEX(atlas!D:D,MATCH(A1710,atlas!C:C,0)),"")</f>
        <v/>
      </c>
      <c r="E1710" s="8" t="str">
        <f t="array" ref="E1710">IFERROR(INDEX(atlas!F:F,MATCH(A1710,atlas!C:C,0)),"")</f>
        <v/>
      </c>
      <c r="F1710" s="9"/>
      <c r="G1710" s="10"/>
      <c r="H1710" s="11"/>
      <c r="I1710" s="12" t="str">
        <f t="array" ref="I1710">IFERROR(INDEX(atlas!B:B,MATCH(A1710,atlas!C:C,0)),"")</f>
        <v/>
      </c>
      <c r="J1710" s="8" t="str">
        <f>IFERROR(VLOOKUP(F1710,tecnica!A:B,2,0),"")</f>
        <v/>
      </c>
      <c r="K1710" s="8" t="str">
        <f>IFERROR(VLOOKUP(J1710,tecnica!B:C,2,0),"")</f>
        <v/>
      </c>
      <c r="L1710" s="13"/>
      <c r="M1710" s="14" t="str">
        <f>IFERROR(VLOOKUP(I1710,material!A:D,4,0),"")</f>
        <v/>
      </c>
      <c r="N1710" s="14" t="str">
        <f t="shared" si="1"/>
        <v/>
      </c>
      <c r="O1710" s="15" t="str">
        <f>IFERROR(VLOOKUP(I1710,material!A:D,2,0),"")</f>
        <v/>
      </c>
    </row>
    <row r="1711">
      <c r="A1711" s="6"/>
      <c r="B1711" s="7"/>
      <c r="C1711" s="8" t="str">
        <f t="array" ref="C1711">IFERROR(INDEX(atlas!H:H,MATCH(A1711,atlas!C:C,0)),"")</f>
        <v/>
      </c>
      <c r="D1711" s="8" t="str">
        <f t="array" ref="D1711">IFERROR(INDEX(atlas!D:D,MATCH(A1711,atlas!C:C,0)),"")</f>
        <v/>
      </c>
      <c r="E1711" s="8" t="str">
        <f t="array" ref="E1711">IFERROR(INDEX(atlas!F:F,MATCH(A1711,atlas!C:C,0)),"")</f>
        <v/>
      </c>
      <c r="F1711" s="9"/>
      <c r="G1711" s="10"/>
      <c r="H1711" s="11"/>
      <c r="I1711" s="12" t="str">
        <f t="array" ref="I1711">IFERROR(INDEX(atlas!B:B,MATCH(A1711,atlas!C:C,0)),"")</f>
        <v/>
      </c>
      <c r="J1711" s="8" t="str">
        <f>IFERROR(VLOOKUP(F1711,tecnica!A:B,2,0),"")</f>
        <v/>
      </c>
      <c r="K1711" s="8" t="str">
        <f>IFERROR(VLOOKUP(J1711,tecnica!B:C,2,0),"")</f>
        <v/>
      </c>
      <c r="L1711" s="13"/>
      <c r="M1711" s="14" t="str">
        <f>IFERROR(VLOOKUP(I1711,material!A:D,4,0),"")</f>
        <v/>
      </c>
      <c r="N1711" s="14" t="str">
        <f t="shared" si="1"/>
        <v/>
      </c>
      <c r="O1711" s="15" t="str">
        <f>IFERROR(VLOOKUP(I1711,material!A:D,2,0),"")</f>
        <v/>
      </c>
    </row>
    <row r="1712">
      <c r="A1712" s="6"/>
      <c r="B1712" s="7"/>
      <c r="C1712" s="8" t="str">
        <f t="array" ref="C1712">IFERROR(INDEX(atlas!H:H,MATCH(A1712,atlas!C:C,0)),"")</f>
        <v/>
      </c>
      <c r="D1712" s="8" t="str">
        <f t="array" ref="D1712">IFERROR(INDEX(atlas!D:D,MATCH(A1712,atlas!C:C,0)),"")</f>
        <v/>
      </c>
      <c r="E1712" s="8" t="str">
        <f t="array" ref="E1712">IFERROR(INDEX(atlas!F:F,MATCH(A1712,atlas!C:C,0)),"")</f>
        <v/>
      </c>
      <c r="F1712" s="9"/>
      <c r="G1712" s="10"/>
      <c r="H1712" s="11"/>
      <c r="I1712" s="12" t="str">
        <f t="array" ref="I1712">IFERROR(INDEX(atlas!B:B,MATCH(A1712,atlas!C:C,0)),"")</f>
        <v/>
      </c>
      <c r="J1712" s="8" t="str">
        <f>IFERROR(VLOOKUP(F1712,tecnica!A:B,2,0),"")</f>
        <v/>
      </c>
      <c r="K1712" s="8" t="str">
        <f>IFERROR(VLOOKUP(J1712,tecnica!B:C,2,0),"")</f>
        <v/>
      </c>
      <c r="L1712" s="13"/>
      <c r="M1712" s="14" t="str">
        <f>IFERROR(VLOOKUP(I1712,material!A:D,4,0),"")</f>
        <v/>
      </c>
      <c r="N1712" s="14" t="str">
        <f t="shared" si="1"/>
        <v/>
      </c>
      <c r="O1712" s="15" t="str">
        <f>IFERROR(VLOOKUP(I1712,material!A:D,2,0),"")</f>
        <v/>
      </c>
    </row>
    <row r="1713">
      <c r="A1713" s="6"/>
      <c r="B1713" s="7"/>
      <c r="C1713" s="8" t="str">
        <f t="array" ref="C1713">IFERROR(INDEX(atlas!H:H,MATCH(A1713,atlas!C:C,0)),"")</f>
        <v/>
      </c>
      <c r="D1713" s="8" t="str">
        <f t="array" ref="D1713">IFERROR(INDEX(atlas!D:D,MATCH(A1713,atlas!C:C,0)),"")</f>
        <v/>
      </c>
      <c r="E1713" s="8" t="str">
        <f t="array" ref="E1713">IFERROR(INDEX(atlas!F:F,MATCH(A1713,atlas!C:C,0)),"")</f>
        <v/>
      </c>
      <c r="F1713" s="9"/>
      <c r="G1713" s="10"/>
      <c r="H1713" s="11"/>
      <c r="I1713" s="12" t="str">
        <f t="array" ref="I1713">IFERROR(INDEX(atlas!B:B,MATCH(A1713,atlas!C:C,0)),"")</f>
        <v/>
      </c>
      <c r="J1713" s="8" t="str">
        <f>IFERROR(VLOOKUP(F1713,tecnica!A:B,2,0),"")</f>
        <v/>
      </c>
      <c r="K1713" s="8" t="str">
        <f>IFERROR(VLOOKUP(J1713,tecnica!B:C,2,0),"")</f>
        <v/>
      </c>
      <c r="L1713" s="13"/>
      <c r="M1713" s="14" t="str">
        <f>IFERROR(VLOOKUP(I1713,material!A:D,4,0),"")</f>
        <v/>
      </c>
      <c r="N1713" s="14" t="str">
        <f t="shared" si="1"/>
        <v/>
      </c>
      <c r="O1713" s="15" t="str">
        <f>IFERROR(VLOOKUP(I1713,material!A:D,2,0),"")</f>
        <v/>
      </c>
    </row>
    <row r="1714">
      <c r="A1714" s="6"/>
      <c r="B1714" s="7"/>
      <c r="C1714" s="8" t="str">
        <f t="array" ref="C1714">IFERROR(INDEX(atlas!H:H,MATCH(A1714,atlas!C:C,0)),"")</f>
        <v/>
      </c>
      <c r="D1714" s="8" t="str">
        <f t="array" ref="D1714">IFERROR(INDEX(atlas!D:D,MATCH(A1714,atlas!C:C,0)),"")</f>
        <v/>
      </c>
      <c r="E1714" s="8" t="str">
        <f t="array" ref="E1714">IFERROR(INDEX(atlas!F:F,MATCH(A1714,atlas!C:C,0)),"")</f>
        <v/>
      </c>
      <c r="F1714" s="9"/>
      <c r="G1714" s="10"/>
      <c r="H1714" s="11"/>
      <c r="I1714" s="12" t="str">
        <f t="array" ref="I1714">IFERROR(INDEX(atlas!B:B,MATCH(A1714,atlas!C:C,0)),"")</f>
        <v/>
      </c>
      <c r="J1714" s="8" t="str">
        <f>IFERROR(VLOOKUP(F1714,tecnica!A:B,2,0),"")</f>
        <v/>
      </c>
      <c r="K1714" s="8" t="str">
        <f>IFERROR(VLOOKUP(J1714,tecnica!B:C,2,0),"")</f>
        <v/>
      </c>
      <c r="L1714" s="13"/>
      <c r="M1714" s="14" t="str">
        <f>IFERROR(VLOOKUP(I1714,material!A:D,4,0),"")</f>
        <v/>
      </c>
      <c r="N1714" s="14" t="str">
        <f t="shared" si="1"/>
        <v/>
      </c>
      <c r="O1714" s="15" t="str">
        <f>IFERROR(VLOOKUP(I1714,material!A:D,2,0),"")</f>
        <v/>
      </c>
    </row>
    <row r="1715">
      <c r="A1715" s="6"/>
      <c r="B1715" s="7"/>
      <c r="C1715" s="8" t="str">
        <f t="array" ref="C1715">IFERROR(INDEX(atlas!H:H,MATCH(A1715,atlas!C:C,0)),"")</f>
        <v/>
      </c>
      <c r="D1715" s="8" t="str">
        <f t="array" ref="D1715">IFERROR(INDEX(atlas!D:D,MATCH(A1715,atlas!C:C,0)),"")</f>
        <v/>
      </c>
      <c r="E1715" s="8" t="str">
        <f t="array" ref="E1715">IFERROR(INDEX(atlas!F:F,MATCH(A1715,atlas!C:C,0)),"")</f>
        <v/>
      </c>
      <c r="F1715" s="9"/>
      <c r="G1715" s="10"/>
      <c r="H1715" s="11"/>
      <c r="I1715" s="12" t="str">
        <f t="array" ref="I1715">IFERROR(INDEX(atlas!B:B,MATCH(A1715,atlas!C:C,0)),"")</f>
        <v/>
      </c>
      <c r="J1715" s="8" t="str">
        <f>IFERROR(VLOOKUP(F1715,tecnica!A:B,2,0),"")</f>
        <v/>
      </c>
      <c r="K1715" s="8" t="str">
        <f>IFERROR(VLOOKUP(J1715,tecnica!B:C,2,0),"")</f>
        <v/>
      </c>
      <c r="L1715" s="13"/>
      <c r="M1715" s="14" t="str">
        <f>IFERROR(VLOOKUP(I1715,material!A:D,4,0),"")</f>
        <v/>
      </c>
      <c r="N1715" s="14" t="str">
        <f t="shared" si="1"/>
        <v/>
      </c>
      <c r="O1715" s="15" t="str">
        <f>IFERROR(VLOOKUP(I1715,material!A:D,2,0),"")</f>
        <v/>
      </c>
    </row>
    <row r="1716">
      <c r="A1716" s="6"/>
      <c r="B1716" s="7"/>
      <c r="C1716" s="8" t="str">
        <f t="array" ref="C1716">IFERROR(INDEX(atlas!H:H,MATCH(A1716,atlas!C:C,0)),"")</f>
        <v/>
      </c>
      <c r="D1716" s="8" t="str">
        <f t="array" ref="D1716">IFERROR(INDEX(atlas!D:D,MATCH(A1716,atlas!C:C,0)),"")</f>
        <v/>
      </c>
      <c r="E1716" s="8" t="str">
        <f t="array" ref="E1716">IFERROR(INDEX(atlas!F:F,MATCH(A1716,atlas!C:C,0)),"")</f>
        <v/>
      </c>
      <c r="F1716" s="9"/>
      <c r="G1716" s="10"/>
      <c r="H1716" s="11"/>
      <c r="I1716" s="12" t="str">
        <f t="array" ref="I1716">IFERROR(INDEX(atlas!B:B,MATCH(A1716,atlas!C:C,0)),"")</f>
        <v/>
      </c>
      <c r="J1716" s="8" t="str">
        <f>IFERROR(VLOOKUP(F1716,tecnica!A:B,2,0),"")</f>
        <v/>
      </c>
      <c r="K1716" s="8" t="str">
        <f>IFERROR(VLOOKUP(J1716,tecnica!B:C,2,0),"")</f>
        <v/>
      </c>
      <c r="L1716" s="13"/>
      <c r="M1716" s="14" t="str">
        <f>IFERROR(VLOOKUP(I1716,material!A:D,4,0),"")</f>
        <v/>
      </c>
      <c r="N1716" s="14" t="str">
        <f t="shared" si="1"/>
        <v/>
      </c>
      <c r="O1716" s="15" t="str">
        <f>IFERROR(VLOOKUP(I1716,material!A:D,2,0),"")</f>
        <v/>
      </c>
    </row>
    <row r="1717">
      <c r="A1717" s="6"/>
      <c r="B1717" s="7"/>
      <c r="C1717" s="8" t="str">
        <f t="array" ref="C1717">IFERROR(INDEX(atlas!H:H,MATCH(A1717,atlas!C:C,0)),"")</f>
        <v/>
      </c>
      <c r="D1717" s="8" t="str">
        <f t="array" ref="D1717">IFERROR(INDEX(atlas!D:D,MATCH(A1717,atlas!C:C,0)),"")</f>
        <v/>
      </c>
      <c r="E1717" s="8" t="str">
        <f t="array" ref="E1717">IFERROR(INDEX(atlas!F:F,MATCH(A1717,atlas!C:C,0)),"")</f>
        <v/>
      </c>
      <c r="F1717" s="9"/>
      <c r="G1717" s="10"/>
      <c r="H1717" s="11"/>
      <c r="I1717" s="12" t="str">
        <f t="array" ref="I1717">IFERROR(INDEX(atlas!B:B,MATCH(A1717,atlas!C:C,0)),"")</f>
        <v/>
      </c>
      <c r="J1717" s="8" t="str">
        <f>IFERROR(VLOOKUP(F1717,tecnica!A:B,2,0),"")</f>
        <v/>
      </c>
      <c r="K1717" s="8" t="str">
        <f>IFERROR(VLOOKUP(J1717,tecnica!B:C,2,0),"")</f>
        <v/>
      </c>
      <c r="L1717" s="13"/>
      <c r="M1717" s="14" t="str">
        <f>IFERROR(VLOOKUP(I1717,material!A:D,4,0),"")</f>
        <v/>
      </c>
      <c r="N1717" s="14" t="str">
        <f t="shared" si="1"/>
        <v/>
      </c>
      <c r="O1717" s="15" t="str">
        <f>IFERROR(VLOOKUP(I1717,material!A:D,2,0),"")</f>
        <v/>
      </c>
    </row>
    <row r="1718">
      <c r="A1718" s="6"/>
      <c r="B1718" s="7"/>
      <c r="C1718" s="8" t="str">
        <f t="array" ref="C1718">IFERROR(INDEX(atlas!H:H,MATCH(A1718,atlas!C:C,0)),"")</f>
        <v/>
      </c>
      <c r="D1718" s="8" t="str">
        <f t="array" ref="D1718">IFERROR(INDEX(atlas!D:D,MATCH(A1718,atlas!C:C,0)),"")</f>
        <v/>
      </c>
      <c r="E1718" s="8" t="str">
        <f t="array" ref="E1718">IFERROR(INDEX(atlas!F:F,MATCH(A1718,atlas!C:C,0)),"")</f>
        <v/>
      </c>
      <c r="F1718" s="9"/>
      <c r="G1718" s="10"/>
      <c r="H1718" s="11"/>
      <c r="I1718" s="12" t="str">
        <f t="array" ref="I1718">IFERROR(INDEX(atlas!B:B,MATCH(A1718,atlas!C:C,0)),"")</f>
        <v/>
      </c>
      <c r="J1718" s="8" t="str">
        <f>IFERROR(VLOOKUP(F1718,tecnica!A:B,2,0),"")</f>
        <v/>
      </c>
      <c r="K1718" s="8" t="str">
        <f>IFERROR(VLOOKUP(J1718,tecnica!B:C,2,0),"")</f>
        <v/>
      </c>
      <c r="L1718" s="13"/>
      <c r="M1718" s="14" t="str">
        <f>IFERROR(VLOOKUP(I1718,material!A:D,4,0),"")</f>
        <v/>
      </c>
      <c r="N1718" s="14" t="str">
        <f t="shared" si="1"/>
        <v/>
      </c>
      <c r="O1718" s="15" t="str">
        <f>IFERROR(VLOOKUP(I1718,material!A:D,2,0),"")</f>
        <v/>
      </c>
    </row>
    <row r="1719">
      <c r="A1719" s="6"/>
      <c r="B1719" s="7"/>
      <c r="C1719" s="8" t="str">
        <f t="array" ref="C1719">IFERROR(INDEX(atlas!H:H,MATCH(A1719,atlas!C:C,0)),"")</f>
        <v/>
      </c>
      <c r="D1719" s="8" t="str">
        <f t="array" ref="D1719">IFERROR(INDEX(atlas!D:D,MATCH(A1719,atlas!C:C,0)),"")</f>
        <v/>
      </c>
      <c r="E1719" s="8" t="str">
        <f t="array" ref="E1719">IFERROR(INDEX(atlas!F:F,MATCH(A1719,atlas!C:C,0)),"")</f>
        <v/>
      </c>
      <c r="F1719" s="9"/>
      <c r="G1719" s="10"/>
      <c r="H1719" s="11"/>
      <c r="I1719" s="12" t="str">
        <f t="array" ref="I1719">IFERROR(INDEX(atlas!B:B,MATCH(A1719,atlas!C:C,0)),"")</f>
        <v/>
      </c>
      <c r="J1719" s="8" t="str">
        <f>IFERROR(VLOOKUP(F1719,tecnica!A:B,2,0),"")</f>
        <v/>
      </c>
      <c r="K1719" s="8" t="str">
        <f>IFERROR(VLOOKUP(J1719,tecnica!B:C,2,0),"")</f>
        <v/>
      </c>
      <c r="L1719" s="13"/>
      <c r="M1719" s="14" t="str">
        <f>IFERROR(VLOOKUP(I1719,material!A:D,4,0),"")</f>
        <v/>
      </c>
      <c r="N1719" s="14" t="str">
        <f t="shared" si="1"/>
        <v/>
      </c>
      <c r="O1719" s="15" t="str">
        <f>IFERROR(VLOOKUP(I1719,material!A:D,2,0),"")</f>
        <v/>
      </c>
    </row>
    <row r="1720">
      <c r="A1720" s="6"/>
      <c r="B1720" s="7"/>
      <c r="C1720" s="8" t="str">
        <f t="array" ref="C1720">IFERROR(INDEX(atlas!H:H,MATCH(A1720,atlas!C:C,0)),"")</f>
        <v/>
      </c>
      <c r="D1720" s="8" t="str">
        <f t="array" ref="D1720">IFERROR(INDEX(atlas!D:D,MATCH(A1720,atlas!C:C,0)),"")</f>
        <v/>
      </c>
      <c r="E1720" s="8" t="str">
        <f t="array" ref="E1720">IFERROR(INDEX(atlas!F:F,MATCH(A1720,atlas!C:C,0)),"")</f>
        <v/>
      </c>
      <c r="F1720" s="9"/>
      <c r="G1720" s="10"/>
      <c r="H1720" s="11"/>
      <c r="I1720" s="12" t="str">
        <f t="array" ref="I1720">IFERROR(INDEX(atlas!B:B,MATCH(A1720,atlas!C:C,0)),"")</f>
        <v/>
      </c>
      <c r="J1720" s="8" t="str">
        <f>IFERROR(VLOOKUP(F1720,tecnica!A:B,2,0),"")</f>
        <v/>
      </c>
      <c r="K1720" s="8" t="str">
        <f>IFERROR(VLOOKUP(J1720,tecnica!B:C,2,0),"")</f>
        <v/>
      </c>
      <c r="L1720" s="13"/>
      <c r="M1720" s="14" t="str">
        <f>IFERROR(VLOOKUP(I1720,material!A:D,4,0),"")</f>
        <v/>
      </c>
      <c r="N1720" s="14" t="str">
        <f t="shared" si="1"/>
        <v/>
      </c>
      <c r="O1720" s="15" t="str">
        <f>IFERROR(VLOOKUP(I1720,material!A:D,2,0),"")</f>
        <v/>
      </c>
    </row>
    <row r="1721">
      <c r="A1721" s="6"/>
      <c r="B1721" s="7"/>
      <c r="C1721" s="8" t="str">
        <f t="array" ref="C1721">IFERROR(INDEX(atlas!H:H,MATCH(A1721,atlas!C:C,0)),"")</f>
        <v/>
      </c>
      <c r="D1721" s="8" t="str">
        <f t="array" ref="D1721">IFERROR(INDEX(atlas!D:D,MATCH(A1721,atlas!C:C,0)),"")</f>
        <v/>
      </c>
      <c r="E1721" s="8" t="str">
        <f t="array" ref="E1721">IFERROR(INDEX(atlas!F:F,MATCH(A1721,atlas!C:C,0)),"")</f>
        <v/>
      </c>
      <c r="F1721" s="9"/>
      <c r="G1721" s="10"/>
      <c r="H1721" s="11"/>
      <c r="I1721" s="12" t="str">
        <f t="array" ref="I1721">IFERROR(INDEX(atlas!B:B,MATCH(A1721,atlas!C:C,0)),"")</f>
        <v/>
      </c>
      <c r="J1721" s="8" t="str">
        <f>IFERROR(VLOOKUP(F1721,tecnica!A:B,2,0),"")</f>
        <v/>
      </c>
      <c r="K1721" s="8" t="str">
        <f>IFERROR(VLOOKUP(J1721,tecnica!B:C,2,0),"")</f>
        <v/>
      </c>
      <c r="L1721" s="13"/>
      <c r="M1721" s="14" t="str">
        <f>IFERROR(VLOOKUP(I1721,material!A:D,4,0),"")</f>
        <v/>
      </c>
      <c r="N1721" s="14" t="str">
        <f t="shared" si="1"/>
        <v/>
      </c>
      <c r="O1721" s="15" t="str">
        <f>IFERROR(VLOOKUP(I1721,material!A:D,2,0),"")</f>
        <v/>
      </c>
    </row>
    <row r="1722">
      <c r="A1722" s="6"/>
      <c r="B1722" s="7"/>
      <c r="C1722" s="8" t="str">
        <f t="array" ref="C1722">IFERROR(INDEX(atlas!H:H,MATCH(A1722,atlas!C:C,0)),"")</f>
        <v/>
      </c>
      <c r="D1722" s="8" t="str">
        <f t="array" ref="D1722">IFERROR(INDEX(atlas!D:D,MATCH(A1722,atlas!C:C,0)),"")</f>
        <v/>
      </c>
      <c r="E1722" s="8" t="str">
        <f t="array" ref="E1722">IFERROR(INDEX(atlas!F:F,MATCH(A1722,atlas!C:C,0)),"")</f>
        <v/>
      </c>
      <c r="F1722" s="9"/>
      <c r="G1722" s="10"/>
      <c r="H1722" s="11"/>
      <c r="I1722" s="12" t="str">
        <f t="array" ref="I1722">IFERROR(INDEX(atlas!B:B,MATCH(A1722,atlas!C:C,0)),"")</f>
        <v/>
      </c>
      <c r="J1722" s="8" t="str">
        <f>IFERROR(VLOOKUP(F1722,tecnica!A:B,2,0),"")</f>
        <v/>
      </c>
      <c r="K1722" s="8" t="str">
        <f>IFERROR(VLOOKUP(J1722,tecnica!B:C,2,0),"")</f>
        <v/>
      </c>
      <c r="L1722" s="13"/>
      <c r="M1722" s="14" t="str">
        <f>IFERROR(VLOOKUP(I1722,material!A:D,4,0),"")</f>
        <v/>
      </c>
      <c r="N1722" s="14" t="str">
        <f t="shared" si="1"/>
        <v/>
      </c>
      <c r="O1722" s="15" t="str">
        <f>IFERROR(VLOOKUP(I1722,material!A:D,2,0),"")</f>
        <v/>
      </c>
    </row>
    <row r="1723">
      <c r="A1723" s="6"/>
      <c r="B1723" s="7"/>
      <c r="C1723" s="8" t="str">
        <f t="array" ref="C1723">IFERROR(INDEX(atlas!H:H,MATCH(A1723,atlas!C:C,0)),"")</f>
        <v/>
      </c>
      <c r="D1723" s="8" t="str">
        <f t="array" ref="D1723">IFERROR(INDEX(atlas!D:D,MATCH(A1723,atlas!C:C,0)),"")</f>
        <v/>
      </c>
      <c r="E1723" s="8" t="str">
        <f t="array" ref="E1723">IFERROR(INDEX(atlas!F:F,MATCH(A1723,atlas!C:C,0)),"")</f>
        <v/>
      </c>
      <c r="F1723" s="9"/>
      <c r="G1723" s="10"/>
      <c r="H1723" s="11"/>
      <c r="I1723" s="12" t="str">
        <f t="array" ref="I1723">IFERROR(INDEX(atlas!B:B,MATCH(A1723,atlas!C:C,0)),"")</f>
        <v/>
      </c>
      <c r="J1723" s="8" t="str">
        <f>IFERROR(VLOOKUP(F1723,tecnica!A:B,2,0),"")</f>
        <v/>
      </c>
      <c r="K1723" s="8" t="str">
        <f>IFERROR(VLOOKUP(J1723,tecnica!B:C,2,0),"")</f>
        <v/>
      </c>
      <c r="L1723" s="13"/>
      <c r="M1723" s="14" t="str">
        <f>IFERROR(VLOOKUP(I1723,material!A:D,4,0),"")</f>
        <v/>
      </c>
      <c r="N1723" s="14" t="str">
        <f t="shared" si="1"/>
        <v/>
      </c>
      <c r="O1723" s="15" t="str">
        <f>IFERROR(VLOOKUP(I1723,material!A:D,2,0),"")</f>
        <v/>
      </c>
    </row>
    <row r="1724">
      <c r="A1724" s="6"/>
      <c r="B1724" s="7"/>
      <c r="C1724" s="8" t="str">
        <f t="array" ref="C1724">IFERROR(INDEX(atlas!H:H,MATCH(A1724,atlas!C:C,0)),"")</f>
        <v/>
      </c>
      <c r="D1724" s="8" t="str">
        <f t="array" ref="D1724">IFERROR(INDEX(atlas!D:D,MATCH(A1724,atlas!C:C,0)),"")</f>
        <v/>
      </c>
      <c r="E1724" s="8" t="str">
        <f t="array" ref="E1724">IFERROR(INDEX(atlas!F:F,MATCH(A1724,atlas!C:C,0)),"")</f>
        <v/>
      </c>
      <c r="F1724" s="9"/>
      <c r="G1724" s="10"/>
      <c r="H1724" s="11"/>
      <c r="I1724" s="12" t="str">
        <f t="array" ref="I1724">IFERROR(INDEX(atlas!B:B,MATCH(A1724,atlas!C:C,0)),"")</f>
        <v/>
      </c>
      <c r="J1724" s="8" t="str">
        <f>IFERROR(VLOOKUP(F1724,tecnica!A:B,2,0),"")</f>
        <v/>
      </c>
      <c r="K1724" s="8" t="str">
        <f>IFERROR(VLOOKUP(J1724,tecnica!B:C,2,0),"")</f>
        <v/>
      </c>
      <c r="L1724" s="13"/>
      <c r="M1724" s="14" t="str">
        <f>IFERROR(VLOOKUP(I1724,material!A:D,4,0),"")</f>
        <v/>
      </c>
      <c r="N1724" s="14" t="str">
        <f t="shared" si="1"/>
        <v/>
      </c>
      <c r="O1724" s="15" t="str">
        <f>IFERROR(VLOOKUP(I1724,material!A:D,2,0),"")</f>
        <v/>
      </c>
    </row>
    <row r="1725">
      <c r="A1725" s="6"/>
      <c r="B1725" s="7"/>
      <c r="C1725" s="8" t="str">
        <f t="array" ref="C1725">IFERROR(INDEX(atlas!H:H,MATCH(A1725,atlas!C:C,0)),"")</f>
        <v/>
      </c>
      <c r="D1725" s="8" t="str">
        <f t="array" ref="D1725">IFERROR(INDEX(atlas!D:D,MATCH(A1725,atlas!C:C,0)),"")</f>
        <v/>
      </c>
      <c r="E1725" s="8" t="str">
        <f t="array" ref="E1725">IFERROR(INDEX(atlas!F:F,MATCH(A1725,atlas!C:C,0)),"")</f>
        <v/>
      </c>
      <c r="F1725" s="9"/>
      <c r="G1725" s="10"/>
      <c r="H1725" s="11"/>
      <c r="I1725" s="12" t="str">
        <f t="array" ref="I1725">IFERROR(INDEX(atlas!B:B,MATCH(A1725,atlas!C:C,0)),"")</f>
        <v/>
      </c>
      <c r="J1725" s="8" t="str">
        <f>IFERROR(VLOOKUP(F1725,tecnica!A:B,2,0),"")</f>
        <v/>
      </c>
      <c r="K1725" s="8" t="str">
        <f>IFERROR(VLOOKUP(J1725,tecnica!B:C,2,0),"")</f>
        <v/>
      </c>
      <c r="L1725" s="13"/>
      <c r="M1725" s="14" t="str">
        <f>IFERROR(VLOOKUP(I1725,material!A:D,4,0),"")</f>
        <v/>
      </c>
      <c r="N1725" s="14" t="str">
        <f t="shared" si="1"/>
        <v/>
      </c>
      <c r="O1725" s="15" t="str">
        <f>IFERROR(VLOOKUP(I1725,material!A:D,2,0),"")</f>
        <v/>
      </c>
    </row>
    <row r="1726">
      <c r="A1726" s="6"/>
      <c r="B1726" s="7"/>
      <c r="C1726" s="8" t="str">
        <f t="array" ref="C1726">IFERROR(INDEX(atlas!H:H,MATCH(A1726,atlas!C:C,0)),"")</f>
        <v/>
      </c>
      <c r="D1726" s="8" t="str">
        <f t="array" ref="D1726">IFERROR(INDEX(atlas!D:D,MATCH(A1726,atlas!C:C,0)),"")</f>
        <v/>
      </c>
      <c r="E1726" s="8" t="str">
        <f t="array" ref="E1726">IFERROR(INDEX(atlas!F:F,MATCH(A1726,atlas!C:C,0)),"")</f>
        <v/>
      </c>
      <c r="F1726" s="9"/>
      <c r="G1726" s="10"/>
      <c r="H1726" s="11"/>
      <c r="I1726" s="12" t="str">
        <f t="array" ref="I1726">IFERROR(INDEX(atlas!B:B,MATCH(A1726,atlas!C:C,0)),"")</f>
        <v/>
      </c>
      <c r="J1726" s="8" t="str">
        <f>IFERROR(VLOOKUP(F1726,tecnica!A:B,2,0),"")</f>
        <v/>
      </c>
      <c r="K1726" s="8" t="str">
        <f>IFERROR(VLOOKUP(J1726,tecnica!B:C,2,0),"")</f>
        <v/>
      </c>
      <c r="L1726" s="13"/>
      <c r="M1726" s="14" t="str">
        <f>IFERROR(VLOOKUP(I1726,material!A:D,4,0),"")</f>
        <v/>
      </c>
      <c r="N1726" s="14" t="str">
        <f t="shared" si="1"/>
        <v/>
      </c>
      <c r="O1726" s="15" t="str">
        <f>IFERROR(VLOOKUP(I1726,material!A:D,2,0),"")</f>
        <v/>
      </c>
    </row>
    <row r="1727">
      <c r="A1727" s="6"/>
      <c r="B1727" s="7"/>
      <c r="C1727" s="8" t="str">
        <f t="array" ref="C1727">IFERROR(INDEX(atlas!H:H,MATCH(A1727,atlas!C:C,0)),"")</f>
        <v/>
      </c>
      <c r="D1727" s="8" t="str">
        <f t="array" ref="D1727">IFERROR(INDEX(atlas!D:D,MATCH(A1727,atlas!C:C,0)),"")</f>
        <v/>
      </c>
      <c r="E1727" s="8" t="str">
        <f t="array" ref="E1727">IFERROR(INDEX(atlas!F:F,MATCH(A1727,atlas!C:C,0)),"")</f>
        <v/>
      </c>
      <c r="F1727" s="9"/>
      <c r="G1727" s="10"/>
      <c r="H1727" s="11"/>
      <c r="I1727" s="12" t="str">
        <f t="array" ref="I1727">IFERROR(INDEX(atlas!B:B,MATCH(A1727,atlas!C:C,0)),"")</f>
        <v/>
      </c>
      <c r="J1727" s="8" t="str">
        <f>IFERROR(VLOOKUP(F1727,tecnica!A:B,2,0),"")</f>
        <v/>
      </c>
      <c r="K1727" s="8" t="str">
        <f>IFERROR(VLOOKUP(J1727,tecnica!B:C,2,0),"")</f>
        <v/>
      </c>
      <c r="L1727" s="13"/>
      <c r="M1727" s="14" t="str">
        <f>IFERROR(VLOOKUP(I1727,material!A:D,4,0),"")</f>
        <v/>
      </c>
      <c r="N1727" s="14" t="str">
        <f t="shared" si="1"/>
        <v/>
      </c>
      <c r="O1727" s="15" t="str">
        <f>IFERROR(VLOOKUP(I1727,material!A:D,2,0),"")</f>
        <v/>
      </c>
    </row>
    <row r="1728">
      <c r="A1728" s="6"/>
      <c r="B1728" s="7"/>
      <c r="C1728" s="8" t="str">
        <f t="array" ref="C1728">IFERROR(INDEX(atlas!H:H,MATCH(A1728,atlas!C:C,0)),"")</f>
        <v/>
      </c>
      <c r="D1728" s="8" t="str">
        <f t="array" ref="D1728">IFERROR(INDEX(atlas!D:D,MATCH(A1728,atlas!C:C,0)),"")</f>
        <v/>
      </c>
      <c r="E1728" s="8" t="str">
        <f t="array" ref="E1728">IFERROR(INDEX(atlas!F:F,MATCH(A1728,atlas!C:C,0)),"")</f>
        <v/>
      </c>
      <c r="F1728" s="9"/>
      <c r="G1728" s="10"/>
      <c r="H1728" s="11"/>
      <c r="I1728" s="12" t="str">
        <f t="array" ref="I1728">IFERROR(INDEX(atlas!B:B,MATCH(A1728,atlas!C:C,0)),"")</f>
        <v/>
      </c>
      <c r="J1728" s="8" t="str">
        <f>IFERROR(VLOOKUP(F1728,tecnica!A:B,2,0),"")</f>
        <v/>
      </c>
      <c r="K1728" s="8" t="str">
        <f>IFERROR(VLOOKUP(J1728,tecnica!B:C,2,0),"")</f>
        <v/>
      </c>
      <c r="L1728" s="13"/>
      <c r="M1728" s="14" t="str">
        <f>IFERROR(VLOOKUP(I1728,material!A:D,4,0),"")</f>
        <v/>
      </c>
      <c r="N1728" s="14" t="str">
        <f t="shared" si="1"/>
        <v/>
      </c>
      <c r="O1728" s="15" t="str">
        <f>IFERROR(VLOOKUP(I1728,material!A:D,2,0),"")</f>
        <v/>
      </c>
    </row>
    <row r="1729">
      <c r="A1729" s="6"/>
      <c r="B1729" s="7"/>
      <c r="C1729" s="8" t="str">
        <f t="array" ref="C1729">IFERROR(INDEX(atlas!H:H,MATCH(A1729,atlas!C:C,0)),"")</f>
        <v/>
      </c>
      <c r="D1729" s="8" t="str">
        <f t="array" ref="D1729">IFERROR(INDEX(atlas!D:D,MATCH(A1729,atlas!C:C,0)),"")</f>
        <v/>
      </c>
      <c r="E1729" s="8" t="str">
        <f t="array" ref="E1729">IFERROR(INDEX(atlas!F:F,MATCH(A1729,atlas!C:C,0)),"")</f>
        <v/>
      </c>
      <c r="F1729" s="9"/>
      <c r="G1729" s="10"/>
      <c r="H1729" s="11"/>
      <c r="I1729" s="12" t="str">
        <f t="array" ref="I1729">IFERROR(INDEX(atlas!B:B,MATCH(A1729,atlas!C:C,0)),"")</f>
        <v/>
      </c>
      <c r="J1729" s="8" t="str">
        <f>IFERROR(VLOOKUP(F1729,tecnica!A:B,2,0),"")</f>
        <v/>
      </c>
      <c r="K1729" s="8" t="str">
        <f>IFERROR(VLOOKUP(J1729,tecnica!B:C,2,0),"")</f>
        <v/>
      </c>
      <c r="L1729" s="13"/>
      <c r="M1729" s="14" t="str">
        <f>IFERROR(VLOOKUP(I1729,material!A:D,4,0),"")</f>
        <v/>
      </c>
      <c r="N1729" s="14" t="str">
        <f t="shared" si="1"/>
        <v/>
      </c>
      <c r="O1729" s="15" t="str">
        <f>IFERROR(VLOOKUP(I1729,material!A:D,2,0),"")</f>
        <v/>
      </c>
    </row>
    <row r="1730">
      <c r="A1730" s="6"/>
      <c r="B1730" s="7"/>
      <c r="C1730" s="8" t="str">
        <f t="array" ref="C1730">IFERROR(INDEX(atlas!H:H,MATCH(A1730,atlas!C:C,0)),"")</f>
        <v/>
      </c>
      <c r="D1730" s="8" t="str">
        <f t="array" ref="D1730">IFERROR(INDEX(atlas!D:D,MATCH(A1730,atlas!C:C,0)),"")</f>
        <v/>
      </c>
      <c r="E1730" s="8" t="str">
        <f t="array" ref="E1730">IFERROR(INDEX(atlas!F:F,MATCH(A1730,atlas!C:C,0)),"")</f>
        <v/>
      </c>
      <c r="F1730" s="9"/>
      <c r="G1730" s="10"/>
      <c r="H1730" s="11"/>
      <c r="I1730" s="12" t="str">
        <f t="array" ref="I1730">IFERROR(INDEX(atlas!B:B,MATCH(A1730,atlas!C:C,0)),"")</f>
        <v/>
      </c>
      <c r="J1730" s="8" t="str">
        <f>IFERROR(VLOOKUP(F1730,tecnica!A:B,2,0),"")</f>
        <v/>
      </c>
      <c r="K1730" s="8" t="str">
        <f>IFERROR(VLOOKUP(J1730,tecnica!B:C,2,0),"")</f>
        <v/>
      </c>
      <c r="L1730" s="13"/>
      <c r="M1730" s="14" t="str">
        <f>IFERROR(VLOOKUP(I1730,material!A:D,4,0),"")</f>
        <v/>
      </c>
      <c r="N1730" s="14" t="str">
        <f t="shared" si="1"/>
        <v/>
      </c>
      <c r="O1730" s="15" t="str">
        <f>IFERROR(VLOOKUP(I1730,material!A:D,2,0),"")</f>
        <v/>
      </c>
    </row>
    <row r="1731">
      <c r="A1731" s="6"/>
      <c r="B1731" s="7"/>
      <c r="C1731" s="8" t="str">
        <f t="array" ref="C1731">IFERROR(INDEX(atlas!H:H,MATCH(A1731,atlas!C:C,0)),"")</f>
        <v/>
      </c>
      <c r="D1731" s="8" t="str">
        <f t="array" ref="D1731">IFERROR(INDEX(atlas!D:D,MATCH(A1731,atlas!C:C,0)),"")</f>
        <v/>
      </c>
      <c r="E1731" s="8" t="str">
        <f t="array" ref="E1731">IFERROR(INDEX(atlas!F:F,MATCH(A1731,atlas!C:C,0)),"")</f>
        <v/>
      </c>
      <c r="F1731" s="9"/>
      <c r="G1731" s="10"/>
      <c r="H1731" s="11"/>
      <c r="I1731" s="12" t="str">
        <f t="array" ref="I1731">IFERROR(INDEX(atlas!B:B,MATCH(A1731,atlas!C:C,0)),"")</f>
        <v/>
      </c>
      <c r="J1731" s="8" t="str">
        <f>IFERROR(VLOOKUP(F1731,tecnica!A:B,2,0),"")</f>
        <v/>
      </c>
      <c r="K1731" s="8" t="str">
        <f>IFERROR(VLOOKUP(J1731,tecnica!B:C,2,0),"")</f>
        <v/>
      </c>
      <c r="L1731" s="13"/>
      <c r="M1731" s="14" t="str">
        <f>IFERROR(VLOOKUP(I1731,material!A:D,4,0),"")</f>
        <v/>
      </c>
      <c r="N1731" s="14" t="str">
        <f t="shared" si="1"/>
        <v/>
      </c>
      <c r="O1731" s="15" t="str">
        <f>IFERROR(VLOOKUP(I1731,material!A:D,2,0),"")</f>
        <v/>
      </c>
    </row>
    <row r="1732">
      <c r="A1732" s="6"/>
      <c r="B1732" s="7"/>
      <c r="C1732" s="8" t="str">
        <f t="array" ref="C1732">IFERROR(INDEX(atlas!H:H,MATCH(A1732,atlas!C:C,0)),"")</f>
        <v/>
      </c>
      <c r="D1732" s="8" t="str">
        <f t="array" ref="D1732">IFERROR(INDEX(atlas!D:D,MATCH(A1732,atlas!C:C,0)),"")</f>
        <v/>
      </c>
      <c r="E1732" s="8" t="str">
        <f t="array" ref="E1732">IFERROR(INDEX(atlas!F:F,MATCH(A1732,atlas!C:C,0)),"")</f>
        <v/>
      </c>
      <c r="F1732" s="9"/>
      <c r="G1732" s="10"/>
      <c r="H1732" s="11"/>
      <c r="I1732" s="12" t="str">
        <f t="array" ref="I1732">IFERROR(INDEX(atlas!B:B,MATCH(A1732,atlas!C:C,0)),"")</f>
        <v/>
      </c>
      <c r="J1732" s="8" t="str">
        <f>IFERROR(VLOOKUP(F1732,tecnica!A:B,2,0),"")</f>
        <v/>
      </c>
      <c r="K1732" s="8" t="str">
        <f>IFERROR(VLOOKUP(J1732,tecnica!B:C,2,0),"")</f>
        <v/>
      </c>
      <c r="L1732" s="13"/>
      <c r="M1732" s="14" t="str">
        <f>IFERROR(VLOOKUP(I1732,material!A:D,4,0),"")</f>
        <v/>
      </c>
      <c r="N1732" s="14" t="str">
        <f t="shared" si="1"/>
        <v/>
      </c>
      <c r="O1732" s="15" t="str">
        <f>IFERROR(VLOOKUP(I1732,material!A:D,2,0),"")</f>
        <v/>
      </c>
    </row>
    <row r="1733">
      <c r="A1733" s="6"/>
      <c r="B1733" s="7"/>
      <c r="C1733" s="8" t="str">
        <f t="array" ref="C1733">IFERROR(INDEX(atlas!H:H,MATCH(A1733,atlas!C:C,0)),"")</f>
        <v/>
      </c>
      <c r="D1733" s="8" t="str">
        <f t="array" ref="D1733">IFERROR(INDEX(atlas!D:D,MATCH(A1733,atlas!C:C,0)),"")</f>
        <v/>
      </c>
      <c r="E1733" s="8" t="str">
        <f t="array" ref="E1733">IFERROR(INDEX(atlas!F:F,MATCH(A1733,atlas!C:C,0)),"")</f>
        <v/>
      </c>
      <c r="F1733" s="9"/>
      <c r="G1733" s="10"/>
      <c r="H1733" s="11"/>
      <c r="I1733" s="12" t="str">
        <f t="array" ref="I1733">IFERROR(INDEX(atlas!B:B,MATCH(A1733,atlas!C:C,0)),"")</f>
        <v/>
      </c>
      <c r="J1733" s="8" t="str">
        <f>IFERROR(VLOOKUP(F1733,tecnica!A:B,2,0),"")</f>
        <v/>
      </c>
      <c r="K1733" s="8" t="str">
        <f>IFERROR(VLOOKUP(J1733,tecnica!B:C,2,0),"")</f>
        <v/>
      </c>
      <c r="L1733" s="13"/>
      <c r="M1733" s="14" t="str">
        <f>IFERROR(VLOOKUP(I1733,material!A:D,4,0),"")</f>
        <v/>
      </c>
      <c r="N1733" s="14" t="str">
        <f t="shared" si="1"/>
        <v/>
      </c>
      <c r="O1733" s="15" t="str">
        <f>IFERROR(VLOOKUP(I1733,material!A:D,2,0),"")</f>
        <v/>
      </c>
    </row>
    <row r="1734">
      <c r="A1734" s="6"/>
      <c r="B1734" s="7"/>
      <c r="C1734" s="8" t="str">
        <f t="array" ref="C1734">IFERROR(INDEX(atlas!H:H,MATCH(A1734,atlas!C:C,0)),"")</f>
        <v/>
      </c>
      <c r="D1734" s="8" t="str">
        <f t="array" ref="D1734">IFERROR(INDEX(atlas!D:D,MATCH(A1734,atlas!C:C,0)),"")</f>
        <v/>
      </c>
      <c r="E1734" s="8" t="str">
        <f t="array" ref="E1734">IFERROR(INDEX(atlas!F:F,MATCH(A1734,atlas!C:C,0)),"")</f>
        <v/>
      </c>
      <c r="F1734" s="9"/>
      <c r="G1734" s="10"/>
      <c r="H1734" s="11"/>
      <c r="I1734" s="12" t="str">
        <f t="array" ref="I1734">IFERROR(INDEX(atlas!B:B,MATCH(A1734,atlas!C:C,0)),"")</f>
        <v/>
      </c>
      <c r="J1734" s="8" t="str">
        <f>IFERROR(VLOOKUP(F1734,tecnica!A:B,2,0),"")</f>
        <v/>
      </c>
      <c r="K1734" s="8" t="str">
        <f>IFERROR(VLOOKUP(J1734,tecnica!B:C,2,0),"")</f>
        <v/>
      </c>
      <c r="L1734" s="13"/>
      <c r="M1734" s="14" t="str">
        <f>IFERROR(VLOOKUP(I1734,material!A:D,4,0),"")</f>
        <v/>
      </c>
      <c r="N1734" s="14" t="str">
        <f t="shared" si="1"/>
        <v/>
      </c>
      <c r="O1734" s="15" t="str">
        <f>IFERROR(VLOOKUP(I1734,material!A:D,2,0),"")</f>
        <v/>
      </c>
    </row>
    <row r="1735">
      <c r="A1735" s="6"/>
      <c r="B1735" s="7"/>
      <c r="C1735" s="8" t="str">
        <f t="array" ref="C1735">IFERROR(INDEX(atlas!H:H,MATCH(A1735,atlas!C:C,0)),"")</f>
        <v/>
      </c>
      <c r="D1735" s="8" t="str">
        <f t="array" ref="D1735">IFERROR(INDEX(atlas!D:D,MATCH(A1735,atlas!C:C,0)),"")</f>
        <v/>
      </c>
      <c r="E1735" s="8" t="str">
        <f t="array" ref="E1735">IFERROR(INDEX(atlas!F:F,MATCH(A1735,atlas!C:C,0)),"")</f>
        <v/>
      </c>
      <c r="F1735" s="9"/>
      <c r="G1735" s="10"/>
      <c r="H1735" s="11"/>
      <c r="I1735" s="12" t="str">
        <f t="array" ref="I1735">IFERROR(INDEX(atlas!B:B,MATCH(A1735,atlas!C:C,0)),"")</f>
        <v/>
      </c>
      <c r="J1735" s="8" t="str">
        <f>IFERROR(VLOOKUP(F1735,tecnica!A:B,2,0),"")</f>
        <v/>
      </c>
      <c r="K1735" s="8" t="str">
        <f>IFERROR(VLOOKUP(J1735,tecnica!B:C,2,0),"")</f>
        <v/>
      </c>
      <c r="L1735" s="13"/>
      <c r="M1735" s="14" t="str">
        <f>IFERROR(VLOOKUP(I1735,material!A:D,4,0),"")</f>
        <v/>
      </c>
      <c r="N1735" s="14" t="str">
        <f t="shared" si="1"/>
        <v/>
      </c>
      <c r="O1735" s="15" t="str">
        <f>IFERROR(VLOOKUP(I1735,material!A:D,2,0),"")</f>
        <v/>
      </c>
    </row>
    <row r="1736">
      <c r="A1736" s="6"/>
      <c r="B1736" s="7"/>
      <c r="C1736" s="8" t="str">
        <f t="array" ref="C1736">IFERROR(INDEX(atlas!H:H,MATCH(A1736,atlas!C:C,0)),"")</f>
        <v/>
      </c>
      <c r="D1736" s="8" t="str">
        <f t="array" ref="D1736">IFERROR(INDEX(atlas!D:D,MATCH(A1736,atlas!C:C,0)),"")</f>
        <v/>
      </c>
      <c r="E1736" s="8" t="str">
        <f t="array" ref="E1736">IFERROR(INDEX(atlas!F:F,MATCH(A1736,atlas!C:C,0)),"")</f>
        <v/>
      </c>
      <c r="F1736" s="9"/>
      <c r="G1736" s="10"/>
      <c r="H1736" s="11"/>
      <c r="I1736" s="12" t="str">
        <f t="array" ref="I1736">IFERROR(INDEX(atlas!B:B,MATCH(A1736,atlas!C:C,0)),"")</f>
        <v/>
      </c>
      <c r="J1736" s="8" t="str">
        <f>IFERROR(VLOOKUP(F1736,tecnica!A:B,2,0),"")</f>
        <v/>
      </c>
      <c r="K1736" s="8" t="str">
        <f>IFERROR(VLOOKUP(J1736,tecnica!B:C,2,0),"")</f>
        <v/>
      </c>
      <c r="L1736" s="13"/>
      <c r="M1736" s="14" t="str">
        <f>IFERROR(VLOOKUP(I1736,material!A:D,4,0),"")</f>
        <v/>
      </c>
      <c r="N1736" s="14" t="str">
        <f t="shared" si="1"/>
        <v/>
      </c>
      <c r="O1736" s="15" t="str">
        <f>IFERROR(VLOOKUP(I1736,material!A:D,2,0),"")</f>
        <v/>
      </c>
    </row>
    <row r="1737">
      <c r="A1737" s="6"/>
      <c r="B1737" s="7"/>
      <c r="C1737" s="8" t="str">
        <f t="array" ref="C1737">IFERROR(INDEX(atlas!H:H,MATCH(A1737,atlas!C:C,0)),"")</f>
        <v/>
      </c>
      <c r="D1737" s="8" t="str">
        <f t="array" ref="D1737">IFERROR(INDEX(atlas!D:D,MATCH(A1737,atlas!C:C,0)),"")</f>
        <v/>
      </c>
      <c r="E1737" s="8" t="str">
        <f t="array" ref="E1737">IFERROR(INDEX(atlas!F:F,MATCH(A1737,atlas!C:C,0)),"")</f>
        <v/>
      </c>
      <c r="F1737" s="9"/>
      <c r="G1737" s="10"/>
      <c r="H1737" s="11"/>
      <c r="I1737" s="12" t="str">
        <f t="array" ref="I1737">IFERROR(INDEX(atlas!B:B,MATCH(A1737,atlas!C:C,0)),"")</f>
        <v/>
      </c>
      <c r="J1737" s="8" t="str">
        <f>IFERROR(VLOOKUP(F1737,tecnica!A:B,2,0),"")</f>
        <v/>
      </c>
      <c r="K1737" s="8" t="str">
        <f>IFERROR(VLOOKUP(J1737,tecnica!B:C,2,0),"")</f>
        <v/>
      </c>
      <c r="L1737" s="13"/>
      <c r="M1737" s="14" t="str">
        <f>IFERROR(VLOOKUP(I1737,material!A:D,4,0),"")</f>
        <v/>
      </c>
      <c r="N1737" s="14" t="str">
        <f t="shared" si="1"/>
        <v/>
      </c>
      <c r="O1737" s="15" t="str">
        <f>IFERROR(VLOOKUP(I1737,material!A:D,2,0),"")</f>
        <v/>
      </c>
    </row>
    <row r="1738">
      <c r="A1738" s="6"/>
      <c r="B1738" s="7"/>
      <c r="C1738" s="8" t="str">
        <f t="array" ref="C1738">IFERROR(INDEX(atlas!H:H,MATCH(A1738,atlas!C:C,0)),"")</f>
        <v/>
      </c>
      <c r="D1738" s="8" t="str">
        <f t="array" ref="D1738">IFERROR(INDEX(atlas!D:D,MATCH(A1738,atlas!C:C,0)),"")</f>
        <v/>
      </c>
      <c r="E1738" s="8" t="str">
        <f t="array" ref="E1738">IFERROR(INDEX(atlas!F:F,MATCH(A1738,atlas!C:C,0)),"")</f>
        <v/>
      </c>
      <c r="F1738" s="9"/>
      <c r="G1738" s="10"/>
      <c r="H1738" s="11"/>
      <c r="I1738" s="12" t="str">
        <f t="array" ref="I1738">IFERROR(INDEX(atlas!B:B,MATCH(A1738,atlas!C:C,0)),"")</f>
        <v/>
      </c>
      <c r="J1738" s="8" t="str">
        <f>IFERROR(VLOOKUP(F1738,tecnica!A:B,2,0),"")</f>
        <v/>
      </c>
      <c r="K1738" s="8" t="str">
        <f>IFERROR(VLOOKUP(J1738,tecnica!B:C,2,0),"")</f>
        <v/>
      </c>
      <c r="L1738" s="13"/>
      <c r="M1738" s="14" t="str">
        <f>IFERROR(VLOOKUP(I1738,material!A:D,4,0),"")</f>
        <v/>
      </c>
      <c r="N1738" s="14" t="str">
        <f t="shared" si="1"/>
        <v/>
      </c>
      <c r="O1738" s="15" t="str">
        <f>IFERROR(VLOOKUP(I1738,material!A:D,2,0),"")</f>
        <v/>
      </c>
    </row>
    <row r="1739">
      <c r="A1739" s="6"/>
      <c r="B1739" s="7"/>
      <c r="C1739" s="8" t="str">
        <f t="array" ref="C1739">IFERROR(INDEX(atlas!H:H,MATCH(A1739,atlas!C:C,0)),"")</f>
        <v/>
      </c>
      <c r="D1739" s="8" t="str">
        <f t="array" ref="D1739">IFERROR(INDEX(atlas!D:D,MATCH(A1739,atlas!C:C,0)),"")</f>
        <v/>
      </c>
      <c r="E1739" s="8" t="str">
        <f t="array" ref="E1739">IFERROR(INDEX(atlas!F:F,MATCH(A1739,atlas!C:C,0)),"")</f>
        <v/>
      </c>
      <c r="F1739" s="9"/>
      <c r="G1739" s="10"/>
      <c r="H1739" s="11"/>
      <c r="I1739" s="12" t="str">
        <f t="array" ref="I1739">IFERROR(INDEX(atlas!B:B,MATCH(A1739,atlas!C:C,0)),"")</f>
        <v/>
      </c>
      <c r="J1739" s="8" t="str">
        <f>IFERROR(VLOOKUP(F1739,tecnica!A:B,2,0),"")</f>
        <v/>
      </c>
      <c r="K1739" s="8" t="str">
        <f>IFERROR(VLOOKUP(J1739,tecnica!B:C,2,0),"")</f>
        <v/>
      </c>
      <c r="L1739" s="13"/>
      <c r="M1739" s="14" t="str">
        <f>IFERROR(VLOOKUP(I1739,material!A:D,4,0),"")</f>
        <v/>
      </c>
      <c r="N1739" s="14" t="str">
        <f t="shared" si="1"/>
        <v/>
      </c>
      <c r="O1739" s="15" t="str">
        <f>IFERROR(VLOOKUP(I1739,material!A:D,2,0),"")</f>
        <v/>
      </c>
    </row>
    <row r="1740">
      <c r="A1740" s="6"/>
      <c r="B1740" s="7"/>
      <c r="C1740" s="8" t="str">
        <f t="array" ref="C1740">IFERROR(INDEX(atlas!H:H,MATCH(A1740,atlas!C:C,0)),"")</f>
        <v/>
      </c>
      <c r="D1740" s="8" t="str">
        <f t="array" ref="D1740">IFERROR(INDEX(atlas!D:D,MATCH(A1740,atlas!C:C,0)),"")</f>
        <v/>
      </c>
      <c r="E1740" s="8" t="str">
        <f t="array" ref="E1740">IFERROR(INDEX(atlas!F:F,MATCH(A1740,atlas!C:C,0)),"")</f>
        <v/>
      </c>
      <c r="F1740" s="9"/>
      <c r="G1740" s="10"/>
      <c r="H1740" s="11"/>
      <c r="I1740" s="12" t="str">
        <f t="array" ref="I1740">IFERROR(INDEX(atlas!B:B,MATCH(A1740,atlas!C:C,0)),"")</f>
        <v/>
      </c>
      <c r="J1740" s="8" t="str">
        <f>IFERROR(VLOOKUP(F1740,tecnica!A:B,2,0),"")</f>
        <v/>
      </c>
      <c r="K1740" s="8" t="str">
        <f>IFERROR(VLOOKUP(J1740,tecnica!B:C,2,0),"")</f>
        <v/>
      </c>
      <c r="L1740" s="13"/>
      <c r="M1740" s="14" t="str">
        <f>IFERROR(VLOOKUP(I1740,material!A:D,4,0),"")</f>
        <v/>
      </c>
      <c r="N1740" s="14" t="str">
        <f t="shared" si="1"/>
        <v/>
      </c>
      <c r="O1740" s="15" t="str">
        <f>IFERROR(VLOOKUP(I1740,material!A:D,2,0),"")</f>
        <v/>
      </c>
    </row>
    <row r="1741">
      <c r="A1741" s="6"/>
      <c r="B1741" s="7"/>
      <c r="C1741" s="8" t="str">
        <f t="array" ref="C1741">IFERROR(INDEX(atlas!H:H,MATCH(A1741,atlas!C:C,0)),"")</f>
        <v/>
      </c>
      <c r="D1741" s="8" t="str">
        <f t="array" ref="D1741">IFERROR(INDEX(atlas!D:D,MATCH(A1741,atlas!C:C,0)),"")</f>
        <v/>
      </c>
      <c r="E1741" s="8" t="str">
        <f t="array" ref="E1741">IFERROR(INDEX(atlas!F:F,MATCH(A1741,atlas!C:C,0)),"")</f>
        <v/>
      </c>
      <c r="F1741" s="9"/>
      <c r="G1741" s="10"/>
      <c r="H1741" s="11"/>
      <c r="I1741" s="12" t="str">
        <f t="array" ref="I1741">IFERROR(INDEX(atlas!B:B,MATCH(A1741,atlas!C:C,0)),"")</f>
        <v/>
      </c>
      <c r="J1741" s="8" t="str">
        <f>IFERROR(VLOOKUP(F1741,tecnica!A:B,2,0),"")</f>
        <v/>
      </c>
      <c r="K1741" s="8" t="str">
        <f>IFERROR(VLOOKUP(J1741,tecnica!B:C,2,0),"")</f>
        <v/>
      </c>
      <c r="L1741" s="13"/>
      <c r="M1741" s="14" t="str">
        <f>IFERROR(VLOOKUP(I1741,material!A:D,4,0),"")</f>
        <v/>
      </c>
      <c r="N1741" s="14" t="str">
        <f t="shared" si="1"/>
        <v/>
      </c>
      <c r="O1741" s="15" t="str">
        <f>IFERROR(VLOOKUP(I1741,material!A:D,2,0),"")</f>
        <v/>
      </c>
    </row>
    <row r="1742">
      <c r="A1742" s="6"/>
      <c r="B1742" s="7"/>
      <c r="C1742" s="8" t="str">
        <f t="array" ref="C1742">IFERROR(INDEX(atlas!H:H,MATCH(A1742,atlas!C:C,0)),"")</f>
        <v/>
      </c>
      <c r="D1742" s="8" t="str">
        <f t="array" ref="D1742">IFERROR(INDEX(atlas!D:D,MATCH(A1742,atlas!C:C,0)),"")</f>
        <v/>
      </c>
      <c r="E1742" s="8" t="str">
        <f t="array" ref="E1742">IFERROR(INDEX(atlas!F:F,MATCH(A1742,atlas!C:C,0)),"")</f>
        <v/>
      </c>
      <c r="F1742" s="9"/>
      <c r="G1742" s="10"/>
      <c r="H1742" s="11"/>
      <c r="I1742" s="12" t="str">
        <f t="array" ref="I1742">IFERROR(INDEX(atlas!B:B,MATCH(A1742,atlas!C:C,0)),"")</f>
        <v/>
      </c>
      <c r="J1742" s="8" t="str">
        <f>IFERROR(VLOOKUP(F1742,tecnica!A:B,2,0),"")</f>
        <v/>
      </c>
      <c r="K1742" s="8" t="str">
        <f>IFERROR(VLOOKUP(J1742,tecnica!B:C,2,0),"")</f>
        <v/>
      </c>
      <c r="L1742" s="13"/>
      <c r="M1742" s="14" t="str">
        <f>IFERROR(VLOOKUP(I1742,material!A:D,4,0),"")</f>
        <v/>
      </c>
      <c r="N1742" s="14" t="str">
        <f t="shared" si="1"/>
        <v/>
      </c>
      <c r="O1742" s="15" t="str">
        <f>IFERROR(VLOOKUP(I1742,material!A:D,2,0),"")</f>
        <v/>
      </c>
    </row>
    <row r="1743">
      <c r="A1743" s="6"/>
      <c r="B1743" s="7"/>
      <c r="C1743" s="8" t="str">
        <f t="array" ref="C1743">IFERROR(INDEX(atlas!H:H,MATCH(A1743,atlas!C:C,0)),"")</f>
        <v/>
      </c>
      <c r="D1743" s="8" t="str">
        <f t="array" ref="D1743">IFERROR(INDEX(atlas!D:D,MATCH(A1743,atlas!C:C,0)),"")</f>
        <v/>
      </c>
      <c r="E1743" s="8" t="str">
        <f t="array" ref="E1743">IFERROR(INDEX(atlas!F:F,MATCH(A1743,atlas!C:C,0)),"")</f>
        <v/>
      </c>
      <c r="F1743" s="9"/>
      <c r="G1743" s="10"/>
      <c r="H1743" s="11"/>
      <c r="I1743" s="12" t="str">
        <f t="array" ref="I1743">IFERROR(INDEX(atlas!B:B,MATCH(A1743,atlas!C:C,0)),"")</f>
        <v/>
      </c>
      <c r="J1743" s="8" t="str">
        <f>IFERROR(VLOOKUP(F1743,tecnica!A:B,2,0),"")</f>
        <v/>
      </c>
      <c r="K1743" s="8" t="str">
        <f>IFERROR(VLOOKUP(J1743,tecnica!B:C,2,0),"")</f>
        <v/>
      </c>
      <c r="L1743" s="13"/>
      <c r="M1743" s="14" t="str">
        <f>IFERROR(VLOOKUP(I1743,material!A:D,4,0),"")</f>
        <v/>
      </c>
      <c r="N1743" s="14" t="str">
        <f t="shared" si="1"/>
        <v/>
      </c>
      <c r="O1743" s="15" t="str">
        <f>IFERROR(VLOOKUP(I1743,material!A:D,2,0),"")</f>
        <v/>
      </c>
    </row>
    <row r="1744">
      <c r="A1744" s="6"/>
      <c r="B1744" s="7"/>
      <c r="C1744" s="8" t="str">
        <f t="array" ref="C1744">IFERROR(INDEX(atlas!H:H,MATCH(A1744,atlas!C:C,0)),"")</f>
        <v/>
      </c>
      <c r="D1744" s="8" t="str">
        <f t="array" ref="D1744">IFERROR(INDEX(atlas!D:D,MATCH(A1744,atlas!C:C,0)),"")</f>
        <v/>
      </c>
      <c r="E1744" s="8" t="str">
        <f t="array" ref="E1744">IFERROR(INDEX(atlas!F:F,MATCH(A1744,atlas!C:C,0)),"")</f>
        <v/>
      </c>
      <c r="F1744" s="9"/>
      <c r="G1744" s="10"/>
      <c r="H1744" s="11"/>
      <c r="I1744" s="12" t="str">
        <f t="array" ref="I1744">IFERROR(INDEX(atlas!B:B,MATCH(A1744,atlas!C:C,0)),"")</f>
        <v/>
      </c>
      <c r="J1744" s="8" t="str">
        <f>IFERROR(VLOOKUP(F1744,tecnica!A:B,2,0),"")</f>
        <v/>
      </c>
      <c r="K1744" s="8" t="str">
        <f>IFERROR(VLOOKUP(J1744,tecnica!B:C,2,0),"")</f>
        <v/>
      </c>
      <c r="L1744" s="13"/>
      <c r="M1744" s="14" t="str">
        <f>IFERROR(VLOOKUP(I1744,material!A:D,4,0),"")</f>
        <v/>
      </c>
      <c r="N1744" s="14" t="str">
        <f t="shared" si="1"/>
        <v/>
      </c>
      <c r="O1744" s="15" t="str">
        <f>IFERROR(VLOOKUP(I1744,material!A:D,2,0),"")</f>
        <v/>
      </c>
    </row>
    <row r="1745">
      <c r="A1745" s="6"/>
      <c r="B1745" s="7"/>
      <c r="C1745" s="8" t="str">
        <f t="array" ref="C1745">IFERROR(INDEX(atlas!H:H,MATCH(A1745,atlas!C:C,0)),"")</f>
        <v/>
      </c>
      <c r="D1745" s="8" t="str">
        <f t="array" ref="D1745">IFERROR(INDEX(atlas!D:D,MATCH(A1745,atlas!C:C,0)),"")</f>
        <v/>
      </c>
      <c r="E1745" s="8" t="str">
        <f t="array" ref="E1745">IFERROR(INDEX(atlas!F:F,MATCH(A1745,atlas!C:C,0)),"")</f>
        <v/>
      </c>
      <c r="F1745" s="9"/>
      <c r="G1745" s="10"/>
      <c r="H1745" s="11"/>
      <c r="I1745" s="12" t="str">
        <f t="array" ref="I1745">IFERROR(INDEX(atlas!B:B,MATCH(A1745,atlas!C:C,0)),"")</f>
        <v/>
      </c>
      <c r="J1745" s="8" t="str">
        <f>IFERROR(VLOOKUP(F1745,tecnica!A:B,2,0),"")</f>
        <v/>
      </c>
      <c r="K1745" s="8" t="str">
        <f>IFERROR(VLOOKUP(J1745,tecnica!B:C,2,0),"")</f>
        <v/>
      </c>
      <c r="L1745" s="13"/>
      <c r="M1745" s="14" t="str">
        <f>IFERROR(VLOOKUP(I1745,material!A:D,4,0),"")</f>
        <v/>
      </c>
      <c r="N1745" s="14" t="str">
        <f t="shared" si="1"/>
        <v/>
      </c>
      <c r="O1745" s="15" t="str">
        <f>IFERROR(VLOOKUP(I1745,material!A:D,2,0),"")</f>
        <v/>
      </c>
    </row>
    <row r="1746">
      <c r="A1746" s="6"/>
      <c r="B1746" s="7"/>
      <c r="C1746" s="8" t="str">
        <f t="array" ref="C1746">IFERROR(INDEX(atlas!H:H,MATCH(A1746,atlas!C:C,0)),"")</f>
        <v/>
      </c>
      <c r="D1746" s="8" t="str">
        <f t="array" ref="D1746">IFERROR(INDEX(atlas!D:D,MATCH(A1746,atlas!C:C,0)),"")</f>
        <v/>
      </c>
      <c r="E1746" s="8" t="str">
        <f t="array" ref="E1746">IFERROR(INDEX(atlas!F:F,MATCH(A1746,atlas!C:C,0)),"")</f>
        <v/>
      </c>
      <c r="F1746" s="9"/>
      <c r="G1746" s="10"/>
      <c r="H1746" s="11"/>
      <c r="I1746" s="12" t="str">
        <f t="array" ref="I1746">IFERROR(INDEX(atlas!B:B,MATCH(A1746,atlas!C:C,0)),"")</f>
        <v/>
      </c>
      <c r="J1746" s="8" t="str">
        <f>IFERROR(VLOOKUP(F1746,tecnica!A:B,2,0),"")</f>
        <v/>
      </c>
      <c r="K1746" s="8" t="str">
        <f>IFERROR(VLOOKUP(J1746,tecnica!B:C,2,0),"")</f>
        <v/>
      </c>
      <c r="L1746" s="13"/>
      <c r="M1746" s="14" t="str">
        <f>IFERROR(VLOOKUP(I1746,material!A:D,4,0),"")</f>
        <v/>
      </c>
      <c r="N1746" s="14" t="str">
        <f t="shared" si="1"/>
        <v/>
      </c>
      <c r="O1746" s="15" t="str">
        <f>IFERROR(VLOOKUP(I1746,material!A:D,2,0),"")</f>
        <v/>
      </c>
    </row>
    <row r="1747">
      <c r="A1747" s="6"/>
      <c r="B1747" s="7"/>
      <c r="C1747" s="8" t="str">
        <f t="array" ref="C1747">IFERROR(INDEX(atlas!H:H,MATCH(A1747,atlas!C:C,0)),"")</f>
        <v/>
      </c>
      <c r="D1747" s="8" t="str">
        <f t="array" ref="D1747">IFERROR(INDEX(atlas!D:D,MATCH(A1747,atlas!C:C,0)),"")</f>
        <v/>
      </c>
      <c r="E1747" s="8" t="str">
        <f t="array" ref="E1747">IFERROR(INDEX(atlas!F:F,MATCH(A1747,atlas!C:C,0)),"")</f>
        <v/>
      </c>
      <c r="F1747" s="9"/>
      <c r="G1747" s="10"/>
      <c r="H1747" s="11"/>
      <c r="I1747" s="12" t="str">
        <f t="array" ref="I1747">IFERROR(INDEX(atlas!B:B,MATCH(A1747,atlas!C:C,0)),"")</f>
        <v/>
      </c>
      <c r="J1747" s="8" t="str">
        <f>IFERROR(VLOOKUP(F1747,tecnica!A:B,2,0),"")</f>
        <v/>
      </c>
      <c r="K1747" s="8" t="str">
        <f>IFERROR(VLOOKUP(J1747,tecnica!B:C,2,0),"")</f>
        <v/>
      </c>
      <c r="L1747" s="13"/>
      <c r="M1747" s="14" t="str">
        <f>IFERROR(VLOOKUP(I1747,material!A:D,4,0),"")</f>
        <v/>
      </c>
      <c r="N1747" s="14" t="str">
        <f t="shared" si="1"/>
        <v/>
      </c>
      <c r="O1747" s="15" t="str">
        <f>IFERROR(VLOOKUP(I1747,material!A:D,2,0),"")</f>
        <v/>
      </c>
    </row>
    <row r="1748">
      <c r="A1748" s="6"/>
      <c r="B1748" s="7"/>
      <c r="C1748" s="8" t="str">
        <f t="array" ref="C1748">IFERROR(INDEX(atlas!H:H,MATCH(A1748,atlas!C:C,0)),"")</f>
        <v/>
      </c>
      <c r="D1748" s="8" t="str">
        <f t="array" ref="D1748">IFERROR(INDEX(atlas!D:D,MATCH(A1748,atlas!C:C,0)),"")</f>
        <v/>
      </c>
      <c r="E1748" s="8" t="str">
        <f t="array" ref="E1748">IFERROR(INDEX(atlas!F:F,MATCH(A1748,atlas!C:C,0)),"")</f>
        <v/>
      </c>
      <c r="F1748" s="9"/>
      <c r="G1748" s="10"/>
      <c r="H1748" s="11"/>
      <c r="I1748" s="12" t="str">
        <f t="array" ref="I1748">IFERROR(INDEX(atlas!B:B,MATCH(A1748,atlas!C:C,0)),"")</f>
        <v/>
      </c>
      <c r="J1748" s="8" t="str">
        <f>IFERROR(VLOOKUP(F1748,tecnica!A:B,2,0),"")</f>
        <v/>
      </c>
      <c r="K1748" s="8" t="str">
        <f>IFERROR(VLOOKUP(J1748,tecnica!B:C,2,0),"")</f>
        <v/>
      </c>
      <c r="L1748" s="13"/>
      <c r="M1748" s="14" t="str">
        <f>IFERROR(VLOOKUP(I1748,material!A:D,4,0),"")</f>
        <v/>
      </c>
      <c r="N1748" s="14" t="str">
        <f t="shared" si="1"/>
        <v/>
      </c>
      <c r="O1748" s="15" t="str">
        <f>IFERROR(VLOOKUP(I1748,material!A:D,2,0),"")</f>
        <v/>
      </c>
    </row>
    <row r="1749">
      <c r="A1749" s="6"/>
      <c r="B1749" s="7"/>
      <c r="C1749" s="8" t="str">
        <f t="array" ref="C1749">IFERROR(INDEX(atlas!H:H,MATCH(A1749,atlas!C:C,0)),"")</f>
        <v/>
      </c>
      <c r="D1749" s="8" t="str">
        <f t="array" ref="D1749">IFERROR(INDEX(atlas!D:D,MATCH(A1749,atlas!C:C,0)),"")</f>
        <v/>
      </c>
      <c r="E1749" s="8" t="str">
        <f t="array" ref="E1749">IFERROR(INDEX(atlas!F:F,MATCH(A1749,atlas!C:C,0)),"")</f>
        <v/>
      </c>
      <c r="F1749" s="9"/>
      <c r="G1749" s="10"/>
      <c r="H1749" s="11"/>
      <c r="I1749" s="12" t="str">
        <f t="array" ref="I1749">IFERROR(INDEX(atlas!B:B,MATCH(A1749,atlas!C:C,0)),"")</f>
        <v/>
      </c>
      <c r="J1749" s="8" t="str">
        <f>IFERROR(VLOOKUP(F1749,tecnica!A:B,2,0),"")</f>
        <v/>
      </c>
      <c r="K1749" s="8" t="str">
        <f>IFERROR(VLOOKUP(J1749,tecnica!B:C,2,0),"")</f>
        <v/>
      </c>
      <c r="L1749" s="13"/>
      <c r="M1749" s="14" t="str">
        <f>IFERROR(VLOOKUP(I1749,material!A:D,4,0),"")</f>
        <v/>
      </c>
      <c r="N1749" s="14" t="str">
        <f t="shared" si="1"/>
        <v/>
      </c>
      <c r="O1749" s="15" t="str">
        <f>IFERROR(VLOOKUP(I1749,material!A:D,2,0),"")</f>
        <v/>
      </c>
    </row>
    <row r="1750">
      <c r="A1750" s="6"/>
      <c r="B1750" s="7"/>
      <c r="C1750" s="8" t="str">
        <f t="array" ref="C1750">IFERROR(INDEX(atlas!H:H,MATCH(A1750,atlas!C:C,0)),"")</f>
        <v/>
      </c>
      <c r="D1750" s="8" t="str">
        <f t="array" ref="D1750">IFERROR(INDEX(atlas!D:D,MATCH(A1750,atlas!C:C,0)),"")</f>
        <v/>
      </c>
      <c r="E1750" s="8" t="str">
        <f t="array" ref="E1750">IFERROR(INDEX(atlas!F:F,MATCH(A1750,atlas!C:C,0)),"")</f>
        <v/>
      </c>
      <c r="F1750" s="9"/>
      <c r="G1750" s="10"/>
      <c r="H1750" s="11"/>
      <c r="I1750" s="12" t="str">
        <f t="array" ref="I1750">IFERROR(INDEX(atlas!B:B,MATCH(A1750,atlas!C:C,0)),"")</f>
        <v/>
      </c>
      <c r="J1750" s="8" t="str">
        <f>IFERROR(VLOOKUP(F1750,tecnica!A:B,2,0),"")</f>
        <v/>
      </c>
      <c r="K1750" s="8" t="str">
        <f>IFERROR(VLOOKUP(J1750,tecnica!B:C,2,0),"")</f>
        <v/>
      </c>
      <c r="L1750" s="13"/>
      <c r="M1750" s="14" t="str">
        <f>IFERROR(VLOOKUP(I1750,material!A:D,4,0),"")</f>
        <v/>
      </c>
      <c r="N1750" s="14" t="str">
        <f t="shared" si="1"/>
        <v/>
      </c>
      <c r="O1750" s="15" t="str">
        <f>IFERROR(VLOOKUP(I1750,material!A:D,2,0),"")</f>
        <v/>
      </c>
    </row>
    <row r="1751">
      <c r="A1751" s="6"/>
      <c r="B1751" s="7"/>
      <c r="C1751" s="8" t="str">
        <f t="array" ref="C1751">IFERROR(INDEX(atlas!H:H,MATCH(A1751,atlas!C:C,0)),"")</f>
        <v/>
      </c>
      <c r="D1751" s="8" t="str">
        <f t="array" ref="D1751">IFERROR(INDEX(atlas!D:D,MATCH(A1751,atlas!C:C,0)),"")</f>
        <v/>
      </c>
      <c r="E1751" s="8" t="str">
        <f t="array" ref="E1751">IFERROR(INDEX(atlas!F:F,MATCH(A1751,atlas!C:C,0)),"")</f>
        <v/>
      </c>
      <c r="F1751" s="9"/>
      <c r="G1751" s="10"/>
      <c r="H1751" s="11"/>
      <c r="I1751" s="12" t="str">
        <f t="array" ref="I1751">IFERROR(INDEX(atlas!B:B,MATCH(A1751,atlas!C:C,0)),"")</f>
        <v/>
      </c>
      <c r="J1751" s="8" t="str">
        <f>IFERROR(VLOOKUP(F1751,tecnica!A:B,2,0),"")</f>
        <v/>
      </c>
      <c r="K1751" s="8" t="str">
        <f>IFERROR(VLOOKUP(J1751,tecnica!B:C,2,0),"")</f>
        <v/>
      </c>
      <c r="L1751" s="13"/>
      <c r="M1751" s="14" t="str">
        <f>IFERROR(VLOOKUP(I1751,material!A:D,4,0),"")</f>
        <v/>
      </c>
      <c r="N1751" s="14" t="str">
        <f t="shared" si="1"/>
        <v/>
      </c>
      <c r="O1751" s="15" t="str">
        <f>IFERROR(VLOOKUP(I1751,material!A:D,2,0),"")</f>
        <v/>
      </c>
    </row>
    <row r="1752">
      <c r="A1752" s="6"/>
      <c r="B1752" s="7"/>
      <c r="C1752" s="8" t="str">
        <f t="array" ref="C1752">IFERROR(INDEX(atlas!H:H,MATCH(A1752,atlas!C:C,0)),"")</f>
        <v/>
      </c>
      <c r="D1752" s="8" t="str">
        <f t="array" ref="D1752">IFERROR(INDEX(atlas!D:D,MATCH(A1752,atlas!C:C,0)),"")</f>
        <v/>
      </c>
      <c r="E1752" s="8" t="str">
        <f t="array" ref="E1752">IFERROR(INDEX(atlas!F:F,MATCH(A1752,atlas!C:C,0)),"")</f>
        <v/>
      </c>
      <c r="F1752" s="9"/>
      <c r="G1752" s="10"/>
      <c r="H1752" s="11"/>
      <c r="I1752" s="12" t="str">
        <f t="array" ref="I1752">IFERROR(INDEX(atlas!B:B,MATCH(A1752,atlas!C:C,0)),"")</f>
        <v/>
      </c>
      <c r="J1752" s="8" t="str">
        <f>IFERROR(VLOOKUP(F1752,tecnica!A:B,2,0),"")</f>
        <v/>
      </c>
      <c r="K1752" s="8" t="str">
        <f>IFERROR(VLOOKUP(J1752,tecnica!B:C,2,0),"")</f>
        <v/>
      </c>
      <c r="L1752" s="13"/>
      <c r="M1752" s="14" t="str">
        <f>IFERROR(VLOOKUP(I1752,material!A:D,4,0),"")</f>
        <v/>
      </c>
      <c r="N1752" s="14" t="str">
        <f t="shared" si="1"/>
        <v/>
      </c>
      <c r="O1752" s="15" t="str">
        <f>IFERROR(VLOOKUP(I1752,material!A:D,2,0),"")</f>
        <v/>
      </c>
    </row>
    <row r="1753">
      <c r="A1753" s="6"/>
      <c r="B1753" s="7"/>
      <c r="C1753" s="8" t="str">
        <f t="array" ref="C1753">IFERROR(INDEX(atlas!H:H,MATCH(A1753,atlas!C:C,0)),"")</f>
        <v/>
      </c>
      <c r="D1753" s="8" t="str">
        <f t="array" ref="D1753">IFERROR(INDEX(atlas!D:D,MATCH(A1753,atlas!C:C,0)),"")</f>
        <v/>
      </c>
      <c r="E1753" s="8" t="str">
        <f t="array" ref="E1753">IFERROR(INDEX(atlas!F:F,MATCH(A1753,atlas!C:C,0)),"")</f>
        <v/>
      </c>
      <c r="F1753" s="9"/>
      <c r="G1753" s="10"/>
      <c r="H1753" s="11"/>
      <c r="I1753" s="12" t="str">
        <f t="array" ref="I1753">IFERROR(INDEX(atlas!B:B,MATCH(A1753,atlas!C:C,0)),"")</f>
        <v/>
      </c>
      <c r="J1753" s="8" t="str">
        <f>IFERROR(VLOOKUP(F1753,tecnica!A:B,2,0),"")</f>
        <v/>
      </c>
      <c r="K1753" s="8" t="str">
        <f>IFERROR(VLOOKUP(J1753,tecnica!B:C,2,0),"")</f>
        <v/>
      </c>
      <c r="L1753" s="13"/>
      <c r="M1753" s="14" t="str">
        <f>IFERROR(VLOOKUP(I1753,material!A:D,4,0),"")</f>
        <v/>
      </c>
      <c r="N1753" s="14" t="str">
        <f t="shared" si="1"/>
        <v/>
      </c>
      <c r="O1753" s="15" t="str">
        <f>IFERROR(VLOOKUP(I1753,material!A:D,2,0),"")</f>
        <v/>
      </c>
    </row>
    <row r="1754">
      <c r="A1754" s="6"/>
      <c r="B1754" s="7"/>
      <c r="C1754" s="8" t="str">
        <f t="array" ref="C1754">IFERROR(INDEX(atlas!H:H,MATCH(A1754,atlas!C:C,0)),"")</f>
        <v/>
      </c>
      <c r="D1754" s="8" t="str">
        <f t="array" ref="D1754">IFERROR(INDEX(atlas!D:D,MATCH(A1754,atlas!C:C,0)),"")</f>
        <v/>
      </c>
      <c r="E1754" s="8" t="str">
        <f t="array" ref="E1754">IFERROR(INDEX(atlas!F:F,MATCH(A1754,atlas!C:C,0)),"")</f>
        <v/>
      </c>
      <c r="F1754" s="9"/>
      <c r="G1754" s="10"/>
      <c r="H1754" s="11"/>
      <c r="I1754" s="12" t="str">
        <f t="array" ref="I1754">IFERROR(INDEX(atlas!B:B,MATCH(A1754,atlas!C:C,0)),"")</f>
        <v/>
      </c>
      <c r="J1754" s="8" t="str">
        <f>IFERROR(VLOOKUP(F1754,tecnica!A:B,2,0),"")</f>
        <v/>
      </c>
      <c r="K1754" s="8" t="str">
        <f>IFERROR(VLOOKUP(J1754,tecnica!B:C,2,0),"")</f>
        <v/>
      </c>
      <c r="L1754" s="13"/>
      <c r="M1754" s="14" t="str">
        <f>IFERROR(VLOOKUP(I1754,material!A:D,4,0),"")</f>
        <v/>
      </c>
      <c r="N1754" s="14" t="str">
        <f t="shared" si="1"/>
        <v/>
      </c>
      <c r="O1754" s="15" t="str">
        <f>IFERROR(VLOOKUP(I1754,material!A:D,2,0),"")</f>
        <v/>
      </c>
    </row>
    <row r="1755">
      <c r="A1755" s="6"/>
      <c r="B1755" s="7"/>
      <c r="C1755" s="8" t="str">
        <f t="array" ref="C1755">IFERROR(INDEX(atlas!H:H,MATCH(A1755,atlas!C:C,0)),"")</f>
        <v/>
      </c>
      <c r="D1755" s="8" t="str">
        <f t="array" ref="D1755">IFERROR(INDEX(atlas!D:D,MATCH(A1755,atlas!C:C,0)),"")</f>
        <v/>
      </c>
      <c r="E1755" s="8" t="str">
        <f t="array" ref="E1755">IFERROR(INDEX(atlas!F:F,MATCH(A1755,atlas!C:C,0)),"")</f>
        <v/>
      </c>
      <c r="F1755" s="9"/>
      <c r="G1755" s="10"/>
      <c r="H1755" s="11"/>
      <c r="I1755" s="12" t="str">
        <f t="array" ref="I1755">IFERROR(INDEX(atlas!B:B,MATCH(A1755,atlas!C:C,0)),"")</f>
        <v/>
      </c>
      <c r="J1755" s="8" t="str">
        <f>IFERROR(VLOOKUP(F1755,tecnica!A:B,2,0),"")</f>
        <v/>
      </c>
      <c r="K1755" s="8" t="str">
        <f>IFERROR(VLOOKUP(J1755,tecnica!B:C,2,0),"")</f>
        <v/>
      </c>
      <c r="L1755" s="13"/>
      <c r="M1755" s="14" t="str">
        <f>IFERROR(VLOOKUP(I1755,material!A:D,4,0),"")</f>
        <v/>
      </c>
      <c r="N1755" s="14" t="str">
        <f t="shared" si="1"/>
        <v/>
      </c>
      <c r="O1755" s="15" t="str">
        <f>IFERROR(VLOOKUP(I1755,material!A:D,2,0),"")</f>
        <v/>
      </c>
    </row>
    <row r="1756">
      <c r="A1756" s="6"/>
      <c r="B1756" s="7"/>
      <c r="C1756" s="8" t="str">
        <f t="array" ref="C1756">IFERROR(INDEX(atlas!H:H,MATCH(A1756,atlas!C:C,0)),"")</f>
        <v/>
      </c>
      <c r="D1756" s="8" t="str">
        <f t="array" ref="D1756">IFERROR(INDEX(atlas!D:D,MATCH(A1756,atlas!C:C,0)),"")</f>
        <v/>
      </c>
      <c r="E1756" s="8" t="str">
        <f t="array" ref="E1756">IFERROR(INDEX(atlas!F:F,MATCH(A1756,atlas!C:C,0)),"")</f>
        <v/>
      </c>
      <c r="F1756" s="9"/>
      <c r="G1756" s="10"/>
      <c r="H1756" s="11"/>
      <c r="I1756" s="12" t="str">
        <f t="array" ref="I1756">IFERROR(INDEX(atlas!B:B,MATCH(A1756,atlas!C:C,0)),"")</f>
        <v/>
      </c>
      <c r="J1756" s="8" t="str">
        <f>IFERROR(VLOOKUP(F1756,tecnica!A:B,2,0),"")</f>
        <v/>
      </c>
      <c r="K1756" s="8" t="str">
        <f>IFERROR(VLOOKUP(J1756,tecnica!B:C,2,0),"")</f>
        <v/>
      </c>
      <c r="L1756" s="13"/>
      <c r="M1756" s="14" t="str">
        <f>IFERROR(VLOOKUP(I1756,material!A:D,4,0),"")</f>
        <v/>
      </c>
      <c r="N1756" s="14" t="str">
        <f t="shared" si="1"/>
        <v/>
      </c>
      <c r="O1756" s="15" t="str">
        <f>IFERROR(VLOOKUP(I1756,material!A:D,2,0),"")</f>
        <v/>
      </c>
    </row>
    <row r="1757">
      <c r="A1757" s="6"/>
      <c r="B1757" s="7"/>
      <c r="C1757" s="8" t="str">
        <f t="array" ref="C1757">IFERROR(INDEX(atlas!H:H,MATCH(A1757,atlas!C:C,0)),"")</f>
        <v/>
      </c>
      <c r="D1757" s="8" t="str">
        <f t="array" ref="D1757">IFERROR(INDEX(atlas!D:D,MATCH(A1757,atlas!C:C,0)),"")</f>
        <v/>
      </c>
      <c r="E1757" s="8" t="str">
        <f t="array" ref="E1757">IFERROR(INDEX(atlas!F:F,MATCH(A1757,atlas!C:C,0)),"")</f>
        <v/>
      </c>
      <c r="F1757" s="9"/>
      <c r="G1757" s="10"/>
      <c r="H1757" s="11"/>
      <c r="I1757" s="12" t="str">
        <f t="array" ref="I1757">IFERROR(INDEX(atlas!B:B,MATCH(A1757,atlas!C:C,0)),"")</f>
        <v/>
      </c>
      <c r="J1757" s="8" t="str">
        <f>IFERROR(VLOOKUP(F1757,tecnica!A:B,2,0),"")</f>
        <v/>
      </c>
      <c r="K1757" s="8" t="str">
        <f>IFERROR(VLOOKUP(J1757,tecnica!B:C,2,0),"")</f>
        <v/>
      </c>
      <c r="L1757" s="13"/>
      <c r="M1757" s="14" t="str">
        <f>IFERROR(VLOOKUP(I1757,material!A:D,4,0),"")</f>
        <v/>
      </c>
      <c r="N1757" s="14" t="str">
        <f t="shared" si="1"/>
        <v/>
      </c>
      <c r="O1757" s="15" t="str">
        <f>IFERROR(VLOOKUP(I1757,material!A:D,2,0),"")</f>
        <v/>
      </c>
    </row>
    <row r="1758">
      <c r="A1758" s="6"/>
      <c r="B1758" s="7"/>
      <c r="C1758" s="8" t="str">
        <f t="array" ref="C1758">IFERROR(INDEX(atlas!H:H,MATCH(A1758,atlas!C:C,0)),"")</f>
        <v/>
      </c>
      <c r="D1758" s="8" t="str">
        <f t="array" ref="D1758">IFERROR(INDEX(atlas!D:D,MATCH(A1758,atlas!C:C,0)),"")</f>
        <v/>
      </c>
      <c r="E1758" s="8" t="str">
        <f t="array" ref="E1758">IFERROR(INDEX(atlas!F:F,MATCH(A1758,atlas!C:C,0)),"")</f>
        <v/>
      </c>
      <c r="F1758" s="9"/>
      <c r="G1758" s="10"/>
      <c r="H1758" s="11"/>
      <c r="I1758" s="12" t="str">
        <f t="array" ref="I1758">IFERROR(INDEX(atlas!B:B,MATCH(A1758,atlas!C:C,0)),"")</f>
        <v/>
      </c>
      <c r="J1758" s="8" t="str">
        <f>IFERROR(VLOOKUP(F1758,tecnica!A:B,2,0),"")</f>
        <v/>
      </c>
      <c r="K1758" s="8" t="str">
        <f>IFERROR(VLOOKUP(J1758,tecnica!B:C,2,0),"")</f>
        <v/>
      </c>
      <c r="L1758" s="13"/>
      <c r="M1758" s="14" t="str">
        <f>IFERROR(VLOOKUP(I1758,material!A:D,4,0),"")</f>
        <v/>
      </c>
      <c r="N1758" s="14" t="str">
        <f t="shared" si="1"/>
        <v/>
      </c>
      <c r="O1758" s="15" t="str">
        <f>IFERROR(VLOOKUP(I1758,material!A:D,2,0),"")</f>
        <v/>
      </c>
    </row>
    <row r="1759">
      <c r="A1759" s="6"/>
      <c r="B1759" s="7"/>
      <c r="C1759" s="8" t="str">
        <f t="array" ref="C1759">IFERROR(INDEX(atlas!H:H,MATCH(A1759,atlas!C:C,0)),"")</f>
        <v/>
      </c>
      <c r="D1759" s="8" t="str">
        <f t="array" ref="D1759">IFERROR(INDEX(atlas!D:D,MATCH(A1759,atlas!C:C,0)),"")</f>
        <v/>
      </c>
      <c r="E1759" s="8" t="str">
        <f t="array" ref="E1759">IFERROR(INDEX(atlas!F:F,MATCH(A1759,atlas!C:C,0)),"")</f>
        <v/>
      </c>
      <c r="F1759" s="9"/>
      <c r="G1759" s="10"/>
      <c r="H1759" s="11"/>
      <c r="I1759" s="12" t="str">
        <f t="array" ref="I1759">IFERROR(INDEX(atlas!B:B,MATCH(A1759,atlas!C:C,0)),"")</f>
        <v/>
      </c>
      <c r="J1759" s="8" t="str">
        <f>IFERROR(VLOOKUP(F1759,tecnica!A:B,2,0),"")</f>
        <v/>
      </c>
      <c r="K1759" s="8" t="str">
        <f>IFERROR(VLOOKUP(J1759,tecnica!B:C,2,0),"")</f>
        <v/>
      </c>
      <c r="L1759" s="13"/>
      <c r="M1759" s="14" t="str">
        <f>IFERROR(VLOOKUP(I1759,material!A:D,4,0),"")</f>
        <v/>
      </c>
      <c r="N1759" s="14" t="str">
        <f t="shared" si="1"/>
        <v/>
      </c>
      <c r="O1759" s="15" t="str">
        <f>IFERROR(VLOOKUP(I1759,material!A:D,2,0),"")</f>
        <v/>
      </c>
    </row>
    <row r="1760">
      <c r="A1760" s="6"/>
      <c r="B1760" s="7"/>
      <c r="C1760" s="8" t="str">
        <f t="array" ref="C1760">IFERROR(INDEX(atlas!H:H,MATCH(A1760,atlas!C:C,0)),"")</f>
        <v/>
      </c>
      <c r="D1760" s="8" t="str">
        <f t="array" ref="D1760">IFERROR(INDEX(atlas!D:D,MATCH(A1760,atlas!C:C,0)),"")</f>
        <v/>
      </c>
      <c r="E1760" s="8" t="str">
        <f t="array" ref="E1760">IFERROR(INDEX(atlas!F:F,MATCH(A1760,atlas!C:C,0)),"")</f>
        <v/>
      </c>
      <c r="F1760" s="9"/>
      <c r="G1760" s="10"/>
      <c r="H1760" s="11"/>
      <c r="I1760" s="12" t="str">
        <f t="array" ref="I1760">IFERROR(INDEX(atlas!B:B,MATCH(A1760,atlas!C:C,0)),"")</f>
        <v/>
      </c>
      <c r="J1760" s="8" t="str">
        <f>IFERROR(VLOOKUP(F1760,tecnica!A:B,2,0),"")</f>
        <v/>
      </c>
      <c r="K1760" s="8" t="str">
        <f>IFERROR(VLOOKUP(J1760,tecnica!B:C,2,0),"")</f>
        <v/>
      </c>
      <c r="L1760" s="13"/>
      <c r="M1760" s="14" t="str">
        <f>IFERROR(VLOOKUP(I1760,material!A:D,4,0),"")</f>
        <v/>
      </c>
      <c r="N1760" s="14" t="str">
        <f t="shared" si="1"/>
        <v/>
      </c>
      <c r="O1760" s="15" t="str">
        <f>IFERROR(VLOOKUP(I1760,material!A:D,2,0),"")</f>
        <v/>
      </c>
    </row>
    <row r="1761">
      <c r="A1761" s="6"/>
      <c r="B1761" s="7"/>
      <c r="C1761" s="8" t="str">
        <f t="array" ref="C1761">IFERROR(INDEX(atlas!H:H,MATCH(A1761,atlas!C:C,0)),"")</f>
        <v/>
      </c>
      <c r="D1761" s="8" t="str">
        <f t="array" ref="D1761">IFERROR(INDEX(atlas!D:D,MATCH(A1761,atlas!C:C,0)),"")</f>
        <v/>
      </c>
      <c r="E1761" s="8" t="str">
        <f t="array" ref="E1761">IFERROR(INDEX(atlas!F:F,MATCH(A1761,atlas!C:C,0)),"")</f>
        <v/>
      </c>
      <c r="F1761" s="9"/>
      <c r="G1761" s="10"/>
      <c r="H1761" s="11"/>
      <c r="I1761" s="12" t="str">
        <f t="array" ref="I1761">IFERROR(INDEX(atlas!B:B,MATCH(A1761,atlas!C:C,0)),"")</f>
        <v/>
      </c>
      <c r="J1761" s="8" t="str">
        <f>IFERROR(VLOOKUP(F1761,tecnica!A:B,2,0),"")</f>
        <v/>
      </c>
      <c r="K1761" s="8" t="str">
        <f>IFERROR(VLOOKUP(J1761,tecnica!B:C,2,0),"")</f>
        <v/>
      </c>
      <c r="L1761" s="13"/>
      <c r="M1761" s="14" t="str">
        <f>IFERROR(VLOOKUP(I1761,material!A:D,4,0),"")</f>
        <v/>
      </c>
      <c r="N1761" s="14" t="str">
        <f t="shared" si="1"/>
        <v/>
      </c>
      <c r="O1761" s="15" t="str">
        <f>IFERROR(VLOOKUP(I1761,material!A:D,2,0),"")</f>
        <v/>
      </c>
    </row>
    <row r="1762">
      <c r="A1762" s="6"/>
      <c r="B1762" s="7"/>
      <c r="C1762" s="8" t="str">
        <f t="array" ref="C1762">IFERROR(INDEX(atlas!H:H,MATCH(A1762,atlas!C:C,0)),"")</f>
        <v/>
      </c>
      <c r="D1762" s="8" t="str">
        <f t="array" ref="D1762">IFERROR(INDEX(atlas!D:D,MATCH(A1762,atlas!C:C,0)),"")</f>
        <v/>
      </c>
      <c r="E1762" s="8" t="str">
        <f t="array" ref="E1762">IFERROR(INDEX(atlas!F:F,MATCH(A1762,atlas!C:C,0)),"")</f>
        <v/>
      </c>
      <c r="F1762" s="9"/>
      <c r="G1762" s="10"/>
      <c r="H1762" s="11"/>
      <c r="I1762" s="12" t="str">
        <f t="array" ref="I1762">IFERROR(INDEX(atlas!B:B,MATCH(A1762,atlas!C:C,0)),"")</f>
        <v/>
      </c>
      <c r="J1762" s="8" t="str">
        <f>IFERROR(VLOOKUP(F1762,tecnica!A:B,2,0),"")</f>
        <v/>
      </c>
      <c r="K1762" s="8" t="str">
        <f>IFERROR(VLOOKUP(J1762,tecnica!B:C,2,0),"")</f>
        <v/>
      </c>
      <c r="L1762" s="13"/>
      <c r="M1762" s="14" t="str">
        <f>IFERROR(VLOOKUP(I1762,material!A:D,4,0),"")</f>
        <v/>
      </c>
      <c r="N1762" s="14" t="str">
        <f t="shared" si="1"/>
        <v/>
      </c>
      <c r="O1762" s="15" t="str">
        <f>IFERROR(VLOOKUP(I1762,material!A:D,2,0),"")</f>
        <v/>
      </c>
    </row>
    <row r="1763">
      <c r="A1763" s="6"/>
      <c r="B1763" s="7"/>
      <c r="C1763" s="8" t="str">
        <f t="array" ref="C1763">IFERROR(INDEX(atlas!H:H,MATCH(A1763,atlas!C:C,0)),"")</f>
        <v/>
      </c>
      <c r="D1763" s="8" t="str">
        <f t="array" ref="D1763">IFERROR(INDEX(atlas!D:D,MATCH(A1763,atlas!C:C,0)),"")</f>
        <v/>
      </c>
      <c r="E1763" s="8" t="str">
        <f t="array" ref="E1763">IFERROR(INDEX(atlas!F:F,MATCH(A1763,atlas!C:C,0)),"")</f>
        <v/>
      </c>
      <c r="F1763" s="9"/>
      <c r="G1763" s="10"/>
      <c r="H1763" s="11"/>
      <c r="I1763" s="12" t="str">
        <f t="array" ref="I1763">IFERROR(INDEX(atlas!B:B,MATCH(A1763,atlas!C:C,0)),"")</f>
        <v/>
      </c>
      <c r="J1763" s="8" t="str">
        <f>IFERROR(VLOOKUP(F1763,tecnica!A:B,2,0),"")</f>
        <v/>
      </c>
      <c r="K1763" s="8" t="str">
        <f>IFERROR(VLOOKUP(J1763,tecnica!B:C,2,0),"")</f>
        <v/>
      </c>
      <c r="L1763" s="13"/>
      <c r="M1763" s="14" t="str">
        <f>IFERROR(VLOOKUP(I1763,material!A:D,4,0),"")</f>
        <v/>
      </c>
      <c r="N1763" s="14" t="str">
        <f t="shared" si="1"/>
        <v/>
      </c>
      <c r="O1763" s="15" t="str">
        <f>IFERROR(VLOOKUP(I1763,material!A:D,2,0),"")</f>
        <v/>
      </c>
    </row>
    <row r="1764">
      <c r="A1764" s="6"/>
      <c r="B1764" s="7"/>
      <c r="C1764" s="8" t="str">
        <f t="array" ref="C1764">IFERROR(INDEX(atlas!H:H,MATCH(A1764,atlas!C:C,0)),"")</f>
        <v/>
      </c>
      <c r="D1764" s="8" t="str">
        <f t="array" ref="D1764">IFERROR(INDEX(atlas!D:D,MATCH(A1764,atlas!C:C,0)),"")</f>
        <v/>
      </c>
      <c r="E1764" s="8" t="str">
        <f t="array" ref="E1764">IFERROR(INDEX(atlas!F:F,MATCH(A1764,atlas!C:C,0)),"")</f>
        <v/>
      </c>
      <c r="F1764" s="9"/>
      <c r="G1764" s="10"/>
      <c r="H1764" s="11"/>
      <c r="I1764" s="12" t="str">
        <f t="array" ref="I1764">IFERROR(INDEX(atlas!B:B,MATCH(A1764,atlas!C:C,0)),"")</f>
        <v/>
      </c>
      <c r="J1764" s="8" t="str">
        <f>IFERROR(VLOOKUP(F1764,tecnica!A:B,2,0),"")</f>
        <v/>
      </c>
      <c r="K1764" s="8" t="str">
        <f>IFERROR(VLOOKUP(J1764,tecnica!B:C,2,0),"")</f>
        <v/>
      </c>
      <c r="L1764" s="13"/>
      <c r="M1764" s="14" t="str">
        <f>IFERROR(VLOOKUP(I1764,material!A:D,4,0),"")</f>
        <v/>
      </c>
      <c r="N1764" s="14" t="str">
        <f t="shared" si="1"/>
        <v/>
      </c>
      <c r="O1764" s="15" t="str">
        <f>IFERROR(VLOOKUP(I1764,material!A:D,2,0),"")</f>
        <v/>
      </c>
    </row>
    <row r="1765">
      <c r="A1765" s="6"/>
      <c r="B1765" s="7"/>
      <c r="C1765" s="8" t="str">
        <f t="array" ref="C1765">IFERROR(INDEX(atlas!H:H,MATCH(A1765,atlas!C:C,0)),"")</f>
        <v/>
      </c>
      <c r="D1765" s="8" t="str">
        <f t="array" ref="D1765">IFERROR(INDEX(atlas!D:D,MATCH(A1765,atlas!C:C,0)),"")</f>
        <v/>
      </c>
      <c r="E1765" s="8" t="str">
        <f t="array" ref="E1765">IFERROR(INDEX(atlas!F:F,MATCH(A1765,atlas!C:C,0)),"")</f>
        <v/>
      </c>
      <c r="F1765" s="9"/>
      <c r="G1765" s="10"/>
      <c r="H1765" s="11"/>
      <c r="I1765" s="12" t="str">
        <f t="array" ref="I1765">IFERROR(INDEX(atlas!B:B,MATCH(A1765,atlas!C:C,0)),"")</f>
        <v/>
      </c>
      <c r="J1765" s="8" t="str">
        <f>IFERROR(VLOOKUP(F1765,tecnica!A:B,2,0),"")</f>
        <v/>
      </c>
      <c r="K1765" s="8" t="str">
        <f>IFERROR(VLOOKUP(J1765,tecnica!B:C,2,0),"")</f>
        <v/>
      </c>
      <c r="L1765" s="13"/>
      <c r="M1765" s="14" t="str">
        <f>IFERROR(VLOOKUP(I1765,material!A:D,4,0),"")</f>
        <v/>
      </c>
      <c r="N1765" s="14" t="str">
        <f t="shared" si="1"/>
        <v/>
      </c>
      <c r="O1765" s="15" t="str">
        <f>IFERROR(VLOOKUP(I1765,material!A:D,2,0),"")</f>
        <v/>
      </c>
    </row>
    <row r="1766">
      <c r="A1766" s="6"/>
      <c r="B1766" s="7"/>
      <c r="C1766" s="8" t="str">
        <f t="array" ref="C1766">IFERROR(INDEX(atlas!H:H,MATCH(A1766,atlas!C:C,0)),"")</f>
        <v/>
      </c>
      <c r="D1766" s="8" t="str">
        <f t="array" ref="D1766">IFERROR(INDEX(atlas!D:D,MATCH(A1766,atlas!C:C,0)),"")</f>
        <v/>
      </c>
      <c r="E1766" s="8" t="str">
        <f t="array" ref="E1766">IFERROR(INDEX(atlas!F:F,MATCH(A1766,atlas!C:C,0)),"")</f>
        <v/>
      </c>
      <c r="F1766" s="9"/>
      <c r="G1766" s="10"/>
      <c r="H1766" s="11"/>
      <c r="I1766" s="12" t="str">
        <f t="array" ref="I1766">IFERROR(INDEX(atlas!B:B,MATCH(A1766,atlas!C:C,0)),"")</f>
        <v/>
      </c>
      <c r="J1766" s="8" t="str">
        <f>IFERROR(VLOOKUP(F1766,tecnica!A:B,2,0),"")</f>
        <v/>
      </c>
      <c r="K1766" s="8" t="str">
        <f>IFERROR(VLOOKUP(J1766,tecnica!B:C,2,0),"")</f>
        <v/>
      </c>
      <c r="L1766" s="13"/>
      <c r="M1766" s="14" t="str">
        <f>IFERROR(VLOOKUP(I1766,material!A:D,4,0),"")</f>
        <v/>
      </c>
      <c r="N1766" s="14" t="str">
        <f t="shared" si="1"/>
        <v/>
      </c>
      <c r="O1766" s="15" t="str">
        <f>IFERROR(VLOOKUP(I1766,material!A:D,2,0),"")</f>
        <v/>
      </c>
    </row>
    <row r="1767">
      <c r="A1767" s="6"/>
      <c r="B1767" s="7"/>
      <c r="C1767" s="8" t="str">
        <f t="array" ref="C1767">IFERROR(INDEX(atlas!H:H,MATCH(A1767,atlas!C:C,0)),"")</f>
        <v/>
      </c>
      <c r="D1767" s="8" t="str">
        <f t="array" ref="D1767">IFERROR(INDEX(atlas!D:D,MATCH(A1767,atlas!C:C,0)),"")</f>
        <v/>
      </c>
      <c r="E1767" s="8" t="str">
        <f t="array" ref="E1767">IFERROR(INDEX(atlas!F:F,MATCH(A1767,atlas!C:C,0)),"")</f>
        <v/>
      </c>
      <c r="F1767" s="9"/>
      <c r="G1767" s="10"/>
      <c r="H1767" s="11"/>
      <c r="I1767" s="12" t="str">
        <f t="array" ref="I1767">IFERROR(INDEX(atlas!B:B,MATCH(A1767,atlas!C:C,0)),"")</f>
        <v/>
      </c>
      <c r="J1767" s="8" t="str">
        <f>IFERROR(VLOOKUP(F1767,tecnica!A:B,2,0),"")</f>
        <v/>
      </c>
      <c r="K1767" s="8" t="str">
        <f>IFERROR(VLOOKUP(J1767,tecnica!B:C,2,0),"")</f>
        <v/>
      </c>
      <c r="L1767" s="13"/>
      <c r="M1767" s="14" t="str">
        <f>IFERROR(VLOOKUP(I1767,material!A:D,4,0),"")</f>
        <v/>
      </c>
      <c r="N1767" s="14" t="str">
        <f t="shared" si="1"/>
        <v/>
      </c>
      <c r="O1767" s="15" t="str">
        <f>IFERROR(VLOOKUP(I1767,material!A:D,2,0),"")</f>
        <v/>
      </c>
    </row>
    <row r="1768">
      <c r="A1768" s="6"/>
      <c r="B1768" s="7"/>
      <c r="C1768" s="8" t="str">
        <f t="array" ref="C1768">IFERROR(INDEX(atlas!H:H,MATCH(A1768,atlas!C:C,0)),"")</f>
        <v/>
      </c>
      <c r="D1768" s="8" t="str">
        <f t="array" ref="D1768">IFERROR(INDEX(atlas!D:D,MATCH(A1768,atlas!C:C,0)),"")</f>
        <v/>
      </c>
      <c r="E1768" s="8" t="str">
        <f t="array" ref="E1768">IFERROR(INDEX(atlas!F:F,MATCH(A1768,atlas!C:C,0)),"")</f>
        <v/>
      </c>
      <c r="F1768" s="9"/>
      <c r="G1768" s="10"/>
      <c r="H1768" s="11"/>
      <c r="I1768" s="12" t="str">
        <f t="array" ref="I1768">IFERROR(INDEX(atlas!B:B,MATCH(A1768,atlas!C:C,0)),"")</f>
        <v/>
      </c>
      <c r="J1768" s="8" t="str">
        <f>IFERROR(VLOOKUP(F1768,tecnica!A:B,2,0),"")</f>
        <v/>
      </c>
      <c r="K1768" s="8" t="str">
        <f>IFERROR(VLOOKUP(J1768,tecnica!B:C,2,0),"")</f>
        <v/>
      </c>
      <c r="L1768" s="13"/>
      <c r="M1768" s="14" t="str">
        <f>IFERROR(VLOOKUP(I1768,material!A:D,4,0),"")</f>
        <v/>
      </c>
      <c r="N1768" s="14" t="str">
        <f t="shared" si="1"/>
        <v/>
      </c>
      <c r="O1768" s="15" t="str">
        <f>IFERROR(VLOOKUP(I1768,material!A:D,2,0),"")</f>
        <v/>
      </c>
    </row>
    <row r="1769">
      <c r="A1769" s="6"/>
      <c r="B1769" s="7"/>
      <c r="C1769" s="8" t="str">
        <f t="array" ref="C1769">IFERROR(INDEX(atlas!H:H,MATCH(A1769,atlas!C:C,0)),"")</f>
        <v/>
      </c>
      <c r="D1769" s="8" t="str">
        <f t="array" ref="D1769">IFERROR(INDEX(atlas!D:D,MATCH(A1769,atlas!C:C,0)),"")</f>
        <v/>
      </c>
      <c r="E1769" s="8" t="str">
        <f t="array" ref="E1769">IFERROR(INDEX(atlas!F:F,MATCH(A1769,atlas!C:C,0)),"")</f>
        <v/>
      </c>
      <c r="F1769" s="9"/>
      <c r="G1769" s="10"/>
      <c r="H1769" s="11"/>
      <c r="I1769" s="12" t="str">
        <f t="array" ref="I1769">IFERROR(INDEX(atlas!B:B,MATCH(A1769,atlas!C:C,0)),"")</f>
        <v/>
      </c>
      <c r="J1769" s="8" t="str">
        <f>IFERROR(VLOOKUP(F1769,tecnica!A:B,2,0),"")</f>
        <v/>
      </c>
      <c r="K1769" s="8" t="str">
        <f>IFERROR(VLOOKUP(J1769,tecnica!B:C,2,0),"")</f>
        <v/>
      </c>
      <c r="L1769" s="13"/>
      <c r="M1769" s="14" t="str">
        <f>IFERROR(VLOOKUP(I1769,material!A:D,4,0),"")</f>
        <v/>
      </c>
      <c r="N1769" s="14" t="str">
        <f t="shared" si="1"/>
        <v/>
      </c>
      <c r="O1769" s="15" t="str">
        <f>IFERROR(VLOOKUP(I1769,material!A:D,2,0),"")</f>
        <v/>
      </c>
    </row>
    <row r="1770">
      <c r="A1770" s="6"/>
      <c r="B1770" s="7"/>
      <c r="C1770" s="8" t="str">
        <f t="array" ref="C1770">IFERROR(INDEX(atlas!H:H,MATCH(A1770,atlas!C:C,0)),"")</f>
        <v/>
      </c>
      <c r="D1770" s="8" t="str">
        <f t="array" ref="D1770">IFERROR(INDEX(atlas!D:D,MATCH(A1770,atlas!C:C,0)),"")</f>
        <v/>
      </c>
      <c r="E1770" s="8" t="str">
        <f t="array" ref="E1770">IFERROR(INDEX(atlas!F:F,MATCH(A1770,atlas!C:C,0)),"")</f>
        <v/>
      </c>
      <c r="F1770" s="9"/>
      <c r="G1770" s="10"/>
      <c r="H1770" s="11"/>
      <c r="I1770" s="12" t="str">
        <f t="array" ref="I1770">IFERROR(INDEX(atlas!B:B,MATCH(A1770,atlas!C:C,0)),"")</f>
        <v/>
      </c>
      <c r="J1770" s="8" t="str">
        <f>IFERROR(VLOOKUP(F1770,tecnica!A:B,2,0),"")</f>
        <v/>
      </c>
      <c r="K1770" s="8" t="str">
        <f>IFERROR(VLOOKUP(J1770,tecnica!B:C,2,0),"")</f>
        <v/>
      </c>
      <c r="L1770" s="13"/>
      <c r="M1770" s="14" t="str">
        <f>IFERROR(VLOOKUP(I1770,material!A:D,4,0),"")</f>
        <v/>
      </c>
      <c r="N1770" s="14" t="str">
        <f t="shared" si="1"/>
        <v/>
      </c>
      <c r="O1770" s="15" t="str">
        <f>IFERROR(VLOOKUP(I1770,material!A:D,2,0),"")</f>
        <v/>
      </c>
    </row>
    <row r="1771">
      <c r="A1771" s="6"/>
      <c r="B1771" s="7"/>
      <c r="C1771" s="8" t="str">
        <f t="array" ref="C1771">IFERROR(INDEX(atlas!H:H,MATCH(A1771,atlas!C:C,0)),"")</f>
        <v/>
      </c>
      <c r="D1771" s="8" t="str">
        <f t="array" ref="D1771">IFERROR(INDEX(atlas!D:D,MATCH(A1771,atlas!C:C,0)),"")</f>
        <v/>
      </c>
      <c r="E1771" s="8" t="str">
        <f t="array" ref="E1771">IFERROR(INDEX(atlas!F:F,MATCH(A1771,atlas!C:C,0)),"")</f>
        <v/>
      </c>
      <c r="F1771" s="9"/>
      <c r="G1771" s="10"/>
      <c r="H1771" s="11"/>
      <c r="I1771" s="12" t="str">
        <f t="array" ref="I1771">IFERROR(INDEX(atlas!B:B,MATCH(A1771,atlas!C:C,0)),"")</f>
        <v/>
      </c>
      <c r="J1771" s="8" t="str">
        <f>IFERROR(VLOOKUP(F1771,tecnica!A:B,2,0),"")</f>
        <v/>
      </c>
      <c r="K1771" s="8" t="str">
        <f>IFERROR(VLOOKUP(J1771,tecnica!B:C,2,0),"")</f>
        <v/>
      </c>
      <c r="L1771" s="13"/>
      <c r="M1771" s="14" t="str">
        <f>IFERROR(VLOOKUP(I1771,material!A:D,4,0),"")</f>
        <v/>
      </c>
      <c r="N1771" s="14" t="str">
        <f t="shared" si="1"/>
        <v/>
      </c>
      <c r="O1771" s="15" t="str">
        <f>IFERROR(VLOOKUP(I1771,material!A:D,2,0),"")</f>
        <v/>
      </c>
    </row>
    <row r="1772">
      <c r="A1772" s="6"/>
      <c r="B1772" s="7"/>
      <c r="C1772" s="8" t="str">
        <f t="array" ref="C1772">IFERROR(INDEX(atlas!H:H,MATCH(A1772,atlas!C:C,0)),"")</f>
        <v/>
      </c>
      <c r="D1772" s="8" t="str">
        <f t="array" ref="D1772">IFERROR(INDEX(atlas!D:D,MATCH(A1772,atlas!C:C,0)),"")</f>
        <v/>
      </c>
      <c r="E1772" s="8" t="str">
        <f t="array" ref="E1772">IFERROR(INDEX(atlas!F:F,MATCH(A1772,atlas!C:C,0)),"")</f>
        <v/>
      </c>
      <c r="F1772" s="9"/>
      <c r="G1772" s="10"/>
      <c r="H1772" s="11"/>
      <c r="I1772" s="12" t="str">
        <f t="array" ref="I1772">IFERROR(INDEX(atlas!B:B,MATCH(A1772,atlas!C:C,0)),"")</f>
        <v/>
      </c>
      <c r="J1772" s="8" t="str">
        <f>IFERROR(VLOOKUP(F1772,tecnica!A:B,2,0),"")</f>
        <v/>
      </c>
      <c r="K1772" s="8" t="str">
        <f>IFERROR(VLOOKUP(J1772,tecnica!B:C,2,0),"")</f>
        <v/>
      </c>
      <c r="L1772" s="13"/>
      <c r="M1772" s="14" t="str">
        <f>IFERROR(VLOOKUP(I1772,material!A:D,4,0),"")</f>
        <v/>
      </c>
      <c r="N1772" s="14" t="str">
        <f t="shared" si="1"/>
        <v/>
      </c>
      <c r="O1772" s="15" t="str">
        <f>IFERROR(VLOOKUP(I1772,material!A:D,2,0),"")</f>
        <v/>
      </c>
    </row>
    <row r="1773">
      <c r="A1773" s="6"/>
      <c r="B1773" s="7"/>
      <c r="C1773" s="8" t="str">
        <f t="array" ref="C1773">IFERROR(INDEX(atlas!H:H,MATCH(A1773,atlas!C:C,0)),"")</f>
        <v/>
      </c>
      <c r="D1773" s="8" t="str">
        <f t="array" ref="D1773">IFERROR(INDEX(atlas!D:D,MATCH(A1773,atlas!C:C,0)),"")</f>
        <v/>
      </c>
      <c r="E1773" s="8" t="str">
        <f t="array" ref="E1773">IFERROR(INDEX(atlas!F:F,MATCH(A1773,atlas!C:C,0)),"")</f>
        <v/>
      </c>
      <c r="F1773" s="9"/>
      <c r="G1773" s="10"/>
      <c r="H1773" s="11"/>
      <c r="I1773" s="12" t="str">
        <f t="array" ref="I1773">IFERROR(INDEX(atlas!B:B,MATCH(A1773,atlas!C:C,0)),"")</f>
        <v/>
      </c>
      <c r="J1773" s="8" t="str">
        <f>IFERROR(VLOOKUP(F1773,tecnica!A:B,2,0),"")</f>
        <v/>
      </c>
      <c r="K1773" s="8" t="str">
        <f>IFERROR(VLOOKUP(J1773,tecnica!B:C,2,0),"")</f>
        <v/>
      </c>
      <c r="L1773" s="13"/>
      <c r="M1773" s="14" t="str">
        <f>IFERROR(VLOOKUP(I1773,material!A:D,4,0),"")</f>
        <v/>
      </c>
      <c r="N1773" s="14" t="str">
        <f t="shared" si="1"/>
        <v/>
      </c>
      <c r="O1773" s="15" t="str">
        <f>IFERROR(VLOOKUP(I1773,material!A:D,2,0),"")</f>
        <v/>
      </c>
    </row>
    <row r="1774">
      <c r="A1774" s="6"/>
      <c r="B1774" s="7"/>
      <c r="C1774" s="8" t="str">
        <f t="array" ref="C1774">IFERROR(INDEX(atlas!H:H,MATCH(A1774,atlas!C:C,0)),"")</f>
        <v/>
      </c>
      <c r="D1774" s="8" t="str">
        <f t="array" ref="D1774">IFERROR(INDEX(atlas!D:D,MATCH(A1774,atlas!C:C,0)),"")</f>
        <v/>
      </c>
      <c r="E1774" s="8" t="str">
        <f t="array" ref="E1774">IFERROR(INDEX(atlas!F:F,MATCH(A1774,atlas!C:C,0)),"")</f>
        <v/>
      </c>
      <c r="F1774" s="9"/>
      <c r="G1774" s="10"/>
      <c r="H1774" s="11"/>
      <c r="I1774" s="12" t="str">
        <f t="array" ref="I1774">IFERROR(INDEX(atlas!B:B,MATCH(A1774,atlas!C:C,0)),"")</f>
        <v/>
      </c>
      <c r="J1774" s="8" t="str">
        <f>IFERROR(VLOOKUP(F1774,tecnica!A:B,2,0),"")</f>
        <v/>
      </c>
      <c r="K1774" s="8" t="str">
        <f>IFERROR(VLOOKUP(J1774,tecnica!B:C,2,0),"")</f>
        <v/>
      </c>
      <c r="L1774" s="13"/>
      <c r="M1774" s="14" t="str">
        <f>IFERROR(VLOOKUP(I1774,material!A:D,4,0),"")</f>
        <v/>
      </c>
      <c r="N1774" s="14" t="str">
        <f t="shared" si="1"/>
        <v/>
      </c>
      <c r="O1774" s="15" t="str">
        <f>IFERROR(VLOOKUP(I1774,material!A:D,2,0),"")</f>
        <v/>
      </c>
    </row>
    <row r="1775">
      <c r="A1775" s="6"/>
      <c r="B1775" s="7"/>
      <c r="C1775" s="8" t="str">
        <f t="array" ref="C1775">IFERROR(INDEX(atlas!H:H,MATCH(A1775,atlas!C:C,0)),"")</f>
        <v/>
      </c>
      <c r="D1775" s="8" t="str">
        <f t="array" ref="D1775">IFERROR(INDEX(atlas!D:D,MATCH(A1775,atlas!C:C,0)),"")</f>
        <v/>
      </c>
      <c r="E1775" s="8" t="str">
        <f t="array" ref="E1775">IFERROR(INDEX(atlas!F:F,MATCH(A1775,atlas!C:C,0)),"")</f>
        <v/>
      </c>
      <c r="F1775" s="9"/>
      <c r="G1775" s="10"/>
      <c r="H1775" s="11"/>
      <c r="I1775" s="12" t="str">
        <f t="array" ref="I1775">IFERROR(INDEX(atlas!B:B,MATCH(A1775,atlas!C:C,0)),"")</f>
        <v/>
      </c>
      <c r="J1775" s="8" t="str">
        <f>IFERROR(VLOOKUP(F1775,tecnica!A:B,2,0),"")</f>
        <v/>
      </c>
      <c r="K1775" s="8" t="str">
        <f>IFERROR(VLOOKUP(J1775,tecnica!B:C,2,0),"")</f>
        <v/>
      </c>
      <c r="L1775" s="13"/>
      <c r="M1775" s="14" t="str">
        <f>IFERROR(VLOOKUP(I1775,material!A:D,4,0),"")</f>
        <v/>
      </c>
      <c r="N1775" s="14" t="str">
        <f t="shared" si="1"/>
        <v/>
      </c>
      <c r="O1775" s="15" t="str">
        <f>IFERROR(VLOOKUP(I1775,material!A:D,2,0),"")</f>
        <v/>
      </c>
    </row>
    <row r="1776">
      <c r="A1776" s="6"/>
      <c r="B1776" s="7"/>
      <c r="C1776" s="8" t="str">
        <f t="array" ref="C1776">IFERROR(INDEX(atlas!H:H,MATCH(A1776,atlas!C:C,0)),"")</f>
        <v/>
      </c>
      <c r="D1776" s="8" t="str">
        <f t="array" ref="D1776">IFERROR(INDEX(atlas!D:D,MATCH(A1776,atlas!C:C,0)),"")</f>
        <v/>
      </c>
      <c r="E1776" s="8" t="str">
        <f t="array" ref="E1776">IFERROR(INDEX(atlas!F:F,MATCH(A1776,atlas!C:C,0)),"")</f>
        <v/>
      </c>
      <c r="F1776" s="9"/>
      <c r="G1776" s="10"/>
      <c r="H1776" s="11"/>
      <c r="I1776" s="12" t="str">
        <f t="array" ref="I1776">IFERROR(INDEX(atlas!B:B,MATCH(A1776,atlas!C:C,0)),"")</f>
        <v/>
      </c>
      <c r="J1776" s="8" t="str">
        <f>IFERROR(VLOOKUP(F1776,tecnica!A:B,2,0),"")</f>
        <v/>
      </c>
      <c r="K1776" s="8" t="str">
        <f>IFERROR(VLOOKUP(J1776,tecnica!B:C,2,0),"")</f>
        <v/>
      </c>
      <c r="L1776" s="13"/>
      <c r="M1776" s="14" t="str">
        <f>IFERROR(VLOOKUP(I1776,material!A:D,4,0),"")</f>
        <v/>
      </c>
      <c r="N1776" s="14" t="str">
        <f t="shared" si="1"/>
        <v/>
      </c>
      <c r="O1776" s="15" t="str">
        <f>IFERROR(VLOOKUP(I1776,material!A:D,2,0),"")</f>
        <v/>
      </c>
    </row>
    <row r="1777">
      <c r="A1777" s="6"/>
      <c r="B1777" s="7"/>
      <c r="C1777" s="8" t="str">
        <f t="array" ref="C1777">IFERROR(INDEX(atlas!H:H,MATCH(A1777,atlas!C:C,0)),"")</f>
        <v/>
      </c>
      <c r="D1777" s="8" t="str">
        <f t="array" ref="D1777">IFERROR(INDEX(atlas!D:D,MATCH(A1777,atlas!C:C,0)),"")</f>
        <v/>
      </c>
      <c r="E1777" s="8" t="str">
        <f t="array" ref="E1777">IFERROR(INDEX(atlas!F:F,MATCH(A1777,atlas!C:C,0)),"")</f>
        <v/>
      </c>
      <c r="F1777" s="9"/>
      <c r="G1777" s="10"/>
      <c r="H1777" s="11"/>
      <c r="I1777" s="12" t="str">
        <f t="array" ref="I1777">IFERROR(INDEX(atlas!B:B,MATCH(A1777,atlas!C:C,0)),"")</f>
        <v/>
      </c>
      <c r="J1777" s="8" t="str">
        <f>IFERROR(VLOOKUP(F1777,tecnica!A:B,2,0),"")</f>
        <v/>
      </c>
      <c r="K1777" s="8" t="str">
        <f>IFERROR(VLOOKUP(J1777,tecnica!B:C,2,0),"")</f>
        <v/>
      </c>
      <c r="L1777" s="13"/>
      <c r="M1777" s="14" t="str">
        <f>IFERROR(VLOOKUP(I1777,material!A:D,4,0),"")</f>
        <v/>
      </c>
      <c r="N1777" s="14" t="str">
        <f t="shared" si="1"/>
        <v/>
      </c>
      <c r="O1777" s="15" t="str">
        <f>IFERROR(VLOOKUP(I1777,material!A:D,2,0),"")</f>
        <v/>
      </c>
    </row>
    <row r="1778">
      <c r="A1778" s="6"/>
      <c r="B1778" s="7"/>
      <c r="C1778" s="8" t="str">
        <f t="array" ref="C1778">IFERROR(INDEX(atlas!H:H,MATCH(A1778,atlas!C:C,0)),"")</f>
        <v/>
      </c>
      <c r="D1778" s="8" t="str">
        <f t="array" ref="D1778">IFERROR(INDEX(atlas!D:D,MATCH(A1778,atlas!C:C,0)),"")</f>
        <v/>
      </c>
      <c r="E1778" s="8" t="str">
        <f t="array" ref="E1778">IFERROR(INDEX(atlas!F:F,MATCH(A1778,atlas!C:C,0)),"")</f>
        <v/>
      </c>
      <c r="F1778" s="9"/>
      <c r="G1778" s="10"/>
      <c r="H1778" s="11"/>
      <c r="I1778" s="12" t="str">
        <f t="array" ref="I1778">IFERROR(INDEX(atlas!B:B,MATCH(A1778,atlas!C:C,0)),"")</f>
        <v/>
      </c>
      <c r="J1778" s="8" t="str">
        <f>IFERROR(VLOOKUP(F1778,tecnica!A:B,2,0),"")</f>
        <v/>
      </c>
      <c r="K1778" s="8" t="str">
        <f>IFERROR(VLOOKUP(J1778,tecnica!B:C,2,0),"")</f>
        <v/>
      </c>
      <c r="L1778" s="13"/>
      <c r="M1778" s="14" t="str">
        <f>IFERROR(VLOOKUP(I1778,material!A:D,4,0),"")</f>
        <v/>
      </c>
      <c r="N1778" s="14" t="str">
        <f t="shared" si="1"/>
        <v/>
      </c>
      <c r="O1778" s="15" t="str">
        <f>IFERROR(VLOOKUP(I1778,material!A:D,2,0),"")</f>
        <v/>
      </c>
    </row>
    <row r="1779">
      <c r="A1779" s="6"/>
      <c r="B1779" s="7"/>
      <c r="C1779" s="8" t="str">
        <f t="array" ref="C1779">IFERROR(INDEX(atlas!H:H,MATCH(A1779,atlas!C:C,0)),"")</f>
        <v/>
      </c>
      <c r="D1779" s="8" t="str">
        <f t="array" ref="D1779">IFERROR(INDEX(atlas!D:D,MATCH(A1779,atlas!C:C,0)),"")</f>
        <v/>
      </c>
      <c r="E1779" s="8" t="str">
        <f t="array" ref="E1779">IFERROR(INDEX(atlas!F:F,MATCH(A1779,atlas!C:C,0)),"")</f>
        <v/>
      </c>
      <c r="F1779" s="9"/>
      <c r="G1779" s="10"/>
      <c r="H1779" s="11"/>
      <c r="I1779" s="12" t="str">
        <f t="array" ref="I1779">IFERROR(INDEX(atlas!B:B,MATCH(A1779,atlas!C:C,0)),"")</f>
        <v/>
      </c>
      <c r="J1779" s="8" t="str">
        <f>IFERROR(VLOOKUP(F1779,tecnica!A:B,2,0),"")</f>
        <v/>
      </c>
      <c r="K1779" s="8" t="str">
        <f>IFERROR(VLOOKUP(J1779,tecnica!B:C,2,0),"")</f>
        <v/>
      </c>
      <c r="L1779" s="13"/>
      <c r="M1779" s="14" t="str">
        <f>IFERROR(VLOOKUP(I1779,material!A:D,4,0),"")</f>
        <v/>
      </c>
      <c r="N1779" s="14" t="str">
        <f t="shared" si="1"/>
        <v/>
      </c>
      <c r="O1779" s="15" t="str">
        <f>IFERROR(VLOOKUP(I1779,material!A:D,2,0),"")</f>
        <v/>
      </c>
    </row>
    <row r="1780">
      <c r="A1780" s="6"/>
      <c r="B1780" s="7"/>
      <c r="C1780" s="8" t="str">
        <f t="array" ref="C1780">IFERROR(INDEX(atlas!H:H,MATCH(A1780,atlas!C:C,0)),"")</f>
        <v/>
      </c>
      <c r="D1780" s="8" t="str">
        <f t="array" ref="D1780">IFERROR(INDEX(atlas!D:D,MATCH(A1780,atlas!C:C,0)),"")</f>
        <v/>
      </c>
      <c r="E1780" s="8" t="str">
        <f t="array" ref="E1780">IFERROR(INDEX(atlas!F:F,MATCH(A1780,atlas!C:C,0)),"")</f>
        <v/>
      </c>
      <c r="F1780" s="9"/>
      <c r="G1780" s="10"/>
      <c r="H1780" s="11"/>
      <c r="I1780" s="12" t="str">
        <f t="array" ref="I1780">IFERROR(INDEX(atlas!B:B,MATCH(A1780,atlas!C:C,0)),"")</f>
        <v/>
      </c>
      <c r="J1780" s="8" t="str">
        <f>IFERROR(VLOOKUP(F1780,tecnica!A:B,2,0),"")</f>
        <v/>
      </c>
      <c r="K1780" s="8" t="str">
        <f>IFERROR(VLOOKUP(J1780,tecnica!B:C,2,0),"")</f>
        <v/>
      </c>
      <c r="L1780" s="13"/>
      <c r="M1780" s="14" t="str">
        <f>IFERROR(VLOOKUP(I1780,material!A:D,4,0),"")</f>
        <v/>
      </c>
      <c r="N1780" s="14" t="str">
        <f t="shared" si="1"/>
        <v/>
      </c>
      <c r="O1780" s="15" t="str">
        <f>IFERROR(VLOOKUP(I1780,material!A:D,2,0),"")</f>
        <v/>
      </c>
    </row>
    <row r="1781">
      <c r="A1781" s="6"/>
      <c r="B1781" s="7"/>
      <c r="C1781" s="8" t="str">
        <f t="array" ref="C1781">IFERROR(INDEX(atlas!H:H,MATCH(A1781,atlas!C:C,0)),"")</f>
        <v/>
      </c>
      <c r="D1781" s="8" t="str">
        <f t="array" ref="D1781">IFERROR(INDEX(atlas!D:D,MATCH(A1781,atlas!C:C,0)),"")</f>
        <v/>
      </c>
      <c r="E1781" s="8" t="str">
        <f t="array" ref="E1781">IFERROR(INDEX(atlas!F:F,MATCH(A1781,atlas!C:C,0)),"")</f>
        <v/>
      </c>
      <c r="F1781" s="9"/>
      <c r="G1781" s="10"/>
      <c r="H1781" s="11"/>
      <c r="I1781" s="12" t="str">
        <f t="array" ref="I1781">IFERROR(INDEX(atlas!B:B,MATCH(A1781,atlas!C:C,0)),"")</f>
        <v/>
      </c>
      <c r="J1781" s="8" t="str">
        <f>IFERROR(VLOOKUP(F1781,tecnica!A:B,2,0),"")</f>
        <v/>
      </c>
      <c r="K1781" s="8" t="str">
        <f>IFERROR(VLOOKUP(J1781,tecnica!B:C,2,0),"")</f>
        <v/>
      </c>
      <c r="L1781" s="13"/>
      <c r="M1781" s="14" t="str">
        <f>IFERROR(VLOOKUP(I1781,material!A:D,4,0),"")</f>
        <v/>
      </c>
      <c r="N1781" s="14" t="str">
        <f t="shared" si="1"/>
        <v/>
      </c>
      <c r="O1781" s="15" t="str">
        <f>IFERROR(VLOOKUP(I1781,material!A:D,2,0),"")</f>
        <v/>
      </c>
    </row>
    <row r="1782">
      <c r="A1782" s="6"/>
      <c r="B1782" s="7"/>
      <c r="C1782" s="8" t="str">
        <f t="array" ref="C1782">IFERROR(INDEX(atlas!H:H,MATCH(A1782,atlas!C:C,0)),"")</f>
        <v/>
      </c>
      <c r="D1782" s="8" t="str">
        <f t="array" ref="D1782">IFERROR(INDEX(atlas!D:D,MATCH(A1782,atlas!C:C,0)),"")</f>
        <v/>
      </c>
      <c r="E1782" s="8" t="str">
        <f t="array" ref="E1782">IFERROR(INDEX(atlas!F:F,MATCH(A1782,atlas!C:C,0)),"")</f>
        <v/>
      </c>
      <c r="F1782" s="9"/>
      <c r="G1782" s="10"/>
      <c r="H1782" s="11"/>
      <c r="I1782" s="12" t="str">
        <f t="array" ref="I1782">IFERROR(INDEX(atlas!B:B,MATCH(A1782,atlas!C:C,0)),"")</f>
        <v/>
      </c>
      <c r="J1782" s="8" t="str">
        <f>IFERROR(VLOOKUP(F1782,tecnica!A:B,2,0),"")</f>
        <v/>
      </c>
      <c r="K1782" s="8" t="str">
        <f>IFERROR(VLOOKUP(J1782,tecnica!B:C,2,0),"")</f>
        <v/>
      </c>
      <c r="L1782" s="13"/>
      <c r="M1782" s="14" t="str">
        <f>IFERROR(VLOOKUP(I1782,material!A:D,4,0),"")</f>
        <v/>
      </c>
      <c r="N1782" s="14" t="str">
        <f t="shared" si="1"/>
        <v/>
      </c>
      <c r="O1782" s="15" t="str">
        <f>IFERROR(VLOOKUP(I1782,material!A:D,2,0),"")</f>
        <v/>
      </c>
    </row>
    <row r="1783">
      <c r="A1783" s="6"/>
      <c r="B1783" s="7"/>
      <c r="C1783" s="8" t="str">
        <f t="array" ref="C1783">IFERROR(INDEX(atlas!H:H,MATCH(A1783,atlas!C:C,0)),"")</f>
        <v/>
      </c>
      <c r="D1783" s="8" t="str">
        <f t="array" ref="D1783">IFERROR(INDEX(atlas!D:D,MATCH(A1783,atlas!C:C,0)),"")</f>
        <v/>
      </c>
      <c r="E1783" s="8" t="str">
        <f t="array" ref="E1783">IFERROR(INDEX(atlas!F:F,MATCH(A1783,atlas!C:C,0)),"")</f>
        <v/>
      </c>
      <c r="F1783" s="9"/>
      <c r="G1783" s="10"/>
      <c r="H1783" s="11"/>
      <c r="I1783" s="12" t="str">
        <f t="array" ref="I1783">IFERROR(INDEX(atlas!B:B,MATCH(A1783,atlas!C:C,0)),"")</f>
        <v/>
      </c>
      <c r="J1783" s="8" t="str">
        <f>IFERROR(VLOOKUP(F1783,tecnica!A:B,2,0),"")</f>
        <v/>
      </c>
      <c r="K1783" s="8" t="str">
        <f>IFERROR(VLOOKUP(J1783,tecnica!B:C,2,0),"")</f>
        <v/>
      </c>
      <c r="L1783" s="13"/>
      <c r="M1783" s="14" t="str">
        <f>IFERROR(VLOOKUP(I1783,material!A:D,4,0),"")</f>
        <v/>
      </c>
      <c r="N1783" s="14" t="str">
        <f t="shared" si="1"/>
        <v/>
      </c>
      <c r="O1783" s="15" t="str">
        <f>IFERROR(VLOOKUP(I1783,material!A:D,2,0),"")</f>
        <v/>
      </c>
    </row>
    <row r="1784">
      <c r="A1784" s="6"/>
      <c r="B1784" s="7"/>
      <c r="C1784" s="8" t="str">
        <f t="array" ref="C1784">IFERROR(INDEX(atlas!H:H,MATCH(A1784,atlas!C:C,0)),"")</f>
        <v/>
      </c>
      <c r="D1784" s="8" t="str">
        <f t="array" ref="D1784">IFERROR(INDEX(atlas!D:D,MATCH(A1784,atlas!C:C,0)),"")</f>
        <v/>
      </c>
      <c r="E1784" s="8" t="str">
        <f t="array" ref="E1784">IFERROR(INDEX(atlas!F:F,MATCH(A1784,atlas!C:C,0)),"")</f>
        <v/>
      </c>
      <c r="F1784" s="9"/>
      <c r="G1784" s="10"/>
      <c r="H1784" s="11"/>
      <c r="I1784" s="12" t="str">
        <f t="array" ref="I1784">IFERROR(INDEX(atlas!B:B,MATCH(A1784,atlas!C:C,0)),"")</f>
        <v/>
      </c>
      <c r="J1784" s="8" t="str">
        <f>IFERROR(VLOOKUP(F1784,tecnica!A:B,2,0),"")</f>
        <v/>
      </c>
      <c r="K1784" s="8" t="str">
        <f>IFERROR(VLOOKUP(J1784,tecnica!B:C,2,0),"")</f>
        <v/>
      </c>
      <c r="L1784" s="13"/>
      <c r="M1784" s="14" t="str">
        <f>IFERROR(VLOOKUP(I1784,material!A:D,4,0),"")</f>
        <v/>
      </c>
      <c r="N1784" s="14" t="str">
        <f t="shared" si="1"/>
        <v/>
      </c>
      <c r="O1784" s="15" t="str">
        <f>IFERROR(VLOOKUP(I1784,material!A:D,2,0),"")</f>
        <v/>
      </c>
    </row>
    <row r="1785">
      <c r="A1785" s="6"/>
      <c r="B1785" s="7"/>
      <c r="C1785" s="8" t="str">
        <f t="array" ref="C1785">IFERROR(INDEX(atlas!H:H,MATCH(A1785,atlas!C:C,0)),"")</f>
        <v/>
      </c>
      <c r="D1785" s="8" t="str">
        <f t="array" ref="D1785">IFERROR(INDEX(atlas!D:D,MATCH(A1785,atlas!C:C,0)),"")</f>
        <v/>
      </c>
      <c r="E1785" s="8" t="str">
        <f t="array" ref="E1785">IFERROR(INDEX(atlas!F:F,MATCH(A1785,atlas!C:C,0)),"")</f>
        <v/>
      </c>
      <c r="F1785" s="9"/>
      <c r="G1785" s="10"/>
      <c r="H1785" s="11"/>
      <c r="I1785" s="12" t="str">
        <f t="array" ref="I1785">IFERROR(INDEX(atlas!B:B,MATCH(A1785,atlas!C:C,0)),"")</f>
        <v/>
      </c>
      <c r="J1785" s="8" t="str">
        <f>IFERROR(VLOOKUP(F1785,tecnica!A:B,2,0),"")</f>
        <v/>
      </c>
      <c r="K1785" s="8" t="str">
        <f>IFERROR(VLOOKUP(J1785,tecnica!B:C,2,0),"")</f>
        <v/>
      </c>
      <c r="L1785" s="13"/>
      <c r="M1785" s="14" t="str">
        <f>IFERROR(VLOOKUP(I1785,material!A:D,4,0),"")</f>
        <v/>
      </c>
      <c r="N1785" s="14" t="str">
        <f t="shared" si="1"/>
        <v/>
      </c>
      <c r="O1785" s="15" t="str">
        <f>IFERROR(VLOOKUP(I1785,material!A:D,2,0),"")</f>
        <v/>
      </c>
    </row>
    <row r="1786">
      <c r="A1786" s="6"/>
      <c r="B1786" s="7"/>
      <c r="C1786" s="8" t="str">
        <f t="array" ref="C1786">IFERROR(INDEX(atlas!H:H,MATCH(A1786,atlas!C:C,0)),"")</f>
        <v/>
      </c>
      <c r="D1786" s="8" t="str">
        <f t="array" ref="D1786">IFERROR(INDEX(atlas!D:D,MATCH(A1786,atlas!C:C,0)),"")</f>
        <v/>
      </c>
      <c r="E1786" s="8" t="str">
        <f t="array" ref="E1786">IFERROR(INDEX(atlas!F:F,MATCH(A1786,atlas!C:C,0)),"")</f>
        <v/>
      </c>
      <c r="F1786" s="9"/>
      <c r="G1786" s="10"/>
      <c r="H1786" s="11"/>
      <c r="I1786" s="12" t="str">
        <f t="array" ref="I1786">IFERROR(INDEX(atlas!B:B,MATCH(A1786,atlas!C:C,0)),"")</f>
        <v/>
      </c>
      <c r="J1786" s="8" t="str">
        <f>IFERROR(VLOOKUP(F1786,tecnica!A:B,2,0),"")</f>
        <v/>
      </c>
      <c r="K1786" s="8" t="str">
        <f>IFERROR(VLOOKUP(J1786,tecnica!B:C,2,0),"")</f>
        <v/>
      </c>
      <c r="L1786" s="13"/>
      <c r="M1786" s="14" t="str">
        <f>IFERROR(VLOOKUP(I1786,material!A:D,4,0),"")</f>
        <v/>
      </c>
      <c r="N1786" s="14" t="str">
        <f t="shared" si="1"/>
        <v/>
      </c>
      <c r="O1786" s="15" t="str">
        <f>IFERROR(VLOOKUP(I1786,material!A:D,2,0),"")</f>
        <v/>
      </c>
    </row>
    <row r="1787">
      <c r="A1787" s="6"/>
      <c r="B1787" s="7"/>
      <c r="C1787" s="8" t="str">
        <f t="array" ref="C1787">IFERROR(INDEX(atlas!H:H,MATCH(A1787,atlas!C:C,0)),"")</f>
        <v/>
      </c>
      <c r="D1787" s="8" t="str">
        <f t="array" ref="D1787">IFERROR(INDEX(atlas!D:D,MATCH(A1787,atlas!C:C,0)),"")</f>
        <v/>
      </c>
      <c r="E1787" s="8" t="str">
        <f t="array" ref="E1787">IFERROR(INDEX(atlas!F:F,MATCH(A1787,atlas!C:C,0)),"")</f>
        <v/>
      </c>
      <c r="F1787" s="9"/>
      <c r="G1787" s="10"/>
      <c r="H1787" s="11"/>
      <c r="I1787" s="12" t="str">
        <f t="array" ref="I1787">IFERROR(INDEX(atlas!B:B,MATCH(A1787,atlas!C:C,0)),"")</f>
        <v/>
      </c>
      <c r="J1787" s="8" t="str">
        <f>IFERROR(VLOOKUP(F1787,tecnica!A:B,2,0),"")</f>
        <v/>
      </c>
      <c r="K1787" s="8" t="str">
        <f>IFERROR(VLOOKUP(J1787,tecnica!B:C,2,0),"")</f>
        <v/>
      </c>
      <c r="L1787" s="13"/>
      <c r="M1787" s="14" t="str">
        <f>IFERROR(VLOOKUP(I1787,material!A:D,4,0),"")</f>
        <v/>
      </c>
      <c r="N1787" s="14" t="str">
        <f t="shared" si="1"/>
        <v/>
      </c>
      <c r="O1787" s="15" t="str">
        <f>IFERROR(VLOOKUP(I1787,material!A:D,2,0),"")</f>
        <v/>
      </c>
    </row>
    <row r="1788">
      <c r="A1788" s="6"/>
      <c r="B1788" s="7"/>
      <c r="C1788" s="8" t="str">
        <f t="array" ref="C1788">IFERROR(INDEX(atlas!H:H,MATCH(A1788,atlas!C:C,0)),"")</f>
        <v/>
      </c>
      <c r="D1788" s="8" t="str">
        <f t="array" ref="D1788">IFERROR(INDEX(atlas!D:D,MATCH(A1788,atlas!C:C,0)),"")</f>
        <v/>
      </c>
      <c r="E1788" s="8" t="str">
        <f t="array" ref="E1788">IFERROR(INDEX(atlas!F:F,MATCH(A1788,atlas!C:C,0)),"")</f>
        <v/>
      </c>
      <c r="F1788" s="9"/>
      <c r="G1788" s="10"/>
      <c r="H1788" s="11"/>
      <c r="I1788" s="12" t="str">
        <f t="array" ref="I1788">IFERROR(INDEX(atlas!B:B,MATCH(A1788,atlas!C:C,0)),"")</f>
        <v/>
      </c>
      <c r="J1788" s="8" t="str">
        <f>IFERROR(VLOOKUP(F1788,tecnica!A:B,2,0),"")</f>
        <v/>
      </c>
      <c r="K1788" s="8" t="str">
        <f>IFERROR(VLOOKUP(J1788,tecnica!B:C,2,0),"")</f>
        <v/>
      </c>
      <c r="L1788" s="13"/>
      <c r="M1788" s="14" t="str">
        <f>IFERROR(VLOOKUP(I1788,material!A:D,4,0),"")</f>
        <v/>
      </c>
      <c r="N1788" s="14" t="str">
        <f t="shared" si="1"/>
        <v/>
      </c>
      <c r="O1788" s="15" t="str">
        <f>IFERROR(VLOOKUP(I1788,material!A:D,2,0),"")</f>
        <v/>
      </c>
    </row>
    <row r="1789">
      <c r="A1789" s="6"/>
      <c r="B1789" s="7"/>
      <c r="C1789" s="8" t="str">
        <f t="array" ref="C1789">IFERROR(INDEX(atlas!H:H,MATCH(A1789,atlas!C:C,0)),"")</f>
        <v/>
      </c>
      <c r="D1789" s="8" t="str">
        <f t="array" ref="D1789">IFERROR(INDEX(atlas!D:D,MATCH(A1789,atlas!C:C,0)),"")</f>
        <v/>
      </c>
      <c r="E1789" s="8" t="str">
        <f t="array" ref="E1789">IFERROR(INDEX(atlas!F:F,MATCH(A1789,atlas!C:C,0)),"")</f>
        <v/>
      </c>
      <c r="F1789" s="9"/>
      <c r="G1789" s="10"/>
      <c r="H1789" s="11"/>
      <c r="I1789" s="12" t="str">
        <f t="array" ref="I1789">IFERROR(INDEX(atlas!B:B,MATCH(A1789,atlas!C:C,0)),"")</f>
        <v/>
      </c>
      <c r="J1789" s="8" t="str">
        <f>IFERROR(VLOOKUP(F1789,tecnica!A:B,2,0),"")</f>
        <v/>
      </c>
      <c r="K1789" s="8" t="str">
        <f>IFERROR(VLOOKUP(J1789,tecnica!B:C,2,0),"")</f>
        <v/>
      </c>
      <c r="L1789" s="13"/>
      <c r="M1789" s="14" t="str">
        <f>IFERROR(VLOOKUP(I1789,material!A:D,4,0),"")</f>
        <v/>
      </c>
      <c r="N1789" s="14" t="str">
        <f t="shared" si="1"/>
        <v/>
      </c>
      <c r="O1789" s="15" t="str">
        <f>IFERROR(VLOOKUP(I1789,material!A:D,2,0),"")</f>
        <v/>
      </c>
    </row>
    <row r="1790">
      <c r="A1790" s="6"/>
      <c r="B1790" s="7"/>
      <c r="C1790" s="8" t="str">
        <f t="array" ref="C1790">IFERROR(INDEX(atlas!H:H,MATCH(A1790,atlas!C:C,0)),"")</f>
        <v/>
      </c>
      <c r="D1790" s="8" t="str">
        <f t="array" ref="D1790">IFERROR(INDEX(atlas!D:D,MATCH(A1790,atlas!C:C,0)),"")</f>
        <v/>
      </c>
      <c r="E1790" s="8" t="str">
        <f t="array" ref="E1790">IFERROR(INDEX(atlas!F:F,MATCH(A1790,atlas!C:C,0)),"")</f>
        <v/>
      </c>
      <c r="F1790" s="9"/>
      <c r="G1790" s="10"/>
      <c r="H1790" s="11"/>
      <c r="I1790" s="12" t="str">
        <f t="array" ref="I1790">IFERROR(INDEX(atlas!B:B,MATCH(A1790,atlas!C:C,0)),"")</f>
        <v/>
      </c>
      <c r="J1790" s="8" t="str">
        <f>IFERROR(VLOOKUP(F1790,tecnica!A:B,2,0),"")</f>
        <v/>
      </c>
      <c r="K1790" s="8" t="str">
        <f>IFERROR(VLOOKUP(J1790,tecnica!B:C,2,0),"")</f>
        <v/>
      </c>
      <c r="L1790" s="13"/>
      <c r="M1790" s="14" t="str">
        <f>IFERROR(VLOOKUP(I1790,material!A:D,4,0),"")</f>
        <v/>
      </c>
      <c r="N1790" s="14" t="str">
        <f t="shared" si="1"/>
        <v/>
      </c>
      <c r="O1790" s="15" t="str">
        <f>IFERROR(VLOOKUP(I1790,material!A:D,2,0),"")</f>
        <v/>
      </c>
    </row>
    <row r="1791">
      <c r="A1791" s="6"/>
      <c r="B1791" s="7"/>
      <c r="C1791" s="8" t="str">
        <f t="array" ref="C1791">IFERROR(INDEX(atlas!H:H,MATCH(A1791,atlas!C:C,0)),"")</f>
        <v/>
      </c>
      <c r="D1791" s="8" t="str">
        <f t="array" ref="D1791">IFERROR(INDEX(atlas!D:D,MATCH(A1791,atlas!C:C,0)),"")</f>
        <v/>
      </c>
      <c r="E1791" s="8" t="str">
        <f t="array" ref="E1791">IFERROR(INDEX(atlas!F:F,MATCH(A1791,atlas!C:C,0)),"")</f>
        <v/>
      </c>
      <c r="F1791" s="9"/>
      <c r="G1791" s="10"/>
      <c r="H1791" s="11"/>
      <c r="I1791" s="12" t="str">
        <f t="array" ref="I1791">IFERROR(INDEX(atlas!B:B,MATCH(A1791,atlas!C:C,0)),"")</f>
        <v/>
      </c>
      <c r="J1791" s="8" t="str">
        <f>IFERROR(VLOOKUP(F1791,tecnica!A:B,2,0),"")</f>
        <v/>
      </c>
      <c r="K1791" s="8" t="str">
        <f>IFERROR(VLOOKUP(J1791,tecnica!B:C,2,0),"")</f>
        <v/>
      </c>
      <c r="L1791" s="13"/>
      <c r="M1791" s="14" t="str">
        <f>IFERROR(VLOOKUP(I1791,material!A:D,4,0),"")</f>
        <v/>
      </c>
      <c r="N1791" s="14" t="str">
        <f t="shared" si="1"/>
        <v/>
      </c>
      <c r="O1791" s="15" t="str">
        <f>IFERROR(VLOOKUP(I1791,material!A:D,2,0),"")</f>
        <v/>
      </c>
    </row>
    <row r="1792">
      <c r="A1792" s="6"/>
      <c r="B1792" s="7"/>
      <c r="C1792" s="8" t="str">
        <f t="array" ref="C1792">IFERROR(INDEX(atlas!H:H,MATCH(A1792,atlas!C:C,0)),"")</f>
        <v/>
      </c>
      <c r="D1792" s="8" t="str">
        <f t="array" ref="D1792">IFERROR(INDEX(atlas!D:D,MATCH(A1792,atlas!C:C,0)),"")</f>
        <v/>
      </c>
      <c r="E1792" s="8" t="str">
        <f t="array" ref="E1792">IFERROR(INDEX(atlas!F:F,MATCH(A1792,atlas!C:C,0)),"")</f>
        <v/>
      </c>
      <c r="F1792" s="9"/>
      <c r="G1792" s="10"/>
      <c r="H1792" s="11"/>
      <c r="I1792" s="12" t="str">
        <f t="array" ref="I1792">IFERROR(INDEX(atlas!B:B,MATCH(A1792,atlas!C:C,0)),"")</f>
        <v/>
      </c>
      <c r="J1792" s="8" t="str">
        <f>IFERROR(VLOOKUP(F1792,tecnica!A:B,2,0),"")</f>
        <v/>
      </c>
      <c r="K1792" s="8" t="str">
        <f>IFERROR(VLOOKUP(J1792,tecnica!B:C,2,0),"")</f>
        <v/>
      </c>
      <c r="L1792" s="13"/>
      <c r="M1792" s="14" t="str">
        <f>IFERROR(VLOOKUP(I1792,material!A:D,4,0),"")</f>
        <v/>
      </c>
      <c r="N1792" s="14" t="str">
        <f t="shared" si="1"/>
        <v/>
      </c>
      <c r="O1792" s="15" t="str">
        <f>IFERROR(VLOOKUP(I1792,material!A:D,2,0),"")</f>
        <v/>
      </c>
    </row>
    <row r="1793">
      <c r="A1793" s="6"/>
      <c r="B1793" s="7"/>
      <c r="C1793" s="8" t="str">
        <f t="array" ref="C1793">IFERROR(INDEX(atlas!H:H,MATCH(A1793,atlas!C:C,0)),"")</f>
        <v/>
      </c>
      <c r="D1793" s="8" t="str">
        <f t="array" ref="D1793">IFERROR(INDEX(atlas!D:D,MATCH(A1793,atlas!C:C,0)),"")</f>
        <v/>
      </c>
      <c r="E1793" s="8" t="str">
        <f t="array" ref="E1793">IFERROR(INDEX(atlas!F:F,MATCH(A1793,atlas!C:C,0)),"")</f>
        <v/>
      </c>
      <c r="F1793" s="9"/>
      <c r="G1793" s="10"/>
      <c r="H1793" s="11"/>
      <c r="I1793" s="12" t="str">
        <f t="array" ref="I1793">IFERROR(INDEX(atlas!B:B,MATCH(A1793,atlas!C:C,0)),"")</f>
        <v/>
      </c>
      <c r="J1793" s="8" t="str">
        <f>IFERROR(VLOOKUP(F1793,tecnica!A:B,2,0),"")</f>
        <v/>
      </c>
      <c r="K1793" s="8" t="str">
        <f>IFERROR(VLOOKUP(J1793,tecnica!B:C,2,0),"")</f>
        <v/>
      </c>
      <c r="L1793" s="13"/>
      <c r="M1793" s="14" t="str">
        <f>IFERROR(VLOOKUP(I1793,material!A:D,4,0),"")</f>
        <v/>
      </c>
      <c r="N1793" s="14" t="str">
        <f t="shared" si="1"/>
        <v/>
      </c>
      <c r="O1793" s="15" t="str">
        <f>IFERROR(VLOOKUP(I1793,material!A:D,2,0),"")</f>
        <v/>
      </c>
    </row>
    <row r="1794">
      <c r="A1794" s="6"/>
      <c r="B1794" s="7"/>
      <c r="C1794" s="8" t="str">
        <f t="array" ref="C1794">IFERROR(INDEX(atlas!H:H,MATCH(A1794,atlas!C:C,0)),"")</f>
        <v/>
      </c>
      <c r="D1794" s="8" t="str">
        <f t="array" ref="D1794">IFERROR(INDEX(atlas!D:D,MATCH(A1794,atlas!C:C,0)),"")</f>
        <v/>
      </c>
      <c r="E1794" s="8" t="str">
        <f t="array" ref="E1794">IFERROR(INDEX(atlas!F:F,MATCH(A1794,atlas!C:C,0)),"")</f>
        <v/>
      </c>
      <c r="F1794" s="9"/>
      <c r="G1794" s="10"/>
      <c r="H1794" s="11"/>
      <c r="I1794" s="12" t="str">
        <f t="array" ref="I1794">IFERROR(INDEX(atlas!B:B,MATCH(A1794,atlas!C:C,0)),"")</f>
        <v/>
      </c>
      <c r="J1794" s="8" t="str">
        <f>IFERROR(VLOOKUP(F1794,tecnica!A:B,2,0),"")</f>
        <v/>
      </c>
      <c r="K1794" s="8" t="str">
        <f>IFERROR(VLOOKUP(J1794,tecnica!B:C,2,0),"")</f>
        <v/>
      </c>
      <c r="L1794" s="13"/>
      <c r="M1794" s="14" t="str">
        <f>IFERROR(VLOOKUP(I1794,material!A:D,4,0),"")</f>
        <v/>
      </c>
      <c r="N1794" s="14" t="str">
        <f t="shared" si="1"/>
        <v/>
      </c>
      <c r="O1794" s="15" t="str">
        <f>IFERROR(VLOOKUP(I1794,material!A:D,2,0),"")</f>
        <v/>
      </c>
    </row>
    <row r="1795">
      <c r="A1795" s="6"/>
      <c r="B1795" s="7"/>
      <c r="C1795" s="8" t="str">
        <f t="array" ref="C1795">IFERROR(INDEX(atlas!H:H,MATCH(A1795,atlas!C:C,0)),"")</f>
        <v/>
      </c>
      <c r="D1795" s="8" t="str">
        <f t="array" ref="D1795">IFERROR(INDEX(atlas!D:D,MATCH(A1795,atlas!C:C,0)),"")</f>
        <v/>
      </c>
      <c r="E1795" s="8" t="str">
        <f t="array" ref="E1795">IFERROR(INDEX(atlas!F:F,MATCH(A1795,atlas!C:C,0)),"")</f>
        <v/>
      </c>
      <c r="F1795" s="9"/>
      <c r="G1795" s="10"/>
      <c r="H1795" s="11"/>
      <c r="I1795" s="12" t="str">
        <f t="array" ref="I1795">IFERROR(INDEX(atlas!B:B,MATCH(A1795,atlas!C:C,0)),"")</f>
        <v/>
      </c>
      <c r="J1795" s="8" t="str">
        <f>IFERROR(VLOOKUP(F1795,tecnica!A:B,2,0),"")</f>
        <v/>
      </c>
      <c r="K1795" s="8" t="str">
        <f>IFERROR(VLOOKUP(J1795,tecnica!B:C,2,0),"")</f>
        <v/>
      </c>
      <c r="L1795" s="13"/>
      <c r="M1795" s="14" t="str">
        <f>IFERROR(VLOOKUP(I1795,material!A:D,4,0),"")</f>
        <v/>
      </c>
      <c r="N1795" s="14" t="str">
        <f t="shared" si="1"/>
        <v/>
      </c>
      <c r="O1795" s="15" t="str">
        <f>IFERROR(VLOOKUP(I1795,material!A:D,2,0),"")</f>
        <v/>
      </c>
    </row>
    <row r="1796">
      <c r="A1796" s="6"/>
      <c r="B1796" s="7"/>
      <c r="C1796" s="8" t="str">
        <f t="array" ref="C1796">IFERROR(INDEX(atlas!H:H,MATCH(A1796,atlas!C:C,0)),"")</f>
        <v/>
      </c>
      <c r="D1796" s="8" t="str">
        <f t="array" ref="D1796">IFERROR(INDEX(atlas!D:D,MATCH(A1796,atlas!C:C,0)),"")</f>
        <v/>
      </c>
      <c r="E1796" s="8" t="str">
        <f t="array" ref="E1796">IFERROR(INDEX(atlas!F:F,MATCH(A1796,atlas!C:C,0)),"")</f>
        <v/>
      </c>
      <c r="F1796" s="9"/>
      <c r="G1796" s="10"/>
      <c r="H1796" s="11"/>
      <c r="I1796" s="12" t="str">
        <f t="array" ref="I1796">IFERROR(INDEX(atlas!B:B,MATCH(A1796,atlas!C:C,0)),"")</f>
        <v/>
      </c>
      <c r="J1796" s="8" t="str">
        <f>IFERROR(VLOOKUP(F1796,tecnica!A:B,2,0),"")</f>
        <v/>
      </c>
      <c r="K1796" s="8" t="str">
        <f>IFERROR(VLOOKUP(J1796,tecnica!B:C,2,0),"")</f>
        <v/>
      </c>
      <c r="L1796" s="13"/>
      <c r="M1796" s="14" t="str">
        <f>IFERROR(VLOOKUP(I1796,material!A:D,4,0),"")</f>
        <v/>
      </c>
      <c r="N1796" s="14" t="str">
        <f t="shared" si="1"/>
        <v/>
      </c>
      <c r="O1796" s="15" t="str">
        <f>IFERROR(VLOOKUP(I1796,material!A:D,2,0),"")</f>
        <v/>
      </c>
    </row>
    <row r="1797">
      <c r="A1797" s="6"/>
      <c r="B1797" s="7"/>
      <c r="C1797" s="8" t="str">
        <f t="array" ref="C1797">IFERROR(INDEX(atlas!H:H,MATCH(A1797,atlas!C:C,0)),"")</f>
        <v/>
      </c>
      <c r="D1797" s="8" t="str">
        <f t="array" ref="D1797">IFERROR(INDEX(atlas!D:D,MATCH(A1797,atlas!C:C,0)),"")</f>
        <v/>
      </c>
      <c r="E1797" s="8" t="str">
        <f t="array" ref="E1797">IFERROR(INDEX(atlas!F:F,MATCH(A1797,atlas!C:C,0)),"")</f>
        <v/>
      </c>
      <c r="F1797" s="9"/>
      <c r="G1797" s="10"/>
      <c r="H1797" s="11"/>
      <c r="I1797" s="12" t="str">
        <f t="array" ref="I1797">IFERROR(INDEX(atlas!B:B,MATCH(A1797,atlas!C:C,0)),"")</f>
        <v/>
      </c>
      <c r="J1797" s="8" t="str">
        <f>IFERROR(VLOOKUP(F1797,tecnica!A:B,2,0),"")</f>
        <v/>
      </c>
      <c r="K1797" s="8" t="str">
        <f>IFERROR(VLOOKUP(J1797,tecnica!B:C,2,0),"")</f>
        <v/>
      </c>
      <c r="L1797" s="13"/>
      <c r="M1797" s="14" t="str">
        <f>IFERROR(VLOOKUP(I1797,material!A:D,4,0),"")</f>
        <v/>
      </c>
      <c r="N1797" s="14" t="str">
        <f t="shared" si="1"/>
        <v/>
      </c>
      <c r="O1797" s="15" t="str">
        <f>IFERROR(VLOOKUP(I1797,material!A:D,2,0),"")</f>
        <v/>
      </c>
    </row>
    <row r="1798">
      <c r="A1798" s="6"/>
      <c r="B1798" s="7"/>
      <c r="C1798" s="8" t="str">
        <f t="array" ref="C1798">IFERROR(INDEX(atlas!H:H,MATCH(A1798,atlas!C:C,0)),"")</f>
        <v/>
      </c>
      <c r="D1798" s="8" t="str">
        <f t="array" ref="D1798">IFERROR(INDEX(atlas!D:D,MATCH(A1798,atlas!C:C,0)),"")</f>
        <v/>
      </c>
      <c r="E1798" s="8" t="str">
        <f t="array" ref="E1798">IFERROR(INDEX(atlas!F:F,MATCH(A1798,atlas!C:C,0)),"")</f>
        <v/>
      </c>
      <c r="F1798" s="9"/>
      <c r="G1798" s="10"/>
      <c r="H1798" s="11"/>
      <c r="I1798" s="12" t="str">
        <f t="array" ref="I1798">IFERROR(INDEX(atlas!B:B,MATCH(A1798,atlas!C:C,0)),"")</f>
        <v/>
      </c>
      <c r="J1798" s="8" t="str">
        <f>IFERROR(VLOOKUP(F1798,tecnica!A:B,2,0),"")</f>
        <v/>
      </c>
      <c r="K1798" s="8" t="str">
        <f>IFERROR(VLOOKUP(J1798,tecnica!B:C,2,0),"")</f>
        <v/>
      </c>
      <c r="L1798" s="13"/>
      <c r="M1798" s="14" t="str">
        <f>IFERROR(VLOOKUP(I1798,material!A:D,4,0),"")</f>
        <v/>
      </c>
      <c r="N1798" s="14" t="str">
        <f t="shared" si="1"/>
        <v/>
      </c>
      <c r="O1798" s="15" t="str">
        <f>IFERROR(VLOOKUP(I1798,material!A:D,2,0),"")</f>
        <v/>
      </c>
    </row>
    <row r="1799">
      <c r="A1799" s="6"/>
      <c r="B1799" s="7"/>
      <c r="C1799" s="8" t="str">
        <f t="array" ref="C1799">IFERROR(INDEX(atlas!H:H,MATCH(A1799,atlas!C:C,0)),"")</f>
        <v/>
      </c>
      <c r="D1799" s="8" t="str">
        <f t="array" ref="D1799">IFERROR(INDEX(atlas!D:D,MATCH(A1799,atlas!C:C,0)),"")</f>
        <v/>
      </c>
      <c r="E1799" s="8" t="str">
        <f t="array" ref="E1799">IFERROR(INDEX(atlas!F:F,MATCH(A1799,atlas!C:C,0)),"")</f>
        <v/>
      </c>
      <c r="F1799" s="9"/>
      <c r="G1799" s="10"/>
      <c r="H1799" s="11"/>
      <c r="I1799" s="12" t="str">
        <f t="array" ref="I1799">IFERROR(INDEX(atlas!B:B,MATCH(A1799,atlas!C:C,0)),"")</f>
        <v/>
      </c>
      <c r="J1799" s="8" t="str">
        <f>IFERROR(VLOOKUP(F1799,tecnica!A:B,2,0),"")</f>
        <v/>
      </c>
      <c r="K1799" s="8" t="str">
        <f>IFERROR(VLOOKUP(J1799,tecnica!B:C,2,0),"")</f>
        <v/>
      </c>
      <c r="L1799" s="13"/>
      <c r="M1799" s="14" t="str">
        <f>IFERROR(VLOOKUP(I1799,material!A:D,4,0),"")</f>
        <v/>
      </c>
      <c r="N1799" s="14" t="str">
        <f t="shared" si="1"/>
        <v/>
      </c>
      <c r="O1799" s="15" t="str">
        <f>IFERROR(VLOOKUP(I1799,material!A:D,2,0),"")</f>
        <v/>
      </c>
    </row>
    <row r="1800">
      <c r="A1800" s="6"/>
      <c r="B1800" s="7"/>
      <c r="C1800" s="8" t="str">
        <f t="array" ref="C1800">IFERROR(INDEX(atlas!H:H,MATCH(A1800,atlas!C:C,0)),"")</f>
        <v/>
      </c>
      <c r="D1800" s="8" t="str">
        <f t="array" ref="D1800">IFERROR(INDEX(atlas!D:D,MATCH(A1800,atlas!C:C,0)),"")</f>
        <v/>
      </c>
      <c r="E1800" s="8" t="str">
        <f t="array" ref="E1800">IFERROR(INDEX(atlas!F:F,MATCH(A1800,atlas!C:C,0)),"")</f>
        <v/>
      </c>
      <c r="F1800" s="9"/>
      <c r="G1800" s="10"/>
      <c r="H1800" s="11"/>
      <c r="I1800" s="12" t="str">
        <f t="array" ref="I1800">IFERROR(INDEX(atlas!B:B,MATCH(A1800,atlas!C:C,0)),"")</f>
        <v/>
      </c>
      <c r="J1800" s="8" t="str">
        <f>IFERROR(VLOOKUP(F1800,tecnica!A:B,2,0),"")</f>
        <v/>
      </c>
      <c r="K1800" s="8" t="str">
        <f>IFERROR(VLOOKUP(J1800,tecnica!B:C,2,0),"")</f>
        <v/>
      </c>
      <c r="L1800" s="13"/>
      <c r="M1800" s="14" t="str">
        <f>IFERROR(VLOOKUP(I1800,material!A:D,4,0),"")</f>
        <v/>
      </c>
      <c r="N1800" s="14" t="str">
        <f t="shared" si="1"/>
        <v/>
      </c>
      <c r="O1800" s="15" t="str">
        <f>IFERROR(VLOOKUP(I1800,material!A:D,2,0),"")</f>
        <v/>
      </c>
    </row>
    <row r="1801">
      <c r="A1801" s="6"/>
      <c r="B1801" s="7"/>
      <c r="C1801" s="8" t="str">
        <f t="array" ref="C1801">IFERROR(INDEX(atlas!H:H,MATCH(A1801,atlas!C:C,0)),"")</f>
        <v/>
      </c>
      <c r="D1801" s="8" t="str">
        <f t="array" ref="D1801">IFERROR(INDEX(atlas!D:D,MATCH(A1801,atlas!C:C,0)),"")</f>
        <v/>
      </c>
      <c r="E1801" s="8" t="str">
        <f t="array" ref="E1801">IFERROR(INDEX(atlas!F:F,MATCH(A1801,atlas!C:C,0)),"")</f>
        <v/>
      </c>
      <c r="F1801" s="9"/>
      <c r="G1801" s="10"/>
      <c r="H1801" s="11"/>
      <c r="I1801" s="12" t="str">
        <f t="array" ref="I1801">IFERROR(INDEX(atlas!B:B,MATCH(A1801,atlas!C:C,0)),"")</f>
        <v/>
      </c>
      <c r="J1801" s="8" t="str">
        <f>IFERROR(VLOOKUP(F1801,tecnica!A:B,2,0),"")</f>
        <v/>
      </c>
      <c r="K1801" s="8" t="str">
        <f>IFERROR(VLOOKUP(J1801,tecnica!B:C,2,0),"")</f>
        <v/>
      </c>
      <c r="L1801" s="13"/>
      <c r="M1801" s="14" t="str">
        <f>IFERROR(VLOOKUP(I1801,material!A:D,4,0),"")</f>
        <v/>
      </c>
      <c r="N1801" s="14" t="str">
        <f t="shared" si="1"/>
        <v/>
      </c>
      <c r="O1801" s="15" t="str">
        <f>IFERROR(VLOOKUP(I1801,material!A:D,2,0),"")</f>
        <v/>
      </c>
    </row>
    <row r="1802">
      <c r="A1802" s="6"/>
      <c r="B1802" s="7"/>
      <c r="C1802" s="8" t="str">
        <f t="array" ref="C1802">IFERROR(INDEX(atlas!H:H,MATCH(A1802,atlas!C:C,0)),"")</f>
        <v/>
      </c>
      <c r="D1802" s="8" t="str">
        <f t="array" ref="D1802">IFERROR(INDEX(atlas!D:D,MATCH(A1802,atlas!C:C,0)),"")</f>
        <v/>
      </c>
      <c r="E1802" s="8" t="str">
        <f t="array" ref="E1802">IFERROR(INDEX(atlas!F:F,MATCH(A1802,atlas!C:C,0)),"")</f>
        <v/>
      </c>
      <c r="F1802" s="9"/>
      <c r="G1802" s="10"/>
      <c r="H1802" s="11"/>
      <c r="I1802" s="12" t="str">
        <f t="array" ref="I1802">IFERROR(INDEX(atlas!B:B,MATCH(A1802,atlas!C:C,0)),"")</f>
        <v/>
      </c>
      <c r="J1802" s="8" t="str">
        <f>IFERROR(VLOOKUP(F1802,tecnica!A:B,2,0),"")</f>
        <v/>
      </c>
      <c r="K1802" s="8" t="str">
        <f>IFERROR(VLOOKUP(J1802,tecnica!B:C,2,0),"")</f>
        <v/>
      </c>
      <c r="L1802" s="13"/>
      <c r="M1802" s="14" t="str">
        <f>IFERROR(VLOOKUP(I1802,material!A:D,4,0),"")</f>
        <v/>
      </c>
      <c r="N1802" s="14" t="str">
        <f t="shared" si="1"/>
        <v/>
      </c>
      <c r="O1802" s="15" t="str">
        <f>IFERROR(VLOOKUP(I1802,material!A:D,2,0),"")</f>
        <v/>
      </c>
    </row>
    <row r="1803">
      <c r="A1803" s="6"/>
      <c r="B1803" s="7"/>
      <c r="C1803" s="8" t="str">
        <f t="array" ref="C1803">IFERROR(INDEX(atlas!H:H,MATCH(A1803,atlas!C:C,0)),"")</f>
        <v/>
      </c>
      <c r="D1803" s="8" t="str">
        <f t="array" ref="D1803">IFERROR(INDEX(atlas!D:D,MATCH(A1803,atlas!C:C,0)),"")</f>
        <v/>
      </c>
      <c r="E1803" s="8" t="str">
        <f t="array" ref="E1803">IFERROR(INDEX(atlas!F:F,MATCH(A1803,atlas!C:C,0)),"")</f>
        <v/>
      </c>
      <c r="F1803" s="9"/>
      <c r="G1803" s="10"/>
      <c r="H1803" s="11"/>
      <c r="I1803" s="12" t="str">
        <f t="array" ref="I1803">IFERROR(INDEX(atlas!B:B,MATCH(A1803,atlas!C:C,0)),"")</f>
        <v/>
      </c>
      <c r="J1803" s="8" t="str">
        <f>IFERROR(VLOOKUP(F1803,tecnica!A:B,2,0),"")</f>
        <v/>
      </c>
      <c r="K1803" s="8" t="str">
        <f>IFERROR(VLOOKUP(J1803,tecnica!B:C,2,0),"")</f>
        <v/>
      </c>
      <c r="L1803" s="13"/>
      <c r="M1803" s="14" t="str">
        <f>IFERROR(VLOOKUP(I1803,material!A:D,4,0),"")</f>
        <v/>
      </c>
      <c r="N1803" s="14" t="str">
        <f t="shared" si="1"/>
        <v/>
      </c>
      <c r="O1803" s="15" t="str">
        <f>IFERROR(VLOOKUP(I1803,material!A:D,2,0),"")</f>
        <v/>
      </c>
    </row>
    <row r="1804">
      <c r="A1804" s="6"/>
      <c r="B1804" s="7"/>
      <c r="C1804" s="8" t="str">
        <f t="array" ref="C1804">IFERROR(INDEX(atlas!H:H,MATCH(A1804,atlas!C:C,0)),"")</f>
        <v/>
      </c>
      <c r="D1804" s="8" t="str">
        <f t="array" ref="D1804">IFERROR(INDEX(atlas!D:D,MATCH(A1804,atlas!C:C,0)),"")</f>
        <v/>
      </c>
      <c r="E1804" s="8" t="str">
        <f t="array" ref="E1804">IFERROR(INDEX(atlas!F:F,MATCH(A1804,atlas!C:C,0)),"")</f>
        <v/>
      </c>
      <c r="F1804" s="9"/>
      <c r="G1804" s="10"/>
      <c r="H1804" s="11"/>
      <c r="I1804" s="12" t="str">
        <f t="array" ref="I1804">IFERROR(INDEX(atlas!B:B,MATCH(A1804,atlas!C:C,0)),"")</f>
        <v/>
      </c>
      <c r="J1804" s="8" t="str">
        <f>IFERROR(VLOOKUP(F1804,tecnica!A:B,2,0),"")</f>
        <v/>
      </c>
      <c r="K1804" s="8" t="str">
        <f>IFERROR(VLOOKUP(J1804,tecnica!B:C,2,0),"")</f>
        <v/>
      </c>
      <c r="L1804" s="13"/>
      <c r="M1804" s="14" t="str">
        <f>IFERROR(VLOOKUP(I1804,material!A:D,4,0),"")</f>
        <v/>
      </c>
      <c r="N1804" s="14" t="str">
        <f t="shared" si="1"/>
        <v/>
      </c>
      <c r="O1804" s="15" t="str">
        <f>IFERROR(VLOOKUP(I1804,material!A:D,2,0),"")</f>
        <v/>
      </c>
    </row>
    <row r="1805">
      <c r="A1805" s="6"/>
      <c r="B1805" s="7"/>
      <c r="C1805" s="8" t="str">
        <f t="array" ref="C1805">IFERROR(INDEX(atlas!H:H,MATCH(A1805,atlas!C:C,0)),"")</f>
        <v/>
      </c>
      <c r="D1805" s="8" t="str">
        <f t="array" ref="D1805">IFERROR(INDEX(atlas!D:D,MATCH(A1805,atlas!C:C,0)),"")</f>
        <v/>
      </c>
      <c r="E1805" s="8" t="str">
        <f t="array" ref="E1805">IFERROR(INDEX(atlas!F:F,MATCH(A1805,atlas!C:C,0)),"")</f>
        <v/>
      </c>
      <c r="F1805" s="9"/>
      <c r="G1805" s="10"/>
      <c r="H1805" s="11"/>
      <c r="I1805" s="12" t="str">
        <f t="array" ref="I1805">IFERROR(INDEX(atlas!B:B,MATCH(A1805,atlas!C:C,0)),"")</f>
        <v/>
      </c>
      <c r="J1805" s="8" t="str">
        <f>IFERROR(VLOOKUP(F1805,tecnica!A:B,2,0),"")</f>
        <v/>
      </c>
      <c r="K1805" s="8" t="str">
        <f>IFERROR(VLOOKUP(J1805,tecnica!B:C,2,0),"")</f>
        <v/>
      </c>
      <c r="L1805" s="13"/>
      <c r="M1805" s="14" t="str">
        <f>IFERROR(VLOOKUP(I1805,material!A:D,4,0),"")</f>
        <v/>
      </c>
      <c r="N1805" s="14" t="str">
        <f t="shared" si="1"/>
        <v/>
      </c>
      <c r="O1805" s="15" t="str">
        <f>IFERROR(VLOOKUP(I1805,material!A:D,2,0),"")</f>
        <v/>
      </c>
    </row>
    <row r="1806">
      <c r="A1806" s="6"/>
      <c r="B1806" s="7"/>
      <c r="C1806" s="8" t="str">
        <f t="array" ref="C1806">IFERROR(INDEX(atlas!H:H,MATCH(A1806,atlas!C:C,0)),"")</f>
        <v/>
      </c>
      <c r="D1806" s="8" t="str">
        <f t="array" ref="D1806">IFERROR(INDEX(atlas!D:D,MATCH(A1806,atlas!C:C,0)),"")</f>
        <v/>
      </c>
      <c r="E1806" s="8" t="str">
        <f t="array" ref="E1806">IFERROR(INDEX(atlas!F:F,MATCH(A1806,atlas!C:C,0)),"")</f>
        <v/>
      </c>
      <c r="F1806" s="9"/>
      <c r="G1806" s="10"/>
      <c r="H1806" s="11"/>
      <c r="I1806" s="12" t="str">
        <f t="array" ref="I1806">IFERROR(INDEX(atlas!B:B,MATCH(A1806,atlas!C:C,0)),"")</f>
        <v/>
      </c>
      <c r="J1806" s="8" t="str">
        <f>IFERROR(VLOOKUP(F1806,tecnica!A:B,2,0),"")</f>
        <v/>
      </c>
      <c r="K1806" s="8" t="str">
        <f>IFERROR(VLOOKUP(J1806,tecnica!B:C,2,0),"")</f>
        <v/>
      </c>
      <c r="L1806" s="13"/>
      <c r="M1806" s="14" t="str">
        <f>IFERROR(VLOOKUP(I1806,material!A:D,4,0),"")</f>
        <v/>
      </c>
      <c r="N1806" s="14" t="str">
        <f t="shared" si="1"/>
        <v/>
      </c>
      <c r="O1806" s="15" t="str">
        <f>IFERROR(VLOOKUP(I1806,material!A:D,2,0),"")</f>
        <v/>
      </c>
    </row>
    <row r="1807">
      <c r="A1807" s="6"/>
      <c r="B1807" s="7"/>
      <c r="C1807" s="8" t="str">
        <f t="array" ref="C1807">IFERROR(INDEX(atlas!H:H,MATCH(A1807,atlas!C:C,0)),"")</f>
        <v/>
      </c>
      <c r="D1807" s="8" t="str">
        <f t="array" ref="D1807">IFERROR(INDEX(atlas!D:D,MATCH(A1807,atlas!C:C,0)),"")</f>
        <v/>
      </c>
      <c r="E1807" s="8" t="str">
        <f t="array" ref="E1807">IFERROR(INDEX(atlas!F:F,MATCH(A1807,atlas!C:C,0)),"")</f>
        <v/>
      </c>
      <c r="F1807" s="9"/>
      <c r="G1807" s="10"/>
      <c r="H1807" s="11"/>
      <c r="I1807" s="12" t="str">
        <f t="array" ref="I1807">IFERROR(INDEX(atlas!B:B,MATCH(A1807,atlas!C:C,0)),"")</f>
        <v/>
      </c>
      <c r="J1807" s="8" t="str">
        <f>IFERROR(VLOOKUP(F1807,tecnica!A:B,2,0),"")</f>
        <v/>
      </c>
      <c r="K1807" s="8" t="str">
        <f>IFERROR(VLOOKUP(J1807,tecnica!B:C,2,0),"")</f>
        <v/>
      </c>
      <c r="L1807" s="13"/>
      <c r="M1807" s="14" t="str">
        <f>IFERROR(VLOOKUP(I1807,material!A:D,4,0),"")</f>
        <v/>
      </c>
      <c r="N1807" s="14" t="str">
        <f t="shared" si="1"/>
        <v/>
      </c>
      <c r="O1807" s="15" t="str">
        <f>IFERROR(VLOOKUP(I1807,material!A:D,2,0),"")</f>
        <v/>
      </c>
    </row>
    <row r="1808">
      <c r="A1808" s="6"/>
      <c r="B1808" s="7"/>
      <c r="C1808" s="8" t="str">
        <f t="array" ref="C1808">IFERROR(INDEX(atlas!H:H,MATCH(A1808,atlas!C:C,0)),"")</f>
        <v/>
      </c>
      <c r="D1808" s="8" t="str">
        <f t="array" ref="D1808">IFERROR(INDEX(atlas!D:D,MATCH(A1808,atlas!C:C,0)),"")</f>
        <v/>
      </c>
      <c r="E1808" s="8" t="str">
        <f t="array" ref="E1808">IFERROR(INDEX(atlas!F:F,MATCH(A1808,atlas!C:C,0)),"")</f>
        <v/>
      </c>
      <c r="F1808" s="9"/>
      <c r="G1808" s="10"/>
      <c r="H1808" s="11"/>
      <c r="I1808" s="12" t="str">
        <f t="array" ref="I1808">IFERROR(INDEX(atlas!B:B,MATCH(A1808,atlas!C:C,0)),"")</f>
        <v/>
      </c>
      <c r="J1808" s="8" t="str">
        <f>IFERROR(VLOOKUP(F1808,tecnica!A:B,2,0),"")</f>
        <v/>
      </c>
      <c r="K1808" s="8" t="str">
        <f>IFERROR(VLOOKUP(J1808,tecnica!B:C,2,0),"")</f>
        <v/>
      </c>
      <c r="L1808" s="13"/>
      <c r="M1808" s="14" t="str">
        <f>IFERROR(VLOOKUP(I1808,material!A:D,4,0),"")</f>
        <v/>
      </c>
      <c r="N1808" s="14" t="str">
        <f t="shared" si="1"/>
        <v/>
      </c>
      <c r="O1808" s="15" t="str">
        <f>IFERROR(VLOOKUP(I1808,material!A:D,2,0),"")</f>
        <v/>
      </c>
    </row>
    <row r="1809">
      <c r="A1809" s="6"/>
      <c r="B1809" s="7"/>
      <c r="C1809" s="8" t="str">
        <f t="array" ref="C1809">IFERROR(INDEX(atlas!H:H,MATCH(A1809,atlas!C:C,0)),"")</f>
        <v/>
      </c>
      <c r="D1809" s="8" t="str">
        <f t="array" ref="D1809">IFERROR(INDEX(atlas!D:D,MATCH(A1809,atlas!C:C,0)),"")</f>
        <v/>
      </c>
      <c r="E1809" s="8" t="str">
        <f t="array" ref="E1809">IFERROR(INDEX(atlas!F:F,MATCH(A1809,atlas!C:C,0)),"")</f>
        <v/>
      </c>
      <c r="F1809" s="9"/>
      <c r="G1809" s="10"/>
      <c r="H1809" s="11"/>
      <c r="I1809" s="12" t="str">
        <f t="array" ref="I1809">IFERROR(INDEX(atlas!B:B,MATCH(A1809,atlas!C:C,0)),"")</f>
        <v/>
      </c>
      <c r="J1809" s="8" t="str">
        <f>IFERROR(VLOOKUP(F1809,tecnica!A:B,2,0),"")</f>
        <v/>
      </c>
      <c r="K1809" s="8" t="str">
        <f>IFERROR(VLOOKUP(J1809,tecnica!B:C,2,0),"")</f>
        <v/>
      </c>
      <c r="L1809" s="13"/>
      <c r="M1809" s="14" t="str">
        <f>IFERROR(VLOOKUP(I1809,material!A:D,4,0),"")</f>
        <v/>
      </c>
      <c r="N1809" s="14" t="str">
        <f t="shared" si="1"/>
        <v/>
      </c>
      <c r="O1809" s="15" t="str">
        <f>IFERROR(VLOOKUP(I1809,material!A:D,2,0),"")</f>
        <v/>
      </c>
    </row>
    <row r="1810">
      <c r="A1810" s="6"/>
      <c r="B1810" s="7"/>
      <c r="C1810" s="8" t="str">
        <f t="array" ref="C1810">IFERROR(INDEX(atlas!H:H,MATCH(A1810,atlas!C:C,0)),"")</f>
        <v/>
      </c>
      <c r="D1810" s="8" t="str">
        <f t="array" ref="D1810">IFERROR(INDEX(atlas!D:D,MATCH(A1810,atlas!C:C,0)),"")</f>
        <v/>
      </c>
      <c r="E1810" s="8" t="str">
        <f t="array" ref="E1810">IFERROR(INDEX(atlas!F:F,MATCH(A1810,atlas!C:C,0)),"")</f>
        <v/>
      </c>
      <c r="F1810" s="9"/>
      <c r="G1810" s="10"/>
      <c r="H1810" s="11"/>
      <c r="I1810" s="12" t="str">
        <f t="array" ref="I1810">IFERROR(INDEX(atlas!B:B,MATCH(A1810,atlas!C:C,0)),"")</f>
        <v/>
      </c>
      <c r="J1810" s="8" t="str">
        <f>IFERROR(VLOOKUP(F1810,tecnica!A:B,2,0),"")</f>
        <v/>
      </c>
      <c r="K1810" s="8" t="str">
        <f>IFERROR(VLOOKUP(J1810,tecnica!B:C,2,0),"")</f>
        <v/>
      </c>
      <c r="L1810" s="13"/>
      <c r="M1810" s="14" t="str">
        <f>IFERROR(VLOOKUP(I1810,material!A:D,4,0),"")</f>
        <v/>
      </c>
      <c r="N1810" s="14" t="str">
        <f t="shared" si="1"/>
        <v/>
      </c>
      <c r="O1810" s="15" t="str">
        <f>IFERROR(VLOOKUP(I1810,material!A:D,2,0),"")</f>
        <v/>
      </c>
    </row>
    <row r="1811">
      <c r="A1811" s="6"/>
      <c r="B1811" s="7"/>
      <c r="C1811" s="8" t="str">
        <f t="array" ref="C1811">IFERROR(INDEX(atlas!H:H,MATCH(A1811,atlas!C:C,0)),"")</f>
        <v/>
      </c>
      <c r="D1811" s="8" t="str">
        <f t="array" ref="D1811">IFERROR(INDEX(atlas!D:D,MATCH(A1811,atlas!C:C,0)),"")</f>
        <v/>
      </c>
      <c r="E1811" s="8" t="str">
        <f t="array" ref="E1811">IFERROR(INDEX(atlas!F:F,MATCH(A1811,atlas!C:C,0)),"")</f>
        <v/>
      </c>
      <c r="F1811" s="9"/>
      <c r="G1811" s="10"/>
      <c r="H1811" s="11"/>
      <c r="I1811" s="12" t="str">
        <f t="array" ref="I1811">IFERROR(INDEX(atlas!B:B,MATCH(A1811,atlas!C:C,0)),"")</f>
        <v/>
      </c>
      <c r="J1811" s="8" t="str">
        <f>IFERROR(VLOOKUP(F1811,tecnica!A:B,2,0),"")</f>
        <v/>
      </c>
      <c r="K1811" s="8" t="str">
        <f>IFERROR(VLOOKUP(J1811,tecnica!B:C,2,0),"")</f>
        <v/>
      </c>
      <c r="L1811" s="13"/>
      <c r="M1811" s="14" t="str">
        <f>IFERROR(VLOOKUP(I1811,material!A:D,4,0),"")</f>
        <v/>
      </c>
      <c r="N1811" s="14" t="str">
        <f t="shared" si="1"/>
        <v/>
      </c>
      <c r="O1811" s="15" t="str">
        <f>IFERROR(VLOOKUP(I1811,material!A:D,2,0),"")</f>
        <v/>
      </c>
    </row>
    <row r="1812">
      <c r="A1812" s="6"/>
      <c r="B1812" s="7"/>
      <c r="C1812" s="8" t="str">
        <f t="array" ref="C1812">IFERROR(INDEX(atlas!H:H,MATCH(A1812,atlas!C:C,0)),"")</f>
        <v/>
      </c>
      <c r="D1812" s="8" t="str">
        <f t="array" ref="D1812">IFERROR(INDEX(atlas!D:D,MATCH(A1812,atlas!C:C,0)),"")</f>
        <v/>
      </c>
      <c r="E1812" s="8" t="str">
        <f t="array" ref="E1812">IFERROR(INDEX(atlas!F:F,MATCH(A1812,atlas!C:C,0)),"")</f>
        <v/>
      </c>
      <c r="F1812" s="9"/>
      <c r="G1812" s="10"/>
      <c r="H1812" s="11"/>
      <c r="I1812" s="12" t="str">
        <f t="array" ref="I1812">IFERROR(INDEX(atlas!B:B,MATCH(A1812,atlas!C:C,0)),"")</f>
        <v/>
      </c>
      <c r="J1812" s="8" t="str">
        <f>IFERROR(VLOOKUP(F1812,tecnica!A:B,2,0),"")</f>
        <v/>
      </c>
      <c r="K1812" s="8" t="str">
        <f>IFERROR(VLOOKUP(J1812,tecnica!B:C,2,0),"")</f>
        <v/>
      </c>
      <c r="L1812" s="13"/>
      <c r="M1812" s="14" t="str">
        <f>IFERROR(VLOOKUP(I1812,material!A:D,4,0),"")</f>
        <v/>
      </c>
      <c r="N1812" s="14" t="str">
        <f t="shared" si="1"/>
        <v/>
      </c>
      <c r="O1812" s="15" t="str">
        <f>IFERROR(VLOOKUP(I1812,material!A:D,2,0),"")</f>
        <v/>
      </c>
    </row>
    <row r="1813">
      <c r="A1813" s="6"/>
      <c r="B1813" s="7"/>
      <c r="C1813" s="8" t="str">
        <f t="array" ref="C1813">IFERROR(INDEX(atlas!H:H,MATCH(A1813,atlas!C:C,0)),"")</f>
        <v/>
      </c>
      <c r="D1813" s="8" t="str">
        <f t="array" ref="D1813">IFERROR(INDEX(atlas!D:D,MATCH(A1813,atlas!C:C,0)),"")</f>
        <v/>
      </c>
      <c r="E1813" s="8" t="str">
        <f t="array" ref="E1813">IFERROR(INDEX(atlas!F:F,MATCH(A1813,atlas!C:C,0)),"")</f>
        <v/>
      </c>
      <c r="F1813" s="9"/>
      <c r="G1813" s="10"/>
      <c r="H1813" s="11"/>
      <c r="I1813" s="12" t="str">
        <f t="array" ref="I1813">IFERROR(INDEX(atlas!B:B,MATCH(A1813,atlas!C:C,0)),"")</f>
        <v/>
      </c>
      <c r="J1813" s="8" t="str">
        <f>IFERROR(VLOOKUP(F1813,tecnica!A:B,2,0),"")</f>
        <v/>
      </c>
      <c r="K1813" s="8" t="str">
        <f>IFERROR(VLOOKUP(J1813,tecnica!B:C,2,0),"")</f>
        <v/>
      </c>
      <c r="L1813" s="13"/>
      <c r="M1813" s="14" t="str">
        <f>IFERROR(VLOOKUP(I1813,material!A:D,4,0),"")</f>
        <v/>
      </c>
      <c r="N1813" s="14" t="str">
        <f t="shared" si="1"/>
        <v/>
      </c>
      <c r="O1813" s="15" t="str">
        <f>IFERROR(VLOOKUP(I1813,material!A:D,2,0),"")</f>
        <v/>
      </c>
    </row>
    <row r="1814">
      <c r="A1814" s="6"/>
      <c r="B1814" s="7"/>
      <c r="C1814" s="8" t="str">
        <f t="array" ref="C1814">IFERROR(INDEX(atlas!H:H,MATCH(A1814,atlas!C:C,0)),"")</f>
        <v/>
      </c>
      <c r="D1814" s="8" t="str">
        <f t="array" ref="D1814">IFERROR(INDEX(atlas!D:D,MATCH(A1814,atlas!C:C,0)),"")</f>
        <v/>
      </c>
      <c r="E1814" s="8" t="str">
        <f t="array" ref="E1814">IFERROR(INDEX(atlas!F:F,MATCH(A1814,atlas!C:C,0)),"")</f>
        <v/>
      </c>
      <c r="F1814" s="9"/>
      <c r="G1814" s="10"/>
      <c r="H1814" s="11"/>
      <c r="I1814" s="12" t="str">
        <f t="array" ref="I1814">IFERROR(INDEX(atlas!B:B,MATCH(A1814,atlas!C:C,0)),"")</f>
        <v/>
      </c>
      <c r="J1814" s="8" t="str">
        <f>IFERROR(VLOOKUP(F1814,tecnica!A:B,2,0),"")</f>
        <v/>
      </c>
      <c r="K1814" s="8" t="str">
        <f>IFERROR(VLOOKUP(J1814,tecnica!B:C,2,0),"")</f>
        <v/>
      </c>
      <c r="L1814" s="13"/>
      <c r="M1814" s="14" t="str">
        <f>IFERROR(VLOOKUP(I1814,material!A:D,4,0),"")</f>
        <v/>
      </c>
      <c r="N1814" s="14" t="str">
        <f t="shared" si="1"/>
        <v/>
      </c>
      <c r="O1814" s="15" t="str">
        <f>IFERROR(VLOOKUP(I1814,material!A:D,2,0),"")</f>
        <v/>
      </c>
    </row>
    <row r="1815">
      <c r="A1815" s="6"/>
      <c r="B1815" s="7"/>
      <c r="C1815" s="8" t="str">
        <f t="array" ref="C1815">IFERROR(INDEX(atlas!H:H,MATCH(A1815,atlas!C:C,0)),"")</f>
        <v/>
      </c>
      <c r="D1815" s="8" t="str">
        <f t="array" ref="D1815">IFERROR(INDEX(atlas!D:D,MATCH(A1815,atlas!C:C,0)),"")</f>
        <v/>
      </c>
      <c r="E1815" s="8" t="str">
        <f t="array" ref="E1815">IFERROR(INDEX(atlas!F:F,MATCH(A1815,atlas!C:C,0)),"")</f>
        <v/>
      </c>
      <c r="F1815" s="9"/>
      <c r="G1815" s="10"/>
      <c r="H1815" s="11"/>
      <c r="I1815" s="12" t="str">
        <f t="array" ref="I1815">IFERROR(INDEX(atlas!B:B,MATCH(A1815,atlas!C:C,0)),"")</f>
        <v/>
      </c>
      <c r="J1815" s="8" t="str">
        <f>IFERROR(VLOOKUP(F1815,tecnica!A:B,2,0),"")</f>
        <v/>
      </c>
      <c r="K1815" s="8" t="str">
        <f>IFERROR(VLOOKUP(J1815,tecnica!B:C,2,0),"")</f>
        <v/>
      </c>
      <c r="L1815" s="13"/>
      <c r="M1815" s="14" t="str">
        <f>IFERROR(VLOOKUP(I1815,material!A:D,4,0),"")</f>
        <v/>
      </c>
      <c r="N1815" s="14" t="str">
        <f t="shared" si="1"/>
        <v/>
      </c>
      <c r="O1815" s="15" t="str">
        <f>IFERROR(VLOOKUP(I1815,material!A:D,2,0),"")</f>
        <v/>
      </c>
    </row>
    <row r="1816">
      <c r="A1816" s="6"/>
      <c r="B1816" s="7"/>
      <c r="C1816" s="8" t="str">
        <f t="array" ref="C1816">IFERROR(INDEX(atlas!H:H,MATCH(A1816,atlas!C:C,0)),"")</f>
        <v/>
      </c>
      <c r="D1816" s="8" t="str">
        <f t="array" ref="D1816">IFERROR(INDEX(atlas!D:D,MATCH(A1816,atlas!C:C,0)),"")</f>
        <v/>
      </c>
      <c r="E1816" s="8" t="str">
        <f t="array" ref="E1816">IFERROR(INDEX(atlas!F:F,MATCH(A1816,atlas!C:C,0)),"")</f>
        <v/>
      </c>
      <c r="F1816" s="9"/>
      <c r="G1816" s="10"/>
      <c r="H1816" s="11"/>
      <c r="I1816" s="12" t="str">
        <f t="array" ref="I1816">IFERROR(INDEX(atlas!B:B,MATCH(A1816,atlas!C:C,0)),"")</f>
        <v/>
      </c>
      <c r="J1816" s="8" t="str">
        <f>IFERROR(VLOOKUP(F1816,tecnica!A:B,2,0),"")</f>
        <v/>
      </c>
      <c r="K1816" s="8" t="str">
        <f>IFERROR(VLOOKUP(J1816,tecnica!B:C,2,0),"")</f>
        <v/>
      </c>
      <c r="L1816" s="13"/>
      <c r="M1816" s="14" t="str">
        <f>IFERROR(VLOOKUP(I1816,material!A:D,4,0),"")</f>
        <v/>
      </c>
      <c r="N1816" s="14" t="str">
        <f t="shared" si="1"/>
        <v/>
      </c>
      <c r="O1816" s="15" t="str">
        <f>IFERROR(VLOOKUP(I1816,material!A:D,2,0),"")</f>
        <v/>
      </c>
    </row>
    <row r="1817">
      <c r="A1817" s="6"/>
      <c r="B1817" s="7"/>
      <c r="C1817" s="8" t="str">
        <f t="array" ref="C1817">IFERROR(INDEX(atlas!H:H,MATCH(A1817,atlas!C:C,0)),"")</f>
        <v/>
      </c>
      <c r="D1817" s="8" t="str">
        <f t="array" ref="D1817">IFERROR(INDEX(atlas!D:D,MATCH(A1817,atlas!C:C,0)),"")</f>
        <v/>
      </c>
      <c r="E1817" s="8" t="str">
        <f t="array" ref="E1817">IFERROR(INDEX(atlas!F:F,MATCH(A1817,atlas!C:C,0)),"")</f>
        <v/>
      </c>
      <c r="F1817" s="9"/>
      <c r="G1817" s="10"/>
      <c r="H1817" s="11"/>
      <c r="I1817" s="12" t="str">
        <f t="array" ref="I1817">IFERROR(INDEX(atlas!B:B,MATCH(A1817,atlas!C:C,0)),"")</f>
        <v/>
      </c>
      <c r="J1817" s="8" t="str">
        <f>IFERROR(VLOOKUP(F1817,tecnica!A:B,2,0),"")</f>
        <v/>
      </c>
      <c r="K1817" s="8" t="str">
        <f>IFERROR(VLOOKUP(J1817,tecnica!B:C,2,0),"")</f>
        <v/>
      </c>
      <c r="L1817" s="13"/>
      <c r="M1817" s="14" t="str">
        <f>IFERROR(VLOOKUP(I1817,material!A:D,4,0),"")</f>
        <v/>
      </c>
      <c r="N1817" s="14" t="str">
        <f t="shared" si="1"/>
        <v/>
      </c>
      <c r="O1817" s="15" t="str">
        <f>IFERROR(VLOOKUP(I1817,material!A:D,2,0),"")</f>
        <v/>
      </c>
    </row>
    <row r="1818">
      <c r="A1818" s="6"/>
      <c r="B1818" s="7"/>
      <c r="C1818" s="8" t="str">
        <f t="array" ref="C1818">IFERROR(INDEX(atlas!H:H,MATCH(A1818,atlas!C:C,0)),"")</f>
        <v/>
      </c>
      <c r="D1818" s="8" t="str">
        <f t="array" ref="D1818">IFERROR(INDEX(atlas!D:D,MATCH(A1818,atlas!C:C,0)),"")</f>
        <v/>
      </c>
      <c r="E1818" s="8" t="str">
        <f t="array" ref="E1818">IFERROR(INDEX(atlas!F:F,MATCH(A1818,atlas!C:C,0)),"")</f>
        <v/>
      </c>
      <c r="F1818" s="9"/>
      <c r="G1818" s="10"/>
      <c r="H1818" s="11"/>
      <c r="I1818" s="12" t="str">
        <f t="array" ref="I1818">IFERROR(INDEX(atlas!B:B,MATCH(A1818,atlas!C:C,0)),"")</f>
        <v/>
      </c>
      <c r="J1818" s="8" t="str">
        <f>IFERROR(VLOOKUP(F1818,tecnica!A:B,2,0),"")</f>
        <v/>
      </c>
      <c r="K1818" s="8" t="str">
        <f>IFERROR(VLOOKUP(J1818,tecnica!B:C,2,0),"")</f>
        <v/>
      </c>
      <c r="L1818" s="13"/>
      <c r="M1818" s="14" t="str">
        <f>IFERROR(VLOOKUP(I1818,material!A:D,4,0),"")</f>
        <v/>
      </c>
      <c r="N1818" s="14" t="str">
        <f t="shared" si="1"/>
        <v/>
      </c>
      <c r="O1818" s="15" t="str">
        <f>IFERROR(VLOOKUP(I1818,material!A:D,2,0),"")</f>
        <v/>
      </c>
    </row>
    <row r="1819">
      <c r="A1819" s="6"/>
      <c r="B1819" s="7"/>
      <c r="C1819" s="8" t="str">
        <f t="array" ref="C1819">IFERROR(INDEX(atlas!H:H,MATCH(A1819,atlas!C:C,0)),"")</f>
        <v/>
      </c>
      <c r="D1819" s="8" t="str">
        <f t="array" ref="D1819">IFERROR(INDEX(atlas!D:D,MATCH(A1819,atlas!C:C,0)),"")</f>
        <v/>
      </c>
      <c r="E1819" s="8" t="str">
        <f t="array" ref="E1819">IFERROR(INDEX(atlas!F:F,MATCH(A1819,atlas!C:C,0)),"")</f>
        <v/>
      </c>
      <c r="F1819" s="9"/>
      <c r="G1819" s="10"/>
      <c r="H1819" s="11"/>
      <c r="I1819" s="12" t="str">
        <f t="array" ref="I1819">IFERROR(INDEX(atlas!B:B,MATCH(A1819,atlas!C:C,0)),"")</f>
        <v/>
      </c>
      <c r="J1819" s="8" t="str">
        <f>IFERROR(VLOOKUP(F1819,tecnica!A:B,2,0),"")</f>
        <v/>
      </c>
      <c r="K1819" s="8" t="str">
        <f>IFERROR(VLOOKUP(J1819,tecnica!B:C,2,0),"")</f>
        <v/>
      </c>
      <c r="L1819" s="13"/>
      <c r="M1819" s="14" t="str">
        <f>IFERROR(VLOOKUP(I1819,material!A:D,4,0),"")</f>
        <v/>
      </c>
      <c r="N1819" s="14" t="str">
        <f t="shared" si="1"/>
        <v/>
      </c>
      <c r="O1819" s="15" t="str">
        <f>IFERROR(VLOOKUP(I1819,material!A:D,2,0),"")</f>
        <v/>
      </c>
    </row>
    <row r="1820">
      <c r="A1820" s="6"/>
      <c r="B1820" s="7"/>
      <c r="C1820" s="8" t="str">
        <f t="array" ref="C1820">IFERROR(INDEX(atlas!H:H,MATCH(A1820,atlas!C:C,0)),"")</f>
        <v/>
      </c>
      <c r="D1820" s="8" t="str">
        <f t="array" ref="D1820">IFERROR(INDEX(atlas!D:D,MATCH(A1820,atlas!C:C,0)),"")</f>
        <v/>
      </c>
      <c r="E1820" s="8" t="str">
        <f t="array" ref="E1820">IFERROR(INDEX(atlas!F:F,MATCH(A1820,atlas!C:C,0)),"")</f>
        <v/>
      </c>
      <c r="F1820" s="9"/>
      <c r="G1820" s="10"/>
      <c r="H1820" s="11"/>
      <c r="I1820" s="12" t="str">
        <f t="array" ref="I1820">IFERROR(INDEX(atlas!B:B,MATCH(A1820,atlas!C:C,0)),"")</f>
        <v/>
      </c>
      <c r="J1820" s="8" t="str">
        <f>IFERROR(VLOOKUP(F1820,tecnica!A:B,2,0),"")</f>
        <v/>
      </c>
      <c r="K1820" s="8" t="str">
        <f>IFERROR(VLOOKUP(J1820,tecnica!B:C,2,0),"")</f>
        <v/>
      </c>
      <c r="L1820" s="13"/>
      <c r="M1820" s="14" t="str">
        <f>IFERROR(VLOOKUP(I1820,material!A:D,4,0),"")</f>
        <v/>
      </c>
      <c r="N1820" s="14" t="str">
        <f t="shared" si="1"/>
        <v/>
      </c>
      <c r="O1820" s="15" t="str">
        <f>IFERROR(VLOOKUP(I1820,material!A:D,2,0),"")</f>
        <v/>
      </c>
    </row>
    <row r="1821">
      <c r="A1821" s="6"/>
      <c r="B1821" s="7"/>
      <c r="C1821" s="8" t="str">
        <f t="array" ref="C1821">IFERROR(INDEX(atlas!H:H,MATCH(A1821,atlas!C:C,0)),"")</f>
        <v/>
      </c>
      <c r="D1821" s="8" t="str">
        <f t="array" ref="D1821">IFERROR(INDEX(atlas!D:D,MATCH(A1821,atlas!C:C,0)),"")</f>
        <v/>
      </c>
      <c r="E1821" s="8" t="str">
        <f t="array" ref="E1821">IFERROR(INDEX(atlas!F:F,MATCH(A1821,atlas!C:C,0)),"")</f>
        <v/>
      </c>
      <c r="F1821" s="9"/>
      <c r="G1821" s="10"/>
      <c r="H1821" s="11"/>
      <c r="I1821" s="12" t="str">
        <f t="array" ref="I1821">IFERROR(INDEX(atlas!B:B,MATCH(A1821,atlas!C:C,0)),"")</f>
        <v/>
      </c>
      <c r="J1821" s="8" t="str">
        <f>IFERROR(VLOOKUP(F1821,tecnica!A:B,2,0),"")</f>
        <v/>
      </c>
      <c r="K1821" s="8" t="str">
        <f>IFERROR(VLOOKUP(J1821,tecnica!B:C,2,0),"")</f>
        <v/>
      </c>
      <c r="L1821" s="13"/>
      <c r="M1821" s="14" t="str">
        <f>IFERROR(VLOOKUP(I1821,material!A:D,4,0),"")</f>
        <v/>
      </c>
      <c r="N1821" s="14" t="str">
        <f t="shared" si="1"/>
        <v/>
      </c>
      <c r="O1821" s="15" t="str">
        <f>IFERROR(VLOOKUP(I1821,material!A:D,2,0),"")</f>
        <v/>
      </c>
    </row>
    <row r="1822">
      <c r="A1822" s="6"/>
      <c r="B1822" s="7"/>
      <c r="C1822" s="8" t="str">
        <f t="array" ref="C1822">IFERROR(INDEX(atlas!H:H,MATCH(A1822,atlas!C:C,0)),"")</f>
        <v/>
      </c>
      <c r="D1822" s="8" t="str">
        <f t="array" ref="D1822">IFERROR(INDEX(atlas!D:D,MATCH(A1822,atlas!C:C,0)),"")</f>
        <v/>
      </c>
      <c r="E1822" s="8" t="str">
        <f t="array" ref="E1822">IFERROR(INDEX(atlas!F:F,MATCH(A1822,atlas!C:C,0)),"")</f>
        <v/>
      </c>
      <c r="F1822" s="9"/>
      <c r="G1822" s="10"/>
      <c r="H1822" s="11"/>
      <c r="I1822" s="12" t="str">
        <f t="array" ref="I1822">IFERROR(INDEX(atlas!B:B,MATCH(A1822,atlas!C:C,0)),"")</f>
        <v/>
      </c>
      <c r="J1822" s="8" t="str">
        <f>IFERROR(VLOOKUP(F1822,tecnica!A:B,2,0),"")</f>
        <v/>
      </c>
      <c r="K1822" s="8" t="str">
        <f>IFERROR(VLOOKUP(J1822,tecnica!B:C,2,0),"")</f>
        <v/>
      </c>
      <c r="L1822" s="13"/>
      <c r="M1822" s="14" t="str">
        <f>IFERROR(VLOOKUP(I1822,material!A:D,4,0),"")</f>
        <v/>
      </c>
      <c r="N1822" s="14" t="str">
        <f t="shared" si="1"/>
        <v/>
      </c>
      <c r="O1822" s="15" t="str">
        <f>IFERROR(VLOOKUP(I1822,material!A:D,2,0),"")</f>
        <v/>
      </c>
    </row>
    <row r="1823">
      <c r="A1823" s="6"/>
      <c r="B1823" s="7"/>
      <c r="C1823" s="8" t="str">
        <f t="array" ref="C1823">IFERROR(INDEX(atlas!H:H,MATCH(A1823,atlas!C:C,0)),"")</f>
        <v/>
      </c>
      <c r="D1823" s="8" t="str">
        <f t="array" ref="D1823">IFERROR(INDEX(atlas!D:D,MATCH(A1823,atlas!C:C,0)),"")</f>
        <v/>
      </c>
      <c r="E1823" s="8" t="str">
        <f t="array" ref="E1823">IFERROR(INDEX(atlas!F:F,MATCH(A1823,atlas!C:C,0)),"")</f>
        <v/>
      </c>
      <c r="F1823" s="9"/>
      <c r="G1823" s="10"/>
      <c r="H1823" s="11"/>
      <c r="I1823" s="12" t="str">
        <f t="array" ref="I1823">IFERROR(INDEX(atlas!B:B,MATCH(A1823,atlas!C:C,0)),"")</f>
        <v/>
      </c>
      <c r="J1823" s="8" t="str">
        <f>IFERROR(VLOOKUP(F1823,tecnica!A:B,2,0),"")</f>
        <v/>
      </c>
      <c r="K1823" s="8" t="str">
        <f>IFERROR(VLOOKUP(J1823,tecnica!B:C,2,0),"")</f>
        <v/>
      </c>
      <c r="L1823" s="13"/>
      <c r="M1823" s="14" t="str">
        <f>IFERROR(VLOOKUP(I1823,material!A:D,4,0),"")</f>
        <v/>
      </c>
      <c r="N1823" s="14" t="str">
        <f t="shared" si="1"/>
        <v/>
      </c>
      <c r="O1823" s="15" t="str">
        <f>IFERROR(VLOOKUP(I1823,material!A:D,2,0),"")</f>
        <v/>
      </c>
    </row>
    <row r="1824">
      <c r="A1824" s="6"/>
      <c r="B1824" s="7"/>
      <c r="C1824" s="8" t="str">
        <f t="array" ref="C1824">IFERROR(INDEX(atlas!H:H,MATCH(A1824,atlas!C:C,0)),"")</f>
        <v/>
      </c>
      <c r="D1824" s="8" t="str">
        <f t="array" ref="D1824">IFERROR(INDEX(atlas!D:D,MATCH(A1824,atlas!C:C,0)),"")</f>
        <v/>
      </c>
      <c r="E1824" s="8" t="str">
        <f t="array" ref="E1824">IFERROR(INDEX(atlas!F:F,MATCH(A1824,atlas!C:C,0)),"")</f>
        <v/>
      </c>
      <c r="F1824" s="9"/>
      <c r="G1824" s="10"/>
      <c r="H1824" s="11"/>
      <c r="I1824" s="12" t="str">
        <f t="array" ref="I1824">IFERROR(INDEX(atlas!B:B,MATCH(A1824,atlas!C:C,0)),"")</f>
        <v/>
      </c>
      <c r="J1824" s="8" t="str">
        <f>IFERROR(VLOOKUP(F1824,tecnica!A:B,2,0),"")</f>
        <v/>
      </c>
      <c r="K1824" s="8" t="str">
        <f>IFERROR(VLOOKUP(J1824,tecnica!B:C,2,0),"")</f>
        <v/>
      </c>
      <c r="L1824" s="13"/>
      <c r="M1824" s="14" t="str">
        <f>IFERROR(VLOOKUP(I1824,material!A:D,4,0),"")</f>
        <v/>
      </c>
      <c r="N1824" s="14" t="str">
        <f t="shared" si="1"/>
        <v/>
      </c>
      <c r="O1824" s="15" t="str">
        <f>IFERROR(VLOOKUP(I1824,material!A:D,2,0),"")</f>
        <v/>
      </c>
    </row>
    <row r="1825">
      <c r="A1825" s="6"/>
      <c r="B1825" s="7"/>
      <c r="C1825" s="8" t="str">
        <f t="array" ref="C1825">IFERROR(INDEX(atlas!H:H,MATCH(A1825,atlas!C:C,0)),"")</f>
        <v/>
      </c>
      <c r="D1825" s="8" t="str">
        <f t="array" ref="D1825">IFERROR(INDEX(atlas!D:D,MATCH(A1825,atlas!C:C,0)),"")</f>
        <v/>
      </c>
      <c r="E1825" s="8" t="str">
        <f t="array" ref="E1825">IFERROR(INDEX(atlas!F:F,MATCH(A1825,atlas!C:C,0)),"")</f>
        <v/>
      </c>
      <c r="F1825" s="9"/>
      <c r="G1825" s="10"/>
      <c r="H1825" s="11"/>
      <c r="I1825" s="12" t="str">
        <f t="array" ref="I1825">IFERROR(INDEX(atlas!B:B,MATCH(A1825,atlas!C:C,0)),"")</f>
        <v/>
      </c>
      <c r="J1825" s="8" t="str">
        <f>IFERROR(VLOOKUP(F1825,tecnica!A:B,2,0),"")</f>
        <v/>
      </c>
      <c r="K1825" s="8" t="str">
        <f>IFERROR(VLOOKUP(J1825,tecnica!B:C,2,0),"")</f>
        <v/>
      </c>
      <c r="L1825" s="13"/>
      <c r="M1825" s="14" t="str">
        <f>IFERROR(VLOOKUP(I1825,material!A:D,4,0),"")</f>
        <v/>
      </c>
      <c r="N1825" s="14" t="str">
        <f t="shared" si="1"/>
        <v/>
      </c>
      <c r="O1825" s="15" t="str">
        <f>IFERROR(VLOOKUP(I1825,material!A:D,2,0),"")</f>
        <v/>
      </c>
    </row>
    <row r="1826">
      <c r="A1826" s="6"/>
      <c r="B1826" s="7"/>
      <c r="C1826" s="8" t="str">
        <f t="array" ref="C1826">IFERROR(INDEX(atlas!H:H,MATCH(A1826,atlas!C:C,0)),"")</f>
        <v/>
      </c>
      <c r="D1826" s="8" t="str">
        <f t="array" ref="D1826">IFERROR(INDEX(atlas!D:D,MATCH(A1826,atlas!C:C,0)),"")</f>
        <v/>
      </c>
      <c r="E1826" s="8" t="str">
        <f t="array" ref="E1826">IFERROR(INDEX(atlas!F:F,MATCH(A1826,atlas!C:C,0)),"")</f>
        <v/>
      </c>
      <c r="F1826" s="9"/>
      <c r="G1826" s="10"/>
      <c r="H1826" s="11"/>
      <c r="I1826" s="12" t="str">
        <f t="array" ref="I1826">IFERROR(INDEX(atlas!B:B,MATCH(A1826,atlas!C:C,0)),"")</f>
        <v/>
      </c>
      <c r="J1826" s="8" t="str">
        <f>IFERROR(VLOOKUP(F1826,tecnica!A:B,2,0),"")</f>
        <v/>
      </c>
      <c r="K1826" s="8" t="str">
        <f>IFERROR(VLOOKUP(J1826,tecnica!B:C,2,0),"")</f>
        <v/>
      </c>
      <c r="L1826" s="13"/>
      <c r="M1826" s="14" t="str">
        <f>IFERROR(VLOOKUP(I1826,material!A:D,4,0),"")</f>
        <v/>
      </c>
      <c r="N1826" s="14" t="str">
        <f t="shared" si="1"/>
        <v/>
      </c>
      <c r="O1826" s="15" t="str">
        <f>IFERROR(VLOOKUP(I1826,material!A:D,2,0),"")</f>
        <v/>
      </c>
    </row>
    <row r="1827">
      <c r="A1827" s="6"/>
      <c r="B1827" s="7"/>
      <c r="C1827" s="8" t="str">
        <f t="array" ref="C1827">IFERROR(INDEX(atlas!H:H,MATCH(A1827,atlas!C:C,0)),"")</f>
        <v/>
      </c>
      <c r="D1827" s="8" t="str">
        <f t="array" ref="D1827">IFERROR(INDEX(atlas!D:D,MATCH(A1827,atlas!C:C,0)),"")</f>
        <v/>
      </c>
      <c r="E1827" s="8" t="str">
        <f t="array" ref="E1827">IFERROR(INDEX(atlas!F:F,MATCH(A1827,atlas!C:C,0)),"")</f>
        <v/>
      </c>
      <c r="F1827" s="9"/>
      <c r="G1827" s="10"/>
      <c r="H1827" s="11"/>
      <c r="I1827" s="12" t="str">
        <f t="array" ref="I1827">IFERROR(INDEX(atlas!B:B,MATCH(A1827,atlas!C:C,0)),"")</f>
        <v/>
      </c>
      <c r="J1827" s="8" t="str">
        <f>IFERROR(VLOOKUP(F1827,tecnica!A:B,2,0),"")</f>
        <v/>
      </c>
      <c r="K1827" s="8" t="str">
        <f>IFERROR(VLOOKUP(J1827,tecnica!B:C,2,0),"")</f>
        <v/>
      </c>
      <c r="L1827" s="13"/>
      <c r="M1827" s="14" t="str">
        <f>IFERROR(VLOOKUP(I1827,material!A:D,4,0),"")</f>
        <v/>
      </c>
      <c r="N1827" s="14" t="str">
        <f t="shared" si="1"/>
        <v/>
      </c>
      <c r="O1827" s="15" t="str">
        <f>IFERROR(VLOOKUP(I1827,material!A:D,2,0),"")</f>
        <v/>
      </c>
    </row>
    <row r="1828">
      <c r="A1828" s="6"/>
      <c r="B1828" s="7"/>
      <c r="C1828" s="8" t="str">
        <f t="array" ref="C1828">IFERROR(INDEX(atlas!H:H,MATCH(A1828,atlas!C:C,0)),"")</f>
        <v/>
      </c>
      <c r="D1828" s="8" t="str">
        <f t="array" ref="D1828">IFERROR(INDEX(atlas!D:D,MATCH(A1828,atlas!C:C,0)),"")</f>
        <v/>
      </c>
      <c r="E1828" s="8" t="str">
        <f t="array" ref="E1828">IFERROR(INDEX(atlas!F:F,MATCH(A1828,atlas!C:C,0)),"")</f>
        <v/>
      </c>
      <c r="F1828" s="9"/>
      <c r="G1828" s="10"/>
      <c r="H1828" s="11"/>
      <c r="I1828" s="12" t="str">
        <f t="array" ref="I1828">IFERROR(INDEX(atlas!B:B,MATCH(A1828,atlas!C:C,0)),"")</f>
        <v/>
      </c>
      <c r="J1828" s="8" t="str">
        <f>IFERROR(VLOOKUP(F1828,tecnica!A:B,2,0),"")</f>
        <v/>
      </c>
      <c r="K1828" s="8" t="str">
        <f>IFERROR(VLOOKUP(J1828,tecnica!B:C,2,0),"")</f>
        <v/>
      </c>
      <c r="L1828" s="13"/>
      <c r="M1828" s="14" t="str">
        <f>IFERROR(VLOOKUP(I1828,material!A:D,4,0),"")</f>
        <v/>
      </c>
      <c r="N1828" s="14" t="str">
        <f t="shared" si="1"/>
        <v/>
      </c>
      <c r="O1828" s="15" t="str">
        <f>IFERROR(VLOOKUP(I1828,material!A:D,2,0),"")</f>
        <v/>
      </c>
    </row>
    <row r="1829">
      <c r="A1829" s="6"/>
      <c r="B1829" s="7"/>
      <c r="C1829" s="8" t="str">
        <f t="array" ref="C1829">IFERROR(INDEX(atlas!H:H,MATCH(A1829,atlas!C:C,0)),"")</f>
        <v/>
      </c>
      <c r="D1829" s="8" t="str">
        <f t="array" ref="D1829">IFERROR(INDEX(atlas!D:D,MATCH(A1829,atlas!C:C,0)),"")</f>
        <v/>
      </c>
      <c r="E1829" s="8" t="str">
        <f t="array" ref="E1829">IFERROR(INDEX(atlas!F:F,MATCH(A1829,atlas!C:C,0)),"")</f>
        <v/>
      </c>
      <c r="F1829" s="9"/>
      <c r="G1829" s="10"/>
      <c r="H1829" s="11"/>
      <c r="I1829" s="12" t="str">
        <f t="array" ref="I1829">IFERROR(INDEX(atlas!B:B,MATCH(A1829,atlas!C:C,0)),"")</f>
        <v/>
      </c>
      <c r="J1829" s="8" t="str">
        <f>IFERROR(VLOOKUP(F1829,tecnica!A:B,2,0),"")</f>
        <v/>
      </c>
      <c r="K1829" s="8" t="str">
        <f>IFERROR(VLOOKUP(J1829,tecnica!B:C,2,0),"")</f>
        <v/>
      </c>
      <c r="L1829" s="13"/>
      <c r="M1829" s="14" t="str">
        <f>IFERROR(VLOOKUP(I1829,material!A:D,4,0),"")</f>
        <v/>
      </c>
      <c r="N1829" s="14" t="str">
        <f t="shared" si="1"/>
        <v/>
      </c>
      <c r="O1829" s="15" t="str">
        <f>IFERROR(VLOOKUP(I1829,material!A:D,2,0),"")</f>
        <v/>
      </c>
    </row>
    <row r="1830">
      <c r="A1830" s="6"/>
      <c r="B1830" s="7"/>
      <c r="C1830" s="8" t="str">
        <f t="array" ref="C1830">IFERROR(INDEX(atlas!H:H,MATCH(A1830,atlas!C:C,0)),"")</f>
        <v/>
      </c>
      <c r="D1830" s="8" t="str">
        <f t="array" ref="D1830">IFERROR(INDEX(atlas!D:D,MATCH(A1830,atlas!C:C,0)),"")</f>
        <v/>
      </c>
      <c r="E1830" s="8" t="str">
        <f t="array" ref="E1830">IFERROR(INDEX(atlas!F:F,MATCH(A1830,atlas!C:C,0)),"")</f>
        <v/>
      </c>
      <c r="F1830" s="9"/>
      <c r="G1830" s="10"/>
      <c r="H1830" s="11"/>
      <c r="I1830" s="12" t="str">
        <f t="array" ref="I1830">IFERROR(INDEX(atlas!B:B,MATCH(A1830,atlas!C:C,0)),"")</f>
        <v/>
      </c>
      <c r="J1830" s="8" t="str">
        <f>IFERROR(VLOOKUP(F1830,tecnica!A:B,2,0),"")</f>
        <v/>
      </c>
      <c r="K1830" s="8" t="str">
        <f>IFERROR(VLOOKUP(J1830,tecnica!B:C,2,0),"")</f>
        <v/>
      </c>
      <c r="L1830" s="13"/>
      <c r="M1830" s="14" t="str">
        <f>IFERROR(VLOOKUP(I1830,material!A:D,4,0),"")</f>
        <v/>
      </c>
      <c r="N1830" s="14" t="str">
        <f t="shared" si="1"/>
        <v/>
      </c>
      <c r="O1830" s="15" t="str">
        <f>IFERROR(VLOOKUP(I1830,material!A:D,2,0),"")</f>
        <v/>
      </c>
    </row>
    <row r="1831">
      <c r="A1831" s="6"/>
      <c r="B1831" s="7"/>
      <c r="C1831" s="8" t="str">
        <f t="array" ref="C1831">IFERROR(INDEX(atlas!H:H,MATCH(A1831,atlas!C:C,0)),"")</f>
        <v/>
      </c>
      <c r="D1831" s="8" t="str">
        <f t="array" ref="D1831">IFERROR(INDEX(atlas!D:D,MATCH(A1831,atlas!C:C,0)),"")</f>
        <v/>
      </c>
      <c r="E1831" s="8" t="str">
        <f t="array" ref="E1831">IFERROR(INDEX(atlas!F:F,MATCH(A1831,atlas!C:C,0)),"")</f>
        <v/>
      </c>
      <c r="F1831" s="9"/>
      <c r="G1831" s="10"/>
      <c r="H1831" s="11"/>
      <c r="I1831" s="12" t="str">
        <f t="array" ref="I1831">IFERROR(INDEX(atlas!B:B,MATCH(A1831,atlas!C:C,0)),"")</f>
        <v/>
      </c>
      <c r="J1831" s="8" t="str">
        <f>IFERROR(VLOOKUP(F1831,tecnica!A:B,2,0),"")</f>
        <v/>
      </c>
      <c r="K1831" s="8" t="str">
        <f>IFERROR(VLOOKUP(J1831,tecnica!B:C,2,0),"")</f>
        <v/>
      </c>
      <c r="L1831" s="13"/>
      <c r="M1831" s="14" t="str">
        <f>IFERROR(VLOOKUP(I1831,material!A:D,4,0),"")</f>
        <v/>
      </c>
      <c r="N1831" s="14" t="str">
        <f t="shared" si="1"/>
        <v/>
      </c>
      <c r="O1831" s="15" t="str">
        <f>IFERROR(VLOOKUP(I1831,material!A:D,2,0),"")</f>
        <v/>
      </c>
    </row>
    <row r="1832">
      <c r="A1832" s="6"/>
      <c r="B1832" s="7"/>
      <c r="C1832" s="8" t="str">
        <f t="array" ref="C1832">IFERROR(INDEX(atlas!H:H,MATCH(A1832,atlas!C:C,0)),"")</f>
        <v/>
      </c>
      <c r="D1832" s="8" t="str">
        <f t="array" ref="D1832">IFERROR(INDEX(atlas!D:D,MATCH(A1832,atlas!C:C,0)),"")</f>
        <v/>
      </c>
      <c r="E1832" s="8" t="str">
        <f t="array" ref="E1832">IFERROR(INDEX(atlas!F:F,MATCH(A1832,atlas!C:C,0)),"")</f>
        <v/>
      </c>
      <c r="F1832" s="9"/>
      <c r="G1832" s="10"/>
      <c r="H1832" s="11"/>
      <c r="I1832" s="12" t="str">
        <f t="array" ref="I1832">IFERROR(INDEX(atlas!B:B,MATCH(A1832,atlas!C:C,0)),"")</f>
        <v/>
      </c>
      <c r="J1832" s="8" t="str">
        <f>IFERROR(VLOOKUP(F1832,tecnica!A:B,2,0),"")</f>
        <v/>
      </c>
      <c r="K1832" s="8" t="str">
        <f>IFERROR(VLOOKUP(J1832,tecnica!B:C,2,0),"")</f>
        <v/>
      </c>
      <c r="L1832" s="13"/>
      <c r="M1832" s="14" t="str">
        <f>IFERROR(VLOOKUP(I1832,material!A:D,4,0),"")</f>
        <v/>
      </c>
      <c r="N1832" s="14" t="str">
        <f t="shared" si="1"/>
        <v/>
      </c>
      <c r="O1832" s="15" t="str">
        <f>IFERROR(VLOOKUP(I1832,material!A:D,2,0),"")</f>
        <v/>
      </c>
    </row>
    <row r="1833">
      <c r="A1833" s="6"/>
      <c r="B1833" s="7"/>
      <c r="C1833" s="8" t="str">
        <f t="array" ref="C1833">IFERROR(INDEX(atlas!H:H,MATCH(A1833,atlas!C:C,0)),"")</f>
        <v/>
      </c>
      <c r="D1833" s="8" t="str">
        <f t="array" ref="D1833">IFERROR(INDEX(atlas!D:D,MATCH(A1833,atlas!C:C,0)),"")</f>
        <v/>
      </c>
      <c r="E1833" s="8" t="str">
        <f t="array" ref="E1833">IFERROR(INDEX(atlas!F:F,MATCH(A1833,atlas!C:C,0)),"")</f>
        <v/>
      </c>
      <c r="F1833" s="9"/>
      <c r="G1833" s="10"/>
      <c r="H1833" s="11"/>
      <c r="I1833" s="12" t="str">
        <f t="array" ref="I1833">IFERROR(INDEX(atlas!B:B,MATCH(A1833,atlas!C:C,0)),"")</f>
        <v/>
      </c>
      <c r="J1833" s="8" t="str">
        <f>IFERROR(VLOOKUP(F1833,tecnica!A:B,2,0),"")</f>
        <v/>
      </c>
      <c r="K1833" s="8" t="str">
        <f>IFERROR(VLOOKUP(J1833,tecnica!B:C,2,0),"")</f>
        <v/>
      </c>
      <c r="L1833" s="13"/>
      <c r="M1833" s="14" t="str">
        <f>IFERROR(VLOOKUP(I1833,material!A:D,4,0),"")</f>
        <v/>
      </c>
      <c r="N1833" s="14" t="str">
        <f t="shared" si="1"/>
        <v/>
      </c>
      <c r="O1833" s="15" t="str">
        <f>IFERROR(VLOOKUP(I1833,material!A:D,2,0),"")</f>
        <v/>
      </c>
    </row>
    <row r="1834">
      <c r="A1834" s="6"/>
      <c r="B1834" s="7"/>
      <c r="C1834" s="8" t="str">
        <f t="array" ref="C1834">IFERROR(INDEX(atlas!H:H,MATCH(A1834,atlas!C:C,0)),"")</f>
        <v/>
      </c>
      <c r="D1834" s="8" t="str">
        <f t="array" ref="D1834">IFERROR(INDEX(atlas!D:D,MATCH(A1834,atlas!C:C,0)),"")</f>
        <v/>
      </c>
      <c r="E1834" s="8" t="str">
        <f t="array" ref="E1834">IFERROR(INDEX(atlas!F:F,MATCH(A1834,atlas!C:C,0)),"")</f>
        <v/>
      </c>
      <c r="F1834" s="9"/>
      <c r="G1834" s="10"/>
      <c r="H1834" s="11"/>
      <c r="I1834" s="12" t="str">
        <f t="array" ref="I1834">IFERROR(INDEX(atlas!B:B,MATCH(A1834,atlas!C:C,0)),"")</f>
        <v/>
      </c>
      <c r="J1834" s="8" t="str">
        <f>IFERROR(VLOOKUP(F1834,tecnica!A:B,2,0),"")</f>
        <v/>
      </c>
      <c r="K1834" s="8" t="str">
        <f>IFERROR(VLOOKUP(J1834,tecnica!B:C,2,0),"")</f>
        <v/>
      </c>
      <c r="L1834" s="13"/>
      <c r="M1834" s="14" t="str">
        <f>IFERROR(VLOOKUP(I1834,material!A:D,4,0),"")</f>
        <v/>
      </c>
      <c r="N1834" s="14" t="str">
        <f t="shared" si="1"/>
        <v/>
      </c>
      <c r="O1834" s="15" t="str">
        <f>IFERROR(VLOOKUP(I1834,material!A:D,2,0),"")</f>
        <v/>
      </c>
    </row>
    <row r="1835">
      <c r="A1835" s="6"/>
      <c r="B1835" s="7"/>
      <c r="C1835" s="8" t="str">
        <f t="array" ref="C1835">IFERROR(INDEX(atlas!H:H,MATCH(A1835,atlas!C:C,0)),"")</f>
        <v/>
      </c>
      <c r="D1835" s="8" t="str">
        <f t="array" ref="D1835">IFERROR(INDEX(atlas!D:D,MATCH(A1835,atlas!C:C,0)),"")</f>
        <v/>
      </c>
      <c r="E1835" s="8" t="str">
        <f t="array" ref="E1835">IFERROR(INDEX(atlas!F:F,MATCH(A1835,atlas!C:C,0)),"")</f>
        <v/>
      </c>
      <c r="F1835" s="9"/>
      <c r="G1835" s="10"/>
      <c r="H1835" s="11"/>
      <c r="I1835" s="12" t="str">
        <f t="array" ref="I1835">IFERROR(INDEX(atlas!B:B,MATCH(A1835,atlas!C:C,0)),"")</f>
        <v/>
      </c>
      <c r="J1835" s="8" t="str">
        <f>IFERROR(VLOOKUP(F1835,tecnica!A:B,2,0),"")</f>
        <v/>
      </c>
      <c r="K1835" s="8" t="str">
        <f>IFERROR(VLOOKUP(J1835,tecnica!B:C,2,0),"")</f>
        <v/>
      </c>
      <c r="L1835" s="13"/>
      <c r="M1835" s="14" t="str">
        <f>IFERROR(VLOOKUP(I1835,material!A:D,4,0),"")</f>
        <v/>
      </c>
      <c r="N1835" s="14" t="str">
        <f t="shared" si="1"/>
        <v/>
      </c>
      <c r="O1835" s="15" t="str">
        <f>IFERROR(VLOOKUP(I1835,material!A:D,2,0),"")</f>
        <v/>
      </c>
    </row>
    <row r="1836">
      <c r="A1836" s="6"/>
      <c r="B1836" s="7"/>
      <c r="C1836" s="8" t="str">
        <f t="array" ref="C1836">IFERROR(INDEX(atlas!H:H,MATCH(A1836,atlas!C:C,0)),"")</f>
        <v/>
      </c>
      <c r="D1836" s="8" t="str">
        <f t="array" ref="D1836">IFERROR(INDEX(atlas!D:D,MATCH(A1836,atlas!C:C,0)),"")</f>
        <v/>
      </c>
      <c r="E1836" s="8" t="str">
        <f t="array" ref="E1836">IFERROR(INDEX(atlas!F:F,MATCH(A1836,atlas!C:C,0)),"")</f>
        <v/>
      </c>
      <c r="F1836" s="9"/>
      <c r="G1836" s="10"/>
      <c r="H1836" s="11"/>
      <c r="I1836" s="12" t="str">
        <f t="array" ref="I1836">IFERROR(INDEX(atlas!B:B,MATCH(A1836,atlas!C:C,0)),"")</f>
        <v/>
      </c>
      <c r="J1836" s="8" t="str">
        <f>IFERROR(VLOOKUP(F1836,tecnica!A:B,2,0),"")</f>
        <v/>
      </c>
      <c r="K1836" s="8" t="str">
        <f>IFERROR(VLOOKUP(J1836,tecnica!B:C,2,0),"")</f>
        <v/>
      </c>
      <c r="L1836" s="13"/>
      <c r="M1836" s="14" t="str">
        <f>IFERROR(VLOOKUP(I1836,material!A:D,4,0),"")</f>
        <v/>
      </c>
      <c r="N1836" s="14" t="str">
        <f t="shared" si="1"/>
        <v/>
      </c>
      <c r="O1836" s="15" t="str">
        <f>IFERROR(VLOOKUP(I1836,material!A:D,2,0),"")</f>
        <v/>
      </c>
    </row>
    <row r="1837">
      <c r="A1837" s="6"/>
      <c r="B1837" s="7"/>
      <c r="C1837" s="8" t="str">
        <f t="array" ref="C1837">IFERROR(INDEX(atlas!H:H,MATCH(A1837,atlas!C:C,0)),"")</f>
        <v/>
      </c>
      <c r="D1837" s="8" t="str">
        <f t="array" ref="D1837">IFERROR(INDEX(atlas!D:D,MATCH(A1837,atlas!C:C,0)),"")</f>
        <v/>
      </c>
      <c r="E1837" s="8" t="str">
        <f t="array" ref="E1837">IFERROR(INDEX(atlas!F:F,MATCH(A1837,atlas!C:C,0)),"")</f>
        <v/>
      </c>
      <c r="F1837" s="9"/>
      <c r="G1837" s="10"/>
      <c r="H1837" s="11"/>
      <c r="I1837" s="12" t="str">
        <f t="array" ref="I1837">IFERROR(INDEX(atlas!B:B,MATCH(A1837,atlas!C:C,0)),"")</f>
        <v/>
      </c>
      <c r="J1837" s="8" t="str">
        <f>IFERROR(VLOOKUP(F1837,tecnica!A:B,2,0),"")</f>
        <v/>
      </c>
      <c r="K1837" s="8" t="str">
        <f>IFERROR(VLOOKUP(J1837,tecnica!B:C,2,0),"")</f>
        <v/>
      </c>
      <c r="L1837" s="13"/>
      <c r="M1837" s="14" t="str">
        <f>IFERROR(VLOOKUP(I1837,material!A:D,4,0),"")</f>
        <v/>
      </c>
      <c r="N1837" s="14" t="str">
        <f t="shared" si="1"/>
        <v/>
      </c>
      <c r="O1837" s="15" t="str">
        <f>IFERROR(VLOOKUP(I1837,material!A:D,2,0),"")</f>
        <v/>
      </c>
    </row>
    <row r="1838">
      <c r="A1838" s="6"/>
      <c r="B1838" s="7"/>
      <c r="C1838" s="8" t="str">
        <f t="array" ref="C1838">IFERROR(INDEX(atlas!H:H,MATCH(A1838,atlas!C:C,0)),"")</f>
        <v/>
      </c>
      <c r="D1838" s="8" t="str">
        <f t="array" ref="D1838">IFERROR(INDEX(atlas!D:D,MATCH(A1838,atlas!C:C,0)),"")</f>
        <v/>
      </c>
      <c r="E1838" s="8" t="str">
        <f t="array" ref="E1838">IFERROR(INDEX(atlas!F:F,MATCH(A1838,atlas!C:C,0)),"")</f>
        <v/>
      </c>
      <c r="F1838" s="9"/>
      <c r="G1838" s="10"/>
      <c r="H1838" s="11"/>
      <c r="I1838" s="12" t="str">
        <f t="array" ref="I1838">IFERROR(INDEX(atlas!B:B,MATCH(A1838,atlas!C:C,0)),"")</f>
        <v/>
      </c>
      <c r="J1838" s="8" t="str">
        <f>IFERROR(VLOOKUP(F1838,tecnica!A:B,2,0),"")</f>
        <v/>
      </c>
      <c r="K1838" s="8" t="str">
        <f>IFERROR(VLOOKUP(J1838,tecnica!B:C,2,0),"")</f>
        <v/>
      </c>
      <c r="L1838" s="13"/>
      <c r="M1838" s="14" t="str">
        <f>IFERROR(VLOOKUP(I1838,material!A:D,4,0),"")</f>
        <v/>
      </c>
      <c r="N1838" s="14" t="str">
        <f t="shared" si="1"/>
        <v/>
      </c>
      <c r="O1838" s="15" t="str">
        <f>IFERROR(VLOOKUP(I1838,material!A:D,2,0),"")</f>
        <v/>
      </c>
    </row>
    <row r="1839">
      <c r="A1839" s="6"/>
      <c r="B1839" s="7"/>
      <c r="C1839" s="8" t="str">
        <f t="array" ref="C1839">IFERROR(INDEX(atlas!H:H,MATCH(A1839,atlas!C:C,0)),"")</f>
        <v/>
      </c>
      <c r="D1839" s="8" t="str">
        <f t="array" ref="D1839">IFERROR(INDEX(atlas!D:D,MATCH(A1839,atlas!C:C,0)),"")</f>
        <v/>
      </c>
      <c r="E1839" s="8" t="str">
        <f t="array" ref="E1839">IFERROR(INDEX(atlas!F:F,MATCH(A1839,atlas!C:C,0)),"")</f>
        <v/>
      </c>
      <c r="F1839" s="9"/>
      <c r="G1839" s="10"/>
      <c r="H1839" s="11"/>
      <c r="I1839" s="12" t="str">
        <f t="array" ref="I1839">IFERROR(INDEX(atlas!B:B,MATCH(A1839,atlas!C:C,0)),"")</f>
        <v/>
      </c>
      <c r="J1839" s="8" t="str">
        <f>IFERROR(VLOOKUP(F1839,tecnica!A:B,2,0),"")</f>
        <v/>
      </c>
      <c r="K1839" s="8" t="str">
        <f>IFERROR(VLOOKUP(J1839,tecnica!B:C,2,0),"")</f>
        <v/>
      </c>
      <c r="L1839" s="13"/>
      <c r="M1839" s="14" t="str">
        <f>IFERROR(VLOOKUP(I1839,material!A:D,4,0),"")</f>
        <v/>
      </c>
      <c r="N1839" s="14" t="str">
        <f t="shared" si="1"/>
        <v/>
      </c>
      <c r="O1839" s="15" t="str">
        <f>IFERROR(VLOOKUP(I1839,material!A:D,2,0),"")</f>
        <v/>
      </c>
    </row>
    <row r="1840">
      <c r="A1840" s="6"/>
      <c r="B1840" s="7"/>
      <c r="C1840" s="8" t="str">
        <f t="array" ref="C1840">IFERROR(INDEX(atlas!H:H,MATCH(A1840,atlas!C:C,0)),"")</f>
        <v/>
      </c>
      <c r="D1840" s="8" t="str">
        <f t="array" ref="D1840">IFERROR(INDEX(atlas!D:D,MATCH(A1840,atlas!C:C,0)),"")</f>
        <v/>
      </c>
      <c r="E1840" s="8" t="str">
        <f t="array" ref="E1840">IFERROR(INDEX(atlas!F:F,MATCH(A1840,atlas!C:C,0)),"")</f>
        <v/>
      </c>
      <c r="F1840" s="9"/>
      <c r="G1840" s="10"/>
      <c r="H1840" s="11"/>
      <c r="I1840" s="12" t="str">
        <f t="array" ref="I1840">IFERROR(INDEX(atlas!B:B,MATCH(A1840,atlas!C:C,0)),"")</f>
        <v/>
      </c>
      <c r="J1840" s="8" t="str">
        <f>IFERROR(VLOOKUP(F1840,tecnica!A:B,2,0),"")</f>
        <v/>
      </c>
      <c r="K1840" s="8" t="str">
        <f>IFERROR(VLOOKUP(J1840,tecnica!B:C,2,0),"")</f>
        <v/>
      </c>
      <c r="L1840" s="13"/>
      <c r="M1840" s="14" t="str">
        <f>IFERROR(VLOOKUP(I1840,material!A:D,4,0),"")</f>
        <v/>
      </c>
      <c r="N1840" s="14" t="str">
        <f t="shared" si="1"/>
        <v/>
      </c>
      <c r="O1840" s="15" t="str">
        <f>IFERROR(VLOOKUP(I1840,material!A:D,2,0),"")</f>
        <v/>
      </c>
    </row>
    <row r="1841">
      <c r="A1841" s="6"/>
      <c r="B1841" s="7"/>
      <c r="C1841" s="8" t="str">
        <f t="array" ref="C1841">IFERROR(INDEX(atlas!H:H,MATCH(A1841,atlas!C:C,0)),"")</f>
        <v/>
      </c>
      <c r="D1841" s="8" t="str">
        <f t="array" ref="D1841">IFERROR(INDEX(atlas!D:D,MATCH(A1841,atlas!C:C,0)),"")</f>
        <v/>
      </c>
      <c r="E1841" s="8" t="str">
        <f t="array" ref="E1841">IFERROR(INDEX(atlas!F:F,MATCH(A1841,atlas!C:C,0)),"")</f>
        <v/>
      </c>
      <c r="F1841" s="9"/>
      <c r="G1841" s="10"/>
      <c r="H1841" s="11"/>
      <c r="I1841" s="12" t="str">
        <f t="array" ref="I1841">IFERROR(INDEX(atlas!B:B,MATCH(A1841,atlas!C:C,0)),"")</f>
        <v/>
      </c>
      <c r="J1841" s="8" t="str">
        <f>IFERROR(VLOOKUP(F1841,tecnica!A:B,2,0),"")</f>
        <v/>
      </c>
      <c r="K1841" s="8" t="str">
        <f>IFERROR(VLOOKUP(J1841,tecnica!B:C,2,0),"")</f>
        <v/>
      </c>
      <c r="L1841" s="13"/>
      <c r="M1841" s="14" t="str">
        <f>IFERROR(VLOOKUP(I1841,material!A:D,4,0),"")</f>
        <v/>
      </c>
      <c r="N1841" s="14" t="str">
        <f t="shared" si="1"/>
        <v/>
      </c>
      <c r="O1841" s="15" t="str">
        <f>IFERROR(VLOOKUP(I1841,material!A:D,2,0),"")</f>
        <v/>
      </c>
    </row>
    <row r="1842">
      <c r="A1842" s="6"/>
      <c r="B1842" s="7"/>
      <c r="C1842" s="8" t="str">
        <f t="array" ref="C1842">IFERROR(INDEX(atlas!H:H,MATCH(A1842,atlas!C:C,0)),"")</f>
        <v/>
      </c>
      <c r="D1842" s="8" t="str">
        <f t="array" ref="D1842">IFERROR(INDEX(atlas!D:D,MATCH(A1842,atlas!C:C,0)),"")</f>
        <v/>
      </c>
      <c r="E1842" s="8" t="str">
        <f t="array" ref="E1842">IFERROR(INDEX(atlas!F:F,MATCH(A1842,atlas!C:C,0)),"")</f>
        <v/>
      </c>
      <c r="F1842" s="9"/>
      <c r="G1842" s="10"/>
      <c r="H1842" s="11"/>
      <c r="I1842" s="12" t="str">
        <f t="array" ref="I1842">IFERROR(INDEX(atlas!B:B,MATCH(A1842,atlas!C:C,0)),"")</f>
        <v/>
      </c>
      <c r="J1842" s="8" t="str">
        <f>IFERROR(VLOOKUP(F1842,tecnica!A:B,2,0),"")</f>
        <v/>
      </c>
      <c r="K1842" s="8" t="str">
        <f>IFERROR(VLOOKUP(J1842,tecnica!B:C,2,0),"")</f>
        <v/>
      </c>
      <c r="L1842" s="13"/>
      <c r="M1842" s="14" t="str">
        <f>IFERROR(VLOOKUP(I1842,material!A:D,4,0),"")</f>
        <v/>
      </c>
      <c r="N1842" s="14" t="str">
        <f t="shared" si="1"/>
        <v/>
      </c>
      <c r="O1842" s="15" t="str">
        <f>IFERROR(VLOOKUP(I1842,material!A:D,2,0),"")</f>
        <v/>
      </c>
    </row>
    <row r="1843">
      <c r="A1843" s="6"/>
      <c r="B1843" s="7"/>
      <c r="C1843" s="8" t="str">
        <f t="array" ref="C1843">IFERROR(INDEX(atlas!H:H,MATCH(A1843,atlas!C:C,0)),"")</f>
        <v/>
      </c>
      <c r="D1843" s="8" t="str">
        <f t="array" ref="D1843">IFERROR(INDEX(atlas!D:D,MATCH(A1843,atlas!C:C,0)),"")</f>
        <v/>
      </c>
      <c r="E1843" s="8" t="str">
        <f t="array" ref="E1843">IFERROR(INDEX(atlas!F:F,MATCH(A1843,atlas!C:C,0)),"")</f>
        <v/>
      </c>
      <c r="F1843" s="9"/>
      <c r="G1843" s="10"/>
      <c r="H1843" s="11"/>
      <c r="I1843" s="12" t="str">
        <f t="array" ref="I1843">IFERROR(INDEX(atlas!B:B,MATCH(A1843,atlas!C:C,0)),"")</f>
        <v/>
      </c>
      <c r="J1843" s="8" t="str">
        <f>IFERROR(VLOOKUP(F1843,tecnica!A:B,2,0),"")</f>
        <v/>
      </c>
      <c r="K1843" s="8" t="str">
        <f>IFERROR(VLOOKUP(J1843,tecnica!B:C,2,0),"")</f>
        <v/>
      </c>
      <c r="L1843" s="13"/>
      <c r="M1843" s="14" t="str">
        <f>IFERROR(VLOOKUP(I1843,material!A:D,4,0),"")</f>
        <v/>
      </c>
      <c r="N1843" s="14" t="str">
        <f t="shared" si="1"/>
        <v/>
      </c>
      <c r="O1843" s="15" t="str">
        <f>IFERROR(VLOOKUP(I1843,material!A:D,2,0),"")</f>
        <v/>
      </c>
    </row>
    <row r="1844">
      <c r="A1844" s="6"/>
      <c r="B1844" s="7"/>
      <c r="C1844" s="8" t="str">
        <f t="array" ref="C1844">IFERROR(INDEX(atlas!H:H,MATCH(A1844,atlas!C:C,0)),"")</f>
        <v/>
      </c>
      <c r="D1844" s="8" t="str">
        <f t="array" ref="D1844">IFERROR(INDEX(atlas!D:D,MATCH(A1844,atlas!C:C,0)),"")</f>
        <v/>
      </c>
      <c r="E1844" s="8" t="str">
        <f t="array" ref="E1844">IFERROR(INDEX(atlas!F:F,MATCH(A1844,atlas!C:C,0)),"")</f>
        <v/>
      </c>
      <c r="F1844" s="9"/>
      <c r="G1844" s="10"/>
      <c r="H1844" s="11"/>
      <c r="I1844" s="12" t="str">
        <f t="array" ref="I1844">IFERROR(INDEX(atlas!B:B,MATCH(A1844,atlas!C:C,0)),"")</f>
        <v/>
      </c>
      <c r="J1844" s="8" t="str">
        <f>IFERROR(VLOOKUP(F1844,tecnica!A:B,2,0),"")</f>
        <v/>
      </c>
      <c r="K1844" s="8" t="str">
        <f>IFERROR(VLOOKUP(J1844,tecnica!B:C,2,0),"")</f>
        <v/>
      </c>
      <c r="L1844" s="13"/>
      <c r="M1844" s="14" t="str">
        <f>IFERROR(VLOOKUP(I1844,material!A:D,4,0),"")</f>
        <v/>
      </c>
      <c r="N1844" s="14" t="str">
        <f t="shared" si="1"/>
        <v/>
      </c>
      <c r="O1844" s="15" t="str">
        <f>IFERROR(VLOOKUP(I1844,material!A:D,2,0),"")</f>
        <v/>
      </c>
    </row>
    <row r="1845">
      <c r="A1845" s="6"/>
      <c r="B1845" s="7"/>
      <c r="C1845" s="8" t="str">
        <f t="array" ref="C1845">IFERROR(INDEX(atlas!H:H,MATCH(A1845,atlas!C:C,0)),"")</f>
        <v/>
      </c>
      <c r="D1845" s="8" t="str">
        <f t="array" ref="D1845">IFERROR(INDEX(atlas!D:D,MATCH(A1845,atlas!C:C,0)),"")</f>
        <v/>
      </c>
      <c r="E1845" s="8" t="str">
        <f t="array" ref="E1845">IFERROR(INDEX(atlas!F:F,MATCH(A1845,atlas!C:C,0)),"")</f>
        <v/>
      </c>
      <c r="F1845" s="9"/>
      <c r="G1845" s="10"/>
      <c r="H1845" s="11"/>
      <c r="I1845" s="12" t="str">
        <f t="array" ref="I1845">IFERROR(INDEX(atlas!B:B,MATCH(A1845,atlas!C:C,0)),"")</f>
        <v/>
      </c>
      <c r="J1845" s="8" t="str">
        <f>IFERROR(VLOOKUP(F1845,tecnica!A:B,2,0),"")</f>
        <v/>
      </c>
      <c r="K1845" s="8" t="str">
        <f>IFERROR(VLOOKUP(J1845,tecnica!B:C,2,0),"")</f>
        <v/>
      </c>
      <c r="L1845" s="13"/>
      <c r="M1845" s="14" t="str">
        <f>IFERROR(VLOOKUP(I1845,material!A:D,4,0),"")</f>
        <v/>
      </c>
      <c r="N1845" s="14" t="str">
        <f t="shared" si="1"/>
        <v/>
      </c>
      <c r="O1845" s="15" t="str">
        <f>IFERROR(VLOOKUP(I1845,material!A:D,2,0),"")</f>
        <v/>
      </c>
    </row>
    <row r="1846">
      <c r="A1846" s="6"/>
      <c r="B1846" s="7"/>
      <c r="C1846" s="8" t="str">
        <f t="array" ref="C1846">IFERROR(INDEX(atlas!H:H,MATCH(A1846,atlas!C:C,0)),"")</f>
        <v/>
      </c>
      <c r="D1846" s="8" t="str">
        <f t="array" ref="D1846">IFERROR(INDEX(atlas!D:D,MATCH(A1846,atlas!C:C,0)),"")</f>
        <v/>
      </c>
      <c r="E1846" s="8" t="str">
        <f t="array" ref="E1846">IFERROR(INDEX(atlas!F:F,MATCH(A1846,atlas!C:C,0)),"")</f>
        <v/>
      </c>
      <c r="F1846" s="9"/>
      <c r="G1846" s="10"/>
      <c r="H1846" s="11"/>
      <c r="I1846" s="12" t="str">
        <f t="array" ref="I1846">IFERROR(INDEX(atlas!B:B,MATCH(A1846,atlas!C:C,0)),"")</f>
        <v/>
      </c>
      <c r="J1846" s="8" t="str">
        <f>IFERROR(VLOOKUP(F1846,tecnica!A:B,2,0),"")</f>
        <v/>
      </c>
      <c r="K1846" s="8" t="str">
        <f>IFERROR(VLOOKUP(J1846,tecnica!B:C,2,0),"")</f>
        <v/>
      </c>
      <c r="L1846" s="13"/>
      <c r="M1846" s="14" t="str">
        <f>IFERROR(VLOOKUP(I1846,material!A:D,4,0),"")</f>
        <v/>
      </c>
      <c r="N1846" s="14" t="str">
        <f t="shared" si="1"/>
        <v/>
      </c>
      <c r="O1846" s="15" t="str">
        <f>IFERROR(VLOOKUP(I1846,material!A:D,2,0),"")</f>
        <v/>
      </c>
    </row>
    <row r="1847">
      <c r="A1847" s="6"/>
      <c r="B1847" s="7"/>
      <c r="C1847" s="8" t="str">
        <f t="array" ref="C1847">IFERROR(INDEX(atlas!H:H,MATCH(A1847,atlas!C:C,0)),"")</f>
        <v/>
      </c>
      <c r="D1847" s="8" t="str">
        <f t="array" ref="D1847">IFERROR(INDEX(atlas!D:D,MATCH(A1847,atlas!C:C,0)),"")</f>
        <v/>
      </c>
      <c r="E1847" s="8" t="str">
        <f t="array" ref="E1847">IFERROR(INDEX(atlas!F:F,MATCH(A1847,atlas!C:C,0)),"")</f>
        <v/>
      </c>
      <c r="F1847" s="9"/>
      <c r="G1847" s="10"/>
      <c r="H1847" s="11"/>
      <c r="I1847" s="12" t="str">
        <f t="array" ref="I1847">IFERROR(INDEX(atlas!B:B,MATCH(A1847,atlas!C:C,0)),"")</f>
        <v/>
      </c>
      <c r="J1847" s="8" t="str">
        <f>IFERROR(VLOOKUP(F1847,tecnica!A:B,2,0),"")</f>
        <v/>
      </c>
      <c r="K1847" s="8" t="str">
        <f>IFERROR(VLOOKUP(J1847,tecnica!B:C,2,0),"")</f>
        <v/>
      </c>
      <c r="L1847" s="13"/>
      <c r="M1847" s="14" t="str">
        <f>IFERROR(VLOOKUP(I1847,material!A:D,4,0),"")</f>
        <v/>
      </c>
      <c r="N1847" s="14" t="str">
        <f t="shared" si="1"/>
        <v/>
      </c>
      <c r="O1847" s="15" t="str">
        <f>IFERROR(VLOOKUP(I1847,material!A:D,2,0),"")</f>
        <v/>
      </c>
    </row>
    <row r="1848">
      <c r="A1848" s="6"/>
      <c r="B1848" s="7"/>
      <c r="C1848" s="8" t="str">
        <f t="array" ref="C1848">IFERROR(INDEX(atlas!H:H,MATCH(A1848,atlas!C:C,0)),"")</f>
        <v/>
      </c>
      <c r="D1848" s="8" t="str">
        <f t="array" ref="D1848">IFERROR(INDEX(atlas!D:D,MATCH(A1848,atlas!C:C,0)),"")</f>
        <v/>
      </c>
      <c r="E1848" s="8" t="str">
        <f t="array" ref="E1848">IFERROR(INDEX(atlas!F:F,MATCH(A1848,atlas!C:C,0)),"")</f>
        <v/>
      </c>
      <c r="F1848" s="9"/>
      <c r="G1848" s="10"/>
      <c r="H1848" s="11"/>
      <c r="I1848" s="12" t="str">
        <f t="array" ref="I1848">IFERROR(INDEX(atlas!B:B,MATCH(A1848,atlas!C:C,0)),"")</f>
        <v/>
      </c>
      <c r="J1848" s="8" t="str">
        <f>IFERROR(VLOOKUP(F1848,tecnica!A:B,2,0),"")</f>
        <v/>
      </c>
      <c r="K1848" s="8" t="str">
        <f>IFERROR(VLOOKUP(J1848,tecnica!B:C,2,0),"")</f>
        <v/>
      </c>
      <c r="L1848" s="13"/>
      <c r="M1848" s="14" t="str">
        <f>IFERROR(VLOOKUP(I1848,material!A:D,4,0),"")</f>
        <v/>
      </c>
      <c r="N1848" s="14" t="str">
        <f t="shared" si="1"/>
        <v/>
      </c>
      <c r="O1848" s="15" t="str">
        <f>IFERROR(VLOOKUP(I1848,material!A:D,2,0),"")</f>
        <v/>
      </c>
    </row>
    <row r="1849">
      <c r="A1849" s="6"/>
      <c r="B1849" s="7"/>
      <c r="C1849" s="8" t="str">
        <f t="array" ref="C1849">IFERROR(INDEX(atlas!H:H,MATCH(A1849,atlas!C:C,0)),"")</f>
        <v/>
      </c>
      <c r="D1849" s="8" t="str">
        <f t="array" ref="D1849">IFERROR(INDEX(atlas!D:D,MATCH(A1849,atlas!C:C,0)),"")</f>
        <v/>
      </c>
      <c r="E1849" s="8" t="str">
        <f t="array" ref="E1849">IFERROR(INDEX(atlas!F:F,MATCH(A1849,atlas!C:C,0)),"")</f>
        <v/>
      </c>
      <c r="F1849" s="9"/>
      <c r="G1849" s="10"/>
      <c r="H1849" s="11"/>
      <c r="I1849" s="12" t="str">
        <f t="array" ref="I1849">IFERROR(INDEX(atlas!B:B,MATCH(A1849,atlas!C:C,0)),"")</f>
        <v/>
      </c>
      <c r="J1849" s="8" t="str">
        <f>IFERROR(VLOOKUP(F1849,tecnica!A:B,2,0),"")</f>
        <v/>
      </c>
      <c r="K1849" s="8" t="str">
        <f>IFERROR(VLOOKUP(J1849,tecnica!B:C,2,0),"")</f>
        <v/>
      </c>
      <c r="L1849" s="13"/>
      <c r="M1849" s="14" t="str">
        <f>IFERROR(VLOOKUP(I1849,material!A:D,4,0),"")</f>
        <v/>
      </c>
      <c r="N1849" s="14" t="str">
        <f t="shared" si="1"/>
        <v/>
      </c>
      <c r="O1849" s="15" t="str">
        <f>IFERROR(VLOOKUP(I1849,material!A:D,2,0),"")</f>
        <v/>
      </c>
    </row>
    <row r="1850">
      <c r="A1850" s="6"/>
      <c r="B1850" s="7"/>
      <c r="C1850" s="8" t="str">
        <f t="array" ref="C1850">IFERROR(INDEX(atlas!H:H,MATCH(A1850,atlas!C:C,0)),"")</f>
        <v/>
      </c>
      <c r="D1850" s="8" t="str">
        <f t="array" ref="D1850">IFERROR(INDEX(atlas!D:D,MATCH(A1850,atlas!C:C,0)),"")</f>
        <v/>
      </c>
      <c r="E1850" s="8" t="str">
        <f t="array" ref="E1850">IFERROR(INDEX(atlas!F:F,MATCH(A1850,atlas!C:C,0)),"")</f>
        <v/>
      </c>
      <c r="F1850" s="9"/>
      <c r="G1850" s="10"/>
      <c r="H1850" s="11"/>
      <c r="I1850" s="12" t="str">
        <f t="array" ref="I1850">IFERROR(INDEX(atlas!B:B,MATCH(A1850,atlas!C:C,0)),"")</f>
        <v/>
      </c>
      <c r="J1850" s="8" t="str">
        <f>IFERROR(VLOOKUP(F1850,tecnica!A:B,2,0),"")</f>
        <v/>
      </c>
      <c r="K1850" s="8" t="str">
        <f>IFERROR(VLOOKUP(J1850,tecnica!B:C,2,0),"")</f>
        <v/>
      </c>
      <c r="L1850" s="13"/>
      <c r="M1850" s="14" t="str">
        <f>IFERROR(VLOOKUP(I1850,material!A:D,4,0),"")</f>
        <v/>
      </c>
      <c r="N1850" s="14" t="str">
        <f t="shared" si="1"/>
        <v/>
      </c>
      <c r="O1850" s="15" t="str">
        <f>IFERROR(VLOOKUP(I1850,material!A:D,2,0),"")</f>
        <v/>
      </c>
    </row>
    <row r="1851">
      <c r="A1851" s="6"/>
      <c r="B1851" s="7"/>
      <c r="C1851" s="8" t="str">
        <f t="array" ref="C1851">IFERROR(INDEX(atlas!H:H,MATCH(A1851,atlas!C:C,0)),"")</f>
        <v/>
      </c>
      <c r="D1851" s="8" t="str">
        <f t="array" ref="D1851">IFERROR(INDEX(atlas!D:D,MATCH(A1851,atlas!C:C,0)),"")</f>
        <v/>
      </c>
      <c r="E1851" s="8" t="str">
        <f t="array" ref="E1851">IFERROR(INDEX(atlas!F:F,MATCH(A1851,atlas!C:C,0)),"")</f>
        <v/>
      </c>
      <c r="F1851" s="9"/>
      <c r="G1851" s="10"/>
      <c r="H1851" s="11"/>
      <c r="I1851" s="12" t="str">
        <f t="array" ref="I1851">IFERROR(INDEX(atlas!B:B,MATCH(A1851,atlas!C:C,0)),"")</f>
        <v/>
      </c>
      <c r="J1851" s="8" t="str">
        <f>IFERROR(VLOOKUP(F1851,tecnica!A:B,2,0),"")</f>
        <v/>
      </c>
      <c r="K1851" s="8" t="str">
        <f>IFERROR(VLOOKUP(J1851,tecnica!B:C,2,0),"")</f>
        <v/>
      </c>
      <c r="L1851" s="13"/>
      <c r="M1851" s="14" t="str">
        <f>IFERROR(VLOOKUP(I1851,material!A:D,4,0),"")</f>
        <v/>
      </c>
      <c r="N1851" s="14" t="str">
        <f t="shared" si="1"/>
        <v/>
      </c>
      <c r="O1851" s="15" t="str">
        <f>IFERROR(VLOOKUP(I1851,material!A:D,2,0),"")</f>
        <v/>
      </c>
    </row>
    <row r="1852">
      <c r="A1852" s="6"/>
      <c r="B1852" s="7"/>
      <c r="C1852" s="8" t="str">
        <f t="array" ref="C1852">IFERROR(INDEX(atlas!H:H,MATCH(A1852,atlas!C:C,0)),"")</f>
        <v/>
      </c>
      <c r="D1852" s="8" t="str">
        <f t="array" ref="D1852">IFERROR(INDEX(atlas!D:D,MATCH(A1852,atlas!C:C,0)),"")</f>
        <v/>
      </c>
      <c r="E1852" s="8" t="str">
        <f t="array" ref="E1852">IFERROR(INDEX(atlas!F:F,MATCH(A1852,atlas!C:C,0)),"")</f>
        <v/>
      </c>
      <c r="F1852" s="9"/>
      <c r="G1852" s="10"/>
      <c r="H1852" s="11"/>
      <c r="I1852" s="12" t="str">
        <f t="array" ref="I1852">IFERROR(INDEX(atlas!B:B,MATCH(A1852,atlas!C:C,0)),"")</f>
        <v/>
      </c>
      <c r="J1852" s="8" t="str">
        <f>IFERROR(VLOOKUP(F1852,tecnica!A:B,2,0),"")</f>
        <v/>
      </c>
      <c r="K1852" s="8" t="str">
        <f>IFERROR(VLOOKUP(J1852,tecnica!B:C,2,0),"")</f>
        <v/>
      </c>
      <c r="L1852" s="13"/>
      <c r="M1852" s="14" t="str">
        <f>IFERROR(VLOOKUP(I1852,material!A:D,4,0),"")</f>
        <v/>
      </c>
      <c r="N1852" s="14" t="str">
        <f t="shared" si="1"/>
        <v/>
      </c>
      <c r="O1852" s="15" t="str">
        <f>IFERROR(VLOOKUP(I1852,material!A:D,2,0),"")</f>
        <v/>
      </c>
    </row>
    <row r="1853">
      <c r="A1853" s="6"/>
      <c r="B1853" s="7"/>
      <c r="C1853" s="8" t="str">
        <f t="array" ref="C1853">IFERROR(INDEX(atlas!H:H,MATCH(A1853,atlas!C:C,0)),"")</f>
        <v/>
      </c>
      <c r="D1853" s="8" t="str">
        <f t="array" ref="D1853">IFERROR(INDEX(atlas!D:D,MATCH(A1853,atlas!C:C,0)),"")</f>
        <v/>
      </c>
      <c r="E1853" s="8" t="str">
        <f t="array" ref="E1853">IFERROR(INDEX(atlas!F:F,MATCH(A1853,atlas!C:C,0)),"")</f>
        <v/>
      </c>
      <c r="F1853" s="9"/>
      <c r="G1853" s="10"/>
      <c r="H1853" s="11"/>
      <c r="I1853" s="12" t="str">
        <f t="array" ref="I1853">IFERROR(INDEX(atlas!B:B,MATCH(A1853,atlas!C:C,0)),"")</f>
        <v/>
      </c>
      <c r="J1853" s="8" t="str">
        <f>IFERROR(VLOOKUP(F1853,tecnica!A:B,2,0),"")</f>
        <v/>
      </c>
      <c r="K1853" s="8" t="str">
        <f>IFERROR(VLOOKUP(J1853,tecnica!B:C,2,0),"")</f>
        <v/>
      </c>
      <c r="L1853" s="13"/>
      <c r="M1853" s="14" t="str">
        <f>IFERROR(VLOOKUP(I1853,material!A:D,4,0),"")</f>
        <v/>
      </c>
      <c r="N1853" s="14" t="str">
        <f t="shared" si="1"/>
        <v/>
      </c>
      <c r="O1853" s="15" t="str">
        <f>IFERROR(VLOOKUP(I1853,material!A:D,2,0),"")</f>
        <v/>
      </c>
    </row>
    <row r="1854">
      <c r="A1854" s="6"/>
      <c r="B1854" s="7"/>
      <c r="C1854" s="8" t="str">
        <f t="array" ref="C1854">IFERROR(INDEX(atlas!H:H,MATCH(A1854,atlas!C:C,0)),"")</f>
        <v/>
      </c>
      <c r="D1854" s="8" t="str">
        <f t="array" ref="D1854">IFERROR(INDEX(atlas!D:D,MATCH(A1854,atlas!C:C,0)),"")</f>
        <v/>
      </c>
      <c r="E1854" s="8" t="str">
        <f t="array" ref="E1854">IFERROR(INDEX(atlas!F:F,MATCH(A1854,atlas!C:C,0)),"")</f>
        <v/>
      </c>
      <c r="F1854" s="9"/>
      <c r="G1854" s="10"/>
      <c r="H1854" s="11"/>
      <c r="I1854" s="12" t="str">
        <f t="array" ref="I1854">IFERROR(INDEX(atlas!B:B,MATCH(A1854,atlas!C:C,0)),"")</f>
        <v/>
      </c>
      <c r="J1854" s="8" t="str">
        <f>IFERROR(VLOOKUP(F1854,tecnica!A:B,2,0),"")</f>
        <v/>
      </c>
      <c r="K1854" s="8" t="str">
        <f>IFERROR(VLOOKUP(J1854,tecnica!B:C,2,0),"")</f>
        <v/>
      </c>
      <c r="L1854" s="13"/>
      <c r="M1854" s="14" t="str">
        <f>IFERROR(VLOOKUP(I1854,material!A:D,4,0),"")</f>
        <v/>
      </c>
      <c r="N1854" s="14" t="str">
        <f t="shared" si="1"/>
        <v/>
      </c>
      <c r="O1854" s="15" t="str">
        <f>IFERROR(VLOOKUP(I1854,material!A:D,2,0),"")</f>
        <v/>
      </c>
    </row>
    <row r="1855">
      <c r="A1855" s="6"/>
      <c r="B1855" s="7"/>
      <c r="C1855" s="8" t="str">
        <f t="array" ref="C1855">IFERROR(INDEX(atlas!H:H,MATCH(A1855,atlas!C:C,0)),"")</f>
        <v/>
      </c>
      <c r="D1855" s="8" t="str">
        <f t="array" ref="D1855">IFERROR(INDEX(atlas!D:D,MATCH(A1855,atlas!C:C,0)),"")</f>
        <v/>
      </c>
      <c r="E1855" s="8" t="str">
        <f t="array" ref="E1855">IFERROR(INDEX(atlas!F:F,MATCH(A1855,atlas!C:C,0)),"")</f>
        <v/>
      </c>
      <c r="F1855" s="9"/>
      <c r="G1855" s="10"/>
      <c r="H1855" s="11"/>
      <c r="I1855" s="12" t="str">
        <f t="array" ref="I1855">IFERROR(INDEX(atlas!B:B,MATCH(A1855,atlas!C:C,0)),"")</f>
        <v/>
      </c>
      <c r="J1855" s="8" t="str">
        <f>IFERROR(VLOOKUP(F1855,tecnica!A:B,2,0),"")</f>
        <v/>
      </c>
      <c r="K1855" s="8" t="str">
        <f>IFERROR(VLOOKUP(J1855,tecnica!B:C,2,0),"")</f>
        <v/>
      </c>
      <c r="L1855" s="13"/>
      <c r="M1855" s="14" t="str">
        <f>IFERROR(VLOOKUP(I1855,material!A:D,4,0),"")</f>
        <v/>
      </c>
      <c r="N1855" s="14" t="str">
        <f t="shared" si="1"/>
        <v/>
      </c>
      <c r="O1855" s="15" t="str">
        <f>IFERROR(VLOOKUP(I1855,material!A:D,2,0),"")</f>
        <v/>
      </c>
    </row>
    <row r="1856">
      <c r="A1856" s="6"/>
      <c r="B1856" s="7"/>
      <c r="C1856" s="8" t="str">
        <f t="array" ref="C1856">IFERROR(INDEX(atlas!H:H,MATCH(A1856,atlas!C:C,0)),"")</f>
        <v/>
      </c>
      <c r="D1856" s="8" t="str">
        <f t="array" ref="D1856">IFERROR(INDEX(atlas!D:D,MATCH(A1856,atlas!C:C,0)),"")</f>
        <v/>
      </c>
      <c r="E1856" s="8" t="str">
        <f t="array" ref="E1856">IFERROR(INDEX(atlas!F:F,MATCH(A1856,atlas!C:C,0)),"")</f>
        <v/>
      </c>
      <c r="F1856" s="9"/>
      <c r="G1856" s="10"/>
      <c r="H1856" s="11"/>
      <c r="I1856" s="12" t="str">
        <f t="array" ref="I1856">IFERROR(INDEX(atlas!B:B,MATCH(A1856,atlas!C:C,0)),"")</f>
        <v/>
      </c>
      <c r="J1856" s="8" t="str">
        <f>IFERROR(VLOOKUP(F1856,tecnica!A:B,2,0),"")</f>
        <v/>
      </c>
      <c r="K1856" s="8" t="str">
        <f>IFERROR(VLOOKUP(J1856,tecnica!B:C,2,0),"")</f>
        <v/>
      </c>
      <c r="L1856" s="13"/>
      <c r="M1856" s="14" t="str">
        <f>IFERROR(VLOOKUP(I1856,material!A:D,4,0),"")</f>
        <v/>
      </c>
      <c r="N1856" s="14" t="str">
        <f t="shared" si="1"/>
        <v/>
      </c>
      <c r="O1856" s="15" t="str">
        <f>IFERROR(VLOOKUP(I1856,material!A:D,2,0),"")</f>
        <v/>
      </c>
    </row>
    <row r="1857">
      <c r="A1857" s="6"/>
      <c r="B1857" s="7"/>
      <c r="C1857" s="8" t="str">
        <f t="array" ref="C1857">IFERROR(INDEX(atlas!H:H,MATCH(A1857,atlas!C:C,0)),"")</f>
        <v/>
      </c>
      <c r="D1857" s="8" t="str">
        <f t="array" ref="D1857">IFERROR(INDEX(atlas!D:D,MATCH(A1857,atlas!C:C,0)),"")</f>
        <v/>
      </c>
      <c r="E1857" s="8" t="str">
        <f t="array" ref="E1857">IFERROR(INDEX(atlas!F:F,MATCH(A1857,atlas!C:C,0)),"")</f>
        <v/>
      </c>
      <c r="F1857" s="9"/>
      <c r="G1857" s="10"/>
      <c r="H1857" s="11"/>
      <c r="I1857" s="12" t="str">
        <f t="array" ref="I1857">IFERROR(INDEX(atlas!B:B,MATCH(A1857,atlas!C:C,0)),"")</f>
        <v/>
      </c>
      <c r="J1857" s="8" t="str">
        <f>IFERROR(VLOOKUP(F1857,tecnica!A:B,2,0),"")</f>
        <v/>
      </c>
      <c r="K1857" s="8" t="str">
        <f>IFERROR(VLOOKUP(J1857,tecnica!B:C,2,0),"")</f>
        <v/>
      </c>
      <c r="L1857" s="13"/>
      <c r="M1857" s="14" t="str">
        <f>IFERROR(VLOOKUP(I1857,material!A:D,4,0),"")</f>
        <v/>
      </c>
      <c r="N1857" s="14" t="str">
        <f t="shared" si="1"/>
        <v/>
      </c>
      <c r="O1857" s="15" t="str">
        <f>IFERROR(VLOOKUP(I1857,material!A:D,2,0),"")</f>
        <v/>
      </c>
    </row>
    <row r="1858">
      <c r="A1858" s="6"/>
      <c r="B1858" s="7"/>
      <c r="C1858" s="8" t="str">
        <f t="array" ref="C1858">IFERROR(INDEX(atlas!H:H,MATCH(A1858,atlas!C:C,0)),"")</f>
        <v/>
      </c>
      <c r="D1858" s="8" t="str">
        <f t="array" ref="D1858">IFERROR(INDEX(atlas!D:D,MATCH(A1858,atlas!C:C,0)),"")</f>
        <v/>
      </c>
      <c r="E1858" s="8" t="str">
        <f t="array" ref="E1858">IFERROR(INDEX(atlas!F:F,MATCH(A1858,atlas!C:C,0)),"")</f>
        <v/>
      </c>
      <c r="F1858" s="9"/>
      <c r="G1858" s="10"/>
      <c r="H1858" s="11"/>
      <c r="I1858" s="12" t="str">
        <f t="array" ref="I1858">IFERROR(INDEX(atlas!B:B,MATCH(A1858,atlas!C:C,0)),"")</f>
        <v/>
      </c>
      <c r="J1858" s="8" t="str">
        <f>IFERROR(VLOOKUP(F1858,tecnica!A:B,2,0),"")</f>
        <v/>
      </c>
      <c r="K1858" s="8" t="str">
        <f>IFERROR(VLOOKUP(J1858,tecnica!B:C,2,0),"")</f>
        <v/>
      </c>
      <c r="L1858" s="13"/>
      <c r="M1858" s="14" t="str">
        <f>IFERROR(VLOOKUP(I1858,material!A:D,4,0),"")</f>
        <v/>
      </c>
      <c r="N1858" s="14" t="str">
        <f t="shared" si="1"/>
        <v/>
      </c>
      <c r="O1858" s="15" t="str">
        <f>IFERROR(VLOOKUP(I1858,material!A:D,2,0),"")</f>
        <v/>
      </c>
    </row>
    <row r="1859">
      <c r="A1859" s="6"/>
      <c r="B1859" s="7"/>
      <c r="C1859" s="8" t="str">
        <f t="array" ref="C1859">IFERROR(INDEX(atlas!H:H,MATCH(A1859,atlas!C:C,0)),"")</f>
        <v/>
      </c>
      <c r="D1859" s="8" t="str">
        <f t="array" ref="D1859">IFERROR(INDEX(atlas!D:D,MATCH(A1859,atlas!C:C,0)),"")</f>
        <v/>
      </c>
      <c r="E1859" s="8" t="str">
        <f t="array" ref="E1859">IFERROR(INDEX(atlas!F:F,MATCH(A1859,atlas!C:C,0)),"")</f>
        <v/>
      </c>
      <c r="F1859" s="9"/>
      <c r="G1859" s="10"/>
      <c r="H1859" s="11"/>
      <c r="I1859" s="12" t="str">
        <f t="array" ref="I1859">IFERROR(INDEX(atlas!B:B,MATCH(A1859,atlas!C:C,0)),"")</f>
        <v/>
      </c>
      <c r="J1859" s="8" t="str">
        <f>IFERROR(VLOOKUP(F1859,tecnica!A:B,2,0),"")</f>
        <v/>
      </c>
      <c r="K1859" s="8" t="str">
        <f>IFERROR(VLOOKUP(J1859,tecnica!B:C,2,0),"")</f>
        <v/>
      </c>
      <c r="L1859" s="13"/>
      <c r="M1859" s="14" t="str">
        <f>IFERROR(VLOOKUP(I1859,material!A:D,4,0),"")</f>
        <v/>
      </c>
      <c r="N1859" s="14" t="str">
        <f t="shared" si="1"/>
        <v/>
      </c>
      <c r="O1859" s="15" t="str">
        <f>IFERROR(VLOOKUP(I1859,material!A:D,2,0),"")</f>
        <v/>
      </c>
    </row>
    <row r="1860">
      <c r="A1860" s="6"/>
      <c r="B1860" s="7"/>
      <c r="C1860" s="8" t="str">
        <f t="array" ref="C1860">IFERROR(INDEX(atlas!H:H,MATCH(A1860,atlas!C:C,0)),"")</f>
        <v/>
      </c>
      <c r="D1860" s="8" t="str">
        <f t="array" ref="D1860">IFERROR(INDEX(atlas!D:D,MATCH(A1860,atlas!C:C,0)),"")</f>
        <v/>
      </c>
      <c r="E1860" s="8" t="str">
        <f t="array" ref="E1860">IFERROR(INDEX(atlas!F:F,MATCH(A1860,atlas!C:C,0)),"")</f>
        <v/>
      </c>
      <c r="F1860" s="9"/>
      <c r="G1860" s="10"/>
      <c r="H1860" s="11"/>
      <c r="I1860" s="12" t="str">
        <f t="array" ref="I1860">IFERROR(INDEX(atlas!B:B,MATCH(A1860,atlas!C:C,0)),"")</f>
        <v/>
      </c>
      <c r="J1860" s="8" t="str">
        <f>IFERROR(VLOOKUP(F1860,tecnica!A:B,2,0),"")</f>
        <v/>
      </c>
      <c r="K1860" s="8" t="str">
        <f>IFERROR(VLOOKUP(J1860,tecnica!B:C,2,0),"")</f>
        <v/>
      </c>
      <c r="L1860" s="13"/>
      <c r="M1860" s="14" t="str">
        <f>IFERROR(VLOOKUP(I1860,material!A:D,4,0),"")</f>
        <v/>
      </c>
      <c r="N1860" s="14" t="str">
        <f t="shared" si="1"/>
        <v/>
      </c>
      <c r="O1860" s="15" t="str">
        <f>IFERROR(VLOOKUP(I1860,material!A:D,2,0),"")</f>
        <v/>
      </c>
    </row>
    <row r="1861">
      <c r="A1861" s="6"/>
      <c r="B1861" s="7"/>
      <c r="C1861" s="8" t="str">
        <f t="array" ref="C1861">IFERROR(INDEX(atlas!H:H,MATCH(A1861,atlas!C:C,0)),"")</f>
        <v/>
      </c>
      <c r="D1861" s="8" t="str">
        <f t="array" ref="D1861">IFERROR(INDEX(atlas!D:D,MATCH(A1861,atlas!C:C,0)),"")</f>
        <v/>
      </c>
      <c r="E1861" s="8" t="str">
        <f t="array" ref="E1861">IFERROR(INDEX(atlas!F:F,MATCH(A1861,atlas!C:C,0)),"")</f>
        <v/>
      </c>
      <c r="F1861" s="9"/>
      <c r="G1861" s="10"/>
      <c r="H1861" s="11"/>
      <c r="I1861" s="12" t="str">
        <f t="array" ref="I1861">IFERROR(INDEX(atlas!B:B,MATCH(A1861,atlas!C:C,0)),"")</f>
        <v/>
      </c>
      <c r="J1861" s="8" t="str">
        <f>IFERROR(VLOOKUP(F1861,tecnica!A:B,2,0),"")</f>
        <v/>
      </c>
      <c r="K1861" s="8" t="str">
        <f>IFERROR(VLOOKUP(J1861,tecnica!B:C,2,0),"")</f>
        <v/>
      </c>
      <c r="L1861" s="13"/>
      <c r="M1861" s="14" t="str">
        <f>IFERROR(VLOOKUP(I1861,material!A:D,4,0),"")</f>
        <v/>
      </c>
      <c r="N1861" s="14" t="str">
        <f t="shared" si="1"/>
        <v/>
      </c>
      <c r="O1861" s="15" t="str">
        <f>IFERROR(VLOOKUP(I1861,material!A:D,2,0),"")</f>
        <v/>
      </c>
    </row>
    <row r="1862">
      <c r="A1862" s="6"/>
      <c r="B1862" s="7"/>
      <c r="C1862" s="8" t="str">
        <f t="array" ref="C1862">IFERROR(INDEX(atlas!H:H,MATCH(A1862,atlas!C:C,0)),"")</f>
        <v/>
      </c>
      <c r="D1862" s="8" t="str">
        <f t="array" ref="D1862">IFERROR(INDEX(atlas!D:D,MATCH(A1862,atlas!C:C,0)),"")</f>
        <v/>
      </c>
      <c r="E1862" s="8" t="str">
        <f t="array" ref="E1862">IFERROR(INDEX(atlas!F:F,MATCH(A1862,atlas!C:C,0)),"")</f>
        <v/>
      </c>
      <c r="F1862" s="9"/>
      <c r="G1862" s="10"/>
      <c r="H1862" s="11"/>
      <c r="I1862" s="12" t="str">
        <f t="array" ref="I1862">IFERROR(INDEX(atlas!B:B,MATCH(A1862,atlas!C:C,0)),"")</f>
        <v/>
      </c>
      <c r="J1862" s="8" t="str">
        <f>IFERROR(VLOOKUP(F1862,tecnica!A:B,2,0),"")</f>
        <v/>
      </c>
      <c r="K1862" s="8" t="str">
        <f>IFERROR(VLOOKUP(J1862,tecnica!B:C,2,0),"")</f>
        <v/>
      </c>
      <c r="L1862" s="13"/>
      <c r="M1862" s="14" t="str">
        <f>IFERROR(VLOOKUP(I1862,material!A:D,4,0),"")</f>
        <v/>
      </c>
      <c r="N1862" s="14" t="str">
        <f t="shared" si="1"/>
        <v/>
      </c>
      <c r="O1862" s="15" t="str">
        <f>IFERROR(VLOOKUP(I1862,material!A:D,2,0),"")</f>
        <v/>
      </c>
    </row>
    <row r="1863">
      <c r="A1863" s="6"/>
      <c r="B1863" s="7"/>
      <c r="C1863" s="8" t="str">
        <f t="array" ref="C1863">IFERROR(INDEX(atlas!H:H,MATCH(A1863,atlas!C:C,0)),"")</f>
        <v/>
      </c>
      <c r="D1863" s="8" t="str">
        <f t="array" ref="D1863">IFERROR(INDEX(atlas!D:D,MATCH(A1863,atlas!C:C,0)),"")</f>
        <v/>
      </c>
      <c r="E1863" s="8" t="str">
        <f t="array" ref="E1863">IFERROR(INDEX(atlas!F:F,MATCH(A1863,atlas!C:C,0)),"")</f>
        <v/>
      </c>
      <c r="F1863" s="9"/>
      <c r="G1863" s="10"/>
      <c r="H1863" s="11"/>
      <c r="I1863" s="12" t="str">
        <f t="array" ref="I1863">IFERROR(INDEX(atlas!B:B,MATCH(A1863,atlas!C:C,0)),"")</f>
        <v/>
      </c>
      <c r="J1863" s="8" t="str">
        <f>IFERROR(VLOOKUP(F1863,tecnica!A:B,2,0),"")</f>
        <v/>
      </c>
      <c r="K1863" s="8" t="str">
        <f>IFERROR(VLOOKUP(J1863,tecnica!B:C,2,0),"")</f>
        <v/>
      </c>
      <c r="L1863" s="13"/>
      <c r="M1863" s="14" t="str">
        <f>IFERROR(VLOOKUP(I1863,material!A:D,4,0),"")</f>
        <v/>
      </c>
      <c r="N1863" s="14" t="str">
        <f t="shared" si="1"/>
        <v/>
      </c>
      <c r="O1863" s="15" t="str">
        <f>IFERROR(VLOOKUP(I1863,material!A:D,2,0),"")</f>
        <v/>
      </c>
    </row>
    <row r="1864">
      <c r="A1864" s="6"/>
      <c r="B1864" s="7"/>
      <c r="C1864" s="8" t="str">
        <f t="array" ref="C1864">IFERROR(INDEX(atlas!H:H,MATCH(A1864,atlas!C:C,0)),"")</f>
        <v/>
      </c>
      <c r="D1864" s="8" t="str">
        <f t="array" ref="D1864">IFERROR(INDEX(atlas!D:D,MATCH(A1864,atlas!C:C,0)),"")</f>
        <v/>
      </c>
      <c r="E1864" s="8" t="str">
        <f t="array" ref="E1864">IFERROR(INDEX(atlas!F:F,MATCH(A1864,atlas!C:C,0)),"")</f>
        <v/>
      </c>
      <c r="F1864" s="9"/>
      <c r="G1864" s="10"/>
      <c r="H1864" s="11"/>
      <c r="I1864" s="12" t="str">
        <f t="array" ref="I1864">IFERROR(INDEX(atlas!B:B,MATCH(A1864,atlas!C:C,0)),"")</f>
        <v/>
      </c>
      <c r="J1864" s="8" t="str">
        <f>IFERROR(VLOOKUP(F1864,tecnica!A:B,2,0),"")</f>
        <v/>
      </c>
      <c r="K1864" s="8" t="str">
        <f>IFERROR(VLOOKUP(J1864,tecnica!B:C,2,0),"")</f>
        <v/>
      </c>
      <c r="L1864" s="13"/>
      <c r="M1864" s="14" t="str">
        <f>IFERROR(VLOOKUP(I1864,material!A:D,4,0),"")</f>
        <v/>
      </c>
      <c r="N1864" s="14" t="str">
        <f t="shared" si="1"/>
        <v/>
      </c>
      <c r="O1864" s="15" t="str">
        <f>IFERROR(VLOOKUP(I1864,material!A:D,2,0),"")</f>
        <v/>
      </c>
    </row>
    <row r="1865">
      <c r="A1865" s="6"/>
      <c r="B1865" s="7"/>
      <c r="C1865" s="8" t="str">
        <f t="array" ref="C1865">IFERROR(INDEX(atlas!H:H,MATCH(A1865,atlas!C:C,0)),"")</f>
        <v/>
      </c>
      <c r="D1865" s="8" t="str">
        <f t="array" ref="D1865">IFERROR(INDEX(atlas!D:D,MATCH(A1865,atlas!C:C,0)),"")</f>
        <v/>
      </c>
      <c r="E1865" s="8" t="str">
        <f t="array" ref="E1865">IFERROR(INDEX(atlas!F:F,MATCH(A1865,atlas!C:C,0)),"")</f>
        <v/>
      </c>
      <c r="F1865" s="9"/>
      <c r="G1865" s="10"/>
      <c r="H1865" s="11"/>
      <c r="I1865" s="12" t="str">
        <f t="array" ref="I1865">IFERROR(INDEX(atlas!B:B,MATCH(A1865,atlas!C:C,0)),"")</f>
        <v/>
      </c>
      <c r="J1865" s="8" t="str">
        <f>IFERROR(VLOOKUP(F1865,tecnica!A:B,2,0),"")</f>
        <v/>
      </c>
      <c r="K1865" s="8" t="str">
        <f>IFERROR(VLOOKUP(J1865,tecnica!B:C,2,0),"")</f>
        <v/>
      </c>
      <c r="L1865" s="13"/>
      <c r="M1865" s="14" t="str">
        <f>IFERROR(VLOOKUP(I1865,material!A:D,4,0),"")</f>
        <v/>
      </c>
      <c r="N1865" s="14" t="str">
        <f t="shared" si="1"/>
        <v/>
      </c>
      <c r="O1865" s="15" t="str">
        <f>IFERROR(VLOOKUP(I1865,material!A:D,2,0),"")</f>
        <v/>
      </c>
    </row>
    <row r="1866">
      <c r="A1866" s="6"/>
      <c r="B1866" s="7"/>
      <c r="C1866" s="8" t="str">
        <f t="array" ref="C1866">IFERROR(INDEX(atlas!H:H,MATCH(A1866,atlas!C:C,0)),"")</f>
        <v/>
      </c>
      <c r="D1866" s="8" t="str">
        <f t="array" ref="D1866">IFERROR(INDEX(atlas!D:D,MATCH(A1866,atlas!C:C,0)),"")</f>
        <v/>
      </c>
      <c r="E1866" s="8" t="str">
        <f t="array" ref="E1866">IFERROR(INDEX(atlas!F:F,MATCH(A1866,atlas!C:C,0)),"")</f>
        <v/>
      </c>
      <c r="F1866" s="9"/>
      <c r="G1866" s="10"/>
      <c r="H1866" s="11"/>
      <c r="I1866" s="12" t="str">
        <f t="array" ref="I1866">IFERROR(INDEX(atlas!B:B,MATCH(A1866,atlas!C:C,0)),"")</f>
        <v/>
      </c>
      <c r="J1866" s="8" t="str">
        <f>IFERROR(VLOOKUP(F1866,tecnica!A:B,2,0),"")</f>
        <v/>
      </c>
      <c r="K1866" s="8" t="str">
        <f>IFERROR(VLOOKUP(J1866,tecnica!B:C,2,0),"")</f>
        <v/>
      </c>
      <c r="L1866" s="13"/>
      <c r="M1866" s="14" t="str">
        <f>IFERROR(VLOOKUP(I1866,material!A:D,4,0),"")</f>
        <v/>
      </c>
      <c r="N1866" s="14" t="str">
        <f t="shared" si="1"/>
        <v/>
      </c>
      <c r="O1866" s="15" t="str">
        <f>IFERROR(VLOOKUP(I1866,material!A:D,2,0),"")</f>
        <v/>
      </c>
    </row>
    <row r="1867">
      <c r="A1867" s="6"/>
      <c r="B1867" s="7"/>
      <c r="C1867" s="8" t="str">
        <f t="array" ref="C1867">IFERROR(INDEX(atlas!H:H,MATCH(A1867,atlas!C:C,0)),"")</f>
        <v/>
      </c>
      <c r="D1867" s="8" t="str">
        <f t="array" ref="D1867">IFERROR(INDEX(atlas!D:D,MATCH(A1867,atlas!C:C,0)),"")</f>
        <v/>
      </c>
      <c r="E1867" s="8" t="str">
        <f t="array" ref="E1867">IFERROR(INDEX(atlas!F:F,MATCH(A1867,atlas!C:C,0)),"")</f>
        <v/>
      </c>
      <c r="F1867" s="9"/>
      <c r="G1867" s="10"/>
      <c r="H1867" s="11"/>
      <c r="I1867" s="12" t="str">
        <f t="array" ref="I1867">IFERROR(INDEX(atlas!B:B,MATCH(A1867,atlas!C:C,0)),"")</f>
        <v/>
      </c>
      <c r="J1867" s="8" t="str">
        <f>IFERROR(VLOOKUP(F1867,tecnica!A:B,2,0),"")</f>
        <v/>
      </c>
      <c r="K1867" s="8" t="str">
        <f>IFERROR(VLOOKUP(J1867,tecnica!B:C,2,0),"")</f>
        <v/>
      </c>
      <c r="L1867" s="13"/>
      <c r="M1867" s="14" t="str">
        <f>IFERROR(VLOOKUP(I1867,material!A:D,4,0),"")</f>
        <v/>
      </c>
      <c r="N1867" s="14" t="str">
        <f t="shared" si="1"/>
        <v/>
      </c>
      <c r="O1867" s="15" t="str">
        <f>IFERROR(VLOOKUP(I1867,material!A:D,2,0),"")</f>
        <v/>
      </c>
    </row>
    <row r="1868">
      <c r="A1868" s="6"/>
      <c r="B1868" s="7"/>
      <c r="C1868" s="8" t="str">
        <f t="array" ref="C1868">IFERROR(INDEX(atlas!H:H,MATCH(A1868,atlas!C:C,0)),"")</f>
        <v/>
      </c>
      <c r="D1868" s="8" t="str">
        <f t="array" ref="D1868">IFERROR(INDEX(atlas!D:D,MATCH(A1868,atlas!C:C,0)),"")</f>
        <v/>
      </c>
      <c r="E1868" s="8" t="str">
        <f t="array" ref="E1868">IFERROR(INDEX(atlas!F:F,MATCH(A1868,atlas!C:C,0)),"")</f>
        <v/>
      </c>
      <c r="F1868" s="9"/>
      <c r="G1868" s="10"/>
      <c r="H1868" s="11"/>
      <c r="I1868" s="12" t="str">
        <f t="array" ref="I1868">IFERROR(INDEX(atlas!B:B,MATCH(A1868,atlas!C:C,0)),"")</f>
        <v/>
      </c>
      <c r="J1868" s="8" t="str">
        <f>IFERROR(VLOOKUP(F1868,tecnica!A:B,2,0),"")</f>
        <v/>
      </c>
      <c r="K1868" s="8" t="str">
        <f>IFERROR(VLOOKUP(J1868,tecnica!B:C,2,0),"")</f>
        <v/>
      </c>
      <c r="L1868" s="13"/>
      <c r="M1868" s="14" t="str">
        <f>IFERROR(VLOOKUP(I1868,material!A:D,4,0),"")</f>
        <v/>
      </c>
      <c r="N1868" s="14" t="str">
        <f t="shared" si="1"/>
        <v/>
      </c>
      <c r="O1868" s="15" t="str">
        <f>IFERROR(VLOOKUP(I1868,material!A:D,2,0),"")</f>
        <v/>
      </c>
    </row>
    <row r="1869">
      <c r="A1869" s="6"/>
      <c r="B1869" s="7"/>
      <c r="C1869" s="8" t="str">
        <f t="array" ref="C1869">IFERROR(INDEX(atlas!H:H,MATCH(A1869,atlas!C:C,0)),"")</f>
        <v/>
      </c>
      <c r="D1869" s="8" t="str">
        <f t="array" ref="D1869">IFERROR(INDEX(atlas!D:D,MATCH(A1869,atlas!C:C,0)),"")</f>
        <v/>
      </c>
      <c r="E1869" s="8" t="str">
        <f t="array" ref="E1869">IFERROR(INDEX(atlas!F:F,MATCH(A1869,atlas!C:C,0)),"")</f>
        <v/>
      </c>
      <c r="F1869" s="9"/>
      <c r="G1869" s="10"/>
      <c r="H1869" s="11"/>
      <c r="I1869" s="12" t="str">
        <f t="array" ref="I1869">IFERROR(INDEX(atlas!B:B,MATCH(A1869,atlas!C:C,0)),"")</f>
        <v/>
      </c>
      <c r="J1869" s="8" t="str">
        <f>IFERROR(VLOOKUP(F1869,tecnica!A:B,2,0),"")</f>
        <v/>
      </c>
      <c r="K1869" s="8" t="str">
        <f>IFERROR(VLOOKUP(J1869,tecnica!B:C,2,0),"")</f>
        <v/>
      </c>
      <c r="L1869" s="13"/>
      <c r="M1869" s="14" t="str">
        <f>IFERROR(VLOOKUP(I1869,material!A:D,4,0),"")</f>
        <v/>
      </c>
      <c r="N1869" s="14" t="str">
        <f t="shared" si="1"/>
        <v/>
      </c>
      <c r="O1869" s="15" t="str">
        <f>IFERROR(VLOOKUP(I1869,material!A:D,2,0),"")</f>
        <v/>
      </c>
    </row>
    <row r="1870">
      <c r="A1870" s="6"/>
      <c r="B1870" s="7"/>
      <c r="C1870" s="8" t="str">
        <f t="array" ref="C1870">IFERROR(INDEX(atlas!H:H,MATCH(A1870,atlas!C:C,0)),"")</f>
        <v/>
      </c>
      <c r="D1870" s="8" t="str">
        <f t="array" ref="D1870">IFERROR(INDEX(atlas!D:D,MATCH(A1870,atlas!C:C,0)),"")</f>
        <v/>
      </c>
      <c r="E1870" s="8" t="str">
        <f t="array" ref="E1870">IFERROR(INDEX(atlas!F:F,MATCH(A1870,atlas!C:C,0)),"")</f>
        <v/>
      </c>
      <c r="F1870" s="9"/>
      <c r="G1870" s="10"/>
      <c r="H1870" s="11"/>
      <c r="I1870" s="12" t="str">
        <f t="array" ref="I1870">IFERROR(INDEX(atlas!B:B,MATCH(A1870,atlas!C:C,0)),"")</f>
        <v/>
      </c>
      <c r="J1870" s="8" t="str">
        <f>IFERROR(VLOOKUP(F1870,tecnica!A:B,2,0),"")</f>
        <v/>
      </c>
      <c r="K1870" s="8" t="str">
        <f>IFERROR(VLOOKUP(J1870,tecnica!B:C,2,0),"")</f>
        <v/>
      </c>
      <c r="L1870" s="13"/>
      <c r="M1870" s="14" t="str">
        <f>IFERROR(VLOOKUP(I1870,material!A:D,4,0),"")</f>
        <v/>
      </c>
      <c r="N1870" s="14" t="str">
        <f t="shared" si="1"/>
        <v/>
      </c>
      <c r="O1870" s="15" t="str">
        <f>IFERROR(VLOOKUP(I1870,material!A:D,2,0),"")</f>
        <v/>
      </c>
    </row>
    <row r="1871">
      <c r="A1871" s="6"/>
      <c r="B1871" s="7"/>
      <c r="C1871" s="8" t="str">
        <f t="array" ref="C1871">IFERROR(INDEX(atlas!H:H,MATCH(A1871,atlas!C:C,0)),"")</f>
        <v/>
      </c>
      <c r="D1871" s="8" t="str">
        <f t="array" ref="D1871">IFERROR(INDEX(atlas!D:D,MATCH(A1871,atlas!C:C,0)),"")</f>
        <v/>
      </c>
      <c r="E1871" s="8" t="str">
        <f t="array" ref="E1871">IFERROR(INDEX(atlas!F:F,MATCH(A1871,atlas!C:C,0)),"")</f>
        <v/>
      </c>
      <c r="F1871" s="9"/>
      <c r="G1871" s="10"/>
      <c r="H1871" s="11"/>
      <c r="I1871" s="12" t="str">
        <f t="array" ref="I1871">IFERROR(INDEX(atlas!B:B,MATCH(A1871,atlas!C:C,0)),"")</f>
        <v/>
      </c>
      <c r="J1871" s="8" t="str">
        <f>IFERROR(VLOOKUP(F1871,tecnica!A:B,2,0),"")</f>
        <v/>
      </c>
      <c r="K1871" s="8" t="str">
        <f>IFERROR(VLOOKUP(J1871,tecnica!B:C,2,0),"")</f>
        <v/>
      </c>
      <c r="L1871" s="13"/>
      <c r="M1871" s="14" t="str">
        <f>IFERROR(VLOOKUP(I1871,material!A:D,4,0),"")</f>
        <v/>
      </c>
      <c r="N1871" s="14" t="str">
        <f t="shared" si="1"/>
        <v/>
      </c>
      <c r="O1871" s="15" t="str">
        <f>IFERROR(VLOOKUP(I1871,material!A:D,2,0),"")</f>
        <v/>
      </c>
    </row>
    <row r="1872">
      <c r="A1872" s="6"/>
      <c r="B1872" s="7"/>
      <c r="C1872" s="8" t="str">
        <f t="array" ref="C1872">IFERROR(INDEX(atlas!H:H,MATCH(A1872,atlas!C:C,0)),"")</f>
        <v/>
      </c>
      <c r="D1872" s="8" t="str">
        <f t="array" ref="D1872">IFERROR(INDEX(atlas!D:D,MATCH(A1872,atlas!C:C,0)),"")</f>
        <v/>
      </c>
      <c r="E1872" s="8" t="str">
        <f t="array" ref="E1872">IFERROR(INDEX(atlas!F:F,MATCH(A1872,atlas!C:C,0)),"")</f>
        <v/>
      </c>
      <c r="F1872" s="9"/>
      <c r="G1872" s="10"/>
      <c r="H1872" s="11"/>
      <c r="I1872" s="12" t="str">
        <f t="array" ref="I1872">IFERROR(INDEX(atlas!B:B,MATCH(A1872,atlas!C:C,0)),"")</f>
        <v/>
      </c>
      <c r="J1872" s="8" t="str">
        <f>IFERROR(VLOOKUP(F1872,tecnica!A:B,2,0),"")</f>
        <v/>
      </c>
      <c r="K1872" s="8" t="str">
        <f>IFERROR(VLOOKUP(J1872,tecnica!B:C,2,0),"")</f>
        <v/>
      </c>
      <c r="L1872" s="13"/>
      <c r="M1872" s="14" t="str">
        <f>IFERROR(VLOOKUP(I1872,material!A:D,4,0),"")</f>
        <v/>
      </c>
      <c r="N1872" s="14" t="str">
        <f t="shared" si="1"/>
        <v/>
      </c>
      <c r="O1872" s="15" t="str">
        <f>IFERROR(VLOOKUP(I1872,material!A:D,2,0),"")</f>
        <v/>
      </c>
    </row>
    <row r="1873">
      <c r="A1873" s="6"/>
      <c r="B1873" s="7"/>
      <c r="C1873" s="8" t="str">
        <f t="array" ref="C1873">IFERROR(INDEX(atlas!H:H,MATCH(A1873,atlas!C:C,0)),"")</f>
        <v/>
      </c>
      <c r="D1873" s="8" t="str">
        <f t="array" ref="D1873">IFERROR(INDEX(atlas!D:D,MATCH(A1873,atlas!C:C,0)),"")</f>
        <v/>
      </c>
      <c r="E1873" s="8" t="str">
        <f t="array" ref="E1873">IFERROR(INDEX(atlas!F:F,MATCH(A1873,atlas!C:C,0)),"")</f>
        <v/>
      </c>
      <c r="F1873" s="9"/>
      <c r="G1873" s="10"/>
      <c r="H1873" s="11"/>
      <c r="I1873" s="12" t="str">
        <f t="array" ref="I1873">IFERROR(INDEX(atlas!B:B,MATCH(A1873,atlas!C:C,0)),"")</f>
        <v/>
      </c>
      <c r="J1873" s="8" t="str">
        <f>IFERROR(VLOOKUP(F1873,tecnica!A:B,2,0),"")</f>
        <v/>
      </c>
      <c r="K1873" s="8" t="str">
        <f>IFERROR(VLOOKUP(J1873,tecnica!B:C,2,0),"")</f>
        <v/>
      </c>
      <c r="L1873" s="13"/>
      <c r="M1873" s="14" t="str">
        <f>IFERROR(VLOOKUP(I1873,material!A:D,4,0),"")</f>
        <v/>
      </c>
      <c r="N1873" s="14" t="str">
        <f t="shared" si="1"/>
        <v/>
      </c>
      <c r="O1873" s="15" t="str">
        <f>IFERROR(VLOOKUP(I1873,material!A:D,2,0),"")</f>
        <v/>
      </c>
    </row>
    <row r="1874">
      <c r="A1874" s="6"/>
      <c r="B1874" s="7"/>
      <c r="C1874" s="8" t="str">
        <f t="array" ref="C1874">IFERROR(INDEX(atlas!H:H,MATCH(A1874,atlas!C:C,0)),"")</f>
        <v/>
      </c>
      <c r="D1874" s="8" t="str">
        <f t="array" ref="D1874">IFERROR(INDEX(atlas!D:D,MATCH(A1874,atlas!C:C,0)),"")</f>
        <v/>
      </c>
      <c r="E1874" s="8" t="str">
        <f t="array" ref="E1874">IFERROR(INDEX(atlas!F:F,MATCH(A1874,atlas!C:C,0)),"")</f>
        <v/>
      </c>
      <c r="F1874" s="9"/>
      <c r="G1874" s="10"/>
      <c r="H1874" s="11"/>
      <c r="I1874" s="12" t="str">
        <f t="array" ref="I1874">IFERROR(INDEX(atlas!B:B,MATCH(A1874,atlas!C:C,0)),"")</f>
        <v/>
      </c>
      <c r="J1874" s="8" t="str">
        <f>IFERROR(VLOOKUP(F1874,tecnica!A:B,2,0),"")</f>
        <v/>
      </c>
      <c r="K1874" s="8" t="str">
        <f>IFERROR(VLOOKUP(J1874,tecnica!B:C,2,0),"")</f>
        <v/>
      </c>
      <c r="L1874" s="13"/>
      <c r="M1874" s="14" t="str">
        <f>IFERROR(VLOOKUP(I1874,material!A:D,4,0),"")</f>
        <v/>
      </c>
      <c r="N1874" s="14" t="str">
        <f t="shared" si="1"/>
        <v/>
      </c>
      <c r="O1874" s="15" t="str">
        <f>IFERROR(VLOOKUP(I1874,material!A:D,2,0),"")</f>
        <v/>
      </c>
    </row>
    <row r="1875">
      <c r="A1875" s="6"/>
      <c r="B1875" s="7"/>
      <c r="C1875" s="8" t="str">
        <f t="array" ref="C1875">IFERROR(INDEX(atlas!H:H,MATCH(A1875,atlas!C:C,0)),"")</f>
        <v/>
      </c>
      <c r="D1875" s="8" t="str">
        <f t="array" ref="D1875">IFERROR(INDEX(atlas!D:D,MATCH(A1875,atlas!C:C,0)),"")</f>
        <v/>
      </c>
      <c r="E1875" s="8" t="str">
        <f t="array" ref="E1875">IFERROR(INDEX(atlas!F:F,MATCH(A1875,atlas!C:C,0)),"")</f>
        <v/>
      </c>
      <c r="F1875" s="9"/>
      <c r="G1875" s="10"/>
      <c r="H1875" s="11"/>
      <c r="I1875" s="12" t="str">
        <f t="array" ref="I1875">IFERROR(INDEX(atlas!B:B,MATCH(A1875,atlas!C:C,0)),"")</f>
        <v/>
      </c>
      <c r="J1875" s="8" t="str">
        <f>IFERROR(VLOOKUP(F1875,tecnica!A:B,2,0),"")</f>
        <v/>
      </c>
      <c r="K1875" s="8" t="str">
        <f>IFERROR(VLOOKUP(J1875,tecnica!B:C,2,0),"")</f>
        <v/>
      </c>
      <c r="L1875" s="13"/>
      <c r="M1875" s="14" t="str">
        <f>IFERROR(VLOOKUP(I1875,material!A:D,4,0),"")</f>
        <v/>
      </c>
      <c r="N1875" s="14" t="str">
        <f t="shared" si="1"/>
        <v/>
      </c>
      <c r="O1875" s="15" t="str">
        <f>IFERROR(VLOOKUP(I1875,material!A:D,2,0),"")</f>
        <v/>
      </c>
    </row>
    <row r="1876">
      <c r="A1876" s="6"/>
      <c r="B1876" s="7"/>
      <c r="C1876" s="8" t="str">
        <f t="array" ref="C1876">IFERROR(INDEX(atlas!H:H,MATCH(A1876,atlas!C:C,0)),"")</f>
        <v/>
      </c>
      <c r="D1876" s="8" t="str">
        <f t="array" ref="D1876">IFERROR(INDEX(atlas!D:D,MATCH(A1876,atlas!C:C,0)),"")</f>
        <v/>
      </c>
      <c r="E1876" s="8" t="str">
        <f t="array" ref="E1876">IFERROR(INDEX(atlas!F:F,MATCH(A1876,atlas!C:C,0)),"")</f>
        <v/>
      </c>
      <c r="F1876" s="9"/>
      <c r="G1876" s="10"/>
      <c r="H1876" s="11"/>
      <c r="I1876" s="12" t="str">
        <f t="array" ref="I1876">IFERROR(INDEX(atlas!B:B,MATCH(A1876,atlas!C:C,0)),"")</f>
        <v/>
      </c>
      <c r="J1876" s="8" t="str">
        <f>IFERROR(VLOOKUP(F1876,tecnica!A:B,2,0),"")</f>
        <v/>
      </c>
      <c r="K1876" s="8" t="str">
        <f>IFERROR(VLOOKUP(J1876,tecnica!B:C,2,0),"")</f>
        <v/>
      </c>
      <c r="L1876" s="13"/>
      <c r="M1876" s="14" t="str">
        <f>IFERROR(VLOOKUP(I1876,material!A:D,4,0),"")</f>
        <v/>
      </c>
      <c r="N1876" s="14" t="str">
        <f t="shared" si="1"/>
        <v/>
      </c>
      <c r="O1876" s="15" t="str">
        <f>IFERROR(VLOOKUP(I1876,material!A:D,2,0),"")</f>
        <v/>
      </c>
    </row>
    <row r="1877">
      <c r="A1877" s="6"/>
      <c r="B1877" s="7"/>
      <c r="C1877" s="8" t="str">
        <f t="array" ref="C1877">IFERROR(INDEX(atlas!H:H,MATCH(A1877,atlas!C:C,0)),"")</f>
        <v/>
      </c>
      <c r="D1877" s="8" t="str">
        <f t="array" ref="D1877">IFERROR(INDEX(atlas!D:D,MATCH(A1877,atlas!C:C,0)),"")</f>
        <v/>
      </c>
      <c r="E1877" s="8" t="str">
        <f t="array" ref="E1877">IFERROR(INDEX(atlas!F:F,MATCH(A1877,atlas!C:C,0)),"")</f>
        <v/>
      </c>
      <c r="F1877" s="9"/>
      <c r="G1877" s="10"/>
      <c r="H1877" s="11"/>
      <c r="I1877" s="12" t="str">
        <f t="array" ref="I1877">IFERROR(INDEX(atlas!B:B,MATCH(A1877,atlas!C:C,0)),"")</f>
        <v/>
      </c>
      <c r="J1877" s="8" t="str">
        <f>IFERROR(VLOOKUP(F1877,tecnica!A:B,2,0),"")</f>
        <v/>
      </c>
      <c r="K1877" s="8" t="str">
        <f>IFERROR(VLOOKUP(J1877,tecnica!B:C,2,0),"")</f>
        <v/>
      </c>
      <c r="L1877" s="13"/>
      <c r="M1877" s="14" t="str">
        <f>IFERROR(VLOOKUP(I1877,material!A:D,4,0),"")</f>
        <v/>
      </c>
      <c r="N1877" s="14" t="str">
        <f t="shared" si="1"/>
        <v/>
      </c>
      <c r="O1877" s="15" t="str">
        <f>IFERROR(VLOOKUP(I1877,material!A:D,2,0),"")</f>
        <v/>
      </c>
    </row>
    <row r="1878">
      <c r="A1878" s="6"/>
      <c r="B1878" s="7"/>
      <c r="C1878" s="8" t="str">
        <f t="array" ref="C1878">IFERROR(INDEX(atlas!H:H,MATCH(A1878,atlas!C:C,0)),"")</f>
        <v/>
      </c>
      <c r="D1878" s="8" t="str">
        <f t="array" ref="D1878">IFERROR(INDEX(atlas!D:D,MATCH(A1878,atlas!C:C,0)),"")</f>
        <v/>
      </c>
      <c r="E1878" s="8" t="str">
        <f t="array" ref="E1878">IFERROR(INDEX(atlas!F:F,MATCH(A1878,atlas!C:C,0)),"")</f>
        <v/>
      </c>
      <c r="F1878" s="9"/>
      <c r="G1878" s="10"/>
      <c r="H1878" s="11"/>
      <c r="I1878" s="12" t="str">
        <f t="array" ref="I1878">IFERROR(INDEX(atlas!B:B,MATCH(A1878,atlas!C:C,0)),"")</f>
        <v/>
      </c>
      <c r="J1878" s="8" t="str">
        <f>IFERROR(VLOOKUP(F1878,tecnica!A:B,2,0),"")</f>
        <v/>
      </c>
      <c r="K1878" s="8" t="str">
        <f>IFERROR(VLOOKUP(J1878,tecnica!B:C,2,0),"")</f>
        <v/>
      </c>
      <c r="L1878" s="13"/>
      <c r="M1878" s="14" t="str">
        <f>IFERROR(VLOOKUP(I1878,material!A:D,4,0),"")</f>
        <v/>
      </c>
      <c r="N1878" s="14" t="str">
        <f t="shared" si="1"/>
        <v/>
      </c>
      <c r="O1878" s="15" t="str">
        <f>IFERROR(VLOOKUP(I1878,material!A:D,2,0),"")</f>
        <v/>
      </c>
    </row>
    <row r="1879">
      <c r="A1879" s="6"/>
      <c r="B1879" s="7"/>
      <c r="C1879" s="8" t="str">
        <f t="array" ref="C1879">IFERROR(INDEX(atlas!H:H,MATCH(A1879,atlas!C:C,0)),"")</f>
        <v/>
      </c>
      <c r="D1879" s="8" t="str">
        <f t="array" ref="D1879">IFERROR(INDEX(atlas!D:D,MATCH(A1879,atlas!C:C,0)),"")</f>
        <v/>
      </c>
      <c r="E1879" s="8" t="str">
        <f t="array" ref="E1879">IFERROR(INDEX(atlas!F:F,MATCH(A1879,atlas!C:C,0)),"")</f>
        <v/>
      </c>
      <c r="F1879" s="9"/>
      <c r="G1879" s="10"/>
      <c r="H1879" s="11"/>
      <c r="I1879" s="12" t="str">
        <f t="array" ref="I1879">IFERROR(INDEX(atlas!B:B,MATCH(A1879,atlas!C:C,0)),"")</f>
        <v/>
      </c>
      <c r="J1879" s="8" t="str">
        <f>IFERROR(VLOOKUP(F1879,tecnica!A:B,2,0),"")</f>
        <v/>
      </c>
      <c r="K1879" s="8" t="str">
        <f>IFERROR(VLOOKUP(J1879,tecnica!B:C,2,0),"")</f>
        <v/>
      </c>
      <c r="L1879" s="13"/>
      <c r="M1879" s="14" t="str">
        <f>IFERROR(VLOOKUP(I1879,material!A:D,4,0),"")</f>
        <v/>
      </c>
      <c r="N1879" s="14" t="str">
        <f t="shared" si="1"/>
        <v/>
      </c>
      <c r="O1879" s="15" t="str">
        <f>IFERROR(VLOOKUP(I1879,material!A:D,2,0),"")</f>
        <v/>
      </c>
    </row>
    <row r="1880">
      <c r="A1880" s="6"/>
      <c r="B1880" s="7"/>
      <c r="C1880" s="8" t="str">
        <f t="array" ref="C1880">IFERROR(INDEX(atlas!H:H,MATCH(A1880,atlas!C:C,0)),"")</f>
        <v/>
      </c>
      <c r="D1880" s="8" t="str">
        <f t="array" ref="D1880">IFERROR(INDEX(atlas!D:D,MATCH(A1880,atlas!C:C,0)),"")</f>
        <v/>
      </c>
      <c r="E1880" s="8" t="str">
        <f t="array" ref="E1880">IFERROR(INDEX(atlas!F:F,MATCH(A1880,atlas!C:C,0)),"")</f>
        <v/>
      </c>
      <c r="F1880" s="9"/>
      <c r="G1880" s="10"/>
      <c r="H1880" s="11"/>
      <c r="I1880" s="12" t="str">
        <f t="array" ref="I1880">IFERROR(INDEX(atlas!B:B,MATCH(A1880,atlas!C:C,0)),"")</f>
        <v/>
      </c>
      <c r="J1880" s="8" t="str">
        <f>IFERROR(VLOOKUP(F1880,tecnica!A:B,2,0),"")</f>
        <v/>
      </c>
      <c r="K1880" s="8" t="str">
        <f>IFERROR(VLOOKUP(J1880,tecnica!B:C,2,0),"")</f>
        <v/>
      </c>
      <c r="L1880" s="13"/>
      <c r="M1880" s="14" t="str">
        <f>IFERROR(VLOOKUP(I1880,material!A:D,4,0),"")</f>
        <v/>
      </c>
      <c r="N1880" s="14" t="str">
        <f t="shared" si="1"/>
        <v/>
      </c>
      <c r="O1880" s="15" t="str">
        <f>IFERROR(VLOOKUP(I1880,material!A:D,2,0),"")</f>
        <v/>
      </c>
    </row>
    <row r="1881">
      <c r="A1881" s="6"/>
      <c r="B1881" s="7"/>
      <c r="C1881" s="8" t="str">
        <f t="array" ref="C1881">IFERROR(INDEX(atlas!H:H,MATCH(A1881,atlas!C:C,0)),"")</f>
        <v/>
      </c>
      <c r="D1881" s="8" t="str">
        <f t="array" ref="D1881">IFERROR(INDEX(atlas!D:D,MATCH(A1881,atlas!C:C,0)),"")</f>
        <v/>
      </c>
      <c r="E1881" s="8" t="str">
        <f t="array" ref="E1881">IFERROR(INDEX(atlas!F:F,MATCH(A1881,atlas!C:C,0)),"")</f>
        <v/>
      </c>
      <c r="F1881" s="9"/>
      <c r="G1881" s="10"/>
      <c r="H1881" s="11"/>
      <c r="I1881" s="12" t="str">
        <f t="array" ref="I1881">IFERROR(INDEX(atlas!B:B,MATCH(A1881,atlas!C:C,0)),"")</f>
        <v/>
      </c>
      <c r="J1881" s="8" t="str">
        <f>IFERROR(VLOOKUP(F1881,tecnica!A:B,2,0),"")</f>
        <v/>
      </c>
      <c r="K1881" s="8" t="str">
        <f>IFERROR(VLOOKUP(J1881,tecnica!B:C,2,0),"")</f>
        <v/>
      </c>
      <c r="L1881" s="13"/>
      <c r="M1881" s="14" t="str">
        <f>IFERROR(VLOOKUP(I1881,material!A:D,4,0),"")</f>
        <v/>
      </c>
      <c r="N1881" s="14" t="str">
        <f t="shared" si="1"/>
        <v/>
      </c>
      <c r="O1881" s="15" t="str">
        <f>IFERROR(VLOOKUP(I1881,material!A:D,2,0),"")</f>
        <v/>
      </c>
    </row>
    <row r="1882">
      <c r="A1882" s="6"/>
      <c r="B1882" s="7"/>
      <c r="C1882" s="8" t="str">
        <f t="array" ref="C1882">IFERROR(INDEX(atlas!H:H,MATCH(A1882,atlas!C:C,0)),"")</f>
        <v/>
      </c>
      <c r="D1882" s="8" t="str">
        <f t="array" ref="D1882">IFERROR(INDEX(atlas!D:D,MATCH(A1882,atlas!C:C,0)),"")</f>
        <v/>
      </c>
      <c r="E1882" s="8" t="str">
        <f t="array" ref="E1882">IFERROR(INDEX(atlas!F:F,MATCH(A1882,atlas!C:C,0)),"")</f>
        <v/>
      </c>
      <c r="F1882" s="9"/>
      <c r="G1882" s="10"/>
      <c r="H1882" s="11"/>
      <c r="I1882" s="12" t="str">
        <f t="array" ref="I1882">IFERROR(INDEX(atlas!B:B,MATCH(A1882,atlas!C:C,0)),"")</f>
        <v/>
      </c>
      <c r="J1882" s="8" t="str">
        <f>IFERROR(VLOOKUP(F1882,tecnica!A:B,2,0),"")</f>
        <v/>
      </c>
      <c r="K1882" s="8" t="str">
        <f>IFERROR(VLOOKUP(J1882,tecnica!B:C,2,0),"")</f>
        <v/>
      </c>
      <c r="L1882" s="13"/>
      <c r="M1882" s="14" t="str">
        <f>IFERROR(VLOOKUP(I1882,material!A:D,4,0),"")</f>
        <v/>
      </c>
      <c r="N1882" s="14" t="str">
        <f t="shared" si="1"/>
        <v/>
      </c>
      <c r="O1882" s="15" t="str">
        <f>IFERROR(VLOOKUP(I1882,material!A:D,2,0),"")</f>
        <v/>
      </c>
    </row>
    <row r="1883">
      <c r="A1883" s="6"/>
      <c r="B1883" s="7"/>
      <c r="C1883" s="8" t="str">
        <f t="array" ref="C1883">IFERROR(INDEX(atlas!H:H,MATCH(A1883,atlas!C:C,0)),"")</f>
        <v/>
      </c>
      <c r="D1883" s="8" t="str">
        <f t="array" ref="D1883">IFERROR(INDEX(atlas!D:D,MATCH(A1883,atlas!C:C,0)),"")</f>
        <v/>
      </c>
      <c r="E1883" s="8" t="str">
        <f t="array" ref="E1883">IFERROR(INDEX(atlas!F:F,MATCH(A1883,atlas!C:C,0)),"")</f>
        <v/>
      </c>
      <c r="F1883" s="9"/>
      <c r="G1883" s="10"/>
      <c r="H1883" s="11"/>
      <c r="I1883" s="12" t="str">
        <f t="array" ref="I1883">IFERROR(INDEX(atlas!B:B,MATCH(A1883,atlas!C:C,0)),"")</f>
        <v/>
      </c>
      <c r="J1883" s="8" t="str">
        <f>IFERROR(VLOOKUP(F1883,tecnica!A:B,2,0),"")</f>
        <v/>
      </c>
      <c r="K1883" s="8" t="str">
        <f>IFERROR(VLOOKUP(J1883,tecnica!B:C,2,0),"")</f>
        <v/>
      </c>
      <c r="L1883" s="13"/>
      <c r="M1883" s="14" t="str">
        <f>IFERROR(VLOOKUP(I1883,material!A:D,4,0),"")</f>
        <v/>
      </c>
      <c r="N1883" s="14" t="str">
        <f t="shared" si="1"/>
        <v/>
      </c>
      <c r="O1883" s="15" t="str">
        <f>IFERROR(VLOOKUP(I1883,material!A:D,2,0),"")</f>
        <v/>
      </c>
    </row>
    <row r="1884">
      <c r="A1884" s="6"/>
      <c r="B1884" s="7"/>
      <c r="C1884" s="8" t="str">
        <f t="array" ref="C1884">IFERROR(INDEX(atlas!H:H,MATCH(A1884,atlas!C:C,0)),"")</f>
        <v/>
      </c>
      <c r="D1884" s="8" t="str">
        <f t="array" ref="D1884">IFERROR(INDEX(atlas!D:D,MATCH(A1884,atlas!C:C,0)),"")</f>
        <v/>
      </c>
      <c r="E1884" s="8" t="str">
        <f t="array" ref="E1884">IFERROR(INDEX(atlas!F:F,MATCH(A1884,atlas!C:C,0)),"")</f>
        <v/>
      </c>
      <c r="F1884" s="9"/>
      <c r="G1884" s="10"/>
      <c r="H1884" s="11"/>
      <c r="I1884" s="12" t="str">
        <f t="array" ref="I1884">IFERROR(INDEX(atlas!B:B,MATCH(A1884,atlas!C:C,0)),"")</f>
        <v/>
      </c>
      <c r="J1884" s="8" t="str">
        <f>IFERROR(VLOOKUP(F1884,tecnica!A:B,2,0),"")</f>
        <v/>
      </c>
      <c r="K1884" s="8" t="str">
        <f>IFERROR(VLOOKUP(J1884,tecnica!B:C,2,0),"")</f>
        <v/>
      </c>
      <c r="L1884" s="13"/>
      <c r="M1884" s="14" t="str">
        <f>IFERROR(VLOOKUP(I1884,material!A:D,4,0),"")</f>
        <v/>
      </c>
      <c r="N1884" s="14" t="str">
        <f t="shared" si="1"/>
        <v/>
      </c>
      <c r="O1884" s="15" t="str">
        <f>IFERROR(VLOOKUP(I1884,material!A:D,2,0),"")</f>
        <v/>
      </c>
    </row>
    <row r="1885">
      <c r="A1885" s="6"/>
      <c r="B1885" s="7"/>
      <c r="C1885" s="8" t="str">
        <f t="array" ref="C1885">IFERROR(INDEX(atlas!H:H,MATCH(A1885,atlas!C:C,0)),"")</f>
        <v/>
      </c>
      <c r="D1885" s="8" t="str">
        <f t="array" ref="D1885">IFERROR(INDEX(atlas!D:D,MATCH(A1885,atlas!C:C,0)),"")</f>
        <v/>
      </c>
      <c r="E1885" s="8" t="str">
        <f t="array" ref="E1885">IFERROR(INDEX(atlas!F:F,MATCH(A1885,atlas!C:C,0)),"")</f>
        <v/>
      </c>
      <c r="F1885" s="9"/>
      <c r="G1885" s="10"/>
      <c r="H1885" s="11"/>
      <c r="I1885" s="12" t="str">
        <f t="array" ref="I1885">IFERROR(INDEX(atlas!B:B,MATCH(A1885,atlas!C:C,0)),"")</f>
        <v/>
      </c>
      <c r="J1885" s="8" t="str">
        <f>IFERROR(VLOOKUP(F1885,tecnica!A:B,2,0),"")</f>
        <v/>
      </c>
      <c r="K1885" s="8" t="str">
        <f>IFERROR(VLOOKUP(J1885,tecnica!B:C,2,0),"")</f>
        <v/>
      </c>
      <c r="L1885" s="13"/>
      <c r="M1885" s="14" t="str">
        <f>IFERROR(VLOOKUP(I1885,material!A:D,4,0),"")</f>
        <v/>
      </c>
      <c r="N1885" s="14" t="str">
        <f t="shared" si="1"/>
        <v/>
      </c>
      <c r="O1885" s="15" t="str">
        <f>IFERROR(VLOOKUP(I1885,material!A:D,2,0),"")</f>
        <v/>
      </c>
    </row>
    <row r="1886">
      <c r="A1886" s="6"/>
      <c r="B1886" s="7"/>
      <c r="C1886" s="8" t="str">
        <f t="array" ref="C1886">IFERROR(INDEX(atlas!H:H,MATCH(A1886,atlas!C:C,0)),"")</f>
        <v/>
      </c>
      <c r="D1886" s="8" t="str">
        <f t="array" ref="D1886">IFERROR(INDEX(atlas!D:D,MATCH(A1886,atlas!C:C,0)),"")</f>
        <v/>
      </c>
      <c r="E1886" s="8" t="str">
        <f t="array" ref="E1886">IFERROR(INDEX(atlas!F:F,MATCH(A1886,atlas!C:C,0)),"")</f>
        <v/>
      </c>
      <c r="F1886" s="9"/>
      <c r="G1886" s="10"/>
      <c r="H1886" s="11"/>
      <c r="I1886" s="12" t="str">
        <f t="array" ref="I1886">IFERROR(INDEX(atlas!B:B,MATCH(A1886,atlas!C:C,0)),"")</f>
        <v/>
      </c>
      <c r="J1886" s="8" t="str">
        <f>IFERROR(VLOOKUP(F1886,tecnica!A:B,2,0),"")</f>
        <v/>
      </c>
      <c r="K1886" s="8" t="str">
        <f>IFERROR(VLOOKUP(J1886,tecnica!B:C,2,0),"")</f>
        <v/>
      </c>
      <c r="L1886" s="13"/>
      <c r="M1886" s="14" t="str">
        <f>IFERROR(VLOOKUP(I1886,material!A:D,4,0),"")</f>
        <v/>
      </c>
      <c r="N1886" s="14" t="str">
        <f t="shared" si="1"/>
        <v/>
      </c>
      <c r="O1886" s="15" t="str">
        <f>IFERROR(VLOOKUP(I1886,material!A:D,2,0),"")</f>
        <v/>
      </c>
    </row>
    <row r="1887">
      <c r="A1887" s="6"/>
      <c r="B1887" s="7"/>
      <c r="C1887" s="8" t="str">
        <f t="array" ref="C1887">IFERROR(INDEX(atlas!H:H,MATCH(A1887,atlas!C:C,0)),"")</f>
        <v/>
      </c>
      <c r="D1887" s="8" t="str">
        <f t="array" ref="D1887">IFERROR(INDEX(atlas!D:D,MATCH(A1887,atlas!C:C,0)),"")</f>
        <v/>
      </c>
      <c r="E1887" s="8" t="str">
        <f t="array" ref="E1887">IFERROR(INDEX(atlas!F:F,MATCH(A1887,atlas!C:C,0)),"")</f>
        <v/>
      </c>
      <c r="F1887" s="9"/>
      <c r="G1887" s="10"/>
      <c r="H1887" s="11"/>
      <c r="I1887" s="12" t="str">
        <f t="array" ref="I1887">IFERROR(INDEX(atlas!B:B,MATCH(A1887,atlas!C:C,0)),"")</f>
        <v/>
      </c>
      <c r="J1887" s="8" t="str">
        <f>IFERROR(VLOOKUP(F1887,tecnica!A:B,2,0),"")</f>
        <v/>
      </c>
      <c r="K1887" s="8" t="str">
        <f>IFERROR(VLOOKUP(J1887,tecnica!B:C,2,0),"")</f>
        <v/>
      </c>
      <c r="L1887" s="13"/>
      <c r="M1887" s="14" t="str">
        <f>IFERROR(VLOOKUP(I1887,material!A:D,4,0),"")</f>
        <v/>
      </c>
      <c r="N1887" s="14" t="str">
        <f t="shared" si="1"/>
        <v/>
      </c>
      <c r="O1887" s="15" t="str">
        <f>IFERROR(VLOOKUP(I1887,material!A:D,2,0),"")</f>
        <v/>
      </c>
    </row>
    <row r="1888">
      <c r="A1888" s="6"/>
      <c r="B1888" s="7"/>
      <c r="C1888" s="8" t="str">
        <f t="array" ref="C1888">IFERROR(INDEX(atlas!H:H,MATCH(A1888,atlas!C:C,0)),"")</f>
        <v/>
      </c>
      <c r="D1888" s="8" t="str">
        <f t="array" ref="D1888">IFERROR(INDEX(atlas!D:D,MATCH(A1888,atlas!C:C,0)),"")</f>
        <v/>
      </c>
      <c r="E1888" s="8" t="str">
        <f t="array" ref="E1888">IFERROR(INDEX(atlas!F:F,MATCH(A1888,atlas!C:C,0)),"")</f>
        <v/>
      </c>
      <c r="F1888" s="9"/>
      <c r="G1888" s="10"/>
      <c r="H1888" s="11"/>
      <c r="I1888" s="12" t="str">
        <f t="array" ref="I1888">IFERROR(INDEX(atlas!B:B,MATCH(A1888,atlas!C:C,0)),"")</f>
        <v/>
      </c>
      <c r="J1888" s="8" t="str">
        <f>IFERROR(VLOOKUP(F1888,tecnica!A:B,2,0),"")</f>
        <v/>
      </c>
      <c r="K1888" s="8" t="str">
        <f>IFERROR(VLOOKUP(J1888,tecnica!B:C,2,0),"")</f>
        <v/>
      </c>
      <c r="L1888" s="13"/>
      <c r="M1888" s="14" t="str">
        <f>IFERROR(VLOOKUP(I1888,material!A:D,4,0),"")</f>
        <v/>
      </c>
      <c r="N1888" s="14" t="str">
        <f t="shared" si="1"/>
        <v/>
      </c>
      <c r="O1888" s="15" t="str">
        <f>IFERROR(VLOOKUP(I1888,material!A:D,2,0),"")</f>
        <v/>
      </c>
    </row>
    <row r="1889">
      <c r="A1889" s="6"/>
      <c r="B1889" s="7"/>
      <c r="C1889" s="8" t="str">
        <f t="array" ref="C1889">IFERROR(INDEX(atlas!H:H,MATCH(A1889,atlas!C:C,0)),"")</f>
        <v/>
      </c>
      <c r="D1889" s="8" t="str">
        <f t="array" ref="D1889">IFERROR(INDEX(atlas!D:D,MATCH(A1889,atlas!C:C,0)),"")</f>
        <v/>
      </c>
      <c r="E1889" s="8" t="str">
        <f t="array" ref="E1889">IFERROR(INDEX(atlas!F:F,MATCH(A1889,atlas!C:C,0)),"")</f>
        <v/>
      </c>
      <c r="F1889" s="9"/>
      <c r="G1889" s="10"/>
      <c r="H1889" s="11"/>
      <c r="I1889" s="12" t="str">
        <f t="array" ref="I1889">IFERROR(INDEX(atlas!B:B,MATCH(A1889,atlas!C:C,0)),"")</f>
        <v/>
      </c>
      <c r="J1889" s="8" t="str">
        <f>IFERROR(VLOOKUP(F1889,tecnica!A:B,2,0),"")</f>
        <v/>
      </c>
      <c r="K1889" s="8" t="str">
        <f>IFERROR(VLOOKUP(J1889,tecnica!B:C,2,0),"")</f>
        <v/>
      </c>
      <c r="L1889" s="13"/>
      <c r="M1889" s="14" t="str">
        <f>IFERROR(VLOOKUP(I1889,material!A:D,4,0),"")</f>
        <v/>
      </c>
      <c r="N1889" s="14" t="str">
        <f t="shared" si="1"/>
        <v/>
      </c>
      <c r="O1889" s="15" t="str">
        <f>IFERROR(VLOOKUP(I1889,material!A:D,2,0),"")</f>
        <v/>
      </c>
    </row>
    <row r="1890">
      <c r="A1890" s="6"/>
      <c r="B1890" s="7"/>
      <c r="C1890" s="8" t="str">
        <f t="array" ref="C1890">IFERROR(INDEX(atlas!H:H,MATCH(A1890,atlas!C:C,0)),"")</f>
        <v/>
      </c>
      <c r="D1890" s="8" t="str">
        <f t="array" ref="D1890">IFERROR(INDEX(atlas!D:D,MATCH(A1890,atlas!C:C,0)),"")</f>
        <v/>
      </c>
      <c r="E1890" s="8" t="str">
        <f t="array" ref="E1890">IFERROR(INDEX(atlas!F:F,MATCH(A1890,atlas!C:C,0)),"")</f>
        <v/>
      </c>
      <c r="F1890" s="9"/>
      <c r="G1890" s="10"/>
      <c r="H1890" s="11"/>
      <c r="I1890" s="12" t="str">
        <f t="array" ref="I1890">IFERROR(INDEX(atlas!B:B,MATCH(A1890,atlas!C:C,0)),"")</f>
        <v/>
      </c>
      <c r="J1890" s="8" t="str">
        <f>IFERROR(VLOOKUP(F1890,tecnica!A:B,2,0),"")</f>
        <v/>
      </c>
      <c r="K1890" s="8" t="str">
        <f>IFERROR(VLOOKUP(J1890,tecnica!B:C,2,0),"")</f>
        <v/>
      </c>
      <c r="L1890" s="13"/>
      <c r="M1890" s="14" t="str">
        <f>IFERROR(VLOOKUP(I1890,material!A:D,4,0),"")</f>
        <v/>
      </c>
      <c r="N1890" s="14" t="str">
        <f t="shared" si="1"/>
        <v/>
      </c>
      <c r="O1890" s="15" t="str">
        <f>IFERROR(VLOOKUP(I1890,material!A:D,2,0),"")</f>
        <v/>
      </c>
    </row>
    <row r="1891">
      <c r="A1891" s="6"/>
      <c r="B1891" s="7"/>
      <c r="C1891" s="8" t="str">
        <f t="array" ref="C1891">IFERROR(INDEX(atlas!H:H,MATCH(A1891,atlas!C:C,0)),"")</f>
        <v/>
      </c>
      <c r="D1891" s="8" t="str">
        <f t="array" ref="D1891">IFERROR(INDEX(atlas!D:D,MATCH(A1891,atlas!C:C,0)),"")</f>
        <v/>
      </c>
      <c r="E1891" s="8" t="str">
        <f t="array" ref="E1891">IFERROR(INDEX(atlas!F:F,MATCH(A1891,atlas!C:C,0)),"")</f>
        <v/>
      </c>
      <c r="F1891" s="9"/>
      <c r="G1891" s="10"/>
      <c r="H1891" s="11"/>
      <c r="I1891" s="12" t="str">
        <f t="array" ref="I1891">IFERROR(INDEX(atlas!B:B,MATCH(A1891,atlas!C:C,0)),"")</f>
        <v/>
      </c>
      <c r="J1891" s="8" t="str">
        <f>IFERROR(VLOOKUP(F1891,tecnica!A:B,2,0),"")</f>
        <v/>
      </c>
      <c r="K1891" s="8" t="str">
        <f>IFERROR(VLOOKUP(J1891,tecnica!B:C,2,0),"")</f>
        <v/>
      </c>
      <c r="L1891" s="13"/>
      <c r="M1891" s="14" t="str">
        <f>IFERROR(VLOOKUP(I1891,material!A:D,4,0),"")</f>
        <v/>
      </c>
      <c r="N1891" s="14" t="str">
        <f t="shared" si="1"/>
        <v/>
      </c>
      <c r="O1891" s="15" t="str">
        <f>IFERROR(VLOOKUP(I1891,material!A:D,2,0),"")</f>
        <v/>
      </c>
    </row>
    <row r="1892">
      <c r="A1892" s="6"/>
      <c r="B1892" s="7"/>
      <c r="C1892" s="8" t="str">
        <f t="array" ref="C1892">IFERROR(INDEX(atlas!H:H,MATCH(A1892,atlas!C:C,0)),"")</f>
        <v/>
      </c>
      <c r="D1892" s="8" t="str">
        <f t="array" ref="D1892">IFERROR(INDEX(atlas!D:D,MATCH(A1892,atlas!C:C,0)),"")</f>
        <v/>
      </c>
      <c r="E1892" s="8" t="str">
        <f t="array" ref="E1892">IFERROR(INDEX(atlas!F:F,MATCH(A1892,atlas!C:C,0)),"")</f>
        <v/>
      </c>
      <c r="F1892" s="9"/>
      <c r="G1892" s="10"/>
      <c r="H1892" s="11"/>
      <c r="I1892" s="12" t="str">
        <f t="array" ref="I1892">IFERROR(INDEX(atlas!B:B,MATCH(A1892,atlas!C:C,0)),"")</f>
        <v/>
      </c>
      <c r="J1892" s="8" t="str">
        <f>IFERROR(VLOOKUP(F1892,tecnica!A:B,2,0),"")</f>
        <v/>
      </c>
      <c r="K1892" s="8" t="str">
        <f>IFERROR(VLOOKUP(J1892,tecnica!B:C,2,0),"")</f>
        <v/>
      </c>
      <c r="L1892" s="13"/>
      <c r="M1892" s="14" t="str">
        <f>IFERROR(VLOOKUP(I1892,material!A:D,4,0),"")</f>
        <v/>
      </c>
      <c r="N1892" s="14" t="str">
        <f t="shared" si="1"/>
        <v/>
      </c>
      <c r="O1892" s="15" t="str">
        <f>IFERROR(VLOOKUP(I1892,material!A:D,2,0),"")</f>
        <v/>
      </c>
    </row>
    <row r="1893">
      <c r="A1893" s="6"/>
      <c r="B1893" s="7"/>
      <c r="C1893" s="8" t="str">
        <f t="array" ref="C1893">IFERROR(INDEX(atlas!H:H,MATCH(A1893,atlas!C:C,0)),"")</f>
        <v/>
      </c>
      <c r="D1893" s="8" t="str">
        <f t="array" ref="D1893">IFERROR(INDEX(atlas!D:D,MATCH(A1893,atlas!C:C,0)),"")</f>
        <v/>
      </c>
      <c r="E1893" s="8" t="str">
        <f t="array" ref="E1893">IFERROR(INDEX(atlas!F:F,MATCH(A1893,atlas!C:C,0)),"")</f>
        <v/>
      </c>
      <c r="F1893" s="9"/>
      <c r="G1893" s="10"/>
      <c r="H1893" s="11"/>
      <c r="I1893" s="12" t="str">
        <f t="array" ref="I1893">IFERROR(INDEX(atlas!B:B,MATCH(A1893,atlas!C:C,0)),"")</f>
        <v/>
      </c>
      <c r="J1893" s="8" t="str">
        <f>IFERROR(VLOOKUP(F1893,tecnica!A:B,2,0),"")</f>
        <v/>
      </c>
      <c r="K1893" s="8" t="str">
        <f>IFERROR(VLOOKUP(J1893,tecnica!B:C,2,0),"")</f>
        <v/>
      </c>
      <c r="L1893" s="13"/>
      <c r="M1893" s="14" t="str">
        <f>IFERROR(VLOOKUP(I1893,material!A:D,4,0),"")</f>
        <v/>
      </c>
      <c r="N1893" s="14" t="str">
        <f t="shared" si="1"/>
        <v/>
      </c>
      <c r="O1893" s="15" t="str">
        <f>IFERROR(VLOOKUP(I1893,material!A:D,2,0),"")</f>
        <v/>
      </c>
    </row>
    <row r="1894">
      <c r="A1894" s="6"/>
      <c r="B1894" s="7"/>
      <c r="C1894" s="8" t="str">
        <f t="array" ref="C1894">IFERROR(INDEX(atlas!H:H,MATCH(A1894,atlas!C:C,0)),"")</f>
        <v/>
      </c>
      <c r="D1894" s="8" t="str">
        <f t="array" ref="D1894">IFERROR(INDEX(atlas!D:D,MATCH(A1894,atlas!C:C,0)),"")</f>
        <v/>
      </c>
      <c r="E1894" s="8" t="str">
        <f t="array" ref="E1894">IFERROR(INDEX(atlas!F:F,MATCH(A1894,atlas!C:C,0)),"")</f>
        <v/>
      </c>
      <c r="F1894" s="9"/>
      <c r="G1894" s="10"/>
      <c r="H1894" s="11"/>
      <c r="I1894" s="12" t="str">
        <f t="array" ref="I1894">IFERROR(INDEX(atlas!B:B,MATCH(A1894,atlas!C:C,0)),"")</f>
        <v/>
      </c>
      <c r="J1894" s="8" t="str">
        <f>IFERROR(VLOOKUP(F1894,tecnica!A:B,2,0),"")</f>
        <v/>
      </c>
      <c r="K1894" s="8" t="str">
        <f>IFERROR(VLOOKUP(J1894,tecnica!B:C,2,0),"")</f>
        <v/>
      </c>
      <c r="L1894" s="13"/>
      <c r="M1894" s="14" t="str">
        <f>IFERROR(VLOOKUP(I1894,material!A:D,4,0),"")</f>
        <v/>
      </c>
      <c r="N1894" s="14" t="str">
        <f t="shared" si="1"/>
        <v/>
      </c>
      <c r="O1894" s="15" t="str">
        <f>IFERROR(VLOOKUP(I1894,material!A:D,2,0),"")</f>
        <v/>
      </c>
    </row>
    <row r="1895">
      <c r="A1895" s="6"/>
      <c r="B1895" s="7"/>
      <c r="C1895" s="8" t="str">
        <f t="array" ref="C1895">IFERROR(INDEX(atlas!H:H,MATCH(A1895,atlas!C:C,0)),"")</f>
        <v/>
      </c>
      <c r="D1895" s="8" t="str">
        <f t="array" ref="D1895">IFERROR(INDEX(atlas!D:D,MATCH(A1895,atlas!C:C,0)),"")</f>
        <v/>
      </c>
      <c r="E1895" s="8" t="str">
        <f t="array" ref="E1895">IFERROR(INDEX(atlas!F:F,MATCH(A1895,atlas!C:C,0)),"")</f>
        <v/>
      </c>
      <c r="F1895" s="9"/>
      <c r="G1895" s="10"/>
      <c r="H1895" s="11"/>
      <c r="I1895" s="12" t="str">
        <f t="array" ref="I1895">IFERROR(INDEX(atlas!B:B,MATCH(A1895,atlas!C:C,0)),"")</f>
        <v/>
      </c>
      <c r="J1895" s="8" t="str">
        <f>IFERROR(VLOOKUP(F1895,tecnica!A:B,2,0),"")</f>
        <v/>
      </c>
      <c r="K1895" s="8" t="str">
        <f>IFERROR(VLOOKUP(J1895,tecnica!B:C,2,0),"")</f>
        <v/>
      </c>
      <c r="L1895" s="13"/>
      <c r="M1895" s="14" t="str">
        <f>IFERROR(VLOOKUP(I1895,material!A:D,4,0),"")</f>
        <v/>
      </c>
      <c r="N1895" s="14" t="str">
        <f t="shared" si="1"/>
        <v/>
      </c>
      <c r="O1895" s="15" t="str">
        <f>IFERROR(VLOOKUP(I1895,material!A:D,2,0),"")</f>
        <v/>
      </c>
    </row>
    <row r="1896">
      <c r="A1896" s="6"/>
      <c r="B1896" s="7"/>
      <c r="C1896" s="8" t="str">
        <f t="array" ref="C1896">IFERROR(INDEX(atlas!H:H,MATCH(A1896,atlas!C:C,0)),"")</f>
        <v/>
      </c>
      <c r="D1896" s="8" t="str">
        <f t="array" ref="D1896">IFERROR(INDEX(atlas!D:D,MATCH(A1896,atlas!C:C,0)),"")</f>
        <v/>
      </c>
      <c r="E1896" s="8" t="str">
        <f t="array" ref="E1896">IFERROR(INDEX(atlas!F:F,MATCH(A1896,atlas!C:C,0)),"")</f>
        <v/>
      </c>
      <c r="F1896" s="9"/>
      <c r="G1896" s="10"/>
      <c r="H1896" s="11"/>
      <c r="I1896" s="12" t="str">
        <f t="array" ref="I1896">IFERROR(INDEX(atlas!B:B,MATCH(A1896,atlas!C:C,0)),"")</f>
        <v/>
      </c>
      <c r="J1896" s="8" t="str">
        <f>IFERROR(VLOOKUP(F1896,tecnica!A:B,2,0),"")</f>
        <v/>
      </c>
      <c r="K1896" s="8" t="str">
        <f>IFERROR(VLOOKUP(J1896,tecnica!B:C,2,0),"")</f>
        <v/>
      </c>
      <c r="L1896" s="13"/>
      <c r="M1896" s="14" t="str">
        <f>IFERROR(VLOOKUP(I1896,material!A:D,4,0),"")</f>
        <v/>
      </c>
      <c r="N1896" s="14" t="str">
        <f t="shared" si="1"/>
        <v/>
      </c>
      <c r="O1896" s="15" t="str">
        <f>IFERROR(VLOOKUP(I1896,material!A:D,2,0),"")</f>
        <v/>
      </c>
    </row>
    <row r="1897">
      <c r="A1897" s="6"/>
      <c r="B1897" s="7"/>
      <c r="C1897" s="8" t="str">
        <f t="array" ref="C1897">IFERROR(INDEX(atlas!H:H,MATCH(A1897,atlas!C:C,0)),"")</f>
        <v/>
      </c>
      <c r="D1897" s="8" t="str">
        <f t="array" ref="D1897">IFERROR(INDEX(atlas!D:D,MATCH(A1897,atlas!C:C,0)),"")</f>
        <v/>
      </c>
      <c r="E1897" s="8" t="str">
        <f t="array" ref="E1897">IFERROR(INDEX(atlas!F:F,MATCH(A1897,atlas!C:C,0)),"")</f>
        <v/>
      </c>
      <c r="F1897" s="9"/>
      <c r="G1897" s="10"/>
      <c r="H1897" s="11"/>
      <c r="I1897" s="12" t="str">
        <f t="array" ref="I1897">IFERROR(INDEX(atlas!B:B,MATCH(A1897,atlas!C:C,0)),"")</f>
        <v/>
      </c>
      <c r="J1897" s="8" t="str">
        <f>IFERROR(VLOOKUP(F1897,tecnica!A:B,2,0),"")</f>
        <v/>
      </c>
      <c r="K1897" s="8" t="str">
        <f>IFERROR(VLOOKUP(J1897,tecnica!B:C,2,0),"")</f>
        <v/>
      </c>
      <c r="L1897" s="13"/>
      <c r="M1897" s="14" t="str">
        <f>IFERROR(VLOOKUP(I1897,material!A:D,4,0),"")</f>
        <v/>
      </c>
      <c r="N1897" s="14" t="str">
        <f t="shared" si="1"/>
        <v/>
      </c>
      <c r="O1897" s="15" t="str">
        <f>IFERROR(VLOOKUP(I1897,material!A:D,2,0),"")</f>
        <v/>
      </c>
    </row>
    <row r="1898">
      <c r="A1898" s="6"/>
      <c r="B1898" s="7"/>
      <c r="C1898" s="8" t="str">
        <f t="array" ref="C1898">IFERROR(INDEX(atlas!H:H,MATCH(A1898,atlas!C:C,0)),"")</f>
        <v/>
      </c>
      <c r="D1898" s="8" t="str">
        <f t="array" ref="D1898">IFERROR(INDEX(atlas!D:D,MATCH(A1898,atlas!C:C,0)),"")</f>
        <v/>
      </c>
      <c r="E1898" s="8" t="str">
        <f t="array" ref="E1898">IFERROR(INDEX(atlas!F:F,MATCH(A1898,atlas!C:C,0)),"")</f>
        <v/>
      </c>
      <c r="F1898" s="9"/>
      <c r="G1898" s="10"/>
      <c r="H1898" s="11"/>
      <c r="I1898" s="12" t="str">
        <f t="array" ref="I1898">IFERROR(INDEX(atlas!B:B,MATCH(A1898,atlas!C:C,0)),"")</f>
        <v/>
      </c>
      <c r="J1898" s="8" t="str">
        <f>IFERROR(VLOOKUP(F1898,tecnica!A:B,2,0),"")</f>
        <v/>
      </c>
      <c r="K1898" s="8" t="str">
        <f>IFERROR(VLOOKUP(J1898,tecnica!B:C,2,0),"")</f>
        <v/>
      </c>
      <c r="L1898" s="13"/>
      <c r="M1898" s="14" t="str">
        <f>IFERROR(VLOOKUP(I1898,material!A:D,4,0),"")</f>
        <v/>
      </c>
      <c r="N1898" s="14" t="str">
        <f t="shared" si="1"/>
        <v/>
      </c>
      <c r="O1898" s="15" t="str">
        <f>IFERROR(VLOOKUP(I1898,material!A:D,2,0),"")</f>
        <v/>
      </c>
    </row>
    <row r="1899">
      <c r="A1899" s="6"/>
      <c r="B1899" s="7"/>
      <c r="C1899" s="8" t="str">
        <f t="array" ref="C1899">IFERROR(INDEX(atlas!H:H,MATCH(A1899,atlas!C:C,0)),"")</f>
        <v/>
      </c>
      <c r="D1899" s="8" t="str">
        <f t="array" ref="D1899">IFERROR(INDEX(atlas!D:D,MATCH(A1899,atlas!C:C,0)),"")</f>
        <v/>
      </c>
      <c r="E1899" s="8" t="str">
        <f t="array" ref="E1899">IFERROR(INDEX(atlas!F:F,MATCH(A1899,atlas!C:C,0)),"")</f>
        <v/>
      </c>
      <c r="F1899" s="9"/>
      <c r="G1899" s="10"/>
      <c r="H1899" s="11"/>
      <c r="I1899" s="12" t="str">
        <f t="array" ref="I1899">IFERROR(INDEX(atlas!B:B,MATCH(A1899,atlas!C:C,0)),"")</f>
        <v/>
      </c>
      <c r="J1899" s="8" t="str">
        <f>IFERROR(VLOOKUP(F1899,tecnica!A:B,2,0),"")</f>
        <v/>
      </c>
      <c r="K1899" s="8" t="str">
        <f>IFERROR(VLOOKUP(J1899,tecnica!B:C,2,0),"")</f>
        <v/>
      </c>
      <c r="L1899" s="13"/>
      <c r="M1899" s="14" t="str">
        <f>IFERROR(VLOOKUP(I1899,material!A:D,4,0),"")</f>
        <v/>
      </c>
      <c r="N1899" s="14" t="str">
        <f t="shared" si="1"/>
        <v/>
      </c>
      <c r="O1899" s="15" t="str">
        <f>IFERROR(VLOOKUP(I1899,material!A:D,2,0),"")</f>
        <v/>
      </c>
    </row>
    <row r="1900">
      <c r="A1900" s="6"/>
      <c r="B1900" s="7"/>
      <c r="C1900" s="8" t="str">
        <f t="array" ref="C1900">IFERROR(INDEX(atlas!H:H,MATCH(A1900,atlas!C:C,0)),"")</f>
        <v/>
      </c>
      <c r="D1900" s="8" t="str">
        <f t="array" ref="D1900">IFERROR(INDEX(atlas!D:D,MATCH(A1900,atlas!C:C,0)),"")</f>
        <v/>
      </c>
      <c r="E1900" s="8" t="str">
        <f t="array" ref="E1900">IFERROR(INDEX(atlas!F:F,MATCH(A1900,atlas!C:C,0)),"")</f>
        <v/>
      </c>
      <c r="F1900" s="9"/>
      <c r="G1900" s="10"/>
      <c r="H1900" s="11"/>
      <c r="I1900" s="12" t="str">
        <f t="array" ref="I1900">IFERROR(INDEX(atlas!B:B,MATCH(A1900,atlas!C:C,0)),"")</f>
        <v/>
      </c>
      <c r="J1900" s="8" t="str">
        <f>IFERROR(VLOOKUP(F1900,tecnica!A:B,2,0),"")</f>
        <v/>
      </c>
      <c r="K1900" s="8" t="str">
        <f>IFERROR(VLOOKUP(J1900,tecnica!B:C,2,0),"")</f>
        <v/>
      </c>
      <c r="L1900" s="13"/>
      <c r="M1900" s="14" t="str">
        <f>IFERROR(VLOOKUP(I1900,material!A:D,4,0),"")</f>
        <v/>
      </c>
      <c r="N1900" s="14" t="str">
        <f t="shared" si="1"/>
        <v/>
      </c>
      <c r="O1900" s="15" t="str">
        <f>IFERROR(VLOOKUP(I1900,material!A:D,2,0),"")</f>
        <v/>
      </c>
    </row>
    <row r="1901">
      <c r="A1901" s="6"/>
      <c r="B1901" s="7"/>
      <c r="C1901" s="8" t="str">
        <f t="array" ref="C1901">IFERROR(INDEX(atlas!H:H,MATCH(A1901,atlas!C:C,0)),"")</f>
        <v/>
      </c>
      <c r="D1901" s="8" t="str">
        <f t="array" ref="D1901">IFERROR(INDEX(atlas!D:D,MATCH(A1901,atlas!C:C,0)),"")</f>
        <v/>
      </c>
      <c r="E1901" s="8" t="str">
        <f t="array" ref="E1901">IFERROR(INDEX(atlas!F:F,MATCH(A1901,atlas!C:C,0)),"")</f>
        <v/>
      </c>
      <c r="F1901" s="9"/>
      <c r="G1901" s="10"/>
      <c r="H1901" s="11"/>
      <c r="I1901" s="12" t="str">
        <f t="array" ref="I1901">IFERROR(INDEX(atlas!B:B,MATCH(A1901,atlas!C:C,0)),"")</f>
        <v/>
      </c>
      <c r="J1901" s="8" t="str">
        <f>IFERROR(VLOOKUP(F1901,tecnica!A:B,2,0),"")</f>
        <v/>
      </c>
      <c r="K1901" s="8" t="str">
        <f>IFERROR(VLOOKUP(J1901,tecnica!B:C,2,0),"")</f>
        <v/>
      </c>
      <c r="L1901" s="13"/>
      <c r="M1901" s="14" t="str">
        <f>IFERROR(VLOOKUP(I1901,material!A:D,4,0),"")</f>
        <v/>
      </c>
      <c r="N1901" s="14" t="str">
        <f t="shared" si="1"/>
        <v/>
      </c>
      <c r="O1901" s="15" t="str">
        <f>IFERROR(VLOOKUP(I1901,material!A:D,2,0),"")</f>
        <v/>
      </c>
    </row>
    <row r="1902">
      <c r="A1902" s="6"/>
      <c r="B1902" s="7"/>
      <c r="C1902" s="8" t="str">
        <f t="array" ref="C1902">IFERROR(INDEX(atlas!H:H,MATCH(A1902,atlas!C:C,0)),"")</f>
        <v/>
      </c>
      <c r="D1902" s="8" t="str">
        <f t="array" ref="D1902">IFERROR(INDEX(atlas!D:D,MATCH(A1902,atlas!C:C,0)),"")</f>
        <v/>
      </c>
      <c r="E1902" s="8" t="str">
        <f t="array" ref="E1902">IFERROR(INDEX(atlas!F:F,MATCH(A1902,atlas!C:C,0)),"")</f>
        <v/>
      </c>
      <c r="F1902" s="9"/>
      <c r="G1902" s="10"/>
      <c r="H1902" s="11"/>
      <c r="I1902" s="12" t="str">
        <f t="array" ref="I1902">IFERROR(INDEX(atlas!B:B,MATCH(A1902,atlas!C:C,0)),"")</f>
        <v/>
      </c>
      <c r="J1902" s="8" t="str">
        <f>IFERROR(VLOOKUP(F1902,tecnica!A:B,2,0),"")</f>
        <v/>
      </c>
      <c r="K1902" s="8" t="str">
        <f>IFERROR(VLOOKUP(J1902,tecnica!B:C,2,0),"")</f>
        <v/>
      </c>
      <c r="L1902" s="13"/>
      <c r="M1902" s="14" t="str">
        <f>IFERROR(VLOOKUP(I1902,material!A:D,4,0),"")</f>
        <v/>
      </c>
      <c r="N1902" s="14" t="str">
        <f t="shared" si="1"/>
        <v/>
      </c>
      <c r="O1902" s="15" t="str">
        <f>IFERROR(VLOOKUP(I1902,material!A:D,2,0),"")</f>
        <v/>
      </c>
    </row>
    <row r="1903">
      <c r="A1903" s="6"/>
      <c r="B1903" s="7"/>
      <c r="C1903" s="8" t="str">
        <f t="array" ref="C1903">IFERROR(INDEX(atlas!H:H,MATCH(A1903,atlas!C:C,0)),"")</f>
        <v/>
      </c>
      <c r="D1903" s="8" t="str">
        <f t="array" ref="D1903">IFERROR(INDEX(atlas!D:D,MATCH(A1903,atlas!C:C,0)),"")</f>
        <v/>
      </c>
      <c r="E1903" s="8" t="str">
        <f t="array" ref="E1903">IFERROR(INDEX(atlas!F:F,MATCH(A1903,atlas!C:C,0)),"")</f>
        <v/>
      </c>
      <c r="F1903" s="9"/>
      <c r="G1903" s="10"/>
      <c r="H1903" s="11"/>
      <c r="I1903" s="12" t="str">
        <f t="array" ref="I1903">IFERROR(INDEX(atlas!B:B,MATCH(A1903,atlas!C:C,0)),"")</f>
        <v/>
      </c>
      <c r="J1903" s="8" t="str">
        <f>IFERROR(VLOOKUP(F1903,tecnica!A:B,2,0),"")</f>
        <v/>
      </c>
      <c r="K1903" s="8" t="str">
        <f>IFERROR(VLOOKUP(J1903,tecnica!B:C,2,0),"")</f>
        <v/>
      </c>
      <c r="L1903" s="13"/>
      <c r="M1903" s="14" t="str">
        <f>IFERROR(VLOOKUP(I1903,material!A:D,4,0),"")</f>
        <v/>
      </c>
      <c r="N1903" s="14" t="str">
        <f t="shared" si="1"/>
        <v/>
      </c>
      <c r="O1903" s="15" t="str">
        <f>IFERROR(VLOOKUP(I1903,material!A:D,2,0),"")</f>
        <v/>
      </c>
    </row>
    <row r="1904">
      <c r="A1904" s="6"/>
      <c r="B1904" s="7"/>
      <c r="C1904" s="8" t="str">
        <f t="array" ref="C1904">IFERROR(INDEX(atlas!H:H,MATCH(A1904,atlas!C:C,0)),"")</f>
        <v/>
      </c>
      <c r="D1904" s="8" t="str">
        <f t="array" ref="D1904">IFERROR(INDEX(atlas!D:D,MATCH(A1904,atlas!C:C,0)),"")</f>
        <v/>
      </c>
      <c r="E1904" s="8" t="str">
        <f t="array" ref="E1904">IFERROR(INDEX(atlas!F:F,MATCH(A1904,atlas!C:C,0)),"")</f>
        <v/>
      </c>
      <c r="F1904" s="9"/>
      <c r="G1904" s="10"/>
      <c r="H1904" s="11"/>
      <c r="I1904" s="12" t="str">
        <f t="array" ref="I1904">IFERROR(INDEX(atlas!B:B,MATCH(A1904,atlas!C:C,0)),"")</f>
        <v/>
      </c>
      <c r="J1904" s="8" t="str">
        <f>IFERROR(VLOOKUP(F1904,tecnica!A:B,2,0),"")</f>
        <v/>
      </c>
      <c r="K1904" s="8" t="str">
        <f>IFERROR(VLOOKUP(J1904,tecnica!B:C,2,0),"")</f>
        <v/>
      </c>
      <c r="L1904" s="13"/>
      <c r="M1904" s="14" t="str">
        <f>IFERROR(VLOOKUP(I1904,material!A:D,4,0),"")</f>
        <v/>
      </c>
      <c r="N1904" s="14" t="str">
        <f t="shared" si="1"/>
        <v/>
      </c>
      <c r="O1904" s="15" t="str">
        <f>IFERROR(VLOOKUP(I1904,material!A:D,2,0),"")</f>
        <v/>
      </c>
    </row>
    <row r="1905">
      <c r="A1905" s="6"/>
      <c r="B1905" s="7"/>
      <c r="C1905" s="8" t="str">
        <f t="array" ref="C1905">IFERROR(INDEX(atlas!H:H,MATCH(A1905,atlas!C:C,0)),"")</f>
        <v/>
      </c>
      <c r="D1905" s="8" t="str">
        <f t="array" ref="D1905">IFERROR(INDEX(atlas!D:D,MATCH(A1905,atlas!C:C,0)),"")</f>
        <v/>
      </c>
      <c r="E1905" s="8" t="str">
        <f t="array" ref="E1905">IFERROR(INDEX(atlas!F:F,MATCH(A1905,atlas!C:C,0)),"")</f>
        <v/>
      </c>
      <c r="F1905" s="9"/>
      <c r="G1905" s="10"/>
      <c r="H1905" s="11"/>
      <c r="I1905" s="12" t="str">
        <f t="array" ref="I1905">IFERROR(INDEX(atlas!B:B,MATCH(A1905,atlas!C:C,0)),"")</f>
        <v/>
      </c>
      <c r="J1905" s="8" t="str">
        <f>IFERROR(VLOOKUP(F1905,tecnica!A:B,2,0),"")</f>
        <v/>
      </c>
      <c r="K1905" s="8" t="str">
        <f>IFERROR(VLOOKUP(J1905,tecnica!B:C,2,0),"")</f>
        <v/>
      </c>
      <c r="L1905" s="13"/>
      <c r="M1905" s="14" t="str">
        <f>IFERROR(VLOOKUP(I1905,material!A:D,4,0),"")</f>
        <v/>
      </c>
      <c r="N1905" s="14" t="str">
        <f t="shared" si="1"/>
        <v/>
      </c>
      <c r="O1905" s="15" t="str">
        <f>IFERROR(VLOOKUP(I1905,material!A:D,2,0),"")</f>
        <v/>
      </c>
    </row>
    <row r="1906">
      <c r="A1906" s="6"/>
      <c r="B1906" s="7"/>
      <c r="C1906" s="8" t="str">
        <f t="array" ref="C1906">IFERROR(INDEX(atlas!H:H,MATCH(A1906,atlas!C:C,0)),"")</f>
        <v/>
      </c>
      <c r="D1906" s="8" t="str">
        <f t="array" ref="D1906">IFERROR(INDEX(atlas!D:D,MATCH(A1906,atlas!C:C,0)),"")</f>
        <v/>
      </c>
      <c r="E1906" s="8" t="str">
        <f t="array" ref="E1906">IFERROR(INDEX(atlas!F:F,MATCH(A1906,atlas!C:C,0)),"")</f>
        <v/>
      </c>
      <c r="F1906" s="9"/>
      <c r="G1906" s="10"/>
      <c r="H1906" s="11"/>
      <c r="I1906" s="12" t="str">
        <f t="array" ref="I1906">IFERROR(INDEX(atlas!B:B,MATCH(A1906,atlas!C:C,0)),"")</f>
        <v/>
      </c>
      <c r="J1906" s="8" t="str">
        <f>IFERROR(VLOOKUP(F1906,tecnica!A:B,2,0),"")</f>
        <v/>
      </c>
      <c r="K1906" s="8" t="str">
        <f>IFERROR(VLOOKUP(J1906,tecnica!B:C,2,0),"")</f>
        <v/>
      </c>
      <c r="L1906" s="13"/>
      <c r="M1906" s="14" t="str">
        <f>IFERROR(VLOOKUP(I1906,material!A:D,4,0),"")</f>
        <v/>
      </c>
      <c r="N1906" s="14" t="str">
        <f t="shared" si="1"/>
        <v/>
      </c>
      <c r="O1906" s="15" t="str">
        <f>IFERROR(VLOOKUP(I1906,material!A:D,2,0),"")</f>
        <v/>
      </c>
    </row>
    <row r="1907">
      <c r="A1907" s="6"/>
      <c r="B1907" s="7"/>
      <c r="C1907" s="8" t="str">
        <f t="array" ref="C1907">IFERROR(INDEX(atlas!H:H,MATCH(A1907,atlas!C:C,0)),"")</f>
        <v/>
      </c>
      <c r="D1907" s="8" t="str">
        <f t="array" ref="D1907">IFERROR(INDEX(atlas!D:D,MATCH(A1907,atlas!C:C,0)),"")</f>
        <v/>
      </c>
      <c r="E1907" s="8" t="str">
        <f t="array" ref="E1907">IFERROR(INDEX(atlas!F:F,MATCH(A1907,atlas!C:C,0)),"")</f>
        <v/>
      </c>
      <c r="F1907" s="9"/>
      <c r="G1907" s="10"/>
      <c r="H1907" s="11"/>
      <c r="I1907" s="12" t="str">
        <f t="array" ref="I1907">IFERROR(INDEX(atlas!B:B,MATCH(A1907,atlas!C:C,0)),"")</f>
        <v/>
      </c>
      <c r="J1907" s="8" t="str">
        <f>IFERROR(VLOOKUP(F1907,tecnica!A:B,2,0),"")</f>
        <v/>
      </c>
      <c r="K1907" s="8" t="str">
        <f>IFERROR(VLOOKUP(J1907,tecnica!B:C,2,0),"")</f>
        <v/>
      </c>
      <c r="L1907" s="13"/>
      <c r="M1907" s="14" t="str">
        <f>IFERROR(VLOOKUP(I1907,material!A:D,4,0),"")</f>
        <v/>
      </c>
      <c r="N1907" s="14" t="str">
        <f t="shared" si="1"/>
        <v/>
      </c>
      <c r="O1907" s="15" t="str">
        <f>IFERROR(VLOOKUP(I1907,material!A:D,2,0),"")</f>
        <v/>
      </c>
    </row>
    <row r="1908">
      <c r="A1908" s="6"/>
      <c r="B1908" s="7"/>
      <c r="C1908" s="8" t="str">
        <f t="array" ref="C1908">IFERROR(INDEX(atlas!H:H,MATCH(A1908,atlas!C:C,0)),"")</f>
        <v/>
      </c>
      <c r="D1908" s="8" t="str">
        <f t="array" ref="D1908">IFERROR(INDEX(atlas!D:D,MATCH(A1908,atlas!C:C,0)),"")</f>
        <v/>
      </c>
      <c r="E1908" s="8" t="str">
        <f t="array" ref="E1908">IFERROR(INDEX(atlas!F:F,MATCH(A1908,atlas!C:C,0)),"")</f>
        <v/>
      </c>
      <c r="F1908" s="9"/>
      <c r="G1908" s="10"/>
      <c r="H1908" s="11"/>
      <c r="I1908" s="12" t="str">
        <f t="array" ref="I1908">IFERROR(INDEX(atlas!B:B,MATCH(A1908,atlas!C:C,0)),"")</f>
        <v/>
      </c>
      <c r="J1908" s="8" t="str">
        <f>IFERROR(VLOOKUP(F1908,tecnica!A:B,2,0),"")</f>
        <v/>
      </c>
      <c r="K1908" s="8" t="str">
        <f>IFERROR(VLOOKUP(J1908,tecnica!B:C,2,0),"")</f>
        <v/>
      </c>
      <c r="L1908" s="13"/>
      <c r="M1908" s="14" t="str">
        <f>IFERROR(VLOOKUP(I1908,material!A:D,4,0),"")</f>
        <v/>
      </c>
      <c r="N1908" s="14" t="str">
        <f t="shared" si="1"/>
        <v/>
      </c>
      <c r="O1908" s="15" t="str">
        <f>IFERROR(VLOOKUP(I1908,material!A:D,2,0),"")</f>
        <v/>
      </c>
    </row>
    <row r="1909">
      <c r="A1909" s="6"/>
      <c r="B1909" s="7"/>
      <c r="C1909" s="8" t="str">
        <f t="array" ref="C1909">IFERROR(INDEX(atlas!H:H,MATCH(A1909,atlas!C:C,0)),"")</f>
        <v/>
      </c>
      <c r="D1909" s="8" t="str">
        <f t="array" ref="D1909">IFERROR(INDEX(atlas!D:D,MATCH(A1909,atlas!C:C,0)),"")</f>
        <v/>
      </c>
      <c r="E1909" s="8" t="str">
        <f t="array" ref="E1909">IFERROR(INDEX(atlas!F:F,MATCH(A1909,atlas!C:C,0)),"")</f>
        <v/>
      </c>
      <c r="F1909" s="9"/>
      <c r="G1909" s="10"/>
      <c r="H1909" s="11"/>
      <c r="I1909" s="12" t="str">
        <f t="array" ref="I1909">IFERROR(INDEX(atlas!B:B,MATCH(A1909,atlas!C:C,0)),"")</f>
        <v/>
      </c>
      <c r="J1909" s="8" t="str">
        <f>IFERROR(VLOOKUP(F1909,tecnica!A:B,2,0),"")</f>
        <v/>
      </c>
      <c r="K1909" s="8" t="str">
        <f>IFERROR(VLOOKUP(J1909,tecnica!B:C,2,0),"")</f>
        <v/>
      </c>
      <c r="L1909" s="13"/>
      <c r="M1909" s="14" t="str">
        <f>IFERROR(VLOOKUP(I1909,material!A:D,4,0),"")</f>
        <v/>
      </c>
      <c r="N1909" s="14" t="str">
        <f t="shared" si="1"/>
        <v/>
      </c>
      <c r="O1909" s="15" t="str">
        <f>IFERROR(VLOOKUP(I1909,material!A:D,2,0),"")</f>
        <v/>
      </c>
    </row>
    <row r="1910">
      <c r="A1910" s="6"/>
      <c r="B1910" s="7"/>
      <c r="C1910" s="8" t="str">
        <f t="array" ref="C1910">IFERROR(INDEX(atlas!H:H,MATCH(A1910,atlas!C:C,0)),"")</f>
        <v/>
      </c>
      <c r="D1910" s="8" t="str">
        <f t="array" ref="D1910">IFERROR(INDEX(atlas!D:D,MATCH(A1910,atlas!C:C,0)),"")</f>
        <v/>
      </c>
      <c r="E1910" s="8" t="str">
        <f t="array" ref="E1910">IFERROR(INDEX(atlas!F:F,MATCH(A1910,atlas!C:C,0)),"")</f>
        <v/>
      </c>
      <c r="F1910" s="9"/>
      <c r="G1910" s="10"/>
      <c r="H1910" s="11"/>
      <c r="I1910" s="12" t="str">
        <f t="array" ref="I1910">IFERROR(INDEX(atlas!B:B,MATCH(A1910,atlas!C:C,0)),"")</f>
        <v/>
      </c>
      <c r="J1910" s="8" t="str">
        <f>IFERROR(VLOOKUP(F1910,tecnica!A:B,2,0),"")</f>
        <v/>
      </c>
      <c r="K1910" s="8" t="str">
        <f>IFERROR(VLOOKUP(J1910,tecnica!B:C,2,0),"")</f>
        <v/>
      </c>
      <c r="L1910" s="13"/>
      <c r="M1910" s="14" t="str">
        <f>IFERROR(VLOOKUP(I1910,material!A:D,4,0),"")</f>
        <v/>
      </c>
      <c r="N1910" s="14" t="str">
        <f t="shared" si="1"/>
        <v/>
      </c>
      <c r="O1910" s="15" t="str">
        <f>IFERROR(VLOOKUP(I1910,material!A:D,2,0),"")</f>
        <v/>
      </c>
    </row>
    <row r="1911">
      <c r="A1911" s="6"/>
      <c r="B1911" s="7"/>
      <c r="C1911" s="8" t="str">
        <f t="array" ref="C1911">IFERROR(INDEX(atlas!H:H,MATCH(A1911,atlas!C:C,0)),"")</f>
        <v/>
      </c>
      <c r="D1911" s="8" t="str">
        <f t="array" ref="D1911">IFERROR(INDEX(atlas!D:D,MATCH(A1911,atlas!C:C,0)),"")</f>
        <v/>
      </c>
      <c r="E1911" s="8" t="str">
        <f t="array" ref="E1911">IFERROR(INDEX(atlas!F:F,MATCH(A1911,atlas!C:C,0)),"")</f>
        <v/>
      </c>
      <c r="F1911" s="9"/>
      <c r="G1911" s="10"/>
      <c r="H1911" s="11"/>
      <c r="I1911" s="12" t="str">
        <f t="array" ref="I1911">IFERROR(INDEX(atlas!B:B,MATCH(A1911,atlas!C:C,0)),"")</f>
        <v/>
      </c>
      <c r="J1911" s="8" t="str">
        <f>IFERROR(VLOOKUP(F1911,tecnica!A:B,2,0),"")</f>
        <v/>
      </c>
      <c r="K1911" s="8" t="str">
        <f>IFERROR(VLOOKUP(J1911,tecnica!B:C,2,0),"")</f>
        <v/>
      </c>
      <c r="L1911" s="13"/>
      <c r="M1911" s="14" t="str">
        <f>IFERROR(VLOOKUP(I1911,material!A:D,4,0),"")</f>
        <v/>
      </c>
      <c r="N1911" s="14" t="str">
        <f t="shared" si="1"/>
        <v/>
      </c>
      <c r="O1911" s="15" t="str">
        <f>IFERROR(VLOOKUP(I1911,material!A:D,2,0),"")</f>
        <v/>
      </c>
    </row>
    <row r="1912">
      <c r="A1912" s="6"/>
      <c r="B1912" s="7"/>
      <c r="C1912" s="8" t="str">
        <f t="array" ref="C1912">IFERROR(INDEX(atlas!H:H,MATCH(A1912,atlas!C:C,0)),"")</f>
        <v/>
      </c>
      <c r="D1912" s="8" t="str">
        <f t="array" ref="D1912">IFERROR(INDEX(atlas!D:D,MATCH(A1912,atlas!C:C,0)),"")</f>
        <v/>
      </c>
      <c r="E1912" s="8" t="str">
        <f t="array" ref="E1912">IFERROR(INDEX(atlas!F:F,MATCH(A1912,atlas!C:C,0)),"")</f>
        <v/>
      </c>
      <c r="F1912" s="9"/>
      <c r="G1912" s="10"/>
      <c r="H1912" s="11"/>
      <c r="I1912" s="12" t="str">
        <f t="array" ref="I1912">IFERROR(INDEX(atlas!B:B,MATCH(A1912,atlas!C:C,0)),"")</f>
        <v/>
      </c>
      <c r="J1912" s="8" t="str">
        <f>IFERROR(VLOOKUP(F1912,tecnica!A:B,2,0),"")</f>
        <v/>
      </c>
      <c r="K1912" s="8" t="str">
        <f>IFERROR(VLOOKUP(J1912,tecnica!B:C,2,0),"")</f>
        <v/>
      </c>
      <c r="L1912" s="13"/>
      <c r="M1912" s="14" t="str">
        <f>IFERROR(VLOOKUP(I1912,material!A:D,4,0),"")</f>
        <v/>
      </c>
      <c r="N1912" s="14" t="str">
        <f t="shared" si="1"/>
        <v/>
      </c>
      <c r="O1912" s="15" t="str">
        <f>IFERROR(VLOOKUP(I1912,material!A:D,2,0),"")</f>
        <v/>
      </c>
    </row>
    <row r="1913">
      <c r="A1913" s="6"/>
      <c r="B1913" s="7"/>
      <c r="C1913" s="8" t="str">
        <f t="array" ref="C1913">IFERROR(INDEX(atlas!H:H,MATCH(A1913,atlas!C:C,0)),"")</f>
        <v/>
      </c>
      <c r="D1913" s="8" t="str">
        <f t="array" ref="D1913">IFERROR(INDEX(atlas!D:D,MATCH(A1913,atlas!C:C,0)),"")</f>
        <v/>
      </c>
      <c r="E1913" s="8" t="str">
        <f t="array" ref="E1913">IFERROR(INDEX(atlas!F:F,MATCH(A1913,atlas!C:C,0)),"")</f>
        <v/>
      </c>
      <c r="F1913" s="9"/>
      <c r="G1913" s="10"/>
      <c r="H1913" s="11"/>
      <c r="I1913" s="12" t="str">
        <f t="array" ref="I1913">IFERROR(INDEX(atlas!B:B,MATCH(A1913,atlas!C:C,0)),"")</f>
        <v/>
      </c>
      <c r="J1913" s="8" t="str">
        <f>IFERROR(VLOOKUP(F1913,tecnica!A:B,2,0),"")</f>
        <v/>
      </c>
      <c r="K1913" s="8" t="str">
        <f>IFERROR(VLOOKUP(J1913,tecnica!B:C,2,0),"")</f>
        <v/>
      </c>
      <c r="L1913" s="13"/>
      <c r="M1913" s="14" t="str">
        <f>IFERROR(VLOOKUP(I1913,material!A:D,4,0),"")</f>
        <v/>
      </c>
      <c r="N1913" s="14" t="str">
        <f t="shared" si="1"/>
        <v/>
      </c>
      <c r="O1913" s="15" t="str">
        <f>IFERROR(VLOOKUP(I1913,material!A:D,2,0),"")</f>
        <v/>
      </c>
    </row>
    <row r="1914">
      <c r="A1914" s="6"/>
      <c r="B1914" s="7"/>
      <c r="C1914" s="8" t="str">
        <f t="array" ref="C1914">IFERROR(INDEX(atlas!H:H,MATCH(A1914,atlas!C:C,0)),"")</f>
        <v/>
      </c>
      <c r="D1914" s="8" t="str">
        <f t="array" ref="D1914">IFERROR(INDEX(atlas!D:D,MATCH(A1914,atlas!C:C,0)),"")</f>
        <v/>
      </c>
      <c r="E1914" s="8" t="str">
        <f t="array" ref="E1914">IFERROR(INDEX(atlas!F:F,MATCH(A1914,atlas!C:C,0)),"")</f>
        <v/>
      </c>
      <c r="F1914" s="9"/>
      <c r="G1914" s="10"/>
      <c r="H1914" s="11"/>
      <c r="I1914" s="12" t="str">
        <f t="array" ref="I1914">IFERROR(INDEX(atlas!B:B,MATCH(A1914,atlas!C:C,0)),"")</f>
        <v/>
      </c>
      <c r="J1914" s="8" t="str">
        <f>IFERROR(VLOOKUP(F1914,tecnica!A:B,2,0),"")</f>
        <v/>
      </c>
      <c r="K1914" s="8" t="str">
        <f>IFERROR(VLOOKUP(J1914,tecnica!B:C,2,0),"")</f>
        <v/>
      </c>
      <c r="L1914" s="13"/>
      <c r="M1914" s="14" t="str">
        <f>IFERROR(VLOOKUP(I1914,material!A:D,4,0),"")</f>
        <v/>
      </c>
      <c r="N1914" s="14" t="str">
        <f t="shared" si="1"/>
        <v/>
      </c>
      <c r="O1914" s="15" t="str">
        <f>IFERROR(VLOOKUP(I1914,material!A:D,2,0),"")</f>
        <v/>
      </c>
    </row>
    <row r="1915">
      <c r="A1915" s="6"/>
      <c r="B1915" s="7"/>
      <c r="C1915" s="8" t="str">
        <f t="array" ref="C1915">IFERROR(INDEX(atlas!H:H,MATCH(A1915,atlas!C:C,0)),"")</f>
        <v/>
      </c>
      <c r="D1915" s="8" t="str">
        <f t="array" ref="D1915">IFERROR(INDEX(atlas!D:D,MATCH(A1915,atlas!C:C,0)),"")</f>
        <v/>
      </c>
      <c r="E1915" s="8" t="str">
        <f t="array" ref="E1915">IFERROR(INDEX(atlas!F:F,MATCH(A1915,atlas!C:C,0)),"")</f>
        <v/>
      </c>
      <c r="F1915" s="9"/>
      <c r="G1915" s="10"/>
      <c r="H1915" s="11"/>
      <c r="I1915" s="12" t="str">
        <f t="array" ref="I1915">IFERROR(INDEX(atlas!B:B,MATCH(A1915,atlas!C:C,0)),"")</f>
        <v/>
      </c>
      <c r="J1915" s="8" t="str">
        <f>IFERROR(VLOOKUP(F1915,tecnica!A:B,2,0),"")</f>
        <v/>
      </c>
      <c r="K1915" s="8" t="str">
        <f>IFERROR(VLOOKUP(J1915,tecnica!B:C,2,0),"")</f>
        <v/>
      </c>
      <c r="L1915" s="13"/>
      <c r="M1915" s="14" t="str">
        <f>IFERROR(VLOOKUP(I1915,material!A:D,4,0),"")</f>
        <v/>
      </c>
      <c r="N1915" s="14" t="str">
        <f t="shared" si="1"/>
        <v/>
      </c>
      <c r="O1915" s="15" t="str">
        <f>IFERROR(VLOOKUP(I1915,material!A:D,2,0),"")</f>
        <v/>
      </c>
    </row>
    <row r="1916">
      <c r="A1916" s="6"/>
      <c r="B1916" s="7"/>
      <c r="C1916" s="8" t="str">
        <f t="array" ref="C1916">IFERROR(INDEX(atlas!H:H,MATCH(A1916,atlas!C:C,0)),"")</f>
        <v/>
      </c>
      <c r="D1916" s="8" t="str">
        <f t="array" ref="D1916">IFERROR(INDEX(atlas!D:D,MATCH(A1916,atlas!C:C,0)),"")</f>
        <v/>
      </c>
      <c r="E1916" s="8" t="str">
        <f t="array" ref="E1916">IFERROR(INDEX(atlas!F:F,MATCH(A1916,atlas!C:C,0)),"")</f>
        <v/>
      </c>
      <c r="F1916" s="9"/>
      <c r="G1916" s="10"/>
      <c r="H1916" s="11"/>
      <c r="I1916" s="12" t="str">
        <f t="array" ref="I1916">IFERROR(INDEX(atlas!B:B,MATCH(A1916,atlas!C:C,0)),"")</f>
        <v/>
      </c>
      <c r="J1916" s="8" t="str">
        <f>IFERROR(VLOOKUP(F1916,tecnica!A:B,2,0),"")</f>
        <v/>
      </c>
      <c r="K1916" s="8" t="str">
        <f>IFERROR(VLOOKUP(J1916,tecnica!B:C,2,0),"")</f>
        <v/>
      </c>
      <c r="L1916" s="13"/>
      <c r="M1916" s="14" t="str">
        <f>IFERROR(VLOOKUP(I1916,material!A:D,4,0),"")</f>
        <v/>
      </c>
      <c r="N1916" s="14" t="str">
        <f t="shared" si="1"/>
        <v/>
      </c>
      <c r="O1916" s="15" t="str">
        <f>IFERROR(VLOOKUP(I1916,material!A:D,2,0),"")</f>
        <v/>
      </c>
    </row>
    <row r="1917">
      <c r="A1917" s="6"/>
      <c r="B1917" s="7"/>
      <c r="C1917" s="8" t="str">
        <f t="array" ref="C1917">IFERROR(INDEX(atlas!H:H,MATCH(A1917,atlas!C:C,0)),"")</f>
        <v/>
      </c>
      <c r="D1917" s="8" t="str">
        <f t="array" ref="D1917">IFERROR(INDEX(atlas!D:D,MATCH(A1917,atlas!C:C,0)),"")</f>
        <v/>
      </c>
      <c r="E1917" s="8" t="str">
        <f t="array" ref="E1917">IFERROR(INDEX(atlas!F:F,MATCH(A1917,atlas!C:C,0)),"")</f>
        <v/>
      </c>
      <c r="F1917" s="9"/>
      <c r="G1917" s="10"/>
      <c r="H1917" s="11"/>
      <c r="I1917" s="12" t="str">
        <f t="array" ref="I1917">IFERROR(INDEX(atlas!B:B,MATCH(A1917,atlas!C:C,0)),"")</f>
        <v/>
      </c>
      <c r="J1917" s="8" t="str">
        <f>IFERROR(VLOOKUP(F1917,tecnica!A:B,2,0),"")</f>
        <v/>
      </c>
      <c r="K1917" s="8" t="str">
        <f>IFERROR(VLOOKUP(J1917,tecnica!B:C,2,0),"")</f>
        <v/>
      </c>
      <c r="L1917" s="13"/>
      <c r="M1917" s="14" t="str">
        <f>IFERROR(VLOOKUP(I1917,material!A:D,4,0),"")</f>
        <v/>
      </c>
      <c r="N1917" s="14" t="str">
        <f t="shared" si="1"/>
        <v/>
      </c>
      <c r="O1917" s="15" t="str">
        <f>IFERROR(VLOOKUP(I1917,material!A:D,2,0),"")</f>
        <v/>
      </c>
    </row>
    <row r="1918">
      <c r="A1918" s="6"/>
      <c r="B1918" s="7"/>
      <c r="C1918" s="8" t="str">
        <f t="array" ref="C1918">IFERROR(INDEX(atlas!H:H,MATCH(A1918,atlas!C:C,0)),"")</f>
        <v/>
      </c>
      <c r="D1918" s="8" t="str">
        <f t="array" ref="D1918">IFERROR(INDEX(atlas!D:D,MATCH(A1918,atlas!C:C,0)),"")</f>
        <v/>
      </c>
      <c r="E1918" s="8" t="str">
        <f t="array" ref="E1918">IFERROR(INDEX(atlas!F:F,MATCH(A1918,atlas!C:C,0)),"")</f>
        <v/>
      </c>
      <c r="F1918" s="9"/>
      <c r="G1918" s="10"/>
      <c r="H1918" s="11"/>
      <c r="I1918" s="12" t="str">
        <f t="array" ref="I1918">IFERROR(INDEX(atlas!B:B,MATCH(A1918,atlas!C:C,0)),"")</f>
        <v/>
      </c>
      <c r="J1918" s="8" t="str">
        <f>IFERROR(VLOOKUP(F1918,tecnica!A:B,2,0),"")</f>
        <v/>
      </c>
      <c r="K1918" s="8" t="str">
        <f>IFERROR(VLOOKUP(J1918,tecnica!B:C,2,0),"")</f>
        <v/>
      </c>
      <c r="L1918" s="13"/>
      <c r="M1918" s="14" t="str">
        <f>IFERROR(VLOOKUP(I1918,material!A:D,4,0),"")</f>
        <v/>
      </c>
      <c r="N1918" s="14" t="str">
        <f t="shared" si="1"/>
        <v/>
      </c>
      <c r="O1918" s="15" t="str">
        <f>IFERROR(VLOOKUP(I1918,material!A:D,2,0),"")</f>
        <v/>
      </c>
    </row>
    <row r="1919">
      <c r="A1919" s="6"/>
      <c r="B1919" s="7"/>
      <c r="C1919" s="8" t="str">
        <f t="array" ref="C1919">IFERROR(INDEX(atlas!H:H,MATCH(A1919,atlas!C:C,0)),"")</f>
        <v/>
      </c>
      <c r="D1919" s="8" t="str">
        <f t="array" ref="D1919">IFERROR(INDEX(atlas!D:D,MATCH(A1919,atlas!C:C,0)),"")</f>
        <v/>
      </c>
      <c r="E1919" s="8" t="str">
        <f t="array" ref="E1919">IFERROR(INDEX(atlas!F:F,MATCH(A1919,atlas!C:C,0)),"")</f>
        <v/>
      </c>
      <c r="F1919" s="9"/>
      <c r="G1919" s="10"/>
      <c r="H1919" s="11"/>
      <c r="I1919" s="12" t="str">
        <f t="array" ref="I1919">IFERROR(INDEX(atlas!B:B,MATCH(A1919,atlas!C:C,0)),"")</f>
        <v/>
      </c>
      <c r="J1919" s="8" t="str">
        <f>IFERROR(VLOOKUP(F1919,tecnica!A:B,2,0),"")</f>
        <v/>
      </c>
      <c r="K1919" s="8" t="str">
        <f>IFERROR(VLOOKUP(J1919,tecnica!B:C,2,0),"")</f>
        <v/>
      </c>
      <c r="L1919" s="13"/>
      <c r="M1919" s="14" t="str">
        <f>IFERROR(VLOOKUP(I1919,material!A:D,4,0),"")</f>
        <v/>
      </c>
      <c r="N1919" s="14" t="str">
        <f t="shared" si="1"/>
        <v/>
      </c>
      <c r="O1919" s="15" t="str">
        <f>IFERROR(VLOOKUP(I1919,material!A:D,2,0),"")</f>
        <v/>
      </c>
    </row>
    <row r="1920">
      <c r="A1920" s="6"/>
      <c r="B1920" s="7"/>
      <c r="C1920" s="8" t="str">
        <f t="array" ref="C1920">IFERROR(INDEX(atlas!H:H,MATCH(A1920,atlas!C:C,0)),"")</f>
        <v/>
      </c>
      <c r="D1920" s="8" t="str">
        <f t="array" ref="D1920">IFERROR(INDEX(atlas!D:D,MATCH(A1920,atlas!C:C,0)),"")</f>
        <v/>
      </c>
      <c r="E1920" s="8" t="str">
        <f t="array" ref="E1920">IFERROR(INDEX(atlas!F:F,MATCH(A1920,atlas!C:C,0)),"")</f>
        <v/>
      </c>
      <c r="F1920" s="9"/>
      <c r="G1920" s="10"/>
      <c r="H1920" s="11"/>
      <c r="I1920" s="12" t="str">
        <f t="array" ref="I1920">IFERROR(INDEX(atlas!B:B,MATCH(A1920,atlas!C:C,0)),"")</f>
        <v/>
      </c>
      <c r="J1920" s="8" t="str">
        <f>IFERROR(VLOOKUP(F1920,tecnica!A:B,2,0),"")</f>
        <v/>
      </c>
      <c r="K1920" s="8" t="str">
        <f>IFERROR(VLOOKUP(J1920,tecnica!B:C,2,0),"")</f>
        <v/>
      </c>
      <c r="L1920" s="13"/>
      <c r="M1920" s="14" t="str">
        <f>IFERROR(VLOOKUP(I1920,material!A:D,4,0),"")</f>
        <v/>
      </c>
      <c r="N1920" s="14" t="str">
        <f t="shared" si="1"/>
        <v/>
      </c>
      <c r="O1920" s="15" t="str">
        <f>IFERROR(VLOOKUP(I1920,material!A:D,2,0),"")</f>
        <v/>
      </c>
    </row>
    <row r="1921">
      <c r="A1921" s="6"/>
      <c r="B1921" s="7"/>
      <c r="C1921" s="8" t="str">
        <f t="array" ref="C1921">IFERROR(INDEX(atlas!H:H,MATCH(A1921,atlas!C:C,0)),"")</f>
        <v/>
      </c>
      <c r="D1921" s="8" t="str">
        <f t="array" ref="D1921">IFERROR(INDEX(atlas!D:D,MATCH(A1921,atlas!C:C,0)),"")</f>
        <v/>
      </c>
      <c r="E1921" s="8" t="str">
        <f t="array" ref="E1921">IFERROR(INDEX(atlas!F:F,MATCH(A1921,atlas!C:C,0)),"")</f>
        <v/>
      </c>
      <c r="F1921" s="9"/>
      <c r="G1921" s="10"/>
      <c r="H1921" s="11"/>
      <c r="I1921" s="12" t="str">
        <f t="array" ref="I1921">IFERROR(INDEX(atlas!B:B,MATCH(A1921,atlas!C:C,0)),"")</f>
        <v/>
      </c>
      <c r="J1921" s="8" t="str">
        <f>IFERROR(VLOOKUP(F1921,tecnica!A:B,2,0),"")</f>
        <v/>
      </c>
      <c r="K1921" s="8" t="str">
        <f>IFERROR(VLOOKUP(J1921,tecnica!B:C,2,0),"")</f>
        <v/>
      </c>
      <c r="L1921" s="13"/>
      <c r="M1921" s="14" t="str">
        <f>IFERROR(VLOOKUP(I1921,material!A:D,4,0),"")</f>
        <v/>
      </c>
      <c r="N1921" s="14" t="str">
        <f t="shared" si="1"/>
        <v/>
      </c>
      <c r="O1921" s="15" t="str">
        <f>IFERROR(VLOOKUP(I1921,material!A:D,2,0),"")</f>
        <v/>
      </c>
    </row>
    <row r="1922">
      <c r="A1922" s="6"/>
      <c r="B1922" s="7"/>
      <c r="C1922" s="8" t="str">
        <f t="array" ref="C1922">IFERROR(INDEX(atlas!H:H,MATCH(A1922,atlas!C:C,0)),"")</f>
        <v/>
      </c>
      <c r="D1922" s="8" t="str">
        <f t="array" ref="D1922">IFERROR(INDEX(atlas!D:D,MATCH(A1922,atlas!C:C,0)),"")</f>
        <v/>
      </c>
      <c r="E1922" s="8" t="str">
        <f t="array" ref="E1922">IFERROR(INDEX(atlas!F:F,MATCH(A1922,atlas!C:C,0)),"")</f>
        <v/>
      </c>
      <c r="F1922" s="9"/>
      <c r="G1922" s="10"/>
      <c r="H1922" s="11"/>
      <c r="I1922" s="12" t="str">
        <f t="array" ref="I1922">IFERROR(INDEX(atlas!B:B,MATCH(A1922,atlas!C:C,0)),"")</f>
        <v/>
      </c>
      <c r="J1922" s="8" t="str">
        <f>IFERROR(VLOOKUP(F1922,tecnica!A:B,2,0),"")</f>
        <v/>
      </c>
      <c r="K1922" s="8" t="str">
        <f>IFERROR(VLOOKUP(J1922,tecnica!B:C,2,0),"")</f>
        <v/>
      </c>
      <c r="L1922" s="13"/>
      <c r="M1922" s="14" t="str">
        <f>IFERROR(VLOOKUP(I1922,material!A:D,4,0),"")</f>
        <v/>
      </c>
      <c r="N1922" s="14" t="str">
        <f t="shared" si="1"/>
        <v/>
      </c>
      <c r="O1922" s="15" t="str">
        <f>IFERROR(VLOOKUP(I1922,material!A:D,2,0),"")</f>
        <v/>
      </c>
    </row>
    <row r="1923">
      <c r="A1923" s="6"/>
      <c r="B1923" s="7"/>
      <c r="C1923" s="8" t="str">
        <f t="array" ref="C1923">IFERROR(INDEX(atlas!H:H,MATCH(A1923,atlas!C:C,0)),"")</f>
        <v/>
      </c>
      <c r="D1923" s="8" t="str">
        <f t="array" ref="D1923">IFERROR(INDEX(atlas!D:D,MATCH(A1923,atlas!C:C,0)),"")</f>
        <v/>
      </c>
      <c r="E1923" s="8" t="str">
        <f t="array" ref="E1923">IFERROR(INDEX(atlas!F:F,MATCH(A1923,atlas!C:C,0)),"")</f>
        <v/>
      </c>
      <c r="F1923" s="9"/>
      <c r="G1923" s="10"/>
      <c r="H1923" s="11"/>
      <c r="I1923" s="12" t="str">
        <f t="array" ref="I1923">IFERROR(INDEX(atlas!B:B,MATCH(A1923,atlas!C:C,0)),"")</f>
        <v/>
      </c>
      <c r="J1923" s="8" t="str">
        <f>IFERROR(VLOOKUP(F1923,tecnica!A:B,2,0),"")</f>
        <v/>
      </c>
      <c r="K1923" s="8" t="str">
        <f>IFERROR(VLOOKUP(J1923,tecnica!B:C,2,0),"")</f>
        <v/>
      </c>
      <c r="L1923" s="13"/>
      <c r="M1923" s="14" t="str">
        <f>IFERROR(VLOOKUP(I1923,material!A:D,4,0),"")</f>
        <v/>
      </c>
      <c r="N1923" s="14" t="str">
        <f t="shared" si="1"/>
        <v/>
      </c>
      <c r="O1923" s="15" t="str">
        <f>IFERROR(VLOOKUP(I1923,material!A:D,2,0),"")</f>
        <v/>
      </c>
    </row>
    <row r="1924">
      <c r="A1924" s="6"/>
      <c r="B1924" s="7"/>
      <c r="C1924" s="8" t="str">
        <f t="array" ref="C1924">IFERROR(INDEX(atlas!H:H,MATCH(A1924,atlas!C:C,0)),"")</f>
        <v/>
      </c>
      <c r="D1924" s="8" t="str">
        <f t="array" ref="D1924">IFERROR(INDEX(atlas!D:D,MATCH(A1924,atlas!C:C,0)),"")</f>
        <v/>
      </c>
      <c r="E1924" s="8" t="str">
        <f t="array" ref="E1924">IFERROR(INDEX(atlas!F:F,MATCH(A1924,atlas!C:C,0)),"")</f>
        <v/>
      </c>
      <c r="F1924" s="9"/>
      <c r="G1924" s="10"/>
      <c r="H1924" s="11"/>
      <c r="I1924" s="12" t="str">
        <f t="array" ref="I1924">IFERROR(INDEX(atlas!B:B,MATCH(A1924,atlas!C:C,0)),"")</f>
        <v/>
      </c>
      <c r="J1924" s="8" t="str">
        <f>IFERROR(VLOOKUP(F1924,tecnica!A:B,2,0),"")</f>
        <v/>
      </c>
      <c r="K1924" s="8" t="str">
        <f>IFERROR(VLOOKUP(J1924,tecnica!B:C,2,0),"")</f>
        <v/>
      </c>
      <c r="L1924" s="13"/>
      <c r="M1924" s="14" t="str">
        <f>IFERROR(VLOOKUP(I1924,material!A:D,4,0),"")</f>
        <v/>
      </c>
      <c r="N1924" s="14" t="str">
        <f t="shared" si="1"/>
        <v/>
      </c>
      <c r="O1924" s="15" t="str">
        <f>IFERROR(VLOOKUP(I1924,material!A:D,2,0),"")</f>
        <v/>
      </c>
    </row>
    <row r="1925">
      <c r="A1925" s="6"/>
      <c r="B1925" s="7"/>
      <c r="C1925" s="8" t="str">
        <f t="array" ref="C1925">IFERROR(INDEX(atlas!H:H,MATCH(A1925,atlas!C:C,0)),"")</f>
        <v/>
      </c>
      <c r="D1925" s="8" t="str">
        <f t="array" ref="D1925">IFERROR(INDEX(atlas!D:D,MATCH(A1925,atlas!C:C,0)),"")</f>
        <v/>
      </c>
      <c r="E1925" s="8" t="str">
        <f t="array" ref="E1925">IFERROR(INDEX(atlas!F:F,MATCH(A1925,atlas!C:C,0)),"")</f>
        <v/>
      </c>
      <c r="F1925" s="9"/>
      <c r="G1925" s="10"/>
      <c r="H1925" s="11"/>
      <c r="I1925" s="12" t="str">
        <f t="array" ref="I1925">IFERROR(INDEX(atlas!B:B,MATCH(A1925,atlas!C:C,0)),"")</f>
        <v/>
      </c>
      <c r="J1925" s="8" t="str">
        <f>IFERROR(VLOOKUP(F1925,tecnica!A:B,2,0),"")</f>
        <v/>
      </c>
      <c r="K1925" s="8" t="str">
        <f>IFERROR(VLOOKUP(J1925,tecnica!B:C,2,0),"")</f>
        <v/>
      </c>
      <c r="L1925" s="13"/>
      <c r="M1925" s="14" t="str">
        <f>IFERROR(VLOOKUP(I1925,material!A:D,4,0),"")</f>
        <v/>
      </c>
      <c r="N1925" s="14" t="str">
        <f t="shared" si="1"/>
        <v/>
      </c>
      <c r="O1925" s="15" t="str">
        <f>IFERROR(VLOOKUP(I1925,material!A:D,2,0),"")</f>
        <v/>
      </c>
    </row>
    <row r="1926">
      <c r="A1926" s="6"/>
      <c r="B1926" s="7"/>
      <c r="C1926" s="8" t="str">
        <f t="array" ref="C1926">IFERROR(INDEX(atlas!H:H,MATCH(A1926,atlas!C:C,0)),"")</f>
        <v/>
      </c>
      <c r="D1926" s="8" t="str">
        <f t="array" ref="D1926">IFERROR(INDEX(atlas!D:D,MATCH(A1926,atlas!C:C,0)),"")</f>
        <v/>
      </c>
      <c r="E1926" s="8" t="str">
        <f t="array" ref="E1926">IFERROR(INDEX(atlas!F:F,MATCH(A1926,atlas!C:C,0)),"")</f>
        <v/>
      </c>
      <c r="F1926" s="9"/>
      <c r="G1926" s="10"/>
      <c r="H1926" s="11"/>
      <c r="I1926" s="12" t="str">
        <f t="array" ref="I1926">IFERROR(INDEX(atlas!B:B,MATCH(A1926,atlas!C:C,0)),"")</f>
        <v/>
      </c>
      <c r="J1926" s="8" t="str">
        <f>IFERROR(VLOOKUP(F1926,tecnica!A:B,2,0),"")</f>
        <v/>
      </c>
      <c r="K1926" s="8" t="str">
        <f>IFERROR(VLOOKUP(J1926,tecnica!B:C,2,0),"")</f>
        <v/>
      </c>
      <c r="L1926" s="13"/>
      <c r="M1926" s="14" t="str">
        <f>IFERROR(VLOOKUP(I1926,material!A:D,4,0),"")</f>
        <v/>
      </c>
      <c r="N1926" s="14" t="str">
        <f t="shared" si="1"/>
        <v/>
      </c>
      <c r="O1926" s="15" t="str">
        <f>IFERROR(VLOOKUP(I1926,material!A:D,2,0),"")</f>
        <v/>
      </c>
    </row>
    <row r="1927">
      <c r="A1927" s="6"/>
      <c r="B1927" s="7"/>
      <c r="C1927" s="8" t="str">
        <f t="array" ref="C1927">IFERROR(INDEX(atlas!H:H,MATCH(A1927,atlas!C:C,0)),"")</f>
        <v/>
      </c>
      <c r="D1927" s="8" t="str">
        <f t="array" ref="D1927">IFERROR(INDEX(atlas!D:D,MATCH(A1927,atlas!C:C,0)),"")</f>
        <v/>
      </c>
      <c r="E1927" s="8" t="str">
        <f t="array" ref="E1927">IFERROR(INDEX(atlas!F:F,MATCH(A1927,atlas!C:C,0)),"")</f>
        <v/>
      </c>
      <c r="F1927" s="9"/>
      <c r="G1927" s="10"/>
      <c r="H1927" s="11"/>
      <c r="I1927" s="12" t="str">
        <f t="array" ref="I1927">IFERROR(INDEX(atlas!B:B,MATCH(A1927,atlas!C:C,0)),"")</f>
        <v/>
      </c>
      <c r="J1927" s="8" t="str">
        <f>IFERROR(VLOOKUP(F1927,tecnica!A:B,2,0),"")</f>
        <v/>
      </c>
      <c r="K1927" s="8" t="str">
        <f>IFERROR(VLOOKUP(J1927,tecnica!B:C,2,0),"")</f>
        <v/>
      </c>
      <c r="L1927" s="13"/>
      <c r="M1927" s="14" t="str">
        <f>IFERROR(VLOOKUP(I1927,material!A:D,4,0),"")</f>
        <v/>
      </c>
      <c r="N1927" s="14" t="str">
        <f t="shared" si="1"/>
        <v/>
      </c>
      <c r="O1927" s="15" t="str">
        <f>IFERROR(VLOOKUP(I1927,material!A:D,2,0),"")</f>
        <v/>
      </c>
    </row>
    <row r="1928">
      <c r="A1928" s="6"/>
      <c r="B1928" s="7"/>
      <c r="C1928" s="8" t="str">
        <f t="array" ref="C1928">IFERROR(INDEX(atlas!H:H,MATCH(A1928,atlas!C:C,0)),"")</f>
        <v/>
      </c>
      <c r="D1928" s="8" t="str">
        <f t="array" ref="D1928">IFERROR(INDEX(atlas!D:D,MATCH(A1928,atlas!C:C,0)),"")</f>
        <v/>
      </c>
      <c r="E1928" s="8" t="str">
        <f t="array" ref="E1928">IFERROR(INDEX(atlas!F:F,MATCH(A1928,atlas!C:C,0)),"")</f>
        <v/>
      </c>
      <c r="F1928" s="9"/>
      <c r="G1928" s="10"/>
      <c r="H1928" s="11"/>
      <c r="I1928" s="12" t="str">
        <f t="array" ref="I1928">IFERROR(INDEX(atlas!B:B,MATCH(A1928,atlas!C:C,0)),"")</f>
        <v/>
      </c>
      <c r="J1928" s="8" t="str">
        <f>IFERROR(VLOOKUP(F1928,tecnica!A:B,2,0),"")</f>
        <v/>
      </c>
      <c r="K1928" s="8" t="str">
        <f>IFERROR(VLOOKUP(J1928,tecnica!B:C,2,0),"")</f>
        <v/>
      </c>
      <c r="L1928" s="13"/>
      <c r="M1928" s="14" t="str">
        <f>IFERROR(VLOOKUP(I1928,material!A:D,4,0),"")</f>
        <v/>
      </c>
      <c r="N1928" s="14" t="str">
        <f t="shared" si="1"/>
        <v/>
      </c>
      <c r="O1928" s="15" t="str">
        <f>IFERROR(VLOOKUP(I1928,material!A:D,2,0),"")</f>
        <v/>
      </c>
    </row>
    <row r="1929">
      <c r="A1929" s="6"/>
      <c r="B1929" s="7"/>
      <c r="C1929" s="8" t="str">
        <f t="array" ref="C1929">IFERROR(INDEX(atlas!H:H,MATCH(A1929,atlas!C:C,0)),"")</f>
        <v/>
      </c>
      <c r="D1929" s="8" t="str">
        <f t="array" ref="D1929">IFERROR(INDEX(atlas!D:D,MATCH(A1929,atlas!C:C,0)),"")</f>
        <v/>
      </c>
      <c r="E1929" s="8" t="str">
        <f t="array" ref="E1929">IFERROR(INDEX(atlas!F:F,MATCH(A1929,atlas!C:C,0)),"")</f>
        <v/>
      </c>
      <c r="F1929" s="9"/>
      <c r="G1929" s="10"/>
      <c r="H1929" s="11"/>
      <c r="I1929" s="12" t="str">
        <f t="array" ref="I1929">IFERROR(INDEX(atlas!B:B,MATCH(A1929,atlas!C:C,0)),"")</f>
        <v/>
      </c>
      <c r="J1929" s="8" t="str">
        <f>IFERROR(VLOOKUP(F1929,tecnica!A:B,2,0),"")</f>
        <v/>
      </c>
      <c r="K1929" s="8" t="str">
        <f>IFERROR(VLOOKUP(J1929,tecnica!B:C,2,0),"")</f>
        <v/>
      </c>
      <c r="L1929" s="13"/>
      <c r="M1929" s="14" t="str">
        <f>IFERROR(VLOOKUP(I1929,material!A:D,4,0),"")</f>
        <v/>
      </c>
      <c r="N1929" s="14" t="str">
        <f t="shared" si="1"/>
        <v/>
      </c>
      <c r="O1929" s="15" t="str">
        <f>IFERROR(VLOOKUP(I1929,material!A:D,2,0),"")</f>
        <v/>
      </c>
    </row>
    <row r="1930">
      <c r="A1930" s="6"/>
      <c r="B1930" s="7"/>
      <c r="C1930" s="8" t="str">
        <f t="array" ref="C1930">IFERROR(INDEX(atlas!H:H,MATCH(A1930,atlas!C:C,0)),"")</f>
        <v/>
      </c>
      <c r="D1930" s="8" t="str">
        <f t="array" ref="D1930">IFERROR(INDEX(atlas!D:D,MATCH(A1930,atlas!C:C,0)),"")</f>
        <v/>
      </c>
      <c r="E1930" s="8" t="str">
        <f t="array" ref="E1930">IFERROR(INDEX(atlas!F:F,MATCH(A1930,atlas!C:C,0)),"")</f>
        <v/>
      </c>
      <c r="F1930" s="9"/>
      <c r="G1930" s="10"/>
      <c r="H1930" s="11"/>
      <c r="I1930" s="12" t="str">
        <f t="array" ref="I1930">IFERROR(INDEX(atlas!B:B,MATCH(A1930,atlas!C:C,0)),"")</f>
        <v/>
      </c>
      <c r="J1930" s="8" t="str">
        <f>IFERROR(VLOOKUP(F1930,tecnica!A:B,2,0),"")</f>
        <v/>
      </c>
      <c r="K1930" s="8" t="str">
        <f>IFERROR(VLOOKUP(J1930,tecnica!B:C,2,0),"")</f>
        <v/>
      </c>
      <c r="L1930" s="13"/>
      <c r="M1930" s="14" t="str">
        <f>IFERROR(VLOOKUP(I1930,material!A:D,4,0),"")</f>
        <v/>
      </c>
      <c r="N1930" s="14" t="str">
        <f t="shared" si="1"/>
        <v/>
      </c>
      <c r="O1930" s="15" t="str">
        <f>IFERROR(VLOOKUP(I1930,material!A:D,2,0),"")</f>
        <v/>
      </c>
    </row>
    <row r="1931">
      <c r="A1931" s="6"/>
      <c r="B1931" s="7"/>
      <c r="C1931" s="8" t="str">
        <f t="array" ref="C1931">IFERROR(INDEX(atlas!H:H,MATCH(A1931,atlas!C:C,0)),"")</f>
        <v/>
      </c>
      <c r="D1931" s="8" t="str">
        <f t="array" ref="D1931">IFERROR(INDEX(atlas!D:D,MATCH(A1931,atlas!C:C,0)),"")</f>
        <v/>
      </c>
      <c r="E1931" s="8" t="str">
        <f t="array" ref="E1931">IFERROR(INDEX(atlas!F:F,MATCH(A1931,atlas!C:C,0)),"")</f>
        <v/>
      </c>
      <c r="F1931" s="9"/>
      <c r="G1931" s="10"/>
      <c r="H1931" s="11"/>
      <c r="I1931" s="12" t="str">
        <f t="array" ref="I1931">IFERROR(INDEX(atlas!B:B,MATCH(A1931,atlas!C:C,0)),"")</f>
        <v/>
      </c>
      <c r="J1931" s="8" t="str">
        <f>IFERROR(VLOOKUP(F1931,tecnica!A:B,2,0),"")</f>
        <v/>
      </c>
      <c r="K1931" s="8" t="str">
        <f>IFERROR(VLOOKUP(J1931,tecnica!B:C,2,0),"")</f>
        <v/>
      </c>
      <c r="L1931" s="13"/>
      <c r="M1931" s="14" t="str">
        <f>IFERROR(VLOOKUP(I1931,material!A:D,4,0),"")</f>
        <v/>
      </c>
      <c r="N1931" s="14" t="str">
        <f t="shared" si="1"/>
        <v/>
      </c>
      <c r="O1931" s="15" t="str">
        <f>IFERROR(VLOOKUP(I1931,material!A:D,2,0),"")</f>
        <v/>
      </c>
    </row>
    <row r="1932">
      <c r="A1932" s="6"/>
      <c r="B1932" s="7"/>
      <c r="C1932" s="8" t="str">
        <f t="array" ref="C1932">IFERROR(INDEX(atlas!H:H,MATCH(A1932,atlas!C:C,0)),"")</f>
        <v/>
      </c>
      <c r="D1932" s="8" t="str">
        <f t="array" ref="D1932">IFERROR(INDEX(atlas!D:D,MATCH(A1932,atlas!C:C,0)),"")</f>
        <v/>
      </c>
      <c r="E1932" s="8" t="str">
        <f t="array" ref="E1932">IFERROR(INDEX(atlas!F:F,MATCH(A1932,atlas!C:C,0)),"")</f>
        <v/>
      </c>
      <c r="F1932" s="9"/>
      <c r="G1932" s="10"/>
      <c r="H1932" s="11"/>
      <c r="I1932" s="12" t="str">
        <f t="array" ref="I1932">IFERROR(INDEX(atlas!B:B,MATCH(A1932,atlas!C:C,0)),"")</f>
        <v/>
      </c>
      <c r="J1932" s="8" t="str">
        <f>IFERROR(VLOOKUP(F1932,tecnica!A:B,2,0),"")</f>
        <v/>
      </c>
      <c r="K1932" s="8" t="str">
        <f>IFERROR(VLOOKUP(J1932,tecnica!B:C,2,0),"")</f>
        <v/>
      </c>
      <c r="L1932" s="13"/>
      <c r="M1932" s="14" t="str">
        <f>IFERROR(VLOOKUP(I1932,material!A:D,4,0),"")</f>
        <v/>
      </c>
      <c r="N1932" s="14" t="str">
        <f t="shared" si="1"/>
        <v/>
      </c>
      <c r="O1932" s="15" t="str">
        <f>IFERROR(VLOOKUP(I1932,material!A:D,2,0),"")</f>
        <v/>
      </c>
    </row>
    <row r="1933">
      <c r="A1933" s="6"/>
      <c r="B1933" s="7"/>
      <c r="C1933" s="8" t="str">
        <f t="array" ref="C1933">IFERROR(INDEX(atlas!H:H,MATCH(A1933,atlas!C:C,0)),"")</f>
        <v/>
      </c>
      <c r="D1933" s="8" t="str">
        <f t="array" ref="D1933">IFERROR(INDEX(atlas!D:D,MATCH(A1933,atlas!C:C,0)),"")</f>
        <v/>
      </c>
      <c r="E1933" s="8" t="str">
        <f t="array" ref="E1933">IFERROR(INDEX(atlas!F:F,MATCH(A1933,atlas!C:C,0)),"")</f>
        <v/>
      </c>
      <c r="F1933" s="9"/>
      <c r="G1933" s="10"/>
      <c r="H1933" s="11"/>
      <c r="I1933" s="12" t="str">
        <f t="array" ref="I1933">IFERROR(INDEX(atlas!B:B,MATCH(A1933,atlas!C:C,0)),"")</f>
        <v/>
      </c>
      <c r="J1933" s="8" t="str">
        <f>IFERROR(VLOOKUP(F1933,tecnica!A:B,2,0),"")</f>
        <v/>
      </c>
      <c r="K1933" s="8" t="str">
        <f>IFERROR(VLOOKUP(J1933,tecnica!B:C,2,0),"")</f>
        <v/>
      </c>
      <c r="L1933" s="13"/>
      <c r="M1933" s="14" t="str">
        <f>IFERROR(VLOOKUP(I1933,material!A:D,4,0),"")</f>
        <v/>
      </c>
      <c r="N1933" s="14" t="str">
        <f t="shared" si="1"/>
        <v/>
      </c>
      <c r="O1933" s="15" t="str">
        <f>IFERROR(VLOOKUP(I1933,material!A:D,2,0),"")</f>
        <v/>
      </c>
    </row>
    <row r="1934">
      <c r="A1934" s="6"/>
      <c r="B1934" s="7"/>
      <c r="C1934" s="8" t="str">
        <f t="array" ref="C1934">IFERROR(INDEX(atlas!H:H,MATCH(A1934,atlas!C:C,0)),"")</f>
        <v/>
      </c>
      <c r="D1934" s="8" t="str">
        <f t="array" ref="D1934">IFERROR(INDEX(atlas!D:D,MATCH(A1934,atlas!C:C,0)),"")</f>
        <v/>
      </c>
      <c r="E1934" s="8" t="str">
        <f t="array" ref="E1934">IFERROR(INDEX(atlas!F:F,MATCH(A1934,atlas!C:C,0)),"")</f>
        <v/>
      </c>
      <c r="F1934" s="9"/>
      <c r="G1934" s="10"/>
      <c r="H1934" s="11"/>
      <c r="I1934" s="12" t="str">
        <f t="array" ref="I1934">IFERROR(INDEX(atlas!B:B,MATCH(A1934,atlas!C:C,0)),"")</f>
        <v/>
      </c>
      <c r="J1934" s="8" t="str">
        <f>IFERROR(VLOOKUP(F1934,tecnica!A:B,2,0),"")</f>
        <v/>
      </c>
      <c r="K1934" s="8" t="str">
        <f>IFERROR(VLOOKUP(J1934,tecnica!B:C,2,0),"")</f>
        <v/>
      </c>
      <c r="L1934" s="13"/>
      <c r="M1934" s="14" t="str">
        <f>IFERROR(VLOOKUP(I1934,material!A:D,4,0),"")</f>
        <v/>
      </c>
      <c r="N1934" s="14" t="str">
        <f t="shared" si="1"/>
        <v/>
      </c>
      <c r="O1934" s="15" t="str">
        <f>IFERROR(VLOOKUP(I1934,material!A:D,2,0),"")</f>
        <v/>
      </c>
    </row>
    <row r="1935">
      <c r="A1935" s="6"/>
      <c r="B1935" s="7"/>
      <c r="C1935" s="8" t="str">
        <f t="array" ref="C1935">IFERROR(INDEX(atlas!H:H,MATCH(A1935,atlas!C:C,0)),"")</f>
        <v/>
      </c>
      <c r="D1935" s="8" t="str">
        <f t="array" ref="D1935">IFERROR(INDEX(atlas!D:D,MATCH(A1935,atlas!C:C,0)),"")</f>
        <v/>
      </c>
      <c r="E1935" s="8" t="str">
        <f t="array" ref="E1935">IFERROR(INDEX(atlas!F:F,MATCH(A1935,atlas!C:C,0)),"")</f>
        <v/>
      </c>
      <c r="F1935" s="9"/>
      <c r="G1935" s="10"/>
      <c r="H1935" s="11"/>
      <c r="I1935" s="12" t="str">
        <f t="array" ref="I1935">IFERROR(INDEX(atlas!B:B,MATCH(A1935,atlas!C:C,0)),"")</f>
        <v/>
      </c>
      <c r="J1935" s="8" t="str">
        <f>IFERROR(VLOOKUP(F1935,tecnica!A:B,2,0),"")</f>
        <v/>
      </c>
      <c r="K1935" s="8" t="str">
        <f>IFERROR(VLOOKUP(J1935,tecnica!B:C,2,0),"")</f>
        <v/>
      </c>
      <c r="L1935" s="13"/>
      <c r="M1935" s="14" t="str">
        <f>IFERROR(VLOOKUP(I1935,material!A:D,4,0),"")</f>
        <v/>
      </c>
      <c r="N1935" s="14" t="str">
        <f t="shared" si="1"/>
        <v/>
      </c>
      <c r="O1935" s="15" t="str">
        <f>IFERROR(VLOOKUP(I1935,material!A:D,2,0),"")</f>
        <v/>
      </c>
    </row>
    <row r="1936">
      <c r="A1936" s="6"/>
      <c r="B1936" s="7"/>
      <c r="C1936" s="8" t="str">
        <f t="array" ref="C1936">IFERROR(INDEX(atlas!H:H,MATCH(A1936,atlas!C:C,0)),"")</f>
        <v/>
      </c>
      <c r="D1936" s="8" t="str">
        <f t="array" ref="D1936">IFERROR(INDEX(atlas!D:D,MATCH(A1936,atlas!C:C,0)),"")</f>
        <v/>
      </c>
      <c r="E1936" s="8" t="str">
        <f t="array" ref="E1936">IFERROR(INDEX(atlas!F:F,MATCH(A1936,atlas!C:C,0)),"")</f>
        <v/>
      </c>
      <c r="F1936" s="9"/>
      <c r="G1936" s="10"/>
      <c r="H1936" s="11"/>
      <c r="I1936" s="12" t="str">
        <f t="array" ref="I1936">IFERROR(INDEX(atlas!B:B,MATCH(A1936,atlas!C:C,0)),"")</f>
        <v/>
      </c>
      <c r="J1936" s="8" t="str">
        <f>IFERROR(VLOOKUP(F1936,tecnica!A:B,2,0),"")</f>
        <v/>
      </c>
      <c r="K1936" s="8" t="str">
        <f>IFERROR(VLOOKUP(J1936,tecnica!B:C,2,0),"")</f>
        <v/>
      </c>
      <c r="L1936" s="13"/>
      <c r="M1936" s="14" t="str">
        <f>IFERROR(VLOOKUP(I1936,material!A:D,4,0),"")</f>
        <v/>
      </c>
      <c r="N1936" s="14" t="str">
        <f t="shared" si="1"/>
        <v/>
      </c>
      <c r="O1936" s="15" t="str">
        <f>IFERROR(VLOOKUP(I1936,material!A:D,2,0),"")</f>
        <v/>
      </c>
    </row>
    <row r="1937">
      <c r="A1937" s="6"/>
      <c r="B1937" s="7"/>
      <c r="C1937" s="8" t="str">
        <f t="array" ref="C1937">IFERROR(INDEX(atlas!H:H,MATCH(A1937,atlas!C:C,0)),"")</f>
        <v/>
      </c>
      <c r="D1937" s="8" t="str">
        <f t="array" ref="D1937">IFERROR(INDEX(atlas!D:D,MATCH(A1937,atlas!C:C,0)),"")</f>
        <v/>
      </c>
      <c r="E1937" s="8" t="str">
        <f t="array" ref="E1937">IFERROR(INDEX(atlas!F:F,MATCH(A1937,atlas!C:C,0)),"")</f>
        <v/>
      </c>
      <c r="F1937" s="9"/>
      <c r="G1937" s="10"/>
      <c r="H1937" s="11"/>
      <c r="I1937" s="12" t="str">
        <f t="array" ref="I1937">IFERROR(INDEX(atlas!B:B,MATCH(A1937,atlas!C:C,0)),"")</f>
        <v/>
      </c>
      <c r="J1937" s="8" t="str">
        <f>IFERROR(VLOOKUP(F1937,tecnica!A:B,2,0),"")</f>
        <v/>
      </c>
      <c r="K1937" s="8" t="str">
        <f>IFERROR(VLOOKUP(J1937,tecnica!B:C,2,0),"")</f>
        <v/>
      </c>
      <c r="L1937" s="13"/>
      <c r="M1937" s="14" t="str">
        <f>IFERROR(VLOOKUP(I1937,material!A:D,4,0),"")</f>
        <v/>
      </c>
      <c r="N1937" s="14" t="str">
        <f t="shared" si="1"/>
        <v/>
      </c>
      <c r="O1937" s="15" t="str">
        <f>IFERROR(VLOOKUP(I1937,material!A:D,2,0),"")</f>
        <v/>
      </c>
    </row>
    <row r="1938">
      <c r="A1938" s="6"/>
      <c r="B1938" s="7"/>
      <c r="C1938" s="8" t="str">
        <f t="array" ref="C1938">IFERROR(INDEX(atlas!H:H,MATCH(A1938,atlas!C:C,0)),"")</f>
        <v/>
      </c>
      <c r="D1938" s="8" t="str">
        <f t="array" ref="D1938">IFERROR(INDEX(atlas!D:D,MATCH(A1938,atlas!C:C,0)),"")</f>
        <v/>
      </c>
      <c r="E1938" s="8" t="str">
        <f t="array" ref="E1938">IFERROR(INDEX(atlas!F:F,MATCH(A1938,atlas!C:C,0)),"")</f>
        <v/>
      </c>
      <c r="F1938" s="9"/>
      <c r="G1938" s="10"/>
      <c r="H1938" s="11"/>
      <c r="I1938" s="12" t="str">
        <f t="array" ref="I1938">IFERROR(INDEX(atlas!B:B,MATCH(A1938,atlas!C:C,0)),"")</f>
        <v/>
      </c>
      <c r="J1938" s="8" t="str">
        <f>IFERROR(VLOOKUP(F1938,tecnica!A:B,2,0),"")</f>
        <v/>
      </c>
      <c r="K1938" s="8" t="str">
        <f>IFERROR(VLOOKUP(J1938,tecnica!B:C,2,0),"")</f>
        <v/>
      </c>
      <c r="L1938" s="13"/>
      <c r="M1938" s="14" t="str">
        <f>IFERROR(VLOOKUP(I1938,material!A:D,4,0),"")</f>
        <v/>
      </c>
      <c r="N1938" s="14" t="str">
        <f t="shared" si="1"/>
        <v/>
      </c>
      <c r="O1938" s="15" t="str">
        <f>IFERROR(VLOOKUP(I1938,material!A:D,2,0),"")</f>
        <v/>
      </c>
    </row>
    <row r="1939">
      <c r="A1939" s="6"/>
      <c r="B1939" s="7"/>
      <c r="C1939" s="8" t="str">
        <f t="array" ref="C1939">IFERROR(INDEX(atlas!H:H,MATCH(A1939,atlas!C:C,0)),"")</f>
        <v/>
      </c>
      <c r="D1939" s="8" t="str">
        <f t="array" ref="D1939">IFERROR(INDEX(atlas!D:D,MATCH(A1939,atlas!C:C,0)),"")</f>
        <v/>
      </c>
      <c r="E1939" s="8" t="str">
        <f t="array" ref="E1939">IFERROR(INDEX(atlas!F:F,MATCH(A1939,atlas!C:C,0)),"")</f>
        <v/>
      </c>
      <c r="F1939" s="9"/>
      <c r="G1939" s="10"/>
      <c r="H1939" s="11"/>
      <c r="I1939" s="12" t="str">
        <f t="array" ref="I1939">IFERROR(INDEX(atlas!B:B,MATCH(A1939,atlas!C:C,0)),"")</f>
        <v/>
      </c>
      <c r="J1939" s="8" t="str">
        <f>IFERROR(VLOOKUP(F1939,tecnica!A:B,2,0),"")</f>
        <v/>
      </c>
      <c r="K1939" s="8" t="str">
        <f>IFERROR(VLOOKUP(J1939,tecnica!B:C,2,0),"")</f>
        <v/>
      </c>
      <c r="L1939" s="13"/>
      <c r="M1939" s="14" t="str">
        <f>IFERROR(VLOOKUP(I1939,material!A:D,4,0),"")</f>
        <v/>
      </c>
      <c r="N1939" s="14" t="str">
        <f t="shared" si="1"/>
        <v/>
      </c>
      <c r="O1939" s="15" t="str">
        <f>IFERROR(VLOOKUP(I1939,material!A:D,2,0),"")</f>
        <v/>
      </c>
    </row>
    <row r="1940">
      <c r="A1940" s="6"/>
      <c r="B1940" s="7"/>
      <c r="C1940" s="8" t="str">
        <f t="array" ref="C1940">IFERROR(INDEX(atlas!H:H,MATCH(A1940,atlas!C:C,0)),"")</f>
        <v/>
      </c>
      <c r="D1940" s="8" t="str">
        <f t="array" ref="D1940">IFERROR(INDEX(atlas!D:D,MATCH(A1940,atlas!C:C,0)),"")</f>
        <v/>
      </c>
      <c r="E1940" s="8" t="str">
        <f t="array" ref="E1940">IFERROR(INDEX(atlas!F:F,MATCH(A1940,atlas!C:C,0)),"")</f>
        <v/>
      </c>
      <c r="F1940" s="9"/>
      <c r="G1940" s="10"/>
      <c r="H1940" s="11"/>
      <c r="I1940" s="12" t="str">
        <f t="array" ref="I1940">IFERROR(INDEX(atlas!B:B,MATCH(A1940,atlas!C:C,0)),"")</f>
        <v/>
      </c>
      <c r="J1940" s="8" t="str">
        <f>IFERROR(VLOOKUP(F1940,tecnica!A:B,2,0),"")</f>
        <v/>
      </c>
      <c r="K1940" s="8" t="str">
        <f>IFERROR(VLOOKUP(J1940,tecnica!B:C,2,0),"")</f>
        <v/>
      </c>
      <c r="L1940" s="13"/>
      <c r="M1940" s="14" t="str">
        <f>IFERROR(VLOOKUP(I1940,material!A:D,4,0),"")</f>
        <v/>
      </c>
      <c r="N1940" s="14" t="str">
        <f t="shared" si="1"/>
        <v/>
      </c>
      <c r="O1940" s="15" t="str">
        <f>IFERROR(VLOOKUP(I1940,material!A:D,2,0),"")</f>
        <v/>
      </c>
    </row>
    <row r="1941">
      <c r="A1941" s="6"/>
      <c r="B1941" s="7"/>
      <c r="C1941" s="8" t="str">
        <f t="array" ref="C1941">IFERROR(INDEX(atlas!H:H,MATCH(A1941,atlas!C:C,0)),"")</f>
        <v/>
      </c>
      <c r="D1941" s="8" t="str">
        <f t="array" ref="D1941">IFERROR(INDEX(atlas!D:D,MATCH(A1941,atlas!C:C,0)),"")</f>
        <v/>
      </c>
      <c r="E1941" s="8" t="str">
        <f t="array" ref="E1941">IFERROR(INDEX(atlas!F:F,MATCH(A1941,atlas!C:C,0)),"")</f>
        <v/>
      </c>
      <c r="F1941" s="9"/>
      <c r="G1941" s="10"/>
      <c r="H1941" s="11"/>
      <c r="I1941" s="12" t="str">
        <f t="array" ref="I1941">IFERROR(INDEX(atlas!B:B,MATCH(A1941,atlas!C:C,0)),"")</f>
        <v/>
      </c>
      <c r="J1941" s="8" t="str">
        <f>IFERROR(VLOOKUP(F1941,tecnica!A:B,2,0),"")</f>
        <v/>
      </c>
      <c r="K1941" s="8" t="str">
        <f>IFERROR(VLOOKUP(J1941,tecnica!B:C,2,0),"")</f>
        <v/>
      </c>
      <c r="L1941" s="13"/>
      <c r="M1941" s="14" t="str">
        <f>IFERROR(VLOOKUP(I1941,material!A:D,4,0),"")</f>
        <v/>
      </c>
      <c r="N1941" s="14" t="str">
        <f t="shared" si="1"/>
        <v/>
      </c>
      <c r="O1941" s="15" t="str">
        <f>IFERROR(VLOOKUP(I1941,material!A:D,2,0),"")</f>
        <v/>
      </c>
    </row>
    <row r="1942">
      <c r="A1942" s="6"/>
      <c r="B1942" s="7"/>
      <c r="C1942" s="8" t="str">
        <f t="array" ref="C1942">IFERROR(INDEX(atlas!H:H,MATCH(A1942,atlas!C:C,0)),"")</f>
        <v/>
      </c>
      <c r="D1942" s="8" t="str">
        <f t="array" ref="D1942">IFERROR(INDEX(atlas!D:D,MATCH(A1942,atlas!C:C,0)),"")</f>
        <v/>
      </c>
      <c r="E1942" s="8" t="str">
        <f t="array" ref="E1942">IFERROR(INDEX(atlas!F:F,MATCH(A1942,atlas!C:C,0)),"")</f>
        <v/>
      </c>
      <c r="F1942" s="9"/>
      <c r="G1942" s="10"/>
      <c r="H1942" s="11"/>
      <c r="I1942" s="12" t="str">
        <f t="array" ref="I1942">IFERROR(INDEX(atlas!B:B,MATCH(A1942,atlas!C:C,0)),"")</f>
        <v/>
      </c>
      <c r="J1942" s="8" t="str">
        <f>IFERROR(VLOOKUP(F1942,tecnica!A:B,2,0),"")</f>
        <v/>
      </c>
      <c r="K1942" s="8" t="str">
        <f>IFERROR(VLOOKUP(J1942,tecnica!B:C,2,0),"")</f>
        <v/>
      </c>
      <c r="L1942" s="13"/>
      <c r="M1942" s="14" t="str">
        <f>IFERROR(VLOOKUP(I1942,material!A:D,4,0),"")</f>
        <v/>
      </c>
      <c r="N1942" s="14" t="str">
        <f t="shared" si="1"/>
        <v/>
      </c>
      <c r="O1942" s="15" t="str">
        <f>IFERROR(VLOOKUP(I1942,material!A:D,2,0),"")</f>
        <v/>
      </c>
    </row>
    <row r="1943">
      <c r="A1943" s="6"/>
      <c r="B1943" s="7"/>
      <c r="C1943" s="8" t="str">
        <f t="array" ref="C1943">IFERROR(INDEX(atlas!H:H,MATCH(A1943,atlas!C:C,0)),"")</f>
        <v/>
      </c>
      <c r="D1943" s="8" t="str">
        <f t="array" ref="D1943">IFERROR(INDEX(atlas!D:D,MATCH(A1943,atlas!C:C,0)),"")</f>
        <v/>
      </c>
      <c r="E1943" s="8" t="str">
        <f t="array" ref="E1943">IFERROR(INDEX(atlas!F:F,MATCH(A1943,atlas!C:C,0)),"")</f>
        <v/>
      </c>
      <c r="F1943" s="9"/>
      <c r="G1943" s="10"/>
      <c r="H1943" s="11"/>
      <c r="I1943" s="12" t="str">
        <f t="array" ref="I1943">IFERROR(INDEX(atlas!B:B,MATCH(A1943,atlas!C:C,0)),"")</f>
        <v/>
      </c>
      <c r="J1943" s="8" t="str">
        <f>IFERROR(VLOOKUP(F1943,tecnica!A:B,2,0),"")</f>
        <v/>
      </c>
      <c r="K1943" s="8" t="str">
        <f>IFERROR(VLOOKUP(J1943,tecnica!B:C,2,0),"")</f>
        <v/>
      </c>
      <c r="L1943" s="13"/>
      <c r="M1943" s="14" t="str">
        <f>IFERROR(VLOOKUP(I1943,material!A:D,4,0),"")</f>
        <v/>
      </c>
      <c r="N1943" s="14" t="str">
        <f t="shared" si="1"/>
        <v/>
      </c>
      <c r="O1943" s="15" t="str">
        <f>IFERROR(VLOOKUP(I1943,material!A:D,2,0),"")</f>
        <v/>
      </c>
    </row>
    <row r="1944">
      <c r="A1944" s="6"/>
      <c r="B1944" s="7"/>
      <c r="C1944" s="8" t="str">
        <f t="array" ref="C1944">IFERROR(INDEX(atlas!H:H,MATCH(A1944,atlas!C:C,0)),"")</f>
        <v/>
      </c>
      <c r="D1944" s="8" t="str">
        <f t="array" ref="D1944">IFERROR(INDEX(atlas!D:D,MATCH(A1944,atlas!C:C,0)),"")</f>
        <v/>
      </c>
      <c r="E1944" s="8" t="str">
        <f t="array" ref="E1944">IFERROR(INDEX(atlas!F:F,MATCH(A1944,atlas!C:C,0)),"")</f>
        <v/>
      </c>
      <c r="F1944" s="9"/>
      <c r="G1944" s="10"/>
      <c r="H1944" s="11"/>
      <c r="I1944" s="12" t="str">
        <f t="array" ref="I1944">IFERROR(INDEX(atlas!B:B,MATCH(A1944,atlas!C:C,0)),"")</f>
        <v/>
      </c>
      <c r="J1944" s="8" t="str">
        <f>IFERROR(VLOOKUP(F1944,tecnica!A:B,2,0),"")</f>
        <v/>
      </c>
      <c r="K1944" s="8" t="str">
        <f>IFERROR(VLOOKUP(J1944,tecnica!B:C,2,0),"")</f>
        <v/>
      </c>
      <c r="L1944" s="13"/>
      <c r="M1944" s="14" t="str">
        <f>IFERROR(VLOOKUP(I1944,material!A:D,4,0),"")</f>
        <v/>
      </c>
      <c r="N1944" s="14" t="str">
        <f t="shared" si="1"/>
        <v/>
      </c>
      <c r="O1944" s="15" t="str">
        <f>IFERROR(VLOOKUP(I1944,material!A:D,2,0),"")</f>
        <v/>
      </c>
    </row>
    <row r="1945">
      <c r="A1945" s="6"/>
      <c r="B1945" s="7"/>
      <c r="C1945" s="8" t="str">
        <f t="array" ref="C1945">IFERROR(INDEX(atlas!H:H,MATCH(A1945,atlas!C:C,0)),"")</f>
        <v/>
      </c>
      <c r="D1945" s="8" t="str">
        <f t="array" ref="D1945">IFERROR(INDEX(atlas!D:D,MATCH(A1945,atlas!C:C,0)),"")</f>
        <v/>
      </c>
      <c r="E1945" s="8" t="str">
        <f t="array" ref="E1945">IFERROR(INDEX(atlas!F:F,MATCH(A1945,atlas!C:C,0)),"")</f>
        <v/>
      </c>
      <c r="F1945" s="9"/>
      <c r="G1945" s="10"/>
      <c r="H1945" s="11"/>
      <c r="I1945" s="12" t="str">
        <f t="array" ref="I1945">IFERROR(INDEX(atlas!B:B,MATCH(A1945,atlas!C:C,0)),"")</f>
        <v/>
      </c>
      <c r="J1945" s="8" t="str">
        <f>IFERROR(VLOOKUP(F1945,tecnica!A:B,2,0),"")</f>
        <v/>
      </c>
      <c r="K1945" s="8" t="str">
        <f>IFERROR(VLOOKUP(J1945,tecnica!B:C,2,0),"")</f>
        <v/>
      </c>
      <c r="L1945" s="13"/>
      <c r="M1945" s="14" t="str">
        <f>IFERROR(VLOOKUP(I1945,material!A:D,4,0),"")</f>
        <v/>
      </c>
      <c r="N1945" s="14" t="str">
        <f t="shared" si="1"/>
        <v/>
      </c>
      <c r="O1945" s="15" t="str">
        <f>IFERROR(VLOOKUP(I1945,material!A:D,2,0),"")</f>
        <v/>
      </c>
    </row>
    <row r="1946">
      <c r="A1946" s="6"/>
      <c r="B1946" s="7"/>
      <c r="C1946" s="8" t="str">
        <f t="array" ref="C1946">IFERROR(INDEX(atlas!H:H,MATCH(A1946,atlas!C:C,0)),"")</f>
        <v/>
      </c>
      <c r="D1946" s="8" t="str">
        <f t="array" ref="D1946">IFERROR(INDEX(atlas!D:D,MATCH(A1946,atlas!C:C,0)),"")</f>
        <v/>
      </c>
      <c r="E1946" s="8" t="str">
        <f t="array" ref="E1946">IFERROR(INDEX(atlas!F:F,MATCH(A1946,atlas!C:C,0)),"")</f>
        <v/>
      </c>
      <c r="F1946" s="9"/>
      <c r="G1946" s="10"/>
      <c r="H1946" s="11"/>
      <c r="I1946" s="12" t="str">
        <f t="array" ref="I1946">IFERROR(INDEX(atlas!B:B,MATCH(A1946,atlas!C:C,0)),"")</f>
        <v/>
      </c>
      <c r="J1946" s="8" t="str">
        <f>IFERROR(VLOOKUP(F1946,tecnica!A:B,2,0),"")</f>
        <v/>
      </c>
      <c r="K1946" s="8" t="str">
        <f>IFERROR(VLOOKUP(J1946,tecnica!B:C,2,0),"")</f>
        <v/>
      </c>
      <c r="L1946" s="13"/>
      <c r="M1946" s="14" t="str">
        <f>IFERROR(VLOOKUP(I1946,material!A:D,4,0),"")</f>
        <v/>
      </c>
      <c r="N1946" s="14" t="str">
        <f t="shared" si="1"/>
        <v/>
      </c>
      <c r="O1946" s="15" t="str">
        <f>IFERROR(VLOOKUP(I1946,material!A:D,2,0),"")</f>
        <v/>
      </c>
    </row>
    <row r="1947">
      <c r="A1947" s="6"/>
      <c r="B1947" s="7"/>
      <c r="C1947" s="8" t="str">
        <f t="array" ref="C1947">IFERROR(INDEX(atlas!H:H,MATCH(A1947,atlas!C:C,0)),"")</f>
        <v/>
      </c>
      <c r="D1947" s="8" t="str">
        <f t="array" ref="D1947">IFERROR(INDEX(atlas!D:D,MATCH(A1947,atlas!C:C,0)),"")</f>
        <v/>
      </c>
      <c r="E1947" s="8" t="str">
        <f t="array" ref="E1947">IFERROR(INDEX(atlas!F:F,MATCH(A1947,atlas!C:C,0)),"")</f>
        <v/>
      </c>
      <c r="F1947" s="9"/>
      <c r="G1947" s="10"/>
      <c r="H1947" s="11"/>
      <c r="I1947" s="12" t="str">
        <f t="array" ref="I1947">IFERROR(INDEX(atlas!B:B,MATCH(A1947,atlas!C:C,0)),"")</f>
        <v/>
      </c>
      <c r="J1947" s="8" t="str">
        <f>IFERROR(VLOOKUP(F1947,tecnica!A:B,2,0),"")</f>
        <v/>
      </c>
      <c r="K1947" s="8" t="str">
        <f>IFERROR(VLOOKUP(J1947,tecnica!B:C,2,0),"")</f>
        <v/>
      </c>
      <c r="L1947" s="13"/>
      <c r="M1947" s="14" t="str">
        <f>IFERROR(VLOOKUP(I1947,material!A:D,4,0),"")</f>
        <v/>
      </c>
      <c r="N1947" s="14" t="str">
        <f t="shared" si="1"/>
        <v/>
      </c>
      <c r="O1947" s="15" t="str">
        <f>IFERROR(VLOOKUP(I1947,material!A:D,2,0),"")</f>
        <v/>
      </c>
    </row>
    <row r="1948">
      <c r="A1948" s="6"/>
      <c r="B1948" s="7"/>
      <c r="C1948" s="8" t="str">
        <f t="array" ref="C1948">IFERROR(INDEX(atlas!H:H,MATCH(A1948,atlas!C:C,0)),"")</f>
        <v/>
      </c>
      <c r="D1948" s="8" t="str">
        <f t="array" ref="D1948">IFERROR(INDEX(atlas!D:D,MATCH(A1948,atlas!C:C,0)),"")</f>
        <v/>
      </c>
      <c r="E1948" s="8" t="str">
        <f t="array" ref="E1948">IFERROR(INDEX(atlas!F:F,MATCH(A1948,atlas!C:C,0)),"")</f>
        <v/>
      </c>
      <c r="F1948" s="9"/>
      <c r="G1948" s="10"/>
      <c r="H1948" s="11"/>
      <c r="I1948" s="12" t="str">
        <f t="array" ref="I1948">IFERROR(INDEX(atlas!B:B,MATCH(A1948,atlas!C:C,0)),"")</f>
        <v/>
      </c>
      <c r="J1948" s="8" t="str">
        <f>IFERROR(VLOOKUP(F1948,tecnica!A:B,2,0),"")</f>
        <v/>
      </c>
      <c r="K1948" s="8" t="str">
        <f>IFERROR(VLOOKUP(J1948,tecnica!B:C,2,0),"")</f>
        <v/>
      </c>
      <c r="L1948" s="13"/>
      <c r="M1948" s="14" t="str">
        <f>IFERROR(VLOOKUP(I1948,material!A:D,4,0),"")</f>
        <v/>
      </c>
      <c r="N1948" s="14" t="str">
        <f t="shared" si="1"/>
        <v/>
      </c>
      <c r="O1948" s="15" t="str">
        <f>IFERROR(VLOOKUP(I1948,material!A:D,2,0),"")</f>
        <v/>
      </c>
    </row>
    <row r="1949">
      <c r="A1949" s="6"/>
      <c r="B1949" s="7"/>
      <c r="C1949" s="8" t="str">
        <f t="array" ref="C1949">IFERROR(INDEX(atlas!H:H,MATCH(A1949,atlas!C:C,0)),"")</f>
        <v/>
      </c>
      <c r="D1949" s="8" t="str">
        <f t="array" ref="D1949">IFERROR(INDEX(atlas!D:D,MATCH(A1949,atlas!C:C,0)),"")</f>
        <v/>
      </c>
      <c r="E1949" s="8" t="str">
        <f t="array" ref="E1949">IFERROR(INDEX(atlas!F:F,MATCH(A1949,atlas!C:C,0)),"")</f>
        <v/>
      </c>
      <c r="F1949" s="9"/>
      <c r="G1949" s="10"/>
      <c r="H1949" s="11"/>
      <c r="I1949" s="12" t="str">
        <f t="array" ref="I1949">IFERROR(INDEX(atlas!B:B,MATCH(A1949,atlas!C:C,0)),"")</f>
        <v/>
      </c>
      <c r="J1949" s="8" t="str">
        <f>IFERROR(VLOOKUP(F1949,tecnica!A:B,2,0),"")</f>
        <v/>
      </c>
      <c r="K1949" s="8" t="str">
        <f>IFERROR(VLOOKUP(J1949,tecnica!B:C,2,0),"")</f>
        <v/>
      </c>
      <c r="L1949" s="13"/>
      <c r="M1949" s="14" t="str">
        <f>IFERROR(VLOOKUP(I1949,material!A:D,4,0),"")</f>
        <v/>
      </c>
      <c r="N1949" s="14" t="str">
        <f t="shared" si="1"/>
        <v/>
      </c>
      <c r="O1949" s="15" t="str">
        <f>IFERROR(VLOOKUP(I1949,material!A:D,2,0),"")</f>
        <v/>
      </c>
    </row>
    <row r="1950">
      <c r="A1950" s="6"/>
      <c r="B1950" s="7"/>
      <c r="C1950" s="8" t="str">
        <f t="array" ref="C1950">IFERROR(INDEX(atlas!H:H,MATCH(A1950,atlas!C:C,0)),"")</f>
        <v/>
      </c>
      <c r="D1950" s="8" t="str">
        <f t="array" ref="D1950">IFERROR(INDEX(atlas!D:D,MATCH(A1950,atlas!C:C,0)),"")</f>
        <v/>
      </c>
      <c r="E1950" s="8" t="str">
        <f t="array" ref="E1950">IFERROR(INDEX(atlas!F:F,MATCH(A1950,atlas!C:C,0)),"")</f>
        <v/>
      </c>
      <c r="F1950" s="9"/>
      <c r="G1950" s="10"/>
      <c r="H1950" s="11"/>
      <c r="I1950" s="12" t="str">
        <f t="array" ref="I1950">IFERROR(INDEX(atlas!B:B,MATCH(A1950,atlas!C:C,0)),"")</f>
        <v/>
      </c>
      <c r="J1950" s="8" t="str">
        <f>IFERROR(VLOOKUP(F1950,tecnica!A:B,2,0),"")</f>
        <v/>
      </c>
      <c r="K1950" s="8" t="str">
        <f>IFERROR(VLOOKUP(J1950,tecnica!B:C,2,0),"")</f>
        <v/>
      </c>
      <c r="L1950" s="13"/>
      <c r="M1950" s="14" t="str">
        <f>IFERROR(VLOOKUP(I1950,material!A:D,4,0),"")</f>
        <v/>
      </c>
      <c r="N1950" s="14" t="str">
        <f t="shared" si="1"/>
        <v/>
      </c>
      <c r="O1950" s="15" t="str">
        <f>IFERROR(VLOOKUP(I1950,material!A:D,2,0),"")</f>
        <v/>
      </c>
    </row>
    <row r="1951">
      <c r="A1951" s="6"/>
      <c r="B1951" s="7"/>
      <c r="C1951" s="8" t="str">
        <f t="array" ref="C1951">IFERROR(INDEX(atlas!H:H,MATCH(A1951,atlas!C:C,0)),"")</f>
        <v/>
      </c>
      <c r="D1951" s="8" t="str">
        <f t="array" ref="D1951">IFERROR(INDEX(atlas!D:D,MATCH(A1951,atlas!C:C,0)),"")</f>
        <v/>
      </c>
      <c r="E1951" s="8" t="str">
        <f t="array" ref="E1951">IFERROR(INDEX(atlas!F:F,MATCH(A1951,atlas!C:C,0)),"")</f>
        <v/>
      </c>
      <c r="F1951" s="9"/>
      <c r="G1951" s="10"/>
      <c r="H1951" s="11"/>
      <c r="I1951" s="12" t="str">
        <f t="array" ref="I1951">IFERROR(INDEX(atlas!B:B,MATCH(A1951,atlas!C:C,0)),"")</f>
        <v/>
      </c>
      <c r="J1951" s="8" t="str">
        <f>IFERROR(VLOOKUP(F1951,tecnica!A:B,2,0),"")</f>
        <v/>
      </c>
      <c r="K1951" s="8" t="str">
        <f>IFERROR(VLOOKUP(J1951,tecnica!B:C,2,0),"")</f>
        <v/>
      </c>
      <c r="L1951" s="13"/>
      <c r="M1951" s="14" t="str">
        <f>IFERROR(VLOOKUP(I1951,material!A:D,4,0),"")</f>
        <v/>
      </c>
      <c r="N1951" s="14" t="str">
        <f t="shared" si="1"/>
        <v/>
      </c>
      <c r="O1951" s="15" t="str">
        <f>IFERROR(VLOOKUP(I1951,material!A:D,2,0),"")</f>
        <v/>
      </c>
    </row>
    <row r="1952">
      <c r="A1952" s="6"/>
      <c r="B1952" s="7"/>
      <c r="C1952" s="8" t="str">
        <f t="array" ref="C1952">IFERROR(INDEX(atlas!H:H,MATCH(A1952,atlas!C:C,0)),"")</f>
        <v/>
      </c>
      <c r="D1952" s="8" t="str">
        <f t="array" ref="D1952">IFERROR(INDEX(atlas!D:D,MATCH(A1952,atlas!C:C,0)),"")</f>
        <v/>
      </c>
      <c r="E1952" s="8" t="str">
        <f t="array" ref="E1952">IFERROR(INDEX(atlas!F:F,MATCH(A1952,atlas!C:C,0)),"")</f>
        <v/>
      </c>
      <c r="F1952" s="9"/>
      <c r="G1952" s="10"/>
      <c r="H1952" s="11"/>
      <c r="I1952" s="12" t="str">
        <f t="array" ref="I1952">IFERROR(INDEX(atlas!B:B,MATCH(A1952,atlas!C:C,0)),"")</f>
        <v/>
      </c>
      <c r="J1952" s="8" t="str">
        <f>IFERROR(VLOOKUP(F1952,tecnica!A:B,2,0),"")</f>
        <v/>
      </c>
      <c r="K1952" s="8" t="str">
        <f>IFERROR(VLOOKUP(J1952,tecnica!B:C,2,0),"")</f>
        <v/>
      </c>
      <c r="L1952" s="13"/>
      <c r="M1952" s="14" t="str">
        <f>IFERROR(VLOOKUP(I1952,material!A:D,4,0),"")</f>
        <v/>
      </c>
      <c r="N1952" s="14" t="str">
        <f t="shared" si="1"/>
        <v/>
      </c>
      <c r="O1952" s="15" t="str">
        <f>IFERROR(VLOOKUP(I1952,material!A:D,2,0),"")</f>
        <v/>
      </c>
    </row>
    <row r="1953">
      <c r="A1953" s="6"/>
      <c r="B1953" s="7"/>
      <c r="C1953" s="8" t="str">
        <f t="array" ref="C1953">IFERROR(INDEX(atlas!H:H,MATCH(A1953,atlas!C:C,0)),"")</f>
        <v/>
      </c>
      <c r="D1953" s="8" t="str">
        <f t="array" ref="D1953">IFERROR(INDEX(atlas!D:D,MATCH(A1953,atlas!C:C,0)),"")</f>
        <v/>
      </c>
      <c r="E1953" s="8" t="str">
        <f t="array" ref="E1953">IFERROR(INDEX(atlas!F:F,MATCH(A1953,atlas!C:C,0)),"")</f>
        <v/>
      </c>
      <c r="F1953" s="9"/>
      <c r="G1953" s="10"/>
      <c r="H1953" s="11"/>
      <c r="I1953" s="12" t="str">
        <f t="array" ref="I1953">IFERROR(INDEX(atlas!B:B,MATCH(A1953,atlas!C:C,0)),"")</f>
        <v/>
      </c>
      <c r="J1953" s="8" t="str">
        <f>IFERROR(VLOOKUP(F1953,tecnica!A:B,2,0),"")</f>
        <v/>
      </c>
      <c r="K1953" s="8" t="str">
        <f>IFERROR(VLOOKUP(J1953,tecnica!B:C,2,0),"")</f>
        <v/>
      </c>
      <c r="L1953" s="13"/>
      <c r="M1953" s="14" t="str">
        <f>IFERROR(VLOOKUP(I1953,material!A:D,4,0),"")</f>
        <v/>
      </c>
      <c r="N1953" s="14" t="str">
        <f t="shared" si="1"/>
        <v/>
      </c>
      <c r="O1953" s="15" t="str">
        <f>IFERROR(VLOOKUP(I1953,material!A:D,2,0),"")</f>
        <v/>
      </c>
    </row>
    <row r="1954">
      <c r="A1954" s="6"/>
      <c r="B1954" s="7"/>
      <c r="C1954" s="8" t="str">
        <f t="array" ref="C1954">IFERROR(INDEX(atlas!H:H,MATCH(A1954,atlas!C:C,0)),"")</f>
        <v/>
      </c>
      <c r="D1954" s="8" t="str">
        <f t="array" ref="D1954">IFERROR(INDEX(atlas!D:D,MATCH(A1954,atlas!C:C,0)),"")</f>
        <v/>
      </c>
      <c r="E1954" s="8" t="str">
        <f t="array" ref="E1954">IFERROR(INDEX(atlas!F:F,MATCH(A1954,atlas!C:C,0)),"")</f>
        <v/>
      </c>
      <c r="F1954" s="9"/>
      <c r="G1954" s="10"/>
      <c r="H1954" s="11"/>
      <c r="I1954" s="12" t="str">
        <f t="array" ref="I1954">IFERROR(INDEX(atlas!B:B,MATCH(A1954,atlas!C:C,0)),"")</f>
        <v/>
      </c>
      <c r="J1954" s="8" t="str">
        <f>IFERROR(VLOOKUP(F1954,tecnica!A:B,2,0),"")</f>
        <v/>
      </c>
      <c r="K1954" s="8" t="str">
        <f>IFERROR(VLOOKUP(J1954,tecnica!B:C,2,0),"")</f>
        <v/>
      </c>
      <c r="L1954" s="13"/>
      <c r="M1954" s="14" t="str">
        <f>IFERROR(VLOOKUP(I1954,material!A:D,4,0),"")</f>
        <v/>
      </c>
      <c r="N1954" s="14" t="str">
        <f t="shared" si="1"/>
        <v/>
      </c>
      <c r="O1954" s="15" t="str">
        <f>IFERROR(VLOOKUP(I1954,material!A:D,2,0),"")</f>
        <v/>
      </c>
    </row>
    <row r="1955">
      <c r="A1955" s="6"/>
      <c r="B1955" s="7"/>
      <c r="C1955" s="8" t="str">
        <f t="array" ref="C1955">IFERROR(INDEX(atlas!H:H,MATCH(A1955,atlas!C:C,0)),"")</f>
        <v/>
      </c>
      <c r="D1955" s="8" t="str">
        <f t="array" ref="D1955">IFERROR(INDEX(atlas!D:D,MATCH(A1955,atlas!C:C,0)),"")</f>
        <v/>
      </c>
      <c r="E1955" s="8" t="str">
        <f t="array" ref="E1955">IFERROR(INDEX(atlas!F:F,MATCH(A1955,atlas!C:C,0)),"")</f>
        <v/>
      </c>
      <c r="F1955" s="9"/>
      <c r="G1955" s="10"/>
      <c r="H1955" s="11"/>
      <c r="I1955" s="12" t="str">
        <f t="array" ref="I1955">IFERROR(INDEX(atlas!B:B,MATCH(A1955,atlas!C:C,0)),"")</f>
        <v/>
      </c>
      <c r="J1955" s="8" t="str">
        <f>IFERROR(VLOOKUP(F1955,tecnica!A:B,2,0),"")</f>
        <v/>
      </c>
      <c r="K1955" s="8" t="str">
        <f>IFERROR(VLOOKUP(J1955,tecnica!B:C,2,0),"")</f>
        <v/>
      </c>
      <c r="L1955" s="13"/>
      <c r="M1955" s="14" t="str">
        <f>IFERROR(VLOOKUP(I1955,material!A:D,4,0),"")</f>
        <v/>
      </c>
      <c r="N1955" s="14" t="str">
        <f t="shared" si="1"/>
        <v/>
      </c>
      <c r="O1955" s="15" t="str">
        <f>IFERROR(VLOOKUP(I1955,material!A:D,2,0),"")</f>
        <v/>
      </c>
    </row>
    <row r="1956">
      <c r="A1956" s="6"/>
      <c r="B1956" s="7"/>
      <c r="C1956" s="8" t="str">
        <f t="array" ref="C1956">IFERROR(INDEX(atlas!H:H,MATCH(A1956,atlas!C:C,0)),"")</f>
        <v/>
      </c>
      <c r="D1956" s="8" t="str">
        <f t="array" ref="D1956">IFERROR(INDEX(atlas!D:D,MATCH(A1956,atlas!C:C,0)),"")</f>
        <v/>
      </c>
      <c r="E1956" s="8" t="str">
        <f t="array" ref="E1956">IFERROR(INDEX(atlas!F:F,MATCH(A1956,atlas!C:C,0)),"")</f>
        <v/>
      </c>
      <c r="F1956" s="9"/>
      <c r="G1956" s="10"/>
      <c r="H1956" s="11"/>
      <c r="I1956" s="12" t="str">
        <f t="array" ref="I1956">IFERROR(INDEX(atlas!B:B,MATCH(A1956,atlas!C:C,0)),"")</f>
        <v/>
      </c>
      <c r="J1956" s="8" t="str">
        <f>IFERROR(VLOOKUP(F1956,tecnica!A:B,2,0),"")</f>
        <v/>
      </c>
      <c r="K1956" s="8" t="str">
        <f>IFERROR(VLOOKUP(J1956,tecnica!B:C,2,0),"")</f>
        <v/>
      </c>
      <c r="L1956" s="13"/>
      <c r="M1956" s="14" t="str">
        <f>IFERROR(VLOOKUP(I1956,material!A:D,4,0),"")</f>
        <v/>
      </c>
      <c r="N1956" s="14" t="str">
        <f t="shared" si="1"/>
        <v/>
      </c>
      <c r="O1956" s="15" t="str">
        <f>IFERROR(VLOOKUP(I1956,material!A:D,2,0),"")</f>
        <v/>
      </c>
    </row>
    <row r="1957">
      <c r="A1957" s="6"/>
      <c r="B1957" s="7"/>
      <c r="C1957" s="8" t="str">
        <f t="array" ref="C1957">IFERROR(INDEX(atlas!H:H,MATCH(A1957,atlas!C:C,0)),"")</f>
        <v/>
      </c>
      <c r="D1957" s="8" t="str">
        <f t="array" ref="D1957">IFERROR(INDEX(atlas!D:D,MATCH(A1957,atlas!C:C,0)),"")</f>
        <v/>
      </c>
      <c r="E1957" s="8" t="str">
        <f t="array" ref="E1957">IFERROR(INDEX(atlas!F:F,MATCH(A1957,atlas!C:C,0)),"")</f>
        <v/>
      </c>
      <c r="F1957" s="9"/>
      <c r="G1957" s="10"/>
      <c r="H1957" s="11"/>
      <c r="I1957" s="12" t="str">
        <f t="array" ref="I1957">IFERROR(INDEX(atlas!B:B,MATCH(A1957,atlas!C:C,0)),"")</f>
        <v/>
      </c>
      <c r="J1957" s="8" t="str">
        <f>IFERROR(VLOOKUP(F1957,tecnica!A:B,2,0),"")</f>
        <v/>
      </c>
      <c r="K1957" s="8" t="str">
        <f>IFERROR(VLOOKUP(J1957,tecnica!B:C,2,0),"")</f>
        <v/>
      </c>
      <c r="L1957" s="13"/>
      <c r="M1957" s="14" t="str">
        <f>IFERROR(VLOOKUP(I1957,material!A:D,4,0),"")</f>
        <v/>
      </c>
      <c r="N1957" s="14" t="str">
        <f t="shared" si="1"/>
        <v/>
      </c>
      <c r="O1957" s="15" t="str">
        <f>IFERROR(VLOOKUP(I1957,material!A:D,2,0),"")</f>
        <v/>
      </c>
    </row>
    <row r="1958">
      <c r="A1958" s="6"/>
      <c r="B1958" s="7"/>
      <c r="C1958" s="8" t="str">
        <f t="array" ref="C1958">IFERROR(INDEX(atlas!H:H,MATCH(A1958,atlas!C:C,0)),"")</f>
        <v/>
      </c>
      <c r="D1958" s="8" t="str">
        <f t="array" ref="D1958">IFERROR(INDEX(atlas!D:D,MATCH(A1958,atlas!C:C,0)),"")</f>
        <v/>
      </c>
      <c r="E1958" s="8" t="str">
        <f t="array" ref="E1958">IFERROR(INDEX(atlas!F:F,MATCH(A1958,atlas!C:C,0)),"")</f>
        <v/>
      </c>
      <c r="F1958" s="9"/>
      <c r="G1958" s="10"/>
      <c r="H1958" s="11"/>
      <c r="I1958" s="12" t="str">
        <f t="array" ref="I1958">IFERROR(INDEX(atlas!B:B,MATCH(A1958,atlas!C:C,0)),"")</f>
        <v/>
      </c>
      <c r="J1958" s="8" t="str">
        <f>IFERROR(VLOOKUP(F1958,tecnica!A:B,2,0),"")</f>
        <v/>
      </c>
      <c r="K1958" s="8" t="str">
        <f>IFERROR(VLOOKUP(J1958,tecnica!B:C,2,0),"")</f>
        <v/>
      </c>
      <c r="L1958" s="13"/>
      <c r="M1958" s="14" t="str">
        <f>IFERROR(VLOOKUP(I1958,material!A:D,4,0),"")</f>
        <v/>
      </c>
      <c r="N1958" s="14" t="str">
        <f t="shared" si="1"/>
        <v/>
      </c>
      <c r="O1958" s="15" t="str">
        <f>IFERROR(VLOOKUP(I1958,material!A:D,2,0),"")</f>
        <v/>
      </c>
    </row>
    <row r="1959">
      <c r="A1959" s="6"/>
      <c r="B1959" s="7"/>
      <c r="C1959" s="8" t="str">
        <f t="array" ref="C1959">IFERROR(INDEX(atlas!H:H,MATCH(A1959,atlas!C:C,0)),"")</f>
        <v/>
      </c>
      <c r="D1959" s="8" t="str">
        <f t="array" ref="D1959">IFERROR(INDEX(atlas!D:D,MATCH(A1959,atlas!C:C,0)),"")</f>
        <v/>
      </c>
      <c r="E1959" s="8" t="str">
        <f t="array" ref="E1959">IFERROR(INDEX(atlas!F:F,MATCH(A1959,atlas!C:C,0)),"")</f>
        <v/>
      </c>
      <c r="F1959" s="9"/>
      <c r="G1959" s="10"/>
      <c r="H1959" s="11"/>
      <c r="I1959" s="12" t="str">
        <f t="array" ref="I1959">IFERROR(INDEX(atlas!B:B,MATCH(A1959,atlas!C:C,0)),"")</f>
        <v/>
      </c>
      <c r="J1959" s="8" t="str">
        <f>IFERROR(VLOOKUP(F1959,tecnica!A:B,2,0),"")</f>
        <v/>
      </c>
      <c r="K1959" s="8" t="str">
        <f>IFERROR(VLOOKUP(J1959,tecnica!B:C,2,0),"")</f>
        <v/>
      </c>
      <c r="L1959" s="13"/>
      <c r="M1959" s="14" t="str">
        <f>IFERROR(VLOOKUP(I1959,material!A:D,4,0),"")</f>
        <v/>
      </c>
      <c r="N1959" s="14" t="str">
        <f t="shared" si="1"/>
        <v/>
      </c>
      <c r="O1959" s="15" t="str">
        <f>IFERROR(VLOOKUP(I1959,material!A:D,2,0),"")</f>
        <v/>
      </c>
    </row>
    <row r="1960">
      <c r="A1960" s="6"/>
      <c r="B1960" s="7"/>
      <c r="C1960" s="8" t="str">
        <f t="array" ref="C1960">IFERROR(INDEX(atlas!H:H,MATCH(A1960,atlas!C:C,0)),"")</f>
        <v/>
      </c>
      <c r="D1960" s="8" t="str">
        <f t="array" ref="D1960">IFERROR(INDEX(atlas!D:D,MATCH(A1960,atlas!C:C,0)),"")</f>
        <v/>
      </c>
      <c r="E1960" s="8" t="str">
        <f t="array" ref="E1960">IFERROR(INDEX(atlas!F:F,MATCH(A1960,atlas!C:C,0)),"")</f>
        <v/>
      </c>
      <c r="F1960" s="9"/>
      <c r="G1960" s="10"/>
      <c r="H1960" s="11"/>
      <c r="I1960" s="12" t="str">
        <f t="array" ref="I1960">IFERROR(INDEX(atlas!B:B,MATCH(A1960,atlas!C:C,0)),"")</f>
        <v/>
      </c>
      <c r="J1960" s="8" t="str">
        <f>IFERROR(VLOOKUP(F1960,tecnica!A:B,2,0),"")</f>
        <v/>
      </c>
      <c r="K1960" s="8" t="str">
        <f>IFERROR(VLOOKUP(J1960,tecnica!B:C,2,0),"")</f>
        <v/>
      </c>
      <c r="L1960" s="13"/>
      <c r="M1960" s="14" t="str">
        <f>IFERROR(VLOOKUP(I1960,material!A:D,4,0),"")</f>
        <v/>
      </c>
      <c r="N1960" s="14" t="str">
        <f t="shared" si="1"/>
        <v/>
      </c>
      <c r="O1960" s="15" t="str">
        <f>IFERROR(VLOOKUP(I1960,material!A:D,2,0),"")</f>
        <v/>
      </c>
    </row>
    <row r="1961">
      <c r="A1961" s="6"/>
      <c r="B1961" s="7"/>
      <c r="C1961" s="8" t="str">
        <f t="array" ref="C1961">IFERROR(INDEX(atlas!H:H,MATCH(A1961,atlas!C:C,0)),"")</f>
        <v/>
      </c>
      <c r="D1961" s="8" t="str">
        <f t="array" ref="D1961">IFERROR(INDEX(atlas!D:D,MATCH(A1961,atlas!C:C,0)),"")</f>
        <v/>
      </c>
      <c r="E1961" s="8" t="str">
        <f t="array" ref="E1961">IFERROR(INDEX(atlas!F:F,MATCH(A1961,atlas!C:C,0)),"")</f>
        <v/>
      </c>
      <c r="F1961" s="9"/>
      <c r="G1961" s="10"/>
      <c r="H1961" s="11"/>
      <c r="I1961" s="12" t="str">
        <f t="array" ref="I1961">IFERROR(INDEX(atlas!B:B,MATCH(A1961,atlas!C:C,0)),"")</f>
        <v/>
      </c>
      <c r="J1961" s="8" t="str">
        <f>IFERROR(VLOOKUP(F1961,tecnica!A:B,2,0),"")</f>
        <v/>
      </c>
      <c r="K1961" s="8" t="str">
        <f>IFERROR(VLOOKUP(J1961,tecnica!B:C,2,0),"")</f>
        <v/>
      </c>
      <c r="L1961" s="13"/>
      <c r="M1961" s="14" t="str">
        <f>IFERROR(VLOOKUP(I1961,material!A:D,4,0),"")</f>
        <v/>
      </c>
      <c r="N1961" s="14" t="str">
        <f t="shared" si="1"/>
        <v/>
      </c>
      <c r="O1961" s="15" t="str">
        <f>IFERROR(VLOOKUP(I1961,material!A:D,2,0),"")</f>
        <v/>
      </c>
    </row>
    <row r="1962">
      <c r="A1962" s="6"/>
      <c r="B1962" s="7"/>
      <c r="C1962" s="8" t="str">
        <f t="array" ref="C1962">IFERROR(INDEX(atlas!H:H,MATCH(A1962,atlas!C:C,0)),"")</f>
        <v/>
      </c>
      <c r="D1962" s="8" t="str">
        <f t="array" ref="D1962">IFERROR(INDEX(atlas!D:D,MATCH(A1962,atlas!C:C,0)),"")</f>
        <v/>
      </c>
      <c r="E1962" s="8" t="str">
        <f t="array" ref="E1962">IFERROR(INDEX(atlas!F:F,MATCH(A1962,atlas!C:C,0)),"")</f>
        <v/>
      </c>
      <c r="F1962" s="9"/>
      <c r="G1962" s="10"/>
      <c r="H1962" s="11"/>
      <c r="I1962" s="12" t="str">
        <f t="array" ref="I1962">IFERROR(INDEX(atlas!B:B,MATCH(A1962,atlas!C:C,0)),"")</f>
        <v/>
      </c>
      <c r="J1962" s="8" t="str">
        <f>IFERROR(VLOOKUP(F1962,tecnica!A:B,2,0),"")</f>
        <v/>
      </c>
      <c r="K1962" s="8" t="str">
        <f>IFERROR(VLOOKUP(J1962,tecnica!B:C,2,0),"")</f>
        <v/>
      </c>
      <c r="L1962" s="13"/>
      <c r="M1962" s="14" t="str">
        <f>IFERROR(VLOOKUP(I1962,material!A:D,4,0),"")</f>
        <v/>
      </c>
      <c r="N1962" s="14" t="str">
        <f t="shared" si="1"/>
        <v/>
      </c>
      <c r="O1962" s="15" t="str">
        <f>IFERROR(VLOOKUP(I1962,material!A:D,2,0),"")</f>
        <v/>
      </c>
    </row>
    <row r="1963">
      <c r="A1963" s="6"/>
      <c r="B1963" s="7"/>
      <c r="C1963" s="8" t="str">
        <f t="array" ref="C1963">IFERROR(INDEX(atlas!H:H,MATCH(A1963,atlas!C:C,0)),"")</f>
        <v/>
      </c>
      <c r="D1963" s="8" t="str">
        <f t="array" ref="D1963">IFERROR(INDEX(atlas!D:D,MATCH(A1963,atlas!C:C,0)),"")</f>
        <v/>
      </c>
      <c r="E1963" s="8" t="str">
        <f t="array" ref="E1963">IFERROR(INDEX(atlas!F:F,MATCH(A1963,atlas!C:C,0)),"")</f>
        <v/>
      </c>
      <c r="F1963" s="9"/>
      <c r="G1963" s="10"/>
      <c r="H1963" s="11"/>
      <c r="I1963" s="12" t="str">
        <f t="array" ref="I1963">IFERROR(INDEX(atlas!B:B,MATCH(A1963,atlas!C:C,0)),"")</f>
        <v/>
      </c>
      <c r="J1963" s="8" t="str">
        <f>IFERROR(VLOOKUP(F1963,tecnica!A:B,2,0),"")</f>
        <v/>
      </c>
      <c r="K1963" s="8" t="str">
        <f>IFERROR(VLOOKUP(J1963,tecnica!B:C,2,0),"")</f>
        <v/>
      </c>
      <c r="L1963" s="13"/>
      <c r="M1963" s="14" t="str">
        <f>IFERROR(VLOOKUP(I1963,material!A:D,4,0),"")</f>
        <v/>
      </c>
      <c r="N1963" s="14" t="str">
        <f t="shared" si="1"/>
        <v/>
      </c>
      <c r="O1963" s="15" t="str">
        <f>IFERROR(VLOOKUP(I1963,material!A:D,2,0),"")</f>
        <v/>
      </c>
    </row>
    <row r="1964">
      <c r="A1964" s="6"/>
      <c r="B1964" s="7"/>
      <c r="C1964" s="8" t="str">
        <f t="array" ref="C1964">IFERROR(INDEX(atlas!H:H,MATCH(A1964,atlas!C:C,0)),"")</f>
        <v/>
      </c>
      <c r="D1964" s="8" t="str">
        <f t="array" ref="D1964">IFERROR(INDEX(atlas!D:D,MATCH(A1964,atlas!C:C,0)),"")</f>
        <v/>
      </c>
      <c r="E1964" s="8" t="str">
        <f t="array" ref="E1964">IFERROR(INDEX(atlas!F:F,MATCH(A1964,atlas!C:C,0)),"")</f>
        <v/>
      </c>
      <c r="F1964" s="9"/>
      <c r="G1964" s="10"/>
      <c r="H1964" s="11"/>
      <c r="I1964" s="12" t="str">
        <f t="array" ref="I1964">IFERROR(INDEX(atlas!B:B,MATCH(A1964,atlas!C:C,0)),"")</f>
        <v/>
      </c>
      <c r="J1964" s="8" t="str">
        <f>IFERROR(VLOOKUP(F1964,tecnica!A:B,2,0),"")</f>
        <v/>
      </c>
      <c r="K1964" s="8" t="str">
        <f>IFERROR(VLOOKUP(J1964,tecnica!B:C,2,0),"")</f>
        <v/>
      </c>
      <c r="L1964" s="13"/>
      <c r="M1964" s="14" t="str">
        <f>IFERROR(VLOOKUP(I1964,material!A:D,4,0),"")</f>
        <v/>
      </c>
      <c r="N1964" s="14" t="str">
        <f t="shared" si="1"/>
        <v/>
      </c>
      <c r="O1964" s="15" t="str">
        <f>IFERROR(VLOOKUP(I1964,material!A:D,2,0),"")</f>
        <v/>
      </c>
    </row>
    <row r="1965">
      <c r="A1965" s="6"/>
      <c r="B1965" s="7"/>
      <c r="C1965" s="8" t="str">
        <f t="array" ref="C1965">IFERROR(INDEX(atlas!H:H,MATCH(A1965,atlas!C:C,0)),"")</f>
        <v/>
      </c>
      <c r="D1965" s="8" t="str">
        <f t="array" ref="D1965">IFERROR(INDEX(atlas!D:D,MATCH(A1965,atlas!C:C,0)),"")</f>
        <v/>
      </c>
      <c r="E1965" s="8" t="str">
        <f t="array" ref="E1965">IFERROR(INDEX(atlas!F:F,MATCH(A1965,atlas!C:C,0)),"")</f>
        <v/>
      </c>
      <c r="F1965" s="9"/>
      <c r="G1965" s="10"/>
      <c r="H1965" s="11"/>
      <c r="I1965" s="12" t="str">
        <f t="array" ref="I1965">IFERROR(INDEX(atlas!B:B,MATCH(A1965,atlas!C:C,0)),"")</f>
        <v/>
      </c>
      <c r="J1965" s="8" t="str">
        <f>IFERROR(VLOOKUP(F1965,tecnica!A:B,2,0),"")</f>
        <v/>
      </c>
      <c r="K1965" s="8" t="str">
        <f>IFERROR(VLOOKUP(J1965,tecnica!B:C,2,0),"")</f>
        <v/>
      </c>
      <c r="L1965" s="13"/>
      <c r="M1965" s="14" t="str">
        <f>IFERROR(VLOOKUP(I1965,material!A:D,4,0),"")</f>
        <v/>
      </c>
      <c r="N1965" s="14" t="str">
        <f t="shared" si="1"/>
        <v/>
      </c>
      <c r="O1965" s="15" t="str">
        <f>IFERROR(VLOOKUP(I1965,material!A:D,2,0),"")</f>
        <v/>
      </c>
    </row>
    <row r="1966">
      <c r="A1966" s="6"/>
      <c r="B1966" s="7"/>
      <c r="C1966" s="8" t="str">
        <f t="array" ref="C1966">IFERROR(INDEX(atlas!H:H,MATCH(A1966,atlas!C:C,0)),"")</f>
        <v/>
      </c>
      <c r="D1966" s="8" t="str">
        <f t="array" ref="D1966">IFERROR(INDEX(atlas!D:D,MATCH(A1966,atlas!C:C,0)),"")</f>
        <v/>
      </c>
      <c r="E1966" s="8" t="str">
        <f t="array" ref="E1966">IFERROR(INDEX(atlas!F:F,MATCH(A1966,atlas!C:C,0)),"")</f>
        <v/>
      </c>
      <c r="F1966" s="9"/>
      <c r="G1966" s="10"/>
      <c r="H1966" s="11"/>
      <c r="I1966" s="12" t="str">
        <f t="array" ref="I1966">IFERROR(INDEX(atlas!B:B,MATCH(A1966,atlas!C:C,0)),"")</f>
        <v/>
      </c>
      <c r="J1966" s="8" t="str">
        <f>IFERROR(VLOOKUP(F1966,tecnica!A:B,2,0),"")</f>
        <v/>
      </c>
      <c r="K1966" s="8" t="str">
        <f>IFERROR(VLOOKUP(J1966,tecnica!B:C,2,0),"")</f>
        <v/>
      </c>
      <c r="L1966" s="13"/>
      <c r="M1966" s="14" t="str">
        <f>IFERROR(VLOOKUP(I1966,material!A:D,4,0),"")</f>
        <v/>
      </c>
      <c r="N1966" s="14" t="str">
        <f t="shared" si="1"/>
        <v/>
      </c>
      <c r="O1966" s="15" t="str">
        <f>IFERROR(VLOOKUP(I1966,material!A:D,2,0),"")</f>
        <v/>
      </c>
    </row>
    <row r="1967">
      <c r="A1967" s="6"/>
      <c r="B1967" s="7"/>
      <c r="C1967" s="8" t="str">
        <f t="array" ref="C1967">IFERROR(INDEX(atlas!H:H,MATCH(A1967,atlas!C:C,0)),"")</f>
        <v/>
      </c>
      <c r="D1967" s="8" t="str">
        <f t="array" ref="D1967">IFERROR(INDEX(atlas!D:D,MATCH(A1967,atlas!C:C,0)),"")</f>
        <v/>
      </c>
      <c r="E1967" s="8" t="str">
        <f t="array" ref="E1967">IFERROR(INDEX(atlas!F:F,MATCH(A1967,atlas!C:C,0)),"")</f>
        <v/>
      </c>
      <c r="F1967" s="9"/>
      <c r="G1967" s="10"/>
      <c r="H1967" s="11"/>
      <c r="I1967" s="12" t="str">
        <f t="array" ref="I1967">IFERROR(INDEX(atlas!B:B,MATCH(A1967,atlas!C:C,0)),"")</f>
        <v/>
      </c>
      <c r="J1967" s="8" t="str">
        <f>IFERROR(VLOOKUP(F1967,tecnica!A:B,2,0),"")</f>
        <v/>
      </c>
      <c r="K1967" s="8" t="str">
        <f>IFERROR(VLOOKUP(J1967,tecnica!B:C,2,0),"")</f>
        <v/>
      </c>
      <c r="L1967" s="13"/>
      <c r="M1967" s="14" t="str">
        <f>IFERROR(VLOOKUP(I1967,material!A:D,4,0),"")</f>
        <v/>
      </c>
      <c r="N1967" s="14" t="str">
        <f t="shared" si="1"/>
        <v/>
      </c>
      <c r="O1967" s="15" t="str">
        <f>IFERROR(VLOOKUP(I1967,material!A:D,2,0),"")</f>
        <v/>
      </c>
    </row>
    <row r="1968">
      <c r="A1968" s="6"/>
      <c r="B1968" s="7"/>
      <c r="C1968" s="8" t="str">
        <f t="array" ref="C1968">IFERROR(INDEX(atlas!H:H,MATCH(A1968,atlas!C:C,0)),"")</f>
        <v/>
      </c>
      <c r="D1968" s="8" t="str">
        <f t="array" ref="D1968">IFERROR(INDEX(atlas!D:D,MATCH(A1968,atlas!C:C,0)),"")</f>
        <v/>
      </c>
      <c r="E1968" s="8" t="str">
        <f t="array" ref="E1968">IFERROR(INDEX(atlas!F:F,MATCH(A1968,atlas!C:C,0)),"")</f>
        <v/>
      </c>
      <c r="F1968" s="9"/>
      <c r="G1968" s="10"/>
      <c r="H1968" s="11"/>
      <c r="I1968" s="12" t="str">
        <f t="array" ref="I1968">IFERROR(INDEX(atlas!B:B,MATCH(A1968,atlas!C:C,0)),"")</f>
        <v/>
      </c>
      <c r="J1968" s="8" t="str">
        <f>IFERROR(VLOOKUP(F1968,tecnica!A:B,2,0),"")</f>
        <v/>
      </c>
      <c r="K1968" s="8" t="str">
        <f>IFERROR(VLOOKUP(J1968,tecnica!B:C,2,0),"")</f>
        <v/>
      </c>
      <c r="L1968" s="13"/>
      <c r="M1968" s="14" t="str">
        <f>IFERROR(VLOOKUP(I1968,material!A:D,4,0),"")</f>
        <v/>
      </c>
      <c r="N1968" s="14" t="str">
        <f t="shared" si="1"/>
        <v/>
      </c>
      <c r="O1968" s="15" t="str">
        <f>IFERROR(VLOOKUP(I1968,material!A:D,2,0),"")</f>
        <v/>
      </c>
    </row>
    <row r="1969">
      <c r="A1969" s="6"/>
      <c r="B1969" s="7"/>
      <c r="C1969" s="8" t="str">
        <f t="array" ref="C1969">IFERROR(INDEX(atlas!H:H,MATCH(A1969,atlas!C:C,0)),"")</f>
        <v/>
      </c>
      <c r="D1969" s="8" t="str">
        <f t="array" ref="D1969">IFERROR(INDEX(atlas!D:D,MATCH(A1969,atlas!C:C,0)),"")</f>
        <v/>
      </c>
      <c r="E1969" s="8" t="str">
        <f t="array" ref="E1969">IFERROR(INDEX(atlas!F:F,MATCH(A1969,atlas!C:C,0)),"")</f>
        <v/>
      </c>
      <c r="F1969" s="9"/>
      <c r="G1969" s="10"/>
      <c r="H1969" s="11"/>
      <c r="I1969" s="12" t="str">
        <f t="array" ref="I1969">IFERROR(INDEX(atlas!B:B,MATCH(A1969,atlas!C:C,0)),"")</f>
        <v/>
      </c>
      <c r="J1969" s="8" t="str">
        <f>IFERROR(VLOOKUP(F1969,tecnica!A:B,2,0),"")</f>
        <v/>
      </c>
      <c r="K1969" s="8" t="str">
        <f>IFERROR(VLOOKUP(J1969,tecnica!B:C,2,0),"")</f>
        <v/>
      </c>
      <c r="L1969" s="13"/>
      <c r="M1969" s="14" t="str">
        <f>IFERROR(VLOOKUP(I1969,material!A:D,4,0),"")</f>
        <v/>
      </c>
      <c r="N1969" s="14" t="str">
        <f t="shared" si="1"/>
        <v/>
      </c>
      <c r="O1969" s="15" t="str">
        <f>IFERROR(VLOOKUP(I1969,material!A:D,2,0),"")</f>
        <v/>
      </c>
    </row>
    <row r="1970">
      <c r="A1970" s="6"/>
      <c r="B1970" s="7"/>
      <c r="C1970" s="8" t="str">
        <f t="array" ref="C1970">IFERROR(INDEX(atlas!H:H,MATCH(A1970,atlas!C:C,0)),"")</f>
        <v/>
      </c>
      <c r="D1970" s="8" t="str">
        <f t="array" ref="D1970">IFERROR(INDEX(atlas!D:D,MATCH(A1970,atlas!C:C,0)),"")</f>
        <v/>
      </c>
      <c r="E1970" s="8" t="str">
        <f t="array" ref="E1970">IFERROR(INDEX(atlas!F:F,MATCH(A1970,atlas!C:C,0)),"")</f>
        <v/>
      </c>
      <c r="F1970" s="9"/>
      <c r="G1970" s="10"/>
      <c r="H1970" s="11"/>
      <c r="I1970" s="12" t="str">
        <f t="array" ref="I1970">IFERROR(INDEX(atlas!B:B,MATCH(A1970,atlas!C:C,0)),"")</f>
        <v/>
      </c>
      <c r="J1970" s="8" t="str">
        <f>IFERROR(VLOOKUP(F1970,tecnica!A:B,2,0),"")</f>
        <v/>
      </c>
      <c r="K1970" s="8" t="str">
        <f>IFERROR(VLOOKUP(J1970,tecnica!B:C,2,0),"")</f>
        <v/>
      </c>
      <c r="L1970" s="13"/>
      <c r="M1970" s="14" t="str">
        <f>IFERROR(VLOOKUP(I1970,material!A:D,4,0),"")</f>
        <v/>
      </c>
      <c r="N1970" s="14" t="str">
        <f t="shared" si="1"/>
        <v/>
      </c>
      <c r="O1970" s="15" t="str">
        <f>IFERROR(VLOOKUP(I1970,material!A:D,2,0),"")</f>
        <v/>
      </c>
    </row>
    <row r="1971">
      <c r="A1971" s="6"/>
      <c r="B1971" s="7"/>
      <c r="C1971" s="8" t="str">
        <f t="array" ref="C1971">IFERROR(INDEX(atlas!H:H,MATCH(A1971,atlas!C:C,0)),"")</f>
        <v/>
      </c>
      <c r="D1971" s="8" t="str">
        <f t="array" ref="D1971">IFERROR(INDEX(atlas!D:D,MATCH(A1971,atlas!C:C,0)),"")</f>
        <v/>
      </c>
      <c r="E1971" s="8" t="str">
        <f t="array" ref="E1971">IFERROR(INDEX(atlas!F:F,MATCH(A1971,atlas!C:C,0)),"")</f>
        <v/>
      </c>
      <c r="F1971" s="9"/>
      <c r="G1971" s="10"/>
      <c r="H1971" s="11"/>
      <c r="I1971" s="12" t="str">
        <f t="array" ref="I1971">IFERROR(INDEX(atlas!B:B,MATCH(A1971,atlas!C:C,0)),"")</f>
        <v/>
      </c>
      <c r="J1971" s="8" t="str">
        <f>IFERROR(VLOOKUP(F1971,tecnica!A:B,2,0),"")</f>
        <v/>
      </c>
      <c r="K1971" s="8" t="str">
        <f>IFERROR(VLOOKUP(J1971,tecnica!B:C,2,0),"")</f>
        <v/>
      </c>
      <c r="L1971" s="13"/>
      <c r="M1971" s="14" t="str">
        <f>IFERROR(VLOOKUP(I1971,material!A:D,4,0),"")</f>
        <v/>
      </c>
      <c r="N1971" s="14" t="str">
        <f t="shared" si="1"/>
        <v/>
      </c>
      <c r="O1971" s="15" t="str">
        <f>IFERROR(VLOOKUP(I1971,material!A:D,2,0),"")</f>
        <v/>
      </c>
    </row>
    <row r="1972">
      <c r="A1972" s="6"/>
      <c r="B1972" s="7"/>
      <c r="C1972" s="8" t="str">
        <f t="array" ref="C1972">IFERROR(INDEX(atlas!H:H,MATCH(A1972,atlas!C:C,0)),"")</f>
        <v/>
      </c>
      <c r="D1972" s="8" t="str">
        <f t="array" ref="D1972">IFERROR(INDEX(atlas!D:D,MATCH(A1972,atlas!C:C,0)),"")</f>
        <v/>
      </c>
      <c r="E1972" s="8" t="str">
        <f t="array" ref="E1972">IFERROR(INDEX(atlas!F:F,MATCH(A1972,atlas!C:C,0)),"")</f>
        <v/>
      </c>
      <c r="F1972" s="9"/>
      <c r="G1972" s="10"/>
      <c r="H1972" s="11"/>
      <c r="I1972" s="12" t="str">
        <f t="array" ref="I1972">IFERROR(INDEX(atlas!B:B,MATCH(A1972,atlas!C:C,0)),"")</f>
        <v/>
      </c>
      <c r="J1972" s="8" t="str">
        <f>IFERROR(VLOOKUP(F1972,tecnica!A:B,2,0),"")</f>
        <v/>
      </c>
      <c r="K1972" s="8" t="str">
        <f>IFERROR(VLOOKUP(J1972,tecnica!B:C,2,0),"")</f>
        <v/>
      </c>
      <c r="L1972" s="13"/>
      <c r="M1972" s="14" t="str">
        <f>IFERROR(VLOOKUP(I1972,material!A:D,4,0),"")</f>
        <v/>
      </c>
      <c r="N1972" s="14" t="str">
        <f t="shared" si="1"/>
        <v/>
      </c>
      <c r="O1972" s="15" t="str">
        <f>IFERROR(VLOOKUP(I1972,material!A:D,2,0),"")</f>
        <v/>
      </c>
    </row>
    <row r="1973">
      <c r="A1973" s="6"/>
      <c r="B1973" s="7"/>
      <c r="C1973" s="8" t="str">
        <f t="array" ref="C1973">IFERROR(INDEX(atlas!H:H,MATCH(A1973,atlas!C:C,0)),"")</f>
        <v/>
      </c>
      <c r="D1973" s="8" t="str">
        <f t="array" ref="D1973">IFERROR(INDEX(atlas!D:D,MATCH(A1973,atlas!C:C,0)),"")</f>
        <v/>
      </c>
      <c r="E1973" s="8" t="str">
        <f t="array" ref="E1973">IFERROR(INDEX(atlas!F:F,MATCH(A1973,atlas!C:C,0)),"")</f>
        <v/>
      </c>
      <c r="F1973" s="9"/>
      <c r="G1973" s="10"/>
      <c r="H1973" s="11"/>
      <c r="I1973" s="12" t="str">
        <f t="array" ref="I1973">IFERROR(INDEX(atlas!B:B,MATCH(A1973,atlas!C:C,0)),"")</f>
        <v/>
      </c>
      <c r="J1973" s="8" t="str">
        <f>IFERROR(VLOOKUP(F1973,tecnica!A:B,2,0),"")</f>
        <v/>
      </c>
      <c r="K1973" s="8" t="str">
        <f>IFERROR(VLOOKUP(J1973,tecnica!B:C,2,0),"")</f>
        <v/>
      </c>
      <c r="L1973" s="13"/>
      <c r="M1973" s="14" t="str">
        <f>IFERROR(VLOOKUP(I1973,material!A:D,4,0),"")</f>
        <v/>
      </c>
      <c r="N1973" s="14" t="str">
        <f t="shared" si="1"/>
        <v/>
      </c>
      <c r="O1973" s="15" t="str">
        <f>IFERROR(VLOOKUP(I1973,material!A:D,2,0),"")</f>
        <v/>
      </c>
    </row>
    <row r="1974">
      <c r="A1974" s="6"/>
      <c r="B1974" s="7"/>
      <c r="C1974" s="8" t="str">
        <f t="array" ref="C1974">IFERROR(INDEX(atlas!H:H,MATCH(A1974,atlas!C:C,0)),"")</f>
        <v/>
      </c>
      <c r="D1974" s="8" t="str">
        <f t="array" ref="D1974">IFERROR(INDEX(atlas!D:D,MATCH(A1974,atlas!C:C,0)),"")</f>
        <v/>
      </c>
      <c r="E1974" s="8" t="str">
        <f t="array" ref="E1974">IFERROR(INDEX(atlas!F:F,MATCH(A1974,atlas!C:C,0)),"")</f>
        <v/>
      </c>
      <c r="F1974" s="9"/>
      <c r="G1974" s="10"/>
      <c r="H1974" s="11"/>
      <c r="I1974" s="12" t="str">
        <f t="array" ref="I1974">IFERROR(INDEX(atlas!B:B,MATCH(A1974,atlas!C:C,0)),"")</f>
        <v/>
      </c>
      <c r="J1974" s="8" t="str">
        <f>IFERROR(VLOOKUP(F1974,tecnica!A:B,2,0),"")</f>
        <v/>
      </c>
      <c r="K1974" s="8" t="str">
        <f>IFERROR(VLOOKUP(J1974,tecnica!B:C,2,0),"")</f>
        <v/>
      </c>
      <c r="L1974" s="13"/>
      <c r="M1974" s="14" t="str">
        <f>IFERROR(VLOOKUP(I1974,material!A:D,4,0),"")</f>
        <v/>
      </c>
      <c r="N1974" s="14" t="str">
        <f t="shared" si="1"/>
        <v/>
      </c>
      <c r="O1974" s="15" t="str">
        <f>IFERROR(VLOOKUP(I1974,material!A:D,2,0),"")</f>
        <v/>
      </c>
    </row>
    <row r="1975">
      <c r="A1975" s="6"/>
      <c r="B1975" s="7"/>
      <c r="C1975" s="8" t="str">
        <f t="array" ref="C1975">IFERROR(INDEX(atlas!H:H,MATCH(A1975,atlas!C:C,0)),"")</f>
        <v/>
      </c>
      <c r="D1975" s="8" t="str">
        <f t="array" ref="D1975">IFERROR(INDEX(atlas!D:D,MATCH(A1975,atlas!C:C,0)),"")</f>
        <v/>
      </c>
      <c r="E1975" s="8" t="str">
        <f t="array" ref="E1975">IFERROR(INDEX(atlas!F:F,MATCH(A1975,atlas!C:C,0)),"")</f>
        <v/>
      </c>
      <c r="F1975" s="9"/>
      <c r="G1975" s="10"/>
      <c r="H1975" s="11"/>
      <c r="I1975" s="12" t="str">
        <f t="array" ref="I1975">IFERROR(INDEX(atlas!B:B,MATCH(A1975,atlas!C:C,0)),"")</f>
        <v/>
      </c>
      <c r="J1975" s="8" t="str">
        <f>IFERROR(VLOOKUP(F1975,tecnica!A:B,2,0),"")</f>
        <v/>
      </c>
      <c r="K1975" s="8" t="str">
        <f>IFERROR(VLOOKUP(J1975,tecnica!B:C,2,0),"")</f>
        <v/>
      </c>
      <c r="L1975" s="13"/>
      <c r="M1975" s="14" t="str">
        <f>IFERROR(VLOOKUP(I1975,material!A:D,4,0),"")</f>
        <v/>
      </c>
      <c r="N1975" s="14" t="str">
        <f t="shared" si="1"/>
        <v/>
      </c>
      <c r="O1975" s="15" t="str">
        <f>IFERROR(VLOOKUP(I1975,material!A:D,2,0),"")</f>
        <v/>
      </c>
    </row>
    <row r="1976">
      <c r="A1976" s="6"/>
      <c r="B1976" s="7"/>
      <c r="C1976" s="8" t="str">
        <f t="array" ref="C1976">IFERROR(INDEX(atlas!H:H,MATCH(A1976,atlas!C:C,0)),"")</f>
        <v/>
      </c>
      <c r="D1976" s="8" t="str">
        <f t="array" ref="D1976">IFERROR(INDEX(atlas!D:D,MATCH(A1976,atlas!C:C,0)),"")</f>
        <v/>
      </c>
      <c r="E1976" s="8" t="str">
        <f t="array" ref="E1976">IFERROR(INDEX(atlas!F:F,MATCH(A1976,atlas!C:C,0)),"")</f>
        <v/>
      </c>
      <c r="F1976" s="9"/>
      <c r="G1976" s="10"/>
      <c r="H1976" s="11"/>
      <c r="I1976" s="12" t="str">
        <f t="array" ref="I1976">IFERROR(INDEX(atlas!B:B,MATCH(A1976,atlas!C:C,0)),"")</f>
        <v/>
      </c>
      <c r="J1976" s="8" t="str">
        <f>IFERROR(VLOOKUP(F1976,tecnica!A:B,2,0),"")</f>
        <v/>
      </c>
      <c r="K1976" s="8" t="str">
        <f>IFERROR(VLOOKUP(J1976,tecnica!B:C,2,0),"")</f>
        <v/>
      </c>
      <c r="L1976" s="13"/>
      <c r="M1976" s="14" t="str">
        <f>IFERROR(VLOOKUP(I1976,material!A:D,4,0),"")</f>
        <v/>
      </c>
      <c r="N1976" s="14" t="str">
        <f t="shared" si="1"/>
        <v/>
      </c>
      <c r="O1976" s="15" t="str">
        <f>IFERROR(VLOOKUP(I1976,material!A:D,2,0),"")</f>
        <v/>
      </c>
    </row>
    <row r="1977">
      <c r="A1977" s="6"/>
      <c r="B1977" s="7"/>
      <c r="C1977" s="8" t="str">
        <f t="array" ref="C1977">IFERROR(INDEX(atlas!H:H,MATCH(A1977,atlas!C:C,0)),"")</f>
        <v/>
      </c>
      <c r="D1977" s="8" t="str">
        <f t="array" ref="D1977">IFERROR(INDEX(atlas!D:D,MATCH(A1977,atlas!C:C,0)),"")</f>
        <v/>
      </c>
      <c r="E1977" s="8" t="str">
        <f t="array" ref="E1977">IFERROR(INDEX(atlas!F:F,MATCH(A1977,atlas!C:C,0)),"")</f>
        <v/>
      </c>
      <c r="F1977" s="9"/>
      <c r="G1977" s="10"/>
      <c r="H1977" s="11"/>
      <c r="I1977" s="12" t="str">
        <f t="array" ref="I1977">IFERROR(INDEX(atlas!B:B,MATCH(A1977,atlas!C:C,0)),"")</f>
        <v/>
      </c>
      <c r="J1977" s="8" t="str">
        <f>IFERROR(VLOOKUP(F1977,tecnica!A:B,2,0),"")</f>
        <v/>
      </c>
      <c r="K1977" s="8" t="str">
        <f>IFERROR(VLOOKUP(J1977,tecnica!B:C,2,0),"")</f>
        <v/>
      </c>
      <c r="L1977" s="13"/>
      <c r="M1977" s="14" t="str">
        <f>IFERROR(VLOOKUP(I1977,material!A:D,4,0),"")</f>
        <v/>
      </c>
      <c r="N1977" s="14" t="str">
        <f t="shared" si="1"/>
        <v/>
      </c>
      <c r="O1977" s="15" t="str">
        <f>IFERROR(VLOOKUP(I1977,material!A:D,2,0),"")</f>
        <v/>
      </c>
    </row>
    <row r="1978">
      <c r="A1978" s="6"/>
      <c r="B1978" s="7"/>
      <c r="C1978" s="8" t="str">
        <f t="array" ref="C1978">IFERROR(INDEX(atlas!H:H,MATCH(A1978,atlas!C:C,0)),"")</f>
        <v/>
      </c>
      <c r="D1978" s="8" t="str">
        <f t="array" ref="D1978">IFERROR(INDEX(atlas!D:D,MATCH(A1978,atlas!C:C,0)),"")</f>
        <v/>
      </c>
      <c r="E1978" s="8" t="str">
        <f t="array" ref="E1978">IFERROR(INDEX(atlas!F:F,MATCH(A1978,atlas!C:C,0)),"")</f>
        <v/>
      </c>
      <c r="F1978" s="9"/>
      <c r="G1978" s="10"/>
      <c r="H1978" s="11"/>
      <c r="I1978" s="12" t="str">
        <f t="array" ref="I1978">IFERROR(INDEX(atlas!B:B,MATCH(A1978,atlas!C:C,0)),"")</f>
        <v/>
      </c>
      <c r="J1978" s="8" t="str">
        <f>IFERROR(VLOOKUP(F1978,tecnica!A:B,2,0),"")</f>
        <v/>
      </c>
      <c r="K1978" s="8" t="str">
        <f>IFERROR(VLOOKUP(J1978,tecnica!B:C,2,0),"")</f>
        <v/>
      </c>
      <c r="L1978" s="13"/>
      <c r="M1978" s="14" t="str">
        <f>IFERROR(VLOOKUP(I1978,material!A:D,4,0),"")</f>
        <v/>
      </c>
      <c r="N1978" s="14" t="str">
        <f t="shared" si="1"/>
        <v/>
      </c>
      <c r="O1978" s="15" t="str">
        <f>IFERROR(VLOOKUP(I1978,material!A:D,2,0),"")</f>
        <v/>
      </c>
    </row>
    <row r="1979">
      <c r="A1979" s="6"/>
      <c r="B1979" s="7"/>
      <c r="C1979" s="8" t="str">
        <f t="array" ref="C1979">IFERROR(INDEX(atlas!H:H,MATCH(A1979,atlas!C:C,0)),"")</f>
        <v/>
      </c>
      <c r="D1979" s="8" t="str">
        <f t="array" ref="D1979">IFERROR(INDEX(atlas!D:D,MATCH(A1979,atlas!C:C,0)),"")</f>
        <v/>
      </c>
      <c r="E1979" s="8" t="str">
        <f t="array" ref="E1979">IFERROR(INDEX(atlas!F:F,MATCH(A1979,atlas!C:C,0)),"")</f>
        <v/>
      </c>
      <c r="F1979" s="9"/>
      <c r="G1979" s="10"/>
      <c r="H1979" s="11"/>
      <c r="I1979" s="12" t="str">
        <f t="array" ref="I1979">IFERROR(INDEX(atlas!B:B,MATCH(A1979,atlas!C:C,0)),"")</f>
        <v/>
      </c>
      <c r="J1979" s="8" t="str">
        <f>IFERROR(VLOOKUP(F1979,tecnica!A:B,2,0),"")</f>
        <v/>
      </c>
      <c r="K1979" s="8" t="str">
        <f>IFERROR(VLOOKUP(J1979,tecnica!B:C,2,0),"")</f>
        <v/>
      </c>
      <c r="L1979" s="13"/>
      <c r="M1979" s="14" t="str">
        <f>IFERROR(VLOOKUP(I1979,material!A:D,4,0),"")</f>
        <v/>
      </c>
      <c r="N1979" s="14" t="str">
        <f t="shared" si="1"/>
        <v/>
      </c>
      <c r="O1979" s="15" t="str">
        <f>IFERROR(VLOOKUP(I1979,material!A:D,2,0),"")</f>
        <v/>
      </c>
    </row>
    <row r="1980">
      <c r="A1980" s="6"/>
      <c r="B1980" s="7"/>
      <c r="C1980" s="8" t="str">
        <f t="array" ref="C1980">IFERROR(INDEX(atlas!H:H,MATCH(A1980,atlas!C:C,0)),"")</f>
        <v/>
      </c>
      <c r="D1980" s="8" t="str">
        <f t="array" ref="D1980">IFERROR(INDEX(atlas!D:D,MATCH(A1980,atlas!C:C,0)),"")</f>
        <v/>
      </c>
      <c r="E1980" s="8" t="str">
        <f t="array" ref="E1980">IFERROR(INDEX(atlas!F:F,MATCH(A1980,atlas!C:C,0)),"")</f>
        <v/>
      </c>
      <c r="F1980" s="9"/>
      <c r="G1980" s="10"/>
      <c r="H1980" s="11"/>
      <c r="I1980" s="12" t="str">
        <f t="array" ref="I1980">IFERROR(INDEX(atlas!B:B,MATCH(A1980,atlas!C:C,0)),"")</f>
        <v/>
      </c>
      <c r="J1980" s="8" t="str">
        <f>IFERROR(VLOOKUP(F1980,tecnica!A:B,2,0),"")</f>
        <v/>
      </c>
      <c r="K1980" s="8" t="str">
        <f>IFERROR(VLOOKUP(J1980,tecnica!B:C,2,0),"")</f>
        <v/>
      </c>
      <c r="L1980" s="13"/>
      <c r="M1980" s="14" t="str">
        <f>IFERROR(VLOOKUP(I1980,material!A:D,4,0),"")</f>
        <v/>
      </c>
      <c r="N1980" s="14" t="str">
        <f t="shared" si="1"/>
        <v/>
      </c>
      <c r="O1980" s="15" t="str">
        <f>IFERROR(VLOOKUP(I1980,material!A:D,2,0),"")</f>
        <v/>
      </c>
    </row>
    <row r="1981">
      <c r="A1981" s="6"/>
      <c r="B1981" s="7"/>
      <c r="C1981" s="8" t="str">
        <f t="array" ref="C1981">IFERROR(INDEX(atlas!H:H,MATCH(A1981,atlas!C:C,0)),"")</f>
        <v/>
      </c>
      <c r="D1981" s="8" t="str">
        <f t="array" ref="D1981">IFERROR(INDEX(atlas!D:D,MATCH(A1981,atlas!C:C,0)),"")</f>
        <v/>
      </c>
      <c r="E1981" s="8" t="str">
        <f t="array" ref="E1981">IFERROR(INDEX(atlas!F:F,MATCH(A1981,atlas!C:C,0)),"")</f>
        <v/>
      </c>
      <c r="F1981" s="9"/>
      <c r="G1981" s="10"/>
      <c r="H1981" s="11"/>
      <c r="I1981" s="12" t="str">
        <f t="array" ref="I1981">IFERROR(INDEX(atlas!B:B,MATCH(A1981,atlas!C:C,0)),"")</f>
        <v/>
      </c>
      <c r="J1981" s="8" t="str">
        <f>IFERROR(VLOOKUP(F1981,tecnica!A:B,2,0),"")</f>
        <v/>
      </c>
      <c r="K1981" s="8" t="str">
        <f>IFERROR(VLOOKUP(J1981,tecnica!B:C,2,0),"")</f>
        <v/>
      </c>
      <c r="L1981" s="13"/>
      <c r="M1981" s="14" t="str">
        <f>IFERROR(VLOOKUP(I1981,material!A:D,4,0),"")</f>
        <v/>
      </c>
      <c r="N1981" s="14" t="str">
        <f t="shared" si="1"/>
        <v/>
      </c>
      <c r="O1981" s="15" t="str">
        <f>IFERROR(VLOOKUP(I1981,material!A:D,2,0),"")</f>
        <v/>
      </c>
    </row>
    <row r="1982">
      <c r="A1982" s="6"/>
      <c r="B1982" s="7"/>
      <c r="C1982" s="8" t="str">
        <f t="array" ref="C1982">IFERROR(INDEX(atlas!H:H,MATCH(A1982,atlas!C:C,0)),"")</f>
        <v/>
      </c>
      <c r="D1982" s="8" t="str">
        <f t="array" ref="D1982">IFERROR(INDEX(atlas!D:D,MATCH(A1982,atlas!C:C,0)),"")</f>
        <v/>
      </c>
      <c r="E1982" s="8" t="str">
        <f t="array" ref="E1982">IFERROR(INDEX(atlas!F:F,MATCH(A1982,atlas!C:C,0)),"")</f>
        <v/>
      </c>
      <c r="F1982" s="9"/>
      <c r="G1982" s="10"/>
      <c r="H1982" s="11"/>
      <c r="I1982" s="12" t="str">
        <f t="array" ref="I1982">IFERROR(INDEX(atlas!B:B,MATCH(A1982,atlas!C:C,0)),"")</f>
        <v/>
      </c>
      <c r="J1982" s="8" t="str">
        <f>IFERROR(VLOOKUP(F1982,tecnica!A:B,2,0),"")</f>
        <v/>
      </c>
      <c r="K1982" s="8" t="str">
        <f>IFERROR(VLOOKUP(J1982,tecnica!B:C,2,0),"")</f>
        <v/>
      </c>
      <c r="L1982" s="13"/>
      <c r="M1982" s="14" t="str">
        <f>IFERROR(VLOOKUP(I1982,material!A:D,4,0),"")</f>
        <v/>
      </c>
      <c r="N1982" s="14" t="str">
        <f t="shared" si="1"/>
        <v/>
      </c>
      <c r="O1982" s="15" t="str">
        <f>IFERROR(VLOOKUP(I1982,material!A:D,2,0),"")</f>
        <v/>
      </c>
    </row>
    <row r="1983">
      <c r="A1983" s="6"/>
      <c r="B1983" s="7"/>
      <c r="C1983" s="8" t="str">
        <f t="array" ref="C1983">IFERROR(INDEX(atlas!H:H,MATCH(A1983,atlas!C:C,0)),"")</f>
        <v/>
      </c>
      <c r="D1983" s="8" t="str">
        <f t="array" ref="D1983">IFERROR(INDEX(atlas!D:D,MATCH(A1983,atlas!C:C,0)),"")</f>
        <v/>
      </c>
      <c r="E1983" s="8" t="str">
        <f t="array" ref="E1983">IFERROR(INDEX(atlas!F:F,MATCH(A1983,atlas!C:C,0)),"")</f>
        <v/>
      </c>
      <c r="F1983" s="9"/>
      <c r="G1983" s="10"/>
      <c r="H1983" s="11"/>
      <c r="I1983" s="12" t="str">
        <f t="array" ref="I1983">IFERROR(INDEX(atlas!B:B,MATCH(A1983,atlas!C:C,0)),"")</f>
        <v/>
      </c>
      <c r="J1983" s="8" t="str">
        <f>IFERROR(VLOOKUP(F1983,tecnica!A:B,2,0),"")</f>
        <v/>
      </c>
      <c r="K1983" s="8" t="str">
        <f>IFERROR(VLOOKUP(J1983,tecnica!B:C,2,0),"")</f>
        <v/>
      </c>
      <c r="L1983" s="13"/>
      <c r="M1983" s="14" t="str">
        <f>IFERROR(VLOOKUP(I1983,material!A:D,4,0),"")</f>
        <v/>
      </c>
      <c r="N1983" s="14" t="str">
        <f t="shared" si="1"/>
        <v/>
      </c>
      <c r="O1983" s="15" t="str">
        <f>IFERROR(VLOOKUP(I1983,material!A:D,2,0),"")</f>
        <v/>
      </c>
    </row>
    <row r="1984">
      <c r="A1984" s="6"/>
      <c r="B1984" s="7"/>
      <c r="C1984" s="8" t="str">
        <f t="array" ref="C1984">IFERROR(INDEX(atlas!H:H,MATCH(A1984,atlas!C:C,0)),"")</f>
        <v/>
      </c>
      <c r="D1984" s="8" t="str">
        <f t="array" ref="D1984">IFERROR(INDEX(atlas!D:D,MATCH(A1984,atlas!C:C,0)),"")</f>
        <v/>
      </c>
      <c r="E1984" s="8" t="str">
        <f t="array" ref="E1984">IFERROR(INDEX(atlas!F:F,MATCH(A1984,atlas!C:C,0)),"")</f>
        <v/>
      </c>
      <c r="F1984" s="9"/>
      <c r="G1984" s="10"/>
      <c r="H1984" s="11"/>
      <c r="I1984" s="12" t="str">
        <f t="array" ref="I1984">IFERROR(INDEX(atlas!B:B,MATCH(A1984,atlas!C:C,0)),"")</f>
        <v/>
      </c>
      <c r="J1984" s="8" t="str">
        <f>IFERROR(VLOOKUP(F1984,tecnica!A:B,2,0),"")</f>
        <v/>
      </c>
      <c r="K1984" s="8" t="str">
        <f>IFERROR(VLOOKUP(J1984,tecnica!B:C,2,0),"")</f>
        <v/>
      </c>
      <c r="L1984" s="13"/>
      <c r="M1984" s="14" t="str">
        <f>IFERROR(VLOOKUP(I1984,material!A:D,4,0),"")</f>
        <v/>
      </c>
      <c r="N1984" s="14" t="str">
        <f t="shared" si="1"/>
        <v/>
      </c>
      <c r="O1984" s="15" t="str">
        <f>IFERROR(VLOOKUP(I1984,material!A:D,2,0),"")</f>
        <v/>
      </c>
    </row>
    <row r="1985">
      <c r="A1985" s="6"/>
      <c r="B1985" s="7"/>
      <c r="C1985" s="8" t="str">
        <f t="array" ref="C1985">IFERROR(INDEX(atlas!H:H,MATCH(A1985,atlas!C:C,0)),"")</f>
        <v/>
      </c>
      <c r="D1985" s="8" t="str">
        <f t="array" ref="D1985">IFERROR(INDEX(atlas!D:D,MATCH(A1985,atlas!C:C,0)),"")</f>
        <v/>
      </c>
      <c r="E1985" s="8" t="str">
        <f t="array" ref="E1985">IFERROR(INDEX(atlas!F:F,MATCH(A1985,atlas!C:C,0)),"")</f>
        <v/>
      </c>
      <c r="F1985" s="9"/>
      <c r="G1985" s="10"/>
      <c r="H1985" s="11"/>
      <c r="I1985" s="12" t="str">
        <f t="array" ref="I1985">IFERROR(INDEX(atlas!B:B,MATCH(A1985,atlas!C:C,0)),"")</f>
        <v/>
      </c>
      <c r="J1985" s="8" t="str">
        <f>IFERROR(VLOOKUP(F1985,tecnica!A:B,2,0),"")</f>
        <v/>
      </c>
      <c r="K1985" s="8" t="str">
        <f>IFERROR(VLOOKUP(J1985,tecnica!B:C,2,0),"")</f>
        <v/>
      </c>
      <c r="L1985" s="13"/>
      <c r="M1985" s="14" t="str">
        <f>IFERROR(VLOOKUP(I1985,material!A:D,4,0),"")</f>
        <v/>
      </c>
      <c r="N1985" s="14" t="str">
        <f t="shared" si="1"/>
        <v/>
      </c>
      <c r="O1985" s="15" t="str">
        <f>IFERROR(VLOOKUP(I1985,material!A:D,2,0),"")</f>
        <v/>
      </c>
    </row>
    <row r="1986">
      <c r="A1986" s="6"/>
      <c r="B1986" s="7"/>
      <c r="C1986" s="8" t="str">
        <f t="array" ref="C1986">IFERROR(INDEX(atlas!H:H,MATCH(A1986,atlas!C:C,0)),"")</f>
        <v/>
      </c>
      <c r="D1986" s="8" t="str">
        <f t="array" ref="D1986">IFERROR(INDEX(atlas!D:D,MATCH(A1986,atlas!C:C,0)),"")</f>
        <v/>
      </c>
      <c r="E1986" s="8" t="str">
        <f t="array" ref="E1986">IFERROR(INDEX(atlas!F:F,MATCH(A1986,atlas!C:C,0)),"")</f>
        <v/>
      </c>
      <c r="F1986" s="9"/>
      <c r="G1986" s="10"/>
      <c r="H1986" s="11"/>
      <c r="I1986" s="12" t="str">
        <f t="array" ref="I1986">IFERROR(INDEX(atlas!B:B,MATCH(A1986,atlas!C:C,0)),"")</f>
        <v/>
      </c>
      <c r="J1986" s="8" t="str">
        <f>IFERROR(VLOOKUP(F1986,tecnica!A:B,2,0),"")</f>
        <v/>
      </c>
      <c r="K1986" s="8" t="str">
        <f>IFERROR(VLOOKUP(J1986,tecnica!B:C,2,0),"")</f>
        <v/>
      </c>
      <c r="L1986" s="13"/>
      <c r="M1986" s="14" t="str">
        <f>IFERROR(VLOOKUP(I1986,material!A:D,4,0),"")</f>
        <v/>
      </c>
      <c r="N1986" s="14" t="str">
        <f t="shared" si="1"/>
        <v/>
      </c>
      <c r="O1986" s="15" t="str">
        <f>IFERROR(VLOOKUP(I1986,material!A:D,2,0),"")</f>
        <v/>
      </c>
    </row>
    <row r="1987">
      <c r="A1987" s="6"/>
      <c r="B1987" s="7"/>
      <c r="C1987" s="8" t="str">
        <f t="array" ref="C1987">IFERROR(INDEX(atlas!H:H,MATCH(A1987,atlas!C:C,0)),"")</f>
        <v/>
      </c>
      <c r="D1987" s="8" t="str">
        <f t="array" ref="D1987">IFERROR(INDEX(atlas!D:D,MATCH(A1987,atlas!C:C,0)),"")</f>
        <v/>
      </c>
      <c r="E1987" s="8" t="str">
        <f t="array" ref="E1987">IFERROR(INDEX(atlas!F:F,MATCH(A1987,atlas!C:C,0)),"")</f>
        <v/>
      </c>
      <c r="F1987" s="9"/>
      <c r="G1987" s="10"/>
      <c r="H1987" s="11"/>
      <c r="I1987" s="12" t="str">
        <f t="array" ref="I1987">IFERROR(INDEX(atlas!B:B,MATCH(A1987,atlas!C:C,0)),"")</f>
        <v/>
      </c>
      <c r="J1987" s="8" t="str">
        <f>IFERROR(VLOOKUP(F1987,tecnica!A:B,2,0),"")</f>
        <v/>
      </c>
      <c r="K1987" s="8" t="str">
        <f>IFERROR(VLOOKUP(J1987,tecnica!B:C,2,0),"")</f>
        <v/>
      </c>
      <c r="L1987" s="13"/>
      <c r="M1987" s="14" t="str">
        <f>IFERROR(VLOOKUP(I1987,material!A:D,4,0),"")</f>
        <v/>
      </c>
      <c r="N1987" s="14" t="str">
        <f t="shared" si="1"/>
        <v/>
      </c>
      <c r="O1987" s="15" t="str">
        <f>IFERROR(VLOOKUP(I1987,material!A:D,2,0),"")</f>
        <v/>
      </c>
    </row>
    <row r="1988">
      <c r="A1988" s="6"/>
      <c r="B1988" s="7"/>
      <c r="C1988" s="8" t="str">
        <f t="array" ref="C1988">IFERROR(INDEX(atlas!H:H,MATCH(A1988,atlas!C:C,0)),"")</f>
        <v/>
      </c>
      <c r="D1988" s="8" t="str">
        <f t="array" ref="D1988">IFERROR(INDEX(atlas!D:D,MATCH(A1988,atlas!C:C,0)),"")</f>
        <v/>
      </c>
      <c r="E1988" s="8" t="str">
        <f t="array" ref="E1988">IFERROR(INDEX(atlas!F:F,MATCH(A1988,atlas!C:C,0)),"")</f>
        <v/>
      </c>
      <c r="F1988" s="9"/>
      <c r="G1988" s="10"/>
      <c r="H1988" s="11"/>
      <c r="I1988" s="12" t="str">
        <f t="array" ref="I1988">IFERROR(INDEX(atlas!B:B,MATCH(A1988,atlas!C:C,0)),"")</f>
        <v/>
      </c>
      <c r="J1988" s="8" t="str">
        <f>IFERROR(VLOOKUP(F1988,tecnica!A:B,2,0),"")</f>
        <v/>
      </c>
      <c r="K1988" s="8" t="str">
        <f>IFERROR(VLOOKUP(J1988,tecnica!B:C,2,0),"")</f>
        <v/>
      </c>
      <c r="L1988" s="13"/>
      <c r="M1988" s="14" t="str">
        <f>IFERROR(VLOOKUP(I1988,material!A:D,4,0),"")</f>
        <v/>
      </c>
      <c r="N1988" s="14" t="str">
        <f t="shared" si="1"/>
        <v/>
      </c>
      <c r="O1988" s="15" t="str">
        <f>IFERROR(VLOOKUP(I1988,material!A:D,2,0),"")</f>
        <v/>
      </c>
    </row>
    <row r="1989">
      <c r="A1989" s="6"/>
      <c r="B1989" s="7"/>
      <c r="C1989" s="8" t="str">
        <f t="array" ref="C1989">IFERROR(INDEX(atlas!H:H,MATCH(A1989,atlas!C:C,0)),"")</f>
        <v/>
      </c>
      <c r="D1989" s="8" t="str">
        <f t="array" ref="D1989">IFERROR(INDEX(atlas!D:D,MATCH(A1989,atlas!C:C,0)),"")</f>
        <v/>
      </c>
      <c r="E1989" s="8" t="str">
        <f t="array" ref="E1989">IFERROR(INDEX(atlas!F:F,MATCH(A1989,atlas!C:C,0)),"")</f>
        <v/>
      </c>
      <c r="F1989" s="9"/>
      <c r="G1989" s="10"/>
      <c r="H1989" s="11"/>
      <c r="I1989" s="12" t="str">
        <f t="array" ref="I1989">IFERROR(INDEX(atlas!B:B,MATCH(A1989,atlas!C:C,0)),"")</f>
        <v/>
      </c>
      <c r="J1989" s="8" t="str">
        <f>IFERROR(VLOOKUP(F1989,tecnica!A:B,2,0),"")</f>
        <v/>
      </c>
      <c r="K1989" s="8" t="str">
        <f>IFERROR(VLOOKUP(J1989,tecnica!B:C,2,0),"")</f>
        <v/>
      </c>
      <c r="L1989" s="13"/>
      <c r="M1989" s="14" t="str">
        <f>IFERROR(VLOOKUP(I1989,material!A:D,4,0),"")</f>
        <v/>
      </c>
      <c r="N1989" s="14" t="str">
        <f t="shared" si="1"/>
        <v/>
      </c>
      <c r="O1989" s="15" t="str">
        <f>IFERROR(VLOOKUP(I1989,material!A:D,2,0),"")</f>
        <v/>
      </c>
    </row>
    <row r="1990">
      <c r="A1990" s="6"/>
      <c r="B1990" s="7"/>
      <c r="C1990" s="8" t="str">
        <f t="array" ref="C1990">IFERROR(INDEX(atlas!H:H,MATCH(A1990,atlas!C:C,0)),"")</f>
        <v/>
      </c>
      <c r="D1990" s="8" t="str">
        <f t="array" ref="D1990">IFERROR(INDEX(atlas!D:D,MATCH(A1990,atlas!C:C,0)),"")</f>
        <v/>
      </c>
      <c r="E1990" s="8" t="str">
        <f t="array" ref="E1990">IFERROR(INDEX(atlas!F:F,MATCH(A1990,atlas!C:C,0)),"")</f>
        <v/>
      </c>
      <c r="F1990" s="9"/>
      <c r="G1990" s="10"/>
      <c r="H1990" s="11"/>
      <c r="I1990" s="12" t="str">
        <f t="array" ref="I1990">IFERROR(INDEX(atlas!B:B,MATCH(A1990,atlas!C:C,0)),"")</f>
        <v/>
      </c>
      <c r="J1990" s="8" t="str">
        <f>IFERROR(VLOOKUP(F1990,tecnica!A:B,2,0),"")</f>
        <v/>
      </c>
      <c r="K1990" s="8" t="str">
        <f>IFERROR(VLOOKUP(J1990,tecnica!B:C,2,0),"")</f>
        <v/>
      </c>
      <c r="L1990" s="13"/>
      <c r="M1990" s="14" t="str">
        <f>IFERROR(VLOOKUP(I1990,material!A:D,4,0),"")</f>
        <v/>
      </c>
      <c r="N1990" s="14" t="str">
        <f t="shared" si="1"/>
        <v/>
      </c>
      <c r="O1990" s="15" t="str">
        <f>IFERROR(VLOOKUP(I1990,material!A:D,2,0),"")</f>
        <v/>
      </c>
    </row>
    <row r="1991">
      <c r="A1991" s="6"/>
      <c r="B1991" s="7"/>
      <c r="C1991" s="8" t="str">
        <f t="array" ref="C1991">IFERROR(INDEX(atlas!H:H,MATCH(A1991,atlas!C:C,0)),"")</f>
        <v/>
      </c>
      <c r="D1991" s="8" t="str">
        <f t="array" ref="D1991">IFERROR(INDEX(atlas!D:D,MATCH(A1991,atlas!C:C,0)),"")</f>
        <v/>
      </c>
      <c r="E1991" s="8" t="str">
        <f t="array" ref="E1991">IFERROR(INDEX(atlas!F:F,MATCH(A1991,atlas!C:C,0)),"")</f>
        <v/>
      </c>
      <c r="F1991" s="9"/>
      <c r="G1991" s="10"/>
      <c r="H1991" s="11"/>
      <c r="I1991" s="12" t="str">
        <f t="array" ref="I1991">IFERROR(INDEX(atlas!B:B,MATCH(A1991,atlas!C:C,0)),"")</f>
        <v/>
      </c>
      <c r="J1991" s="8" t="str">
        <f>IFERROR(VLOOKUP(F1991,tecnica!A:B,2,0),"")</f>
        <v/>
      </c>
      <c r="K1991" s="8" t="str">
        <f>IFERROR(VLOOKUP(J1991,tecnica!B:C,2,0),"")</f>
        <v/>
      </c>
      <c r="L1991" s="13"/>
      <c r="M1991" s="14" t="str">
        <f>IFERROR(VLOOKUP(I1991,material!A:D,4,0),"")</f>
        <v/>
      </c>
      <c r="N1991" s="14" t="str">
        <f t="shared" si="1"/>
        <v/>
      </c>
      <c r="O1991" s="15" t="str">
        <f>IFERROR(VLOOKUP(I1991,material!A:D,2,0),"")</f>
        <v/>
      </c>
    </row>
    <row r="1992">
      <c r="A1992" s="6"/>
      <c r="B1992" s="7"/>
      <c r="C1992" s="8" t="str">
        <f t="array" ref="C1992">IFERROR(INDEX(atlas!H:H,MATCH(A1992,atlas!C:C,0)),"")</f>
        <v/>
      </c>
      <c r="D1992" s="8" t="str">
        <f t="array" ref="D1992">IFERROR(INDEX(atlas!D:D,MATCH(A1992,atlas!C:C,0)),"")</f>
        <v/>
      </c>
      <c r="E1992" s="8" t="str">
        <f t="array" ref="E1992">IFERROR(INDEX(atlas!F:F,MATCH(A1992,atlas!C:C,0)),"")</f>
        <v/>
      </c>
      <c r="F1992" s="9"/>
      <c r="G1992" s="10"/>
      <c r="H1992" s="11"/>
      <c r="I1992" s="12" t="str">
        <f t="array" ref="I1992">IFERROR(INDEX(atlas!B:B,MATCH(A1992,atlas!C:C,0)),"")</f>
        <v/>
      </c>
      <c r="J1992" s="8" t="str">
        <f>IFERROR(VLOOKUP(F1992,tecnica!A:B,2,0),"")</f>
        <v/>
      </c>
      <c r="K1992" s="8" t="str">
        <f>IFERROR(VLOOKUP(J1992,tecnica!B:C,2,0),"")</f>
        <v/>
      </c>
      <c r="L1992" s="13"/>
      <c r="M1992" s="14" t="str">
        <f>IFERROR(VLOOKUP(I1992,material!A:D,4,0),"")</f>
        <v/>
      </c>
      <c r="N1992" s="14" t="str">
        <f t="shared" si="1"/>
        <v/>
      </c>
      <c r="O1992" s="15" t="str">
        <f>IFERROR(VLOOKUP(I1992,material!A:D,2,0),"")</f>
        <v/>
      </c>
    </row>
    <row r="1993">
      <c r="A1993" s="6"/>
      <c r="B1993" s="7"/>
      <c r="C1993" s="8" t="str">
        <f t="array" ref="C1993">IFERROR(INDEX(atlas!H:H,MATCH(A1993,atlas!C:C,0)),"")</f>
        <v/>
      </c>
      <c r="D1993" s="8" t="str">
        <f t="array" ref="D1993">IFERROR(INDEX(atlas!D:D,MATCH(A1993,atlas!C:C,0)),"")</f>
        <v/>
      </c>
      <c r="E1993" s="8" t="str">
        <f t="array" ref="E1993">IFERROR(INDEX(atlas!F:F,MATCH(A1993,atlas!C:C,0)),"")</f>
        <v/>
      </c>
      <c r="F1993" s="9"/>
      <c r="G1993" s="10"/>
      <c r="H1993" s="11"/>
      <c r="I1993" s="12" t="str">
        <f t="array" ref="I1993">IFERROR(INDEX(atlas!B:B,MATCH(A1993,atlas!C:C,0)),"")</f>
        <v/>
      </c>
      <c r="J1993" s="8" t="str">
        <f>IFERROR(VLOOKUP(F1993,tecnica!A:B,2,0),"")</f>
        <v/>
      </c>
      <c r="K1993" s="8" t="str">
        <f>IFERROR(VLOOKUP(J1993,tecnica!B:C,2,0),"")</f>
        <v/>
      </c>
      <c r="L1993" s="13"/>
      <c r="M1993" s="14" t="str">
        <f>IFERROR(VLOOKUP(I1993,material!A:D,4,0),"")</f>
        <v/>
      </c>
      <c r="N1993" s="14" t="str">
        <f t="shared" si="1"/>
        <v/>
      </c>
      <c r="O1993" s="15" t="str">
        <f>IFERROR(VLOOKUP(I1993,material!A:D,2,0),"")</f>
        <v/>
      </c>
    </row>
    <row r="1994">
      <c r="A1994" s="6"/>
      <c r="B1994" s="7"/>
      <c r="C1994" s="8" t="str">
        <f t="array" ref="C1994">IFERROR(INDEX(atlas!H:H,MATCH(A1994,atlas!C:C,0)),"")</f>
        <v/>
      </c>
      <c r="D1994" s="8" t="str">
        <f t="array" ref="D1994">IFERROR(INDEX(atlas!D:D,MATCH(A1994,atlas!C:C,0)),"")</f>
        <v/>
      </c>
      <c r="E1994" s="8" t="str">
        <f t="array" ref="E1994">IFERROR(INDEX(atlas!F:F,MATCH(A1994,atlas!C:C,0)),"")</f>
        <v/>
      </c>
      <c r="F1994" s="9"/>
      <c r="G1994" s="10"/>
      <c r="H1994" s="11"/>
      <c r="I1994" s="12" t="str">
        <f t="array" ref="I1994">IFERROR(INDEX(atlas!B:B,MATCH(A1994,atlas!C:C,0)),"")</f>
        <v/>
      </c>
      <c r="J1994" s="8" t="str">
        <f>IFERROR(VLOOKUP(F1994,tecnica!A:B,2,0),"")</f>
        <v/>
      </c>
      <c r="K1994" s="8" t="str">
        <f>IFERROR(VLOOKUP(J1994,tecnica!B:C,2,0),"")</f>
        <v/>
      </c>
      <c r="L1994" s="13"/>
      <c r="M1994" s="14" t="str">
        <f>IFERROR(VLOOKUP(I1994,material!A:D,4,0),"")</f>
        <v/>
      </c>
      <c r="N1994" s="14" t="str">
        <f t="shared" si="1"/>
        <v/>
      </c>
      <c r="O1994" s="15" t="str">
        <f>IFERROR(VLOOKUP(I1994,material!A:D,2,0),"")</f>
        <v/>
      </c>
    </row>
    <row r="1995">
      <c r="A1995" s="6"/>
      <c r="B1995" s="7"/>
      <c r="C1995" s="8" t="str">
        <f t="array" ref="C1995">IFERROR(INDEX(atlas!H:H,MATCH(A1995,atlas!C:C,0)),"")</f>
        <v/>
      </c>
      <c r="D1995" s="8" t="str">
        <f t="array" ref="D1995">IFERROR(INDEX(atlas!D:D,MATCH(A1995,atlas!C:C,0)),"")</f>
        <v/>
      </c>
      <c r="E1995" s="8" t="str">
        <f t="array" ref="E1995">IFERROR(INDEX(atlas!F:F,MATCH(A1995,atlas!C:C,0)),"")</f>
        <v/>
      </c>
      <c r="F1995" s="9"/>
      <c r="G1995" s="10"/>
      <c r="H1995" s="11"/>
      <c r="I1995" s="12" t="str">
        <f t="array" ref="I1995">IFERROR(INDEX(atlas!B:B,MATCH(A1995,atlas!C:C,0)),"")</f>
        <v/>
      </c>
      <c r="J1995" s="8" t="str">
        <f>IFERROR(VLOOKUP(F1995,tecnica!A:B,2,0),"")</f>
        <v/>
      </c>
      <c r="K1995" s="8" t="str">
        <f>IFERROR(VLOOKUP(J1995,tecnica!B:C,2,0),"")</f>
        <v/>
      </c>
      <c r="L1995" s="13"/>
      <c r="M1995" s="14" t="str">
        <f>IFERROR(VLOOKUP(I1995,material!A:D,4,0),"")</f>
        <v/>
      </c>
      <c r="N1995" s="14" t="str">
        <f t="shared" si="1"/>
        <v/>
      </c>
      <c r="O1995" s="15" t="str">
        <f>IFERROR(VLOOKUP(I1995,material!A:D,2,0),"")</f>
        <v/>
      </c>
    </row>
    <row r="1996">
      <c r="A1996" s="6"/>
      <c r="B1996" s="7"/>
      <c r="C1996" s="8" t="str">
        <f t="array" ref="C1996">IFERROR(INDEX(atlas!H:H,MATCH(A1996,atlas!C:C,0)),"")</f>
        <v/>
      </c>
      <c r="D1996" s="8" t="str">
        <f t="array" ref="D1996">IFERROR(INDEX(atlas!D:D,MATCH(A1996,atlas!C:C,0)),"")</f>
        <v/>
      </c>
      <c r="E1996" s="8" t="str">
        <f t="array" ref="E1996">IFERROR(INDEX(atlas!F:F,MATCH(A1996,atlas!C:C,0)),"")</f>
        <v/>
      </c>
      <c r="F1996" s="9"/>
      <c r="G1996" s="10"/>
      <c r="H1996" s="11"/>
      <c r="I1996" s="12" t="str">
        <f t="array" ref="I1996">IFERROR(INDEX(atlas!B:B,MATCH(A1996,atlas!C:C,0)),"")</f>
        <v/>
      </c>
      <c r="J1996" s="8" t="str">
        <f>IFERROR(VLOOKUP(F1996,tecnica!A:B,2,0),"")</f>
        <v/>
      </c>
      <c r="K1996" s="8" t="str">
        <f>IFERROR(VLOOKUP(J1996,tecnica!B:C,2,0),"")</f>
        <v/>
      </c>
      <c r="L1996" s="13"/>
      <c r="M1996" s="14" t="str">
        <f>IFERROR(VLOOKUP(I1996,material!A:D,4,0),"")</f>
        <v/>
      </c>
      <c r="N1996" s="14" t="str">
        <f t="shared" si="1"/>
        <v/>
      </c>
      <c r="O1996" s="15" t="str">
        <f>IFERROR(VLOOKUP(I1996,material!A:D,2,0),"")</f>
        <v/>
      </c>
    </row>
    <row r="1997">
      <c r="A1997" s="6"/>
      <c r="B1997" s="7"/>
      <c r="C1997" s="8" t="str">
        <f t="array" ref="C1997">IFERROR(INDEX(atlas!H:H,MATCH(A1997,atlas!C:C,0)),"")</f>
        <v/>
      </c>
      <c r="D1997" s="8" t="str">
        <f t="array" ref="D1997">IFERROR(INDEX(atlas!D:D,MATCH(A1997,atlas!C:C,0)),"")</f>
        <v/>
      </c>
      <c r="E1997" s="8" t="str">
        <f t="array" ref="E1997">IFERROR(INDEX(atlas!F:F,MATCH(A1997,atlas!C:C,0)),"")</f>
        <v/>
      </c>
      <c r="F1997" s="9"/>
      <c r="G1997" s="10"/>
      <c r="H1997" s="11"/>
      <c r="I1997" s="12" t="str">
        <f t="array" ref="I1997">IFERROR(INDEX(atlas!B:B,MATCH(A1997,atlas!C:C,0)),"")</f>
        <v/>
      </c>
      <c r="J1997" s="8" t="str">
        <f>IFERROR(VLOOKUP(F1997,tecnica!A:B,2,0),"")</f>
        <v/>
      </c>
      <c r="K1997" s="8" t="str">
        <f>IFERROR(VLOOKUP(J1997,tecnica!B:C,2,0),"")</f>
        <v/>
      </c>
      <c r="L1997" s="13"/>
      <c r="M1997" s="14" t="str">
        <f>IFERROR(VLOOKUP(I1997,material!A:D,4,0),"")</f>
        <v/>
      </c>
      <c r="N1997" s="14" t="str">
        <f t="shared" si="1"/>
        <v/>
      </c>
      <c r="O1997" s="15" t="str">
        <f>IFERROR(VLOOKUP(I1997,material!A:D,2,0),"")</f>
        <v/>
      </c>
    </row>
    <row r="1998">
      <c r="A1998" s="6"/>
      <c r="B1998" s="7"/>
      <c r="C1998" s="8" t="str">
        <f t="array" ref="C1998">IFERROR(INDEX(atlas!H:H,MATCH(A1998,atlas!C:C,0)),"")</f>
        <v/>
      </c>
      <c r="D1998" s="8" t="str">
        <f t="array" ref="D1998">IFERROR(INDEX(atlas!D:D,MATCH(A1998,atlas!C:C,0)),"")</f>
        <v/>
      </c>
      <c r="E1998" s="8" t="str">
        <f t="array" ref="E1998">IFERROR(INDEX(atlas!F:F,MATCH(A1998,atlas!C:C,0)),"")</f>
        <v/>
      </c>
      <c r="F1998" s="9"/>
      <c r="G1998" s="10"/>
      <c r="H1998" s="11"/>
      <c r="I1998" s="12" t="str">
        <f t="array" ref="I1998">IFERROR(INDEX(atlas!B:B,MATCH(A1998,atlas!C:C,0)),"")</f>
        <v/>
      </c>
      <c r="J1998" s="8" t="str">
        <f>IFERROR(VLOOKUP(F1998,tecnica!A:B,2,0),"")</f>
        <v/>
      </c>
      <c r="K1998" s="8" t="str">
        <f>IFERROR(VLOOKUP(J1998,tecnica!B:C,2,0),"")</f>
        <v/>
      </c>
      <c r="L1998" s="13"/>
      <c r="M1998" s="14" t="str">
        <f>IFERROR(VLOOKUP(I1998,material!A:D,4,0),"")</f>
        <v/>
      </c>
      <c r="N1998" s="14" t="str">
        <f t="shared" si="1"/>
        <v/>
      </c>
      <c r="O1998" s="15" t="str">
        <f>IFERROR(VLOOKUP(I1998,material!A:D,2,0),"")</f>
        <v/>
      </c>
    </row>
    <row r="1999">
      <c r="A1999" s="6"/>
      <c r="B1999" s="7"/>
      <c r="C1999" s="8" t="str">
        <f t="array" ref="C1999">IFERROR(INDEX(atlas!H:H,MATCH(A1999,atlas!C:C,0)),"")</f>
        <v/>
      </c>
      <c r="D1999" s="8" t="str">
        <f t="array" ref="D1999">IFERROR(INDEX(atlas!D:D,MATCH(A1999,atlas!C:C,0)),"")</f>
        <v/>
      </c>
      <c r="E1999" s="8" t="str">
        <f t="array" ref="E1999">IFERROR(INDEX(atlas!F:F,MATCH(A1999,atlas!C:C,0)),"")</f>
        <v/>
      </c>
      <c r="F1999" s="9"/>
      <c r="G1999" s="10"/>
      <c r="H1999" s="11"/>
      <c r="I1999" s="12" t="str">
        <f t="array" ref="I1999">IFERROR(INDEX(atlas!B:B,MATCH(A1999,atlas!C:C,0)),"")</f>
        <v/>
      </c>
      <c r="J1999" s="8" t="str">
        <f>IFERROR(VLOOKUP(F1999,tecnica!A:B,2,0),"")</f>
        <v/>
      </c>
      <c r="K1999" s="8" t="str">
        <f>IFERROR(VLOOKUP(J1999,tecnica!B:C,2,0),"")</f>
        <v/>
      </c>
      <c r="L1999" s="13"/>
      <c r="M1999" s="14" t="str">
        <f>IFERROR(VLOOKUP(I1999,material!A:D,4,0),"")</f>
        <v/>
      </c>
      <c r="N1999" s="14" t="str">
        <f t="shared" si="1"/>
        <v/>
      </c>
      <c r="O1999" s="15" t="str">
        <f>IFERROR(VLOOKUP(I1999,material!A:D,2,0),"")</f>
        <v/>
      </c>
    </row>
    <row r="2000">
      <c r="A2000" s="6"/>
      <c r="B2000" s="7"/>
      <c r="C2000" s="8" t="str">
        <f t="array" ref="C2000">IFERROR(INDEX(atlas!H:H,MATCH(A2000,atlas!C:C,0)),"")</f>
        <v/>
      </c>
      <c r="D2000" s="8" t="str">
        <f t="array" ref="D2000">IFERROR(INDEX(atlas!D:D,MATCH(A2000,atlas!C:C,0)),"")</f>
        <v/>
      </c>
      <c r="E2000" s="8" t="str">
        <f t="array" ref="E2000">IFERROR(INDEX(atlas!F:F,MATCH(A2000,atlas!C:C,0)),"")</f>
        <v/>
      </c>
      <c r="F2000" s="9"/>
      <c r="G2000" s="10"/>
      <c r="H2000" s="11"/>
      <c r="I2000" s="12" t="str">
        <f t="array" ref="I2000">IFERROR(INDEX(atlas!B:B,MATCH(A2000,atlas!C:C,0)),"")</f>
        <v/>
      </c>
      <c r="J2000" s="8" t="str">
        <f>IFERROR(VLOOKUP(F2000,tecnica!A:B,2,0),"")</f>
        <v/>
      </c>
      <c r="K2000" s="8" t="str">
        <f>IFERROR(VLOOKUP(J2000,tecnica!B:C,2,0),"")</f>
        <v/>
      </c>
      <c r="L2000" s="13"/>
      <c r="M2000" s="14" t="str">
        <f>IFERROR(VLOOKUP(I2000,material!A:D,4,0),"")</f>
        <v/>
      </c>
      <c r="N2000" s="14" t="str">
        <f t="shared" si="1"/>
        <v/>
      </c>
      <c r="O2000" s="15" t="str">
        <f>IFERROR(VLOOKUP(I2000,material!A:D,2,0),"")</f>
        <v/>
      </c>
    </row>
    <row r="2001">
      <c r="A2001" s="6"/>
      <c r="B2001" s="7"/>
      <c r="C2001" s="8" t="str">
        <f t="array" ref="C2001">IFERROR(INDEX(atlas!H:H,MATCH(A2001,atlas!C:C,0)),"")</f>
        <v/>
      </c>
      <c r="D2001" s="8" t="str">
        <f t="array" ref="D2001">IFERROR(INDEX(atlas!D:D,MATCH(A2001,atlas!C:C,0)),"")</f>
        <v/>
      </c>
      <c r="E2001" s="8" t="str">
        <f t="array" ref="E2001">IFERROR(INDEX(atlas!F:F,MATCH(A2001,atlas!C:C,0)),"")</f>
        <v/>
      </c>
      <c r="F2001" s="9"/>
      <c r="G2001" s="10"/>
      <c r="H2001" s="11"/>
      <c r="I2001" s="12" t="str">
        <f t="array" ref="I2001">IFERROR(INDEX(atlas!B:B,MATCH(A2001,atlas!C:C,0)),"")</f>
        <v/>
      </c>
      <c r="J2001" s="8" t="str">
        <f>IFERROR(VLOOKUP(F2001,tecnica!A:B,2,0),"")</f>
        <v/>
      </c>
      <c r="K2001" s="8" t="str">
        <f>IFERROR(VLOOKUP(J2001,tecnica!B:C,2,0),"")</f>
        <v/>
      </c>
      <c r="L2001" s="13"/>
      <c r="M2001" s="14" t="str">
        <f>IFERROR(VLOOKUP(I2001,material!A:D,4,0),"")</f>
        <v/>
      </c>
      <c r="N2001" s="14" t="str">
        <f t="shared" si="1"/>
        <v/>
      </c>
      <c r="O2001" s="15" t="str">
        <f>IFERROR(VLOOKUP(I2001,material!A:D,2,0),"")</f>
        <v/>
      </c>
    </row>
    <row r="2002">
      <c r="A2002" s="6"/>
      <c r="B2002" s="7"/>
      <c r="C2002" s="8" t="str">
        <f t="array" ref="C2002">IFERROR(INDEX(atlas!H:H,MATCH(A2002,atlas!C:C,0)),"")</f>
        <v/>
      </c>
      <c r="D2002" s="8" t="str">
        <f t="array" ref="D2002">IFERROR(INDEX(atlas!D:D,MATCH(A2002,atlas!C:C,0)),"")</f>
        <v/>
      </c>
      <c r="E2002" s="8" t="str">
        <f t="array" ref="E2002">IFERROR(INDEX(atlas!F:F,MATCH(A2002,atlas!C:C,0)),"")</f>
        <v/>
      </c>
      <c r="F2002" s="9"/>
      <c r="G2002" s="10"/>
      <c r="H2002" s="11"/>
      <c r="I2002" s="12" t="str">
        <f t="array" ref="I2002">IFERROR(INDEX(atlas!B:B,MATCH(A2002,atlas!C:C,0)),"")</f>
        <v/>
      </c>
      <c r="J2002" s="8" t="str">
        <f>IFERROR(VLOOKUP(F2002,tecnica!A:B,2,0),"")</f>
        <v/>
      </c>
      <c r="K2002" s="8" t="str">
        <f>IFERROR(VLOOKUP(J2002,tecnica!B:C,2,0),"")</f>
        <v/>
      </c>
      <c r="L2002" s="13"/>
      <c r="M2002" s="14" t="str">
        <f>IFERROR(VLOOKUP(I2002,material!A:D,4,0),"")</f>
        <v/>
      </c>
      <c r="N2002" s="14" t="str">
        <f t="shared" si="1"/>
        <v/>
      </c>
      <c r="O2002" s="15" t="str">
        <f>IFERROR(VLOOKUP(I2002,material!A:D,2,0),"")</f>
        <v/>
      </c>
    </row>
    <row r="2003">
      <c r="A2003" s="6"/>
      <c r="B2003" s="7"/>
      <c r="C2003" s="8" t="str">
        <f t="array" ref="C2003">IFERROR(INDEX(atlas!H:H,MATCH(A2003,atlas!C:C,0)),"")</f>
        <v/>
      </c>
      <c r="D2003" s="8" t="str">
        <f t="array" ref="D2003">IFERROR(INDEX(atlas!D:D,MATCH(A2003,atlas!C:C,0)),"")</f>
        <v/>
      </c>
      <c r="E2003" s="8" t="str">
        <f t="array" ref="E2003">IFERROR(INDEX(atlas!F:F,MATCH(A2003,atlas!C:C,0)),"")</f>
        <v/>
      </c>
      <c r="F2003" s="9"/>
      <c r="G2003" s="10"/>
      <c r="H2003" s="11"/>
      <c r="I2003" s="12" t="str">
        <f t="array" ref="I2003">IFERROR(INDEX(atlas!B:B,MATCH(A2003,atlas!C:C,0)),"")</f>
        <v/>
      </c>
      <c r="J2003" s="8" t="str">
        <f>IFERROR(VLOOKUP(F2003,tecnica!A:B,2,0),"")</f>
        <v/>
      </c>
      <c r="K2003" s="8" t="str">
        <f>IFERROR(VLOOKUP(J2003,tecnica!B:C,2,0),"")</f>
        <v/>
      </c>
      <c r="L2003" s="13"/>
      <c r="M2003" s="14" t="str">
        <f>IFERROR(VLOOKUP(I2003,material!A:D,4,0),"")</f>
        <v/>
      </c>
      <c r="N2003" s="14" t="str">
        <f t="shared" si="1"/>
        <v/>
      </c>
      <c r="O2003" s="15" t="str">
        <f>IFERROR(VLOOKUP(I2003,material!A:D,2,0),"")</f>
        <v/>
      </c>
    </row>
    <row r="2004">
      <c r="A2004" s="6"/>
      <c r="B2004" s="7"/>
      <c r="C2004" s="8" t="str">
        <f t="array" ref="C2004">IFERROR(INDEX(atlas!H:H,MATCH(A2004,atlas!C:C,0)),"")</f>
        <v/>
      </c>
      <c r="D2004" s="8" t="str">
        <f t="array" ref="D2004">IFERROR(INDEX(atlas!D:D,MATCH(A2004,atlas!C:C,0)),"")</f>
        <v/>
      </c>
      <c r="E2004" s="8" t="str">
        <f t="array" ref="E2004">IFERROR(INDEX(atlas!F:F,MATCH(A2004,atlas!C:C,0)),"")</f>
        <v/>
      </c>
      <c r="F2004" s="9"/>
      <c r="G2004" s="10"/>
      <c r="H2004" s="11"/>
      <c r="I2004" s="12" t="str">
        <f t="array" ref="I2004">IFERROR(INDEX(atlas!B:B,MATCH(A2004,atlas!C:C,0)),"")</f>
        <v/>
      </c>
      <c r="J2004" s="8" t="str">
        <f>IFERROR(VLOOKUP(F2004,tecnica!A:B,2,0),"")</f>
        <v/>
      </c>
      <c r="K2004" s="8" t="str">
        <f>IFERROR(VLOOKUP(J2004,tecnica!B:C,2,0),"")</f>
        <v/>
      </c>
      <c r="L2004" s="13"/>
      <c r="M2004" s="14" t="str">
        <f>IFERROR(VLOOKUP(I2004,material!A:D,4,0),"")</f>
        <v/>
      </c>
      <c r="N2004" s="14" t="str">
        <f t="shared" si="1"/>
        <v/>
      </c>
      <c r="O2004" s="15" t="str">
        <f>IFERROR(VLOOKUP(I2004,material!A:D,2,0),"")</f>
        <v/>
      </c>
    </row>
    <row r="2005">
      <c r="A2005" s="6"/>
      <c r="B2005" s="7"/>
      <c r="C2005" s="8" t="str">
        <f t="array" ref="C2005">IFERROR(INDEX(atlas!H:H,MATCH(A2005,atlas!C:C,0)),"")</f>
        <v/>
      </c>
      <c r="D2005" s="8" t="str">
        <f t="array" ref="D2005">IFERROR(INDEX(atlas!D:D,MATCH(A2005,atlas!C:C,0)),"")</f>
        <v/>
      </c>
      <c r="E2005" s="8" t="str">
        <f t="array" ref="E2005">IFERROR(INDEX(atlas!F:F,MATCH(A2005,atlas!C:C,0)),"")</f>
        <v/>
      </c>
      <c r="F2005" s="9"/>
      <c r="G2005" s="10"/>
      <c r="H2005" s="11"/>
      <c r="I2005" s="12" t="str">
        <f t="array" ref="I2005">IFERROR(INDEX(atlas!B:B,MATCH(A2005,atlas!C:C,0)),"")</f>
        <v/>
      </c>
      <c r="J2005" s="8" t="str">
        <f>IFERROR(VLOOKUP(F2005,tecnica!A:B,2,0),"")</f>
        <v/>
      </c>
      <c r="K2005" s="8" t="str">
        <f>IFERROR(VLOOKUP(J2005,tecnica!B:C,2,0),"")</f>
        <v/>
      </c>
      <c r="L2005" s="13"/>
      <c r="M2005" s="14" t="str">
        <f>IFERROR(VLOOKUP(I2005,material!A:D,4,0),"")</f>
        <v/>
      </c>
      <c r="N2005" s="14" t="str">
        <f t="shared" si="1"/>
        <v/>
      </c>
      <c r="O2005" s="15" t="str">
        <f>IFERROR(VLOOKUP(I2005,material!A:D,2,0),"")</f>
        <v/>
      </c>
    </row>
    <row r="2006">
      <c r="A2006" s="6"/>
      <c r="B2006" s="7"/>
      <c r="C2006" s="8" t="str">
        <f t="array" ref="C2006">IFERROR(INDEX(atlas!H:H,MATCH(A2006,atlas!C:C,0)),"")</f>
        <v/>
      </c>
      <c r="D2006" s="8" t="str">
        <f t="array" ref="D2006">IFERROR(INDEX(atlas!D:D,MATCH(A2006,atlas!C:C,0)),"")</f>
        <v/>
      </c>
      <c r="E2006" s="8" t="str">
        <f t="array" ref="E2006">IFERROR(INDEX(atlas!F:F,MATCH(A2006,atlas!C:C,0)),"")</f>
        <v/>
      </c>
      <c r="F2006" s="9"/>
      <c r="G2006" s="10"/>
      <c r="H2006" s="11"/>
      <c r="I2006" s="12" t="str">
        <f t="array" ref="I2006">IFERROR(INDEX(atlas!B:B,MATCH(A2006,atlas!C:C,0)),"")</f>
        <v/>
      </c>
      <c r="J2006" s="8" t="str">
        <f>IFERROR(VLOOKUP(F2006,tecnica!A:B,2,0),"")</f>
        <v/>
      </c>
      <c r="K2006" s="8" t="str">
        <f>IFERROR(VLOOKUP(J2006,tecnica!B:C,2,0),"")</f>
        <v/>
      </c>
      <c r="L2006" s="13"/>
      <c r="M2006" s="14" t="str">
        <f>IFERROR(VLOOKUP(I2006,material!A:D,4,0),"")</f>
        <v/>
      </c>
      <c r="N2006" s="14" t="str">
        <f t="shared" si="1"/>
        <v/>
      </c>
      <c r="O2006" s="15" t="str">
        <f>IFERROR(VLOOKUP(I2006,material!A:D,2,0),"")</f>
        <v/>
      </c>
    </row>
    <row r="2007">
      <c r="A2007" s="6"/>
      <c r="B2007" s="7"/>
      <c r="C2007" s="8" t="str">
        <f t="array" ref="C2007">IFERROR(INDEX(atlas!H:H,MATCH(A2007,atlas!C:C,0)),"")</f>
        <v/>
      </c>
      <c r="D2007" s="8" t="str">
        <f t="array" ref="D2007">IFERROR(INDEX(atlas!D:D,MATCH(A2007,atlas!C:C,0)),"")</f>
        <v/>
      </c>
      <c r="E2007" s="8" t="str">
        <f t="array" ref="E2007">IFERROR(INDEX(atlas!F:F,MATCH(A2007,atlas!C:C,0)),"")</f>
        <v/>
      </c>
      <c r="F2007" s="9"/>
      <c r="G2007" s="10"/>
      <c r="H2007" s="11"/>
      <c r="I2007" s="12" t="str">
        <f t="array" ref="I2007">IFERROR(INDEX(atlas!B:B,MATCH(A2007,atlas!C:C,0)),"")</f>
        <v/>
      </c>
      <c r="J2007" s="8" t="str">
        <f>IFERROR(VLOOKUP(F2007,tecnica!A:B,2,0),"")</f>
        <v/>
      </c>
      <c r="K2007" s="8" t="str">
        <f>IFERROR(VLOOKUP(J2007,tecnica!B:C,2,0),"")</f>
        <v/>
      </c>
      <c r="L2007" s="13"/>
      <c r="M2007" s="14" t="str">
        <f>IFERROR(VLOOKUP(I2007,material!A:D,4,0),"")</f>
        <v/>
      </c>
      <c r="N2007" s="14" t="str">
        <f t="shared" si="1"/>
        <v/>
      </c>
      <c r="O2007" s="15" t="str">
        <f>IFERROR(VLOOKUP(I2007,material!A:D,2,0),"")</f>
        <v/>
      </c>
    </row>
    <row r="2008">
      <c r="A2008" s="6"/>
      <c r="B2008" s="7"/>
      <c r="C2008" s="8" t="str">
        <f t="array" ref="C2008">IFERROR(INDEX(atlas!H:H,MATCH(A2008,atlas!C:C,0)),"")</f>
        <v/>
      </c>
      <c r="D2008" s="8" t="str">
        <f t="array" ref="D2008">IFERROR(INDEX(atlas!D:D,MATCH(A2008,atlas!C:C,0)),"")</f>
        <v/>
      </c>
      <c r="E2008" s="8" t="str">
        <f t="array" ref="E2008">IFERROR(INDEX(atlas!F:F,MATCH(A2008,atlas!C:C,0)),"")</f>
        <v/>
      </c>
      <c r="F2008" s="9"/>
      <c r="G2008" s="10"/>
      <c r="H2008" s="11"/>
      <c r="I2008" s="12" t="str">
        <f t="array" ref="I2008">IFERROR(INDEX(atlas!B:B,MATCH(A2008,atlas!C:C,0)),"")</f>
        <v/>
      </c>
      <c r="J2008" s="8" t="str">
        <f>IFERROR(VLOOKUP(F2008,tecnica!A:B,2,0),"")</f>
        <v/>
      </c>
      <c r="K2008" s="8" t="str">
        <f>IFERROR(VLOOKUP(J2008,tecnica!B:C,2,0),"")</f>
        <v/>
      </c>
      <c r="L2008" s="13"/>
      <c r="M2008" s="14" t="str">
        <f>IFERROR(VLOOKUP(I2008,material!A:D,4,0),"")</f>
        <v/>
      </c>
      <c r="N2008" s="14" t="str">
        <f t="shared" si="1"/>
        <v/>
      </c>
      <c r="O2008" s="15" t="str">
        <f>IFERROR(VLOOKUP(I2008,material!A:D,2,0),"")</f>
        <v/>
      </c>
    </row>
    <row r="2009">
      <c r="A2009" s="6"/>
      <c r="B2009" s="7"/>
      <c r="C2009" s="8" t="str">
        <f t="array" ref="C2009">IFERROR(INDEX(atlas!H:H,MATCH(A2009,atlas!C:C,0)),"")</f>
        <v/>
      </c>
      <c r="D2009" s="8" t="str">
        <f t="array" ref="D2009">IFERROR(INDEX(atlas!D:D,MATCH(A2009,atlas!C:C,0)),"")</f>
        <v/>
      </c>
      <c r="E2009" s="8" t="str">
        <f t="array" ref="E2009">IFERROR(INDEX(atlas!F:F,MATCH(A2009,atlas!C:C,0)),"")</f>
        <v/>
      </c>
      <c r="F2009" s="9"/>
      <c r="G2009" s="10"/>
      <c r="H2009" s="11"/>
      <c r="I2009" s="12" t="str">
        <f t="array" ref="I2009">IFERROR(INDEX(atlas!B:B,MATCH(A2009,atlas!C:C,0)),"")</f>
        <v/>
      </c>
      <c r="J2009" s="8" t="str">
        <f>IFERROR(VLOOKUP(F2009,tecnica!A:B,2,0),"")</f>
        <v/>
      </c>
      <c r="K2009" s="8" t="str">
        <f>IFERROR(VLOOKUP(J2009,tecnica!B:C,2,0),"")</f>
        <v/>
      </c>
      <c r="L2009" s="13"/>
      <c r="M2009" s="14" t="str">
        <f>IFERROR(VLOOKUP(I2009,material!A:D,4,0),"")</f>
        <v/>
      </c>
      <c r="N2009" s="14" t="str">
        <f t="shared" si="1"/>
        <v/>
      </c>
      <c r="O2009" s="15" t="str">
        <f>IFERROR(VLOOKUP(I2009,material!A:D,2,0),"")</f>
        <v/>
      </c>
    </row>
    <row r="2010">
      <c r="A2010" s="6"/>
      <c r="B2010" s="7"/>
      <c r="C2010" s="8" t="str">
        <f t="array" ref="C2010">IFERROR(INDEX(atlas!H:H,MATCH(A2010,atlas!C:C,0)),"")</f>
        <v/>
      </c>
      <c r="D2010" s="8" t="str">
        <f t="array" ref="D2010">IFERROR(INDEX(atlas!D:D,MATCH(A2010,atlas!C:C,0)),"")</f>
        <v/>
      </c>
      <c r="E2010" s="8" t="str">
        <f t="array" ref="E2010">IFERROR(INDEX(atlas!F:F,MATCH(A2010,atlas!C:C,0)),"")</f>
        <v/>
      </c>
      <c r="F2010" s="9"/>
      <c r="G2010" s="10"/>
      <c r="H2010" s="11"/>
      <c r="I2010" s="12" t="str">
        <f t="array" ref="I2010">IFERROR(INDEX(atlas!B:B,MATCH(A2010,atlas!C:C,0)),"")</f>
        <v/>
      </c>
      <c r="J2010" s="8" t="str">
        <f>IFERROR(VLOOKUP(F2010,tecnica!A:B,2,0),"")</f>
        <v/>
      </c>
      <c r="K2010" s="8" t="str">
        <f>IFERROR(VLOOKUP(J2010,tecnica!B:C,2,0),"")</f>
        <v/>
      </c>
      <c r="L2010" s="13"/>
      <c r="M2010" s="14" t="str">
        <f>IFERROR(VLOOKUP(I2010,material!A:D,4,0),"")</f>
        <v/>
      </c>
      <c r="N2010" s="14" t="str">
        <f t="shared" si="1"/>
        <v/>
      </c>
      <c r="O2010" s="15" t="str">
        <f>IFERROR(VLOOKUP(I2010,material!A:D,2,0),"")</f>
        <v/>
      </c>
    </row>
    <row r="2011">
      <c r="A2011" s="6"/>
      <c r="B2011" s="7"/>
      <c r="C2011" s="8" t="str">
        <f t="array" ref="C2011">IFERROR(INDEX(atlas!H:H,MATCH(A2011,atlas!C:C,0)),"")</f>
        <v/>
      </c>
      <c r="D2011" s="8" t="str">
        <f t="array" ref="D2011">IFERROR(INDEX(atlas!D:D,MATCH(A2011,atlas!C:C,0)),"")</f>
        <v/>
      </c>
      <c r="E2011" s="8" t="str">
        <f t="array" ref="E2011">IFERROR(INDEX(atlas!F:F,MATCH(A2011,atlas!C:C,0)),"")</f>
        <v/>
      </c>
      <c r="F2011" s="9"/>
      <c r="G2011" s="10"/>
      <c r="H2011" s="11"/>
      <c r="I2011" s="12" t="str">
        <f t="array" ref="I2011">IFERROR(INDEX(atlas!B:B,MATCH(A2011,atlas!C:C,0)),"")</f>
        <v/>
      </c>
      <c r="J2011" s="8" t="str">
        <f>IFERROR(VLOOKUP(F2011,tecnica!A:B,2,0),"")</f>
        <v/>
      </c>
      <c r="K2011" s="8" t="str">
        <f>IFERROR(VLOOKUP(J2011,tecnica!B:C,2,0),"")</f>
        <v/>
      </c>
      <c r="L2011" s="13"/>
      <c r="M2011" s="14" t="str">
        <f>IFERROR(VLOOKUP(I2011,material!A:D,4,0),"")</f>
        <v/>
      </c>
      <c r="N2011" s="14" t="str">
        <f t="shared" si="1"/>
        <v/>
      </c>
      <c r="O2011" s="15" t="str">
        <f>IFERROR(VLOOKUP(I2011,material!A:D,2,0),"")</f>
        <v/>
      </c>
    </row>
    <row r="2012">
      <c r="A2012" s="6"/>
      <c r="B2012" s="7"/>
      <c r="C2012" s="8" t="str">
        <f t="array" ref="C2012">IFERROR(INDEX(atlas!H:H,MATCH(A2012,atlas!C:C,0)),"")</f>
        <v/>
      </c>
      <c r="D2012" s="8" t="str">
        <f t="array" ref="D2012">IFERROR(INDEX(atlas!D:D,MATCH(A2012,atlas!C:C,0)),"")</f>
        <v/>
      </c>
      <c r="E2012" s="8" t="str">
        <f t="array" ref="E2012">IFERROR(INDEX(atlas!F:F,MATCH(A2012,atlas!C:C,0)),"")</f>
        <v/>
      </c>
      <c r="F2012" s="9"/>
      <c r="G2012" s="10"/>
      <c r="H2012" s="11"/>
      <c r="I2012" s="12" t="str">
        <f t="array" ref="I2012">IFERROR(INDEX(atlas!B:B,MATCH(A2012,atlas!C:C,0)),"")</f>
        <v/>
      </c>
      <c r="J2012" s="8" t="str">
        <f>IFERROR(VLOOKUP(F2012,tecnica!A:B,2,0),"")</f>
        <v/>
      </c>
      <c r="K2012" s="8" t="str">
        <f>IFERROR(VLOOKUP(J2012,tecnica!B:C,2,0),"")</f>
        <v/>
      </c>
      <c r="L2012" s="13"/>
      <c r="M2012" s="14" t="str">
        <f>IFERROR(VLOOKUP(I2012,material!A:D,4,0),"")</f>
        <v/>
      </c>
      <c r="N2012" s="14" t="str">
        <f t="shared" si="1"/>
        <v/>
      </c>
      <c r="O2012" s="15" t="str">
        <f>IFERROR(VLOOKUP(I2012,material!A:D,2,0),"")</f>
        <v/>
      </c>
    </row>
    <row r="2013">
      <c r="A2013" s="6"/>
      <c r="B2013" s="7"/>
      <c r="C2013" s="8" t="str">
        <f t="array" ref="C2013">IFERROR(INDEX(atlas!H:H,MATCH(A2013,atlas!C:C,0)),"")</f>
        <v/>
      </c>
      <c r="D2013" s="8" t="str">
        <f t="array" ref="D2013">IFERROR(INDEX(atlas!D:D,MATCH(A2013,atlas!C:C,0)),"")</f>
        <v/>
      </c>
      <c r="E2013" s="8" t="str">
        <f t="array" ref="E2013">IFERROR(INDEX(atlas!F:F,MATCH(A2013,atlas!C:C,0)),"")</f>
        <v/>
      </c>
      <c r="F2013" s="9"/>
      <c r="G2013" s="10"/>
      <c r="H2013" s="11"/>
      <c r="I2013" s="12" t="str">
        <f t="array" ref="I2013">IFERROR(INDEX(atlas!B:B,MATCH(A2013,atlas!C:C,0)),"")</f>
        <v/>
      </c>
      <c r="J2013" s="8" t="str">
        <f>IFERROR(VLOOKUP(F2013,tecnica!A:B,2,0),"")</f>
        <v/>
      </c>
      <c r="K2013" s="8" t="str">
        <f>IFERROR(VLOOKUP(J2013,tecnica!B:C,2,0),"")</f>
        <v/>
      </c>
      <c r="L2013" s="13"/>
      <c r="M2013" s="14" t="str">
        <f>IFERROR(VLOOKUP(I2013,material!A:D,4,0),"")</f>
        <v/>
      </c>
      <c r="N2013" s="14" t="str">
        <f t="shared" si="1"/>
        <v/>
      </c>
      <c r="O2013" s="15" t="str">
        <f>IFERROR(VLOOKUP(I2013,material!A:D,2,0),"")</f>
        <v/>
      </c>
    </row>
    <row r="2014">
      <c r="A2014" s="6"/>
      <c r="B2014" s="7"/>
      <c r="C2014" s="8" t="str">
        <f t="array" ref="C2014">IFERROR(INDEX(atlas!H:H,MATCH(A2014,atlas!C:C,0)),"")</f>
        <v/>
      </c>
      <c r="D2014" s="8" t="str">
        <f t="array" ref="D2014">IFERROR(INDEX(atlas!D:D,MATCH(A2014,atlas!C:C,0)),"")</f>
        <v/>
      </c>
      <c r="E2014" s="8" t="str">
        <f t="array" ref="E2014">IFERROR(INDEX(atlas!F:F,MATCH(A2014,atlas!C:C,0)),"")</f>
        <v/>
      </c>
      <c r="F2014" s="9"/>
      <c r="G2014" s="10"/>
      <c r="H2014" s="11"/>
      <c r="I2014" s="12" t="str">
        <f t="array" ref="I2014">IFERROR(INDEX(atlas!B:B,MATCH(A2014,atlas!C:C,0)),"")</f>
        <v/>
      </c>
      <c r="J2014" s="8" t="str">
        <f>IFERROR(VLOOKUP(F2014,tecnica!A:B,2,0),"")</f>
        <v/>
      </c>
      <c r="K2014" s="8" t="str">
        <f>IFERROR(VLOOKUP(J2014,tecnica!B:C,2,0),"")</f>
        <v/>
      </c>
      <c r="L2014" s="13"/>
      <c r="M2014" s="14" t="str">
        <f>IFERROR(VLOOKUP(I2014,material!A:D,4,0),"")</f>
        <v/>
      </c>
      <c r="N2014" s="14" t="str">
        <f t="shared" si="1"/>
        <v/>
      </c>
      <c r="O2014" s="15" t="str">
        <f>IFERROR(VLOOKUP(I2014,material!A:D,2,0),"")</f>
        <v/>
      </c>
    </row>
    <row r="2015">
      <c r="A2015" s="6"/>
      <c r="B2015" s="7"/>
      <c r="C2015" s="8" t="str">
        <f t="array" ref="C2015">IFERROR(INDEX(atlas!H:H,MATCH(A2015,atlas!C:C,0)),"")</f>
        <v/>
      </c>
      <c r="D2015" s="8" t="str">
        <f t="array" ref="D2015">IFERROR(INDEX(atlas!D:D,MATCH(A2015,atlas!C:C,0)),"")</f>
        <v/>
      </c>
      <c r="E2015" s="8" t="str">
        <f t="array" ref="E2015">IFERROR(INDEX(atlas!F:F,MATCH(A2015,atlas!C:C,0)),"")</f>
        <v/>
      </c>
      <c r="F2015" s="9"/>
      <c r="G2015" s="10"/>
      <c r="H2015" s="11"/>
      <c r="I2015" s="12" t="str">
        <f t="array" ref="I2015">IFERROR(INDEX(atlas!B:B,MATCH(A2015,atlas!C:C,0)),"")</f>
        <v/>
      </c>
      <c r="J2015" s="8" t="str">
        <f>IFERROR(VLOOKUP(F2015,tecnica!A:B,2,0),"")</f>
        <v/>
      </c>
      <c r="K2015" s="8" t="str">
        <f>IFERROR(VLOOKUP(J2015,tecnica!B:C,2,0),"")</f>
        <v/>
      </c>
      <c r="L2015" s="13"/>
      <c r="M2015" s="14" t="str">
        <f>IFERROR(VLOOKUP(I2015,material!A:D,4,0),"")</f>
        <v/>
      </c>
      <c r="N2015" s="14" t="str">
        <f t="shared" si="1"/>
        <v/>
      </c>
      <c r="O2015" s="15" t="str">
        <f>IFERROR(VLOOKUP(I2015,material!A:D,2,0),"")</f>
        <v/>
      </c>
    </row>
    <row r="2016">
      <c r="A2016" s="6"/>
      <c r="B2016" s="7"/>
      <c r="C2016" s="8" t="str">
        <f t="array" ref="C2016">IFERROR(INDEX(atlas!H:H,MATCH(A2016,atlas!C:C,0)),"")</f>
        <v/>
      </c>
      <c r="D2016" s="8" t="str">
        <f t="array" ref="D2016">IFERROR(INDEX(atlas!D:D,MATCH(A2016,atlas!C:C,0)),"")</f>
        <v/>
      </c>
      <c r="E2016" s="8" t="str">
        <f t="array" ref="E2016">IFERROR(INDEX(atlas!F:F,MATCH(A2016,atlas!C:C,0)),"")</f>
        <v/>
      </c>
      <c r="F2016" s="9"/>
      <c r="G2016" s="10"/>
      <c r="H2016" s="11"/>
      <c r="I2016" s="12" t="str">
        <f t="array" ref="I2016">IFERROR(INDEX(atlas!B:B,MATCH(A2016,atlas!C:C,0)),"")</f>
        <v/>
      </c>
      <c r="J2016" s="8" t="str">
        <f>IFERROR(VLOOKUP(F2016,tecnica!A:B,2,0),"")</f>
        <v/>
      </c>
      <c r="K2016" s="8" t="str">
        <f>IFERROR(VLOOKUP(J2016,tecnica!B:C,2,0),"")</f>
        <v/>
      </c>
      <c r="L2016" s="13"/>
      <c r="M2016" s="14" t="str">
        <f>IFERROR(VLOOKUP(I2016,material!A:D,4,0),"")</f>
        <v/>
      </c>
      <c r="N2016" s="14" t="str">
        <f t="shared" si="1"/>
        <v/>
      </c>
      <c r="O2016" s="15" t="str">
        <f>IFERROR(VLOOKUP(I2016,material!A:D,2,0),"")</f>
        <v/>
      </c>
    </row>
    <row r="2017">
      <c r="A2017" s="6"/>
      <c r="B2017" s="7"/>
      <c r="C2017" s="8" t="str">
        <f t="array" ref="C2017">IFERROR(INDEX(atlas!H:H,MATCH(A2017,atlas!C:C,0)),"")</f>
        <v/>
      </c>
      <c r="D2017" s="8" t="str">
        <f t="array" ref="D2017">IFERROR(INDEX(atlas!D:D,MATCH(A2017,atlas!C:C,0)),"")</f>
        <v/>
      </c>
      <c r="E2017" s="8" t="str">
        <f t="array" ref="E2017">IFERROR(INDEX(atlas!F:F,MATCH(A2017,atlas!C:C,0)),"")</f>
        <v/>
      </c>
      <c r="F2017" s="9"/>
      <c r="G2017" s="10"/>
      <c r="H2017" s="11"/>
      <c r="I2017" s="12" t="str">
        <f t="array" ref="I2017">IFERROR(INDEX(atlas!B:B,MATCH(A2017,atlas!C:C,0)),"")</f>
        <v/>
      </c>
      <c r="J2017" s="8" t="str">
        <f>IFERROR(VLOOKUP(F2017,tecnica!A:B,2,0),"")</f>
        <v/>
      </c>
      <c r="K2017" s="8" t="str">
        <f>IFERROR(VLOOKUP(J2017,tecnica!B:C,2,0),"")</f>
        <v/>
      </c>
      <c r="L2017" s="13"/>
      <c r="M2017" s="14" t="str">
        <f>IFERROR(VLOOKUP(I2017,material!A:D,4,0),"")</f>
        <v/>
      </c>
      <c r="N2017" s="14" t="str">
        <f t="shared" si="1"/>
        <v/>
      </c>
      <c r="O2017" s="15" t="str">
        <f>IFERROR(VLOOKUP(I2017,material!A:D,2,0),"")</f>
        <v/>
      </c>
    </row>
    <row r="2018">
      <c r="A2018" s="6"/>
      <c r="B2018" s="7"/>
      <c r="C2018" s="8" t="str">
        <f t="array" ref="C2018">IFERROR(INDEX(atlas!H:H,MATCH(A2018,atlas!C:C,0)),"")</f>
        <v/>
      </c>
      <c r="D2018" s="8" t="str">
        <f t="array" ref="D2018">IFERROR(INDEX(atlas!D:D,MATCH(A2018,atlas!C:C,0)),"")</f>
        <v/>
      </c>
      <c r="E2018" s="8" t="str">
        <f t="array" ref="E2018">IFERROR(INDEX(atlas!F:F,MATCH(A2018,atlas!C:C,0)),"")</f>
        <v/>
      </c>
      <c r="F2018" s="9"/>
      <c r="G2018" s="10"/>
      <c r="H2018" s="11"/>
      <c r="I2018" s="12" t="str">
        <f t="array" ref="I2018">IFERROR(INDEX(atlas!B:B,MATCH(A2018,atlas!C:C,0)),"")</f>
        <v/>
      </c>
      <c r="J2018" s="8" t="str">
        <f>IFERROR(VLOOKUP(F2018,tecnica!A:B,2,0),"")</f>
        <v/>
      </c>
      <c r="K2018" s="8" t="str">
        <f>IFERROR(VLOOKUP(J2018,tecnica!B:C,2,0),"")</f>
        <v/>
      </c>
      <c r="L2018" s="13"/>
      <c r="M2018" s="14" t="str">
        <f>IFERROR(VLOOKUP(I2018,material!A:D,4,0),"")</f>
        <v/>
      </c>
      <c r="N2018" s="14" t="str">
        <f t="shared" si="1"/>
        <v/>
      </c>
      <c r="O2018" s="15" t="str">
        <f>IFERROR(VLOOKUP(I2018,material!A:D,2,0),"")</f>
        <v/>
      </c>
    </row>
    <row r="2019">
      <c r="A2019" s="6"/>
      <c r="B2019" s="7"/>
      <c r="C2019" s="8" t="str">
        <f t="array" ref="C2019">IFERROR(INDEX(atlas!H:H,MATCH(A2019,atlas!C:C,0)),"")</f>
        <v/>
      </c>
      <c r="D2019" s="8" t="str">
        <f t="array" ref="D2019">IFERROR(INDEX(atlas!D:D,MATCH(A2019,atlas!C:C,0)),"")</f>
        <v/>
      </c>
      <c r="E2019" s="8" t="str">
        <f t="array" ref="E2019">IFERROR(INDEX(atlas!F:F,MATCH(A2019,atlas!C:C,0)),"")</f>
        <v/>
      </c>
      <c r="F2019" s="9"/>
      <c r="G2019" s="10"/>
      <c r="H2019" s="11"/>
      <c r="I2019" s="12" t="str">
        <f t="array" ref="I2019">IFERROR(INDEX(atlas!B:B,MATCH(A2019,atlas!C:C,0)),"")</f>
        <v/>
      </c>
      <c r="J2019" s="8" t="str">
        <f>IFERROR(VLOOKUP(F2019,tecnica!A:B,2,0),"")</f>
        <v/>
      </c>
      <c r="K2019" s="8" t="str">
        <f>IFERROR(VLOOKUP(J2019,tecnica!B:C,2,0),"")</f>
        <v/>
      </c>
      <c r="L2019" s="13"/>
      <c r="M2019" s="14" t="str">
        <f>IFERROR(VLOOKUP(I2019,material!A:D,4,0),"")</f>
        <v/>
      </c>
      <c r="N2019" s="14" t="str">
        <f t="shared" si="1"/>
        <v/>
      </c>
      <c r="O2019" s="15" t="str">
        <f>IFERROR(VLOOKUP(I2019,material!A:D,2,0),"")</f>
        <v/>
      </c>
    </row>
    <row r="2020">
      <c r="A2020" s="6"/>
      <c r="B2020" s="7"/>
      <c r="C2020" s="8" t="str">
        <f t="array" ref="C2020">IFERROR(INDEX(atlas!H:H,MATCH(A2020,atlas!C:C,0)),"")</f>
        <v/>
      </c>
      <c r="D2020" s="8" t="str">
        <f t="array" ref="D2020">IFERROR(INDEX(atlas!D:D,MATCH(A2020,atlas!C:C,0)),"")</f>
        <v/>
      </c>
      <c r="E2020" s="8" t="str">
        <f t="array" ref="E2020">IFERROR(INDEX(atlas!F:F,MATCH(A2020,atlas!C:C,0)),"")</f>
        <v/>
      </c>
      <c r="F2020" s="9"/>
      <c r="G2020" s="10"/>
      <c r="H2020" s="11"/>
      <c r="I2020" s="12" t="str">
        <f t="array" ref="I2020">IFERROR(INDEX(atlas!B:B,MATCH(A2020,atlas!C:C,0)),"")</f>
        <v/>
      </c>
      <c r="J2020" s="8" t="str">
        <f>IFERROR(VLOOKUP(F2020,tecnica!A:B,2,0),"")</f>
        <v/>
      </c>
      <c r="K2020" s="8" t="str">
        <f>IFERROR(VLOOKUP(J2020,tecnica!B:C,2,0),"")</f>
        <v/>
      </c>
      <c r="L2020" s="13"/>
      <c r="M2020" s="14" t="str">
        <f>IFERROR(VLOOKUP(I2020,material!A:D,4,0),"")</f>
        <v/>
      </c>
      <c r="N2020" s="14" t="str">
        <f t="shared" si="1"/>
        <v/>
      </c>
      <c r="O2020" s="15" t="str">
        <f>IFERROR(VLOOKUP(I2020,material!A:D,2,0),"")</f>
        <v/>
      </c>
    </row>
    <row r="2021">
      <c r="A2021" s="6"/>
      <c r="B2021" s="7"/>
      <c r="C2021" s="8" t="str">
        <f t="array" ref="C2021">IFERROR(INDEX(atlas!H:H,MATCH(A2021,atlas!C:C,0)),"")</f>
        <v/>
      </c>
      <c r="D2021" s="8" t="str">
        <f t="array" ref="D2021">IFERROR(INDEX(atlas!D:D,MATCH(A2021,atlas!C:C,0)),"")</f>
        <v/>
      </c>
      <c r="E2021" s="8" t="str">
        <f t="array" ref="E2021">IFERROR(INDEX(atlas!F:F,MATCH(A2021,atlas!C:C,0)),"")</f>
        <v/>
      </c>
      <c r="F2021" s="9"/>
      <c r="G2021" s="10"/>
      <c r="H2021" s="11"/>
      <c r="I2021" s="12" t="str">
        <f t="array" ref="I2021">IFERROR(INDEX(atlas!B:B,MATCH(A2021,atlas!C:C,0)),"")</f>
        <v/>
      </c>
      <c r="J2021" s="8" t="str">
        <f>IFERROR(VLOOKUP(F2021,tecnica!A:B,2,0),"")</f>
        <v/>
      </c>
      <c r="K2021" s="8" t="str">
        <f>IFERROR(VLOOKUP(J2021,tecnica!B:C,2,0),"")</f>
        <v/>
      </c>
      <c r="L2021" s="13"/>
      <c r="M2021" s="14" t="str">
        <f>IFERROR(VLOOKUP(I2021,material!A:D,4,0),"")</f>
        <v/>
      </c>
      <c r="N2021" s="14" t="str">
        <f t="shared" si="1"/>
        <v/>
      </c>
      <c r="O2021" s="15" t="str">
        <f>IFERROR(VLOOKUP(I2021,material!A:D,2,0),"")</f>
        <v/>
      </c>
    </row>
    <row r="2022">
      <c r="A2022" s="6"/>
      <c r="B2022" s="7"/>
      <c r="C2022" s="8" t="str">
        <f t="array" ref="C2022">IFERROR(INDEX(atlas!H:H,MATCH(A2022,atlas!C:C,0)),"")</f>
        <v/>
      </c>
      <c r="D2022" s="8" t="str">
        <f t="array" ref="D2022">IFERROR(INDEX(atlas!D:D,MATCH(A2022,atlas!C:C,0)),"")</f>
        <v/>
      </c>
      <c r="E2022" s="8" t="str">
        <f t="array" ref="E2022">IFERROR(INDEX(atlas!F:F,MATCH(A2022,atlas!C:C,0)),"")</f>
        <v/>
      </c>
      <c r="F2022" s="9"/>
      <c r="G2022" s="10"/>
      <c r="H2022" s="11"/>
      <c r="I2022" s="12" t="str">
        <f t="array" ref="I2022">IFERROR(INDEX(atlas!B:B,MATCH(A2022,atlas!C:C,0)),"")</f>
        <v/>
      </c>
      <c r="J2022" s="8" t="str">
        <f>IFERROR(VLOOKUP(F2022,tecnica!A:B,2,0),"")</f>
        <v/>
      </c>
      <c r="K2022" s="8" t="str">
        <f>IFERROR(VLOOKUP(J2022,tecnica!B:C,2,0),"")</f>
        <v/>
      </c>
      <c r="L2022" s="13"/>
      <c r="M2022" s="14" t="str">
        <f>IFERROR(VLOOKUP(I2022,material!A:D,4,0),"")</f>
        <v/>
      </c>
      <c r="N2022" s="14" t="str">
        <f t="shared" si="1"/>
        <v/>
      </c>
      <c r="O2022" s="15" t="str">
        <f>IFERROR(VLOOKUP(I2022,material!A:D,2,0),"")</f>
        <v/>
      </c>
    </row>
    <row r="2023">
      <c r="A2023" s="6"/>
      <c r="B2023" s="7"/>
      <c r="C2023" s="8" t="str">
        <f t="array" ref="C2023">IFERROR(INDEX(atlas!H:H,MATCH(A2023,atlas!C:C,0)),"")</f>
        <v/>
      </c>
      <c r="D2023" s="8" t="str">
        <f t="array" ref="D2023">IFERROR(INDEX(atlas!D:D,MATCH(A2023,atlas!C:C,0)),"")</f>
        <v/>
      </c>
      <c r="E2023" s="8" t="str">
        <f t="array" ref="E2023">IFERROR(INDEX(atlas!F:F,MATCH(A2023,atlas!C:C,0)),"")</f>
        <v/>
      </c>
      <c r="F2023" s="9"/>
      <c r="G2023" s="10"/>
      <c r="H2023" s="11"/>
      <c r="I2023" s="12" t="str">
        <f t="array" ref="I2023">IFERROR(INDEX(atlas!B:B,MATCH(A2023,atlas!C:C,0)),"")</f>
        <v/>
      </c>
      <c r="J2023" s="8" t="str">
        <f>IFERROR(VLOOKUP(F2023,tecnica!A:B,2,0),"")</f>
        <v/>
      </c>
      <c r="K2023" s="8" t="str">
        <f>IFERROR(VLOOKUP(J2023,tecnica!B:C,2,0),"")</f>
        <v/>
      </c>
      <c r="L2023" s="13"/>
      <c r="M2023" s="14" t="str">
        <f>IFERROR(VLOOKUP(I2023,material!A:D,4,0),"")</f>
        <v/>
      </c>
      <c r="N2023" s="14" t="str">
        <f t="shared" si="1"/>
        <v/>
      </c>
      <c r="O2023" s="15" t="str">
        <f>IFERROR(VLOOKUP(I2023,material!A:D,2,0),"")</f>
        <v/>
      </c>
    </row>
    <row r="2024">
      <c r="A2024" s="6"/>
      <c r="B2024" s="7"/>
      <c r="C2024" s="8" t="str">
        <f t="array" ref="C2024">IFERROR(INDEX(atlas!H:H,MATCH(A2024,atlas!C:C,0)),"")</f>
        <v/>
      </c>
      <c r="D2024" s="8" t="str">
        <f t="array" ref="D2024">IFERROR(INDEX(atlas!D:D,MATCH(A2024,atlas!C:C,0)),"")</f>
        <v/>
      </c>
      <c r="E2024" s="8" t="str">
        <f t="array" ref="E2024">IFERROR(INDEX(atlas!F:F,MATCH(A2024,atlas!C:C,0)),"")</f>
        <v/>
      </c>
      <c r="F2024" s="9"/>
      <c r="G2024" s="10"/>
      <c r="H2024" s="11"/>
      <c r="I2024" s="12" t="str">
        <f t="array" ref="I2024">IFERROR(INDEX(atlas!B:B,MATCH(A2024,atlas!C:C,0)),"")</f>
        <v/>
      </c>
      <c r="J2024" s="8" t="str">
        <f>IFERROR(VLOOKUP(F2024,tecnica!A:B,2,0),"")</f>
        <v/>
      </c>
      <c r="K2024" s="8" t="str">
        <f>IFERROR(VLOOKUP(J2024,tecnica!B:C,2,0),"")</f>
        <v/>
      </c>
      <c r="L2024" s="13"/>
      <c r="M2024" s="14" t="str">
        <f>IFERROR(VLOOKUP(I2024,material!A:D,4,0),"")</f>
        <v/>
      </c>
      <c r="N2024" s="14" t="str">
        <f t="shared" si="1"/>
        <v/>
      </c>
      <c r="O2024" s="15" t="str">
        <f>IFERROR(VLOOKUP(I2024,material!A:D,2,0),"")</f>
        <v/>
      </c>
    </row>
    <row r="2025">
      <c r="A2025" s="6"/>
      <c r="B2025" s="7"/>
      <c r="C2025" s="8" t="str">
        <f t="array" ref="C2025">IFERROR(INDEX(atlas!H:H,MATCH(A2025,atlas!C:C,0)),"")</f>
        <v/>
      </c>
      <c r="D2025" s="8" t="str">
        <f t="array" ref="D2025">IFERROR(INDEX(atlas!D:D,MATCH(A2025,atlas!C:C,0)),"")</f>
        <v/>
      </c>
      <c r="E2025" s="8" t="str">
        <f t="array" ref="E2025">IFERROR(INDEX(atlas!F:F,MATCH(A2025,atlas!C:C,0)),"")</f>
        <v/>
      </c>
      <c r="F2025" s="9"/>
      <c r="G2025" s="10"/>
      <c r="H2025" s="11"/>
      <c r="I2025" s="12" t="str">
        <f t="array" ref="I2025">IFERROR(INDEX(atlas!B:B,MATCH(A2025,atlas!C:C,0)),"")</f>
        <v/>
      </c>
      <c r="J2025" s="8" t="str">
        <f>IFERROR(VLOOKUP(F2025,tecnica!A:B,2,0),"")</f>
        <v/>
      </c>
      <c r="K2025" s="8" t="str">
        <f>IFERROR(VLOOKUP(J2025,tecnica!B:C,2,0),"")</f>
        <v/>
      </c>
      <c r="L2025" s="13"/>
      <c r="M2025" s="14" t="str">
        <f>IFERROR(VLOOKUP(I2025,material!A:D,4,0),"")</f>
        <v/>
      </c>
      <c r="N2025" s="14" t="str">
        <f t="shared" si="1"/>
        <v/>
      </c>
      <c r="O2025" s="15" t="str">
        <f>IFERROR(VLOOKUP(I2025,material!A:D,2,0),"")</f>
        <v/>
      </c>
    </row>
    <row r="2026">
      <c r="A2026" s="6"/>
      <c r="B2026" s="7"/>
      <c r="C2026" s="8" t="str">
        <f t="array" ref="C2026">IFERROR(INDEX(atlas!H:H,MATCH(A2026,atlas!C:C,0)),"")</f>
        <v/>
      </c>
      <c r="D2026" s="8" t="str">
        <f t="array" ref="D2026">IFERROR(INDEX(atlas!D:D,MATCH(A2026,atlas!C:C,0)),"")</f>
        <v/>
      </c>
      <c r="E2026" s="8" t="str">
        <f t="array" ref="E2026">IFERROR(INDEX(atlas!F:F,MATCH(A2026,atlas!C:C,0)),"")</f>
        <v/>
      </c>
      <c r="F2026" s="9"/>
      <c r="G2026" s="10"/>
      <c r="H2026" s="11"/>
      <c r="I2026" s="12" t="str">
        <f t="array" ref="I2026">IFERROR(INDEX(atlas!B:B,MATCH(A2026,atlas!C:C,0)),"")</f>
        <v/>
      </c>
      <c r="J2026" s="8" t="str">
        <f>IFERROR(VLOOKUP(F2026,tecnica!A:B,2,0),"")</f>
        <v/>
      </c>
      <c r="K2026" s="8" t="str">
        <f>IFERROR(VLOOKUP(J2026,tecnica!B:C,2,0),"")</f>
        <v/>
      </c>
      <c r="L2026" s="13"/>
      <c r="M2026" s="14" t="str">
        <f>IFERROR(VLOOKUP(I2026,material!A:D,4,0),"")</f>
        <v/>
      </c>
      <c r="N2026" s="14" t="str">
        <f t="shared" si="1"/>
        <v/>
      </c>
      <c r="O2026" s="15" t="str">
        <f>IFERROR(VLOOKUP(I2026,material!A:D,2,0),"")</f>
        <v/>
      </c>
    </row>
    <row r="2027">
      <c r="A2027" s="6"/>
      <c r="B2027" s="7"/>
      <c r="C2027" s="8" t="str">
        <f t="array" ref="C2027">IFERROR(INDEX(atlas!H:H,MATCH(A2027,atlas!C:C,0)),"")</f>
        <v/>
      </c>
      <c r="D2027" s="8" t="str">
        <f t="array" ref="D2027">IFERROR(INDEX(atlas!D:D,MATCH(A2027,atlas!C:C,0)),"")</f>
        <v/>
      </c>
      <c r="E2027" s="8" t="str">
        <f t="array" ref="E2027">IFERROR(INDEX(atlas!F:F,MATCH(A2027,atlas!C:C,0)),"")</f>
        <v/>
      </c>
      <c r="F2027" s="9"/>
      <c r="G2027" s="10"/>
      <c r="H2027" s="11"/>
      <c r="I2027" s="12" t="str">
        <f t="array" ref="I2027">IFERROR(INDEX(atlas!B:B,MATCH(A2027,atlas!C:C,0)),"")</f>
        <v/>
      </c>
      <c r="J2027" s="8" t="str">
        <f>IFERROR(VLOOKUP(F2027,tecnica!A:B,2,0),"")</f>
        <v/>
      </c>
      <c r="K2027" s="8" t="str">
        <f>IFERROR(VLOOKUP(J2027,tecnica!B:C,2,0),"")</f>
        <v/>
      </c>
      <c r="L2027" s="13"/>
      <c r="M2027" s="14" t="str">
        <f>IFERROR(VLOOKUP(I2027,material!A:D,4,0),"")</f>
        <v/>
      </c>
      <c r="N2027" s="14" t="str">
        <f t="shared" si="1"/>
        <v/>
      </c>
      <c r="O2027" s="15" t="str">
        <f>IFERROR(VLOOKUP(I2027,material!A:D,2,0),"")</f>
        <v/>
      </c>
    </row>
    <row r="2028">
      <c r="A2028" s="6"/>
      <c r="B2028" s="7"/>
      <c r="C2028" s="8" t="str">
        <f t="array" ref="C2028">IFERROR(INDEX(atlas!H:H,MATCH(A2028,atlas!C:C,0)),"")</f>
        <v/>
      </c>
      <c r="D2028" s="8" t="str">
        <f t="array" ref="D2028">IFERROR(INDEX(atlas!D:D,MATCH(A2028,atlas!C:C,0)),"")</f>
        <v/>
      </c>
      <c r="E2028" s="8" t="str">
        <f t="array" ref="E2028">IFERROR(INDEX(atlas!F:F,MATCH(A2028,atlas!C:C,0)),"")</f>
        <v/>
      </c>
      <c r="F2028" s="9"/>
      <c r="G2028" s="10"/>
      <c r="H2028" s="11"/>
      <c r="I2028" s="12" t="str">
        <f t="array" ref="I2028">IFERROR(INDEX(atlas!B:B,MATCH(A2028,atlas!C:C,0)),"")</f>
        <v/>
      </c>
      <c r="J2028" s="8" t="str">
        <f>IFERROR(VLOOKUP(F2028,tecnica!A:B,2,0),"")</f>
        <v/>
      </c>
      <c r="K2028" s="8" t="str">
        <f>IFERROR(VLOOKUP(J2028,tecnica!B:C,2,0),"")</f>
        <v/>
      </c>
      <c r="L2028" s="13"/>
      <c r="M2028" s="14" t="str">
        <f>IFERROR(VLOOKUP(I2028,material!A:D,4,0),"")</f>
        <v/>
      </c>
      <c r="N2028" s="14" t="str">
        <f t="shared" si="1"/>
        <v/>
      </c>
      <c r="O2028" s="15" t="str">
        <f>IFERROR(VLOOKUP(I2028,material!A:D,2,0),"")</f>
        <v/>
      </c>
    </row>
    <row r="2029">
      <c r="A2029" s="6"/>
      <c r="B2029" s="7"/>
      <c r="C2029" s="8" t="str">
        <f t="array" ref="C2029">IFERROR(INDEX(atlas!H:H,MATCH(A2029,atlas!C:C,0)),"")</f>
        <v/>
      </c>
      <c r="D2029" s="8" t="str">
        <f t="array" ref="D2029">IFERROR(INDEX(atlas!D:D,MATCH(A2029,atlas!C:C,0)),"")</f>
        <v/>
      </c>
      <c r="E2029" s="8" t="str">
        <f t="array" ref="E2029">IFERROR(INDEX(atlas!F:F,MATCH(A2029,atlas!C:C,0)),"")</f>
        <v/>
      </c>
      <c r="F2029" s="9"/>
      <c r="G2029" s="10"/>
      <c r="H2029" s="11"/>
      <c r="I2029" s="12" t="str">
        <f t="array" ref="I2029">IFERROR(INDEX(atlas!B:B,MATCH(A2029,atlas!C:C,0)),"")</f>
        <v/>
      </c>
      <c r="J2029" s="8" t="str">
        <f>IFERROR(VLOOKUP(F2029,tecnica!A:B,2,0),"")</f>
        <v/>
      </c>
      <c r="K2029" s="8" t="str">
        <f>IFERROR(VLOOKUP(J2029,tecnica!B:C,2,0),"")</f>
        <v/>
      </c>
      <c r="L2029" s="13"/>
      <c r="M2029" s="14" t="str">
        <f>IFERROR(VLOOKUP(I2029,material!A:D,4,0),"")</f>
        <v/>
      </c>
      <c r="N2029" s="14" t="str">
        <f t="shared" si="1"/>
        <v/>
      </c>
      <c r="O2029" s="15" t="str">
        <f>IFERROR(VLOOKUP(I2029,material!A:D,2,0),"")</f>
        <v/>
      </c>
    </row>
    <row r="2030">
      <c r="A2030" s="6"/>
      <c r="B2030" s="7"/>
      <c r="C2030" s="8" t="str">
        <f t="array" ref="C2030">IFERROR(INDEX(atlas!H:H,MATCH(A2030,atlas!C:C,0)),"")</f>
        <v/>
      </c>
      <c r="D2030" s="8" t="str">
        <f t="array" ref="D2030">IFERROR(INDEX(atlas!D:D,MATCH(A2030,atlas!C:C,0)),"")</f>
        <v/>
      </c>
      <c r="E2030" s="8" t="str">
        <f t="array" ref="E2030">IFERROR(INDEX(atlas!F:F,MATCH(A2030,atlas!C:C,0)),"")</f>
        <v/>
      </c>
      <c r="F2030" s="9"/>
      <c r="G2030" s="10"/>
      <c r="H2030" s="11"/>
      <c r="I2030" s="12" t="str">
        <f t="array" ref="I2030">IFERROR(INDEX(atlas!B:B,MATCH(A2030,atlas!C:C,0)),"")</f>
        <v/>
      </c>
      <c r="J2030" s="8" t="str">
        <f>IFERROR(VLOOKUP(F2030,tecnica!A:B,2,0),"")</f>
        <v/>
      </c>
      <c r="K2030" s="8" t="str">
        <f>IFERROR(VLOOKUP(J2030,tecnica!B:C,2,0),"")</f>
        <v/>
      </c>
      <c r="L2030" s="13"/>
      <c r="M2030" s="14" t="str">
        <f>IFERROR(VLOOKUP(I2030,material!A:D,4,0),"")</f>
        <v/>
      </c>
      <c r="N2030" s="14" t="str">
        <f t="shared" si="1"/>
        <v/>
      </c>
      <c r="O2030" s="15" t="str">
        <f>IFERROR(VLOOKUP(I2030,material!A:D,2,0),"")</f>
        <v/>
      </c>
    </row>
    <row r="2031">
      <c r="A2031" s="6"/>
      <c r="B2031" s="7"/>
      <c r="C2031" s="8" t="str">
        <f t="array" ref="C2031">IFERROR(INDEX(atlas!H:H,MATCH(A2031,atlas!C:C,0)),"")</f>
        <v/>
      </c>
      <c r="D2031" s="8" t="str">
        <f t="array" ref="D2031">IFERROR(INDEX(atlas!D:D,MATCH(A2031,atlas!C:C,0)),"")</f>
        <v/>
      </c>
      <c r="E2031" s="8" t="str">
        <f t="array" ref="E2031">IFERROR(INDEX(atlas!F:F,MATCH(A2031,atlas!C:C,0)),"")</f>
        <v/>
      </c>
      <c r="F2031" s="9"/>
      <c r="G2031" s="10"/>
      <c r="H2031" s="11"/>
      <c r="I2031" s="12" t="str">
        <f t="array" ref="I2031">IFERROR(INDEX(atlas!B:B,MATCH(A2031,atlas!C:C,0)),"")</f>
        <v/>
      </c>
      <c r="J2031" s="8" t="str">
        <f>IFERROR(VLOOKUP(F2031,tecnica!A:B,2,0),"")</f>
        <v/>
      </c>
      <c r="K2031" s="8" t="str">
        <f>IFERROR(VLOOKUP(J2031,tecnica!B:C,2,0),"")</f>
        <v/>
      </c>
      <c r="L2031" s="13"/>
      <c r="M2031" s="14" t="str">
        <f>IFERROR(VLOOKUP(I2031,material!A:D,4,0),"")</f>
        <v/>
      </c>
      <c r="N2031" s="14" t="str">
        <f t="shared" si="1"/>
        <v/>
      </c>
      <c r="O2031" s="15" t="str">
        <f>IFERROR(VLOOKUP(I2031,material!A:D,2,0),"")</f>
        <v/>
      </c>
    </row>
    <row r="2032">
      <c r="A2032" s="6"/>
      <c r="B2032" s="7"/>
      <c r="C2032" s="8" t="str">
        <f t="array" ref="C2032">IFERROR(INDEX(atlas!H:H,MATCH(A2032,atlas!C:C,0)),"")</f>
        <v/>
      </c>
      <c r="D2032" s="8" t="str">
        <f t="array" ref="D2032">IFERROR(INDEX(atlas!D:D,MATCH(A2032,atlas!C:C,0)),"")</f>
        <v/>
      </c>
      <c r="E2032" s="8" t="str">
        <f t="array" ref="E2032">IFERROR(INDEX(atlas!F:F,MATCH(A2032,atlas!C:C,0)),"")</f>
        <v/>
      </c>
      <c r="F2032" s="9"/>
      <c r="G2032" s="10"/>
      <c r="H2032" s="11"/>
      <c r="I2032" s="12" t="str">
        <f t="array" ref="I2032">IFERROR(INDEX(atlas!B:B,MATCH(A2032,atlas!C:C,0)),"")</f>
        <v/>
      </c>
      <c r="J2032" s="8" t="str">
        <f>IFERROR(VLOOKUP(F2032,tecnica!A:B,2,0),"")</f>
        <v/>
      </c>
      <c r="K2032" s="8" t="str">
        <f>IFERROR(VLOOKUP(J2032,tecnica!B:C,2,0),"")</f>
        <v/>
      </c>
      <c r="L2032" s="13"/>
      <c r="M2032" s="14" t="str">
        <f>IFERROR(VLOOKUP(I2032,material!A:D,4,0),"")</f>
        <v/>
      </c>
      <c r="N2032" s="14" t="str">
        <f t="shared" si="1"/>
        <v/>
      </c>
      <c r="O2032" s="15" t="str">
        <f>IFERROR(VLOOKUP(I2032,material!A:D,2,0),"")</f>
        <v/>
      </c>
    </row>
    <row r="2033">
      <c r="A2033" s="6"/>
      <c r="B2033" s="7"/>
      <c r="C2033" s="8" t="str">
        <f t="array" ref="C2033">IFERROR(INDEX(atlas!H:H,MATCH(A2033,atlas!C:C,0)),"")</f>
        <v/>
      </c>
      <c r="D2033" s="8" t="str">
        <f t="array" ref="D2033">IFERROR(INDEX(atlas!D:D,MATCH(A2033,atlas!C:C,0)),"")</f>
        <v/>
      </c>
      <c r="E2033" s="8" t="str">
        <f t="array" ref="E2033">IFERROR(INDEX(atlas!F:F,MATCH(A2033,atlas!C:C,0)),"")</f>
        <v/>
      </c>
      <c r="F2033" s="9"/>
      <c r="G2033" s="10"/>
      <c r="H2033" s="11"/>
      <c r="I2033" s="12" t="str">
        <f t="array" ref="I2033">IFERROR(INDEX(atlas!B:B,MATCH(A2033,atlas!C:C,0)),"")</f>
        <v/>
      </c>
      <c r="J2033" s="8" t="str">
        <f>IFERROR(VLOOKUP(F2033,tecnica!A:B,2,0),"")</f>
        <v/>
      </c>
      <c r="K2033" s="8" t="str">
        <f>IFERROR(VLOOKUP(J2033,tecnica!B:C,2,0),"")</f>
        <v/>
      </c>
      <c r="L2033" s="13"/>
      <c r="M2033" s="14" t="str">
        <f>IFERROR(VLOOKUP(I2033,material!A:D,4,0),"")</f>
        <v/>
      </c>
      <c r="N2033" s="14" t="str">
        <f t="shared" si="1"/>
        <v/>
      </c>
      <c r="O2033" s="15" t="str">
        <f>IFERROR(VLOOKUP(I2033,material!A:D,2,0),"")</f>
        <v/>
      </c>
    </row>
    <row r="2034">
      <c r="A2034" s="6"/>
      <c r="B2034" s="7"/>
      <c r="C2034" s="8" t="str">
        <f t="array" ref="C2034">IFERROR(INDEX(atlas!H:H,MATCH(A2034,atlas!C:C,0)),"")</f>
        <v/>
      </c>
      <c r="D2034" s="8" t="str">
        <f t="array" ref="D2034">IFERROR(INDEX(atlas!D:D,MATCH(A2034,atlas!C:C,0)),"")</f>
        <v/>
      </c>
      <c r="E2034" s="8" t="str">
        <f t="array" ref="E2034">IFERROR(INDEX(atlas!F:F,MATCH(A2034,atlas!C:C,0)),"")</f>
        <v/>
      </c>
      <c r="F2034" s="9"/>
      <c r="G2034" s="10"/>
      <c r="H2034" s="11"/>
      <c r="I2034" s="12" t="str">
        <f t="array" ref="I2034">IFERROR(INDEX(atlas!B:B,MATCH(A2034,atlas!C:C,0)),"")</f>
        <v/>
      </c>
      <c r="J2034" s="8" t="str">
        <f>IFERROR(VLOOKUP(F2034,tecnica!A:B,2,0),"")</f>
        <v/>
      </c>
      <c r="K2034" s="8" t="str">
        <f>IFERROR(VLOOKUP(J2034,tecnica!B:C,2,0),"")</f>
        <v/>
      </c>
      <c r="L2034" s="13"/>
      <c r="M2034" s="14" t="str">
        <f>IFERROR(VLOOKUP(I2034,material!A:D,4,0),"")</f>
        <v/>
      </c>
      <c r="N2034" s="14" t="str">
        <f t="shared" si="1"/>
        <v/>
      </c>
      <c r="O2034" s="15" t="str">
        <f>IFERROR(VLOOKUP(I2034,material!A:D,2,0),"")</f>
        <v/>
      </c>
    </row>
    <row r="2035">
      <c r="A2035" s="6"/>
      <c r="B2035" s="7"/>
      <c r="C2035" s="8" t="str">
        <f t="array" ref="C2035">IFERROR(INDEX(atlas!H:H,MATCH(A2035,atlas!C:C,0)),"")</f>
        <v/>
      </c>
      <c r="D2035" s="8" t="str">
        <f t="array" ref="D2035">IFERROR(INDEX(atlas!D:D,MATCH(A2035,atlas!C:C,0)),"")</f>
        <v/>
      </c>
      <c r="E2035" s="8" t="str">
        <f t="array" ref="E2035">IFERROR(INDEX(atlas!F:F,MATCH(A2035,atlas!C:C,0)),"")</f>
        <v/>
      </c>
      <c r="F2035" s="9"/>
      <c r="G2035" s="10"/>
      <c r="H2035" s="11"/>
      <c r="I2035" s="12" t="str">
        <f t="array" ref="I2035">IFERROR(INDEX(atlas!B:B,MATCH(A2035,atlas!C:C,0)),"")</f>
        <v/>
      </c>
      <c r="J2035" s="8" t="str">
        <f>IFERROR(VLOOKUP(F2035,tecnica!A:B,2,0),"")</f>
        <v/>
      </c>
      <c r="K2035" s="8" t="str">
        <f>IFERROR(VLOOKUP(J2035,tecnica!B:C,2,0),"")</f>
        <v/>
      </c>
      <c r="L2035" s="13"/>
      <c r="M2035" s="14" t="str">
        <f>IFERROR(VLOOKUP(I2035,material!A:D,4,0),"")</f>
        <v/>
      </c>
      <c r="N2035" s="14" t="str">
        <f t="shared" si="1"/>
        <v/>
      </c>
      <c r="O2035" s="15" t="str">
        <f>IFERROR(VLOOKUP(I2035,material!A:D,2,0),"")</f>
        <v/>
      </c>
    </row>
    <row r="2036">
      <c r="A2036" s="6"/>
      <c r="B2036" s="7"/>
      <c r="C2036" s="8" t="str">
        <f t="array" ref="C2036">IFERROR(INDEX(atlas!H:H,MATCH(A2036,atlas!C:C,0)),"")</f>
        <v/>
      </c>
      <c r="D2036" s="8" t="str">
        <f t="array" ref="D2036">IFERROR(INDEX(atlas!D:D,MATCH(A2036,atlas!C:C,0)),"")</f>
        <v/>
      </c>
      <c r="E2036" s="8" t="str">
        <f t="array" ref="E2036">IFERROR(INDEX(atlas!F:F,MATCH(A2036,atlas!C:C,0)),"")</f>
        <v/>
      </c>
      <c r="F2036" s="9"/>
      <c r="G2036" s="10"/>
      <c r="H2036" s="11"/>
      <c r="I2036" s="12" t="str">
        <f t="array" ref="I2036">IFERROR(INDEX(atlas!B:B,MATCH(A2036,atlas!C:C,0)),"")</f>
        <v/>
      </c>
      <c r="J2036" s="8" t="str">
        <f>IFERROR(VLOOKUP(F2036,tecnica!A:B,2,0),"")</f>
        <v/>
      </c>
      <c r="K2036" s="8" t="str">
        <f>IFERROR(VLOOKUP(J2036,tecnica!B:C,2,0),"")</f>
        <v/>
      </c>
      <c r="L2036" s="13"/>
      <c r="M2036" s="14" t="str">
        <f>IFERROR(VLOOKUP(I2036,material!A:D,4,0),"")</f>
        <v/>
      </c>
      <c r="N2036" s="14" t="str">
        <f t="shared" si="1"/>
        <v/>
      </c>
      <c r="O2036" s="15" t="str">
        <f>IFERROR(VLOOKUP(I2036,material!A:D,2,0),"")</f>
        <v/>
      </c>
    </row>
    <row r="2037">
      <c r="A2037" s="6"/>
      <c r="B2037" s="7"/>
      <c r="C2037" s="8" t="str">
        <f t="array" ref="C2037">IFERROR(INDEX(atlas!H:H,MATCH(A2037,atlas!C:C,0)),"")</f>
        <v/>
      </c>
      <c r="D2037" s="8" t="str">
        <f t="array" ref="D2037">IFERROR(INDEX(atlas!D:D,MATCH(A2037,atlas!C:C,0)),"")</f>
        <v/>
      </c>
      <c r="E2037" s="8" t="str">
        <f t="array" ref="E2037">IFERROR(INDEX(atlas!F:F,MATCH(A2037,atlas!C:C,0)),"")</f>
        <v/>
      </c>
      <c r="F2037" s="9"/>
      <c r="G2037" s="10"/>
      <c r="H2037" s="11"/>
      <c r="I2037" s="12" t="str">
        <f t="array" ref="I2037">IFERROR(INDEX(atlas!B:B,MATCH(A2037,atlas!C:C,0)),"")</f>
        <v/>
      </c>
      <c r="J2037" s="8" t="str">
        <f>IFERROR(VLOOKUP(F2037,tecnica!A:B,2,0),"")</f>
        <v/>
      </c>
      <c r="K2037" s="8" t="str">
        <f>IFERROR(VLOOKUP(J2037,tecnica!B:C,2,0),"")</f>
        <v/>
      </c>
      <c r="L2037" s="13"/>
      <c r="M2037" s="14" t="str">
        <f>IFERROR(VLOOKUP(I2037,material!A:D,4,0),"")</f>
        <v/>
      </c>
      <c r="N2037" s="14" t="str">
        <f t="shared" si="1"/>
        <v/>
      </c>
      <c r="O2037" s="15" t="str">
        <f>IFERROR(VLOOKUP(I2037,material!A:D,2,0),"")</f>
        <v/>
      </c>
    </row>
    <row r="2038">
      <c r="A2038" s="6"/>
      <c r="B2038" s="7"/>
      <c r="C2038" s="8" t="str">
        <f t="array" ref="C2038">IFERROR(INDEX(atlas!H:H,MATCH(A2038,atlas!C:C,0)),"")</f>
        <v/>
      </c>
      <c r="D2038" s="8" t="str">
        <f t="array" ref="D2038">IFERROR(INDEX(atlas!D:D,MATCH(A2038,atlas!C:C,0)),"")</f>
        <v/>
      </c>
      <c r="E2038" s="8" t="str">
        <f t="array" ref="E2038">IFERROR(INDEX(atlas!F:F,MATCH(A2038,atlas!C:C,0)),"")</f>
        <v/>
      </c>
      <c r="F2038" s="9"/>
      <c r="G2038" s="10"/>
      <c r="H2038" s="11"/>
      <c r="I2038" s="12" t="str">
        <f t="array" ref="I2038">IFERROR(INDEX(atlas!B:B,MATCH(A2038,atlas!C:C,0)),"")</f>
        <v/>
      </c>
      <c r="J2038" s="8" t="str">
        <f>IFERROR(VLOOKUP(F2038,tecnica!A:B,2,0),"")</f>
        <v/>
      </c>
      <c r="K2038" s="8" t="str">
        <f>IFERROR(VLOOKUP(J2038,tecnica!B:C,2,0),"")</f>
        <v/>
      </c>
      <c r="L2038" s="13"/>
      <c r="M2038" s="14" t="str">
        <f>IFERROR(VLOOKUP(I2038,material!A:D,4,0),"")</f>
        <v/>
      </c>
      <c r="N2038" s="14" t="str">
        <f t="shared" si="1"/>
        <v/>
      </c>
      <c r="O2038" s="15" t="str">
        <f>IFERROR(VLOOKUP(I2038,material!A:D,2,0),"")</f>
        <v/>
      </c>
    </row>
    <row r="2039">
      <c r="A2039" s="6"/>
      <c r="B2039" s="7"/>
      <c r="C2039" s="8" t="str">
        <f t="array" ref="C2039">IFERROR(INDEX(atlas!H:H,MATCH(A2039,atlas!C:C,0)),"")</f>
        <v/>
      </c>
      <c r="D2039" s="8" t="str">
        <f t="array" ref="D2039">IFERROR(INDEX(atlas!D:D,MATCH(A2039,atlas!C:C,0)),"")</f>
        <v/>
      </c>
      <c r="E2039" s="8" t="str">
        <f t="array" ref="E2039">IFERROR(INDEX(atlas!F:F,MATCH(A2039,atlas!C:C,0)),"")</f>
        <v/>
      </c>
      <c r="F2039" s="9"/>
      <c r="G2039" s="10"/>
      <c r="H2039" s="11"/>
      <c r="I2039" s="12" t="str">
        <f t="array" ref="I2039">IFERROR(INDEX(atlas!B:B,MATCH(A2039,atlas!C:C,0)),"")</f>
        <v/>
      </c>
      <c r="J2039" s="8" t="str">
        <f>IFERROR(VLOOKUP(F2039,tecnica!A:B,2,0),"")</f>
        <v/>
      </c>
      <c r="K2039" s="8" t="str">
        <f>IFERROR(VLOOKUP(J2039,tecnica!B:C,2,0),"")</f>
        <v/>
      </c>
      <c r="L2039" s="13"/>
      <c r="M2039" s="14" t="str">
        <f>IFERROR(VLOOKUP(I2039,material!A:D,4,0),"")</f>
        <v/>
      </c>
      <c r="N2039" s="14" t="str">
        <f t="shared" si="1"/>
        <v/>
      </c>
      <c r="O2039" s="15" t="str">
        <f>IFERROR(VLOOKUP(I2039,material!A:D,2,0),"")</f>
        <v/>
      </c>
    </row>
    <row r="2040">
      <c r="A2040" s="6"/>
      <c r="B2040" s="7"/>
      <c r="C2040" s="8" t="str">
        <f t="array" ref="C2040">IFERROR(INDEX(atlas!H:H,MATCH(A2040,atlas!C:C,0)),"")</f>
        <v/>
      </c>
      <c r="D2040" s="8" t="str">
        <f t="array" ref="D2040">IFERROR(INDEX(atlas!D:D,MATCH(A2040,atlas!C:C,0)),"")</f>
        <v/>
      </c>
      <c r="E2040" s="8" t="str">
        <f t="array" ref="E2040">IFERROR(INDEX(atlas!F:F,MATCH(A2040,atlas!C:C,0)),"")</f>
        <v/>
      </c>
      <c r="F2040" s="9"/>
      <c r="G2040" s="10"/>
      <c r="H2040" s="11"/>
      <c r="I2040" s="12" t="str">
        <f t="array" ref="I2040">IFERROR(INDEX(atlas!B:B,MATCH(A2040,atlas!C:C,0)),"")</f>
        <v/>
      </c>
      <c r="J2040" s="8" t="str">
        <f>IFERROR(VLOOKUP(F2040,tecnica!A:B,2,0),"")</f>
        <v/>
      </c>
      <c r="K2040" s="8" t="str">
        <f>IFERROR(VLOOKUP(J2040,tecnica!B:C,2,0),"")</f>
        <v/>
      </c>
      <c r="L2040" s="13"/>
      <c r="M2040" s="14" t="str">
        <f>IFERROR(VLOOKUP(I2040,material!A:D,4,0),"")</f>
        <v/>
      </c>
      <c r="N2040" s="14" t="str">
        <f t="shared" si="1"/>
        <v/>
      </c>
      <c r="O2040" s="15" t="str">
        <f>IFERROR(VLOOKUP(I2040,material!A:D,2,0),"")</f>
        <v/>
      </c>
    </row>
    <row r="2041">
      <c r="A2041" s="6"/>
      <c r="B2041" s="7"/>
      <c r="C2041" s="8" t="str">
        <f t="array" ref="C2041">IFERROR(INDEX(atlas!H:H,MATCH(A2041,atlas!C:C,0)),"")</f>
        <v/>
      </c>
      <c r="D2041" s="8" t="str">
        <f t="array" ref="D2041">IFERROR(INDEX(atlas!D:D,MATCH(A2041,atlas!C:C,0)),"")</f>
        <v/>
      </c>
      <c r="E2041" s="8" t="str">
        <f t="array" ref="E2041">IFERROR(INDEX(atlas!F:F,MATCH(A2041,atlas!C:C,0)),"")</f>
        <v/>
      </c>
      <c r="F2041" s="9"/>
      <c r="G2041" s="10"/>
      <c r="H2041" s="11"/>
      <c r="I2041" s="12" t="str">
        <f t="array" ref="I2041">IFERROR(INDEX(atlas!B:B,MATCH(A2041,atlas!C:C,0)),"")</f>
        <v/>
      </c>
      <c r="J2041" s="8" t="str">
        <f>IFERROR(VLOOKUP(F2041,tecnica!A:B,2,0),"")</f>
        <v/>
      </c>
      <c r="K2041" s="8" t="str">
        <f>IFERROR(VLOOKUP(J2041,tecnica!B:C,2,0),"")</f>
        <v/>
      </c>
      <c r="L2041" s="13"/>
      <c r="M2041" s="14" t="str">
        <f>IFERROR(VLOOKUP(I2041,material!A:D,4,0),"")</f>
        <v/>
      </c>
      <c r="N2041" s="14" t="str">
        <f t="shared" si="1"/>
        <v/>
      </c>
      <c r="O2041" s="15" t="str">
        <f>IFERROR(VLOOKUP(I2041,material!A:D,2,0),"")</f>
        <v/>
      </c>
    </row>
    <row r="2042">
      <c r="A2042" s="6"/>
      <c r="B2042" s="7"/>
      <c r="C2042" s="8" t="str">
        <f t="array" ref="C2042">IFERROR(INDEX(atlas!H:H,MATCH(A2042,atlas!C:C,0)),"")</f>
        <v/>
      </c>
      <c r="D2042" s="8" t="str">
        <f t="array" ref="D2042">IFERROR(INDEX(atlas!D:D,MATCH(A2042,atlas!C:C,0)),"")</f>
        <v/>
      </c>
      <c r="E2042" s="8" t="str">
        <f t="array" ref="E2042">IFERROR(INDEX(atlas!F:F,MATCH(A2042,atlas!C:C,0)),"")</f>
        <v/>
      </c>
      <c r="F2042" s="9"/>
      <c r="G2042" s="10"/>
      <c r="H2042" s="11"/>
      <c r="I2042" s="12" t="str">
        <f t="array" ref="I2042">IFERROR(INDEX(atlas!B:B,MATCH(A2042,atlas!C:C,0)),"")</f>
        <v/>
      </c>
      <c r="J2042" s="8" t="str">
        <f>IFERROR(VLOOKUP(F2042,tecnica!A:B,2,0),"")</f>
        <v/>
      </c>
      <c r="K2042" s="8" t="str">
        <f>IFERROR(VLOOKUP(J2042,tecnica!B:C,2,0),"")</f>
        <v/>
      </c>
      <c r="L2042" s="13"/>
      <c r="M2042" s="14" t="str">
        <f>IFERROR(VLOOKUP(I2042,material!A:D,4,0),"")</f>
        <v/>
      </c>
      <c r="N2042" s="14" t="str">
        <f t="shared" si="1"/>
        <v/>
      </c>
      <c r="O2042" s="15" t="str">
        <f>IFERROR(VLOOKUP(I2042,material!A:D,2,0),"")</f>
        <v/>
      </c>
    </row>
    <row r="2043">
      <c r="A2043" s="6"/>
      <c r="B2043" s="7"/>
      <c r="C2043" s="8" t="str">
        <f t="array" ref="C2043">IFERROR(INDEX(atlas!H:H,MATCH(A2043,atlas!C:C,0)),"")</f>
        <v/>
      </c>
      <c r="D2043" s="8" t="str">
        <f t="array" ref="D2043">IFERROR(INDEX(atlas!D:D,MATCH(A2043,atlas!C:C,0)),"")</f>
        <v/>
      </c>
      <c r="E2043" s="8" t="str">
        <f t="array" ref="E2043">IFERROR(INDEX(atlas!F:F,MATCH(A2043,atlas!C:C,0)),"")</f>
        <v/>
      </c>
      <c r="F2043" s="9"/>
      <c r="G2043" s="10"/>
      <c r="H2043" s="11"/>
      <c r="I2043" s="12" t="str">
        <f t="array" ref="I2043">IFERROR(INDEX(atlas!B:B,MATCH(A2043,atlas!C:C,0)),"")</f>
        <v/>
      </c>
      <c r="J2043" s="8" t="str">
        <f>IFERROR(VLOOKUP(F2043,tecnica!A:B,2,0),"")</f>
        <v/>
      </c>
      <c r="K2043" s="8" t="str">
        <f>IFERROR(VLOOKUP(J2043,tecnica!B:C,2,0),"")</f>
        <v/>
      </c>
      <c r="L2043" s="13"/>
      <c r="M2043" s="14" t="str">
        <f>IFERROR(VLOOKUP(I2043,material!A:D,4,0),"")</f>
        <v/>
      </c>
      <c r="N2043" s="14" t="str">
        <f t="shared" si="1"/>
        <v/>
      </c>
      <c r="O2043" s="15" t="str">
        <f>IFERROR(VLOOKUP(I2043,material!A:D,2,0),"")</f>
        <v/>
      </c>
    </row>
    <row r="2044">
      <c r="A2044" s="6"/>
      <c r="B2044" s="7"/>
      <c r="C2044" s="8" t="str">
        <f t="array" ref="C2044">IFERROR(INDEX(atlas!H:H,MATCH(A2044,atlas!C:C,0)),"")</f>
        <v/>
      </c>
      <c r="D2044" s="8" t="str">
        <f t="array" ref="D2044">IFERROR(INDEX(atlas!D:D,MATCH(A2044,atlas!C:C,0)),"")</f>
        <v/>
      </c>
      <c r="E2044" s="8" t="str">
        <f t="array" ref="E2044">IFERROR(INDEX(atlas!F:F,MATCH(A2044,atlas!C:C,0)),"")</f>
        <v/>
      </c>
      <c r="F2044" s="9"/>
      <c r="G2044" s="10"/>
      <c r="H2044" s="11"/>
      <c r="I2044" s="12" t="str">
        <f t="array" ref="I2044">IFERROR(INDEX(atlas!B:B,MATCH(A2044,atlas!C:C,0)),"")</f>
        <v/>
      </c>
      <c r="J2044" s="8" t="str">
        <f>IFERROR(VLOOKUP(F2044,tecnica!A:B,2,0),"")</f>
        <v/>
      </c>
      <c r="K2044" s="8" t="str">
        <f>IFERROR(VLOOKUP(J2044,tecnica!B:C,2,0),"")</f>
        <v/>
      </c>
      <c r="L2044" s="13"/>
      <c r="M2044" s="14" t="str">
        <f>IFERROR(VLOOKUP(I2044,material!A:D,4,0),"")</f>
        <v/>
      </c>
      <c r="N2044" s="14" t="str">
        <f t="shared" si="1"/>
        <v/>
      </c>
      <c r="O2044" s="15" t="str">
        <f>IFERROR(VLOOKUP(I2044,material!A:D,2,0),"")</f>
        <v/>
      </c>
    </row>
    <row r="2045">
      <c r="A2045" s="6"/>
      <c r="B2045" s="7"/>
      <c r="C2045" s="8" t="str">
        <f t="array" ref="C2045">IFERROR(INDEX(atlas!H:H,MATCH(A2045,atlas!C:C,0)),"")</f>
        <v/>
      </c>
      <c r="D2045" s="8" t="str">
        <f t="array" ref="D2045">IFERROR(INDEX(atlas!D:D,MATCH(A2045,atlas!C:C,0)),"")</f>
        <v/>
      </c>
      <c r="E2045" s="8" t="str">
        <f t="array" ref="E2045">IFERROR(INDEX(atlas!F:F,MATCH(A2045,atlas!C:C,0)),"")</f>
        <v/>
      </c>
      <c r="F2045" s="9"/>
      <c r="G2045" s="10"/>
      <c r="H2045" s="11"/>
      <c r="I2045" s="12" t="str">
        <f t="array" ref="I2045">IFERROR(INDEX(atlas!B:B,MATCH(A2045,atlas!C:C,0)),"")</f>
        <v/>
      </c>
      <c r="J2045" s="8" t="str">
        <f>IFERROR(VLOOKUP(F2045,tecnica!A:B,2,0),"")</f>
        <v/>
      </c>
      <c r="K2045" s="8" t="str">
        <f>IFERROR(VLOOKUP(J2045,tecnica!B:C,2,0),"")</f>
        <v/>
      </c>
      <c r="L2045" s="13"/>
      <c r="M2045" s="14" t="str">
        <f>IFERROR(VLOOKUP(I2045,material!A:D,4,0),"")</f>
        <v/>
      </c>
      <c r="N2045" s="14" t="str">
        <f t="shared" si="1"/>
        <v/>
      </c>
      <c r="O2045" s="15" t="str">
        <f>IFERROR(VLOOKUP(I2045,material!A:D,2,0),"")</f>
        <v/>
      </c>
    </row>
    <row r="2046">
      <c r="A2046" s="6"/>
      <c r="B2046" s="7"/>
      <c r="C2046" s="8" t="str">
        <f t="array" ref="C2046">IFERROR(INDEX(atlas!H:H,MATCH(A2046,atlas!C:C,0)),"")</f>
        <v/>
      </c>
      <c r="D2046" s="8" t="str">
        <f t="array" ref="D2046">IFERROR(INDEX(atlas!D:D,MATCH(A2046,atlas!C:C,0)),"")</f>
        <v/>
      </c>
      <c r="E2046" s="8" t="str">
        <f t="array" ref="E2046">IFERROR(INDEX(atlas!F:F,MATCH(A2046,atlas!C:C,0)),"")</f>
        <v/>
      </c>
      <c r="F2046" s="9"/>
      <c r="G2046" s="10"/>
      <c r="H2046" s="11"/>
      <c r="I2046" s="12" t="str">
        <f t="array" ref="I2046">IFERROR(INDEX(atlas!B:B,MATCH(A2046,atlas!C:C,0)),"")</f>
        <v/>
      </c>
      <c r="J2046" s="8" t="str">
        <f>IFERROR(VLOOKUP(F2046,tecnica!A:B,2,0),"")</f>
        <v/>
      </c>
      <c r="K2046" s="8" t="str">
        <f>IFERROR(VLOOKUP(J2046,tecnica!B:C,2,0),"")</f>
        <v/>
      </c>
      <c r="L2046" s="13"/>
      <c r="M2046" s="14" t="str">
        <f>IFERROR(VLOOKUP(I2046,material!A:D,4,0),"")</f>
        <v/>
      </c>
      <c r="N2046" s="14" t="str">
        <f t="shared" si="1"/>
        <v/>
      </c>
      <c r="O2046" s="15" t="str">
        <f>IFERROR(VLOOKUP(I2046,material!A:D,2,0),"")</f>
        <v/>
      </c>
    </row>
    <row r="2047">
      <c r="A2047" s="6"/>
      <c r="B2047" s="7"/>
      <c r="C2047" s="8" t="str">
        <f t="array" ref="C2047">IFERROR(INDEX(atlas!H:H,MATCH(A2047,atlas!C:C,0)),"")</f>
        <v/>
      </c>
      <c r="D2047" s="8" t="str">
        <f t="array" ref="D2047">IFERROR(INDEX(atlas!D:D,MATCH(A2047,atlas!C:C,0)),"")</f>
        <v/>
      </c>
      <c r="E2047" s="8" t="str">
        <f t="array" ref="E2047">IFERROR(INDEX(atlas!F:F,MATCH(A2047,atlas!C:C,0)),"")</f>
        <v/>
      </c>
      <c r="F2047" s="9"/>
      <c r="G2047" s="10"/>
      <c r="H2047" s="11"/>
      <c r="I2047" s="12" t="str">
        <f t="array" ref="I2047">IFERROR(INDEX(atlas!B:B,MATCH(A2047,atlas!C:C,0)),"")</f>
        <v/>
      </c>
      <c r="J2047" s="8" t="str">
        <f>IFERROR(VLOOKUP(F2047,tecnica!A:B,2,0),"")</f>
        <v/>
      </c>
      <c r="K2047" s="8" t="str">
        <f>IFERROR(VLOOKUP(J2047,tecnica!B:C,2,0),"")</f>
        <v/>
      </c>
      <c r="L2047" s="13"/>
      <c r="M2047" s="14" t="str">
        <f>IFERROR(VLOOKUP(I2047,material!A:D,4,0),"")</f>
        <v/>
      </c>
      <c r="N2047" s="14" t="str">
        <f t="shared" si="1"/>
        <v/>
      </c>
      <c r="O2047" s="15" t="str">
        <f>IFERROR(VLOOKUP(I2047,material!A:D,2,0),"")</f>
        <v/>
      </c>
    </row>
    <row r="2048">
      <c r="A2048" s="6"/>
      <c r="B2048" s="7"/>
      <c r="C2048" s="8" t="str">
        <f t="array" ref="C2048">IFERROR(INDEX(atlas!H:H,MATCH(A2048,atlas!C:C,0)),"")</f>
        <v/>
      </c>
      <c r="D2048" s="8" t="str">
        <f t="array" ref="D2048">IFERROR(INDEX(atlas!D:D,MATCH(A2048,atlas!C:C,0)),"")</f>
        <v/>
      </c>
      <c r="E2048" s="8" t="str">
        <f t="array" ref="E2048">IFERROR(INDEX(atlas!F:F,MATCH(A2048,atlas!C:C,0)),"")</f>
        <v/>
      </c>
      <c r="F2048" s="9"/>
      <c r="G2048" s="10"/>
      <c r="H2048" s="11"/>
      <c r="I2048" s="12" t="str">
        <f t="array" ref="I2048">IFERROR(INDEX(atlas!B:B,MATCH(A2048,atlas!C:C,0)),"")</f>
        <v/>
      </c>
      <c r="J2048" s="8" t="str">
        <f>IFERROR(VLOOKUP(F2048,tecnica!A:B,2,0),"")</f>
        <v/>
      </c>
      <c r="K2048" s="8" t="str">
        <f>IFERROR(VLOOKUP(J2048,tecnica!B:C,2,0),"")</f>
        <v/>
      </c>
      <c r="L2048" s="13"/>
      <c r="M2048" s="14" t="str">
        <f>IFERROR(VLOOKUP(I2048,material!A:D,4,0),"")</f>
        <v/>
      </c>
      <c r="N2048" s="14" t="str">
        <f t="shared" si="1"/>
        <v/>
      </c>
      <c r="O2048" s="15" t="str">
        <f>IFERROR(VLOOKUP(I2048,material!A:D,2,0),"")</f>
        <v/>
      </c>
    </row>
    <row r="2049">
      <c r="A2049" s="6"/>
      <c r="B2049" s="7"/>
      <c r="C2049" s="8" t="str">
        <f t="array" ref="C2049">IFERROR(INDEX(atlas!H:H,MATCH(A2049,atlas!C:C,0)),"")</f>
        <v/>
      </c>
      <c r="D2049" s="8" t="str">
        <f t="array" ref="D2049">IFERROR(INDEX(atlas!D:D,MATCH(A2049,atlas!C:C,0)),"")</f>
        <v/>
      </c>
      <c r="E2049" s="8" t="str">
        <f t="array" ref="E2049">IFERROR(INDEX(atlas!F:F,MATCH(A2049,atlas!C:C,0)),"")</f>
        <v/>
      </c>
      <c r="F2049" s="9"/>
      <c r="G2049" s="10"/>
      <c r="H2049" s="11"/>
      <c r="I2049" s="12" t="str">
        <f t="array" ref="I2049">IFERROR(INDEX(atlas!B:B,MATCH(A2049,atlas!C:C,0)),"")</f>
        <v/>
      </c>
      <c r="J2049" s="8" t="str">
        <f>IFERROR(VLOOKUP(F2049,tecnica!A:B,2,0),"")</f>
        <v/>
      </c>
      <c r="K2049" s="8" t="str">
        <f>IFERROR(VLOOKUP(J2049,tecnica!B:C,2,0),"")</f>
        <v/>
      </c>
      <c r="L2049" s="13"/>
      <c r="M2049" s="14" t="str">
        <f>IFERROR(VLOOKUP(I2049,material!A:D,4,0),"")</f>
        <v/>
      </c>
      <c r="N2049" s="14" t="str">
        <f t="shared" si="1"/>
        <v/>
      </c>
      <c r="O2049" s="15" t="str">
        <f>IFERROR(VLOOKUP(I2049,material!A:D,2,0),"")</f>
        <v/>
      </c>
    </row>
    <row r="2050">
      <c r="A2050" s="6"/>
      <c r="B2050" s="7"/>
      <c r="C2050" s="8" t="str">
        <f t="array" ref="C2050">IFERROR(INDEX(atlas!H:H,MATCH(A2050,atlas!C:C,0)),"")</f>
        <v/>
      </c>
      <c r="D2050" s="8" t="str">
        <f t="array" ref="D2050">IFERROR(INDEX(atlas!D:D,MATCH(A2050,atlas!C:C,0)),"")</f>
        <v/>
      </c>
      <c r="E2050" s="8" t="str">
        <f t="array" ref="E2050">IFERROR(INDEX(atlas!F:F,MATCH(A2050,atlas!C:C,0)),"")</f>
        <v/>
      </c>
      <c r="F2050" s="9"/>
      <c r="G2050" s="10"/>
      <c r="H2050" s="11"/>
      <c r="I2050" s="12" t="str">
        <f t="array" ref="I2050">IFERROR(INDEX(atlas!B:B,MATCH(A2050,atlas!C:C,0)),"")</f>
        <v/>
      </c>
      <c r="J2050" s="8" t="str">
        <f>IFERROR(VLOOKUP(F2050,tecnica!A:B,2,0),"")</f>
        <v/>
      </c>
      <c r="K2050" s="8" t="str">
        <f>IFERROR(VLOOKUP(J2050,tecnica!B:C,2,0),"")</f>
        <v/>
      </c>
      <c r="L2050" s="13"/>
      <c r="M2050" s="14" t="str">
        <f>IFERROR(VLOOKUP(I2050,material!A:D,4,0),"")</f>
        <v/>
      </c>
      <c r="N2050" s="14" t="str">
        <f t="shared" si="1"/>
        <v/>
      </c>
      <c r="O2050" s="15" t="str">
        <f>IFERROR(VLOOKUP(I2050,material!A:D,2,0),"")</f>
        <v/>
      </c>
    </row>
    <row r="2051">
      <c r="A2051" s="6"/>
      <c r="B2051" s="7"/>
      <c r="C2051" s="8" t="str">
        <f t="array" ref="C2051">IFERROR(INDEX(atlas!H:H,MATCH(A2051,atlas!C:C,0)),"")</f>
        <v/>
      </c>
      <c r="D2051" s="8" t="str">
        <f t="array" ref="D2051">IFERROR(INDEX(atlas!D:D,MATCH(A2051,atlas!C:C,0)),"")</f>
        <v/>
      </c>
      <c r="E2051" s="8" t="str">
        <f t="array" ref="E2051">IFERROR(INDEX(atlas!F:F,MATCH(A2051,atlas!C:C,0)),"")</f>
        <v/>
      </c>
      <c r="F2051" s="9"/>
      <c r="G2051" s="10"/>
      <c r="H2051" s="11"/>
      <c r="I2051" s="12" t="str">
        <f t="array" ref="I2051">IFERROR(INDEX(atlas!B:B,MATCH(A2051,atlas!C:C,0)),"")</f>
        <v/>
      </c>
      <c r="J2051" s="8" t="str">
        <f>IFERROR(VLOOKUP(F2051,tecnica!A:B,2,0),"")</f>
        <v/>
      </c>
      <c r="K2051" s="8" t="str">
        <f>IFERROR(VLOOKUP(J2051,tecnica!B:C,2,0),"")</f>
        <v/>
      </c>
      <c r="L2051" s="13"/>
      <c r="M2051" s="14" t="str">
        <f>IFERROR(VLOOKUP(I2051,material!A:D,4,0),"")</f>
        <v/>
      </c>
      <c r="N2051" s="14" t="str">
        <f t="shared" si="1"/>
        <v/>
      </c>
      <c r="O2051" s="15" t="str">
        <f>IFERROR(VLOOKUP(I2051,material!A:D,2,0),"")</f>
        <v/>
      </c>
    </row>
    <row r="2052">
      <c r="A2052" s="6"/>
      <c r="B2052" s="7"/>
      <c r="C2052" s="8" t="str">
        <f t="array" ref="C2052">IFERROR(INDEX(atlas!H:H,MATCH(A2052,atlas!C:C,0)),"")</f>
        <v/>
      </c>
      <c r="D2052" s="8" t="str">
        <f t="array" ref="D2052">IFERROR(INDEX(atlas!D:D,MATCH(A2052,atlas!C:C,0)),"")</f>
        <v/>
      </c>
      <c r="E2052" s="8" t="str">
        <f t="array" ref="E2052">IFERROR(INDEX(atlas!F:F,MATCH(A2052,atlas!C:C,0)),"")</f>
        <v/>
      </c>
      <c r="F2052" s="9"/>
      <c r="G2052" s="10"/>
      <c r="H2052" s="11"/>
      <c r="I2052" s="12" t="str">
        <f t="array" ref="I2052">IFERROR(INDEX(atlas!B:B,MATCH(A2052,atlas!C:C,0)),"")</f>
        <v/>
      </c>
      <c r="J2052" s="8" t="str">
        <f>IFERROR(VLOOKUP(F2052,tecnica!A:B,2,0),"")</f>
        <v/>
      </c>
      <c r="K2052" s="8" t="str">
        <f>IFERROR(VLOOKUP(J2052,tecnica!B:C,2,0),"")</f>
        <v/>
      </c>
      <c r="L2052" s="13"/>
      <c r="M2052" s="14" t="str">
        <f>IFERROR(VLOOKUP(I2052,material!A:D,4,0),"")</f>
        <v/>
      </c>
      <c r="N2052" s="14" t="str">
        <f t="shared" si="1"/>
        <v/>
      </c>
      <c r="O2052" s="15" t="str">
        <f>IFERROR(VLOOKUP(I2052,material!A:D,2,0),"")</f>
        <v/>
      </c>
    </row>
    <row r="2053">
      <c r="A2053" s="6"/>
      <c r="B2053" s="7"/>
      <c r="C2053" s="8" t="str">
        <f t="array" ref="C2053">IFERROR(INDEX(atlas!H:H,MATCH(A2053,atlas!C:C,0)),"")</f>
        <v/>
      </c>
      <c r="D2053" s="8" t="str">
        <f t="array" ref="D2053">IFERROR(INDEX(atlas!D:D,MATCH(A2053,atlas!C:C,0)),"")</f>
        <v/>
      </c>
      <c r="E2053" s="8" t="str">
        <f t="array" ref="E2053">IFERROR(INDEX(atlas!F:F,MATCH(A2053,atlas!C:C,0)),"")</f>
        <v/>
      </c>
      <c r="F2053" s="9"/>
      <c r="G2053" s="10"/>
      <c r="H2053" s="11"/>
      <c r="I2053" s="12" t="str">
        <f t="array" ref="I2053">IFERROR(INDEX(atlas!B:B,MATCH(A2053,atlas!C:C,0)),"")</f>
        <v/>
      </c>
      <c r="J2053" s="8" t="str">
        <f>IFERROR(VLOOKUP(F2053,tecnica!A:B,2,0),"")</f>
        <v/>
      </c>
      <c r="K2053" s="8" t="str">
        <f>IFERROR(VLOOKUP(J2053,tecnica!B:C,2,0),"")</f>
        <v/>
      </c>
      <c r="L2053" s="13"/>
      <c r="M2053" s="14" t="str">
        <f>IFERROR(VLOOKUP(I2053,material!A:D,4,0),"")</f>
        <v/>
      </c>
      <c r="N2053" s="14" t="str">
        <f t="shared" si="1"/>
        <v/>
      </c>
      <c r="O2053" s="15" t="str">
        <f>IFERROR(VLOOKUP(I2053,material!A:D,2,0),"")</f>
        <v/>
      </c>
    </row>
    <row r="2054">
      <c r="A2054" s="6"/>
      <c r="B2054" s="7"/>
      <c r="C2054" s="8" t="str">
        <f t="array" ref="C2054">IFERROR(INDEX(atlas!H:H,MATCH(A2054,atlas!C:C,0)),"")</f>
        <v/>
      </c>
      <c r="D2054" s="8" t="str">
        <f t="array" ref="D2054">IFERROR(INDEX(atlas!D:D,MATCH(A2054,atlas!C:C,0)),"")</f>
        <v/>
      </c>
      <c r="E2054" s="8" t="str">
        <f t="array" ref="E2054">IFERROR(INDEX(atlas!F:F,MATCH(A2054,atlas!C:C,0)),"")</f>
        <v/>
      </c>
      <c r="F2054" s="9"/>
      <c r="G2054" s="10"/>
      <c r="H2054" s="11"/>
      <c r="I2054" s="12" t="str">
        <f t="array" ref="I2054">IFERROR(INDEX(atlas!B:B,MATCH(A2054,atlas!C:C,0)),"")</f>
        <v/>
      </c>
      <c r="J2054" s="8" t="str">
        <f>IFERROR(VLOOKUP(F2054,tecnica!A:B,2,0),"")</f>
        <v/>
      </c>
      <c r="K2054" s="8" t="str">
        <f>IFERROR(VLOOKUP(J2054,tecnica!B:C,2,0),"")</f>
        <v/>
      </c>
      <c r="L2054" s="13"/>
      <c r="M2054" s="14" t="str">
        <f>IFERROR(VLOOKUP(I2054,material!A:D,4,0),"")</f>
        <v/>
      </c>
      <c r="N2054" s="14" t="str">
        <f t="shared" si="1"/>
        <v/>
      </c>
      <c r="O2054" s="15" t="str">
        <f>IFERROR(VLOOKUP(I2054,material!A:D,2,0),"")</f>
        <v/>
      </c>
    </row>
    <row r="2055">
      <c r="A2055" s="6"/>
      <c r="B2055" s="7"/>
      <c r="C2055" s="8" t="str">
        <f t="array" ref="C2055">IFERROR(INDEX(atlas!H:H,MATCH(A2055,atlas!C:C,0)),"")</f>
        <v/>
      </c>
      <c r="D2055" s="8" t="str">
        <f t="array" ref="D2055">IFERROR(INDEX(atlas!D:D,MATCH(A2055,atlas!C:C,0)),"")</f>
        <v/>
      </c>
      <c r="E2055" s="8" t="str">
        <f t="array" ref="E2055">IFERROR(INDEX(atlas!F:F,MATCH(A2055,atlas!C:C,0)),"")</f>
        <v/>
      </c>
      <c r="F2055" s="9"/>
      <c r="G2055" s="10"/>
      <c r="H2055" s="11"/>
      <c r="I2055" s="12" t="str">
        <f t="array" ref="I2055">IFERROR(INDEX(atlas!B:B,MATCH(A2055,atlas!C:C,0)),"")</f>
        <v/>
      </c>
      <c r="J2055" s="8" t="str">
        <f>IFERROR(VLOOKUP(F2055,tecnica!A:B,2,0),"")</f>
        <v/>
      </c>
      <c r="K2055" s="8" t="str">
        <f>IFERROR(VLOOKUP(J2055,tecnica!B:C,2,0),"")</f>
        <v/>
      </c>
      <c r="L2055" s="13"/>
      <c r="M2055" s="14" t="str">
        <f>IFERROR(VLOOKUP(I2055,material!A:D,4,0),"")</f>
        <v/>
      </c>
      <c r="N2055" s="14" t="str">
        <f t="shared" si="1"/>
        <v/>
      </c>
      <c r="O2055" s="15" t="str">
        <f>IFERROR(VLOOKUP(I2055,material!A:D,2,0),"")</f>
        <v/>
      </c>
    </row>
    <row r="2056">
      <c r="A2056" s="6"/>
      <c r="B2056" s="7"/>
      <c r="C2056" s="8" t="str">
        <f t="array" ref="C2056">IFERROR(INDEX(atlas!H:H,MATCH(A2056,atlas!C:C,0)),"")</f>
        <v/>
      </c>
      <c r="D2056" s="8" t="str">
        <f t="array" ref="D2056">IFERROR(INDEX(atlas!D:D,MATCH(A2056,atlas!C:C,0)),"")</f>
        <v/>
      </c>
      <c r="E2056" s="8" t="str">
        <f t="array" ref="E2056">IFERROR(INDEX(atlas!F:F,MATCH(A2056,atlas!C:C,0)),"")</f>
        <v/>
      </c>
      <c r="F2056" s="9"/>
      <c r="G2056" s="10"/>
      <c r="H2056" s="11"/>
      <c r="I2056" s="12" t="str">
        <f t="array" ref="I2056">IFERROR(INDEX(atlas!B:B,MATCH(A2056,atlas!C:C,0)),"")</f>
        <v/>
      </c>
      <c r="J2056" s="8" t="str">
        <f>IFERROR(VLOOKUP(F2056,tecnica!A:B,2,0),"")</f>
        <v/>
      </c>
      <c r="K2056" s="8" t="str">
        <f>IFERROR(VLOOKUP(J2056,tecnica!B:C,2,0),"")</f>
        <v/>
      </c>
      <c r="L2056" s="13"/>
      <c r="M2056" s="14" t="str">
        <f>IFERROR(VLOOKUP(I2056,material!A:D,4,0),"")</f>
        <v/>
      </c>
      <c r="N2056" s="14" t="str">
        <f t="shared" si="1"/>
        <v/>
      </c>
      <c r="O2056" s="15" t="str">
        <f>IFERROR(VLOOKUP(I2056,material!A:D,2,0),"")</f>
        <v/>
      </c>
    </row>
    <row r="2057">
      <c r="A2057" s="6"/>
      <c r="B2057" s="7"/>
      <c r="C2057" s="8" t="str">
        <f t="array" ref="C2057">IFERROR(INDEX(atlas!H:H,MATCH(A2057,atlas!C:C,0)),"")</f>
        <v/>
      </c>
      <c r="D2057" s="8" t="str">
        <f t="array" ref="D2057">IFERROR(INDEX(atlas!D:D,MATCH(A2057,atlas!C:C,0)),"")</f>
        <v/>
      </c>
      <c r="E2057" s="8" t="str">
        <f t="array" ref="E2057">IFERROR(INDEX(atlas!F:F,MATCH(A2057,atlas!C:C,0)),"")</f>
        <v/>
      </c>
      <c r="F2057" s="9"/>
      <c r="G2057" s="10"/>
      <c r="H2057" s="11"/>
      <c r="I2057" s="12" t="str">
        <f t="array" ref="I2057">IFERROR(INDEX(atlas!B:B,MATCH(A2057,atlas!C:C,0)),"")</f>
        <v/>
      </c>
      <c r="J2057" s="8" t="str">
        <f>IFERROR(VLOOKUP(F2057,tecnica!A:B,2,0),"")</f>
        <v/>
      </c>
      <c r="K2057" s="8" t="str">
        <f>IFERROR(VLOOKUP(J2057,tecnica!B:C,2,0),"")</f>
        <v/>
      </c>
      <c r="L2057" s="13"/>
      <c r="M2057" s="14" t="str">
        <f>IFERROR(VLOOKUP(I2057,material!A:D,4,0),"")</f>
        <v/>
      </c>
      <c r="N2057" s="14" t="str">
        <f t="shared" si="1"/>
        <v/>
      </c>
      <c r="O2057" s="15" t="str">
        <f>IFERROR(VLOOKUP(I2057,material!A:D,2,0),"")</f>
        <v/>
      </c>
    </row>
    <row r="2058">
      <c r="A2058" s="6"/>
      <c r="B2058" s="7"/>
      <c r="C2058" s="8" t="str">
        <f t="array" ref="C2058">IFERROR(INDEX(atlas!H:H,MATCH(A2058,atlas!C:C,0)),"")</f>
        <v/>
      </c>
      <c r="D2058" s="8" t="str">
        <f t="array" ref="D2058">IFERROR(INDEX(atlas!D:D,MATCH(A2058,atlas!C:C,0)),"")</f>
        <v/>
      </c>
      <c r="E2058" s="8" t="str">
        <f t="array" ref="E2058">IFERROR(INDEX(atlas!F:F,MATCH(A2058,atlas!C:C,0)),"")</f>
        <v/>
      </c>
      <c r="F2058" s="9"/>
      <c r="G2058" s="10"/>
      <c r="H2058" s="11"/>
      <c r="I2058" s="12" t="str">
        <f t="array" ref="I2058">IFERROR(INDEX(atlas!B:B,MATCH(A2058,atlas!C:C,0)),"")</f>
        <v/>
      </c>
      <c r="J2058" s="8" t="str">
        <f>IFERROR(VLOOKUP(F2058,tecnica!A:B,2,0),"")</f>
        <v/>
      </c>
      <c r="K2058" s="8" t="str">
        <f>IFERROR(VLOOKUP(J2058,tecnica!B:C,2,0),"")</f>
        <v/>
      </c>
      <c r="L2058" s="13"/>
      <c r="M2058" s="14" t="str">
        <f>IFERROR(VLOOKUP(I2058,material!A:D,4,0),"")</f>
        <v/>
      </c>
      <c r="N2058" s="14" t="str">
        <f t="shared" si="1"/>
        <v/>
      </c>
      <c r="O2058" s="15" t="str">
        <f>IFERROR(VLOOKUP(I2058,material!A:D,2,0),"")</f>
        <v/>
      </c>
    </row>
    <row r="2059">
      <c r="A2059" s="6"/>
      <c r="B2059" s="7"/>
      <c r="C2059" s="8" t="str">
        <f t="array" ref="C2059">IFERROR(INDEX(atlas!H:H,MATCH(A2059,atlas!C:C,0)),"")</f>
        <v/>
      </c>
      <c r="D2059" s="8" t="str">
        <f t="array" ref="D2059">IFERROR(INDEX(atlas!D:D,MATCH(A2059,atlas!C:C,0)),"")</f>
        <v/>
      </c>
      <c r="E2059" s="8" t="str">
        <f t="array" ref="E2059">IFERROR(INDEX(atlas!F:F,MATCH(A2059,atlas!C:C,0)),"")</f>
        <v/>
      </c>
      <c r="F2059" s="9"/>
      <c r="G2059" s="10"/>
      <c r="H2059" s="11"/>
      <c r="I2059" s="12" t="str">
        <f t="array" ref="I2059">IFERROR(INDEX(atlas!B:B,MATCH(A2059,atlas!C:C,0)),"")</f>
        <v/>
      </c>
      <c r="J2059" s="8" t="str">
        <f>IFERROR(VLOOKUP(F2059,tecnica!A:B,2,0),"")</f>
        <v/>
      </c>
      <c r="K2059" s="8" t="str">
        <f>IFERROR(VLOOKUP(J2059,tecnica!B:C,2,0),"")</f>
        <v/>
      </c>
      <c r="L2059" s="13"/>
      <c r="M2059" s="14" t="str">
        <f>IFERROR(VLOOKUP(I2059,material!A:D,4,0),"")</f>
        <v/>
      </c>
      <c r="N2059" s="14" t="str">
        <f t="shared" si="1"/>
        <v/>
      </c>
      <c r="O2059" s="15" t="str">
        <f>IFERROR(VLOOKUP(I2059,material!A:D,2,0),"")</f>
        <v/>
      </c>
    </row>
    <row r="2060">
      <c r="A2060" s="6"/>
      <c r="B2060" s="7"/>
      <c r="C2060" s="8" t="str">
        <f t="array" ref="C2060">IFERROR(INDEX(atlas!H:H,MATCH(A2060,atlas!C:C,0)),"")</f>
        <v/>
      </c>
      <c r="D2060" s="8" t="str">
        <f t="array" ref="D2060">IFERROR(INDEX(atlas!D:D,MATCH(A2060,atlas!C:C,0)),"")</f>
        <v/>
      </c>
      <c r="E2060" s="8" t="str">
        <f t="array" ref="E2060">IFERROR(INDEX(atlas!F:F,MATCH(A2060,atlas!C:C,0)),"")</f>
        <v/>
      </c>
      <c r="F2060" s="9"/>
      <c r="G2060" s="10"/>
      <c r="H2060" s="11"/>
      <c r="I2060" s="12" t="str">
        <f t="array" ref="I2060">IFERROR(INDEX(atlas!B:B,MATCH(A2060,atlas!C:C,0)),"")</f>
        <v/>
      </c>
      <c r="J2060" s="8" t="str">
        <f>IFERROR(VLOOKUP(F2060,tecnica!A:B,2,0),"")</f>
        <v/>
      </c>
      <c r="K2060" s="8" t="str">
        <f>IFERROR(VLOOKUP(J2060,tecnica!B:C,2,0),"")</f>
        <v/>
      </c>
      <c r="L2060" s="13"/>
      <c r="M2060" s="14" t="str">
        <f>IFERROR(VLOOKUP(I2060,material!A:D,4,0),"")</f>
        <v/>
      </c>
      <c r="N2060" s="14" t="str">
        <f t="shared" si="1"/>
        <v/>
      </c>
      <c r="O2060" s="15" t="str">
        <f>IFERROR(VLOOKUP(I2060,material!A:D,2,0),"")</f>
        <v/>
      </c>
    </row>
    <row r="2061">
      <c r="A2061" s="6"/>
      <c r="B2061" s="7"/>
      <c r="C2061" s="8" t="str">
        <f t="array" ref="C2061">IFERROR(INDEX(atlas!H:H,MATCH(A2061,atlas!C:C,0)),"")</f>
        <v/>
      </c>
      <c r="D2061" s="8" t="str">
        <f t="array" ref="D2061">IFERROR(INDEX(atlas!D:D,MATCH(A2061,atlas!C:C,0)),"")</f>
        <v/>
      </c>
      <c r="E2061" s="8" t="str">
        <f t="array" ref="E2061">IFERROR(INDEX(atlas!F:F,MATCH(A2061,atlas!C:C,0)),"")</f>
        <v/>
      </c>
      <c r="F2061" s="9"/>
      <c r="G2061" s="10"/>
      <c r="H2061" s="11"/>
      <c r="I2061" s="12" t="str">
        <f t="array" ref="I2061">IFERROR(INDEX(atlas!B:B,MATCH(A2061,atlas!C:C,0)),"")</f>
        <v/>
      </c>
      <c r="J2061" s="8" t="str">
        <f>IFERROR(VLOOKUP(F2061,tecnica!A:B,2,0),"")</f>
        <v/>
      </c>
      <c r="K2061" s="8" t="str">
        <f>IFERROR(VLOOKUP(J2061,tecnica!B:C,2,0),"")</f>
        <v/>
      </c>
      <c r="L2061" s="13"/>
      <c r="M2061" s="14" t="str">
        <f>IFERROR(VLOOKUP(I2061,material!A:D,4,0),"")</f>
        <v/>
      </c>
      <c r="N2061" s="14" t="str">
        <f t="shared" si="1"/>
        <v/>
      </c>
      <c r="O2061" s="15" t="str">
        <f>IFERROR(VLOOKUP(I2061,material!A:D,2,0),"")</f>
        <v/>
      </c>
    </row>
    <row r="2062">
      <c r="A2062" s="6"/>
      <c r="B2062" s="7"/>
      <c r="C2062" s="8" t="str">
        <f t="array" ref="C2062">IFERROR(INDEX(atlas!H:H,MATCH(A2062,atlas!C:C,0)),"")</f>
        <v/>
      </c>
      <c r="D2062" s="8" t="str">
        <f t="array" ref="D2062">IFERROR(INDEX(atlas!D:D,MATCH(A2062,atlas!C:C,0)),"")</f>
        <v/>
      </c>
      <c r="E2062" s="8" t="str">
        <f t="array" ref="E2062">IFERROR(INDEX(atlas!F:F,MATCH(A2062,atlas!C:C,0)),"")</f>
        <v/>
      </c>
      <c r="F2062" s="9"/>
      <c r="G2062" s="10"/>
      <c r="H2062" s="11"/>
      <c r="I2062" s="12" t="str">
        <f t="array" ref="I2062">IFERROR(INDEX(atlas!B:B,MATCH(A2062,atlas!C:C,0)),"")</f>
        <v/>
      </c>
      <c r="J2062" s="8" t="str">
        <f>IFERROR(VLOOKUP(F2062,tecnica!A:B,2,0),"")</f>
        <v/>
      </c>
      <c r="K2062" s="8" t="str">
        <f>IFERROR(VLOOKUP(J2062,tecnica!B:C,2,0),"")</f>
        <v/>
      </c>
      <c r="L2062" s="13"/>
      <c r="M2062" s="14" t="str">
        <f>IFERROR(VLOOKUP(I2062,material!A:D,4,0),"")</f>
        <v/>
      </c>
      <c r="N2062" s="14" t="str">
        <f t="shared" si="1"/>
        <v/>
      </c>
      <c r="O2062" s="15" t="str">
        <f>IFERROR(VLOOKUP(I2062,material!A:D,2,0),"")</f>
        <v/>
      </c>
    </row>
    <row r="2063">
      <c r="A2063" s="6"/>
      <c r="B2063" s="7"/>
      <c r="C2063" s="8" t="str">
        <f t="array" ref="C2063">IFERROR(INDEX(atlas!H:H,MATCH(A2063,atlas!C:C,0)),"")</f>
        <v/>
      </c>
      <c r="D2063" s="8" t="str">
        <f t="array" ref="D2063">IFERROR(INDEX(atlas!D:D,MATCH(A2063,atlas!C:C,0)),"")</f>
        <v/>
      </c>
      <c r="E2063" s="8" t="str">
        <f t="array" ref="E2063">IFERROR(INDEX(atlas!F:F,MATCH(A2063,atlas!C:C,0)),"")</f>
        <v/>
      </c>
      <c r="F2063" s="9"/>
      <c r="G2063" s="10"/>
      <c r="H2063" s="11"/>
      <c r="I2063" s="12" t="str">
        <f t="array" ref="I2063">IFERROR(INDEX(atlas!B:B,MATCH(A2063,atlas!C:C,0)),"")</f>
        <v/>
      </c>
      <c r="J2063" s="8" t="str">
        <f>IFERROR(VLOOKUP(F2063,tecnica!A:B,2,0),"")</f>
        <v/>
      </c>
      <c r="K2063" s="8" t="str">
        <f>IFERROR(VLOOKUP(J2063,tecnica!B:C,2,0),"")</f>
        <v/>
      </c>
      <c r="L2063" s="13"/>
      <c r="M2063" s="14" t="str">
        <f>IFERROR(VLOOKUP(I2063,material!A:D,4,0),"")</f>
        <v/>
      </c>
      <c r="N2063" s="14" t="str">
        <f t="shared" si="1"/>
        <v/>
      </c>
      <c r="O2063" s="15" t="str">
        <f>IFERROR(VLOOKUP(I2063,material!A:D,2,0),"")</f>
        <v/>
      </c>
    </row>
    <row r="2064">
      <c r="A2064" s="6"/>
      <c r="B2064" s="7"/>
      <c r="C2064" s="8" t="str">
        <f t="array" ref="C2064">IFERROR(INDEX(atlas!H:H,MATCH(A2064,atlas!C:C,0)),"")</f>
        <v/>
      </c>
      <c r="D2064" s="8" t="str">
        <f t="array" ref="D2064">IFERROR(INDEX(atlas!D:D,MATCH(A2064,atlas!C:C,0)),"")</f>
        <v/>
      </c>
      <c r="E2064" s="8" t="str">
        <f t="array" ref="E2064">IFERROR(INDEX(atlas!F:F,MATCH(A2064,atlas!C:C,0)),"")</f>
        <v/>
      </c>
      <c r="F2064" s="9"/>
      <c r="G2064" s="10"/>
      <c r="H2064" s="11"/>
      <c r="I2064" s="12" t="str">
        <f t="array" ref="I2064">IFERROR(INDEX(atlas!B:B,MATCH(A2064,atlas!C:C,0)),"")</f>
        <v/>
      </c>
      <c r="J2064" s="8" t="str">
        <f>IFERROR(VLOOKUP(F2064,tecnica!A:B,2,0),"")</f>
        <v/>
      </c>
      <c r="K2064" s="8" t="str">
        <f>IFERROR(VLOOKUP(J2064,tecnica!B:C,2,0),"")</f>
        <v/>
      </c>
      <c r="L2064" s="13"/>
      <c r="M2064" s="14" t="str">
        <f>IFERROR(VLOOKUP(I2064,material!A:D,4,0),"")</f>
        <v/>
      </c>
      <c r="N2064" s="14" t="str">
        <f t="shared" si="1"/>
        <v/>
      </c>
      <c r="O2064" s="15" t="str">
        <f>IFERROR(VLOOKUP(I2064,material!A:D,2,0),"")</f>
        <v/>
      </c>
    </row>
    <row r="2065">
      <c r="A2065" s="6"/>
      <c r="B2065" s="7"/>
      <c r="C2065" s="8" t="str">
        <f t="array" ref="C2065">IFERROR(INDEX(atlas!H:H,MATCH(A2065,atlas!C:C,0)),"")</f>
        <v/>
      </c>
      <c r="D2065" s="8" t="str">
        <f t="array" ref="D2065">IFERROR(INDEX(atlas!D:D,MATCH(A2065,atlas!C:C,0)),"")</f>
        <v/>
      </c>
      <c r="E2065" s="8" t="str">
        <f t="array" ref="E2065">IFERROR(INDEX(atlas!F:F,MATCH(A2065,atlas!C:C,0)),"")</f>
        <v/>
      </c>
      <c r="F2065" s="9"/>
      <c r="G2065" s="10"/>
      <c r="H2065" s="11"/>
      <c r="I2065" s="12" t="str">
        <f t="array" ref="I2065">IFERROR(INDEX(atlas!B:B,MATCH(A2065,atlas!C:C,0)),"")</f>
        <v/>
      </c>
      <c r="J2065" s="8" t="str">
        <f>IFERROR(VLOOKUP(F2065,tecnica!A:B,2,0),"")</f>
        <v/>
      </c>
      <c r="K2065" s="8" t="str">
        <f>IFERROR(VLOOKUP(J2065,tecnica!B:C,2,0),"")</f>
        <v/>
      </c>
      <c r="L2065" s="13"/>
      <c r="M2065" s="14" t="str">
        <f>IFERROR(VLOOKUP(I2065,material!A:D,4,0),"")</f>
        <v/>
      </c>
      <c r="N2065" s="14" t="str">
        <f t="shared" si="1"/>
        <v/>
      </c>
      <c r="O2065" s="15" t="str">
        <f>IFERROR(VLOOKUP(I2065,material!A:D,2,0),"")</f>
        <v/>
      </c>
    </row>
    <row r="2066">
      <c r="A2066" s="6"/>
      <c r="B2066" s="7"/>
      <c r="C2066" s="8" t="str">
        <f t="array" ref="C2066">IFERROR(INDEX(atlas!H:H,MATCH(A2066,atlas!C:C,0)),"")</f>
        <v/>
      </c>
      <c r="D2066" s="8" t="str">
        <f t="array" ref="D2066">IFERROR(INDEX(atlas!D:D,MATCH(A2066,atlas!C:C,0)),"")</f>
        <v/>
      </c>
      <c r="E2066" s="8" t="str">
        <f t="array" ref="E2066">IFERROR(INDEX(atlas!F:F,MATCH(A2066,atlas!C:C,0)),"")</f>
        <v/>
      </c>
      <c r="F2066" s="9"/>
      <c r="G2066" s="10"/>
      <c r="H2066" s="11"/>
      <c r="I2066" s="12" t="str">
        <f t="array" ref="I2066">IFERROR(INDEX(atlas!B:B,MATCH(A2066,atlas!C:C,0)),"")</f>
        <v/>
      </c>
      <c r="J2066" s="8" t="str">
        <f>IFERROR(VLOOKUP(F2066,tecnica!A:B,2,0),"")</f>
        <v/>
      </c>
      <c r="K2066" s="8" t="str">
        <f>IFERROR(VLOOKUP(J2066,tecnica!B:C,2,0),"")</f>
        <v/>
      </c>
      <c r="L2066" s="13"/>
      <c r="M2066" s="14" t="str">
        <f>IFERROR(VLOOKUP(I2066,material!A:D,4,0),"")</f>
        <v/>
      </c>
      <c r="N2066" s="14" t="str">
        <f t="shared" si="1"/>
        <v/>
      </c>
      <c r="O2066" s="15" t="str">
        <f>IFERROR(VLOOKUP(I2066,material!A:D,2,0),"")</f>
        <v/>
      </c>
    </row>
    <row r="2067">
      <c r="A2067" s="6"/>
      <c r="B2067" s="7"/>
      <c r="C2067" s="8" t="str">
        <f t="array" ref="C2067">IFERROR(INDEX(atlas!H:H,MATCH(A2067,atlas!C:C,0)),"")</f>
        <v/>
      </c>
      <c r="D2067" s="8" t="str">
        <f t="array" ref="D2067">IFERROR(INDEX(atlas!D:D,MATCH(A2067,atlas!C:C,0)),"")</f>
        <v/>
      </c>
      <c r="E2067" s="8" t="str">
        <f t="array" ref="E2067">IFERROR(INDEX(atlas!F:F,MATCH(A2067,atlas!C:C,0)),"")</f>
        <v/>
      </c>
      <c r="F2067" s="9"/>
      <c r="G2067" s="10"/>
      <c r="H2067" s="11"/>
      <c r="I2067" s="12" t="str">
        <f t="array" ref="I2067">IFERROR(INDEX(atlas!B:B,MATCH(A2067,atlas!C:C,0)),"")</f>
        <v/>
      </c>
      <c r="J2067" s="8" t="str">
        <f>IFERROR(VLOOKUP(F2067,tecnica!A:B,2,0),"")</f>
        <v/>
      </c>
      <c r="K2067" s="8" t="str">
        <f>IFERROR(VLOOKUP(J2067,tecnica!B:C,2,0),"")</f>
        <v/>
      </c>
      <c r="L2067" s="13"/>
      <c r="M2067" s="14" t="str">
        <f>IFERROR(VLOOKUP(I2067,material!A:D,4,0),"")</f>
        <v/>
      </c>
      <c r="N2067" s="14" t="str">
        <f t="shared" si="1"/>
        <v/>
      </c>
      <c r="O2067" s="15" t="str">
        <f>IFERROR(VLOOKUP(I2067,material!A:D,2,0),"")</f>
        <v/>
      </c>
    </row>
    <row r="2068">
      <c r="A2068" s="6"/>
      <c r="B2068" s="7"/>
      <c r="C2068" s="8" t="str">
        <f t="array" ref="C2068">IFERROR(INDEX(atlas!H:H,MATCH(A2068,atlas!C:C,0)),"")</f>
        <v/>
      </c>
      <c r="D2068" s="8" t="str">
        <f t="array" ref="D2068">IFERROR(INDEX(atlas!D:D,MATCH(A2068,atlas!C:C,0)),"")</f>
        <v/>
      </c>
      <c r="E2068" s="8" t="str">
        <f t="array" ref="E2068">IFERROR(INDEX(atlas!F:F,MATCH(A2068,atlas!C:C,0)),"")</f>
        <v/>
      </c>
      <c r="F2068" s="9"/>
      <c r="G2068" s="10"/>
      <c r="H2068" s="11"/>
      <c r="I2068" s="12" t="str">
        <f t="array" ref="I2068">IFERROR(INDEX(atlas!B:B,MATCH(A2068,atlas!C:C,0)),"")</f>
        <v/>
      </c>
      <c r="J2068" s="8" t="str">
        <f>IFERROR(VLOOKUP(F2068,tecnica!A:B,2,0),"")</f>
        <v/>
      </c>
      <c r="K2068" s="8" t="str">
        <f>IFERROR(VLOOKUP(J2068,tecnica!B:C,2,0),"")</f>
        <v/>
      </c>
      <c r="L2068" s="13"/>
      <c r="M2068" s="14" t="str">
        <f>IFERROR(VLOOKUP(I2068,material!A:D,4,0),"")</f>
        <v/>
      </c>
      <c r="N2068" s="14" t="str">
        <f t="shared" si="1"/>
        <v/>
      </c>
      <c r="O2068" s="15" t="str">
        <f>IFERROR(VLOOKUP(I2068,material!A:D,2,0),"")</f>
        <v/>
      </c>
    </row>
    <row r="2069">
      <c r="A2069" s="6"/>
      <c r="B2069" s="7"/>
      <c r="C2069" s="8" t="str">
        <f t="array" ref="C2069">IFERROR(INDEX(atlas!H:H,MATCH(A2069,atlas!C:C,0)),"")</f>
        <v/>
      </c>
      <c r="D2069" s="8" t="str">
        <f t="array" ref="D2069">IFERROR(INDEX(atlas!D:D,MATCH(A2069,atlas!C:C,0)),"")</f>
        <v/>
      </c>
      <c r="E2069" s="8" t="str">
        <f t="array" ref="E2069">IFERROR(INDEX(atlas!F:F,MATCH(A2069,atlas!C:C,0)),"")</f>
        <v/>
      </c>
      <c r="F2069" s="9"/>
      <c r="G2069" s="10"/>
      <c r="H2069" s="11"/>
      <c r="I2069" s="12" t="str">
        <f t="array" ref="I2069">IFERROR(INDEX(atlas!B:B,MATCH(A2069,atlas!C:C,0)),"")</f>
        <v/>
      </c>
      <c r="J2069" s="8" t="str">
        <f>IFERROR(VLOOKUP(F2069,tecnica!A:B,2,0),"")</f>
        <v/>
      </c>
      <c r="K2069" s="8" t="str">
        <f>IFERROR(VLOOKUP(J2069,tecnica!B:C,2,0),"")</f>
        <v/>
      </c>
      <c r="L2069" s="13"/>
      <c r="M2069" s="14" t="str">
        <f>IFERROR(VLOOKUP(I2069,material!A:D,4,0),"")</f>
        <v/>
      </c>
      <c r="N2069" s="14" t="str">
        <f t="shared" si="1"/>
        <v/>
      </c>
      <c r="O2069" s="15" t="str">
        <f>IFERROR(VLOOKUP(I2069,material!A:D,2,0),"")</f>
        <v/>
      </c>
    </row>
    <row r="2070">
      <c r="A2070" s="6"/>
      <c r="B2070" s="7"/>
      <c r="C2070" s="8" t="str">
        <f t="array" ref="C2070">IFERROR(INDEX(atlas!H:H,MATCH(A2070,atlas!C:C,0)),"")</f>
        <v/>
      </c>
      <c r="D2070" s="8" t="str">
        <f t="array" ref="D2070">IFERROR(INDEX(atlas!D:D,MATCH(A2070,atlas!C:C,0)),"")</f>
        <v/>
      </c>
      <c r="E2070" s="8" t="str">
        <f t="array" ref="E2070">IFERROR(INDEX(atlas!F:F,MATCH(A2070,atlas!C:C,0)),"")</f>
        <v/>
      </c>
      <c r="F2070" s="9"/>
      <c r="G2070" s="10"/>
      <c r="H2070" s="11"/>
      <c r="I2070" s="12" t="str">
        <f t="array" ref="I2070">IFERROR(INDEX(atlas!B:B,MATCH(A2070,atlas!C:C,0)),"")</f>
        <v/>
      </c>
      <c r="J2070" s="8" t="str">
        <f>IFERROR(VLOOKUP(F2070,tecnica!A:B,2,0),"")</f>
        <v/>
      </c>
      <c r="K2070" s="8" t="str">
        <f>IFERROR(VLOOKUP(J2070,tecnica!B:C,2,0),"")</f>
        <v/>
      </c>
      <c r="L2070" s="13"/>
      <c r="M2070" s="14" t="str">
        <f>IFERROR(VLOOKUP(I2070,material!A:D,4,0),"")</f>
        <v/>
      </c>
      <c r="N2070" s="14" t="str">
        <f t="shared" si="1"/>
        <v/>
      </c>
      <c r="O2070" s="15" t="str">
        <f>IFERROR(VLOOKUP(I2070,material!A:D,2,0),"")</f>
        <v/>
      </c>
    </row>
    <row r="2071">
      <c r="A2071" s="6"/>
      <c r="B2071" s="7"/>
      <c r="C2071" s="8" t="str">
        <f t="array" ref="C2071">IFERROR(INDEX(atlas!H:H,MATCH(A2071,atlas!C:C,0)),"")</f>
        <v/>
      </c>
      <c r="D2071" s="8" t="str">
        <f t="array" ref="D2071">IFERROR(INDEX(atlas!D:D,MATCH(A2071,atlas!C:C,0)),"")</f>
        <v/>
      </c>
      <c r="E2071" s="8" t="str">
        <f t="array" ref="E2071">IFERROR(INDEX(atlas!F:F,MATCH(A2071,atlas!C:C,0)),"")</f>
        <v/>
      </c>
      <c r="F2071" s="9"/>
      <c r="G2071" s="10"/>
      <c r="H2071" s="11"/>
      <c r="I2071" s="12" t="str">
        <f t="array" ref="I2071">IFERROR(INDEX(atlas!B:B,MATCH(A2071,atlas!C:C,0)),"")</f>
        <v/>
      </c>
      <c r="J2071" s="8" t="str">
        <f>IFERROR(VLOOKUP(F2071,tecnica!A:B,2,0),"")</f>
        <v/>
      </c>
      <c r="K2071" s="8" t="str">
        <f>IFERROR(VLOOKUP(J2071,tecnica!B:C,2,0),"")</f>
        <v/>
      </c>
      <c r="L2071" s="13"/>
      <c r="M2071" s="14" t="str">
        <f>IFERROR(VLOOKUP(I2071,material!A:D,4,0),"")</f>
        <v/>
      </c>
      <c r="N2071" s="14" t="str">
        <f t="shared" si="1"/>
        <v/>
      </c>
      <c r="O2071" s="15" t="str">
        <f>IFERROR(VLOOKUP(I2071,material!A:D,2,0),"")</f>
        <v/>
      </c>
    </row>
    <row r="2072">
      <c r="A2072" s="6"/>
      <c r="B2072" s="7"/>
      <c r="C2072" s="8" t="str">
        <f t="array" ref="C2072">IFERROR(INDEX(atlas!H:H,MATCH(A2072,atlas!C:C,0)),"")</f>
        <v/>
      </c>
      <c r="D2072" s="8" t="str">
        <f t="array" ref="D2072">IFERROR(INDEX(atlas!D:D,MATCH(A2072,atlas!C:C,0)),"")</f>
        <v/>
      </c>
      <c r="E2072" s="8" t="str">
        <f t="array" ref="E2072">IFERROR(INDEX(atlas!F:F,MATCH(A2072,atlas!C:C,0)),"")</f>
        <v/>
      </c>
      <c r="F2072" s="9"/>
      <c r="G2072" s="10"/>
      <c r="H2072" s="11"/>
      <c r="I2072" s="12" t="str">
        <f t="array" ref="I2072">IFERROR(INDEX(atlas!B:B,MATCH(A2072,atlas!C:C,0)),"")</f>
        <v/>
      </c>
      <c r="J2072" s="8" t="str">
        <f>IFERROR(VLOOKUP(F2072,tecnica!A:B,2,0),"")</f>
        <v/>
      </c>
      <c r="K2072" s="8" t="str">
        <f>IFERROR(VLOOKUP(J2072,tecnica!B:C,2,0),"")</f>
        <v/>
      </c>
      <c r="L2072" s="13"/>
      <c r="M2072" s="14" t="str">
        <f>IFERROR(VLOOKUP(I2072,material!A:D,4,0),"")</f>
        <v/>
      </c>
      <c r="N2072" s="14" t="str">
        <f t="shared" si="1"/>
        <v/>
      </c>
      <c r="O2072" s="15" t="str">
        <f>IFERROR(VLOOKUP(I2072,material!A:D,2,0),"")</f>
        <v/>
      </c>
    </row>
    <row r="2073">
      <c r="A2073" s="6"/>
      <c r="B2073" s="7"/>
      <c r="C2073" s="8" t="str">
        <f t="array" ref="C2073">IFERROR(INDEX(atlas!H:H,MATCH(A2073,atlas!C:C,0)),"")</f>
        <v/>
      </c>
      <c r="D2073" s="8" t="str">
        <f t="array" ref="D2073">IFERROR(INDEX(atlas!D:D,MATCH(A2073,atlas!C:C,0)),"")</f>
        <v/>
      </c>
      <c r="E2073" s="8" t="str">
        <f t="array" ref="E2073">IFERROR(INDEX(atlas!F:F,MATCH(A2073,atlas!C:C,0)),"")</f>
        <v/>
      </c>
      <c r="F2073" s="9"/>
      <c r="G2073" s="10"/>
      <c r="H2073" s="11"/>
      <c r="I2073" s="12" t="str">
        <f t="array" ref="I2073">IFERROR(INDEX(atlas!B:B,MATCH(A2073,atlas!C:C,0)),"")</f>
        <v/>
      </c>
      <c r="J2073" s="8" t="str">
        <f>IFERROR(VLOOKUP(F2073,tecnica!A:B,2,0),"")</f>
        <v/>
      </c>
      <c r="K2073" s="8" t="str">
        <f>IFERROR(VLOOKUP(J2073,tecnica!B:C,2,0),"")</f>
        <v/>
      </c>
      <c r="L2073" s="13"/>
      <c r="M2073" s="14" t="str">
        <f>IFERROR(VLOOKUP(I2073,material!A:D,4,0),"")</f>
        <v/>
      </c>
      <c r="N2073" s="14" t="str">
        <f t="shared" si="1"/>
        <v/>
      </c>
      <c r="O2073" s="15" t="str">
        <f>IFERROR(VLOOKUP(I2073,material!A:D,2,0),"")</f>
        <v/>
      </c>
    </row>
    <row r="2074">
      <c r="A2074" s="6"/>
      <c r="B2074" s="7"/>
      <c r="C2074" s="8" t="str">
        <f t="array" ref="C2074">IFERROR(INDEX(atlas!H:H,MATCH(A2074,atlas!C:C,0)),"")</f>
        <v/>
      </c>
      <c r="D2074" s="8" t="str">
        <f t="array" ref="D2074">IFERROR(INDEX(atlas!D:D,MATCH(A2074,atlas!C:C,0)),"")</f>
        <v/>
      </c>
      <c r="E2074" s="8" t="str">
        <f t="array" ref="E2074">IFERROR(INDEX(atlas!F:F,MATCH(A2074,atlas!C:C,0)),"")</f>
        <v/>
      </c>
      <c r="F2074" s="9"/>
      <c r="G2074" s="10"/>
      <c r="H2074" s="11"/>
      <c r="I2074" s="12" t="str">
        <f t="array" ref="I2074">IFERROR(INDEX(atlas!B:B,MATCH(A2074,atlas!C:C,0)),"")</f>
        <v/>
      </c>
      <c r="J2074" s="8" t="str">
        <f>IFERROR(VLOOKUP(F2074,tecnica!A:B,2,0),"")</f>
        <v/>
      </c>
      <c r="K2074" s="8" t="str">
        <f>IFERROR(VLOOKUP(J2074,tecnica!B:C,2,0),"")</f>
        <v/>
      </c>
      <c r="L2074" s="13"/>
      <c r="M2074" s="14" t="str">
        <f>IFERROR(VLOOKUP(I2074,material!A:D,4,0),"")</f>
        <v/>
      </c>
      <c r="N2074" s="14" t="str">
        <f t="shared" si="1"/>
        <v/>
      </c>
      <c r="O2074" s="15" t="str">
        <f>IFERROR(VLOOKUP(I2074,material!A:D,2,0),"")</f>
        <v/>
      </c>
    </row>
    <row r="2075">
      <c r="A2075" s="6"/>
      <c r="B2075" s="7"/>
      <c r="C2075" s="8" t="str">
        <f t="array" ref="C2075">IFERROR(INDEX(atlas!H:H,MATCH(A2075,atlas!C:C,0)),"")</f>
        <v/>
      </c>
      <c r="D2075" s="8" t="str">
        <f t="array" ref="D2075">IFERROR(INDEX(atlas!D:D,MATCH(A2075,atlas!C:C,0)),"")</f>
        <v/>
      </c>
      <c r="E2075" s="8" t="str">
        <f t="array" ref="E2075">IFERROR(INDEX(atlas!F:F,MATCH(A2075,atlas!C:C,0)),"")</f>
        <v/>
      </c>
      <c r="F2075" s="9"/>
      <c r="G2075" s="10"/>
      <c r="H2075" s="11"/>
      <c r="I2075" s="12" t="str">
        <f t="array" ref="I2075">IFERROR(INDEX(atlas!B:B,MATCH(A2075,atlas!C:C,0)),"")</f>
        <v/>
      </c>
      <c r="J2075" s="8" t="str">
        <f>IFERROR(VLOOKUP(F2075,tecnica!A:B,2,0),"")</f>
        <v/>
      </c>
      <c r="K2075" s="8" t="str">
        <f>IFERROR(VLOOKUP(J2075,tecnica!B:C,2,0),"")</f>
        <v/>
      </c>
      <c r="L2075" s="13"/>
      <c r="M2075" s="14" t="str">
        <f>IFERROR(VLOOKUP(I2075,material!A:D,4,0),"")</f>
        <v/>
      </c>
      <c r="N2075" s="14" t="str">
        <f t="shared" si="1"/>
        <v/>
      </c>
      <c r="O2075" s="15" t="str">
        <f>IFERROR(VLOOKUP(I2075,material!A:D,2,0),"")</f>
        <v/>
      </c>
    </row>
    <row r="2076">
      <c r="A2076" s="6"/>
      <c r="B2076" s="7"/>
      <c r="C2076" s="8" t="str">
        <f t="array" ref="C2076">IFERROR(INDEX(atlas!H:H,MATCH(A2076,atlas!C:C,0)),"")</f>
        <v/>
      </c>
      <c r="D2076" s="8" t="str">
        <f t="array" ref="D2076">IFERROR(INDEX(atlas!D:D,MATCH(A2076,atlas!C:C,0)),"")</f>
        <v/>
      </c>
      <c r="E2076" s="8" t="str">
        <f t="array" ref="E2076">IFERROR(INDEX(atlas!F:F,MATCH(A2076,atlas!C:C,0)),"")</f>
        <v/>
      </c>
      <c r="F2076" s="9"/>
      <c r="G2076" s="10"/>
      <c r="H2076" s="11"/>
      <c r="I2076" s="12" t="str">
        <f t="array" ref="I2076">IFERROR(INDEX(atlas!B:B,MATCH(A2076,atlas!C:C,0)),"")</f>
        <v/>
      </c>
      <c r="J2076" s="8" t="str">
        <f>IFERROR(VLOOKUP(F2076,tecnica!A:B,2,0),"")</f>
        <v/>
      </c>
      <c r="K2076" s="8" t="str">
        <f>IFERROR(VLOOKUP(J2076,tecnica!B:C,2,0),"")</f>
        <v/>
      </c>
      <c r="L2076" s="13"/>
      <c r="M2076" s="14" t="str">
        <f>IFERROR(VLOOKUP(I2076,material!A:D,4,0),"")</f>
        <v/>
      </c>
      <c r="N2076" s="14" t="str">
        <f t="shared" si="1"/>
        <v/>
      </c>
      <c r="O2076" s="15" t="str">
        <f>IFERROR(VLOOKUP(I2076,material!A:D,2,0),"")</f>
        <v/>
      </c>
    </row>
    <row r="2077">
      <c r="A2077" s="6"/>
      <c r="B2077" s="7"/>
      <c r="C2077" s="8" t="str">
        <f t="array" ref="C2077">IFERROR(INDEX(atlas!H:H,MATCH(A2077,atlas!C:C,0)),"")</f>
        <v/>
      </c>
      <c r="D2077" s="8" t="str">
        <f t="array" ref="D2077">IFERROR(INDEX(atlas!D:D,MATCH(A2077,atlas!C:C,0)),"")</f>
        <v/>
      </c>
      <c r="E2077" s="8" t="str">
        <f t="array" ref="E2077">IFERROR(INDEX(atlas!F:F,MATCH(A2077,atlas!C:C,0)),"")</f>
        <v/>
      </c>
      <c r="F2077" s="9"/>
      <c r="G2077" s="10"/>
      <c r="H2077" s="11"/>
      <c r="I2077" s="12" t="str">
        <f t="array" ref="I2077">IFERROR(INDEX(atlas!B:B,MATCH(A2077,atlas!C:C,0)),"")</f>
        <v/>
      </c>
      <c r="J2077" s="8" t="str">
        <f>IFERROR(VLOOKUP(F2077,tecnica!A:B,2,0),"")</f>
        <v/>
      </c>
      <c r="K2077" s="8" t="str">
        <f>IFERROR(VLOOKUP(J2077,tecnica!B:C,2,0),"")</f>
        <v/>
      </c>
      <c r="L2077" s="13"/>
      <c r="M2077" s="14" t="str">
        <f>IFERROR(VLOOKUP(I2077,material!A:D,4,0),"")</f>
        <v/>
      </c>
      <c r="N2077" s="14" t="str">
        <f t="shared" si="1"/>
        <v/>
      </c>
      <c r="O2077" s="15" t="str">
        <f>IFERROR(VLOOKUP(I2077,material!A:D,2,0),"")</f>
        <v/>
      </c>
    </row>
    <row r="2078">
      <c r="A2078" s="6"/>
      <c r="B2078" s="7"/>
      <c r="C2078" s="8" t="str">
        <f t="array" ref="C2078">IFERROR(INDEX(atlas!H:H,MATCH(A2078,atlas!C:C,0)),"")</f>
        <v/>
      </c>
      <c r="D2078" s="8" t="str">
        <f t="array" ref="D2078">IFERROR(INDEX(atlas!D:D,MATCH(A2078,atlas!C:C,0)),"")</f>
        <v/>
      </c>
      <c r="E2078" s="8" t="str">
        <f t="array" ref="E2078">IFERROR(INDEX(atlas!F:F,MATCH(A2078,atlas!C:C,0)),"")</f>
        <v/>
      </c>
      <c r="F2078" s="9"/>
      <c r="G2078" s="10"/>
      <c r="H2078" s="11"/>
      <c r="I2078" s="12" t="str">
        <f t="array" ref="I2078">IFERROR(INDEX(atlas!B:B,MATCH(A2078,atlas!C:C,0)),"")</f>
        <v/>
      </c>
      <c r="J2078" s="8" t="str">
        <f>IFERROR(VLOOKUP(F2078,tecnica!A:B,2,0),"")</f>
        <v/>
      </c>
      <c r="K2078" s="8" t="str">
        <f>IFERROR(VLOOKUP(J2078,tecnica!B:C,2,0),"")</f>
        <v/>
      </c>
      <c r="L2078" s="13"/>
      <c r="M2078" s="14" t="str">
        <f>IFERROR(VLOOKUP(I2078,material!A:D,4,0),"")</f>
        <v/>
      </c>
      <c r="N2078" s="14" t="str">
        <f t="shared" si="1"/>
        <v/>
      </c>
      <c r="O2078" s="15" t="str">
        <f>IFERROR(VLOOKUP(I2078,material!A:D,2,0),"")</f>
        <v/>
      </c>
    </row>
    <row r="2079">
      <c r="A2079" s="6"/>
      <c r="B2079" s="7"/>
      <c r="C2079" s="8" t="str">
        <f t="array" ref="C2079">IFERROR(INDEX(atlas!H:H,MATCH(A2079,atlas!C:C,0)),"")</f>
        <v/>
      </c>
      <c r="D2079" s="8" t="str">
        <f t="array" ref="D2079">IFERROR(INDEX(atlas!D:D,MATCH(A2079,atlas!C:C,0)),"")</f>
        <v/>
      </c>
      <c r="E2079" s="8" t="str">
        <f t="array" ref="E2079">IFERROR(INDEX(atlas!F:F,MATCH(A2079,atlas!C:C,0)),"")</f>
        <v/>
      </c>
      <c r="F2079" s="9"/>
      <c r="G2079" s="10"/>
      <c r="H2079" s="11"/>
      <c r="I2079" s="12" t="str">
        <f t="array" ref="I2079">IFERROR(INDEX(atlas!B:B,MATCH(A2079,atlas!C:C,0)),"")</f>
        <v/>
      </c>
      <c r="J2079" s="8" t="str">
        <f>IFERROR(VLOOKUP(F2079,tecnica!A:B,2,0),"")</f>
        <v/>
      </c>
      <c r="K2079" s="8" t="str">
        <f>IFERROR(VLOOKUP(J2079,tecnica!B:C,2,0),"")</f>
        <v/>
      </c>
      <c r="L2079" s="13"/>
      <c r="M2079" s="14" t="str">
        <f>IFERROR(VLOOKUP(I2079,material!A:D,4,0),"")</f>
        <v/>
      </c>
      <c r="N2079" s="14" t="str">
        <f t="shared" si="1"/>
        <v/>
      </c>
      <c r="O2079" s="15" t="str">
        <f>IFERROR(VLOOKUP(I2079,material!A:D,2,0),"")</f>
        <v/>
      </c>
    </row>
    <row r="2080">
      <c r="A2080" s="6"/>
      <c r="B2080" s="7"/>
      <c r="C2080" s="8" t="str">
        <f t="array" ref="C2080">IFERROR(INDEX(atlas!H:H,MATCH(A2080,atlas!C:C,0)),"")</f>
        <v/>
      </c>
      <c r="D2080" s="8" t="str">
        <f t="array" ref="D2080">IFERROR(INDEX(atlas!D:D,MATCH(A2080,atlas!C:C,0)),"")</f>
        <v/>
      </c>
      <c r="E2080" s="8" t="str">
        <f t="array" ref="E2080">IFERROR(INDEX(atlas!F:F,MATCH(A2080,atlas!C:C,0)),"")</f>
        <v/>
      </c>
      <c r="F2080" s="9"/>
      <c r="G2080" s="10"/>
      <c r="H2080" s="11"/>
      <c r="I2080" s="12" t="str">
        <f t="array" ref="I2080">IFERROR(INDEX(atlas!B:B,MATCH(A2080,atlas!C:C,0)),"")</f>
        <v/>
      </c>
      <c r="J2080" s="8" t="str">
        <f>IFERROR(VLOOKUP(F2080,tecnica!A:B,2,0),"")</f>
        <v/>
      </c>
      <c r="K2080" s="8" t="str">
        <f>IFERROR(VLOOKUP(J2080,tecnica!B:C,2,0),"")</f>
        <v/>
      </c>
      <c r="L2080" s="13"/>
      <c r="M2080" s="14" t="str">
        <f>IFERROR(VLOOKUP(I2080,material!A:D,4,0),"")</f>
        <v/>
      </c>
      <c r="N2080" s="14" t="str">
        <f t="shared" si="1"/>
        <v/>
      </c>
      <c r="O2080" s="15" t="str">
        <f>IFERROR(VLOOKUP(I2080,material!A:D,2,0),"")</f>
        <v/>
      </c>
    </row>
    <row r="2081">
      <c r="A2081" s="6"/>
      <c r="B2081" s="7"/>
      <c r="C2081" s="8" t="str">
        <f t="array" ref="C2081">IFERROR(INDEX(atlas!H:H,MATCH(A2081,atlas!C:C,0)),"")</f>
        <v/>
      </c>
      <c r="D2081" s="8" t="str">
        <f t="array" ref="D2081">IFERROR(INDEX(atlas!D:D,MATCH(A2081,atlas!C:C,0)),"")</f>
        <v/>
      </c>
      <c r="E2081" s="8" t="str">
        <f t="array" ref="E2081">IFERROR(INDEX(atlas!F:F,MATCH(A2081,atlas!C:C,0)),"")</f>
        <v/>
      </c>
      <c r="F2081" s="9"/>
      <c r="G2081" s="10"/>
      <c r="H2081" s="11"/>
      <c r="I2081" s="12" t="str">
        <f t="array" ref="I2081">IFERROR(INDEX(atlas!B:B,MATCH(A2081,atlas!C:C,0)),"")</f>
        <v/>
      </c>
      <c r="J2081" s="8" t="str">
        <f>IFERROR(VLOOKUP(F2081,tecnica!A:B,2,0),"")</f>
        <v/>
      </c>
      <c r="K2081" s="8" t="str">
        <f>IFERROR(VLOOKUP(J2081,tecnica!B:C,2,0),"")</f>
        <v/>
      </c>
      <c r="L2081" s="13"/>
      <c r="M2081" s="14" t="str">
        <f>IFERROR(VLOOKUP(I2081,material!A:D,4,0),"")</f>
        <v/>
      </c>
      <c r="N2081" s="14" t="str">
        <f t="shared" si="1"/>
        <v/>
      </c>
      <c r="O2081" s="15" t="str">
        <f>IFERROR(VLOOKUP(I2081,material!A:D,2,0),"")</f>
        <v/>
      </c>
    </row>
    <row r="2082">
      <c r="A2082" s="6"/>
      <c r="B2082" s="7"/>
      <c r="C2082" s="8" t="str">
        <f t="array" ref="C2082">IFERROR(INDEX(atlas!H:H,MATCH(A2082,atlas!C:C,0)),"")</f>
        <v/>
      </c>
      <c r="D2082" s="8" t="str">
        <f t="array" ref="D2082">IFERROR(INDEX(atlas!D:D,MATCH(A2082,atlas!C:C,0)),"")</f>
        <v/>
      </c>
      <c r="E2082" s="8" t="str">
        <f t="array" ref="E2082">IFERROR(INDEX(atlas!F:F,MATCH(A2082,atlas!C:C,0)),"")</f>
        <v/>
      </c>
      <c r="F2082" s="9"/>
      <c r="G2082" s="10"/>
      <c r="H2082" s="11"/>
      <c r="I2082" s="12" t="str">
        <f t="array" ref="I2082">IFERROR(INDEX(atlas!B:B,MATCH(A2082,atlas!C:C,0)),"")</f>
        <v/>
      </c>
      <c r="J2082" s="8" t="str">
        <f>IFERROR(VLOOKUP(F2082,tecnica!A:B,2,0),"")</f>
        <v/>
      </c>
      <c r="K2082" s="8" t="str">
        <f>IFERROR(VLOOKUP(J2082,tecnica!B:C,2,0),"")</f>
        <v/>
      </c>
      <c r="L2082" s="13"/>
      <c r="M2082" s="14" t="str">
        <f>IFERROR(VLOOKUP(I2082,material!A:D,4,0),"")</f>
        <v/>
      </c>
      <c r="N2082" s="14" t="str">
        <f t="shared" si="1"/>
        <v/>
      </c>
      <c r="O2082" s="15" t="str">
        <f>IFERROR(VLOOKUP(I2082,material!A:D,2,0),"")</f>
        <v/>
      </c>
    </row>
    <row r="2083">
      <c r="A2083" s="6"/>
      <c r="B2083" s="7"/>
      <c r="C2083" s="8" t="str">
        <f t="array" ref="C2083">IFERROR(INDEX(atlas!H:H,MATCH(A2083,atlas!C:C,0)),"")</f>
        <v/>
      </c>
      <c r="D2083" s="8" t="str">
        <f t="array" ref="D2083">IFERROR(INDEX(atlas!D:D,MATCH(A2083,atlas!C:C,0)),"")</f>
        <v/>
      </c>
      <c r="E2083" s="8" t="str">
        <f t="array" ref="E2083">IFERROR(INDEX(atlas!F:F,MATCH(A2083,atlas!C:C,0)),"")</f>
        <v/>
      </c>
      <c r="F2083" s="9"/>
      <c r="G2083" s="10"/>
      <c r="H2083" s="11"/>
      <c r="I2083" s="12" t="str">
        <f t="array" ref="I2083">IFERROR(INDEX(atlas!B:B,MATCH(A2083,atlas!C:C,0)),"")</f>
        <v/>
      </c>
      <c r="J2083" s="8" t="str">
        <f>IFERROR(VLOOKUP(F2083,tecnica!A:B,2,0),"")</f>
        <v/>
      </c>
      <c r="K2083" s="8" t="str">
        <f>IFERROR(VLOOKUP(J2083,tecnica!B:C,2,0),"")</f>
        <v/>
      </c>
      <c r="L2083" s="13"/>
      <c r="M2083" s="14" t="str">
        <f>IFERROR(VLOOKUP(I2083,material!A:D,4,0),"")</f>
        <v/>
      </c>
      <c r="N2083" s="14" t="str">
        <f t="shared" si="1"/>
        <v/>
      </c>
      <c r="O2083" s="15" t="str">
        <f>IFERROR(VLOOKUP(I2083,material!A:D,2,0),"")</f>
        <v/>
      </c>
    </row>
    <row r="2084">
      <c r="A2084" s="6"/>
      <c r="B2084" s="7"/>
      <c r="C2084" s="8" t="str">
        <f t="array" ref="C2084">IFERROR(INDEX(atlas!H:H,MATCH(A2084,atlas!C:C,0)),"")</f>
        <v/>
      </c>
      <c r="D2084" s="8" t="str">
        <f t="array" ref="D2084">IFERROR(INDEX(atlas!D:D,MATCH(A2084,atlas!C:C,0)),"")</f>
        <v/>
      </c>
      <c r="E2084" s="8" t="str">
        <f t="array" ref="E2084">IFERROR(INDEX(atlas!F:F,MATCH(A2084,atlas!C:C,0)),"")</f>
        <v/>
      </c>
      <c r="F2084" s="9"/>
      <c r="G2084" s="10"/>
      <c r="H2084" s="11"/>
      <c r="I2084" s="12" t="str">
        <f t="array" ref="I2084">IFERROR(INDEX(atlas!B:B,MATCH(A2084,atlas!C:C,0)),"")</f>
        <v/>
      </c>
      <c r="J2084" s="8" t="str">
        <f>IFERROR(VLOOKUP(F2084,tecnica!A:B,2,0),"")</f>
        <v/>
      </c>
      <c r="K2084" s="8" t="str">
        <f>IFERROR(VLOOKUP(J2084,tecnica!B:C,2,0),"")</f>
        <v/>
      </c>
      <c r="L2084" s="13"/>
      <c r="M2084" s="14" t="str">
        <f>IFERROR(VLOOKUP(I2084,material!A:D,4,0),"")</f>
        <v/>
      </c>
      <c r="N2084" s="14" t="str">
        <f t="shared" si="1"/>
        <v/>
      </c>
      <c r="O2084" s="15" t="str">
        <f>IFERROR(VLOOKUP(I2084,material!A:D,2,0),"")</f>
        <v/>
      </c>
    </row>
    <row r="2085">
      <c r="A2085" s="6"/>
      <c r="B2085" s="7"/>
      <c r="C2085" s="8" t="str">
        <f t="array" ref="C2085">IFERROR(INDEX(atlas!H:H,MATCH(A2085,atlas!C:C,0)),"")</f>
        <v/>
      </c>
      <c r="D2085" s="8" t="str">
        <f t="array" ref="D2085">IFERROR(INDEX(atlas!D:D,MATCH(A2085,atlas!C:C,0)),"")</f>
        <v/>
      </c>
      <c r="E2085" s="8" t="str">
        <f t="array" ref="E2085">IFERROR(INDEX(atlas!F:F,MATCH(A2085,atlas!C:C,0)),"")</f>
        <v/>
      </c>
      <c r="F2085" s="9"/>
      <c r="G2085" s="10"/>
      <c r="H2085" s="11"/>
      <c r="I2085" s="12" t="str">
        <f t="array" ref="I2085">IFERROR(INDEX(atlas!B:B,MATCH(A2085,atlas!C:C,0)),"")</f>
        <v/>
      </c>
      <c r="J2085" s="8" t="str">
        <f>IFERROR(VLOOKUP(F2085,tecnica!A:B,2,0),"")</f>
        <v/>
      </c>
      <c r="K2085" s="8" t="str">
        <f>IFERROR(VLOOKUP(J2085,tecnica!B:C,2,0),"")</f>
        <v/>
      </c>
      <c r="L2085" s="13"/>
      <c r="M2085" s="14" t="str">
        <f>IFERROR(VLOOKUP(I2085,material!A:D,4,0),"")</f>
        <v/>
      </c>
      <c r="N2085" s="14" t="str">
        <f t="shared" si="1"/>
        <v/>
      </c>
      <c r="O2085" s="15" t="str">
        <f>IFERROR(VLOOKUP(I2085,material!A:D,2,0),"")</f>
        <v/>
      </c>
    </row>
    <row r="2086">
      <c r="A2086" s="6"/>
      <c r="B2086" s="7"/>
      <c r="C2086" s="8" t="str">
        <f t="array" ref="C2086">IFERROR(INDEX(atlas!H:H,MATCH(A2086,atlas!C:C,0)),"")</f>
        <v/>
      </c>
      <c r="D2086" s="8" t="str">
        <f t="array" ref="D2086">IFERROR(INDEX(atlas!D:D,MATCH(A2086,atlas!C:C,0)),"")</f>
        <v/>
      </c>
      <c r="E2086" s="8" t="str">
        <f t="array" ref="E2086">IFERROR(INDEX(atlas!F:F,MATCH(A2086,atlas!C:C,0)),"")</f>
        <v/>
      </c>
      <c r="F2086" s="9"/>
      <c r="G2086" s="10"/>
      <c r="H2086" s="11"/>
      <c r="I2086" s="12" t="str">
        <f t="array" ref="I2086">IFERROR(INDEX(atlas!B:B,MATCH(A2086,atlas!C:C,0)),"")</f>
        <v/>
      </c>
      <c r="J2086" s="8" t="str">
        <f>IFERROR(VLOOKUP(F2086,tecnica!A:B,2,0),"")</f>
        <v/>
      </c>
      <c r="K2086" s="8" t="str">
        <f>IFERROR(VLOOKUP(J2086,tecnica!B:C,2,0),"")</f>
        <v/>
      </c>
      <c r="L2086" s="13"/>
      <c r="M2086" s="14" t="str">
        <f>IFERROR(VLOOKUP(I2086,material!A:D,4,0),"")</f>
        <v/>
      </c>
      <c r="N2086" s="14" t="str">
        <f t="shared" si="1"/>
        <v/>
      </c>
      <c r="O2086" s="15" t="str">
        <f>IFERROR(VLOOKUP(I2086,material!A:D,2,0),"")</f>
        <v/>
      </c>
    </row>
    <row r="2087">
      <c r="A2087" s="6"/>
      <c r="B2087" s="7"/>
      <c r="C2087" s="8" t="str">
        <f t="array" ref="C2087">IFERROR(INDEX(atlas!H:H,MATCH(A2087,atlas!C:C,0)),"")</f>
        <v/>
      </c>
      <c r="D2087" s="8" t="str">
        <f t="array" ref="D2087">IFERROR(INDEX(atlas!D:D,MATCH(A2087,atlas!C:C,0)),"")</f>
        <v/>
      </c>
      <c r="E2087" s="8" t="str">
        <f t="array" ref="E2087">IFERROR(INDEX(atlas!F:F,MATCH(A2087,atlas!C:C,0)),"")</f>
        <v/>
      </c>
      <c r="F2087" s="9"/>
      <c r="G2087" s="10"/>
      <c r="H2087" s="11"/>
      <c r="I2087" s="12" t="str">
        <f t="array" ref="I2087">IFERROR(INDEX(atlas!B:B,MATCH(A2087,atlas!C:C,0)),"")</f>
        <v/>
      </c>
      <c r="J2087" s="8" t="str">
        <f>IFERROR(VLOOKUP(F2087,tecnica!A:B,2,0),"")</f>
        <v/>
      </c>
      <c r="K2087" s="8" t="str">
        <f>IFERROR(VLOOKUP(J2087,tecnica!B:C,2,0),"")</f>
        <v/>
      </c>
      <c r="L2087" s="13"/>
      <c r="M2087" s="14" t="str">
        <f>IFERROR(VLOOKUP(I2087,material!A:D,4,0),"")</f>
        <v/>
      </c>
      <c r="N2087" s="14" t="str">
        <f t="shared" si="1"/>
        <v/>
      </c>
      <c r="O2087" s="15" t="str">
        <f>IFERROR(VLOOKUP(I2087,material!A:D,2,0),"")</f>
        <v/>
      </c>
    </row>
    <row r="2088">
      <c r="A2088" s="6"/>
      <c r="B2088" s="7"/>
      <c r="C2088" s="8" t="str">
        <f t="array" ref="C2088">IFERROR(INDEX(atlas!H:H,MATCH(A2088,atlas!C:C,0)),"")</f>
        <v/>
      </c>
      <c r="D2088" s="8" t="str">
        <f t="array" ref="D2088">IFERROR(INDEX(atlas!D:D,MATCH(A2088,atlas!C:C,0)),"")</f>
        <v/>
      </c>
      <c r="E2088" s="8" t="str">
        <f t="array" ref="E2088">IFERROR(INDEX(atlas!F:F,MATCH(A2088,atlas!C:C,0)),"")</f>
        <v/>
      </c>
      <c r="F2088" s="9"/>
      <c r="G2088" s="10"/>
      <c r="H2088" s="11"/>
      <c r="I2088" s="12" t="str">
        <f t="array" ref="I2088">IFERROR(INDEX(atlas!B:B,MATCH(A2088,atlas!C:C,0)),"")</f>
        <v/>
      </c>
      <c r="J2088" s="8" t="str">
        <f>IFERROR(VLOOKUP(F2088,tecnica!A:B,2,0),"")</f>
        <v/>
      </c>
      <c r="K2088" s="8" t="str">
        <f>IFERROR(VLOOKUP(J2088,tecnica!B:C,2,0),"")</f>
        <v/>
      </c>
      <c r="L2088" s="13"/>
      <c r="M2088" s="14" t="str">
        <f>IFERROR(VLOOKUP(I2088,material!A:D,4,0),"")</f>
        <v/>
      </c>
      <c r="N2088" s="14" t="str">
        <f t="shared" si="1"/>
        <v/>
      </c>
      <c r="O2088" s="15" t="str">
        <f>IFERROR(VLOOKUP(I2088,material!A:D,2,0),"")</f>
        <v/>
      </c>
    </row>
    <row r="2089">
      <c r="A2089" s="6"/>
      <c r="B2089" s="7"/>
      <c r="C2089" s="8" t="str">
        <f t="array" ref="C2089">IFERROR(INDEX(atlas!H:H,MATCH(A2089,atlas!C:C,0)),"")</f>
        <v/>
      </c>
      <c r="D2089" s="8" t="str">
        <f t="array" ref="D2089">IFERROR(INDEX(atlas!D:D,MATCH(A2089,atlas!C:C,0)),"")</f>
        <v/>
      </c>
      <c r="E2089" s="8" t="str">
        <f t="array" ref="E2089">IFERROR(INDEX(atlas!F:F,MATCH(A2089,atlas!C:C,0)),"")</f>
        <v/>
      </c>
      <c r="F2089" s="9"/>
      <c r="G2089" s="10"/>
      <c r="H2089" s="11"/>
      <c r="I2089" s="12" t="str">
        <f t="array" ref="I2089">IFERROR(INDEX(atlas!B:B,MATCH(A2089,atlas!C:C,0)),"")</f>
        <v/>
      </c>
      <c r="J2089" s="8" t="str">
        <f>IFERROR(VLOOKUP(F2089,tecnica!A:B,2,0),"")</f>
        <v/>
      </c>
      <c r="K2089" s="8" t="str">
        <f>IFERROR(VLOOKUP(J2089,tecnica!B:C,2,0),"")</f>
        <v/>
      </c>
      <c r="L2089" s="13"/>
      <c r="M2089" s="14" t="str">
        <f>IFERROR(VLOOKUP(I2089,material!A:D,4,0),"")</f>
        <v/>
      </c>
      <c r="N2089" s="14" t="str">
        <f t="shared" si="1"/>
        <v/>
      </c>
      <c r="O2089" s="15" t="str">
        <f>IFERROR(VLOOKUP(I2089,material!A:D,2,0),"")</f>
        <v/>
      </c>
    </row>
    <row r="2090">
      <c r="A2090" s="6"/>
      <c r="B2090" s="7"/>
      <c r="C2090" s="8" t="str">
        <f t="array" ref="C2090">IFERROR(INDEX(atlas!H:H,MATCH(A2090,atlas!C:C,0)),"")</f>
        <v/>
      </c>
      <c r="D2090" s="8" t="str">
        <f t="array" ref="D2090">IFERROR(INDEX(atlas!D:D,MATCH(A2090,atlas!C:C,0)),"")</f>
        <v/>
      </c>
      <c r="E2090" s="8" t="str">
        <f t="array" ref="E2090">IFERROR(INDEX(atlas!F:F,MATCH(A2090,atlas!C:C,0)),"")</f>
        <v/>
      </c>
      <c r="F2090" s="9"/>
      <c r="G2090" s="10"/>
      <c r="H2090" s="11"/>
      <c r="I2090" s="12" t="str">
        <f t="array" ref="I2090">IFERROR(INDEX(atlas!B:B,MATCH(A2090,atlas!C:C,0)),"")</f>
        <v/>
      </c>
      <c r="J2090" s="8" t="str">
        <f>IFERROR(VLOOKUP(F2090,tecnica!A:B,2,0),"")</f>
        <v/>
      </c>
      <c r="K2090" s="8" t="str">
        <f>IFERROR(VLOOKUP(J2090,tecnica!B:C,2,0),"")</f>
        <v/>
      </c>
      <c r="L2090" s="13"/>
      <c r="M2090" s="14" t="str">
        <f>IFERROR(VLOOKUP(I2090,material!A:D,4,0),"")</f>
        <v/>
      </c>
      <c r="N2090" s="14" t="str">
        <f t="shared" si="1"/>
        <v/>
      </c>
      <c r="O2090" s="15" t="str">
        <f>IFERROR(VLOOKUP(I2090,material!A:D,2,0),"")</f>
        <v/>
      </c>
    </row>
    <row r="2091">
      <c r="A2091" s="6"/>
      <c r="B2091" s="7"/>
      <c r="C2091" s="8" t="str">
        <f t="array" ref="C2091">IFERROR(INDEX(atlas!H:H,MATCH(A2091,atlas!C:C,0)),"")</f>
        <v/>
      </c>
      <c r="D2091" s="8" t="str">
        <f t="array" ref="D2091">IFERROR(INDEX(atlas!D:D,MATCH(A2091,atlas!C:C,0)),"")</f>
        <v/>
      </c>
      <c r="E2091" s="8" t="str">
        <f t="array" ref="E2091">IFERROR(INDEX(atlas!F:F,MATCH(A2091,atlas!C:C,0)),"")</f>
        <v/>
      </c>
      <c r="F2091" s="9"/>
      <c r="G2091" s="10"/>
      <c r="H2091" s="11"/>
      <c r="I2091" s="12" t="str">
        <f t="array" ref="I2091">IFERROR(INDEX(atlas!B:B,MATCH(A2091,atlas!C:C,0)),"")</f>
        <v/>
      </c>
      <c r="J2091" s="8" t="str">
        <f>IFERROR(VLOOKUP(F2091,tecnica!A:B,2,0),"")</f>
        <v/>
      </c>
      <c r="K2091" s="8" t="str">
        <f>IFERROR(VLOOKUP(J2091,tecnica!B:C,2,0),"")</f>
        <v/>
      </c>
      <c r="L2091" s="13"/>
      <c r="M2091" s="14" t="str">
        <f>IFERROR(VLOOKUP(I2091,material!A:D,4,0),"")</f>
        <v/>
      </c>
      <c r="N2091" s="14" t="str">
        <f t="shared" si="1"/>
        <v/>
      </c>
      <c r="O2091" s="15" t="str">
        <f>IFERROR(VLOOKUP(I2091,material!A:D,2,0),"")</f>
        <v/>
      </c>
    </row>
    <row r="2092">
      <c r="A2092" s="6"/>
      <c r="B2092" s="7"/>
      <c r="C2092" s="8" t="str">
        <f t="array" ref="C2092">IFERROR(INDEX(atlas!H:H,MATCH(A2092,atlas!C:C,0)),"")</f>
        <v/>
      </c>
      <c r="D2092" s="8" t="str">
        <f t="array" ref="D2092">IFERROR(INDEX(atlas!D:D,MATCH(A2092,atlas!C:C,0)),"")</f>
        <v/>
      </c>
      <c r="E2092" s="8" t="str">
        <f t="array" ref="E2092">IFERROR(INDEX(atlas!F:F,MATCH(A2092,atlas!C:C,0)),"")</f>
        <v/>
      </c>
      <c r="F2092" s="9"/>
      <c r="G2092" s="10"/>
      <c r="H2092" s="11"/>
      <c r="I2092" s="12" t="str">
        <f t="array" ref="I2092">IFERROR(INDEX(atlas!B:B,MATCH(A2092,atlas!C:C,0)),"")</f>
        <v/>
      </c>
      <c r="J2092" s="8" t="str">
        <f>IFERROR(VLOOKUP(F2092,tecnica!A:B,2,0),"")</f>
        <v/>
      </c>
      <c r="K2092" s="8" t="str">
        <f>IFERROR(VLOOKUP(J2092,tecnica!B:C,2,0),"")</f>
        <v/>
      </c>
      <c r="L2092" s="13"/>
      <c r="M2092" s="14" t="str">
        <f>IFERROR(VLOOKUP(I2092,material!A:D,4,0),"")</f>
        <v/>
      </c>
      <c r="N2092" s="14" t="str">
        <f t="shared" si="1"/>
        <v/>
      </c>
      <c r="O2092" s="15" t="str">
        <f>IFERROR(VLOOKUP(I2092,material!A:D,2,0),"")</f>
        <v/>
      </c>
    </row>
    <row r="2093">
      <c r="A2093" s="6"/>
      <c r="B2093" s="7"/>
      <c r="C2093" s="8" t="str">
        <f t="array" ref="C2093">IFERROR(INDEX(atlas!H:H,MATCH(A2093,atlas!C:C,0)),"")</f>
        <v/>
      </c>
      <c r="D2093" s="8" t="str">
        <f t="array" ref="D2093">IFERROR(INDEX(atlas!D:D,MATCH(A2093,atlas!C:C,0)),"")</f>
        <v/>
      </c>
      <c r="E2093" s="8" t="str">
        <f t="array" ref="E2093">IFERROR(INDEX(atlas!F:F,MATCH(A2093,atlas!C:C,0)),"")</f>
        <v/>
      </c>
      <c r="F2093" s="9"/>
      <c r="G2093" s="10"/>
      <c r="H2093" s="11"/>
      <c r="I2093" s="12" t="str">
        <f t="array" ref="I2093">IFERROR(INDEX(atlas!B:B,MATCH(A2093,atlas!C:C,0)),"")</f>
        <v/>
      </c>
      <c r="J2093" s="8" t="str">
        <f>IFERROR(VLOOKUP(F2093,tecnica!A:B,2,0),"")</f>
        <v/>
      </c>
      <c r="K2093" s="8" t="str">
        <f>IFERROR(VLOOKUP(J2093,tecnica!B:C,2,0),"")</f>
        <v/>
      </c>
      <c r="L2093" s="13"/>
      <c r="M2093" s="14" t="str">
        <f>IFERROR(VLOOKUP(I2093,material!A:D,4,0),"")</f>
        <v/>
      </c>
      <c r="N2093" s="14" t="str">
        <f t="shared" si="1"/>
        <v/>
      </c>
      <c r="O2093" s="15" t="str">
        <f>IFERROR(VLOOKUP(I2093,material!A:D,2,0),"")</f>
        <v/>
      </c>
    </row>
    <row r="2094">
      <c r="A2094" s="6"/>
      <c r="B2094" s="7"/>
      <c r="C2094" s="8" t="str">
        <f t="array" ref="C2094">IFERROR(INDEX(atlas!H:H,MATCH(A2094,atlas!C:C,0)),"")</f>
        <v/>
      </c>
      <c r="D2094" s="8" t="str">
        <f t="array" ref="D2094">IFERROR(INDEX(atlas!D:D,MATCH(A2094,atlas!C:C,0)),"")</f>
        <v/>
      </c>
      <c r="E2094" s="8" t="str">
        <f t="array" ref="E2094">IFERROR(INDEX(atlas!F:F,MATCH(A2094,atlas!C:C,0)),"")</f>
        <v/>
      </c>
      <c r="F2094" s="9"/>
      <c r="G2094" s="10"/>
      <c r="H2094" s="11"/>
      <c r="I2094" s="12" t="str">
        <f t="array" ref="I2094">IFERROR(INDEX(atlas!B:B,MATCH(A2094,atlas!C:C,0)),"")</f>
        <v/>
      </c>
      <c r="J2094" s="8" t="str">
        <f>IFERROR(VLOOKUP(F2094,tecnica!A:B,2,0),"")</f>
        <v/>
      </c>
      <c r="K2094" s="8" t="str">
        <f>IFERROR(VLOOKUP(J2094,tecnica!B:C,2,0),"")</f>
        <v/>
      </c>
      <c r="L2094" s="13"/>
      <c r="M2094" s="14" t="str">
        <f>IFERROR(VLOOKUP(I2094,material!A:D,4,0),"")</f>
        <v/>
      </c>
      <c r="N2094" s="14" t="str">
        <f t="shared" si="1"/>
        <v/>
      </c>
      <c r="O2094" s="15" t="str">
        <f>IFERROR(VLOOKUP(I2094,material!A:D,2,0),"")</f>
        <v/>
      </c>
    </row>
    <row r="2095">
      <c r="A2095" s="6"/>
      <c r="B2095" s="7"/>
      <c r="C2095" s="8" t="str">
        <f t="array" ref="C2095">IFERROR(INDEX(atlas!H:H,MATCH(A2095,atlas!C:C,0)),"")</f>
        <v/>
      </c>
      <c r="D2095" s="8" t="str">
        <f t="array" ref="D2095">IFERROR(INDEX(atlas!D:D,MATCH(A2095,atlas!C:C,0)),"")</f>
        <v/>
      </c>
      <c r="E2095" s="8" t="str">
        <f t="array" ref="E2095">IFERROR(INDEX(atlas!F:F,MATCH(A2095,atlas!C:C,0)),"")</f>
        <v/>
      </c>
      <c r="F2095" s="9"/>
      <c r="G2095" s="10"/>
      <c r="H2095" s="11"/>
      <c r="I2095" s="12" t="str">
        <f t="array" ref="I2095">IFERROR(INDEX(atlas!B:B,MATCH(A2095,atlas!C:C,0)),"")</f>
        <v/>
      </c>
      <c r="J2095" s="8" t="str">
        <f>IFERROR(VLOOKUP(F2095,tecnica!A:B,2,0),"")</f>
        <v/>
      </c>
      <c r="K2095" s="8" t="str">
        <f>IFERROR(VLOOKUP(J2095,tecnica!B:C,2,0),"")</f>
        <v/>
      </c>
      <c r="L2095" s="13"/>
      <c r="M2095" s="14" t="str">
        <f>IFERROR(VLOOKUP(I2095,material!A:D,4,0),"")</f>
        <v/>
      </c>
      <c r="N2095" s="14" t="str">
        <f t="shared" si="1"/>
        <v/>
      </c>
      <c r="O2095" s="15" t="str">
        <f>IFERROR(VLOOKUP(I2095,material!A:D,2,0),"")</f>
        <v/>
      </c>
    </row>
    <row r="2096">
      <c r="A2096" s="6"/>
      <c r="B2096" s="7"/>
      <c r="C2096" s="8" t="str">
        <f t="array" ref="C2096">IFERROR(INDEX(atlas!H:H,MATCH(A2096,atlas!C:C,0)),"")</f>
        <v/>
      </c>
      <c r="D2096" s="8" t="str">
        <f t="array" ref="D2096">IFERROR(INDEX(atlas!D:D,MATCH(A2096,atlas!C:C,0)),"")</f>
        <v/>
      </c>
      <c r="E2096" s="8" t="str">
        <f t="array" ref="E2096">IFERROR(INDEX(atlas!F:F,MATCH(A2096,atlas!C:C,0)),"")</f>
        <v/>
      </c>
      <c r="F2096" s="9"/>
      <c r="G2096" s="10"/>
      <c r="H2096" s="11"/>
      <c r="I2096" s="12" t="str">
        <f t="array" ref="I2096">IFERROR(INDEX(atlas!B:B,MATCH(A2096,atlas!C:C,0)),"")</f>
        <v/>
      </c>
      <c r="J2096" s="8" t="str">
        <f>IFERROR(VLOOKUP(F2096,tecnica!A:B,2,0),"")</f>
        <v/>
      </c>
      <c r="K2096" s="8" t="str">
        <f>IFERROR(VLOOKUP(J2096,tecnica!B:C,2,0),"")</f>
        <v/>
      </c>
      <c r="L2096" s="13"/>
      <c r="M2096" s="14" t="str">
        <f>IFERROR(VLOOKUP(I2096,material!A:D,4,0),"")</f>
        <v/>
      </c>
      <c r="N2096" s="14" t="str">
        <f t="shared" si="1"/>
        <v/>
      </c>
      <c r="O2096" s="15" t="str">
        <f>IFERROR(VLOOKUP(I2096,material!A:D,2,0),"")</f>
        <v/>
      </c>
    </row>
    <row r="2097">
      <c r="A2097" s="6"/>
      <c r="B2097" s="7"/>
      <c r="C2097" s="8" t="str">
        <f t="array" ref="C2097">IFERROR(INDEX(atlas!H:H,MATCH(A2097,atlas!C:C,0)),"")</f>
        <v/>
      </c>
      <c r="D2097" s="8" t="str">
        <f t="array" ref="D2097">IFERROR(INDEX(atlas!D:D,MATCH(A2097,atlas!C:C,0)),"")</f>
        <v/>
      </c>
      <c r="E2097" s="8" t="str">
        <f t="array" ref="E2097">IFERROR(INDEX(atlas!F:F,MATCH(A2097,atlas!C:C,0)),"")</f>
        <v/>
      </c>
      <c r="F2097" s="9"/>
      <c r="G2097" s="10"/>
      <c r="H2097" s="11"/>
      <c r="I2097" s="12" t="str">
        <f t="array" ref="I2097">IFERROR(INDEX(atlas!B:B,MATCH(A2097,atlas!C:C,0)),"")</f>
        <v/>
      </c>
      <c r="J2097" s="8" t="str">
        <f>IFERROR(VLOOKUP(F2097,tecnica!A:B,2,0),"")</f>
        <v/>
      </c>
      <c r="K2097" s="8" t="str">
        <f>IFERROR(VLOOKUP(J2097,tecnica!B:C,2,0),"")</f>
        <v/>
      </c>
      <c r="L2097" s="13"/>
      <c r="M2097" s="14" t="str">
        <f>IFERROR(VLOOKUP(I2097,material!A:D,4,0),"")</f>
        <v/>
      </c>
      <c r="N2097" s="14" t="str">
        <f t="shared" si="1"/>
        <v/>
      </c>
      <c r="O2097" s="15" t="str">
        <f>IFERROR(VLOOKUP(I2097,material!A:D,2,0),"")</f>
        <v/>
      </c>
    </row>
    <row r="2098">
      <c r="A2098" s="6"/>
      <c r="B2098" s="7"/>
      <c r="C2098" s="8" t="str">
        <f t="array" ref="C2098">IFERROR(INDEX(atlas!H:H,MATCH(A2098,atlas!C:C,0)),"")</f>
        <v/>
      </c>
      <c r="D2098" s="8" t="str">
        <f t="array" ref="D2098">IFERROR(INDEX(atlas!D:D,MATCH(A2098,atlas!C:C,0)),"")</f>
        <v/>
      </c>
      <c r="E2098" s="8" t="str">
        <f t="array" ref="E2098">IFERROR(INDEX(atlas!F:F,MATCH(A2098,atlas!C:C,0)),"")</f>
        <v/>
      </c>
      <c r="F2098" s="9"/>
      <c r="G2098" s="10"/>
      <c r="H2098" s="11"/>
      <c r="I2098" s="12" t="str">
        <f t="array" ref="I2098">IFERROR(INDEX(atlas!B:B,MATCH(A2098,atlas!C:C,0)),"")</f>
        <v/>
      </c>
      <c r="J2098" s="8" t="str">
        <f>IFERROR(VLOOKUP(F2098,tecnica!A:B,2,0),"")</f>
        <v/>
      </c>
      <c r="K2098" s="8" t="str">
        <f>IFERROR(VLOOKUP(J2098,tecnica!B:C,2,0),"")</f>
        <v/>
      </c>
      <c r="L2098" s="13"/>
      <c r="M2098" s="14" t="str">
        <f>IFERROR(VLOOKUP(I2098,material!A:D,4,0),"")</f>
        <v/>
      </c>
      <c r="N2098" s="14" t="str">
        <f t="shared" si="1"/>
        <v/>
      </c>
      <c r="O2098" s="15" t="str">
        <f>IFERROR(VLOOKUP(I2098,material!A:D,2,0),"")</f>
        <v/>
      </c>
    </row>
    <row r="2099">
      <c r="A2099" s="6"/>
      <c r="B2099" s="7"/>
      <c r="C2099" s="8" t="str">
        <f t="array" ref="C2099">IFERROR(INDEX(atlas!H:H,MATCH(A2099,atlas!C:C,0)),"")</f>
        <v/>
      </c>
      <c r="D2099" s="8" t="str">
        <f t="array" ref="D2099">IFERROR(INDEX(atlas!D:D,MATCH(A2099,atlas!C:C,0)),"")</f>
        <v/>
      </c>
      <c r="E2099" s="8" t="str">
        <f t="array" ref="E2099">IFERROR(INDEX(atlas!F:F,MATCH(A2099,atlas!C:C,0)),"")</f>
        <v/>
      </c>
      <c r="F2099" s="9"/>
      <c r="G2099" s="10"/>
      <c r="H2099" s="11"/>
      <c r="I2099" s="12" t="str">
        <f t="array" ref="I2099">IFERROR(INDEX(atlas!B:B,MATCH(A2099,atlas!C:C,0)),"")</f>
        <v/>
      </c>
      <c r="J2099" s="8" t="str">
        <f>IFERROR(VLOOKUP(F2099,tecnica!A:B,2,0),"")</f>
        <v/>
      </c>
      <c r="K2099" s="8" t="str">
        <f>IFERROR(VLOOKUP(J2099,tecnica!B:C,2,0),"")</f>
        <v/>
      </c>
      <c r="L2099" s="13"/>
      <c r="M2099" s="14" t="str">
        <f>IFERROR(VLOOKUP(I2099,material!A:D,4,0),"")</f>
        <v/>
      </c>
      <c r="N2099" s="14" t="str">
        <f t="shared" si="1"/>
        <v/>
      </c>
      <c r="O2099" s="15" t="str">
        <f>IFERROR(VLOOKUP(I2099,material!A:D,2,0),"")</f>
        <v/>
      </c>
    </row>
    <row r="2100">
      <c r="A2100" s="6"/>
      <c r="B2100" s="7"/>
      <c r="C2100" s="8" t="str">
        <f t="array" ref="C2100">IFERROR(INDEX(atlas!H:H,MATCH(A2100,atlas!C:C,0)),"")</f>
        <v/>
      </c>
      <c r="D2100" s="8" t="str">
        <f t="array" ref="D2100">IFERROR(INDEX(atlas!D:D,MATCH(A2100,atlas!C:C,0)),"")</f>
        <v/>
      </c>
      <c r="E2100" s="8" t="str">
        <f t="array" ref="E2100">IFERROR(INDEX(atlas!F:F,MATCH(A2100,atlas!C:C,0)),"")</f>
        <v/>
      </c>
      <c r="F2100" s="9"/>
      <c r="G2100" s="10"/>
      <c r="H2100" s="11"/>
      <c r="I2100" s="12" t="str">
        <f t="array" ref="I2100">IFERROR(INDEX(atlas!B:B,MATCH(A2100,atlas!C:C,0)),"")</f>
        <v/>
      </c>
      <c r="J2100" s="8" t="str">
        <f>IFERROR(VLOOKUP(F2100,tecnica!A:B,2,0),"")</f>
        <v/>
      </c>
      <c r="K2100" s="8" t="str">
        <f>IFERROR(VLOOKUP(J2100,tecnica!B:C,2,0),"")</f>
        <v/>
      </c>
      <c r="L2100" s="13"/>
      <c r="M2100" s="14" t="str">
        <f>IFERROR(VLOOKUP(I2100,material!A:D,4,0),"")</f>
        <v/>
      </c>
      <c r="N2100" s="14" t="str">
        <f t="shared" si="1"/>
        <v/>
      </c>
      <c r="O2100" s="15" t="str">
        <f>IFERROR(VLOOKUP(I2100,material!A:D,2,0),"")</f>
        <v/>
      </c>
    </row>
    <row r="2101">
      <c r="A2101" s="6"/>
      <c r="B2101" s="7"/>
      <c r="C2101" s="8" t="str">
        <f t="array" ref="C2101">IFERROR(INDEX(atlas!H:H,MATCH(A2101,atlas!C:C,0)),"")</f>
        <v/>
      </c>
      <c r="D2101" s="8" t="str">
        <f t="array" ref="D2101">IFERROR(INDEX(atlas!D:D,MATCH(A2101,atlas!C:C,0)),"")</f>
        <v/>
      </c>
      <c r="E2101" s="8" t="str">
        <f t="array" ref="E2101">IFERROR(INDEX(atlas!F:F,MATCH(A2101,atlas!C:C,0)),"")</f>
        <v/>
      </c>
      <c r="F2101" s="9"/>
      <c r="G2101" s="10"/>
      <c r="H2101" s="11"/>
      <c r="I2101" s="12" t="str">
        <f t="array" ref="I2101">IFERROR(INDEX(atlas!B:B,MATCH(A2101,atlas!C:C,0)),"")</f>
        <v/>
      </c>
      <c r="J2101" s="8" t="str">
        <f>IFERROR(VLOOKUP(F2101,tecnica!A:B,2,0),"")</f>
        <v/>
      </c>
      <c r="K2101" s="8" t="str">
        <f>IFERROR(VLOOKUP(J2101,tecnica!B:C,2,0),"")</f>
        <v/>
      </c>
      <c r="L2101" s="13"/>
      <c r="M2101" s="14" t="str">
        <f>IFERROR(VLOOKUP(I2101,material!A:D,4,0),"")</f>
        <v/>
      </c>
      <c r="N2101" s="14" t="str">
        <f t="shared" si="1"/>
        <v/>
      </c>
      <c r="O2101" s="15" t="str">
        <f>IFERROR(VLOOKUP(I2101,material!A:D,2,0),"")</f>
        <v/>
      </c>
    </row>
    <row r="2102">
      <c r="A2102" s="6"/>
      <c r="B2102" s="7"/>
      <c r="C2102" s="8" t="str">
        <f t="array" ref="C2102">IFERROR(INDEX(atlas!H:H,MATCH(A2102,atlas!C:C,0)),"")</f>
        <v/>
      </c>
      <c r="D2102" s="8" t="str">
        <f t="array" ref="D2102">IFERROR(INDEX(atlas!D:D,MATCH(A2102,atlas!C:C,0)),"")</f>
        <v/>
      </c>
      <c r="E2102" s="8" t="str">
        <f t="array" ref="E2102">IFERROR(INDEX(atlas!F:F,MATCH(A2102,atlas!C:C,0)),"")</f>
        <v/>
      </c>
      <c r="F2102" s="9"/>
      <c r="G2102" s="10"/>
      <c r="H2102" s="11"/>
      <c r="I2102" s="12" t="str">
        <f t="array" ref="I2102">IFERROR(INDEX(atlas!B:B,MATCH(A2102,atlas!C:C,0)),"")</f>
        <v/>
      </c>
      <c r="J2102" s="8" t="str">
        <f>IFERROR(VLOOKUP(F2102,tecnica!A:B,2,0),"")</f>
        <v/>
      </c>
      <c r="K2102" s="8" t="str">
        <f>IFERROR(VLOOKUP(J2102,tecnica!B:C,2,0),"")</f>
        <v/>
      </c>
      <c r="L2102" s="13"/>
      <c r="M2102" s="14" t="str">
        <f>IFERROR(VLOOKUP(I2102,material!A:D,4,0),"")</f>
        <v/>
      </c>
      <c r="N2102" s="14" t="str">
        <f t="shared" si="1"/>
        <v/>
      </c>
      <c r="O2102" s="15" t="str">
        <f>IFERROR(VLOOKUP(I2102,material!A:D,2,0),"")</f>
        <v/>
      </c>
    </row>
    <row r="2103">
      <c r="A2103" s="6"/>
      <c r="B2103" s="7"/>
      <c r="C2103" s="8" t="str">
        <f t="array" ref="C2103">IFERROR(INDEX(atlas!H:H,MATCH(A2103,atlas!C:C,0)),"")</f>
        <v/>
      </c>
      <c r="D2103" s="8" t="str">
        <f t="array" ref="D2103">IFERROR(INDEX(atlas!D:D,MATCH(A2103,atlas!C:C,0)),"")</f>
        <v/>
      </c>
      <c r="E2103" s="8" t="str">
        <f t="array" ref="E2103">IFERROR(INDEX(atlas!F:F,MATCH(A2103,atlas!C:C,0)),"")</f>
        <v/>
      </c>
      <c r="F2103" s="9"/>
      <c r="G2103" s="10"/>
      <c r="H2103" s="11"/>
      <c r="I2103" s="12" t="str">
        <f t="array" ref="I2103">IFERROR(INDEX(atlas!B:B,MATCH(A2103,atlas!C:C,0)),"")</f>
        <v/>
      </c>
      <c r="J2103" s="8" t="str">
        <f>IFERROR(VLOOKUP(F2103,tecnica!A:B,2,0),"")</f>
        <v/>
      </c>
      <c r="K2103" s="8" t="str">
        <f>IFERROR(VLOOKUP(J2103,tecnica!B:C,2,0),"")</f>
        <v/>
      </c>
      <c r="L2103" s="13"/>
      <c r="M2103" s="14" t="str">
        <f>IFERROR(VLOOKUP(I2103,material!A:D,4,0),"")</f>
        <v/>
      </c>
      <c r="N2103" s="14" t="str">
        <f t="shared" si="1"/>
        <v/>
      </c>
      <c r="O2103" s="15" t="str">
        <f>IFERROR(VLOOKUP(I2103,material!A:D,2,0),"")</f>
        <v/>
      </c>
    </row>
    <row r="2104">
      <c r="A2104" s="6"/>
      <c r="B2104" s="7"/>
      <c r="C2104" s="8" t="str">
        <f t="array" ref="C2104">IFERROR(INDEX(atlas!H:H,MATCH(A2104,atlas!C:C,0)),"")</f>
        <v/>
      </c>
      <c r="D2104" s="8" t="str">
        <f t="array" ref="D2104">IFERROR(INDEX(atlas!D:D,MATCH(A2104,atlas!C:C,0)),"")</f>
        <v/>
      </c>
      <c r="E2104" s="8" t="str">
        <f t="array" ref="E2104">IFERROR(INDEX(atlas!F:F,MATCH(A2104,atlas!C:C,0)),"")</f>
        <v/>
      </c>
      <c r="F2104" s="9"/>
      <c r="G2104" s="10"/>
      <c r="H2104" s="11"/>
      <c r="I2104" s="12" t="str">
        <f t="array" ref="I2104">IFERROR(INDEX(atlas!B:B,MATCH(A2104,atlas!C:C,0)),"")</f>
        <v/>
      </c>
      <c r="J2104" s="8" t="str">
        <f>IFERROR(VLOOKUP(F2104,tecnica!A:B,2,0),"")</f>
        <v/>
      </c>
      <c r="K2104" s="8" t="str">
        <f>IFERROR(VLOOKUP(J2104,tecnica!B:C,2,0),"")</f>
        <v/>
      </c>
      <c r="L2104" s="13"/>
      <c r="M2104" s="14" t="str">
        <f>IFERROR(VLOOKUP(I2104,material!A:D,4,0),"")</f>
        <v/>
      </c>
      <c r="N2104" s="14" t="str">
        <f t="shared" si="1"/>
        <v/>
      </c>
      <c r="O2104" s="15" t="str">
        <f>IFERROR(VLOOKUP(I2104,material!A:D,2,0),"")</f>
        <v/>
      </c>
    </row>
    <row r="2105">
      <c r="A2105" s="6"/>
      <c r="B2105" s="7"/>
      <c r="C2105" s="8" t="str">
        <f t="array" ref="C2105">IFERROR(INDEX(atlas!H:H,MATCH(A2105,atlas!C:C,0)),"")</f>
        <v/>
      </c>
      <c r="D2105" s="8" t="str">
        <f t="array" ref="D2105">IFERROR(INDEX(atlas!D:D,MATCH(A2105,atlas!C:C,0)),"")</f>
        <v/>
      </c>
      <c r="E2105" s="8" t="str">
        <f t="array" ref="E2105">IFERROR(INDEX(atlas!F:F,MATCH(A2105,atlas!C:C,0)),"")</f>
        <v/>
      </c>
      <c r="F2105" s="9"/>
      <c r="G2105" s="10"/>
      <c r="H2105" s="11"/>
      <c r="I2105" s="12" t="str">
        <f t="array" ref="I2105">IFERROR(INDEX(atlas!B:B,MATCH(A2105,atlas!C:C,0)),"")</f>
        <v/>
      </c>
      <c r="J2105" s="8" t="str">
        <f>IFERROR(VLOOKUP(F2105,tecnica!A:B,2,0),"")</f>
        <v/>
      </c>
      <c r="K2105" s="8" t="str">
        <f>IFERROR(VLOOKUP(J2105,tecnica!B:C,2,0),"")</f>
        <v/>
      </c>
      <c r="L2105" s="13"/>
      <c r="M2105" s="14" t="str">
        <f>IFERROR(VLOOKUP(I2105,material!A:D,4,0),"")</f>
        <v/>
      </c>
      <c r="N2105" s="14" t="str">
        <f t="shared" si="1"/>
        <v/>
      </c>
      <c r="O2105" s="15" t="str">
        <f>IFERROR(VLOOKUP(I2105,material!A:D,2,0),"")</f>
        <v/>
      </c>
    </row>
    <row r="2106">
      <c r="A2106" s="6"/>
      <c r="B2106" s="7"/>
      <c r="C2106" s="8" t="str">
        <f t="array" ref="C2106">IFERROR(INDEX(atlas!H:H,MATCH(A2106,atlas!C:C,0)),"")</f>
        <v/>
      </c>
      <c r="D2106" s="8" t="str">
        <f t="array" ref="D2106">IFERROR(INDEX(atlas!D:D,MATCH(A2106,atlas!C:C,0)),"")</f>
        <v/>
      </c>
      <c r="E2106" s="8" t="str">
        <f t="array" ref="E2106">IFERROR(INDEX(atlas!F:F,MATCH(A2106,atlas!C:C,0)),"")</f>
        <v/>
      </c>
      <c r="F2106" s="9"/>
      <c r="G2106" s="10"/>
      <c r="H2106" s="11"/>
      <c r="I2106" s="12" t="str">
        <f t="array" ref="I2106">IFERROR(INDEX(atlas!B:B,MATCH(A2106,atlas!C:C,0)),"")</f>
        <v/>
      </c>
      <c r="J2106" s="8" t="str">
        <f>IFERROR(VLOOKUP(F2106,tecnica!A:B,2,0),"")</f>
        <v/>
      </c>
      <c r="K2106" s="8" t="str">
        <f>IFERROR(VLOOKUP(J2106,tecnica!B:C,2,0),"")</f>
        <v/>
      </c>
      <c r="L2106" s="13"/>
      <c r="M2106" s="14" t="str">
        <f>IFERROR(VLOOKUP(I2106,material!A:D,4,0),"")</f>
        <v/>
      </c>
      <c r="N2106" s="14" t="str">
        <f t="shared" si="1"/>
        <v/>
      </c>
      <c r="O2106" s="15" t="str">
        <f>IFERROR(VLOOKUP(I2106,material!A:D,2,0),"")</f>
        <v/>
      </c>
    </row>
    <row r="2107">
      <c r="A2107" s="6"/>
      <c r="B2107" s="7"/>
      <c r="C2107" s="8" t="str">
        <f t="array" ref="C2107">IFERROR(INDEX(atlas!H:H,MATCH(A2107,atlas!C:C,0)),"")</f>
        <v/>
      </c>
      <c r="D2107" s="8" t="str">
        <f t="array" ref="D2107">IFERROR(INDEX(atlas!D:D,MATCH(A2107,atlas!C:C,0)),"")</f>
        <v/>
      </c>
      <c r="E2107" s="8" t="str">
        <f t="array" ref="E2107">IFERROR(INDEX(atlas!F:F,MATCH(A2107,atlas!C:C,0)),"")</f>
        <v/>
      </c>
      <c r="F2107" s="9"/>
      <c r="G2107" s="10"/>
      <c r="H2107" s="11"/>
      <c r="I2107" s="12" t="str">
        <f t="array" ref="I2107">IFERROR(INDEX(atlas!B:B,MATCH(A2107,atlas!C:C,0)),"")</f>
        <v/>
      </c>
      <c r="J2107" s="8" t="str">
        <f>IFERROR(VLOOKUP(F2107,tecnica!A:B,2,0),"")</f>
        <v/>
      </c>
      <c r="K2107" s="8" t="str">
        <f>IFERROR(VLOOKUP(J2107,tecnica!B:C,2,0),"")</f>
        <v/>
      </c>
      <c r="L2107" s="13"/>
      <c r="M2107" s="14" t="str">
        <f>IFERROR(VLOOKUP(I2107,material!A:D,4,0),"")</f>
        <v/>
      </c>
      <c r="N2107" s="14" t="str">
        <f t="shared" si="1"/>
        <v/>
      </c>
      <c r="O2107" s="15" t="str">
        <f>IFERROR(VLOOKUP(I2107,material!A:D,2,0),"")</f>
        <v/>
      </c>
    </row>
    <row r="2108">
      <c r="A2108" s="6"/>
      <c r="B2108" s="7"/>
      <c r="C2108" s="8" t="str">
        <f t="array" ref="C2108">IFERROR(INDEX(atlas!H:H,MATCH(A2108,atlas!C:C,0)),"")</f>
        <v/>
      </c>
      <c r="D2108" s="8" t="str">
        <f t="array" ref="D2108">IFERROR(INDEX(atlas!D:D,MATCH(A2108,atlas!C:C,0)),"")</f>
        <v/>
      </c>
      <c r="E2108" s="8" t="str">
        <f t="array" ref="E2108">IFERROR(INDEX(atlas!F:F,MATCH(A2108,atlas!C:C,0)),"")</f>
        <v/>
      </c>
      <c r="F2108" s="9"/>
      <c r="G2108" s="10"/>
      <c r="H2108" s="11"/>
      <c r="I2108" s="12" t="str">
        <f t="array" ref="I2108">IFERROR(INDEX(atlas!B:B,MATCH(A2108,atlas!C:C,0)),"")</f>
        <v/>
      </c>
      <c r="J2108" s="8" t="str">
        <f>IFERROR(VLOOKUP(F2108,tecnica!A:B,2,0),"")</f>
        <v/>
      </c>
      <c r="K2108" s="8" t="str">
        <f>IFERROR(VLOOKUP(J2108,tecnica!B:C,2,0),"")</f>
        <v/>
      </c>
      <c r="L2108" s="13"/>
      <c r="M2108" s="14" t="str">
        <f>IFERROR(VLOOKUP(I2108,material!A:D,4,0),"")</f>
        <v/>
      </c>
      <c r="N2108" s="14" t="str">
        <f t="shared" si="1"/>
        <v/>
      </c>
      <c r="O2108" s="15" t="str">
        <f>IFERROR(VLOOKUP(I2108,material!A:D,2,0),"")</f>
        <v/>
      </c>
    </row>
    <row r="2109">
      <c r="A2109" s="6"/>
      <c r="B2109" s="7"/>
      <c r="C2109" s="8" t="str">
        <f t="array" ref="C2109">IFERROR(INDEX(atlas!H:H,MATCH(A2109,atlas!C:C,0)),"")</f>
        <v/>
      </c>
      <c r="D2109" s="8" t="str">
        <f t="array" ref="D2109">IFERROR(INDEX(atlas!D:D,MATCH(A2109,atlas!C:C,0)),"")</f>
        <v/>
      </c>
      <c r="E2109" s="8" t="str">
        <f t="array" ref="E2109">IFERROR(INDEX(atlas!F:F,MATCH(A2109,atlas!C:C,0)),"")</f>
        <v/>
      </c>
      <c r="F2109" s="9"/>
      <c r="G2109" s="10"/>
      <c r="H2109" s="11"/>
      <c r="I2109" s="12" t="str">
        <f t="array" ref="I2109">IFERROR(INDEX(atlas!B:B,MATCH(A2109,atlas!C:C,0)),"")</f>
        <v/>
      </c>
      <c r="J2109" s="8" t="str">
        <f>IFERROR(VLOOKUP(F2109,tecnica!A:B,2,0),"")</f>
        <v/>
      </c>
      <c r="K2109" s="8" t="str">
        <f>IFERROR(VLOOKUP(J2109,tecnica!B:C,2,0),"")</f>
        <v/>
      </c>
      <c r="L2109" s="13"/>
      <c r="M2109" s="14" t="str">
        <f>IFERROR(VLOOKUP(I2109,material!A:D,4,0),"")</f>
        <v/>
      </c>
      <c r="N2109" s="14" t="str">
        <f t="shared" si="1"/>
        <v/>
      </c>
      <c r="O2109" s="15" t="str">
        <f>IFERROR(VLOOKUP(I2109,material!A:D,2,0),"")</f>
        <v/>
      </c>
    </row>
    <row r="2110">
      <c r="A2110" s="6"/>
      <c r="B2110" s="7"/>
      <c r="C2110" s="8" t="str">
        <f t="array" ref="C2110">IFERROR(INDEX(atlas!H:H,MATCH(A2110,atlas!C:C,0)),"")</f>
        <v/>
      </c>
      <c r="D2110" s="8" t="str">
        <f t="array" ref="D2110">IFERROR(INDEX(atlas!D:D,MATCH(A2110,atlas!C:C,0)),"")</f>
        <v/>
      </c>
      <c r="E2110" s="8" t="str">
        <f t="array" ref="E2110">IFERROR(INDEX(atlas!F:F,MATCH(A2110,atlas!C:C,0)),"")</f>
        <v/>
      </c>
      <c r="F2110" s="9"/>
      <c r="G2110" s="10"/>
      <c r="H2110" s="11"/>
      <c r="I2110" s="12" t="str">
        <f t="array" ref="I2110">IFERROR(INDEX(atlas!B:B,MATCH(A2110,atlas!C:C,0)),"")</f>
        <v/>
      </c>
      <c r="J2110" s="8" t="str">
        <f>IFERROR(VLOOKUP(F2110,tecnica!A:B,2,0),"")</f>
        <v/>
      </c>
      <c r="K2110" s="8" t="str">
        <f>IFERROR(VLOOKUP(J2110,tecnica!B:C,2,0),"")</f>
        <v/>
      </c>
      <c r="L2110" s="13"/>
      <c r="M2110" s="14" t="str">
        <f>IFERROR(VLOOKUP(I2110,material!A:D,4,0),"")</f>
        <v/>
      </c>
      <c r="N2110" s="14" t="str">
        <f t="shared" si="1"/>
        <v/>
      </c>
      <c r="O2110" s="15" t="str">
        <f>IFERROR(VLOOKUP(I2110,material!A:D,2,0),"")</f>
        <v/>
      </c>
    </row>
    <row r="2111">
      <c r="A2111" s="6"/>
      <c r="B2111" s="7"/>
      <c r="C2111" s="8" t="str">
        <f t="array" ref="C2111">IFERROR(INDEX(atlas!H:H,MATCH(A2111,atlas!C:C,0)),"")</f>
        <v/>
      </c>
      <c r="D2111" s="8" t="str">
        <f t="array" ref="D2111">IFERROR(INDEX(atlas!D:D,MATCH(A2111,atlas!C:C,0)),"")</f>
        <v/>
      </c>
      <c r="E2111" s="8" t="str">
        <f t="array" ref="E2111">IFERROR(INDEX(atlas!F:F,MATCH(A2111,atlas!C:C,0)),"")</f>
        <v/>
      </c>
      <c r="F2111" s="9"/>
      <c r="G2111" s="10"/>
      <c r="H2111" s="11"/>
      <c r="I2111" s="12" t="str">
        <f t="array" ref="I2111">IFERROR(INDEX(atlas!B:B,MATCH(A2111,atlas!C:C,0)),"")</f>
        <v/>
      </c>
      <c r="J2111" s="8" t="str">
        <f>IFERROR(VLOOKUP(F2111,tecnica!A:B,2,0),"")</f>
        <v/>
      </c>
      <c r="K2111" s="8" t="str">
        <f>IFERROR(VLOOKUP(J2111,tecnica!B:C,2,0),"")</f>
        <v/>
      </c>
      <c r="L2111" s="13"/>
      <c r="M2111" s="14" t="str">
        <f>IFERROR(VLOOKUP(I2111,material!A:D,4,0),"")</f>
        <v/>
      </c>
      <c r="N2111" s="14" t="str">
        <f t="shared" si="1"/>
        <v/>
      </c>
      <c r="O2111" s="15" t="str">
        <f>IFERROR(VLOOKUP(I2111,material!A:D,2,0),"")</f>
        <v/>
      </c>
    </row>
    <row r="2112">
      <c r="A2112" s="6"/>
      <c r="B2112" s="7"/>
      <c r="C2112" s="8" t="str">
        <f t="array" ref="C2112">IFERROR(INDEX(atlas!H:H,MATCH(A2112,atlas!C:C,0)),"")</f>
        <v/>
      </c>
      <c r="D2112" s="8" t="str">
        <f t="array" ref="D2112">IFERROR(INDEX(atlas!D:D,MATCH(A2112,atlas!C:C,0)),"")</f>
        <v/>
      </c>
      <c r="E2112" s="8" t="str">
        <f t="array" ref="E2112">IFERROR(INDEX(atlas!F:F,MATCH(A2112,atlas!C:C,0)),"")</f>
        <v/>
      </c>
      <c r="F2112" s="9"/>
      <c r="G2112" s="10"/>
      <c r="H2112" s="11"/>
      <c r="I2112" s="12" t="str">
        <f t="array" ref="I2112">IFERROR(INDEX(atlas!B:B,MATCH(A2112,atlas!C:C,0)),"")</f>
        <v/>
      </c>
      <c r="J2112" s="8" t="str">
        <f>IFERROR(VLOOKUP(F2112,tecnica!A:B,2,0),"")</f>
        <v/>
      </c>
      <c r="K2112" s="8" t="str">
        <f>IFERROR(VLOOKUP(J2112,tecnica!B:C,2,0),"")</f>
        <v/>
      </c>
      <c r="L2112" s="13"/>
      <c r="M2112" s="14" t="str">
        <f>IFERROR(VLOOKUP(I2112,material!A:D,4,0),"")</f>
        <v/>
      </c>
      <c r="N2112" s="14" t="str">
        <f t="shared" si="1"/>
        <v/>
      </c>
      <c r="O2112" s="15" t="str">
        <f>IFERROR(VLOOKUP(I2112,material!A:D,2,0),"")</f>
        <v/>
      </c>
    </row>
    <row r="2113">
      <c r="A2113" s="6"/>
      <c r="B2113" s="7"/>
      <c r="C2113" s="8" t="str">
        <f t="array" ref="C2113">IFERROR(INDEX(atlas!H:H,MATCH(A2113,atlas!C:C,0)),"")</f>
        <v/>
      </c>
      <c r="D2113" s="8" t="str">
        <f t="array" ref="D2113">IFERROR(INDEX(atlas!D:D,MATCH(A2113,atlas!C:C,0)),"")</f>
        <v/>
      </c>
      <c r="E2113" s="8" t="str">
        <f t="array" ref="E2113">IFERROR(INDEX(atlas!F:F,MATCH(A2113,atlas!C:C,0)),"")</f>
        <v/>
      </c>
      <c r="F2113" s="9"/>
      <c r="G2113" s="10"/>
      <c r="H2113" s="11"/>
      <c r="I2113" s="12" t="str">
        <f t="array" ref="I2113">IFERROR(INDEX(atlas!B:B,MATCH(A2113,atlas!C:C,0)),"")</f>
        <v/>
      </c>
      <c r="J2113" s="8" t="str">
        <f>IFERROR(VLOOKUP(F2113,tecnica!A:B,2,0),"")</f>
        <v/>
      </c>
      <c r="K2113" s="8" t="str">
        <f>IFERROR(VLOOKUP(J2113,tecnica!B:C,2,0),"")</f>
        <v/>
      </c>
      <c r="L2113" s="13"/>
      <c r="M2113" s="14" t="str">
        <f>IFERROR(VLOOKUP(I2113,material!A:D,4,0),"")</f>
        <v/>
      </c>
      <c r="N2113" s="14" t="str">
        <f t="shared" si="1"/>
        <v/>
      </c>
      <c r="O2113" s="15" t="str">
        <f>IFERROR(VLOOKUP(I2113,material!A:D,2,0),"")</f>
        <v/>
      </c>
    </row>
    <row r="2114">
      <c r="A2114" s="6"/>
      <c r="B2114" s="7"/>
      <c r="C2114" s="8" t="str">
        <f t="array" ref="C2114">IFERROR(INDEX(atlas!H:H,MATCH(A2114,atlas!C:C,0)),"")</f>
        <v/>
      </c>
      <c r="D2114" s="8" t="str">
        <f t="array" ref="D2114">IFERROR(INDEX(atlas!D:D,MATCH(A2114,atlas!C:C,0)),"")</f>
        <v/>
      </c>
      <c r="E2114" s="8" t="str">
        <f t="array" ref="E2114">IFERROR(INDEX(atlas!F:F,MATCH(A2114,atlas!C:C,0)),"")</f>
        <v/>
      </c>
      <c r="F2114" s="9"/>
      <c r="G2114" s="10"/>
      <c r="H2114" s="11"/>
      <c r="I2114" s="12" t="str">
        <f t="array" ref="I2114">IFERROR(INDEX(atlas!B:B,MATCH(A2114,atlas!C:C,0)),"")</f>
        <v/>
      </c>
      <c r="J2114" s="8" t="str">
        <f>IFERROR(VLOOKUP(F2114,tecnica!A:B,2,0),"")</f>
        <v/>
      </c>
      <c r="K2114" s="8" t="str">
        <f>IFERROR(VLOOKUP(J2114,tecnica!B:C,2,0),"")</f>
        <v/>
      </c>
      <c r="L2114" s="13"/>
      <c r="M2114" s="14" t="str">
        <f>IFERROR(VLOOKUP(I2114,material!A:D,4,0),"")</f>
        <v/>
      </c>
      <c r="N2114" s="14" t="str">
        <f t="shared" si="1"/>
        <v/>
      </c>
      <c r="O2114" s="15" t="str">
        <f>IFERROR(VLOOKUP(I2114,material!A:D,2,0),"")</f>
        <v/>
      </c>
    </row>
    <row r="2115">
      <c r="A2115" s="6"/>
      <c r="B2115" s="7"/>
      <c r="C2115" s="8" t="str">
        <f t="array" ref="C2115">IFERROR(INDEX(atlas!H:H,MATCH(A2115,atlas!C:C,0)),"")</f>
        <v/>
      </c>
      <c r="D2115" s="8" t="str">
        <f t="array" ref="D2115">IFERROR(INDEX(atlas!D:D,MATCH(A2115,atlas!C:C,0)),"")</f>
        <v/>
      </c>
      <c r="E2115" s="8" t="str">
        <f t="array" ref="E2115">IFERROR(INDEX(atlas!F:F,MATCH(A2115,atlas!C:C,0)),"")</f>
        <v/>
      </c>
      <c r="F2115" s="9"/>
      <c r="G2115" s="10"/>
      <c r="H2115" s="11"/>
      <c r="I2115" s="12" t="str">
        <f t="array" ref="I2115">IFERROR(INDEX(atlas!B:B,MATCH(A2115,atlas!C:C,0)),"")</f>
        <v/>
      </c>
      <c r="J2115" s="8" t="str">
        <f>IFERROR(VLOOKUP(F2115,tecnica!A:B,2,0),"")</f>
        <v/>
      </c>
      <c r="K2115" s="8" t="str">
        <f>IFERROR(VLOOKUP(J2115,tecnica!B:C,2,0),"")</f>
        <v/>
      </c>
      <c r="L2115" s="13"/>
      <c r="M2115" s="14" t="str">
        <f>IFERROR(VLOOKUP(I2115,material!A:D,4,0),"")</f>
        <v/>
      </c>
      <c r="N2115" s="14" t="str">
        <f t="shared" si="1"/>
        <v/>
      </c>
      <c r="O2115" s="15" t="str">
        <f>IFERROR(VLOOKUP(I2115,material!A:D,2,0),"")</f>
        <v/>
      </c>
    </row>
    <row r="2116">
      <c r="A2116" s="6"/>
      <c r="B2116" s="7"/>
      <c r="C2116" s="8" t="str">
        <f t="array" ref="C2116">IFERROR(INDEX(atlas!H:H,MATCH(A2116,atlas!C:C,0)),"")</f>
        <v/>
      </c>
      <c r="D2116" s="8" t="str">
        <f t="array" ref="D2116">IFERROR(INDEX(atlas!D:D,MATCH(A2116,atlas!C:C,0)),"")</f>
        <v/>
      </c>
      <c r="E2116" s="8" t="str">
        <f t="array" ref="E2116">IFERROR(INDEX(atlas!F:F,MATCH(A2116,atlas!C:C,0)),"")</f>
        <v/>
      </c>
      <c r="F2116" s="9"/>
      <c r="G2116" s="10"/>
      <c r="H2116" s="11"/>
      <c r="I2116" s="12" t="str">
        <f t="array" ref="I2116">IFERROR(INDEX(atlas!B:B,MATCH(A2116,atlas!C:C,0)),"")</f>
        <v/>
      </c>
      <c r="J2116" s="8" t="str">
        <f>IFERROR(VLOOKUP(F2116,tecnica!A:B,2,0),"")</f>
        <v/>
      </c>
      <c r="K2116" s="8" t="str">
        <f>IFERROR(VLOOKUP(J2116,tecnica!B:C,2,0),"")</f>
        <v/>
      </c>
      <c r="L2116" s="13"/>
      <c r="M2116" s="14" t="str">
        <f>IFERROR(VLOOKUP(I2116,material!A:D,4,0),"")</f>
        <v/>
      </c>
      <c r="N2116" s="14" t="str">
        <f t="shared" si="1"/>
        <v/>
      </c>
      <c r="O2116" s="15" t="str">
        <f>IFERROR(VLOOKUP(I2116,material!A:D,2,0),"")</f>
        <v/>
      </c>
    </row>
    <row r="2117">
      <c r="A2117" s="6"/>
      <c r="B2117" s="7"/>
      <c r="C2117" s="8" t="str">
        <f t="array" ref="C2117">IFERROR(INDEX(atlas!H:H,MATCH(A2117,atlas!C:C,0)),"")</f>
        <v/>
      </c>
      <c r="D2117" s="8" t="str">
        <f t="array" ref="D2117">IFERROR(INDEX(atlas!D:D,MATCH(A2117,atlas!C:C,0)),"")</f>
        <v/>
      </c>
      <c r="E2117" s="8" t="str">
        <f t="array" ref="E2117">IFERROR(INDEX(atlas!F:F,MATCH(A2117,atlas!C:C,0)),"")</f>
        <v/>
      </c>
      <c r="F2117" s="9"/>
      <c r="G2117" s="10"/>
      <c r="H2117" s="11"/>
      <c r="I2117" s="12" t="str">
        <f t="array" ref="I2117">IFERROR(INDEX(atlas!B:B,MATCH(A2117,atlas!C:C,0)),"")</f>
        <v/>
      </c>
      <c r="J2117" s="8" t="str">
        <f>IFERROR(VLOOKUP(F2117,tecnica!A:B,2,0),"")</f>
        <v/>
      </c>
      <c r="K2117" s="8" t="str">
        <f>IFERROR(VLOOKUP(J2117,tecnica!B:C,2,0),"")</f>
        <v/>
      </c>
      <c r="L2117" s="13"/>
      <c r="M2117" s="14" t="str">
        <f>IFERROR(VLOOKUP(I2117,material!A:D,4,0),"")</f>
        <v/>
      </c>
      <c r="N2117" s="14" t="str">
        <f t="shared" si="1"/>
        <v/>
      </c>
      <c r="O2117" s="15" t="str">
        <f>IFERROR(VLOOKUP(I2117,material!A:D,2,0),"")</f>
        <v/>
      </c>
    </row>
    <row r="2118">
      <c r="A2118" s="6"/>
      <c r="B2118" s="7"/>
      <c r="C2118" s="8" t="str">
        <f t="array" ref="C2118">IFERROR(INDEX(atlas!H:H,MATCH(A2118,atlas!C:C,0)),"")</f>
        <v/>
      </c>
      <c r="D2118" s="8" t="str">
        <f t="array" ref="D2118">IFERROR(INDEX(atlas!D:D,MATCH(A2118,atlas!C:C,0)),"")</f>
        <v/>
      </c>
      <c r="E2118" s="8" t="str">
        <f t="array" ref="E2118">IFERROR(INDEX(atlas!F:F,MATCH(A2118,atlas!C:C,0)),"")</f>
        <v/>
      </c>
      <c r="F2118" s="9"/>
      <c r="G2118" s="10"/>
      <c r="H2118" s="11"/>
      <c r="I2118" s="12" t="str">
        <f t="array" ref="I2118">IFERROR(INDEX(atlas!B:B,MATCH(A2118,atlas!C:C,0)),"")</f>
        <v/>
      </c>
      <c r="J2118" s="8" t="str">
        <f>IFERROR(VLOOKUP(F2118,tecnica!A:B,2,0),"")</f>
        <v/>
      </c>
      <c r="K2118" s="8" t="str">
        <f>IFERROR(VLOOKUP(J2118,tecnica!B:C,2,0),"")</f>
        <v/>
      </c>
      <c r="L2118" s="13"/>
      <c r="M2118" s="14" t="str">
        <f>IFERROR(VLOOKUP(I2118,material!A:D,4,0),"")</f>
        <v/>
      </c>
      <c r="N2118" s="14" t="str">
        <f t="shared" si="1"/>
        <v/>
      </c>
      <c r="O2118" s="15" t="str">
        <f>IFERROR(VLOOKUP(I2118,material!A:D,2,0),"")</f>
        <v/>
      </c>
    </row>
    <row r="2119">
      <c r="A2119" s="6"/>
      <c r="B2119" s="7"/>
      <c r="C2119" s="8" t="str">
        <f t="array" ref="C2119">IFERROR(INDEX(atlas!H:H,MATCH(A2119,atlas!C:C,0)),"")</f>
        <v/>
      </c>
      <c r="D2119" s="8" t="str">
        <f t="array" ref="D2119">IFERROR(INDEX(atlas!D:D,MATCH(A2119,atlas!C:C,0)),"")</f>
        <v/>
      </c>
      <c r="E2119" s="8" t="str">
        <f t="array" ref="E2119">IFERROR(INDEX(atlas!F:F,MATCH(A2119,atlas!C:C,0)),"")</f>
        <v/>
      </c>
      <c r="F2119" s="9"/>
      <c r="G2119" s="10"/>
      <c r="H2119" s="11"/>
      <c r="I2119" s="12" t="str">
        <f t="array" ref="I2119">IFERROR(INDEX(atlas!B:B,MATCH(A2119,atlas!C:C,0)),"")</f>
        <v/>
      </c>
      <c r="J2119" s="8" t="str">
        <f>IFERROR(VLOOKUP(F2119,tecnica!A:B,2,0),"")</f>
        <v/>
      </c>
      <c r="K2119" s="8" t="str">
        <f>IFERROR(VLOOKUP(J2119,tecnica!B:C,2,0),"")</f>
        <v/>
      </c>
      <c r="L2119" s="13"/>
      <c r="M2119" s="14" t="str">
        <f>IFERROR(VLOOKUP(I2119,material!A:D,4,0),"")</f>
        <v/>
      </c>
      <c r="N2119" s="14" t="str">
        <f t="shared" si="1"/>
        <v/>
      </c>
      <c r="O2119" s="15" t="str">
        <f>IFERROR(VLOOKUP(I2119,material!A:D,2,0),"")</f>
        <v/>
      </c>
    </row>
    <row r="2120">
      <c r="A2120" s="6"/>
      <c r="B2120" s="7"/>
      <c r="C2120" s="8" t="str">
        <f t="array" ref="C2120">IFERROR(INDEX(atlas!H:H,MATCH(A2120,atlas!C:C,0)),"")</f>
        <v/>
      </c>
      <c r="D2120" s="8" t="str">
        <f t="array" ref="D2120">IFERROR(INDEX(atlas!D:D,MATCH(A2120,atlas!C:C,0)),"")</f>
        <v/>
      </c>
      <c r="E2120" s="8" t="str">
        <f t="array" ref="E2120">IFERROR(INDEX(atlas!F:F,MATCH(A2120,atlas!C:C,0)),"")</f>
        <v/>
      </c>
      <c r="F2120" s="9"/>
      <c r="G2120" s="10"/>
      <c r="H2120" s="11"/>
      <c r="I2120" s="12" t="str">
        <f t="array" ref="I2120">IFERROR(INDEX(atlas!B:B,MATCH(A2120,atlas!C:C,0)),"")</f>
        <v/>
      </c>
      <c r="J2120" s="8" t="str">
        <f>IFERROR(VLOOKUP(F2120,tecnica!A:B,2,0),"")</f>
        <v/>
      </c>
      <c r="K2120" s="8" t="str">
        <f>IFERROR(VLOOKUP(J2120,tecnica!B:C,2,0),"")</f>
        <v/>
      </c>
      <c r="L2120" s="13"/>
      <c r="M2120" s="14" t="str">
        <f>IFERROR(VLOOKUP(I2120,material!A:D,4,0),"")</f>
        <v/>
      </c>
      <c r="N2120" s="14" t="str">
        <f t="shared" si="1"/>
        <v/>
      </c>
      <c r="O2120" s="15" t="str">
        <f>IFERROR(VLOOKUP(I2120,material!A:D,2,0),"")</f>
        <v/>
      </c>
    </row>
    <row r="2121">
      <c r="A2121" s="6"/>
      <c r="B2121" s="7"/>
      <c r="C2121" s="8" t="str">
        <f t="array" ref="C2121">IFERROR(INDEX(atlas!H:H,MATCH(A2121,atlas!C:C,0)),"")</f>
        <v/>
      </c>
      <c r="D2121" s="8" t="str">
        <f t="array" ref="D2121">IFERROR(INDEX(atlas!D:D,MATCH(A2121,atlas!C:C,0)),"")</f>
        <v/>
      </c>
      <c r="E2121" s="8" t="str">
        <f t="array" ref="E2121">IFERROR(INDEX(atlas!F:F,MATCH(A2121,atlas!C:C,0)),"")</f>
        <v/>
      </c>
      <c r="F2121" s="9"/>
      <c r="G2121" s="10"/>
      <c r="H2121" s="11"/>
      <c r="I2121" s="12" t="str">
        <f t="array" ref="I2121">IFERROR(INDEX(atlas!B:B,MATCH(A2121,atlas!C:C,0)),"")</f>
        <v/>
      </c>
      <c r="J2121" s="8" t="str">
        <f>IFERROR(VLOOKUP(F2121,tecnica!A:B,2,0),"")</f>
        <v/>
      </c>
      <c r="K2121" s="8" t="str">
        <f>IFERROR(VLOOKUP(J2121,tecnica!B:C,2,0),"")</f>
        <v/>
      </c>
      <c r="L2121" s="13"/>
      <c r="M2121" s="14" t="str">
        <f>IFERROR(VLOOKUP(I2121,material!A:D,4,0),"")</f>
        <v/>
      </c>
      <c r="N2121" s="14" t="str">
        <f t="shared" si="1"/>
        <v/>
      </c>
      <c r="O2121" s="15" t="str">
        <f>IFERROR(VLOOKUP(I2121,material!A:D,2,0),"")</f>
        <v/>
      </c>
    </row>
    <row r="2122">
      <c r="A2122" s="6"/>
      <c r="B2122" s="7"/>
      <c r="C2122" s="8" t="str">
        <f t="array" ref="C2122">IFERROR(INDEX(atlas!H:H,MATCH(A2122,atlas!C:C,0)),"")</f>
        <v/>
      </c>
      <c r="D2122" s="8" t="str">
        <f t="array" ref="D2122">IFERROR(INDEX(atlas!D:D,MATCH(A2122,atlas!C:C,0)),"")</f>
        <v/>
      </c>
      <c r="E2122" s="8" t="str">
        <f t="array" ref="E2122">IFERROR(INDEX(atlas!F:F,MATCH(A2122,atlas!C:C,0)),"")</f>
        <v/>
      </c>
      <c r="F2122" s="9"/>
      <c r="G2122" s="10"/>
      <c r="H2122" s="11"/>
      <c r="I2122" s="12" t="str">
        <f t="array" ref="I2122">IFERROR(INDEX(atlas!B:B,MATCH(A2122,atlas!C:C,0)),"")</f>
        <v/>
      </c>
      <c r="J2122" s="8" t="str">
        <f>IFERROR(VLOOKUP(F2122,tecnica!A:B,2,0),"")</f>
        <v/>
      </c>
      <c r="K2122" s="8" t="str">
        <f>IFERROR(VLOOKUP(J2122,tecnica!B:C,2,0),"")</f>
        <v/>
      </c>
      <c r="L2122" s="13"/>
      <c r="M2122" s="14" t="str">
        <f>IFERROR(VLOOKUP(I2122,material!A:D,4,0),"")</f>
        <v/>
      </c>
      <c r="N2122" s="14" t="str">
        <f t="shared" si="1"/>
        <v/>
      </c>
      <c r="O2122" s="15" t="str">
        <f>IFERROR(VLOOKUP(I2122,material!A:D,2,0),"")</f>
        <v/>
      </c>
    </row>
    <row r="2123">
      <c r="A2123" s="6"/>
      <c r="B2123" s="7"/>
      <c r="C2123" s="8" t="str">
        <f t="array" ref="C2123">IFERROR(INDEX(atlas!H:H,MATCH(A2123,atlas!C:C,0)),"")</f>
        <v/>
      </c>
      <c r="D2123" s="8" t="str">
        <f t="array" ref="D2123">IFERROR(INDEX(atlas!D:D,MATCH(A2123,atlas!C:C,0)),"")</f>
        <v/>
      </c>
      <c r="E2123" s="8" t="str">
        <f t="array" ref="E2123">IFERROR(INDEX(atlas!F:F,MATCH(A2123,atlas!C:C,0)),"")</f>
        <v/>
      </c>
      <c r="F2123" s="9"/>
      <c r="G2123" s="10"/>
      <c r="H2123" s="11"/>
      <c r="I2123" s="12" t="str">
        <f t="array" ref="I2123">IFERROR(INDEX(atlas!B:B,MATCH(A2123,atlas!C:C,0)),"")</f>
        <v/>
      </c>
      <c r="J2123" s="8" t="str">
        <f>IFERROR(VLOOKUP(F2123,tecnica!A:B,2,0),"")</f>
        <v/>
      </c>
      <c r="K2123" s="8" t="str">
        <f>IFERROR(VLOOKUP(J2123,tecnica!B:C,2,0),"")</f>
        <v/>
      </c>
      <c r="L2123" s="13"/>
      <c r="M2123" s="14" t="str">
        <f>IFERROR(VLOOKUP(I2123,material!A:D,4,0),"")</f>
        <v/>
      </c>
      <c r="N2123" s="14" t="str">
        <f t="shared" si="1"/>
        <v/>
      </c>
      <c r="O2123" s="15" t="str">
        <f>IFERROR(VLOOKUP(I2123,material!A:D,2,0),"")</f>
        <v/>
      </c>
    </row>
    <row r="2124">
      <c r="A2124" s="6"/>
      <c r="B2124" s="7"/>
      <c r="C2124" s="8" t="str">
        <f t="array" ref="C2124">IFERROR(INDEX(atlas!H:H,MATCH(A2124,atlas!C:C,0)),"")</f>
        <v/>
      </c>
      <c r="D2124" s="8" t="str">
        <f t="array" ref="D2124">IFERROR(INDEX(atlas!D:D,MATCH(A2124,atlas!C:C,0)),"")</f>
        <v/>
      </c>
      <c r="E2124" s="8" t="str">
        <f t="array" ref="E2124">IFERROR(INDEX(atlas!F:F,MATCH(A2124,atlas!C:C,0)),"")</f>
        <v/>
      </c>
      <c r="F2124" s="9"/>
      <c r="G2124" s="10"/>
      <c r="H2124" s="11"/>
      <c r="I2124" s="12" t="str">
        <f t="array" ref="I2124">IFERROR(INDEX(atlas!B:B,MATCH(A2124,atlas!C:C,0)),"")</f>
        <v/>
      </c>
      <c r="J2124" s="8" t="str">
        <f>IFERROR(VLOOKUP(F2124,tecnica!A:B,2,0),"")</f>
        <v/>
      </c>
      <c r="K2124" s="8" t="str">
        <f>IFERROR(VLOOKUP(J2124,tecnica!B:C,2,0),"")</f>
        <v/>
      </c>
      <c r="L2124" s="13"/>
      <c r="M2124" s="14" t="str">
        <f>IFERROR(VLOOKUP(I2124,material!A:D,4,0),"")</f>
        <v/>
      </c>
      <c r="N2124" s="14" t="str">
        <f t="shared" si="1"/>
        <v/>
      </c>
      <c r="O2124" s="15" t="str">
        <f>IFERROR(VLOOKUP(I2124,material!A:D,2,0),"")</f>
        <v/>
      </c>
    </row>
    <row r="2125">
      <c r="A2125" s="6"/>
      <c r="B2125" s="7"/>
      <c r="C2125" s="8" t="str">
        <f t="array" ref="C2125">IFERROR(INDEX(atlas!H:H,MATCH(A2125,atlas!C:C,0)),"")</f>
        <v/>
      </c>
      <c r="D2125" s="8" t="str">
        <f t="array" ref="D2125">IFERROR(INDEX(atlas!D:D,MATCH(A2125,atlas!C:C,0)),"")</f>
        <v/>
      </c>
      <c r="E2125" s="8" t="str">
        <f t="array" ref="E2125">IFERROR(INDEX(atlas!F:F,MATCH(A2125,atlas!C:C,0)),"")</f>
        <v/>
      </c>
      <c r="F2125" s="9"/>
      <c r="G2125" s="10"/>
      <c r="H2125" s="11"/>
      <c r="I2125" s="12" t="str">
        <f t="array" ref="I2125">IFERROR(INDEX(atlas!B:B,MATCH(A2125,atlas!C:C,0)),"")</f>
        <v/>
      </c>
      <c r="J2125" s="8" t="str">
        <f>IFERROR(VLOOKUP(F2125,tecnica!A:B,2,0),"")</f>
        <v/>
      </c>
      <c r="K2125" s="8" t="str">
        <f>IFERROR(VLOOKUP(J2125,tecnica!B:C,2,0),"")</f>
        <v/>
      </c>
      <c r="L2125" s="13"/>
      <c r="M2125" s="14" t="str">
        <f>IFERROR(VLOOKUP(I2125,material!A:D,4,0),"")</f>
        <v/>
      </c>
      <c r="N2125" s="14" t="str">
        <f t="shared" si="1"/>
        <v/>
      </c>
      <c r="O2125" s="15" t="str">
        <f>IFERROR(VLOOKUP(I2125,material!A:D,2,0),"")</f>
        <v/>
      </c>
    </row>
    <row r="2126">
      <c r="A2126" s="6"/>
      <c r="B2126" s="7"/>
      <c r="C2126" s="8" t="str">
        <f t="array" ref="C2126">IFERROR(INDEX(atlas!H:H,MATCH(A2126,atlas!C:C,0)),"")</f>
        <v/>
      </c>
      <c r="D2126" s="8" t="str">
        <f t="array" ref="D2126">IFERROR(INDEX(atlas!D:D,MATCH(A2126,atlas!C:C,0)),"")</f>
        <v/>
      </c>
      <c r="E2126" s="8" t="str">
        <f t="array" ref="E2126">IFERROR(INDEX(atlas!F:F,MATCH(A2126,atlas!C:C,0)),"")</f>
        <v/>
      </c>
      <c r="F2126" s="9"/>
      <c r="G2126" s="10"/>
      <c r="H2126" s="11"/>
      <c r="I2126" s="12" t="str">
        <f t="array" ref="I2126">IFERROR(INDEX(atlas!B:B,MATCH(A2126,atlas!C:C,0)),"")</f>
        <v/>
      </c>
      <c r="J2126" s="8" t="str">
        <f>IFERROR(VLOOKUP(F2126,tecnica!A:B,2,0),"")</f>
        <v/>
      </c>
      <c r="K2126" s="8" t="str">
        <f>IFERROR(VLOOKUP(J2126,tecnica!B:C,2,0),"")</f>
        <v/>
      </c>
      <c r="L2126" s="13"/>
      <c r="M2126" s="14" t="str">
        <f>IFERROR(VLOOKUP(I2126,material!A:D,4,0),"")</f>
        <v/>
      </c>
      <c r="N2126" s="14" t="str">
        <f t="shared" si="1"/>
        <v/>
      </c>
      <c r="O2126" s="15" t="str">
        <f>IFERROR(VLOOKUP(I2126,material!A:D,2,0),"")</f>
        <v/>
      </c>
    </row>
    <row r="2127">
      <c r="A2127" s="6"/>
      <c r="B2127" s="7"/>
      <c r="C2127" s="8" t="str">
        <f t="array" ref="C2127">IFERROR(INDEX(atlas!H:H,MATCH(A2127,atlas!C:C,0)),"")</f>
        <v/>
      </c>
      <c r="D2127" s="8" t="str">
        <f t="array" ref="D2127">IFERROR(INDEX(atlas!D:D,MATCH(A2127,atlas!C:C,0)),"")</f>
        <v/>
      </c>
      <c r="E2127" s="8" t="str">
        <f t="array" ref="E2127">IFERROR(INDEX(atlas!F:F,MATCH(A2127,atlas!C:C,0)),"")</f>
        <v/>
      </c>
      <c r="F2127" s="9"/>
      <c r="G2127" s="10"/>
      <c r="H2127" s="11"/>
      <c r="I2127" s="12" t="str">
        <f t="array" ref="I2127">IFERROR(INDEX(atlas!B:B,MATCH(A2127,atlas!C:C,0)),"")</f>
        <v/>
      </c>
      <c r="J2127" s="8" t="str">
        <f>IFERROR(VLOOKUP(F2127,tecnica!A:B,2,0),"")</f>
        <v/>
      </c>
      <c r="K2127" s="8" t="str">
        <f>IFERROR(VLOOKUP(J2127,tecnica!B:C,2,0),"")</f>
        <v/>
      </c>
      <c r="L2127" s="13"/>
      <c r="M2127" s="14" t="str">
        <f>IFERROR(VLOOKUP(I2127,material!A:D,4,0),"")</f>
        <v/>
      </c>
      <c r="N2127" s="14" t="str">
        <f t="shared" si="1"/>
        <v/>
      </c>
      <c r="O2127" s="15" t="str">
        <f>IFERROR(VLOOKUP(I2127,material!A:D,2,0),"")</f>
        <v/>
      </c>
    </row>
    <row r="2128">
      <c r="A2128" s="6"/>
      <c r="B2128" s="7"/>
      <c r="C2128" s="8" t="str">
        <f t="array" ref="C2128">IFERROR(INDEX(atlas!H:H,MATCH(A2128,atlas!C:C,0)),"")</f>
        <v/>
      </c>
      <c r="D2128" s="8" t="str">
        <f t="array" ref="D2128">IFERROR(INDEX(atlas!D:D,MATCH(A2128,atlas!C:C,0)),"")</f>
        <v/>
      </c>
      <c r="E2128" s="8" t="str">
        <f t="array" ref="E2128">IFERROR(INDEX(atlas!F:F,MATCH(A2128,atlas!C:C,0)),"")</f>
        <v/>
      </c>
      <c r="F2128" s="9"/>
      <c r="G2128" s="10"/>
      <c r="H2128" s="11"/>
      <c r="I2128" s="12" t="str">
        <f t="array" ref="I2128">IFERROR(INDEX(atlas!B:B,MATCH(A2128,atlas!C:C,0)),"")</f>
        <v/>
      </c>
      <c r="J2128" s="8" t="str">
        <f>IFERROR(VLOOKUP(F2128,tecnica!A:B,2,0),"")</f>
        <v/>
      </c>
      <c r="K2128" s="8" t="str">
        <f>IFERROR(VLOOKUP(J2128,tecnica!B:C,2,0),"")</f>
        <v/>
      </c>
      <c r="L2128" s="13"/>
      <c r="M2128" s="14" t="str">
        <f>IFERROR(VLOOKUP(I2128,material!A:D,4,0),"")</f>
        <v/>
      </c>
      <c r="N2128" s="14" t="str">
        <f t="shared" si="1"/>
        <v/>
      </c>
      <c r="O2128" s="15" t="str">
        <f>IFERROR(VLOOKUP(I2128,material!A:D,2,0),"")</f>
        <v/>
      </c>
    </row>
    <row r="2129">
      <c r="A2129" s="6"/>
      <c r="B2129" s="7"/>
      <c r="C2129" s="8" t="str">
        <f t="array" ref="C2129">IFERROR(INDEX(atlas!H:H,MATCH(A2129,atlas!C:C,0)),"")</f>
        <v/>
      </c>
      <c r="D2129" s="8" t="str">
        <f t="array" ref="D2129">IFERROR(INDEX(atlas!D:D,MATCH(A2129,atlas!C:C,0)),"")</f>
        <v/>
      </c>
      <c r="E2129" s="8" t="str">
        <f t="array" ref="E2129">IFERROR(INDEX(atlas!F:F,MATCH(A2129,atlas!C:C,0)),"")</f>
        <v/>
      </c>
      <c r="F2129" s="9"/>
      <c r="G2129" s="10"/>
      <c r="H2129" s="11"/>
      <c r="I2129" s="12" t="str">
        <f t="array" ref="I2129">IFERROR(INDEX(atlas!B:B,MATCH(A2129,atlas!C:C,0)),"")</f>
        <v/>
      </c>
      <c r="J2129" s="8" t="str">
        <f>IFERROR(VLOOKUP(F2129,tecnica!A:B,2,0),"")</f>
        <v/>
      </c>
      <c r="K2129" s="8" t="str">
        <f>IFERROR(VLOOKUP(J2129,tecnica!B:C,2,0),"")</f>
        <v/>
      </c>
      <c r="L2129" s="13"/>
      <c r="M2129" s="14" t="str">
        <f>IFERROR(VLOOKUP(I2129,material!A:D,4,0),"")</f>
        <v/>
      </c>
      <c r="N2129" s="14" t="str">
        <f t="shared" si="1"/>
        <v/>
      </c>
      <c r="O2129" s="15" t="str">
        <f>IFERROR(VLOOKUP(I2129,material!A:D,2,0),"")</f>
        <v/>
      </c>
    </row>
    <row r="2130">
      <c r="A2130" s="6"/>
      <c r="B2130" s="7"/>
      <c r="C2130" s="8" t="str">
        <f t="array" ref="C2130">IFERROR(INDEX(atlas!H:H,MATCH(A2130,atlas!C:C,0)),"")</f>
        <v/>
      </c>
      <c r="D2130" s="8" t="str">
        <f t="array" ref="D2130">IFERROR(INDEX(atlas!D:D,MATCH(A2130,atlas!C:C,0)),"")</f>
        <v/>
      </c>
      <c r="E2130" s="8" t="str">
        <f t="array" ref="E2130">IFERROR(INDEX(atlas!F:F,MATCH(A2130,atlas!C:C,0)),"")</f>
        <v/>
      </c>
      <c r="F2130" s="9"/>
      <c r="G2130" s="10"/>
      <c r="H2130" s="11"/>
      <c r="I2130" s="12" t="str">
        <f t="array" ref="I2130">IFERROR(INDEX(atlas!B:B,MATCH(A2130,atlas!C:C,0)),"")</f>
        <v/>
      </c>
      <c r="J2130" s="8" t="str">
        <f>IFERROR(VLOOKUP(F2130,tecnica!A:B,2,0),"")</f>
        <v/>
      </c>
      <c r="K2130" s="8" t="str">
        <f>IFERROR(VLOOKUP(J2130,tecnica!B:C,2,0),"")</f>
        <v/>
      </c>
      <c r="L2130" s="13"/>
      <c r="M2130" s="14" t="str">
        <f>IFERROR(VLOOKUP(I2130,material!A:D,4,0),"")</f>
        <v/>
      </c>
      <c r="N2130" s="14" t="str">
        <f t="shared" si="1"/>
        <v/>
      </c>
      <c r="O2130" s="15" t="str">
        <f>IFERROR(VLOOKUP(I2130,material!A:D,2,0),"")</f>
        <v/>
      </c>
    </row>
    <row r="2131">
      <c r="A2131" s="6"/>
      <c r="B2131" s="7"/>
      <c r="C2131" s="8" t="str">
        <f t="array" ref="C2131">IFERROR(INDEX(atlas!H:H,MATCH(A2131,atlas!C:C,0)),"")</f>
        <v/>
      </c>
      <c r="D2131" s="8" t="str">
        <f t="array" ref="D2131">IFERROR(INDEX(atlas!D:D,MATCH(A2131,atlas!C:C,0)),"")</f>
        <v/>
      </c>
      <c r="E2131" s="8" t="str">
        <f t="array" ref="E2131">IFERROR(INDEX(atlas!F:F,MATCH(A2131,atlas!C:C,0)),"")</f>
        <v/>
      </c>
      <c r="F2131" s="9"/>
      <c r="G2131" s="10"/>
      <c r="H2131" s="11"/>
      <c r="I2131" s="12" t="str">
        <f t="array" ref="I2131">IFERROR(INDEX(atlas!B:B,MATCH(A2131,atlas!C:C,0)),"")</f>
        <v/>
      </c>
      <c r="J2131" s="8" t="str">
        <f>IFERROR(VLOOKUP(F2131,tecnica!A:B,2,0),"")</f>
        <v/>
      </c>
      <c r="K2131" s="8" t="str">
        <f>IFERROR(VLOOKUP(J2131,tecnica!B:C,2,0),"")</f>
        <v/>
      </c>
      <c r="L2131" s="13"/>
      <c r="M2131" s="14" t="str">
        <f>IFERROR(VLOOKUP(I2131,material!A:D,4,0),"")</f>
        <v/>
      </c>
      <c r="N2131" s="14" t="str">
        <f t="shared" si="1"/>
        <v/>
      </c>
      <c r="O2131" s="15" t="str">
        <f>IFERROR(VLOOKUP(I2131,material!A:D,2,0),"")</f>
        <v/>
      </c>
    </row>
    <row r="2132">
      <c r="A2132" s="6"/>
      <c r="B2132" s="7"/>
      <c r="C2132" s="8" t="str">
        <f t="array" ref="C2132">IFERROR(INDEX(atlas!H:H,MATCH(A2132,atlas!C:C,0)),"")</f>
        <v/>
      </c>
      <c r="D2132" s="8" t="str">
        <f t="array" ref="D2132">IFERROR(INDEX(atlas!D:D,MATCH(A2132,atlas!C:C,0)),"")</f>
        <v/>
      </c>
      <c r="E2132" s="8" t="str">
        <f t="array" ref="E2132">IFERROR(INDEX(atlas!F:F,MATCH(A2132,atlas!C:C,0)),"")</f>
        <v/>
      </c>
      <c r="F2132" s="9"/>
      <c r="G2132" s="10"/>
      <c r="H2132" s="11"/>
      <c r="I2132" s="12" t="str">
        <f t="array" ref="I2132">IFERROR(INDEX(atlas!B:B,MATCH(A2132,atlas!C:C,0)),"")</f>
        <v/>
      </c>
      <c r="J2132" s="8" t="str">
        <f>IFERROR(VLOOKUP(F2132,tecnica!A:B,2,0),"")</f>
        <v/>
      </c>
      <c r="K2132" s="8" t="str">
        <f>IFERROR(VLOOKUP(J2132,tecnica!B:C,2,0),"")</f>
        <v/>
      </c>
      <c r="L2132" s="13"/>
      <c r="M2132" s="14" t="str">
        <f>IFERROR(VLOOKUP(I2132,material!A:D,4,0),"")</f>
        <v/>
      </c>
      <c r="N2132" s="14" t="str">
        <f t="shared" si="1"/>
        <v/>
      </c>
      <c r="O2132" s="15" t="str">
        <f>IFERROR(VLOOKUP(I2132,material!A:D,2,0),"")</f>
        <v/>
      </c>
    </row>
    <row r="2133">
      <c r="A2133" s="6"/>
      <c r="B2133" s="7"/>
      <c r="C2133" s="8" t="str">
        <f t="array" ref="C2133">IFERROR(INDEX(atlas!H:H,MATCH(A2133,atlas!C:C,0)),"")</f>
        <v/>
      </c>
      <c r="D2133" s="8" t="str">
        <f t="array" ref="D2133">IFERROR(INDEX(atlas!D:D,MATCH(A2133,atlas!C:C,0)),"")</f>
        <v/>
      </c>
      <c r="E2133" s="8" t="str">
        <f t="array" ref="E2133">IFERROR(INDEX(atlas!F:F,MATCH(A2133,atlas!C:C,0)),"")</f>
        <v/>
      </c>
      <c r="F2133" s="9"/>
      <c r="G2133" s="10"/>
      <c r="H2133" s="11"/>
      <c r="I2133" s="12" t="str">
        <f t="array" ref="I2133">IFERROR(INDEX(atlas!B:B,MATCH(A2133,atlas!C:C,0)),"")</f>
        <v/>
      </c>
      <c r="J2133" s="8" t="str">
        <f>IFERROR(VLOOKUP(F2133,tecnica!A:B,2,0),"")</f>
        <v/>
      </c>
      <c r="K2133" s="8" t="str">
        <f>IFERROR(VLOOKUP(J2133,tecnica!B:C,2,0),"")</f>
        <v/>
      </c>
      <c r="L2133" s="13"/>
      <c r="M2133" s="14" t="str">
        <f>IFERROR(VLOOKUP(I2133,material!A:D,4,0),"")</f>
        <v/>
      </c>
      <c r="N2133" s="14" t="str">
        <f t="shared" si="1"/>
        <v/>
      </c>
      <c r="O2133" s="15" t="str">
        <f>IFERROR(VLOOKUP(I2133,material!A:D,2,0),"")</f>
        <v/>
      </c>
    </row>
    <row r="2134">
      <c r="A2134" s="6"/>
      <c r="B2134" s="7"/>
      <c r="C2134" s="8" t="str">
        <f t="array" ref="C2134">IFERROR(INDEX(atlas!H:H,MATCH(A2134,atlas!C:C,0)),"")</f>
        <v/>
      </c>
      <c r="D2134" s="8" t="str">
        <f t="array" ref="D2134">IFERROR(INDEX(atlas!D:D,MATCH(A2134,atlas!C:C,0)),"")</f>
        <v/>
      </c>
      <c r="E2134" s="8" t="str">
        <f t="array" ref="E2134">IFERROR(INDEX(atlas!F:F,MATCH(A2134,atlas!C:C,0)),"")</f>
        <v/>
      </c>
      <c r="F2134" s="9"/>
      <c r="G2134" s="10"/>
      <c r="H2134" s="11"/>
      <c r="I2134" s="12" t="str">
        <f t="array" ref="I2134">IFERROR(INDEX(atlas!B:B,MATCH(A2134,atlas!C:C,0)),"")</f>
        <v/>
      </c>
      <c r="J2134" s="8" t="str">
        <f>IFERROR(VLOOKUP(F2134,tecnica!A:B,2,0),"")</f>
        <v/>
      </c>
      <c r="K2134" s="8" t="str">
        <f>IFERROR(VLOOKUP(J2134,tecnica!B:C,2,0),"")</f>
        <v/>
      </c>
      <c r="L2134" s="13"/>
      <c r="M2134" s="14" t="str">
        <f>IFERROR(VLOOKUP(I2134,material!A:D,4,0),"")</f>
        <v/>
      </c>
      <c r="N2134" s="14" t="str">
        <f t="shared" si="1"/>
        <v/>
      </c>
      <c r="O2134" s="15" t="str">
        <f>IFERROR(VLOOKUP(I2134,material!A:D,2,0),"")</f>
        <v/>
      </c>
    </row>
    <row r="2135">
      <c r="A2135" s="6"/>
      <c r="B2135" s="7"/>
      <c r="C2135" s="8" t="str">
        <f t="array" ref="C2135">IFERROR(INDEX(atlas!H:H,MATCH(A2135,atlas!C:C,0)),"")</f>
        <v/>
      </c>
      <c r="D2135" s="8" t="str">
        <f t="array" ref="D2135">IFERROR(INDEX(atlas!D:D,MATCH(A2135,atlas!C:C,0)),"")</f>
        <v/>
      </c>
      <c r="E2135" s="8" t="str">
        <f t="array" ref="E2135">IFERROR(INDEX(atlas!F:F,MATCH(A2135,atlas!C:C,0)),"")</f>
        <v/>
      </c>
      <c r="F2135" s="9"/>
      <c r="G2135" s="10"/>
      <c r="H2135" s="11"/>
      <c r="I2135" s="12" t="str">
        <f t="array" ref="I2135">IFERROR(INDEX(atlas!B:B,MATCH(A2135,atlas!C:C,0)),"")</f>
        <v/>
      </c>
      <c r="J2135" s="8" t="str">
        <f>IFERROR(VLOOKUP(F2135,tecnica!A:B,2,0),"")</f>
        <v/>
      </c>
      <c r="K2135" s="8" t="str">
        <f>IFERROR(VLOOKUP(J2135,tecnica!B:C,2,0),"")</f>
        <v/>
      </c>
      <c r="L2135" s="13"/>
      <c r="M2135" s="14" t="str">
        <f>IFERROR(VLOOKUP(I2135,material!A:D,4,0),"")</f>
        <v/>
      </c>
      <c r="N2135" s="14" t="str">
        <f t="shared" si="1"/>
        <v/>
      </c>
      <c r="O2135" s="15" t="str">
        <f>IFERROR(VLOOKUP(I2135,material!A:D,2,0),"")</f>
        <v/>
      </c>
    </row>
    <row r="2136">
      <c r="A2136" s="6"/>
      <c r="B2136" s="7"/>
      <c r="C2136" s="8" t="str">
        <f t="array" ref="C2136">IFERROR(INDEX(atlas!H:H,MATCH(A2136,atlas!C:C,0)),"")</f>
        <v/>
      </c>
      <c r="D2136" s="8" t="str">
        <f t="array" ref="D2136">IFERROR(INDEX(atlas!D:D,MATCH(A2136,atlas!C:C,0)),"")</f>
        <v/>
      </c>
      <c r="E2136" s="8" t="str">
        <f t="array" ref="E2136">IFERROR(INDEX(atlas!F:F,MATCH(A2136,atlas!C:C,0)),"")</f>
        <v/>
      </c>
      <c r="F2136" s="9"/>
      <c r="G2136" s="10"/>
      <c r="H2136" s="11"/>
      <c r="I2136" s="12" t="str">
        <f t="array" ref="I2136">IFERROR(INDEX(atlas!B:B,MATCH(A2136,atlas!C:C,0)),"")</f>
        <v/>
      </c>
      <c r="J2136" s="8" t="str">
        <f>IFERROR(VLOOKUP(F2136,tecnica!A:B,2,0),"")</f>
        <v/>
      </c>
      <c r="K2136" s="8" t="str">
        <f>IFERROR(VLOOKUP(J2136,tecnica!B:C,2,0),"")</f>
        <v/>
      </c>
      <c r="L2136" s="13"/>
      <c r="M2136" s="14" t="str">
        <f>IFERROR(VLOOKUP(I2136,material!A:D,4,0),"")</f>
        <v/>
      </c>
      <c r="N2136" s="14" t="str">
        <f t="shared" si="1"/>
        <v/>
      </c>
      <c r="O2136" s="15" t="str">
        <f>IFERROR(VLOOKUP(I2136,material!A:D,2,0),"")</f>
        <v/>
      </c>
    </row>
    <row r="2137">
      <c r="A2137" s="6"/>
      <c r="B2137" s="7"/>
      <c r="C2137" s="8" t="str">
        <f t="array" ref="C2137">IFERROR(INDEX(atlas!H:H,MATCH(A2137,atlas!C:C,0)),"")</f>
        <v/>
      </c>
      <c r="D2137" s="8" t="str">
        <f t="array" ref="D2137">IFERROR(INDEX(atlas!D:D,MATCH(A2137,atlas!C:C,0)),"")</f>
        <v/>
      </c>
      <c r="E2137" s="8" t="str">
        <f t="array" ref="E2137">IFERROR(INDEX(atlas!F:F,MATCH(A2137,atlas!C:C,0)),"")</f>
        <v/>
      </c>
      <c r="F2137" s="9"/>
      <c r="G2137" s="10"/>
      <c r="H2137" s="11"/>
      <c r="I2137" s="12" t="str">
        <f t="array" ref="I2137">IFERROR(INDEX(atlas!B:B,MATCH(A2137,atlas!C:C,0)),"")</f>
        <v/>
      </c>
      <c r="J2137" s="8" t="str">
        <f>IFERROR(VLOOKUP(F2137,tecnica!A:B,2,0),"")</f>
        <v/>
      </c>
      <c r="K2137" s="8" t="str">
        <f>IFERROR(VLOOKUP(J2137,tecnica!B:C,2,0),"")</f>
        <v/>
      </c>
      <c r="L2137" s="13"/>
      <c r="M2137" s="14" t="str">
        <f>IFERROR(VLOOKUP(I2137,material!A:D,4,0),"")</f>
        <v/>
      </c>
      <c r="N2137" s="14" t="str">
        <f t="shared" si="1"/>
        <v/>
      </c>
      <c r="O2137" s="15" t="str">
        <f>IFERROR(VLOOKUP(I2137,material!A:D,2,0),"")</f>
        <v/>
      </c>
    </row>
    <row r="2138">
      <c r="A2138" s="6"/>
      <c r="B2138" s="7"/>
      <c r="C2138" s="8" t="str">
        <f t="array" ref="C2138">IFERROR(INDEX(atlas!H:H,MATCH(A2138,atlas!C:C,0)),"")</f>
        <v/>
      </c>
      <c r="D2138" s="8" t="str">
        <f t="array" ref="D2138">IFERROR(INDEX(atlas!D:D,MATCH(A2138,atlas!C:C,0)),"")</f>
        <v/>
      </c>
      <c r="E2138" s="8" t="str">
        <f t="array" ref="E2138">IFERROR(INDEX(atlas!F:F,MATCH(A2138,atlas!C:C,0)),"")</f>
        <v/>
      </c>
      <c r="F2138" s="9"/>
      <c r="G2138" s="10"/>
      <c r="H2138" s="11"/>
      <c r="I2138" s="12" t="str">
        <f t="array" ref="I2138">IFERROR(INDEX(atlas!B:B,MATCH(A2138,atlas!C:C,0)),"")</f>
        <v/>
      </c>
      <c r="J2138" s="8" t="str">
        <f>IFERROR(VLOOKUP(F2138,tecnica!A:B,2,0),"")</f>
        <v/>
      </c>
      <c r="K2138" s="8" t="str">
        <f>IFERROR(VLOOKUP(J2138,tecnica!B:C,2,0),"")</f>
        <v/>
      </c>
      <c r="L2138" s="13"/>
      <c r="M2138" s="14" t="str">
        <f>IFERROR(VLOOKUP(I2138,material!A:D,4,0),"")</f>
        <v/>
      </c>
      <c r="N2138" s="14" t="str">
        <f t="shared" si="1"/>
        <v/>
      </c>
      <c r="O2138" s="15" t="str">
        <f>IFERROR(VLOOKUP(I2138,material!A:D,2,0),"")</f>
        <v/>
      </c>
    </row>
    <row r="2139">
      <c r="A2139" s="6"/>
      <c r="B2139" s="7"/>
      <c r="C2139" s="8" t="str">
        <f t="array" ref="C2139">IFERROR(INDEX(atlas!H:H,MATCH(A2139,atlas!C:C,0)),"")</f>
        <v/>
      </c>
      <c r="D2139" s="8" t="str">
        <f t="array" ref="D2139">IFERROR(INDEX(atlas!D:D,MATCH(A2139,atlas!C:C,0)),"")</f>
        <v/>
      </c>
      <c r="E2139" s="8" t="str">
        <f t="array" ref="E2139">IFERROR(INDEX(atlas!F:F,MATCH(A2139,atlas!C:C,0)),"")</f>
        <v/>
      </c>
      <c r="F2139" s="9"/>
      <c r="G2139" s="10"/>
      <c r="H2139" s="11"/>
      <c r="I2139" s="12" t="str">
        <f t="array" ref="I2139">IFERROR(INDEX(atlas!B:B,MATCH(A2139,atlas!C:C,0)),"")</f>
        <v/>
      </c>
      <c r="J2139" s="8" t="str">
        <f>IFERROR(VLOOKUP(F2139,tecnica!A:B,2,0),"")</f>
        <v/>
      </c>
      <c r="K2139" s="8" t="str">
        <f>IFERROR(VLOOKUP(J2139,tecnica!B:C,2,0),"")</f>
        <v/>
      </c>
      <c r="L2139" s="13"/>
      <c r="M2139" s="14" t="str">
        <f>IFERROR(VLOOKUP(I2139,material!A:D,4,0),"")</f>
        <v/>
      </c>
      <c r="N2139" s="14" t="str">
        <f t="shared" si="1"/>
        <v/>
      </c>
      <c r="O2139" s="15" t="str">
        <f>IFERROR(VLOOKUP(I2139,material!A:D,2,0),"")</f>
        <v/>
      </c>
    </row>
    <row r="2140">
      <c r="A2140" s="6"/>
      <c r="B2140" s="7"/>
      <c r="C2140" s="8" t="str">
        <f t="array" ref="C2140">IFERROR(INDEX(atlas!H:H,MATCH(A2140,atlas!C:C,0)),"")</f>
        <v/>
      </c>
      <c r="D2140" s="8" t="str">
        <f t="array" ref="D2140">IFERROR(INDEX(atlas!D:D,MATCH(A2140,atlas!C:C,0)),"")</f>
        <v/>
      </c>
      <c r="E2140" s="8" t="str">
        <f t="array" ref="E2140">IFERROR(INDEX(atlas!F:F,MATCH(A2140,atlas!C:C,0)),"")</f>
        <v/>
      </c>
      <c r="F2140" s="9"/>
      <c r="G2140" s="10"/>
      <c r="H2140" s="11"/>
      <c r="I2140" s="12" t="str">
        <f t="array" ref="I2140">IFERROR(INDEX(atlas!B:B,MATCH(A2140,atlas!C:C,0)),"")</f>
        <v/>
      </c>
      <c r="J2140" s="8" t="str">
        <f>IFERROR(VLOOKUP(F2140,tecnica!A:B,2,0),"")</f>
        <v/>
      </c>
      <c r="K2140" s="8" t="str">
        <f>IFERROR(VLOOKUP(J2140,tecnica!B:C,2,0),"")</f>
        <v/>
      </c>
      <c r="L2140" s="13"/>
      <c r="M2140" s="14" t="str">
        <f>IFERROR(VLOOKUP(I2140,material!A:D,4,0),"")</f>
        <v/>
      </c>
      <c r="N2140" s="14" t="str">
        <f t="shared" si="1"/>
        <v/>
      </c>
      <c r="O2140" s="15" t="str">
        <f>IFERROR(VLOOKUP(I2140,material!A:D,2,0),"")</f>
        <v/>
      </c>
    </row>
    <row r="2141">
      <c r="A2141" s="6"/>
      <c r="B2141" s="7"/>
      <c r="C2141" s="8" t="str">
        <f t="array" ref="C2141">IFERROR(INDEX(atlas!H:H,MATCH(A2141,atlas!C:C,0)),"")</f>
        <v/>
      </c>
      <c r="D2141" s="8" t="str">
        <f t="array" ref="D2141">IFERROR(INDEX(atlas!D:D,MATCH(A2141,atlas!C:C,0)),"")</f>
        <v/>
      </c>
      <c r="E2141" s="8" t="str">
        <f t="array" ref="E2141">IFERROR(INDEX(atlas!F:F,MATCH(A2141,atlas!C:C,0)),"")</f>
        <v/>
      </c>
      <c r="F2141" s="9"/>
      <c r="G2141" s="10"/>
      <c r="H2141" s="11"/>
      <c r="I2141" s="12" t="str">
        <f t="array" ref="I2141">IFERROR(INDEX(atlas!B:B,MATCH(A2141,atlas!C:C,0)),"")</f>
        <v/>
      </c>
      <c r="J2141" s="8" t="str">
        <f>IFERROR(VLOOKUP(F2141,tecnica!A:B,2,0),"")</f>
        <v/>
      </c>
      <c r="K2141" s="8" t="str">
        <f>IFERROR(VLOOKUP(J2141,tecnica!B:C,2,0),"")</f>
        <v/>
      </c>
      <c r="L2141" s="13"/>
      <c r="M2141" s="14" t="str">
        <f>IFERROR(VLOOKUP(I2141,material!A:D,4,0),"")</f>
        <v/>
      </c>
      <c r="N2141" s="14" t="str">
        <f t="shared" si="1"/>
        <v/>
      </c>
      <c r="O2141" s="15" t="str">
        <f>IFERROR(VLOOKUP(I2141,material!A:D,2,0),"")</f>
        <v/>
      </c>
    </row>
    <row r="2142">
      <c r="A2142" s="6"/>
      <c r="B2142" s="7"/>
      <c r="C2142" s="8" t="str">
        <f t="array" ref="C2142">IFERROR(INDEX(atlas!H:H,MATCH(A2142,atlas!C:C,0)),"")</f>
        <v/>
      </c>
      <c r="D2142" s="8" t="str">
        <f t="array" ref="D2142">IFERROR(INDEX(atlas!D:D,MATCH(A2142,atlas!C:C,0)),"")</f>
        <v/>
      </c>
      <c r="E2142" s="8" t="str">
        <f t="array" ref="E2142">IFERROR(INDEX(atlas!F:F,MATCH(A2142,atlas!C:C,0)),"")</f>
        <v/>
      </c>
      <c r="F2142" s="9"/>
      <c r="G2142" s="10"/>
      <c r="H2142" s="11"/>
      <c r="I2142" s="12" t="str">
        <f t="array" ref="I2142">IFERROR(INDEX(atlas!B:B,MATCH(A2142,atlas!C:C,0)),"")</f>
        <v/>
      </c>
      <c r="J2142" s="8" t="str">
        <f>IFERROR(VLOOKUP(F2142,tecnica!A:B,2,0),"")</f>
        <v/>
      </c>
      <c r="K2142" s="8" t="str">
        <f>IFERROR(VLOOKUP(J2142,tecnica!B:C,2,0),"")</f>
        <v/>
      </c>
      <c r="L2142" s="13"/>
      <c r="M2142" s="14" t="str">
        <f>IFERROR(VLOOKUP(I2142,material!A:D,4,0),"")</f>
        <v/>
      </c>
      <c r="N2142" s="14" t="str">
        <f t="shared" si="1"/>
        <v/>
      </c>
      <c r="O2142" s="15" t="str">
        <f>IFERROR(VLOOKUP(I2142,material!A:D,2,0),"")</f>
        <v/>
      </c>
    </row>
    <row r="2143">
      <c r="A2143" s="6"/>
      <c r="B2143" s="7"/>
      <c r="C2143" s="8" t="str">
        <f t="array" ref="C2143">IFERROR(INDEX(atlas!H:H,MATCH(A2143,atlas!C:C,0)),"")</f>
        <v/>
      </c>
      <c r="D2143" s="8" t="str">
        <f t="array" ref="D2143">IFERROR(INDEX(atlas!D:D,MATCH(A2143,atlas!C:C,0)),"")</f>
        <v/>
      </c>
      <c r="E2143" s="8" t="str">
        <f t="array" ref="E2143">IFERROR(INDEX(atlas!F:F,MATCH(A2143,atlas!C:C,0)),"")</f>
        <v/>
      </c>
      <c r="F2143" s="9"/>
      <c r="G2143" s="10"/>
      <c r="H2143" s="11"/>
      <c r="I2143" s="12" t="str">
        <f t="array" ref="I2143">IFERROR(INDEX(atlas!B:B,MATCH(A2143,atlas!C:C,0)),"")</f>
        <v/>
      </c>
      <c r="J2143" s="8" t="str">
        <f>IFERROR(VLOOKUP(F2143,tecnica!A:B,2,0),"")</f>
        <v/>
      </c>
      <c r="K2143" s="8" t="str">
        <f>IFERROR(VLOOKUP(J2143,tecnica!B:C,2,0),"")</f>
        <v/>
      </c>
      <c r="L2143" s="13"/>
      <c r="M2143" s="14" t="str">
        <f>IFERROR(VLOOKUP(I2143,material!A:D,4,0),"")</f>
        <v/>
      </c>
      <c r="N2143" s="14" t="str">
        <f t="shared" si="1"/>
        <v/>
      </c>
      <c r="O2143" s="15" t="str">
        <f>IFERROR(VLOOKUP(I2143,material!A:D,2,0),"")</f>
        <v/>
      </c>
    </row>
    <row r="2144">
      <c r="A2144" s="6"/>
      <c r="B2144" s="7"/>
      <c r="C2144" s="8" t="str">
        <f t="array" ref="C2144">IFERROR(INDEX(atlas!H:H,MATCH(A2144,atlas!C:C,0)),"")</f>
        <v/>
      </c>
      <c r="D2144" s="8" t="str">
        <f t="array" ref="D2144">IFERROR(INDEX(atlas!D:D,MATCH(A2144,atlas!C:C,0)),"")</f>
        <v/>
      </c>
      <c r="E2144" s="8" t="str">
        <f t="array" ref="E2144">IFERROR(INDEX(atlas!F:F,MATCH(A2144,atlas!C:C,0)),"")</f>
        <v/>
      </c>
      <c r="F2144" s="9"/>
      <c r="G2144" s="10"/>
      <c r="H2144" s="11"/>
      <c r="I2144" s="12" t="str">
        <f t="array" ref="I2144">IFERROR(INDEX(atlas!B:B,MATCH(A2144,atlas!C:C,0)),"")</f>
        <v/>
      </c>
      <c r="J2144" s="8" t="str">
        <f>IFERROR(VLOOKUP(F2144,tecnica!A:B,2,0),"")</f>
        <v/>
      </c>
      <c r="K2144" s="8" t="str">
        <f>IFERROR(VLOOKUP(J2144,tecnica!B:C,2,0),"")</f>
        <v/>
      </c>
      <c r="L2144" s="13"/>
      <c r="M2144" s="14" t="str">
        <f>IFERROR(VLOOKUP(I2144,material!A:D,4,0),"")</f>
        <v/>
      </c>
      <c r="N2144" s="14" t="str">
        <f t="shared" si="1"/>
        <v/>
      </c>
      <c r="O2144" s="15" t="str">
        <f>IFERROR(VLOOKUP(I2144,material!A:D,2,0),"")</f>
        <v/>
      </c>
    </row>
    <row r="2145">
      <c r="A2145" s="6"/>
      <c r="B2145" s="7"/>
      <c r="C2145" s="8" t="str">
        <f t="array" ref="C2145">IFERROR(INDEX(atlas!H:H,MATCH(A2145,atlas!C:C,0)),"")</f>
        <v/>
      </c>
      <c r="D2145" s="8" t="str">
        <f t="array" ref="D2145">IFERROR(INDEX(atlas!D:D,MATCH(A2145,atlas!C:C,0)),"")</f>
        <v/>
      </c>
      <c r="E2145" s="8" t="str">
        <f t="array" ref="E2145">IFERROR(INDEX(atlas!F:F,MATCH(A2145,atlas!C:C,0)),"")</f>
        <v/>
      </c>
      <c r="F2145" s="9"/>
      <c r="G2145" s="10"/>
      <c r="H2145" s="11"/>
      <c r="I2145" s="12" t="str">
        <f t="array" ref="I2145">IFERROR(INDEX(atlas!B:B,MATCH(A2145,atlas!C:C,0)),"")</f>
        <v/>
      </c>
      <c r="J2145" s="8" t="str">
        <f>IFERROR(VLOOKUP(F2145,tecnica!A:B,2,0),"")</f>
        <v/>
      </c>
      <c r="K2145" s="8" t="str">
        <f>IFERROR(VLOOKUP(J2145,tecnica!B:C,2,0),"")</f>
        <v/>
      </c>
      <c r="L2145" s="13"/>
      <c r="M2145" s="14" t="str">
        <f>IFERROR(VLOOKUP(I2145,material!A:D,4,0),"")</f>
        <v/>
      </c>
      <c r="N2145" s="14" t="str">
        <f t="shared" si="1"/>
        <v/>
      </c>
      <c r="O2145" s="15" t="str">
        <f>IFERROR(VLOOKUP(I2145,material!A:D,2,0),"")</f>
        <v/>
      </c>
    </row>
    <row r="2146">
      <c r="A2146" s="6"/>
      <c r="B2146" s="7"/>
      <c r="C2146" s="8" t="str">
        <f t="array" ref="C2146">IFERROR(INDEX(atlas!H:H,MATCH(A2146,atlas!C:C,0)),"")</f>
        <v/>
      </c>
      <c r="D2146" s="8" t="str">
        <f t="array" ref="D2146">IFERROR(INDEX(atlas!D:D,MATCH(A2146,atlas!C:C,0)),"")</f>
        <v/>
      </c>
      <c r="E2146" s="8" t="str">
        <f t="array" ref="E2146">IFERROR(INDEX(atlas!F:F,MATCH(A2146,atlas!C:C,0)),"")</f>
        <v/>
      </c>
      <c r="F2146" s="9"/>
      <c r="G2146" s="10"/>
      <c r="H2146" s="11"/>
      <c r="I2146" s="12" t="str">
        <f t="array" ref="I2146">IFERROR(INDEX(atlas!B:B,MATCH(A2146,atlas!C:C,0)),"")</f>
        <v/>
      </c>
      <c r="J2146" s="8" t="str">
        <f>IFERROR(VLOOKUP(F2146,tecnica!A:B,2,0),"")</f>
        <v/>
      </c>
      <c r="K2146" s="8" t="str">
        <f>IFERROR(VLOOKUP(J2146,tecnica!B:C,2,0),"")</f>
        <v/>
      </c>
      <c r="L2146" s="13"/>
      <c r="M2146" s="14" t="str">
        <f>IFERROR(VLOOKUP(I2146,material!A:D,4,0),"")</f>
        <v/>
      </c>
      <c r="N2146" s="14" t="str">
        <f t="shared" si="1"/>
        <v/>
      </c>
      <c r="O2146" s="15" t="str">
        <f>IFERROR(VLOOKUP(I2146,material!A:D,2,0),"")</f>
        <v/>
      </c>
    </row>
    <row r="2147">
      <c r="A2147" s="6"/>
      <c r="B2147" s="7"/>
      <c r="C2147" s="8" t="str">
        <f t="array" ref="C2147">IFERROR(INDEX(atlas!H:H,MATCH(A2147,atlas!C:C,0)),"")</f>
        <v/>
      </c>
      <c r="D2147" s="8" t="str">
        <f t="array" ref="D2147">IFERROR(INDEX(atlas!D:D,MATCH(A2147,atlas!C:C,0)),"")</f>
        <v/>
      </c>
      <c r="E2147" s="8" t="str">
        <f t="array" ref="E2147">IFERROR(INDEX(atlas!F:F,MATCH(A2147,atlas!C:C,0)),"")</f>
        <v/>
      </c>
      <c r="F2147" s="9"/>
      <c r="G2147" s="10"/>
      <c r="H2147" s="11"/>
      <c r="I2147" s="12" t="str">
        <f t="array" ref="I2147">IFERROR(INDEX(atlas!B:B,MATCH(A2147,atlas!C:C,0)),"")</f>
        <v/>
      </c>
      <c r="J2147" s="8" t="str">
        <f>IFERROR(VLOOKUP(F2147,tecnica!A:B,2,0),"")</f>
        <v/>
      </c>
      <c r="K2147" s="8" t="str">
        <f>IFERROR(VLOOKUP(J2147,tecnica!B:C,2,0),"")</f>
        <v/>
      </c>
      <c r="L2147" s="13"/>
      <c r="M2147" s="14" t="str">
        <f>IFERROR(VLOOKUP(I2147,material!A:D,4,0),"")</f>
        <v/>
      </c>
      <c r="N2147" s="14" t="str">
        <f t="shared" si="1"/>
        <v/>
      </c>
      <c r="O2147" s="15" t="str">
        <f>IFERROR(VLOOKUP(I2147,material!A:D,2,0),"")</f>
        <v/>
      </c>
    </row>
    <row r="2148">
      <c r="A2148" s="6"/>
      <c r="B2148" s="7"/>
      <c r="C2148" s="8" t="str">
        <f t="array" ref="C2148">IFERROR(INDEX(atlas!H:H,MATCH(A2148,atlas!C:C,0)),"")</f>
        <v/>
      </c>
      <c r="D2148" s="8" t="str">
        <f t="array" ref="D2148">IFERROR(INDEX(atlas!D:D,MATCH(A2148,atlas!C:C,0)),"")</f>
        <v/>
      </c>
      <c r="E2148" s="8" t="str">
        <f t="array" ref="E2148">IFERROR(INDEX(atlas!F:F,MATCH(A2148,atlas!C:C,0)),"")</f>
        <v/>
      </c>
      <c r="F2148" s="9"/>
      <c r="G2148" s="10"/>
      <c r="H2148" s="11"/>
      <c r="I2148" s="12" t="str">
        <f t="array" ref="I2148">IFERROR(INDEX(atlas!B:B,MATCH(A2148,atlas!C:C,0)),"")</f>
        <v/>
      </c>
      <c r="J2148" s="8" t="str">
        <f>IFERROR(VLOOKUP(F2148,tecnica!A:B,2,0),"")</f>
        <v/>
      </c>
      <c r="K2148" s="8" t="str">
        <f>IFERROR(VLOOKUP(J2148,tecnica!B:C,2,0),"")</f>
        <v/>
      </c>
      <c r="L2148" s="13"/>
      <c r="M2148" s="14" t="str">
        <f>IFERROR(VLOOKUP(I2148,material!A:D,4,0),"")</f>
        <v/>
      </c>
      <c r="N2148" s="14" t="str">
        <f t="shared" si="1"/>
        <v/>
      </c>
      <c r="O2148" s="15" t="str">
        <f>IFERROR(VLOOKUP(I2148,material!A:D,2,0),"")</f>
        <v/>
      </c>
    </row>
    <row r="2149">
      <c r="A2149" s="6"/>
      <c r="B2149" s="7"/>
      <c r="C2149" s="8" t="str">
        <f t="array" ref="C2149">IFERROR(INDEX(atlas!H:H,MATCH(A2149,atlas!C:C,0)),"")</f>
        <v/>
      </c>
      <c r="D2149" s="8" t="str">
        <f t="array" ref="D2149">IFERROR(INDEX(atlas!D:D,MATCH(A2149,atlas!C:C,0)),"")</f>
        <v/>
      </c>
      <c r="E2149" s="8" t="str">
        <f t="array" ref="E2149">IFERROR(INDEX(atlas!F:F,MATCH(A2149,atlas!C:C,0)),"")</f>
        <v/>
      </c>
      <c r="F2149" s="9"/>
      <c r="G2149" s="10"/>
      <c r="H2149" s="11"/>
      <c r="I2149" s="12" t="str">
        <f t="array" ref="I2149">IFERROR(INDEX(atlas!B:B,MATCH(A2149,atlas!C:C,0)),"")</f>
        <v/>
      </c>
      <c r="J2149" s="8" t="str">
        <f>IFERROR(VLOOKUP(F2149,tecnica!A:B,2,0),"")</f>
        <v/>
      </c>
      <c r="K2149" s="8" t="str">
        <f>IFERROR(VLOOKUP(J2149,tecnica!B:C,2,0),"")</f>
        <v/>
      </c>
      <c r="L2149" s="13"/>
      <c r="M2149" s="14" t="str">
        <f>IFERROR(VLOOKUP(I2149,material!A:D,4,0),"")</f>
        <v/>
      </c>
      <c r="N2149" s="14" t="str">
        <f t="shared" si="1"/>
        <v/>
      </c>
      <c r="O2149" s="15" t="str">
        <f>IFERROR(VLOOKUP(I2149,material!A:D,2,0),"")</f>
        <v/>
      </c>
    </row>
    <row r="2150">
      <c r="A2150" s="6"/>
      <c r="B2150" s="7"/>
      <c r="C2150" s="8" t="str">
        <f t="array" ref="C2150">IFERROR(INDEX(atlas!H:H,MATCH(A2150,atlas!C:C,0)),"")</f>
        <v/>
      </c>
      <c r="D2150" s="8" t="str">
        <f t="array" ref="D2150">IFERROR(INDEX(atlas!D:D,MATCH(A2150,atlas!C:C,0)),"")</f>
        <v/>
      </c>
      <c r="E2150" s="8" t="str">
        <f t="array" ref="E2150">IFERROR(INDEX(atlas!F:F,MATCH(A2150,atlas!C:C,0)),"")</f>
        <v/>
      </c>
      <c r="F2150" s="9"/>
      <c r="G2150" s="10"/>
      <c r="H2150" s="11"/>
      <c r="I2150" s="12" t="str">
        <f t="array" ref="I2150">IFERROR(INDEX(atlas!B:B,MATCH(A2150,atlas!C:C,0)),"")</f>
        <v/>
      </c>
      <c r="J2150" s="8" t="str">
        <f>IFERROR(VLOOKUP(F2150,tecnica!A:B,2,0),"")</f>
        <v/>
      </c>
      <c r="K2150" s="8" t="str">
        <f>IFERROR(VLOOKUP(J2150,tecnica!B:C,2,0),"")</f>
        <v/>
      </c>
      <c r="L2150" s="13"/>
      <c r="M2150" s="14" t="str">
        <f>IFERROR(VLOOKUP(I2150,material!A:D,4,0),"")</f>
        <v/>
      </c>
      <c r="N2150" s="14" t="str">
        <f t="shared" si="1"/>
        <v/>
      </c>
      <c r="O2150" s="15" t="str">
        <f>IFERROR(VLOOKUP(I2150,material!A:D,2,0),"")</f>
        <v/>
      </c>
    </row>
    <row r="2151">
      <c r="A2151" s="6"/>
      <c r="B2151" s="7"/>
      <c r="C2151" s="8" t="str">
        <f t="array" ref="C2151">IFERROR(INDEX(atlas!H:H,MATCH(A2151,atlas!C:C,0)),"")</f>
        <v/>
      </c>
      <c r="D2151" s="8" t="str">
        <f t="array" ref="D2151">IFERROR(INDEX(atlas!D:D,MATCH(A2151,atlas!C:C,0)),"")</f>
        <v/>
      </c>
      <c r="E2151" s="8" t="str">
        <f t="array" ref="E2151">IFERROR(INDEX(atlas!F:F,MATCH(A2151,atlas!C:C,0)),"")</f>
        <v/>
      </c>
      <c r="F2151" s="9"/>
      <c r="G2151" s="10"/>
      <c r="H2151" s="11"/>
      <c r="I2151" s="12" t="str">
        <f t="array" ref="I2151">IFERROR(INDEX(atlas!B:B,MATCH(A2151,atlas!C:C,0)),"")</f>
        <v/>
      </c>
      <c r="J2151" s="8" t="str">
        <f>IFERROR(VLOOKUP(F2151,tecnica!A:B,2,0),"")</f>
        <v/>
      </c>
      <c r="K2151" s="8" t="str">
        <f>IFERROR(VLOOKUP(J2151,tecnica!B:C,2,0),"")</f>
        <v/>
      </c>
      <c r="L2151" s="13"/>
      <c r="M2151" s="14" t="str">
        <f>IFERROR(VLOOKUP(I2151,material!A:D,4,0),"")</f>
        <v/>
      </c>
      <c r="N2151" s="14" t="str">
        <f t="shared" si="1"/>
        <v/>
      </c>
      <c r="O2151" s="15" t="str">
        <f>IFERROR(VLOOKUP(I2151,material!A:D,2,0),"")</f>
        <v/>
      </c>
    </row>
    <row r="2152">
      <c r="A2152" s="6"/>
      <c r="B2152" s="7"/>
      <c r="C2152" s="8" t="str">
        <f t="array" ref="C2152">IFERROR(INDEX(atlas!H:H,MATCH(A2152,atlas!C:C,0)),"")</f>
        <v/>
      </c>
      <c r="D2152" s="8" t="str">
        <f t="array" ref="D2152">IFERROR(INDEX(atlas!D:D,MATCH(A2152,atlas!C:C,0)),"")</f>
        <v/>
      </c>
      <c r="E2152" s="8" t="str">
        <f t="array" ref="E2152">IFERROR(INDEX(atlas!F:F,MATCH(A2152,atlas!C:C,0)),"")</f>
        <v/>
      </c>
      <c r="F2152" s="9"/>
      <c r="G2152" s="10"/>
      <c r="H2152" s="11"/>
      <c r="I2152" s="12" t="str">
        <f t="array" ref="I2152">IFERROR(INDEX(atlas!B:B,MATCH(A2152,atlas!C:C,0)),"")</f>
        <v/>
      </c>
      <c r="J2152" s="8" t="str">
        <f>IFERROR(VLOOKUP(F2152,tecnica!A:B,2,0),"")</f>
        <v/>
      </c>
      <c r="K2152" s="8" t="str">
        <f>IFERROR(VLOOKUP(J2152,tecnica!B:C,2,0),"")</f>
        <v/>
      </c>
      <c r="L2152" s="13"/>
      <c r="M2152" s="14" t="str">
        <f>IFERROR(VLOOKUP(I2152,material!A:D,4,0),"")</f>
        <v/>
      </c>
      <c r="N2152" s="14" t="str">
        <f t="shared" si="1"/>
        <v/>
      </c>
      <c r="O2152" s="15" t="str">
        <f>IFERROR(VLOOKUP(I2152,material!A:D,2,0),"")</f>
        <v/>
      </c>
    </row>
    <row r="2153">
      <c r="A2153" s="6"/>
      <c r="B2153" s="7"/>
      <c r="C2153" s="8" t="str">
        <f t="array" ref="C2153">IFERROR(INDEX(atlas!H:H,MATCH(A2153,atlas!C:C,0)),"")</f>
        <v/>
      </c>
      <c r="D2153" s="8" t="str">
        <f t="array" ref="D2153">IFERROR(INDEX(atlas!D:D,MATCH(A2153,atlas!C:C,0)),"")</f>
        <v/>
      </c>
      <c r="E2153" s="8" t="str">
        <f t="array" ref="E2153">IFERROR(INDEX(atlas!F:F,MATCH(A2153,atlas!C:C,0)),"")</f>
        <v/>
      </c>
      <c r="F2153" s="9"/>
      <c r="G2153" s="10"/>
      <c r="H2153" s="11"/>
      <c r="I2153" s="12" t="str">
        <f t="array" ref="I2153">IFERROR(INDEX(atlas!B:B,MATCH(A2153,atlas!C:C,0)),"")</f>
        <v/>
      </c>
      <c r="J2153" s="8" t="str">
        <f>IFERROR(VLOOKUP(F2153,tecnica!A:B,2,0),"")</f>
        <v/>
      </c>
      <c r="K2153" s="8" t="str">
        <f>IFERROR(VLOOKUP(J2153,tecnica!B:C,2,0),"")</f>
        <v/>
      </c>
      <c r="L2153" s="13"/>
      <c r="M2153" s="14" t="str">
        <f>IFERROR(VLOOKUP(I2153,material!A:D,4,0),"")</f>
        <v/>
      </c>
      <c r="N2153" s="14" t="str">
        <f t="shared" si="1"/>
        <v/>
      </c>
      <c r="O2153" s="15" t="str">
        <f>IFERROR(VLOOKUP(I2153,material!A:D,2,0),"")</f>
        <v/>
      </c>
    </row>
    <row r="2154">
      <c r="A2154" s="6"/>
      <c r="B2154" s="7"/>
      <c r="C2154" s="8" t="str">
        <f t="array" ref="C2154">IFERROR(INDEX(atlas!H:H,MATCH(A2154,atlas!C:C,0)),"")</f>
        <v/>
      </c>
      <c r="D2154" s="8" t="str">
        <f t="array" ref="D2154">IFERROR(INDEX(atlas!D:D,MATCH(A2154,atlas!C:C,0)),"")</f>
        <v/>
      </c>
      <c r="E2154" s="8" t="str">
        <f t="array" ref="E2154">IFERROR(INDEX(atlas!F:F,MATCH(A2154,atlas!C:C,0)),"")</f>
        <v/>
      </c>
      <c r="F2154" s="9"/>
      <c r="G2154" s="10"/>
      <c r="H2154" s="11"/>
      <c r="I2154" s="12" t="str">
        <f t="array" ref="I2154">IFERROR(INDEX(atlas!B:B,MATCH(A2154,atlas!C:C,0)),"")</f>
        <v/>
      </c>
      <c r="J2154" s="8" t="str">
        <f>IFERROR(VLOOKUP(F2154,tecnica!A:B,2,0),"")</f>
        <v/>
      </c>
      <c r="K2154" s="8" t="str">
        <f>IFERROR(VLOOKUP(J2154,tecnica!B:C,2,0),"")</f>
        <v/>
      </c>
      <c r="L2154" s="13"/>
      <c r="M2154" s="14" t="str">
        <f>IFERROR(VLOOKUP(I2154,material!A:D,4,0),"")</f>
        <v/>
      </c>
      <c r="N2154" s="14" t="str">
        <f t="shared" si="1"/>
        <v/>
      </c>
      <c r="O2154" s="15" t="str">
        <f>IFERROR(VLOOKUP(I2154,material!A:D,2,0),"")</f>
        <v/>
      </c>
    </row>
    <row r="2155">
      <c r="A2155" s="6"/>
      <c r="B2155" s="7"/>
      <c r="C2155" s="8" t="str">
        <f t="array" ref="C2155">IFERROR(INDEX(atlas!H:H,MATCH(A2155,atlas!C:C,0)),"")</f>
        <v/>
      </c>
      <c r="D2155" s="8" t="str">
        <f t="array" ref="D2155">IFERROR(INDEX(atlas!D:D,MATCH(A2155,atlas!C:C,0)),"")</f>
        <v/>
      </c>
      <c r="E2155" s="8" t="str">
        <f t="array" ref="E2155">IFERROR(INDEX(atlas!F:F,MATCH(A2155,atlas!C:C,0)),"")</f>
        <v/>
      </c>
      <c r="F2155" s="9"/>
      <c r="G2155" s="10"/>
      <c r="H2155" s="11"/>
      <c r="I2155" s="12" t="str">
        <f t="array" ref="I2155">IFERROR(INDEX(atlas!B:B,MATCH(A2155,atlas!C:C,0)),"")</f>
        <v/>
      </c>
      <c r="J2155" s="8" t="str">
        <f>IFERROR(VLOOKUP(F2155,tecnica!A:B,2,0),"")</f>
        <v/>
      </c>
      <c r="K2155" s="8" t="str">
        <f>IFERROR(VLOOKUP(J2155,tecnica!B:C,2,0),"")</f>
        <v/>
      </c>
      <c r="L2155" s="13"/>
      <c r="M2155" s="14" t="str">
        <f>IFERROR(VLOOKUP(I2155,material!A:D,4,0),"")</f>
        <v/>
      </c>
      <c r="N2155" s="14" t="str">
        <f t="shared" si="1"/>
        <v/>
      </c>
      <c r="O2155" s="15" t="str">
        <f>IFERROR(VLOOKUP(I2155,material!A:D,2,0),"")</f>
        <v/>
      </c>
    </row>
    <row r="2156">
      <c r="A2156" s="6"/>
      <c r="B2156" s="7"/>
      <c r="C2156" s="8" t="str">
        <f t="array" ref="C2156">IFERROR(INDEX(atlas!H:H,MATCH(A2156,atlas!C:C,0)),"")</f>
        <v/>
      </c>
      <c r="D2156" s="8" t="str">
        <f t="array" ref="D2156">IFERROR(INDEX(atlas!D:D,MATCH(A2156,atlas!C:C,0)),"")</f>
        <v/>
      </c>
      <c r="E2156" s="8" t="str">
        <f t="array" ref="E2156">IFERROR(INDEX(atlas!F:F,MATCH(A2156,atlas!C:C,0)),"")</f>
        <v/>
      </c>
      <c r="F2156" s="9"/>
      <c r="G2156" s="10"/>
      <c r="H2156" s="11"/>
      <c r="I2156" s="12" t="str">
        <f t="array" ref="I2156">IFERROR(INDEX(atlas!B:B,MATCH(A2156,atlas!C:C,0)),"")</f>
        <v/>
      </c>
      <c r="J2156" s="8" t="str">
        <f>IFERROR(VLOOKUP(F2156,tecnica!A:B,2,0),"")</f>
        <v/>
      </c>
      <c r="K2156" s="8" t="str">
        <f>IFERROR(VLOOKUP(J2156,tecnica!B:C,2,0),"")</f>
        <v/>
      </c>
      <c r="L2156" s="13"/>
      <c r="M2156" s="14" t="str">
        <f>IFERROR(VLOOKUP(I2156,material!A:D,4,0),"")</f>
        <v/>
      </c>
      <c r="N2156" s="14" t="str">
        <f t="shared" si="1"/>
        <v/>
      </c>
      <c r="O2156" s="15" t="str">
        <f>IFERROR(VLOOKUP(I2156,material!A:D,2,0),"")</f>
        <v/>
      </c>
    </row>
    <row r="2157">
      <c r="A2157" s="6"/>
      <c r="B2157" s="7"/>
      <c r="C2157" s="8" t="str">
        <f t="array" ref="C2157">IFERROR(INDEX(atlas!H:H,MATCH(A2157,atlas!C:C,0)),"")</f>
        <v/>
      </c>
      <c r="D2157" s="8" t="str">
        <f t="array" ref="D2157">IFERROR(INDEX(atlas!D:D,MATCH(A2157,atlas!C:C,0)),"")</f>
        <v/>
      </c>
      <c r="E2157" s="8" t="str">
        <f t="array" ref="E2157">IFERROR(INDEX(atlas!F:F,MATCH(A2157,atlas!C:C,0)),"")</f>
        <v/>
      </c>
      <c r="F2157" s="9"/>
      <c r="G2157" s="10"/>
      <c r="H2157" s="11"/>
      <c r="I2157" s="12" t="str">
        <f t="array" ref="I2157">IFERROR(INDEX(atlas!B:B,MATCH(A2157,atlas!C:C,0)),"")</f>
        <v/>
      </c>
      <c r="J2157" s="8" t="str">
        <f>IFERROR(VLOOKUP(F2157,tecnica!A:B,2,0),"")</f>
        <v/>
      </c>
      <c r="K2157" s="8" t="str">
        <f>IFERROR(VLOOKUP(J2157,tecnica!B:C,2,0),"")</f>
        <v/>
      </c>
      <c r="L2157" s="13"/>
      <c r="M2157" s="14" t="str">
        <f>IFERROR(VLOOKUP(I2157,material!A:D,4,0),"")</f>
        <v/>
      </c>
      <c r="N2157" s="14" t="str">
        <f t="shared" si="1"/>
        <v/>
      </c>
      <c r="O2157" s="15" t="str">
        <f>IFERROR(VLOOKUP(I2157,material!A:D,2,0),"")</f>
        <v/>
      </c>
    </row>
    <row r="2158">
      <c r="A2158" s="6"/>
      <c r="B2158" s="7"/>
      <c r="C2158" s="8" t="str">
        <f t="array" ref="C2158">IFERROR(INDEX(atlas!H:H,MATCH(A2158,atlas!C:C,0)),"")</f>
        <v/>
      </c>
      <c r="D2158" s="8" t="str">
        <f t="array" ref="D2158">IFERROR(INDEX(atlas!D:D,MATCH(A2158,atlas!C:C,0)),"")</f>
        <v/>
      </c>
      <c r="E2158" s="8" t="str">
        <f t="array" ref="E2158">IFERROR(INDEX(atlas!F:F,MATCH(A2158,atlas!C:C,0)),"")</f>
        <v/>
      </c>
      <c r="F2158" s="9"/>
      <c r="G2158" s="10"/>
      <c r="H2158" s="11"/>
      <c r="I2158" s="12" t="str">
        <f t="array" ref="I2158">IFERROR(INDEX(atlas!B:B,MATCH(A2158,atlas!C:C,0)),"")</f>
        <v/>
      </c>
      <c r="J2158" s="8" t="str">
        <f>IFERROR(VLOOKUP(F2158,tecnica!A:B,2,0),"")</f>
        <v/>
      </c>
      <c r="K2158" s="8" t="str">
        <f>IFERROR(VLOOKUP(J2158,tecnica!B:C,2,0),"")</f>
        <v/>
      </c>
      <c r="L2158" s="13"/>
      <c r="M2158" s="14" t="str">
        <f>IFERROR(VLOOKUP(I2158,material!A:D,4,0),"")</f>
        <v/>
      </c>
      <c r="N2158" s="14" t="str">
        <f t="shared" si="1"/>
        <v/>
      </c>
      <c r="O2158" s="15" t="str">
        <f>IFERROR(VLOOKUP(I2158,material!A:D,2,0),"")</f>
        <v/>
      </c>
    </row>
    <row r="2159">
      <c r="A2159" s="6"/>
      <c r="B2159" s="7"/>
      <c r="C2159" s="8" t="str">
        <f t="array" ref="C2159">IFERROR(INDEX(atlas!H:H,MATCH(A2159,atlas!C:C,0)),"")</f>
        <v/>
      </c>
      <c r="D2159" s="8" t="str">
        <f t="array" ref="D2159">IFERROR(INDEX(atlas!D:D,MATCH(A2159,atlas!C:C,0)),"")</f>
        <v/>
      </c>
      <c r="E2159" s="8" t="str">
        <f t="array" ref="E2159">IFERROR(INDEX(atlas!F:F,MATCH(A2159,atlas!C:C,0)),"")</f>
        <v/>
      </c>
      <c r="F2159" s="9"/>
      <c r="G2159" s="10"/>
      <c r="H2159" s="11"/>
      <c r="I2159" s="12" t="str">
        <f t="array" ref="I2159">IFERROR(INDEX(atlas!B:B,MATCH(A2159,atlas!C:C,0)),"")</f>
        <v/>
      </c>
      <c r="J2159" s="8" t="str">
        <f>IFERROR(VLOOKUP(F2159,tecnica!A:B,2,0),"")</f>
        <v/>
      </c>
      <c r="K2159" s="8" t="str">
        <f>IFERROR(VLOOKUP(J2159,tecnica!B:C,2,0),"")</f>
        <v/>
      </c>
      <c r="L2159" s="13"/>
      <c r="M2159" s="14" t="str">
        <f>IFERROR(VLOOKUP(I2159,material!A:D,4,0),"")</f>
        <v/>
      </c>
      <c r="N2159" s="14" t="str">
        <f t="shared" si="1"/>
        <v/>
      </c>
      <c r="O2159" s="15" t="str">
        <f>IFERROR(VLOOKUP(I2159,material!A:D,2,0),"")</f>
        <v/>
      </c>
    </row>
    <row r="2160">
      <c r="A2160" s="6"/>
      <c r="B2160" s="7"/>
      <c r="C2160" s="8" t="str">
        <f t="array" ref="C2160">IFERROR(INDEX(atlas!H:H,MATCH(A2160,atlas!C:C,0)),"")</f>
        <v/>
      </c>
      <c r="D2160" s="8" t="str">
        <f t="array" ref="D2160">IFERROR(INDEX(atlas!D:D,MATCH(A2160,atlas!C:C,0)),"")</f>
        <v/>
      </c>
      <c r="E2160" s="8" t="str">
        <f t="array" ref="E2160">IFERROR(INDEX(atlas!F:F,MATCH(A2160,atlas!C:C,0)),"")</f>
        <v/>
      </c>
      <c r="F2160" s="9"/>
      <c r="G2160" s="10"/>
      <c r="H2160" s="11"/>
      <c r="I2160" s="12" t="str">
        <f t="array" ref="I2160">IFERROR(INDEX(atlas!B:B,MATCH(A2160,atlas!C:C,0)),"")</f>
        <v/>
      </c>
      <c r="J2160" s="8" t="str">
        <f>IFERROR(VLOOKUP(F2160,tecnica!A:B,2,0),"")</f>
        <v/>
      </c>
      <c r="K2160" s="8" t="str">
        <f>IFERROR(VLOOKUP(J2160,tecnica!B:C,2,0),"")</f>
        <v/>
      </c>
      <c r="L2160" s="13"/>
      <c r="M2160" s="14" t="str">
        <f>IFERROR(VLOOKUP(I2160,material!A:D,4,0),"")</f>
        <v/>
      </c>
      <c r="N2160" s="14" t="str">
        <f t="shared" si="1"/>
        <v/>
      </c>
      <c r="O2160" s="15" t="str">
        <f>IFERROR(VLOOKUP(I2160,material!A:D,2,0),"")</f>
        <v/>
      </c>
    </row>
    <row r="2161">
      <c r="A2161" s="6"/>
      <c r="B2161" s="7"/>
      <c r="C2161" s="8" t="str">
        <f t="array" ref="C2161">IFERROR(INDEX(atlas!H:H,MATCH(A2161,atlas!C:C,0)),"")</f>
        <v/>
      </c>
      <c r="D2161" s="8" t="str">
        <f t="array" ref="D2161">IFERROR(INDEX(atlas!D:D,MATCH(A2161,atlas!C:C,0)),"")</f>
        <v/>
      </c>
      <c r="E2161" s="8" t="str">
        <f t="array" ref="E2161">IFERROR(INDEX(atlas!F:F,MATCH(A2161,atlas!C:C,0)),"")</f>
        <v/>
      </c>
      <c r="F2161" s="9"/>
      <c r="G2161" s="10"/>
      <c r="H2161" s="11"/>
      <c r="I2161" s="12" t="str">
        <f t="array" ref="I2161">IFERROR(INDEX(atlas!B:B,MATCH(A2161,atlas!C:C,0)),"")</f>
        <v/>
      </c>
      <c r="J2161" s="8" t="str">
        <f>IFERROR(VLOOKUP(F2161,tecnica!A:B,2,0),"")</f>
        <v/>
      </c>
      <c r="K2161" s="8" t="str">
        <f>IFERROR(VLOOKUP(J2161,tecnica!B:C,2,0),"")</f>
        <v/>
      </c>
      <c r="L2161" s="13"/>
      <c r="M2161" s="14" t="str">
        <f>IFERROR(VLOOKUP(I2161,material!A:D,4,0),"")</f>
        <v/>
      </c>
      <c r="N2161" s="14" t="str">
        <f t="shared" si="1"/>
        <v/>
      </c>
      <c r="O2161" s="15" t="str">
        <f>IFERROR(VLOOKUP(I2161,material!A:D,2,0),"")</f>
        <v/>
      </c>
    </row>
    <row r="2162">
      <c r="A2162" s="6"/>
      <c r="B2162" s="7"/>
      <c r="C2162" s="8" t="str">
        <f t="array" ref="C2162">IFERROR(INDEX(atlas!H:H,MATCH(A2162,atlas!C:C,0)),"")</f>
        <v/>
      </c>
      <c r="D2162" s="8" t="str">
        <f t="array" ref="D2162">IFERROR(INDEX(atlas!D:D,MATCH(A2162,atlas!C:C,0)),"")</f>
        <v/>
      </c>
      <c r="E2162" s="8" t="str">
        <f t="array" ref="E2162">IFERROR(INDEX(atlas!F:F,MATCH(A2162,atlas!C:C,0)),"")</f>
        <v/>
      </c>
      <c r="F2162" s="9"/>
      <c r="G2162" s="10"/>
      <c r="H2162" s="11"/>
      <c r="I2162" s="12" t="str">
        <f t="array" ref="I2162">IFERROR(INDEX(atlas!B:B,MATCH(A2162,atlas!C:C,0)),"")</f>
        <v/>
      </c>
      <c r="J2162" s="8" t="str">
        <f>IFERROR(VLOOKUP(F2162,tecnica!A:B,2,0),"")</f>
        <v/>
      </c>
      <c r="K2162" s="8" t="str">
        <f>IFERROR(VLOOKUP(J2162,tecnica!B:C,2,0),"")</f>
        <v/>
      </c>
      <c r="L2162" s="13"/>
      <c r="M2162" s="14" t="str">
        <f>IFERROR(VLOOKUP(I2162,material!A:D,4,0),"")</f>
        <v/>
      </c>
      <c r="N2162" s="14" t="str">
        <f t="shared" si="1"/>
        <v/>
      </c>
      <c r="O2162" s="15" t="str">
        <f>IFERROR(VLOOKUP(I2162,material!A:D,2,0),"")</f>
        <v/>
      </c>
    </row>
    <row r="2163">
      <c r="A2163" s="6"/>
      <c r="B2163" s="7"/>
      <c r="C2163" s="8" t="str">
        <f t="array" ref="C2163">IFERROR(INDEX(atlas!H:H,MATCH(A2163,atlas!C:C,0)),"")</f>
        <v/>
      </c>
      <c r="D2163" s="8" t="str">
        <f t="array" ref="D2163">IFERROR(INDEX(atlas!D:D,MATCH(A2163,atlas!C:C,0)),"")</f>
        <v/>
      </c>
      <c r="E2163" s="8" t="str">
        <f t="array" ref="E2163">IFERROR(INDEX(atlas!F:F,MATCH(A2163,atlas!C:C,0)),"")</f>
        <v/>
      </c>
      <c r="F2163" s="9"/>
      <c r="G2163" s="10"/>
      <c r="H2163" s="11"/>
      <c r="I2163" s="12" t="str">
        <f t="array" ref="I2163">IFERROR(INDEX(atlas!B:B,MATCH(A2163,atlas!C:C,0)),"")</f>
        <v/>
      </c>
      <c r="J2163" s="8" t="str">
        <f>IFERROR(VLOOKUP(F2163,tecnica!A:B,2,0),"")</f>
        <v/>
      </c>
      <c r="K2163" s="8" t="str">
        <f>IFERROR(VLOOKUP(J2163,tecnica!B:C,2,0),"")</f>
        <v/>
      </c>
      <c r="L2163" s="13"/>
      <c r="M2163" s="14" t="str">
        <f>IFERROR(VLOOKUP(I2163,material!A:D,4,0),"")</f>
        <v/>
      </c>
      <c r="N2163" s="14" t="str">
        <f t="shared" si="1"/>
        <v/>
      </c>
      <c r="O2163" s="15" t="str">
        <f>IFERROR(VLOOKUP(I2163,material!A:D,2,0),"")</f>
        <v/>
      </c>
    </row>
    <row r="2164">
      <c r="A2164" s="6"/>
      <c r="B2164" s="7"/>
      <c r="C2164" s="8" t="str">
        <f t="array" ref="C2164">IFERROR(INDEX(atlas!H:H,MATCH(A2164,atlas!C:C,0)),"")</f>
        <v/>
      </c>
      <c r="D2164" s="8" t="str">
        <f t="array" ref="D2164">IFERROR(INDEX(atlas!D:D,MATCH(A2164,atlas!C:C,0)),"")</f>
        <v/>
      </c>
      <c r="E2164" s="8" t="str">
        <f t="array" ref="E2164">IFERROR(INDEX(atlas!F:F,MATCH(A2164,atlas!C:C,0)),"")</f>
        <v/>
      </c>
      <c r="F2164" s="9"/>
      <c r="G2164" s="10"/>
      <c r="H2164" s="11"/>
      <c r="I2164" s="12" t="str">
        <f t="array" ref="I2164">IFERROR(INDEX(atlas!B:B,MATCH(A2164,atlas!C:C,0)),"")</f>
        <v/>
      </c>
      <c r="J2164" s="8" t="str">
        <f>IFERROR(VLOOKUP(F2164,tecnica!A:B,2,0),"")</f>
        <v/>
      </c>
      <c r="K2164" s="8" t="str">
        <f>IFERROR(VLOOKUP(J2164,tecnica!B:C,2,0),"")</f>
        <v/>
      </c>
      <c r="L2164" s="13"/>
      <c r="M2164" s="14" t="str">
        <f>IFERROR(VLOOKUP(I2164,material!A:D,4,0),"")</f>
        <v/>
      </c>
      <c r="N2164" s="14" t="str">
        <f t="shared" si="1"/>
        <v/>
      </c>
      <c r="O2164" s="15" t="str">
        <f>IFERROR(VLOOKUP(I2164,material!A:D,2,0),"")</f>
        <v/>
      </c>
    </row>
    <row r="2165">
      <c r="A2165" s="6"/>
      <c r="B2165" s="7"/>
      <c r="C2165" s="8" t="str">
        <f t="array" ref="C2165">IFERROR(INDEX(atlas!H:H,MATCH(A2165,atlas!C:C,0)),"")</f>
        <v/>
      </c>
      <c r="D2165" s="8" t="str">
        <f t="array" ref="D2165">IFERROR(INDEX(atlas!D:D,MATCH(A2165,atlas!C:C,0)),"")</f>
        <v/>
      </c>
      <c r="E2165" s="8" t="str">
        <f t="array" ref="E2165">IFERROR(INDEX(atlas!F:F,MATCH(A2165,atlas!C:C,0)),"")</f>
        <v/>
      </c>
      <c r="F2165" s="9"/>
      <c r="G2165" s="10"/>
      <c r="H2165" s="11"/>
      <c r="I2165" s="12" t="str">
        <f t="array" ref="I2165">IFERROR(INDEX(atlas!B:B,MATCH(A2165,atlas!C:C,0)),"")</f>
        <v/>
      </c>
      <c r="J2165" s="8" t="str">
        <f>IFERROR(VLOOKUP(F2165,tecnica!A:B,2,0),"")</f>
        <v/>
      </c>
      <c r="K2165" s="8" t="str">
        <f>IFERROR(VLOOKUP(J2165,tecnica!B:C,2,0),"")</f>
        <v/>
      </c>
      <c r="L2165" s="13"/>
      <c r="M2165" s="14" t="str">
        <f>IFERROR(VLOOKUP(I2165,material!A:D,4,0),"")</f>
        <v/>
      </c>
      <c r="N2165" s="14" t="str">
        <f t="shared" si="1"/>
        <v/>
      </c>
      <c r="O2165" s="15" t="str">
        <f>IFERROR(VLOOKUP(I2165,material!A:D,2,0),"")</f>
        <v/>
      </c>
    </row>
    <row r="2166">
      <c r="A2166" s="6"/>
      <c r="B2166" s="7"/>
      <c r="C2166" s="8" t="str">
        <f t="array" ref="C2166">IFERROR(INDEX(atlas!H:H,MATCH(A2166,atlas!C:C,0)),"")</f>
        <v/>
      </c>
      <c r="D2166" s="8" t="str">
        <f t="array" ref="D2166">IFERROR(INDEX(atlas!D:D,MATCH(A2166,atlas!C:C,0)),"")</f>
        <v/>
      </c>
      <c r="E2166" s="8" t="str">
        <f t="array" ref="E2166">IFERROR(INDEX(atlas!F:F,MATCH(A2166,atlas!C:C,0)),"")</f>
        <v/>
      </c>
      <c r="F2166" s="9"/>
      <c r="G2166" s="10"/>
      <c r="H2166" s="11"/>
      <c r="I2166" s="12" t="str">
        <f t="array" ref="I2166">IFERROR(INDEX(atlas!B:B,MATCH(A2166,atlas!C:C,0)),"")</f>
        <v/>
      </c>
      <c r="J2166" s="8" t="str">
        <f>IFERROR(VLOOKUP(F2166,tecnica!A:B,2,0),"")</f>
        <v/>
      </c>
      <c r="K2166" s="8" t="str">
        <f>IFERROR(VLOOKUP(J2166,tecnica!B:C,2,0),"")</f>
        <v/>
      </c>
      <c r="L2166" s="13"/>
      <c r="M2166" s="14" t="str">
        <f>IFERROR(VLOOKUP(I2166,material!A:D,4,0),"")</f>
        <v/>
      </c>
      <c r="N2166" s="14" t="str">
        <f t="shared" si="1"/>
        <v/>
      </c>
      <c r="O2166" s="15" t="str">
        <f>IFERROR(VLOOKUP(I2166,material!A:D,2,0),"")</f>
        <v/>
      </c>
    </row>
    <row r="2167">
      <c r="A2167" s="6"/>
      <c r="B2167" s="7"/>
      <c r="C2167" s="8" t="str">
        <f t="array" ref="C2167">IFERROR(INDEX(atlas!H:H,MATCH(A2167,atlas!C:C,0)),"")</f>
        <v/>
      </c>
      <c r="D2167" s="8" t="str">
        <f t="array" ref="D2167">IFERROR(INDEX(atlas!D:D,MATCH(A2167,atlas!C:C,0)),"")</f>
        <v/>
      </c>
      <c r="E2167" s="8" t="str">
        <f t="array" ref="E2167">IFERROR(INDEX(atlas!F:F,MATCH(A2167,atlas!C:C,0)),"")</f>
        <v/>
      </c>
      <c r="F2167" s="9"/>
      <c r="G2167" s="10"/>
      <c r="H2167" s="11"/>
      <c r="I2167" s="12" t="str">
        <f t="array" ref="I2167">IFERROR(INDEX(atlas!B:B,MATCH(A2167,atlas!C:C,0)),"")</f>
        <v/>
      </c>
      <c r="J2167" s="8" t="str">
        <f>IFERROR(VLOOKUP(F2167,tecnica!A:B,2,0),"")</f>
        <v/>
      </c>
      <c r="K2167" s="8" t="str">
        <f>IFERROR(VLOOKUP(J2167,tecnica!B:C,2,0),"")</f>
        <v/>
      </c>
      <c r="L2167" s="13"/>
      <c r="M2167" s="14" t="str">
        <f>IFERROR(VLOOKUP(I2167,material!A:D,4,0),"")</f>
        <v/>
      </c>
      <c r="N2167" s="14" t="str">
        <f t="shared" si="1"/>
        <v/>
      </c>
      <c r="O2167" s="15" t="str">
        <f>IFERROR(VLOOKUP(I2167,material!A:D,2,0),"")</f>
        <v/>
      </c>
    </row>
    <row r="2168">
      <c r="A2168" s="6"/>
      <c r="B2168" s="7"/>
      <c r="C2168" s="8" t="str">
        <f t="array" ref="C2168">IFERROR(INDEX(atlas!H:H,MATCH(A2168,atlas!C:C,0)),"")</f>
        <v/>
      </c>
      <c r="D2168" s="8" t="str">
        <f t="array" ref="D2168">IFERROR(INDEX(atlas!D:D,MATCH(A2168,atlas!C:C,0)),"")</f>
        <v/>
      </c>
      <c r="E2168" s="8" t="str">
        <f t="array" ref="E2168">IFERROR(INDEX(atlas!F:F,MATCH(A2168,atlas!C:C,0)),"")</f>
        <v/>
      </c>
      <c r="F2168" s="9"/>
      <c r="G2168" s="10"/>
      <c r="H2168" s="11"/>
      <c r="I2168" s="12" t="str">
        <f t="array" ref="I2168">IFERROR(INDEX(atlas!B:B,MATCH(A2168,atlas!C:C,0)),"")</f>
        <v/>
      </c>
      <c r="J2168" s="8" t="str">
        <f>IFERROR(VLOOKUP(F2168,tecnica!A:B,2,0),"")</f>
        <v/>
      </c>
      <c r="K2168" s="8" t="str">
        <f>IFERROR(VLOOKUP(J2168,tecnica!B:C,2,0),"")</f>
        <v/>
      </c>
      <c r="L2168" s="13"/>
      <c r="M2168" s="14" t="str">
        <f>IFERROR(VLOOKUP(I2168,material!A:D,4,0),"")</f>
        <v/>
      </c>
      <c r="N2168" s="14" t="str">
        <f t="shared" si="1"/>
        <v/>
      </c>
      <c r="O2168" s="15" t="str">
        <f>IFERROR(VLOOKUP(I2168,material!A:D,2,0),"")</f>
        <v/>
      </c>
    </row>
    <row r="2169">
      <c r="A2169" s="6"/>
      <c r="B2169" s="7"/>
      <c r="C2169" s="8" t="str">
        <f t="array" ref="C2169">IFERROR(INDEX(atlas!H:H,MATCH(A2169,atlas!C:C,0)),"")</f>
        <v/>
      </c>
      <c r="D2169" s="8" t="str">
        <f t="array" ref="D2169">IFERROR(INDEX(atlas!D:D,MATCH(A2169,atlas!C:C,0)),"")</f>
        <v/>
      </c>
      <c r="E2169" s="8" t="str">
        <f t="array" ref="E2169">IFERROR(INDEX(atlas!F:F,MATCH(A2169,atlas!C:C,0)),"")</f>
        <v/>
      </c>
      <c r="F2169" s="9"/>
      <c r="G2169" s="10"/>
      <c r="H2169" s="11"/>
      <c r="I2169" s="12" t="str">
        <f t="array" ref="I2169">IFERROR(INDEX(atlas!B:B,MATCH(A2169,atlas!C:C,0)),"")</f>
        <v/>
      </c>
      <c r="J2169" s="8" t="str">
        <f>IFERROR(VLOOKUP(F2169,tecnica!A:B,2,0),"")</f>
        <v/>
      </c>
      <c r="K2169" s="8" t="str">
        <f>IFERROR(VLOOKUP(J2169,tecnica!B:C,2,0),"")</f>
        <v/>
      </c>
      <c r="L2169" s="13"/>
      <c r="M2169" s="14" t="str">
        <f>IFERROR(VLOOKUP(I2169,material!A:D,4,0),"")</f>
        <v/>
      </c>
      <c r="N2169" s="14" t="str">
        <f t="shared" si="1"/>
        <v/>
      </c>
      <c r="O2169" s="15" t="str">
        <f>IFERROR(VLOOKUP(I2169,material!A:D,2,0),"")</f>
        <v/>
      </c>
    </row>
    <row r="2170">
      <c r="A2170" s="6"/>
      <c r="B2170" s="7"/>
      <c r="C2170" s="8" t="str">
        <f t="array" ref="C2170">IFERROR(INDEX(atlas!H:H,MATCH(A2170,atlas!C:C,0)),"")</f>
        <v/>
      </c>
      <c r="D2170" s="8" t="str">
        <f t="array" ref="D2170">IFERROR(INDEX(atlas!D:D,MATCH(A2170,atlas!C:C,0)),"")</f>
        <v/>
      </c>
      <c r="E2170" s="8" t="str">
        <f t="array" ref="E2170">IFERROR(INDEX(atlas!F:F,MATCH(A2170,atlas!C:C,0)),"")</f>
        <v/>
      </c>
      <c r="F2170" s="9"/>
      <c r="G2170" s="10"/>
      <c r="H2170" s="11"/>
      <c r="I2170" s="12" t="str">
        <f t="array" ref="I2170">IFERROR(INDEX(atlas!B:B,MATCH(A2170,atlas!C:C,0)),"")</f>
        <v/>
      </c>
      <c r="J2170" s="8" t="str">
        <f>IFERROR(VLOOKUP(F2170,tecnica!A:B,2,0),"")</f>
        <v/>
      </c>
      <c r="K2170" s="8" t="str">
        <f>IFERROR(VLOOKUP(J2170,tecnica!B:C,2,0),"")</f>
        <v/>
      </c>
      <c r="L2170" s="13"/>
      <c r="M2170" s="14" t="str">
        <f>IFERROR(VLOOKUP(I2170,material!A:D,4,0),"")</f>
        <v/>
      </c>
      <c r="N2170" s="14" t="str">
        <f t="shared" si="1"/>
        <v/>
      </c>
      <c r="O2170" s="15" t="str">
        <f>IFERROR(VLOOKUP(I2170,material!A:D,2,0),"")</f>
        <v/>
      </c>
    </row>
    <row r="2171">
      <c r="A2171" s="6"/>
      <c r="B2171" s="7"/>
      <c r="C2171" s="8" t="str">
        <f t="array" ref="C2171">IFERROR(INDEX(atlas!H:H,MATCH(A2171,atlas!C:C,0)),"")</f>
        <v/>
      </c>
      <c r="D2171" s="8" t="str">
        <f t="array" ref="D2171">IFERROR(INDEX(atlas!D:D,MATCH(A2171,atlas!C:C,0)),"")</f>
        <v/>
      </c>
      <c r="E2171" s="8" t="str">
        <f t="array" ref="E2171">IFERROR(INDEX(atlas!F:F,MATCH(A2171,atlas!C:C,0)),"")</f>
        <v/>
      </c>
      <c r="F2171" s="9"/>
      <c r="G2171" s="10"/>
      <c r="H2171" s="11"/>
      <c r="I2171" s="12" t="str">
        <f t="array" ref="I2171">IFERROR(INDEX(atlas!B:B,MATCH(A2171,atlas!C:C,0)),"")</f>
        <v/>
      </c>
      <c r="J2171" s="8" t="str">
        <f>IFERROR(VLOOKUP(F2171,tecnica!A:B,2,0),"")</f>
        <v/>
      </c>
      <c r="K2171" s="8" t="str">
        <f>IFERROR(VLOOKUP(J2171,tecnica!B:C,2,0),"")</f>
        <v/>
      </c>
      <c r="L2171" s="13"/>
      <c r="M2171" s="14" t="str">
        <f>IFERROR(VLOOKUP(I2171,material!A:D,4,0),"")</f>
        <v/>
      </c>
      <c r="N2171" s="14" t="str">
        <f t="shared" si="1"/>
        <v/>
      </c>
      <c r="O2171" s="15" t="str">
        <f>IFERROR(VLOOKUP(I2171,material!A:D,2,0),"")</f>
        <v/>
      </c>
    </row>
    <row r="2172">
      <c r="A2172" s="6"/>
      <c r="B2172" s="7"/>
      <c r="C2172" s="8" t="str">
        <f t="array" ref="C2172">IFERROR(INDEX(atlas!H:H,MATCH(A2172,atlas!C:C,0)),"")</f>
        <v/>
      </c>
      <c r="D2172" s="8" t="str">
        <f t="array" ref="D2172">IFERROR(INDEX(atlas!D:D,MATCH(A2172,atlas!C:C,0)),"")</f>
        <v/>
      </c>
      <c r="E2172" s="8" t="str">
        <f t="array" ref="E2172">IFERROR(INDEX(atlas!F:F,MATCH(A2172,atlas!C:C,0)),"")</f>
        <v/>
      </c>
      <c r="F2172" s="9"/>
      <c r="G2172" s="10"/>
      <c r="H2172" s="11"/>
      <c r="I2172" s="12" t="str">
        <f t="array" ref="I2172">IFERROR(INDEX(atlas!B:B,MATCH(A2172,atlas!C:C,0)),"")</f>
        <v/>
      </c>
      <c r="J2172" s="8" t="str">
        <f>IFERROR(VLOOKUP(F2172,tecnica!A:B,2,0),"")</f>
        <v/>
      </c>
      <c r="K2172" s="8" t="str">
        <f>IFERROR(VLOOKUP(J2172,tecnica!B:C,2,0),"")</f>
        <v/>
      </c>
      <c r="L2172" s="13"/>
      <c r="M2172" s="14" t="str">
        <f>IFERROR(VLOOKUP(I2172,material!A:D,4,0),"")</f>
        <v/>
      </c>
      <c r="N2172" s="14" t="str">
        <f t="shared" si="1"/>
        <v/>
      </c>
      <c r="O2172" s="15" t="str">
        <f>IFERROR(VLOOKUP(I2172,material!A:D,2,0),"")</f>
        <v/>
      </c>
    </row>
    <row r="2173">
      <c r="A2173" s="6"/>
      <c r="B2173" s="7"/>
      <c r="C2173" s="8" t="str">
        <f t="array" ref="C2173">IFERROR(INDEX(atlas!H:H,MATCH(A2173,atlas!C:C,0)),"")</f>
        <v/>
      </c>
      <c r="D2173" s="8" t="str">
        <f t="array" ref="D2173">IFERROR(INDEX(atlas!D:D,MATCH(A2173,atlas!C:C,0)),"")</f>
        <v/>
      </c>
      <c r="E2173" s="8" t="str">
        <f t="array" ref="E2173">IFERROR(INDEX(atlas!F:F,MATCH(A2173,atlas!C:C,0)),"")</f>
        <v/>
      </c>
      <c r="F2173" s="9"/>
      <c r="G2173" s="10"/>
      <c r="H2173" s="11"/>
      <c r="I2173" s="12" t="str">
        <f t="array" ref="I2173">IFERROR(INDEX(atlas!B:B,MATCH(A2173,atlas!C:C,0)),"")</f>
        <v/>
      </c>
      <c r="J2173" s="8" t="str">
        <f>IFERROR(VLOOKUP(F2173,tecnica!A:B,2,0),"")</f>
        <v/>
      </c>
      <c r="K2173" s="8" t="str">
        <f>IFERROR(VLOOKUP(J2173,tecnica!B:C,2,0),"")</f>
        <v/>
      </c>
      <c r="L2173" s="13"/>
      <c r="M2173" s="14" t="str">
        <f>IFERROR(VLOOKUP(I2173,material!A:D,4,0),"")</f>
        <v/>
      </c>
      <c r="N2173" s="14" t="str">
        <f t="shared" si="1"/>
        <v/>
      </c>
      <c r="O2173" s="15" t="str">
        <f>IFERROR(VLOOKUP(I2173,material!A:D,2,0),"")</f>
        <v/>
      </c>
    </row>
    <row r="2174">
      <c r="A2174" s="6"/>
      <c r="B2174" s="7"/>
      <c r="C2174" s="8" t="str">
        <f t="array" ref="C2174">IFERROR(INDEX(atlas!H:H,MATCH(A2174,atlas!C:C,0)),"")</f>
        <v/>
      </c>
      <c r="D2174" s="8" t="str">
        <f t="array" ref="D2174">IFERROR(INDEX(atlas!D:D,MATCH(A2174,atlas!C:C,0)),"")</f>
        <v/>
      </c>
      <c r="E2174" s="8" t="str">
        <f t="array" ref="E2174">IFERROR(INDEX(atlas!F:F,MATCH(A2174,atlas!C:C,0)),"")</f>
        <v/>
      </c>
      <c r="F2174" s="9"/>
      <c r="G2174" s="10"/>
      <c r="H2174" s="11"/>
      <c r="I2174" s="12" t="str">
        <f t="array" ref="I2174">IFERROR(INDEX(atlas!B:B,MATCH(A2174,atlas!C:C,0)),"")</f>
        <v/>
      </c>
      <c r="J2174" s="8" t="str">
        <f>IFERROR(VLOOKUP(F2174,tecnica!A:B,2,0),"")</f>
        <v/>
      </c>
      <c r="K2174" s="8" t="str">
        <f>IFERROR(VLOOKUP(J2174,tecnica!B:C,2,0),"")</f>
        <v/>
      </c>
      <c r="L2174" s="13"/>
      <c r="M2174" s="14" t="str">
        <f>IFERROR(VLOOKUP(I2174,material!A:D,4,0),"")</f>
        <v/>
      </c>
      <c r="N2174" s="14" t="str">
        <f t="shared" si="1"/>
        <v/>
      </c>
      <c r="O2174" s="15" t="str">
        <f>IFERROR(VLOOKUP(I2174,material!A:D,2,0),"")</f>
        <v/>
      </c>
    </row>
    <row r="2175">
      <c r="A2175" s="6"/>
      <c r="B2175" s="7"/>
      <c r="C2175" s="8" t="str">
        <f t="array" ref="C2175">IFERROR(INDEX(atlas!H:H,MATCH(A2175,atlas!C:C,0)),"")</f>
        <v/>
      </c>
      <c r="D2175" s="8" t="str">
        <f t="array" ref="D2175">IFERROR(INDEX(atlas!D:D,MATCH(A2175,atlas!C:C,0)),"")</f>
        <v/>
      </c>
      <c r="E2175" s="8" t="str">
        <f t="array" ref="E2175">IFERROR(INDEX(atlas!F:F,MATCH(A2175,atlas!C:C,0)),"")</f>
        <v/>
      </c>
      <c r="F2175" s="9"/>
      <c r="G2175" s="10"/>
      <c r="H2175" s="11"/>
      <c r="I2175" s="12" t="str">
        <f t="array" ref="I2175">IFERROR(INDEX(atlas!B:B,MATCH(A2175,atlas!C:C,0)),"")</f>
        <v/>
      </c>
      <c r="J2175" s="8" t="str">
        <f>IFERROR(VLOOKUP(F2175,tecnica!A:B,2,0),"")</f>
        <v/>
      </c>
      <c r="K2175" s="8" t="str">
        <f>IFERROR(VLOOKUP(J2175,tecnica!B:C,2,0),"")</f>
        <v/>
      </c>
      <c r="L2175" s="13"/>
      <c r="M2175" s="14" t="str">
        <f>IFERROR(VLOOKUP(I2175,material!A:D,4,0),"")</f>
        <v/>
      </c>
      <c r="N2175" s="14" t="str">
        <f t="shared" si="1"/>
        <v/>
      </c>
      <c r="O2175" s="15" t="str">
        <f>IFERROR(VLOOKUP(I2175,material!A:D,2,0),"")</f>
        <v/>
      </c>
    </row>
    <row r="2176">
      <c r="A2176" s="6"/>
      <c r="B2176" s="7"/>
      <c r="C2176" s="8" t="str">
        <f t="array" ref="C2176">IFERROR(INDEX(atlas!H:H,MATCH(A2176,atlas!C:C,0)),"")</f>
        <v/>
      </c>
      <c r="D2176" s="8" t="str">
        <f t="array" ref="D2176">IFERROR(INDEX(atlas!D:D,MATCH(A2176,atlas!C:C,0)),"")</f>
        <v/>
      </c>
      <c r="E2176" s="8" t="str">
        <f t="array" ref="E2176">IFERROR(INDEX(atlas!F:F,MATCH(A2176,atlas!C:C,0)),"")</f>
        <v/>
      </c>
      <c r="F2176" s="9"/>
      <c r="G2176" s="10"/>
      <c r="H2176" s="11"/>
      <c r="I2176" s="12" t="str">
        <f t="array" ref="I2176">IFERROR(INDEX(atlas!B:B,MATCH(A2176,atlas!C:C,0)),"")</f>
        <v/>
      </c>
      <c r="J2176" s="8" t="str">
        <f>IFERROR(VLOOKUP(F2176,tecnica!A:B,2,0),"")</f>
        <v/>
      </c>
      <c r="K2176" s="8" t="str">
        <f>IFERROR(VLOOKUP(J2176,tecnica!B:C,2,0),"")</f>
        <v/>
      </c>
      <c r="L2176" s="13"/>
      <c r="M2176" s="14" t="str">
        <f>IFERROR(VLOOKUP(I2176,material!A:D,4,0),"")</f>
        <v/>
      </c>
      <c r="N2176" s="14" t="str">
        <f t="shared" si="1"/>
        <v/>
      </c>
      <c r="O2176" s="15" t="str">
        <f>IFERROR(VLOOKUP(I2176,material!A:D,2,0),"")</f>
        <v/>
      </c>
    </row>
    <row r="2177">
      <c r="A2177" s="6"/>
      <c r="B2177" s="7"/>
      <c r="C2177" s="8" t="str">
        <f t="array" ref="C2177">IFERROR(INDEX(atlas!H:H,MATCH(A2177,atlas!C:C,0)),"")</f>
        <v/>
      </c>
      <c r="D2177" s="8" t="str">
        <f t="array" ref="D2177">IFERROR(INDEX(atlas!D:D,MATCH(A2177,atlas!C:C,0)),"")</f>
        <v/>
      </c>
      <c r="E2177" s="8" t="str">
        <f t="array" ref="E2177">IFERROR(INDEX(atlas!F:F,MATCH(A2177,atlas!C:C,0)),"")</f>
        <v/>
      </c>
      <c r="F2177" s="9"/>
      <c r="G2177" s="10"/>
      <c r="H2177" s="11"/>
      <c r="I2177" s="12" t="str">
        <f t="array" ref="I2177">IFERROR(INDEX(atlas!B:B,MATCH(A2177,atlas!C:C,0)),"")</f>
        <v/>
      </c>
      <c r="J2177" s="8" t="str">
        <f>IFERROR(VLOOKUP(F2177,tecnica!A:B,2,0),"")</f>
        <v/>
      </c>
      <c r="K2177" s="8" t="str">
        <f>IFERROR(VLOOKUP(J2177,tecnica!B:C,2,0),"")</f>
        <v/>
      </c>
      <c r="L2177" s="13"/>
      <c r="M2177" s="14" t="str">
        <f>IFERROR(VLOOKUP(I2177,material!A:D,4,0),"")</f>
        <v/>
      </c>
      <c r="N2177" s="14" t="str">
        <f t="shared" si="1"/>
        <v/>
      </c>
      <c r="O2177" s="15" t="str">
        <f>IFERROR(VLOOKUP(I2177,material!A:D,2,0),"")</f>
        <v/>
      </c>
    </row>
    <row r="2178">
      <c r="A2178" s="6"/>
      <c r="B2178" s="7"/>
      <c r="C2178" s="8" t="str">
        <f t="array" ref="C2178">IFERROR(INDEX(atlas!H:H,MATCH(A2178,atlas!C:C,0)),"")</f>
        <v/>
      </c>
      <c r="D2178" s="8" t="str">
        <f t="array" ref="D2178">IFERROR(INDEX(atlas!D:D,MATCH(A2178,atlas!C:C,0)),"")</f>
        <v/>
      </c>
      <c r="E2178" s="8" t="str">
        <f t="array" ref="E2178">IFERROR(INDEX(atlas!F:F,MATCH(A2178,atlas!C:C,0)),"")</f>
        <v/>
      </c>
      <c r="F2178" s="9"/>
      <c r="G2178" s="10"/>
      <c r="H2178" s="11"/>
      <c r="I2178" s="12" t="str">
        <f t="array" ref="I2178">IFERROR(INDEX(atlas!B:B,MATCH(A2178,atlas!C:C,0)),"")</f>
        <v/>
      </c>
      <c r="J2178" s="8" t="str">
        <f>IFERROR(VLOOKUP(F2178,tecnica!A:B,2,0),"")</f>
        <v/>
      </c>
      <c r="K2178" s="8" t="str">
        <f>IFERROR(VLOOKUP(J2178,tecnica!B:C,2,0),"")</f>
        <v/>
      </c>
      <c r="L2178" s="13"/>
      <c r="M2178" s="14" t="str">
        <f>IFERROR(VLOOKUP(I2178,material!A:D,4,0),"")</f>
        <v/>
      </c>
      <c r="N2178" s="14" t="str">
        <f t="shared" si="1"/>
        <v/>
      </c>
      <c r="O2178" s="15" t="str">
        <f>IFERROR(VLOOKUP(I2178,material!A:D,2,0),"")</f>
        <v/>
      </c>
    </row>
    <row r="2179">
      <c r="A2179" s="6"/>
      <c r="B2179" s="7"/>
      <c r="C2179" s="8" t="str">
        <f t="array" ref="C2179">IFERROR(INDEX(atlas!H:H,MATCH(A2179,atlas!C:C,0)),"")</f>
        <v/>
      </c>
      <c r="D2179" s="8" t="str">
        <f t="array" ref="D2179">IFERROR(INDEX(atlas!D:D,MATCH(A2179,atlas!C:C,0)),"")</f>
        <v/>
      </c>
      <c r="E2179" s="8" t="str">
        <f t="array" ref="E2179">IFERROR(INDEX(atlas!F:F,MATCH(A2179,atlas!C:C,0)),"")</f>
        <v/>
      </c>
      <c r="F2179" s="9"/>
      <c r="G2179" s="10"/>
      <c r="H2179" s="11"/>
      <c r="I2179" s="12" t="str">
        <f t="array" ref="I2179">IFERROR(INDEX(atlas!B:B,MATCH(A2179,atlas!C:C,0)),"")</f>
        <v/>
      </c>
      <c r="J2179" s="8" t="str">
        <f>IFERROR(VLOOKUP(F2179,tecnica!A:B,2,0),"")</f>
        <v/>
      </c>
      <c r="K2179" s="8" t="str">
        <f>IFERROR(VLOOKUP(J2179,tecnica!B:C,2,0),"")</f>
        <v/>
      </c>
      <c r="L2179" s="13"/>
      <c r="M2179" s="14" t="str">
        <f>IFERROR(VLOOKUP(I2179,material!A:D,4,0),"")</f>
        <v/>
      </c>
      <c r="N2179" s="14" t="str">
        <f t="shared" si="1"/>
        <v/>
      </c>
      <c r="O2179" s="15" t="str">
        <f>IFERROR(VLOOKUP(I2179,material!A:D,2,0),"")</f>
        <v/>
      </c>
    </row>
    <row r="2180">
      <c r="A2180" s="6"/>
      <c r="B2180" s="7"/>
      <c r="C2180" s="8" t="str">
        <f t="array" ref="C2180">IFERROR(INDEX(atlas!H:H,MATCH(A2180,atlas!C:C,0)),"")</f>
        <v/>
      </c>
      <c r="D2180" s="8" t="str">
        <f t="array" ref="D2180">IFERROR(INDEX(atlas!D:D,MATCH(A2180,atlas!C:C,0)),"")</f>
        <v/>
      </c>
      <c r="E2180" s="8" t="str">
        <f t="array" ref="E2180">IFERROR(INDEX(atlas!F:F,MATCH(A2180,atlas!C:C,0)),"")</f>
        <v/>
      </c>
      <c r="F2180" s="9"/>
      <c r="G2180" s="10"/>
      <c r="H2180" s="11"/>
      <c r="I2180" s="12" t="str">
        <f t="array" ref="I2180">IFERROR(INDEX(atlas!B:B,MATCH(A2180,atlas!C:C,0)),"")</f>
        <v/>
      </c>
      <c r="J2180" s="8" t="str">
        <f>IFERROR(VLOOKUP(F2180,tecnica!A:B,2,0),"")</f>
        <v/>
      </c>
      <c r="K2180" s="8" t="str">
        <f>IFERROR(VLOOKUP(J2180,tecnica!B:C,2,0),"")</f>
        <v/>
      </c>
      <c r="L2180" s="13"/>
      <c r="M2180" s="14" t="str">
        <f>IFERROR(VLOOKUP(I2180,material!A:D,4,0),"")</f>
        <v/>
      </c>
      <c r="N2180" s="14" t="str">
        <f t="shared" si="1"/>
        <v/>
      </c>
      <c r="O2180" s="15" t="str">
        <f>IFERROR(VLOOKUP(I2180,material!A:D,2,0),"")</f>
        <v/>
      </c>
    </row>
    <row r="2181">
      <c r="A2181" s="6"/>
      <c r="B2181" s="7"/>
      <c r="C2181" s="8" t="str">
        <f t="array" ref="C2181">IFERROR(INDEX(atlas!H:H,MATCH(A2181,atlas!C:C,0)),"")</f>
        <v/>
      </c>
      <c r="D2181" s="8" t="str">
        <f t="array" ref="D2181">IFERROR(INDEX(atlas!D:D,MATCH(A2181,atlas!C:C,0)),"")</f>
        <v/>
      </c>
      <c r="E2181" s="8" t="str">
        <f t="array" ref="E2181">IFERROR(INDEX(atlas!F:F,MATCH(A2181,atlas!C:C,0)),"")</f>
        <v/>
      </c>
      <c r="F2181" s="9"/>
      <c r="G2181" s="10"/>
      <c r="H2181" s="11"/>
      <c r="I2181" s="12" t="str">
        <f t="array" ref="I2181">IFERROR(INDEX(atlas!B:B,MATCH(A2181,atlas!C:C,0)),"")</f>
        <v/>
      </c>
      <c r="J2181" s="8" t="str">
        <f>IFERROR(VLOOKUP(F2181,tecnica!A:B,2,0),"")</f>
        <v/>
      </c>
      <c r="K2181" s="8" t="str">
        <f>IFERROR(VLOOKUP(J2181,tecnica!B:C,2,0),"")</f>
        <v/>
      </c>
      <c r="L2181" s="13"/>
      <c r="M2181" s="14" t="str">
        <f>IFERROR(VLOOKUP(I2181,material!A:D,4,0),"")</f>
        <v/>
      </c>
      <c r="N2181" s="14" t="str">
        <f t="shared" si="1"/>
        <v/>
      </c>
      <c r="O2181" s="15" t="str">
        <f>IFERROR(VLOOKUP(I2181,material!A:D,2,0),"")</f>
        <v/>
      </c>
    </row>
    <row r="2182">
      <c r="A2182" s="6"/>
      <c r="B2182" s="7"/>
      <c r="C2182" s="8" t="str">
        <f t="array" ref="C2182">IFERROR(INDEX(atlas!H:H,MATCH(A2182,atlas!C:C,0)),"")</f>
        <v/>
      </c>
      <c r="D2182" s="8" t="str">
        <f t="array" ref="D2182">IFERROR(INDEX(atlas!D:D,MATCH(A2182,atlas!C:C,0)),"")</f>
        <v/>
      </c>
      <c r="E2182" s="8" t="str">
        <f t="array" ref="E2182">IFERROR(INDEX(atlas!F:F,MATCH(A2182,atlas!C:C,0)),"")</f>
        <v/>
      </c>
      <c r="F2182" s="9"/>
      <c r="G2182" s="10"/>
      <c r="H2182" s="11"/>
      <c r="I2182" s="12" t="str">
        <f t="array" ref="I2182">IFERROR(INDEX(atlas!B:B,MATCH(A2182,atlas!C:C,0)),"")</f>
        <v/>
      </c>
      <c r="J2182" s="8" t="str">
        <f>IFERROR(VLOOKUP(F2182,tecnica!A:B,2,0),"")</f>
        <v/>
      </c>
      <c r="K2182" s="8" t="str">
        <f>IFERROR(VLOOKUP(J2182,tecnica!B:C,2,0),"")</f>
        <v/>
      </c>
      <c r="L2182" s="13"/>
      <c r="M2182" s="14" t="str">
        <f>IFERROR(VLOOKUP(I2182,material!A:D,4,0),"")</f>
        <v/>
      </c>
      <c r="N2182" s="14" t="str">
        <f t="shared" si="1"/>
        <v/>
      </c>
      <c r="O2182" s="15" t="str">
        <f>IFERROR(VLOOKUP(I2182,material!A:D,2,0),"")</f>
        <v/>
      </c>
    </row>
    <row r="2183">
      <c r="A2183" s="6"/>
      <c r="B2183" s="7"/>
      <c r="C2183" s="8" t="str">
        <f t="array" ref="C2183">IFERROR(INDEX(atlas!H:H,MATCH(A2183,atlas!C:C,0)),"")</f>
        <v/>
      </c>
      <c r="D2183" s="8" t="str">
        <f t="array" ref="D2183">IFERROR(INDEX(atlas!D:D,MATCH(A2183,atlas!C:C,0)),"")</f>
        <v/>
      </c>
      <c r="E2183" s="8" t="str">
        <f t="array" ref="E2183">IFERROR(INDEX(atlas!F:F,MATCH(A2183,atlas!C:C,0)),"")</f>
        <v/>
      </c>
      <c r="F2183" s="9"/>
      <c r="G2183" s="10"/>
      <c r="H2183" s="11"/>
      <c r="I2183" s="12" t="str">
        <f t="array" ref="I2183">IFERROR(INDEX(atlas!B:B,MATCH(A2183,atlas!C:C,0)),"")</f>
        <v/>
      </c>
      <c r="J2183" s="8" t="str">
        <f>IFERROR(VLOOKUP(F2183,tecnica!A:B,2,0),"")</f>
        <v/>
      </c>
      <c r="K2183" s="8" t="str">
        <f>IFERROR(VLOOKUP(J2183,tecnica!B:C,2,0),"")</f>
        <v/>
      </c>
      <c r="L2183" s="13"/>
      <c r="M2183" s="14" t="str">
        <f>IFERROR(VLOOKUP(I2183,material!A:D,4,0),"")</f>
        <v/>
      </c>
      <c r="N2183" s="14" t="str">
        <f t="shared" si="1"/>
        <v/>
      </c>
      <c r="O2183" s="15" t="str">
        <f>IFERROR(VLOOKUP(I2183,material!A:D,2,0),"")</f>
        <v/>
      </c>
    </row>
    <row r="2184">
      <c r="A2184" s="6"/>
      <c r="B2184" s="7"/>
      <c r="C2184" s="8" t="str">
        <f t="array" ref="C2184">IFERROR(INDEX(atlas!H:H,MATCH(A2184,atlas!C:C,0)),"")</f>
        <v/>
      </c>
      <c r="D2184" s="8" t="str">
        <f t="array" ref="D2184">IFERROR(INDEX(atlas!D:D,MATCH(A2184,atlas!C:C,0)),"")</f>
        <v/>
      </c>
      <c r="E2184" s="8" t="str">
        <f t="array" ref="E2184">IFERROR(INDEX(atlas!F:F,MATCH(A2184,atlas!C:C,0)),"")</f>
        <v/>
      </c>
      <c r="F2184" s="9"/>
      <c r="G2184" s="10"/>
      <c r="H2184" s="11"/>
      <c r="I2184" s="12" t="str">
        <f t="array" ref="I2184">IFERROR(INDEX(atlas!B:B,MATCH(A2184,atlas!C:C,0)),"")</f>
        <v/>
      </c>
      <c r="J2184" s="8" t="str">
        <f>IFERROR(VLOOKUP(F2184,tecnica!A:B,2,0),"")</f>
        <v/>
      </c>
      <c r="K2184" s="8" t="str">
        <f>IFERROR(VLOOKUP(J2184,tecnica!B:C,2,0),"")</f>
        <v/>
      </c>
      <c r="L2184" s="13"/>
      <c r="M2184" s="14" t="str">
        <f>IFERROR(VLOOKUP(I2184,material!A:D,4,0),"")</f>
        <v/>
      </c>
      <c r="N2184" s="14" t="str">
        <f t="shared" si="1"/>
        <v/>
      </c>
      <c r="O2184" s="15" t="str">
        <f>IFERROR(VLOOKUP(I2184,material!A:D,2,0),"")</f>
        <v/>
      </c>
    </row>
    <row r="2185">
      <c r="A2185" s="6"/>
      <c r="B2185" s="7"/>
      <c r="C2185" s="8" t="str">
        <f t="array" ref="C2185">IFERROR(INDEX(atlas!H:H,MATCH(A2185,atlas!C:C,0)),"")</f>
        <v/>
      </c>
      <c r="D2185" s="8" t="str">
        <f t="array" ref="D2185">IFERROR(INDEX(atlas!D:D,MATCH(A2185,atlas!C:C,0)),"")</f>
        <v/>
      </c>
      <c r="E2185" s="8" t="str">
        <f t="array" ref="E2185">IFERROR(INDEX(atlas!F:F,MATCH(A2185,atlas!C:C,0)),"")</f>
        <v/>
      </c>
      <c r="F2185" s="9"/>
      <c r="G2185" s="10"/>
      <c r="H2185" s="11"/>
      <c r="I2185" s="12" t="str">
        <f t="array" ref="I2185">IFERROR(INDEX(atlas!B:B,MATCH(A2185,atlas!C:C,0)),"")</f>
        <v/>
      </c>
      <c r="J2185" s="8" t="str">
        <f>IFERROR(VLOOKUP(F2185,tecnica!A:B,2,0),"")</f>
        <v/>
      </c>
      <c r="K2185" s="8" t="str">
        <f>IFERROR(VLOOKUP(J2185,tecnica!B:C,2,0),"")</f>
        <v/>
      </c>
      <c r="L2185" s="13"/>
      <c r="M2185" s="14" t="str">
        <f>IFERROR(VLOOKUP(I2185,material!A:D,4,0),"")</f>
        <v/>
      </c>
      <c r="N2185" s="14" t="str">
        <f t="shared" si="1"/>
        <v/>
      </c>
      <c r="O2185" s="15" t="str">
        <f>IFERROR(VLOOKUP(I2185,material!A:D,2,0),"")</f>
        <v/>
      </c>
    </row>
    <row r="2186">
      <c r="A2186" s="6"/>
      <c r="B2186" s="7"/>
      <c r="C2186" s="8" t="str">
        <f t="array" ref="C2186">IFERROR(INDEX(atlas!H:H,MATCH(A2186,atlas!C:C,0)),"")</f>
        <v/>
      </c>
      <c r="D2186" s="8" t="str">
        <f t="array" ref="D2186">IFERROR(INDEX(atlas!D:D,MATCH(A2186,atlas!C:C,0)),"")</f>
        <v/>
      </c>
      <c r="E2186" s="8" t="str">
        <f t="array" ref="E2186">IFERROR(INDEX(atlas!F:F,MATCH(A2186,atlas!C:C,0)),"")</f>
        <v/>
      </c>
      <c r="F2186" s="9"/>
      <c r="G2186" s="10"/>
      <c r="H2186" s="11"/>
      <c r="I2186" s="12" t="str">
        <f t="array" ref="I2186">IFERROR(INDEX(atlas!B:B,MATCH(A2186,atlas!C:C,0)),"")</f>
        <v/>
      </c>
      <c r="J2186" s="8" t="str">
        <f>IFERROR(VLOOKUP(F2186,tecnica!A:B,2,0),"")</f>
        <v/>
      </c>
      <c r="K2186" s="8" t="str">
        <f>IFERROR(VLOOKUP(J2186,tecnica!B:C,2,0),"")</f>
        <v/>
      </c>
      <c r="L2186" s="13"/>
      <c r="M2186" s="14" t="str">
        <f>IFERROR(VLOOKUP(I2186,material!A:D,4,0),"")</f>
        <v/>
      </c>
      <c r="N2186" s="14" t="str">
        <f t="shared" si="1"/>
        <v/>
      </c>
      <c r="O2186" s="15" t="str">
        <f>IFERROR(VLOOKUP(I2186,material!A:D,2,0),"")</f>
        <v/>
      </c>
    </row>
    <row r="2187">
      <c r="A2187" s="6"/>
      <c r="B2187" s="7"/>
      <c r="C2187" s="8" t="str">
        <f t="array" ref="C2187">IFERROR(INDEX(atlas!H:H,MATCH(A2187,atlas!C:C,0)),"")</f>
        <v/>
      </c>
      <c r="D2187" s="8" t="str">
        <f t="array" ref="D2187">IFERROR(INDEX(atlas!D:D,MATCH(A2187,atlas!C:C,0)),"")</f>
        <v/>
      </c>
      <c r="E2187" s="8" t="str">
        <f t="array" ref="E2187">IFERROR(INDEX(atlas!F:F,MATCH(A2187,atlas!C:C,0)),"")</f>
        <v/>
      </c>
      <c r="F2187" s="9"/>
      <c r="G2187" s="10"/>
      <c r="H2187" s="11"/>
      <c r="I2187" s="12" t="str">
        <f t="array" ref="I2187">IFERROR(INDEX(atlas!B:B,MATCH(A2187,atlas!C:C,0)),"")</f>
        <v/>
      </c>
      <c r="J2187" s="8" t="str">
        <f>IFERROR(VLOOKUP(F2187,tecnica!A:B,2,0),"")</f>
        <v/>
      </c>
      <c r="K2187" s="8" t="str">
        <f>IFERROR(VLOOKUP(J2187,tecnica!B:C,2,0),"")</f>
        <v/>
      </c>
      <c r="L2187" s="13"/>
      <c r="M2187" s="14" t="str">
        <f>IFERROR(VLOOKUP(I2187,material!A:D,4,0),"")</f>
        <v/>
      </c>
      <c r="N2187" s="14" t="str">
        <f t="shared" si="1"/>
        <v/>
      </c>
      <c r="O2187" s="15" t="str">
        <f>IFERROR(VLOOKUP(I2187,material!A:D,2,0),"")</f>
        <v/>
      </c>
    </row>
    <row r="2188">
      <c r="A2188" s="6"/>
      <c r="B2188" s="7"/>
      <c r="C2188" s="8" t="str">
        <f t="array" ref="C2188">IFERROR(INDEX(atlas!H:H,MATCH(A2188,atlas!C:C,0)),"")</f>
        <v/>
      </c>
      <c r="D2188" s="8" t="str">
        <f t="array" ref="D2188">IFERROR(INDEX(atlas!D:D,MATCH(A2188,atlas!C:C,0)),"")</f>
        <v/>
      </c>
      <c r="E2188" s="8" t="str">
        <f t="array" ref="E2188">IFERROR(INDEX(atlas!F:F,MATCH(A2188,atlas!C:C,0)),"")</f>
        <v/>
      </c>
      <c r="F2188" s="9"/>
      <c r="G2188" s="10"/>
      <c r="H2188" s="11"/>
      <c r="I2188" s="12" t="str">
        <f t="array" ref="I2188">IFERROR(INDEX(atlas!B:B,MATCH(A2188,atlas!C:C,0)),"")</f>
        <v/>
      </c>
      <c r="J2188" s="8" t="str">
        <f>IFERROR(VLOOKUP(F2188,tecnica!A:B,2,0),"")</f>
        <v/>
      </c>
      <c r="K2188" s="8" t="str">
        <f>IFERROR(VLOOKUP(J2188,tecnica!B:C,2,0),"")</f>
        <v/>
      </c>
      <c r="L2188" s="13"/>
      <c r="M2188" s="14" t="str">
        <f>IFERROR(VLOOKUP(I2188,material!A:D,4,0),"")</f>
        <v/>
      </c>
      <c r="N2188" s="14" t="str">
        <f t="shared" si="1"/>
        <v/>
      </c>
      <c r="O2188" s="15" t="str">
        <f>IFERROR(VLOOKUP(I2188,material!A:D,2,0),"")</f>
        <v/>
      </c>
    </row>
    <row r="2189">
      <c r="A2189" s="6"/>
      <c r="B2189" s="7"/>
      <c r="C2189" s="8" t="str">
        <f t="array" ref="C2189">IFERROR(INDEX(atlas!H:H,MATCH(A2189,atlas!C:C,0)),"")</f>
        <v/>
      </c>
      <c r="D2189" s="8" t="str">
        <f t="array" ref="D2189">IFERROR(INDEX(atlas!D:D,MATCH(A2189,atlas!C:C,0)),"")</f>
        <v/>
      </c>
      <c r="E2189" s="8" t="str">
        <f t="array" ref="E2189">IFERROR(INDEX(atlas!F:F,MATCH(A2189,atlas!C:C,0)),"")</f>
        <v/>
      </c>
      <c r="F2189" s="9"/>
      <c r="G2189" s="10"/>
      <c r="H2189" s="11"/>
      <c r="I2189" s="12" t="str">
        <f t="array" ref="I2189">IFERROR(INDEX(atlas!B:B,MATCH(A2189,atlas!C:C,0)),"")</f>
        <v/>
      </c>
      <c r="J2189" s="8" t="str">
        <f>IFERROR(VLOOKUP(F2189,tecnica!A:B,2,0),"")</f>
        <v/>
      </c>
      <c r="K2189" s="8" t="str">
        <f>IFERROR(VLOOKUP(J2189,tecnica!B:C,2,0),"")</f>
        <v/>
      </c>
      <c r="L2189" s="13"/>
      <c r="M2189" s="14" t="str">
        <f>IFERROR(VLOOKUP(I2189,material!A:D,4,0),"")</f>
        <v/>
      </c>
      <c r="N2189" s="14" t="str">
        <f t="shared" si="1"/>
        <v/>
      </c>
      <c r="O2189" s="15" t="str">
        <f>IFERROR(VLOOKUP(I2189,material!A:D,2,0),"")</f>
        <v/>
      </c>
    </row>
    <row r="2190">
      <c r="A2190" s="6"/>
      <c r="B2190" s="7"/>
      <c r="C2190" s="8" t="str">
        <f t="array" ref="C2190">IFERROR(INDEX(atlas!H:H,MATCH(A2190,atlas!C:C,0)),"")</f>
        <v/>
      </c>
      <c r="D2190" s="8" t="str">
        <f t="array" ref="D2190">IFERROR(INDEX(atlas!D:D,MATCH(A2190,atlas!C:C,0)),"")</f>
        <v/>
      </c>
      <c r="E2190" s="8" t="str">
        <f t="array" ref="E2190">IFERROR(INDEX(atlas!F:F,MATCH(A2190,atlas!C:C,0)),"")</f>
        <v/>
      </c>
      <c r="F2190" s="9"/>
      <c r="G2190" s="10"/>
      <c r="H2190" s="11"/>
      <c r="I2190" s="12" t="str">
        <f t="array" ref="I2190">IFERROR(INDEX(atlas!B:B,MATCH(A2190,atlas!C:C,0)),"")</f>
        <v/>
      </c>
      <c r="J2190" s="8" t="str">
        <f>IFERROR(VLOOKUP(F2190,tecnica!A:B,2,0),"")</f>
        <v/>
      </c>
      <c r="K2190" s="8" t="str">
        <f>IFERROR(VLOOKUP(J2190,tecnica!B:C,2,0),"")</f>
        <v/>
      </c>
      <c r="L2190" s="13"/>
      <c r="M2190" s="14" t="str">
        <f>IFERROR(VLOOKUP(I2190,material!A:D,4,0),"")</f>
        <v/>
      </c>
      <c r="N2190" s="14" t="str">
        <f t="shared" si="1"/>
        <v/>
      </c>
      <c r="O2190" s="15" t="str">
        <f>IFERROR(VLOOKUP(I2190,material!A:D,2,0),"")</f>
        <v/>
      </c>
    </row>
    <row r="2191">
      <c r="A2191" s="6"/>
      <c r="B2191" s="7"/>
      <c r="C2191" s="8" t="str">
        <f t="array" ref="C2191">IFERROR(INDEX(atlas!H:H,MATCH(A2191,atlas!C:C,0)),"")</f>
        <v/>
      </c>
      <c r="D2191" s="8" t="str">
        <f t="array" ref="D2191">IFERROR(INDEX(atlas!D:D,MATCH(A2191,atlas!C:C,0)),"")</f>
        <v/>
      </c>
      <c r="E2191" s="8" t="str">
        <f t="array" ref="E2191">IFERROR(INDEX(atlas!F:F,MATCH(A2191,atlas!C:C,0)),"")</f>
        <v/>
      </c>
      <c r="F2191" s="9"/>
      <c r="G2191" s="10"/>
      <c r="H2191" s="11"/>
      <c r="I2191" s="12" t="str">
        <f t="array" ref="I2191">IFERROR(INDEX(atlas!B:B,MATCH(A2191,atlas!C:C,0)),"")</f>
        <v/>
      </c>
      <c r="J2191" s="8" t="str">
        <f>IFERROR(VLOOKUP(F2191,tecnica!A:B,2,0),"")</f>
        <v/>
      </c>
      <c r="K2191" s="8" t="str">
        <f>IFERROR(VLOOKUP(J2191,tecnica!B:C,2,0),"")</f>
        <v/>
      </c>
      <c r="L2191" s="13"/>
      <c r="M2191" s="14" t="str">
        <f>IFERROR(VLOOKUP(I2191,material!A:D,4,0),"")</f>
        <v/>
      </c>
      <c r="N2191" s="14" t="str">
        <f t="shared" si="1"/>
        <v/>
      </c>
      <c r="O2191" s="15" t="str">
        <f>IFERROR(VLOOKUP(I2191,material!A:D,2,0),"")</f>
        <v/>
      </c>
    </row>
    <row r="2192">
      <c r="A2192" s="6"/>
      <c r="B2192" s="7"/>
      <c r="C2192" s="8" t="str">
        <f t="array" ref="C2192">IFERROR(INDEX(atlas!H:H,MATCH(A2192,atlas!C:C,0)),"")</f>
        <v/>
      </c>
      <c r="D2192" s="8" t="str">
        <f t="array" ref="D2192">IFERROR(INDEX(atlas!D:D,MATCH(A2192,atlas!C:C,0)),"")</f>
        <v/>
      </c>
      <c r="E2192" s="8" t="str">
        <f t="array" ref="E2192">IFERROR(INDEX(atlas!F:F,MATCH(A2192,atlas!C:C,0)),"")</f>
        <v/>
      </c>
      <c r="F2192" s="9"/>
      <c r="G2192" s="10"/>
      <c r="H2192" s="11"/>
      <c r="I2192" s="12" t="str">
        <f t="array" ref="I2192">IFERROR(INDEX(atlas!B:B,MATCH(A2192,atlas!C:C,0)),"")</f>
        <v/>
      </c>
      <c r="J2192" s="8" t="str">
        <f>IFERROR(VLOOKUP(F2192,tecnica!A:B,2,0),"")</f>
        <v/>
      </c>
      <c r="K2192" s="8" t="str">
        <f>IFERROR(VLOOKUP(J2192,tecnica!B:C,2,0),"")</f>
        <v/>
      </c>
      <c r="L2192" s="13"/>
      <c r="M2192" s="14" t="str">
        <f>IFERROR(VLOOKUP(I2192,material!A:D,4,0),"")</f>
        <v/>
      </c>
      <c r="N2192" s="14" t="str">
        <f t="shared" si="1"/>
        <v/>
      </c>
      <c r="O2192" s="15" t="str">
        <f>IFERROR(VLOOKUP(I2192,material!A:D,2,0),"")</f>
        <v/>
      </c>
    </row>
    <row r="2193">
      <c r="A2193" s="6"/>
      <c r="B2193" s="7"/>
      <c r="C2193" s="8" t="str">
        <f t="array" ref="C2193">IFERROR(INDEX(atlas!H:H,MATCH(A2193,atlas!C:C,0)),"")</f>
        <v/>
      </c>
      <c r="D2193" s="8" t="str">
        <f t="array" ref="D2193">IFERROR(INDEX(atlas!D:D,MATCH(A2193,atlas!C:C,0)),"")</f>
        <v/>
      </c>
      <c r="E2193" s="8" t="str">
        <f t="array" ref="E2193">IFERROR(INDEX(atlas!F:F,MATCH(A2193,atlas!C:C,0)),"")</f>
        <v/>
      </c>
      <c r="F2193" s="9"/>
      <c r="G2193" s="10"/>
      <c r="H2193" s="11"/>
      <c r="I2193" s="12" t="str">
        <f t="array" ref="I2193">IFERROR(INDEX(atlas!B:B,MATCH(A2193,atlas!C:C,0)),"")</f>
        <v/>
      </c>
      <c r="J2193" s="8" t="str">
        <f>IFERROR(VLOOKUP(F2193,tecnica!A:B,2,0),"")</f>
        <v/>
      </c>
      <c r="K2193" s="8" t="str">
        <f>IFERROR(VLOOKUP(J2193,tecnica!B:C,2,0),"")</f>
        <v/>
      </c>
      <c r="L2193" s="13"/>
      <c r="M2193" s="14" t="str">
        <f>IFERROR(VLOOKUP(I2193,material!A:D,4,0),"")</f>
        <v/>
      </c>
      <c r="N2193" s="14" t="str">
        <f t="shared" si="1"/>
        <v/>
      </c>
      <c r="O2193" s="15" t="str">
        <f>IFERROR(VLOOKUP(I2193,material!A:D,2,0),"")</f>
        <v/>
      </c>
    </row>
    <row r="2194">
      <c r="A2194" s="6"/>
      <c r="B2194" s="7"/>
      <c r="C2194" s="8" t="str">
        <f t="array" ref="C2194">IFERROR(INDEX(atlas!H:H,MATCH(A2194,atlas!C:C,0)),"")</f>
        <v/>
      </c>
      <c r="D2194" s="8" t="str">
        <f t="array" ref="D2194">IFERROR(INDEX(atlas!D:D,MATCH(A2194,atlas!C:C,0)),"")</f>
        <v/>
      </c>
      <c r="E2194" s="8" t="str">
        <f t="array" ref="E2194">IFERROR(INDEX(atlas!F:F,MATCH(A2194,atlas!C:C,0)),"")</f>
        <v/>
      </c>
      <c r="F2194" s="9"/>
      <c r="G2194" s="10"/>
      <c r="H2194" s="11"/>
      <c r="I2194" s="12" t="str">
        <f t="array" ref="I2194">IFERROR(INDEX(atlas!B:B,MATCH(A2194,atlas!C:C,0)),"")</f>
        <v/>
      </c>
      <c r="J2194" s="8" t="str">
        <f>IFERROR(VLOOKUP(F2194,tecnica!A:B,2,0),"")</f>
        <v/>
      </c>
      <c r="K2194" s="8" t="str">
        <f>IFERROR(VLOOKUP(J2194,tecnica!B:C,2,0),"")</f>
        <v/>
      </c>
      <c r="L2194" s="13"/>
      <c r="M2194" s="14" t="str">
        <f>IFERROR(VLOOKUP(I2194,material!A:D,4,0),"")</f>
        <v/>
      </c>
      <c r="N2194" s="14" t="str">
        <f t="shared" si="1"/>
        <v/>
      </c>
      <c r="O2194" s="15" t="str">
        <f>IFERROR(VLOOKUP(I2194,material!A:D,2,0),"")</f>
        <v/>
      </c>
    </row>
    <row r="2195">
      <c r="A2195" s="6"/>
      <c r="B2195" s="7"/>
      <c r="C2195" s="8" t="str">
        <f t="array" ref="C2195">IFERROR(INDEX(atlas!H:H,MATCH(A2195,atlas!C:C,0)),"")</f>
        <v/>
      </c>
      <c r="D2195" s="8" t="str">
        <f t="array" ref="D2195">IFERROR(INDEX(atlas!D:D,MATCH(A2195,atlas!C:C,0)),"")</f>
        <v/>
      </c>
      <c r="E2195" s="8" t="str">
        <f t="array" ref="E2195">IFERROR(INDEX(atlas!F:F,MATCH(A2195,atlas!C:C,0)),"")</f>
        <v/>
      </c>
      <c r="F2195" s="9"/>
      <c r="G2195" s="10"/>
      <c r="H2195" s="11"/>
      <c r="I2195" s="12" t="str">
        <f t="array" ref="I2195">IFERROR(INDEX(atlas!B:B,MATCH(A2195,atlas!C:C,0)),"")</f>
        <v/>
      </c>
      <c r="J2195" s="8" t="str">
        <f>IFERROR(VLOOKUP(F2195,tecnica!A:B,2,0),"")</f>
        <v/>
      </c>
      <c r="K2195" s="8" t="str">
        <f>IFERROR(VLOOKUP(J2195,tecnica!B:C,2,0),"")</f>
        <v/>
      </c>
      <c r="L2195" s="13"/>
      <c r="M2195" s="14" t="str">
        <f>IFERROR(VLOOKUP(I2195,material!A:D,4,0),"")</f>
        <v/>
      </c>
      <c r="N2195" s="14" t="str">
        <f t="shared" si="1"/>
        <v/>
      </c>
      <c r="O2195" s="15" t="str">
        <f>IFERROR(VLOOKUP(I2195,material!A:D,2,0),"")</f>
        <v/>
      </c>
    </row>
    <row r="2196">
      <c r="A2196" s="6"/>
      <c r="B2196" s="7"/>
      <c r="C2196" s="8" t="str">
        <f t="array" ref="C2196">IFERROR(INDEX(atlas!H:H,MATCH(A2196,atlas!C:C,0)),"")</f>
        <v/>
      </c>
      <c r="D2196" s="8" t="str">
        <f t="array" ref="D2196">IFERROR(INDEX(atlas!D:D,MATCH(A2196,atlas!C:C,0)),"")</f>
        <v/>
      </c>
      <c r="E2196" s="8" t="str">
        <f t="array" ref="E2196">IFERROR(INDEX(atlas!F:F,MATCH(A2196,atlas!C:C,0)),"")</f>
        <v/>
      </c>
      <c r="F2196" s="9"/>
      <c r="G2196" s="10"/>
      <c r="H2196" s="11"/>
      <c r="I2196" s="12" t="str">
        <f t="array" ref="I2196">IFERROR(INDEX(atlas!B:B,MATCH(A2196,atlas!C:C,0)),"")</f>
        <v/>
      </c>
      <c r="J2196" s="8" t="str">
        <f>IFERROR(VLOOKUP(F2196,tecnica!A:B,2,0),"")</f>
        <v/>
      </c>
      <c r="K2196" s="8" t="str">
        <f>IFERROR(VLOOKUP(J2196,tecnica!B:C,2,0),"")</f>
        <v/>
      </c>
      <c r="L2196" s="13"/>
      <c r="M2196" s="14" t="str">
        <f>IFERROR(VLOOKUP(I2196,material!A:D,4,0),"")</f>
        <v/>
      </c>
      <c r="N2196" s="14" t="str">
        <f t="shared" si="1"/>
        <v/>
      </c>
      <c r="O2196" s="15" t="str">
        <f>IFERROR(VLOOKUP(I2196,material!A:D,2,0),"")</f>
        <v/>
      </c>
    </row>
    <row r="2197">
      <c r="A2197" s="6"/>
      <c r="B2197" s="7"/>
      <c r="C2197" s="8" t="str">
        <f t="array" ref="C2197">IFERROR(INDEX(atlas!H:H,MATCH(A2197,atlas!C:C,0)),"")</f>
        <v/>
      </c>
      <c r="D2197" s="8" t="str">
        <f t="array" ref="D2197">IFERROR(INDEX(atlas!D:D,MATCH(A2197,atlas!C:C,0)),"")</f>
        <v/>
      </c>
      <c r="E2197" s="8" t="str">
        <f t="array" ref="E2197">IFERROR(INDEX(atlas!F:F,MATCH(A2197,atlas!C:C,0)),"")</f>
        <v/>
      </c>
      <c r="F2197" s="9"/>
      <c r="G2197" s="10"/>
      <c r="H2197" s="11"/>
      <c r="I2197" s="12" t="str">
        <f t="array" ref="I2197">IFERROR(INDEX(atlas!B:B,MATCH(A2197,atlas!C:C,0)),"")</f>
        <v/>
      </c>
      <c r="J2197" s="8" t="str">
        <f>IFERROR(VLOOKUP(F2197,tecnica!A:B,2,0),"")</f>
        <v/>
      </c>
      <c r="K2197" s="8" t="str">
        <f>IFERROR(VLOOKUP(J2197,tecnica!B:C,2,0),"")</f>
        <v/>
      </c>
      <c r="L2197" s="13"/>
      <c r="M2197" s="14" t="str">
        <f>IFERROR(VLOOKUP(I2197,material!A:D,4,0),"")</f>
        <v/>
      </c>
      <c r="N2197" s="14" t="str">
        <f t="shared" si="1"/>
        <v/>
      </c>
      <c r="O2197" s="15" t="str">
        <f>IFERROR(VLOOKUP(I2197,material!A:D,2,0),"")</f>
        <v/>
      </c>
    </row>
    <row r="2198">
      <c r="A2198" s="6"/>
      <c r="B2198" s="7"/>
      <c r="C2198" s="8" t="str">
        <f t="array" ref="C2198">IFERROR(INDEX(atlas!H:H,MATCH(A2198,atlas!C:C,0)),"")</f>
        <v/>
      </c>
      <c r="D2198" s="8" t="str">
        <f t="array" ref="D2198">IFERROR(INDEX(atlas!D:D,MATCH(A2198,atlas!C:C,0)),"")</f>
        <v/>
      </c>
      <c r="E2198" s="8" t="str">
        <f t="array" ref="E2198">IFERROR(INDEX(atlas!F:F,MATCH(A2198,atlas!C:C,0)),"")</f>
        <v/>
      </c>
      <c r="F2198" s="9"/>
      <c r="G2198" s="10"/>
      <c r="H2198" s="11"/>
      <c r="I2198" s="12" t="str">
        <f t="array" ref="I2198">IFERROR(INDEX(atlas!B:B,MATCH(A2198,atlas!C:C,0)),"")</f>
        <v/>
      </c>
      <c r="J2198" s="8" t="str">
        <f>IFERROR(VLOOKUP(F2198,tecnica!A:B,2,0),"")</f>
        <v/>
      </c>
      <c r="K2198" s="8" t="str">
        <f>IFERROR(VLOOKUP(J2198,tecnica!B:C,2,0),"")</f>
        <v/>
      </c>
      <c r="L2198" s="13"/>
      <c r="M2198" s="14" t="str">
        <f>IFERROR(VLOOKUP(I2198,material!A:D,4,0),"")</f>
        <v/>
      </c>
      <c r="N2198" s="14" t="str">
        <f t="shared" si="1"/>
        <v/>
      </c>
      <c r="O2198" s="15" t="str">
        <f>IFERROR(VLOOKUP(I2198,material!A:D,2,0),"")</f>
        <v/>
      </c>
    </row>
    <row r="2199">
      <c r="A2199" s="6"/>
      <c r="B2199" s="7"/>
      <c r="C2199" s="8" t="str">
        <f t="array" ref="C2199">IFERROR(INDEX(atlas!H:H,MATCH(A2199,atlas!C:C,0)),"")</f>
        <v/>
      </c>
      <c r="D2199" s="8" t="str">
        <f t="array" ref="D2199">IFERROR(INDEX(atlas!D:D,MATCH(A2199,atlas!C:C,0)),"")</f>
        <v/>
      </c>
      <c r="E2199" s="8" t="str">
        <f t="array" ref="E2199">IFERROR(INDEX(atlas!F:F,MATCH(A2199,atlas!C:C,0)),"")</f>
        <v/>
      </c>
      <c r="F2199" s="9"/>
      <c r="G2199" s="10"/>
      <c r="H2199" s="11"/>
      <c r="I2199" s="12" t="str">
        <f t="array" ref="I2199">IFERROR(INDEX(atlas!B:B,MATCH(A2199,atlas!C:C,0)),"")</f>
        <v/>
      </c>
      <c r="J2199" s="8" t="str">
        <f>IFERROR(VLOOKUP(F2199,tecnica!A:B,2,0),"")</f>
        <v/>
      </c>
      <c r="K2199" s="8" t="str">
        <f>IFERROR(VLOOKUP(J2199,tecnica!B:C,2,0),"")</f>
        <v/>
      </c>
      <c r="L2199" s="13"/>
      <c r="M2199" s="14" t="str">
        <f>IFERROR(VLOOKUP(I2199,material!A:D,4,0),"")</f>
        <v/>
      </c>
      <c r="N2199" s="14" t="str">
        <f t="shared" si="1"/>
        <v/>
      </c>
      <c r="O2199" s="15" t="str">
        <f>IFERROR(VLOOKUP(I2199,material!A:D,2,0),"")</f>
        <v/>
      </c>
    </row>
    <row r="2200">
      <c r="A2200" s="6"/>
      <c r="B2200" s="7"/>
      <c r="C2200" s="8" t="str">
        <f t="array" ref="C2200">IFERROR(INDEX(atlas!H:H,MATCH(A2200,atlas!C:C,0)),"")</f>
        <v/>
      </c>
      <c r="D2200" s="8" t="str">
        <f t="array" ref="D2200">IFERROR(INDEX(atlas!D:D,MATCH(A2200,atlas!C:C,0)),"")</f>
        <v/>
      </c>
      <c r="E2200" s="8" t="str">
        <f t="array" ref="E2200">IFERROR(INDEX(atlas!F:F,MATCH(A2200,atlas!C:C,0)),"")</f>
        <v/>
      </c>
      <c r="F2200" s="9"/>
      <c r="G2200" s="10"/>
      <c r="H2200" s="11"/>
      <c r="I2200" s="12" t="str">
        <f t="array" ref="I2200">IFERROR(INDEX(atlas!B:B,MATCH(A2200,atlas!C:C,0)),"")</f>
        <v/>
      </c>
      <c r="J2200" s="8" t="str">
        <f>IFERROR(VLOOKUP(F2200,tecnica!A:B,2,0),"")</f>
        <v/>
      </c>
      <c r="K2200" s="8" t="str">
        <f>IFERROR(VLOOKUP(J2200,tecnica!B:C,2,0),"")</f>
        <v/>
      </c>
      <c r="L2200" s="13"/>
      <c r="M2200" s="14" t="str">
        <f>IFERROR(VLOOKUP(I2200,material!A:D,4,0),"")</f>
        <v/>
      </c>
      <c r="N2200" s="14" t="str">
        <f t="shared" si="1"/>
        <v/>
      </c>
      <c r="O2200" s="15" t="str">
        <f>IFERROR(VLOOKUP(I2200,material!A:D,2,0),"")</f>
        <v/>
      </c>
    </row>
    <row r="2201">
      <c r="A2201" s="6"/>
      <c r="B2201" s="7"/>
      <c r="C2201" s="8" t="str">
        <f t="array" ref="C2201">IFERROR(INDEX(atlas!H:H,MATCH(A2201,atlas!C:C,0)),"")</f>
        <v/>
      </c>
      <c r="D2201" s="8" t="str">
        <f t="array" ref="D2201">IFERROR(INDEX(atlas!D:D,MATCH(A2201,atlas!C:C,0)),"")</f>
        <v/>
      </c>
      <c r="E2201" s="8" t="str">
        <f t="array" ref="E2201">IFERROR(INDEX(atlas!F:F,MATCH(A2201,atlas!C:C,0)),"")</f>
        <v/>
      </c>
      <c r="F2201" s="9"/>
      <c r="G2201" s="10"/>
      <c r="H2201" s="11"/>
      <c r="I2201" s="12" t="str">
        <f t="array" ref="I2201">IFERROR(INDEX(atlas!B:B,MATCH(A2201,atlas!C:C,0)),"")</f>
        <v/>
      </c>
      <c r="J2201" s="8" t="str">
        <f>IFERROR(VLOOKUP(F2201,tecnica!A:B,2,0),"")</f>
        <v/>
      </c>
      <c r="K2201" s="8" t="str">
        <f>IFERROR(VLOOKUP(J2201,tecnica!B:C,2,0),"")</f>
        <v/>
      </c>
      <c r="L2201" s="13"/>
      <c r="M2201" s="14" t="str">
        <f>IFERROR(VLOOKUP(I2201,material!A:D,4,0),"")</f>
        <v/>
      </c>
      <c r="N2201" s="14" t="str">
        <f t="shared" si="1"/>
        <v/>
      </c>
      <c r="O2201" s="15" t="str">
        <f>IFERROR(VLOOKUP(I2201,material!A:D,2,0),"")</f>
        <v/>
      </c>
    </row>
    <row r="2202">
      <c r="A2202" s="6"/>
      <c r="B2202" s="7"/>
      <c r="C2202" s="8" t="str">
        <f t="array" ref="C2202">IFERROR(INDEX(atlas!H:H,MATCH(A2202,atlas!C:C,0)),"")</f>
        <v/>
      </c>
      <c r="D2202" s="8" t="str">
        <f t="array" ref="D2202">IFERROR(INDEX(atlas!D:D,MATCH(A2202,atlas!C:C,0)),"")</f>
        <v/>
      </c>
      <c r="E2202" s="8" t="str">
        <f t="array" ref="E2202">IFERROR(INDEX(atlas!F:F,MATCH(A2202,atlas!C:C,0)),"")</f>
        <v/>
      </c>
      <c r="F2202" s="9"/>
      <c r="G2202" s="10"/>
      <c r="H2202" s="11"/>
      <c r="I2202" s="12" t="str">
        <f t="array" ref="I2202">IFERROR(INDEX(atlas!B:B,MATCH(A2202,atlas!C:C,0)),"")</f>
        <v/>
      </c>
      <c r="J2202" s="8" t="str">
        <f>IFERROR(VLOOKUP(F2202,tecnica!A:B,2,0),"")</f>
        <v/>
      </c>
      <c r="K2202" s="8" t="str">
        <f>IFERROR(VLOOKUP(J2202,tecnica!B:C,2,0),"")</f>
        <v/>
      </c>
      <c r="L2202" s="13"/>
      <c r="M2202" s="14" t="str">
        <f>IFERROR(VLOOKUP(I2202,material!A:D,4,0),"")</f>
        <v/>
      </c>
      <c r="N2202" s="14" t="str">
        <f t="shared" si="1"/>
        <v/>
      </c>
      <c r="O2202" s="15" t="str">
        <f>IFERROR(VLOOKUP(I2202,material!A:D,2,0),"")</f>
        <v/>
      </c>
    </row>
    <row r="2203">
      <c r="A2203" s="6"/>
      <c r="B2203" s="7"/>
      <c r="C2203" s="8" t="str">
        <f t="array" ref="C2203">IFERROR(INDEX(atlas!H:H,MATCH(A2203,atlas!C:C,0)),"")</f>
        <v/>
      </c>
      <c r="D2203" s="8" t="str">
        <f t="array" ref="D2203">IFERROR(INDEX(atlas!D:D,MATCH(A2203,atlas!C:C,0)),"")</f>
        <v/>
      </c>
      <c r="E2203" s="8" t="str">
        <f t="array" ref="E2203">IFERROR(INDEX(atlas!F:F,MATCH(A2203,atlas!C:C,0)),"")</f>
        <v/>
      </c>
      <c r="F2203" s="9"/>
      <c r="G2203" s="10"/>
      <c r="H2203" s="11"/>
      <c r="I2203" s="12" t="str">
        <f t="array" ref="I2203">IFERROR(INDEX(atlas!B:B,MATCH(A2203,atlas!C:C,0)),"")</f>
        <v/>
      </c>
      <c r="J2203" s="8" t="str">
        <f>IFERROR(VLOOKUP(F2203,tecnica!A:B,2,0),"")</f>
        <v/>
      </c>
      <c r="K2203" s="8" t="str">
        <f>IFERROR(VLOOKUP(J2203,tecnica!B:C,2,0),"")</f>
        <v/>
      </c>
      <c r="L2203" s="13"/>
      <c r="M2203" s="14" t="str">
        <f>IFERROR(VLOOKUP(I2203,material!A:D,4,0),"")</f>
        <v/>
      </c>
      <c r="N2203" s="14" t="str">
        <f t="shared" si="1"/>
        <v/>
      </c>
      <c r="O2203" s="15" t="str">
        <f>IFERROR(VLOOKUP(I2203,material!A:D,2,0),"")</f>
        <v/>
      </c>
    </row>
    <row r="2204">
      <c r="A2204" s="6"/>
      <c r="B2204" s="7"/>
      <c r="C2204" s="8" t="str">
        <f t="array" ref="C2204">IFERROR(INDEX(atlas!H:H,MATCH(A2204,atlas!C:C,0)),"")</f>
        <v/>
      </c>
      <c r="D2204" s="8" t="str">
        <f t="array" ref="D2204">IFERROR(INDEX(atlas!D:D,MATCH(A2204,atlas!C:C,0)),"")</f>
        <v/>
      </c>
      <c r="E2204" s="8" t="str">
        <f t="array" ref="E2204">IFERROR(INDEX(atlas!F:F,MATCH(A2204,atlas!C:C,0)),"")</f>
        <v/>
      </c>
      <c r="F2204" s="9"/>
      <c r="G2204" s="10"/>
      <c r="H2204" s="11"/>
      <c r="I2204" s="12" t="str">
        <f t="array" ref="I2204">IFERROR(INDEX(atlas!B:B,MATCH(A2204,atlas!C:C,0)),"")</f>
        <v/>
      </c>
      <c r="J2204" s="8" t="str">
        <f>IFERROR(VLOOKUP(F2204,tecnica!A:B,2,0),"")</f>
        <v/>
      </c>
      <c r="K2204" s="8" t="str">
        <f>IFERROR(VLOOKUP(J2204,tecnica!B:C,2,0),"")</f>
        <v/>
      </c>
      <c r="L2204" s="13"/>
      <c r="M2204" s="14" t="str">
        <f>IFERROR(VLOOKUP(I2204,material!A:D,4,0),"")</f>
        <v/>
      </c>
      <c r="N2204" s="14" t="str">
        <f t="shared" si="1"/>
        <v/>
      </c>
      <c r="O2204" s="15" t="str">
        <f>IFERROR(VLOOKUP(I2204,material!A:D,2,0),"")</f>
        <v/>
      </c>
    </row>
    <row r="2205">
      <c r="A2205" s="6"/>
      <c r="B2205" s="7"/>
      <c r="C2205" s="8" t="str">
        <f t="array" ref="C2205">IFERROR(INDEX(atlas!H:H,MATCH(A2205,atlas!C:C,0)),"")</f>
        <v/>
      </c>
      <c r="D2205" s="8" t="str">
        <f t="array" ref="D2205">IFERROR(INDEX(atlas!D:D,MATCH(A2205,atlas!C:C,0)),"")</f>
        <v/>
      </c>
      <c r="E2205" s="8" t="str">
        <f t="array" ref="E2205">IFERROR(INDEX(atlas!F:F,MATCH(A2205,atlas!C:C,0)),"")</f>
        <v/>
      </c>
      <c r="F2205" s="9"/>
      <c r="G2205" s="10"/>
      <c r="H2205" s="11"/>
      <c r="I2205" s="12" t="str">
        <f t="array" ref="I2205">IFERROR(INDEX(atlas!B:B,MATCH(A2205,atlas!C:C,0)),"")</f>
        <v/>
      </c>
      <c r="J2205" s="8" t="str">
        <f>IFERROR(VLOOKUP(F2205,tecnica!A:B,2,0),"")</f>
        <v/>
      </c>
      <c r="K2205" s="8" t="str">
        <f>IFERROR(VLOOKUP(J2205,tecnica!B:C,2,0),"")</f>
        <v/>
      </c>
      <c r="L2205" s="13"/>
      <c r="M2205" s="14" t="str">
        <f>IFERROR(VLOOKUP(I2205,material!A:D,4,0),"")</f>
        <v/>
      </c>
      <c r="N2205" s="14" t="str">
        <f t="shared" si="1"/>
        <v/>
      </c>
      <c r="O2205" s="15" t="str">
        <f>IFERROR(VLOOKUP(I2205,material!A:D,2,0),"")</f>
        <v/>
      </c>
    </row>
    <row r="2206">
      <c r="A2206" s="6"/>
      <c r="B2206" s="7"/>
      <c r="C2206" s="8" t="str">
        <f t="array" ref="C2206">IFERROR(INDEX(atlas!H:H,MATCH(A2206,atlas!C:C,0)),"")</f>
        <v/>
      </c>
      <c r="D2206" s="8" t="str">
        <f t="array" ref="D2206">IFERROR(INDEX(atlas!D:D,MATCH(A2206,atlas!C:C,0)),"")</f>
        <v/>
      </c>
      <c r="E2206" s="8" t="str">
        <f t="array" ref="E2206">IFERROR(INDEX(atlas!F:F,MATCH(A2206,atlas!C:C,0)),"")</f>
        <v/>
      </c>
      <c r="F2206" s="9"/>
      <c r="G2206" s="10"/>
      <c r="H2206" s="11"/>
      <c r="I2206" s="12" t="str">
        <f t="array" ref="I2206">IFERROR(INDEX(atlas!B:B,MATCH(A2206,atlas!C:C,0)),"")</f>
        <v/>
      </c>
      <c r="J2206" s="8" t="str">
        <f>IFERROR(VLOOKUP(F2206,tecnica!A:B,2,0),"")</f>
        <v/>
      </c>
      <c r="K2206" s="8" t="str">
        <f>IFERROR(VLOOKUP(J2206,tecnica!B:C,2,0),"")</f>
        <v/>
      </c>
      <c r="L2206" s="13"/>
      <c r="M2206" s="14" t="str">
        <f>IFERROR(VLOOKUP(I2206,material!A:D,4,0),"")</f>
        <v/>
      </c>
      <c r="N2206" s="14" t="str">
        <f t="shared" si="1"/>
        <v/>
      </c>
      <c r="O2206" s="15" t="str">
        <f>IFERROR(VLOOKUP(I2206,material!A:D,2,0),"")</f>
        <v/>
      </c>
    </row>
    <row r="2207">
      <c r="A2207" s="6"/>
      <c r="B2207" s="7"/>
      <c r="C2207" s="8" t="str">
        <f t="array" ref="C2207">IFERROR(INDEX(atlas!H:H,MATCH(A2207,atlas!C:C,0)),"")</f>
        <v/>
      </c>
      <c r="D2207" s="8" t="str">
        <f t="array" ref="D2207">IFERROR(INDEX(atlas!D:D,MATCH(A2207,atlas!C:C,0)),"")</f>
        <v/>
      </c>
      <c r="E2207" s="8" t="str">
        <f t="array" ref="E2207">IFERROR(INDEX(atlas!F:F,MATCH(A2207,atlas!C:C,0)),"")</f>
        <v/>
      </c>
      <c r="F2207" s="9"/>
      <c r="G2207" s="10"/>
      <c r="H2207" s="11"/>
      <c r="I2207" s="12" t="str">
        <f t="array" ref="I2207">IFERROR(INDEX(atlas!B:B,MATCH(A2207,atlas!C:C,0)),"")</f>
        <v/>
      </c>
      <c r="J2207" s="8" t="str">
        <f>IFERROR(VLOOKUP(F2207,tecnica!A:B,2,0),"")</f>
        <v/>
      </c>
      <c r="K2207" s="8" t="str">
        <f>IFERROR(VLOOKUP(J2207,tecnica!B:C,2,0),"")</f>
        <v/>
      </c>
      <c r="L2207" s="13"/>
      <c r="M2207" s="14" t="str">
        <f>IFERROR(VLOOKUP(I2207,material!A:D,4,0),"")</f>
        <v/>
      </c>
      <c r="N2207" s="14" t="str">
        <f t="shared" si="1"/>
        <v/>
      </c>
      <c r="O2207" s="15" t="str">
        <f>IFERROR(VLOOKUP(I2207,material!A:D,2,0),"")</f>
        <v/>
      </c>
    </row>
    <row r="2208">
      <c r="A2208" s="6"/>
      <c r="B2208" s="7"/>
      <c r="C2208" s="8" t="str">
        <f t="array" ref="C2208">IFERROR(INDEX(atlas!H:H,MATCH(A2208,atlas!C:C,0)),"")</f>
        <v/>
      </c>
      <c r="D2208" s="8" t="str">
        <f t="array" ref="D2208">IFERROR(INDEX(atlas!D:D,MATCH(A2208,atlas!C:C,0)),"")</f>
        <v/>
      </c>
      <c r="E2208" s="8" t="str">
        <f t="array" ref="E2208">IFERROR(INDEX(atlas!F:F,MATCH(A2208,atlas!C:C,0)),"")</f>
        <v/>
      </c>
      <c r="F2208" s="9"/>
      <c r="G2208" s="10"/>
      <c r="H2208" s="11"/>
      <c r="I2208" s="12" t="str">
        <f t="array" ref="I2208">IFERROR(INDEX(atlas!B:B,MATCH(A2208,atlas!C:C,0)),"")</f>
        <v/>
      </c>
      <c r="J2208" s="8" t="str">
        <f>IFERROR(VLOOKUP(F2208,tecnica!A:B,2,0),"")</f>
        <v/>
      </c>
      <c r="K2208" s="8" t="str">
        <f>IFERROR(VLOOKUP(J2208,tecnica!B:C,2,0),"")</f>
        <v/>
      </c>
      <c r="L2208" s="13"/>
      <c r="M2208" s="14" t="str">
        <f>IFERROR(VLOOKUP(I2208,material!A:D,4,0),"")</f>
        <v/>
      </c>
      <c r="N2208" s="14" t="str">
        <f t="shared" si="1"/>
        <v/>
      </c>
      <c r="O2208" s="15" t="str">
        <f>IFERROR(VLOOKUP(I2208,material!A:D,2,0),"")</f>
        <v/>
      </c>
    </row>
    <row r="2209">
      <c r="A2209" s="6"/>
      <c r="B2209" s="7"/>
      <c r="C2209" s="8" t="str">
        <f t="array" ref="C2209">IFERROR(INDEX(atlas!H:H,MATCH(A2209,atlas!C:C,0)),"")</f>
        <v/>
      </c>
      <c r="D2209" s="8" t="str">
        <f t="array" ref="D2209">IFERROR(INDEX(atlas!D:D,MATCH(A2209,atlas!C:C,0)),"")</f>
        <v/>
      </c>
      <c r="E2209" s="8" t="str">
        <f t="array" ref="E2209">IFERROR(INDEX(atlas!F:F,MATCH(A2209,atlas!C:C,0)),"")</f>
        <v/>
      </c>
      <c r="F2209" s="9"/>
      <c r="G2209" s="10"/>
      <c r="H2209" s="11"/>
      <c r="I2209" s="12" t="str">
        <f t="array" ref="I2209">IFERROR(INDEX(atlas!B:B,MATCH(A2209,atlas!C:C,0)),"")</f>
        <v/>
      </c>
      <c r="J2209" s="8" t="str">
        <f>IFERROR(VLOOKUP(F2209,tecnica!A:B,2,0),"")</f>
        <v/>
      </c>
      <c r="K2209" s="8" t="str">
        <f>IFERROR(VLOOKUP(J2209,tecnica!B:C,2,0),"")</f>
        <v/>
      </c>
      <c r="L2209" s="13"/>
      <c r="M2209" s="14" t="str">
        <f>IFERROR(VLOOKUP(I2209,material!A:D,4,0),"")</f>
        <v/>
      </c>
      <c r="N2209" s="14" t="str">
        <f t="shared" si="1"/>
        <v/>
      </c>
      <c r="O2209" s="15" t="str">
        <f>IFERROR(VLOOKUP(I2209,material!A:D,2,0),"")</f>
        <v/>
      </c>
    </row>
    <row r="2210">
      <c r="A2210" s="6"/>
      <c r="B2210" s="7"/>
      <c r="C2210" s="8" t="str">
        <f t="array" ref="C2210">IFERROR(INDEX(atlas!H:H,MATCH(A2210,atlas!C:C,0)),"")</f>
        <v/>
      </c>
      <c r="D2210" s="8" t="str">
        <f t="array" ref="D2210">IFERROR(INDEX(atlas!D:D,MATCH(A2210,atlas!C:C,0)),"")</f>
        <v/>
      </c>
      <c r="E2210" s="8" t="str">
        <f t="array" ref="E2210">IFERROR(INDEX(atlas!F:F,MATCH(A2210,atlas!C:C,0)),"")</f>
        <v/>
      </c>
      <c r="F2210" s="9"/>
      <c r="G2210" s="10"/>
      <c r="H2210" s="11"/>
      <c r="I2210" s="12" t="str">
        <f t="array" ref="I2210">IFERROR(INDEX(atlas!B:B,MATCH(A2210,atlas!C:C,0)),"")</f>
        <v/>
      </c>
      <c r="J2210" s="8" t="str">
        <f>IFERROR(VLOOKUP(F2210,tecnica!A:B,2,0),"")</f>
        <v/>
      </c>
      <c r="K2210" s="8" t="str">
        <f>IFERROR(VLOOKUP(J2210,tecnica!B:C,2,0),"")</f>
        <v/>
      </c>
      <c r="L2210" s="13"/>
      <c r="M2210" s="14" t="str">
        <f>IFERROR(VLOOKUP(I2210,material!A:D,4,0),"")</f>
        <v/>
      </c>
      <c r="N2210" s="14" t="str">
        <f t="shared" si="1"/>
        <v/>
      </c>
      <c r="O2210" s="15" t="str">
        <f>IFERROR(VLOOKUP(I2210,material!A:D,2,0),"")</f>
        <v/>
      </c>
    </row>
    <row r="2211">
      <c r="A2211" s="6"/>
      <c r="B2211" s="7"/>
      <c r="C2211" s="8" t="str">
        <f t="array" ref="C2211">IFERROR(INDEX(atlas!H:H,MATCH(A2211,atlas!C:C,0)),"")</f>
        <v/>
      </c>
      <c r="D2211" s="8" t="str">
        <f t="array" ref="D2211">IFERROR(INDEX(atlas!D:D,MATCH(A2211,atlas!C:C,0)),"")</f>
        <v/>
      </c>
      <c r="E2211" s="8" t="str">
        <f t="array" ref="E2211">IFERROR(INDEX(atlas!F:F,MATCH(A2211,atlas!C:C,0)),"")</f>
        <v/>
      </c>
      <c r="F2211" s="9"/>
      <c r="G2211" s="10"/>
      <c r="H2211" s="11"/>
      <c r="I2211" s="12" t="str">
        <f t="array" ref="I2211">IFERROR(INDEX(atlas!B:B,MATCH(A2211,atlas!C:C,0)),"")</f>
        <v/>
      </c>
      <c r="J2211" s="8" t="str">
        <f>IFERROR(VLOOKUP(F2211,tecnica!A:B,2,0),"")</f>
        <v/>
      </c>
      <c r="K2211" s="8" t="str">
        <f>IFERROR(VLOOKUP(J2211,tecnica!B:C,2,0),"")</f>
        <v/>
      </c>
      <c r="L2211" s="13"/>
      <c r="M2211" s="14" t="str">
        <f>IFERROR(VLOOKUP(I2211,material!A:D,4,0),"")</f>
        <v/>
      </c>
      <c r="N2211" s="14" t="str">
        <f t="shared" si="1"/>
        <v/>
      </c>
      <c r="O2211" s="15" t="str">
        <f>IFERROR(VLOOKUP(I2211,material!A:D,2,0),"")</f>
        <v/>
      </c>
    </row>
    <row r="2212">
      <c r="A2212" s="6"/>
      <c r="B2212" s="7"/>
      <c r="C2212" s="8" t="str">
        <f t="array" ref="C2212">IFERROR(INDEX(atlas!H:H,MATCH(A2212,atlas!C:C,0)),"")</f>
        <v/>
      </c>
      <c r="D2212" s="8" t="str">
        <f t="array" ref="D2212">IFERROR(INDEX(atlas!D:D,MATCH(A2212,atlas!C:C,0)),"")</f>
        <v/>
      </c>
      <c r="E2212" s="8" t="str">
        <f t="array" ref="E2212">IFERROR(INDEX(atlas!F:F,MATCH(A2212,atlas!C:C,0)),"")</f>
        <v/>
      </c>
      <c r="F2212" s="9"/>
      <c r="G2212" s="10"/>
      <c r="H2212" s="11"/>
      <c r="I2212" s="12" t="str">
        <f t="array" ref="I2212">IFERROR(INDEX(atlas!B:B,MATCH(A2212,atlas!C:C,0)),"")</f>
        <v/>
      </c>
      <c r="J2212" s="8" t="str">
        <f>IFERROR(VLOOKUP(F2212,tecnica!A:B,2,0),"")</f>
        <v/>
      </c>
      <c r="K2212" s="8" t="str">
        <f>IFERROR(VLOOKUP(J2212,tecnica!B:C,2,0),"")</f>
        <v/>
      </c>
      <c r="L2212" s="13"/>
      <c r="M2212" s="14" t="str">
        <f>IFERROR(VLOOKUP(I2212,material!A:D,4,0),"")</f>
        <v/>
      </c>
      <c r="N2212" s="14" t="str">
        <f t="shared" si="1"/>
        <v/>
      </c>
      <c r="O2212" s="15" t="str">
        <f>IFERROR(VLOOKUP(I2212,material!A:D,2,0),"")</f>
        <v/>
      </c>
    </row>
    <row r="2213">
      <c r="A2213" s="6"/>
      <c r="B2213" s="7"/>
      <c r="C2213" s="8" t="str">
        <f t="array" ref="C2213">IFERROR(INDEX(atlas!H:H,MATCH(A2213,atlas!C:C,0)),"")</f>
        <v/>
      </c>
      <c r="D2213" s="8" t="str">
        <f t="array" ref="D2213">IFERROR(INDEX(atlas!D:D,MATCH(A2213,atlas!C:C,0)),"")</f>
        <v/>
      </c>
      <c r="E2213" s="8" t="str">
        <f t="array" ref="E2213">IFERROR(INDEX(atlas!F:F,MATCH(A2213,atlas!C:C,0)),"")</f>
        <v/>
      </c>
      <c r="F2213" s="9"/>
      <c r="G2213" s="10"/>
      <c r="H2213" s="11"/>
      <c r="I2213" s="12" t="str">
        <f t="array" ref="I2213">IFERROR(INDEX(atlas!B:B,MATCH(A2213,atlas!C:C,0)),"")</f>
        <v/>
      </c>
      <c r="J2213" s="8" t="str">
        <f>IFERROR(VLOOKUP(F2213,tecnica!A:B,2,0),"")</f>
        <v/>
      </c>
      <c r="K2213" s="8" t="str">
        <f>IFERROR(VLOOKUP(J2213,tecnica!B:C,2,0),"")</f>
        <v/>
      </c>
      <c r="L2213" s="13"/>
      <c r="M2213" s="14" t="str">
        <f>IFERROR(VLOOKUP(I2213,material!A:D,4,0),"")</f>
        <v/>
      </c>
      <c r="N2213" s="14" t="str">
        <f t="shared" si="1"/>
        <v/>
      </c>
      <c r="O2213" s="15" t="str">
        <f>IFERROR(VLOOKUP(I2213,material!A:D,2,0),"")</f>
        <v/>
      </c>
    </row>
    <row r="2214">
      <c r="A2214" s="6"/>
      <c r="B2214" s="7"/>
      <c r="C2214" s="8" t="str">
        <f t="array" ref="C2214">IFERROR(INDEX(atlas!H:H,MATCH(A2214,atlas!C:C,0)),"")</f>
        <v/>
      </c>
      <c r="D2214" s="8" t="str">
        <f t="array" ref="D2214">IFERROR(INDEX(atlas!D:D,MATCH(A2214,atlas!C:C,0)),"")</f>
        <v/>
      </c>
      <c r="E2214" s="8" t="str">
        <f t="array" ref="E2214">IFERROR(INDEX(atlas!F:F,MATCH(A2214,atlas!C:C,0)),"")</f>
        <v/>
      </c>
      <c r="F2214" s="9"/>
      <c r="G2214" s="10"/>
      <c r="H2214" s="11"/>
      <c r="I2214" s="12" t="str">
        <f t="array" ref="I2214">IFERROR(INDEX(atlas!B:B,MATCH(A2214,atlas!C:C,0)),"")</f>
        <v/>
      </c>
      <c r="J2214" s="8" t="str">
        <f>IFERROR(VLOOKUP(F2214,tecnica!A:B,2,0),"")</f>
        <v/>
      </c>
      <c r="K2214" s="8" t="str">
        <f>IFERROR(VLOOKUP(J2214,tecnica!B:C,2,0),"")</f>
        <v/>
      </c>
      <c r="L2214" s="13"/>
      <c r="M2214" s="14" t="str">
        <f>IFERROR(VLOOKUP(I2214,material!A:D,4,0),"")</f>
        <v/>
      </c>
      <c r="N2214" s="14" t="str">
        <f t="shared" si="1"/>
        <v/>
      </c>
      <c r="O2214" s="15" t="str">
        <f>IFERROR(VLOOKUP(I2214,material!A:D,2,0),"")</f>
        <v/>
      </c>
    </row>
    <row r="2215">
      <c r="A2215" s="6"/>
      <c r="B2215" s="7"/>
      <c r="C2215" s="8" t="str">
        <f t="array" ref="C2215">IFERROR(INDEX(atlas!H:H,MATCH(A2215,atlas!C:C,0)),"")</f>
        <v/>
      </c>
      <c r="D2215" s="8" t="str">
        <f t="array" ref="D2215">IFERROR(INDEX(atlas!D:D,MATCH(A2215,atlas!C:C,0)),"")</f>
        <v/>
      </c>
      <c r="E2215" s="8" t="str">
        <f t="array" ref="E2215">IFERROR(INDEX(atlas!F:F,MATCH(A2215,atlas!C:C,0)),"")</f>
        <v/>
      </c>
      <c r="F2215" s="9"/>
      <c r="G2215" s="10"/>
      <c r="H2215" s="11"/>
      <c r="I2215" s="12" t="str">
        <f t="array" ref="I2215">IFERROR(INDEX(atlas!B:B,MATCH(A2215,atlas!C:C,0)),"")</f>
        <v/>
      </c>
      <c r="J2215" s="8" t="str">
        <f>IFERROR(VLOOKUP(F2215,tecnica!A:B,2,0),"")</f>
        <v/>
      </c>
      <c r="K2215" s="8" t="str">
        <f>IFERROR(VLOOKUP(J2215,tecnica!B:C,2,0),"")</f>
        <v/>
      </c>
      <c r="L2215" s="13"/>
      <c r="M2215" s="14" t="str">
        <f>IFERROR(VLOOKUP(I2215,material!A:D,4,0),"")</f>
        <v/>
      </c>
      <c r="N2215" s="14" t="str">
        <f t="shared" si="1"/>
        <v/>
      </c>
      <c r="O2215" s="15" t="str">
        <f>IFERROR(VLOOKUP(I2215,material!A:D,2,0),"")</f>
        <v/>
      </c>
    </row>
    <row r="2216">
      <c r="A2216" s="6"/>
      <c r="B2216" s="7"/>
      <c r="C2216" s="8" t="str">
        <f t="array" ref="C2216">IFERROR(INDEX(atlas!H:H,MATCH(A2216,atlas!C:C,0)),"")</f>
        <v/>
      </c>
      <c r="D2216" s="8" t="str">
        <f t="array" ref="D2216">IFERROR(INDEX(atlas!D:D,MATCH(A2216,atlas!C:C,0)),"")</f>
        <v/>
      </c>
      <c r="E2216" s="8" t="str">
        <f t="array" ref="E2216">IFERROR(INDEX(atlas!F:F,MATCH(A2216,atlas!C:C,0)),"")</f>
        <v/>
      </c>
      <c r="F2216" s="9"/>
      <c r="G2216" s="10"/>
      <c r="H2216" s="11"/>
      <c r="I2216" s="12" t="str">
        <f t="array" ref="I2216">IFERROR(INDEX(atlas!B:B,MATCH(A2216,atlas!C:C,0)),"")</f>
        <v/>
      </c>
      <c r="J2216" s="8" t="str">
        <f>IFERROR(VLOOKUP(F2216,tecnica!A:B,2,0),"")</f>
        <v/>
      </c>
      <c r="K2216" s="8" t="str">
        <f>IFERROR(VLOOKUP(J2216,tecnica!B:C,2,0),"")</f>
        <v/>
      </c>
      <c r="L2216" s="13"/>
      <c r="M2216" s="14" t="str">
        <f>IFERROR(VLOOKUP(I2216,material!A:D,4,0),"")</f>
        <v/>
      </c>
      <c r="N2216" s="14" t="str">
        <f t="shared" si="1"/>
        <v/>
      </c>
      <c r="O2216" s="15" t="str">
        <f>IFERROR(VLOOKUP(I2216,material!A:D,2,0),"")</f>
        <v/>
      </c>
    </row>
    <row r="2217">
      <c r="A2217" s="6"/>
      <c r="B2217" s="7"/>
      <c r="C2217" s="8" t="str">
        <f t="array" ref="C2217">IFERROR(INDEX(atlas!H:H,MATCH(A2217,atlas!C:C,0)),"")</f>
        <v/>
      </c>
      <c r="D2217" s="8" t="str">
        <f t="array" ref="D2217">IFERROR(INDEX(atlas!D:D,MATCH(A2217,atlas!C:C,0)),"")</f>
        <v/>
      </c>
      <c r="E2217" s="8" t="str">
        <f t="array" ref="E2217">IFERROR(INDEX(atlas!F:F,MATCH(A2217,atlas!C:C,0)),"")</f>
        <v/>
      </c>
      <c r="F2217" s="9"/>
      <c r="G2217" s="10"/>
      <c r="H2217" s="11"/>
      <c r="I2217" s="12" t="str">
        <f t="array" ref="I2217">IFERROR(INDEX(atlas!B:B,MATCH(A2217,atlas!C:C,0)),"")</f>
        <v/>
      </c>
      <c r="J2217" s="8" t="str">
        <f>IFERROR(VLOOKUP(F2217,tecnica!A:B,2,0),"")</f>
        <v/>
      </c>
      <c r="K2217" s="8" t="str">
        <f>IFERROR(VLOOKUP(J2217,tecnica!B:C,2,0),"")</f>
        <v/>
      </c>
      <c r="L2217" s="13"/>
      <c r="M2217" s="14" t="str">
        <f>IFERROR(VLOOKUP(I2217,material!A:D,4,0),"")</f>
        <v/>
      </c>
      <c r="N2217" s="14" t="str">
        <f t="shared" si="1"/>
        <v/>
      </c>
      <c r="O2217" s="15" t="str">
        <f>IFERROR(VLOOKUP(I2217,material!A:D,2,0),"")</f>
        <v/>
      </c>
    </row>
    <row r="2218">
      <c r="A2218" s="6"/>
      <c r="B2218" s="7"/>
      <c r="C2218" s="8" t="str">
        <f t="array" ref="C2218">IFERROR(INDEX(atlas!H:H,MATCH(A2218,atlas!C:C,0)),"")</f>
        <v/>
      </c>
      <c r="D2218" s="8" t="str">
        <f t="array" ref="D2218">IFERROR(INDEX(atlas!D:D,MATCH(A2218,atlas!C:C,0)),"")</f>
        <v/>
      </c>
      <c r="E2218" s="8" t="str">
        <f t="array" ref="E2218">IFERROR(INDEX(atlas!F:F,MATCH(A2218,atlas!C:C,0)),"")</f>
        <v/>
      </c>
      <c r="F2218" s="9"/>
      <c r="G2218" s="10"/>
      <c r="H2218" s="11"/>
      <c r="I2218" s="12" t="str">
        <f t="array" ref="I2218">IFERROR(INDEX(atlas!B:B,MATCH(A2218,atlas!C:C,0)),"")</f>
        <v/>
      </c>
      <c r="J2218" s="8" t="str">
        <f>IFERROR(VLOOKUP(F2218,tecnica!A:B,2,0),"")</f>
        <v/>
      </c>
      <c r="K2218" s="8" t="str">
        <f>IFERROR(VLOOKUP(J2218,tecnica!B:C,2,0),"")</f>
        <v/>
      </c>
      <c r="L2218" s="13"/>
      <c r="M2218" s="14" t="str">
        <f>IFERROR(VLOOKUP(I2218,material!A:D,4,0),"")</f>
        <v/>
      </c>
      <c r="N2218" s="14" t="str">
        <f t="shared" si="1"/>
        <v/>
      </c>
      <c r="O2218" s="15" t="str">
        <f>IFERROR(VLOOKUP(I2218,material!A:D,2,0),"")</f>
        <v/>
      </c>
    </row>
    <row r="2219">
      <c r="A2219" s="6"/>
      <c r="B2219" s="7"/>
      <c r="C2219" s="8" t="str">
        <f t="array" ref="C2219">IFERROR(INDEX(atlas!H:H,MATCH(A2219,atlas!C:C,0)),"")</f>
        <v/>
      </c>
      <c r="D2219" s="8" t="str">
        <f t="array" ref="D2219">IFERROR(INDEX(atlas!D:D,MATCH(A2219,atlas!C:C,0)),"")</f>
        <v/>
      </c>
      <c r="E2219" s="8" t="str">
        <f t="array" ref="E2219">IFERROR(INDEX(atlas!F:F,MATCH(A2219,atlas!C:C,0)),"")</f>
        <v/>
      </c>
      <c r="F2219" s="9"/>
      <c r="G2219" s="10"/>
      <c r="H2219" s="11"/>
      <c r="I2219" s="12" t="str">
        <f t="array" ref="I2219">IFERROR(INDEX(atlas!B:B,MATCH(A2219,atlas!C:C,0)),"")</f>
        <v/>
      </c>
      <c r="J2219" s="8" t="str">
        <f>IFERROR(VLOOKUP(F2219,tecnica!A:B,2,0),"")</f>
        <v/>
      </c>
      <c r="K2219" s="8" t="str">
        <f>IFERROR(VLOOKUP(J2219,tecnica!B:C,2,0),"")</f>
        <v/>
      </c>
      <c r="L2219" s="13"/>
      <c r="M2219" s="14" t="str">
        <f>IFERROR(VLOOKUP(I2219,material!A:D,4,0),"")</f>
        <v/>
      </c>
      <c r="N2219" s="14" t="str">
        <f t="shared" si="1"/>
        <v/>
      </c>
      <c r="O2219" s="15" t="str">
        <f>IFERROR(VLOOKUP(I2219,material!A:D,2,0),"")</f>
        <v/>
      </c>
    </row>
    <row r="2220">
      <c r="A2220" s="6"/>
      <c r="B2220" s="7"/>
      <c r="C2220" s="8" t="str">
        <f t="array" ref="C2220">IFERROR(INDEX(atlas!H:H,MATCH(A2220,atlas!C:C,0)),"")</f>
        <v/>
      </c>
      <c r="D2220" s="8" t="str">
        <f t="array" ref="D2220">IFERROR(INDEX(atlas!D:D,MATCH(A2220,atlas!C:C,0)),"")</f>
        <v/>
      </c>
      <c r="E2220" s="8" t="str">
        <f t="array" ref="E2220">IFERROR(INDEX(atlas!F:F,MATCH(A2220,atlas!C:C,0)),"")</f>
        <v/>
      </c>
      <c r="F2220" s="9"/>
      <c r="G2220" s="10"/>
      <c r="H2220" s="11"/>
      <c r="I2220" s="12" t="str">
        <f t="array" ref="I2220">IFERROR(INDEX(atlas!B:B,MATCH(A2220,atlas!C:C,0)),"")</f>
        <v/>
      </c>
      <c r="J2220" s="8" t="str">
        <f>IFERROR(VLOOKUP(F2220,tecnica!A:B,2,0),"")</f>
        <v/>
      </c>
      <c r="K2220" s="8" t="str">
        <f>IFERROR(VLOOKUP(J2220,tecnica!B:C,2,0),"")</f>
        <v/>
      </c>
      <c r="L2220" s="13"/>
      <c r="M2220" s="14" t="str">
        <f>IFERROR(VLOOKUP(I2220,material!A:D,4,0),"")</f>
        <v/>
      </c>
      <c r="N2220" s="14" t="str">
        <f t="shared" si="1"/>
        <v/>
      </c>
      <c r="O2220" s="15" t="str">
        <f>IFERROR(VLOOKUP(I2220,material!A:D,2,0),"")</f>
        <v/>
      </c>
    </row>
    <row r="2221">
      <c r="A2221" s="6"/>
      <c r="B2221" s="7"/>
      <c r="C2221" s="8" t="str">
        <f t="array" ref="C2221">IFERROR(INDEX(atlas!H:H,MATCH(A2221,atlas!C:C,0)),"")</f>
        <v/>
      </c>
      <c r="D2221" s="8" t="str">
        <f t="array" ref="D2221">IFERROR(INDEX(atlas!D:D,MATCH(A2221,atlas!C:C,0)),"")</f>
        <v/>
      </c>
      <c r="E2221" s="8" t="str">
        <f t="array" ref="E2221">IFERROR(INDEX(atlas!F:F,MATCH(A2221,atlas!C:C,0)),"")</f>
        <v/>
      </c>
      <c r="F2221" s="9"/>
      <c r="G2221" s="10"/>
      <c r="H2221" s="11"/>
      <c r="I2221" s="12" t="str">
        <f t="array" ref="I2221">IFERROR(INDEX(atlas!B:B,MATCH(A2221,atlas!C:C,0)),"")</f>
        <v/>
      </c>
      <c r="J2221" s="8" t="str">
        <f>IFERROR(VLOOKUP(F2221,tecnica!A:B,2,0),"")</f>
        <v/>
      </c>
      <c r="K2221" s="8" t="str">
        <f>IFERROR(VLOOKUP(J2221,tecnica!B:C,2,0),"")</f>
        <v/>
      </c>
      <c r="L2221" s="13"/>
      <c r="M2221" s="14" t="str">
        <f>IFERROR(VLOOKUP(I2221,material!A:D,4,0),"")</f>
        <v/>
      </c>
      <c r="N2221" s="14" t="str">
        <f t="shared" si="1"/>
        <v/>
      </c>
      <c r="O2221" s="15" t="str">
        <f>IFERROR(VLOOKUP(I2221,material!A:D,2,0),"")</f>
        <v/>
      </c>
    </row>
    <row r="2222">
      <c r="A2222" s="6"/>
      <c r="B2222" s="7"/>
      <c r="C2222" s="8" t="str">
        <f t="array" ref="C2222">IFERROR(INDEX(atlas!H:H,MATCH(A2222,atlas!C:C,0)),"")</f>
        <v/>
      </c>
      <c r="D2222" s="8" t="str">
        <f t="array" ref="D2222">IFERROR(INDEX(atlas!D:D,MATCH(A2222,atlas!C:C,0)),"")</f>
        <v/>
      </c>
      <c r="E2222" s="8" t="str">
        <f t="array" ref="E2222">IFERROR(INDEX(atlas!F:F,MATCH(A2222,atlas!C:C,0)),"")</f>
        <v/>
      </c>
      <c r="F2222" s="9"/>
      <c r="G2222" s="10"/>
      <c r="H2222" s="11"/>
      <c r="I2222" s="12" t="str">
        <f t="array" ref="I2222">IFERROR(INDEX(atlas!B:B,MATCH(A2222,atlas!C:C,0)),"")</f>
        <v/>
      </c>
      <c r="J2222" s="8" t="str">
        <f>IFERROR(VLOOKUP(F2222,tecnica!A:B,2,0),"")</f>
        <v/>
      </c>
      <c r="K2222" s="8" t="str">
        <f>IFERROR(VLOOKUP(J2222,tecnica!B:C,2,0),"")</f>
        <v/>
      </c>
      <c r="L2222" s="13"/>
      <c r="M2222" s="14" t="str">
        <f>IFERROR(VLOOKUP(I2222,material!A:D,4,0),"")</f>
        <v/>
      </c>
      <c r="N2222" s="14" t="str">
        <f t="shared" si="1"/>
        <v/>
      </c>
      <c r="O2222" s="15" t="str">
        <f>IFERROR(VLOOKUP(I2222,material!A:D,2,0),"")</f>
        <v/>
      </c>
    </row>
    <row r="2223">
      <c r="A2223" s="6"/>
      <c r="B2223" s="7"/>
      <c r="C2223" s="8" t="str">
        <f t="array" ref="C2223">IFERROR(INDEX(atlas!H:H,MATCH(A2223,atlas!C:C,0)),"")</f>
        <v/>
      </c>
      <c r="D2223" s="8" t="str">
        <f t="array" ref="D2223">IFERROR(INDEX(atlas!D:D,MATCH(A2223,atlas!C:C,0)),"")</f>
        <v/>
      </c>
      <c r="E2223" s="8" t="str">
        <f t="array" ref="E2223">IFERROR(INDEX(atlas!F:F,MATCH(A2223,atlas!C:C,0)),"")</f>
        <v/>
      </c>
      <c r="F2223" s="9"/>
      <c r="G2223" s="10"/>
      <c r="H2223" s="11"/>
      <c r="I2223" s="12" t="str">
        <f t="array" ref="I2223">IFERROR(INDEX(atlas!B:B,MATCH(A2223,atlas!C:C,0)),"")</f>
        <v/>
      </c>
      <c r="J2223" s="8" t="str">
        <f>IFERROR(VLOOKUP(F2223,tecnica!A:B,2,0),"")</f>
        <v/>
      </c>
      <c r="K2223" s="8" t="str">
        <f>IFERROR(VLOOKUP(J2223,tecnica!B:C,2,0),"")</f>
        <v/>
      </c>
      <c r="L2223" s="13"/>
      <c r="M2223" s="14" t="str">
        <f>IFERROR(VLOOKUP(I2223,material!A:D,4,0),"")</f>
        <v/>
      </c>
      <c r="N2223" s="14" t="str">
        <f t="shared" si="1"/>
        <v/>
      </c>
      <c r="O2223" s="15" t="str">
        <f>IFERROR(VLOOKUP(I2223,material!A:D,2,0),"")</f>
        <v/>
      </c>
    </row>
    <row r="2224">
      <c r="A2224" s="6"/>
      <c r="B2224" s="7"/>
      <c r="C2224" s="8" t="str">
        <f t="array" ref="C2224">IFERROR(INDEX(atlas!H:H,MATCH(A2224,atlas!C:C,0)),"")</f>
        <v/>
      </c>
      <c r="D2224" s="8" t="str">
        <f t="array" ref="D2224">IFERROR(INDEX(atlas!D:D,MATCH(A2224,atlas!C:C,0)),"")</f>
        <v/>
      </c>
      <c r="E2224" s="8" t="str">
        <f t="array" ref="E2224">IFERROR(INDEX(atlas!F:F,MATCH(A2224,atlas!C:C,0)),"")</f>
        <v/>
      </c>
      <c r="F2224" s="9"/>
      <c r="G2224" s="10"/>
      <c r="H2224" s="11"/>
      <c r="I2224" s="12" t="str">
        <f t="array" ref="I2224">IFERROR(INDEX(atlas!B:B,MATCH(A2224,atlas!C:C,0)),"")</f>
        <v/>
      </c>
      <c r="J2224" s="8" t="str">
        <f>IFERROR(VLOOKUP(F2224,tecnica!A:B,2,0),"")</f>
        <v/>
      </c>
      <c r="K2224" s="8" t="str">
        <f>IFERROR(VLOOKUP(J2224,tecnica!B:C,2,0),"")</f>
        <v/>
      </c>
      <c r="L2224" s="13"/>
      <c r="M2224" s="14" t="str">
        <f>IFERROR(VLOOKUP(I2224,material!A:D,4,0),"")</f>
        <v/>
      </c>
      <c r="N2224" s="14" t="str">
        <f t="shared" si="1"/>
        <v/>
      </c>
      <c r="O2224" s="15" t="str">
        <f>IFERROR(VLOOKUP(I2224,material!A:D,2,0),"")</f>
        <v/>
      </c>
    </row>
    <row r="2225">
      <c r="A2225" s="6"/>
      <c r="B2225" s="7"/>
      <c r="C2225" s="8" t="str">
        <f t="array" ref="C2225">IFERROR(INDEX(atlas!H:H,MATCH(A2225,atlas!C:C,0)),"")</f>
        <v/>
      </c>
      <c r="D2225" s="8" t="str">
        <f t="array" ref="D2225">IFERROR(INDEX(atlas!D:D,MATCH(A2225,atlas!C:C,0)),"")</f>
        <v/>
      </c>
      <c r="E2225" s="8" t="str">
        <f t="array" ref="E2225">IFERROR(INDEX(atlas!F:F,MATCH(A2225,atlas!C:C,0)),"")</f>
        <v/>
      </c>
      <c r="F2225" s="9"/>
      <c r="G2225" s="10"/>
      <c r="H2225" s="11"/>
      <c r="I2225" s="12" t="str">
        <f t="array" ref="I2225">IFERROR(INDEX(atlas!B:B,MATCH(A2225,atlas!C:C,0)),"")</f>
        <v/>
      </c>
      <c r="J2225" s="8" t="str">
        <f>IFERROR(VLOOKUP(F2225,tecnica!A:B,2,0),"")</f>
        <v/>
      </c>
      <c r="K2225" s="8" t="str">
        <f>IFERROR(VLOOKUP(J2225,tecnica!B:C,2,0),"")</f>
        <v/>
      </c>
      <c r="L2225" s="13"/>
      <c r="M2225" s="14" t="str">
        <f>IFERROR(VLOOKUP(I2225,material!A:D,4,0),"")</f>
        <v/>
      </c>
      <c r="N2225" s="14" t="str">
        <f t="shared" si="1"/>
        <v/>
      </c>
      <c r="O2225" s="15" t="str">
        <f>IFERROR(VLOOKUP(I2225,material!A:D,2,0),"")</f>
        <v/>
      </c>
    </row>
    <row r="2226">
      <c r="A2226" s="6"/>
      <c r="B2226" s="7"/>
      <c r="C2226" s="8" t="str">
        <f t="array" ref="C2226">IFERROR(INDEX(atlas!H:H,MATCH(A2226,atlas!C:C,0)),"")</f>
        <v/>
      </c>
      <c r="D2226" s="8" t="str">
        <f t="array" ref="D2226">IFERROR(INDEX(atlas!D:D,MATCH(A2226,atlas!C:C,0)),"")</f>
        <v/>
      </c>
      <c r="E2226" s="8" t="str">
        <f t="array" ref="E2226">IFERROR(INDEX(atlas!F:F,MATCH(A2226,atlas!C:C,0)),"")</f>
        <v/>
      </c>
      <c r="F2226" s="9"/>
      <c r="G2226" s="10"/>
      <c r="H2226" s="11"/>
      <c r="I2226" s="12" t="str">
        <f t="array" ref="I2226">IFERROR(INDEX(atlas!B:B,MATCH(A2226,atlas!C:C,0)),"")</f>
        <v/>
      </c>
      <c r="J2226" s="8" t="str">
        <f>IFERROR(VLOOKUP(F2226,tecnica!A:B,2,0),"")</f>
        <v/>
      </c>
      <c r="K2226" s="8" t="str">
        <f>IFERROR(VLOOKUP(J2226,tecnica!B:C,2,0),"")</f>
        <v/>
      </c>
      <c r="L2226" s="13"/>
      <c r="M2226" s="14" t="str">
        <f>IFERROR(VLOOKUP(I2226,material!A:D,4,0),"")</f>
        <v/>
      </c>
      <c r="N2226" s="14" t="str">
        <f t="shared" si="1"/>
        <v/>
      </c>
      <c r="O2226" s="15" t="str">
        <f>IFERROR(VLOOKUP(I2226,material!A:D,2,0),"")</f>
        <v/>
      </c>
    </row>
    <row r="2227">
      <c r="A2227" s="6"/>
      <c r="B2227" s="7"/>
      <c r="C2227" s="8" t="str">
        <f t="array" ref="C2227">IFERROR(INDEX(atlas!H:H,MATCH(A2227,atlas!C:C,0)),"")</f>
        <v/>
      </c>
      <c r="D2227" s="8" t="str">
        <f t="array" ref="D2227">IFERROR(INDEX(atlas!D:D,MATCH(A2227,atlas!C:C,0)),"")</f>
        <v/>
      </c>
      <c r="E2227" s="8" t="str">
        <f t="array" ref="E2227">IFERROR(INDEX(atlas!F:F,MATCH(A2227,atlas!C:C,0)),"")</f>
        <v/>
      </c>
      <c r="F2227" s="9"/>
      <c r="G2227" s="10"/>
      <c r="H2227" s="11"/>
      <c r="I2227" s="12" t="str">
        <f t="array" ref="I2227">IFERROR(INDEX(atlas!B:B,MATCH(A2227,atlas!C:C,0)),"")</f>
        <v/>
      </c>
      <c r="J2227" s="8" t="str">
        <f>IFERROR(VLOOKUP(F2227,tecnica!A:B,2,0),"")</f>
        <v/>
      </c>
      <c r="K2227" s="8" t="str">
        <f>IFERROR(VLOOKUP(J2227,tecnica!B:C,2,0),"")</f>
        <v/>
      </c>
      <c r="L2227" s="13"/>
      <c r="M2227" s="14" t="str">
        <f>IFERROR(VLOOKUP(I2227,material!A:D,4,0),"")</f>
        <v/>
      </c>
      <c r="N2227" s="14" t="str">
        <f t="shared" si="1"/>
        <v/>
      </c>
      <c r="O2227" s="15" t="str">
        <f>IFERROR(VLOOKUP(I2227,material!A:D,2,0),"")</f>
        <v/>
      </c>
    </row>
    <row r="2228">
      <c r="A2228" s="6"/>
      <c r="B2228" s="7"/>
      <c r="C2228" s="8" t="str">
        <f t="array" ref="C2228">IFERROR(INDEX(atlas!H:H,MATCH(A2228,atlas!C:C,0)),"")</f>
        <v/>
      </c>
      <c r="D2228" s="8" t="str">
        <f t="array" ref="D2228">IFERROR(INDEX(atlas!D:D,MATCH(A2228,atlas!C:C,0)),"")</f>
        <v/>
      </c>
      <c r="E2228" s="8" t="str">
        <f t="array" ref="E2228">IFERROR(INDEX(atlas!F:F,MATCH(A2228,atlas!C:C,0)),"")</f>
        <v/>
      </c>
      <c r="F2228" s="9"/>
      <c r="G2228" s="10"/>
      <c r="H2228" s="11"/>
      <c r="I2228" s="12" t="str">
        <f t="array" ref="I2228">IFERROR(INDEX(atlas!B:B,MATCH(A2228,atlas!C:C,0)),"")</f>
        <v/>
      </c>
      <c r="J2228" s="8" t="str">
        <f>IFERROR(VLOOKUP(F2228,tecnica!A:B,2,0),"")</f>
        <v/>
      </c>
      <c r="K2228" s="8" t="str">
        <f>IFERROR(VLOOKUP(J2228,tecnica!B:C,2,0),"")</f>
        <v/>
      </c>
      <c r="L2228" s="13"/>
      <c r="M2228" s="14" t="str">
        <f>IFERROR(VLOOKUP(I2228,material!A:D,4,0),"")</f>
        <v/>
      </c>
      <c r="N2228" s="14" t="str">
        <f t="shared" si="1"/>
        <v/>
      </c>
      <c r="O2228" s="15" t="str">
        <f>IFERROR(VLOOKUP(I2228,material!A:D,2,0),"")</f>
        <v/>
      </c>
    </row>
    <row r="2229">
      <c r="A2229" s="6"/>
      <c r="B2229" s="7"/>
      <c r="C2229" s="8" t="str">
        <f t="array" ref="C2229">IFERROR(INDEX(atlas!H:H,MATCH(A2229,atlas!C:C,0)),"")</f>
        <v/>
      </c>
      <c r="D2229" s="8" t="str">
        <f t="array" ref="D2229">IFERROR(INDEX(atlas!D:D,MATCH(A2229,atlas!C:C,0)),"")</f>
        <v/>
      </c>
      <c r="E2229" s="8" t="str">
        <f t="array" ref="E2229">IFERROR(INDEX(atlas!F:F,MATCH(A2229,atlas!C:C,0)),"")</f>
        <v/>
      </c>
      <c r="F2229" s="9"/>
      <c r="G2229" s="10"/>
      <c r="H2229" s="11"/>
      <c r="I2229" s="12" t="str">
        <f t="array" ref="I2229">IFERROR(INDEX(atlas!B:B,MATCH(A2229,atlas!C:C,0)),"")</f>
        <v/>
      </c>
      <c r="J2229" s="8" t="str">
        <f>IFERROR(VLOOKUP(F2229,tecnica!A:B,2,0),"")</f>
        <v/>
      </c>
      <c r="K2229" s="8" t="str">
        <f>IFERROR(VLOOKUP(J2229,tecnica!B:C,2,0),"")</f>
        <v/>
      </c>
      <c r="L2229" s="13"/>
      <c r="M2229" s="14" t="str">
        <f>IFERROR(VLOOKUP(I2229,material!A:D,4,0),"")</f>
        <v/>
      </c>
      <c r="N2229" s="14" t="str">
        <f t="shared" si="1"/>
        <v/>
      </c>
      <c r="O2229" s="15" t="str">
        <f>IFERROR(VLOOKUP(I2229,material!A:D,2,0),"")</f>
        <v/>
      </c>
    </row>
    <row r="2230">
      <c r="A2230" s="6"/>
      <c r="B2230" s="7"/>
      <c r="C2230" s="8" t="str">
        <f t="array" ref="C2230">IFERROR(INDEX(atlas!H:H,MATCH(A2230,atlas!C:C,0)),"")</f>
        <v/>
      </c>
      <c r="D2230" s="8" t="str">
        <f t="array" ref="D2230">IFERROR(INDEX(atlas!D:D,MATCH(A2230,atlas!C:C,0)),"")</f>
        <v/>
      </c>
      <c r="E2230" s="8" t="str">
        <f t="array" ref="E2230">IFERROR(INDEX(atlas!F:F,MATCH(A2230,atlas!C:C,0)),"")</f>
        <v/>
      </c>
      <c r="F2230" s="9"/>
      <c r="G2230" s="10"/>
      <c r="H2230" s="11"/>
      <c r="I2230" s="12" t="str">
        <f t="array" ref="I2230">IFERROR(INDEX(atlas!B:B,MATCH(A2230,atlas!C:C,0)),"")</f>
        <v/>
      </c>
      <c r="J2230" s="8" t="str">
        <f>IFERROR(VLOOKUP(F2230,tecnica!A:B,2,0),"")</f>
        <v/>
      </c>
      <c r="K2230" s="8" t="str">
        <f>IFERROR(VLOOKUP(J2230,tecnica!B:C,2,0),"")</f>
        <v/>
      </c>
      <c r="L2230" s="13"/>
      <c r="M2230" s="14" t="str">
        <f>IFERROR(VLOOKUP(I2230,material!A:D,4,0),"")</f>
        <v/>
      </c>
      <c r="N2230" s="14" t="str">
        <f t="shared" si="1"/>
        <v/>
      </c>
      <c r="O2230" s="15" t="str">
        <f>IFERROR(VLOOKUP(I2230,material!A:D,2,0),"")</f>
        <v/>
      </c>
    </row>
    <row r="2231">
      <c r="A2231" s="6"/>
      <c r="B2231" s="7"/>
      <c r="C2231" s="8" t="str">
        <f t="array" ref="C2231">IFERROR(INDEX(atlas!H:H,MATCH(A2231,atlas!C:C,0)),"")</f>
        <v/>
      </c>
      <c r="D2231" s="8" t="str">
        <f t="array" ref="D2231">IFERROR(INDEX(atlas!D:D,MATCH(A2231,atlas!C:C,0)),"")</f>
        <v/>
      </c>
      <c r="E2231" s="8" t="str">
        <f t="array" ref="E2231">IFERROR(INDEX(atlas!F:F,MATCH(A2231,atlas!C:C,0)),"")</f>
        <v/>
      </c>
      <c r="F2231" s="9"/>
      <c r="G2231" s="10"/>
      <c r="H2231" s="11"/>
      <c r="I2231" s="12" t="str">
        <f t="array" ref="I2231">IFERROR(INDEX(atlas!B:B,MATCH(A2231,atlas!C:C,0)),"")</f>
        <v/>
      </c>
      <c r="J2231" s="8" t="str">
        <f>IFERROR(VLOOKUP(F2231,tecnica!A:B,2,0),"")</f>
        <v/>
      </c>
      <c r="K2231" s="8" t="str">
        <f>IFERROR(VLOOKUP(J2231,tecnica!B:C,2,0),"")</f>
        <v/>
      </c>
      <c r="L2231" s="13"/>
      <c r="M2231" s="14" t="str">
        <f>IFERROR(VLOOKUP(I2231,material!A:D,4,0),"")</f>
        <v/>
      </c>
      <c r="N2231" s="14" t="str">
        <f t="shared" si="1"/>
        <v/>
      </c>
      <c r="O2231" s="15" t="str">
        <f>IFERROR(VLOOKUP(I2231,material!A:D,2,0),"")</f>
        <v/>
      </c>
    </row>
    <row r="2232">
      <c r="A2232" s="6"/>
      <c r="B2232" s="7"/>
      <c r="C2232" s="8" t="str">
        <f t="array" ref="C2232">IFERROR(INDEX(atlas!H:H,MATCH(A2232,atlas!C:C,0)),"")</f>
        <v/>
      </c>
      <c r="D2232" s="8" t="str">
        <f t="array" ref="D2232">IFERROR(INDEX(atlas!D:D,MATCH(A2232,atlas!C:C,0)),"")</f>
        <v/>
      </c>
      <c r="E2232" s="8" t="str">
        <f t="array" ref="E2232">IFERROR(INDEX(atlas!F:F,MATCH(A2232,atlas!C:C,0)),"")</f>
        <v/>
      </c>
      <c r="F2232" s="9"/>
      <c r="G2232" s="10"/>
      <c r="H2232" s="11"/>
      <c r="I2232" s="12" t="str">
        <f t="array" ref="I2232">IFERROR(INDEX(atlas!B:B,MATCH(A2232,atlas!C:C,0)),"")</f>
        <v/>
      </c>
      <c r="J2232" s="8" t="str">
        <f>IFERROR(VLOOKUP(F2232,tecnica!A:B,2,0),"")</f>
        <v/>
      </c>
      <c r="K2232" s="8" t="str">
        <f>IFERROR(VLOOKUP(J2232,tecnica!B:C,2,0),"")</f>
        <v/>
      </c>
      <c r="L2232" s="13"/>
      <c r="M2232" s="14" t="str">
        <f>IFERROR(VLOOKUP(I2232,material!A:D,4,0),"")</f>
        <v/>
      </c>
      <c r="N2232" s="14" t="str">
        <f t="shared" si="1"/>
        <v/>
      </c>
      <c r="O2232" s="15" t="str">
        <f>IFERROR(VLOOKUP(I2232,material!A:D,2,0),"")</f>
        <v/>
      </c>
    </row>
    <row r="2233">
      <c r="A2233" s="6"/>
      <c r="B2233" s="7"/>
      <c r="C2233" s="8" t="str">
        <f t="array" ref="C2233">IFERROR(INDEX(atlas!H:H,MATCH(A2233,atlas!C:C,0)),"")</f>
        <v/>
      </c>
      <c r="D2233" s="8" t="str">
        <f t="array" ref="D2233">IFERROR(INDEX(atlas!D:D,MATCH(A2233,atlas!C:C,0)),"")</f>
        <v/>
      </c>
      <c r="E2233" s="8" t="str">
        <f t="array" ref="E2233">IFERROR(INDEX(atlas!F:F,MATCH(A2233,atlas!C:C,0)),"")</f>
        <v/>
      </c>
      <c r="F2233" s="9"/>
      <c r="G2233" s="10"/>
      <c r="H2233" s="11"/>
      <c r="I2233" s="12" t="str">
        <f t="array" ref="I2233">IFERROR(INDEX(atlas!B:B,MATCH(A2233,atlas!C:C,0)),"")</f>
        <v/>
      </c>
      <c r="J2233" s="8" t="str">
        <f>IFERROR(VLOOKUP(F2233,tecnica!A:B,2,0),"")</f>
        <v/>
      </c>
      <c r="K2233" s="8" t="str">
        <f>IFERROR(VLOOKUP(J2233,tecnica!B:C,2,0),"")</f>
        <v/>
      </c>
      <c r="L2233" s="13"/>
      <c r="M2233" s="14" t="str">
        <f>IFERROR(VLOOKUP(I2233,material!A:D,4,0),"")</f>
        <v/>
      </c>
      <c r="N2233" s="14" t="str">
        <f t="shared" si="1"/>
        <v/>
      </c>
      <c r="O2233" s="15" t="str">
        <f>IFERROR(VLOOKUP(I2233,material!A:D,2,0),"")</f>
        <v/>
      </c>
    </row>
    <row r="2234">
      <c r="A2234" s="6"/>
      <c r="B2234" s="7"/>
      <c r="C2234" s="8" t="str">
        <f t="array" ref="C2234">IFERROR(INDEX(atlas!H:H,MATCH(A2234,atlas!C:C,0)),"")</f>
        <v/>
      </c>
      <c r="D2234" s="8" t="str">
        <f t="array" ref="D2234">IFERROR(INDEX(atlas!D:D,MATCH(A2234,atlas!C:C,0)),"")</f>
        <v/>
      </c>
      <c r="E2234" s="8" t="str">
        <f t="array" ref="E2234">IFERROR(INDEX(atlas!F:F,MATCH(A2234,atlas!C:C,0)),"")</f>
        <v/>
      </c>
      <c r="F2234" s="9"/>
      <c r="G2234" s="10"/>
      <c r="H2234" s="11"/>
      <c r="I2234" s="12" t="str">
        <f t="array" ref="I2234">IFERROR(INDEX(atlas!B:B,MATCH(A2234,atlas!C:C,0)),"")</f>
        <v/>
      </c>
      <c r="J2234" s="8" t="str">
        <f>IFERROR(VLOOKUP(F2234,tecnica!A:B,2,0),"")</f>
        <v/>
      </c>
      <c r="K2234" s="8" t="str">
        <f>IFERROR(VLOOKUP(J2234,tecnica!B:C,2,0),"")</f>
        <v/>
      </c>
      <c r="L2234" s="13"/>
      <c r="M2234" s="14" t="str">
        <f>IFERROR(VLOOKUP(I2234,material!A:D,4,0),"")</f>
        <v/>
      </c>
      <c r="N2234" s="14" t="str">
        <f t="shared" si="1"/>
        <v/>
      </c>
      <c r="O2234" s="15" t="str">
        <f>IFERROR(VLOOKUP(I2234,material!A:D,2,0),"")</f>
        <v/>
      </c>
    </row>
    <row r="2235">
      <c r="A2235" s="6"/>
      <c r="B2235" s="7"/>
      <c r="C2235" s="8" t="str">
        <f t="array" ref="C2235">IFERROR(INDEX(atlas!H:H,MATCH(A2235,atlas!C:C,0)),"")</f>
        <v/>
      </c>
      <c r="D2235" s="8" t="str">
        <f t="array" ref="D2235">IFERROR(INDEX(atlas!D:D,MATCH(A2235,atlas!C:C,0)),"")</f>
        <v/>
      </c>
      <c r="E2235" s="8" t="str">
        <f t="array" ref="E2235">IFERROR(INDEX(atlas!F:F,MATCH(A2235,atlas!C:C,0)),"")</f>
        <v/>
      </c>
      <c r="F2235" s="9"/>
      <c r="G2235" s="10"/>
      <c r="H2235" s="11"/>
      <c r="I2235" s="12" t="str">
        <f t="array" ref="I2235">IFERROR(INDEX(atlas!B:B,MATCH(A2235,atlas!C:C,0)),"")</f>
        <v/>
      </c>
      <c r="J2235" s="8" t="str">
        <f>IFERROR(VLOOKUP(F2235,tecnica!A:B,2,0),"")</f>
        <v/>
      </c>
      <c r="K2235" s="8" t="str">
        <f>IFERROR(VLOOKUP(J2235,tecnica!B:C,2,0),"")</f>
        <v/>
      </c>
      <c r="L2235" s="13"/>
      <c r="M2235" s="14" t="str">
        <f>IFERROR(VLOOKUP(I2235,material!A:D,4,0),"")</f>
        <v/>
      </c>
      <c r="N2235" s="14" t="str">
        <f t="shared" si="1"/>
        <v/>
      </c>
      <c r="O2235" s="15" t="str">
        <f>IFERROR(VLOOKUP(I2235,material!A:D,2,0),"")</f>
        <v/>
      </c>
    </row>
    <row r="2236">
      <c r="A2236" s="6"/>
      <c r="B2236" s="7"/>
      <c r="C2236" s="8" t="str">
        <f t="array" ref="C2236">IFERROR(INDEX(atlas!H:H,MATCH(A2236,atlas!C:C,0)),"")</f>
        <v/>
      </c>
      <c r="D2236" s="8" t="str">
        <f t="array" ref="D2236">IFERROR(INDEX(atlas!D:D,MATCH(A2236,atlas!C:C,0)),"")</f>
        <v/>
      </c>
      <c r="E2236" s="8" t="str">
        <f t="array" ref="E2236">IFERROR(INDEX(atlas!F:F,MATCH(A2236,atlas!C:C,0)),"")</f>
        <v/>
      </c>
      <c r="F2236" s="9"/>
      <c r="G2236" s="10"/>
      <c r="H2236" s="11"/>
      <c r="I2236" s="12" t="str">
        <f t="array" ref="I2236">IFERROR(INDEX(atlas!B:B,MATCH(A2236,atlas!C:C,0)),"")</f>
        <v/>
      </c>
      <c r="J2236" s="8" t="str">
        <f>IFERROR(VLOOKUP(F2236,tecnica!A:B,2,0),"")</f>
        <v/>
      </c>
      <c r="K2236" s="8" t="str">
        <f>IFERROR(VLOOKUP(J2236,tecnica!B:C,2,0),"")</f>
        <v/>
      </c>
      <c r="L2236" s="13"/>
      <c r="M2236" s="14" t="str">
        <f>IFERROR(VLOOKUP(I2236,material!A:D,4,0),"")</f>
        <v/>
      </c>
      <c r="N2236" s="14" t="str">
        <f t="shared" si="1"/>
        <v/>
      </c>
      <c r="O2236" s="15" t="str">
        <f>IFERROR(VLOOKUP(I2236,material!A:D,2,0),"")</f>
        <v/>
      </c>
    </row>
    <row r="2237">
      <c r="A2237" s="6"/>
      <c r="B2237" s="7"/>
      <c r="C2237" s="8" t="str">
        <f t="array" ref="C2237">IFERROR(INDEX(atlas!H:H,MATCH(A2237,atlas!C:C,0)),"")</f>
        <v/>
      </c>
      <c r="D2237" s="8" t="str">
        <f t="array" ref="D2237">IFERROR(INDEX(atlas!D:D,MATCH(A2237,atlas!C:C,0)),"")</f>
        <v/>
      </c>
      <c r="E2237" s="8" t="str">
        <f t="array" ref="E2237">IFERROR(INDEX(atlas!F:F,MATCH(A2237,atlas!C:C,0)),"")</f>
        <v/>
      </c>
      <c r="F2237" s="9"/>
      <c r="G2237" s="10"/>
      <c r="H2237" s="11"/>
      <c r="I2237" s="12" t="str">
        <f t="array" ref="I2237">IFERROR(INDEX(atlas!B:B,MATCH(A2237,atlas!C:C,0)),"")</f>
        <v/>
      </c>
      <c r="J2237" s="8" t="str">
        <f>IFERROR(VLOOKUP(F2237,tecnica!A:B,2,0),"")</f>
        <v/>
      </c>
      <c r="K2237" s="8" t="str">
        <f>IFERROR(VLOOKUP(J2237,tecnica!B:C,2,0),"")</f>
        <v/>
      </c>
      <c r="L2237" s="13"/>
      <c r="M2237" s="14" t="str">
        <f>IFERROR(VLOOKUP(I2237,material!A:D,4,0),"")</f>
        <v/>
      </c>
      <c r="N2237" s="14" t="str">
        <f t="shared" si="1"/>
        <v/>
      </c>
      <c r="O2237" s="15" t="str">
        <f>IFERROR(VLOOKUP(I2237,material!A:D,2,0),"")</f>
        <v/>
      </c>
    </row>
    <row r="2238">
      <c r="A2238" s="6"/>
      <c r="B2238" s="7"/>
      <c r="C2238" s="8" t="str">
        <f t="array" ref="C2238">IFERROR(INDEX(atlas!H:H,MATCH(A2238,atlas!C:C,0)),"")</f>
        <v/>
      </c>
      <c r="D2238" s="8" t="str">
        <f t="array" ref="D2238">IFERROR(INDEX(atlas!D:D,MATCH(A2238,atlas!C:C,0)),"")</f>
        <v/>
      </c>
      <c r="E2238" s="8" t="str">
        <f t="array" ref="E2238">IFERROR(INDEX(atlas!F:F,MATCH(A2238,atlas!C:C,0)),"")</f>
        <v/>
      </c>
      <c r="F2238" s="9"/>
      <c r="G2238" s="10"/>
      <c r="H2238" s="11"/>
      <c r="I2238" s="12" t="str">
        <f t="array" ref="I2238">IFERROR(INDEX(atlas!B:B,MATCH(A2238,atlas!C:C,0)),"")</f>
        <v/>
      </c>
      <c r="J2238" s="8" t="str">
        <f>IFERROR(VLOOKUP(F2238,tecnica!A:B,2,0),"")</f>
        <v/>
      </c>
      <c r="K2238" s="8" t="str">
        <f>IFERROR(VLOOKUP(J2238,tecnica!B:C,2,0),"")</f>
        <v/>
      </c>
      <c r="L2238" s="13"/>
      <c r="M2238" s="14" t="str">
        <f>IFERROR(VLOOKUP(I2238,material!A:D,4,0),"")</f>
        <v/>
      </c>
      <c r="N2238" s="14" t="str">
        <f t="shared" si="1"/>
        <v/>
      </c>
      <c r="O2238" s="15" t="str">
        <f>IFERROR(VLOOKUP(I2238,material!A:D,2,0),"")</f>
        <v/>
      </c>
    </row>
    <row r="2239">
      <c r="A2239" s="6"/>
      <c r="B2239" s="7"/>
      <c r="C2239" s="8" t="str">
        <f t="array" ref="C2239">IFERROR(INDEX(atlas!H:H,MATCH(A2239,atlas!C:C,0)),"")</f>
        <v/>
      </c>
      <c r="D2239" s="8" t="str">
        <f t="array" ref="D2239">IFERROR(INDEX(atlas!D:D,MATCH(A2239,atlas!C:C,0)),"")</f>
        <v/>
      </c>
      <c r="E2239" s="8" t="str">
        <f t="array" ref="E2239">IFERROR(INDEX(atlas!F:F,MATCH(A2239,atlas!C:C,0)),"")</f>
        <v/>
      </c>
      <c r="F2239" s="9"/>
      <c r="G2239" s="10"/>
      <c r="H2239" s="11"/>
      <c r="I2239" s="12" t="str">
        <f t="array" ref="I2239">IFERROR(INDEX(atlas!B:B,MATCH(A2239,atlas!C:C,0)),"")</f>
        <v/>
      </c>
      <c r="J2239" s="8" t="str">
        <f>IFERROR(VLOOKUP(F2239,tecnica!A:B,2,0),"")</f>
        <v/>
      </c>
      <c r="K2239" s="8" t="str">
        <f>IFERROR(VLOOKUP(J2239,tecnica!B:C,2,0),"")</f>
        <v/>
      </c>
      <c r="L2239" s="13"/>
      <c r="M2239" s="14" t="str">
        <f>IFERROR(VLOOKUP(I2239,material!A:D,4,0),"")</f>
        <v/>
      </c>
      <c r="N2239" s="14" t="str">
        <f t="shared" si="1"/>
        <v/>
      </c>
      <c r="O2239" s="15" t="str">
        <f>IFERROR(VLOOKUP(I2239,material!A:D,2,0),"")</f>
        <v/>
      </c>
    </row>
    <row r="2240">
      <c r="A2240" s="6"/>
      <c r="B2240" s="7"/>
      <c r="C2240" s="8" t="str">
        <f t="array" ref="C2240">IFERROR(INDEX(atlas!H:H,MATCH(A2240,atlas!C:C,0)),"")</f>
        <v/>
      </c>
      <c r="D2240" s="8" t="str">
        <f t="array" ref="D2240">IFERROR(INDEX(atlas!D:D,MATCH(A2240,atlas!C:C,0)),"")</f>
        <v/>
      </c>
      <c r="E2240" s="8" t="str">
        <f t="array" ref="E2240">IFERROR(INDEX(atlas!F:F,MATCH(A2240,atlas!C:C,0)),"")</f>
        <v/>
      </c>
      <c r="F2240" s="9"/>
      <c r="G2240" s="10"/>
      <c r="H2240" s="11"/>
      <c r="I2240" s="12" t="str">
        <f t="array" ref="I2240">IFERROR(INDEX(atlas!B:B,MATCH(A2240,atlas!C:C,0)),"")</f>
        <v/>
      </c>
      <c r="J2240" s="8" t="str">
        <f>IFERROR(VLOOKUP(F2240,tecnica!A:B,2,0),"")</f>
        <v/>
      </c>
      <c r="K2240" s="8" t="str">
        <f>IFERROR(VLOOKUP(J2240,tecnica!B:C,2,0),"")</f>
        <v/>
      </c>
      <c r="L2240" s="13"/>
      <c r="M2240" s="14" t="str">
        <f>IFERROR(VLOOKUP(I2240,material!A:D,4,0),"")</f>
        <v/>
      </c>
      <c r="N2240" s="14" t="str">
        <f t="shared" si="1"/>
        <v/>
      </c>
      <c r="O2240" s="15" t="str">
        <f>IFERROR(VLOOKUP(I2240,material!A:D,2,0),"")</f>
        <v/>
      </c>
    </row>
    <row r="2241">
      <c r="A2241" s="6"/>
      <c r="B2241" s="7"/>
      <c r="C2241" s="8" t="str">
        <f t="array" ref="C2241">IFERROR(INDEX(atlas!H:H,MATCH(A2241,atlas!C:C,0)),"")</f>
        <v/>
      </c>
      <c r="D2241" s="8" t="str">
        <f t="array" ref="D2241">IFERROR(INDEX(atlas!D:D,MATCH(A2241,atlas!C:C,0)),"")</f>
        <v/>
      </c>
      <c r="E2241" s="8" t="str">
        <f t="array" ref="E2241">IFERROR(INDEX(atlas!F:F,MATCH(A2241,atlas!C:C,0)),"")</f>
        <v/>
      </c>
      <c r="F2241" s="9"/>
      <c r="G2241" s="10"/>
      <c r="H2241" s="11"/>
      <c r="I2241" s="12" t="str">
        <f t="array" ref="I2241">IFERROR(INDEX(atlas!B:B,MATCH(A2241,atlas!C:C,0)),"")</f>
        <v/>
      </c>
      <c r="J2241" s="8" t="str">
        <f>IFERROR(VLOOKUP(F2241,tecnica!A:B,2,0),"")</f>
        <v/>
      </c>
      <c r="K2241" s="8" t="str">
        <f>IFERROR(VLOOKUP(J2241,tecnica!B:C,2,0),"")</f>
        <v/>
      </c>
      <c r="L2241" s="13"/>
      <c r="M2241" s="14" t="str">
        <f>IFERROR(VLOOKUP(I2241,material!A:D,4,0),"")</f>
        <v/>
      </c>
      <c r="N2241" s="14" t="str">
        <f t="shared" si="1"/>
        <v/>
      </c>
      <c r="O2241" s="15" t="str">
        <f>IFERROR(VLOOKUP(I2241,material!A:D,2,0),"")</f>
        <v/>
      </c>
    </row>
    <row r="2242">
      <c r="A2242" s="6"/>
      <c r="B2242" s="7"/>
      <c r="C2242" s="8" t="str">
        <f t="array" ref="C2242">IFERROR(INDEX(atlas!H:H,MATCH(A2242,atlas!C:C,0)),"")</f>
        <v/>
      </c>
      <c r="D2242" s="8" t="str">
        <f t="array" ref="D2242">IFERROR(INDEX(atlas!D:D,MATCH(A2242,atlas!C:C,0)),"")</f>
        <v/>
      </c>
      <c r="E2242" s="8" t="str">
        <f t="array" ref="E2242">IFERROR(INDEX(atlas!F:F,MATCH(A2242,atlas!C:C,0)),"")</f>
        <v/>
      </c>
      <c r="F2242" s="9"/>
      <c r="G2242" s="10"/>
      <c r="H2242" s="11"/>
      <c r="I2242" s="12" t="str">
        <f t="array" ref="I2242">IFERROR(INDEX(atlas!B:B,MATCH(A2242,atlas!C:C,0)),"")</f>
        <v/>
      </c>
      <c r="J2242" s="8" t="str">
        <f>IFERROR(VLOOKUP(F2242,tecnica!A:B,2,0),"")</f>
        <v/>
      </c>
      <c r="K2242" s="8" t="str">
        <f>IFERROR(VLOOKUP(J2242,tecnica!B:C,2,0),"")</f>
        <v/>
      </c>
      <c r="L2242" s="13"/>
      <c r="M2242" s="14" t="str">
        <f>IFERROR(VLOOKUP(I2242,material!A:D,4,0),"")</f>
        <v/>
      </c>
      <c r="N2242" s="14" t="str">
        <f t="shared" si="1"/>
        <v/>
      </c>
      <c r="O2242" s="15" t="str">
        <f>IFERROR(VLOOKUP(I2242,material!A:D,2,0),"")</f>
        <v/>
      </c>
    </row>
    <row r="2243">
      <c r="A2243" s="6"/>
      <c r="B2243" s="7"/>
      <c r="C2243" s="8" t="str">
        <f t="array" ref="C2243">IFERROR(INDEX(atlas!H:H,MATCH(A2243,atlas!C:C,0)),"")</f>
        <v/>
      </c>
      <c r="D2243" s="8" t="str">
        <f t="array" ref="D2243">IFERROR(INDEX(atlas!D:D,MATCH(A2243,atlas!C:C,0)),"")</f>
        <v/>
      </c>
      <c r="E2243" s="8" t="str">
        <f t="array" ref="E2243">IFERROR(INDEX(atlas!F:F,MATCH(A2243,atlas!C:C,0)),"")</f>
        <v/>
      </c>
      <c r="F2243" s="9"/>
      <c r="G2243" s="10"/>
      <c r="H2243" s="11"/>
      <c r="I2243" s="12" t="str">
        <f t="array" ref="I2243">IFERROR(INDEX(atlas!B:B,MATCH(A2243,atlas!C:C,0)),"")</f>
        <v/>
      </c>
      <c r="J2243" s="8" t="str">
        <f>IFERROR(VLOOKUP(F2243,tecnica!A:B,2,0),"")</f>
        <v/>
      </c>
      <c r="K2243" s="8" t="str">
        <f>IFERROR(VLOOKUP(J2243,tecnica!B:C,2,0),"")</f>
        <v/>
      </c>
      <c r="L2243" s="13"/>
      <c r="M2243" s="14" t="str">
        <f>IFERROR(VLOOKUP(I2243,material!A:D,4,0),"")</f>
        <v/>
      </c>
      <c r="N2243" s="14" t="str">
        <f t="shared" si="1"/>
        <v/>
      </c>
      <c r="O2243" s="15" t="str">
        <f>IFERROR(VLOOKUP(I2243,material!A:D,2,0),"")</f>
        <v/>
      </c>
    </row>
    <row r="2244">
      <c r="A2244" s="6"/>
      <c r="B2244" s="7"/>
      <c r="C2244" s="8" t="str">
        <f t="array" ref="C2244">IFERROR(INDEX(atlas!H:H,MATCH(A2244,atlas!C:C,0)),"")</f>
        <v/>
      </c>
      <c r="D2244" s="8" t="str">
        <f t="array" ref="D2244">IFERROR(INDEX(atlas!D:D,MATCH(A2244,atlas!C:C,0)),"")</f>
        <v/>
      </c>
      <c r="E2244" s="8" t="str">
        <f t="array" ref="E2244">IFERROR(INDEX(atlas!F:F,MATCH(A2244,atlas!C:C,0)),"")</f>
        <v/>
      </c>
      <c r="F2244" s="9"/>
      <c r="G2244" s="10"/>
      <c r="H2244" s="11"/>
      <c r="I2244" s="12" t="str">
        <f t="array" ref="I2244">IFERROR(INDEX(atlas!B:B,MATCH(A2244,atlas!C:C,0)),"")</f>
        <v/>
      </c>
      <c r="J2244" s="8" t="str">
        <f>IFERROR(VLOOKUP(F2244,tecnica!A:B,2,0),"")</f>
        <v/>
      </c>
      <c r="K2244" s="8" t="str">
        <f>IFERROR(VLOOKUP(J2244,tecnica!B:C,2,0),"")</f>
        <v/>
      </c>
      <c r="L2244" s="13"/>
      <c r="M2244" s="14" t="str">
        <f>IFERROR(VLOOKUP(I2244,material!A:D,4,0),"")</f>
        <v/>
      </c>
      <c r="N2244" s="14" t="str">
        <f t="shared" si="1"/>
        <v/>
      </c>
      <c r="O2244" s="15" t="str">
        <f>IFERROR(VLOOKUP(I2244,material!A:D,2,0),"")</f>
        <v/>
      </c>
    </row>
    <row r="2245">
      <c r="A2245" s="6"/>
      <c r="B2245" s="7"/>
      <c r="C2245" s="8" t="str">
        <f t="array" ref="C2245">IFERROR(INDEX(atlas!H:H,MATCH(A2245,atlas!C:C,0)),"")</f>
        <v/>
      </c>
      <c r="D2245" s="8" t="str">
        <f t="array" ref="D2245">IFERROR(INDEX(atlas!D:D,MATCH(A2245,atlas!C:C,0)),"")</f>
        <v/>
      </c>
      <c r="E2245" s="8" t="str">
        <f t="array" ref="E2245">IFERROR(INDEX(atlas!F:F,MATCH(A2245,atlas!C:C,0)),"")</f>
        <v/>
      </c>
      <c r="F2245" s="9"/>
      <c r="G2245" s="10"/>
      <c r="H2245" s="11"/>
      <c r="I2245" s="12" t="str">
        <f t="array" ref="I2245">IFERROR(INDEX(atlas!B:B,MATCH(A2245,atlas!C:C,0)),"")</f>
        <v/>
      </c>
      <c r="J2245" s="8" t="str">
        <f>IFERROR(VLOOKUP(F2245,tecnica!A:B,2,0),"")</f>
        <v/>
      </c>
      <c r="K2245" s="8" t="str">
        <f>IFERROR(VLOOKUP(J2245,tecnica!B:C,2,0),"")</f>
        <v/>
      </c>
      <c r="L2245" s="13"/>
      <c r="M2245" s="14" t="str">
        <f>IFERROR(VLOOKUP(I2245,material!A:D,4,0),"")</f>
        <v/>
      </c>
      <c r="N2245" s="14" t="str">
        <f t="shared" si="1"/>
        <v/>
      </c>
      <c r="O2245" s="15" t="str">
        <f>IFERROR(VLOOKUP(I2245,material!A:D,2,0),"")</f>
        <v/>
      </c>
    </row>
    <row r="2246">
      <c r="A2246" s="6"/>
      <c r="B2246" s="7"/>
      <c r="C2246" s="8" t="str">
        <f t="array" ref="C2246">IFERROR(INDEX(atlas!H:H,MATCH(A2246,atlas!C:C,0)),"")</f>
        <v/>
      </c>
      <c r="D2246" s="8" t="str">
        <f t="array" ref="D2246">IFERROR(INDEX(atlas!D:D,MATCH(A2246,atlas!C:C,0)),"")</f>
        <v/>
      </c>
      <c r="E2246" s="8" t="str">
        <f t="array" ref="E2246">IFERROR(INDEX(atlas!F:F,MATCH(A2246,atlas!C:C,0)),"")</f>
        <v/>
      </c>
      <c r="F2246" s="9"/>
      <c r="G2246" s="10"/>
      <c r="H2246" s="11"/>
      <c r="I2246" s="12" t="str">
        <f t="array" ref="I2246">IFERROR(INDEX(atlas!B:B,MATCH(A2246,atlas!C:C,0)),"")</f>
        <v/>
      </c>
      <c r="J2246" s="8" t="str">
        <f>IFERROR(VLOOKUP(F2246,tecnica!A:B,2,0),"")</f>
        <v/>
      </c>
      <c r="K2246" s="8" t="str">
        <f>IFERROR(VLOOKUP(J2246,tecnica!B:C,2,0),"")</f>
        <v/>
      </c>
      <c r="L2246" s="13"/>
      <c r="M2246" s="14" t="str">
        <f>IFERROR(VLOOKUP(I2246,material!A:D,4,0),"")</f>
        <v/>
      </c>
      <c r="N2246" s="14" t="str">
        <f t="shared" si="1"/>
        <v/>
      </c>
      <c r="O2246" s="15" t="str">
        <f>IFERROR(VLOOKUP(I2246,material!A:D,2,0),"")</f>
        <v/>
      </c>
    </row>
    <row r="2247">
      <c r="A2247" s="6"/>
      <c r="B2247" s="7"/>
      <c r="C2247" s="8" t="str">
        <f t="array" ref="C2247">IFERROR(INDEX(atlas!H:H,MATCH(A2247,atlas!C:C,0)),"")</f>
        <v/>
      </c>
      <c r="D2247" s="8" t="str">
        <f t="array" ref="D2247">IFERROR(INDEX(atlas!D:D,MATCH(A2247,atlas!C:C,0)),"")</f>
        <v/>
      </c>
      <c r="E2247" s="8" t="str">
        <f t="array" ref="E2247">IFERROR(INDEX(atlas!F:F,MATCH(A2247,atlas!C:C,0)),"")</f>
        <v/>
      </c>
      <c r="F2247" s="9"/>
      <c r="G2247" s="10"/>
      <c r="H2247" s="11"/>
      <c r="I2247" s="12" t="str">
        <f t="array" ref="I2247">IFERROR(INDEX(atlas!B:B,MATCH(A2247,atlas!C:C,0)),"")</f>
        <v/>
      </c>
      <c r="J2247" s="8" t="str">
        <f>IFERROR(VLOOKUP(F2247,tecnica!A:B,2,0),"")</f>
        <v/>
      </c>
      <c r="K2247" s="8" t="str">
        <f>IFERROR(VLOOKUP(J2247,tecnica!B:C,2,0),"")</f>
        <v/>
      </c>
      <c r="L2247" s="13"/>
      <c r="M2247" s="14" t="str">
        <f>IFERROR(VLOOKUP(I2247,material!A:D,4,0),"")</f>
        <v/>
      </c>
      <c r="N2247" s="14" t="str">
        <f t="shared" si="1"/>
        <v/>
      </c>
      <c r="O2247" s="15" t="str">
        <f>IFERROR(VLOOKUP(I2247,material!A:D,2,0),"")</f>
        <v/>
      </c>
    </row>
    <row r="2248">
      <c r="A2248" s="6"/>
      <c r="B2248" s="7"/>
      <c r="C2248" s="8" t="str">
        <f t="array" ref="C2248">IFERROR(INDEX(atlas!H:H,MATCH(A2248,atlas!C:C,0)),"")</f>
        <v/>
      </c>
      <c r="D2248" s="8" t="str">
        <f t="array" ref="D2248">IFERROR(INDEX(atlas!D:D,MATCH(A2248,atlas!C:C,0)),"")</f>
        <v/>
      </c>
      <c r="E2248" s="8" t="str">
        <f t="array" ref="E2248">IFERROR(INDEX(atlas!F:F,MATCH(A2248,atlas!C:C,0)),"")</f>
        <v/>
      </c>
      <c r="F2248" s="9"/>
      <c r="G2248" s="10"/>
      <c r="H2248" s="11"/>
      <c r="I2248" s="12" t="str">
        <f t="array" ref="I2248">IFERROR(INDEX(atlas!B:B,MATCH(A2248,atlas!C:C,0)),"")</f>
        <v/>
      </c>
      <c r="J2248" s="8" t="str">
        <f>IFERROR(VLOOKUP(F2248,tecnica!A:B,2,0),"")</f>
        <v/>
      </c>
      <c r="K2248" s="8" t="str">
        <f>IFERROR(VLOOKUP(J2248,tecnica!B:C,2,0),"")</f>
        <v/>
      </c>
      <c r="L2248" s="13"/>
      <c r="M2248" s="14" t="str">
        <f>IFERROR(VLOOKUP(I2248,material!A:D,4,0),"")</f>
        <v/>
      </c>
      <c r="N2248" s="14" t="str">
        <f t="shared" si="1"/>
        <v/>
      </c>
      <c r="O2248" s="15" t="str">
        <f>IFERROR(VLOOKUP(I2248,material!A:D,2,0),"")</f>
        <v/>
      </c>
    </row>
    <row r="2249">
      <c r="A2249" s="6"/>
      <c r="B2249" s="7"/>
      <c r="C2249" s="8" t="str">
        <f t="array" ref="C2249">IFERROR(INDEX(atlas!H:H,MATCH(A2249,atlas!C:C,0)),"")</f>
        <v/>
      </c>
      <c r="D2249" s="8" t="str">
        <f t="array" ref="D2249">IFERROR(INDEX(atlas!D:D,MATCH(A2249,atlas!C:C,0)),"")</f>
        <v/>
      </c>
      <c r="E2249" s="8" t="str">
        <f t="array" ref="E2249">IFERROR(INDEX(atlas!F:F,MATCH(A2249,atlas!C:C,0)),"")</f>
        <v/>
      </c>
      <c r="F2249" s="9"/>
      <c r="G2249" s="10"/>
      <c r="H2249" s="11"/>
      <c r="I2249" s="12" t="str">
        <f t="array" ref="I2249">IFERROR(INDEX(atlas!B:B,MATCH(A2249,atlas!C:C,0)),"")</f>
        <v/>
      </c>
      <c r="J2249" s="8" t="str">
        <f>IFERROR(VLOOKUP(F2249,tecnica!A:B,2,0),"")</f>
        <v/>
      </c>
      <c r="K2249" s="8" t="str">
        <f>IFERROR(VLOOKUP(J2249,tecnica!B:C,2,0),"")</f>
        <v/>
      </c>
      <c r="L2249" s="13"/>
      <c r="M2249" s="14" t="str">
        <f>IFERROR(VLOOKUP(I2249,material!A:D,4,0),"")</f>
        <v/>
      </c>
      <c r="N2249" s="14" t="str">
        <f t="shared" si="1"/>
        <v/>
      </c>
      <c r="O2249" s="15" t="str">
        <f>IFERROR(VLOOKUP(I2249,material!A:D,2,0),"")</f>
        <v/>
      </c>
    </row>
    <row r="2250">
      <c r="A2250" s="6"/>
      <c r="B2250" s="7"/>
      <c r="C2250" s="8" t="str">
        <f t="array" ref="C2250">IFERROR(INDEX(atlas!H:H,MATCH(A2250,atlas!C:C,0)),"")</f>
        <v/>
      </c>
      <c r="D2250" s="8" t="str">
        <f t="array" ref="D2250">IFERROR(INDEX(atlas!D:D,MATCH(A2250,atlas!C:C,0)),"")</f>
        <v/>
      </c>
      <c r="E2250" s="8" t="str">
        <f t="array" ref="E2250">IFERROR(INDEX(atlas!F:F,MATCH(A2250,atlas!C:C,0)),"")</f>
        <v/>
      </c>
      <c r="F2250" s="9"/>
      <c r="G2250" s="10"/>
      <c r="H2250" s="11"/>
      <c r="I2250" s="12" t="str">
        <f t="array" ref="I2250">IFERROR(INDEX(atlas!B:B,MATCH(A2250,atlas!C:C,0)),"")</f>
        <v/>
      </c>
      <c r="J2250" s="8" t="str">
        <f>IFERROR(VLOOKUP(F2250,tecnica!A:B,2,0),"")</f>
        <v/>
      </c>
      <c r="K2250" s="8" t="str">
        <f>IFERROR(VLOOKUP(J2250,tecnica!B:C,2,0),"")</f>
        <v/>
      </c>
      <c r="L2250" s="13"/>
      <c r="M2250" s="14" t="str">
        <f>IFERROR(VLOOKUP(I2250,material!A:D,4,0),"")</f>
        <v/>
      </c>
      <c r="N2250" s="14" t="str">
        <f t="shared" si="1"/>
        <v/>
      </c>
      <c r="O2250" s="15" t="str">
        <f>IFERROR(VLOOKUP(I2250,material!A:D,2,0),"")</f>
        <v/>
      </c>
    </row>
    <row r="2251">
      <c r="A2251" s="6"/>
      <c r="B2251" s="7"/>
      <c r="C2251" s="8" t="str">
        <f t="array" ref="C2251">IFERROR(INDEX(atlas!H:H,MATCH(A2251,atlas!C:C,0)),"")</f>
        <v/>
      </c>
      <c r="D2251" s="8" t="str">
        <f t="array" ref="D2251">IFERROR(INDEX(atlas!D:D,MATCH(A2251,atlas!C:C,0)),"")</f>
        <v/>
      </c>
      <c r="E2251" s="8" t="str">
        <f t="array" ref="E2251">IFERROR(INDEX(atlas!F:F,MATCH(A2251,atlas!C:C,0)),"")</f>
        <v/>
      </c>
      <c r="F2251" s="9"/>
      <c r="G2251" s="10"/>
      <c r="H2251" s="11"/>
      <c r="I2251" s="12" t="str">
        <f t="array" ref="I2251">IFERROR(INDEX(atlas!B:B,MATCH(A2251,atlas!C:C,0)),"")</f>
        <v/>
      </c>
      <c r="J2251" s="8" t="str">
        <f>IFERROR(VLOOKUP(F2251,tecnica!A:B,2,0),"")</f>
        <v/>
      </c>
      <c r="K2251" s="8" t="str">
        <f>IFERROR(VLOOKUP(J2251,tecnica!B:C,2,0),"")</f>
        <v/>
      </c>
      <c r="L2251" s="13"/>
      <c r="M2251" s="14" t="str">
        <f>IFERROR(VLOOKUP(I2251,material!A:D,4,0),"")</f>
        <v/>
      </c>
      <c r="N2251" s="14" t="str">
        <f t="shared" si="1"/>
        <v/>
      </c>
      <c r="O2251" s="15" t="str">
        <f>IFERROR(VLOOKUP(I2251,material!A:D,2,0),"")</f>
        <v/>
      </c>
    </row>
    <row r="2252">
      <c r="A2252" s="6"/>
      <c r="B2252" s="7"/>
      <c r="C2252" s="8" t="str">
        <f t="array" ref="C2252">IFERROR(INDEX(atlas!H:H,MATCH(A2252,atlas!C:C,0)),"")</f>
        <v/>
      </c>
      <c r="D2252" s="8" t="str">
        <f t="array" ref="D2252">IFERROR(INDEX(atlas!D:D,MATCH(A2252,atlas!C:C,0)),"")</f>
        <v/>
      </c>
      <c r="E2252" s="8" t="str">
        <f t="array" ref="E2252">IFERROR(INDEX(atlas!F:F,MATCH(A2252,atlas!C:C,0)),"")</f>
        <v/>
      </c>
      <c r="F2252" s="9"/>
      <c r="G2252" s="10"/>
      <c r="H2252" s="11"/>
      <c r="I2252" s="12" t="str">
        <f t="array" ref="I2252">IFERROR(INDEX(atlas!B:B,MATCH(A2252,atlas!C:C,0)),"")</f>
        <v/>
      </c>
      <c r="J2252" s="8" t="str">
        <f>IFERROR(VLOOKUP(F2252,tecnica!A:B,2,0),"")</f>
        <v/>
      </c>
      <c r="K2252" s="8" t="str">
        <f>IFERROR(VLOOKUP(J2252,tecnica!B:C,2,0),"")</f>
        <v/>
      </c>
      <c r="L2252" s="13"/>
      <c r="M2252" s="14" t="str">
        <f>IFERROR(VLOOKUP(I2252,material!A:D,4,0),"")</f>
        <v/>
      </c>
      <c r="N2252" s="14" t="str">
        <f t="shared" si="1"/>
        <v/>
      </c>
      <c r="O2252" s="15" t="str">
        <f>IFERROR(VLOOKUP(I2252,material!A:D,2,0),"")</f>
        <v/>
      </c>
    </row>
    <row r="2253">
      <c r="A2253" s="6"/>
      <c r="B2253" s="7"/>
      <c r="C2253" s="8" t="str">
        <f t="array" ref="C2253">IFERROR(INDEX(atlas!H:H,MATCH(A2253,atlas!C:C,0)),"")</f>
        <v/>
      </c>
      <c r="D2253" s="8" t="str">
        <f t="array" ref="D2253">IFERROR(INDEX(atlas!D:D,MATCH(A2253,atlas!C:C,0)),"")</f>
        <v/>
      </c>
      <c r="E2253" s="8" t="str">
        <f t="array" ref="E2253">IFERROR(INDEX(atlas!F:F,MATCH(A2253,atlas!C:C,0)),"")</f>
        <v/>
      </c>
      <c r="F2253" s="9"/>
      <c r="G2253" s="10"/>
      <c r="H2253" s="11"/>
      <c r="I2253" s="12" t="str">
        <f t="array" ref="I2253">IFERROR(INDEX(atlas!B:B,MATCH(A2253,atlas!C:C,0)),"")</f>
        <v/>
      </c>
      <c r="J2253" s="8" t="str">
        <f>IFERROR(VLOOKUP(F2253,tecnica!A:B,2,0),"")</f>
        <v/>
      </c>
      <c r="K2253" s="8" t="str">
        <f>IFERROR(VLOOKUP(J2253,tecnica!B:C,2,0),"")</f>
        <v/>
      </c>
      <c r="L2253" s="13"/>
      <c r="M2253" s="14" t="str">
        <f>IFERROR(VLOOKUP(I2253,material!A:D,4,0),"")</f>
        <v/>
      </c>
      <c r="N2253" s="14" t="str">
        <f t="shared" si="1"/>
        <v/>
      </c>
      <c r="O2253" s="15" t="str">
        <f>IFERROR(VLOOKUP(I2253,material!A:D,2,0),"")</f>
        <v/>
      </c>
    </row>
    <row r="2254">
      <c r="A2254" s="6"/>
      <c r="B2254" s="7"/>
      <c r="C2254" s="8" t="str">
        <f t="array" ref="C2254">IFERROR(INDEX(atlas!H:H,MATCH(A2254,atlas!C:C,0)),"")</f>
        <v/>
      </c>
      <c r="D2254" s="8" t="str">
        <f t="array" ref="D2254">IFERROR(INDEX(atlas!D:D,MATCH(A2254,atlas!C:C,0)),"")</f>
        <v/>
      </c>
      <c r="E2254" s="8" t="str">
        <f t="array" ref="E2254">IFERROR(INDEX(atlas!F:F,MATCH(A2254,atlas!C:C,0)),"")</f>
        <v/>
      </c>
      <c r="F2254" s="9"/>
      <c r="G2254" s="10"/>
      <c r="H2254" s="11"/>
      <c r="I2254" s="12" t="str">
        <f t="array" ref="I2254">IFERROR(INDEX(atlas!B:B,MATCH(A2254,atlas!C:C,0)),"")</f>
        <v/>
      </c>
      <c r="J2254" s="8" t="str">
        <f>IFERROR(VLOOKUP(F2254,tecnica!A:B,2,0),"")</f>
        <v/>
      </c>
      <c r="K2254" s="8" t="str">
        <f>IFERROR(VLOOKUP(J2254,tecnica!B:C,2,0),"")</f>
        <v/>
      </c>
      <c r="L2254" s="13"/>
      <c r="M2254" s="14" t="str">
        <f>IFERROR(VLOOKUP(I2254,material!A:D,4,0),"")</f>
        <v/>
      </c>
      <c r="N2254" s="14" t="str">
        <f t="shared" si="1"/>
        <v/>
      </c>
      <c r="O2254" s="15" t="str">
        <f>IFERROR(VLOOKUP(I2254,material!A:D,2,0),"")</f>
        <v/>
      </c>
    </row>
    <row r="2255">
      <c r="A2255" s="6"/>
      <c r="B2255" s="7"/>
      <c r="C2255" s="8" t="str">
        <f t="array" ref="C2255">IFERROR(INDEX(atlas!H:H,MATCH(A2255,atlas!C:C,0)),"")</f>
        <v/>
      </c>
      <c r="D2255" s="8" t="str">
        <f t="array" ref="D2255">IFERROR(INDEX(atlas!D:D,MATCH(A2255,atlas!C:C,0)),"")</f>
        <v/>
      </c>
      <c r="E2255" s="8" t="str">
        <f t="array" ref="E2255">IFERROR(INDEX(atlas!F:F,MATCH(A2255,atlas!C:C,0)),"")</f>
        <v/>
      </c>
      <c r="F2255" s="9"/>
      <c r="G2255" s="10"/>
      <c r="H2255" s="11"/>
      <c r="I2255" s="12" t="str">
        <f t="array" ref="I2255">IFERROR(INDEX(atlas!B:B,MATCH(A2255,atlas!C:C,0)),"")</f>
        <v/>
      </c>
      <c r="J2255" s="8" t="str">
        <f>IFERROR(VLOOKUP(F2255,tecnica!A:B,2,0),"")</f>
        <v/>
      </c>
      <c r="K2255" s="8" t="str">
        <f>IFERROR(VLOOKUP(J2255,tecnica!B:C,2,0),"")</f>
        <v/>
      </c>
      <c r="L2255" s="13"/>
      <c r="M2255" s="14" t="str">
        <f>IFERROR(VLOOKUP(I2255,material!A:D,4,0),"")</f>
        <v/>
      </c>
      <c r="N2255" s="14" t="str">
        <f t="shared" si="1"/>
        <v/>
      </c>
      <c r="O2255" s="15" t="str">
        <f>IFERROR(VLOOKUP(I2255,material!A:D,2,0),"")</f>
        <v/>
      </c>
    </row>
    <row r="2256">
      <c r="A2256" s="6"/>
      <c r="B2256" s="7"/>
      <c r="C2256" s="8" t="str">
        <f t="array" ref="C2256">IFERROR(INDEX(atlas!H:H,MATCH(A2256,atlas!C:C,0)),"")</f>
        <v/>
      </c>
      <c r="D2256" s="8" t="str">
        <f t="array" ref="D2256">IFERROR(INDEX(atlas!D:D,MATCH(A2256,atlas!C:C,0)),"")</f>
        <v/>
      </c>
      <c r="E2256" s="8" t="str">
        <f t="array" ref="E2256">IFERROR(INDEX(atlas!F:F,MATCH(A2256,atlas!C:C,0)),"")</f>
        <v/>
      </c>
      <c r="F2256" s="9"/>
      <c r="G2256" s="10"/>
      <c r="H2256" s="11"/>
      <c r="I2256" s="12" t="str">
        <f t="array" ref="I2256">IFERROR(INDEX(atlas!B:B,MATCH(A2256,atlas!C:C,0)),"")</f>
        <v/>
      </c>
      <c r="J2256" s="8" t="str">
        <f>IFERROR(VLOOKUP(F2256,tecnica!A:B,2,0),"")</f>
        <v/>
      </c>
      <c r="K2256" s="8" t="str">
        <f>IFERROR(VLOOKUP(J2256,tecnica!B:C,2,0),"")</f>
        <v/>
      </c>
      <c r="L2256" s="13"/>
      <c r="M2256" s="14" t="str">
        <f>IFERROR(VLOOKUP(I2256,material!A:D,4,0),"")</f>
        <v/>
      </c>
      <c r="N2256" s="14" t="str">
        <f t="shared" si="1"/>
        <v/>
      </c>
      <c r="O2256" s="15" t="str">
        <f>IFERROR(VLOOKUP(I2256,material!A:D,2,0),"")</f>
        <v/>
      </c>
    </row>
    <row r="2257">
      <c r="A2257" s="6"/>
      <c r="B2257" s="7"/>
      <c r="C2257" s="8" t="str">
        <f t="array" ref="C2257">IFERROR(INDEX(atlas!H:H,MATCH(A2257,atlas!C:C,0)),"")</f>
        <v/>
      </c>
      <c r="D2257" s="8" t="str">
        <f t="array" ref="D2257">IFERROR(INDEX(atlas!D:D,MATCH(A2257,atlas!C:C,0)),"")</f>
        <v/>
      </c>
      <c r="E2257" s="8" t="str">
        <f t="array" ref="E2257">IFERROR(INDEX(atlas!F:F,MATCH(A2257,atlas!C:C,0)),"")</f>
        <v/>
      </c>
      <c r="F2257" s="9"/>
      <c r="G2257" s="10"/>
      <c r="H2257" s="11"/>
      <c r="I2257" s="12" t="str">
        <f t="array" ref="I2257">IFERROR(INDEX(atlas!B:B,MATCH(A2257,atlas!C:C,0)),"")</f>
        <v/>
      </c>
      <c r="J2257" s="8" t="str">
        <f>IFERROR(VLOOKUP(F2257,tecnica!A:B,2,0),"")</f>
        <v/>
      </c>
      <c r="K2257" s="8" t="str">
        <f>IFERROR(VLOOKUP(J2257,tecnica!B:C,2,0),"")</f>
        <v/>
      </c>
      <c r="L2257" s="13"/>
      <c r="M2257" s="14" t="str">
        <f>IFERROR(VLOOKUP(I2257,material!A:D,4,0),"")</f>
        <v/>
      </c>
      <c r="N2257" s="14" t="str">
        <f t="shared" si="1"/>
        <v/>
      </c>
      <c r="O2257" s="15" t="str">
        <f>IFERROR(VLOOKUP(I2257,material!A:D,2,0),"")</f>
        <v/>
      </c>
    </row>
    <row r="2258">
      <c r="A2258" s="6"/>
      <c r="B2258" s="7"/>
      <c r="C2258" s="8" t="str">
        <f t="array" ref="C2258">IFERROR(INDEX(atlas!H:H,MATCH(A2258,atlas!C:C,0)),"")</f>
        <v/>
      </c>
      <c r="D2258" s="8" t="str">
        <f t="array" ref="D2258">IFERROR(INDEX(atlas!D:D,MATCH(A2258,atlas!C:C,0)),"")</f>
        <v/>
      </c>
      <c r="E2258" s="8" t="str">
        <f t="array" ref="E2258">IFERROR(INDEX(atlas!F:F,MATCH(A2258,atlas!C:C,0)),"")</f>
        <v/>
      </c>
      <c r="F2258" s="9"/>
      <c r="G2258" s="10"/>
      <c r="H2258" s="11"/>
      <c r="I2258" s="12" t="str">
        <f t="array" ref="I2258">IFERROR(INDEX(atlas!B:B,MATCH(A2258,atlas!C:C,0)),"")</f>
        <v/>
      </c>
      <c r="J2258" s="8" t="str">
        <f>IFERROR(VLOOKUP(F2258,tecnica!A:B,2,0),"")</f>
        <v/>
      </c>
      <c r="K2258" s="8" t="str">
        <f>IFERROR(VLOOKUP(J2258,tecnica!B:C,2,0),"")</f>
        <v/>
      </c>
      <c r="L2258" s="13"/>
      <c r="M2258" s="14" t="str">
        <f>IFERROR(VLOOKUP(I2258,material!A:D,4,0),"")</f>
        <v/>
      </c>
      <c r="N2258" s="14" t="str">
        <f t="shared" si="1"/>
        <v/>
      </c>
      <c r="O2258" s="15" t="str">
        <f>IFERROR(VLOOKUP(I2258,material!A:D,2,0),"")</f>
        <v/>
      </c>
    </row>
    <row r="2259">
      <c r="A2259" s="6"/>
      <c r="B2259" s="7"/>
      <c r="C2259" s="8" t="str">
        <f t="array" ref="C2259">IFERROR(INDEX(atlas!H:H,MATCH(A2259,atlas!C:C,0)),"")</f>
        <v/>
      </c>
      <c r="D2259" s="8" t="str">
        <f t="array" ref="D2259">IFERROR(INDEX(atlas!D:D,MATCH(A2259,atlas!C:C,0)),"")</f>
        <v/>
      </c>
      <c r="E2259" s="8" t="str">
        <f t="array" ref="E2259">IFERROR(INDEX(atlas!F:F,MATCH(A2259,atlas!C:C,0)),"")</f>
        <v/>
      </c>
      <c r="F2259" s="9"/>
      <c r="G2259" s="10"/>
      <c r="H2259" s="11"/>
      <c r="I2259" s="12" t="str">
        <f t="array" ref="I2259">IFERROR(INDEX(atlas!B:B,MATCH(A2259,atlas!C:C,0)),"")</f>
        <v/>
      </c>
      <c r="J2259" s="8" t="str">
        <f>IFERROR(VLOOKUP(F2259,tecnica!A:B,2,0),"")</f>
        <v/>
      </c>
      <c r="K2259" s="8" t="str">
        <f>IFERROR(VLOOKUP(J2259,tecnica!B:C,2,0),"")</f>
        <v/>
      </c>
      <c r="L2259" s="13"/>
      <c r="M2259" s="14" t="str">
        <f>IFERROR(VLOOKUP(I2259,material!A:D,4,0),"")</f>
        <v/>
      </c>
      <c r="N2259" s="14" t="str">
        <f t="shared" si="1"/>
        <v/>
      </c>
      <c r="O2259" s="15" t="str">
        <f>IFERROR(VLOOKUP(I2259,material!A:D,2,0),"")</f>
        <v/>
      </c>
    </row>
    <row r="2260">
      <c r="A2260" s="6"/>
      <c r="B2260" s="7"/>
      <c r="C2260" s="8" t="str">
        <f t="array" ref="C2260">IFERROR(INDEX(atlas!H:H,MATCH(A2260,atlas!C:C,0)),"")</f>
        <v/>
      </c>
      <c r="D2260" s="8" t="str">
        <f t="array" ref="D2260">IFERROR(INDEX(atlas!D:D,MATCH(A2260,atlas!C:C,0)),"")</f>
        <v/>
      </c>
      <c r="E2260" s="8" t="str">
        <f t="array" ref="E2260">IFERROR(INDEX(atlas!F:F,MATCH(A2260,atlas!C:C,0)),"")</f>
        <v/>
      </c>
      <c r="F2260" s="9"/>
      <c r="G2260" s="10"/>
      <c r="H2260" s="11"/>
      <c r="I2260" s="12" t="str">
        <f t="array" ref="I2260">IFERROR(INDEX(atlas!B:B,MATCH(A2260,atlas!C:C,0)),"")</f>
        <v/>
      </c>
      <c r="J2260" s="8" t="str">
        <f>IFERROR(VLOOKUP(F2260,tecnica!A:B,2,0),"")</f>
        <v/>
      </c>
      <c r="K2260" s="8" t="str">
        <f>IFERROR(VLOOKUP(J2260,tecnica!B:C,2,0),"")</f>
        <v/>
      </c>
      <c r="L2260" s="13"/>
      <c r="M2260" s="14" t="str">
        <f>IFERROR(VLOOKUP(I2260,material!A:D,4,0),"")</f>
        <v/>
      </c>
      <c r="N2260" s="14" t="str">
        <f t="shared" si="1"/>
        <v/>
      </c>
      <c r="O2260" s="15" t="str">
        <f>IFERROR(VLOOKUP(I2260,material!A:D,2,0),"")</f>
        <v/>
      </c>
    </row>
    <row r="2261">
      <c r="A2261" s="6"/>
      <c r="B2261" s="7"/>
      <c r="C2261" s="8" t="str">
        <f t="array" ref="C2261">IFERROR(INDEX(atlas!H:H,MATCH(A2261,atlas!C:C,0)),"")</f>
        <v/>
      </c>
      <c r="D2261" s="8" t="str">
        <f t="array" ref="D2261">IFERROR(INDEX(atlas!D:D,MATCH(A2261,atlas!C:C,0)),"")</f>
        <v/>
      </c>
      <c r="E2261" s="8" t="str">
        <f t="array" ref="E2261">IFERROR(INDEX(atlas!F:F,MATCH(A2261,atlas!C:C,0)),"")</f>
        <v/>
      </c>
      <c r="F2261" s="9"/>
      <c r="G2261" s="10"/>
      <c r="H2261" s="11"/>
      <c r="I2261" s="12" t="str">
        <f t="array" ref="I2261">IFERROR(INDEX(atlas!B:B,MATCH(A2261,atlas!C:C,0)),"")</f>
        <v/>
      </c>
      <c r="J2261" s="8" t="str">
        <f>IFERROR(VLOOKUP(F2261,tecnica!A:B,2,0),"")</f>
        <v/>
      </c>
      <c r="K2261" s="8" t="str">
        <f>IFERROR(VLOOKUP(J2261,tecnica!B:C,2,0),"")</f>
        <v/>
      </c>
      <c r="L2261" s="13"/>
      <c r="M2261" s="14" t="str">
        <f>IFERROR(VLOOKUP(I2261,material!A:D,4,0),"")</f>
        <v/>
      </c>
      <c r="N2261" s="14" t="str">
        <f t="shared" si="1"/>
        <v/>
      </c>
      <c r="O2261" s="15" t="str">
        <f>IFERROR(VLOOKUP(I2261,material!A:D,2,0),"")</f>
        <v/>
      </c>
    </row>
    <row r="2262">
      <c r="A2262" s="6"/>
      <c r="B2262" s="7"/>
      <c r="C2262" s="8" t="str">
        <f t="array" ref="C2262">IFERROR(INDEX(atlas!H:H,MATCH(A2262,atlas!C:C,0)),"")</f>
        <v/>
      </c>
      <c r="D2262" s="8" t="str">
        <f t="array" ref="D2262">IFERROR(INDEX(atlas!D:D,MATCH(A2262,atlas!C:C,0)),"")</f>
        <v/>
      </c>
      <c r="E2262" s="8" t="str">
        <f t="array" ref="E2262">IFERROR(INDEX(atlas!F:F,MATCH(A2262,atlas!C:C,0)),"")</f>
        <v/>
      </c>
      <c r="F2262" s="9"/>
      <c r="G2262" s="10"/>
      <c r="H2262" s="11"/>
      <c r="I2262" s="12" t="str">
        <f t="array" ref="I2262">IFERROR(INDEX(atlas!B:B,MATCH(A2262,atlas!C:C,0)),"")</f>
        <v/>
      </c>
      <c r="J2262" s="8" t="str">
        <f>IFERROR(VLOOKUP(F2262,tecnica!A:B,2,0),"")</f>
        <v/>
      </c>
      <c r="K2262" s="8" t="str">
        <f>IFERROR(VLOOKUP(J2262,tecnica!B:C,2,0),"")</f>
        <v/>
      </c>
      <c r="L2262" s="13"/>
      <c r="M2262" s="14" t="str">
        <f>IFERROR(VLOOKUP(I2262,material!A:D,4,0),"")</f>
        <v/>
      </c>
      <c r="N2262" s="14" t="str">
        <f t="shared" si="1"/>
        <v/>
      </c>
      <c r="O2262" s="15" t="str">
        <f>IFERROR(VLOOKUP(I2262,material!A:D,2,0),"")</f>
        <v/>
      </c>
    </row>
    <row r="2263">
      <c r="A2263" s="6"/>
      <c r="B2263" s="7"/>
      <c r="C2263" s="8" t="str">
        <f t="array" ref="C2263">IFERROR(INDEX(atlas!H:H,MATCH(A2263,atlas!C:C,0)),"")</f>
        <v/>
      </c>
      <c r="D2263" s="8" t="str">
        <f t="array" ref="D2263">IFERROR(INDEX(atlas!D:D,MATCH(A2263,atlas!C:C,0)),"")</f>
        <v/>
      </c>
      <c r="E2263" s="8" t="str">
        <f t="array" ref="E2263">IFERROR(INDEX(atlas!F:F,MATCH(A2263,atlas!C:C,0)),"")</f>
        <v/>
      </c>
      <c r="F2263" s="9"/>
      <c r="G2263" s="10"/>
      <c r="H2263" s="11"/>
      <c r="I2263" s="12" t="str">
        <f t="array" ref="I2263">IFERROR(INDEX(atlas!B:B,MATCH(A2263,atlas!C:C,0)),"")</f>
        <v/>
      </c>
      <c r="J2263" s="8" t="str">
        <f>IFERROR(VLOOKUP(F2263,tecnica!A:B,2,0),"")</f>
        <v/>
      </c>
      <c r="K2263" s="8" t="str">
        <f>IFERROR(VLOOKUP(J2263,tecnica!B:C,2,0),"")</f>
        <v/>
      </c>
      <c r="L2263" s="13"/>
      <c r="M2263" s="14" t="str">
        <f>IFERROR(VLOOKUP(I2263,material!A:D,4,0),"")</f>
        <v/>
      </c>
      <c r="N2263" s="14" t="str">
        <f t="shared" si="1"/>
        <v/>
      </c>
      <c r="O2263" s="15" t="str">
        <f>IFERROR(VLOOKUP(I2263,material!A:D,2,0),"")</f>
        <v/>
      </c>
    </row>
    <row r="2264">
      <c r="A2264" s="6"/>
      <c r="B2264" s="7"/>
      <c r="C2264" s="8" t="str">
        <f t="array" ref="C2264">IFERROR(INDEX(atlas!H:H,MATCH(A2264,atlas!C:C,0)),"")</f>
        <v/>
      </c>
      <c r="D2264" s="8" t="str">
        <f t="array" ref="D2264">IFERROR(INDEX(atlas!D:D,MATCH(A2264,atlas!C:C,0)),"")</f>
        <v/>
      </c>
      <c r="E2264" s="8" t="str">
        <f t="array" ref="E2264">IFERROR(INDEX(atlas!F:F,MATCH(A2264,atlas!C:C,0)),"")</f>
        <v/>
      </c>
      <c r="F2264" s="9"/>
      <c r="G2264" s="10"/>
      <c r="H2264" s="11"/>
      <c r="I2264" s="12" t="str">
        <f t="array" ref="I2264">IFERROR(INDEX(atlas!B:B,MATCH(A2264,atlas!C:C,0)),"")</f>
        <v/>
      </c>
      <c r="J2264" s="8" t="str">
        <f>IFERROR(VLOOKUP(F2264,tecnica!A:B,2,0),"")</f>
        <v/>
      </c>
      <c r="K2264" s="8" t="str">
        <f>IFERROR(VLOOKUP(J2264,tecnica!B:C,2,0),"")</f>
        <v/>
      </c>
      <c r="L2264" s="13"/>
      <c r="M2264" s="14" t="str">
        <f>IFERROR(VLOOKUP(I2264,material!A:D,4,0),"")</f>
        <v/>
      </c>
      <c r="N2264" s="14" t="str">
        <f t="shared" si="1"/>
        <v/>
      </c>
      <c r="O2264" s="15" t="str">
        <f>IFERROR(VLOOKUP(I2264,material!A:D,2,0),"")</f>
        <v/>
      </c>
    </row>
    <row r="2265">
      <c r="A2265" s="6"/>
      <c r="B2265" s="7"/>
      <c r="C2265" s="8" t="str">
        <f t="array" ref="C2265">IFERROR(INDEX(atlas!H:H,MATCH(A2265,atlas!C:C,0)),"")</f>
        <v/>
      </c>
      <c r="D2265" s="8" t="str">
        <f t="array" ref="D2265">IFERROR(INDEX(atlas!D:D,MATCH(A2265,atlas!C:C,0)),"")</f>
        <v/>
      </c>
      <c r="E2265" s="8" t="str">
        <f t="array" ref="E2265">IFERROR(INDEX(atlas!F:F,MATCH(A2265,atlas!C:C,0)),"")</f>
        <v/>
      </c>
      <c r="F2265" s="9"/>
      <c r="G2265" s="10"/>
      <c r="H2265" s="11"/>
      <c r="I2265" s="12" t="str">
        <f t="array" ref="I2265">IFERROR(INDEX(atlas!B:B,MATCH(A2265,atlas!C:C,0)),"")</f>
        <v/>
      </c>
      <c r="J2265" s="8" t="str">
        <f>IFERROR(VLOOKUP(F2265,tecnica!A:B,2,0),"")</f>
        <v/>
      </c>
      <c r="K2265" s="8" t="str">
        <f>IFERROR(VLOOKUP(J2265,tecnica!B:C,2,0),"")</f>
        <v/>
      </c>
      <c r="L2265" s="13"/>
      <c r="M2265" s="14" t="str">
        <f>IFERROR(VLOOKUP(I2265,material!A:D,4,0),"")</f>
        <v/>
      </c>
      <c r="N2265" s="14" t="str">
        <f t="shared" si="1"/>
        <v/>
      </c>
      <c r="O2265" s="15" t="str">
        <f>IFERROR(VLOOKUP(I2265,material!A:D,2,0),"")</f>
        <v/>
      </c>
    </row>
    <row r="2266">
      <c r="A2266" s="6"/>
      <c r="B2266" s="7"/>
      <c r="C2266" s="8" t="str">
        <f t="array" ref="C2266">IFERROR(INDEX(atlas!H:H,MATCH(A2266,atlas!C:C,0)),"")</f>
        <v/>
      </c>
      <c r="D2266" s="8" t="str">
        <f t="array" ref="D2266">IFERROR(INDEX(atlas!D:D,MATCH(A2266,atlas!C:C,0)),"")</f>
        <v/>
      </c>
      <c r="E2266" s="8" t="str">
        <f t="array" ref="E2266">IFERROR(INDEX(atlas!F:F,MATCH(A2266,atlas!C:C,0)),"")</f>
        <v/>
      </c>
      <c r="F2266" s="9"/>
      <c r="G2266" s="10"/>
      <c r="H2266" s="11"/>
      <c r="I2266" s="12" t="str">
        <f t="array" ref="I2266">IFERROR(INDEX(atlas!B:B,MATCH(A2266,atlas!C:C,0)),"")</f>
        <v/>
      </c>
      <c r="J2266" s="8" t="str">
        <f>IFERROR(VLOOKUP(F2266,tecnica!A:B,2,0),"")</f>
        <v/>
      </c>
      <c r="K2266" s="8" t="str">
        <f>IFERROR(VLOOKUP(J2266,tecnica!B:C,2,0),"")</f>
        <v/>
      </c>
      <c r="L2266" s="13"/>
      <c r="M2266" s="14" t="str">
        <f>IFERROR(VLOOKUP(I2266,material!A:D,4,0),"")</f>
        <v/>
      </c>
      <c r="N2266" s="14" t="str">
        <f t="shared" si="1"/>
        <v/>
      </c>
      <c r="O2266" s="15" t="str">
        <f>IFERROR(VLOOKUP(I2266,material!A:D,2,0),"")</f>
        <v/>
      </c>
    </row>
    <row r="2267">
      <c r="A2267" s="6"/>
      <c r="B2267" s="7"/>
      <c r="C2267" s="8" t="str">
        <f t="array" ref="C2267">IFERROR(INDEX(atlas!H:H,MATCH(A2267,atlas!C:C,0)),"")</f>
        <v/>
      </c>
      <c r="D2267" s="8" t="str">
        <f t="array" ref="D2267">IFERROR(INDEX(atlas!D:D,MATCH(A2267,atlas!C:C,0)),"")</f>
        <v/>
      </c>
      <c r="E2267" s="8" t="str">
        <f t="array" ref="E2267">IFERROR(INDEX(atlas!F:F,MATCH(A2267,atlas!C:C,0)),"")</f>
        <v/>
      </c>
      <c r="F2267" s="9"/>
      <c r="G2267" s="10"/>
      <c r="H2267" s="11"/>
      <c r="I2267" s="12" t="str">
        <f t="array" ref="I2267">IFERROR(INDEX(atlas!B:B,MATCH(A2267,atlas!C:C,0)),"")</f>
        <v/>
      </c>
      <c r="J2267" s="8" t="str">
        <f>IFERROR(VLOOKUP(F2267,tecnica!A:B,2,0),"")</f>
        <v/>
      </c>
      <c r="K2267" s="8" t="str">
        <f>IFERROR(VLOOKUP(J2267,tecnica!B:C,2,0),"")</f>
        <v/>
      </c>
      <c r="L2267" s="13"/>
      <c r="M2267" s="14" t="str">
        <f>IFERROR(VLOOKUP(I2267,material!A:D,4,0),"")</f>
        <v/>
      </c>
      <c r="N2267" s="14" t="str">
        <f t="shared" si="1"/>
        <v/>
      </c>
      <c r="O2267" s="15" t="str">
        <f>IFERROR(VLOOKUP(I2267,material!A:D,2,0),"")</f>
        <v/>
      </c>
    </row>
    <row r="2268">
      <c r="A2268" s="6"/>
      <c r="B2268" s="7"/>
      <c r="C2268" s="8" t="str">
        <f t="array" ref="C2268">IFERROR(INDEX(atlas!H:H,MATCH(A2268,atlas!C:C,0)),"")</f>
        <v/>
      </c>
      <c r="D2268" s="8" t="str">
        <f t="array" ref="D2268">IFERROR(INDEX(atlas!D:D,MATCH(A2268,atlas!C:C,0)),"")</f>
        <v/>
      </c>
      <c r="E2268" s="8" t="str">
        <f t="array" ref="E2268">IFERROR(INDEX(atlas!F:F,MATCH(A2268,atlas!C:C,0)),"")</f>
        <v/>
      </c>
      <c r="F2268" s="9"/>
      <c r="G2268" s="10"/>
      <c r="H2268" s="11"/>
      <c r="I2268" s="12" t="str">
        <f t="array" ref="I2268">IFERROR(INDEX(atlas!B:B,MATCH(A2268,atlas!C:C,0)),"")</f>
        <v/>
      </c>
      <c r="J2268" s="8" t="str">
        <f>IFERROR(VLOOKUP(F2268,tecnica!A:B,2,0),"")</f>
        <v/>
      </c>
      <c r="K2268" s="8" t="str">
        <f>IFERROR(VLOOKUP(J2268,tecnica!B:C,2,0),"")</f>
        <v/>
      </c>
      <c r="L2268" s="13"/>
      <c r="M2268" s="14" t="str">
        <f>IFERROR(VLOOKUP(I2268,material!A:D,4,0),"")</f>
        <v/>
      </c>
      <c r="N2268" s="14" t="str">
        <f t="shared" si="1"/>
        <v/>
      </c>
      <c r="O2268" s="15" t="str">
        <f>IFERROR(VLOOKUP(I2268,material!A:D,2,0),"")</f>
        <v/>
      </c>
    </row>
    <row r="2269">
      <c r="A2269" s="6"/>
      <c r="B2269" s="7"/>
      <c r="C2269" s="8" t="str">
        <f t="array" ref="C2269">IFERROR(INDEX(atlas!H:H,MATCH(A2269,atlas!C:C,0)),"")</f>
        <v/>
      </c>
      <c r="D2269" s="8" t="str">
        <f t="array" ref="D2269">IFERROR(INDEX(atlas!D:D,MATCH(A2269,atlas!C:C,0)),"")</f>
        <v/>
      </c>
      <c r="E2269" s="8" t="str">
        <f t="array" ref="E2269">IFERROR(INDEX(atlas!F:F,MATCH(A2269,atlas!C:C,0)),"")</f>
        <v/>
      </c>
      <c r="F2269" s="9"/>
      <c r="G2269" s="10"/>
      <c r="H2269" s="11"/>
      <c r="I2269" s="12" t="str">
        <f t="array" ref="I2269">IFERROR(INDEX(atlas!B:B,MATCH(A2269,atlas!C:C,0)),"")</f>
        <v/>
      </c>
      <c r="J2269" s="8" t="str">
        <f>IFERROR(VLOOKUP(F2269,tecnica!A:B,2,0),"")</f>
        <v/>
      </c>
      <c r="K2269" s="8" t="str">
        <f>IFERROR(VLOOKUP(J2269,tecnica!B:C,2,0),"")</f>
        <v/>
      </c>
      <c r="L2269" s="13"/>
      <c r="M2269" s="14" t="str">
        <f>IFERROR(VLOOKUP(I2269,material!A:D,4,0),"")</f>
        <v/>
      </c>
      <c r="N2269" s="14" t="str">
        <f t="shared" si="1"/>
        <v/>
      </c>
      <c r="O2269" s="15" t="str">
        <f>IFERROR(VLOOKUP(I2269,material!A:D,2,0),"")</f>
        <v/>
      </c>
    </row>
    <row r="2270">
      <c r="A2270" s="6"/>
      <c r="B2270" s="7"/>
      <c r="C2270" s="8" t="str">
        <f t="array" ref="C2270">IFERROR(INDEX(atlas!H:H,MATCH(A2270,atlas!C:C,0)),"")</f>
        <v/>
      </c>
      <c r="D2270" s="8" t="str">
        <f t="array" ref="D2270">IFERROR(INDEX(atlas!D:D,MATCH(A2270,atlas!C:C,0)),"")</f>
        <v/>
      </c>
      <c r="E2270" s="8" t="str">
        <f t="array" ref="E2270">IFERROR(INDEX(atlas!F:F,MATCH(A2270,atlas!C:C,0)),"")</f>
        <v/>
      </c>
      <c r="F2270" s="9"/>
      <c r="G2270" s="10"/>
      <c r="H2270" s="11"/>
      <c r="I2270" s="12" t="str">
        <f t="array" ref="I2270">IFERROR(INDEX(atlas!B:B,MATCH(A2270,atlas!C:C,0)),"")</f>
        <v/>
      </c>
      <c r="J2270" s="8" t="str">
        <f>IFERROR(VLOOKUP(F2270,tecnica!A:B,2,0),"")</f>
        <v/>
      </c>
      <c r="K2270" s="8" t="str">
        <f>IFERROR(VLOOKUP(J2270,tecnica!B:C,2,0),"")</f>
        <v/>
      </c>
      <c r="L2270" s="13"/>
      <c r="M2270" s="14" t="str">
        <f>IFERROR(VLOOKUP(I2270,material!A:D,4,0),"")</f>
        <v/>
      </c>
      <c r="N2270" s="14" t="str">
        <f t="shared" si="1"/>
        <v/>
      </c>
      <c r="O2270" s="15" t="str">
        <f>IFERROR(VLOOKUP(I2270,material!A:D,2,0),"")</f>
        <v/>
      </c>
    </row>
    <row r="2271">
      <c r="A2271" s="6"/>
      <c r="B2271" s="7"/>
      <c r="C2271" s="8" t="str">
        <f t="array" ref="C2271">IFERROR(INDEX(atlas!H:H,MATCH(A2271,atlas!C:C,0)),"")</f>
        <v/>
      </c>
      <c r="D2271" s="8" t="str">
        <f t="array" ref="D2271">IFERROR(INDEX(atlas!D:D,MATCH(A2271,atlas!C:C,0)),"")</f>
        <v/>
      </c>
      <c r="E2271" s="8" t="str">
        <f t="array" ref="E2271">IFERROR(INDEX(atlas!F:F,MATCH(A2271,atlas!C:C,0)),"")</f>
        <v/>
      </c>
      <c r="F2271" s="9"/>
      <c r="G2271" s="10"/>
      <c r="H2271" s="11"/>
      <c r="I2271" s="12" t="str">
        <f t="array" ref="I2271">IFERROR(INDEX(atlas!B:B,MATCH(A2271,atlas!C:C,0)),"")</f>
        <v/>
      </c>
      <c r="J2271" s="8" t="str">
        <f>IFERROR(VLOOKUP(F2271,tecnica!A:B,2,0),"")</f>
        <v/>
      </c>
      <c r="K2271" s="8" t="str">
        <f>IFERROR(VLOOKUP(J2271,tecnica!B:C,2,0),"")</f>
        <v/>
      </c>
      <c r="L2271" s="13"/>
      <c r="M2271" s="14" t="str">
        <f>IFERROR(VLOOKUP(I2271,material!A:D,4,0),"")</f>
        <v/>
      </c>
      <c r="N2271" s="14" t="str">
        <f t="shared" si="1"/>
        <v/>
      </c>
      <c r="O2271" s="15" t="str">
        <f>IFERROR(VLOOKUP(I2271,material!A:D,2,0),"")</f>
        <v/>
      </c>
    </row>
    <row r="2272">
      <c r="A2272" s="6"/>
      <c r="B2272" s="7"/>
      <c r="C2272" s="8" t="str">
        <f t="array" ref="C2272">IFERROR(INDEX(atlas!H:H,MATCH(A2272,atlas!C:C,0)),"")</f>
        <v/>
      </c>
      <c r="D2272" s="8" t="str">
        <f t="array" ref="D2272">IFERROR(INDEX(atlas!D:D,MATCH(A2272,atlas!C:C,0)),"")</f>
        <v/>
      </c>
      <c r="E2272" s="8" t="str">
        <f t="array" ref="E2272">IFERROR(INDEX(atlas!F:F,MATCH(A2272,atlas!C:C,0)),"")</f>
        <v/>
      </c>
      <c r="F2272" s="9"/>
      <c r="G2272" s="10"/>
      <c r="H2272" s="11"/>
      <c r="I2272" s="12" t="str">
        <f t="array" ref="I2272">IFERROR(INDEX(atlas!B:B,MATCH(A2272,atlas!C:C,0)),"")</f>
        <v/>
      </c>
      <c r="J2272" s="8" t="str">
        <f>IFERROR(VLOOKUP(F2272,tecnica!A:B,2,0),"")</f>
        <v/>
      </c>
      <c r="K2272" s="8" t="str">
        <f>IFERROR(VLOOKUP(J2272,tecnica!B:C,2,0),"")</f>
        <v/>
      </c>
      <c r="L2272" s="13"/>
      <c r="M2272" s="14" t="str">
        <f>IFERROR(VLOOKUP(I2272,material!A:D,4,0),"")</f>
        <v/>
      </c>
      <c r="N2272" s="14" t="str">
        <f t="shared" si="1"/>
        <v/>
      </c>
      <c r="O2272" s="15" t="str">
        <f>IFERROR(VLOOKUP(I2272,material!A:D,2,0),"")</f>
        <v/>
      </c>
    </row>
    <row r="2273">
      <c r="A2273" s="6"/>
      <c r="B2273" s="7"/>
      <c r="C2273" s="8" t="str">
        <f t="array" ref="C2273">IFERROR(INDEX(atlas!H:H,MATCH(A2273,atlas!C:C,0)),"")</f>
        <v/>
      </c>
      <c r="D2273" s="8" t="str">
        <f t="array" ref="D2273">IFERROR(INDEX(atlas!D:D,MATCH(A2273,atlas!C:C,0)),"")</f>
        <v/>
      </c>
      <c r="E2273" s="8" t="str">
        <f t="array" ref="E2273">IFERROR(INDEX(atlas!F:F,MATCH(A2273,atlas!C:C,0)),"")</f>
        <v/>
      </c>
      <c r="F2273" s="9"/>
      <c r="G2273" s="10"/>
      <c r="H2273" s="11"/>
      <c r="I2273" s="12" t="str">
        <f t="array" ref="I2273">IFERROR(INDEX(atlas!B:B,MATCH(A2273,atlas!C:C,0)),"")</f>
        <v/>
      </c>
      <c r="J2273" s="8" t="str">
        <f>IFERROR(VLOOKUP(F2273,tecnica!A:B,2,0),"")</f>
        <v/>
      </c>
      <c r="K2273" s="8" t="str">
        <f>IFERROR(VLOOKUP(J2273,tecnica!B:C,2,0),"")</f>
        <v/>
      </c>
      <c r="L2273" s="13"/>
      <c r="M2273" s="14" t="str">
        <f>IFERROR(VLOOKUP(I2273,material!A:D,4,0),"")</f>
        <v/>
      </c>
      <c r="N2273" s="14" t="str">
        <f t="shared" si="1"/>
        <v/>
      </c>
      <c r="O2273" s="15" t="str">
        <f>IFERROR(VLOOKUP(I2273,material!A:D,2,0),"")</f>
        <v/>
      </c>
    </row>
    <row r="2274">
      <c r="A2274" s="6"/>
      <c r="B2274" s="7"/>
      <c r="C2274" s="8" t="str">
        <f t="array" ref="C2274">IFERROR(INDEX(atlas!H:H,MATCH(A2274,atlas!C:C,0)),"")</f>
        <v/>
      </c>
      <c r="D2274" s="8" t="str">
        <f t="array" ref="D2274">IFERROR(INDEX(atlas!D:D,MATCH(A2274,atlas!C:C,0)),"")</f>
        <v/>
      </c>
      <c r="E2274" s="8" t="str">
        <f t="array" ref="E2274">IFERROR(INDEX(atlas!F:F,MATCH(A2274,atlas!C:C,0)),"")</f>
        <v/>
      </c>
      <c r="F2274" s="9"/>
      <c r="G2274" s="10"/>
      <c r="H2274" s="11"/>
      <c r="I2274" s="12" t="str">
        <f t="array" ref="I2274">IFERROR(INDEX(atlas!B:B,MATCH(A2274,atlas!C:C,0)),"")</f>
        <v/>
      </c>
      <c r="J2274" s="8" t="str">
        <f>IFERROR(VLOOKUP(F2274,tecnica!A:B,2,0),"")</f>
        <v/>
      </c>
      <c r="K2274" s="8" t="str">
        <f>IFERROR(VLOOKUP(J2274,tecnica!B:C,2,0),"")</f>
        <v/>
      </c>
      <c r="L2274" s="13"/>
      <c r="M2274" s="14" t="str">
        <f>IFERROR(VLOOKUP(I2274,material!A:D,4,0),"")</f>
        <v/>
      </c>
      <c r="N2274" s="14" t="str">
        <f t="shared" si="1"/>
        <v/>
      </c>
      <c r="O2274" s="15" t="str">
        <f>IFERROR(VLOOKUP(I2274,material!A:D,2,0),"")</f>
        <v/>
      </c>
    </row>
    <row r="2275">
      <c r="A2275" s="6"/>
      <c r="B2275" s="7"/>
      <c r="C2275" s="8" t="str">
        <f t="array" ref="C2275">IFERROR(INDEX(atlas!H:H,MATCH(A2275,atlas!C:C,0)),"")</f>
        <v/>
      </c>
      <c r="D2275" s="8" t="str">
        <f t="array" ref="D2275">IFERROR(INDEX(atlas!D:D,MATCH(A2275,atlas!C:C,0)),"")</f>
        <v/>
      </c>
      <c r="E2275" s="8" t="str">
        <f t="array" ref="E2275">IFERROR(INDEX(atlas!F:F,MATCH(A2275,atlas!C:C,0)),"")</f>
        <v/>
      </c>
      <c r="F2275" s="9"/>
      <c r="G2275" s="10"/>
      <c r="H2275" s="11"/>
      <c r="I2275" s="12" t="str">
        <f t="array" ref="I2275">IFERROR(INDEX(atlas!B:B,MATCH(A2275,atlas!C:C,0)),"")</f>
        <v/>
      </c>
      <c r="J2275" s="8" t="str">
        <f>IFERROR(VLOOKUP(F2275,tecnica!A:B,2,0),"")</f>
        <v/>
      </c>
      <c r="K2275" s="8" t="str">
        <f>IFERROR(VLOOKUP(J2275,tecnica!B:C,2,0),"")</f>
        <v/>
      </c>
      <c r="L2275" s="13"/>
      <c r="M2275" s="14" t="str">
        <f>IFERROR(VLOOKUP(I2275,material!A:D,4,0),"")</f>
        <v/>
      </c>
      <c r="N2275" s="14" t="str">
        <f t="shared" si="1"/>
        <v/>
      </c>
      <c r="O2275" s="15" t="str">
        <f>IFERROR(VLOOKUP(I2275,material!A:D,2,0),"")</f>
        <v/>
      </c>
    </row>
    <row r="2276">
      <c r="A2276" s="6"/>
      <c r="B2276" s="7"/>
      <c r="C2276" s="8" t="str">
        <f t="array" ref="C2276">IFERROR(INDEX(atlas!H:H,MATCH(A2276,atlas!C:C,0)),"")</f>
        <v/>
      </c>
      <c r="D2276" s="8" t="str">
        <f t="array" ref="D2276">IFERROR(INDEX(atlas!D:D,MATCH(A2276,atlas!C:C,0)),"")</f>
        <v/>
      </c>
      <c r="E2276" s="8" t="str">
        <f t="array" ref="E2276">IFERROR(INDEX(atlas!F:F,MATCH(A2276,atlas!C:C,0)),"")</f>
        <v/>
      </c>
      <c r="F2276" s="9"/>
      <c r="G2276" s="10"/>
      <c r="H2276" s="11"/>
      <c r="I2276" s="12" t="str">
        <f t="array" ref="I2276">IFERROR(INDEX(atlas!B:B,MATCH(A2276,atlas!C:C,0)),"")</f>
        <v/>
      </c>
      <c r="J2276" s="8" t="str">
        <f>IFERROR(VLOOKUP(F2276,tecnica!A:B,2,0),"")</f>
        <v/>
      </c>
      <c r="K2276" s="8" t="str">
        <f>IFERROR(VLOOKUP(J2276,tecnica!B:C,2,0),"")</f>
        <v/>
      </c>
      <c r="L2276" s="13"/>
      <c r="M2276" s="14" t="str">
        <f>IFERROR(VLOOKUP(I2276,material!A:D,4,0),"")</f>
        <v/>
      </c>
      <c r="N2276" s="14" t="str">
        <f t="shared" si="1"/>
        <v/>
      </c>
      <c r="O2276" s="15" t="str">
        <f>IFERROR(VLOOKUP(I2276,material!A:D,2,0),"")</f>
        <v/>
      </c>
    </row>
    <row r="2277">
      <c r="A2277" s="6"/>
      <c r="B2277" s="7"/>
      <c r="C2277" s="8" t="str">
        <f t="array" ref="C2277">IFERROR(INDEX(atlas!H:H,MATCH(A2277,atlas!C:C,0)),"")</f>
        <v/>
      </c>
      <c r="D2277" s="8" t="str">
        <f t="array" ref="D2277">IFERROR(INDEX(atlas!D:D,MATCH(A2277,atlas!C:C,0)),"")</f>
        <v/>
      </c>
      <c r="E2277" s="8" t="str">
        <f t="array" ref="E2277">IFERROR(INDEX(atlas!F:F,MATCH(A2277,atlas!C:C,0)),"")</f>
        <v/>
      </c>
      <c r="F2277" s="9"/>
      <c r="G2277" s="10"/>
      <c r="H2277" s="11"/>
      <c r="I2277" s="12" t="str">
        <f t="array" ref="I2277">IFERROR(INDEX(atlas!B:B,MATCH(A2277,atlas!C:C,0)),"")</f>
        <v/>
      </c>
      <c r="J2277" s="8" t="str">
        <f>IFERROR(VLOOKUP(F2277,tecnica!A:B,2,0),"")</f>
        <v/>
      </c>
      <c r="K2277" s="8" t="str">
        <f>IFERROR(VLOOKUP(J2277,tecnica!B:C,2,0),"")</f>
        <v/>
      </c>
      <c r="L2277" s="13"/>
      <c r="M2277" s="14" t="str">
        <f>IFERROR(VLOOKUP(I2277,material!A:D,4,0),"")</f>
        <v/>
      </c>
      <c r="N2277" s="14" t="str">
        <f t="shared" si="1"/>
        <v/>
      </c>
      <c r="O2277" s="15" t="str">
        <f>IFERROR(VLOOKUP(I2277,material!A:D,2,0),"")</f>
        <v/>
      </c>
    </row>
    <row r="2278">
      <c r="A2278" s="6"/>
      <c r="B2278" s="7"/>
      <c r="C2278" s="8" t="str">
        <f t="array" ref="C2278">IFERROR(INDEX(atlas!H:H,MATCH(A2278,atlas!C:C,0)),"")</f>
        <v/>
      </c>
      <c r="D2278" s="8" t="str">
        <f t="array" ref="D2278">IFERROR(INDEX(atlas!D:D,MATCH(A2278,atlas!C:C,0)),"")</f>
        <v/>
      </c>
      <c r="E2278" s="8" t="str">
        <f t="array" ref="E2278">IFERROR(INDEX(atlas!F:F,MATCH(A2278,atlas!C:C,0)),"")</f>
        <v/>
      </c>
      <c r="F2278" s="9"/>
      <c r="G2278" s="10"/>
      <c r="H2278" s="11"/>
      <c r="I2278" s="12" t="str">
        <f t="array" ref="I2278">IFERROR(INDEX(atlas!B:B,MATCH(A2278,atlas!C:C,0)),"")</f>
        <v/>
      </c>
      <c r="J2278" s="8" t="str">
        <f>IFERROR(VLOOKUP(F2278,tecnica!A:B,2,0),"")</f>
        <v/>
      </c>
      <c r="K2278" s="8" t="str">
        <f>IFERROR(VLOOKUP(J2278,tecnica!B:C,2,0),"")</f>
        <v/>
      </c>
      <c r="L2278" s="13"/>
      <c r="M2278" s="14" t="str">
        <f>IFERROR(VLOOKUP(I2278,material!A:D,4,0),"")</f>
        <v/>
      </c>
      <c r="N2278" s="14" t="str">
        <f t="shared" si="1"/>
        <v/>
      </c>
      <c r="O2278" s="15" t="str">
        <f>IFERROR(VLOOKUP(I2278,material!A:D,2,0),"")</f>
        <v/>
      </c>
    </row>
    <row r="2279">
      <c r="A2279" s="6"/>
      <c r="B2279" s="7"/>
      <c r="C2279" s="8" t="str">
        <f t="array" ref="C2279">IFERROR(INDEX(atlas!H:H,MATCH(A2279,atlas!C:C,0)),"")</f>
        <v/>
      </c>
      <c r="D2279" s="8" t="str">
        <f t="array" ref="D2279">IFERROR(INDEX(atlas!D:D,MATCH(A2279,atlas!C:C,0)),"")</f>
        <v/>
      </c>
      <c r="E2279" s="8" t="str">
        <f t="array" ref="E2279">IFERROR(INDEX(atlas!F:F,MATCH(A2279,atlas!C:C,0)),"")</f>
        <v/>
      </c>
      <c r="F2279" s="9"/>
      <c r="G2279" s="10"/>
      <c r="H2279" s="11"/>
      <c r="I2279" s="12" t="str">
        <f t="array" ref="I2279">IFERROR(INDEX(atlas!B:B,MATCH(A2279,atlas!C:C,0)),"")</f>
        <v/>
      </c>
      <c r="J2279" s="8" t="str">
        <f>IFERROR(VLOOKUP(F2279,tecnica!A:B,2,0),"")</f>
        <v/>
      </c>
      <c r="K2279" s="8" t="str">
        <f>IFERROR(VLOOKUP(J2279,tecnica!B:C,2,0),"")</f>
        <v/>
      </c>
      <c r="L2279" s="13"/>
      <c r="M2279" s="14" t="str">
        <f>IFERROR(VLOOKUP(I2279,material!A:D,4,0),"")</f>
        <v/>
      </c>
      <c r="N2279" s="14" t="str">
        <f t="shared" si="1"/>
        <v/>
      </c>
      <c r="O2279" s="15" t="str">
        <f>IFERROR(VLOOKUP(I2279,material!A:D,2,0),"")</f>
        <v/>
      </c>
    </row>
    <row r="2280">
      <c r="A2280" s="6"/>
      <c r="B2280" s="7"/>
      <c r="C2280" s="8" t="str">
        <f t="array" ref="C2280">IFERROR(INDEX(atlas!H:H,MATCH(A2280,atlas!C:C,0)),"")</f>
        <v/>
      </c>
      <c r="D2280" s="8" t="str">
        <f t="array" ref="D2280">IFERROR(INDEX(atlas!D:D,MATCH(A2280,atlas!C:C,0)),"")</f>
        <v/>
      </c>
      <c r="E2280" s="8" t="str">
        <f t="array" ref="E2280">IFERROR(INDEX(atlas!F:F,MATCH(A2280,atlas!C:C,0)),"")</f>
        <v/>
      </c>
      <c r="F2280" s="9"/>
      <c r="G2280" s="10"/>
      <c r="H2280" s="11"/>
      <c r="I2280" s="12" t="str">
        <f t="array" ref="I2280">IFERROR(INDEX(atlas!B:B,MATCH(A2280,atlas!C:C,0)),"")</f>
        <v/>
      </c>
      <c r="J2280" s="8" t="str">
        <f>IFERROR(VLOOKUP(F2280,tecnica!A:B,2,0),"")</f>
        <v/>
      </c>
      <c r="K2280" s="8" t="str">
        <f>IFERROR(VLOOKUP(J2280,tecnica!B:C,2,0),"")</f>
        <v/>
      </c>
      <c r="L2280" s="13"/>
      <c r="M2280" s="14" t="str">
        <f>IFERROR(VLOOKUP(I2280,material!A:D,4,0),"")</f>
        <v/>
      </c>
      <c r="N2280" s="14" t="str">
        <f t="shared" si="1"/>
        <v/>
      </c>
      <c r="O2280" s="15" t="str">
        <f>IFERROR(VLOOKUP(I2280,material!A:D,2,0),"")</f>
        <v/>
      </c>
    </row>
    <row r="2281">
      <c r="A2281" s="6"/>
      <c r="B2281" s="7"/>
      <c r="C2281" s="8" t="str">
        <f t="array" ref="C2281">IFERROR(INDEX(atlas!H:H,MATCH(A2281,atlas!C:C,0)),"")</f>
        <v/>
      </c>
      <c r="D2281" s="8" t="str">
        <f t="array" ref="D2281">IFERROR(INDEX(atlas!D:D,MATCH(A2281,atlas!C:C,0)),"")</f>
        <v/>
      </c>
      <c r="E2281" s="8" t="str">
        <f t="array" ref="E2281">IFERROR(INDEX(atlas!F:F,MATCH(A2281,atlas!C:C,0)),"")</f>
        <v/>
      </c>
      <c r="F2281" s="9"/>
      <c r="G2281" s="10"/>
      <c r="H2281" s="11"/>
      <c r="I2281" s="12" t="str">
        <f t="array" ref="I2281">IFERROR(INDEX(atlas!B:B,MATCH(A2281,atlas!C:C,0)),"")</f>
        <v/>
      </c>
      <c r="J2281" s="8" t="str">
        <f>IFERROR(VLOOKUP(F2281,tecnica!A:B,2,0),"")</f>
        <v/>
      </c>
      <c r="K2281" s="8" t="str">
        <f>IFERROR(VLOOKUP(J2281,tecnica!B:C,2,0),"")</f>
        <v/>
      </c>
      <c r="L2281" s="13"/>
      <c r="M2281" s="14" t="str">
        <f>IFERROR(VLOOKUP(I2281,material!A:D,4,0),"")</f>
        <v/>
      </c>
      <c r="N2281" s="14" t="str">
        <f t="shared" si="1"/>
        <v/>
      </c>
      <c r="O2281" s="15" t="str">
        <f>IFERROR(VLOOKUP(I2281,material!A:D,2,0),"")</f>
        <v/>
      </c>
    </row>
    <row r="2282">
      <c r="A2282" s="6"/>
      <c r="B2282" s="7"/>
      <c r="C2282" s="8" t="str">
        <f t="array" ref="C2282">IFERROR(INDEX(atlas!H:H,MATCH(A2282,atlas!C:C,0)),"")</f>
        <v/>
      </c>
      <c r="D2282" s="8" t="str">
        <f t="array" ref="D2282">IFERROR(INDEX(atlas!D:D,MATCH(A2282,atlas!C:C,0)),"")</f>
        <v/>
      </c>
      <c r="E2282" s="8" t="str">
        <f t="array" ref="E2282">IFERROR(INDEX(atlas!F:F,MATCH(A2282,atlas!C:C,0)),"")</f>
        <v/>
      </c>
      <c r="F2282" s="9"/>
      <c r="G2282" s="10"/>
      <c r="H2282" s="11"/>
      <c r="I2282" s="12" t="str">
        <f t="array" ref="I2282">IFERROR(INDEX(atlas!B:B,MATCH(A2282,atlas!C:C,0)),"")</f>
        <v/>
      </c>
      <c r="J2282" s="8" t="str">
        <f>IFERROR(VLOOKUP(F2282,tecnica!A:B,2,0),"")</f>
        <v/>
      </c>
      <c r="K2282" s="8" t="str">
        <f>IFERROR(VLOOKUP(J2282,tecnica!B:C,2,0),"")</f>
        <v/>
      </c>
      <c r="L2282" s="13"/>
      <c r="M2282" s="14" t="str">
        <f>IFERROR(VLOOKUP(I2282,material!A:D,4,0),"")</f>
        <v/>
      </c>
      <c r="N2282" s="14" t="str">
        <f t="shared" si="1"/>
        <v/>
      </c>
      <c r="O2282" s="15" t="str">
        <f>IFERROR(VLOOKUP(I2282,material!A:D,2,0),"")</f>
        <v/>
      </c>
    </row>
    <row r="2283">
      <c r="A2283" s="6"/>
      <c r="B2283" s="7"/>
      <c r="C2283" s="8" t="str">
        <f t="array" ref="C2283">IFERROR(INDEX(atlas!H:H,MATCH(A2283,atlas!C:C,0)),"")</f>
        <v/>
      </c>
      <c r="D2283" s="8" t="str">
        <f t="array" ref="D2283">IFERROR(INDEX(atlas!D:D,MATCH(A2283,atlas!C:C,0)),"")</f>
        <v/>
      </c>
      <c r="E2283" s="8" t="str">
        <f t="array" ref="E2283">IFERROR(INDEX(atlas!F:F,MATCH(A2283,atlas!C:C,0)),"")</f>
        <v/>
      </c>
      <c r="F2283" s="9"/>
      <c r="G2283" s="10"/>
      <c r="H2283" s="11"/>
      <c r="I2283" s="12" t="str">
        <f t="array" ref="I2283">IFERROR(INDEX(atlas!B:B,MATCH(A2283,atlas!C:C,0)),"")</f>
        <v/>
      </c>
      <c r="J2283" s="8" t="str">
        <f>IFERROR(VLOOKUP(F2283,tecnica!A:B,2,0),"")</f>
        <v/>
      </c>
      <c r="K2283" s="8" t="str">
        <f>IFERROR(VLOOKUP(J2283,tecnica!B:C,2,0),"")</f>
        <v/>
      </c>
      <c r="L2283" s="13"/>
      <c r="M2283" s="14" t="str">
        <f>IFERROR(VLOOKUP(I2283,material!A:D,4,0),"")</f>
        <v/>
      </c>
      <c r="N2283" s="14" t="str">
        <f t="shared" si="1"/>
        <v/>
      </c>
      <c r="O2283" s="15" t="str">
        <f>IFERROR(VLOOKUP(I2283,material!A:D,2,0),"")</f>
        <v/>
      </c>
    </row>
    <row r="2284">
      <c r="A2284" s="6"/>
      <c r="B2284" s="7"/>
      <c r="C2284" s="8" t="str">
        <f t="array" ref="C2284">IFERROR(INDEX(atlas!H:H,MATCH(A2284,atlas!C:C,0)),"")</f>
        <v/>
      </c>
      <c r="D2284" s="8" t="str">
        <f t="array" ref="D2284">IFERROR(INDEX(atlas!D:D,MATCH(A2284,atlas!C:C,0)),"")</f>
        <v/>
      </c>
      <c r="E2284" s="8" t="str">
        <f t="array" ref="E2284">IFERROR(INDEX(atlas!F:F,MATCH(A2284,atlas!C:C,0)),"")</f>
        <v/>
      </c>
      <c r="F2284" s="9"/>
      <c r="G2284" s="10"/>
      <c r="H2284" s="11"/>
      <c r="I2284" s="12" t="str">
        <f t="array" ref="I2284">IFERROR(INDEX(atlas!B:B,MATCH(A2284,atlas!C:C,0)),"")</f>
        <v/>
      </c>
      <c r="J2284" s="8" t="str">
        <f>IFERROR(VLOOKUP(F2284,tecnica!A:B,2,0),"")</f>
        <v/>
      </c>
      <c r="K2284" s="8" t="str">
        <f>IFERROR(VLOOKUP(J2284,tecnica!B:C,2,0),"")</f>
        <v/>
      </c>
      <c r="L2284" s="13"/>
      <c r="M2284" s="14" t="str">
        <f>IFERROR(VLOOKUP(I2284,material!A:D,4,0),"")</f>
        <v/>
      </c>
      <c r="N2284" s="14" t="str">
        <f t="shared" si="1"/>
        <v/>
      </c>
      <c r="O2284" s="15" t="str">
        <f>IFERROR(VLOOKUP(I2284,material!A:D,2,0),"")</f>
        <v/>
      </c>
    </row>
    <row r="2285">
      <c r="A2285" s="6"/>
      <c r="B2285" s="7"/>
      <c r="C2285" s="8" t="str">
        <f t="array" ref="C2285">IFERROR(INDEX(atlas!H:H,MATCH(A2285,atlas!C:C,0)),"")</f>
        <v/>
      </c>
      <c r="D2285" s="8" t="str">
        <f t="array" ref="D2285">IFERROR(INDEX(atlas!D:D,MATCH(A2285,atlas!C:C,0)),"")</f>
        <v/>
      </c>
      <c r="E2285" s="8" t="str">
        <f t="array" ref="E2285">IFERROR(INDEX(atlas!F:F,MATCH(A2285,atlas!C:C,0)),"")</f>
        <v/>
      </c>
      <c r="F2285" s="9"/>
      <c r="G2285" s="10"/>
      <c r="H2285" s="11"/>
      <c r="I2285" s="12" t="str">
        <f t="array" ref="I2285">IFERROR(INDEX(atlas!B:B,MATCH(A2285,atlas!C:C,0)),"")</f>
        <v/>
      </c>
      <c r="J2285" s="8" t="str">
        <f>IFERROR(VLOOKUP(F2285,tecnica!A:B,2,0),"")</f>
        <v/>
      </c>
      <c r="K2285" s="8" t="str">
        <f>IFERROR(VLOOKUP(J2285,tecnica!B:C,2,0),"")</f>
        <v/>
      </c>
      <c r="L2285" s="13"/>
      <c r="M2285" s="14" t="str">
        <f>IFERROR(VLOOKUP(I2285,material!A:D,4,0),"")</f>
        <v/>
      </c>
      <c r="N2285" s="14" t="str">
        <f t="shared" si="1"/>
        <v/>
      </c>
      <c r="O2285" s="15" t="str">
        <f>IFERROR(VLOOKUP(I2285,material!A:D,2,0),"")</f>
        <v/>
      </c>
    </row>
    <row r="2286">
      <c r="A2286" s="6"/>
      <c r="B2286" s="7"/>
      <c r="C2286" s="8" t="str">
        <f t="array" ref="C2286">IFERROR(INDEX(atlas!H:H,MATCH(A2286,atlas!C:C,0)),"")</f>
        <v/>
      </c>
      <c r="D2286" s="8" t="str">
        <f t="array" ref="D2286">IFERROR(INDEX(atlas!D:D,MATCH(A2286,atlas!C:C,0)),"")</f>
        <v/>
      </c>
      <c r="E2286" s="8" t="str">
        <f t="array" ref="E2286">IFERROR(INDEX(atlas!F:F,MATCH(A2286,atlas!C:C,0)),"")</f>
        <v/>
      </c>
      <c r="F2286" s="9"/>
      <c r="G2286" s="10"/>
      <c r="H2286" s="11"/>
      <c r="I2286" s="12" t="str">
        <f t="array" ref="I2286">IFERROR(INDEX(atlas!B:B,MATCH(A2286,atlas!C:C,0)),"")</f>
        <v/>
      </c>
      <c r="J2286" s="8" t="str">
        <f>IFERROR(VLOOKUP(F2286,tecnica!A:B,2,0),"")</f>
        <v/>
      </c>
      <c r="K2286" s="8" t="str">
        <f>IFERROR(VLOOKUP(J2286,tecnica!B:C,2,0),"")</f>
        <v/>
      </c>
      <c r="L2286" s="13"/>
      <c r="M2286" s="14" t="str">
        <f>IFERROR(VLOOKUP(I2286,material!A:D,4,0),"")</f>
        <v/>
      </c>
      <c r="N2286" s="14" t="str">
        <f t="shared" si="1"/>
        <v/>
      </c>
      <c r="O2286" s="15" t="str">
        <f>IFERROR(VLOOKUP(I2286,material!A:D,2,0),"")</f>
        <v/>
      </c>
    </row>
    <row r="2287">
      <c r="A2287" s="6"/>
      <c r="B2287" s="7"/>
      <c r="C2287" s="8" t="str">
        <f t="array" ref="C2287">IFERROR(INDEX(atlas!H:H,MATCH(A2287,atlas!C:C,0)),"")</f>
        <v/>
      </c>
      <c r="D2287" s="8" t="str">
        <f t="array" ref="D2287">IFERROR(INDEX(atlas!D:D,MATCH(A2287,atlas!C:C,0)),"")</f>
        <v/>
      </c>
      <c r="E2287" s="8" t="str">
        <f t="array" ref="E2287">IFERROR(INDEX(atlas!F:F,MATCH(A2287,atlas!C:C,0)),"")</f>
        <v/>
      </c>
      <c r="F2287" s="9"/>
      <c r="G2287" s="10"/>
      <c r="H2287" s="11"/>
      <c r="I2287" s="12" t="str">
        <f t="array" ref="I2287">IFERROR(INDEX(atlas!B:B,MATCH(A2287,atlas!C:C,0)),"")</f>
        <v/>
      </c>
      <c r="J2287" s="8" t="str">
        <f>IFERROR(VLOOKUP(F2287,tecnica!A:B,2,0),"")</f>
        <v/>
      </c>
      <c r="K2287" s="8" t="str">
        <f>IFERROR(VLOOKUP(J2287,tecnica!B:C,2,0),"")</f>
        <v/>
      </c>
      <c r="L2287" s="13"/>
      <c r="M2287" s="14" t="str">
        <f>IFERROR(VLOOKUP(I2287,material!A:D,4,0),"")</f>
        <v/>
      </c>
      <c r="N2287" s="14" t="str">
        <f t="shared" si="1"/>
        <v/>
      </c>
      <c r="O2287" s="15" t="str">
        <f>IFERROR(VLOOKUP(I2287,material!A:D,2,0),"")</f>
        <v/>
      </c>
    </row>
    <row r="2288">
      <c r="A2288" s="6"/>
      <c r="B2288" s="7"/>
      <c r="C2288" s="8" t="str">
        <f t="array" ref="C2288">IFERROR(INDEX(atlas!H:H,MATCH(A2288,atlas!C:C,0)),"")</f>
        <v/>
      </c>
      <c r="D2288" s="8" t="str">
        <f t="array" ref="D2288">IFERROR(INDEX(atlas!D:D,MATCH(A2288,atlas!C:C,0)),"")</f>
        <v/>
      </c>
      <c r="E2288" s="8" t="str">
        <f t="array" ref="E2288">IFERROR(INDEX(atlas!F:F,MATCH(A2288,atlas!C:C,0)),"")</f>
        <v/>
      </c>
      <c r="F2288" s="9"/>
      <c r="G2288" s="10"/>
      <c r="H2288" s="11"/>
      <c r="I2288" s="12" t="str">
        <f t="array" ref="I2288">IFERROR(INDEX(atlas!B:B,MATCH(A2288,atlas!C:C,0)),"")</f>
        <v/>
      </c>
      <c r="J2288" s="8" t="str">
        <f>IFERROR(VLOOKUP(F2288,tecnica!A:B,2,0),"")</f>
        <v/>
      </c>
      <c r="K2288" s="8" t="str">
        <f>IFERROR(VLOOKUP(J2288,tecnica!B:C,2,0),"")</f>
        <v/>
      </c>
      <c r="L2288" s="13"/>
      <c r="M2288" s="14" t="str">
        <f>IFERROR(VLOOKUP(I2288,material!A:D,4,0),"")</f>
        <v/>
      </c>
      <c r="N2288" s="14" t="str">
        <f t="shared" si="1"/>
        <v/>
      </c>
      <c r="O2288" s="15" t="str">
        <f>IFERROR(VLOOKUP(I2288,material!A:D,2,0),"")</f>
        <v/>
      </c>
    </row>
    <row r="2289">
      <c r="A2289" s="6"/>
      <c r="B2289" s="7"/>
      <c r="C2289" s="8" t="str">
        <f t="array" ref="C2289">IFERROR(INDEX(atlas!H:H,MATCH(A2289,atlas!C:C,0)),"")</f>
        <v/>
      </c>
      <c r="D2289" s="8" t="str">
        <f t="array" ref="D2289">IFERROR(INDEX(atlas!D:D,MATCH(A2289,atlas!C:C,0)),"")</f>
        <v/>
      </c>
      <c r="E2289" s="8" t="str">
        <f t="array" ref="E2289">IFERROR(INDEX(atlas!F:F,MATCH(A2289,atlas!C:C,0)),"")</f>
        <v/>
      </c>
      <c r="F2289" s="9"/>
      <c r="G2289" s="10"/>
      <c r="H2289" s="11"/>
      <c r="I2289" s="12" t="str">
        <f t="array" ref="I2289">IFERROR(INDEX(atlas!B:B,MATCH(A2289,atlas!C:C,0)),"")</f>
        <v/>
      </c>
      <c r="J2289" s="8" t="str">
        <f>IFERROR(VLOOKUP(F2289,tecnica!A:B,2,0),"")</f>
        <v/>
      </c>
      <c r="K2289" s="8" t="str">
        <f>IFERROR(VLOOKUP(J2289,tecnica!B:C,2,0),"")</f>
        <v/>
      </c>
      <c r="L2289" s="13"/>
      <c r="M2289" s="14" t="str">
        <f>IFERROR(VLOOKUP(I2289,material!A:D,4,0),"")</f>
        <v/>
      </c>
      <c r="N2289" s="14" t="str">
        <f t="shared" si="1"/>
        <v/>
      </c>
      <c r="O2289" s="15" t="str">
        <f>IFERROR(VLOOKUP(I2289,material!A:D,2,0),"")</f>
        <v/>
      </c>
    </row>
    <row r="2290">
      <c r="A2290" s="6"/>
      <c r="B2290" s="7"/>
      <c r="C2290" s="8" t="str">
        <f t="array" ref="C2290">IFERROR(INDEX(atlas!H:H,MATCH(A2290,atlas!C:C,0)),"")</f>
        <v/>
      </c>
      <c r="D2290" s="8" t="str">
        <f t="array" ref="D2290">IFERROR(INDEX(atlas!D:D,MATCH(A2290,atlas!C:C,0)),"")</f>
        <v/>
      </c>
      <c r="E2290" s="8" t="str">
        <f t="array" ref="E2290">IFERROR(INDEX(atlas!F:F,MATCH(A2290,atlas!C:C,0)),"")</f>
        <v/>
      </c>
      <c r="F2290" s="9"/>
      <c r="G2290" s="10"/>
      <c r="H2290" s="11"/>
      <c r="I2290" s="12" t="str">
        <f t="array" ref="I2290">IFERROR(INDEX(atlas!B:B,MATCH(A2290,atlas!C:C,0)),"")</f>
        <v/>
      </c>
      <c r="J2290" s="8" t="str">
        <f>IFERROR(VLOOKUP(F2290,tecnica!A:B,2,0),"")</f>
        <v/>
      </c>
      <c r="K2290" s="8" t="str">
        <f>IFERROR(VLOOKUP(J2290,tecnica!B:C,2,0),"")</f>
        <v/>
      </c>
      <c r="L2290" s="13"/>
      <c r="M2290" s="14" t="str">
        <f>IFERROR(VLOOKUP(I2290,material!A:D,4,0),"")</f>
        <v/>
      </c>
      <c r="N2290" s="14" t="str">
        <f t="shared" si="1"/>
        <v/>
      </c>
      <c r="O2290" s="15" t="str">
        <f>IFERROR(VLOOKUP(I2290,material!A:D,2,0),"")</f>
        <v/>
      </c>
    </row>
    <row r="2291">
      <c r="A2291" s="6"/>
      <c r="B2291" s="7"/>
      <c r="C2291" s="8" t="str">
        <f t="array" ref="C2291">IFERROR(INDEX(atlas!H:H,MATCH(A2291,atlas!C:C,0)),"")</f>
        <v/>
      </c>
      <c r="D2291" s="8" t="str">
        <f t="array" ref="D2291">IFERROR(INDEX(atlas!D:D,MATCH(A2291,atlas!C:C,0)),"")</f>
        <v/>
      </c>
      <c r="E2291" s="8" t="str">
        <f t="array" ref="E2291">IFERROR(INDEX(atlas!F:F,MATCH(A2291,atlas!C:C,0)),"")</f>
        <v/>
      </c>
      <c r="F2291" s="9"/>
      <c r="G2291" s="10"/>
      <c r="H2291" s="11"/>
      <c r="I2291" s="12" t="str">
        <f t="array" ref="I2291">IFERROR(INDEX(atlas!B:B,MATCH(A2291,atlas!C:C,0)),"")</f>
        <v/>
      </c>
      <c r="J2291" s="8" t="str">
        <f>IFERROR(VLOOKUP(F2291,tecnica!A:B,2,0),"")</f>
        <v/>
      </c>
      <c r="K2291" s="8" t="str">
        <f>IFERROR(VLOOKUP(J2291,tecnica!B:C,2,0),"")</f>
        <v/>
      </c>
      <c r="L2291" s="13"/>
      <c r="M2291" s="14" t="str">
        <f>IFERROR(VLOOKUP(I2291,material!A:D,4,0),"")</f>
        <v/>
      </c>
      <c r="N2291" s="14" t="str">
        <f t="shared" si="1"/>
        <v/>
      </c>
      <c r="O2291" s="15" t="str">
        <f>IFERROR(VLOOKUP(I2291,material!A:D,2,0),"")</f>
        <v/>
      </c>
    </row>
    <row r="2292">
      <c r="A2292" s="6"/>
      <c r="B2292" s="7"/>
      <c r="C2292" s="8" t="str">
        <f t="array" ref="C2292">IFERROR(INDEX(atlas!H:H,MATCH(A2292,atlas!C:C,0)),"")</f>
        <v/>
      </c>
      <c r="D2292" s="8" t="str">
        <f t="array" ref="D2292">IFERROR(INDEX(atlas!D:D,MATCH(A2292,atlas!C:C,0)),"")</f>
        <v/>
      </c>
      <c r="E2292" s="8" t="str">
        <f t="array" ref="E2292">IFERROR(INDEX(atlas!F:F,MATCH(A2292,atlas!C:C,0)),"")</f>
        <v/>
      </c>
      <c r="F2292" s="9"/>
      <c r="G2292" s="10"/>
      <c r="H2292" s="11"/>
      <c r="I2292" s="12" t="str">
        <f t="array" ref="I2292">IFERROR(INDEX(atlas!B:B,MATCH(A2292,atlas!C:C,0)),"")</f>
        <v/>
      </c>
      <c r="J2292" s="8" t="str">
        <f>IFERROR(VLOOKUP(F2292,tecnica!A:B,2,0),"")</f>
        <v/>
      </c>
      <c r="K2292" s="8" t="str">
        <f>IFERROR(VLOOKUP(J2292,tecnica!B:C,2,0),"")</f>
        <v/>
      </c>
      <c r="L2292" s="13"/>
      <c r="M2292" s="14" t="str">
        <f>IFERROR(VLOOKUP(I2292,material!A:D,4,0),"")</f>
        <v/>
      </c>
      <c r="N2292" s="14" t="str">
        <f t="shared" si="1"/>
        <v/>
      </c>
      <c r="O2292" s="15" t="str">
        <f>IFERROR(VLOOKUP(I2292,material!A:D,2,0),"")</f>
        <v/>
      </c>
    </row>
    <row r="2293">
      <c r="A2293" s="6"/>
      <c r="B2293" s="7"/>
      <c r="C2293" s="8" t="str">
        <f t="array" ref="C2293">IFERROR(INDEX(atlas!H:H,MATCH(A2293,atlas!C:C,0)),"")</f>
        <v/>
      </c>
      <c r="D2293" s="8" t="str">
        <f t="array" ref="D2293">IFERROR(INDEX(atlas!D:D,MATCH(A2293,atlas!C:C,0)),"")</f>
        <v/>
      </c>
      <c r="E2293" s="8" t="str">
        <f t="array" ref="E2293">IFERROR(INDEX(atlas!F:F,MATCH(A2293,atlas!C:C,0)),"")</f>
        <v/>
      </c>
      <c r="F2293" s="9"/>
      <c r="G2293" s="10"/>
      <c r="H2293" s="11"/>
      <c r="I2293" s="12" t="str">
        <f t="array" ref="I2293">IFERROR(INDEX(atlas!B:B,MATCH(A2293,atlas!C:C,0)),"")</f>
        <v/>
      </c>
      <c r="J2293" s="8" t="str">
        <f>IFERROR(VLOOKUP(F2293,tecnica!A:B,2,0),"")</f>
        <v/>
      </c>
      <c r="K2293" s="8" t="str">
        <f>IFERROR(VLOOKUP(J2293,tecnica!B:C,2,0),"")</f>
        <v/>
      </c>
      <c r="L2293" s="13"/>
      <c r="M2293" s="14" t="str">
        <f>IFERROR(VLOOKUP(I2293,material!A:D,4,0),"")</f>
        <v/>
      </c>
      <c r="N2293" s="14" t="str">
        <f t="shared" si="1"/>
        <v/>
      </c>
      <c r="O2293" s="15" t="str">
        <f>IFERROR(VLOOKUP(I2293,material!A:D,2,0),"")</f>
        <v/>
      </c>
    </row>
    <row r="2294">
      <c r="A2294" s="6"/>
      <c r="B2294" s="7"/>
      <c r="C2294" s="8" t="str">
        <f t="array" ref="C2294">IFERROR(INDEX(atlas!H:H,MATCH(A2294,atlas!C:C,0)),"")</f>
        <v/>
      </c>
      <c r="D2294" s="8" t="str">
        <f t="array" ref="D2294">IFERROR(INDEX(atlas!D:D,MATCH(A2294,atlas!C:C,0)),"")</f>
        <v/>
      </c>
      <c r="E2294" s="8" t="str">
        <f t="array" ref="E2294">IFERROR(INDEX(atlas!F:F,MATCH(A2294,atlas!C:C,0)),"")</f>
        <v/>
      </c>
      <c r="F2294" s="9"/>
      <c r="G2294" s="10"/>
      <c r="H2294" s="11"/>
      <c r="I2294" s="12" t="str">
        <f t="array" ref="I2294">IFERROR(INDEX(atlas!B:B,MATCH(A2294,atlas!C:C,0)),"")</f>
        <v/>
      </c>
      <c r="J2294" s="8" t="str">
        <f>IFERROR(VLOOKUP(F2294,tecnica!A:B,2,0),"")</f>
        <v/>
      </c>
      <c r="K2294" s="8" t="str">
        <f>IFERROR(VLOOKUP(J2294,tecnica!B:C,2,0),"")</f>
        <v/>
      </c>
      <c r="L2294" s="13"/>
      <c r="M2294" s="14" t="str">
        <f>IFERROR(VLOOKUP(I2294,material!A:D,4,0),"")</f>
        <v/>
      </c>
      <c r="N2294" s="14" t="str">
        <f t="shared" si="1"/>
        <v/>
      </c>
      <c r="O2294" s="15" t="str">
        <f>IFERROR(VLOOKUP(I2294,material!A:D,2,0),"")</f>
        <v/>
      </c>
    </row>
    <row r="2295">
      <c r="A2295" s="6"/>
      <c r="B2295" s="7"/>
      <c r="C2295" s="8" t="str">
        <f t="array" ref="C2295">IFERROR(INDEX(atlas!H:H,MATCH(A2295,atlas!C:C,0)),"")</f>
        <v/>
      </c>
      <c r="D2295" s="8" t="str">
        <f t="array" ref="D2295">IFERROR(INDEX(atlas!D:D,MATCH(A2295,atlas!C:C,0)),"")</f>
        <v/>
      </c>
      <c r="E2295" s="8" t="str">
        <f t="array" ref="E2295">IFERROR(INDEX(atlas!F:F,MATCH(A2295,atlas!C:C,0)),"")</f>
        <v/>
      </c>
      <c r="F2295" s="9"/>
      <c r="G2295" s="10"/>
      <c r="H2295" s="11"/>
      <c r="I2295" s="12" t="str">
        <f t="array" ref="I2295">IFERROR(INDEX(atlas!B:B,MATCH(A2295,atlas!C:C,0)),"")</f>
        <v/>
      </c>
      <c r="J2295" s="8" t="str">
        <f>IFERROR(VLOOKUP(F2295,tecnica!A:B,2,0),"")</f>
        <v/>
      </c>
      <c r="K2295" s="8" t="str">
        <f>IFERROR(VLOOKUP(J2295,tecnica!B:C,2,0),"")</f>
        <v/>
      </c>
      <c r="L2295" s="13"/>
      <c r="M2295" s="14" t="str">
        <f>IFERROR(VLOOKUP(I2295,material!A:D,4,0),"")</f>
        <v/>
      </c>
      <c r="N2295" s="14" t="str">
        <f t="shared" si="1"/>
        <v/>
      </c>
      <c r="O2295" s="15" t="str">
        <f>IFERROR(VLOOKUP(I2295,material!A:D,2,0),"")</f>
        <v/>
      </c>
    </row>
    <row r="2296">
      <c r="A2296" s="6"/>
      <c r="B2296" s="7"/>
      <c r="C2296" s="8" t="str">
        <f t="array" ref="C2296">IFERROR(INDEX(atlas!H:H,MATCH(A2296,atlas!C:C,0)),"")</f>
        <v/>
      </c>
      <c r="D2296" s="8" t="str">
        <f t="array" ref="D2296">IFERROR(INDEX(atlas!D:D,MATCH(A2296,atlas!C:C,0)),"")</f>
        <v/>
      </c>
      <c r="E2296" s="8" t="str">
        <f t="array" ref="E2296">IFERROR(INDEX(atlas!F:F,MATCH(A2296,atlas!C:C,0)),"")</f>
        <v/>
      </c>
      <c r="F2296" s="9"/>
      <c r="G2296" s="10"/>
      <c r="H2296" s="11"/>
      <c r="I2296" s="12" t="str">
        <f t="array" ref="I2296">IFERROR(INDEX(atlas!B:B,MATCH(A2296,atlas!C:C,0)),"")</f>
        <v/>
      </c>
      <c r="J2296" s="8" t="str">
        <f>IFERROR(VLOOKUP(F2296,tecnica!A:B,2,0),"")</f>
        <v/>
      </c>
      <c r="K2296" s="8" t="str">
        <f>IFERROR(VLOOKUP(J2296,tecnica!B:C,2,0),"")</f>
        <v/>
      </c>
      <c r="L2296" s="13"/>
      <c r="M2296" s="14" t="str">
        <f>IFERROR(VLOOKUP(I2296,material!A:D,4,0),"")</f>
        <v/>
      </c>
      <c r="N2296" s="14" t="str">
        <f t="shared" si="1"/>
        <v/>
      </c>
      <c r="O2296" s="15" t="str">
        <f>IFERROR(VLOOKUP(I2296,material!A:D,2,0),"")</f>
        <v/>
      </c>
    </row>
    <row r="2297">
      <c r="A2297" s="6"/>
      <c r="B2297" s="7"/>
      <c r="C2297" s="8" t="str">
        <f t="array" ref="C2297">IFERROR(INDEX(atlas!H:H,MATCH(A2297,atlas!C:C,0)),"")</f>
        <v/>
      </c>
      <c r="D2297" s="8" t="str">
        <f t="array" ref="D2297">IFERROR(INDEX(atlas!D:D,MATCH(A2297,atlas!C:C,0)),"")</f>
        <v/>
      </c>
      <c r="E2297" s="8" t="str">
        <f t="array" ref="E2297">IFERROR(INDEX(atlas!F:F,MATCH(A2297,atlas!C:C,0)),"")</f>
        <v/>
      </c>
      <c r="F2297" s="9"/>
      <c r="G2297" s="10"/>
      <c r="H2297" s="11"/>
      <c r="I2297" s="12" t="str">
        <f t="array" ref="I2297">IFERROR(INDEX(atlas!B:B,MATCH(A2297,atlas!C:C,0)),"")</f>
        <v/>
      </c>
      <c r="J2297" s="8" t="str">
        <f>IFERROR(VLOOKUP(F2297,tecnica!A:B,2,0),"")</f>
        <v/>
      </c>
      <c r="K2297" s="8" t="str">
        <f>IFERROR(VLOOKUP(J2297,tecnica!B:C,2,0),"")</f>
        <v/>
      </c>
      <c r="L2297" s="13"/>
      <c r="M2297" s="14" t="str">
        <f>IFERROR(VLOOKUP(I2297,material!A:D,4,0),"")</f>
        <v/>
      </c>
      <c r="N2297" s="14" t="str">
        <f t="shared" si="1"/>
        <v/>
      </c>
      <c r="O2297" s="15" t="str">
        <f>IFERROR(VLOOKUP(I2297,material!A:D,2,0),"")</f>
        <v/>
      </c>
    </row>
    <row r="2298">
      <c r="A2298" s="6"/>
      <c r="B2298" s="7"/>
      <c r="C2298" s="8" t="str">
        <f t="array" ref="C2298">IFERROR(INDEX(atlas!H:H,MATCH(A2298,atlas!C:C,0)),"")</f>
        <v/>
      </c>
      <c r="D2298" s="8" t="str">
        <f t="array" ref="D2298">IFERROR(INDEX(atlas!D:D,MATCH(A2298,atlas!C:C,0)),"")</f>
        <v/>
      </c>
      <c r="E2298" s="8" t="str">
        <f t="array" ref="E2298">IFERROR(INDEX(atlas!F:F,MATCH(A2298,atlas!C:C,0)),"")</f>
        <v/>
      </c>
      <c r="F2298" s="9"/>
      <c r="G2298" s="10"/>
      <c r="H2298" s="11"/>
      <c r="I2298" s="12" t="str">
        <f t="array" ref="I2298">IFERROR(INDEX(atlas!B:B,MATCH(A2298,atlas!C:C,0)),"")</f>
        <v/>
      </c>
      <c r="J2298" s="8" t="str">
        <f>IFERROR(VLOOKUP(F2298,tecnica!A:B,2,0),"")</f>
        <v/>
      </c>
      <c r="K2298" s="8" t="str">
        <f>IFERROR(VLOOKUP(J2298,tecnica!B:C,2,0),"")</f>
        <v/>
      </c>
      <c r="L2298" s="13"/>
      <c r="M2298" s="14" t="str">
        <f>IFERROR(VLOOKUP(I2298,material!A:D,4,0),"")</f>
        <v/>
      </c>
      <c r="N2298" s="14" t="str">
        <f t="shared" si="1"/>
        <v/>
      </c>
      <c r="O2298" s="15" t="str">
        <f>IFERROR(VLOOKUP(I2298,material!A:D,2,0),"")</f>
        <v/>
      </c>
    </row>
    <row r="2299">
      <c r="A2299" s="6"/>
      <c r="B2299" s="7"/>
      <c r="C2299" s="8" t="str">
        <f t="array" ref="C2299">IFERROR(INDEX(atlas!H:H,MATCH(A2299,atlas!C:C,0)),"")</f>
        <v/>
      </c>
      <c r="D2299" s="8" t="str">
        <f t="array" ref="D2299">IFERROR(INDEX(atlas!D:D,MATCH(A2299,atlas!C:C,0)),"")</f>
        <v/>
      </c>
      <c r="E2299" s="8" t="str">
        <f t="array" ref="E2299">IFERROR(INDEX(atlas!F:F,MATCH(A2299,atlas!C:C,0)),"")</f>
        <v/>
      </c>
      <c r="F2299" s="9"/>
      <c r="G2299" s="10"/>
      <c r="H2299" s="11"/>
      <c r="I2299" s="12" t="str">
        <f t="array" ref="I2299">IFERROR(INDEX(atlas!B:B,MATCH(A2299,atlas!C:C,0)),"")</f>
        <v/>
      </c>
      <c r="J2299" s="8" t="str">
        <f>IFERROR(VLOOKUP(F2299,tecnica!A:B,2,0),"")</f>
        <v/>
      </c>
      <c r="K2299" s="8" t="str">
        <f>IFERROR(VLOOKUP(J2299,tecnica!B:C,2,0),"")</f>
        <v/>
      </c>
      <c r="L2299" s="13"/>
      <c r="M2299" s="14" t="str">
        <f>IFERROR(VLOOKUP(I2299,material!A:D,4,0),"")</f>
        <v/>
      </c>
      <c r="N2299" s="14" t="str">
        <f t="shared" si="1"/>
        <v/>
      </c>
      <c r="O2299" s="15" t="str">
        <f>IFERROR(VLOOKUP(I2299,material!A:D,2,0),"")</f>
        <v/>
      </c>
    </row>
    <row r="2300">
      <c r="A2300" s="6"/>
      <c r="B2300" s="7"/>
      <c r="C2300" s="8" t="str">
        <f t="array" ref="C2300">IFERROR(INDEX(atlas!H:H,MATCH(A2300,atlas!C:C,0)),"")</f>
        <v/>
      </c>
      <c r="D2300" s="8" t="str">
        <f t="array" ref="D2300">IFERROR(INDEX(atlas!D:D,MATCH(A2300,atlas!C:C,0)),"")</f>
        <v/>
      </c>
      <c r="E2300" s="8" t="str">
        <f t="array" ref="E2300">IFERROR(INDEX(atlas!F:F,MATCH(A2300,atlas!C:C,0)),"")</f>
        <v/>
      </c>
      <c r="F2300" s="9"/>
      <c r="G2300" s="10"/>
      <c r="H2300" s="11"/>
      <c r="I2300" s="12" t="str">
        <f t="array" ref="I2300">IFERROR(INDEX(atlas!B:B,MATCH(A2300,atlas!C:C,0)),"")</f>
        <v/>
      </c>
      <c r="J2300" s="8" t="str">
        <f>IFERROR(VLOOKUP(F2300,tecnica!A:B,2,0),"")</f>
        <v/>
      </c>
      <c r="K2300" s="8" t="str">
        <f>IFERROR(VLOOKUP(J2300,tecnica!B:C,2,0),"")</f>
        <v/>
      </c>
      <c r="L2300" s="13"/>
      <c r="M2300" s="14" t="str">
        <f>IFERROR(VLOOKUP(I2300,material!A:D,4,0),"")</f>
        <v/>
      </c>
      <c r="N2300" s="14" t="str">
        <f t="shared" si="1"/>
        <v/>
      </c>
      <c r="O2300" s="15" t="str">
        <f>IFERROR(VLOOKUP(I2300,material!A:D,2,0),"")</f>
        <v/>
      </c>
    </row>
    <row r="2301">
      <c r="A2301" s="6"/>
      <c r="B2301" s="7"/>
      <c r="C2301" s="8" t="str">
        <f t="array" ref="C2301">IFERROR(INDEX(atlas!H:H,MATCH(A2301,atlas!C:C,0)),"")</f>
        <v/>
      </c>
      <c r="D2301" s="8" t="str">
        <f t="array" ref="D2301">IFERROR(INDEX(atlas!D:D,MATCH(A2301,atlas!C:C,0)),"")</f>
        <v/>
      </c>
      <c r="E2301" s="8" t="str">
        <f t="array" ref="E2301">IFERROR(INDEX(atlas!F:F,MATCH(A2301,atlas!C:C,0)),"")</f>
        <v/>
      </c>
      <c r="F2301" s="9"/>
      <c r="G2301" s="10"/>
      <c r="H2301" s="11"/>
      <c r="I2301" s="12" t="str">
        <f t="array" ref="I2301">IFERROR(INDEX(atlas!B:B,MATCH(A2301,atlas!C:C,0)),"")</f>
        <v/>
      </c>
      <c r="J2301" s="8" t="str">
        <f>IFERROR(VLOOKUP(F2301,tecnica!A:B,2,0),"")</f>
        <v/>
      </c>
      <c r="K2301" s="8" t="str">
        <f>IFERROR(VLOOKUP(J2301,tecnica!B:C,2,0),"")</f>
        <v/>
      </c>
      <c r="L2301" s="13"/>
      <c r="M2301" s="14" t="str">
        <f>IFERROR(VLOOKUP(I2301,material!A:D,4,0),"")</f>
        <v/>
      </c>
      <c r="N2301" s="14" t="str">
        <f t="shared" si="1"/>
        <v/>
      </c>
      <c r="O2301" s="15" t="str">
        <f>IFERROR(VLOOKUP(I2301,material!A:D,2,0),"")</f>
        <v/>
      </c>
    </row>
    <row r="2302">
      <c r="A2302" s="6"/>
      <c r="B2302" s="7"/>
      <c r="C2302" s="8" t="str">
        <f t="array" ref="C2302">IFERROR(INDEX(atlas!H:H,MATCH(A2302,atlas!C:C,0)),"")</f>
        <v/>
      </c>
      <c r="D2302" s="8" t="str">
        <f t="array" ref="D2302">IFERROR(INDEX(atlas!D:D,MATCH(A2302,atlas!C:C,0)),"")</f>
        <v/>
      </c>
      <c r="E2302" s="8" t="str">
        <f t="array" ref="E2302">IFERROR(INDEX(atlas!F:F,MATCH(A2302,atlas!C:C,0)),"")</f>
        <v/>
      </c>
      <c r="F2302" s="9"/>
      <c r="G2302" s="10"/>
      <c r="H2302" s="11"/>
      <c r="I2302" s="12" t="str">
        <f t="array" ref="I2302">IFERROR(INDEX(atlas!B:B,MATCH(A2302,atlas!C:C,0)),"")</f>
        <v/>
      </c>
      <c r="J2302" s="8" t="str">
        <f>IFERROR(VLOOKUP(F2302,tecnica!A:B,2,0),"")</f>
        <v/>
      </c>
      <c r="K2302" s="8" t="str">
        <f>IFERROR(VLOOKUP(J2302,tecnica!B:C,2,0),"")</f>
        <v/>
      </c>
      <c r="L2302" s="13"/>
      <c r="M2302" s="14" t="str">
        <f>IFERROR(VLOOKUP(I2302,material!A:D,4,0),"")</f>
        <v/>
      </c>
      <c r="N2302" s="14" t="str">
        <f t="shared" si="1"/>
        <v/>
      </c>
      <c r="O2302" s="15" t="str">
        <f>IFERROR(VLOOKUP(I2302,material!A:D,2,0),"")</f>
        <v/>
      </c>
    </row>
    <row r="2303">
      <c r="A2303" s="6"/>
      <c r="B2303" s="7"/>
      <c r="C2303" s="8" t="str">
        <f t="array" ref="C2303">IFERROR(INDEX(atlas!H:H,MATCH(A2303,atlas!C:C,0)),"")</f>
        <v/>
      </c>
      <c r="D2303" s="8" t="str">
        <f t="array" ref="D2303">IFERROR(INDEX(atlas!D:D,MATCH(A2303,atlas!C:C,0)),"")</f>
        <v/>
      </c>
      <c r="E2303" s="8" t="str">
        <f t="array" ref="E2303">IFERROR(INDEX(atlas!F:F,MATCH(A2303,atlas!C:C,0)),"")</f>
        <v/>
      </c>
      <c r="F2303" s="9"/>
      <c r="G2303" s="10"/>
      <c r="H2303" s="11"/>
      <c r="I2303" s="12" t="str">
        <f t="array" ref="I2303">IFERROR(INDEX(atlas!B:B,MATCH(A2303,atlas!C:C,0)),"")</f>
        <v/>
      </c>
      <c r="J2303" s="8" t="str">
        <f>IFERROR(VLOOKUP(F2303,tecnica!A:B,2,0),"")</f>
        <v/>
      </c>
      <c r="K2303" s="8" t="str">
        <f>IFERROR(VLOOKUP(J2303,tecnica!B:C,2,0),"")</f>
        <v/>
      </c>
      <c r="L2303" s="13"/>
      <c r="M2303" s="14" t="str">
        <f>IFERROR(VLOOKUP(I2303,material!A:D,4,0),"")</f>
        <v/>
      </c>
      <c r="N2303" s="14" t="str">
        <f t="shared" si="1"/>
        <v/>
      </c>
      <c r="O2303" s="15" t="str">
        <f>IFERROR(VLOOKUP(I2303,material!A:D,2,0),"")</f>
        <v/>
      </c>
    </row>
    <row r="2304">
      <c r="A2304" s="6"/>
      <c r="B2304" s="7"/>
      <c r="C2304" s="8" t="str">
        <f t="array" ref="C2304">IFERROR(INDEX(atlas!H:H,MATCH(A2304,atlas!C:C,0)),"")</f>
        <v/>
      </c>
      <c r="D2304" s="8" t="str">
        <f t="array" ref="D2304">IFERROR(INDEX(atlas!D:D,MATCH(A2304,atlas!C:C,0)),"")</f>
        <v/>
      </c>
      <c r="E2304" s="8" t="str">
        <f t="array" ref="E2304">IFERROR(INDEX(atlas!F:F,MATCH(A2304,atlas!C:C,0)),"")</f>
        <v/>
      </c>
      <c r="F2304" s="9"/>
      <c r="G2304" s="10"/>
      <c r="H2304" s="11"/>
      <c r="I2304" s="12" t="str">
        <f t="array" ref="I2304">IFERROR(INDEX(atlas!B:B,MATCH(A2304,atlas!C:C,0)),"")</f>
        <v/>
      </c>
      <c r="J2304" s="8" t="str">
        <f>IFERROR(VLOOKUP(F2304,tecnica!A:B,2,0),"")</f>
        <v/>
      </c>
      <c r="K2304" s="8" t="str">
        <f>IFERROR(VLOOKUP(J2304,tecnica!B:C,2,0),"")</f>
        <v/>
      </c>
      <c r="L2304" s="13"/>
      <c r="M2304" s="14" t="str">
        <f>IFERROR(VLOOKUP(I2304,material!A:D,4,0),"")</f>
        <v/>
      </c>
      <c r="N2304" s="14" t="str">
        <f t="shared" si="1"/>
        <v/>
      </c>
      <c r="O2304" s="15" t="str">
        <f>IFERROR(VLOOKUP(I2304,material!A:D,2,0),"")</f>
        <v/>
      </c>
    </row>
    <row r="2305">
      <c r="A2305" s="6"/>
      <c r="B2305" s="7"/>
      <c r="C2305" s="8" t="str">
        <f t="array" ref="C2305">IFERROR(INDEX(atlas!H:H,MATCH(A2305,atlas!C:C,0)),"")</f>
        <v/>
      </c>
      <c r="D2305" s="8" t="str">
        <f t="array" ref="D2305">IFERROR(INDEX(atlas!D:D,MATCH(A2305,atlas!C:C,0)),"")</f>
        <v/>
      </c>
      <c r="E2305" s="8" t="str">
        <f t="array" ref="E2305">IFERROR(INDEX(atlas!F:F,MATCH(A2305,atlas!C:C,0)),"")</f>
        <v/>
      </c>
      <c r="F2305" s="9"/>
      <c r="G2305" s="10"/>
      <c r="H2305" s="11"/>
      <c r="I2305" s="12" t="str">
        <f t="array" ref="I2305">IFERROR(INDEX(atlas!B:B,MATCH(A2305,atlas!C:C,0)),"")</f>
        <v/>
      </c>
      <c r="J2305" s="8" t="str">
        <f>IFERROR(VLOOKUP(F2305,tecnica!A:B,2,0),"")</f>
        <v/>
      </c>
      <c r="K2305" s="8" t="str">
        <f>IFERROR(VLOOKUP(J2305,tecnica!B:C,2,0),"")</f>
        <v/>
      </c>
      <c r="L2305" s="13"/>
      <c r="M2305" s="14" t="str">
        <f>IFERROR(VLOOKUP(I2305,material!A:D,4,0),"")</f>
        <v/>
      </c>
      <c r="N2305" s="14" t="str">
        <f t="shared" si="1"/>
        <v/>
      </c>
      <c r="O2305" s="15" t="str">
        <f>IFERROR(VLOOKUP(I2305,material!A:D,2,0),"")</f>
        <v/>
      </c>
    </row>
    <row r="2306">
      <c r="A2306" s="6"/>
      <c r="B2306" s="7"/>
      <c r="C2306" s="8" t="str">
        <f t="array" ref="C2306">IFERROR(INDEX(atlas!H:H,MATCH(A2306,atlas!C:C,0)),"")</f>
        <v/>
      </c>
      <c r="D2306" s="8" t="str">
        <f t="array" ref="D2306">IFERROR(INDEX(atlas!D:D,MATCH(A2306,atlas!C:C,0)),"")</f>
        <v/>
      </c>
      <c r="E2306" s="8" t="str">
        <f t="array" ref="E2306">IFERROR(INDEX(atlas!F:F,MATCH(A2306,atlas!C:C,0)),"")</f>
        <v/>
      </c>
      <c r="F2306" s="9"/>
      <c r="G2306" s="10"/>
      <c r="H2306" s="11"/>
      <c r="I2306" s="12" t="str">
        <f t="array" ref="I2306">IFERROR(INDEX(atlas!B:B,MATCH(A2306,atlas!C:C,0)),"")</f>
        <v/>
      </c>
      <c r="J2306" s="8" t="str">
        <f>IFERROR(VLOOKUP(F2306,tecnica!A:B,2,0),"")</f>
        <v/>
      </c>
      <c r="K2306" s="8" t="str">
        <f>IFERROR(VLOOKUP(J2306,tecnica!B:C,2,0),"")</f>
        <v/>
      </c>
      <c r="L2306" s="13"/>
      <c r="M2306" s="14" t="str">
        <f>IFERROR(VLOOKUP(I2306,material!A:D,4,0),"")</f>
        <v/>
      </c>
      <c r="N2306" s="14" t="str">
        <f t="shared" si="1"/>
        <v/>
      </c>
      <c r="O2306" s="15" t="str">
        <f>IFERROR(VLOOKUP(I2306,material!A:D,2,0),"")</f>
        <v/>
      </c>
    </row>
    <row r="2307">
      <c r="A2307" s="6"/>
      <c r="B2307" s="7"/>
      <c r="C2307" s="8" t="str">
        <f t="array" ref="C2307">IFERROR(INDEX(atlas!H:H,MATCH(A2307,atlas!C:C,0)),"")</f>
        <v/>
      </c>
      <c r="D2307" s="8" t="str">
        <f t="array" ref="D2307">IFERROR(INDEX(atlas!D:D,MATCH(A2307,atlas!C:C,0)),"")</f>
        <v/>
      </c>
      <c r="E2307" s="8" t="str">
        <f t="array" ref="E2307">IFERROR(INDEX(atlas!F:F,MATCH(A2307,atlas!C:C,0)),"")</f>
        <v/>
      </c>
      <c r="F2307" s="9"/>
      <c r="G2307" s="10"/>
      <c r="H2307" s="11"/>
      <c r="I2307" s="12" t="str">
        <f t="array" ref="I2307">IFERROR(INDEX(atlas!B:B,MATCH(A2307,atlas!C:C,0)),"")</f>
        <v/>
      </c>
      <c r="J2307" s="8" t="str">
        <f>IFERROR(VLOOKUP(F2307,tecnica!A:B,2,0),"")</f>
        <v/>
      </c>
      <c r="K2307" s="8" t="str">
        <f>IFERROR(VLOOKUP(J2307,tecnica!B:C,2,0),"")</f>
        <v/>
      </c>
      <c r="L2307" s="13"/>
      <c r="M2307" s="14" t="str">
        <f>IFERROR(VLOOKUP(I2307,material!A:D,4,0),"")</f>
        <v/>
      </c>
      <c r="N2307" s="14" t="str">
        <f t="shared" si="1"/>
        <v/>
      </c>
      <c r="O2307" s="15" t="str">
        <f>IFERROR(VLOOKUP(I2307,material!A:D,2,0),"")</f>
        <v/>
      </c>
    </row>
    <row r="2308">
      <c r="A2308" s="6"/>
      <c r="B2308" s="7"/>
      <c r="C2308" s="8" t="str">
        <f t="array" ref="C2308">IFERROR(INDEX(atlas!H:H,MATCH(A2308,atlas!C:C,0)),"")</f>
        <v/>
      </c>
      <c r="D2308" s="8" t="str">
        <f t="array" ref="D2308">IFERROR(INDEX(atlas!D:D,MATCH(A2308,atlas!C:C,0)),"")</f>
        <v/>
      </c>
      <c r="E2308" s="8" t="str">
        <f t="array" ref="E2308">IFERROR(INDEX(atlas!F:F,MATCH(A2308,atlas!C:C,0)),"")</f>
        <v/>
      </c>
      <c r="F2308" s="9"/>
      <c r="G2308" s="10"/>
      <c r="H2308" s="11"/>
      <c r="I2308" s="12" t="str">
        <f t="array" ref="I2308">IFERROR(INDEX(atlas!B:B,MATCH(A2308,atlas!C:C,0)),"")</f>
        <v/>
      </c>
      <c r="J2308" s="8" t="str">
        <f>IFERROR(VLOOKUP(F2308,tecnica!A:B,2,0),"")</f>
        <v/>
      </c>
      <c r="K2308" s="8" t="str">
        <f>IFERROR(VLOOKUP(J2308,tecnica!B:C,2,0),"")</f>
        <v/>
      </c>
      <c r="L2308" s="13"/>
      <c r="M2308" s="14" t="str">
        <f>IFERROR(VLOOKUP(I2308,material!A:D,4,0),"")</f>
        <v/>
      </c>
      <c r="N2308" s="14" t="str">
        <f t="shared" si="1"/>
        <v/>
      </c>
      <c r="O2308" s="15" t="str">
        <f>IFERROR(VLOOKUP(I2308,material!A:D,2,0),"")</f>
        <v/>
      </c>
    </row>
    <row r="2309">
      <c r="A2309" s="6"/>
      <c r="B2309" s="7"/>
      <c r="C2309" s="8" t="str">
        <f t="array" ref="C2309">IFERROR(INDEX(atlas!H:H,MATCH(A2309,atlas!C:C,0)),"")</f>
        <v/>
      </c>
      <c r="D2309" s="8" t="str">
        <f t="array" ref="D2309">IFERROR(INDEX(atlas!D:D,MATCH(A2309,atlas!C:C,0)),"")</f>
        <v/>
      </c>
      <c r="E2309" s="8" t="str">
        <f t="array" ref="E2309">IFERROR(INDEX(atlas!F:F,MATCH(A2309,atlas!C:C,0)),"")</f>
        <v/>
      </c>
      <c r="F2309" s="9"/>
      <c r="G2309" s="10"/>
      <c r="H2309" s="11"/>
      <c r="I2309" s="12" t="str">
        <f t="array" ref="I2309">IFERROR(INDEX(atlas!B:B,MATCH(A2309,atlas!C:C,0)),"")</f>
        <v/>
      </c>
      <c r="J2309" s="8" t="str">
        <f>IFERROR(VLOOKUP(F2309,tecnica!A:B,2,0),"")</f>
        <v/>
      </c>
      <c r="K2309" s="8" t="str">
        <f>IFERROR(VLOOKUP(J2309,tecnica!B:C,2,0),"")</f>
        <v/>
      </c>
      <c r="L2309" s="13"/>
      <c r="M2309" s="14" t="str">
        <f>IFERROR(VLOOKUP(I2309,material!A:D,4,0),"")</f>
        <v/>
      </c>
      <c r="N2309" s="14" t="str">
        <f t="shared" si="1"/>
        <v/>
      </c>
      <c r="O2309" s="15" t="str">
        <f>IFERROR(VLOOKUP(I2309,material!A:D,2,0),"")</f>
        <v/>
      </c>
    </row>
    <row r="2310">
      <c r="A2310" s="6"/>
      <c r="B2310" s="7"/>
      <c r="C2310" s="8" t="str">
        <f t="array" ref="C2310">IFERROR(INDEX(atlas!H:H,MATCH(A2310,atlas!C:C,0)),"")</f>
        <v/>
      </c>
      <c r="D2310" s="8" t="str">
        <f t="array" ref="D2310">IFERROR(INDEX(atlas!D:D,MATCH(A2310,atlas!C:C,0)),"")</f>
        <v/>
      </c>
      <c r="E2310" s="8" t="str">
        <f t="array" ref="E2310">IFERROR(INDEX(atlas!F:F,MATCH(A2310,atlas!C:C,0)),"")</f>
        <v/>
      </c>
      <c r="F2310" s="9"/>
      <c r="G2310" s="10"/>
      <c r="H2310" s="11"/>
      <c r="I2310" s="12" t="str">
        <f t="array" ref="I2310">IFERROR(INDEX(atlas!B:B,MATCH(A2310,atlas!C:C,0)),"")</f>
        <v/>
      </c>
      <c r="J2310" s="8" t="str">
        <f>IFERROR(VLOOKUP(F2310,tecnica!A:B,2,0),"")</f>
        <v/>
      </c>
      <c r="K2310" s="8" t="str">
        <f>IFERROR(VLOOKUP(J2310,tecnica!B:C,2,0),"")</f>
        <v/>
      </c>
      <c r="L2310" s="13"/>
      <c r="M2310" s="14" t="str">
        <f>IFERROR(VLOOKUP(I2310,material!A:D,4,0),"")</f>
        <v/>
      </c>
      <c r="N2310" s="14" t="str">
        <f t="shared" si="1"/>
        <v/>
      </c>
      <c r="O2310" s="15" t="str">
        <f>IFERROR(VLOOKUP(I2310,material!A:D,2,0),"")</f>
        <v/>
      </c>
    </row>
    <row r="2311">
      <c r="A2311" s="6"/>
      <c r="B2311" s="7"/>
      <c r="C2311" s="8" t="str">
        <f t="array" ref="C2311">IFERROR(INDEX(atlas!H:H,MATCH(A2311,atlas!C:C,0)),"")</f>
        <v/>
      </c>
      <c r="D2311" s="8" t="str">
        <f t="array" ref="D2311">IFERROR(INDEX(atlas!D:D,MATCH(A2311,atlas!C:C,0)),"")</f>
        <v/>
      </c>
      <c r="E2311" s="8" t="str">
        <f t="array" ref="E2311">IFERROR(INDEX(atlas!F:F,MATCH(A2311,atlas!C:C,0)),"")</f>
        <v/>
      </c>
      <c r="F2311" s="9"/>
      <c r="G2311" s="10"/>
      <c r="H2311" s="11"/>
      <c r="I2311" s="12" t="str">
        <f t="array" ref="I2311">IFERROR(INDEX(atlas!B:B,MATCH(A2311,atlas!C:C,0)),"")</f>
        <v/>
      </c>
      <c r="J2311" s="8" t="str">
        <f>IFERROR(VLOOKUP(F2311,tecnica!A:B,2,0),"")</f>
        <v/>
      </c>
      <c r="K2311" s="8" t="str">
        <f>IFERROR(VLOOKUP(J2311,tecnica!B:C,2,0),"")</f>
        <v/>
      </c>
      <c r="L2311" s="13"/>
      <c r="M2311" s="14" t="str">
        <f>IFERROR(VLOOKUP(I2311,material!A:D,4,0),"")</f>
        <v/>
      </c>
      <c r="N2311" s="14" t="str">
        <f t="shared" si="1"/>
        <v/>
      </c>
      <c r="O2311" s="15" t="str">
        <f>IFERROR(VLOOKUP(I2311,material!A:D,2,0),"")</f>
        <v/>
      </c>
    </row>
    <row r="2312">
      <c r="A2312" s="6"/>
      <c r="B2312" s="7"/>
      <c r="C2312" s="8" t="str">
        <f t="array" ref="C2312">IFERROR(INDEX(atlas!H:H,MATCH(A2312,atlas!C:C,0)),"")</f>
        <v/>
      </c>
      <c r="D2312" s="8" t="str">
        <f t="array" ref="D2312">IFERROR(INDEX(atlas!D:D,MATCH(A2312,atlas!C:C,0)),"")</f>
        <v/>
      </c>
      <c r="E2312" s="8" t="str">
        <f t="array" ref="E2312">IFERROR(INDEX(atlas!F:F,MATCH(A2312,atlas!C:C,0)),"")</f>
        <v/>
      </c>
      <c r="F2312" s="9"/>
      <c r="G2312" s="10"/>
      <c r="H2312" s="11"/>
      <c r="I2312" s="12" t="str">
        <f t="array" ref="I2312">IFERROR(INDEX(atlas!B:B,MATCH(A2312,atlas!C:C,0)),"")</f>
        <v/>
      </c>
      <c r="J2312" s="8" t="str">
        <f>IFERROR(VLOOKUP(F2312,tecnica!A:B,2,0),"")</f>
        <v/>
      </c>
      <c r="K2312" s="8" t="str">
        <f>IFERROR(VLOOKUP(J2312,tecnica!B:C,2,0),"")</f>
        <v/>
      </c>
      <c r="L2312" s="13"/>
      <c r="M2312" s="14" t="str">
        <f>IFERROR(VLOOKUP(I2312,material!A:D,4,0),"")</f>
        <v/>
      </c>
      <c r="N2312" s="14" t="str">
        <f t="shared" si="1"/>
        <v/>
      </c>
      <c r="O2312" s="15" t="str">
        <f>IFERROR(VLOOKUP(I2312,material!A:D,2,0),"")</f>
        <v/>
      </c>
    </row>
    <row r="2313">
      <c r="A2313" s="6"/>
      <c r="B2313" s="7"/>
      <c r="C2313" s="8" t="str">
        <f t="array" ref="C2313">IFERROR(INDEX(atlas!H:H,MATCH(A2313,atlas!C:C,0)),"")</f>
        <v/>
      </c>
      <c r="D2313" s="8" t="str">
        <f t="array" ref="D2313">IFERROR(INDEX(atlas!D:D,MATCH(A2313,atlas!C:C,0)),"")</f>
        <v/>
      </c>
      <c r="E2313" s="8" t="str">
        <f t="array" ref="E2313">IFERROR(INDEX(atlas!F:F,MATCH(A2313,atlas!C:C,0)),"")</f>
        <v/>
      </c>
      <c r="F2313" s="9"/>
      <c r="G2313" s="10"/>
      <c r="H2313" s="11"/>
      <c r="I2313" s="12" t="str">
        <f t="array" ref="I2313">IFERROR(INDEX(atlas!B:B,MATCH(A2313,atlas!C:C,0)),"")</f>
        <v/>
      </c>
      <c r="J2313" s="8" t="str">
        <f>IFERROR(VLOOKUP(F2313,tecnica!A:B,2,0),"")</f>
        <v/>
      </c>
      <c r="K2313" s="8" t="str">
        <f>IFERROR(VLOOKUP(J2313,tecnica!B:C,2,0),"")</f>
        <v/>
      </c>
      <c r="L2313" s="13"/>
      <c r="M2313" s="14" t="str">
        <f>IFERROR(VLOOKUP(I2313,material!A:D,4,0),"")</f>
        <v/>
      </c>
      <c r="N2313" s="14" t="str">
        <f t="shared" si="1"/>
        <v/>
      </c>
      <c r="O2313" s="15" t="str">
        <f>IFERROR(VLOOKUP(I2313,material!A:D,2,0),"")</f>
        <v/>
      </c>
    </row>
    <row r="2314">
      <c r="A2314" s="6"/>
      <c r="B2314" s="7"/>
      <c r="C2314" s="8" t="str">
        <f t="array" ref="C2314">IFERROR(INDEX(atlas!H:H,MATCH(A2314,atlas!C:C,0)),"")</f>
        <v/>
      </c>
      <c r="D2314" s="8" t="str">
        <f t="array" ref="D2314">IFERROR(INDEX(atlas!D:D,MATCH(A2314,atlas!C:C,0)),"")</f>
        <v/>
      </c>
      <c r="E2314" s="8" t="str">
        <f t="array" ref="E2314">IFERROR(INDEX(atlas!F:F,MATCH(A2314,atlas!C:C,0)),"")</f>
        <v/>
      </c>
      <c r="F2314" s="9"/>
      <c r="G2314" s="10"/>
      <c r="H2314" s="11"/>
      <c r="I2314" s="12" t="str">
        <f t="array" ref="I2314">IFERROR(INDEX(atlas!B:B,MATCH(A2314,atlas!C:C,0)),"")</f>
        <v/>
      </c>
      <c r="J2314" s="8" t="str">
        <f>IFERROR(VLOOKUP(F2314,tecnica!A:B,2,0),"")</f>
        <v/>
      </c>
      <c r="K2314" s="8" t="str">
        <f>IFERROR(VLOOKUP(J2314,tecnica!B:C,2,0),"")</f>
        <v/>
      </c>
      <c r="L2314" s="13"/>
      <c r="M2314" s="14" t="str">
        <f>IFERROR(VLOOKUP(I2314,material!A:D,4,0),"")</f>
        <v/>
      </c>
      <c r="N2314" s="14" t="str">
        <f t="shared" si="1"/>
        <v/>
      </c>
      <c r="O2314" s="15" t="str">
        <f>IFERROR(VLOOKUP(I2314,material!A:D,2,0),"")</f>
        <v/>
      </c>
    </row>
    <row r="2315">
      <c r="A2315" s="6"/>
      <c r="B2315" s="7"/>
      <c r="C2315" s="8" t="str">
        <f t="array" ref="C2315">IFERROR(INDEX(atlas!H:H,MATCH(A2315,atlas!C:C,0)),"")</f>
        <v/>
      </c>
      <c r="D2315" s="8" t="str">
        <f t="array" ref="D2315">IFERROR(INDEX(atlas!D:D,MATCH(A2315,atlas!C:C,0)),"")</f>
        <v/>
      </c>
      <c r="E2315" s="8" t="str">
        <f t="array" ref="E2315">IFERROR(INDEX(atlas!F:F,MATCH(A2315,atlas!C:C,0)),"")</f>
        <v/>
      </c>
      <c r="F2315" s="9"/>
      <c r="G2315" s="10"/>
      <c r="H2315" s="11"/>
      <c r="I2315" s="12" t="str">
        <f t="array" ref="I2315">IFERROR(INDEX(atlas!B:B,MATCH(A2315,atlas!C:C,0)),"")</f>
        <v/>
      </c>
      <c r="J2315" s="8" t="str">
        <f>IFERROR(VLOOKUP(F2315,tecnica!A:B,2,0),"")</f>
        <v/>
      </c>
      <c r="K2315" s="8" t="str">
        <f>IFERROR(VLOOKUP(J2315,tecnica!B:C,2,0),"")</f>
        <v/>
      </c>
      <c r="L2315" s="13"/>
      <c r="M2315" s="14" t="str">
        <f>IFERROR(VLOOKUP(I2315,material!A:D,4,0),"")</f>
        <v/>
      </c>
      <c r="N2315" s="14" t="str">
        <f t="shared" si="1"/>
        <v/>
      </c>
      <c r="O2315" s="15" t="str">
        <f>IFERROR(VLOOKUP(I2315,material!A:D,2,0),"")</f>
        <v/>
      </c>
    </row>
    <row r="2316">
      <c r="A2316" s="6"/>
      <c r="B2316" s="7"/>
      <c r="C2316" s="8" t="str">
        <f t="array" ref="C2316">IFERROR(INDEX(atlas!H:H,MATCH(A2316,atlas!C:C,0)),"")</f>
        <v/>
      </c>
      <c r="D2316" s="8" t="str">
        <f t="array" ref="D2316">IFERROR(INDEX(atlas!D:D,MATCH(A2316,atlas!C:C,0)),"")</f>
        <v/>
      </c>
      <c r="E2316" s="8" t="str">
        <f t="array" ref="E2316">IFERROR(INDEX(atlas!F:F,MATCH(A2316,atlas!C:C,0)),"")</f>
        <v/>
      </c>
      <c r="F2316" s="9"/>
      <c r="G2316" s="10"/>
      <c r="H2316" s="11"/>
      <c r="I2316" s="12" t="str">
        <f t="array" ref="I2316">IFERROR(INDEX(atlas!B:B,MATCH(A2316,atlas!C:C,0)),"")</f>
        <v/>
      </c>
      <c r="J2316" s="8" t="str">
        <f>IFERROR(VLOOKUP(F2316,tecnica!A:B,2,0),"")</f>
        <v/>
      </c>
      <c r="K2316" s="8" t="str">
        <f>IFERROR(VLOOKUP(J2316,tecnica!B:C,2,0),"")</f>
        <v/>
      </c>
      <c r="L2316" s="13"/>
      <c r="M2316" s="14" t="str">
        <f>IFERROR(VLOOKUP(I2316,material!A:D,4,0),"")</f>
        <v/>
      </c>
      <c r="N2316" s="14" t="str">
        <f t="shared" si="1"/>
        <v/>
      </c>
      <c r="O2316" s="15" t="str">
        <f>IFERROR(VLOOKUP(I2316,material!A:D,2,0),"")</f>
        <v/>
      </c>
    </row>
    <row r="2317">
      <c r="A2317" s="6"/>
      <c r="B2317" s="7"/>
      <c r="C2317" s="8" t="str">
        <f t="array" ref="C2317">IFERROR(INDEX(atlas!H:H,MATCH(A2317,atlas!C:C,0)),"")</f>
        <v/>
      </c>
      <c r="D2317" s="8" t="str">
        <f t="array" ref="D2317">IFERROR(INDEX(atlas!D:D,MATCH(A2317,atlas!C:C,0)),"")</f>
        <v/>
      </c>
      <c r="E2317" s="8" t="str">
        <f t="array" ref="E2317">IFERROR(INDEX(atlas!F:F,MATCH(A2317,atlas!C:C,0)),"")</f>
        <v/>
      </c>
      <c r="F2317" s="9"/>
      <c r="G2317" s="10"/>
      <c r="H2317" s="11"/>
      <c r="I2317" s="12" t="str">
        <f t="array" ref="I2317">IFERROR(INDEX(atlas!B:B,MATCH(A2317,atlas!C:C,0)),"")</f>
        <v/>
      </c>
      <c r="J2317" s="8" t="str">
        <f>IFERROR(VLOOKUP(F2317,tecnica!A:B,2,0),"")</f>
        <v/>
      </c>
      <c r="K2317" s="8" t="str">
        <f>IFERROR(VLOOKUP(J2317,tecnica!B:C,2,0),"")</f>
        <v/>
      </c>
      <c r="L2317" s="13"/>
      <c r="M2317" s="14" t="str">
        <f>IFERROR(VLOOKUP(I2317,material!A:D,4,0),"")</f>
        <v/>
      </c>
      <c r="N2317" s="14" t="str">
        <f t="shared" si="1"/>
        <v/>
      </c>
      <c r="O2317" s="15" t="str">
        <f>IFERROR(VLOOKUP(I2317,material!A:D,2,0),"")</f>
        <v/>
      </c>
    </row>
    <row r="2318">
      <c r="A2318" s="6"/>
      <c r="B2318" s="7"/>
      <c r="C2318" s="8" t="str">
        <f t="array" ref="C2318">IFERROR(INDEX(atlas!H:H,MATCH(A2318,atlas!C:C,0)),"")</f>
        <v/>
      </c>
      <c r="D2318" s="8" t="str">
        <f t="array" ref="D2318">IFERROR(INDEX(atlas!D:D,MATCH(A2318,atlas!C:C,0)),"")</f>
        <v/>
      </c>
      <c r="E2318" s="8" t="str">
        <f t="array" ref="E2318">IFERROR(INDEX(atlas!F:F,MATCH(A2318,atlas!C:C,0)),"")</f>
        <v/>
      </c>
      <c r="F2318" s="9"/>
      <c r="G2318" s="10"/>
      <c r="H2318" s="11"/>
      <c r="I2318" s="12" t="str">
        <f t="array" ref="I2318">IFERROR(INDEX(atlas!B:B,MATCH(A2318,atlas!C:C,0)),"")</f>
        <v/>
      </c>
      <c r="J2318" s="8" t="str">
        <f>IFERROR(VLOOKUP(F2318,tecnica!A:B,2,0),"")</f>
        <v/>
      </c>
      <c r="K2318" s="8" t="str">
        <f>IFERROR(VLOOKUP(J2318,tecnica!B:C,2,0),"")</f>
        <v/>
      </c>
      <c r="L2318" s="13"/>
      <c r="M2318" s="14" t="str">
        <f>IFERROR(VLOOKUP(I2318,material!A:D,4,0),"")</f>
        <v/>
      </c>
      <c r="N2318" s="14" t="str">
        <f t="shared" si="1"/>
        <v/>
      </c>
      <c r="O2318" s="15" t="str">
        <f>IFERROR(VLOOKUP(I2318,material!A:D,2,0),"")</f>
        <v/>
      </c>
    </row>
    <row r="2319">
      <c r="A2319" s="6"/>
      <c r="B2319" s="7"/>
      <c r="C2319" s="8" t="str">
        <f t="array" ref="C2319">IFERROR(INDEX(atlas!H:H,MATCH(A2319,atlas!C:C,0)),"")</f>
        <v/>
      </c>
      <c r="D2319" s="8" t="str">
        <f t="array" ref="D2319">IFERROR(INDEX(atlas!D:D,MATCH(A2319,atlas!C:C,0)),"")</f>
        <v/>
      </c>
      <c r="E2319" s="8" t="str">
        <f t="array" ref="E2319">IFERROR(INDEX(atlas!F:F,MATCH(A2319,atlas!C:C,0)),"")</f>
        <v/>
      </c>
      <c r="F2319" s="9"/>
      <c r="G2319" s="10"/>
      <c r="H2319" s="11"/>
      <c r="I2319" s="12" t="str">
        <f t="array" ref="I2319">IFERROR(INDEX(atlas!B:B,MATCH(A2319,atlas!C:C,0)),"")</f>
        <v/>
      </c>
      <c r="J2319" s="8" t="str">
        <f>IFERROR(VLOOKUP(F2319,tecnica!A:B,2,0),"")</f>
        <v/>
      </c>
      <c r="K2319" s="8" t="str">
        <f>IFERROR(VLOOKUP(J2319,tecnica!B:C,2,0),"")</f>
        <v/>
      </c>
      <c r="L2319" s="13"/>
      <c r="M2319" s="14" t="str">
        <f>IFERROR(VLOOKUP(I2319,material!A:D,4,0),"")</f>
        <v/>
      </c>
      <c r="N2319" s="14" t="str">
        <f t="shared" si="1"/>
        <v/>
      </c>
      <c r="O2319" s="15" t="str">
        <f>IFERROR(VLOOKUP(I2319,material!A:D,2,0),"")</f>
        <v/>
      </c>
    </row>
    <row r="2320">
      <c r="A2320" s="6"/>
      <c r="B2320" s="7"/>
      <c r="C2320" s="8" t="str">
        <f t="array" ref="C2320">IFERROR(INDEX(atlas!H:H,MATCH(A2320,atlas!C:C,0)),"")</f>
        <v/>
      </c>
      <c r="D2320" s="8" t="str">
        <f t="array" ref="D2320">IFERROR(INDEX(atlas!D:D,MATCH(A2320,atlas!C:C,0)),"")</f>
        <v/>
      </c>
      <c r="E2320" s="8" t="str">
        <f t="array" ref="E2320">IFERROR(INDEX(atlas!F:F,MATCH(A2320,atlas!C:C,0)),"")</f>
        <v/>
      </c>
      <c r="F2320" s="9"/>
      <c r="G2320" s="10"/>
      <c r="H2320" s="11"/>
      <c r="I2320" s="12" t="str">
        <f t="array" ref="I2320">IFERROR(INDEX(atlas!B:B,MATCH(A2320,atlas!C:C,0)),"")</f>
        <v/>
      </c>
      <c r="J2320" s="8" t="str">
        <f>IFERROR(VLOOKUP(F2320,tecnica!A:B,2,0),"")</f>
        <v/>
      </c>
      <c r="K2320" s="8" t="str">
        <f>IFERROR(VLOOKUP(J2320,tecnica!B:C,2,0),"")</f>
        <v/>
      </c>
      <c r="L2320" s="13"/>
      <c r="M2320" s="14" t="str">
        <f>IFERROR(VLOOKUP(I2320,material!A:D,4,0),"")</f>
        <v/>
      </c>
      <c r="N2320" s="14" t="str">
        <f t="shared" si="1"/>
        <v/>
      </c>
      <c r="O2320" s="15" t="str">
        <f>IFERROR(VLOOKUP(I2320,material!A:D,2,0),"")</f>
        <v/>
      </c>
    </row>
    <row r="2321">
      <c r="A2321" s="6"/>
      <c r="B2321" s="7"/>
      <c r="C2321" s="8" t="str">
        <f t="array" ref="C2321">IFERROR(INDEX(atlas!H:H,MATCH(A2321,atlas!C:C,0)),"")</f>
        <v/>
      </c>
      <c r="D2321" s="8" t="str">
        <f t="array" ref="D2321">IFERROR(INDEX(atlas!D:D,MATCH(A2321,atlas!C:C,0)),"")</f>
        <v/>
      </c>
      <c r="E2321" s="8" t="str">
        <f t="array" ref="E2321">IFERROR(INDEX(atlas!F:F,MATCH(A2321,atlas!C:C,0)),"")</f>
        <v/>
      </c>
      <c r="F2321" s="9"/>
      <c r="G2321" s="10"/>
      <c r="H2321" s="11"/>
      <c r="I2321" s="12" t="str">
        <f t="array" ref="I2321">IFERROR(INDEX(atlas!B:B,MATCH(A2321,atlas!C:C,0)),"")</f>
        <v/>
      </c>
      <c r="J2321" s="8" t="str">
        <f>IFERROR(VLOOKUP(F2321,tecnica!A:B,2,0),"")</f>
        <v/>
      </c>
      <c r="K2321" s="8" t="str">
        <f>IFERROR(VLOOKUP(J2321,tecnica!B:C,2,0),"")</f>
        <v/>
      </c>
      <c r="L2321" s="13"/>
      <c r="M2321" s="14" t="str">
        <f>IFERROR(VLOOKUP(I2321,material!A:D,4,0),"")</f>
        <v/>
      </c>
      <c r="N2321" s="14" t="str">
        <f t="shared" si="1"/>
        <v/>
      </c>
      <c r="O2321" s="15" t="str">
        <f>IFERROR(VLOOKUP(I2321,material!A:D,2,0),"")</f>
        <v/>
      </c>
    </row>
    <row r="2322">
      <c r="A2322" s="6"/>
      <c r="B2322" s="7"/>
      <c r="C2322" s="8" t="str">
        <f t="array" ref="C2322">IFERROR(INDEX(atlas!H:H,MATCH(A2322,atlas!C:C,0)),"")</f>
        <v/>
      </c>
      <c r="D2322" s="8" t="str">
        <f t="array" ref="D2322">IFERROR(INDEX(atlas!D:D,MATCH(A2322,atlas!C:C,0)),"")</f>
        <v/>
      </c>
      <c r="E2322" s="8" t="str">
        <f t="array" ref="E2322">IFERROR(INDEX(atlas!F:F,MATCH(A2322,atlas!C:C,0)),"")</f>
        <v/>
      </c>
      <c r="F2322" s="9"/>
      <c r="G2322" s="10"/>
      <c r="H2322" s="11"/>
      <c r="I2322" s="12" t="str">
        <f t="array" ref="I2322">IFERROR(INDEX(atlas!B:B,MATCH(A2322,atlas!C:C,0)),"")</f>
        <v/>
      </c>
      <c r="J2322" s="8" t="str">
        <f>IFERROR(VLOOKUP(F2322,tecnica!A:B,2,0),"")</f>
        <v/>
      </c>
      <c r="K2322" s="8" t="str">
        <f>IFERROR(VLOOKUP(J2322,tecnica!B:C,2,0),"")</f>
        <v/>
      </c>
      <c r="L2322" s="13"/>
      <c r="M2322" s="14" t="str">
        <f>IFERROR(VLOOKUP(I2322,material!A:D,4,0),"")</f>
        <v/>
      </c>
      <c r="N2322" s="14" t="str">
        <f t="shared" si="1"/>
        <v/>
      </c>
      <c r="O2322" s="15" t="str">
        <f>IFERROR(VLOOKUP(I2322,material!A:D,2,0),"")</f>
        <v/>
      </c>
    </row>
    <row r="2323">
      <c r="A2323" s="6"/>
      <c r="B2323" s="7"/>
      <c r="C2323" s="8" t="str">
        <f t="array" ref="C2323">IFERROR(INDEX(atlas!H:H,MATCH(A2323,atlas!C:C,0)),"")</f>
        <v/>
      </c>
      <c r="D2323" s="8" t="str">
        <f t="array" ref="D2323">IFERROR(INDEX(atlas!D:D,MATCH(A2323,atlas!C:C,0)),"")</f>
        <v/>
      </c>
      <c r="E2323" s="8" t="str">
        <f t="array" ref="E2323">IFERROR(INDEX(atlas!F:F,MATCH(A2323,atlas!C:C,0)),"")</f>
        <v/>
      </c>
      <c r="F2323" s="9"/>
      <c r="G2323" s="10"/>
      <c r="H2323" s="11"/>
      <c r="I2323" s="12" t="str">
        <f t="array" ref="I2323">IFERROR(INDEX(atlas!B:B,MATCH(A2323,atlas!C:C,0)),"")</f>
        <v/>
      </c>
      <c r="J2323" s="8" t="str">
        <f>IFERROR(VLOOKUP(F2323,tecnica!A:B,2,0),"")</f>
        <v/>
      </c>
      <c r="K2323" s="8" t="str">
        <f>IFERROR(VLOOKUP(J2323,tecnica!B:C,2,0),"")</f>
        <v/>
      </c>
      <c r="L2323" s="13"/>
      <c r="M2323" s="14" t="str">
        <f>IFERROR(VLOOKUP(I2323,material!A:D,4,0),"")</f>
        <v/>
      </c>
      <c r="N2323" s="14" t="str">
        <f t="shared" si="1"/>
        <v/>
      </c>
      <c r="O2323" s="15" t="str">
        <f>IFERROR(VLOOKUP(I2323,material!A:D,2,0),"")</f>
        <v/>
      </c>
    </row>
    <row r="2324">
      <c r="A2324" s="6"/>
      <c r="B2324" s="7"/>
      <c r="C2324" s="8" t="str">
        <f t="array" ref="C2324">IFERROR(INDEX(atlas!H:H,MATCH(A2324,atlas!C:C,0)),"")</f>
        <v/>
      </c>
      <c r="D2324" s="8" t="str">
        <f t="array" ref="D2324">IFERROR(INDEX(atlas!D:D,MATCH(A2324,atlas!C:C,0)),"")</f>
        <v/>
      </c>
      <c r="E2324" s="8" t="str">
        <f t="array" ref="E2324">IFERROR(INDEX(atlas!F:F,MATCH(A2324,atlas!C:C,0)),"")</f>
        <v/>
      </c>
      <c r="F2324" s="9"/>
      <c r="G2324" s="10"/>
      <c r="H2324" s="11"/>
      <c r="I2324" s="12" t="str">
        <f t="array" ref="I2324">IFERROR(INDEX(atlas!B:B,MATCH(A2324,atlas!C:C,0)),"")</f>
        <v/>
      </c>
      <c r="J2324" s="8" t="str">
        <f>IFERROR(VLOOKUP(F2324,tecnica!A:B,2,0),"")</f>
        <v/>
      </c>
      <c r="K2324" s="8" t="str">
        <f>IFERROR(VLOOKUP(J2324,tecnica!B:C,2,0),"")</f>
        <v/>
      </c>
      <c r="L2324" s="13"/>
      <c r="M2324" s="14" t="str">
        <f>IFERROR(VLOOKUP(I2324,material!A:D,4,0),"")</f>
        <v/>
      </c>
      <c r="N2324" s="14" t="str">
        <f t="shared" si="1"/>
        <v/>
      </c>
      <c r="O2324" s="15" t="str">
        <f>IFERROR(VLOOKUP(I2324,material!A:D,2,0),"")</f>
        <v/>
      </c>
    </row>
    <row r="2325">
      <c r="A2325" s="6"/>
      <c r="B2325" s="7"/>
      <c r="C2325" s="8" t="str">
        <f t="array" ref="C2325">IFERROR(INDEX(atlas!H:H,MATCH(A2325,atlas!C:C,0)),"")</f>
        <v/>
      </c>
      <c r="D2325" s="8" t="str">
        <f t="array" ref="D2325">IFERROR(INDEX(atlas!D:D,MATCH(A2325,atlas!C:C,0)),"")</f>
        <v/>
      </c>
      <c r="E2325" s="8" t="str">
        <f t="array" ref="E2325">IFERROR(INDEX(atlas!F:F,MATCH(A2325,atlas!C:C,0)),"")</f>
        <v/>
      </c>
      <c r="F2325" s="9"/>
      <c r="G2325" s="10"/>
      <c r="H2325" s="11"/>
      <c r="I2325" s="12" t="str">
        <f t="array" ref="I2325">IFERROR(INDEX(atlas!B:B,MATCH(A2325,atlas!C:C,0)),"")</f>
        <v/>
      </c>
      <c r="J2325" s="8" t="str">
        <f>IFERROR(VLOOKUP(F2325,tecnica!A:B,2,0),"")</f>
        <v/>
      </c>
      <c r="K2325" s="8" t="str">
        <f>IFERROR(VLOOKUP(J2325,tecnica!B:C,2,0),"")</f>
        <v/>
      </c>
      <c r="L2325" s="13"/>
      <c r="M2325" s="14" t="str">
        <f>IFERROR(VLOOKUP(I2325,material!A:D,4,0),"")</f>
        <v/>
      </c>
      <c r="N2325" s="14" t="str">
        <f t="shared" si="1"/>
        <v/>
      </c>
      <c r="O2325" s="15" t="str">
        <f>IFERROR(VLOOKUP(I2325,material!A:D,2,0),"")</f>
        <v/>
      </c>
    </row>
    <row r="2326">
      <c r="A2326" s="6"/>
      <c r="B2326" s="7"/>
      <c r="C2326" s="8" t="str">
        <f t="array" ref="C2326">IFERROR(INDEX(atlas!H:H,MATCH(A2326,atlas!C:C,0)),"")</f>
        <v/>
      </c>
      <c r="D2326" s="8" t="str">
        <f t="array" ref="D2326">IFERROR(INDEX(atlas!D:D,MATCH(A2326,atlas!C:C,0)),"")</f>
        <v/>
      </c>
      <c r="E2326" s="8" t="str">
        <f t="array" ref="E2326">IFERROR(INDEX(atlas!F:F,MATCH(A2326,atlas!C:C,0)),"")</f>
        <v/>
      </c>
      <c r="F2326" s="9"/>
      <c r="G2326" s="10"/>
      <c r="H2326" s="11"/>
      <c r="I2326" s="12" t="str">
        <f t="array" ref="I2326">IFERROR(INDEX(atlas!B:B,MATCH(A2326,atlas!C:C,0)),"")</f>
        <v/>
      </c>
      <c r="J2326" s="8" t="str">
        <f>IFERROR(VLOOKUP(F2326,tecnica!A:B,2,0),"")</f>
        <v/>
      </c>
      <c r="K2326" s="8" t="str">
        <f>IFERROR(VLOOKUP(J2326,tecnica!B:C,2,0),"")</f>
        <v/>
      </c>
      <c r="L2326" s="13"/>
      <c r="M2326" s="14" t="str">
        <f>IFERROR(VLOOKUP(I2326,material!A:D,4,0),"")</f>
        <v/>
      </c>
      <c r="N2326" s="14" t="str">
        <f t="shared" si="1"/>
        <v/>
      </c>
      <c r="O2326" s="15" t="str">
        <f>IFERROR(VLOOKUP(I2326,material!A:D,2,0),"")</f>
        <v/>
      </c>
    </row>
    <row r="2327">
      <c r="A2327" s="6"/>
      <c r="B2327" s="7"/>
      <c r="C2327" s="8" t="str">
        <f t="array" ref="C2327">IFERROR(INDEX(atlas!H:H,MATCH(A2327,atlas!C:C,0)),"")</f>
        <v/>
      </c>
      <c r="D2327" s="8" t="str">
        <f t="array" ref="D2327">IFERROR(INDEX(atlas!D:D,MATCH(A2327,atlas!C:C,0)),"")</f>
        <v/>
      </c>
      <c r="E2327" s="8" t="str">
        <f t="array" ref="E2327">IFERROR(INDEX(atlas!F:F,MATCH(A2327,atlas!C:C,0)),"")</f>
        <v/>
      </c>
      <c r="F2327" s="9"/>
      <c r="G2327" s="10"/>
      <c r="H2327" s="11"/>
      <c r="I2327" s="12" t="str">
        <f t="array" ref="I2327">IFERROR(INDEX(atlas!B:B,MATCH(A2327,atlas!C:C,0)),"")</f>
        <v/>
      </c>
      <c r="J2327" s="8" t="str">
        <f>IFERROR(VLOOKUP(F2327,tecnica!A:B,2,0),"")</f>
        <v/>
      </c>
      <c r="K2327" s="8" t="str">
        <f>IFERROR(VLOOKUP(J2327,tecnica!B:C,2,0),"")</f>
        <v/>
      </c>
      <c r="L2327" s="13"/>
      <c r="M2327" s="14" t="str">
        <f>IFERROR(VLOOKUP(I2327,material!A:D,4,0),"")</f>
        <v/>
      </c>
      <c r="N2327" s="14" t="str">
        <f t="shared" si="1"/>
        <v/>
      </c>
      <c r="O2327" s="15" t="str">
        <f>IFERROR(VLOOKUP(I2327,material!A:D,2,0),"")</f>
        <v/>
      </c>
    </row>
    <row r="2328">
      <c r="A2328" s="6"/>
      <c r="B2328" s="7"/>
      <c r="C2328" s="8" t="str">
        <f t="array" ref="C2328">IFERROR(INDEX(atlas!H:H,MATCH(A2328,atlas!C:C,0)),"")</f>
        <v/>
      </c>
      <c r="D2328" s="8" t="str">
        <f t="array" ref="D2328">IFERROR(INDEX(atlas!D:D,MATCH(A2328,atlas!C:C,0)),"")</f>
        <v/>
      </c>
      <c r="E2328" s="8" t="str">
        <f t="array" ref="E2328">IFERROR(INDEX(atlas!F:F,MATCH(A2328,atlas!C:C,0)),"")</f>
        <v/>
      </c>
      <c r="F2328" s="9"/>
      <c r="G2328" s="10"/>
      <c r="H2328" s="11"/>
      <c r="I2328" s="12" t="str">
        <f t="array" ref="I2328">IFERROR(INDEX(atlas!B:B,MATCH(A2328,atlas!C:C,0)),"")</f>
        <v/>
      </c>
      <c r="J2328" s="8" t="str">
        <f>IFERROR(VLOOKUP(F2328,tecnica!A:B,2,0),"")</f>
        <v/>
      </c>
      <c r="K2328" s="8" t="str">
        <f>IFERROR(VLOOKUP(J2328,tecnica!B:C,2,0),"")</f>
        <v/>
      </c>
      <c r="L2328" s="13"/>
      <c r="M2328" s="14" t="str">
        <f>IFERROR(VLOOKUP(I2328,material!A:D,4,0),"")</f>
        <v/>
      </c>
      <c r="N2328" s="14" t="str">
        <f t="shared" si="1"/>
        <v/>
      </c>
      <c r="O2328" s="15" t="str">
        <f>IFERROR(VLOOKUP(I2328,material!A:D,2,0),"")</f>
        <v/>
      </c>
    </row>
    <row r="2329">
      <c r="A2329" s="6"/>
      <c r="B2329" s="7"/>
      <c r="C2329" s="8" t="str">
        <f t="array" ref="C2329">IFERROR(INDEX(atlas!H:H,MATCH(A2329,atlas!C:C,0)),"")</f>
        <v/>
      </c>
      <c r="D2329" s="8" t="str">
        <f t="array" ref="D2329">IFERROR(INDEX(atlas!D:D,MATCH(A2329,atlas!C:C,0)),"")</f>
        <v/>
      </c>
      <c r="E2329" s="8" t="str">
        <f t="array" ref="E2329">IFERROR(INDEX(atlas!F:F,MATCH(A2329,atlas!C:C,0)),"")</f>
        <v/>
      </c>
      <c r="F2329" s="9"/>
      <c r="G2329" s="10"/>
      <c r="H2329" s="11"/>
      <c r="I2329" s="12" t="str">
        <f t="array" ref="I2329">IFERROR(INDEX(atlas!B:B,MATCH(A2329,atlas!C:C,0)),"")</f>
        <v/>
      </c>
      <c r="J2329" s="8" t="str">
        <f>IFERROR(VLOOKUP(F2329,tecnica!A:B,2,0),"")</f>
        <v/>
      </c>
      <c r="K2329" s="8" t="str">
        <f>IFERROR(VLOOKUP(J2329,tecnica!B:C,2,0),"")</f>
        <v/>
      </c>
      <c r="L2329" s="13"/>
      <c r="M2329" s="14" t="str">
        <f>IFERROR(VLOOKUP(I2329,material!A:D,4,0),"")</f>
        <v/>
      </c>
      <c r="N2329" s="14" t="str">
        <f t="shared" si="1"/>
        <v/>
      </c>
      <c r="O2329" s="15" t="str">
        <f>IFERROR(VLOOKUP(I2329,material!A:D,2,0),"")</f>
        <v/>
      </c>
    </row>
    <row r="2330">
      <c r="A2330" s="6"/>
      <c r="B2330" s="7"/>
      <c r="C2330" s="8" t="str">
        <f t="array" ref="C2330">IFERROR(INDEX(atlas!H:H,MATCH(A2330,atlas!C:C,0)),"")</f>
        <v/>
      </c>
      <c r="D2330" s="8" t="str">
        <f t="array" ref="D2330">IFERROR(INDEX(atlas!D:D,MATCH(A2330,atlas!C:C,0)),"")</f>
        <v/>
      </c>
      <c r="E2330" s="8" t="str">
        <f t="array" ref="E2330">IFERROR(INDEX(atlas!F:F,MATCH(A2330,atlas!C:C,0)),"")</f>
        <v/>
      </c>
      <c r="F2330" s="9"/>
      <c r="G2330" s="10"/>
      <c r="H2330" s="11"/>
      <c r="I2330" s="12" t="str">
        <f t="array" ref="I2330">IFERROR(INDEX(atlas!B:B,MATCH(A2330,atlas!C:C,0)),"")</f>
        <v/>
      </c>
      <c r="J2330" s="8" t="str">
        <f>IFERROR(VLOOKUP(F2330,tecnica!A:B,2,0),"")</f>
        <v/>
      </c>
      <c r="K2330" s="8" t="str">
        <f>IFERROR(VLOOKUP(J2330,tecnica!B:C,2,0),"")</f>
        <v/>
      </c>
      <c r="L2330" s="13"/>
      <c r="M2330" s="14" t="str">
        <f>IFERROR(VLOOKUP(I2330,material!A:D,4,0),"")</f>
        <v/>
      </c>
      <c r="N2330" s="14" t="str">
        <f t="shared" si="1"/>
        <v/>
      </c>
      <c r="O2330" s="15" t="str">
        <f>IFERROR(VLOOKUP(I2330,material!A:D,2,0),"")</f>
        <v/>
      </c>
    </row>
    <row r="2331">
      <c r="A2331" s="6"/>
      <c r="B2331" s="7"/>
      <c r="C2331" s="8" t="str">
        <f t="array" ref="C2331">IFERROR(INDEX(atlas!H:H,MATCH(A2331,atlas!C:C,0)),"")</f>
        <v/>
      </c>
      <c r="D2331" s="8" t="str">
        <f t="array" ref="D2331">IFERROR(INDEX(atlas!D:D,MATCH(A2331,atlas!C:C,0)),"")</f>
        <v/>
      </c>
      <c r="E2331" s="8" t="str">
        <f t="array" ref="E2331">IFERROR(INDEX(atlas!F:F,MATCH(A2331,atlas!C:C,0)),"")</f>
        <v/>
      </c>
      <c r="F2331" s="9"/>
      <c r="G2331" s="10"/>
      <c r="H2331" s="11"/>
      <c r="I2331" s="12" t="str">
        <f t="array" ref="I2331">IFERROR(INDEX(atlas!B:B,MATCH(A2331,atlas!C:C,0)),"")</f>
        <v/>
      </c>
      <c r="J2331" s="8" t="str">
        <f>IFERROR(VLOOKUP(F2331,tecnica!A:B,2,0),"")</f>
        <v/>
      </c>
      <c r="K2331" s="8" t="str">
        <f>IFERROR(VLOOKUP(J2331,tecnica!B:C,2,0),"")</f>
        <v/>
      </c>
      <c r="L2331" s="13"/>
      <c r="M2331" s="14" t="str">
        <f>IFERROR(VLOOKUP(I2331,material!A:D,4,0),"")</f>
        <v/>
      </c>
      <c r="N2331" s="14" t="str">
        <f t="shared" si="1"/>
        <v/>
      </c>
      <c r="O2331" s="15" t="str">
        <f>IFERROR(VLOOKUP(I2331,material!A:D,2,0),"")</f>
        <v/>
      </c>
    </row>
    <row r="2332">
      <c r="A2332" s="6"/>
      <c r="B2332" s="7"/>
      <c r="C2332" s="8" t="str">
        <f t="array" ref="C2332">IFERROR(INDEX(atlas!H:H,MATCH(A2332,atlas!C:C,0)),"")</f>
        <v/>
      </c>
      <c r="D2332" s="8" t="str">
        <f t="array" ref="D2332">IFERROR(INDEX(atlas!D:D,MATCH(A2332,atlas!C:C,0)),"")</f>
        <v/>
      </c>
      <c r="E2332" s="8" t="str">
        <f t="array" ref="E2332">IFERROR(INDEX(atlas!F:F,MATCH(A2332,atlas!C:C,0)),"")</f>
        <v/>
      </c>
      <c r="F2332" s="9"/>
      <c r="G2332" s="10"/>
      <c r="H2332" s="11"/>
      <c r="I2332" s="12" t="str">
        <f t="array" ref="I2332">IFERROR(INDEX(atlas!B:B,MATCH(A2332,atlas!C:C,0)),"")</f>
        <v/>
      </c>
      <c r="J2332" s="8" t="str">
        <f>IFERROR(VLOOKUP(F2332,tecnica!A:B,2,0),"")</f>
        <v/>
      </c>
      <c r="K2332" s="8" t="str">
        <f>IFERROR(VLOOKUP(J2332,tecnica!B:C,2,0),"")</f>
        <v/>
      </c>
      <c r="L2332" s="13"/>
      <c r="M2332" s="14" t="str">
        <f>IFERROR(VLOOKUP(I2332,material!A:D,4,0),"")</f>
        <v/>
      </c>
      <c r="N2332" s="14" t="str">
        <f t="shared" si="1"/>
        <v/>
      </c>
      <c r="O2332" s="15" t="str">
        <f>IFERROR(VLOOKUP(I2332,material!A:D,2,0),"")</f>
        <v/>
      </c>
    </row>
    <row r="2333">
      <c r="A2333" s="6"/>
      <c r="B2333" s="7"/>
      <c r="C2333" s="8" t="str">
        <f t="array" ref="C2333">IFERROR(INDEX(atlas!H:H,MATCH(A2333,atlas!C:C,0)),"")</f>
        <v/>
      </c>
      <c r="D2333" s="8" t="str">
        <f t="array" ref="D2333">IFERROR(INDEX(atlas!D:D,MATCH(A2333,atlas!C:C,0)),"")</f>
        <v/>
      </c>
      <c r="E2333" s="8" t="str">
        <f t="array" ref="E2333">IFERROR(INDEX(atlas!F:F,MATCH(A2333,atlas!C:C,0)),"")</f>
        <v/>
      </c>
      <c r="F2333" s="9"/>
      <c r="G2333" s="10"/>
      <c r="H2333" s="11"/>
      <c r="I2333" s="12" t="str">
        <f t="array" ref="I2333">IFERROR(INDEX(atlas!B:B,MATCH(A2333,atlas!C:C,0)),"")</f>
        <v/>
      </c>
      <c r="J2333" s="8" t="str">
        <f>IFERROR(VLOOKUP(F2333,tecnica!A:B,2,0),"")</f>
        <v/>
      </c>
      <c r="K2333" s="8" t="str">
        <f>IFERROR(VLOOKUP(J2333,tecnica!B:C,2,0),"")</f>
        <v/>
      </c>
      <c r="L2333" s="13"/>
      <c r="M2333" s="14" t="str">
        <f>IFERROR(VLOOKUP(I2333,material!A:D,4,0),"")</f>
        <v/>
      </c>
      <c r="N2333" s="14" t="str">
        <f t="shared" si="1"/>
        <v/>
      </c>
      <c r="O2333" s="15" t="str">
        <f>IFERROR(VLOOKUP(I2333,material!A:D,2,0),"")</f>
        <v/>
      </c>
    </row>
    <row r="2334">
      <c r="A2334" s="6"/>
      <c r="B2334" s="7"/>
      <c r="C2334" s="8" t="str">
        <f t="array" ref="C2334">IFERROR(INDEX(atlas!H:H,MATCH(A2334,atlas!C:C,0)),"")</f>
        <v/>
      </c>
      <c r="D2334" s="8" t="str">
        <f t="array" ref="D2334">IFERROR(INDEX(atlas!D:D,MATCH(A2334,atlas!C:C,0)),"")</f>
        <v/>
      </c>
      <c r="E2334" s="8" t="str">
        <f t="array" ref="E2334">IFERROR(INDEX(atlas!F:F,MATCH(A2334,atlas!C:C,0)),"")</f>
        <v/>
      </c>
      <c r="F2334" s="9"/>
      <c r="G2334" s="10"/>
      <c r="H2334" s="11"/>
      <c r="I2334" s="12" t="str">
        <f t="array" ref="I2334">IFERROR(INDEX(atlas!B:B,MATCH(A2334,atlas!C:C,0)),"")</f>
        <v/>
      </c>
      <c r="J2334" s="8" t="str">
        <f>IFERROR(VLOOKUP(F2334,tecnica!A:B,2,0),"")</f>
        <v/>
      </c>
      <c r="K2334" s="8" t="str">
        <f>IFERROR(VLOOKUP(J2334,tecnica!B:C,2,0),"")</f>
        <v/>
      </c>
      <c r="L2334" s="13"/>
      <c r="M2334" s="14" t="str">
        <f>IFERROR(VLOOKUP(I2334,material!A:D,4,0),"")</f>
        <v/>
      </c>
      <c r="N2334" s="14" t="str">
        <f t="shared" si="1"/>
        <v/>
      </c>
      <c r="O2334" s="15" t="str">
        <f>IFERROR(VLOOKUP(I2334,material!A:D,2,0),"")</f>
        <v/>
      </c>
    </row>
    <row r="2335">
      <c r="A2335" s="6"/>
      <c r="B2335" s="7"/>
      <c r="C2335" s="8" t="str">
        <f t="array" ref="C2335">IFERROR(INDEX(atlas!H:H,MATCH(A2335,atlas!C:C,0)),"")</f>
        <v/>
      </c>
      <c r="D2335" s="8" t="str">
        <f t="array" ref="D2335">IFERROR(INDEX(atlas!D:D,MATCH(A2335,atlas!C:C,0)),"")</f>
        <v/>
      </c>
      <c r="E2335" s="8" t="str">
        <f t="array" ref="E2335">IFERROR(INDEX(atlas!F:F,MATCH(A2335,atlas!C:C,0)),"")</f>
        <v/>
      </c>
      <c r="F2335" s="9"/>
      <c r="G2335" s="10"/>
      <c r="H2335" s="11"/>
      <c r="I2335" s="12" t="str">
        <f t="array" ref="I2335">IFERROR(INDEX(atlas!B:B,MATCH(A2335,atlas!C:C,0)),"")</f>
        <v/>
      </c>
      <c r="J2335" s="8" t="str">
        <f>IFERROR(VLOOKUP(F2335,tecnica!A:B,2,0),"")</f>
        <v/>
      </c>
      <c r="K2335" s="8" t="str">
        <f>IFERROR(VLOOKUP(J2335,tecnica!B:C,2,0),"")</f>
        <v/>
      </c>
      <c r="L2335" s="13"/>
      <c r="M2335" s="14" t="str">
        <f>IFERROR(VLOOKUP(I2335,material!A:D,4,0),"")</f>
        <v/>
      </c>
      <c r="N2335" s="14" t="str">
        <f t="shared" si="1"/>
        <v/>
      </c>
      <c r="O2335" s="15" t="str">
        <f>IFERROR(VLOOKUP(I2335,material!A:D,2,0),"")</f>
        <v/>
      </c>
    </row>
    <row r="2336">
      <c r="A2336" s="6"/>
      <c r="B2336" s="7"/>
      <c r="C2336" s="8" t="str">
        <f t="array" ref="C2336">IFERROR(INDEX(atlas!H:H,MATCH(A2336,atlas!C:C,0)),"")</f>
        <v/>
      </c>
      <c r="D2336" s="8" t="str">
        <f t="array" ref="D2336">IFERROR(INDEX(atlas!D:D,MATCH(A2336,atlas!C:C,0)),"")</f>
        <v/>
      </c>
      <c r="E2336" s="8" t="str">
        <f t="array" ref="E2336">IFERROR(INDEX(atlas!F:F,MATCH(A2336,atlas!C:C,0)),"")</f>
        <v/>
      </c>
      <c r="F2336" s="9"/>
      <c r="G2336" s="10"/>
      <c r="H2336" s="11"/>
      <c r="I2336" s="12" t="str">
        <f t="array" ref="I2336">IFERROR(INDEX(atlas!B:B,MATCH(A2336,atlas!C:C,0)),"")</f>
        <v/>
      </c>
      <c r="J2336" s="8" t="str">
        <f>IFERROR(VLOOKUP(F2336,tecnica!A:B,2,0),"")</f>
        <v/>
      </c>
      <c r="K2336" s="8" t="str">
        <f>IFERROR(VLOOKUP(J2336,tecnica!B:C,2,0),"")</f>
        <v/>
      </c>
      <c r="L2336" s="13"/>
      <c r="M2336" s="14" t="str">
        <f>IFERROR(VLOOKUP(I2336,material!A:D,4,0),"")</f>
        <v/>
      </c>
      <c r="N2336" s="14" t="str">
        <f t="shared" si="1"/>
        <v/>
      </c>
      <c r="O2336" s="15" t="str">
        <f>IFERROR(VLOOKUP(I2336,material!A:D,2,0),"")</f>
        <v/>
      </c>
    </row>
    <row r="2337">
      <c r="A2337" s="6"/>
      <c r="B2337" s="7"/>
      <c r="C2337" s="8" t="str">
        <f t="array" ref="C2337">IFERROR(INDEX(atlas!H:H,MATCH(A2337,atlas!C:C,0)),"")</f>
        <v/>
      </c>
      <c r="D2337" s="8" t="str">
        <f t="array" ref="D2337">IFERROR(INDEX(atlas!D:D,MATCH(A2337,atlas!C:C,0)),"")</f>
        <v/>
      </c>
      <c r="E2337" s="8" t="str">
        <f t="array" ref="E2337">IFERROR(INDEX(atlas!F:F,MATCH(A2337,atlas!C:C,0)),"")</f>
        <v/>
      </c>
      <c r="F2337" s="9"/>
      <c r="G2337" s="10"/>
      <c r="H2337" s="11"/>
      <c r="I2337" s="12" t="str">
        <f t="array" ref="I2337">IFERROR(INDEX(atlas!B:B,MATCH(A2337,atlas!C:C,0)),"")</f>
        <v/>
      </c>
      <c r="J2337" s="8" t="str">
        <f>IFERROR(VLOOKUP(F2337,tecnica!A:B,2,0),"")</f>
        <v/>
      </c>
      <c r="K2337" s="8" t="str">
        <f>IFERROR(VLOOKUP(J2337,tecnica!B:C,2,0),"")</f>
        <v/>
      </c>
      <c r="L2337" s="13"/>
      <c r="M2337" s="14" t="str">
        <f>IFERROR(VLOOKUP(I2337,material!A:D,4,0),"")</f>
        <v/>
      </c>
      <c r="N2337" s="14" t="str">
        <f t="shared" si="1"/>
        <v/>
      </c>
      <c r="O2337" s="15" t="str">
        <f>IFERROR(VLOOKUP(I2337,material!A:D,2,0),"")</f>
        <v/>
      </c>
    </row>
    <row r="2338">
      <c r="A2338" s="6"/>
      <c r="B2338" s="7"/>
      <c r="C2338" s="8" t="str">
        <f t="array" ref="C2338">IFERROR(INDEX(atlas!H:H,MATCH(A2338,atlas!C:C,0)),"")</f>
        <v/>
      </c>
      <c r="D2338" s="8" t="str">
        <f t="array" ref="D2338">IFERROR(INDEX(atlas!D:D,MATCH(A2338,atlas!C:C,0)),"")</f>
        <v/>
      </c>
      <c r="E2338" s="8" t="str">
        <f t="array" ref="E2338">IFERROR(INDEX(atlas!F:F,MATCH(A2338,atlas!C:C,0)),"")</f>
        <v/>
      </c>
      <c r="F2338" s="9"/>
      <c r="G2338" s="10"/>
      <c r="H2338" s="11"/>
      <c r="I2338" s="12" t="str">
        <f t="array" ref="I2338">IFERROR(INDEX(atlas!B:B,MATCH(A2338,atlas!C:C,0)),"")</f>
        <v/>
      </c>
      <c r="J2338" s="8" t="str">
        <f>IFERROR(VLOOKUP(F2338,tecnica!A:B,2,0),"")</f>
        <v/>
      </c>
      <c r="K2338" s="8" t="str">
        <f>IFERROR(VLOOKUP(J2338,tecnica!B:C,2,0),"")</f>
        <v/>
      </c>
      <c r="L2338" s="13"/>
      <c r="M2338" s="14" t="str">
        <f>IFERROR(VLOOKUP(I2338,material!A:D,4,0),"")</f>
        <v/>
      </c>
      <c r="N2338" s="14" t="str">
        <f t="shared" si="1"/>
        <v/>
      </c>
      <c r="O2338" s="15" t="str">
        <f>IFERROR(VLOOKUP(I2338,material!A:D,2,0),"")</f>
        <v/>
      </c>
    </row>
    <row r="2339">
      <c r="A2339" s="6"/>
      <c r="B2339" s="7"/>
      <c r="C2339" s="8" t="str">
        <f t="array" ref="C2339">IFERROR(INDEX(atlas!H:H,MATCH(A2339,atlas!C:C,0)),"")</f>
        <v/>
      </c>
      <c r="D2339" s="8" t="str">
        <f t="array" ref="D2339">IFERROR(INDEX(atlas!D:D,MATCH(A2339,atlas!C:C,0)),"")</f>
        <v/>
      </c>
      <c r="E2339" s="8" t="str">
        <f t="array" ref="E2339">IFERROR(INDEX(atlas!F:F,MATCH(A2339,atlas!C:C,0)),"")</f>
        <v/>
      </c>
      <c r="F2339" s="9"/>
      <c r="G2339" s="10"/>
      <c r="H2339" s="11"/>
      <c r="I2339" s="12" t="str">
        <f t="array" ref="I2339">IFERROR(INDEX(atlas!B:B,MATCH(A2339,atlas!C:C,0)),"")</f>
        <v/>
      </c>
      <c r="J2339" s="8" t="str">
        <f>IFERROR(VLOOKUP(F2339,tecnica!A:B,2,0),"")</f>
        <v/>
      </c>
      <c r="K2339" s="8" t="str">
        <f>IFERROR(VLOOKUP(J2339,tecnica!B:C,2,0),"")</f>
        <v/>
      </c>
      <c r="L2339" s="13"/>
      <c r="M2339" s="14" t="str">
        <f>IFERROR(VLOOKUP(I2339,material!A:D,4,0),"")</f>
        <v/>
      </c>
      <c r="N2339" s="14" t="str">
        <f t="shared" si="1"/>
        <v/>
      </c>
      <c r="O2339" s="15" t="str">
        <f>IFERROR(VLOOKUP(I2339,material!A:D,2,0),"")</f>
        <v/>
      </c>
    </row>
    <row r="2340">
      <c r="A2340" s="6"/>
      <c r="B2340" s="7"/>
      <c r="C2340" s="8" t="str">
        <f t="array" ref="C2340">IFERROR(INDEX(atlas!H:H,MATCH(A2340,atlas!C:C,0)),"")</f>
        <v/>
      </c>
      <c r="D2340" s="8" t="str">
        <f t="array" ref="D2340">IFERROR(INDEX(atlas!D:D,MATCH(A2340,atlas!C:C,0)),"")</f>
        <v/>
      </c>
      <c r="E2340" s="8" t="str">
        <f t="array" ref="E2340">IFERROR(INDEX(atlas!F:F,MATCH(A2340,atlas!C:C,0)),"")</f>
        <v/>
      </c>
      <c r="F2340" s="9"/>
      <c r="G2340" s="10"/>
      <c r="H2340" s="11"/>
      <c r="I2340" s="12" t="str">
        <f t="array" ref="I2340">IFERROR(INDEX(atlas!B:B,MATCH(A2340,atlas!C:C,0)),"")</f>
        <v/>
      </c>
      <c r="J2340" s="8" t="str">
        <f>IFERROR(VLOOKUP(F2340,tecnica!A:B,2,0),"")</f>
        <v/>
      </c>
      <c r="K2340" s="8" t="str">
        <f>IFERROR(VLOOKUP(J2340,tecnica!B:C,2,0),"")</f>
        <v/>
      </c>
      <c r="L2340" s="13"/>
      <c r="M2340" s="14" t="str">
        <f>IFERROR(VLOOKUP(I2340,material!A:D,4,0),"")</f>
        <v/>
      </c>
      <c r="N2340" s="14" t="str">
        <f t="shared" si="1"/>
        <v/>
      </c>
      <c r="O2340" s="15" t="str">
        <f>IFERROR(VLOOKUP(I2340,material!A:D,2,0),"")</f>
        <v/>
      </c>
    </row>
    <row r="2341">
      <c r="A2341" s="6"/>
      <c r="B2341" s="7"/>
      <c r="C2341" s="8" t="str">
        <f t="array" ref="C2341">IFERROR(INDEX(atlas!H:H,MATCH(A2341,atlas!C:C,0)),"")</f>
        <v/>
      </c>
      <c r="D2341" s="8" t="str">
        <f t="array" ref="D2341">IFERROR(INDEX(atlas!D:D,MATCH(A2341,atlas!C:C,0)),"")</f>
        <v/>
      </c>
      <c r="E2341" s="8" t="str">
        <f t="array" ref="E2341">IFERROR(INDEX(atlas!F:F,MATCH(A2341,atlas!C:C,0)),"")</f>
        <v/>
      </c>
      <c r="F2341" s="9"/>
      <c r="G2341" s="10"/>
      <c r="H2341" s="11"/>
      <c r="I2341" s="12" t="str">
        <f t="array" ref="I2341">IFERROR(INDEX(atlas!B:B,MATCH(A2341,atlas!C:C,0)),"")</f>
        <v/>
      </c>
      <c r="J2341" s="8" t="str">
        <f>IFERROR(VLOOKUP(F2341,tecnica!A:B,2,0),"")</f>
        <v/>
      </c>
      <c r="K2341" s="8" t="str">
        <f>IFERROR(VLOOKUP(J2341,tecnica!B:C,2,0),"")</f>
        <v/>
      </c>
      <c r="L2341" s="13"/>
      <c r="M2341" s="14" t="str">
        <f>IFERROR(VLOOKUP(I2341,material!A:D,4,0),"")</f>
        <v/>
      </c>
      <c r="N2341" s="14" t="str">
        <f t="shared" si="1"/>
        <v/>
      </c>
      <c r="O2341" s="15" t="str">
        <f>IFERROR(VLOOKUP(I2341,material!A:D,2,0),"")</f>
        <v/>
      </c>
    </row>
    <row r="2342">
      <c r="A2342" s="6"/>
      <c r="B2342" s="7"/>
      <c r="C2342" s="8" t="str">
        <f t="array" ref="C2342">IFERROR(INDEX(atlas!H:H,MATCH(A2342,atlas!C:C,0)),"")</f>
        <v/>
      </c>
      <c r="D2342" s="8" t="str">
        <f t="array" ref="D2342">IFERROR(INDEX(atlas!D:D,MATCH(A2342,atlas!C:C,0)),"")</f>
        <v/>
      </c>
      <c r="E2342" s="8" t="str">
        <f t="array" ref="E2342">IFERROR(INDEX(atlas!F:F,MATCH(A2342,atlas!C:C,0)),"")</f>
        <v/>
      </c>
      <c r="F2342" s="9"/>
      <c r="G2342" s="10"/>
      <c r="H2342" s="11"/>
      <c r="I2342" s="12" t="str">
        <f t="array" ref="I2342">IFERROR(INDEX(atlas!B:B,MATCH(A2342,atlas!C:C,0)),"")</f>
        <v/>
      </c>
      <c r="J2342" s="8" t="str">
        <f>IFERROR(VLOOKUP(F2342,tecnica!A:B,2,0),"")</f>
        <v/>
      </c>
      <c r="K2342" s="8" t="str">
        <f>IFERROR(VLOOKUP(J2342,tecnica!B:C,2,0),"")</f>
        <v/>
      </c>
      <c r="L2342" s="13"/>
      <c r="M2342" s="14" t="str">
        <f>IFERROR(VLOOKUP(I2342,material!A:D,4,0),"")</f>
        <v/>
      </c>
      <c r="N2342" s="14" t="str">
        <f t="shared" si="1"/>
        <v/>
      </c>
      <c r="O2342" s="15" t="str">
        <f>IFERROR(VLOOKUP(I2342,material!A:D,2,0),"")</f>
        <v/>
      </c>
    </row>
    <row r="2343">
      <c r="A2343" s="6"/>
      <c r="B2343" s="7"/>
      <c r="C2343" s="8" t="str">
        <f t="array" ref="C2343">IFERROR(INDEX(atlas!H:H,MATCH(A2343,atlas!C:C,0)),"")</f>
        <v/>
      </c>
      <c r="D2343" s="8" t="str">
        <f t="array" ref="D2343">IFERROR(INDEX(atlas!D:D,MATCH(A2343,atlas!C:C,0)),"")</f>
        <v/>
      </c>
      <c r="E2343" s="8" t="str">
        <f t="array" ref="E2343">IFERROR(INDEX(atlas!F:F,MATCH(A2343,atlas!C:C,0)),"")</f>
        <v/>
      </c>
      <c r="F2343" s="9"/>
      <c r="G2343" s="10"/>
      <c r="H2343" s="11"/>
      <c r="I2343" s="12" t="str">
        <f t="array" ref="I2343">IFERROR(INDEX(atlas!B:B,MATCH(A2343,atlas!C:C,0)),"")</f>
        <v/>
      </c>
      <c r="J2343" s="8" t="str">
        <f>IFERROR(VLOOKUP(F2343,tecnica!A:B,2,0),"")</f>
        <v/>
      </c>
      <c r="K2343" s="8" t="str">
        <f>IFERROR(VLOOKUP(J2343,tecnica!B:C,2,0),"")</f>
        <v/>
      </c>
      <c r="L2343" s="13"/>
      <c r="M2343" s="14" t="str">
        <f>IFERROR(VLOOKUP(I2343,material!A:D,4,0),"")</f>
        <v/>
      </c>
      <c r="N2343" s="14" t="str">
        <f t="shared" si="1"/>
        <v/>
      </c>
      <c r="O2343" s="15" t="str">
        <f>IFERROR(VLOOKUP(I2343,material!A:D,2,0),"")</f>
        <v/>
      </c>
    </row>
    <row r="2344">
      <c r="A2344" s="6"/>
      <c r="B2344" s="7"/>
      <c r="C2344" s="8" t="str">
        <f t="array" ref="C2344">IFERROR(INDEX(atlas!H:H,MATCH(A2344,atlas!C:C,0)),"")</f>
        <v/>
      </c>
      <c r="D2344" s="8" t="str">
        <f t="array" ref="D2344">IFERROR(INDEX(atlas!D:D,MATCH(A2344,atlas!C:C,0)),"")</f>
        <v/>
      </c>
      <c r="E2344" s="8" t="str">
        <f t="array" ref="E2344">IFERROR(INDEX(atlas!F:F,MATCH(A2344,atlas!C:C,0)),"")</f>
        <v/>
      </c>
      <c r="F2344" s="9"/>
      <c r="G2344" s="10"/>
      <c r="H2344" s="11"/>
      <c r="I2344" s="12" t="str">
        <f t="array" ref="I2344">IFERROR(INDEX(atlas!B:B,MATCH(A2344,atlas!C:C,0)),"")</f>
        <v/>
      </c>
      <c r="J2344" s="8" t="str">
        <f>IFERROR(VLOOKUP(F2344,tecnica!A:B,2,0),"")</f>
        <v/>
      </c>
      <c r="K2344" s="8" t="str">
        <f>IFERROR(VLOOKUP(J2344,tecnica!B:C,2,0),"")</f>
        <v/>
      </c>
      <c r="L2344" s="13"/>
      <c r="M2344" s="14" t="str">
        <f>IFERROR(VLOOKUP(I2344,material!A:D,4,0),"")</f>
        <v/>
      </c>
      <c r="N2344" s="14" t="str">
        <f t="shared" si="1"/>
        <v/>
      </c>
      <c r="O2344" s="15" t="str">
        <f>IFERROR(VLOOKUP(I2344,material!A:D,2,0),"")</f>
        <v/>
      </c>
    </row>
    <row r="2345">
      <c r="A2345" s="6"/>
      <c r="B2345" s="7"/>
      <c r="C2345" s="8" t="str">
        <f t="array" ref="C2345">IFERROR(INDEX(atlas!H:H,MATCH(A2345,atlas!C:C,0)),"")</f>
        <v/>
      </c>
      <c r="D2345" s="8" t="str">
        <f t="array" ref="D2345">IFERROR(INDEX(atlas!D:D,MATCH(A2345,atlas!C:C,0)),"")</f>
        <v/>
      </c>
      <c r="E2345" s="8" t="str">
        <f t="array" ref="E2345">IFERROR(INDEX(atlas!F:F,MATCH(A2345,atlas!C:C,0)),"")</f>
        <v/>
      </c>
      <c r="F2345" s="9"/>
      <c r="G2345" s="10"/>
      <c r="H2345" s="11"/>
      <c r="I2345" s="12" t="str">
        <f t="array" ref="I2345">IFERROR(INDEX(atlas!B:B,MATCH(A2345,atlas!C:C,0)),"")</f>
        <v/>
      </c>
      <c r="J2345" s="8" t="str">
        <f>IFERROR(VLOOKUP(F2345,tecnica!A:B,2,0),"")</f>
        <v/>
      </c>
      <c r="K2345" s="8" t="str">
        <f>IFERROR(VLOOKUP(J2345,tecnica!B:C,2,0),"")</f>
        <v/>
      </c>
      <c r="L2345" s="13"/>
      <c r="M2345" s="14" t="str">
        <f>IFERROR(VLOOKUP(I2345,material!A:D,4,0),"")</f>
        <v/>
      </c>
      <c r="N2345" s="14" t="str">
        <f t="shared" si="1"/>
        <v/>
      </c>
      <c r="O2345" s="15" t="str">
        <f>IFERROR(VLOOKUP(I2345,material!A:D,2,0),"")</f>
        <v/>
      </c>
    </row>
    <row r="2346">
      <c r="A2346" s="6"/>
      <c r="B2346" s="7"/>
      <c r="C2346" s="8" t="str">
        <f t="array" ref="C2346">IFERROR(INDEX(atlas!H:H,MATCH(A2346,atlas!C:C,0)),"")</f>
        <v/>
      </c>
      <c r="D2346" s="8" t="str">
        <f t="array" ref="D2346">IFERROR(INDEX(atlas!D:D,MATCH(A2346,atlas!C:C,0)),"")</f>
        <v/>
      </c>
      <c r="E2346" s="8" t="str">
        <f t="array" ref="E2346">IFERROR(INDEX(atlas!F:F,MATCH(A2346,atlas!C:C,0)),"")</f>
        <v/>
      </c>
      <c r="F2346" s="9"/>
      <c r="G2346" s="10"/>
      <c r="H2346" s="11"/>
      <c r="I2346" s="12" t="str">
        <f t="array" ref="I2346">IFERROR(INDEX(atlas!B:B,MATCH(A2346,atlas!C:C,0)),"")</f>
        <v/>
      </c>
      <c r="J2346" s="8" t="str">
        <f>IFERROR(VLOOKUP(F2346,tecnica!A:B,2,0),"")</f>
        <v/>
      </c>
      <c r="K2346" s="8" t="str">
        <f>IFERROR(VLOOKUP(J2346,tecnica!B:C,2,0),"")</f>
        <v/>
      </c>
      <c r="L2346" s="13"/>
      <c r="M2346" s="14" t="str">
        <f>IFERROR(VLOOKUP(I2346,material!A:D,4,0),"")</f>
        <v/>
      </c>
      <c r="N2346" s="14" t="str">
        <f t="shared" si="1"/>
        <v/>
      </c>
      <c r="O2346" s="15" t="str">
        <f>IFERROR(VLOOKUP(I2346,material!A:D,2,0),"")</f>
        <v/>
      </c>
    </row>
    <row r="2347">
      <c r="A2347" s="6"/>
      <c r="B2347" s="7"/>
      <c r="C2347" s="8" t="str">
        <f t="array" ref="C2347">IFERROR(INDEX(atlas!H:H,MATCH(A2347,atlas!C:C,0)),"")</f>
        <v/>
      </c>
      <c r="D2347" s="8" t="str">
        <f t="array" ref="D2347">IFERROR(INDEX(atlas!D:D,MATCH(A2347,atlas!C:C,0)),"")</f>
        <v/>
      </c>
      <c r="E2347" s="8" t="str">
        <f t="array" ref="E2347">IFERROR(INDEX(atlas!F:F,MATCH(A2347,atlas!C:C,0)),"")</f>
        <v/>
      </c>
      <c r="F2347" s="9"/>
      <c r="G2347" s="10"/>
      <c r="H2347" s="11"/>
      <c r="I2347" s="12" t="str">
        <f t="array" ref="I2347">IFERROR(INDEX(atlas!B:B,MATCH(A2347,atlas!C:C,0)),"")</f>
        <v/>
      </c>
      <c r="J2347" s="8" t="str">
        <f>IFERROR(VLOOKUP(F2347,tecnica!A:B,2,0),"")</f>
        <v/>
      </c>
      <c r="K2347" s="8" t="str">
        <f>IFERROR(VLOOKUP(J2347,tecnica!B:C,2,0),"")</f>
        <v/>
      </c>
      <c r="L2347" s="13"/>
      <c r="M2347" s="14" t="str">
        <f>IFERROR(VLOOKUP(I2347,material!A:D,4,0),"")</f>
        <v/>
      </c>
      <c r="N2347" s="14" t="str">
        <f t="shared" si="1"/>
        <v/>
      </c>
      <c r="O2347" s="15" t="str">
        <f>IFERROR(VLOOKUP(I2347,material!A:D,2,0),"")</f>
        <v/>
      </c>
    </row>
    <row r="2348">
      <c r="A2348" s="6"/>
      <c r="B2348" s="7"/>
      <c r="C2348" s="8" t="str">
        <f t="array" ref="C2348">IFERROR(INDEX(atlas!H:H,MATCH(A2348,atlas!C:C,0)),"")</f>
        <v/>
      </c>
      <c r="D2348" s="8" t="str">
        <f t="array" ref="D2348">IFERROR(INDEX(atlas!D:D,MATCH(A2348,atlas!C:C,0)),"")</f>
        <v/>
      </c>
      <c r="E2348" s="8" t="str">
        <f t="array" ref="E2348">IFERROR(INDEX(atlas!F:F,MATCH(A2348,atlas!C:C,0)),"")</f>
        <v/>
      </c>
      <c r="F2348" s="9"/>
      <c r="G2348" s="10"/>
      <c r="H2348" s="11"/>
      <c r="I2348" s="12" t="str">
        <f t="array" ref="I2348">IFERROR(INDEX(atlas!B:B,MATCH(A2348,atlas!C:C,0)),"")</f>
        <v/>
      </c>
      <c r="J2348" s="8" t="str">
        <f>IFERROR(VLOOKUP(F2348,tecnica!A:B,2,0),"")</f>
        <v/>
      </c>
      <c r="K2348" s="8" t="str">
        <f>IFERROR(VLOOKUP(J2348,tecnica!B:C,2,0),"")</f>
        <v/>
      </c>
      <c r="L2348" s="13"/>
      <c r="M2348" s="14" t="str">
        <f>IFERROR(VLOOKUP(I2348,material!A:D,4,0),"")</f>
        <v/>
      </c>
      <c r="N2348" s="14" t="str">
        <f t="shared" si="1"/>
        <v/>
      </c>
      <c r="O2348" s="15" t="str">
        <f>IFERROR(VLOOKUP(I2348,material!A:D,2,0),"")</f>
        <v/>
      </c>
    </row>
    <row r="2349">
      <c r="A2349" s="6"/>
      <c r="B2349" s="7"/>
      <c r="C2349" s="8" t="str">
        <f t="array" ref="C2349">IFERROR(INDEX(atlas!H:H,MATCH(A2349,atlas!C:C,0)),"")</f>
        <v/>
      </c>
      <c r="D2349" s="8" t="str">
        <f t="array" ref="D2349">IFERROR(INDEX(atlas!D:D,MATCH(A2349,atlas!C:C,0)),"")</f>
        <v/>
      </c>
      <c r="E2349" s="8" t="str">
        <f t="array" ref="E2349">IFERROR(INDEX(atlas!F:F,MATCH(A2349,atlas!C:C,0)),"")</f>
        <v/>
      </c>
      <c r="F2349" s="9"/>
      <c r="G2349" s="10"/>
      <c r="H2349" s="11"/>
      <c r="I2349" s="12" t="str">
        <f t="array" ref="I2349">IFERROR(INDEX(atlas!B:B,MATCH(A2349,atlas!C:C,0)),"")</f>
        <v/>
      </c>
      <c r="J2349" s="8" t="str">
        <f>IFERROR(VLOOKUP(F2349,tecnica!A:B,2,0),"")</f>
        <v/>
      </c>
      <c r="K2349" s="8" t="str">
        <f>IFERROR(VLOOKUP(J2349,tecnica!B:C,2,0),"")</f>
        <v/>
      </c>
      <c r="L2349" s="13"/>
      <c r="M2349" s="14" t="str">
        <f>IFERROR(VLOOKUP(I2349,material!A:D,4,0),"")</f>
        <v/>
      </c>
      <c r="N2349" s="14" t="str">
        <f t="shared" si="1"/>
        <v/>
      </c>
      <c r="O2349" s="15" t="str">
        <f>IFERROR(VLOOKUP(I2349,material!A:D,2,0),"")</f>
        <v/>
      </c>
    </row>
    <row r="2350">
      <c r="A2350" s="6"/>
      <c r="B2350" s="7"/>
      <c r="C2350" s="8" t="str">
        <f t="array" ref="C2350">IFERROR(INDEX(atlas!H:H,MATCH(A2350,atlas!C:C,0)),"")</f>
        <v/>
      </c>
      <c r="D2350" s="8" t="str">
        <f t="array" ref="D2350">IFERROR(INDEX(atlas!D:D,MATCH(A2350,atlas!C:C,0)),"")</f>
        <v/>
      </c>
      <c r="E2350" s="8" t="str">
        <f t="array" ref="E2350">IFERROR(INDEX(atlas!F:F,MATCH(A2350,atlas!C:C,0)),"")</f>
        <v/>
      </c>
      <c r="F2350" s="9"/>
      <c r="G2350" s="10"/>
      <c r="H2350" s="11"/>
      <c r="I2350" s="12" t="str">
        <f t="array" ref="I2350">IFERROR(INDEX(atlas!B:B,MATCH(A2350,atlas!C:C,0)),"")</f>
        <v/>
      </c>
      <c r="J2350" s="8" t="str">
        <f>IFERROR(VLOOKUP(F2350,tecnica!A:B,2,0),"")</f>
        <v/>
      </c>
      <c r="K2350" s="8" t="str">
        <f>IFERROR(VLOOKUP(J2350,tecnica!B:C,2,0),"")</f>
        <v/>
      </c>
      <c r="L2350" s="13"/>
      <c r="M2350" s="14" t="str">
        <f>IFERROR(VLOOKUP(I2350,material!A:D,4,0),"")</f>
        <v/>
      </c>
      <c r="N2350" s="14" t="str">
        <f t="shared" si="1"/>
        <v/>
      </c>
      <c r="O2350" s="15" t="str">
        <f>IFERROR(VLOOKUP(I2350,material!A:D,2,0),"")</f>
        <v/>
      </c>
    </row>
    <row r="2351">
      <c r="A2351" s="6"/>
      <c r="B2351" s="7"/>
      <c r="C2351" s="8" t="str">
        <f t="array" ref="C2351">IFERROR(INDEX(atlas!H:H,MATCH(A2351,atlas!C:C,0)),"")</f>
        <v/>
      </c>
      <c r="D2351" s="8" t="str">
        <f t="array" ref="D2351">IFERROR(INDEX(atlas!D:D,MATCH(A2351,atlas!C:C,0)),"")</f>
        <v/>
      </c>
      <c r="E2351" s="8" t="str">
        <f t="array" ref="E2351">IFERROR(INDEX(atlas!F:F,MATCH(A2351,atlas!C:C,0)),"")</f>
        <v/>
      </c>
      <c r="F2351" s="9"/>
      <c r="G2351" s="10"/>
      <c r="H2351" s="11"/>
      <c r="I2351" s="12" t="str">
        <f t="array" ref="I2351">IFERROR(INDEX(atlas!B:B,MATCH(A2351,atlas!C:C,0)),"")</f>
        <v/>
      </c>
      <c r="J2351" s="8" t="str">
        <f>IFERROR(VLOOKUP(F2351,tecnica!A:B,2,0),"")</f>
        <v/>
      </c>
      <c r="K2351" s="8" t="str">
        <f>IFERROR(VLOOKUP(J2351,tecnica!B:C,2,0),"")</f>
        <v/>
      </c>
      <c r="L2351" s="13"/>
      <c r="M2351" s="14" t="str">
        <f>IFERROR(VLOOKUP(I2351,material!A:D,4,0),"")</f>
        <v/>
      </c>
      <c r="N2351" s="14" t="str">
        <f t="shared" si="1"/>
        <v/>
      </c>
      <c r="O2351" s="15" t="str">
        <f>IFERROR(VLOOKUP(I2351,material!A:D,2,0),"")</f>
        <v/>
      </c>
    </row>
    <row r="2352">
      <c r="A2352" s="6"/>
      <c r="B2352" s="7"/>
      <c r="C2352" s="8" t="str">
        <f t="array" ref="C2352">IFERROR(INDEX(atlas!H:H,MATCH(A2352,atlas!C:C,0)),"")</f>
        <v/>
      </c>
      <c r="D2352" s="8" t="str">
        <f t="array" ref="D2352">IFERROR(INDEX(atlas!D:D,MATCH(A2352,atlas!C:C,0)),"")</f>
        <v/>
      </c>
      <c r="E2352" s="8" t="str">
        <f t="array" ref="E2352">IFERROR(INDEX(atlas!F:F,MATCH(A2352,atlas!C:C,0)),"")</f>
        <v/>
      </c>
      <c r="F2352" s="9"/>
      <c r="G2352" s="10"/>
      <c r="H2352" s="11"/>
      <c r="I2352" s="12" t="str">
        <f t="array" ref="I2352">IFERROR(INDEX(atlas!B:B,MATCH(A2352,atlas!C:C,0)),"")</f>
        <v/>
      </c>
      <c r="J2352" s="8" t="str">
        <f>IFERROR(VLOOKUP(F2352,tecnica!A:B,2,0),"")</f>
        <v/>
      </c>
      <c r="K2352" s="8" t="str">
        <f>IFERROR(VLOOKUP(J2352,tecnica!B:C,2,0),"")</f>
        <v/>
      </c>
      <c r="L2352" s="13"/>
      <c r="M2352" s="14" t="str">
        <f>IFERROR(VLOOKUP(I2352,material!A:D,4,0),"")</f>
        <v/>
      </c>
      <c r="N2352" s="14" t="str">
        <f t="shared" si="1"/>
        <v/>
      </c>
      <c r="O2352" s="15" t="str">
        <f>IFERROR(VLOOKUP(I2352,material!A:D,2,0),"")</f>
        <v/>
      </c>
    </row>
    <row r="2353">
      <c r="A2353" s="6"/>
      <c r="B2353" s="7"/>
      <c r="C2353" s="8" t="str">
        <f t="array" ref="C2353">IFERROR(INDEX(atlas!H:H,MATCH(A2353,atlas!C:C,0)),"")</f>
        <v/>
      </c>
      <c r="D2353" s="8" t="str">
        <f t="array" ref="D2353">IFERROR(INDEX(atlas!D:D,MATCH(A2353,atlas!C:C,0)),"")</f>
        <v/>
      </c>
      <c r="E2353" s="8" t="str">
        <f t="array" ref="E2353">IFERROR(INDEX(atlas!F:F,MATCH(A2353,atlas!C:C,0)),"")</f>
        <v/>
      </c>
      <c r="F2353" s="9"/>
      <c r="G2353" s="10"/>
      <c r="H2353" s="11"/>
      <c r="I2353" s="12" t="str">
        <f t="array" ref="I2353">IFERROR(INDEX(atlas!B:B,MATCH(A2353,atlas!C:C,0)),"")</f>
        <v/>
      </c>
      <c r="J2353" s="8" t="str">
        <f>IFERROR(VLOOKUP(F2353,tecnica!A:B,2,0),"")</f>
        <v/>
      </c>
      <c r="K2353" s="8" t="str">
        <f>IFERROR(VLOOKUP(J2353,tecnica!B:C,2,0),"")</f>
        <v/>
      </c>
      <c r="L2353" s="13"/>
      <c r="M2353" s="14" t="str">
        <f>IFERROR(VLOOKUP(I2353,material!A:D,4,0),"")</f>
        <v/>
      </c>
      <c r="N2353" s="14" t="str">
        <f t="shared" si="1"/>
        <v/>
      </c>
      <c r="O2353" s="15" t="str">
        <f>IFERROR(VLOOKUP(I2353,material!A:D,2,0),"")</f>
        <v/>
      </c>
    </row>
    <row r="2354">
      <c r="A2354" s="6"/>
      <c r="B2354" s="7"/>
      <c r="C2354" s="8" t="str">
        <f t="array" ref="C2354">IFERROR(INDEX(atlas!H:H,MATCH(A2354,atlas!C:C,0)),"")</f>
        <v/>
      </c>
      <c r="D2354" s="8" t="str">
        <f t="array" ref="D2354">IFERROR(INDEX(atlas!D:D,MATCH(A2354,atlas!C:C,0)),"")</f>
        <v/>
      </c>
      <c r="E2354" s="8" t="str">
        <f t="array" ref="E2354">IFERROR(INDEX(atlas!F:F,MATCH(A2354,atlas!C:C,0)),"")</f>
        <v/>
      </c>
      <c r="F2354" s="9"/>
      <c r="G2354" s="10"/>
      <c r="H2354" s="11"/>
      <c r="I2354" s="12" t="str">
        <f t="array" ref="I2354">IFERROR(INDEX(atlas!B:B,MATCH(A2354,atlas!C:C,0)),"")</f>
        <v/>
      </c>
      <c r="J2354" s="8" t="str">
        <f>IFERROR(VLOOKUP(F2354,tecnica!A:B,2,0),"")</f>
        <v/>
      </c>
      <c r="K2354" s="8" t="str">
        <f>IFERROR(VLOOKUP(J2354,tecnica!B:C,2,0),"")</f>
        <v/>
      </c>
      <c r="L2354" s="13"/>
      <c r="M2354" s="14" t="str">
        <f>IFERROR(VLOOKUP(I2354,material!A:D,4,0),"")</f>
        <v/>
      </c>
      <c r="N2354" s="14" t="str">
        <f t="shared" si="1"/>
        <v/>
      </c>
      <c r="O2354" s="15" t="str">
        <f>IFERROR(VLOOKUP(I2354,material!A:D,2,0),"")</f>
        <v/>
      </c>
    </row>
    <row r="2355">
      <c r="A2355" s="6"/>
      <c r="B2355" s="7"/>
      <c r="C2355" s="8" t="str">
        <f t="array" ref="C2355">IFERROR(INDEX(atlas!H:H,MATCH(A2355,atlas!C:C,0)),"")</f>
        <v/>
      </c>
      <c r="D2355" s="8" t="str">
        <f t="array" ref="D2355">IFERROR(INDEX(atlas!D:D,MATCH(A2355,atlas!C:C,0)),"")</f>
        <v/>
      </c>
      <c r="E2355" s="8" t="str">
        <f t="array" ref="E2355">IFERROR(INDEX(atlas!F:F,MATCH(A2355,atlas!C:C,0)),"")</f>
        <v/>
      </c>
      <c r="F2355" s="9"/>
      <c r="G2355" s="10"/>
      <c r="H2355" s="11"/>
      <c r="I2355" s="12" t="str">
        <f t="array" ref="I2355">IFERROR(INDEX(atlas!B:B,MATCH(A2355,atlas!C:C,0)),"")</f>
        <v/>
      </c>
      <c r="J2355" s="8" t="str">
        <f>IFERROR(VLOOKUP(F2355,tecnica!A:B,2,0),"")</f>
        <v/>
      </c>
      <c r="K2355" s="8" t="str">
        <f>IFERROR(VLOOKUP(J2355,tecnica!B:C,2,0),"")</f>
        <v/>
      </c>
      <c r="L2355" s="13"/>
      <c r="M2355" s="14" t="str">
        <f>IFERROR(VLOOKUP(I2355,material!A:D,4,0),"")</f>
        <v/>
      </c>
      <c r="N2355" s="14" t="str">
        <f t="shared" si="1"/>
        <v/>
      </c>
      <c r="O2355" s="15" t="str">
        <f>IFERROR(VLOOKUP(I2355,material!A:D,2,0),"")</f>
        <v/>
      </c>
    </row>
    <row r="2356">
      <c r="A2356" s="6"/>
      <c r="B2356" s="7"/>
      <c r="C2356" s="8" t="str">
        <f t="array" ref="C2356">IFERROR(INDEX(atlas!H:H,MATCH(A2356,atlas!C:C,0)),"")</f>
        <v/>
      </c>
      <c r="D2356" s="8" t="str">
        <f t="array" ref="D2356">IFERROR(INDEX(atlas!D:D,MATCH(A2356,atlas!C:C,0)),"")</f>
        <v/>
      </c>
      <c r="E2356" s="8" t="str">
        <f t="array" ref="E2356">IFERROR(INDEX(atlas!F:F,MATCH(A2356,atlas!C:C,0)),"")</f>
        <v/>
      </c>
      <c r="F2356" s="9"/>
      <c r="G2356" s="10"/>
      <c r="H2356" s="11"/>
      <c r="I2356" s="12" t="str">
        <f t="array" ref="I2356">IFERROR(INDEX(atlas!B:B,MATCH(A2356,atlas!C:C,0)),"")</f>
        <v/>
      </c>
      <c r="J2356" s="8" t="str">
        <f>IFERROR(VLOOKUP(F2356,tecnica!A:B,2,0),"")</f>
        <v/>
      </c>
      <c r="K2356" s="8" t="str">
        <f>IFERROR(VLOOKUP(J2356,tecnica!B:C,2,0),"")</f>
        <v/>
      </c>
      <c r="L2356" s="13"/>
      <c r="M2356" s="14" t="str">
        <f>IFERROR(VLOOKUP(I2356,material!A:D,4,0),"")</f>
        <v/>
      </c>
      <c r="N2356" s="14" t="str">
        <f t="shared" si="1"/>
        <v/>
      </c>
      <c r="O2356" s="15" t="str">
        <f>IFERROR(VLOOKUP(I2356,material!A:D,2,0),"")</f>
        <v/>
      </c>
    </row>
    <row r="2357">
      <c r="A2357" s="6"/>
      <c r="B2357" s="7"/>
      <c r="C2357" s="8" t="str">
        <f t="array" ref="C2357">IFERROR(INDEX(atlas!H:H,MATCH(A2357,atlas!C:C,0)),"")</f>
        <v/>
      </c>
      <c r="D2357" s="8" t="str">
        <f t="array" ref="D2357">IFERROR(INDEX(atlas!D:D,MATCH(A2357,atlas!C:C,0)),"")</f>
        <v/>
      </c>
      <c r="E2357" s="8" t="str">
        <f t="array" ref="E2357">IFERROR(INDEX(atlas!F:F,MATCH(A2357,atlas!C:C,0)),"")</f>
        <v/>
      </c>
      <c r="F2357" s="9"/>
      <c r="G2357" s="10"/>
      <c r="H2357" s="11"/>
      <c r="I2357" s="12" t="str">
        <f t="array" ref="I2357">IFERROR(INDEX(atlas!B:B,MATCH(A2357,atlas!C:C,0)),"")</f>
        <v/>
      </c>
      <c r="J2357" s="8" t="str">
        <f>IFERROR(VLOOKUP(F2357,tecnica!A:B,2,0),"")</f>
        <v/>
      </c>
      <c r="K2357" s="8" t="str">
        <f>IFERROR(VLOOKUP(J2357,tecnica!B:C,2,0),"")</f>
        <v/>
      </c>
      <c r="L2357" s="13"/>
      <c r="M2357" s="14" t="str">
        <f>IFERROR(VLOOKUP(I2357,material!A:D,4,0),"")</f>
        <v/>
      </c>
      <c r="N2357" s="14" t="str">
        <f t="shared" si="1"/>
        <v/>
      </c>
      <c r="O2357" s="15" t="str">
        <f>IFERROR(VLOOKUP(I2357,material!A:D,2,0),"")</f>
        <v/>
      </c>
    </row>
    <row r="2358">
      <c r="A2358" s="6"/>
      <c r="B2358" s="7"/>
      <c r="C2358" s="8" t="str">
        <f t="array" ref="C2358">IFERROR(INDEX(atlas!H:H,MATCH(A2358,atlas!C:C,0)),"")</f>
        <v/>
      </c>
      <c r="D2358" s="8" t="str">
        <f t="array" ref="D2358">IFERROR(INDEX(atlas!D:D,MATCH(A2358,atlas!C:C,0)),"")</f>
        <v/>
      </c>
      <c r="E2358" s="8" t="str">
        <f t="array" ref="E2358">IFERROR(INDEX(atlas!F:F,MATCH(A2358,atlas!C:C,0)),"")</f>
        <v/>
      </c>
      <c r="F2358" s="9"/>
      <c r="G2358" s="10"/>
      <c r="H2358" s="11"/>
      <c r="I2358" s="12" t="str">
        <f t="array" ref="I2358">IFERROR(INDEX(atlas!B:B,MATCH(A2358,atlas!C:C,0)),"")</f>
        <v/>
      </c>
      <c r="J2358" s="8" t="str">
        <f>IFERROR(VLOOKUP(F2358,tecnica!A:B,2,0),"")</f>
        <v/>
      </c>
      <c r="K2358" s="8" t="str">
        <f>IFERROR(VLOOKUP(J2358,tecnica!B:C,2,0),"")</f>
        <v/>
      </c>
      <c r="L2358" s="13"/>
      <c r="M2358" s="14" t="str">
        <f>IFERROR(VLOOKUP(I2358,material!A:D,4,0),"")</f>
        <v/>
      </c>
      <c r="N2358" s="14" t="str">
        <f t="shared" si="1"/>
        <v/>
      </c>
      <c r="O2358" s="15" t="str">
        <f>IFERROR(VLOOKUP(I2358,material!A:D,2,0),"")</f>
        <v/>
      </c>
    </row>
    <row r="2359">
      <c r="A2359" s="6"/>
      <c r="B2359" s="7"/>
      <c r="C2359" s="8" t="str">
        <f t="array" ref="C2359">IFERROR(INDEX(atlas!H:H,MATCH(A2359,atlas!C:C,0)),"")</f>
        <v/>
      </c>
      <c r="D2359" s="8" t="str">
        <f t="array" ref="D2359">IFERROR(INDEX(atlas!D:D,MATCH(A2359,atlas!C:C,0)),"")</f>
        <v/>
      </c>
      <c r="E2359" s="8" t="str">
        <f t="array" ref="E2359">IFERROR(INDEX(atlas!F:F,MATCH(A2359,atlas!C:C,0)),"")</f>
        <v/>
      </c>
      <c r="F2359" s="9"/>
      <c r="G2359" s="10"/>
      <c r="H2359" s="11"/>
      <c r="I2359" s="12" t="str">
        <f t="array" ref="I2359">IFERROR(INDEX(atlas!B:B,MATCH(A2359,atlas!C:C,0)),"")</f>
        <v/>
      </c>
      <c r="J2359" s="8" t="str">
        <f>IFERROR(VLOOKUP(F2359,tecnica!A:B,2,0),"")</f>
        <v/>
      </c>
      <c r="K2359" s="8" t="str">
        <f>IFERROR(VLOOKUP(J2359,tecnica!B:C,2,0),"")</f>
        <v/>
      </c>
      <c r="L2359" s="13"/>
      <c r="M2359" s="14" t="str">
        <f>IFERROR(VLOOKUP(I2359,material!A:D,4,0),"")</f>
        <v/>
      </c>
      <c r="N2359" s="14" t="str">
        <f t="shared" si="1"/>
        <v/>
      </c>
      <c r="O2359" s="15" t="str">
        <f>IFERROR(VLOOKUP(I2359,material!A:D,2,0),"")</f>
        <v/>
      </c>
    </row>
    <row r="2360">
      <c r="A2360" s="6"/>
      <c r="B2360" s="7"/>
      <c r="C2360" s="8" t="str">
        <f t="array" ref="C2360">IFERROR(INDEX(atlas!H:H,MATCH(A2360,atlas!C:C,0)),"")</f>
        <v/>
      </c>
      <c r="D2360" s="8" t="str">
        <f t="array" ref="D2360">IFERROR(INDEX(atlas!D:D,MATCH(A2360,atlas!C:C,0)),"")</f>
        <v/>
      </c>
      <c r="E2360" s="8" t="str">
        <f t="array" ref="E2360">IFERROR(INDEX(atlas!F:F,MATCH(A2360,atlas!C:C,0)),"")</f>
        <v/>
      </c>
      <c r="F2360" s="9"/>
      <c r="G2360" s="10"/>
      <c r="H2360" s="11"/>
      <c r="I2360" s="12" t="str">
        <f t="array" ref="I2360">IFERROR(INDEX(atlas!B:B,MATCH(A2360,atlas!C:C,0)),"")</f>
        <v/>
      </c>
      <c r="J2360" s="8" t="str">
        <f>IFERROR(VLOOKUP(F2360,tecnica!A:B,2,0),"")</f>
        <v/>
      </c>
      <c r="K2360" s="8" t="str">
        <f>IFERROR(VLOOKUP(J2360,tecnica!B:C,2,0),"")</f>
        <v/>
      </c>
      <c r="L2360" s="13"/>
      <c r="M2360" s="14" t="str">
        <f>IFERROR(VLOOKUP(I2360,material!A:D,4,0),"")</f>
        <v/>
      </c>
      <c r="N2360" s="14" t="str">
        <f t="shared" si="1"/>
        <v/>
      </c>
      <c r="O2360" s="15" t="str">
        <f>IFERROR(VLOOKUP(I2360,material!A:D,2,0),"")</f>
        <v/>
      </c>
    </row>
    <row r="2361">
      <c r="A2361" s="6"/>
      <c r="B2361" s="7"/>
      <c r="C2361" s="8" t="str">
        <f t="array" ref="C2361">IFERROR(INDEX(atlas!H:H,MATCH(A2361,atlas!C:C,0)),"")</f>
        <v/>
      </c>
      <c r="D2361" s="8" t="str">
        <f t="array" ref="D2361">IFERROR(INDEX(atlas!D:D,MATCH(A2361,atlas!C:C,0)),"")</f>
        <v/>
      </c>
      <c r="E2361" s="8" t="str">
        <f t="array" ref="E2361">IFERROR(INDEX(atlas!F:F,MATCH(A2361,atlas!C:C,0)),"")</f>
        <v/>
      </c>
      <c r="F2361" s="9"/>
      <c r="G2361" s="10"/>
      <c r="H2361" s="11"/>
      <c r="I2361" s="12" t="str">
        <f t="array" ref="I2361">IFERROR(INDEX(atlas!B:B,MATCH(A2361,atlas!C:C,0)),"")</f>
        <v/>
      </c>
      <c r="J2361" s="8" t="str">
        <f>IFERROR(VLOOKUP(F2361,tecnica!A:B,2,0),"")</f>
        <v/>
      </c>
      <c r="K2361" s="8" t="str">
        <f>IFERROR(VLOOKUP(J2361,tecnica!B:C,2,0),"")</f>
        <v/>
      </c>
      <c r="L2361" s="13"/>
      <c r="M2361" s="14" t="str">
        <f>IFERROR(VLOOKUP(I2361,material!A:D,4,0),"")</f>
        <v/>
      </c>
      <c r="N2361" s="14" t="str">
        <f t="shared" si="1"/>
        <v/>
      </c>
      <c r="O2361" s="15" t="str">
        <f>IFERROR(VLOOKUP(I2361,material!A:D,2,0),"")</f>
        <v/>
      </c>
    </row>
    <row r="2362">
      <c r="A2362" s="6"/>
      <c r="B2362" s="7"/>
      <c r="C2362" s="8" t="str">
        <f t="array" ref="C2362">IFERROR(INDEX(atlas!H:H,MATCH(A2362,atlas!C:C,0)),"")</f>
        <v/>
      </c>
      <c r="D2362" s="8" t="str">
        <f t="array" ref="D2362">IFERROR(INDEX(atlas!D:D,MATCH(A2362,atlas!C:C,0)),"")</f>
        <v/>
      </c>
      <c r="E2362" s="8" t="str">
        <f t="array" ref="E2362">IFERROR(INDEX(atlas!F:F,MATCH(A2362,atlas!C:C,0)),"")</f>
        <v/>
      </c>
      <c r="F2362" s="9"/>
      <c r="G2362" s="10"/>
      <c r="H2362" s="11"/>
      <c r="I2362" s="12" t="str">
        <f t="array" ref="I2362">IFERROR(INDEX(atlas!B:B,MATCH(A2362,atlas!C:C,0)),"")</f>
        <v/>
      </c>
      <c r="J2362" s="8" t="str">
        <f>IFERROR(VLOOKUP(F2362,tecnica!A:B,2,0),"")</f>
        <v/>
      </c>
      <c r="K2362" s="8" t="str">
        <f>IFERROR(VLOOKUP(J2362,tecnica!B:C,2,0),"")</f>
        <v/>
      </c>
      <c r="L2362" s="13"/>
      <c r="M2362" s="14" t="str">
        <f>IFERROR(VLOOKUP(I2362,material!A:D,4,0),"")</f>
        <v/>
      </c>
      <c r="N2362" s="14" t="str">
        <f t="shared" si="1"/>
        <v/>
      </c>
      <c r="O2362" s="15" t="str">
        <f>IFERROR(VLOOKUP(I2362,material!A:D,2,0),"")</f>
        <v/>
      </c>
    </row>
    <row r="2363">
      <c r="A2363" s="6"/>
      <c r="B2363" s="7"/>
      <c r="C2363" s="8" t="str">
        <f t="array" ref="C2363">IFERROR(INDEX(atlas!H:H,MATCH(A2363,atlas!C:C,0)),"")</f>
        <v/>
      </c>
      <c r="D2363" s="8" t="str">
        <f t="array" ref="D2363">IFERROR(INDEX(atlas!D:D,MATCH(A2363,atlas!C:C,0)),"")</f>
        <v/>
      </c>
      <c r="E2363" s="8" t="str">
        <f t="array" ref="E2363">IFERROR(INDEX(atlas!F:F,MATCH(A2363,atlas!C:C,0)),"")</f>
        <v/>
      </c>
      <c r="F2363" s="9"/>
      <c r="G2363" s="10"/>
      <c r="H2363" s="11"/>
      <c r="I2363" s="12" t="str">
        <f t="array" ref="I2363">IFERROR(INDEX(atlas!B:B,MATCH(A2363,atlas!C:C,0)),"")</f>
        <v/>
      </c>
      <c r="J2363" s="8" t="str">
        <f>IFERROR(VLOOKUP(F2363,tecnica!A:B,2,0),"")</f>
        <v/>
      </c>
      <c r="K2363" s="8" t="str">
        <f>IFERROR(VLOOKUP(J2363,tecnica!B:C,2,0),"")</f>
        <v/>
      </c>
      <c r="L2363" s="13"/>
      <c r="M2363" s="14" t="str">
        <f>IFERROR(VLOOKUP(I2363,material!A:D,4,0),"")</f>
        <v/>
      </c>
      <c r="N2363" s="14" t="str">
        <f t="shared" si="1"/>
        <v/>
      </c>
      <c r="O2363" s="15" t="str">
        <f>IFERROR(VLOOKUP(I2363,material!A:D,2,0),"")</f>
        <v/>
      </c>
    </row>
    <row r="2364">
      <c r="A2364" s="6"/>
      <c r="B2364" s="7"/>
      <c r="C2364" s="8" t="str">
        <f t="array" ref="C2364">IFERROR(INDEX(atlas!H:H,MATCH(A2364,atlas!C:C,0)),"")</f>
        <v/>
      </c>
      <c r="D2364" s="8" t="str">
        <f t="array" ref="D2364">IFERROR(INDEX(atlas!D:D,MATCH(A2364,atlas!C:C,0)),"")</f>
        <v/>
      </c>
      <c r="E2364" s="8" t="str">
        <f t="array" ref="E2364">IFERROR(INDEX(atlas!F:F,MATCH(A2364,atlas!C:C,0)),"")</f>
        <v/>
      </c>
      <c r="F2364" s="9"/>
      <c r="G2364" s="10"/>
      <c r="H2364" s="11"/>
      <c r="I2364" s="12" t="str">
        <f t="array" ref="I2364">IFERROR(INDEX(atlas!B:B,MATCH(A2364,atlas!C:C,0)),"")</f>
        <v/>
      </c>
      <c r="J2364" s="8" t="str">
        <f>IFERROR(VLOOKUP(F2364,tecnica!A:B,2,0),"")</f>
        <v/>
      </c>
      <c r="K2364" s="8" t="str">
        <f>IFERROR(VLOOKUP(J2364,tecnica!B:C,2,0),"")</f>
        <v/>
      </c>
      <c r="L2364" s="13"/>
      <c r="M2364" s="14" t="str">
        <f>IFERROR(VLOOKUP(I2364,material!A:D,4,0),"")</f>
        <v/>
      </c>
      <c r="N2364" s="14" t="str">
        <f t="shared" si="1"/>
        <v/>
      </c>
      <c r="O2364" s="15" t="str">
        <f>IFERROR(VLOOKUP(I2364,material!A:D,2,0),"")</f>
        <v/>
      </c>
    </row>
    <row r="2365">
      <c r="A2365" s="6"/>
      <c r="B2365" s="7"/>
      <c r="C2365" s="8" t="str">
        <f t="array" ref="C2365">IFERROR(INDEX(atlas!H:H,MATCH(A2365,atlas!C:C,0)),"")</f>
        <v/>
      </c>
      <c r="D2365" s="8" t="str">
        <f t="array" ref="D2365">IFERROR(INDEX(atlas!D:D,MATCH(A2365,atlas!C:C,0)),"")</f>
        <v/>
      </c>
      <c r="E2365" s="8" t="str">
        <f t="array" ref="E2365">IFERROR(INDEX(atlas!F:F,MATCH(A2365,atlas!C:C,0)),"")</f>
        <v/>
      </c>
      <c r="F2365" s="9"/>
      <c r="G2365" s="10"/>
      <c r="H2365" s="11"/>
      <c r="I2365" s="12" t="str">
        <f t="array" ref="I2365">IFERROR(INDEX(atlas!B:B,MATCH(A2365,atlas!C:C,0)),"")</f>
        <v/>
      </c>
      <c r="J2365" s="8" t="str">
        <f>IFERROR(VLOOKUP(F2365,tecnica!A:B,2,0),"")</f>
        <v/>
      </c>
      <c r="K2365" s="8" t="str">
        <f>IFERROR(VLOOKUP(J2365,tecnica!B:C,2,0),"")</f>
        <v/>
      </c>
      <c r="L2365" s="13"/>
      <c r="M2365" s="14" t="str">
        <f>IFERROR(VLOOKUP(I2365,material!A:D,4,0),"")</f>
        <v/>
      </c>
      <c r="N2365" s="14" t="str">
        <f t="shared" si="1"/>
        <v/>
      </c>
      <c r="O2365" s="15" t="str">
        <f>IFERROR(VLOOKUP(I2365,material!A:D,2,0),"")</f>
        <v/>
      </c>
    </row>
    <row r="2366">
      <c r="A2366" s="6"/>
      <c r="B2366" s="7"/>
      <c r="C2366" s="8" t="str">
        <f t="array" ref="C2366">IFERROR(INDEX(atlas!H:H,MATCH(A2366,atlas!C:C,0)),"")</f>
        <v/>
      </c>
      <c r="D2366" s="8" t="str">
        <f t="array" ref="D2366">IFERROR(INDEX(atlas!D:D,MATCH(A2366,atlas!C:C,0)),"")</f>
        <v/>
      </c>
      <c r="E2366" s="8" t="str">
        <f t="array" ref="E2366">IFERROR(INDEX(atlas!F:F,MATCH(A2366,atlas!C:C,0)),"")</f>
        <v/>
      </c>
      <c r="F2366" s="9"/>
      <c r="G2366" s="10"/>
      <c r="H2366" s="11"/>
      <c r="I2366" s="12" t="str">
        <f t="array" ref="I2366">IFERROR(INDEX(atlas!B:B,MATCH(A2366,atlas!C:C,0)),"")</f>
        <v/>
      </c>
      <c r="J2366" s="8" t="str">
        <f>IFERROR(VLOOKUP(F2366,tecnica!A:B,2,0),"")</f>
        <v/>
      </c>
      <c r="K2366" s="8" t="str">
        <f>IFERROR(VLOOKUP(J2366,tecnica!B:C,2,0),"")</f>
        <v/>
      </c>
      <c r="L2366" s="13"/>
      <c r="M2366" s="14" t="str">
        <f>IFERROR(VLOOKUP(I2366,material!A:D,4,0),"")</f>
        <v/>
      </c>
      <c r="N2366" s="14" t="str">
        <f t="shared" si="1"/>
        <v/>
      </c>
      <c r="O2366" s="15" t="str">
        <f>IFERROR(VLOOKUP(I2366,material!A:D,2,0),"")</f>
        <v/>
      </c>
    </row>
    <row r="2367">
      <c r="A2367" s="6"/>
      <c r="B2367" s="7"/>
      <c r="C2367" s="8" t="str">
        <f t="array" ref="C2367">IFERROR(INDEX(atlas!H:H,MATCH(A2367,atlas!C:C,0)),"")</f>
        <v/>
      </c>
      <c r="D2367" s="8" t="str">
        <f t="array" ref="D2367">IFERROR(INDEX(atlas!D:D,MATCH(A2367,atlas!C:C,0)),"")</f>
        <v/>
      </c>
      <c r="E2367" s="8" t="str">
        <f t="array" ref="E2367">IFERROR(INDEX(atlas!F:F,MATCH(A2367,atlas!C:C,0)),"")</f>
        <v/>
      </c>
      <c r="F2367" s="9"/>
      <c r="G2367" s="10"/>
      <c r="H2367" s="11"/>
      <c r="I2367" s="12" t="str">
        <f t="array" ref="I2367">IFERROR(INDEX(atlas!B:B,MATCH(A2367,atlas!C:C,0)),"")</f>
        <v/>
      </c>
      <c r="J2367" s="8" t="str">
        <f>IFERROR(VLOOKUP(F2367,tecnica!A:B,2,0),"")</f>
        <v/>
      </c>
      <c r="K2367" s="8" t="str">
        <f>IFERROR(VLOOKUP(J2367,tecnica!B:C,2,0),"")</f>
        <v/>
      </c>
      <c r="L2367" s="13"/>
      <c r="M2367" s="14" t="str">
        <f>IFERROR(VLOOKUP(I2367,material!A:D,4,0),"")</f>
        <v/>
      </c>
      <c r="N2367" s="14" t="str">
        <f t="shared" si="1"/>
        <v/>
      </c>
      <c r="O2367" s="15" t="str">
        <f>IFERROR(VLOOKUP(I2367,material!A:D,2,0),"")</f>
        <v/>
      </c>
    </row>
    <row r="2368">
      <c r="A2368" s="6"/>
      <c r="B2368" s="7"/>
      <c r="C2368" s="8" t="str">
        <f t="array" ref="C2368">IFERROR(INDEX(atlas!H:H,MATCH(A2368,atlas!C:C,0)),"")</f>
        <v/>
      </c>
      <c r="D2368" s="8" t="str">
        <f t="array" ref="D2368">IFERROR(INDEX(atlas!D:D,MATCH(A2368,atlas!C:C,0)),"")</f>
        <v/>
      </c>
      <c r="E2368" s="8" t="str">
        <f t="array" ref="E2368">IFERROR(INDEX(atlas!F:F,MATCH(A2368,atlas!C:C,0)),"")</f>
        <v/>
      </c>
      <c r="F2368" s="9"/>
      <c r="G2368" s="10"/>
      <c r="H2368" s="11"/>
      <c r="I2368" s="12" t="str">
        <f t="array" ref="I2368">IFERROR(INDEX(atlas!B:B,MATCH(A2368,atlas!C:C,0)),"")</f>
        <v/>
      </c>
      <c r="J2368" s="8" t="str">
        <f>IFERROR(VLOOKUP(F2368,tecnica!A:B,2,0),"")</f>
        <v/>
      </c>
      <c r="K2368" s="8" t="str">
        <f>IFERROR(VLOOKUP(J2368,tecnica!B:C,2,0),"")</f>
        <v/>
      </c>
      <c r="L2368" s="13"/>
      <c r="M2368" s="14" t="str">
        <f>IFERROR(VLOOKUP(I2368,material!A:D,4,0),"")</f>
        <v/>
      </c>
      <c r="N2368" s="14" t="str">
        <f t="shared" si="1"/>
        <v/>
      </c>
      <c r="O2368" s="15" t="str">
        <f>IFERROR(VLOOKUP(I2368,material!A:D,2,0),"")</f>
        <v/>
      </c>
    </row>
    <row r="2369">
      <c r="A2369" s="6"/>
      <c r="B2369" s="7"/>
      <c r="C2369" s="8" t="str">
        <f t="array" ref="C2369">IFERROR(INDEX(atlas!H:H,MATCH(A2369,atlas!C:C,0)),"")</f>
        <v/>
      </c>
      <c r="D2369" s="8" t="str">
        <f t="array" ref="D2369">IFERROR(INDEX(atlas!D:D,MATCH(A2369,atlas!C:C,0)),"")</f>
        <v/>
      </c>
      <c r="E2369" s="8" t="str">
        <f t="array" ref="E2369">IFERROR(INDEX(atlas!F:F,MATCH(A2369,atlas!C:C,0)),"")</f>
        <v/>
      </c>
      <c r="F2369" s="9"/>
      <c r="G2369" s="10"/>
      <c r="H2369" s="11"/>
      <c r="I2369" s="12" t="str">
        <f t="array" ref="I2369">IFERROR(INDEX(atlas!B:B,MATCH(A2369,atlas!C:C,0)),"")</f>
        <v/>
      </c>
      <c r="J2369" s="8" t="str">
        <f>IFERROR(VLOOKUP(F2369,tecnica!A:B,2,0),"")</f>
        <v/>
      </c>
      <c r="K2369" s="8" t="str">
        <f>IFERROR(VLOOKUP(J2369,tecnica!B:C,2,0),"")</f>
        <v/>
      </c>
      <c r="L2369" s="13"/>
      <c r="M2369" s="14" t="str">
        <f>IFERROR(VLOOKUP(I2369,material!A:D,4,0),"")</f>
        <v/>
      </c>
      <c r="N2369" s="14" t="str">
        <f t="shared" si="1"/>
        <v/>
      </c>
      <c r="O2369" s="15" t="str">
        <f>IFERROR(VLOOKUP(I2369,material!A:D,2,0),"")</f>
        <v/>
      </c>
    </row>
    <row r="2370">
      <c r="A2370" s="6"/>
      <c r="B2370" s="7"/>
      <c r="C2370" s="8" t="str">
        <f t="array" ref="C2370">IFERROR(INDEX(atlas!H:H,MATCH(A2370,atlas!C:C,0)),"")</f>
        <v/>
      </c>
      <c r="D2370" s="8" t="str">
        <f t="array" ref="D2370">IFERROR(INDEX(atlas!D:D,MATCH(A2370,atlas!C:C,0)),"")</f>
        <v/>
      </c>
      <c r="E2370" s="8" t="str">
        <f t="array" ref="E2370">IFERROR(INDEX(atlas!F:F,MATCH(A2370,atlas!C:C,0)),"")</f>
        <v/>
      </c>
      <c r="F2370" s="9"/>
      <c r="G2370" s="10"/>
      <c r="H2370" s="11"/>
      <c r="I2370" s="12" t="str">
        <f t="array" ref="I2370">IFERROR(INDEX(atlas!B:B,MATCH(A2370,atlas!C:C,0)),"")</f>
        <v/>
      </c>
      <c r="J2370" s="8" t="str">
        <f>IFERROR(VLOOKUP(F2370,tecnica!A:B,2,0),"")</f>
        <v/>
      </c>
      <c r="K2370" s="8" t="str">
        <f>IFERROR(VLOOKUP(J2370,tecnica!B:C,2,0),"")</f>
        <v/>
      </c>
      <c r="L2370" s="13"/>
      <c r="M2370" s="14" t="str">
        <f>IFERROR(VLOOKUP(I2370,material!A:D,4,0),"")</f>
        <v/>
      </c>
      <c r="N2370" s="14" t="str">
        <f t="shared" si="1"/>
        <v/>
      </c>
      <c r="O2370" s="15" t="str">
        <f>IFERROR(VLOOKUP(I2370,material!A:D,2,0),"")</f>
        <v/>
      </c>
    </row>
    <row r="2371">
      <c r="A2371" s="6"/>
      <c r="B2371" s="7"/>
      <c r="C2371" s="8" t="str">
        <f t="array" ref="C2371">IFERROR(INDEX(atlas!H:H,MATCH(A2371,atlas!C:C,0)),"")</f>
        <v/>
      </c>
      <c r="D2371" s="8" t="str">
        <f t="array" ref="D2371">IFERROR(INDEX(atlas!D:D,MATCH(A2371,atlas!C:C,0)),"")</f>
        <v/>
      </c>
      <c r="E2371" s="8" t="str">
        <f t="array" ref="E2371">IFERROR(INDEX(atlas!F:F,MATCH(A2371,atlas!C:C,0)),"")</f>
        <v/>
      </c>
      <c r="F2371" s="9"/>
      <c r="G2371" s="10"/>
      <c r="H2371" s="11"/>
      <c r="I2371" s="12" t="str">
        <f t="array" ref="I2371">IFERROR(INDEX(atlas!B:B,MATCH(A2371,atlas!C:C,0)),"")</f>
        <v/>
      </c>
      <c r="J2371" s="8" t="str">
        <f>IFERROR(VLOOKUP(F2371,tecnica!A:B,2,0),"")</f>
        <v/>
      </c>
      <c r="K2371" s="8" t="str">
        <f>IFERROR(VLOOKUP(J2371,tecnica!B:C,2,0),"")</f>
        <v/>
      </c>
      <c r="L2371" s="13"/>
      <c r="M2371" s="14" t="str">
        <f>IFERROR(VLOOKUP(I2371,material!A:D,4,0),"")</f>
        <v/>
      </c>
      <c r="N2371" s="14" t="str">
        <f t="shared" si="1"/>
        <v/>
      </c>
      <c r="O2371" s="15" t="str">
        <f>IFERROR(VLOOKUP(I2371,material!A:D,2,0),"")</f>
        <v/>
      </c>
    </row>
    <row r="2372">
      <c r="A2372" s="6"/>
      <c r="B2372" s="7"/>
      <c r="C2372" s="8" t="str">
        <f t="array" ref="C2372">IFERROR(INDEX(atlas!H:H,MATCH(A2372,atlas!C:C,0)),"")</f>
        <v/>
      </c>
      <c r="D2372" s="8" t="str">
        <f t="array" ref="D2372">IFERROR(INDEX(atlas!D:D,MATCH(A2372,atlas!C:C,0)),"")</f>
        <v/>
      </c>
      <c r="E2372" s="8" t="str">
        <f t="array" ref="E2372">IFERROR(INDEX(atlas!F:F,MATCH(A2372,atlas!C:C,0)),"")</f>
        <v/>
      </c>
      <c r="F2372" s="9"/>
      <c r="G2372" s="10"/>
      <c r="H2372" s="11"/>
      <c r="I2372" s="12" t="str">
        <f t="array" ref="I2372">IFERROR(INDEX(atlas!B:B,MATCH(A2372,atlas!C:C,0)),"")</f>
        <v/>
      </c>
      <c r="J2372" s="8" t="str">
        <f>IFERROR(VLOOKUP(F2372,tecnica!A:B,2,0),"")</f>
        <v/>
      </c>
      <c r="K2372" s="8" t="str">
        <f>IFERROR(VLOOKUP(J2372,tecnica!B:C,2,0),"")</f>
        <v/>
      </c>
      <c r="L2372" s="13"/>
      <c r="M2372" s="14" t="str">
        <f>IFERROR(VLOOKUP(I2372,material!A:D,4,0),"")</f>
        <v/>
      </c>
      <c r="N2372" s="14" t="str">
        <f t="shared" si="1"/>
        <v/>
      </c>
      <c r="O2372" s="15" t="str">
        <f>IFERROR(VLOOKUP(I2372,material!A:D,2,0),"")</f>
        <v/>
      </c>
    </row>
    <row r="2373">
      <c r="A2373" s="6"/>
      <c r="B2373" s="7"/>
      <c r="C2373" s="8" t="str">
        <f t="array" ref="C2373">IFERROR(INDEX(atlas!H:H,MATCH(A2373,atlas!C:C,0)),"")</f>
        <v/>
      </c>
      <c r="D2373" s="8" t="str">
        <f t="array" ref="D2373">IFERROR(INDEX(atlas!D:D,MATCH(A2373,atlas!C:C,0)),"")</f>
        <v/>
      </c>
      <c r="E2373" s="8" t="str">
        <f t="array" ref="E2373">IFERROR(INDEX(atlas!F:F,MATCH(A2373,atlas!C:C,0)),"")</f>
        <v/>
      </c>
      <c r="F2373" s="9"/>
      <c r="G2373" s="10"/>
      <c r="H2373" s="11"/>
      <c r="I2373" s="12" t="str">
        <f t="array" ref="I2373">IFERROR(INDEX(atlas!B:B,MATCH(A2373,atlas!C:C,0)),"")</f>
        <v/>
      </c>
      <c r="J2373" s="8" t="str">
        <f>IFERROR(VLOOKUP(F2373,tecnica!A:B,2,0),"")</f>
        <v/>
      </c>
      <c r="K2373" s="8" t="str">
        <f>IFERROR(VLOOKUP(J2373,tecnica!B:C,2,0),"")</f>
        <v/>
      </c>
      <c r="L2373" s="13"/>
      <c r="M2373" s="14" t="str">
        <f>IFERROR(VLOOKUP(I2373,material!A:D,4,0),"")</f>
        <v/>
      </c>
      <c r="N2373" s="14" t="str">
        <f t="shared" si="1"/>
        <v/>
      </c>
      <c r="O2373" s="15" t="str">
        <f>IFERROR(VLOOKUP(I2373,material!A:D,2,0),"")</f>
        <v/>
      </c>
    </row>
    <row r="2374">
      <c r="A2374" s="6"/>
      <c r="B2374" s="7"/>
      <c r="C2374" s="8" t="str">
        <f t="array" ref="C2374">IFERROR(INDEX(atlas!H:H,MATCH(A2374,atlas!C:C,0)),"")</f>
        <v/>
      </c>
      <c r="D2374" s="8" t="str">
        <f t="array" ref="D2374">IFERROR(INDEX(atlas!D:D,MATCH(A2374,atlas!C:C,0)),"")</f>
        <v/>
      </c>
      <c r="E2374" s="8" t="str">
        <f t="array" ref="E2374">IFERROR(INDEX(atlas!F:F,MATCH(A2374,atlas!C:C,0)),"")</f>
        <v/>
      </c>
      <c r="F2374" s="9"/>
      <c r="G2374" s="10"/>
      <c r="H2374" s="11"/>
      <c r="I2374" s="12" t="str">
        <f t="array" ref="I2374">IFERROR(INDEX(atlas!B:B,MATCH(A2374,atlas!C:C,0)),"")</f>
        <v/>
      </c>
      <c r="J2374" s="8" t="str">
        <f>IFERROR(VLOOKUP(F2374,tecnica!A:B,2,0),"")</f>
        <v/>
      </c>
      <c r="K2374" s="8" t="str">
        <f>IFERROR(VLOOKUP(J2374,tecnica!B:C,2,0),"")</f>
        <v/>
      </c>
      <c r="L2374" s="13"/>
      <c r="M2374" s="14" t="str">
        <f>IFERROR(VLOOKUP(I2374,material!A:D,4,0),"")</f>
        <v/>
      </c>
      <c r="N2374" s="14" t="str">
        <f t="shared" si="1"/>
        <v/>
      </c>
      <c r="O2374" s="15" t="str">
        <f>IFERROR(VLOOKUP(I2374,material!A:D,2,0),"")</f>
        <v/>
      </c>
    </row>
    <row r="2375">
      <c r="A2375" s="6"/>
      <c r="B2375" s="7"/>
      <c r="C2375" s="8" t="str">
        <f t="array" ref="C2375">IFERROR(INDEX(atlas!H:H,MATCH(A2375,atlas!C:C,0)),"")</f>
        <v/>
      </c>
      <c r="D2375" s="8" t="str">
        <f t="array" ref="D2375">IFERROR(INDEX(atlas!D:D,MATCH(A2375,atlas!C:C,0)),"")</f>
        <v/>
      </c>
      <c r="E2375" s="8" t="str">
        <f t="array" ref="E2375">IFERROR(INDEX(atlas!F:F,MATCH(A2375,atlas!C:C,0)),"")</f>
        <v/>
      </c>
      <c r="F2375" s="9"/>
      <c r="G2375" s="10"/>
      <c r="H2375" s="11"/>
      <c r="I2375" s="12" t="str">
        <f t="array" ref="I2375">IFERROR(INDEX(atlas!B:B,MATCH(A2375,atlas!C:C,0)),"")</f>
        <v/>
      </c>
      <c r="J2375" s="8" t="str">
        <f>IFERROR(VLOOKUP(F2375,tecnica!A:B,2,0),"")</f>
        <v/>
      </c>
      <c r="K2375" s="8" t="str">
        <f>IFERROR(VLOOKUP(J2375,tecnica!B:C,2,0),"")</f>
        <v/>
      </c>
      <c r="L2375" s="13"/>
      <c r="M2375" s="14" t="str">
        <f>IFERROR(VLOOKUP(I2375,material!A:D,4,0),"")</f>
        <v/>
      </c>
      <c r="N2375" s="14" t="str">
        <f t="shared" si="1"/>
        <v/>
      </c>
      <c r="O2375" s="15" t="str">
        <f>IFERROR(VLOOKUP(I2375,material!A:D,2,0),"")</f>
        <v/>
      </c>
    </row>
    <row r="2376">
      <c r="A2376" s="6"/>
      <c r="B2376" s="7"/>
      <c r="C2376" s="8" t="str">
        <f t="array" ref="C2376">IFERROR(INDEX(atlas!H:H,MATCH(A2376,atlas!C:C,0)),"")</f>
        <v/>
      </c>
      <c r="D2376" s="8" t="str">
        <f t="array" ref="D2376">IFERROR(INDEX(atlas!D:D,MATCH(A2376,atlas!C:C,0)),"")</f>
        <v/>
      </c>
      <c r="E2376" s="8" t="str">
        <f t="array" ref="E2376">IFERROR(INDEX(atlas!F:F,MATCH(A2376,atlas!C:C,0)),"")</f>
        <v/>
      </c>
      <c r="F2376" s="9"/>
      <c r="G2376" s="10"/>
      <c r="H2376" s="11"/>
      <c r="I2376" s="12" t="str">
        <f t="array" ref="I2376">IFERROR(INDEX(atlas!B:B,MATCH(A2376,atlas!C:C,0)),"")</f>
        <v/>
      </c>
      <c r="J2376" s="8" t="str">
        <f>IFERROR(VLOOKUP(F2376,tecnica!A:B,2,0),"")</f>
        <v/>
      </c>
      <c r="K2376" s="8" t="str">
        <f>IFERROR(VLOOKUP(J2376,tecnica!B:C,2,0),"")</f>
        <v/>
      </c>
      <c r="L2376" s="13"/>
      <c r="M2376" s="14" t="str">
        <f>IFERROR(VLOOKUP(I2376,material!A:D,4,0),"")</f>
        <v/>
      </c>
      <c r="N2376" s="14" t="str">
        <f t="shared" si="1"/>
        <v/>
      </c>
      <c r="O2376" s="15" t="str">
        <f>IFERROR(VLOOKUP(I2376,material!A:D,2,0),"")</f>
        <v/>
      </c>
    </row>
    <row r="2377">
      <c r="A2377" s="6"/>
      <c r="B2377" s="7"/>
      <c r="C2377" s="8" t="str">
        <f t="array" ref="C2377">IFERROR(INDEX(atlas!H:H,MATCH(A2377,atlas!C:C,0)),"")</f>
        <v/>
      </c>
      <c r="D2377" s="8" t="str">
        <f t="array" ref="D2377">IFERROR(INDEX(atlas!D:D,MATCH(A2377,atlas!C:C,0)),"")</f>
        <v/>
      </c>
      <c r="E2377" s="8" t="str">
        <f t="array" ref="E2377">IFERROR(INDEX(atlas!F:F,MATCH(A2377,atlas!C:C,0)),"")</f>
        <v/>
      </c>
      <c r="F2377" s="9"/>
      <c r="G2377" s="10"/>
      <c r="H2377" s="11"/>
      <c r="I2377" s="12" t="str">
        <f t="array" ref="I2377">IFERROR(INDEX(atlas!B:B,MATCH(A2377,atlas!C:C,0)),"")</f>
        <v/>
      </c>
      <c r="J2377" s="8" t="str">
        <f>IFERROR(VLOOKUP(F2377,tecnica!A:B,2,0),"")</f>
        <v/>
      </c>
      <c r="K2377" s="8" t="str">
        <f>IFERROR(VLOOKUP(J2377,tecnica!B:C,2,0),"")</f>
        <v/>
      </c>
      <c r="L2377" s="13"/>
      <c r="M2377" s="14" t="str">
        <f>IFERROR(VLOOKUP(I2377,material!A:D,4,0),"")</f>
        <v/>
      </c>
      <c r="N2377" s="14" t="str">
        <f t="shared" si="1"/>
        <v/>
      </c>
      <c r="O2377" s="15" t="str">
        <f>IFERROR(VLOOKUP(I2377,material!A:D,2,0),"")</f>
        <v/>
      </c>
    </row>
    <row r="2378">
      <c r="A2378" s="6"/>
      <c r="B2378" s="7"/>
      <c r="C2378" s="8" t="str">
        <f t="array" ref="C2378">IFERROR(INDEX(atlas!H:H,MATCH(A2378,atlas!C:C,0)),"")</f>
        <v/>
      </c>
      <c r="D2378" s="8" t="str">
        <f t="array" ref="D2378">IFERROR(INDEX(atlas!D:D,MATCH(A2378,atlas!C:C,0)),"")</f>
        <v/>
      </c>
      <c r="E2378" s="8" t="str">
        <f t="array" ref="E2378">IFERROR(INDEX(atlas!F:F,MATCH(A2378,atlas!C:C,0)),"")</f>
        <v/>
      </c>
      <c r="F2378" s="9"/>
      <c r="G2378" s="10"/>
      <c r="H2378" s="11"/>
      <c r="I2378" s="12" t="str">
        <f t="array" ref="I2378">IFERROR(INDEX(atlas!B:B,MATCH(A2378,atlas!C:C,0)),"")</f>
        <v/>
      </c>
      <c r="J2378" s="8" t="str">
        <f>IFERROR(VLOOKUP(F2378,tecnica!A:B,2,0),"")</f>
        <v/>
      </c>
      <c r="K2378" s="8" t="str">
        <f>IFERROR(VLOOKUP(J2378,tecnica!B:C,2,0),"")</f>
        <v/>
      </c>
      <c r="L2378" s="13"/>
      <c r="M2378" s="14" t="str">
        <f>IFERROR(VLOOKUP(I2378,material!A:D,4,0),"")</f>
        <v/>
      </c>
      <c r="N2378" s="14" t="str">
        <f t="shared" si="1"/>
        <v/>
      </c>
      <c r="O2378" s="15" t="str">
        <f>IFERROR(VLOOKUP(I2378,material!A:D,2,0),"")</f>
        <v/>
      </c>
    </row>
    <row r="2379">
      <c r="A2379" s="6"/>
      <c r="B2379" s="7"/>
      <c r="C2379" s="8" t="str">
        <f t="array" ref="C2379">IFERROR(INDEX(atlas!H:H,MATCH(A2379,atlas!C:C,0)),"")</f>
        <v/>
      </c>
      <c r="D2379" s="8" t="str">
        <f t="array" ref="D2379">IFERROR(INDEX(atlas!D:D,MATCH(A2379,atlas!C:C,0)),"")</f>
        <v/>
      </c>
      <c r="E2379" s="8" t="str">
        <f t="array" ref="E2379">IFERROR(INDEX(atlas!F:F,MATCH(A2379,atlas!C:C,0)),"")</f>
        <v/>
      </c>
      <c r="F2379" s="9"/>
      <c r="G2379" s="10"/>
      <c r="H2379" s="11"/>
      <c r="I2379" s="12" t="str">
        <f t="array" ref="I2379">IFERROR(INDEX(atlas!B:B,MATCH(A2379,atlas!C:C,0)),"")</f>
        <v/>
      </c>
      <c r="J2379" s="8" t="str">
        <f>IFERROR(VLOOKUP(F2379,tecnica!A:B,2,0),"")</f>
        <v/>
      </c>
      <c r="K2379" s="8" t="str">
        <f>IFERROR(VLOOKUP(J2379,tecnica!B:C,2,0),"")</f>
        <v/>
      </c>
      <c r="L2379" s="13"/>
      <c r="M2379" s="14" t="str">
        <f>IFERROR(VLOOKUP(I2379,material!A:D,4,0),"")</f>
        <v/>
      </c>
      <c r="N2379" s="14" t="str">
        <f t="shared" si="1"/>
        <v/>
      </c>
      <c r="O2379" s="15" t="str">
        <f>IFERROR(VLOOKUP(I2379,material!A:D,2,0),"")</f>
        <v/>
      </c>
    </row>
    <row r="2380">
      <c r="A2380" s="6"/>
      <c r="B2380" s="7"/>
      <c r="C2380" s="8" t="str">
        <f t="array" ref="C2380">IFERROR(INDEX(atlas!H:H,MATCH(A2380,atlas!C:C,0)),"")</f>
        <v/>
      </c>
      <c r="D2380" s="8" t="str">
        <f t="array" ref="D2380">IFERROR(INDEX(atlas!D:D,MATCH(A2380,atlas!C:C,0)),"")</f>
        <v/>
      </c>
      <c r="E2380" s="8" t="str">
        <f t="array" ref="E2380">IFERROR(INDEX(atlas!F:F,MATCH(A2380,atlas!C:C,0)),"")</f>
        <v/>
      </c>
      <c r="F2380" s="9"/>
      <c r="G2380" s="10"/>
      <c r="H2380" s="11"/>
      <c r="I2380" s="12" t="str">
        <f t="array" ref="I2380">IFERROR(INDEX(atlas!B:B,MATCH(A2380,atlas!C:C,0)),"")</f>
        <v/>
      </c>
      <c r="J2380" s="8" t="str">
        <f>IFERROR(VLOOKUP(F2380,tecnica!A:B,2,0),"")</f>
        <v/>
      </c>
      <c r="K2380" s="8" t="str">
        <f>IFERROR(VLOOKUP(J2380,tecnica!B:C,2,0),"")</f>
        <v/>
      </c>
      <c r="L2380" s="13"/>
      <c r="M2380" s="14" t="str">
        <f>IFERROR(VLOOKUP(I2380,material!A:D,4,0),"")</f>
        <v/>
      </c>
      <c r="N2380" s="14" t="str">
        <f t="shared" si="1"/>
        <v/>
      </c>
      <c r="O2380" s="15" t="str">
        <f>IFERROR(VLOOKUP(I2380,material!A:D,2,0),"")</f>
        <v/>
      </c>
    </row>
    <row r="2381">
      <c r="A2381" s="6"/>
      <c r="B2381" s="7"/>
      <c r="C2381" s="8" t="str">
        <f t="array" ref="C2381">IFERROR(INDEX(atlas!H:H,MATCH(A2381,atlas!C:C,0)),"")</f>
        <v/>
      </c>
      <c r="D2381" s="8" t="str">
        <f t="array" ref="D2381">IFERROR(INDEX(atlas!D:D,MATCH(A2381,atlas!C:C,0)),"")</f>
        <v/>
      </c>
      <c r="E2381" s="8" t="str">
        <f t="array" ref="E2381">IFERROR(INDEX(atlas!F:F,MATCH(A2381,atlas!C:C,0)),"")</f>
        <v/>
      </c>
      <c r="F2381" s="9"/>
      <c r="G2381" s="10"/>
      <c r="H2381" s="11"/>
      <c r="I2381" s="12" t="str">
        <f t="array" ref="I2381">IFERROR(INDEX(atlas!B:B,MATCH(A2381,atlas!C:C,0)),"")</f>
        <v/>
      </c>
      <c r="J2381" s="8" t="str">
        <f>IFERROR(VLOOKUP(F2381,tecnica!A:B,2,0),"")</f>
        <v/>
      </c>
      <c r="K2381" s="8" t="str">
        <f>IFERROR(VLOOKUP(J2381,tecnica!B:C,2,0),"")</f>
        <v/>
      </c>
      <c r="L2381" s="13"/>
      <c r="M2381" s="14" t="str">
        <f>IFERROR(VLOOKUP(I2381,material!A:D,4,0),"")</f>
        <v/>
      </c>
      <c r="N2381" s="14" t="str">
        <f t="shared" si="1"/>
        <v/>
      </c>
      <c r="O2381" s="15" t="str">
        <f>IFERROR(VLOOKUP(I2381,material!A:D,2,0),"")</f>
        <v/>
      </c>
    </row>
    <row r="2382">
      <c r="A2382" s="6"/>
      <c r="B2382" s="7"/>
      <c r="C2382" s="8" t="str">
        <f t="array" ref="C2382">IFERROR(INDEX(atlas!H:H,MATCH(A2382,atlas!C:C,0)),"")</f>
        <v/>
      </c>
      <c r="D2382" s="8" t="str">
        <f t="array" ref="D2382">IFERROR(INDEX(atlas!D:D,MATCH(A2382,atlas!C:C,0)),"")</f>
        <v/>
      </c>
      <c r="E2382" s="8" t="str">
        <f t="array" ref="E2382">IFERROR(INDEX(atlas!F:F,MATCH(A2382,atlas!C:C,0)),"")</f>
        <v/>
      </c>
      <c r="F2382" s="9"/>
      <c r="G2382" s="10"/>
      <c r="H2382" s="11"/>
      <c r="I2382" s="12" t="str">
        <f t="array" ref="I2382">IFERROR(INDEX(atlas!B:B,MATCH(A2382,atlas!C:C,0)),"")</f>
        <v/>
      </c>
      <c r="J2382" s="8" t="str">
        <f>IFERROR(VLOOKUP(F2382,tecnica!A:B,2,0),"")</f>
        <v/>
      </c>
      <c r="K2382" s="8" t="str">
        <f>IFERROR(VLOOKUP(J2382,tecnica!B:C,2,0),"")</f>
        <v/>
      </c>
      <c r="L2382" s="13"/>
      <c r="M2382" s="14" t="str">
        <f>IFERROR(VLOOKUP(I2382,material!A:D,4,0),"")</f>
        <v/>
      </c>
      <c r="N2382" s="14" t="str">
        <f t="shared" si="1"/>
        <v/>
      </c>
      <c r="O2382" s="15" t="str">
        <f>IFERROR(VLOOKUP(I2382,material!A:D,2,0),"")</f>
        <v/>
      </c>
    </row>
    <row r="2383">
      <c r="A2383" s="6"/>
      <c r="B2383" s="7"/>
      <c r="C2383" s="8" t="str">
        <f t="array" ref="C2383">IFERROR(INDEX(atlas!H:H,MATCH(A2383,atlas!C:C,0)),"")</f>
        <v/>
      </c>
      <c r="D2383" s="8" t="str">
        <f t="array" ref="D2383">IFERROR(INDEX(atlas!D:D,MATCH(A2383,atlas!C:C,0)),"")</f>
        <v/>
      </c>
      <c r="E2383" s="8" t="str">
        <f t="array" ref="E2383">IFERROR(INDEX(atlas!F:F,MATCH(A2383,atlas!C:C,0)),"")</f>
        <v/>
      </c>
      <c r="F2383" s="9"/>
      <c r="G2383" s="10"/>
      <c r="H2383" s="11"/>
      <c r="I2383" s="12" t="str">
        <f t="array" ref="I2383">IFERROR(INDEX(atlas!B:B,MATCH(A2383,atlas!C:C,0)),"")</f>
        <v/>
      </c>
      <c r="J2383" s="8" t="str">
        <f>IFERROR(VLOOKUP(F2383,tecnica!A:B,2,0),"")</f>
        <v/>
      </c>
      <c r="K2383" s="8" t="str">
        <f>IFERROR(VLOOKUP(J2383,tecnica!B:C,2,0),"")</f>
        <v/>
      </c>
      <c r="L2383" s="13"/>
      <c r="M2383" s="14" t="str">
        <f>IFERROR(VLOOKUP(I2383,material!A:D,4,0),"")</f>
        <v/>
      </c>
      <c r="N2383" s="14" t="str">
        <f t="shared" si="1"/>
        <v/>
      </c>
      <c r="O2383" s="15" t="str">
        <f>IFERROR(VLOOKUP(I2383,material!A:D,2,0),"")</f>
        <v/>
      </c>
    </row>
    <row r="2384">
      <c r="A2384" s="6"/>
      <c r="B2384" s="7"/>
      <c r="C2384" s="8" t="str">
        <f t="array" ref="C2384">IFERROR(INDEX(atlas!H:H,MATCH(A2384,atlas!C:C,0)),"")</f>
        <v/>
      </c>
      <c r="D2384" s="8" t="str">
        <f t="array" ref="D2384">IFERROR(INDEX(atlas!D:D,MATCH(A2384,atlas!C:C,0)),"")</f>
        <v/>
      </c>
      <c r="E2384" s="8" t="str">
        <f t="array" ref="E2384">IFERROR(INDEX(atlas!F:F,MATCH(A2384,atlas!C:C,0)),"")</f>
        <v/>
      </c>
      <c r="F2384" s="9"/>
      <c r="G2384" s="10"/>
      <c r="H2384" s="11"/>
      <c r="I2384" s="12" t="str">
        <f t="array" ref="I2384">IFERROR(INDEX(atlas!B:B,MATCH(A2384,atlas!C:C,0)),"")</f>
        <v/>
      </c>
      <c r="J2384" s="8" t="str">
        <f>IFERROR(VLOOKUP(F2384,tecnica!A:B,2,0),"")</f>
        <v/>
      </c>
      <c r="K2384" s="8" t="str">
        <f>IFERROR(VLOOKUP(J2384,tecnica!B:C,2,0),"")</f>
        <v/>
      </c>
      <c r="L2384" s="13"/>
      <c r="M2384" s="14" t="str">
        <f>IFERROR(VLOOKUP(I2384,material!A:D,4,0),"")</f>
        <v/>
      </c>
      <c r="N2384" s="14" t="str">
        <f t="shared" si="1"/>
        <v/>
      </c>
      <c r="O2384" s="15" t="str">
        <f>IFERROR(VLOOKUP(I2384,material!A:D,2,0),"")</f>
        <v/>
      </c>
    </row>
    <row r="2385">
      <c r="A2385" s="6"/>
      <c r="B2385" s="7"/>
      <c r="C2385" s="8" t="str">
        <f t="array" ref="C2385">IFERROR(INDEX(atlas!H:H,MATCH(A2385,atlas!C:C,0)),"")</f>
        <v/>
      </c>
      <c r="D2385" s="8" t="str">
        <f t="array" ref="D2385">IFERROR(INDEX(atlas!D:D,MATCH(A2385,atlas!C:C,0)),"")</f>
        <v/>
      </c>
      <c r="E2385" s="8" t="str">
        <f t="array" ref="E2385">IFERROR(INDEX(atlas!F:F,MATCH(A2385,atlas!C:C,0)),"")</f>
        <v/>
      </c>
      <c r="F2385" s="9"/>
      <c r="G2385" s="10"/>
      <c r="H2385" s="11"/>
      <c r="I2385" s="12" t="str">
        <f t="array" ref="I2385">IFERROR(INDEX(atlas!B:B,MATCH(A2385,atlas!C:C,0)),"")</f>
        <v/>
      </c>
      <c r="J2385" s="8" t="str">
        <f>IFERROR(VLOOKUP(F2385,tecnica!A:B,2,0),"")</f>
        <v/>
      </c>
      <c r="K2385" s="8" t="str">
        <f>IFERROR(VLOOKUP(J2385,tecnica!B:C,2,0),"")</f>
        <v/>
      </c>
      <c r="L2385" s="13"/>
      <c r="M2385" s="14" t="str">
        <f>IFERROR(VLOOKUP(I2385,material!A:D,4,0),"")</f>
        <v/>
      </c>
      <c r="N2385" s="14" t="str">
        <f t="shared" si="1"/>
        <v/>
      </c>
      <c r="O2385" s="15" t="str">
        <f>IFERROR(VLOOKUP(I2385,material!A:D,2,0),"")</f>
        <v/>
      </c>
    </row>
    <row r="2386">
      <c r="A2386" s="6"/>
      <c r="B2386" s="7"/>
      <c r="C2386" s="8" t="str">
        <f t="array" ref="C2386">IFERROR(INDEX(atlas!H:H,MATCH(A2386,atlas!C:C,0)),"")</f>
        <v/>
      </c>
      <c r="D2386" s="8" t="str">
        <f t="array" ref="D2386">IFERROR(INDEX(atlas!D:D,MATCH(A2386,atlas!C:C,0)),"")</f>
        <v/>
      </c>
      <c r="E2386" s="8" t="str">
        <f t="array" ref="E2386">IFERROR(INDEX(atlas!F:F,MATCH(A2386,atlas!C:C,0)),"")</f>
        <v/>
      </c>
      <c r="F2386" s="9"/>
      <c r="G2386" s="10"/>
      <c r="H2386" s="11"/>
      <c r="I2386" s="12" t="str">
        <f t="array" ref="I2386">IFERROR(INDEX(atlas!B:B,MATCH(A2386,atlas!C:C,0)),"")</f>
        <v/>
      </c>
      <c r="J2386" s="8" t="str">
        <f>IFERROR(VLOOKUP(F2386,tecnica!A:B,2,0),"")</f>
        <v/>
      </c>
      <c r="K2386" s="8" t="str">
        <f>IFERROR(VLOOKUP(J2386,tecnica!B:C,2,0),"")</f>
        <v/>
      </c>
      <c r="L2386" s="13"/>
      <c r="M2386" s="14" t="str">
        <f>IFERROR(VLOOKUP(I2386,material!A:D,4,0),"")</f>
        <v/>
      </c>
      <c r="N2386" s="14" t="str">
        <f t="shared" si="1"/>
        <v/>
      </c>
      <c r="O2386" s="15" t="str">
        <f>IFERROR(VLOOKUP(I2386,material!A:D,2,0),"")</f>
        <v/>
      </c>
    </row>
    <row r="2387">
      <c r="A2387" s="6"/>
      <c r="B2387" s="7"/>
      <c r="C2387" s="8" t="str">
        <f t="array" ref="C2387">IFERROR(INDEX(atlas!H:H,MATCH(A2387,atlas!C:C,0)),"")</f>
        <v/>
      </c>
      <c r="D2387" s="8" t="str">
        <f t="array" ref="D2387">IFERROR(INDEX(atlas!D:D,MATCH(A2387,atlas!C:C,0)),"")</f>
        <v/>
      </c>
      <c r="E2387" s="8" t="str">
        <f t="array" ref="E2387">IFERROR(INDEX(atlas!F:F,MATCH(A2387,atlas!C:C,0)),"")</f>
        <v/>
      </c>
      <c r="F2387" s="9"/>
      <c r="G2387" s="10"/>
      <c r="H2387" s="11"/>
      <c r="I2387" s="12" t="str">
        <f t="array" ref="I2387">IFERROR(INDEX(atlas!B:B,MATCH(A2387,atlas!C:C,0)),"")</f>
        <v/>
      </c>
      <c r="J2387" s="8" t="str">
        <f>IFERROR(VLOOKUP(F2387,tecnica!A:B,2,0),"")</f>
        <v/>
      </c>
      <c r="K2387" s="8" t="str">
        <f>IFERROR(VLOOKUP(J2387,tecnica!B:C,2,0),"")</f>
        <v/>
      </c>
      <c r="L2387" s="13"/>
      <c r="M2387" s="14" t="str">
        <f>IFERROR(VLOOKUP(I2387,material!A:D,4,0),"")</f>
        <v/>
      </c>
      <c r="N2387" s="14" t="str">
        <f t="shared" si="1"/>
        <v/>
      </c>
      <c r="O2387" s="15" t="str">
        <f>IFERROR(VLOOKUP(I2387,material!A:D,2,0),"")</f>
        <v/>
      </c>
    </row>
    <row r="2388">
      <c r="A2388" s="6"/>
      <c r="B2388" s="7"/>
      <c r="C2388" s="8" t="str">
        <f t="array" ref="C2388">IFERROR(INDEX(atlas!H:H,MATCH(A2388,atlas!C:C,0)),"")</f>
        <v/>
      </c>
      <c r="D2388" s="8" t="str">
        <f t="array" ref="D2388">IFERROR(INDEX(atlas!D:D,MATCH(A2388,atlas!C:C,0)),"")</f>
        <v/>
      </c>
      <c r="E2388" s="8" t="str">
        <f t="array" ref="E2388">IFERROR(INDEX(atlas!F:F,MATCH(A2388,atlas!C:C,0)),"")</f>
        <v/>
      </c>
      <c r="F2388" s="9"/>
      <c r="G2388" s="10"/>
      <c r="H2388" s="11"/>
      <c r="I2388" s="12" t="str">
        <f t="array" ref="I2388">IFERROR(INDEX(atlas!B:B,MATCH(A2388,atlas!C:C,0)),"")</f>
        <v/>
      </c>
      <c r="J2388" s="8" t="str">
        <f>IFERROR(VLOOKUP(F2388,tecnica!A:B,2,0),"")</f>
        <v/>
      </c>
      <c r="K2388" s="8" t="str">
        <f>IFERROR(VLOOKUP(J2388,tecnica!B:C,2,0),"")</f>
        <v/>
      </c>
      <c r="L2388" s="13"/>
      <c r="M2388" s="14" t="str">
        <f>IFERROR(VLOOKUP(I2388,material!A:D,4,0),"")</f>
        <v/>
      </c>
      <c r="N2388" s="14" t="str">
        <f t="shared" si="1"/>
        <v/>
      </c>
      <c r="O2388" s="15" t="str">
        <f>IFERROR(VLOOKUP(I2388,material!A:D,2,0),"")</f>
        <v/>
      </c>
    </row>
    <row r="2389">
      <c r="A2389" s="6"/>
      <c r="B2389" s="7"/>
      <c r="C2389" s="8" t="str">
        <f t="array" ref="C2389">IFERROR(INDEX(atlas!H:H,MATCH(A2389,atlas!C:C,0)),"")</f>
        <v/>
      </c>
      <c r="D2389" s="8" t="str">
        <f t="array" ref="D2389">IFERROR(INDEX(atlas!D:D,MATCH(A2389,atlas!C:C,0)),"")</f>
        <v/>
      </c>
      <c r="E2389" s="8" t="str">
        <f t="array" ref="E2389">IFERROR(INDEX(atlas!F:F,MATCH(A2389,atlas!C:C,0)),"")</f>
        <v/>
      </c>
      <c r="F2389" s="9"/>
      <c r="G2389" s="10"/>
      <c r="H2389" s="11"/>
      <c r="I2389" s="12" t="str">
        <f t="array" ref="I2389">IFERROR(INDEX(atlas!B:B,MATCH(A2389,atlas!C:C,0)),"")</f>
        <v/>
      </c>
      <c r="J2389" s="8" t="str">
        <f>IFERROR(VLOOKUP(F2389,tecnica!A:B,2,0),"")</f>
        <v/>
      </c>
      <c r="K2389" s="8" t="str">
        <f>IFERROR(VLOOKUP(J2389,tecnica!B:C,2,0),"")</f>
        <v/>
      </c>
      <c r="L2389" s="13"/>
      <c r="M2389" s="14" t="str">
        <f>IFERROR(VLOOKUP(I2389,material!A:D,4,0),"")</f>
        <v/>
      </c>
      <c r="N2389" s="14" t="str">
        <f t="shared" si="1"/>
        <v/>
      </c>
      <c r="O2389" s="15" t="str">
        <f>IFERROR(VLOOKUP(I2389,material!A:D,2,0),"")</f>
        <v/>
      </c>
    </row>
    <row r="2390">
      <c r="A2390" s="6"/>
      <c r="B2390" s="7"/>
      <c r="C2390" s="8" t="str">
        <f t="array" ref="C2390">IFERROR(INDEX(atlas!H:H,MATCH(A2390,atlas!C:C,0)),"")</f>
        <v/>
      </c>
      <c r="D2390" s="8" t="str">
        <f t="array" ref="D2390">IFERROR(INDEX(atlas!D:D,MATCH(A2390,atlas!C:C,0)),"")</f>
        <v/>
      </c>
      <c r="E2390" s="8" t="str">
        <f t="array" ref="E2390">IFERROR(INDEX(atlas!F:F,MATCH(A2390,atlas!C:C,0)),"")</f>
        <v/>
      </c>
      <c r="F2390" s="9"/>
      <c r="G2390" s="10"/>
      <c r="H2390" s="11"/>
      <c r="I2390" s="12" t="str">
        <f t="array" ref="I2390">IFERROR(INDEX(atlas!B:B,MATCH(A2390,atlas!C:C,0)),"")</f>
        <v/>
      </c>
      <c r="J2390" s="8" t="str">
        <f>IFERROR(VLOOKUP(F2390,tecnica!A:B,2,0),"")</f>
        <v/>
      </c>
      <c r="K2390" s="8" t="str">
        <f>IFERROR(VLOOKUP(J2390,tecnica!B:C,2,0),"")</f>
        <v/>
      </c>
      <c r="L2390" s="13"/>
      <c r="M2390" s="14" t="str">
        <f>IFERROR(VLOOKUP(I2390,material!A:D,4,0),"")</f>
        <v/>
      </c>
      <c r="N2390" s="14" t="str">
        <f t="shared" si="1"/>
        <v/>
      </c>
      <c r="O2390" s="15" t="str">
        <f>IFERROR(VLOOKUP(I2390,material!A:D,2,0),"")</f>
        <v/>
      </c>
    </row>
    <row r="2391">
      <c r="A2391" s="6"/>
      <c r="B2391" s="7"/>
      <c r="C2391" s="8" t="str">
        <f t="array" ref="C2391">IFERROR(INDEX(atlas!H:H,MATCH(A2391,atlas!C:C,0)),"")</f>
        <v/>
      </c>
      <c r="D2391" s="8" t="str">
        <f t="array" ref="D2391">IFERROR(INDEX(atlas!D:D,MATCH(A2391,atlas!C:C,0)),"")</f>
        <v/>
      </c>
      <c r="E2391" s="8" t="str">
        <f t="array" ref="E2391">IFERROR(INDEX(atlas!F:F,MATCH(A2391,atlas!C:C,0)),"")</f>
        <v/>
      </c>
      <c r="F2391" s="9"/>
      <c r="G2391" s="10"/>
      <c r="H2391" s="11"/>
      <c r="I2391" s="12" t="str">
        <f t="array" ref="I2391">IFERROR(INDEX(atlas!B:B,MATCH(A2391,atlas!C:C,0)),"")</f>
        <v/>
      </c>
      <c r="J2391" s="8" t="str">
        <f>IFERROR(VLOOKUP(F2391,tecnica!A:B,2,0),"")</f>
        <v/>
      </c>
      <c r="K2391" s="8" t="str">
        <f>IFERROR(VLOOKUP(J2391,tecnica!B:C,2,0),"")</f>
        <v/>
      </c>
      <c r="L2391" s="13"/>
      <c r="M2391" s="14" t="str">
        <f>IFERROR(VLOOKUP(I2391,material!A:D,4,0),"")</f>
        <v/>
      </c>
      <c r="N2391" s="14" t="str">
        <f t="shared" si="1"/>
        <v/>
      </c>
      <c r="O2391" s="15" t="str">
        <f>IFERROR(VLOOKUP(I2391,material!A:D,2,0),"")</f>
        <v/>
      </c>
    </row>
    <row r="2392">
      <c r="A2392" s="6"/>
      <c r="B2392" s="7"/>
      <c r="C2392" s="8" t="str">
        <f t="array" ref="C2392">IFERROR(INDEX(atlas!H:H,MATCH(A2392,atlas!C:C,0)),"")</f>
        <v/>
      </c>
      <c r="D2392" s="8" t="str">
        <f t="array" ref="D2392">IFERROR(INDEX(atlas!D:D,MATCH(A2392,atlas!C:C,0)),"")</f>
        <v/>
      </c>
      <c r="E2392" s="8" t="str">
        <f t="array" ref="E2392">IFERROR(INDEX(atlas!F:F,MATCH(A2392,atlas!C:C,0)),"")</f>
        <v/>
      </c>
      <c r="F2392" s="9"/>
      <c r="G2392" s="10"/>
      <c r="H2392" s="11"/>
      <c r="I2392" s="12" t="str">
        <f t="array" ref="I2392">IFERROR(INDEX(atlas!B:B,MATCH(A2392,atlas!C:C,0)),"")</f>
        <v/>
      </c>
      <c r="J2392" s="8" t="str">
        <f>IFERROR(VLOOKUP(F2392,tecnica!A:B,2,0),"")</f>
        <v/>
      </c>
      <c r="K2392" s="8" t="str">
        <f>IFERROR(VLOOKUP(J2392,tecnica!B:C,2,0),"")</f>
        <v/>
      </c>
      <c r="L2392" s="13"/>
      <c r="M2392" s="14" t="str">
        <f>IFERROR(VLOOKUP(I2392,material!A:D,4,0),"")</f>
        <v/>
      </c>
      <c r="N2392" s="14" t="str">
        <f t="shared" si="1"/>
        <v/>
      </c>
      <c r="O2392" s="15" t="str">
        <f>IFERROR(VLOOKUP(I2392,material!A:D,2,0),"")</f>
        <v/>
      </c>
    </row>
    <row r="2393">
      <c r="A2393" s="6"/>
      <c r="B2393" s="7"/>
      <c r="C2393" s="8" t="str">
        <f t="array" ref="C2393">IFERROR(INDEX(atlas!H:H,MATCH(A2393,atlas!C:C,0)),"")</f>
        <v/>
      </c>
      <c r="D2393" s="8" t="str">
        <f t="array" ref="D2393">IFERROR(INDEX(atlas!D:D,MATCH(A2393,atlas!C:C,0)),"")</f>
        <v/>
      </c>
      <c r="E2393" s="8" t="str">
        <f t="array" ref="E2393">IFERROR(INDEX(atlas!F:F,MATCH(A2393,atlas!C:C,0)),"")</f>
        <v/>
      </c>
      <c r="F2393" s="9"/>
      <c r="G2393" s="10"/>
      <c r="H2393" s="11"/>
      <c r="I2393" s="12" t="str">
        <f t="array" ref="I2393">IFERROR(INDEX(atlas!B:B,MATCH(A2393,atlas!C:C,0)),"")</f>
        <v/>
      </c>
      <c r="J2393" s="8" t="str">
        <f>IFERROR(VLOOKUP(F2393,tecnica!A:B,2,0),"")</f>
        <v/>
      </c>
      <c r="K2393" s="8" t="str">
        <f>IFERROR(VLOOKUP(J2393,tecnica!B:C,2,0),"")</f>
        <v/>
      </c>
      <c r="L2393" s="13"/>
      <c r="M2393" s="14" t="str">
        <f>IFERROR(VLOOKUP(I2393,material!A:D,4,0),"")</f>
        <v/>
      </c>
      <c r="N2393" s="14" t="str">
        <f t="shared" si="1"/>
        <v/>
      </c>
      <c r="O2393" s="15" t="str">
        <f>IFERROR(VLOOKUP(I2393,material!A:D,2,0),"")</f>
        <v/>
      </c>
    </row>
    <row r="2394">
      <c r="A2394" s="6"/>
      <c r="B2394" s="7"/>
      <c r="C2394" s="8" t="str">
        <f t="array" ref="C2394">IFERROR(INDEX(atlas!H:H,MATCH(A2394,atlas!C:C,0)),"")</f>
        <v/>
      </c>
      <c r="D2394" s="8" t="str">
        <f t="array" ref="D2394">IFERROR(INDEX(atlas!D:D,MATCH(A2394,atlas!C:C,0)),"")</f>
        <v/>
      </c>
      <c r="E2394" s="8" t="str">
        <f t="array" ref="E2394">IFERROR(INDEX(atlas!F:F,MATCH(A2394,atlas!C:C,0)),"")</f>
        <v/>
      </c>
      <c r="F2394" s="9"/>
      <c r="G2394" s="10"/>
      <c r="H2394" s="11"/>
      <c r="I2394" s="12" t="str">
        <f t="array" ref="I2394">IFERROR(INDEX(atlas!B:B,MATCH(A2394,atlas!C:C,0)),"")</f>
        <v/>
      </c>
      <c r="J2394" s="8" t="str">
        <f>IFERROR(VLOOKUP(F2394,tecnica!A:B,2,0),"")</f>
        <v/>
      </c>
      <c r="K2394" s="8" t="str">
        <f>IFERROR(VLOOKUP(J2394,tecnica!B:C,2,0),"")</f>
        <v/>
      </c>
      <c r="L2394" s="13"/>
      <c r="M2394" s="14" t="str">
        <f>IFERROR(VLOOKUP(I2394,material!A:D,4,0),"")</f>
        <v/>
      </c>
      <c r="N2394" s="14" t="str">
        <f t="shared" si="1"/>
        <v/>
      </c>
      <c r="O2394" s="15" t="str">
        <f>IFERROR(VLOOKUP(I2394,material!A:D,2,0),"")</f>
        <v/>
      </c>
    </row>
    <row r="2395">
      <c r="A2395" s="6"/>
      <c r="B2395" s="7"/>
      <c r="C2395" s="8" t="str">
        <f t="array" ref="C2395">IFERROR(INDEX(atlas!H:H,MATCH(A2395,atlas!C:C,0)),"")</f>
        <v/>
      </c>
      <c r="D2395" s="8" t="str">
        <f t="array" ref="D2395">IFERROR(INDEX(atlas!D:D,MATCH(A2395,atlas!C:C,0)),"")</f>
        <v/>
      </c>
      <c r="E2395" s="8" t="str">
        <f t="array" ref="E2395">IFERROR(INDEX(atlas!F:F,MATCH(A2395,atlas!C:C,0)),"")</f>
        <v/>
      </c>
      <c r="F2395" s="9"/>
      <c r="G2395" s="10"/>
      <c r="H2395" s="11"/>
      <c r="I2395" s="12" t="str">
        <f t="array" ref="I2395">IFERROR(INDEX(atlas!B:B,MATCH(A2395,atlas!C:C,0)),"")</f>
        <v/>
      </c>
      <c r="J2395" s="8" t="str">
        <f>IFERROR(VLOOKUP(F2395,tecnica!A:B,2,0),"")</f>
        <v/>
      </c>
      <c r="K2395" s="8" t="str">
        <f>IFERROR(VLOOKUP(J2395,tecnica!B:C,2,0),"")</f>
        <v/>
      </c>
      <c r="L2395" s="13"/>
      <c r="M2395" s="14" t="str">
        <f>IFERROR(VLOOKUP(I2395,material!A:D,4,0),"")</f>
        <v/>
      </c>
      <c r="N2395" s="14" t="str">
        <f t="shared" si="1"/>
        <v/>
      </c>
      <c r="O2395" s="15" t="str">
        <f>IFERROR(VLOOKUP(I2395,material!A:D,2,0),"")</f>
        <v/>
      </c>
    </row>
    <row r="2396">
      <c r="A2396" s="6"/>
      <c r="B2396" s="7"/>
      <c r="C2396" s="8" t="str">
        <f t="array" ref="C2396">IFERROR(INDEX(atlas!H:H,MATCH(A2396,atlas!C:C,0)),"")</f>
        <v/>
      </c>
      <c r="D2396" s="8" t="str">
        <f t="array" ref="D2396">IFERROR(INDEX(atlas!D:D,MATCH(A2396,atlas!C:C,0)),"")</f>
        <v/>
      </c>
      <c r="E2396" s="8" t="str">
        <f t="array" ref="E2396">IFERROR(INDEX(atlas!F:F,MATCH(A2396,atlas!C:C,0)),"")</f>
        <v/>
      </c>
      <c r="F2396" s="9"/>
      <c r="G2396" s="10"/>
      <c r="H2396" s="11"/>
      <c r="I2396" s="12" t="str">
        <f t="array" ref="I2396">IFERROR(INDEX(atlas!B:B,MATCH(A2396,atlas!C:C,0)),"")</f>
        <v/>
      </c>
      <c r="J2396" s="8" t="str">
        <f>IFERROR(VLOOKUP(F2396,tecnica!A:B,2,0),"")</f>
        <v/>
      </c>
      <c r="K2396" s="8" t="str">
        <f>IFERROR(VLOOKUP(J2396,tecnica!B:C,2,0),"")</f>
        <v/>
      </c>
      <c r="L2396" s="13"/>
      <c r="M2396" s="14" t="str">
        <f>IFERROR(VLOOKUP(I2396,material!A:D,4,0),"")</f>
        <v/>
      </c>
      <c r="N2396" s="14" t="str">
        <f t="shared" si="1"/>
        <v/>
      </c>
      <c r="O2396" s="15" t="str">
        <f>IFERROR(VLOOKUP(I2396,material!A:D,2,0),"")</f>
        <v/>
      </c>
    </row>
    <row r="2397">
      <c r="A2397" s="6"/>
      <c r="B2397" s="7"/>
      <c r="C2397" s="8" t="str">
        <f t="array" ref="C2397">IFERROR(INDEX(atlas!H:H,MATCH(A2397,atlas!C:C,0)),"")</f>
        <v/>
      </c>
      <c r="D2397" s="8" t="str">
        <f t="array" ref="D2397">IFERROR(INDEX(atlas!D:D,MATCH(A2397,atlas!C:C,0)),"")</f>
        <v/>
      </c>
      <c r="E2397" s="8" t="str">
        <f t="array" ref="E2397">IFERROR(INDEX(atlas!F:F,MATCH(A2397,atlas!C:C,0)),"")</f>
        <v/>
      </c>
      <c r="F2397" s="9"/>
      <c r="G2397" s="10"/>
      <c r="H2397" s="11"/>
      <c r="I2397" s="12" t="str">
        <f t="array" ref="I2397">IFERROR(INDEX(atlas!B:B,MATCH(A2397,atlas!C:C,0)),"")</f>
        <v/>
      </c>
      <c r="J2397" s="8" t="str">
        <f>IFERROR(VLOOKUP(F2397,tecnica!A:B,2,0),"")</f>
        <v/>
      </c>
      <c r="K2397" s="8" t="str">
        <f>IFERROR(VLOOKUP(J2397,tecnica!B:C,2,0),"")</f>
        <v/>
      </c>
      <c r="L2397" s="13"/>
      <c r="M2397" s="14" t="str">
        <f>IFERROR(VLOOKUP(I2397,material!A:D,4,0),"")</f>
        <v/>
      </c>
      <c r="N2397" s="14" t="str">
        <f t="shared" si="1"/>
        <v/>
      </c>
      <c r="O2397" s="15" t="str">
        <f>IFERROR(VLOOKUP(I2397,material!A:D,2,0),"")</f>
        <v/>
      </c>
    </row>
    <row r="2398">
      <c r="A2398" s="6"/>
      <c r="B2398" s="7"/>
      <c r="C2398" s="8" t="str">
        <f t="array" ref="C2398">IFERROR(INDEX(atlas!H:H,MATCH(A2398,atlas!C:C,0)),"")</f>
        <v/>
      </c>
      <c r="D2398" s="8" t="str">
        <f t="array" ref="D2398">IFERROR(INDEX(atlas!D:D,MATCH(A2398,atlas!C:C,0)),"")</f>
        <v/>
      </c>
      <c r="E2398" s="8" t="str">
        <f t="array" ref="E2398">IFERROR(INDEX(atlas!F:F,MATCH(A2398,atlas!C:C,0)),"")</f>
        <v/>
      </c>
      <c r="F2398" s="9"/>
      <c r="G2398" s="10"/>
      <c r="H2398" s="11"/>
      <c r="I2398" s="12" t="str">
        <f t="array" ref="I2398">IFERROR(INDEX(atlas!B:B,MATCH(A2398,atlas!C:C,0)),"")</f>
        <v/>
      </c>
      <c r="J2398" s="8" t="str">
        <f>IFERROR(VLOOKUP(F2398,tecnica!A:B,2,0),"")</f>
        <v/>
      </c>
      <c r="K2398" s="8" t="str">
        <f>IFERROR(VLOOKUP(J2398,tecnica!B:C,2,0),"")</f>
        <v/>
      </c>
      <c r="L2398" s="13"/>
      <c r="M2398" s="14" t="str">
        <f>IFERROR(VLOOKUP(I2398,material!A:D,4,0),"")</f>
        <v/>
      </c>
      <c r="N2398" s="14" t="str">
        <f t="shared" si="1"/>
        <v/>
      </c>
      <c r="O2398" s="15" t="str">
        <f>IFERROR(VLOOKUP(I2398,material!A:D,2,0),"")</f>
        <v/>
      </c>
    </row>
    <row r="2399">
      <c r="A2399" s="6"/>
      <c r="B2399" s="7"/>
      <c r="C2399" s="8" t="str">
        <f t="array" ref="C2399">IFERROR(INDEX(atlas!H:H,MATCH(A2399,atlas!C:C,0)),"")</f>
        <v/>
      </c>
      <c r="D2399" s="8" t="str">
        <f t="array" ref="D2399">IFERROR(INDEX(atlas!D:D,MATCH(A2399,atlas!C:C,0)),"")</f>
        <v/>
      </c>
      <c r="E2399" s="8" t="str">
        <f t="array" ref="E2399">IFERROR(INDEX(atlas!F:F,MATCH(A2399,atlas!C:C,0)),"")</f>
        <v/>
      </c>
      <c r="F2399" s="9"/>
      <c r="G2399" s="10"/>
      <c r="H2399" s="11"/>
      <c r="I2399" s="12" t="str">
        <f t="array" ref="I2399">IFERROR(INDEX(atlas!B:B,MATCH(A2399,atlas!C:C,0)),"")</f>
        <v/>
      </c>
      <c r="J2399" s="8" t="str">
        <f>IFERROR(VLOOKUP(F2399,tecnica!A:B,2,0),"")</f>
        <v/>
      </c>
      <c r="K2399" s="8" t="str">
        <f>IFERROR(VLOOKUP(J2399,tecnica!B:C,2,0),"")</f>
        <v/>
      </c>
      <c r="L2399" s="13"/>
      <c r="M2399" s="14" t="str">
        <f>IFERROR(VLOOKUP(I2399,material!A:D,4,0),"")</f>
        <v/>
      </c>
      <c r="N2399" s="14" t="str">
        <f t="shared" si="1"/>
        <v/>
      </c>
      <c r="O2399" s="15" t="str">
        <f>IFERROR(VLOOKUP(I2399,material!A:D,2,0),"")</f>
        <v/>
      </c>
    </row>
    <row r="2400">
      <c r="A2400" s="6"/>
      <c r="B2400" s="7"/>
      <c r="C2400" s="8" t="str">
        <f t="array" ref="C2400">IFERROR(INDEX(atlas!H:H,MATCH(A2400,atlas!C:C,0)),"")</f>
        <v/>
      </c>
      <c r="D2400" s="8" t="str">
        <f t="array" ref="D2400">IFERROR(INDEX(atlas!D:D,MATCH(A2400,atlas!C:C,0)),"")</f>
        <v/>
      </c>
      <c r="E2400" s="8" t="str">
        <f t="array" ref="E2400">IFERROR(INDEX(atlas!F:F,MATCH(A2400,atlas!C:C,0)),"")</f>
        <v/>
      </c>
      <c r="F2400" s="9"/>
      <c r="G2400" s="10"/>
      <c r="H2400" s="11"/>
      <c r="I2400" s="12" t="str">
        <f t="array" ref="I2400">IFERROR(INDEX(atlas!B:B,MATCH(A2400,atlas!C:C,0)),"")</f>
        <v/>
      </c>
      <c r="J2400" s="8" t="str">
        <f>IFERROR(VLOOKUP(F2400,tecnica!A:B,2,0),"")</f>
        <v/>
      </c>
      <c r="K2400" s="8" t="str">
        <f>IFERROR(VLOOKUP(J2400,tecnica!B:C,2,0),"")</f>
        <v/>
      </c>
      <c r="L2400" s="13"/>
      <c r="M2400" s="14" t="str">
        <f>IFERROR(VLOOKUP(I2400,material!A:D,4,0),"")</f>
        <v/>
      </c>
      <c r="N2400" s="14" t="str">
        <f t="shared" si="1"/>
        <v/>
      </c>
      <c r="O2400" s="15" t="str">
        <f>IFERROR(VLOOKUP(I2400,material!A:D,2,0),"")</f>
        <v/>
      </c>
    </row>
    <row r="2401">
      <c r="A2401" s="6"/>
      <c r="B2401" s="7"/>
      <c r="C2401" s="8" t="str">
        <f t="array" ref="C2401">IFERROR(INDEX(atlas!H:H,MATCH(A2401,atlas!C:C,0)),"")</f>
        <v/>
      </c>
      <c r="D2401" s="8" t="str">
        <f t="array" ref="D2401">IFERROR(INDEX(atlas!D:D,MATCH(A2401,atlas!C:C,0)),"")</f>
        <v/>
      </c>
      <c r="E2401" s="8" t="str">
        <f t="array" ref="E2401">IFERROR(INDEX(atlas!F:F,MATCH(A2401,atlas!C:C,0)),"")</f>
        <v/>
      </c>
      <c r="F2401" s="9"/>
      <c r="G2401" s="10"/>
      <c r="H2401" s="11"/>
      <c r="I2401" s="12" t="str">
        <f t="array" ref="I2401">IFERROR(INDEX(atlas!B:B,MATCH(A2401,atlas!C:C,0)),"")</f>
        <v/>
      </c>
      <c r="J2401" s="8" t="str">
        <f>IFERROR(VLOOKUP(F2401,tecnica!A:B,2,0),"")</f>
        <v/>
      </c>
      <c r="K2401" s="8" t="str">
        <f>IFERROR(VLOOKUP(J2401,tecnica!B:C,2,0),"")</f>
        <v/>
      </c>
      <c r="L2401" s="13"/>
      <c r="M2401" s="14" t="str">
        <f>IFERROR(VLOOKUP(I2401,material!A:D,4,0),"")</f>
        <v/>
      </c>
      <c r="N2401" s="14" t="str">
        <f t="shared" si="1"/>
        <v/>
      </c>
      <c r="O2401" s="15" t="str">
        <f>IFERROR(VLOOKUP(I2401,material!A:D,2,0),"")</f>
        <v/>
      </c>
    </row>
    <row r="2402">
      <c r="A2402" s="6"/>
      <c r="B2402" s="7"/>
      <c r="C2402" s="8" t="str">
        <f t="array" ref="C2402">IFERROR(INDEX(atlas!H:H,MATCH(A2402,atlas!C:C,0)),"")</f>
        <v/>
      </c>
      <c r="D2402" s="8" t="str">
        <f t="array" ref="D2402">IFERROR(INDEX(atlas!D:D,MATCH(A2402,atlas!C:C,0)),"")</f>
        <v/>
      </c>
      <c r="E2402" s="8" t="str">
        <f t="array" ref="E2402">IFERROR(INDEX(atlas!F:F,MATCH(A2402,atlas!C:C,0)),"")</f>
        <v/>
      </c>
      <c r="F2402" s="9"/>
      <c r="G2402" s="10"/>
      <c r="H2402" s="11"/>
      <c r="I2402" s="12" t="str">
        <f t="array" ref="I2402">IFERROR(INDEX(atlas!B:B,MATCH(A2402,atlas!C:C,0)),"")</f>
        <v/>
      </c>
      <c r="J2402" s="8" t="str">
        <f>IFERROR(VLOOKUP(F2402,tecnica!A:B,2,0),"")</f>
        <v/>
      </c>
      <c r="K2402" s="8" t="str">
        <f>IFERROR(VLOOKUP(J2402,tecnica!B:C,2,0),"")</f>
        <v/>
      </c>
      <c r="L2402" s="13"/>
      <c r="M2402" s="14" t="str">
        <f>IFERROR(VLOOKUP(I2402,material!A:D,4,0),"")</f>
        <v/>
      </c>
      <c r="N2402" s="14" t="str">
        <f t="shared" si="1"/>
        <v/>
      </c>
      <c r="O2402" s="15" t="str">
        <f>IFERROR(VLOOKUP(I2402,material!A:D,2,0),"")</f>
        <v/>
      </c>
    </row>
    <row r="2403">
      <c r="A2403" s="6"/>
      <c r="B2403" s="7"/>
      <c r="C2403" s="8" t="str">
        <f t="array" ref="C2403">IFERROR(INDEX(atlas!H:H,MATCH(A2403,atlas!C:C,0)),"")</f>
        <v/>
      </c>
      <c r="D2403" s="8" t="str">
        <f t="array" ref="D2403">IFERROR(INDEX(atlas!D:D,MATCH(A2403,atlas!C:C,0)),"")</f>
        <v/>
      </c>
      <c r="E2403" s="8" t="str">
        <f t="array" ref="E2403">IFERROR(INDEX(atlas!F:F,MATCH(A2403,atlas!C:C,0)),"")</f>
        <v/>
      </c>
      <c r="F2403" s="9"/>
      <c r="G2403" s="10"/>
      <c r="H2403" s="11"/>
      <c r="I2403" s="12" t="str">
        <f t="array" ref="I2403">IFERROR(INDEX(atlas!B:B,MATCH(A2403,atlas!C:C,0)),"")</f>
        <v/>
      </c>
      <c r="J2403" s="8" t="str">
        <f>IFERROR(VLOOKUP(F2403,tecnica!A:B,2,0),"")</f>
        <v/>
      </c>
      <c r="K2403" s="8" t="str">
        <f>IFERROR(VLOOKUP(J2403,tecnica!B:C,2,0),"")</f>
        <v/>
      </c>
      <c r="L2403" s="13"/>
      <c r="M2403" s="14" t="str">
        <f>IFERROR(VLOOKUP(I2403,material!A:D,4,0),"")</f>
        <v/>
      </c>
      <c r="N2403" s="14" t="str">
        <f t="shared" si="1"/>
        <v/>
      </c>
      <c r="O2403" s="15" t="str">
        <f>IFERROR(VLOOKUP(I2403,material!A:D,2,0),"")</f>
        <v/>
      </c>
    </row>
    <row r="2404">
      <c r="A2404" s="6"/>
      <c r="B2404" s="7"/>
      <c r="C2404" s="8" t="str">
        <f t="array" ref="C2404">IFERROR(INDEX(atlas!H:H,MATCH(A2404,atlas!C:C,0)),"")</f>
        <v/>
      </c>
      <c r="D2404" s="8" t="str">
        <f t="array" ref="D2404">IFERROR(INDEX(atlas!D:D,MATCH(A2404,atlas!C:C,0)),"")</f>
        <v/>
      </c>
      <c r="E2404" s="8" t="str">
        <f t="array" ref="E2404">IFERROR(INDEX(atlas!F:F,MATCH(A2404,atlas!C:C,0)),"")</f>
        <v/>
      </c>
      <c r="F2404" s="9"/>
      <c r="G2404" s="10"/>
      <c r="H2404" s="11"/>
      <c r="I2404" s="12" t="str">
        <f t="array" ref="I2404">IFERROR(INDEX(atlas!B:B,MATCH(A2404,atlas!C:C,0)),"")</f>
        <v/>
      </c>
      <c r="J2404" s="8" t="str">
        <f>IFERROR(VLOOKUP(F2404,tecnica!A:B,2,0),"")</f>
        <v/>
      </c>
      <c r="K2404" s="8" t="str">
        <f>IFERROR(VLOOKUP(J2404,tecnica!B:C,2,0),"")</f>
        <v/>
      </c>
      <c r="L2404" s="13"/>
      <c r="M2404" s="14" t="str">
        <f>IFERROR(VLOOKUP(I2404,material!A:D,4,0),"")</f>
        <v/>
      </c>
      <c r="N2404" s="14" t="str">
        <f t="shared" si="1"/>
        <v/>
      </c>
      <c r="O2404" s="15" t="str">
        <f>IFERROR(VLOOKUP(I2404,material!A:D,2,0),"")</f>
        <v/>
      </c>
    </row>
    <row r="2405">
      <c r="A2405" s="6"/>
      <c r="B2405" s="7"/>
      <c r="C2405" s="8" t="str">
        <f t="array" ref="C2405">IFERROR(INDEX(atlas!H:H,MATCH(A2405,atlas!C:C,0)),"")</f>
        <v/>
      </c>
      <c r="D2405" s="8" t="str">
        <f t="array" ref="D2405">IFERROR(INDEX(atlas!D:D,MATCH(A2405,atlas!C:C,0)),"")</f>
        <v/>
      </c>
      <c r="E2405" s="8" t="str">
        <f t="array" ref="E2405">IFERROR(INDEX(atlas!F:F,MATCH(A2405,atlas!C:C,0)),"")</f>
        <v/>
      </c>
      <c r="F2405" s="9"/>
      <c r="G2405" s="10"/>
      <c r="H2405" s="11"/>
      <c r="I2405" s="12" t="str">
        <f t="array" ref="I2405">IFERROR(INDEX(atlas!B:B,MATCH(A2405,atlas!C:C,0)),"")</f>
        <v/>
      </c>
      <c r="J2405" s="8" t="str">
        <f>IFERROR(VLOOKUP(F2405,tecnica!A:B,2,0),"")</f>
        <v/>
      </c>
      <c r="K2405" s="8" t="str">
        <f>IFERROR(VLOOKUP(J2405,tecnica!B:C,2,0),"")</f>
        <v/>
      </c>
      <c r="L2405" s="13"/>
      <c r="M2405" s="14" t="str">
        <f>IFERROR(VLOOKUP(I2405,material!A:D,4,0),"")</f>
        <v/>
      </c>
      <c r="N2405" s="14" t="str">
        <f t="shared" si="1"/>
        <v/>
      </c>
      <c r="O2405" s="15" t="str">
        <f>IFERROR(VLOOKUP(I2405,material!A:D,2,0),"")</f>
        <v/>
      </c>
    </row>
    <row r="2406">
      <c r="A2406" s="6"/>
      <c r="B2406" s="7"/>
      <c r="C2406" s="8" t="str">
        <f t="array" ref="C2406">IFERROR(INDEX(atlas!H:H,MATCH(A2406,atlas!C:C,0)),"")</f>
        <v/>
      </c>
      <c r="D2406" s="8" t="str">
        <f t="array" ref="D2406">IFERROR(INDEX(atlas!D:D,MATCH(A2406,atlas!C:C,0)),"")</f>
        <v/>
      </c>
      <c r="E2406" s="8" t="str">
        <f t="array" ref="E2406">IFERROR(INDEX(atlas!F:F,MATCH(A2406,atlas!C:C,0)),"")</f>
        <v/>
      </c>
      <c r="F2406" s="9"/>
      <c r="G2406" s="10"/>
      <c r="H2406" s="11"/>
      <c r="I2406" s="12" t="str">
        <f t="array" ref="I2406">IFERROR(INDEX(atlas!B:B,MATCH(A2406,atlas!C:C,0)),"")</f>
        <v/>
      </c>
      <c r="J2406" s="8" t="str">
        <f>IFERROR(VLOOKUP(F2406,tecnica!A:B,2,0),"")</f>
        <v/>
      </c>
      <c r="K2406" s="8" t="str">
        <f>IFERROR(VLOOKUP(J2406,tecnica!B:C,2,0),"")</f>
        <v/>
      </c>
      <c r="L2406" s="13"/>
      <c r="M2406" s="14" t="str">
        <f>IFERROR(VLOOKUP(I2406,material!A:D,4,0),"")</f>
        <v/>
      </c>
      <c r="N2406" s="14" t="str">
        <f t="shared" si="1"/>
        <v/>
      </c>
      <c r="O2406" s="15" t="str">
        <f>IFERROR(VLOOKUP(I2406,material!A:D,2,0),"")</f>
        <v/>
      </c>
    </row>
    <row r="2407">
      <c r="A2407" s="6"/>
      <c r="B2407" s="7"/>
      <c r="C2407" s="8" t="str">
        <f t="array" ref="C2407">IFERROR(INDEX(atlas!H:H,MATCH(A2407,atlas!C:C,0)),"")</f>
        <v/>
      </c>
      <c r="D2407" s="8" t="str">
        <f t="array" ref="D2407">IFERROR(INDEX(atlas!D:D,MATCH(A2407,atlas!C:C,0)),"")</f>
        <v/>
      </c>
      <c r="E2407" s="8" t="str">
        <f t="array" ref="E2407">IFERROR(INDEX(atlas!F:F,MATCH(A2407,atlas!C:C,0)),"")</f>
        <v/>
      </c>
      <c r="F2407" s="9"/>
      <c r="G2407" s="10"/>
      <c r="H2407" s="11"/>
      <c r="I2407" s="12" t="str">
        <f t="array" ref="I2407">IFERROR(INDEX(atlas!B:B,MATCH(A2407,atlas!C:C,0)),"")</f>
        <v/>
      </c>
      <c r="J2407" s="8" t="str">
        <f>IFERROR(VLOOKUP(F2407,tecnica!A:B,2,0),"")</f>
        <v/>
      </c>
      <c r="K2407" s="8" t="str">
        <f>IFERROR(VLOOKUP(J2407,tecnica!B:C,2,0),"")</f>
        <v/>
      </c>
      <c r="L2407" s="13"/>
      <c r="M2407" s="14" t="str">
        <f>IFERROR(VLOOKUP(I2407,material!A:D,4,0),"")</f>
        <v/>
      </c>
      <c r="N2407" s="14" t="str">
        <f t="shared" si="1"/>
        <v/>
      </c>
      <c r="O2407" s="15" t="str">
        <f>IFERROR(VLOOKUP(I2407,material!A:D,2,0),"")</f>
        <v/>
      </c>
    </row>
    <row r="2408">
      <c r="A2408" s="6"/>
      <c r="B2408" s="7"/>
      <c r="C2408" s="8" t="str">
        <f t="array" ref="C2408">IFERROR(INDEX(atlas!H:H,MATCH(A2408,atlas!C:C,0)),"")</f>
        <v/>
      </c>
      <c r="D2408" s="8" t="str">
        <f t="array" ref="D2408">IFERROR(INDEX(atlas!D:D,MATCH(A2408,atlas!C:C,0)),"")</f>
        <v/>
      </c>
      <c r="E2408" s="8" t="str">
        <f t="array" ref="E2408">IFERROR(INDEX(atlas!F:F,MATCH(A2408,atlas!C:C,0)),"")</f>
        <v/>
      </c>
      <c r="F2408" s="9"/>
      <c r="G2408" s="10"/>
      <c r="H2408" s="11"/>
      <c r="I2408" s="12" t="str">
        <f t="array" ref="I2408">IFERROR(INDEX(atlas!B:B,MATCH(A2408,atlas!C:C,0)),"")</f>
        <v/>
      </c>
      <c r="J2408" s="8" t="str">
        <f>IFERROR(VLOOKUP(F2408,tecnica!A:B,2,0),"")</f>
        <v/>
      </c>
      <c r="K2408" s="8" t="str">
        <f>IFERROR(VLOOKUP(J2408,tecnica!B:C,2,0),"")</f>
        <v/>
      </c>
      <c r="L2408" s="13"/>
      <c r="M2408" s="14" t="str">
        <f>IFERROR(VLOOKUP(I2408,material!A:D,4,0),"")</f>
        <v/>
      </c>
      <c r="N2408" s="14" t="str">
        <f t="shared" si="1"/>
        <v/>
      </c>
      <c r="O2408" s="15" t="str">
        <f>IFERROR(VLOOKUP(I2408,material!A:D,2,0),"")</f>
        <v/>
      </c>
    </row>
    <row r="2409">
      <c r="A2409" s="6"/>
      <c r="B2409" s="7"/>
      <c r="C2409" s="8" t="str">
        <f t="array" ref="C2409">IFERROR(INDEX(atlas!H:H,MATCH(A2409,atlas!C:C,0)),"")</f>
        <v/>
      </c>
      <c r="D2409" s="8" t="str">
        <f t="array" ref="D2409">IFERROR(INDEX(atlas!D:D,MATCH(A2409,atlas!C:C,0)),"")</f>
        <v/>
      </c>
      <c r="E2409" s="8" t="str">
        <f t="array" ref="E2409">IFERROR(INDEX(atlas!F:F,MATCH(A2409,atlas!C:C,0)),"")</f>
        <v/>
      </c>
      <c r="F2409" s="9"/>
      <c r="G2409" s="10"/>
      <c r="H2409" s="11"/>
      <c r="I2409" s="12" t="str">
        <f t="array" ref="I2409">IFERROR(INDEX(atlas!B:B,MATCH(A2409,atlas!C:C,0)),"")</f>
        <v/>
      </c>
      <c r="J2409" s="8" t="str">
        <f>IFERROR(VLOOKUP(F2409,tecnica!A:B,2,0),"")</f>
        <v/>
      </c>
      <c r="K2409" s="8" t="str">
        <f>IFERROR(VLOOKUP(J2409,tecnica!B:C,2,0),"")</f>
        <v/>
      </c>
      <c r="L2409" s="13"/>
      <c r="M2409" s="14" t="str">
        <f>IFERROR(VLOOKUP(I2409,material!A:D,4,0),"")</f>
        <v/>
      </c>
      <c r="N2409" s="14" t="str">
        <f t="shared" si="1"/>
        <v/>
      </c>
      <c r="O2409" s="15" t="str">
        <f>IFERROR(VLOOKUP(I2409,material!A:D,2,0),"")</f>
        <v/>
      </c>
    </row>
    <row r="2410">
      <c r="A2410" s="6"/>
      <c r="B2410" s="7"/>
      <c r="C2410" s="8" t="str">
        <f t="array" ref="C2410">IFERROR(INDEX(atlas!H:H,MATCH(A2410,atlas!C:C,0)),"")</f>
        <v/>
      </c>
      <c r="D2410" s="8" t="str">
        <f t="array" ref="D2410">IFERROR(INDEX(atlas!D:D,MATCH(A2410,atlas!C:C,0)),"")</f>
        <v/>
      </c>
      <c r="E2410" s="8" t="str">
        <f t="array" ref="E2410">IFERROR(INDEX(atlas!F:F,MATCH(A2410,atlas!C:C,0)),"")</f>
        <v/>
      </c>
      <c r="F2410" s="9"/>
      <c r="G2410" s="10"/>
      <c r="H2410" s="11"/>
      <c r="I2410" s="12" t="str">
        <f t="array" ref="I2410">IFERROR(INDEX(atlas!B:B,MATCH(A2410,atlas!C:C,0)),"")</f>
        <v/>
      </c>
      <c r="J2410" s="8" t="str">
        <f>IFERROR(VLOOKUP(F2410,tecnica!A:B,2,0),"")</f>
        <v/>
      </c>
      <c r="K2410" s="8" t="str">
        <f>IFERROR(VLOOKUP(J2410,tecnica!B:C,2,0),"")</f>
        <v/>
      </c>
      <c r="L2410" s="13"/>
      <c r="M2410" s="14" t="str">
        <f>IFERROR(VLOOKUP(I2410,material!A:D,4,0),"")</f>
        <v/>
      </c>
      <c r="N2410" s="14" t="str">
        <f t="shared" si="1"/>
        <v/>
      </c>
      <c r="O2410" s="15" t="str">
        <f>IFERROR(VLOOKUP(I2410,material!A:D,2,0),"")</f>
        <v/>
      </c>
    </row>
    <row r="2411">
      <c r="A2411" s="6"/>
      <c r="B2411" s="7"/>
      <c r="C2411" s="8" t="str">
        <f t="array" ref="C2411">IFERROR(INDEX(atlas!H:H,MATCH(A2411,atlas!C:C,0)),"")</f>
        <v/>
      </c>
      <c r="D2411" s="8" t="str">
        <f t="array" ref="D2411">IFERROR(INDEX(atlas!D:D,MATCH(A2411,atlas!C:C,0)),"")</f>
        <v/>
      </c>
      <c r="E2411" s="8" t="str">
        <f t="array" ref="E2411">IFERROR(INDEX(atlas!F:F,MATCH(A2411,atlas!C:C,0)),"")</f>
        <v/>
      </c>
      <c r="F2411" s="9"/>
      <c r="G2411" s="10"/>
      <c r="H2411" s="11"/>
      <c r="I2411" s="12" t="str">
        <f t="array" ref="I2411">IFERROR(INDEX(atlas!B:B,MATCH(A2411,atlas!C:C,0)),"")</f>
        <v/>
      </c>
      <c r="J2411" s="8" t="str">
        <f>IFERROR(VLOOKUP(F2411,tecnica!A:B,2,0),"")</f>
        <v/>
      </c>
      <c r="K2411" s="8" t="str">
        <f>IFERROR(VLOOKUP(J2411,tecnica!B:C,2,0),"")</f>
        <v/>
      </c>
      <c r="L2411" s="13"/>
      <c r="M2411" s="14" t="str">
        <f>IFERROR(VLOOKUP(I2411,material!A:D,4,0),"")</f>
        <v/>
      </c>
      <c r="N2411" s="14" t="str">
        <f t="shared" si="1"/>
        <v/>
      </c>
      <c r="O2411" s="15" t="str">
        <f>IFERROR(VLOOKUP(I2411,material!A:D,2,0),"")</f>
        <v/>
      </c>
    </row>
    <row r="2412">
      <c r="A2412" s="6"/>
      <c r="B2412" s="7"/>
      <c r="C2412" s="8" t="str">
        <f t="array" ref="C2412">IFERROR(INDEX(atlas!H:H,MATCH(A2412,atlas!C:C,0)),"")</f>
        <v/>
      </c>
      <c r="D2412" s="8" t="str">
        <f t="array" ref="D2412">IFERROR(INDEX(atlas!D:D,MATCH(A2412,atlas!C:C,0)),"")</f>
        <v/>
      </c>
      <c r="E2412" s="8" t="str">
        <f t="array" ref="E2412">IFERROR(INDEX(atlas!F:F,MATCH(A2412,atlas!C:C,0)),"")</f>
        <v/>
      </c>
      <c r="F2412" s="9"/>
      <c r="G2412" s="10"/>
      <c r="H2412" s="11"/>
      <c r="I2412" s="12" t="str">
        <f t="array" ref="I2412">IFERROR(INDEX(atlas!B:B,MATCH(A2412,atlas!C:C,0)),"")</f>
        <v/>
      </c>
      <c r="J2412" s="8" t="str">
        <f>IFERROR(VLOOKUP(F2412,tecnica!A:B,2,0),"")</f>
        <v/>
      </c>
      <c r="K2412" s="8" t="str">
        <f>IFERROR(VLOOKUP(J2412,tecnica!B:C,2,0),"")</f>
        <v/>
      </c>
      <c r="L2412" s="13"/>
      <c r="M2412" s="14" t="str">
        <f>IFERROR(VLOOKUP(I2412,material!A:D,4,0),"")</f>
        <v/>
      </c>
      <c r="N2412" s="14" t="str">
        <f t="shared" si="1"/>
        <v/>
      </c>
      <c r="O2412" s="15" t="str">
        <f>IFERROR(VLOOKUP(I2412,material!A:D,2,0),"")</f>
        <v/>
      </c>
    </row>
    <row r="2413">
      <c r="A2413" s="6"/>
      <c r="B2413" s="7"/>
      <c r="C2413" s="8" t="str">
        <f t="array" ref="C2413">IFERROR(INDEX(atlas!H:H,MATCH(A2413,atlas!C:C,0)),"")</f>
        <v/>
      </c>
      <c r="D2413" s="8" t="str">
        <f t="array" ref="D2413">IFERROR(INDEX(atlas!D:D,MATCH(A2413,atlas!C:C,0)),"")</f>
        <v/>
      </c>
      <c r="E2413" s="8" t="str">
        <f t="array" ref="E2413">IFERROR(INDEX(atlas!F:F,MATCH(A2413,atlas!C:C,0)),"")</f>
        <v/>
      </c>
      <c r="F2413" s="9"/>
      <c r="G2413" s="10"/>
      <c r="H2413" s="11"/>
      <c r="I2413" s="12" t="str">
        <f t="array" ref="I2413">IFERROR(INDEX(atlas!B:B,MATCH(A2413,atlas!C:C,0)),"")</f>
        <v/>
      </c>
      <c r="J2413" s="8" t="str">
        <f>IFERROR(VLOOKUP(F2413,tecnica!A:B,2,0),"")</f>
        <v/>
      </c>
      <c r="K2413" s="8" t="str">
        <f>IFERROR(VLOOKUP(J2413,tecnica!B:C,2,0),"")</f>
        <v/>
      </c>
      <c r="L2413" s="13"/>
      <c r="M2413" s="14" t="str">
        <f>IFERROR(VLOOKUP(I2413,material!A:D,4,0),"")</f>
        <v/>
      </c>
      <c r="N2413" s="14" t="str">
        <f t="shared" si="1"/>
        <v/>
      </c>
      <c r="O2413" s="15" t="str">
        <f>IFERROR(VLOOKUP(I2413,material!A:D,2,0),"")</f>
        <v/>
      </c>
    </row>
    <row r="2414">
      <c r="A2414" s="6"/>
      <c r="B2414" s="7"/>
      <c r="C2414" s="8" t="str">
        <f t="array" ref="C2414">IFERROR(INDEX(atlas!H:H,MATCH(A2414,atlas!C:C,0)),"")</f>
        <v/>
      </c>
      <c r="D2414" s="8" t="str">
        <f t="array" ref="D2414">IFERROR(INDEX(atlas!D:D,MATCH(A2414,atlas!C:C,0)),"")</f>
        <v/>
      </c>
      <c r="E2414" s="8" t="str">
        <f t="array" ref="E2414">IFERROR(INDEX(atlas!F:F,MATCH(A2414,atlas!C:C,0)),"")</f>
        <v/>
      </c>
      <c r="F2414" s="9"/>
      <c r="G2414" s="10"/>
      <c r="H2414" s="11"/>
      <c r="I2414" s="12" t="str">
        <f t="array" ref="I2414">IFERROR(INDEX(atlas!B:B,MATCH(A2414,atlas!C:C,0)),"")</f>
        <v/>
      </c>
      <c r="J2414" s="8" t="str">
        <f>IFERROR(VLOOKUP(F2414,tecnica!A:B,2,0),"")</f>
        <v/>
      </c>
      <c r="K2414" s="8" t="str">
        <f>IFERROR(VLOOKUP(J2414,tecnica!B:C,2,0),"")</f>
        <v/>
      </c>
      <c r="L2414" s="13"/>
      <c r="M2414" s="14" t="str">
        <f>IFERROR(VLOOKUP(I2414,material!A:D,4,0),"")</f>
        <v/>
      </c>
      <c r="N2414" s="14" t="str">
        <f t="shared" si="1"/>
        <v/>
      </c>
      <c r="O2414" s="15" t="str">
        <f>IFERROR(VLOOKUP(I2414,material!A:D,2,0),"")</f>
        <v/>
      </c>
    </row>
    <row r="2415">
      <c r="A2415" s="6"/>
      <c r="B2415" s="7"/>
      <c r="C2415" s="8" t="str">
        <f t="array" ref="C2415">IFERROR(INDEX(atlas!H:H,MATCH(A2415,atlas!C:C,0)),"")</f>
        <v/>
      </c>
      <c r="D2415" s="8" t="str">
        <f t="array" ref="D2415">IFERROR(INDEX(atlas!D:D,MATCH(A2415,atlas!C:C,0)),"")</f>
        <v/>
      </c>
      <c r="E2415" s="8" t="str">
        <f t="array" ref="E2415">IFERROR(INDEX(atlas!F:F,MATCH(A2415,atlas!C:C,0)),"")</f>
        <v/>
      </c>
      <c r="F2415" s="9"/>
      <c r="G2415" s="10"/>
      <c r="H2415" s="11"/>
      <c r="I2415" s="12" t="str">
        <f t="array" ref="I2415">IFERROR(INDEX(atlas!B:B,MATCH(A2415,atlas!C:C,0)),"")</f>
        <v/>
      </c>
      <c r="J2415" s="8" t="str">
        <f>IFERROR(VLOOKUP(F2415,tecnica!A:B,2,0),"")</f>
        <v/>
      </c>
      <c r="K2415" s="8" t="str">
        <f>IFERROR(VLOOKUP(J2415,tecnica!B:C,2,0),"")</f>
        <v/>
      </c>
      <c r="L2415" s="13"/>
      <c r="M2415" s="14" t="str">
        <f>IFERROR(VLOOKUP(I2415,material!A:D,4,0),"")</f>
        <v/>
      </c>
      <c r="N2415" s="14" t="str">
        <f t="shared" si="1"/>
        <v/>
      </c>
      <c r="O2415" s="15" t="str">
        <f>IFERROR(VLOOKUP(I2415,material!A:D,2,0),"")</f>
        <v/>
      </c>
    </row>
    <row r="2416">
      <c r="A2416" s="6"/>
      <c r="B2416" s="7"/>
      <c r="C2416" s="8" t="str">
        <f t="array" ref="C2416">IFERROR(INDEX(atlas!H:H,MATCH(A2416,atlas!C:C,0)),"")</f>
        <v/>
      </c>
      <c r="D2416" s="8" t="str">
        <f t="array" ref="D2416">IFERROR(INDEX(atlas!D:D,MATCH(A2416,atlas!C:C,0)),"")</f>
        <v/>
      </c>
      <c r="E2416" s="8" t="str">
        <f t="array" ref="E2416">IFERROR(INDEX(atlas!F:F,MATCH(A2416,atlas!C:C,0)),"")</f>
        <v/>
      </c>
      <c r="F2416" s="9"/>
      <c r="G2416" s="10"/>
      <c r="H2416" s="11"/>
      <c r="I2416" s="12" t="str">
        <f t="array" ref="I2416">IFERROR(INDEX(atlas!B:B,MATCH(A2416,atlas!C:C,0)),"")</f>
        <v/>
      </c>
      <c r="J2416" s="8" t="str">
        <f>IFERROR(VLOOKUP(F2416,tecnica!A:B,2,0),"")</f>
        <v/>
      </c>
      <c r="K2416" s="8" t="str">
        <f>IFERROR(VLOOKUP(J2416,tecnica!B:C,2,0),"")</f>
        <v/>
      </c>
      <c r="L2416" s="13"/>
      <c r="M2416" s="14" t="str">
        <f>IFERROR(VLOOKUP(I2416,material!A:D,4,0),"")</f>
        <v/>
      </c>
      <c r="N2416" s="14" t="str">
        <f t="shared" si="1"/>
        <v/>
      </c>
      <c r="O2416" s="15" t="str">
        <f>IFERROR(VLOOKUP(I2416,material!A:D,2,0),"")</f>
        <v/>
      </c>
    </row>
    <row r="2417">
      <c r="A2417" s="6"/>
      <c r="B2417" s="7"/>
      <c r="C2417" s="8" t="str">
        <f t="array" ref="C2417">IFERROR(INDEX(atlas!H:H,MATCH(A2417,atlas!C:C,0)),"")</f>
        <v/>
      </c>
      <c r="D2417" s="8" t="str">
        <f t="array" ref="D2417">IFERROR(INDEX(atlas!D:D,MATCH(A2417,atlas!C:C,0)),"")</f>
        <v/>
      </c>
      <c r="E2417" s="8" t="str">
        <f t="array" ref="E2417">IFERROR(INDEX(atlas!F:F,MATCH(A2417,atlas!C:C,0)),"")</f>
        <v/>
      </c>
      <c r="F2417" s="9"/>
      <c r="G2417" s="10"/>
      <c r="H2417" s="11"/>
      <c r="I2417" s="12" t="str">
        <f t="array" ref="I2417">IFERROR(INDEX(atlas!B:B,MATCH(A2417,atlas!C:C,0)),"")</f>
        <v/>
      </c>
      <c r="J2417" s="8" t="str">
        <f>IFERROR(VLOOKUP(F2417,tecnica!A:B,2,0),"")</f>
        <v/>
      </c>
      <c r="K2417" s="8" t="str">
        <f>IFERROR(VLOOKUP(J2417,tecnica!B:C,2,0),"")</f>
        <v/>
      </c>
      <c r="L2417" s="13"/>
      <c r="M2417" s="14" t="str">
        <f>IFERROR(VLOOKUP(I2417,material!A:D,4,0),"")</f>
        <v/>
      </c>
      <c r="N2417" s="14" t="str">
        <f t="shared" si="1"/>
        <v/>
      </c>
      <c r="O2417" s="15" t="str">
        <f>IFERROR(VLOOKUP(I2417,material!A:D,2,0),"")</f>
        <v/>
      </c>
    </row>
    <row r="2418">
      <c r="A2418" s="6"/>
      <c r="B2418" s="7"/>
      <c r="C2418" s="8" t="str">
        <f t="array" ref="C2418">IFERROR(INDEX(atlas!H:H,MATCH(A2418,atlas!C:C,0)),"")</f>
        <v/>
      </c>
      <c r="D2418" s="8" t="str">
        <f t="array" ref="D2418">IFERROR(INDEX(atlas!D:D,MATCH(A2418,atlas!C:C,0)),"")</f>
        <v/>
      </c>
      <c r="E2418" s="8" t="str">
        <f t="array" ref="E2418">IFERROR(INDEX(atlas!F:F,MATCH(A2418,atlas!C:C,0)),"")</f>
        <v/>
      </c>
      <c r="F2418" s="9"/>
      <c r="G2418" s="10"/>
      <c r="H2418" s="11"/>
      <c r="I2418" s="12" t="str">
        <f t="array" ref="I2418">IFERROR(INDEX(atlas!B:B,MATCH(A2418,atlas!C:C,0)),"")</f>
        <v/>
      </c>
      <c r="J2418" s="8" t="str">
        <f>IFERROR(VLOOKUP(F2418,tecnica!A:B,2,0),"")</f>
        <v/>
      </c>
      <c r="K2418" s="8" t="str">
        <f>IFERROR(VLOOKUP(J2418,tecnica!B:C,2,0),"")</f>
        <v/>
      </c>
      <c r="L2418" s="13"/>
      <c r="M2418" s="14" t="str">
        <f>IFERROR(VLOOKUP(I2418,material!A:D,4,0),"")</f>
        <v/>
      </c>
      <c r="N2418" s="14" t="str">
        <f t="shared" si="1"/>
        <v/>
      </c>
      <c r="O2418" s="15" t="str">
        <f>IFERROR(VLOOKUP(I2418,material!A:D,2,0),"")</f>
        <v/>
      </c>
    </row>
    <row r="2419">
      <c r="A2419" s="6"/>
      <c r="B2419" s="7"/>
      <c r="C2419" s="8" t="str">
        <f t="array" ref="C2419">IFERROR(INDEX(atlas!H:H,MATCH(A2419,atlas!C:C,0)),"")</f>
        <v/>
      </c>
      <c r="D2419" s="8" t="str">
        <f t="array" ref="D2419">IFERROR(INDEX(atlas!D:D,MATCH(A2419,atlas!C:C,0)),"")</f>
        <v/>
      </c>
      <c r="E2419" s="8" t="str">
        <f t="array" ref="E2419">IFERROR(INDEX(atlas!F:F,MATCH(A2419,atlas!C:C,0)),"")</f>
        <v/>
      </c>
      <c r="F2419" s="9"/>
      <c r="G2419" s="10"/>
      <c r="H2419" s="11"/>
      <c r="I2419" s="12" t="str">
        <f t="array" ref="I2419">IFERROR(INDEX(atlas!B:B,MATCH(A2419,atlas!C:C,0)),"")</f>
        <v/>
      </c>
      <c r="J2419" s="8" t="str">
        <f>IFERROR(VLOOKUP(F2419,tecnica!A:B,2,0),"")</f>
        <v/>
      </c>
      <c r="K2419" s="8" t="str">
        <f>IFERROR(VLOOKUP(J2419,tecnica!B:C,2,0),"")</f>
        <v/>
      </c>
      <c r="L2419" s="13"/>
      <c r="M2419" s="14" t="str">
        <f>IFERROR(VLOOKUP(I2419,material!A:D,4,0),"")</f>
        <v/>
      </c>
      <c r="N2419" s="14" t="str">
        <f t="shared" si="1"/>
        <v/>
      </c>
      <c r="O2419" s="15" t="str">
        <f>IFERROR(VLOOKUP(I2419,material!A:D,2,0),"")</f>
        <v/>
      </c>
    </row>
    <row r="2420">
      <c r="A2420" s="6"/>
      <c r="B2420" s="7"/>
      <c r="C2420" s="8" t="str">
        <f t="array" ref="C2420">IFERROR(INDEX(atlas!H:H,MATCH(A2420,atlas!C:C,0)),"")</f>
        <v/>
      </c>
      <c r="D2420" s="8" t="str">
        <f t="array" ref="D2420">IFERROR(INDEX(atlas!D:D,MATCH(A2420,atlas!C:C,0)),"")</f>
        <v/>
      </c>
      <c r="E2420" s="8" t="str">
        <f t="array" ref="E2420">IFERROR(INDEX(atlas!F:F,MATCH(A2420,atlas!C:C,0)),"")</f>
        <v/>
      </c>
      <c r="F2420" s="9"/>
      <c r="G2420" s="10"/>
      <c r="H2420" s="11"/>
      <c r="I2420" s="12" t="str">
        <f t="array" ref="I2420">IFERROR(INDEX(atlas!B:B,MATCH(A2420,atlas!C:C,0)),"")</f>
        <v/>
      </c>
      <c r="J2420" s="8" t="str">
        <f>IFERROR(VLOOKUP(F2420,tecnica!A:B,2,0),"")</f>
        <v/>
      </c>
      <c r="K2420" s="8" t="str">
        <f>IFERROR(VLOOKUP(J2420,tecnica!B:C,2,0),"")</f>
        <v/>
      </c>
      <c r="L2420" s="13"/>
      <c r="M2420" s="14" t="str">
        <f>IFERROR(VLOOKUP(I2420,material!A:D,4,0),"")</f>
        <v/>
      </c>
      <c r="N2420" s="14" t="str">
        <f t="shared" si="1"/>
        <v/>
      </c>
      <c r="O2420" s="15" t="str">
        <f>IFERROR(VLOOKUP(I2420,material!A:D,2,0),"")</f>
        <v/>
      </c>
    </row>
    <row r="2421">
      <c r="A2421" s="6"/>
      <c r="B2421" s="7"/>
      <c r="C2421" s="8" t="str">
        <f t="array" ref="C2421">IFERROR(INDEX(atlas!H:H,MATCH(A2421,atlas!C:C,0)),"")</f>
        <v/>
      </c>
      <c r="D2421" s="8" t="str">
        <f t="array" ref="D2421">IFERROR(INDEX(atlas!D:D,MATCH(A2421,atlas!C:C,0)),"")</f>
        <v/>
      </c>
      <c r="E2421" s="8" t="str">
        <f t="array" ref="E2421">IFERROR(INDEX(atlas!F:F,MATCH(A2421,atlas!C:C,0)),"")</f>
        <v/>
      </c>
      <c r="F2421" s="9"/>
      <c r="G2421" s="10"/>
      <c r="H2421" s="11"/>
      <c r="I2421" s="12" t="str">
        <f t="array" ref="I2421">IFERROR(INDEX(atlas!B:B,MATCH(A2421,atlas!C:C,0)),"")</f>
        <v/>
      </c>
      <c r="J2421" s="8" t="str">
        <f>IFERROR(VLOOKUP(F2421,tecnica!A:B,2,0),"")</f>
        <v/>
      </c>
      <c r="K2421" s="8" t="str">
        <f>IFERROR(VLOOKUP(J2421,tecnica!B:C,2,0),"")</f>
        <v/>
      </c>
      <c r="L2421" s="13"/>
      <c r="M2421" s="14" t="str">
        <f>IFERROR(VLOOKUP(I2421,material!A:D,4,0),"")</f>
        <v/>
      </c>
      <c r="N2421" s="14" t="str">
        <f t="shared" si="1"/>
        <v/>
      </c>
      <c r="O2421" s="15" t="str">
        <f>IFERROR(VLOOKUP(I2421,material!A:D,2,0),"")</f>
        <v/>
      </c>
    </row>
    <row r="2422">
      <c r="A2422" s="6"/>
      <c r="B2422" s="7"/>
      <c r="C2422" s="8" t="str">
        <f t="array" ref="C2422">IFERROR(INDEX(atlas!H:H,MATCH(A2422,atlas!C:C,0)),"")</f>
        <v/>
      </c>
      <c r="D2422" s="8" t="str">
        <f t="array" ref="D2422">IFERROR(INDEX(atlas!D:D,MATCH(A2422,atlas!C:C,0)),"")</f>
        <v/>
      </c>
      <c r="E2422" s="8" t="str">
        <f t="array" ref="E2422">IFERROR(INDEX(atlas!F:F,MATCH(A2422,atlas!C:C,0)),"")</f>
        <v/>
      </c>
      <c r="F2422" s="9"/>
      <c r="G2422" s="10"/>
      <c r="H2422" s="11"/>
      <c r="I2422" s="12" t="str">
        <f t="array" ref="I2422">IFERROR(INDEX(atlas!B:B,MATCH(A2422,atlas!C:C,0)),"")</f>
        <v/>
      </c>
      <c r="J2422" s="8" t="str">
        <f>IFERROR(VLOOKUP(F2422,tecnica!A:B,2,0),"")</f>
        <v/>
      </c>
      <c r="K2422" s="8" t="str">
        <f>IFERROR(VLOOKUP(J2422,tecnica!B:C,2,0),"")</f>
        <v/>
      </c>
      <c r="L2422" s="13"/>
      <c r="M2422" s="14" t="str">
        <f>IFERROR(VLOOKUP(I2422,material!A:D,4,0),"")</f>
        <v/>
      </c>
      <c r="N2422" s="14" t="str">
        <f t="shared" si="1"/>
        <v/>
      </c>
      <c r="O2422" s="15" t="str">
        <f>IFERROR(VLOOKUP(I2422,material!A:D,2,0),"")</f>
        <v/>
      </c>
    </row>
    <row r="2423">
      <c r="A2423" s="6"/>
      <c r="B2423" s="7"/>
      <c r="C2423" s="8" t="str">
        <f t="array" ref="C2423">IFERROR(INDEX(atlas!H:H,MATCH(A2423,atlas!C:C,0)),"")</f>
        <v/>
      </c>
      <c r="D2423" s="8" t="str">
        <f t="array" ref="D2423">IFERROR(INDEX(atlas!D:D,MATCH(A2423,atlas!C:C,0)),"")</f>
        <v/>
      </c>
      <c r="E2423" s="8" t="str">
        <f t="array" ref="E2423">IFERROR(INDEX(atlas!F:F,MATCH(A2423,atlas!C:C,0)),"")</f>
        <v/>
      </c>
      <c r="F2423" s="9"/>
      <c r="G2423" s="10"/>
      <c r="H2423" s="11"/>
      <c r="I2423" s="12" t="str">
        <f t="array" ref="I2423">IFERROR(INDEX(atlas!B:B,MATCH(A2423,atlas!C:C,0)),"")</f>
        <v/>
      </c>
      <c r="J2423" s="8" t="str">
        <f>IFERROR(VLOOKUP(F2423,tecnica!A:B,2,0),"")</f>
        <v/>
      </c>
      <c r="K2423" s="8" t="str">
        <f>IFERROR(VLOOKUP(J2423,tecnica!B:C,2,0),"")</f>
        <v/>
      </c>
      <c r="L2423" s="13"/>
      <c r="M2423" s="14" t="str">
        <f>IFERROR(VLOOKUP(I2423,material!A:D,4,0),"")</f>
        <v/>
      </c>
      <c r="N2423" s="14" t="str">
        <f t="shared" si="1"/>
        <v/>
      </c>
      <c r="O2423" s="15" t="str">
        <f>IFERROR(VLOOKUP(I2423,material!A:D,2,0),"")</f>
        <v/>
      </c>
    </row>
    <row r="2424">
      <c r="A2424" s="6"/>
      <c r="B2424" s="7"/>
      <c r="C2424" s="8" t="str">
        <f t="array" ref="C2424">IFERROR(INDEX(atlas!H:H,MATCH(A2424,atlas!C:C,0)),"")</f>
        <v/>
      </c>
      <c r="D2424" s="8" t="str">
        <f t="array" ref="D2424">IFERROR(INDEX(atlas!D:D,MATCH(A2424,atlas!C:C,0)),"")</f>
        <v/>
      </c>
      <c r="E2424" s="8" t="str">
        <f t="array" ref="E2424">IFERROR(INDEX(atlas!F:F,MATCH(A2424,atlas!C:C,0)),"")</f>
        <v/>
      </c>
      <c r="F2424" s="9"/>
      <c r="G2424" s="10"/>
      <c r="H2424" s="11"/>
      <c r="I2424" s="12" t="str">
        <f t="array" ref="I2424">IFERROR(INDEX(atlas!B:B,MATCH(A2424,atlas!C:C,0)),"")</f>
        <v/>
      </c>
      <c r="J2424" s="8" t="str">
        <f>IFERROR(VLOOKUP(F2424,tecnica!A:B,2,0),"")</f>
        <v/>
      </c>
      <c r="K2424" s="8" t="str">
        <f>IFERROR(VLOOKUP(J2424,tecnica!B:C,2,0),"")</f>
        <v/>
      </c>
      <c r="L2424" s="13"/>
      <c r="M2424" s="14" t="str">
        <f>IFERROR(VLOOKUP(I2424,material!A:D,4,0),"")</f>
        <v/>
      </c>
      <c r="N2424" s="14" t="str">
        <f t="shared" si="1"/>
        <v/>
      </c>
      <c r="O2424" s="15" t="str">
        <f>IFERROR(VLOOKUP(I2424,material!A:D,2,0),"")</f>
        <v/>
      </c>
    </row>
    <row r="2425">
      <c r="A2425" s="6"/>
      <c r="B2425" s="7"/>
      <c r="C2425" s="8" t="str">
        <f t="array" ref="C2425">IFERROR(INDEX(atlas!H:H,MATCH(A2425,atlas!C:C,0)),"")</f>
        <v/>
      </c>
      <c r="D2425" s="8" t="str">
        <f t="array" ref="D2425">IFERROR(INDEX(atlas!D:D,MATCH(A2425,atlas!C:C,0)),"")</f>
        <v/>
      </c>
      <c r="E2425" s="8" t="str">
        <f t="array" ref="E2425">IFERROR(INDEX(atlas!F:F,MATCH(A2425,atlas!C:C,0)),"")</f>
        <v/>
      </c>
      <c r="F2425" s="9"/>
      <c r="G2425" s="10"/>
      <c r="H2425" s="11"/>
      <c r="I2425" s="12" t="str">
        <f t="array" ref="I2425">IFERROR(INDEX(atlas!B:B,MATCH(A2425,atlas!C:C,0)),"")</f>
        <v/>
      </c>
      <c r="J2425" s="8" t="str">
        <f>IFERROR(VLOOKUP(F2425,tecnica!A:B,2,0),"")</f>
        <v/>
      </c>
      <c r="K2425" s="8" t="str">
        <f>IFERROR(VLOOKUP(J2425,tecnica!B:C,2,0),"")</f>
        <v/>
      </c>
      <c r="L2425" s="13"/>
      <c r="M2425" s="14" t="str">
        <f>IFERROR(VLOOKUP(I2425,material!A:D,4,0),"")</f>
        <v/>
      </c>
      <c r="N2425" s="14" t="str">
        <f t="shared" si="1"/>
        <v/>
      </c>
      <c r="O2425" s="15" t="str">
        <f>IFERROR(VLOOKUP(I2425,material!A:D,2,0),"")</f>
        <v/>
      </c>
    </row>
    <row r="2426">
      <c r="A2426" s="6"/>
      <c r="B2426" s="7"/>
      <c r="C2426" s="8" t="str">
        <f t="array" ref="C2426">IFERROR(INDEX(atlas!H:H,MATCH(A2426,atlas!C:C,0)),"")</f>
        <v/>
      </c>
      <c r="D2426" s="8" t="str">
        <f t="array" ref="D2426">IFERROR(INDEX(atlas!D:D,MATCH(A2426,atlas!C:C,0)),"")</f>
        <v/>
      </c>
      <c r="E2426" s="8" t="str">
        <f t="array" ref="E2426">IFERROR(INDEX(atlas!F:F,MATCH(A2426,atlas!C:C,0)),"")</f>
        <v/>
      </c>
      <c r="F2426" s="9"/>
      <c r="G2426" s="10"/>
      <c r="H2426" s="11"/>
      <c r="I2426" s="12" t="str">
        <f t="array" ref="I2426">IFERROR(INDEX(atlas!B:B,MATCH(A2426,atlas!C:C,0)),"")</f>
        <v/>
      </c>
      <c r="J2426" s="8" t="str">
        <f>IFERROR(VLOOKUP(F2426,tecnica!A:B,2,0),"")</f>
        <v/>
      </c>
      <c r="K2426" s="8" t="str">
        <f>IFERROR(VLOOKUP(J2426,tecnica!B:C,2,0),"")</f>
        <v/>
      </c>
      <c r="L2426" s="13"/>
      <c r="M2426" s="14" t="str">
        <f>IFERROR(VLOOKUP(I2426,material!A:D,4,0),"")</f>
        <v/>
      </c>
      <c r="N2426" s="14" t="str">
        <f t="shared" si="1"/>
        <v/>
      </c>
      <c r="O2426" s="15" t="str">
        <f>IFERROR(VLOOKUP(I2426,material!A:D,2,0),"")</f>
        <v/>
      </c>
    </row>
    <row r="2427">
      <c r="A2427" s="6"/>
      <c r="B2427" s="7"/>
      <c r="C2427" s="8" t="str">
        <f t="array" ref="C2427">IFERROR(INDEX(atlas!H:H,MATCH(A2427,atlas!C:C,0)),"")</f>
        <v/>
      </c>
      <c r="D2427" s="8" t="str">
        <f t="array" ref="D2427">IFERROR(INDEX(atlas!D:D,MATCH(A2427,atlas!C:C,0)),"")</f>
        <v/>
      </c>
      <c r="E2427" s="8" t="str">
        <f t="array" ref="E2427">IFERROR(INDEX(atlas!F:F,MATCH(A2427,atlas!C:C,0)),"")</f>
        <v/>
      </c>
      <c r="F2427" s="9"/>
      <c r="G2427" s="10"/>
      <c r="H2427" s="11"/>
      <c r="I2427" s="12" t="str">
        <f t="array" ref="I2427">IFERROR(INDEX(atlas!B:B,MATCH(A2427,atlas!C:C,0)),"")</f>
        <v/>
      </c>
      <c r="J2427" s="8" t="str">
        <f>IFERROR(VLOOKUP(F2427,tecnica!A:B,2,0),"")</f>
        <v/>
      </c>
      <c r="K2427" s="8" t="str">
        <f>IFERROR(VLOOKUP(J2427,tecnica!B:C,2,0),"")</f>
        <v/>
      </c>
      <c r="L2427" s="13"/>
      <c r="M2427" s="14" t="str">
        <f>IFERROR(VLOOKUP(I2427,material!A:D,4,0),"")</f>
        <v/>
      </c>
      <c r="N2427" s="14" t="str">
        <f t="shared" si="1"/>
        <v/>
      </c>
      <c r="O2427" s="15" t="str">
        <f>IFERROR(VLOOKUP(I2427,material!A:D,2,0),"")</f>
        <v/>
      </c>
    </row>
    <row r="2428">
      <c r="A2428" s="6"/>
      <c r="B2428" s="7"/>
      <c r="C2428" s="8" t="str">
        <f t="array" ref="C2428">IFERROR(INDEX(atlas!H:H,MATCH(A2428,atlas!C:C,0)),"")</f>
        <v/>
      </c>
      <c r="D2428" s="8" t="str">
        <f t="array" ref="D2428">IFERROR(INDEX(atlas!D:D,MATCH(A2428,atlas!C:C,0)),"")</f>
        <v/>
      </c>
      <c r="E2428" s="8" t="str">
        <f t="array" ref="E2428">IFERROR(INDEX(atlas!F:F,MATCH(A2428,atlas!C:C,0)),"")</f>
        <v/>
      </c>
      <c r="F2428" s="9"/>
      <c r="G2428" s="10"/>
      <c r="H2428" s="11"/>
      <c r="I2428" s="12" t="str">
        <f t="array" ref="I2428">IFERROR(INDEX(atlas!B:B,MATCH(A2428,atlas!C:C,0)),"")</f>
        <v/>
      </c>
      <c r="J2428" s="8" t="str">
        <f>IFERROR(VLOOKUP(F2428,tecnica!A:B,2,0),"")</f>
        <v/>
      </c>
      <c r="K2428" s="8" t="str">
        <f>IFERROR(VLOOKUP(J2428,tecnica!B:C,2,0),"")</f>
        <v/>
      </c>
      <c r="L2428" s="13"/>
      <c r="M2428" s="14" t="str">
        <f>IFERROR(VLOOKUP(I2428,material!A:D,4,0),"")</f>
        <v/>
      </c>
      <c r="N2428" s="14" t="str">
        <f t="shared" si="1"/>
        <v/>
      </c>
      <c r="O2428" s="15" t="str">
        <f>IFERROR(VLOOKUP(I2428,material!A:D,2,0),"")</f>
        <v/>
      </c>
    </row>
    <row r="2429">
      <c r="A2429" s="6"/>
      <c r="B2429" s="7"/>
      <c r="C2429" s="8" t="str">
        <f t="array" ref="C2429">IFERROR(INDEX(atlas!H:H,MATCH(A2429,atlas!C:C,0)),"")</f>
        <v/>
      </c>
      <c r="D2429" s="8" t="str">
        <f t="array" ref="D2429">IFERROR(INDEX(atlas!D:D,MATCH(A2429,atlas!C:C,0)),"")</f>
        <v/>
      </c>
      <c r="E2429" s="8" t="str">
        <f t="array" ref="E2429">IFERROR(INDEX(atlas!F:F,MATCH(A2429,atlas!C:C,0)),"")</f>
        <v/>
      </c>
      <c r="F2429" s="9"/>
      <c r="G2429" s="10"/>
      <c r="H2429" s="11"/>
      <c r="I2429" s="12" t="str">
        <f t="array" ref="I2429">IFERROR(INDEX(atlas!B:B,MATCH(A2429,atlas!C:C,0)),"")</f>
        <v/>
      </c>
      <c r="J2429" s="8" t="str">
        <f>IFERROR(VLOOKUP(F2429,tecnica!A:B,2,0),"")</f>
        <v/>
      </c>
      <c r="K2429" s="8" t="str">
        <f>IFERROR(VLOOKUP(J2429,tecnica!B:C,2,0),"")</f>
        <v/>
      </c>
      <c r="L2429" s="13"/>
      <c r="M2429" s="14" t="str">
        <f>IFERROR(VLOOKUP(I2429,material!A:D,4,0),"")</f>
        <v/>
      </c>
      <c r="N2429" s="14" t="str">
        <f t="shared" si="1"/>
        <v/>
      </c>
      <c r="O2429" s="15" t="str">
        <f>IFERROR(VLOOKUP(I2429,material!A:D,2,0),"")</f>
        <v/>
      </c>
    </row>
    <row r="2430">
      <c r="A2430" s="6"/>
      <c r="B2430" s="7"/>
      <c r="C2430" s="8" t="str">
        <f t="array" ref="C2430">IFERROR(INDEX(atlas!H:H,MATCH(A2430,atlas!C:C,0)),"")</f>
        <v/>
      </c>
      <c r="D2430" s="8" t="str">
        <f t="array" ref="D2430">IFERROR(INDEX(atlas!D:D,MATCH(A2430,atlas!C:C,0)),"")</f>
        <v/>
      </c>
      <c r="E2430" s="8" t="str">
        <f t="array" ref="E2430">IFERROR(INDEX(atlas!F:F,MATCH(A2430,atlas!C:C,0)),"")</f>
        <v/>
      </c>
      <c r="F2430" s="9"/>
      <c r="G2430" s="10"/>
      <c r="H2430" s="11"/>
      <c r="I2430" s="12" t="str">
        <f t="array" ref="I2430">IFERROR(INDEX(atlas!B:B,MATCH(A2430,atlas!C:C,0)),"")</f>
        <v/>
      </c>
      <c r="J2430" s="8" t="str">
        <f>IFERROR(VLOOKUP(F2430,tecnica!A:B,2,0),"")</f>
        <v/>
      </c>
      <c r="K2430" s="8" t="str">
        <f>IFERROR(VLOOKUP(J2430,tecnica!B:C,2,0),"")</f>
        <v/>
      </c>
      <c r="L2430" s="13"/>
      <c r="M2430" s="14" t="str">
        <f>IFERROR(VLOOKUP(I2430,material!A:D,4,0),"")</f>
        <v/>
      </c>
      <c r="N2430" s="14" t="str">
        <f t="shared" si="1"/>
        <v/>
      </c>
      <c r="O2430" s="15" t="str">
        <f>IFERROR(VLOOKUP(I2430,material!A:D,2,0),"")</f>
        <v/>
      </c>
    </row>
    <row r="2431">
      <c r="A2431" s="6"/>
      <c r="B2431" s="7"/>
      <c r="C2431" s="8" t="str">
        <f t="array" ref="C2431">IFERROR(INDEX(atlas!H:H,MATCH(A2431,atlas!C:C,0)),"")</f>
        <v/>
      </c>
      <c r="D2431" s="8" t="str">
        <f t="array" ref="D2431">IFERROR(INDEX(atlas!D:D,MATCH(A2431,atlas!C:C,0)),"")</f>
        <v/>
      </c>
      <c r="E2431" s="8" t="str">
        <f t="array" ref="E2431">IFERROR(INDEX(atlas!F:F,MATCH(A2431,atlas!C:C,0)),"")</f>
        <v/>
      </c>
      <c r="F2431" s="9"/>
      <c r="G2431" s="10"/>
      <c r="H2431" s="11"/>
      <c r="I2431" s="12" t="str">
        <f t="array" ref="I2431">IFERROR(INDEX(atlas!B:B,MATCH(A2431,atlas!C:C,0)),"")</f>
        <v/>
      </c>
      <c r="J2431" s="8" t="str">
        <f>IFERROR(VLOOKUP(F2431,tecnica!A:B,2,0),"")</f>
        <v/>
      </c>
      <c r="K2431" s="8" t="str">
        <f>IFERROR(VLOOKUP(J2431,tecnica!B:C,2,0),"")</f>
        <v/>
      </c>
      <c r="L2431" s="13"/>
      <c r="M2431" s="14" t="str">
        <f>IFERROR(VLOOKUP(I2431,material!A:D,4,0),"")</f>
        <v/>
      </c>
      <c r="N2431" s="14" t="str">
        <f t="shared" si="1"/>
        <v/>
      </c>
      <c r="O2431" s="15" t="str">
        <f>IFERROR(VLOOKUP(I2431,material!A:D,2,0),"")</f>
        <v/>
      </c>
    </row>
    <row r="2432">
      <c r="A2432" s="6"/>
      <c r="B2432" s="7"/>
      <c r="C2432" s="8" t="str">
        <f t="array" ref="C2432">IFERROR(INDEX(atlas!H:H,MATCH(A2432,atlas!C:C,0)),"")</f>
        <v/>
      </c>
      <c r="D2432" s="8" t="str">
        <f t="array" ref="D2432">IFERROR(INDEX(atlas!D:D,MATCH(A2432,atlas!C:C,0)),"")</f>
        <v/>
      </c>
      <c r="E2432" s="8" t="str">
        <f t="array" ref="E2432">IFERROR(INDEX(atlas!F:F,MATCH(A2432,atlas!C:C,0)),"")</f>
        <v/>
      </c>
      <c r="F2432" s="9"/>
      <c r="G2432" s="10"/>
      <c r="H2432" s="11"/>
      <c r="I2432" s="12" t="str">
        <f t="array" ref="I2432">IFERROR(INDEX(atlas!B:B,MATCH(A2432,atlas!C:C,0)),"")</f>
        <v/>
      </c>
      <c r="J2432" s="8" t="str">
        <f>IFERROR(VLOOKUP(F2432,tecnica!A:B,2,0),"")</f>
        <v/>
      </c>
      <c r="K2432" s="8" t="str">
        <f>IFERROR(VLOOKUP(J2432,tecnica!B:C,2,0),"")</f>
        <v/>
      </c>
      <c r="L2432" s="13"/>
      <c r="M2432" s="14" t="str">
        <f>IFERROR(VLOOKUP(I2432,material!A:D,4,0),"")</f>
        <v/>
      </c>
      <c r="N2432" s="14" t="str">
        <f t="shared" si="1"/>
        <v/>
      </c>
      <c r="O2432" s="15" t="str">
        <f>IFERROR(VLOOKUP(I2432,material!A:D,2,0),"")</f>
        <v/>
      </c>
    </row>
    <row r="2433">
      <c r="A2433" s="6"/>
      <c r="B2433" s="7"/>
      <c r="C2433" s="8" t="str">
        <f t="array" ref="C2433">IFERROR(INDEX(atlas!H:H,MATCH(A2433,atlas!C:C,0)),"")</f>
        <v/>
      </c>
      <c r="D2433" s="8" t="str">
        <f t="array" ref="D2433">IFERROR(INDEX(atlas!D:D,MATCH(A2433,atlas!C:C,0)),"")</f>
        <v/>
      </c>
      <c r="E2433" s="8" t="str">
        <f t="array" ref="E2433">IFERROR(INDEX(atlas!F:F,MATCH(A2433,atlas!C:C,0)),"")</f>
        <v/>
      </c>
      <c r="F2433" s="9"/>
      <c r="G2433" s="10"/>
      <c r="H2433" s="11"/>
      <c r="I2433" s="12" t="str">
        <f t="array" ref="I2433">IFERROR(INDEX(atlas!B:B,MATCH(A2433,atlas!C:C,0)),"")</f>
        <v/>
      </c>
      <c r="J2433" s="8" t="str">
        <f>IFERROR(VLOOKUP(F2433,tecnica!A:B,2,0),"")</f>
        <v/>
      </c>
      <c r="K2433" s="8" t="str">
        <f>IFERROR(VLOOKUP(J2433,tecnica!B:C,2,0),"")</f>
        <v/>
      </c>
      <c r="L2433" s="13"/>
      <c r="M2433" s="14" t="str">
        <f>IFERROR(VLOOKUP(I2433,material!A:D,4,0),"")</f>
        <v/>
      </c>
      <c r="N2433" s="14" t="str">
        <f t="shared" si="1"/>
        <v/>
      </c>
      <c r="O2433" s="15" t="str">
        <f>IFERROR(VLOOKUP(I2433,material!A:D,2,0),"")</f>
        <v/>
      </c>
    </row>
    <row r="2434">
      <c r="A2434" s="6"/>
      <c r="B2434" s="7"/>
      <c r="C2434" s="8" t="str">
        <f t="array" ref="C2434">IFERROR(INDEX(atlas!H:H,MATCH(A2434,atlas!C:C,0)),"")</f>
        <v/>
      </c>
      <c r="D2434" s="8" t="str">
        <f t="array" ref="D2434">IFERROR(INDEX(atlas!D:D,MATCH(A2434,atlas!C:C,0)),"")</f>
        <v/>
      </c>
      <c r="E2434" s="8" t="str">
        <f t="array" ref="E2434">IFERROR(INDEX(atlas!F:F,MATCH(A2434,atlas!C:C,0)),"")</f>
        <v/>
      </c>
      <c r="F2434" s="9"/>
      <c r="G2434" s="10"/>
      <c r="H2434" s="11"/>
      <c r="I2434" s="12" t="str">
        <f t="array" ref="I2434">IFERROR(INDEX(atlas!B:B,MATCH(A2434,atlas!C:C,0)),"")</f>
        <v/>
      </c>
      <c r="J2434" s="8" t="str">
        <f>IFERROR(VLOOKUP(F2434,tecnica!A:B,2,0),"")</f>
        <v/>
      </c>
      <c r="K2434" s="8" t="str">
        <f>IFERROR(VLOOKUP(J2434,tecnica!B:C,2,0),"")</f>
        <v/>
      </c>
      <c r="L2434" s="13"/>
      <c r="M2434" s="14" t="str">
        <f>IFERROR(VLOOKUP(I2434,material!A:D,4,0),"")</f>
        <v/>
      </c>
      <c r="N2434" s="14" t="str">
        <f t="shared" si="1"/>
        <v/>
      </c>
      <c r="O2434" s="15" t="str">
        <f>IFERROR(VLOOKUP(I2434,material!A:D,2,0),"")</f>
        <v/>
      </c>
    </row>
    <row r="2435">
      <c r="A2435" s="6"/>
      <c r="B2435" s="7"/>
      <c r="C2435" s="8" t="str">
        <f t="array" ref="C2435">IFERROR(INDEX(atlas!H:H,MATCH(A2435,atlas!C:C,0)),"")</f>
        <v/>
      </c>
      <c r="D2435" s="8" t="str">
        <f t="array" ref="D2435">IFERROR(INDEX(atlas!D:D,MATCH(A2435,atlas!C:C,0)),"")</f>
        <v/>
      </c>
      <c r="E2435" s="8" t="str">
        <f t="array" ref="E2435">IFERROR(INDEX(atlas!F:F,MATCH(A2435,atlas!C:C,0)),"")</f>
        <v/>
      </c>
      <c r="F2435" s="9"/>
      <c r="G2435" s="10"/>
      <c r="H2435" s="11"/>
      <c r="I2435" s="12" t="str">
        <f t="array" ref="I2435">IFERROR(INDEX(atlas!B:B,MATCH(A2435,atlas!C:C,0)),"")</f>
        <v/>
      </c>
      <c r="J2435" s="8" t="str">
        <f>IFERROR(VLOOKUP(F2435,tecnica!A:B,2,0),"")</f>
        <v/>
      </c>
      <c r="K2435" s="8" t="str">
        <f>IFERROR(VLOOKUP(J2435,tecnica!B:C,2,0),"")</f>
        <v/>
      </c>
      <c r="L2435" s="13"/>
      <c r="M2435" s="14" t="str">
        <f>IFERROR(VLOOKUP(I2435,material!A:D,4,0),"")</f>
        <v/>
      </c>
      <c r="N2435" s="14" t="str">
        <f t="shared" si="1"/>
        <v/>
      </c>
      <c r="O2435" s="15" t="str">
        <f>IFERROR(VLOOKUP(I2435,material!A:D,2,0),"")</f>
        <v/>
      </c>
    </row>
    <row r="2436">
      <c r="A2436" s="6"/>
      <c r="B2436" s="7"/>
      <c r="C2436" s="8" t="str">
        <f t="array" ref="C2436">IFERROR(INDEX(atlas!H:H,MATCH(A2436,atlas!C:C,0)),"")</f>
        <v/>
      </c>
      <c r="D2436" s="8" t="str">
        <f t="array" ref="D2436">IFERROR(INDEX(atlas!D:D,MATCH(A2436,atlas!C:C,0)),"")</f>
        <v/>
      </c>
      <c r="E2436" s="8" t="str">
        <f t="array" ref="E2436">IFERROR(INDEX(atlas!F:F,MATCH(A2436,atlas!C:C,0)),"")</f>
        <v/>
      </c>
      <c r="F2436" s="9"/>
      <c r="G2436" s="10"/>
      <c r="H2436" s="11"/>
      <c r="I2436" s="12" t="str">
        <f t="array" ref="I2436">IFERROR(INDEX(atlas!B:B,MATCH(A2436,atlas!C:C,0)),"")</f>
        <v/>
      </c>
      <c r="J2436" s="8" t="str">
        <f>IFERROR(VLOOKUP(F2436,tecnica!A:B,2,0),"")</f>
        <v/>
      </c>
      <c r="K2436" s="8" t="str">
        <f>IFERROR(VLOOKUP(J2436,tecnica!B:C,2,0),"")</f>
        <v/>
      </c>
      <c r="L2436" s="13"/>
      <c r="M2436" s="14" t="str">
        <f>IFERROR(VLOOKUP(I2436,material!A:D,4,0),"")</f>
        <v/>
      </c>
      <c r="N2436" s="14" t="str">
        <f t="shared" si="1"/>
        <v/>
      </c>
      <c r="O2436" s="15" t="str">
        <f>IFERROR(VLOOKUP(I2436,material!A:D,2,0),"")</f>
        <v/>
      </c>
    </row>
    <row r="2437">
      <c r="A2437" s="6"/>
      <c r="B2437" s="7"/>
      <c r="C2437" s="8" t="str">
        <f t="array" ref="C2437">IFERROR(INDEX(atlas!H:H,MATCH(A2437,atlas!C:C,0)),"")</f>
        <v/>
      </c>
      <c r="D2437" s="8" t="str">
        <f t="array" ref="D2437">IFERROR(INDEX(atlas!D:D,MATCH(A2437,atlas!C:C,0)),"")</f>
        <v/>
      </c>
      <c r="E2437" s="8" t="str">
        <f t="array" ref="E2437">IFERROR(INDEX(atlas!F:F,MATCH(A2437,atlas!C:C,0)),"")</f>
        <v/>
      </c>
      <c r="F2437" s="9"/>
      <c r="G2437" s="10"/>
      <c r="H2437" s="11"/>
      <c r="I2437" s="12" t="str">
        <f t="array" ref="I2437">IFERROR(INDEX(atlas!B:B,MATCH(A2437,atlas!C:C,0)),"")</f>
        <v/>
      </c>
      <c r="J2437" s="8" t="str">
        <f>IFERROR(VLOOKUP(F2437,tecnica!A:B,2,0),"")</f>
        <v/>
      </c>
      <c r="K2437" s="8" t="str">
        <f>IFERROR(VLOOKUP(J2437,tecnica!B:C,2,0),"")</f>
        <v/>
      </c>
      <c r="L2437" s="13"/>
      <c r="M2437" s="14" t="str">
        <f>IFERROR(VLOOKUP(I2437,material!A:D,4,0),"")</f>
        <v/>
      </c>
      <c r="N2437" s="14" t="str">
        <f t="shared" si="1"/>
        <v/>
      </c>
      <c r="O2437" s="15" t="str">
        <f>IFERROR(VLOOKUP(I2437,material!A:D,2,0),"")</f>
        <v/>
      </c>
    </row>
    <row r="2438">
      <c r="A2438" s="6"/>
      <c r="B2438" s="7"/>
      <c r="C2438" s="8" t="str">
        <f t="array" ref="C2438">IFERROR(INDEX(atlas!H:H,MATCH(A2438,atlas!C:C,0)),"")</f>
        <v/>
      </c>
      <c r="D2438" s="8" t="str">
        <f t="array" ref="D2438">IFERROR(INDEX(atlas!D:D,MATCH(A2438,atlas!C:C,0)),"")</f>
        <v/>
      </c>
      <c r="E2438" s="8" t="str">
        <f t="array" ref="E2438">IFERROR(INDEX(atlas!F:F,MATCH(A2438,atlas!C:C,0)),"")</f>
        <v/>
      </c>
      <c r="F2438" s="9"/>
      <c r="G2438" s="10"/>
      <c r="H2438" s="11"/>
      <c r="I2438" s="12" t="str">
        <f t="array" ref="I2438">IFERROR(INDEX(atlas!B:B,MATCH(A2438,atlas!C:C,0)),"")</f>
        <v/>
      </c>
      <c r="J2438" s="8" t="str">
        <f>IFERROR(VLOOKUP(F2438,tecnica!A:B,2,0),"")</f>
        <v/>
      </c>
      <c r="K2438" s="8" t="str">
        <f>IFERROR(VLOOKUP(J2438,tecnica!B:C,2,0),"")</f>
        <v/>
      </c>
      <c r="L2438" s="13"/>
      <c r="M2438" s="14" t="str">
        <f>IFERROR(VLOOKUP(I2438,material!A:D,4,0),"")</f>
        <v/>
      </c>
      <c r="N2438" s="14" t="str">
        <f t="shared" si="1"/>
        <v/>
      </c>
      <c r="O2438" s="15" t="str">
        <f>IFERROR(VLOOKUP(I2438,material!A:D,2,0),"")</f>
        <v/>
      </c>
    </row>
    <row r="2439">
      <c r="A2439" s="6"/>
      <c r="B2439" s="7"/>
      <c r="C2439" s="8" t="str">
        <f t="array" ref="C2439">IFERROR(INDEX(atlas!H:H,MATCH(A2439,atlas!C:C,0)),"")</f>
        <v/>
      </c>
      <c r="D2439" s="8" t="str">
        <f t="array" ref="D2439">IFERROR(INDEX(atlas!D:D,MATCH(A2439,atlas!C:C,0)),"")</f>
        <v/>
      </c>
      <c r="E2439" s="8" t="str">
        <f t="array" ref="E2439">IFERROR(INDEX(atlas!F:F,MATCH(A2439,atlas!C:C,0)),"")</f>
        <v/>
      </c>
      <c r="F2439" s="9"/>
      <c r="G2439" s="10"/>
      <c r="H2439" s="11"/>
      <c r="I2439" s="12" t="str">
        <f t="array" ref="I2439">IFERROR(INDEX(atlas!B:B,MATCH(A2439,atlas!C:C,0)),"")</f>
        <v/>
      </c>
      <c r="J2439" s="8" t="str">
        <f>IFERROR(VLOOKUP(F2439,tecnica!A:B,2,0),"")</f>
        <v/>
      </c>
      <c r="K2439" s="8" t="str">
        <f>IFERROR(VLOOKUP(J2439,tecnica!B:C,2,0),"")</f>
        <v/>
      </c>
      <c r="L2439" s="13"/>
      <c r="M2439" s="14" t="str">
        <f>IFERROR(VLOOKUP(I2439,material!A:D,4,0),"")</f>
        <v/>
      </c>
      <c r="N2439" s="14" t="str">
        <f t="shared" si="1"/>
        <v/>
      </c>
      <c r="O2439" s="15" t="str">
        <f>IFERROR(VLOOKUP(I2439,material!A:D,2,0),"")</f>
        <v/>
      </c>
    </row>
    <row r="2440">
      <c r="A2440" s="6"/>
      <c r="B2440" s="7"/>
      <c r="C2440" s="8" t="str">
        <f t="array" ref="C2440">IFERROR(INDEX(atlas!H:H,MATCH(A2440,atlas!C:C,0)),"")</f>
        <v/>
      </c>
      <c r="D2440" s="8" t="str">
        <f t="array" ref="D2440">IFERROR(INDEX(atlas!D:D,MATCH(A2440,atlas!C:C,0)),"")</f>
        <v/>
      </c>
      <c r="E2440" s="8" t="str">
        <f t="array" ref="E2440">IFERROR(INDEX(atlas!F:F,MATCH(A2440,atlas!C:C,0)),"")</f>
        <v/>
      </c>
      <c r="F2440" s="9"/>
      <c r="G2440" s="10"/>
      <c r="H2440" s="11"/>
      <c r="I2440" s="12" t="str">
        <f t="array" ref="I2440">IFERROR(INDEX(atlas!B:B,MATCH(A2440,atlas!C:C,0)),"")</f>
        <v/>
      </c>
      <c r="J2440" s="8" t="str">
        <f>IFERROR(VLOOKUP(F2440,tecnica!A:B,2,0),"")</f>
        <v/>
      </c>
      <c r="K2440" s="8" t="str">
        <f>IFERROR(VLOOKUP(J2440,tecnica!B:C,2,0),"")</f>
        <v/>
      </c>
      <c r="L2440" s="13"/>
      <c r="M2440" s="14" t="str">
        <f>IFERROR(VLOOKUP(I2440,material!A:D,4,0),"")</f>
        <v/>
      </c>
      <c r="N2440" s="14" t="str">
        <f t="shared" si="1"/>
        <v/>
      </c>
      <c r="O2440" s="15" t="str">
        <f>IFERROR(VLOOKUP(I2440,material!A:D,2,0),"")</f>
        <v/>
      </c>
    </row>
    <row r="2441">
      <c r="A2441" s="6"/>
      <c r="B2441" s="7"/>
      <c r="C2441" s="8" t="str">
        <f t="array" ref="C2441">IFERROR(INDEX(atlas!H:H,MATCH(A2441,atlas!C:C,0)),"")</f>
        <v/>
      </c>
      <c r="D2441" s="8" t="str">
        <f t="array" ref="D2441">IFERROR(INDEX(atlas!D:D,MATCH(A2441,atlas!C:C,0)),"")</f>
        <v/>
      </c>
      <c r="E2441" s="8" t="str">
        <f t="array" ref="E2441">IFERROR(INDEX(atlas!F:F,MATCH(A2441,atlas!C:C,0)),"")</f>
        <v/>
      </c>
      <c r="F2441" s="9"/>
      <c r="G2441" s="10"/>
      <c r="H2441" s="11"/>
      <c r="I2441" s="12" t="str">
        <f t="array" ref="I2441">IFERROR(INDEX(atlas!B:B,MATCH(A2441,atlas!C:C,0)),"")</f>
        <v/>
      </c>
      <c r="J2441" s="8" t="str">
        <f>IFERROR(VLOOKUP(F2441,tecnica!A:B,2,0),"")</f>
        <v/>
      </c>
      <c r="K2441" s="8" t="str">
        <f>IFERROR(VLOOKUP(J2441,tecnica!B:C,2,0),"")</f>
        <v/>
      </c>
      <c r="L2441" s="13"/>
      <c r="M2441" s="14" t="str">
        <f>IFERROR(VLOOKUP(I2441,material!A:D,4,0),"")</f>
        <v/>
      </c>
      <c r="N2441" s="14" t="str">
        <f t="shared" si="1"/>
        <v/>
      </c>
      <c r="O2441" s="15" t="str">
        <f>IFERROR(VLOOKUP(I2441,material!A:D,2,0),"")</f>
        <v/>
      </c>
    </row>
    <row r="2442">
      <c r="A2442" s="6"/>
      <c r="B2442" s="7"/>
      <c r="C2442" s="8" t="str">
        <f t="array" ref="C2442">IFERROR(INDEX(atlas!H:H,MATCH(A2442,atlas!C:C,0)),"")</f>
        <v/>
      </c>
      <c r="D2442" s="8" t="str">
        <f t="array" ref="D2442">IFERROR(INDEX(atlas!D:D,MATCH(A2442,atlas!C:C,0)),"")</f>
        <v/>
      </c>
      <c r="E2442" s="8" t="str">
        <f t="array" ref="E2442">IFERROR(INDEX(atlas!F:F,MATCH(A2442,atlas!C:C,0)),"")</f>
        <v/>
      </c>
      <c r="F2442" s="9"/>
      <c r="G2442" s="10"/>
      <c r="H2442" s="11"/>
      <c r="I2442" s="12" t="str">
        <f t="array" ref="I2442">IFERROR(INDEX(atlas!B:B,MATCH(A2442,atlas!C:C,0)),"")</f>
        <v/>
      </c>
      <c r="J2442" s="8" t="str">
        <f>IFERROR(VLOOKUP(F2442,tecnica!A:B,2,0),"")</f>
        <v/>
      </c>
      <c r="K2442" s="8" t="str">
        <f>IFERROR(VLOOKUP(J2442,tecnica!B:C,2,0),"")</f>
        <v/>
      </c>
      <c r="L2442" s="13"/>
      <c r="M2442" s="14" t="str">
        <f>IFERROR(VLOOKUP(I2442,material!A:D,4,0),"")</f>
        <v/>
      </c>
      <c r="N2442" s="14" t="str">
        <f t="shared" si="1"/>
        <v/>
      </c>
      <c r="O2442" s="15" t="str">
        <f>IFERROR(VLOOKUP(I2442,material!A:D,2,0),"")</f>
        <v/>
      </c>
    </row>
    <row r="2443">
      <c r="A2443" s="6"/>
      <c r="B2443" s="7"/>
      <c r="C2443" s="8" t="str">
        <f t="array" ref="C2443">IFERROR(INDEX(atlas!H:H,MATCH(A2443,atlas!C:C,0)),"")</f>
        <v/>
      </c>
      <c r="D2443" s="8" t="str">
        <f t="array" ref="D2443">IFERROR(INDEX(atlas!D:D,MATCH(A2443,atlas!C:C,0)),"")</f>
        <v/>
      </c>
      <c r="E2443" s="8" t="str">
        <f t="array" ref="E2443">IFERROR(INDEX(atlas!F:F,MATCH(A2443,atlas!C:C,0)),"")</f>
        <v/>
      </c>
      <c r="F2443" s="9"/>
      <c r="G2443" s="10"/>
      <c r="H2443" s="11"/>
      <c r="I2443" s="12" t="str">
        <f t="array" ref="I2443">IFERROR(INDEX(atlas!B:B,MATCH(A2443,atlas!C:C,0)),"")</f>
        <v/>
      </c>
      <c r="J2443" s="8" t="str">
        <f>IFERROR(VLOOKUP(F2443,tecnica!A:B,2,0),"")</f>
        <v/>
      </c>
      <c r="K2443" s="8" t="str">
        <f>IFERROR(VLOOKUP(J2443,tecnica!B:C,2,0),"")</f>
        <v/>
      </c>
      <c r="L2443" s="13"/>
      <c r="M2443" s="14" t="str">
        <f>IFERROR(VLOOKUP(I2443,material!A:D,4,0),"")</f>
        <v/>
      </c>
      <c r="N2443" s="14" t="str">
        <f t="shared" si="1"/>
        <v/>
      </c>
      <c r="O2443" s="15" t="str">
        <f>IFERROR(VLOOKUP(I2443,material!A:D,2,0),"")</f>
        <v/>
      </c>
    </row>
    <row r="2444">
      <c r="A2444" s="6"/>
      <c r="B2444" s="7"/>
      <c r="C2444" s="8" t="str">
        <f t="array" ref="C2444">IFERROR(INDEX(atlas!H:H,MATCH(A2444,atlas!C:C,0)),"")</f>
        <v/>
      </c>
      <c r="D2444" s="8" t="str">
        <f t="array" ref="D2444">IFERROR(INDEX(atlas!D:D,MATCH(A2444,atlas!C:C,0)),"")</f>
        <v/>
      </c>
      <c r="E2444" s="8" t="str">
        <f t="array" ref="E2444">IFERROR(INDEX(atlas!F:F,MATCH(A2444,atlas!C:C,0)),"")</f>
        <v/>
      </c>
      <c r="F2444" s="9"/>
      <c r="G2444" s="10"/>
      <c r="H2444" s="11"/>
      <c r="I2444" s="12" t="str">
        <f t="array" ref="I2444">IFERROR(INDEX(atlas!B:B,MATCH(A2444,atlas!C:C,0)),"")</f>
        <v/>
      </c>
      <c r="J2444" s="8" t="str">
        <f>IFERROR(VLOOKUP(F2444,tecnica!A:B,2,0),"")</f>
        <v/>
      </c>
      <c r="K2444" s="8" t="str">
        <f>IFERROR(VLOOKUP(J2444,tecnica!B:C,2,0),"")</f>
        <v/>
      </c>
      <c r="L2444" s="13"/>
      <c r="M2444" s="14" t="str">
        <f>IFERROR(VLOOKUP(I2444,material!A:D,4,0),"")</f>
        <v/>
      </c>
      <c r="N2444" s="14" t="str">
        <f t="shared" si="1"/>
        <v/>
      </c>
      <c r="O2444" s="15" t="str">
        <f>IFERROR(VLOOKUP(I2444,material!A:D,2,0),"")</f>
        <v/>
      </c>
    </row>
    <row r="2445">
      <c r="A2445" s="6"/>
      <c r="B2445" s="7"/>
      <c r="C2445" s="8" t="str">
        <f t="array" ref="C2445">IFERROR(INDEX(atlas!H:H,MATCH(A2445,atlas!C:C,0)),"")</f>
        <v/>
      </c>
      <c r="D2445" s="8" t="str">
        <f t="array" ref="D2445">IFERROR(INDEX(atlas!D:D,MATCH(A2445,atlas!C:C,0)),"")</f>
        <v/>
      </c>
      <c r="E2445" s="8" t="str">
        <f t="array" ref="E2445">IFERROR(INDEX(atlas!F:F,MATCH(A2445,atlas!C:C,0)),"")</f>
        <v/>
      </c>
      <c r="F2445" s="9"/>
      <c r="G2445" s="10"/>
      <c r="H2445" s="11"/>
      <c r="I2445" s="12" t="str">
        <f t="array" ref="I2445">IFERROR(INDEX(atlas!B:B,MATCH(A2445,atlas!C:C,0)),"")</f>
        <v/>
      </c>
      <c r="J2445" s="8" t="str">
        <f>IFERROR(VLOOKUP(F2445,tecnica!A:B,2,0),"")</f>
        <v/>
      </c>
      <c r="K2445" s="8" t="str">
        <f>IFERROR(VLOOKUP(J2445,tecnica!B:C,2,0),"")</f>
        <v/>
      </c>
      <c r="L2445" s="13"/>
      <c r="M2445" s="14" t="str">
        <f>IFERROR(VLOOKUP(I2445,material!A:D,4,0),"")</f>
        <v/>
      </c>
      <c r="N2445" s="14" t="str">
        <f t="shared" si="1"/>
        <v/>
      </c>
      <c r="O2445" s="15" t="str">
        <f>IFERROR(VLOOKUP(I2445,material!A:D,2,0),"")</f>
        <v/>
      </c>
    </row>
    <row r="2446">
      <c r="A2446" s="6"/>
      <c r="B2446" s="7"/>
      <c r="C2446" s="8" t="str">
        <f t="array" ref="C2446">IFERROR(INDEX(atlas!H:H,MATCH(A2446,atlas!C:C,0)),"")</f>
        <v/>
      </c>
      <c r="D2446" s="8" t="str">
        <f t="array" ref="D2446">IFERROR(INDEX(atlas!D:D,MATCH(A2446,atlas!C:C,0)),"")</f>
        <v/>
      </c>
      <c r="E2446" s="8" t="str">
        <f t="array" ref="E2446">IFERROR(INDEX(atlas!F:F,MATCH(A2446,atlas!C:C,0)),"")</f>
        <v/>
      </c>
      <c r="F2446" s="9"/>
      <c r="G2446" s="10"/>
      <c r="H2446" s="11"/>
      <c r="I2446" s="12" t="str">
        <f t="array" ref="I2446">IFERROR(INDEX(atlas!B:B,MATCH(A2446,atlas!C:C,0)),"")</f>
        <v/>
      </c>
      <c r="J2446" s="8" t="str">
        <f>IFERROR(VLOOKUP(F2446,tecnica!A:B,2,0),"")</f>
        <v/>
      </c>
      <c r="K2446" s="8" t="str">
        <f>IFERROR(VLOOKUP(J2446,tecnica!B:C,2,0),"")</f>
        <v/>
      </c>
      <c r="L2446" s="13"/>
      <c r="M2446" s="14" t="str">
        <f>IFERROR(VLOOKUP(I2446,material!A:D,4,0),"")</f>
        <v/>
      </c>
      <c r="N2446" s="14" t="str">
        <f t="shared" si="1"/>
        <v/>
      </c>
      <c r="O2446" s="15" t="str">
        <f>IFERROR(VLOOKUP(I2446,material!A:D,2,0),"")</f>
        <v/>
      </c>
    </row>
    <row r="2447">
      <c r="A2447" s="6"/>
      <c r="B2447" s="7"/>
      <c r="C2447" s="8" t="str">
        <f t="array" ref="C2447">IFERROR(INDEX(atlas!H:H,MATCH(A2447,atlas!C:C,0)),"")</f>
        <v/>
      </c>
      <c r="D2447" s="8" t="str">
        <f t="array" ref="D2447">IFERROR(INDEX(atlas!D:D,MATCH(A2447,atlas!C:C,0)),"")</f>
        <v/>
      </c>
      <c r="E2447" s="8" t="str">
        <f t="array" ref="E2447">IFERROR(INDEX(atlas!F:F,MATCH(A2447,atlas!C:C,0)),"")</f>
        <v/>
      </c>
      <c r="F2447" s="9"/>
      <c r="G2447" s="10"/>
      <c r="H2447" s="11"/>
      <c r="I2447" s="12" t="str">
        <f t="array" ref="I2447">IFERROR(INDEX(atlas!B:B,MATCH(A2447,atlas!C:C,0)),"")</f>
        <v/>
      </c>
      <c r="J2447" s="8" t="str">
        <f>IFERROR(VLOOKUP(F2447,tecnica!A:B,2,0),"")</f>
        <v/>
      </c>
      <c r="K2447" s="8" t="str">
        <f>IFERROR(VLOOKUP(J2447,tecnica!B:C,2,0),"")</f>
        <v/>
      </c>
      <c r="L2447" s="13"/>
      <c r="M2447" s="14" t="str">
        <f>IFERROR(VLOOKUP(I2447,material!A:D,4,0),"")</f>
        <v/>
      </c>
      <c r="N2447" s="14" t="str">
        <f t="shared" si="1"/>
        <v/>
      </c>
      <c r="O2447" s="15" t="str">
        <f>IFERROR(VLOOKUP(I2447,material!A:D,2,0),"")</f>
        <v/>
      </c>
    </row>
    <row r="2448">
      <c r="A2448" s="6"/>
      <c r="B2448" s="7"/>
      <c r="C2448" s="8" t="str">
        <f t="array" ref="C2448">IFERROR(INDEX(atlas!H:H,MATCH(A2448,atlas!C:C,0)),"")</f>
        <v/>
      </c>
      <c r="D2448" s="8" t="str">
        <f t="array" ref="D2448">IFERROR(INDEX(atlas!D:D,MATCH(A2448,atlas!C:C,0)),"")</f>
        <v/>
      </c>
      <c r="E2448" s="8" t="str">
        <f t="array" ref="E2448">IFERROR(INDEX(atlas!F:F,MATCH(A2448,atlas!C:C,0)),"")</f>
        <v/>
      </c>
      <c r="F2448" s="9"/>
      <c r="G2448" s="10"/>
      <c r="H2448" s="11"/>
      <c r="I2448" s="12" t="str">
        <f t="array" ref="I2448">IFERROR(INDEX(atlas!B:B,MATCH(A2448,atlas!C:C,0)),"")</f>
        <v/>
      </c>
      <c r="J2448" s="8" t="str">
        <f>IFERROR(VLOOKUP(F2448,tecnica!A:B,2,0),"")</f>
        <v/>
      </c>
      <c r="K2448" s="8" t="str">
        <f>IFERROR(VLOOKUP(J2448,tecnica!B:C,2,0),"")</f>
        <v/>
      </c>
      <c r="L2448" s="13"/>
      <c r="M2448" s="14" t="str">
        <f>IFERROR(VLOOKUP(I2448,material!A:D,4,0),"")</f>
        <v/>
      </c>
      <c r="N2448" s="14" t="str">
        <f t="shared" si="1"/>
        <v/>
      </c>
      <c r="O2448" s="15" t="str">
        <f>IFERROR(VLOOKUP(I2448,material!A:D,2,0),"")</f>
        <v/>
      </c>
    </row>
    <row r="2449">
      <c r="A2449" s="6"/>
      <c r="B2449" s="7"/>
      <c r="C2449" s="8" t="str">
        <f t="array" ref="C2449">IFERROR(INDEX(atlas!H:H,MATCH(A2449,atlas!C:C,0)),"")</f>
        <v/>
      </c>
      <c r="D2449" s="8" t="str">
        <f t="array" ref="D2449">IFERROR(INDEX(atlas!D:D,MATCH(A2449,atlas!C:C,0)),"")</f>
        <v/>
      </c>
      <c r="E2449" s="8" t="str">
        <f t="array" ref="E2449">IFERROR(INDEX(atlas!F:F,MATCH(A2449,atlas!C:C,0)),"")</f>
        <v/>
      </c>
      <c r="F2449" s="9"/>
      <c r="G2449" s="10"/>
      <c r="H2449" s="11"/>
      <c r="I2449" s="12" t="str">
        <f t="array" ref="I2449">IFERROR(INDEX(atlas!B:B,MATCH(A2449,atlas!C:C,0)),"")</f>
        <v/>
      </c>
      <c r="J2449" s="8" t="str">
        <f>IFERROR(VLOOKUP(F2449,tecnica!A:B,2,0),"")</f>
        <v/>
      </c>
      <c r="K2449" s="8" t="str">
        <f>IFERROR(VLOOKUP(J2449,tecnica!B:C,2,0),"")</f>
        <v/>
      </c>
      <c r="L2449" s="13"/>
      <c r="M2449" s="14" t="str">
        <f>IFERROR(VLOOKUP(I2449,material!A:D,4,0),"")</f>
        <v/>
      </c>
      <c r="N2449" s="14" t="str">
        <f t="shared" si="1"/>
        <v/>
      </c>
      <c r="O2449" s="15" t="str">
        <f>IFERROR(VLOOKUP(I2449,material!A:D,2,0),"")</f>
        <v/>
      </c>
    </row>
    <row r="2450">
      <c r="A2450" s="6"/>
      <c r="B2450" s="7"/>
      <c r="C2450" s="8" t="str">
        <f t="array" ref="C2450">IFERROR(INDEX(atlas!H:H,MATCH(A2450,atlas!C:C,0)),"")</f>
        <v/>
      </c>
      <c r="D2450" s="8" t="str">
        <f t="array" ref="D2450">IFERROR(INDEX(atlas!D:D,MATCH(A2450,atlas!C:C,0)),"")</f>
        <v/>
      </c>
      <c r="E2450" s="8" t="str">
        <f t="array" ref="E2450">IFERROR(INDEX(atlas!F:F,MATCH(A2450,atlas!C:C,0)),"")</f>
        <v/>
      </c>
      <c r="F2450" s="9"/>
      <c r="G2450" s="10"/>
      <c r="H2450" s="11"/>
      <c r="I2450" s="12" t="str">
        <f t="array" ref="I2450">IFERROR(INDEX(atlas!B:B,MATCH(A2450,atlas!C:C,0)),"")</f>
        <v/>
      </c>
      <c r="J2450" s="8" t="str">
        <f>IFERROR(VLOOKUP(F2450,tecnica!A:B,2,0),"")</f>
        <v/>
      </c>
      <c r="K2450" s="8" t="str">
        <f>IFERROR(VLOOKUP(J2450,tecnica!B:C,2,0),"")</f>
        <v/>
      </c>
      <c r="L2450" s="13"/>
      <c r="M2450" s="14" t="str">
        <f>IFERROR(VLOOKUP(I2450,material!A:D,4,0),"")</f>
        <v/>
      </c>
      <c r="N2450" s="14" t="str">
        <f t="shared" si="1"/>
        <v/>
      </c>
      <c r="O2450" s="15" t="str">
        <f>IFERROR(VLOOKUP(I2450,material!A:D,2,0),"")</f>
        <v/>
      </c>
    </row>
    <row r="2451">
      <c r="A2451" s="6"/>
      <c r="B2451" s="7"/>
      <c r="C2451" s="8" t="str">
        <f t="array" ref="C2451">IFERROR(INDEX(atlas!H:H,MATCH(A2451,atlas!C:C,0)),"")</f>
        <v/>
      </c>
      <c r="D2451" s="8" t="str">
        <f t="array" ref="D2451">IFERROR(INDEX(atlas!D:D,MATCH(A2451,atlas!C:C,0)),"")</f>
        <v/>
      </c>
      <c r="E2451" s="8" t="str">
        <f t="array" ref="E2451">IFERROR(INDEX(atlas!F:F,MATCH(A2451,atlas!C:C,0)),"")</f>
        <v/>
      </c>
      <c r="F2451" s="9"/>
      <c r="G2451" s="10"/>
      <c r="H2451" s="11"/>
      <c r="I2451" s="12" t="str">
        <f t="array" ref="I2451">IFERROR(INDEX(atlas!B:B,MATCH(A2451,atlas!C:C,0)),"")</f>
        <v/>
      </c>
      <c r="J2451" s="8" t="str">
        <f>IFERROR(VLOOKUP(F2451,tecnica!A:B,2,0),"")</f>
        <v/>
      </c>
      <c r="K2451" s="8" t="str">
        <f>IFERROR(VLOOKUP(J2451,tecnica!B:C,2,0),"")</f>
        <v/>
      </c>
      <c r="L2451" s="13"/>
      <c r="M2451" s="14" t="str">
        <f>IFERROR(VLOOKUP(I2451,material!A:D,4,0),"")</f>
        <v/>
      </c>
      <c r="N2451" s="14" t="str">
        <f t="shared" si="1"/>
        <v/>
      </c>
      <c r="O2451" s="15" t="str">
        <f>IFERROR(VLOOKUP(I2451,material!A:D,2,0),"")</f>
        <v/>
      </c>
    </row>
    <row r="2452">
      <c r="A2452" s="6"/>
      <c r="B2452" s="7"/>
      <c r="C2452" s="8" t="str">
        <f t="array" ref="C2452">IFERROR(INDEX(atlas!H:H,MATCH(A2452,atlas!C:C,0)),"")</f>
        <v/>
      </c>
      <c r="D2452" s="8" t="str">
        <f t="array" ref="D2452">IFERROR(INDEX(atlas!D:D,MATCH(A2452,atlas!C:C,0)),"")</f>
        <v/>
      </c>
      <c r="E2452" s="8" t="str">
        <f t="array" ref="E2452">IFERROR(INDEX(atlas!F:F,MATCH(A2452,atlas!C:C,0)),"")</f>
        <v/>
      </c>
      <c r="F2452" s="9"/>
      <c r="G2452" s="10"/>
      <c r="H2452" s="11"/>
      <c r="I2452" s="12" t="str">
        <f t="array" ref="I2452">IFERROR(INDEX(atlas!B:B,MATCH(A2452,atlas!C:C,0)),"")</f>
        <v/>
      </c>
      <c r="J2452" s="8" t="str">
        <f>IFERROR(VLOOKUP(F2452,tecnica!A:B,2,0),"")</f>
        <v/>
      </c>
      <c r="K2452" s="8" t="str">
        <f>IFERROR(VLOOKUP(J2452,tecnica!B:C,2,0),"")</f>
        <v/>
      </c>
      <c r="L2452" s="13"/>
      <c r="M2452" s="14" t="str">
        <f>IFERROR(VLOOKUP(I2452,material!A:D,4,0),"")</f>
        <v/>
      </c>
      <c r="N2452" s="14" t="str">
        <f t="shared" si="1"/>
        <v/>
      </c>
      <c r="O2452" s="15" t="str">
        <f>IFERROR(VLOOKUP(I2452,material!A:D,2,0),"")</f>
        <v/>
      </c>
    </row>
    <row r="2453">
      <c r="A2453" s="6"/>
      <c r="B2453" s="7"/>
      <c r="C2453" s="8" t="str">
        <f t="array" ref="C2453">IFERROR(INDEX(atlas!H:H,MATCH(A2453,atlas!C:C,0)),"")</f>
        <v/>
      </c>
      <c r="D2453" s="8" t="str">
        <f t="array" ref="D2453">IFERROR(INDEX(atlas!D:D,MATCH(A2453,atlas!C:C,0)),"")</f>
        <v/>
      </c>
      <c r="E2453" s="8" t="str">
        <f t="array" ref="E2453">IFERROR(INDEX(atlas!F:F,MATCH(A2453,atlas!C:C,0)),"")</f>
        <v/>
      </c>
      <c r="F2453" s="9"/>
      <c r="G2453" s="10"/>
      <c r="H2453" s="11"/>
      <c r="I2453" s="12" t="str">
        <f t="array" ref="I2453">IFERROR(INDEX(atlas!B:B,MATCH(A2453,atlas!C:C,0)),"")</f>
        <v/>
      </c>
      <c r="J2453" s="8" t="str">
        <f>IFERROR(VLOOKUP(F2453,tecnica!A:B,2,0),"")</f>
        <v/>
      </c>
      <c r="K2453" s="8" t="str">
        <f>IFERROR(VLOOKUP(J2453,tecnica!B:C,2,0),"")</f>
        <v/>
      </c>
      <c r="L2453" s="13"/>
      <c r="M2453" s="14" t="str">
        <f>IFERROR(VLOOKUP(I2453,material!A:D,4,0),"")</f>
        <v/>
      </c>
      <c r="N2453" s="14" t="str">
        <f t="shared" si="1"/>
        <v/>
      </c>
      <c r="O2453" s="15" t="str">
        <f>IFERROR(VLOOKUP(I2453,material!A:D,2,0),"")</f>
        <v/>
      </c>
    </row>
    <row r="2454">
      <c r="A2454" s="6"/>
      <c r="B2454" s="7"/>
      <c r="C2454" s="8" t="str">
        <f t="array" ref="C2454">IFERROR(INDEX(atlas!H:H,MATCH(A2454,atlas!C:C,0)),"")</f>
        <v/>
      </c>
      <c r="D2454" s="8" t="str">
        <f t="array" ref="D2454">IFERROR(INDEX(atlas!D:D,MATCH(A2454,atlas!C:C,0)),"")</f>
        <v/>
      </c>
      <c r="E2454" s="8" t="str">
        <f t="array" ref="E2454">IFERROR(INDEX(atlas!F:F,MATCH(A2454,atlas!C:C,0)),"")</f>
        <v/>
      </c>
      <c r="F2454" s="9"/>
      <c r="G2454" s="10"/>
      <c r="H2454" s="11"/>
      <c r="I2454" s="12" t="str">
        <f t="array" ref="I2454">IFERROR(INDEX(atlas!B:B,MATCH(A2454,atlas!C:C,0)),"")</f>
        <v/>
      </c>
      <c r="J2454" s="8" t="str">
        <f>IFERROR(VLOOKUP(F2454,tecnica!A:B,2,0),"")</f>
        <v/>
      </c>
      <c r="K2454" s="8" t="str">
        <f>IFERROR(VLOOKUP(J2454,tecnica!B:C,2,0),"")</f>
        <v/>
      </c>
      <c r="L2454" s="13"/>
      <c r="M2454" s="14" t="str">
        <f>IFERROR(VLOOKUP(I2454,material!A:D,4,0),"")</f>
        <v/>
      </c>
      <c r="N2454" s="14" t="str">
        <f t="shared" si="1"/>
        <v/>
      </c>
      <c r="O2454" s="15" t="str">
        <f>IFERROR(VLOOKUP(I2454,material!A:D,2,0),"")</f>
        <v/>
      </c>
    </row>
    <row r="2455">
      <c r="A2455" s="6"/>
      <c r="B2455" s="7"/>
      <c r="C2455" s="8" t="str">
        <f t="array" ref="C2455">IFERROR(INDEX(atlas!H:H,MATCH(A2455,atlas!C:C,0)),"")</f>
        <v/>
      </c>
      <c r="D2455" s="8" t="str">
        <f t="array" ref="D2455">IFERROR(INDEX(atlas!D:D,MATCH(A2455,atlas!C:C,0)),"")</f>
        <v/>
      </c>
      <c r="E2455" s="8" t="str">
        <f t="array" ref="E2455">IFERROR(INDEX(atlas!F:F,MATCH(A2455,atlas!C:C,0)),"")</f>
        <v/>
      </c>
      <c r="F2455" s="9"/>
      <c r="G2455" s="10"/>
      <c r="H2455" s="11"/>
      <c r="I2455" s="12" t="str">
        <f t="array" ref="I2455">IFERROR(INDEX(atlas!B:B,MATCH(A2455,atlas!C:C,0)),"")</f>
        <v/>
      </c>
      <c r="J2455" s="8" t="str">
        <f>IFERROR(VLOOKUP(F2455,tecnica!A:B,2,0),"")</f>
        <v/>
      </c>
      <c r="K2455" s="8" t="str">
        <f>IFERROR(VLOOKUP(J2455,tecnica!B:C,2,0),"")</f>
        <v/>
      </c>
      <c r="L2455" s="13"/>
      <c r="M2455" s="14" t="str">
        <f>IFERROR(VLOOKUP(I2455,material!A:D,4,0),"")</f>
        <v/>
      </c>
      <c r="N2455" s="14" t="str">
        <f t="shared" si="1"/>
        <v/>
      </c>
      <c r="O2455" s="15" t="str">
        <f>IFERROR(VLOOKUP(I2455,material!A:D,2,0),"")</f>
        <v/>
      </c>
    </row>
    <row r="2456">
      <c r="A2456" s="6"/>
      <c r="B2456" s="7"/>
      <c r="C2456" s="8" t="str">
        <f t="array" ref="C2456">IFERROR(INDEX(atlas!H:H,MATCH(A2456,atlas!C:C,0)),"")</f>
        <v/>
      </c>
      <c r="D2456" s="8" t="str">
        <f t="array" ref="D2456">IFERROR(INDEX(atlas!D:D,MATCH(A2456,atlas!C:C,0)),"")</f>
        <v/>
      </c>
      <c r="E2456" s="8" t="str">
        <f t="array" ref="E2456">IFERROR(INDEX(atlas!F:F,MATCH(A2456,atlas!C:C,0)),"")</f>
        <v/>
      </c>
      <c r="F2456" s="9"/>
      <c r="G2456" s="10"/>
      <c r="H2456" s="11"/>
      <c r="I2456" s="12" t="str">
        <f t="array" ref="I2456">IFERROR(INDEX(atlas!B:B,MATCH(A2456,atlas!C:C,0)),"")</f>
        <v/>
      </c>
      <c r="J2456" s="8" t="str">
        <f>IFERROR(VLOOKUP(F2456,tecnica!A:B,2,0),"")</f>
        <v/>
      </c>
      <c r="K2456" s="8" t="str">
        <f>IFERROR(VLOOKUP(J2456,tecnica!B:C,2,0),"")</f>
        <v/>
      </c>
      <c r="L2456" s="13"/>
      <c r="M2456" s="14" t="str">
        <f>IFERROR(VLOOKUP(I2456,material!A:D,4,0),"")</f>
        <v/>
      </c>
      <c r="N2456" s="14" t="str">
        <f t="shared" si="1"/>
        <v/>
      </c>
      <c r="O2456" s="15" t="str">
        <f>IFERROR(VLOOKUP(I2456,material!A:D,2,0),"")</f>
        <v/>
      </c>
    </row>
    <row r="2457">
      <c r="A2457" s="6"/>
      <c r="B2457" s="7"/>
      <c r="C2457" s="8" t="str">
        <f t="array" ref="C2457">IFERROR(INDEX(atlas!H:H,MATCH(A2457,atlas!C:C,0)),"")</f>
        <v/>
      </c>
      <c r="D2457" s="8" t="str">
        <f t="array" ref="D2457">IFERROR(INDEX(atlas!D:D,MATCH(A2457,atlas!C:C,0)),"")</f>
        <v/>
      </c>
      <c r="E2457" s="8" t="str">
        <f t="array" ref="E2457">IFERROR(INDEX(atlas!F:F,MATCH(A2457,atlas!C:C,0)),"")</f>
        <v/>
      </c>
      <c r="F2457" s="9"/>
      <c r="G2457" s="10"/>
      <c r="H2457" s="11"/>
      <c r="I2457" s="12" t="str">
        <f t="array" ref="I2457">IFERROR(INDEX(atlas!B:B,MATCH(A2457,atlas!C:C,0)),"")</f>
        <v/>
      </c>
      <c r="J2457" s="8" t="str">
        <f>IFERROR(VLOOKUP(F2457,tecnica!A:B,2,0),"")</f>
        <v/>
      </c>
      <c r="K2457" s="8" t="str">
        <f>IFERROR(VLOOKUP(J2457,tecnica!B:C,2,0),"")</f>
        <v/>
      </c>
      <c r="L2457" s="13"/>
      <c r="M2457" s="14" t="str">
        <f>IFERROR(VLOOKUP(I2457,material!A:D,4,0),"")</f>
        <v/>
      </c>
      <c r="N2457" s="14" t="str">
        <f t="shared" si="1"/>
        <v/>
      </c>
      <c r="O2457" s="15" t="str">
        <f>IFERROR(VLOOKUP(I2457,material!A:D,2,0),"")</f>
        <v/>
      </c>
    </row>
    <row r="2458">
      <c r="A2458" s="6"/>
      <c r="B2458" s="7"/>
      <c r="C2458" s="8" t="str">
        <f t="array" ref="C2458">IFERROR(INDEX(atlas!H:H,MATCH(A2458,atlas!C:C,0)),"")</f>
        <v/>
      </c>
      <c r="D2458" s="8" t="str">
        <f t="array" ref="D2458">IFERROR(INDEX(atlas!D:D,MATCH(A2458,atlas!C:C,0)),"")</f>
        <v/>
      </c>
      <c r="E2458" s="8" t="str">
        <f t="array" ref="E2458">IFERROR(INDEX(atlas!F:F,MATCH(A2458,atlas!C:C,0)),"")</f>
        <v/>
      </c>
      <c r="F2458" s="9"/>
      <c r="G2458" s="10"/>
      <c r="H2458" s="11"/>
      <c r="I2458" s="12" t="str">
        <f t="array" ref="I2458">IFERROR(INDEX(atlas!B:B,MATCH(A2458,atlas!C:C,0)),"")</f>
        <v/>
      </c>
      <c r="J2458" s="8" t="str">
        <f>IFERROR(VLOOKUP(F2458,tecnica!A:B,2,0),"")</f>
        <v/>
      </c>
      <c r="K2458" s="8" t="str">
        <f>IFERROR(VLOOKUP(J2458,tecnica!B:C,2,0),"")</f>
        <v/>
      </c>
      <c r="L2458" s="13"/>
      <c r="M2458" s="14" t="str">
        <f>IFERROR(VLOOKUP(I2458,material!A:D,4,0),"")</f>
        <v/>
      </c>
      <c r="N2458" s="14" t="str">
        <f t="shared" si="1"/>
        <v/>
      </c>
      <c r="O2458" s="15" t="str">
        <f>IFERROR(VLOOKUP(I2458,material!A:D,2,0),"")</f>
        <v/>
      </c>
    </row>
    <row r="2459">
      <c r="A2459" s="6"/>
      <c r="B2459" s="7"/>
      <c r="C2459" s="8" t="str">
        <f t="array" ref="C2459">IFERROR(INDEX(atlas!H:H,MATCH(A2459,atlas!C:C,0)),"")</f>
        <v/>
      </c>
      <c r="D2459" s="8" t="str">
        <f t="array" ref="D2459">IFERROR(INDEX(atlas!D:D,MATCH(A2459,atlas!C:C,0)),"")</f>
        <v/>
      </c>
      <c r="E2459" s="8" t="str">
        <f t="array" ref="E2459">IFERROR(INDEX(atlas!F:F,MATCH(A2459,atlas!C:C,0)),"")</f>
        <v/>
      </c>
      <c r="F2459" s="9"/>
      <c r="G2459" s="10"/>
      <c r="H2459" s="11"/>
      <c r="I2459" s="12" t="str">
        <f t="array" ref="I2459">IFERROR(INDEX(atlas!B:B,MATCH(A2459,atlas!C:C,0)),"")</f>
        <v/>
      </c>
      <c r="J2459" s="8" t="str">
        <f>IFERROR(VLOOKUP(F2459,tecnica!A:B,2,0),"")</f>
        <v/>
      </c>
      <c r="K2459" s="8" t="str">
        <f>IFERROR(VLOOKUP(J2459,tecnica!B:C,2,0),"")</f>
        <v/>
      </c>
      <c r="L2459" s="13"/>
      <c r="M2459" s="14" t="str">
        <f>IFERROR(VLOOKUP(I2459,material!A:D,4,0),"")</f>
        <v/>
      </c>
      <c r="N2459" s="14" t="str">
        <f t="shared" si="1"/>
        <v/>
      </c>
      <c r="O2459" s="15" t="str">
        <f>IFERROR(VLOOKUP(I2459,material!A:D,2,0),"")</f>
        <v/>
      </c>
    </row>
    <row r="2460">
      <c r="A2460" s="6"/>
      <c r="B2460" s="7"/>
      <c r="C2460" s="8" t="str">
        <f t="array" ref="C2460">IFERROR(INDEX(atlas!H:H,MATCH(A2460,atlas!C:C,0)),"")</f>
        <v/>
      </c>
      <c r="D2460" s="8" t="str">
        <f t="array" ref="D2460">IFERROR(INDEX(atlas!D:D,MATCH(A2460,atlas!C:C,0)),"")</f>
        <v/>
      </c>
      <c r="E2460" s="8" t="str">
        <f t="array" ref="E2460">IFERROR(INDEX(atlas!F:F,MATCH(A2460,atlas!C:C,0)),"")</f>
        <v/>
      </c>
      <c r="F2460" s="9"/>
      <c r="G2460" s="10"/>
      <c r="H2460" s="11"/>
      <c r="I2460" s="12" t="str">
        <f t="array" ref="I2460">IFERROR(INDEX(atlas!B:B,MATCH(A2460,atlas!C:C,0)),"")</f>
        <v/>
      </c>
      <c r="J2460" s="8" t="str">
        <f>IFERROR(VLOOKUP(F2460,tecnica!A:B,2,0),"")</f>
        <v/>
      </c>
      <c r="K2460" s="8" t="str">
        <f>IFERROR(VLOOKUP(J2460,tecnica!B:C,2,0),"")</f>
        <v/>
      </c>
      <c r="L2460" s="13"/>
      <c r="M2460" s="14" t="str">
        <f>IFERROR(VLOOKUP(I2460,material!A:D,4,0),"")</f>
        <v/>
      </c>
      <c r="N2460" s="14" t="str">
        <f t="shared" si="1"/>
        <v/>
      </c>
      <c r="O2460" s="15" t="str">
        <f>IFERROR(VLOOKUP(I2460,material!A:D,2,0),"")</f>
        <v/>
      </c>
    </row>
    <row r="2461">
      <c r="A2461" s="6"/>
      <c r="B2461" s="7"/>
      <c r="C2461" s="8" t="str">
        <f t="array" ref="C2461">IFERROR(INDEX(atlas!H:H,MATCH(A2461,atlas!C:C,0)),"")</f>
        <v/>
      </c>
      <c r="D2461" s="8" t="str">
        <f t="array" ref="D2461">IFERROR(INDEX(atlas!D:D,MATCH(A2461,atlas!C:C,0)),"")</f>
        <v/>
      </c>
      <c r="E2461" s="8" t="str">
        <f t="array" ref="E2461">IFERROR(INDEX(atlas!F:F,MATCH(A2461,atlas!C:C,0)),"")</f>
        <v/>
      </c>
      <c r="F2461" s="9"/>
      <c r="G2461" s="10"/>
      <c r="H2461" s="11"/>
      <c r="I2461" s="12" t="str">
        <f t="array" ref="I2461">IFERROR(INDEX(atlas!B:B,MATCH(A2461,atlas!C:C,0)),"")</f>
        <v/>
      </c>
      <c r="J2461" s="8" t="str">
        <f>IFERROR(VLOOKUP(F2461,tecnica!A:B,2,0),"")</f>
        <v/>
      </c>
      <c r="K2461" s="8" t="str">
        <f>IFERROR(VLOOKUP(J2461,tecnica!B:C,2,0),"")</f>
        <v/>
      </c>
      <c r="L2461" s="13"/>
      <c r="M2461" s="14" t="str">
        <f>IFERROR(VLOOKUP(I2461,material!A:D,4,0),"")</f>
        <v/>
      </c>
      <c r="N2461" s="14" t="str">
        <f t="shared" si="1"/>
        <v/>
      </c>
      <c r="O2461" s="15" t="str">
        <f>IFERROR(VLOOKUP(I2461,material!A:D,2,0),"")</f>
        <v/>
      </c>
    </row>
    <row r="2462">
      <c r="A2462" s="6"/>
      <c r="B2462" s="7"/>
      <c r="C2462" s="8" t="str">
        <f t="array" ref="C2462">IFERROR(INDEX(atlas!H:H,MATCH(A2462,atlas!C:C,0)),"")</f>
        <v/>
      </c>
      <c r="D2462" s="8" t="str">
        <f t="array" ref="D2462">IFERROR(INDEX(atlas!D:D,MATCH(A2462,atlas!C:C,0)),"")</f>
        <v/>
      </c>
      <c r="E2462" s="8" t="str">
        <f t="array" ref="E2462">IFERROR(INDEX(atlas!F:F,MATCH(A2462,atlas!C:C,0)),"")</f>
        <v/>
      </c>
      <c r="F2462" s="9"/>
      <c r="G2462" s="10"/>
      <c r="H2462" s="11"/>
      <c r="I2462" s="12" t="str">
        <f t="array" ref="I2462">IFERROR(INDEX(atlas!B:B,MATCH(A2462,atlas!C:C,0)),"")</f>
        <v/>
      </c>
      <c r="J2462" s="8" t="str">
        <f>IFERROR(VLOOKUP(F2462,tecnica!A:B,2,0),"")</f>
        <v/>
      </c>
      <c r="K2462" s="8" t="str">
        <f>IFERROR(VLOOKUP(J2462,tecnica!B:C,2,0),"")</f>
        <v/>
      </c>
      <c r="L2462" s="13"/>
      <c r="M2462" s="14" t="str">
        <f>IFERROR(VLOOKUP(I2462,material!A:D,4,0),"")</f>
        <v/>
      </c>
      <c r="N2462" s="14" t="str">
        <f t="shared" si="1"/>
        <v/>
      </c>
      <c r="O2462" s="15" t="str">
        <f>IFERROR(VLOOKUP(I2462,material!A:D,2,0),"")</f>
        <v/>
      </c>
    </row>
    <row r="2463">
      <c r="A2463" s="6"/>
      <c r="B2463" s="7"/>
      <c r="C2463" s="8" t="str">
        <f t="array" ref="C2463">IFERROR(INDEX(atlas!H:H,MATCH(A2463,atlas!C:C,0)),"")</f>
        <v/>
      </c>
      <c r="D2463" s="8" t="str">
        <f t="array" ref="D2463">IFERROR(INDEX(atlas!D:D,MATCH(A2463,atlas!C:C,0)),"")</f>
        <v/>
      </c>
      <c r="E2463" s="8" t="str">
        <f t="array" ref="E2463">IFERROR(INDEX(atlas!F:F,MATCH(A2463,atlas!C:C,0)),"")</f>
        <v/>
      </c>
      <c r="F2463" s="9"/>
      <c r="G2463" s="10"/>
      <c r="H2463" s="11"/>
      <c r="I2463" s="12" t="str">
        <f t="array" ref="I2463">IFERROR(INDEX(atlas!B:B,MATCH(A2463,atlas!C:C,0)),"")</f>
        <v/>
      </c>
      <c r="J2463" s="8" t="str">
        <f>IFERROR(VLOOKUP(F2463,tecnica!A:B,2,0),"")</f>
        <v/>
      </c>
      <c r="K2463" s="8" t="str">
        <f>IFERROR(VLOOKUP(J2463,tecnica!B:C,2,0),"")</f>
        <v/>
      </c>
      <c r="L2463" s="13"/>
      <c r="M2463" s="14" t="str">
        <f>IFERROR(VLOOKUP(I2463,material!A:D,4,0),"")</f>
        <v/>
      </c>
      <c r="N2463" s="14" t="str">
        <f t="shared" si="1"/>
        <v/>
      </c>
      <c r="O2463" s="15" t="str">
        <f>IFERROR(VLOOKUP(I2463,material!A:D,2,0),"")</f>
        <v/>
      </c>
    </row>
    <row r="2464">
      <c r="A2464" s="6"/>
      <c r="B2464" s="7"/>
      <c r="C2464" s="8" t="str">
        <f t="array" ref="C2464">IFERROR(INDEX(atlas!H:H,MATCH(A2464,atlas!C:C,0)),"")</f>
        <v/>
      </c>
      <c r="D2464" s="8" t="str">
        <f t="array" ref="D2464">IFERROR(INDEX(atlas!D:D,MATCH(A2464,atlas!C:C,0)),"")</f>
        <v/>
      </c>
      <c r="E2464" s="8" t="str">
        <f t="array" ref="E2464">IFERROR(INDEX(atlas!F:F,MATCH(A2464,atlas!C:C,0)),"")</f>
        <v/>
      </c>
      <c r="F2464" s="9"/>
      <c r="G2464" s="10"/>
      <c r="H2464" s="11"/>
      <c r="I2464" s="12" t="str">
        <f t="array" ref="I2464">IFERROR(INDEX(atlas!B:B,MATCH(A2464,atlas!C:C,0)),"")</f>
        <v/>
      </c>
      <c r="J2464" s="8" t="str">
        <f>IFERROR(VLOOKUP(F2464,tecnica!A:B,2,0),"")</f>
        <v/>
      </c>
      <c r="K2464" s="8" t="str">
        <f>IFERROR(VLOOKUP(J2464,tecnica!B:C,2,0),"")</f>
        <v/>
      </c>
      <c r="L2464" s="13"/>
      <c r="M2464" s="14" t="str">
        <f>IFERROR(VLOOKUP(I2464,material!A:D,4,0),"")</f>
        <v/>
      </c>
      <c r="N2464" s="14" t="str">
        <f t="shared" si="1"/>
        <v/>
      </c>
      <c r="O2464" s="15" t="str">
        <f>IFERROR(VLOOKUP(I2464,material!A:D,2,0),"")</f>
        <v/>
      </c>
    </row>
    <row r="2465">
      <c r="A2465" s="6"/>
      <c r="B2465" s="7"/>
      <c r="C2465" s="8" t="str">
        <f t="array" ref="C2465">IFERROR(INDEX(atlas!H:H,MATCH(A2465,atlas!C:C,0)),"")</f>
        <v/>
      </c>
      <c r="D2465" s="8" t="str">
        <f t="array" ref="D2465">IFERROR(INDEX(atlas!D:D,MATCH(A2465,atlas!C:C,0)),"")</f>
        <v/>
      </c>
      <c r="E2465" s="8" t="str">
        <f t="array" ref="E2465">IFERROR(INDEX(atlas!F:F,MATCH(A2465,atlas!C:C,0)),"")</f>
        <v/>
      </c>
      <c r="F2465" s="9"/>
      <c r="G2465" s="10"/>
      <c r="H2465" s="11"/>
      <c r="I2465" s="12" t="str">
        <f t="array" ref="I2465">IFERROR(INDEX(atlas!B:B,MATCH(A2465,atlas!C:C,0)),"")</f>
        <v/>
      </c>
      <c r="J2465" s="8" t="str">
        <f>IFERROR(VLOOKUP(F2465,tecnica!A:B,2,0),"")</f>
        <v/>
      </c>
      <c r="K2465" s="8" t="str">
        <f>IFERROR(VLOOKUP(J2465,tecnica!B:C,2,0),"")</f>
        <v/>
      </c>
      <c r="L2465" s="13"/>
      <c r="M2465" s="14" t="str">
        <f>IFERROR(VLOOKUP(I2465,material!A:D,4,0),"")</f>
        <v/>
      </c>
      <c r="N2465" s="14" t="str">
        <f t="shared" si="1"/>
        <v/>
      </c>
      <c r="O2465" s="15" t="str">
        <f>IFERROR(VLOOKUP(I2465,material!A:D,2,0),"")</f>
        <v/>
      </c>
    </row>
    <row r="2466">
      <c r="A2466" s="6"/>
      <c r="B2466" s="7"/>
      <c r="C2466" s="8" t="str">
        <f t="array" ref="C2466">IFERROR(INDEX(atlas!H:H,MATCH(A2466,atlas!C:C,0)),"")</f>
        <v/>
      </c>
      <c r="D2466" s="8" t="str">
        <f t="array" ref="D2466">IFERROR(INDEX(atlas!D:D,MATCH(A2466,atlas!C:C,0)),"")</f>
        <v/>
      </c>
      <c r="E2466" s="8" t="str">
        <f t="array" ref="E2466">IFERROR(INDEX(atlas!F:F,MATCH(A2466,atlas!C:C,0)),"")</f>
        <v/>
      </c>
      <c r="F2466" s="9"/>
      <c r="G2466" s="10"/>
      <c r="H2466" s="11"/>
      <c r="I2466" s="12" t="str">
        <f t="array" ref="I2466">IFERROR(INDEX(atlas!B:B,MATCH(A2466,atlas!C:C,0)),"")</f>
        <v/>
      </c>
      <c r="J2466" s="8" t="str">
        <f>IFERROR(VLOOKUP(F2466,tecnica!A:B,2,0),"")</f>
        <v/>
      </c>
      <c r="K2466" s="8" t="str">
        <f>IFERROR(VLOOKUP(J2466,tecnica!B:C,2,0),"")</f>
        <v/>
      </c>
      <c r="L2466" s="13"/>
      <c r="M2466" s="14" t="str">
        <f>IFERROR(VLOOKUP(I2466,material!A:D,4,0),"")</f>
        <v/>
      </c>
      <c r="N2466" s="14" t="str">
        <f t="shared" si="1"/>
        <v/>
      </c>
      <c r="O2466" s="15" t="str">
        <f>IFERROR(VLOOKUP(I2466,material!A:D,2,0),"")</f>
        <v/>
      </c>
    </row>
    <row r="2467">
      <c r="A2467" s="6"/>
      <c r="B2467" s="7"/>
      <c r="C2467" s="8" t="str">
        <f t="array" ref="C2467">IFERROR(INDEX(atlas!H:H,MATCH(A2467,atlas!C:C,0)),"")</f>
        <v/>
      </c>
      <c r="D2467" s="8" t="str">
        <f t="array" ref="D2467">IFERROR(INDEX(atlas!D:D,MATCH(A2467,atlas!C:C,0)),"")</f>
        <v/>
      </c>
      <c r="E2467" s="8" t="str">
        <f t="array" ref="E2467">IFERROR(INDEX(atlas!F:F,MATCH(A2467,atlas!C:C,0)),"")</f>
        <v/>
      </c>
      <c r="F2467" s="9"/>
      <c r="G2467" s="10"/>
      <c r="H2467" s="11"/>
      <c r="I2467" s="12" t="str">
        <f t="array" ref="I2467">IFERROR(INDEX(atlas!B:B,MATCH(A2467,atlas!C:C,0)),"")</f>
        <v/>
      </c>
      <c r="J2467" s="8" t="str">
        <f>IFERROR(VLOOKUP(F2467,tecnica!A:B,2,0),"")</f>
        <v/>
      </c>
      <c r="K2467" s="8" t="str">
        <f>IFERROR(VLOOKUP(J2467,tecnica!B:C,2,0),"")</f>
        <v/>
      </c>
      <c r="L2467" s="13"/>
      <c r="M2467" s="14" t="str">
        <f>IFERROR(VLOOKUP(I2467,material!A:D,4,0),"")</f>
        <v/>
      </c>
      <c r="N2467" s="14" t="str">
        <f t="shared" si="1"/>
        <v/>
      </c>
      <c r="O2467" s="15" t="str">
        <f>IFERROR(VLOOKUP(I2467,material!A:D,2,0),"")</f>
        <v/>
      </c>
    </row>
    <row r="2468">
      <c r="A2468" s="6"/>
      <c r="B2468" s="7"/>
      <c r="C2468" s="8" t="str">
        <f t="array" ref="C2468">IFERROR(INDEX(atlas!H:H,MATCH(A2468,atlas!C:C,0)),"")</f>
        <v/>
      </c>
      <c r="D2468" s="8" t="str">
        <f t="array" ref="D2468">IFERROR(INDEX(atlas!D:D,MATCH(A2468,atlas!C:C,0)),"")</f>
        <v/>
      </c>
      <c r="E2468" s="8" t="str">
        <f t="array" ref="E2468">IFERROR(INDEX(atlas!F:F,MATCH(A2468,atlas!C:C,0)),"")</f>
        <v/>
      </c>
      <c r="F2468" s="9"/>
      <c r="G2468" s="10"/>
      <c r="H2468" s="11"/>
      <c r="I2468" s="12" t="str">
        <f t="array" ref="I2468">IFERROR(INDEX(atlas!B:B,MATCH(A2468,atlas!C:C,0)),"")</f>
        <v/>
      </c>
      <c r="J2468" s="8" t="str">
        <f>IFERROR(VLOOKUP(F2468,tecnica!A:B,2,0),"")</f>
        <v/>
      </c>
      <c r="K2468" s="8" t="str">
        <f>IFERROR(VLOOKUP(J2468,tecnica!B:C,2,0),"")</f>
        <v/>
      </c>
      <c r="L2468" s="13"/>
      <c r="M2468" s="14" t="str">
        <f>IFERROR(VLOOKUP(I2468,material!A:D,4,0),"")</f>
        <v/>
      </c>
      <c r="N2468" s="14" t="str">
        <f t="shared" si="1"/>
        <v/>
      </c>
      <c r="O2468" s="15" t="str">
        <f>IFERROR(VLOOKUP(I2468,material!A:D,2,0),"")</f>
        <v/>
      </c>
    </row>
    <row r="2469">
      <c r="A2469" s="6"/>
      <c r="B2469" s="7"/>
      <c r="C2469" s="8" t="str">
        <f t="array" ref="C2469">IFERROR(INDEX(atlas!H:H,MATCH(A2469,atlas!C:C,0)),"")</f>
        <v/>
      </c>
      <c r="D2469" s="8" t="str">
        <f t="array" ref="D2469">IFERROR(INDEX(atlas!D:D,MATCH(A2469,atlas!C:C,0)),"")</f>
        <v/>
      </c>
      <c r="E2469" s="8" t="str">
        <f t="array" ref="E2469">IFERROR(INDEX(atlas!F:F,MATCH(A2469,atlas!C:C,0)),"")</f>
        <v/>
      </c>
      <c r="F2469" s="9"/>
      <c r="G2469" s="10"/>
      <c r="H2469" s="11"/>
      <c r="I2469" s="12" t="str">
        <f t="array" ref="I2469">IFERROR(INDEX(atlas!B:B,MATCH(A2469,atlas!C:C,0)),"")</f>
        <v/>
      </c>
      <c r="J2469" s="8" t="str">
        <f>IFERROR(VLOOKUP(F2469,tecnica!A:B,2,0),"")</f>
        <v/>
      </c>
      <c r="K2469" s="8" t="str">
        <f>IFERROR(VLOOKUP(J2469,tecnica!B:C,2,0),"")</f>
        <v/>
      </c>
      <c r="L2469" s="13"/>
      <c r="M2469" s="14" t="str">
        <f>IFERROR(VLOOKUP(I2469,material!A:D,4,0),"")</f>
        <v/>
      </c>
      <c r="N2469" s="14" t="str">
        <f t="shared" si="1"/>
        <v/>
      </c>
      <c r="O2469" s="15" t="str">
        <f>IFERROR(VLOOKUP(I2469,material!A:D,2,0),"")</f>
        <v/>
      </c>
    </row>
    <row r="2470">
      <c r="A2470" s="6"/>
      <c r="B2470" s="7"/>
      <c r="C2470" s="8" t="str">
        <f t="array" ref="C2470">IFERROR(INDEX(atlas!H:H,MATCH(A2470,atlas!C:C,0)),"")</f>
        <v/>
      </c>
      <c r="D2470" s="8" t="str">
        <f t="array" ref="D2470">IFERROR(INDEX(atlas!D:D,MATCH(A2470,atlas!C:C,0)),"")</f>
        <v/>
      </c>
      <c r="E2470" s="8" t="str">
        <f t="array" ref="E2470">IFERROR(INDEX(atlas!F:F,MATCH(A2470,atlas!C:C,0)),"")</f>
        <v/>
      </c>
      <c r="F2470" s="9"/>
      <c r="G2470" s="10"/>
      <c r="H2470" s="11"/>
      <c r="I2470" s="12" t="str">
        <f t="array" ref="I2470">IFERROR(INDEX(atlas!B:B,MATCH(A2470,atlas!C:C,0)),"")</f>
        <v/>
      </c>
      <c r="J2470" s="8" t="str">
        <f>IFERROR(VLOOKUP(F2470,tecnica!A:B,2,0),"")</f>
        <v/>
      </c>
      <c r="K2470" s="8" t="str">
        <f>IFERROR(VLOOKUP(J2470,tecnica!B:C,2,0),"")</f>
        <v/>
      </c>
      <c r="L2470" s="13"/>
      <c r="M2470" s="14" t="str">
        <f>IFERROR(VLOOKUP(I2470,material!A:D,4,0),"")</f>
        <v/>
      </c>
      <c r="N2470" s="14" t="str">
        <f t="shared" si="1"/>
        <v/>
      </c>
      <c r="O2470" s="15" t="str">
        <f>IFERROR(VLOOKUP(I2470,material!A:D,2,0),"")</f>
        <v/>
      </c>
    </row>
    <row r="2471">
      <c r="A2471" s="6"/>
      <c r="B2471" s="7"/>
      <c r="C2471" s="8" t="str">
        <f t="array" ref="C2471">IFERROR(INDEX(atlas!H:H,MATCH(A2471,atlas!C:C,0)),"")</f>
        <v/>
      </c>
      <c r="D2471" s="8" t="str">
        <f t="array" ref="D2471">IFERROR(INDEX(atlas!D:D,MATCH(A2471,atlas!C:C,0)),"")</f>
        <v/>
      </c>
      <c r="E2471" s="8" t="str">
        <f t="array" ref="E2471">IFERROR(INDEX(atlas!F:F,MATCH(A2471,atlas!C:C,0)),"")</f>
        <v/>
      </c>
      <c r="F2471" s="9"/>
      <c r="G2471" s="10"/>
      <c r="H2471" s="11"/>
      <c r="I2471" s="12" t="str">
        <f t="array" ref="I2471">IFERROR(INDEX(atlas!B:B,MATCH(A2471,atlas!C:C,0)),"")</f>
        <v/>
      </c>
      <c r="J2471" s="8" t="str">
        <f>IFERROR(VLOOKUP(F2471,tecnica!A:B,2,0),"")</f>
        <v/>
      </c>
      <c r="K2471" s="8" t="str">
        <f>IFERROR(VLOOKUP(J2471,tecnica!B:C,2,0),"")</f>
        <v/>
      </c>
      <c r="L2471" s="13"/>
      <c r="M2471" s="14" t="str">
        <f>IFERROR(VLOOKUP(I2471,material!A:D,4,0),"")</f>
        <v/>
      </c>
      <c r="N2471" s="14" t="str">
        <f t="shared" si="1"/>
        <v/>
      </c>
      <c r="O2471" s="15" t="str">
        <f>IFERROR(VLOOKUP(I2471,material!A:D,2,0),"")</f>
        <v/>
      </c>
    </row>
    <row r="2472">
      <c r="A2472" s="6"/>
      <c r="B2472" s="7"/>
      <c r="C2472" s="8" t="str">
        <f t="array" ref="C2472">IFERROR(INDEX(atlas!H:H,MATCH(A2472,atlas!C:C,0)),"")</f>
        <v/>
      </c>
      <c r="D2472" s="8" t="str">
        <f t="array" ref="D2472">IFERROR(INDEX(atlas!D:D,MATCH(A2472,atlas!C:C,0)),"")</f>
        <v/>
      </c>
      <c r="E2472" s="8" t="str">
        <f t="array" ref="E2472">IFERROR(INDEX(atlas!F:F,MATCH(A2472,atlas!C:C,0)),"")</f>
        <v/>
      </c>
      <c r="F2472" s="9"/>
      <c r="G2472" s="10"/>
      <c r="H2472" s="11"/>
      <c r="I2472" s="12" t="str">
        <f t="array" ref="I2472">IFERROR(INDEX(atlas!B:B,MATCH(A2472,atlas!C:C,0)),"")</f>
        <v/>
      </c>
      <c r="J2472" s="8" t="str">
        <f>IFERROR(VLOOKUP(F2472,tecnica!A:B,2,0),"")</f>
        <v/>
      </c>
      <c r="K2472" s="8" t="str">
        <f>IFERROR(VLOOKUP(J2472,tecnica!B:C,2,0),"")</f>
        <v/>
      </c>
      <c r="L2472" s="13"/>
      <c r="M2472" s="14" t="str">
        <f>IFERROR(VLOOKUP(I2472,material!A:D,4,0),"")</f>
        <v/>
      </c>
      <c r="N2472" s="14" t="str">
        <f t="shared" si="1"/>
        <v/>
      </c>
      <c r="O2472" s="15" t="str">
        <f>IFERROR(VLOOKUP(I2472,material!A:D,2,0),"")</f>
        <v/>
      </c>
    </row>
    <row r="2473">
      <c r="A2473" s="6"/>
      <c r="B2473" s="7"/>
      <c r="C2473" s="8" t="str">
        <f t="array" ref="C2473">IFERROR(INDEX(atlas!H:H,MATCH(A2473,atlas!C:C,0)),"")</f>
        <v/>
      </c>
      <c r="D2473" s="8" t="str">
        <f t="array" ref="D2473">IFERROR(INDEX(atlas!D:D,MATCH(A2473,atlas!C:C,0)),"")</f>
        <v/>
      </c>
      <c r="E2473" s="8" t="str">
        <f t="array" ref="E2473">IFERROR(INDEX(atlas!F:F,MATCH(A2473,atlas!C:C,0)),"")</f>
        <v/>
      </c>
      <c r="F2473" s="9"/>
      <c r="G2473" s="10"/>
      <c r="H2473" s="11"/>
      <c r="I2473" s="12" t="str">
        <f t="array" ref="I2473">IFERROR(INDEX(atlas!B:B,MATCH(A2473,atlas!C:C,0)),"")</f>
        <v/>
      </c>
      <c r="J2473" s="8" t="str">
        <f>IFERROR(VLOOKUP(F2473,tecnica!A:B,2,0),"")</f>
        <v/>
      </c>
      <c r="K2473" s="8" t="str">
        <f>IFERROR(VLOOKUP(J2473,tecnica!B:C,2,0),"")</f>
        <v/>
      </c>
      <c r="L2473" s="13"/>
      <c r="M2473" s="14" t="str">
        <f>IFERROR(VLOOKUP(I2473,material!A:D,4,0),"")</f>
        <v/>
      </c>
      <c r="N2473" s="14" t="str">
        <f t="shared" si="1"/>
        <v/>
      </c>
      <c r="O2473" s="15" t="str">
        <f>IFERROR(VLOOKUP(I2473,material!A:D,2,0),"")</f>
        <v/>
      </c>
    </row>
    <row r="2474">
      <c r="A2474" s="6"/>
      <c r="B2474" s="7"/>
      <c r="C2474" s="8" t="str">
        <f t="array" ref="C2474">IFERROR(INDEX(atlas!H:H,MATCH(A2474,atlas!C:C,0)),"")</f>
        <v/>
      </c>
      <c r="D2474" s="8" t="str">
        <f t="array" ref="D2474">IFERROR(INDEX(atlas!D:D,MATCH(A2474,atlas!C:C,0)),"")</f>
        <v/>
      </c>
      <c r="E2474" s="8" t="str">
        <f t="array" ref="E2474">IFERROR(INDEX(atlas!F:F,MATCH(A2474,atlas!C:C,0)),"")</f>
        <v/>
      </c>
      <c r="F2474" s="9"/>
      <c r="G2474" s="10"/>
      <c r="H2474" s="11"/>
      <c r="I2474" s="12" t="str">
        <f t="array" ref="I2474">IFERROR(INDEX(atlas!B:B,MATCH(A2474,atlas!C:C,0)),"")</f>
        <v/>
      </c>
      <c r="J2474" s="8" t="str">
        <f>IFERROR(VLOOKUP(F2474,tecnica!A:B,2,0),"")</f>
        <v/>
      </c>
      <c r="K2474" s="8" t="str">
        <f>IFERROR(VLOOKUP(J2474,tecnica!B:C,2,0),"")</f>
        <v/>
      </c>
      <c r="L2474" s="13"/>
      <c r="M2474" s="14" t="str">
        <f>IFERROR(VLOOKUP(I2474,material!A:D,4,0),"")</f>
        <v/>
      </c>
      <c r="N2474" s="14" t="str">
        <f t="shared" si="1"/>
        <v/>
      </c>
      <c r="O2474" s="15" t="str">
        <f>IFERROR(VLOOKUP(I2474,material!A:D,2,0),"")</f>
        <v/>
      </c>
    </row>
    <row r="2475">
      <c r="A2475" s="6"/>
      <c r="B2475" s="7"/>
      <c r="C2475" s="8" t="str">
        <f t="array" ref="C2475">IFERROR(INDEX(atlas!H:H,MATCH(A2475,atlas!C:C,0)),"")</f>
        <v/>
      </c>
      <c r="D2475" s="8" t="str">
        <f t="array" ref="D2475">IFERROR(INDEX(atlas!D:D,MATCH(A2475,atlas!C:C,0)),"")</f>
        <v/>
      </c>
      <c r="E2475" s="8" t="str">
        <f t="array" ref="E2475">IFERROR(INDEX(atlas!F:F,MATCH(A2475,atlas!C:C,0)),"")</f>
        <v/>
      </c>
      <c r="F2475" s="9"/>
      <c r="G2475" s="10"/>
      <c r="H2475" s="11"/>
      <c r="I2475" s="12" t="str">
        <f t="array" ref="I2475">IFERROR(INDEX(atlas!B:B,MATCH(A2475,atlas!C:C,0)),"")</f>
        <v/>
      </c>
      <c r="J2475" s="8" t="str">
        <f>IFERROR(VLOOKUP(F2475,tecnica!A:B,2,0),"")</f>
        <v/>
      </c>
      <c r="K2475" s="8" t="str">
        <f>IFERROR(VLOOKUP(J2475,tecnica!B:C,2,0),"")</f>
        <v/>
      </c>
      <c r="L2475" s="13"/>
      <c r="M2475" s="14" t="str">
        <f>IFERROR(VLOOKUP(I2475,material!A:D,4,0),"")</f>
        <v/>
      </c>
      <c r="N2475" s="14" t="str">
        <f t="shared" si="1"/>
        <v/>
      </c>
      <c r="O2475" s="15" t="str">
        <f>IFERROR(VLOOKUP(I2475,material!A:D,2,0),"")</f>
        <v/>
      </c>
    </row>
    <row r="2476">
      <c r="A2476" s="6"/>
      <c r="B2476" s="7"/>
      <c r="C2476" s="8" t="str">
        <f t="array" ref="C2476">IFERROR(INDEX(atlas!H:H,MATCH(A2476,atlas!C:C,0)),"")</f>
        <v/>
      </c>
      <c r="D2476" s="8" t="str">
        <f t="array" ref="D2476">IFERROR(INDEX(atlas!D:D,MATCH(A2476,atlas!C:C,0)),"")</f>
        <v/>
      </c>
      <c r="E2476" s="8" t="str">
        <f t="array" ref="E2476">IFERROR(INDEX(atlas!F:F,MATCH(A2476,atlas!C:C,0)),"")</f>
        <v/>
      </c>
      <c r="F2476" s="9"/>
      <c r="G2476" s="10"/>
      <c r="H2476" s="11"/>
      <c r="I2476" s="12" t="str">
        <f t="array" ref="I2476">IFERROR(INDEX(atlas!B:B,MATCH(A2476,atlas!C:C,0)),"")</f>
        <v/>
      </c>
      <c r="J2476" s="8" t="str">
        <f>IFERROR(VLOOKUP(F2476,tecnica!A:B,2,0),"")</f>
        <v/>
      </c>
      <c r="K2476" s="8" t="str">
        <f>IFERROR(VLOOKUP(J2476,tecnica!B:C,2,0),"")</f>
        <v/>
      </c>
      <c r="L2476" s="13"/>
      <c r="M2476" s="14" t="str">
        <f>IFERROR(VLOOKUP(I2476,material!A:D,4,0),"")</f>
        <v/>
      </c>
      <c r="N2476" s="14" t="str">
        <f t="shared" si="1"/>
        <v/>
      </c>
      <c r="O2476" s="15" t="str">
        <f>IFERROR(VLOOKUP(I2476,material!A:D,2,0),"")</f>
        <v/>
      </c>
    </row>
    <row r="2477">
      <c r="A2477" s="6"/>
      <c r="B2477" s="7"/>
      <c r="C2477" s="8" t="str">
        <f t="array" ref="C2477">IFERROR(INDEX(atlas!H:H,MATCH(A2477,atlas!C:C,0)),"")</f>
        <v/>
      </c>
      <c r="D2477" s="8" t="str">
        <f t="array" ref="D2477">IFERROR(INDEX(atlas!D:D,MATCH(A2477,atlas!C:C,0)),"")</f>
        <v/>
      </c>
      <c r="E2477" s="8" t="str">
        <f t="array" ref="E2477">IFERROR(INDEX(atlas!F:F,MATCH(A2477,atlas!C:C,0)),"")</f>
        <v/>
      </c>
      <c r="F2477" s="9"/>
      <c r="G2477" s="10"/>
      <c r="H2477" s="11"/>
      <c r="I2477" s="12" t="str">
        <f t="array" ref="I2477">IFERROR(INDEX(atlas!B:B,MATCH(A2477,atlas!C:C,0)),"")</f>
        <v/>
      </c>
      <c r="J2477" s="8" t="str">
        <f>IFERROR(VLOOKUP(F2477,tecnica!A:B,2,0),"")</f>
        <v/>
      </c>
      <c r="K2477" s="8" t="str">
        <f>IFERROR(VLOOKUP(J2477,tecnica!B:C,2,0),"")</f>
        <v/>
      </c>
      <c r="L2477" s="13"/>
      <c r="M2477" s="14" t="str">
        <f>IFERROR(VLOOKUP(I2477,material!A:D,4,0),"")</f>
        <v/>
      </c>
      <c r="N2477" s="14" t="str">
        <f t="shared" si="1"/>
        <v/>
      </c>
      <c r="O2477" s="15" t="str">
        <f>IFERROR(VLOOKUP(I2477,material!A:D,2,0),"")</f>
        <v/>
      </c>
    </row>
    <row r="2478">
      <c r="A2478" s="6"/>
      <c r="B2478" s="7"/>
      <c r="C2478" s="8" t="str">
        <f t="array" ref="C2478">IFERROR(INDEX(atlas!H:H,MATCH(A2478,atlas!C:C,0)),"")</f>
        <v/>
      </c>
      <c r="D2478" s="8" t="str">
        <f t="array" ref="D2478">IFERROR(INDEX(atlas!D:D,MATCH(A2478,atlas!C:C,0)),"")</f>
        <v/>
      </c>
      <c r="E2478" s="8" t="str">
        <f t="array" ref="E2478">IFERROR(INDEX(atlas!F:F,MATCH(A2478,atlas!C:C,0)),"")</f>
        <v/>
      </c>
      <c r="F2478" s="9"/>
      <c r="G2478" s="10"/>
      <c r="H2478" s="11"/>
      <c r="I2478" s="12" t="str">
        <f t="array" ref="I2478">IFERROR(INDEX(atlas!B:B,MATCH(A2478,atlas!C:C,0)),"")</f>
        <v/>
      </c>
      <c r="J2478" s="8" t="str">
        <f>IFERROR(VLOOKUP(F2478,tecnica!A:B,2,0),"")</f>
        <v/>
      </c>
      <c r="K2478" s="8" t="str">
        <f>IFERROR(VLOOKUP(J2478,tecnica!B:C,2,0),"")</f>
        <v/>
      </c>
      <c r="L2478" s="13"/>
      <c r="M2478" s="14" t="str">
        <f>IFERROR(VLOOKUP(I2478,material!A:D,4,0),"")</f>
        <v/>
      </c>
      <c r="N2478" s="14" t="str">
        <f t="shared" si="1"/>
        <v/>
      </c>
      <c r="O2478" s="15" t="str">
        <f>IFERROR(VLOOKUP(I2478,material!A:D,2,0),"")</f>
        <v/>
      </c>
    </row>
    <row r="2479">
      <c r="A2479" s="6"/>
      <c r="B2479" s="7"/>
      <c r="C2479" s="8" t="str">
        <f t="array" ref="C2479">IFERROR(INDEX(atlas!H:H,MATCH(A2479,atlas!C:C,0)),"")</f>
        <v/>
      </c>
      <c r="D2479" s="8" t="str">
        <f t="array" ref="D2479">IFERROR(INDEX(atlas!D:D,MATCH(A2479,atlas!C:C,0)),"")</f>
        <v/>
      </c>
      <c r="E2479" s="8" t="str">
        <f t="array" ref="E2479">IFERROR(INDEX(atlas!F:F,MATCH(A2479,atlas!C:C,0)),"")</f>
        <v/>
      </c>
      <c r="F2479" s="9"/>
      <c r="G2479" s="10"/>
      <c r="H2479" s="11"/>
      <c r="I2479" s="12" t="str">
        <f t="array" ref="I2479">IFERROR(INDEX(atlas!B:B,MATCH(A2479,atlas!C:C,0)),"")</f>
        <v/>
      </c>
      <c r="J2479" s="8" t="str">
        <f>IFERROR(VLOOKUP(F2479,tecnica!A:B,2,0),"")</f>
        <v/>
      </c>
      <c r="K2479" s="8" t="str">
        <f>IFERROR(VLOOKUP(J2479,tecnica!B:C,2,0),"")</f>
        <v/>
      </c>
      <c r="L2479" s="13"/>
      <c r="M2479" s="14" t="str">
        <f>IFERROR(VLOOKUP(I2479,material!A:D,4,0),"")</f>
        <v/>
      </c>
      <c r="N2479" s="14" t="str">
        <f t="shared" si="1"/>
        <v/>
      </c>
      <c r="O2479" s="15" t="str">
        <f>IFERROR(VLOOKUP(I2479,material!A:D,2,0),"")</f>
        <v/>
      </c>
    </row>
    <row r="2480">
      <c r="A2480" s="6"/>
      <c r="B2480" s="7"/>
      <c r="C2480" s="8" t="str">
        <f t="array" ref="C2480">IFERROR(INDEX(atlas!H:H,MATCH(A2480,atlas!C:C,0)),"")</f>
        <v/>
      </c>
      <c r="D2480" s="8" t="str">
        <f t="array" ref="D2480">IFERROR(INDEX(atlas!D:D,MATCH(A2480,atlas!C:C,0)),"")</f>
        <v/>
      </c>
      <c r="E2480" s="8" t="str">
        <f t="array" ref="E2480">IFERROR(INDEX(atlas!F:F,MATCH(A2480,atlas!C:C,0)),"")</f>
        <v/>
      </c>
      <c r="F2480" s="9"/>
      <c r="G2480" s="10"/>
      <c r="H2480" s="11"/>
      <c r="I2480" s="12" t="str">
        <f t="array" ref="I2480">IFERROR(INDEX(atlas!B:B,MATCH(A2480,atlas!C:C,0)),"")</f>
        <v/>
      </c>
      <c r="J2480" s="8" t="str">
        <f>IFERROR(VLOOKUP(F2480,tecnica!A:B,2,0),"")</f>
        <v/>
      </c>
      <c r="K2480" s="8" t="str">
        <f>IFERROR(VLOOKUP(J2480,tecnica!B:C,2,0),"")</f>
        <v/>
      </c>
      <c r="L2480" s="13"/>
      <c r="M2480" s="14" t="str">
        <f>IFERROR(VLOOKUP(I2480,material!A:D,4,0),"")</f>
        <v/>
      </c>
      <c r="N2480" s="14" t="str">
        <f t="shared" si="1"/>
        <v/>
      </c>
      <c r="O2480" s="15" t="str">
        <f>IFERROR(VLOOKUP(I2480,material!A:D,2,0),"")</f>
        <v/>
      </c>
    </row>
    <row r="2481">
      <c r="A2481" s="6"/>
      <c r="B2481" s="7"/>
      <c r="C2481" s="8" t="str">
        <f t="array" ref="C2481">IFERROR(INDEX(atlas!H:H,MATCH(A2481,atlas!C:C,0)),"")</f>
        <v/>
      </c>
      <c r="D2481" s="8" t="str">
        <f t="array" ref="D2481">IFERROR(INDEX(atlas!D:D,MATCH(A2481,atlas!C:C,0)),"")</f>
        <v/>
      </c>
      <c r="E2481" s="8" t="str">
        <f t="array" ref="E2481">IFERROR(INDEX(atlas!F:F,MATCH(A2481,atlas!C:C,0)),"")</f>
        <v/>
      </c>
      <c r="F2481" s="9"/>
      <c r="G2481" s="10"/>
      <c r="H2481" s="11"/>
      <c r="I2481" s="12" t="str">
        <f t="array" ref="I2481">IFERROR(INDEX(atlas!B:B,MATCH(A2481,atlas!C:C,0)),"")</f>
        <v/>
      </c>
      <c r="J2481" s="8" t="str">
        <f>IFERROR(VLOOKUP(F2481,tecnica!A:B,2,0),"")</f>
        <v/>
      </c>
      <c r="K2481" s="8" t="str">
        <f>IFERROR(VLOOKUP(J2481,tecnica!B:C,2,0),"")</f>
        <v/>
      </c>
      <c r="L2481" s="13"/>
      <c r="M2481" s="14" t="str">
        <f>IFERROR(VLOOKUP(I2481,material!A:D,4,0),"")</f>
        <v/>
      </c>
      <c r="N2481" s="14" t="str">
        <f t="shared" si="1"/>
        <v/>
      </c>
      <c r="O2481" s="15" t="str">
        <f>IFERROR(VLOOKUP(I2481,material!A:D,2,0),"")</f>
        <v/>
      </c>
    </row>
    <row r="2482">
      <c r="A2482" s="6"/>
      <c r="B2482" s="7"/>
      <c r="C2482" s="8" t="str">
        <f t="array" ref="C2482">IFERROR(INDEX(atlas!H:H,MATCH(A2482,atlas!C:C,0)),"")</f>
        <v/>
      </c>
      <c r="D2482" s="8" t="str">
        <f t="array" ref="D2482">IFERROR(INDEX(atlas!D:D,MATCH(A2482,atlas!C:C,0)),"")</f>
        <v/>
      </c>
      <c r="E2482" s="8" t="str">
        <f t="array" ref="E2482">IFERROR(INDEX(atlas!F:F,MATCH(A2482,atlas!C:C,0)),"")</f>
        <v/>
      </c>
      <c r="F2482" s="9"/>
      <c r="G2482" s="10"/>
      <c r="H2482" s="11"/>
      <c r="I2482" s="12" t="str">
        <f t="array" ref="I2482">IFERROR(INDEX(atlas!B:B,MATCH(A2482,atlas!C:C,0)),"")</f>
        <v/>
      </c>
      <c r="J2482" s="8" t="str">
        <f>IFERROR(VLOOKUP(F2482,tecnica!A:B,2,0),"")</f>
        <v/>
      </c>
      <c r="K2482" s="8" t="str">
        <f>IFERROR(VLOOKUP(J2482,tecnica!B:C,2,0),"")</f>
        <v/>
      </c>
      <c r="L2482" s="13"/>
      <c r="M2482" s="14" t="str">
        <f>IFERROR(VLOOKUP(I2482,material!A:D,4,0),"")</f>
        <v/>
      </c>
      <c r="N2482" s="14" t="str">
        <f t="shared" si="1"/>
        <v/>
      </c>
      <c r="O2482" s="15" t="str">
        <f>IFERROR(VLOOKUP(I2482,material!A:D,2,0),"")</f>
        <v/>
      </c>
    </row>
    <row r="2483">
      <c r="A2483" s="6"/>
      <c r="B2483" s="7"/>
      <c r="C2483" s="8" t="str">
        <f t="array" ref="C2483">IFERROR(INDEX(atlas!H:H,MATCH(A2483,atlas!C:C,0)),"")</f>
        <v/>
      </c>
      <c r="D2483" s="8" t="str">
        <f t="array" ref="D2483">IFERROR(INDEX(atlas!D:D,MATCH(A2483,atlas!C:C,0)),"")</f>
        <v/>
      </c>
      <c r="E2483" s="8" t="str">
        <f t="array" ref="E2483">IFERROR(INDEX(atlas!F:F,MATCH(A2483,atlas!C:C,0)),"")</f>
        <v/>
      </c>
      <c r="F2483" s="9"/>
      <c r="G2483" s="10"/>
      <c r="H2483" s="11"/>
      <c r="I2483" s="12" t="str">
        <f t="array" ref="I2483">IFERROR(INDEX(atlas!B:B,MATCH(A2483,atlas!C:C,0)),"")</f>
        <v/>
      </c>
      <c r="J2483" s="8" t="str">
        <f>IFERROR(VLOOKUP(F2483,tecnica!A:B,2,0),"")</f>
        <v/>
      </c>
      <c r="K2483" s="8" t="str">
        <f>IFERROR(VLOOKUP(J2483,tecnica!B:C,2,0),"")</f>
        <v/>
      </c>
      <c r="L2483" s="13"/>
      <c r="M2483" s="14" t="str">
        <f>IFERROR(VLOOKUP(I2483,material!A:D,4,0),"")</f>
        <v/>
      </c>
      <c r="N2483" s="14" t="str">
        <f t="shared" si="1"/>
        <v/>
      </c>
      <c r="O2483" s="15" t="str">
        <f>IFERROR(VLOOKUP(I2483,material!A:D,2,0),"")</f>
        <v/>
      </c>
    </row>
    <row r="2484">
      <c r="A2484" s="6"/>
      <c r="B2484" s="7"/>
      <c r="C2484" s="8" t="str">
        <f t="array" ref="C2484">IFERROR(INDEX(atlas!H:H,MATCH(A2484,atlas!C:C,0)),"")</f>
        <v/>
      </c>
      <c r="D2484" s="8" t="str">
        <f t="array" ref="D2484">IFERROR(INDEX(atlas!D:D,MATCH(A2484,atlas!C:C,0)),"")</f>
        <v/>
      </c>
      <c r="E2484" s="8" t="str">
        <f t="array" ref="E2484">IFERROR(INDEX(atlas!F:F,MATCH(A2484,atlas!C:C,0)),"")</f>
        <v/>
      </c>
      <c r="F2484" s="9"/>
      <c r="G2484" s="10"/>
      <c r="H2484" s="11"/>
      <c r="I2484" s="12" t="str">
        <f t="array" ref="I2484">IFERROR(INDEX(atlas!B:B,MATCH(A2484,atlas!C:C,0)),"")</f>
        <v/>
      </c>
      <c r="J2484" s="8" t="str">
        <f>IFERROR(VLOOKUP(F2484,tecnica!A:B,2,0),"")</f>
        <v/>
      </c>
      <c r="K2484" s="8" t="str">
        <f>IFERROR(VLOOKUP(J2484,tecnica!B:C,2,0),"")</f>
        <v/>
      </c>
      <c r="L2484" s="13"/>
      <c r="M2484" s="14" t="str">
        <f>IFERROR(VLOOKUP(I2484,material!A:D,4,0),"")</f>
        <v/>
      </c>
      <c r="N2484" s="14" t="str">
        <f t="shared" si="1"/>
        <v/>
      </c>
      <c r="O2484" s="15" t="str">
        <f>IFERROR(VLOOKUP(I2484,material!A:D,2,0),"")</f>
        <v/>
      </c>
    </row>
    <row r="2485">
      <c r="A2485" s="6"/>
      <c r="B2485" s="7"/>
      <c r="C2485" s="8" t="str">
        <f t="array" ref="C2485">IFERROR(INDEX(atlas!H:H,MATCH(A2485,atlas!C:C,0)),"")</f>
        <v/>
      </c>
      <c r="D2485" s="8" t="str">
        <f t="array" ref="D2485">IFERROR(INDEX(atlas!D:D,MATCH(A2485,atlas!C:C,0)),"")</f>
        <v/>
      </c>
      <c r="E2485" s="8" t="str">
        <f t="array" ref="E2485">IFERROR(INDEX(atlas!F:F,MATCH(A2485,atlas!C:C,0)),"")</f>
        <v/>
      </c>
      <c r="F2485" s="9"/>
      <c r="G2485" s="10"/>
      <c r="H2485" s="11"/>
      <c r="I2485" s="12" t="str">
        <f t="array" ref="I2485">IFERROR(INDEX(atlas!B:B,MATCH(A2485,atlas!C:C,0)),"")</f>
        <v/>
      </c>
      <c r="J2485" s="8" t="str">
        <f>IFERROR(VLOOKUP(F2485,tecnica!A:B,2,0),"")</f>
        <v/>
      </c>
      <c r="K2485" s="8" t="str">
        <f>IFERROR(VLOOKUP(J2485,tecnica!B:C,2,0),"")</f>
        <v/>
      </c>
      <c r="L2485" s="13"/>
      <c r="M2485" s="14" t="str">
        <f>IFERROR(VLOOKUP(I2485,material!A:D,4,0),"")</f>
        <v/>
      </c>
      <c r="N2485" s="14" t="str">
        <f t="shared" si="1"/>
        <v/>
      </c>
      <c r="O2485" s="15" t="str">
        <f>IFERROR(VLOOKUP(I2485,material!A:D,2,0),"")</f>
        <v/>
      </c>
    </row>
    <row r="2486">
      <c r="A2486" s="6"/>
      <c r="B2486" s="7"/>
      <c r="C2486" s="8" t="str">
        <f t="array" ref="C2486">IFERROR(INDEX(atlas!H:H,MATCH(A2486,atlas!C:C,0)),"")</f>
        <v/>
      </c>
      <c r="D2486" s="8" t="str">
        <f t="array" ref="D2486">IFERROR(INDEX(atlas!D:D,MATCH(A2486,atlas!C:C,0)),"")</f>
        <v/>
      </c>
      <c r="E2486" s="8" t="str">
        <f t="array" ref="E2486">IFERROR(INDEX(atlas!F:F,MATCH(A2486,atlas!C:C,0)),"")</f>
        <v/>
      </c>
      <c r="F2486" s="9"/>
      <c r="G2486" s="10"/>
      <c r="H2486" s="11"/>
      <c r="I2486" s="12" t="str">
        <f t="array" ref="I2486">IFERROR(INDEX(atlas!B:B,MATCH(A2486,atlas!C:C,0)),"")</f>
        <v/>
      </c>
      <c r="J2486" s="8" t="str">
        <f>IFERROR(VLOOKUP(F2486,tecnica!A:B,2,0),"")</f>
        <v/>
      </c>
      <c r="K2486" s="8" t="str">
        <f>IFERROR(VLOOKUP(J2486,tecnica!B:C,2,0),"")</f>
        <v/>
      </c>
      <c r="L2486" s="13"/>
      <c r="M2486" s="14" t="str">
        <f>IFERROR(VLOOKUP(I2486,material!A:D,4,0),"")</f>
        <v/>
      </c>
      <c r="N2486" s="14" t="str">
        <f t="shared" si="1"/>
        <v/>
      </c>
      <c r="O2486" s="15" t="str">
        <f>IFERROR(VLOOKUP(I2486,material!A:D,2,0),"")</f>
        <v/>
      </c>
    </row>
    <row r="2487">
      <c r="A2487" s="6"/>
      <c r="B2487" s="7"/>
      <c r="C2487" s="8" t="str">
        <f t="array" ref="C2487">IFERROR(INDEX(atlas!H:H,MATCH(A2487,atlas!C:C,0)),"")</f>
        <v/>
      </c>
      <c r="D2487" s="8" t="str">
        <f t="array" ref="D2487">IFERROR(INDEX(atlas!D:D,MATCH(A2487,atlas!C:C,0)),"")</f>
        <v/>
      </c>
      <c r="E2487" s="8" t="str">
        <f t="array" ref="E2487">IFERROR(INDEX(atlas!F:F,MATCH(A2487,atlas!C:C,0)),"")</f>
        <v/>
      </c>
      <c r="F2487" s="9"/>
      <c r="G2487" s="10"/>
      <c r="H2487" s="11"/>
      <c r="I2487" s="12" t="str">
        <f t="array" ref="I2487">IFERROR(INDEX(atlas!B:B,MATCH(A2487,atlas!C:C,0)),"")</f>
        <v/>
      </c>
      <c r="J2487" s="8" t="str">
        <f>IFERROR(VLOOKUP(F2487,tecnica!A:B,2,0),"")</f>
        <v/>
      </c>
      <c r="K2487" s="8" t="str">
        <f>IFERROR(VLOOKUP(J2487,tecnica!B:C,2,0),"")</f>
        <v/>
      </c>
      <c r="L2487" s="13"/>
      <c r="M2487" s="14" t="str">
        <f>IFERROR(VLOOKUP(I2487,material!A:D,4,0),"")</f>
        <v/>
      </c>
      <c r="N2487" s="14" t="str">
        <f t="shared" si="1"/>
        <v/>
      </c>
      <c r="O2487" s="15" t="str">
        <f>IFERROR(VLOOKUP(I2487,material!A:D,2,0),"")</f>
        <v/>
      </c>
    </row>
    <row r="2488">
      <c r="A2488" s="6"/>
      <c r="B2488" s="7"/>
      <c r="C2488" s="8" t="str">
        <f t="array" ref="C2488">IFERROR(INDEX(atlas!H:H,MATCH(A2488,atlas!C:C,0)),"")</f>
        <v/>
      </c>
      <c r="D2488" s="8" t="str">
        <f t="array" ref="D2488">IFERROR(INDEX(atlas!D:D,MATCH(A2488,atlas!C:C,0)),"")</f>
        <v/>
      </c>
      <c r="E2488" s="8" t="str">
        <f t="array" ref="E2488">IFERROR(INDEX(atlas!F:F,MATCH(A2488,atlas!C:C,0)),"")</f>
        <v/>
      </c>
      <c r="F2488" s="9"/>
      <c r="G2488" s="10"/>
      <c r="H2488" s="11"/>
      <c r="I2488" s="12" t="str">
        <f t="array" ref="I2488">IFERROR(INDEX(atlas!B:B,MATCH(A2488,atlas!C:C,0)),"")</f>
        <v/>
      </c>
      <c r="J2488" s="8" t="str">
        <f>IFERROR(VLOOKUP(F2488,tecnica!A:B,2,0),"")</f>
        <v/>
      </c>
      <c r="K2488" s="8" t="str">
        <f>IFERROR(VLOOKUP(J2488,tecnica!B:C,2,0),"")</f>
        <v/>
      </c>
      <c r="L2488" s="13"/>
      <c r="M2488" s="14" t="str">
        <f>IFERROR(VLOOKUP(I2488,material!A:D,4,0),"")</f>
        <v/>
      </c>
      <c r="N2488" s="14" t="str">
        <f t="shared" si="1"/>
        <v/>
      </c>
      <c r="O2488" s="15" t="str">
        <f>IFERROR(VLOOKUP(I2488,material!A:D,2,0),"")</f>
        <v/>
      </c>
    </row>
    <row r="2489">
      <c r="A2489" s="6"/>
      <c r="B2489" s="7"/>
      <c r="C2489" s="8" t="str">
        <f t="array" ref="C2489">IFERROR(INDEX(atlas!H:H,MATCH(A2489,atlas!C:C,0)),"")</f>
        <v/>
      </c>
      <c r="D2489" s="8" t="str">
        <f t="array" ref="D2489">IFERROR(INDEX(atlas!D:D,MATCH(A2489,atlas!C:C,0)),"")</f>
        <v/>
      </c>
      <c r="E2489" s="8" t="str">
        <f t="array" ref="E2489">IFERROR(INDEX(atlas!F:F,MATCH(A2489,atlas!C:C,0)),"")</f>
        <v/>
      </c>
      <c r="F2489" s="9"/>
      <c r="G2489" s="10"/>
      <c r="H2489" s="11"/>
      <c r="I2489" s="12" t="str">
        <f t="array" ref="I2489">IFERROR(INDEX(atlas!B:B,MATCH(A2489,atlas!C:C,0)),"")</f>
        <v/>
      </c>
      <c r="J2489" s="8" t="str">
        <f>IFERROR(VLOOKUP(F2489,tecnica!A:B,2,0),"")</f>
        <v/>
      </c>
      <c r="K2489" s="8" t="str">
        <f>IFERROR(VLOOKUP(J2489,tecnica!B:C,2,0),"")</f>
        <v/>
      </c>
      <c r="L2489" s="13"/>
      <c r="M2489" s="14" t="str">
        <f>IFERROR(VLOOKUP(I2489,material!A:D,4,0),"")</f>
        <v/>
      </c>
      <c r="N2489" s="14" t="str">
        <f t="shared" si="1"/>
        <v/>
      </c>
      <c r="O2489" s="15" t="str">
        <f>IFERROR(VLOOKUP(I2489,material!A:D,2,0),"")</f>
        <v/>
      </c>
    </row>
    <row r="2490">
      <c r="A2490" s="6"/>
      <c r="B2490" s="7"/>
      <c r="C2490" s="8" t="str">
        <f t="array" ref="C2490">IFERROR(INDEX(atlas!H:H,MATCH(A2490,atlas!C:C,0)),"")</f>
        <v/>
      </c>
      <c r="D2490" s="8" t="str">
        <f t="array" ref="D2490">IFERROR(INDEX(atlas!D:D,MATCH(A2490,atlas!C:C,0)),"")</f>
        <v/>
      </c>
      <c r="E2490" s="8" t="str">
        <f t="array" ref="E2490">IFERROR(INDEX(atlas!F:F,MATCH(A2490,atlas!C:C,0)),"")</f>
        <v/>
      </c>
      <c r="F2490" s="9"/>
      <c r="G2490" s="10"/>
      <c r="H2490" s="11"/>
      <c r="I2490" s="12" t="str">
        <f t="array" ref="I2490">IFERROR(INDEX(atlas!B:B,MATCH(A2490,atlas!C:C,0)),"")</f>
        <v/>
      </c>
      <c r="J2490" s="8" t="str">
        <f>IFERROR(VLOOKUP(F2490,tecnica!A:B,2,0),"")</f>
        <v/>
      </c>
      <c r="K2490" s="8" t="str">
        <f>IFERROR(VLOOKUP(J2490,tecnica!B:C,2,0),"")</f>
        <v/>
      </c>
      <c r="L2490" s="13"/>
      <c r="M2490" s="14" t="str">
        <f>IFERROR(VLOOKUP(I2490,material!A:D,4,0),"")</f>
        <v/>
      </c>
      <c r="N2490" s="14" t="str">
        <f t="shared" si="1"/>
        <v/>
      </c>
      <c r="O2490" s="15" t="str">
        <f>IFERROR(VLOOKUP(I2490,material!A:D,2,0),"")</f>
        <v/>
      </c>
    </row>
    <row r="2491">
      <c r="A2491" s="6"/>
      <c r="B2491" s="7"/>
      <c r="C2491" s="8" t="str">
        <f t="array" ref="C2491">IFERROR(INDEX(atlas!H:H,MATCH(A2491,atlas!C:C,0)),"")</f>
        <v/>
      </c>
      <c r="D2491" s="8" t="str">
        <f t="array" ref="D2491">IFERROR(INDEX(atlas!D:D,MATCH(A2491,atlas!C:C,0)),"")</f>
        <v/>
      </c>
      <c r="E2491" s="8" t="str">
        <f t="array" ref="E2491">IFERROR(INDEX(atlas!F:F,MATCH(A2491,atlas!C:C,0)),"")</f>
        <v/>
      </c>
      <c r="F2491" s="9"/>
      <c r="G2491" s="10"/>
      <c r="H2491" s="11"/>
      <c r="I2491" s="12" t="str">
        <f t="array" ref="I2491">IFERROR(INDEX(atlas!B:B,MATCH(A2491,atlas!C:C,0)),"")</f>
        <v/>
      </c>
      <c r="J2491" s="8" t="str">
        <f>IFERROR(VLOOKUP(F2491,tecnica!A:B,2,0),"")</f>
        <v/>
      </c>
      <c r="K2491" s="8" t="str">
        <f>IFERROR(VLOOKUP(J2491,tecnica!B:C,2,0),"")</f>
        <v/>
      </c>
      <c r="L2491" s="13"/>
      <c r="M2491" s="14" t="str">
        <f>IFERROR(VLOOKUP(I2491,material!A:D,4,0),"")</f>
        <v/>
      </c>
      <c r="N2491" s="14" t="str">
        <f t="shared" si="1"/>
        <v/>
      </c>
      <c r="O2491" s="15" t="str">
        <f>IFERROR(VLOOKUP(I2491,material!A:D,2,0),"")</f>
        <v/>
      </c>
    </row>
    <row r="2492">
      <c r="A2492" s="6"/>
      <c r="B2492" s="7"/>
      <c r="C2492" s="8" t="str">
        <f t="array" ref="C2492">IFERROR(INDEX(atlas!H:H,MATCH(A2492,atlas!C:C,0)),"")</f>
        <v/>
      </c>
      <c r="D2492" s="8" t="str">
        <f t="array" ref="D2492">IFERROR(INDEX(atlas!D:D,MATCH(A2492,atlas!C:C,0)),"")</f>
        <v/>
      </c>
      <c r="E2492" s="8" t="str">
        <f t="array" ref="E2492">IFERROR(INDEX(atlas!F:F,MATCH(A2492,atlas!C:C,0)),"")</f>
        <v/>
      </c>
      <c r="F2492" s="9"/>
      <c r="G2492" s="10"/>
      <c r="H2492" s="11"/>
      <c r="I2492" s="12" t="str">
        <f t="array" ref="I2492">IFERROR(INDEX(atlas!B:B,MATCH(A2492,atlas!C:C,0)),"")</f>
        <v/>
      </c>
      <c r="J2492" s="8" t="str">
        <f>IFERROR(VLOOKUP(F2492,tecnica!A:B,2,0),"")</f>
        <v/>
      </c>
      <c r="K2492" s="8" t="str">
        <f>IFERROR(VLOOKUP(J2492,tecnica!B:C,2,0),"")</f>
        <v/>
      </c>
      <c r="L2492" s="13"/>
      <c r="M2492" s="14" t="str">
        <f>IFERROR(VLOOKUP(I2492,material!A:D,4,0),"")</f>
        <v/>
      </c>
      <c r="N2492" s="14" t="str">
        <f t="shared" si="1"/>
        <v/>
      </c>
      <c r="O2492" s="15" t="str">
        <f>IFERROR(VLOOKUP(I2492,material!A:D,2,0),"")</f>
        <v/>
      </c>
    </row>
    <row r="2493">
      <c r="A2493" s="6"/>
      <c r="B2493" s="7"/>
      <c r="C2493" s="8" t="str">
        <f t="array" ref="C2493">IFERROR(INDEX(atlas!H:H,MATCH(A2493,atlas!C:C,0)),"")</f>
        <v/>
      </c>
      <c r="D2493" s="8" t="str">
        <f t="array" ref="D2493">IFERROR(INDEX(atlas!D:D,MATCH(A2493,atlas!C:C,0)),"")</f>
        <v/>
      </c>
      <c r="E2493" s="8" t="str">
        <f t="array" ref="E2493">IFERROR(INDEX(atlas!F:F,MATCH(A2493,atlas!C:C,0)),"")</f>
        <v/>
      </c>
      <c r="F2493" s="9"/>
      <c r="G2493" s="10"/>
      <c r="H2493" s="11"/>
      <c r="I2493" s="12" t="str">
        <f t="array" ref="I2493">IFERROR(INDEX(atlas!B:B,MATCH(A2493,atlas!C:C,0)),"")</f>
        <v/>
      </c>
      <c r="J2493" s="8" t="str">
        <f>IFERROR(VLOOKUP(F2493,tecnica!A:B,2,0),"")</f>
        <v/>
      </c>
      <c r="K2493" s="8" t="str">
        <f>IFERROR(VLOOKUP(J2493,tecnica!B:C,2,0),"")</f>
        <v/>
      </c>
      <c r="L2493" s="13"/>
      <c r="M2493" s="14" t="str">
        <f>IFERROR(VLOOKUP(I2493,material!A:D,4,0),"")</f>
        <v/>
      </c>
      <c r="N2493" s="14" t="str">
        <f t="shared" si="1"/>
        <v/>
      </c>
      <c r="O2493" s="15" t="str">
        <f>IFERROR(VLOOKUP(I2493,material!A:D,2,0),"")</f>
        <v/>
      </c>
    </row>
    <row r="2494">
      <c r="A2494" s="6"/>
      <c r="B2494" s="7"/>
      <c r="C2494" s="8" t="str">
        <f t="array" ref="C2494">IFERROR(INDEX(atlas!H:H,MATCH(A2494,atlas!C:C,0)),"")</f>
        <v/>
      </c>
      <c r="D2494" s="8" t="str">
        <f t="array" ref="D2494">IFERROR(INDEX(atlas!D:D,MATCH(A2494,atlas!C:C,0)),"")</f>
        <v/>
      </c>
      <c r="E2494" s="8" t="str">
        <f t="array" ref="E2494">IFERROR(INDEX(atlas!F:F,MATCH(A2494,atlas!C:C,0)),"")</f>
        <v/>
      </c>
      <c r="F2494" s="9"/>
      <c r="G2494" s="10"/>
      <c r="H2494" s="11"/>
      <c r="I2494" s="12" t="str">
        <f t="array" ref="I2494">IFERROR(INDEX(atlas!B:B,MATCH(A2494,atlas!C:C,0)),"")</f>
        <v/>
      </c>
      <c r="J2494" s="8" t="str">
        <f>IFERROR(VLOOKUP(F2494,tecnica!A:B,2,0),"")</f>
        <v/>
      </c>
      <c r="K2494" s="8" t="str">
        <f>IFERROR(VLOOKUP(J2494,tecnica!B:C,2,0),"")</f>
        <v/>
      </c>
      <c r="L2494" s="13"/>
      <c r="M2494" s="14" t="str">
        <f>IFERROR(VLOOKUP(I2494,material!A:D,4,0),"")</f>
        <v/>
      </c>
      <c r="N2494" s="14" t="str">
        <f t="shared" si="1"/>
        <v/>
      </c>
      <c r="O2494" s="15" t="str">
        <f>IFERROR(VLOOKUP(I2494,material!A:D,2,0),"")</f>
        <v/>
      </c>
    </row>
    <row r="2495">
      <c r="A2495" s="6"/>
      <c r="B2495" s="7"/>
      <c r="C2495" s="8" t="str">
        <f t="array" ref="C2495">IFERROR(INDEX(atlas!H:H,MATCH(A2495,atlas!C:C,0)),"")</f>
        <v/>
      </c>
      <c r="D2495" s="8" t="str">
        <f t="array" ref="D2495">IFERROR(INDEX(atlas!D:D,MATCH(A2495,atlas!C:C,0)),"")</f>
        <v/>
      </c>
      <c r="E2495" s="8" t="str">
        <f t="array" ref="E2495">IFERROR(INDEX(atlas!F:F,MATCH(A2495,atlas!C:C,0)),"")</f>
        <v/>
      </c>
      <c r="F2495" s="9"/>
      <c r="G2495" s="10"/>
      <c r="H2495" s="11"/>
      <c r="I2495" s="12" t="str">
        <f t="array" ref="I2495">IFERROR(INDEX(atlas!B:B,MATCH(A2495,atlas!C:C,0)),"")</f>
        <v/>
      </c>
      <c r="J2495" s="8" t="str">
        <f>IFERROR(VLOOKUP(F2495,tecnica!A:B,2,0),"")</f>
        <v/>
      </c>
      <c r="K2495" s="8" t="str">
        <f>IFERROR(VLOOKUP(J2495,tecnica!B:C,2,0),"")</f>
        <v/>
      </c>
      <c r="L2495" s="13"/>
      <c r="M2495" s="14" t="str">
        <f>IFERROR(VLOOKUP(I2495,material!A:D,4,0),"")</f>
        <v/>
      </c>
      <c r="N2495" s="14" t="str">
        <f t="shared" si="1"/>
        <v/>
      </c>
      <c r="O2495" s="15" t="str">
        <f>IFERROR(VLOOKUP(I2495,material!A:D,2,0),"")</f>
        <v/>
      </c>
    </row>
    <row r="2496">
      <c r="A2496" s="6"/>
      <c r="B2496" s="7"/>
      <c r="C2496" s="8" t="str">
        <f t="array" ref="C2496">IFERROR(INDEX(atlas!H:H,MATCH(A2496,atlas!C:C,0)),"")</f>
        <v/>
      </c>
      <c r="D2496" s="8" t="str">
        <f t="array" ref="D2496">IFERROR(INDEX(atlas!D:D,MATCH(A2496,atlas!C:C,0)),"")</f>
        <v/>
      </c>
      <c r="E2496" s="8" t="str">
        <f t="array" ref="E2496">IFERROR(INDEX(atlas!F:F,MATCH(A2496,atlas!C:C,0)),"")</f>
        <v/>
      </c>
      <c r="F2496" s="9"/>
      <c r="G2496" s="10"/>
      <c r="H2496" s="11"/>
      <c r="I2496" s="12" t="str">
        <f t="array" ref="I2496">IFERROR(INDEX(atlas!B:B,MATCH(A2496,atlas!C:C,0)),"")</f>
        <v/>
      </c>
      <c r="J2496" s="8" t="str">
        <f>IFERROR(VLOOKUP(F2496,tecnica!A:B,2,0),"")</f>
        <v/>
      </c>
      <c r="K2496" s="8" t="str">
        <f>IFERROR(VLOOKUP(J2496,tecnica!B:C,2,0),"")</f>
        <v/>
      </c>
      <c r="L2496" s="13"/>
      <c r="M2496" s="14" t="str">
        <f>IFERROR(VLOOKUP(I2496,material!A:D,4,0),"")</f>
        <v/>
      </c>
      <c r="N2496" s="14" t="str">
        <f t="shared" si="1"/>
        <v/>
      </c>
      <c r="O2496" s="15" t="str">
        <f>IFERROR(VLOOKUP(I2496,material!A:D,2,0),"")</f>
        <v/>
      </c>
    </row>
    <row r="2497">
      <c r="A2497" s="6"/>
      <c r="B2497" s="7"/>
      <c r="C2497" s="8" t="str">
        <f t="array" ref="C2497">IFERROR(INDEX(atlas!H:H,MATCH(A2497,atlas!C:C,0)),"")</f>
        <v/>
      </c>
      <c r="D2497" s="8" t="str">
        <f t="array" ref="D2497">IFERROR(INDEX(atlas!D:D,MATCH(A2497,atlas!C:C,0)),"")</f>
        <v/>
      </c>
      <c r="E2497" s="8" t="str">
        <f t="array" ref="E2497">IFERROR(INDEX(atlas!F:F,MATCH(A2497,atlas!C:C,0)),"")</f>
        <v/>
      </c>
      <c r="F2497" s="9"/>
      <c r="G2497" s="10"/>
      <c r="H2497" s="11"/>
      <c r="I2497" s="12" t="str">
        <f t="array" ref="I2497">IFERROR(INDEX(atlas!B:B,MATCH(A2497,atlas!C:C,0)),"")</f>
        <v/>
      </c>
      <c r="J2497" s="8" t="str">
        <f>IFERROR(VLOOKUP(F2497,tecnica!A:B,2,0),"")</f>
        <v/>
      </c>
      <c r="K2497" s="8" t="str">
        <f>IFERROR(VLOOKUP(J2497,tecnica!B:C,2,0),"")</f>
        <v/>
      </c>
      <c r="L2497" s="13"/>
      <c r="M2497" s="14" t="str">
        <f>IFERROR(VLOOKUP(I2497,material!A:D,4,0),"")</f>
        <v/>
      </c>
      <c r="N2497" s="14" t="str">
        <f t="shared" si="1"/>
        <v/>
      </c>
      <c r="O2497" s="15" t="str">
        <f>IFERROR(VLOOKUP(I2497,material!A:D,2,0),"")</f>
        <v/>
      </c>
    </row>
    <row r="2498">
      <c r="A2498" s="6"/>
      <c r="B2498" s="7"/>
      <c r="C2498" s="8" t="str">
        <f t="array" ref="C2498">IFERROR(INDEX(atlas!H:H,MATCH(A2498,atlas!C:C,0)),"")</f>
        <v/>
      </c>
      <c r="D2498" s="8" t="str">
        <f t="array" ref="D2498">IFERROR(INDEX(atlas!D:D,MATCH(A2498,atlas!C:C,0)),"")</f>
        <v/>
      </c>
      <c r="E2498" s="8" t="str">
        <f t="array" ref="E2498">IFERROR(INDEX(atlas!F:F,MATCH(A2498,atlas!C:C,0)),"")</f>
        <v/>
      </c>
      <c r="F2498" s="9"/>
      <c r="G2498" s="10"/>
      <c r="H2498" s="11"/>
      <c r="I2498" s="12" t="str">
        <f t="array" ref="I2498">IFERROR(INDEX(atlas!B:B,MATCH(A2498,atlas!C:C,0)),"")</f>
        <v/>
      </c>
      <c r="J2498" s="8" t="str">
        <f>IFERROR(VLOOKUP(F2498,tecnica!A:B,2,0),"")</f>
        <v/>
      </c>
      <c r="K2498" s="8" t="str">
        <f>IFERROR(VLOOKUP(J2498,tecnica!B:C,2,0),"")</f>
        <v/>
      </c>
      <c r="L2498" s="13"/>
      <c r="M2498" s="14" t="str">
        <f>IFERROR(VLOOKUP(I2498,material!A:D,4,0),"")</f>
        <v/>
      </c>
      <c r="N2498" s="14" t="str">
        <f t="shared" si="1"/>
        <v/>
      </c>
      <c r="O2498" s="15" t="str">
        <f>IFERROR(VLOOKUP(I2498,material!A:D,2,0),"")</f>
        <v/>
      </c>
    </row>
    <row r="2499">
      <c r="A2499" s="6"/>
      <c r="B2499" s="7"/>
      <c r="C2499" s="8" t="str">
        <f t="array" ref="C2499">IFERROR(INDEX(atlas!H:H,MATCH(A2499,atlas!C:C,0)),"")</f>
        <v/>
      </c>
      <c r="D2499" s="8" t="str">
        <f t="array" ref="D2499">IFERROR(INDEX(atlas!D:D,MATCH(A2499,atlas!C:C,0)),"")</f>
        <v/>
      </c>
      <c r="E2499" s="8" t="str">
        <f t="array" ref="E2499">IFERROR(INDEX(atlas!F:F,MATCH(A2499,atlas!C:C,0)),"")</f>
        <v/>
      </c>
      <c r="F2499" s="9"/>
      <c r="G2499" s="10"/>
      <c r="H2499" s="11"/>
      <c r="I2499" s="12" t="str">
        <f t="array" ref="I2499">IFERROR(INDEX(atlas!B:B,MATCH(A2499,atlas!C:C,0)),"")</f>
        <v/>
      </c>
      <c r="J2499" s="8" t="str">
        <f>IFERROR(VLOOKUP(F2499,tecnica!A:B,2,0),"")</f>
        <v/>
      </c>
      <c r="K2499" s="8" t="str">
        <f>IFERROR(VLOOKUP(J2499,tecnica!B:C,2,0),"")</f>
        <v/>
      </c>
      <c r="L2499" s="13"/>
      <c r="M2499" s="14" t="str">
        <f>IFERROR(VLOOKUP(I2499,material!A:D,4,0),"")</f>
        <v/>
      </c>
      <c r="N2499" s="14" t="str">
        <f t="shared" si="1"/>
        <v/>
      </c>
      <c r="O2499" s="15" t="str">
        <f>IFERROR(VLOOKUP(I2499,material!A:D,2,0),"")</f>
        <v/>
      </c>
    </row>
    <row r="2500">
      <c r="A2500" s="6"/>
      <c r="B2500" s="7"/>
      <c r="C2500" s="8" t="str">
        <f t="array" ref="C2500">IFERROR(INDEX(atlas!H:H,MATCH(A2500,atlas!C:C,0)),"")</f>
        <v/>
      </c>
      <c r="D2500" s="8" t="str">
        <f t="array" ref="D2500">IFERROR(INDEX(atlas!D:D,MATCH(A2500,atlas!C:C,0)),"")</f>
        <v/>
      </c>
      <c r="E2500" s="8" t="str">
        <f t="array" ref="E2500">IFERROR(INDEX(atlas!F:F,MATCH(A2500,atlas!C:C,0)),"")</f>
        <v/>
      </c>
      <c r="F2500" s="9"/>
      <c r="G2500" s="10"/>
      <c r="H2500" s="11"/>
      <c r="I2500" s="12" t="str">
        <f t="array" ref="I2500">IFERROR(INDEX(atlas!B:B,MATCH(A2500,atlas!C:C,0)),"")</f>
        <v/>
      </c>
      <c r="J2500" s="8" t="str">
        <f>IFERROR(VLOOKUP(F2500,tecnica!A:B,2,0),"")</f>
        <v/>
      </c>
      <c r="K2500" s="8" t="str">
        <f>IFERROR(VLOOKUP(J2500,tecnica!B:C,2,0),"")</f>
        <v/>
      </c>
      <c r="L2500" s="13"/>
      <c r="M2500" s="14" t="str">
        <f>IFERROR(VLOOKUP(I2500,material!A:D,4,0),"")</f>
        <v/>
      </c>
      <c r="N2500" s="14" t="str">
        <f t="shared" si="1"/>
        <v/>
      </c>
      <c r="O2500" s="15" t="str">
        <f>IFERROR(VLOOKUP(I2500,material!A:D,2,0),"")</f>
        <v/>
      </c>
    </row>
    <row r="2501">
      <c r="A2501" s="6"/>
      <c r="B2501" s="7"/>
      <c r="C2501" s="8" t="str">
        <f t="array" ref="C2501">IFERROR(INDEX(atlas!H:H,MATCH(A2501,atlas!C:C,0)),"")</f>
        <v/>
      </c>
      <c r="D2501" s="8" t="str">
        <f t="array" ref="D2501">IFERROR(INDEX(atlas!D:D,MATCH(A2501,atlas!C:C,0)),"")</f>
        <v/>
      </c>
      <c r="E2501" s="8" t="str">
        <f t="array" ref="E2501">IFERROR(INDEX(atlas!F:F,MATCH(A2501,atlas!C:C,0)),"")</f>
        <v/>
      </c>
      <c r="F2501" s="9"/>
      <c r="G2501" s="10"/>
      <c r="H2501" s="11"/>
      <c r="I2501" s="12" t="str">
        <f t="array" ref="I2501">IFERROR(INDEX(atlas!B:B,MATCH(A2501,atlas!C:C,0)),"")</f>
        <v/>
      </c>
      <c r="J2501" s="8" t="str">
        <f>IFERROR(VLOOKUP(F2501,tecnica!A:B,2,0),"")</f>
        <v/>
      </c>
      <c r="K2501" s="8" t="str">
        <f>IFERROR(VLOOKUP(J2501,tecnica!B:C,2,0),"")</f>
        <v/>
      </c>
      <c r="L2501" s="13"/>
      <c r="M2501" s="14" t="str">
        <f>IFERROR(VLOOKUP(I2501,material!A:D,4,0),"")</f>
        <v/>
      </c>
      <c r="N2501" s="14" t="str">
        <f t="shared" si="1"/>
        <v/>
      </c>
      <c r="O2501" s="15" t="str">
        <f>IFERROR(VLOOKUP(I2501,material!A:D,2,0),"")</f>
        <v/>
      </c>
    </row>
    <row r="2502">
      <c r="A2502" s="6"/>
      <c r="B2502" s="7"/>
      <c r="C2502" s="8" t="str">
        <f t="array" ref="C2502">IFERROR(INDEX(atlas!H:H,MATCH(A2502,atlas!C:C,0)),"")</f>
        <v/>
      </c>
      <c r="D2502" s="8" t="str">
        <f t="array" ref="D2502">IFERROR(INDEX(atlas!D:D,MATCH(A2502,atlas!C:C,0)),"")</f>
        <v/>
      </c>
      <c r="E2502" s="8" t="str">
        <f t="array" ref="E2502">IFERROR(INDEX(atlas!F:F,MATCH(A2502,atlas!C:C,0)),"")</f>
        <v/>
      </c>
      <c r="F2502" s="9"/>
      <c r="G2502" s="10"/>
      <c r="H2502" s="11"/>
      <c r="I2502" s="12" t="str">
        <f t="array" ref="I2502">IFERROR(INDEX(atlas!B:B,MATCH(A2502,atlas!C:C,0)),"")</f>
        <v/>
      </c>
      <c r="J2502" s="8" t="str">
        <f>IFERROR(VLOOKUP(F2502,tecnica!A:B,2,0),"")</f>
        <v/>
      </c>
      <c r="K2502" s="8" t="str">
        <f>IFERROR(VLOOKUP(J2502,tecnica!B:C,2,0),"")</f>
        <v/>
      </c>
      <c r="L2502" s="13"/>
      <c r="M2502" s="14" t="str">
        <f>IFERROR(VLOOKUP(I2502,material!A:D,4,0),"")</f>
        <v/>
      </c>
      <c r="N2502" s="14" t="str">
        <f t="shared" si="1"/>
        <v/>
      </c>
      <c r="O2502" s="15" t="str">
        <f>IFERROR(VLOOKUP(I2502,material!A:D,2,0),"")</f>
        <v/>
      </c>
    </row>
    <row r="2503">
      <c r="A2503" s="6"/>
      <c r="B2503" s="7"/>
      <c r="C2503" s="8" t="str">
        <f t="array" ref="C2503">IFERROR(INDEX(atlas!H:H,MATCH(A2503,atlas!C:C,0)),"")</f>
        <v/>
      </c>
      <c r="D2503" s="8" t="str">
        <f t="array" ref="D2503">IFERROR(INDEX(atlas!D:D,MATCH(A2503,atlas!C:C,0)),"")</f>
        <v/>
      </c>
      <c r="E2503" s="8" t="str">
        <f t="array" ref="E2503">IFERROR(INDEX(atlas!F:F,MATCH(A2503,atlas!C:C,0)),"")</f>
        <v/>
      </c>
      <c r="F2503" s="9"/>
      <c r="G2503" s="10"/>
      <c r="H2503" s="11"/>
      <c r="I2503" s="12" t="str">
        <f t="array" ref="I2503">IFERROR(INDEX(atlas!B:B,MATCH(A2503,atlas!C:C,0)),"")</f>
        <v/>
      </c>
      <c r="J2503" s="8" t="str">
        <f>IFERROR(VLOOKUP(F2503,tecnica!A:B,2,0),"")</f>
        <v/>
      </c>
      <c r="K2503" s="8" t="str">
        <f>IFERROR(VLOOKUP(J2503,tecnica!B:C,2,0),"")</f>
        <v/>
      </c>
      <c r="L2503" s="13"/>
      <c r="M2503" s="14" t="str">
        <f>IFERROR(VLOOKUP(I2503,material!A:D,4,0),"")</f>
        <v/>
      </c>
      <c r="N2503" s="14" t="str">
        <f t="shared" si="1"/>
        <v/>
      </c>
      <c r="O2503" s="15" t="str">
        <f>IFERROR(VLOOKUP(I2503,material!A:D,2,0),"")</f>
        <v/>
      </c>
    </row>
    <row r="2504">
      <c r="A2504" s="6"/>
      <c r="B2504" s="7"/>
      <c r="C2504" s="8" t="str">
        <f t="array" ref="C2504">IFERROR(INDEX(atlas!H:H,MATCH(A2504,atlas!C:C,0)),"")</f>
        <v/>
      </c>
      <c r="D2504" s="8" t="str">
        <f t="array" ref="D2504">IFERROR(INDEX(atlas!D:D,MATCH(A2504,atlas!C:C,0)),"")</f>
        <v/>
      </c>
      <c r="E2504" s="8" t="str">
        <f t="array" ref="E2504">IFERROR(INDEX(atlas!F:F,MATCH(A2504,atlas!C:C,0)),"")</f>
        <v/>
      </c>
      <c r="F2504" s="9"/>
      <c r="G2504" s="10"/>
      <c r="H2504" s="11"/>
      <c r="I2504" s="12" t="str">
        <f t="array" ref="I2504">IFERROR(INDEX(atlas!B:B,MATCH(A2504,atlas!C:C,0)),"")</f>
        <v/>
      </c>
      <c r="J2504" s="8" t="str">
        <f>IFERROR(VLOOKUP(F2504,tecnica!A:B,2,0),"")</f>
        <v/>
      </c>
      <c r="K2504" s="8" t="str">
        <f>IFERROR(VLOOKUP(J2504,tecnica!B:C,2,0),"")</f>
        <v/>
      </c>
      <c r="L2504" s="13"/>
      <c r="M2504" s="14" t="str">
        <f>IFERROR(VLOOKUP(I2504,material!A:D,4,0),"")</f>
        <v/>
      </c>
      <c r="N2504" s="14" t="str">
        <f t="shared" si="1"/>
        <v/>
      </c>
      <c r="O2504" s="15" t="str">
        <f>IFERROR(VLOOKUP(I2504,material!A:D,2,0),"")</f>
        <v/>
      </c>
    </row>
    <row r="2505">
      <c r="A2505" s="6"/>
      <c r="B2505" s="7"/>
      <c r="C2505" s="8" t="str">
        <f t="array" ref="C2505">IFERROR(INDEX(atlas!H:H,MATCH(A2505,atlas!C:C,0)),"")</f>
        <v/>
      </c>
      <c r="D2505" s="8" t="str">
        <f t="array" ref="D2505">IFERROR(INDEX(atlas!D:D,MATCH(A2505,atlas!C:C,0)),"")</f>
        <v/>
      </c>
      <c r="E2505" s="8" t="str">
        <f t="array" ref="E2505">IFERROR(INDEX(atlas!F:F,MATCH(A2505,atlas!C:C,0)),"")</f>
        <v/>
      </c>
      <c r="F2505" s="9"/>
      <c r="G2505" s="10"/>
      <c r="H2505" s="11"/>
      <c r="I2505" s="12" t="str">
        <f t="array" ref="I2505">IFERROR(INDEX(atlas!B:B,MATCH(A2505,atlas!C:C,0)),"")</f>
        <v/>
      </c>
      <c r="J2505" s="8" t="str">
        <f>IFERROR(VLOOKUP(F2505,tecnica!A:B,2,0),"")</f>
        <v/>
      </c>
      <c r="K2505" s="8" t="str">
        <f>IFERROR(VLOOKUP(J2505,tecnica!B:C,2,0),"")</f>
        <v/>
      </c>
      <c r="L2505" s="13"/>
      <c r="M2505" s="14" t="str">
        <f>IFERROR(VLOOKUP(I2505,material!A:D,4,0),"")</f>
        <v/>
      </c>
      <c r="N2505" s="14" t="str">
        <f t="shared" si="1"/>
        <v/>
      </c>
      <c r="O2505" s="15" t="str">
        <f>IFERROR(VLOOKUP(I2505,material!A:D,2,0),"")</f>
        <v/>
      </c>
    </row>
    <row r="2506">
      <c r="A2506" s="6"/>
      <c r="B2506" s="7"/>
      <c r="C2506" s="8" t="str">
        <f t="array" ref="C2506">IFERROR(INDEX(atlas!H:H,MATCH(A2506,atlas!C:C,0)),"")</f>
        <v/>
      </c>
      <c r="D2506" s="8" t="str">
        <f t="array" ref="D2506">IFERROR(INDEX(atlas!D:D,MATCH(A2506,atlas!C:C,0)),"")</f>
        <v/>
      </c>
      <c r="E2506" s="8" t="str">
        <f t="array" ref="E2506">IFERROR(INDEX(atlas!F:F,MATCH(A2506,atlas!C:C,0)),"")</f>
        <v/>
      </c>
      <c r="F2506" s="9"/>
      <c r="G2506" s="10"/>
      <c r="H2506" s="11"/>
      <c r="I2506" s="12" t="str">
        <f t="array" ref="I2506">IFERROR(INDEX(atlas!B:B,MATCH(A2506,atlas!C:C,0)),"")</f>
        <v/>
      </c>
      <c r="J2506" s="8" t="str">
        <f>IFERROR(VLOOKUP(F2506,tecnica!A:B,2,0),"")</f>
        <v/>
      </c>
      <c r="K2506" s="8" t="str">
        <f>IFERROR(VLOOKUP(J2506,tecnica!B:C,2,0),"")</f>
        <v/>
      </c>
      <c r="L2506" s="13"/>
      <c r="M2506" s="14" t="str">
        <f>IFERROR(VLOOKUP(I2506,material!A:D,4,0),"")</f>
        <v/>
      </c>
      <c r="N2506" s="14" t="str">
        <f t="shared" si="1"/>
        <v/>
      </c>
      <c r="O2506" s="15" t="str">
        <f>IFERROR(VLOOKUP(I2506,material!A:D,2,0),"")</f>
        <v/>
      </c>
    </row>
    <row r="2507">
      <c r="A2507" s="6"/>
      <c r="B2507" s="7"/>
      <c r="C2507" s="8" t="str">
        <f t="array" ref="C2507">IFERROR(INDEX(atlas!H:H,MATCH(A2507,atlas!C:C,0)),"")</f>
        <v/>
      </c>
      <c r="D2507" s="8" t="str">
        <f t="array" ref="D2507">IFERROR(INDEX(atlas!D:D,MATCH(A2507,atlas!C:C,0)),"")</f>
        <v/>
      </c>
      <c r="E2507" s="8" t="str">
        <f t="array" ref="E2507">IFERROR(INDEX(atlas!F:F,MATCH(A2507,atlas!C:C,0)),"")</f>
        <v/>
      </c>
      <c r="F2507" s="9"/>
      <c r="G2507" s="10"/>
      <c r="H2507" s="11"/>
      <c r="I2507" s="12" t="str">
        <f t="array" ref="I2507">IFERROR(INDEX(atlas!B:B,MATCH(A2507,atlas!C:C,0)),"")</f>
        <v/>
      </c>
      <c r="J2507" s="8" t="str">
        <f>IFERROR(VLOOKUP(F2507,tecnica!A:B,2,0),"")</f>
        <v/>
      </c>
      <c r="K2507" s="8" t="str">
        <f>IFERROR(VLOOKUP(J2507,tecnica!B:C,2,0),"")</f>
        <v/>
      </c>
      <c r="L2507" s="13"/>
      <c r="M2507" s="14" t="str">
        <f>IFERROR(VLOOKUP(I2507,material!A:D,4,0),"")</f>
        <v/>
      </c>
      <c r="N2507" s="14" t="str">
        <f t="shared" si="1"/>
        <v/>
      </c>
      <c r="O2507" s="15" t="str">
        <f>IFERROR(VLOOKUP(I2507,material!A:D,2,0),"")</f>
        <v/>
      </c>
    </row>
    <row r="2508">
      <c r="A2508" s="6"/>
      <c r="B2508" s="7"/>
      <c r="C2508" s="8" t="str">
        <f t="array" ref="C2508">IFERROR(INDEX(atlas!H:H,MATCH(A2508,atlas!C:C,0)),"")</f>
        <v/>
      </c>
      <c r="D2508" s="8" t="str">
        <f t="array" ref="D2508">IFERROR(INDEX(atlas!D:D,MATCH(A2508,atlas!C:C,0)),"")</f>
        <v/>
      </c>
      <c r="E2508" s="8" t="str">
        <f t="array" ref="E2508">IFERROR(INDEX(atlas!F:F,MATCH(A2508,atlas!C:C,0)),"")</f>
        <v/>
      </c>
      <c r="F2508" s="9"/>
      <c r="G2508" s="10"/>
      <c r="H2508" s="11"/>
      <c r="I2508" s="12" t="str">
        <f t="array" ref="I2508">IFERROR(INDEX(atlas!B:B,MATCH(A2508,atlas!C:C,0)),"")</f>
        <v/>
      </c>
      <c r="J2508" s="8" t="str">
        <f>IFERROR(VLOOKUP(F2508,tecnica!A:B,2,0),"")</f>
        <v/>
      </c>
      <c r="K2508" s="8" t="str">
        <f>IFERROR(VLOOKUP(J2508,tecnica!B:C,2,0),"")</f>
        <v/>
      </c>
      <c r="L2508" s="13"/>
      <c r="M2508" s="14" t="str">
        <f>IFERROR(VLOOKUP(I2508,material!A:D,4,0),"")</f>
        <v/>
      </c>
      <c r="N2508" s="14" t="str">
        <f t="shared" si="1"/>
        <v/>
      </c>
      <c r="O2508" s="15" t="str">
        <f>IFERROR(VLOOKUP(I2508,material!A:D,2,0),"")</f>
        <v/>
      </c>
    </row>
    <row r="2509">
      <c r="A2509" s="6"/>
      <c r="B2509" s="7"/>
      <c r="C2509" s="8" t="str">
        <f t="array" ref="C2509">IFERROR(INDEX(atlas!H:H,MATCH(A2509,atlas!C:C,0)),"")</f>
        <v/>
      </c>
      <c r="D2509" s="8" t="str">
        <f t="array" ref="D2509">IFERROR(INDEX(atlas!D:D,MATCH(A2509,atlas!C:C,0)),"")</f>
        <v/>
      </c>
      <c r="E2509" s="8" t="str">
        <f t="array" ref="E2509">IFERROR(INDEX(atlas!F:F,MATCH(A2509,atlas!C:C,0)),"")</f>
        <v/>
      </c>
      <c r="F2509" s="9"/>
      <c r="G2509" s="10"/>
      <c r="H2509" s="11"/>
      <c r="I2509" s="12" t="str">
        <f t="array" ref="I2509">IFERROR(INDEX(atlas!B:B,MATCH(A2509,atlas!C:C,0)),"")</f>
        <v/>
      </c>
      <c r="J2509" s="8" t="str">
        <f>IFERROR(VLOOKUP(F2509,tecnica!A:B,2,0),"")</f>
        <v/>
      </c>
      <c r="K2509" s="8" t="str">
        <f>IFERROR(VLOOKUP(J2509,tecnica!B:C,2,0),"")</f>
        <v/>
      </c>
      <c r="L2509" s="13"/>
      <c r="M2509" s="14" t="str">
        <f>IFERROR(VLOOKUP(I2509,material!A:D,4,0),"")</f>
        <v/>
      </c>
      <c r="N2509" s="14" t="str">
        <f t="shared" si="1"/>
        <v/>
      </c>
      <c r="O2509" s="15" t="str">
        <f>IFERROR(VLOOKUP(I2509,material!A:D,2,0),"")</f>
        <v/>
      </c>
    </row>
    <row r="2510">
      <c r="A2510" s="6"/>
      <c r="B2510" s="7"/>
      <c r="C2510" s="8" t="str">
        <f t="array" ref="C2510">IFERROR(INDEX(atlas!H:H,MATCH(A2510,atlas!C:C,0)),"")</f>
        <v/>
      </c>
      <c r="D2510" s="8" t="str">
        <f t="array" ref="D2510">IFERROR(INDEX(atlas!D:D,MATCH(A2510,atlas!C:C,0)),"")</f>
        <v/>
      </c>
      <c r="E2510" s="8" t="str">
        <f t="array" ref="E2510">IFERROR(INDEX(atlas!F:F,MATCH(A2510,atlas!C:C,0)),"")</f>
        <v/>
      </c>
      <c r="F2510" s="9"/>
      <c r="G2510" s="10"/>
      <c r="H2510" s="11"/>
      <c r="I2510" s="12" t="str">
        <f t="array" ref="I2510">IFERROR(INDEX(atlas!B:B,MATCH(A2510,atlas!C:C,0)),"")</f>
        <v/>
      </c>
      <c r="J2510" s="8" t="str">
        <f>IFERROR(VLOOKUP(F2510,tecnica!A:B,2,0),"")</f>
        <v/>
      </c>
      <c r="K2510" s="8" t="str">
        <f>IFERROR(VLOOKUP(J2510,tecnica!B:C,2,0),"")</f>
        <v/>
      </c>
      <c r="L2510" s="13"/>
      <c r="M2510" s="14" t="str">
        <f>IFERROR(VLOOKUP(I2510,material!A:D,4,0),"")</f>
        <v/>
      </c>
      <c r="N2510" s="14" t="str">
        <f t="shared" si="1"/>
        <v/>
      </c>
      <c r="O2510" s="15" t="str">
        <f>IFERROR(VLOOKUP(I2510,material!A:D,2,0),"")</f>
        <v/>
      </c>
    </row>
    <row r="2511">
      <c r="A2511" s="6"/>
      <c r="B2511" s="7"/>
      <c r="C2511" s="8" t="str">
        <f t="array" ref="C2511">IFERROR(INDEX(atlas!H:H,MATCH(A2511,atlas!C:C,0)),"")</f>
        <v/>
      </c>
      <c r="D2511" s="8" t="str">
        <f t="array" ref="D2511">IFERROR(INDEX(atlas!D:D,MATCH(A2511,atlas!C:C,0)),"")</f>
        <v/>
      </c>
      <c r="E2511" s="8" t="str">
        <f t="array" ref="E2511">IFERROR(INDEX(atlas!F:F,MATCH(A2511,atlas!C:C,0)),"")</f>
        <v/>
      </c>
      <c r="F2511" s="9"/>
      <c r="G2511" s="10"/>
      <c r="H2511" s="11"/>
      <c r="I2511" s="12" t="str">
        <f t="array" ref="I2511">IFERROR(INDEX(atlas!B:B,MATCH(A2511,atlas!C:C,0)),"")</f>
        <v/>
      </c>
      <c r="J2511" s="8" t="str">
        <f>IFERROR(VLOOKUP(F2511,tecnica!A:B,2,0),"")</f>
        <v/>
      </c>
      <c r="K2511" s="8" t="str">
        <f>IFERROR(VLOOKUP(J2511,tecnica!B:C,2,0),"")</f>
        <v/>
      </c>
      <c r="L2511" s="13"/>
      <c r="M2511" s="14" t="str">
        <f>IFERROR(VLOOKUP(I2511,material!A:D,4,0),"")</f>
        <v/>
      </c>
      <c r="N2511" s="14" t="str">
        <f t="shared" si="1"/>
        <v/>
      </c>
      <c r="O2511" s="15" t="str">
        <f>IFERROR(VLOOKUP(I2511,material!A:D,2,0),"")</f>
        <v/>
      </c>
    </row>
    <row r="2512">
      <c r="A2512" s="6"/>
      <c r="B2512" s="7"/>
      <c r="C2512" s="8" t="str">
        <f t="array" ref="C2512">IFERROR(INDEX(atlas!H:H,MATCH(A2512,atlas!C:C,0)),"")</f>
        <v/>
      </c>
      <c r="D2512" s="8" t="str">
        <f t="array" ref="D2512">IFERROR(INDEX(atlas!D:D,MATCH(A2512,atlas!C:C,0)),"")</f>
        <v/>
      </c>
      <c r="E2512" s="8" t="str">
        <f t="array" ref="E2512">IFERROR(INDEX(atlas!F:F,MATCH(A2512,atlas!C:C,0)),"")</f>
        <v/>
      </c>
      <c r="F2512" s="9"/>
      <c r="G2512" s="10"/>
      <c r="H2512" s="11"/>
      <c r="I2512" s="12" t="str">
        <f t="array" ref="I2512">IFERROR(INDEX(atlas!B:B,MATCH(A2512,atlas!C:C,0)),"")</f>
        <v/>
      </c>
      <c r="J2512" s="8" t="str">
        <f>IFERROR(VLOOKUP(F2512,tecnica!A:B,2,0),"")</f>
        <v/>
      </c>
      <c r="K2512" s="8" t="str">
        <f>IFERROR(VLOOKUP(J2512,tecnica!B:C,2,0),"")</f>
        <v/>
      </c>
      <c r="L2512" s="13"/>
      <c r="M2512" s="14" t="str">
        <f>IFERROR(VLOOKUP(I2512,material!A:D,4,0),"")</f>
        <v/>
      </c>
      <c r="N2512" s="14" t="str">
        <f t="shared" si="1"/>
        <v/>
      </c>
      <c r="O2512" s="15" t="str">
        <f>IFERROR(VLOOKUP(I2512,material!A:D,2,0),"")</f>
        <v/>
      </c>
    </row>
    <row r="2513">
      <c r="A2513" s="6"/>
      <c r="B2513" s="7"/>
      <c r="C2513" s="8" t="str">
        <f t="array" ref="C2513">IFERROR(INDEX(atlas!H:H,MATCH(A2513,atlas!C:C,0)),"")</f>
        <v/>
      </c>
      <c r="D2513" s="8" t="str">
        <f t="array" ref="D2513">IFERROR(INDEX(atlas!D:D,MATCH(A2513,atlas!C:C,0)),"")</f>
        <v/>
      </c>
      <c r="E2513" s="8" t="str">
        <f t="array" ref="E2513">IFERROR(INDEX(atlas!F:F,MATCH(A2513,atlas!C:C,0)),"")</f>
        <v/>
      </c>
      <c r="F2513" s="9"/>
      <c r="G2513" s="10"/>
      <c r="H2513" s="11"/>
      <c r="I2513" s="12" t="str">
        <f t="array" ref="I2513">IFERROR(INDEX(atlas!B:B,MATCH(A2513,atlas!C:C,0)),"")</f>
        <v/>
      </c>
      <c r="J2513" s="8" t="str">
        <f>IFERROR(VLOOKUP(F2513,tecnica!A:B,2,0),"")</f>
        <v/>
      </c>
      <c r="K2513" s="8" t="str">
        <f>IFERROR(VLOOKUP(J2513,tecnica!B:C,2,0),"")</f>
        <v/>
      </c>
      <c r="L2513" s="13"/>
      <c r="M2513" s="14" t="str">
        <f>IFERROR(VLOOKUP(I2513,material!A:D,4,0),"")</f>
        <v/>
      </c>
      <c r="N2513" s="14" t="str">
        <f t="shared" si="1"/>
        <v/>
      </c>
      <c r="O2513" s="15" t="str">
        <f>IFERROR(VLOOKUP(I2513,material!A:D,2,0),"")</f>
        <v/>
      </c>
    </row>
    <row r="2514">
      <c r="A2514" s="6"/>
      <c r="B2514" s="7"/>
      <c r="C2514" s="8" t="str">
        <f t="array" ref="C2514">IFERROR(INDEX(atlas!H:H,MATCH(A2514,atlas!C:C,0)),"")</f>
        <v/>
      </c>
      <c r="D2514" s="8" t="str">
        <f t="array" ref="D2514">IFERROR(INDEX(atlas!D:D,MATCH(A2514,atlas!C:C,0)),"")</f>
        <v/>
      </c>
      <c r="E2514" s="8" t="str">
        <f t="array" ref="E2514">IFERROR(INDEX(atlas!F:F,MATCH(A2514,atlas!C:C,0)),"")</f>
        <v/>
      </c>
      <c r="F2514" s="9"/>
      <c r="G2514" s="10"/>
      <c r="H2514" s="11"/>
      <c r="I2514" s="12" t="str">
        <f t="array" ref="I2514">IFERROR(INDEX(atlas!B:B,MATCH(A2514,atlas!C:C,0)),"")</f>
        <v/>
      </c>
      <c r="J2514" s="8" t="str">
        <f>IFERROR(VLOOKUP(F2514,tecnica!A:B,2,0),"")</f>
        <v/>
      </c>
      <c r="K2514" s="8" t="str">
        <f>IFERROR(VLOOKUP(J2514,tecnica!B:C,2,0),"")</f>
        <v/>
      </c>
      <c r="L2514" s="13"/>
      <c r="M2514" s="14" t="str">
        <f>IFERROR(VLOOKUP(I2514,material!A:D,4,0),"")</f>
        <v/>
      </c>
      <c r="N2514" s="14" t="str">
        <f t="shared" si="1"/>
        <v/>
      </c>
      <c r="O2514" s="15" t="str">
        <f>IFERROR(VLOOKUP(I2514,material!A:D,2,0),"")</f>
        <v/>
      </c>
    </row>
    <row r="2515">
      <c r="A2515" s="6"/>
      <c r="B2515" s="7"/>
      <c r="C2515" s="8" t="str">
        <f t="array" ref="C2515">IFERROR(INDEX(atlas!H:H,MATCH(A2515,atlas!C:C,0)),"")</f>
        <v/>
      </c>
      <c r="D2515" s="8" t="str">
        <f t="array" ref="D2515">IFERROR(INDEX(atlas!D:D,MATCH(A2515,atlas!C:C,0)),"")</f>
        <v/>
      </c>
      <c r="E2515" s="8" t="str">
        <f t="array" ref="E2515">IFERROR(INDEX(atlas!F:F,MATCH(A2515,atlas!C:C,0)),"")</f>
        <v/>
      </c>
      <c r="F2515" s="9"/>
      <c r="G2515" s="10"/>
      <c r="H2515" s="11"/>
      <c r="I2515" s="12" t="str">
        <f t="array" ref="I2515">IFERROR(INDEX(atlas!B:B,MATCH(A2515,atlas!C:C,0)),"")</f>
        <v/>
      </c>
      <c r="J2515" s="8" t="str">
        <f>IFERROR(VLOOKUP(F2515,tecnica!A:B,2,0),"")</f>
        <v/>
      </c>
      <c r="K2515" s="8" t="str">
        <f>IFERROR(VLOOKUP(J2515,tecnica!B:C,2,0),"")</f>
        <v/>
      </c>
      <c r="L2515" s="13"/>
      <c r="M2515" s="14" t="str">
        <f>IFERROR(VLOOKUP(I2515,material!A:D,4,0),"")</f>
        <v/>
      </c>
      <c r="N2515" s="14" t="str">
        <f t="shared" si="1"/>
        <v/>
      </c>
      <c r="O2515" s="15" t="str">
        <f>IFERROR(VLOOKUP(I2515,material!A:D,2,0),"")</f>
        <v/>
      </c>
    </row>
    <row r="2516">
      <c r="A2516" s="6"/>
      <c r="B2516" s="7"/>
      <c r="C2516" s="8" t="str">
        <f t="array" ref="C2516">IFERROR(INDEX(atlas!H:H,MATCH(A2516,atlas!C:C,0)),"")</f>
        <v/>
      </c>
      <c r="D2516" s="8" t="str">
        <f t="array" ref="D2516">IFERROR(INDEX(atlas!D:D,MATCH(A2516,atlas!C:C,0)),"")</f>
        <v/>
      </c>
      <c r="E2516" s="8" t="str">
        <f t="array" ref="E2516">IFERROR(INDEX(atlas!F:F,MATCH(A2516,atlas!C:C,0)),"")</f>
        <v/>
      </c>
      <c r="F2516" s="9"/>
      <c r="G2516" s="10"/>
      <c r="H2516" s="11"/>
      <c r="I2516" s="12" t="str">
        <f t="array" ref="I2516">IFERROR(INDEX(atlas!B:B,MATCH(A2516,atlas!C:C,0)),"")</f>
        <v/>
      </c>
      <c r="J2516" s="8" t="str">
        <f>IFERROR(VLOOKUP(F2516,tecnica!A:B,2,0),"")</f>
        <v/>
      </c>
      <c r="K2516" s="8" t="str">
        <f>IFERROR(VLOOKUP(J2516,tecnica!B:C,2,0),"")</f>
        <v/>
      </c>
      <c r="L2516" s="13"/>
      <c r="M2516" s="14" t="str">
        <f>IFERROR(VLOOKUP(I2516,material!A:D,4,0),"")</f>
        <v/>
      </c>
      <c r="N2516" s="14" t="str">
        <f t="shared" si="1"/>
        <v/>
      </c>
      <c r="O2516" s="15" t="str">
        <f>IFERROR(VLOOKUP(I2516,material!A:D,2,0),"")</f>
        <v/>
      </c>
    </row>
    <row r="2517">
      <c r="A2517" s="6"/>
      <c r="B2517" s="7"/>
      <c r="C2517" s="8" t="str">
        <f t="array" ref="C2517">IFERROR(INDEX(atlas!H:H,MATCH(A2517,atlas!C:C,0)),"")</f>
        <v/>
      </c>
      <c r="D2517" s="8" t="str">
        <f t="array" ref="D2517">IFERROR(INDEX(atlas!D:D,MATCH(A2517,atlas!C:C,0)),"")</f>
        <v/>
      </c>
      <c r="E2517" s="8" t="str">
        <f t="array" ref="E2517">IFERROR(INDEX(atlas!F:F,MATCH(A2517,atlas!C:C,0)),"")</f>
        <v/>
      </c>
      <c r="F2517" s="9"/>
      <c r="G2517" s="10"/>
      <c r="H2517" s="11"/>
      <c r="I2517" s="12" t="str">
        <f t="array" ref="I2517">IFERROR(INDEX(atlas!B:B,MATCH(A2517,atlas!C:C,0)),"")</f>
        <v/>
      </c>
      <c r="J2517" s="8" t="str">
        <f>IFERROR(VLOOKUP(F2517,tecnica!A:B,2,0),"")</f>
        <v/>
      </c>
      <c r="K2517" s="8" t="str">
        <f>IFERROR(VLOOKUP(J2517,tecnica!B:C,2,0),"")</f>
        <v/>
      </c>
      <c r="L2517" s="13"/>
      <c r="M2517" s="14" t="str">
        <f>IFERROR(VLOOKUP(I2517,material!A:D,4,0),"")</f>
        <v/>
      </c>
      <c r="N2517" s="14" t="str">
        <f t="shared" si="1"/>
        <v/>
      </c>
      <c r="O2517" s="15" t="str">
        <f>IFERROR(VLOOKUP(I2517,material!A:D,2,0),"")</f>
        <v/>
      </c>
    </row>
    <row r="2518">
      <c r="A2518" s="6"/>
      <c r="B2518" s="7"/>
      <c r="C2518" s="8" t="str">
        <f t="array" ref="C2518">IFERROR(INDEX(atlas!H:H,MATCH(A2518,atlas!C:C,0)),"")</f>
        <v/>
      </c>
      <c r="D2518" s="8" t="str">
        <f t="array" ref="D2518">IFERROR(INDEX(atlas!D:D,MATCH(A2518,atlas!C:C,0)),"")</f>
        <v/>
      </c>
      <c r="E2518" s="8" t="str">
        <f t="array" ref="E2518">IFERROR(INDEX(atlas!F:F,MATCH(A2518,atlas!C:C,0)),"")</f>
        <v/>
      </c>
      <c r="F2518" s="9"/>
      <c r="G2518" s="10"/>
      <c r="H2518" s="11"/>
      <c r="I2518" s="12" t="str">
        <f t="array" ref="I2518">IFERROR(INDEX(atlas!B:B,MATCH(A2518,atlas!C:C,0)),"")</f>
        <v/>
      </c>
      <c r="J2518" s="8" t="str">
        <f>IFERROR(VLOOKUP(F2518,tecnica!A:B,2,0),"")</f>
        <v/>
      </c>
      <c r="K2518" s="8" t="str">
        <f>IFERROR(VLOOKUP(J2518,tecnica!B:C,2,0),"")</f>
        <v/>
      </c>
      <c r="L2518" s="13"/>
      <c r="M2518" s="14" t="str">
        <f>IFERROR(VLOOKUP(I2518,material!A:D,4,0),"")</f>
        <v/>
      </c>
      <c r="N2518" s="14" t="str">
        <f t="shared" si="1"/>
        <v/>
      </c>
      <c r="O2518" s="15" t="str">
        <f>IFERROR(VLOOKUP(I2518,material!A:D,2,0),"")</f>
        <v/>
      </c>
    </row>
    <row r="2519">
      <c r="A2519" s="6"/>
      <c r="B2519" s="7"/>
      <c r="C2519" s="8" t="str">
        <f t="array" ref="C2519">IFERROR(INDEX(atlas!H:H,MATCH(A2519,atlas!C:C,0)),"")</f>
        <v/>
      </c>
      <c r="D2519" s="8" t="str">
        <f t="array" ref="D2519">IFERROR(INDEX(atlas!D:D,MATCH(A2519,atlas!C:C,0)),"")</f>
        <v/>
      </c>
      <c r="E2519" s="8" t="str">
        <f t="array" ref="E2519">IFERROR(INDEX(atlas!F:F,MATCH(A2519,atlas!C:C,0)),"")</f>
        <v/>
      </c>
      <c r="F2519" s="9"/>
      <c r="G2519" s="10"/>
      <c r="H2519" s="11"/>
      <c r="I2519" s="12" t="str">
        <f t="array" ref="I2519">IFERROR(INDEX(atlas!B:B,MATCH(A2519,atlas!C:C,0)),"")</f>
        <v/>
      </c>
      <c r="J2519" s="8" t="str">
        <f>IFERROR(VLOOKUP(F2519,tecnica!A:B,2,0),"")</f>
        <v/>
      </c>
      <c r="K2519" s="8" t="str">
        <f>IFERROR(VLOOKUP(J2519,tecnica!B:C,2,0),"")</f>
        <v/>
      </c>
      <c r="L2519" s="13"/>
      <c r="M2519" s="14" t="str">
        <f>IFERROR(VLOOKUP(I2519,material!A:D,4,0),"")</f>
        <v/>
      </c>
      <c r="N2519" s="14" t="str">
        <f t="shared" si="1"/>
        <v/>
      </c>
      <c r="O2519" s="15" t="str">
        <f>IFERROR(VLOOKUP(I2519,material!A:D,2,0),"")</f>
        <v/>
      </c>
    </row>
    <row r="2520">
      <c r="A2520" s="6"/>
      <c r="B2520" s="7"/>
      <c r="C2520" s="8" t="str">
        <f t="array" ref="C2520">IFERROR(INDEX(atlas!H:H,MATCH(A2520,atlas!C:C,0)),"")</f>
        <v/>
      </c>
      <c r="D2520" s="8" t="str">
        <f t="array" ref="D2520">IFERROR(INDEX(atlas!D:D,MATCH(A2520,atlas!C:C,0)),"")</f>
        <v/>
      </c>
      <c r="E2520" s="8" t="str">
        <f t="array" ref="E2520">IFERROR(INDEX(atlas!F:F,MATCH(A2520,atlas!C:C,0)),"")</f>
        <v/>
      </c>
      <c r="F2520" s="9"/>
      <c r="G2520" s="10"/>
      <c r="H2520" s="11"/>
      <c r="I2520" s="12" t="str">
        <f t="array" ref="I2520">IFERROR(INDEX(atlas!B:B,MATCH(A2520,atlas!C:C,0)),"")</f>
        <v/>
      </c>
      <c r="J2520" s="8" t="str">
        <f>IFERROR(VLOOKUP(F2520,tecnica!A:B,2,0),"")</f>
        <v/>
      </c>
      <c r="K2520" s="8" t="str">
        <f>IFERROR(VLOOKUP(J2520,tecnica!B:C,2,0),"")</f>
        <v/>
      </c>
      <c r="L2520" s="13"/>
      <c r="M2520" s="14" t="str">
        <f>IFERROR(VLOOKUP(I2520,material!A:D,4,0),"")</f>
        <v/>
      </c>
      <c r="N2520" s="14" t="str">
        <f t="shared" si="1"/>
        <v/>
      </c>
      <c r="O2520" s="15" t="str">
        <f>IFERROR(VLOOKUP(I2520,material!A:D,2,0),"")</f>
        <v/>
      </c>
    </row>
    <row r="2521">
      <c r="A2521" s="6"/>
      <c r="B2521" s="7"/>
      <c r="C2521" s="8" t="str">
        <f t="array" ref="C2521">IFERROR(INDEX(atlas!H:H,MATCH(A2521,atlas!C:C,0)),"")</f>
        <v/>
      </c>
      <c r="D2521" s="8" t="str">
        <f t="array" ref="D2521">IFERROR(INDEX(atlas!D:D,MATCH(A2521,atlas!C:C,0)),"")</f>
        <v/>
      </c>
      <c r="E2521" s="8" t="str">
        <f t="array" ref="E2521">IFERROR(INDEX(atlas!F:F,MATCH(A2521,atlas!C:C,0)),"")</f>
        <v/>
      </c>
      <c r="F2521" s="9"/>
      <c r="G2521" s="10"/>
      <c r="H2521" s="11"/>
      <c r="I2521" s="12" t="str">
        <f t="array" ref="I2521">IFERROR(INDEX(atlas!B:B,MATCH(A2521,atlas!C:C,0)),"")</f>
        <v/>
      </c>
      <c r="J2521" s="8" t="str">
        <f>IFERROR(VLOOKUP(F2521,tecnica!A:B,2,0),"")</f>
        <v/>
      </c>
      <c r="K2521" s="8" t="str">
        <f>IFERROR(VLOOKUP(J2521,tecnica!B:C,2,0),"")</f>
        <v/>
      </c>
      <c r="L2521" s="13"/>
      <c r="M2521" s="14" t="str">
        <f>IFERROR(VLOOKUP(I2521,material!A:D,4,0),"")</f>
        <v/>
      </c>
      <c r="N2521" s="14" t="str">
        <f t="shared" si="1"/>
        <v/>
      </c>
      <c r="O2521" s="15" t="str">
        <f>IFERROR(VLOOKUP(I2521,material!A:D,2,0),"")</f>
        <v/>
      </c>
    </row>
    <row r="2522">
      <c r="A2522" s="6"/>
      <c r="B2522" s="7"/>
      <c r="C2522" s="8" t="str">
        <f t="array" ref="C2522">IFERROR(INDEX(atlas!H:H,MATCH(A2522,atlas!C:C,0)),"")</f>
        <v/>
      </c>
      <c r="D2522" s="8" t="str">
        <f t="array" ref="D2522">IFERROR(INDEX(atlas!D:D,MATCH(A2522,atlas!C:C,0)),"")</f>
        <v/>
      </c>
      <c r="E2522" s="8" t="str">
        <f t="array" ref="E2522">IFERROR(INDEX(atlas!F:F,MATCH(A2522,atlas!C:C,0)),"")</f>
        <v/>
      </c>
      <c r="F2522" s="9"/>
      <c r="G2522" s="10"/>
      <c r="H2522" s="11"/>
      <c r="I2522" s="12" t="str">
        <f t="array" ref="I2522">IFERROR(INDEX(atlas!B:B,MATCH(A2522,atlas!C:C,0)),"")</f>
        <v/>
      </c>
      <c r="J2522" s="8" t="str">
        <f>IFERROR(VLOOKUP(F2522,tecnica!A:B,2,0),"")</f>
        <v/>
      </c>
      <c r="K2522" s="8" t="str">
        <f>IFERROR(VLOOKUP(J2522,tecnica!B:C,2,0),"")</f>
        <v/>
      </c>
      <c r="L2522" s="13"/>
      <c r="M2522" s="14" t="str">
        <f>IFERROR(VLOOKUP(I2522,material!A:D,4,0),"")</f>
        <v/>
      </c>
      <c r="N2522" s="14" t="str">
        <f t="shared" si="1"/>
        <v/>
      </c>
      <c r="O2522" s="15" t="str">
        <f>IFERROR(VLOOKUP(I2522,material!A:D,2,0),"")</f>
        <v/>
      </c>
    </row>
    <row r="2523">
      <c r="A2523" s="6"/>
      <c r="B2523" s="7"/>
      <c r="C2523" s="8" t="str">
        <f t="array" ref="C2523">IFERROR(INDEX(atlas!H:H,MATCH(A2523,atlas!C:C,0)),"")</f>
        <v/>
      </c>
      <c r="D2523" s="8" t="str">
        <f t="array" ref="D2523">IFERROR(INDEX(atlas!D:D,MATCH(A2523,atlas!C:C,0)),"")</f>
        <v/>
      </c>
      <c r="E2523" s="8" t="str">
        <f t="array" ref="E2523">IFERROR(INDEX(atlas!F:F,MATCH(A2523,atlas!C:C,0)),"")</f>
        <v/>
      </c>
      <c r="F2523" s="9"/>
      <c r="G2523" s="10"/>
      <c r="H2523" s="11"/>
      <c r="I2523" s="12" t="str">
        <f t="array" ref="I2523">IFERROR(INDEX(atlas!B:B,MATCH(A2523,atlas!C:C,0)),"")</f>
        <v/>
      </c>
      <c r="J2523" s="8" t="str">
        <f>IFERROR(VLOOKUP(F2523,tecnica!A:B,2,0),"")</f>
        <v/>
      </c>
      <c r="K2523" s="8" t="str">
        <f>IFERROR(VLOOKUP(J2523,tecnica!B:C,2,0),"")</f>
        <v/>
      </c>
      <c r="L2523" s="13"/>
      <c r="M2523" s="14" t="str">
        <f>IFERROR(VLOOKUP(I2523,material!A:D,4,0),"")</f>
        <v/>
      </c>
      <c r="N2523" s="14" t="str">
        <f t="shared" si="1"/>
        <v/>
      </c>
      <c r="O2523" s="15" t="str">
        <f>IFERROR(VLOOKUP(I2523,material!A:D,2,0),"")</f>
        <v/>
      </c>
    </row>
    <row r="2524">
      <c r="A2524" s="6"/>
      <c r="B2524" s="7"/>
      <c r="C2524" s="8" t="str">
        <f t="array" ref="C2524">IFERROR(INDEX(atlas!H:H,MATCH(A2524,atlas!C:C,0)),"")</f>
        <v/>
      </c>
      <c r="D2524" s="8" t="str">
        <f t="array" ref="D2524">IFERROR(INDEX(atlas!D:D,MATCH(A2524,atlas!C:C,0)),"")</f>
        <v/>
      </c>
      <c r="E2524" s="8" t="str">
        <f t="array" ref="E2524">IFERROR(INDEX(atlas!F:F,MATCH(A2524,atlas!C:C,0)),"")</f>
        <v/>
      </c>
      <c r="F2524" s="9"/>
      <c r="G2524" s="10"/>
      <c r="H2524" s="11"/>
      <c r="I2524" s="12" t="str">
        <f t="array" ref="I2524">IFERROR(INDEX(atlas!B:B,MATCH(A2524,atlas!C:C,0)),"")</f>
        <v/>
      </c>
      <c r="J2524" s="8" t="str">
        <f>IFERROR(VLOOKUP(F2524,tecnica!A:B,2,0),"")</f>
        <v/>
      </c>
      <c r="K2524" s="8" t="str">
        <f>IFERROR(VLOOKUP(J2524,tecnica!B:C,2,0),"")</f>
        <v/>
      </c>
      <c r="L2524" s="13"/>
      <c r="M2524" s="14" t="str">
        <f>IFERROR(VLOOKUP(I2524,material!A:D,4,0),"")</f>
        <v/>
      </c>
      <c r="N2524" s="14" t="str">
        <f t="shared" si="1"/>
        <v/>
      </c>
      <c r="O2524" s="15" t="str">
        <f>IFERROR(VLOOKUP(I2524,material!A:D,2,0),"")</f>
        <v/>
      </c>
    </row>
    <row r="2525">
      <c r="A2525" s="6"/>
      <c r="B2525" s="7"/>
      <c r="C2525" s="8" t="str">
        <f t="array" ref="C2525">IFERROR(INDEX(atlas!H:H,MATCH(A2525,atlas!C:C,0)),"")</f>
        <v/>
      </c>
      <c r="D2525" s="8" t="str">
        <f t="array" ref="D2525">IFERROR(INDEX(atlas!D:D,MATCH(A2525,atlas!C:C,0)),"")</f>
        <v/>
      </c>
      <c r="E2525" s="8" t="str">
        <f t="array" ref="E2525">IFERROR(INDEX(atlas!F:F,MATCH(A2525,atlas!C:C,0)),"")</f>
        <v/>
      </c>
      <c r="F2525" s="9"/>
      <c r="G2525" s="10"/>
      <c r="H2525" s="11"/>
      <c r="I2525" s="12" t="str">
        <f t="array" ref="I2525">IFERROR(INDEX(atlas!B:B,MATCH(A2525,atlas!C:C,0)),"")</f>
        <v/>
      </c>
      <c r="J2525" s="8" t="str">
        <f>IFERROR(VLOOKUP(F2525,tecnica!A:B,2,0),"")</f>
        <v/>
      </c>
      <c r="K2525" s="8" t="str">
        <f>IFERROR(VLOOKUP(J2525,tecnica!B:C,2,0),"")</f>
        <v/>
      </c>
      <c r="L2525" s="13"/>
      <c r="M2525" s="14" t="str">
        <f>IFERROR(VLOOKUP(I2525,material!A:D,4,0),"")</f>
        <v/>
      </c>
      <c r="N2525" s="14" t="str">
        <f t="shared" si="1"/>
        <v/>
      </c>
      <c r="O2525" s="15" t="str">
        <f>IFERROR(VLOOKUP(I2525,material!A:D,2,0),"")</f>
        <v/>
      </c>
    </row>
    <row r="2526">
      <c r="A2526" s="6"/>
      <c r="B2526" s="7"/>
      <c r="C2526" s="8" t="str">
        <f t="array" ref="C2526">IFERROR(INDEX(atlas!H:H,MATCH(A2526,atlas!C:C,0)),"")</f>
        <v/>
      </c>
      <c r="D2526" s="8" t="str">
        <f t="array" ref="D2526">IFERROR(INDEX(atlas!D:D,MATCH(A2526,atlas!C:C,0)),"")</f>
        <v/>
      </c>
      <c r="E2526" s="8" t="str">
        <f t="array" ref="E2526">IFERROR(INDEX(atlas!F:F,MATCH(A2526,atlas!C:C,0)),"")</f>
        <v/>
      </c>
      <c r="F2526" s="9"/>
      <c r="G2526" s="10"/>
      <c r="H2526" s="11"/>
      <c r="I2526" s="12" t="str">
        <f t="array" ref="I2526">IFERROR(INDEX(atlas!B:B,MATCH(A2526,atlas!C:C,0)),"")</f>
        <v/>
      </c>
      <c r="J2526" s="8" t="str">
        <f>IFERROR(VLOOKUP(F2526,tecnica!A:B,2,0),"")</f>
        <v/>
      </c>
      <c r="K2526" s="8" t="str">
        <f>IFERROR(VLOOKUP(J2526,tecnica!B:C,2,0),"")</f>
        <v/>
      </c>
      <c r="L2526" s="13"/>
      <c r="M2526" s="14" t="str">
        <f>IFERROR(VLOOKUP(I2526,material!A:D,4,0),"")</f>
        <v/>
      </c>
      <c r="N2526" s="14" t="str">
        <f t="shared" si="1"/>
        <v/>
      </c>
      <c r="O2526" s="15" t="str">
        <f>IFERROR(VLOOKUP(I2526,material!A:D,2,0),"")</f>
        <v/>
      </c>
    </row>
    <row r="2527">
      <c r="A2527" s="6"/>
      <c r="B2527" s="7"/>
      <c r="C2527" s="8" t="str">
        <f t="array" ref="C2527">IFERROR(INDEX(atlas!H:H,MATCH(A2527,atlas!C:C,0)),"")</f>
        <v/>
      </c>
      <c r="D2527" s="8" t="str">
        <f t="array" ref="D2527">IFERROR(INDEX(atlas!D:D,MATCH(A2527,atlas!C:C,0)),"")</f>
        <v/>
      </c>
      <c r="E2527" s="8" t="str">
        <f t="array" ref="E2527">IFERROR(INDEX(atlas!F:F,MATCH(A2527,atlas!C:C,0)),"")</f>
        <v/>
      </c>
      <c r="F2527" s="9"/>
      <c r="G2527" s="10"/>
      <c r="H2527" s="11"/>
      <c r="I2527" s="12" t="str">
        <f t="array" ref="I2527">IFERROR(INDEX(atlas!B:B,MATCH(A2527,atlas!C:C,0)),"")</f>
        <v/>
      </c>
      <c r="J2527" s="8" t="str">
        <f>IFERROR(VLOOKUP(F2527,tecnica!A:B,2,0),"")</f>
        <v/>
      </c>
      <c r="K2527" s="8" t="str">
        <f>IFERROR(VLOOKUP(J2527,tecnica!B:C,2,0),"")</f>
        <v/>
      </c>
      <c r="L2527" s="13"/>
      <c r="M2527" s="14" t="str">
        <f>IFERROR(VLOOKUP(I2527,material!A:D,4,0),"")</f>
        <v/>
      </c>
      <c r="N2527" s="14" t="str">
        <f t="shared" si="1"/>
        <v/>
      </c>
      <c r="O2527" s="15" t="str">
        <f>IFERROR(VLOOKUP(I2527,material!A:D,2,0),"")</f>
        <v/>
      </c>
    </row>
    <row r="2528">
      <c r="A2528" s="6"/>
      <c r="B2528" s="7"/>
      <c r="C2528" s="8" t="str">
        <f t="array" ref="C2528">IFERROR(INDEX(atlas!H:H,MATCH(A2528,atlas!C:C,0)),"")</f>
        <v/>
      </c>
      <c r="D2528" s="8" t="str">
        <f t="array" ref="D2528">IFERROR(INDEX(atlas!D:D,MATCH(A2528,atlas!C:C,0)),"")</f>
        <v/>
      </c>
      <c r="E2528" s="8" t="str">
        <f t="array" ref="E2528">IFERROR(INDEX(atlas!F:F,MATCH(A2528,atlas!C:C,0)),"")</f>
        <v/>
      </c>
      <c r="F2528" s="9"/>
      <c r="G2528" s="10"/>
      <c r="H2528" s="11"/>
      <c r="I2528" s="12" t="str">
        <f t="array" ref="I2528">IFERROR(INDEX(atlas!B:B,MATCH(A2528,atlas!C:C,0)),"")</f>
        <v/>
      </c>
      <c r="J2528" s="8" t="str">
        <f>IFERROR(VLOOKUP(F2528,tecnica!A:B,2,0),"")</f>
        <v/>
      </c>
      <c r="K2528" s="8" t="str">
        <f>IFERROR(VLOOKUP(J2528,tecnica!B:C,2,0),"")</f>
        <v/>
      </c>
      <c r="L2528" s="13"/>
      <c r="M2528" s="14" t="str">
        <f>IFERROR(VLOOKUP(I2528,material!A:D,4,0),"")</f>
        <v/>
      </c>
      <c r="N2528" s="14" t="str">
        <f t="shared" si="1"/>
        <v/>
      </c>
      <c r="O2528" s="15" t="str">
        <f>IFERROR(VLOOKUP(I2528,material!A:D,2,0),"")</f>
        <v/>
      </c>
    </row>
    <row r="2529">
      <c r="A2529" s="6"/>
      <c r="B2529" s="7"/>
      <c r="C2529" s="8" t="str">
        <f t="array" ref="C2529">IFERROR(INDEX(atlas!H:H,MATCH(A2529,atlas!C:C,0)),"")</f>
        <v/>
      </c>
      <c r="D2529" s="8" t="str">
        <f t="array" ref="D2529">IFERROR(INDEX(atlas!D:D,MATCH(A2529,atlas!C:C,0)),"")</f>
        <v/>
      </c>
      <c r="E2529" s="8" t="str">
        <f t="array" ref="E2529">IFERROR(INDEX(atlas!F:F,MATCH(A2529,atlas!C:C,0)),"")</f>
        <v/>
      </c>
      <c r="F2529" s="9"/>
      <c r="G2529" s="10"/>
      <c r="H2529" s="11"/>
      <c r="I2529" s="12" t="str">
        <f t="array" ref="I2529">IFERROR(INDEX(atlas!B:B,MATCH(A2529,atlas!C:C,0)),"")</f>
        <v/>
      </c>
      <c r="J2529" s="8" t="str">
        <f>IFERROR(VLOOKUP(F2529,tecnica!A:B,2,0),"")</f>
        <v/>
      </c>
      <c r="K2529" s="8" t="str">
        <f>IFERROR(VLOOKUP(J2529,tecnica!B:C,2,0),"")</f>
        <v/>
      </c>
      <c r="L2529" s="13"/>
      <c r="M2529" s="14" t="str">
        <f>IFERROR(VLOOKUP(I2529,material!A:D,4,0),"")</f>
        <v/>
      </c>
      <c r="N2529" s="14" t="str">
        <f t="shared" si="1"/>
        <v/>
      </c>
      <c r="O2529" s="15" t="str">
        <f>IFERROR(VLOOKUP(I2529,material!A:D,2,0),"")</f>
        <v/>
      </c>
    </row>
    <row r="2530">
      <c r="A2530" s="6"/>
      <c r="B2530" s="7"/>
      <c r="C2530" s="8" t="str">
        <f t="array" ref="C2530">IFERROR(INDEX(atlas!H:H,MATCH(A2530,atlas!C:C,0)),"")</f>
        <v/>
      </c>
      <c r="D2530" s="8" t="str">
        <f t="array" ref="D2530">IFERROR(INDEX(atlas!D:D,MATCH(A2530,atlas!C:C,0)),"")</f>
        <v/>
      </c>
      <c r="E2530" s="8" t="str">
        <f t="array" ref="E2530">IFERROR(INDEX(atlas!F:F,MATCH(A2530,atlas!C:C,0)),"")</f>
        <v/>
      </c>
      <c r="F2530" s="9"/>
      <c r="G2530" s="10"/>
      <c r="H2530" s="11"/>
      <c r="I2530" s="12" t="str">
        <f t="array" ref="I2530">IFERROR(INDEX(atlas!B:B,MATCH(A2530,atlas!C:C,0)),"")</f>
        <v/>
      </c>
      <c r="J2530" s="8" t="str">
        <f>IFERROR(VLOOKUP(F2530,tecnica!A:B,2,0),"")</f>
        <v/>
      </c>
      <c r="K2530" s="8" t="str">
        <f>IFERROR(VLOOKUP(J2530,tecnica!B:C,2,0),"")</f>
        <v/>
      </c>
      <c r="L2530" s="13"/>
      <c r="M2530" s="14" t="str">
        <f>IFERROR(VLOOKUP(I2530,material!A:D,4,0),"")</f>
        <v/>
      </c>
      <c r="N2530" s="14" t="str">
        <f t="shared" si="1"/>
        <v/>
      </c>
      <c r="O2530" s="15" t="str">
        <f>IFERROR(VLOOKUP(I2530,material!A:D,2,0),"")</f>
        <v/>
      </c>
    </row>
    <row r="2531">
      <c r="A2531" s="6"/>
      <c r="B2531" s="7"/>
      <c r="C2531" s="8" t="str">
        <f t="array" ref="C2531">IFERROR(INDEX(atlas!H:H,MATCH(A2531,atlas!C:C,0)),"")</f>
        <v/>
      </c>
      <c r="D2531" s="8" t="str">
        <f t="array" ref="D2531">IFERROR(INDEX(atlas!D:D,MATCH(A2531,atlas!C:C,0)),"")</f>
        <v/>
      </c>
      <c r="E2531" s="8" t="str">
        <f t="array" ref="E2531">IFERROR(INDEX(atlas!F:F,MATCH(A2531,atlas!C:C,0)),"")</f>
        <v/>
      </c>
      <c r="F2531" s="9"/>
      <c r="G2531" s="10"/>
      <c r="H2531" s="11"/>
      <c r="I2531" s="12" t="str">
        <f t="array" ref="I2531">IFERROR(INDEX(atlas!B:B,MATCH(A2531,atlas!C:C,0)),"")</f>
        <v/>
      </c>
      <c r="J2531" s="8" t="str">
        <f>IFERROR(VLOOKUP(F2531,tecnica!A:B,2,0),"")</f>
        <v/>
      </c>
      <c r="K2531" s="8" t="str">
        <f>IFERROR(VLOOKUP(J2531,tecnica!B:C,2,0),"")</f>
        <v/>
      </c>
      <c r="L2531" s="13"/>
      <c r="M2531" s="14" t="str">
        <f>IFERROR(VLOOKUP(I2531,material!A:D,4,0),"")</f>
        <v/>
      </c>
      <c r="N2531" s="14" t="str">
        <f t="shared" si="1"/>
        <v/>
      </c>
      <c r="O2531" s="15" t="str">
        <f>IFERROR(VLOOKUP(I2531,material!A:D,2,0),"")</f>
        <v/>
      </c>
    </row>
    <row r="2532">
      <c r="A2532" s="6"/>
      <c r="B2532" s="7"/>
      <c r="C2532" s="8" t="str">
        <f t="array" ref="C2532">IFERROR(INDEX(atlas!H:H,MATCH(A2532,atlas!C:C,0)),"")</f>
        <v/>
      </c>
      <c r="D2532" s="8" t="str">
        <f t="array" ref="D2532">IFERROR(INDEX(atlas!D:D,MATCH(A2532,atlas!C:C,0)),"")</f>
        <v/>
      </c>
      <c r="E2532" s="8" t="str">
        <f t="array" ref="E2532">IFERROR(INDEX(atlas!F:F,MATCH(A2532,atlas!C:C,0)),"")</f>
        <v/>
      </c>
      <c r="F2532" s="9"/>
      <c r="G2532" s="10"/>
      <c r="H2532" s="11"/>
      <c r="I2532" s="12" t="str">
        <f t="array" ref="I2532">IFERROR(INDEX(atlas!B:B,MATCH(A2532,atlas!C:C,0)),"")</f>
        <v/>
      </c>
      <c r="J2532" s="8" t="str">
        <f>IFERROR(VLOOKUP(F2532,tecnica!A:B,2,0),"")</f>
        <v/>
      </c>
      <c r="K2532" s="8" t="str">
        <f>IFERROR(VLOOKUP(J2532,tecnica!B:C,2,0),"")</f>
        <v/>
      </c>
      <c r="L2532" s="13"/>
      <c r="M2532" s="14" t="str">
        <f>IFERROR(VLOOKUP(I2532,material!A:D,4,0),"")</f>
        <v/>
      </c>
      <c r="N2532" s="14" t="str">
        <f t="shared" si="1"/>
        <v/>
      </c>
      <c r="O2532" s="15" t="str">
        <f>IFERROR(VLOOKUP(I2532,material!A:D,2,0),"")</f>
        <v/>
      </c>
    </row>
    <row r="2533">
      <c r="A2533" s="6"/>
      <c r="B2533" s="7"/>
      <c r="C2533" s="8" t="str">
        <f t="array" ref="C2533">IFERROR(INDEX(atlas!H:H,MATCH(A2533,atlas!C:C,0)),"")</f>
        <v/>
      </c>
      <c r="D2533" s="8" t="str">
        <f t="array" ref="D2533">IFERROR(INDEX(atlas!D:D,MATCH(A2533,atlas!C:C,0)),"")</f>
        <v/>
      </c>
      <c r="E2533" s="8" t="str">
        <f t="array" ref="E2533">IFERROR(INDEX(atlas!F:F,MATCH(A2533,atlas!C:C,0)),"")</f>
        <v/>
      </c>
      <c r="F2533" s="9"/>
      <c r="G2533" s="10"/>
      <c r="H2533" s="11"/>
      <c r="I2533" s="12" t="str">
        <f t="array" ref="I2533">IFERROR(INDEX(atlas!B:B,MATCH(A2533,atlas!C:C,0)),"")</f>
        <v/>
      </c>
      <c r="J2533" s="8" t="str">
        <f>IFERROR(VLOOKUP(F2533,tecnica!A:B,2,0),"")</f>
        <v/>
      </c>
      <c r="K2533" s="8" t="str">
        <f>IFERROR(VLOOKUP(J2533,tecnica!B:C,2,0),"")</f>
        <v/>
      </c>
      <c r="L2533" s="13"/>
      <c r="M2533" s="14" t="str">
        <f>IFERROR(VLOOKUP(I2533,material!A:D,4,0),"")</f>
        <v/>
      </c>
      <c r="N2533" s="14" t="str">
        <f t="shared" si="1"/>
        <v/>
      </c>
      <c r="O2533" s="15" t="str">
        <f>IFERROR(VLOOKUP(I2533,material!A:D,2,0),"")</f>
        <v/>
      </c>
    </row>
    <row r="2534">
      <c r="A2534" s="6"/>
      <c r="B2534" s="7"/>
      <c r="C2534" s="8" t="str">
        <f t="array" ref="C2534">IFERROR(INDEX(atlas!H:H,MATCH(A2534,atlas!C:C,0)),"")</f>
        <v/>
      </c>
      <c r="D2534" s="8" t="str">
        <f t="array" ref="D2534">IFERROR(INDEX(atlas!D:D,MATCH(A2534,atlas!C:C,0)),"")</f>
        <v/>
      </c>
      <c r="E2534" s="8" t="str">
        <f t="array" ref="E2534">IFERROR(INDEX(atlas!F:F,MATCH(A2534,atlas!C:C,0)),"")</f>
        <v/>
      </c>
      <c r="F2534" s="9"/>
      <c r="G2534" s="10"/>
      <c r="H2534" s="11"/>
      <c r="I2534" s="12" t="str">
        <f t="array" ref="I2534">IFERROR(INDEX(atlas!B:B,MATCH(A2534,atlas!C:C,0)),"")</f>
        <v/>
      </c>
      <c r="J2534" s="8" t="str">
        <f>IFERROR(VLOOKUP(F2534,tecnica!A:B,2,0),"")</f>
        <v/>
      </c>
      <c r="K2534" s="8" t="str">
        <f>IFERROR(VLOOKUP(J2534,tecnica!B:C,2,0),"")</f>
        <v/>
      </c>
      <c r="L2534" s="13"/>
      <c r="M2534" s="14" t="str">
        <f>IFERROR(VLOOKUP(I2534,material!A:D,4,0),"")</f>
        <v/>
      </c>
      <c r="N2534" s="14" t="str">
        <f t="shared" si="1"/>
        <v/>
      </c>
      <c r="O2534" s="15" t="str">
        <f>IFERROR(VLOOKUP(I2534,material!A:D,2,0),"")</f>
        <v/>
      </c>
    </row>
    <row r="2535">
      <c r="A2535" s="6"/>
      <c r="B2535" s="7"/>
      <c r="C2535" s="8" t="str">
        <f t="array" ref="C2535">IFERROR(INDEX(atlas!H:H,MATCH(A2535,atlas!C:C,0)),"")</f>
        <v/>
      </c>
      <c r="D2535" s="8" t="str">
        <f t="array" ref="D2535">IFERROR(INDEX(atlas!D:D,MATCH(A2535,atlas!C:C,0)),"")</f>
        <v/>
      </c>
      <c r="E2535" s="8" t="str">
        <f t="array" ref="E2535">IFERROR(INDEX(atlas!F:F,MATCH(A2535,atlas!C:C,0)),"")</f>
        <v/>
      </c>
      <c r="F2535" s="9"/>
      <c r="G2535" s="10"/>
      <c r="H2535" s="11"/>
      <c r="I2535" s="12" t="str">
        <f t="array" ref="I2535">IFERROR(INDEX(atlas!B:B,MATCH(A2535,atlas!C:C,0)),"")</f>
        <v/>
      </c>
      <c r="J2535" s="8" t="str">
        <f>IFERROR(VLOOKUP(F2535,tecnica!A:B,2,0),"")</f>
        <v/>
      </c>
      <c r="K2535" s="8" t="str">
        <f>IFERROR(VLOOKUP(J2535,tecnica!B:C,2,0),"")</f>
        <v/>
      </c>
      <c r="L2535" s="13"/>
      <c r="M2535" s="14" t="str">
        <f>IFERROR(VLOOKUP(I2535,material!A:D,4,0),"")</f>
        <v/>
      </c>
      <c r="N2535" s="14" t="str">
        <f t="shared" si="1"/>
        <v/>
      </c>
      <c r="O2535" s="15" t="str">
        <f>IFERROR(VLOOKUP(I2535,material!A:D,2,0),"")</f>
        <v/>
      </c>
    </row>
    <row r="2536">
      <c r="A2536" s="6"/>
      <c r="B2536" s="7"/>
      <c r="C2536" s="8" t="str">
        <f t="array" ref="C2536">IFERROR(INDEX(atlas!H:H,MATCH(A2536,atlas!C:C,0)),"")</f>
        <v/>
      </c>
      <c r="D2536" s="8" t="str">
        <f t="array" ref="D2536">IFERROR(INDEX(atlas!D:D,MATCH(A2536,atlas!C:C,0)),"")</f>
        <v/>
      </c>
      <c r="E2536" s="8" t="str">
        <f t="array" ref="E2536">IFERROR(INDEX(atlas!F:F,MATCH(A2536,atlas!C:C,0)),"")</f>
        <v/>
      </c>
      <c r="F2536" s="9"/>
      <c r="G2536" s="10"/>
      <c r="H2536" s="11"/>
      <c r="I2536" s="12" t="str">
        <f t="array" ref="I2536">IFERROR(INDEX(atlas!B:B,MATCH(A2536,atlas!C:C,0)),"")</f>
        <v/>
      </c>
      <c r="J2536" s="8" t="str">
        <f>IFERROR(VLOOKUP(F2536,tecnica!A:B,2,0),"")</f>
        <v/>
      </c>
      <c r="K2536" s="8" t="str">
        <f>IFERROR(VLOOKUP(J2536,tecnica!B:C,2,0),"")</f>
        <v/>
      </c>
      <c r="L2536" s="13"/>
      <c r="M2536" s="14" t="str">
        <f>IFERROR(VLOOKUP(I2536,material!A:D,4,0),"")</f>
        <v/>
      </c>
      <c r="N2536" s="14" t="str">
        <f t="shared" si="1"/>
        <v/>
      </c>
      <c r="O2536" s="15" t="str">
        <f>IFERROR(VLOOKUP(I2536,material!A:D,2,0),"")</f>
        <v/>
      </c>
    </row>
    <row r="2537">
      <c r="A2537" s="6"/>
      <c r="B2537" s="7"/>
      <c r="C2537" s="8" t="str">
        <f t="array" ref="C2537">IFERROR(INDEX(atlas!H:H,MATCH(A2537,atlas!C:C,0)),"")</f>
        <v/>
      </c>
      <c r="D2537" s="8" t="str">
        <f t="array" ref="D2537">IFERROR(INDEX(atlas!D:D,MATCH(A2537,atlas!C:C,0)),"")</f>
        <v/>
      </c>
      <c r="E2537" s="8" t="str">
        <f t="array" ref="E2537">IFERROR(INDEX(atlas!F:F,MATCH(A2537,atlas!C:C,0)),"")</f>
        <v/>
      </c>
      <c r="F2537" s="9"/>
      <c r="G2537" s="10"/>
      <c r="H2537" s="11"/>
      <c r="I2537" s="12" t="str">
        <f t="array" ref="I2537">IFERROR(INDEX(atlas!B:B,MATCH(A2537,atlas!C:C,0)),"")</f>
        <v/>
      </c>
      <c r="J2537" s="8" t="str">
        <f>IFERROR(VLOOKUP(F2537,tecnica!A:B,2,0),"")</f>
        <v/>
      </c>
      <c r="K2537" s="8" t="str">
        <f>IFERROR(VLOOKUP(J2537,tecnica!B:C,2,0),"")</f>
        <v/>
      </c>
      <c r="L2537" s="13"/>
      <c r="M2537" s="14" t="str">
        <f>IFERROR(VLOOKUP(I2537,material!A:D,4,0),"")</f>
        <v/>
      </c>
      <c r="N2537" s="14" t="str">
        <f t="shared" si="1"/>
        <v/>
      </c>
      <c r="O2537" s="15" t="str">
        <f>IFERROR(VLOOKUP(I2537,material!A:D,2,0),"")</f>
        <v/>
      </c>
    </row>
    <row r="2538">
      <c r="A2538" s="6"/>
      <c r="B2538" s="7"/>
      <c r="C2538" s="8" t="str">
        <f t="array" ref="C2538">IFERROR(INDEX(atlas!H:H,MATCH(A2538,atlas!C:C,0)),"")</f>
        <v/>
      </c>
      <c r="D2538" s="8" t="str">
        <f t="array" ref="D2538">IFERROR(INDEX(atlas!D:D,MATCH(A2538,atlas!C:C,0)),"")</f>
        <v/>
      </c>
      <c r="E2538" s="8" t="str">
        <f t="array" ref="E2538">IFERROR(INDEX(atlas!F:F,MATCH(A2538,atlas!C:C,0)),"")</f>
        <v/>
      </c>
      <c r="F2538" s="9"/>
      <c r="G2538" s="10"/>
      <c r="H2538" s="11"/>
      <c r="I2538" s="12" t="str">
        <f t="array" ref="I2538">IFERROR(INDEX(atlas!B:B,MATCH(A2538,atlas!C:C,0)),"")</f>
        <v/>
      </c>
      <c r="J2538" s="8" t="str">
        <f>IFERROR(VLOOKUP(F2538,tecnica!A:B,2,0),"")</f>
        <v/>
      </c>
      <c r="K2538" s="8" t="str">
        <f>IFERROR(VLOOKUP(J2538,tecnica!B:C,2,0),"")</f>
        <v/>
      </c>
      <c r="L2538" s="13"/>
      <c r="M2538" s="14" t="str">
        <f>IFERROR(VLOOKUP(I2538,material!A:D,4,0),"")</f>
        <v/>
      </c>
      <c r="N2538" s="14" t="str">
        <f t="shared" si="1"/>
        <v/>
      </c>
      <c r="O2538" s="15" t="str">
        <f>IFERROR(VLOOKUP(I2538,material!A:D,2,0),"")</f>
        <v/>
      </c>
    </row>
    <row r="2539">
      <c r="A2539" s="6"/>
      <c r="B2539" s="7"/>
      <c r="C2539" s="8" t="str">
        <f t="array" ref="C2539">IFERROR(INDEX(atlas!H:H,MATCH(A2539,atlas!C:C,0)),"")</f>
        <v/>
      </c>
      <c r="D2539" s="8" t="str">
        <f t="array" ref="D2539">IFERROR(INDEX(atlas!D:D,MATCH(A2539,atlas!C:C,0)),"")</f>
        <v/>
      </c>
      <c r="E2539" s="8" t="str">
        <f t="array" ref="E2539">IFERROR(INDEX(atlas!F:F,MATCH(A2539,atlas!C:C,0)),"")</f>
        <v/>
      </c>
      <c r="F2539" s="9"/>
      <c r="G2539" s="10"/>
      <c r="H2539" s="11"/>
      <c r="I2539" s="12" t="str">
        <f t="array" ref="I2539">IFERROR(INDEX(atlas!B:B,MATCH(A2539,atlas!C:C,0)),"")</f>
        <v/>
      </c>
      <c r="J2539" s="8" t="str">
        <f>IFERROR(VLOOKUP(F2539,tecnica!A:B,2,0),"")</f>
        <v/>
      </c>
      <c r="K2539" s="8" t="str">
        <f>IFERROR(VLOOKUP(J2539,tecnica!B:C,2,0),"")</f>
        <v/>
      </c>
      <c r="L2539" s="13"/>
      <c r="M2539" s="14" t="str">
        <f>IFERROR(VLOOKUP(I2539,material!A:D,4,0),"")</f>
        <v/>
      </c>
      <c r="N2539" s="14" t="str">
        <f t="shared" si="1"/>
        <v/>
      </c>
      <c r="O2539" s="15" t="str">
        <f>IFERROR(VLOOKUP(I2539,material!A:D,2,0),"")</f>
        <v/>
      </c>
    </row>
    <row r="2540">
      <c r="A2540" s="6"/>
      <c r="B2540" s="7"/>
      <c r="C2540" s="8" t="str">
        <f t="array" ref="C2540">IFERROR(INDEX(atlas!H:H,MATCH(A2540,atlas!C:C,0)),"")</f>
        <v/>
      </c>
      <c r="D2540" s="8" t="str">
        <f t="array" ref="D2540">IFERROR(INDEX(atlas!D:D,MATCH(A2540,atlas!C:C,0)),"")</f>
        <v/>
      </c>
      <c r="E2540" s="8" t="str">
        <f t="array" ref="E2540">IFERROR(INDEX(atlas!F:F,MATCH(A2540,atlas!C:C,0)),"")</f>
        <v/>
      </c>
      <c r="F2540" s="9"/>
      <c r="G2540" s="10"/>
      <c r="H2540" s="11"/>
      <c r="I2540" s="12" t="str">
        <f t="array" ref="I2540">IFERROR(INDEX(atlas!B:B,MATCH(A2540,atlas!C:C,0)),"")</f>
        <v/>
      </c>
      <c r="J2540" s="8" t="str">
        <f>IFERROR(VLOOKUP(F2540,tecnica!A:B,2,0),"")</f>
        <v/>
      </c>
      <c r="K2540" s="8" t="str">
        <f>IFERROR(VLOOKUP(J2540,tecnica!B:C,2,0),"")</f>
        <v/>
      </c>
      <c r="L2540" s="13"/>
      <c r="M2540" s="14" t="str">
        <f>IFERROR(VLOOKUP(I2540,material!A:D,4,0),"")</f>
        <v/>
      </c>
      <c r="N2540" s="14" t="str">
        <f t="shared" si="1"/>
        <v/>
      </c>
      <c r="O2540" s="15" t="str">
        <f>IFERROR(VLOOKUP(I2540,material!A:D,2,0),"")</f>
        <v/>
      </c>
    </row>
    <row r="2541">
      <c r="A2541" s="6"/>
      <c r="B2541" s="7"/>
      <c r="C2541" s="8" t="str">
        <f t="array" ref="C2541">IFERROR(INDEX(atlas!H:H,MATCH(A2541,atlas!C:C,0)),"")</f>
        <v/>
      </c>
      <c r="D2541" s="8" t="str">
        <f t="array" ref="D2541">IFERROR(INDEX(atlas!D:D,MATCH(A2541,atlas!C:C,0)),"")</f>
        <v/>
      </c>
      <c r="E2541" s="8" t="str">
        <f t="array" ref="E2541">IFERROR(INDEX(atlas!F:F,MATCH(A2541,atlas!C:C,0)),"")</f>
        <v/>
      </c>
      <c r="F2541" s="9"/>
      <c r="G2541" s="10"/>
      <c r="H2541" s="11"/>
      <c r="I2541" s="12" t="str">
        <f t="array" ref="I2541">IFERROR(INDEX(atlas!B:B,MATCH(A2541,atlas!C:C,0)),"")</f>
        <v/>
      </c>
      <c r="J2541" s="8" t="str">
        <f>IFERROR(VLOOKUP(F2541,tecnica!A:B,2,0),"")</f>
        <v/>
      </c>
      <c r="K2541" s="8" t="str">
        <f>IFERROR(VLOOKUP(J2541,tecnica!B:C,2,0),"")</f>
        <v/>
      </c>
      <c r="L2541" s="13"/>
      <c r="M2541" s="14" t="str">
        <f>IFERROR(VLOOKUP(I2541,material!A:D,4,0),"")</f>
        <v/>
      </c>
      <c r="N2541" s="14" t="str">
        <f t="shared" si="1"/>
        <v/>
      </c>
      <c r="O2541" s="15" t="str">
        <f>IFERROR(VLOOKUP(I2541,material!A:D,2,0),"")</f>
        <v/>
      </c>
    </row>
    <row r="2542">
      <c r="A2542" s="6"/>
      <c r="B2542" s="7"/>
      <c r="C2542" s="8" t="str">
        <f t="array" ref="C2542">IFERROR(INDEX(atlas!H:H,MATCH(A2542,atlas!C:C,0)),"")</f>
        <v/>
      </c>
      <c r="D2542" s="8" t="str">
        <f t="array" ref="D2542">IFERROR(INDEX(atlas!D:D,MATCH(A2542,atlas!C:C,0)),"")</f>
        <v/>
      </c>
      <c r="E2542" s="8" t="str">
        <f t="array" ref="E2542">IFERROR(INDEX(atlas!F:F,MATCH(A2542,atlas!C:C,0)),"")</f>
        <v/>
      </c>
      <c r="F2542" s="9"/>
      <c r="G2542" s="10"/>
      <c r="H2542" s="11"/>
      <c r="I2542" s="12" t="str">
        <f t="array" ref="I2542">IFERROR(INDEX(atlas!B:B,MATCH(A2542,atlas!C:C,0)),"")</f>
        <v/>
      </c>
      <c r="J2542" s="8" t="str">
        <f>IFERROR(VLOOKUP(F2542,tecnica!A:B,2,0),"")</f>
        <v/>
      </c>
      <c r="K2542" s="8" t="str">
        <f>IFERROR(VLOOKUP(J2542,tecnica!B:C,2,0),"")</f>
        <v/>
      </c>
      <c r="L2542" s="13"/>
      <c r="M2542" s="14" t="str">
        <f>IFERROR(VLOOKUP(I2542,material!A:D,4,0),"")</f>
        <v/>
      </c>
      <c r="N2542" s="14" t="str">
        <f t="shared" si="1"/>
        <v/>
      </c>
      <c r="O2542" s="15" t="str">
        <f>IFERROR(VLOOKUP(I2542,material!A:D,2,0),"")</f>
        <v/>
      </c>
    </row>
    <row r="2543">
      <c r="A2543" s="6"/>
      <c r="B2543" s="7"/>
      <c r="C2543" s="8" t="str">
        <f t="array" ref="C2543">IFERROR(INDEX(atlas!H:H,MATCH(A2543,atlas!C:C,0)),"")</f>
        <v/>
      </c>
      <c r="D2543" s="8" t="str">
        <f t="array" ref="D2543">IFERROR(INDEX(atlas!D:D,MATCH(A2543,atlas!C:C,0)),"")</f>
        <v/>
      </c>
      <c r="E2543" s="8" t="str">
        <f t="array" ref="E2543">IFERROR(INDEX(atlas!F:F,MATCH(A2543,atlas!C:C,0)),"")</f>
        <v/>
      </c>
      <c r="F2543" s="9"/>
      <c r="G2543" s="10"/>
      <c r="H2543" s="11"/>
      <c r="I2543" s="12" t="str">
        <f t="array" ref="I2543">IFERROR(INDEX(atlas!B:B,MATCH(A2543,atlas!C:C,0)),"")</f>
        <v/>
      </c>
      <c r="J2543" s="8" t="str">
        <f>IFERROR(VLOOKUP(F2543,tecnica!A:B,2,0),"")</f>
        <v/>
      </c>
      <c r="K2543" s="8" t="str">
        <f>IFERROR(VLOOKUP(J2543,tecnica!B:C,2,0),"")</f>
        <v/>
      </c>
      <c r="L2543" s="13"/>
      <c r="M2543" s="14" t="str">
        <f>IFERROR(VLOOKUP(I2543,material!A:D,4,0),"")</f>
        <v/>
      </c>
      <c r="N2543" s="14" t="str">
        <f t="shared" si="1"/>
        <v/>
      </c>
      <c r="O2543" s="15" t="str">
        <f>IFERROR(VLOOKUP(I2543,material!A:D,2,0),"")</f>
        <v/>
      </c>
    </row>
    <row r="2544">
      <c r="A2544" s="6"/>
      <c r="B2544" s="7"/>
      <c r="C2544" s="8" t="str">
        <f t="array" ref="C2544">IFERROR(INDEX(atlas!H:H,MATCH(A2544,atlas!C:C,0)),"")</f>
        <v/>
      </c>
      <c r="D2544" s="8" t="str">
        <f t="array" ref="D2544">IFERROR(INDEX(atlas!D:D,MATCH(A2544,atlas!C:C,0)),"")</f>
        <v/>
      </c>
      <c r="E2544" s="8" t="str">
        <f t="array" ref="E2544">IFERROR(INDEX(atlas!F:F,MATCH(A2544,atlas!C:C,0)),"")</f>
        <v/>
      </c>
      <c r="F2544" s="9"/>
      <c r="G2544" s="10"/>
      <c r="H2544" s="11"/>
      <c r="I2544" s="12" t="str">
        <f t="array" ref="I2544">IFERROR(INDEX(atlas!B:B,MATCH(A2544,atlas!C:C,0)),"")</f>
        <v/>
      </c>
      <c r="J2544" s="8" t="str">
        <f>IFERROR(VLOOKUP(F2544,tecnica!A:B,2,0),"")</f>
        <v/>
      </c>
      <c r="K2544" s="8" t="str">
        <f>IFERROR(VLOOKUP(J2544,tecnica!B:C,2,0),"")</f>
        <v/>
      </c>
      <c r="L2544" s="13"/>
      <c r="M2544" s="14" t="str">
        <f>IFERROR(VLOOKUP(I2544,material!A:D,4,0),"")</f>
        <v/>
      </c>
      <c r="N2544" s="14" t="str">
        <f t="shared" si="1"/>
        <v/>
      </c>
      <c r="O2544" s="15" t="str">
        <f>IFERROR(VLOOKUP(I2544,material!A:D,2,0),"")</f>
        <v/>
      </c>
    </row>
    <row r="2545">
      <c r="A2545" s="6"/>
      <c r="B2545" s="7"/>
      <c r="C2545" s="8" t="str">
        <f t="array" ref="C2545">IFERROR(INDEX(atlas!H:H,MATCH(A2545,atlas!C:C,0)),"")</f>
        <v/>
      </c>
      <c r="D2545" s="8" t="str">
        <f t="array" ref="D2545">IFERROR(INDEX(atlas!D:D,MATCH(A2545,atlas!C:C,0)),"")</f>
        <v/>
      </c>
      <c r="E2545" s="8" t="str">
        <f t="array" ref="E2545">IFERROR(INDEX(atlas!F:F,MATCH(A2545,atlas!C:C,0)),"")</f>
        <v/>
      </c>
      <c r="F2545" s="9"/>
      <c r="G2545" s="10"/>
      <c r="H2545" s="11"/>
      <c r="I2545" s="12" t="str">
        <f t="array" ref="I2545">IFERROR(INDEX(atlas!B:B,MATCH(A2545,atlas!C:C,0)),"")</f>
        <v/>
      </c>
      <c r="J2545" s="8" t="str">
        <f>IFERROR(VLOOKUP(F2545,tecnica!A:B,2,0),"")</f>
        <v/>
      </c>
      <c r="K2545" s="8" t="str">
        <f>IFERROR(VLOOKUP(J2545,tecnica!B:C,2,0),"")</f>
        <v/>
      </c>
      <c r="L2545" s="13"/>
      <c r="M2545" s="14" t="str">
        <f>IFERROR(VLOOKUP(I2545,material!A:D,4,0),"")</f>
        <v/>
      </c>
      <c r="N2545" s="14" t="str">
        <f t="shared" si="1"/>
        <v/>
      </c>
      <c r="O2545" s="15" t="str">
        <f>IFERROR(VLOOKUP(I2545,material!A:D,2,0),"")</f>
        <v/>
      </c>
    </row>
    <row r="2546">
      <c r="A2546" s="6"/>
      <c r="B2546" s="7"/>
      <c r="C2546" s="8" t="str">
        <f t="array" ref="C2546">IFERROR(INDEX(atlas!H:H,MATCH(A2546,atlas!C:C,0)),"")</f>
        <v/>
      </c>
      <c r="D2546" s="8" t="str">
        <f t="array" ref="D2546">IFERROR(INDEX(atlas!D:D,MATCH(A2546,atlas!C:C,0)),"")</f>
        <v/>
      </c>
      <c r="E2546" s="8" t="str">
        <f t="array" ref="E2546">IFERROR(INDEX(atlas!F:F,MATCH(A2546,atlas!C:C,0)),"")</f>
        <v/>
      </c>
      <c r="F2546" s="9"/>
      <c r="G2546" s="10"/>
      <c r="H2546" s="11"/>
      <c r="I2546" s="12" t="str">
        <f t="array" ref="I2546">IFERROR(INDEX(atlas!B:B,MATCH(A2546,atlas!C:C,0)),"")</f>
        <v/>
      </c>
      <c r="J2546" s="8" t="str">
        <f>IFERROR(VLOOKUP(F2546,tecnica!A:B,2,0),"")</f>
        <v/>
      </c>
      <c r="K2546" s="8" t="str">
        <f>IFERROR(VLOOKUP(J2546,tecnica!B:C,2,0),"")</f>
        <v/>
      </c>
      <c r="L2546" s="13"/>
      <c r="M2546" s="14" t="str">
        <f>IFERROR(VLOOKUP(I2546,material!A:D,4,0),"")</f>
        <v/>
      </c>
      <c r="N2546" s="14" t="str">
        <f t="shared" si="1"/>
        <v/>
      </c>
      <c r="O2546" s="15" t="str">
        <f>IFERROR(VLOOKUP(I2546,material!A:D,2,0),"")</f>
        <v/>
      </c>
    </row>
    <row r="2547">
      <c r="A2547" s="6"/>
      <c r="B2547" s="7"/>
      <c r="C2547" s="8" t="str">
        <f t="array" ref="C2547">IFERROR(INDEX(atlas!H:H,MATCH(A2547,atlas!C:C,0)),"")</f>
        <v/>
      </c>
      <c r="D2547" s="8" t="str">
        <f t="array" ref="D2547">IFERROR(INDEX(atlas!D:D,MATCH(A2547,atlas!C:C,0)),"")</f>
        <v/>
      </c>
      <c r="E2547" s="8" t="str">
        <f t="array" ref="E2547">IFERROR(INDEX(atlas!F:F,MATCH(A2547,atlas!C:C,0)),"")</f>
        <v/>
      </c>
      <c r="F2547" s="9"/>
      <c r="G2547" s="10"/>
      <c r="H2547" s="11"/>
      <c r="I2547" s="12" t="str">
        <f t="array" ref="I2547">IFERROR(INDEX(atlas!B:B,MATCH(A2547,atlas!C:C,0)),"")</f>
        <v/>
      </c>
      <c r="J2547" s="8" t="str">
        <f>IFERROR(VLOOKUP(F2547,tecnica!A:B,2,0),"")</f>
        <v/>
      </c>
      <c r="K2547" s="8" t="str">
        <f>IFERROR(VLOOKUP(J2547,tecnica!B:C,2,0),"")</f>
        <v/>
      </c>
      <c r="L2547" s="13"/>
      <c r="M2547" s="14" t="str">
        <f>IFERROR(VLOOKUP(I2547,material!A:D,4,0),"")</f>
        <v/>
      </c>
      <c r="N2547" s="14" t="str">
        <f t="shared" si="1"/>
        <v/>
      </c>
      <c r="O2547" s="15" t="str">
        <f>IFERROR(VLOOKUP(I2547,material!A:D,2,0),"")</f>
        <v/>
      </c>
    </row>
    <row r="2548">
      <c r="A2548" s="6"/>
      <c r="B2548" s="7"/>
      <c r="C2548" s="8" t="str">
        <f t="array" ref="C2548">IFERROR(INDEX(atlas!H:H,MATCH(A2548,atlas!C:C,0)),"")</f>
        <v/>
      </c>
      <c r="D2548" s="8" t="str">
        <f t="array" ref="D2548">IFERROR(INDEX(atlas!D:D,MATCH(A2548,atlas!C:C,0)),"")</f>
        <v/>
      </c>
      <c r="E2548" s="8" t="str">
        <f t="array" ref="E2548">IFERROR(INDEX(atlas!F:F,MATCH(A2548,atlas!C:C,0)),"")</f>
        <v/>
      </c>
      <c r="F2548" s="9"/>
      <c r="G2548" s="10"/>
      <c r="H2548" s="11"/>
      <c r="I2548" s="12" t="str">
        <f t="array" ref="I2548">IFERROR(INDEX(atlas!B:B,MATCH(A2548,atlas!C:C,0)),"")</f>
        <v/>
      </c>
      <c r="J2548" s="8" t="str">
        <f>IFERROR(VLOOKUP(F2548,tecnica!A:B,2,0),"")</f>
        <v/>
      </c>
      <c r="K2548" s="8" t="str">
        <f>IFERROR(VLOOKUP(J2548,tecnica!B:C,2,0),"")</f>
        <v/>
      </c>
      <c r="L2548" s="13"/>
      <c r="M2548" s="14" t="str">
        <f>IFERROR(VLOOKUP(I2548,material!A:D,4,0),"")</f>
        <v/>
      </c>
      <c r="N2548" s="14" t="str">
        <f t="shared" si="1"/>
        <v/>
      </c>
      <c r="O2548" s="15" t="str">
        <f>IFERROR(VLOOKUP(I2548,material!A:D,2,0),"")</f>
        <v/>
      </c>
    </row>
    <row r="2549">
      <c r="A2549" s="6"/>
      <c r="B2549" s="7"/>
      <c r="C2549" s="8" t="str">
        <f t="array" ref="C2549">IFERROR(INDEX(atlas!H:H,MATCH(A2549,atlas!C:C,0)),"")</f>
        <v/>
      </c>
      <c r="D2549" s="8" t="str">
        <f t="array" ref="D2549">IFERROR(INDEX(atlas!D:D,MATCH(A2549,atlas!C:C,0)),"")</f>
        <v/>
      </c>
      <c r="E2549" s="8" t="str">
        <f t="array" ref="E2549">IFERROR(INDEX(atlas!F:F,MATCH(A2549,atlas!C:C,0)),"")</f>
        <v/>
      </c>
      <c r="F2549" s="9"/>
      <c r="G2549" s="10"/>
      <c r="H2549" s="11"/>
      <c r="I2549" s="12" t="str">
        <f t="array" ref="I2549">IFERROR(INDEX(atlas!B:B,MATCH(A2549,atlas!C:C,0)),"")</f>
        <v/>
      </c>
      <c r="J2549" s="8" t="str">
        <f>IFERROR(VLOOKUP(F2549,tecnica!A:B,2,0),"")</f>
        <v/>
      </c>
      <c r="K2549" s="8" t="str">
        <f>IFERROR(VLOOKUP(J2549,tecnica!B:C,2,0),"")</f>
        <v/>
      </c>
      <c r="L2549" s="13"/>
      <c r="M2549" s="14" t="str">
        <f>IFERROR(VLOOKUP(I2549,material!A:D,4,0),"")</f>
        <v/>
      </c>
      <c r="N2549" s="14" t="str">
        <f t="shared" si="1"/>
        <v/>
      </c>
      <c r="O2549" s="15" t="str">
        <f>IFERROR(VLOOKUP(I2549,material!A:D,2,0),"")</f>
        <v/>
      </c>
    </row>
    <row r="2550">
      <c r="A2550" s="6"/>
      <c r="B2550" s="7"/>
      <c r="C2550" s="8" t="str">
        <f t="array" ref="C2550">IFERROR(INDEX(atlas!H:H,MATCH(A2550,atlas!C:C,0)),"")</f>
        <v/>
      </c>
      <c r="D2550" s="8" t="str">
        <f t="array" ref="D2550">IFERROR(INDEX(atlas!D:D,MATCH(A2550,atlas!C:C,0)),"")</f>
        <v/>
      </c>
      <c r="E2550" s="8" t="str">
        <f t="array" ref="E2550">IFERROR(INDEX(atlas!F:F,MATCH(A2550,atlas!C:C,0)),"")</f>
        <v/>
      </c>
      <c r="F2550" s="9"/>
      <c r="G2550" s="10"/>
      <c r="H2550" s="11"/>
      <c r="I2550" s="12" t="str">
        <f t="array" ref="I2550">IFERROR(INDEX(atlas!B:B,MATCH(A2550,atlas!C:C,0)),"")</f>
        <v/>
      </c>
      <c r="J2550" s="8" t="str">
        <f>IFERROR(VLOOKUP(F2550,tecnica!A:B,2,0),"")</f>
        <v/>
      </c>
      <c r="K2550" s="8" t="str">
        <f>IFERROR(VLOOKUP(J2550,tecnica!B:C,2,0),"")</f>
        <v/>
      </c>
      <c r="L2550" s="13"/>
      <c r="M2550" s="14" t="str">
        <f>IFERROR(VLOOKUP(I2550,material!A:D,4,0),"")</f>
        <v/>
      </c>
      <c r="N2550" s="14" t="str">
        <f t="shared" si="1"/>
        <v/>
      </c>
      <c r="O2550" s="15" t="str">
        <f>IFERROR(VLOOKUP(I2550,material!A:D,2,0),"")</f>
        <v/>
      </c>
    </row>
    <row r="2551">
      <c r="A2551" s="6"/>
      <c r="B2551" s="7"/>
      <c r="C2551" s="8" t="str">
        <f t="array" ref="C2551">IFERROR(INDEX(atlas!H:H,MATCH(A2551,atlas!C:C,0)),"")</f>
        <v/>
      </c>
      <c r="D2551" s="8" t="str">
        <f t="array" ref="D2551">IFERROR(INDEX(atlas!D:D,MATCH(A2551,atlas!C:C,0)),"")</f>
        <v/>
      </c>
      <c r="E2551" s="8" t="str">
        <f t="array" ref="E2551">IFERROR(INDEX(atlas!F:F,MATCH(A2551,atlas!C:C,0)),"")</f>
        <v/>
      </c>
      <c r="F2551" s="9"/>
      <c r="G2551" s="10"/>
      <c r="H2551" s="11"/>
      <c r="I2551" s="12" t="str">
        <f t="array" ref="I2551">IFERROR(INDEX(atlas!B:B,MATCH(A2551,atlas!C:C,0)),"")</f>
        <v/>
      </c>
      <c r="J2551" s="8" t="str">
        <f>IFERROR(VLOOKUP(F2551,tecnica!A:B,2,0),"")</f>
        <v/>
      </c>
      <c r="K2551" s="8" t="str">
        <f>IFERROR(VLOOKUP(J2551,tecnica!B:C,2,0),"")</f>
        <v/>
      </c>
      <c r="L2551" s="13"/>
      <c r="M2551" s="14" t="str">
        <f>IFERROR(VLOOKUP(I2551,material!A:D,4,0),"")</f>
        <v/>
      </c>
      <c r="N2551" s="14" t="str">
        <f t="shared" si="1"/>
        <v/>
      </c>
      <c r="O2551" s="15" t="str">
        <f>IFERROR(VLOOKUP(I2551,material!A:D,2,0),"")</f>
        <v/>
      </c>
    </row>
    <row r="2552">
      <c r="A2552" s="6"/>
      <c r="B2552" s="7"/>
      <c r="C2552" s="8" t="str">
        <f t="array" ref="C2552">IFERROR(INDEX(atlas!H:H,MATCH(A2552,atlas!C:C,0)),"")</f>
        <v/>
      </c>
      <c r="D2552" s="8" t="str">
        <f t="array" ref="D2552">IFERROR(INDEX(atlas!D:D,MATCH(A2552,atlas!C:C,0)),"")</f>
        <v/>
      </c>
      <c r="E2552" s="8" t="str">
        <f t="array" ref="E2552">IFERROR(INDEX(atlas!F:F,MATCH(A2552,atlas!C:C,0)),"")</f>
        <v/>
      </c>
      <c r="F2552" s="9"/>
      <c r="G2552" s="10"/>
      <c r="H2552" s="11"/>
      <c r="I2552" s="12" t="str">
        <f t="array" ref="I2552">IFERROR(INDEX(atlas!B:B,MATCH(A2552,atlas!C:C,0)),"")</f>
        <v/>
      </c>
      <c r="J2552" s="8" t="str">
        <f>IFERROR(VLOOKUP(F2552,tecnica!A:B,2,0),"")</f>
        <v/>
      </c>
      <c r="K2552" s="8" t="str">
        <f>IFERROR(VLOOKUP(J2552,tecnica!B:C,2,0),"")</f>
        <v/>
      </c>
      <c r="L2552" s="13"/>
      <c r="M2552" s="14" t="str">
        <f>IFERROR(VLOOKUP(I2552,material!A:D,4,0),"")</f>
        <v/>
      </c>
      <c r="N2552" s="14" t="str">
        <f t="shared" si="1"/>
        <v/>
      </c>
      <c r="O2552" s="15" t="str">
        <f>IFERROR(VLOOKUP(I2552,material!A:D,2,0),"")</f>
        <v/>
      </c>
    </row>
    <row r="2553">
      <c r="A2553" s="6"/>
      <c r="B2553" s="7"/>
      <c r="C2553" s="8" t="str">
        <f t="array" ref="C2553">IFERROR(INDEX(atlas!H:H,MATCH(A2553,atlas!C:C,0)),"")</f>
        <v/>
      </c>
      <c r="D2553" s="8" t="str">
        <f t="array" ref="D2553">IFERROR(INDEX(atlas!D:D,MATCH(A2553,atlas!C:C,0)),"")</f>
        <v/>
      </c>
      <c r="E2553" s="8" t="str">
        <f t="array" ref="E2553">IFERROR(INDEX(atlas!F:F,MATCH(A2553,atlas!C:C,0)),"")</f>
        <v/>
      </c>
      <c r="F2553" s="9"/>
      <c r="G2553" s="10"/>
      <c r="H2553" s="11"/>
      <c r="I2553" s="12" t="str">
        <f t="array" ref="I2553">IFERROR(INDEX(atlas!B:B,MATCH(A2553,atlas!C:C,0)),"")</f>
        <v/>
      </c>
      <c r="J2553" s="8" t="str">
        <f>IFERROR(VLOOKUP(F2553,tecnica!A:B,2,0),"")</f>
        <v/>
      </c>
      <c r="K2553" s="8" t="str">
        <f>IFERROR(VLOOKUP(J2553,tecnica!B:C,2,0),"")</f>
        <v/>
      </c>
      <c r="L2553" s="13"/>
      <c r="M2553" s="14" t="str">
        <f>IFERROR(VLOOKUP(I2553,material!A:D,4,0),"")</f>
        <v/>
      </c>
      <c r="N2553" s="14" t="str">
        <f t="shared" si="1"/>
        <v/>
      </c>
      <c r="O2553" s="15" t="str">
        <f>IFERROR(VLOOKUP(I2553,material!A:D,2,0),"")</f>
        <v/>
      </c>
    </row>
    <row r="2554">
      <c r="A2554" s="6"/>
      <c r="B2554" s="7"/>
      <c r="C2554" s="8" t="str">
        <f t="array" ref="C2554">IFERROR(INDEX(atlas!H:H,MATCH(A2554,atlas!C:C,0)),"")</f>
        <v/>
      </c>
      <c r="D2554" s="8" t="str">
        <f t="array" ref="D2554">IFERROR(INDEX(atlas!D:D,MATCH(A2554,atlas!C:C,0)),"")</f>
        <v/>
      </c>
      <c r="E2554" s="8" t="str">
        <f t="array" ref="E2554">IFERROR(INDEX(atlas!F:F,MATCH(A2554,atlas!C:C,0)),"")</f>
        <v/>
      </c>
      <c r="F2554" s="9"/>
      <c r="G2554" s="10"/>
      <c r="H2554" s="11"/>
      <c r="I2554" s="12" t="str">
        <f t="array" ref="I2554">IFERROR(INDEX(atlas!B:B,MATCH(A2554,atlas!C:C,0)),"")</f>
        <v/>
      </c>
      <c r="J2554" s="8" t="str">
        <f>IFERROR(VLOOKUP(F2554,tecnica!A:B,2,0),"")</f>
        <v/>
      </c>
      <c r="K2554" s="8" t="str">
        <f>IFERROR(VLOOKUP(J2554,tecnica!B:C,2,0),"")</f>
        <v/>
      </c>
      <c r="L2554" s="13"/>
      <c r="M2554" s="14" t="str">
        <f>IFERROR(VLOOKUP(I2554,material!A:D,4,0),"")</f>
        <v/>
      </c>
      <c r="N2554" s="14" t="str">
        <f t="shared" si="1"/>
        <v/>
      </c>
      <c r="O2554" s="15" t="str">
        <f>IFERROR(VLOOKUP(I2554,material!A:D,2,0),"")</f>
        <v/>
      </c>
    </row>
    <row r="2555">
      <c r="A2555" s="6"/>
      <c r="B2555" s="7"/>
      <c r="C2555" s="8" t="str">
        <f t="array" ref="C2555">IFERROR(INDEX(atlas!H:H,MATCH(A2555,atlas!C:C,0)),"")</f>
        <v/>
      </c>
      <c r="D2555" s="8" t="str">
        <f t="array" ref="D2555">IFERROR(INDEX(atlas!D:D,MATCH(A2555,atlas!C:C,0)),"")</f>
        <v/>
      </c>
      <c r="E2555" s="8" t="str">
        <f t="array" ref="E2555">IFERROR(INDEX(atlas!F:F,MATCH(A2555,atlas!C:C,0)),"")</f>
        <v/>
      </c>
      <c r="F2555" s="9"/>
      <c r="G2555" s="10"/>
      <c r="H2555" s="11"/>
      <c r="I2555" s="12" t="str">
        <f t="array" ref="I2555">IFERROR(INDEX(atlas!B:B,MATCH(A2555,atlas!C:C,0)),"")</f>
        <v/>
      </c>
      <c r="J2555" s="8" t="str">
        <f>IFERROR(VLOOKUP(F2555,tecnica!A:B,2,0),"")</f>
        <v/>
      </c>
      <c r="K2555" s="8" t="str">
        <f>IFERROR(VLOOKUP(J2555,tecnica!B:C,2,0),"")</f>
        <v/>
      </c>
      <c r="L2555" s="13"/>
      <c r="M2555" s="14" t="str">
        <f>IFERROR(VLOOKUP(I2555,material!A:D,4,0),"")</f>
        <v/>
      </c>
      <c r="N2555" s="14" t="str">
        <f t="shared" si="1"/>
        <v/>
      </c>
      <c r="O2555" s="15" t="str">
        <f>IFERROR(VLOOKUP(I2555,material!A:D,2,0),"")</f>
        <v/>
      </c>
    </row>
    <row r="2556">
      <c r="A2556" s="6"/>
      <c r="B2556" s="7"/>
      <c r="C2556" s="8" t="str">
        <f t="array" ref="C2556">IFERROR(INDEX(atlas!H:H,MATCH(A2556,atlas!C:C,0)),"")</f>
        <v/>
      </c>
      <c r="D2556" s="8" t="str">
        <f t="array" ref="D2556">IFERROR(INDEX(atlas!D:D,MATCH(A2556,atlas!C:C,0)),"")</f>
        <v/>
      </c>
      <c r="E2556" s="8" t="str">
        <f t="array" ref="E2556">IFERROR(INDEX(atlas!F:F,MATCH(A2556,atlas!C:C,0)),"")</f>
        <v/>
      </c>
      <c r="F2556" s="9"/>
      <c r="G2556" s="10"/>
      <c r="H2556" s="11"/>
      <c r="I2556" s="12" t="str">
        <f t="array" ref="I2556">IFERROR(INDEX(atlas!B:B,MATCH(A2556,atlas!C:C,0)),"")</f>
        <v/>
      </c>
      <c r="J2556" s="8" t="str">
        <f>IFERROR(VLOOKUP(F2556,tecnica!A:B,2,0),"")</f>
        <v/>
      </c>
      <c r="K2556" s="8" t="str">
        <f>IFERROR(VLOOKUP(J2556,tecnica!B:C,2,0),"")</f>
        <v/>
      </c>
      <c r="L2556" s="13"/>
      <c r="M2556" s="14" t="str">
        <f>IFERROR(VLOOKUP(I2556,material!A:D,4,0),"")</f>
        <v/>
      </c>
      <c r="N2556" s="14" t="str">
        <f t="shared" si="1"/>
        <v/>
      </c>
      <c r="O2556" s="15" t="str">
        <f>IFERROR(VLOOKUP(I2556,material!A:D,2,0),"")</f>
        <v/>
      </c>
    </row>
    <row r="2557">
      <c r="A2557" s="6"/>
      <c r="B2557" s="7"/>
      <c r="C2557" s="8" t="str">
        <f t="array" ref="C2557">IFERROR(INDEX(atlas!H:H,MATCH(A2557,atlas!C:C,0)),"")</f>
        <v/>
      </c>
      <c r="D2557" s="8" t="str">
        <f t="array" ref="D2557">IFERROR(INDEX(atlas!D:D,MATCH(A2557,atlas!C:C,0)),"")</f>
        <v/>
      </c>
      <c r="E2557" s="8" t="str">
        <f t="array" ref="E2557">IFERROR(INDEX(atlas!F:F,MATCH(A2557,atlas!C:C,0)),"")</f>
        <v/>
      </c>
      <c r="F2557" s="9"/>
      <c r="G2557" s="10"/>
      <c r="H2557" s="11"/>
      <c r="I2557" s="12" t="str">
        <f t="array" ref="I2557">IFERROR(INDEX(atlas!B:B,MATCH(A2557,atlas!C:C,0)),"")</f>
        <v/>
      </c>
      <c r="J2557" s="8" t="str">
        <f>IFERROR(VLOOKUP(F2557,tecnica!A:B,2,0),"")</f>
        <v/>
      </c>
      <c r="K2557" s="8" t="str">
        <f>IFERROR(VLOOKUP(J2557,tecnica!B:C,2,0),"")</f>
        <v/>
      </c>
      <c r="L2557" s="13"/>
      <c r="M2557" s="14" t="str">
        <f>IFERROR(VLOOKUP(I2557,material!A:D,4,0),"")</f>
        <v/>
      </c>
      <c r="N2557" s="14" t="str">
        <f t="shared" si="1"/>
        <v/>
      </c>
      <c r="O2557" s="15" t="str">
        <f>IFERROR(VLOOKUP(I2557,material!A:D,2,0),"")</f>
        <v/>
      </c>
    </row>
    <row r="2558">
      <c r="A2558" s="6"/>
      <c r="B2558" s="7"/>
      <c r="C2558" s="8" t="str">
        <f t="array" ref="C2558">IFERROR(INDEX(atlas!H:H,MATCH(A2558,atlas!C:C,0)),"")</f>
        <v/>
      </c>
      <c r="D2558" s="8" t="str">
        <f t="array" ref="D2558">IFERROR(INDEX(atlas!D:D,MATCH(A2558,atlas!C:C,0)),"")</f>
        <v/>
      </c>
      <c r="E2558" s="8" t="str">
        <f t="array" ref="E2558">IFERROR(INDEX(atlas!F:F,MATCH(A2558,atlas!C:C,0)),"")</f>
        <v/>
      </c>
      <c r="F2558" s="9"/>
      <c r="G2558" s="10"/>
      <c r="H2558" s="11"/>
      <c r="I2558" s="12" t="str">
        <f t="array" ref="I2558">IFERROR(INDEX(atlas!B:B,MATCH(A2558,atlas!C:C,0)),"")</f>
        <v/>
      </c>
      <c r="J2558" s="8" t="str">
        <f>IFERROR(VLOOKUP(F2558,tecnica!A:B,2,0),"")</f>
        <v/>
      </c>
      <c r="K2558" s="8" t="str">
        <f>IFERROR(VLOOKUP(J2558,tecnica!B:C,2,0),"")</f>
        <v/>
      </c>
      <c r="L2558" s="13"/>
      <c r="M2558" s="14" t="str">
        <f>IFERROR(VLOOKUP(I2558,material!A:D,4,0),"")</f>
        <v/>
      </c>
      <c r="N2558" s="14" t="str">
        <f t="shared" si="1"/>
        <v/>
      </c>
      <c r="O2558" s="15" t="str">
        <f>IFERROR(VLOOKUP(I2558,material!A:D,2,0),"")</f>
        <v/>
      </c>
    </row>
    <row r="2559">
      <c r="A2559" s="6"/>
      <c r="B2559" s="7"/>
      <c r="C2559" s="8" t="str">
        <f t="array" ref="C2559">IFERROR(INDEX(atlas!H:H,MATCH(A2559,atlas!C:C,0)),"")</f>
        <v/>
      </c>
      <c r="D2559" s="8" t="str">
        <f t="array" ref="D2559">IFERROR(INDEX(atlas!D:D,MATCH(A2559,atlas!C:C,0)),"")</f>
        <v/>
      </c>
      <c r="E2559" s="8" t="str">
        <f t="array" ref="E2559">IFERROR(INDEX(atlas!F:F,MATCH(A2559,atlas!C:C,0)),"")</f>
        <v/>
      </c>
      <c r="F2559" s="9"/>
      <c r="G2559" s="10"/>
      <c r="H2559" s="11"/>
      <c r="I2559" s="12" t="str">
        <f t="array" ref="I2559">IFERROR(INDEX(atlas!B:B,MATCH(A2559,atlas!C:C,0)),"")</f>
        <v/>
      </c>
      <c r="J2559" s="8" t="str">
        <f>IFERROR(VLOOKUP(F2559,tecnica!A:B,2,0),"")</f>
        <v/>
      </c>
      <c r="K2559" s="8" t="str">
        <f>IFERROR(VLOOKUP(J2559,tecnica!B:C,2,0),"")</f>
        <v/>
      </c>
      <c r="L2559" s="13"/>
      <c r="M2559" s="14" t="str">
        <f>IFERROR(VLOOKUP(I2559,material!A:D,4,0),"")</f>
        <v/>
      </c>
      <c r="N2559" s="14" t="str">
        <f t="shared" si="1"/>
        <v/>
      </c>
      <c r="O2559" s="15" t="str">
        <f>IFERROR(VLOOKUP(I2559,material!A:D,2,0),"")</f>
        <v/>
      </c>
    </row>
    <row r="2560">
      <c r="A2560" s="6"/>
      <c r="B2560" s="7"/>
      <c r="C2560" s="8" t="str">
        <f t="array" ref="C2560">IFERROR(INDEX(atlas!H:H,MATCH(A2560,atlas!C:C,0)),"")</f>
        <v/>
      </c>
      <c r="D2560" s="8" t="str">
        <f t="array" ref="D2560">IFERROR(INDEX(atlas!D:D,MATCH(A2560,atlas!C:C,0)),"")</f>
        <v/>
      </c>
      <c r="E2560" s="8" t="str">
        <f t="array" ref="E2560">IFERROR(INDEX(atlas!F:F,MATCH(A2560,atlas!C:C,0)),"")</f>
        <v/>
      </c>
      <c r="F2560" s="9"/>
      <c r="G2560" s="10"/>
      <c r="H2560" s="11"/>
      <c r="I2560" s="12" t="str">
        <f t="array" ref="I2560">IFERROR(INDEX(atlas!B:B,MATCH(A2560,atlas!C:C,0)),"")</f>
        <v/>
      </c>
      <c r="J2560" s="8" t="str">
        <f>IFERROR(VLOOKUP(F2560,tecnica!A:B,2,0),"")</f>
        <v/>
      </c>
      <c r="K2560" s="8" t="str">
        <f>IFERROR(VLOOKUP(J2560,tecnica!B:C,2,0),"")</f>
        <v/>
      </c>
      <c r="L2560" s="13"/>
      <c r="M2560" s="14" t="str">
        <f>IFERROR(VLOOKUP(I2560,material!A:D,4,0),"")</f>
        <v/>
      </c>
      <c r="N2560" s="14" t="str">
        <f t="shared" si="1"/>
        <v/>
      </c>
      <c r="O2560" s="15" t="str">
        <f>IFERROR(VLOOKUP(I2560,material!A:D,2,0),"")</f>
        <v/>
      </c>
    </row>
    <row r="2561">
      <c r="A2561" s="6"/>
      <c r="B2561" s="7"/>
      <c r="C2561" s="8" t="str">
        <f t="array" ref="C2561">IFERROR(INDEX(atlas!H:H,MATCH(A2561,atlas!C:C,0)),"")</f>
        <v/>
      </c>
      <c r="D2561" s="8" t="str">
        <f t="array" ref="D2561">IFERROR(INDEX(atlas!D:D,MATCH(A2561,atlas!C:C,0)),"")</f>
        <v/>
      </c>
      <c r="E2561" s="8" t="str">
        <f t="array" ref="E2561">IFERROR(INDEX(atlas!F:F,MATCH(A2561,atlas!C:C,0)),"")</f>
        <v/>
      </c>
      <c r="F2561" s="9"/>
      <c r="G2561" s="10"/>
      <c r="H2561" s="11"/>
      <c r="I2561" s="12" t="str">
        <f t="array" ref="I2561">IFERROR(INDEX(atlas!B:B,MATCH(A2561,atlas!C:C,0)),"")</f>
        <v/>
      </c>
      <c r="J2561" s="8" t="str">
        <f>IFERROR(VLOOKUP(F2561,tecnica!A:B,2,0),"")</f>
        <v/>
      </c>
      <c r="K2561" s="8" t="str">
        <f>IFERROR(VLOOKUP(J2561,tecnica!B:C,2,0),"")</f>
        <v/>
      </c>
      <c r="L2561" s="13"/>
      <c r="M2561" s="14" t="str">
        <f>IFERROR(VLOOKUP(I2561,material!A:D,4,0),"")</f>
        <v/>
      </c>
      <c r="N2561" s="14" t="str">
        <f t="shared" si="1"/>
        <v/>
      </c>
      <c r="O2561" s="15" t="str">
        <f>IFERROR(VLOOKUP(I2561,material!A:D,2,0),"")</f>
        <v/>
      </c>
    </row>
    <row r="2562">
      <c r="A2562" s="6"/>
      <c r="B2562" s="7"/>
      <c r="C2562" s="8" t="str">
        <f t="array" ref="C2562">IFERROR(INDEX(atlas!H:H,MATCH(A2562,atlas!C:C,0)),"")</f>
        <v/>
      </c>
      <c r="D2562" s="8" t="str">
        <f t="array" ref="D2562">IFERROR(INDEX(atlas!D:D,MATCH(A2562,atlas!C:C,0)),"")</f>
        <v/>
      </c>
      <c r="E2562" s="8" t="str">
        <f t="array" ref="E2562">IFERROR(INDEX(atlas!F:F,MATCH(A2562,atlas!C:C,0)),"")</f>
        <v/>
      </c>
      <c r="F2562" s="9"/>
      <c r="G2562" s="10"/>
      <c r="H2562" s="11"/>
      <c r="I2562" s="12" t="str">
        <f t="array" ref="I2562">IFERROR(INDEX(atlas!B:B,MATCH(A2562,atlas!C:C,0)),"")</f>
        <v/>
      </c>
      <c r="J2562" s="8" t="str">
        <f>IFERROR(VLOOKUP(F2562,tecnica!A:B,2,0),"")</f>
        <v/>
      </c>
      <c r="K2562" s="8" t="str">
        <f>IFERROR(VLOOKUP(J2562,tecnica!B:C,2,0),"")</f>
        <v/>
      </c>
      <c r="L2562" s="13"/>
      <c r="M2562" s="14" t="str">
        <f>IFERROR(VLOOKUP(I2562,material!A:D,4,0),"")</f>
        <v/>
      </c>
      <c r="N2562" s="14" t="str">
        <f t="shared" si="1"/>
        <v/>
      </c>
      <c r="O2562" s="15" t="str">
        <f>IFERROR(VLOOKUP(I2562,material!A:D,2,0),"")</f>
        <v/>
      </c>
    </row>
    <row r="2563">
      <c r="A2563" s="6"/>
      <c r="B2563" s="7"/>
      <c r="C2563" s="8" t="str">
        <f t="array" ref="C2563">IFERROR(INDEX(atlas!H:H,MATCH(A2563,atlas!C:C,0)),"")</f>
        <v/>
      </c>
      <c r="D2563" s="8" t="str">
        <f t="array" ref="D2563">IFERROR(INDEX(atlas!D:D,MATCH(A2563,atlas!C:C,0)),"")</f>
        <v/>
      </c>
      <c r="E2563" s="8" t="str">
        <f t="array" ref="E2563">IFERROR(INDEX(atlas!F:F,MATCH(A2563,atlas!C:C,0)),"")</f>
        <v/>
      </c>
      <c r="F2563" s="9"/>
      <c r="G2563" s="10"/>
      <c r="H2563" s="11"/>
      <c r="I2563" s="12" t="str">
        <f t="array" ref="I2563">IFERROR(INDEX(atlas!B:B,MATCH(A2563,atlas!C:C,0)),"")</f>
        <v/>
      </c>
      <c r="J2563" s="8" t="str">
        <f>IFERROR(VLOOKUP(F2563,tecnica!A:B,2,0),"")</f>
        <v/>
      </c>
      <c r="K2563" s="8" t="str">
        <f>IFERROR(VLOOKUP(J2563,tecnica!B:C,2,0),"")</f>
        <v/>
      </c>
      <c r="L2563" s="13"/>
      <c r="M2563" s="14" t="str">
        <f>IFERROR(VLOOKUP(I2563,material!A:D,4,0),"")</f>
        <v/>
      </c>
      <c r="N2563" s="14" t="str">
        <f t="shared" si="1"/>
        <v/>
      </c>
      <c r="O2563" s="15" t="str">
        <f>IFERROR(VLOOKUP(I2563,material!A:D,2,0),"")</f>
        <v/>
      </c>
    </row>
    <row r="2564">
      <c r="A2564" s="6"/>
      <c r="B2564" s="7"/>
      <c r="C2564" s="8" t="str">
        <f t="array" ref="C2564">IFERROR(INDEX(atlas!H:H,MATCH(A2564,atlas!C:C,0)),"")</f>
        <v/>
      </c>
      <c r="D2564" s="8" t="str">
        <f t="array" ref="D2564">IFERROR(INDEX(atlas!D:D,MATCH(A2564,atlas!C:C,0)),"")</f>
        <v/>
      </c>
      <c r="E2564" s="8" t="str">
        <f t="array" ref="E2564">IFERROR(INDEX(atlas!F:F,MATCH(A2564,atlas!C:C,0)),"")</f>
        <v/>
      </c>
      <c r="F2564" s="9"/>
      <c r="G2564" s="10"/>
      <c r="H2564" s="11"/>
      <c r="I2564" s="12" t="str">
        <f t="array" ref="I2564">IFERROR(INDEX(atlas!B:B,MATCH(A2564,atlas!C:C,0)),"")</f>
        <v/>
      </c>
      <c r="J2564" s="8" t="str">
        <f>IFERROR(VLOOKUP(F2564,tecnica!A:B,2,0),"")</f>
        <v/>
      </c>
      <c r="K2564" s="8" t="str">
        <f>IFERROR(VLOOKUP(J2564,tecnica!B:C,2,0),"")</f>
        <v/>
      </c>
      <c r="L2564" s="13"/>
      <c r="M2564" s="14" t="str">
        <f>IFERROR(VLOOKUP(I2564,material!A:D,4,0),"")</f>
        <v/>
      </c>
      <c r="N2564" s="14" t="str">
        <f t="shared" si="1"/>
        <v/>
      </c>
      <c r="O2564" s="15" t="str">
        <f>IFERROR(VLOOKUP(I2564,material!A:D,2,0),"")</f>
        <v/>
      </c>
    </row>
    <row r="2565">
      <c r="A2565" s="6"/>
      <c r="B2565" s="7"/>
      <c r="C2565" s="8" t="str">
        <f t="array" ref="C2565">IFERROR(INDEX(atlas!H:H,MATCH(A2565,atlas!C:C,0)),"")</f>
        <v/>
      </c>
      <c r="D2565" s="8" t="str">
        <f t="array" ref="D2565">IFERROR(INDEX(atlas!D:D,MATCH(A2565,atlas!C:C,0)),"")</f>
        <v/>
      </c>
      <c r="E2565" s="8" t="str">
        <f t="array" ref="E2565">IFERROR(INDEX(atlas!F:F,MATCH(A2565,atlas!C:C,0)),"")</f>
        <v/>
      </c>
      <c r="F2565" s="9"/>
      <c r="G2565" s="10"/>
      <c r="H2565" s="11"/>
      <c r="I2565" s="12" t="str">
        <f t="array" ref="I2565">IFERROR(INDEX(atlas!B:B,MATCH(A2565,atlas!C:C,0)),"")</f>
        <v/>
      </c>
      <c r="J2565" s="8" t="str">
        <f>IFERROR(VLOOKUP(F2565,tecnica!A:B,2,0),"")</f>
        <v/>
      </c>
      <c r="K2565" s="8" t="str">
        <f>IFERROR(VLOOKUP(J2565,tecnica!B:C,2,0),"")</f>
        <v/>
      </c>
      <c r="L2565" s="13"/>
      <c r="M2565" s="14" t="str">
        <f>IFERROR(VLOOKUP(I2565,material!A:D,4,0),"")</f>
        <v/>
      </c>
      <c r="N2565" s="14" t="str">
        <f t="shared" si="1"/>
        <v/>
      </c>
      <c r="O2565" s="15" t="str">
        <f>IFERROR(VLOOKUP(I2565,material!A:D,2,0),"")</f>
        <v/>
      </c>
    </row>
    <row r="2566">
      <c r="A2566" s="6"/>
      <c r="B2566" s="7"/>
      <c r="C2566" s="8" t="str">
        <f t="array" ref="C2566">IFERROR(INDEX(atlas!H:H,MATCH(A2566,atlas!C:C,0)),"")</f>
        <v/>
      </c>
      <c r="D2566" s="8" t="str">
        <f t="array" ref="D2566">IFERROR(INDEX(atlas!D:D,MATCH(A2566,atlas!C:C,0)),"")</f>
        <v/>
      </c>
      <c r="E2566" s="8" t="str">
        <f t="array" ref="E2566">IFERROR(INDEX(atlas!F:F,MATCH(A2566,atlas!C:C,0)),"")</f>
        <v/>
      </c>
      <c r="F2566" s="9"/>
      <c r="G2566" s="10"/>
      <c r="H2566" s="11"/>
      <c r="I2566" s="12" t="str">
        <f t="array" ref="I2566">IFERROR(INDEX(atlas!B:B,MATCH(A2566,atlas!C:C,0)),"")</f>
        <v/>
      </c>
      <c r="J2566" s="8" t="str">
        <f>IFERROR(VLOOKUP(F2566,tecnica!A:B,2,0),"")</f>
        <v/>
      </c>
      <c r="K2566" s="8" t="str">
        <f>IFERROR(VLOOKUP(J2566,tecnica!B:C,2,0),"")</f>
        <v/>
      </c>
      <c r="L2566" s="13"/>
      <c r="M2566" s="14" t="str">
        <f>IFERROR(VLOOKUP(I2566,material!A:D,4,0),"")</f>
        <v/>
      </c>
      <c r="N2566" s="14" t="str">
        <f t="shared" si="1"/>
        <v/>
      </c>
      <c r="O2566" s="15" t="str">
        <f>IFERROR(VLOOKUP(I2566,material!A:D,2,0),"")</f>
        <v/>
      </c>
    </row>
    <row r="2567">
      <c r="A2567" s="6"/>
      <c r="B2567" s="7"/>
      <c r="C2567" s="8" t="str">
        <f t="array" ref="C2567">IFERROR(INDEX(atlas!H:H,MATCH(A2567,atlas!C:C,0)),"")</f>
        <v/>
      </c>
      <c r="D2567" s="8" t="str">
        <f t="array" ref="D2567">IFERROR(INDEX(atlas!D:D,MATCH(A2567,atlas!C:C,0)),"")</f>
        <v/>
      </c>
      <c r="E2567" s="8" t="str">
        <f t="array" ref="E2567">IFERROR(INDEX(atlas!F:F,MATCH(A2567,atlas!C:C,0)),"")</f>
        <v/>
      </c>
      <c r="F2567" s="9"/>
      <c r="G2567" s="10"/>
      <c r="H2567" s="11"/>
      <c r="I2567" s="12" t="str">
        <f t="array" ref="I2567">IFERROR(INDEX(atlas!B:B,MATCH(A2567,atlas!C:C,0)),"")</f>
        <v/>
      </c>
      <c r="J2567" s="8" t="str">
        <f>IFERROR(VLOOKUP(F2567,tecnica!A:B,2,0),"")</f>
        <v/>
      </c>
      <c r="K2567" s="8" t="str">
        <f>IFERROR(VLOOKUP(J2567,tecnica!B:C,2,0),"")</f>
        <v/>
      </c>
      <c r="L2567" s="13"/>
      <c r="M2567" s="14" t="str">
        <f>IFERROR(VLOOKUP(I2567,material!A:D,4,0),"")</f>
        <v/>
      </c>
      <c r="N2567" s="14" t="str">
        <f t="shared" si="1"/>
        <v/>
      </c>
      <c r="O2567" s="15" t="str">
        <f>IFERROR(VLOOKUP(I2567,material!A:D,2,0),"")</f>
        <v/>
      </c>
    </row>
    <row r="2568">
      <c r="A2568" s="6"/>
      <c r="B2568" s="7"/>
      <c r="C2568" s="8" t="str">
        <f t="array" ref="C2568">IFERROR(INDEX(atlas!H:H,MATCH(A2568,atlas!C:C,0)),"")</f>
        <v/>
      </c>
      <c r="D2568" s="8" t="str">
        <f t="array" ref="D2568">IFERROR(INDEX(atlas!D:D,MATCH(A2568,atlas!C:C,0)),"")</f>
        <v/>
      </c>
      <c r="E2568" s="8" t="str">
        <f t="array" ref="E2568">IFERROR(INDEX(atlas!F:F,MATCH(A2568,atlas!C:C,0)),"")</f>
        <v/>
      </c>
      <c r="F2568" s="9"/>
      <c r="G2568" s="10"/>
      <c r="H2568" s="11"/>
      <c r="I2568" s="12" t="str">
        <f t="array" ref="I2568">IFERROR(INDEX(atlas!B:B,MATCH(A2568,atlas!C:C,0)),"")</f>
        <v/>
      </c>
      <c r="J2568" s="8" t="str">
        <f>IFERROR(VLOOKUP(F2568,tecnica!A:B,2,0),"")</f>
        <v/>
      </c>
      <c r="K2568" s="8" t="str">
        <f>IFERROR(VLOOKUP(J2568,tecnica!B:C,2,0),"")</f>
        <v/>
      </c>
      <c r="L2568" s="13"/>
      <c r="M2568" s="14" t="str">
        <f>IFERROR(VLOOKUP(I2568,material!A:D,4,0),"")</f>
        <v/>
      </c>
      <c r="N2568" s="14" t="str">
        <f t="shared" si="1"/>
        <v/>
      </c>
      <c r="O2568" s="15" t="str">
        <f>IFERROR(VLOOKUP(I2568,material!A:D,2,0),"")</f>
        <v/>
      </c>
    </row>
    <row r="2569">
      <c r="A2569" s="6"/>
      <c r="B2569" s="7"/>
      <c r="C2569" s="8" t="str">
        <f t="array" ref="C2569">IFERROR(INDEX(atlas!H:H,MATCH(A2569,atlas!C:C,0)),"")</f>
        <v/>
      </c>
      <c r="D2569" s="8" t="str">
        <f t="array" ref="D2569">IFERROR(INDEX(atlas!D:D,MATCH(A2569,atlas!C:C,0)),"")</f>
        <v/>
      </c>
      <c r="E2569" s="8" t="str">
        <f t="array" ref="E2569">IFERROR(INDEX(atlas!F:F,MATCH(A2569,atlas!C:C,0)),"")</f>
        <v/>
      </c>
      <c r="F2569" s="9"/>
      <c r="G2569" s="10"/>
      <c r="H2569" s="11"/>
      <c r="I2569" s="12" t="str">
        <f t="array" ref="I2569">IFERROR(INDEX(atlas!B:B,MATCH(A2569,atlas!C:C,0)),"")</f>
        <v/>
      </c>
      <c r="J2569" s="8" t="str">
        <f>IFERROR(VLOOKUP(F2569,tecnica!A:B,2,0),"")</f>
        <v/>
      </c>
      <c r="K2569" s="8" t="str">
        <f>IFERROR(VLOOKUP(J2569,tecnica!B:C,2,0),"")</f>
        <v/>
      </c>
      <c r="L2569" s="13"/>
      <c r="M2569" s="14" t="str">
        <f>IFERROR(VLOOKUP(I2569,material!A:D,4,0),"")</f>
        <v/>
      </c>
      <c r="N2569" s="14" t="str">
        <f t="shared" si="1"/>
        <v/>
      </c>
      <c r="O2569" s="15" t="str">
        <f>IFERROR(VLOOKUP(I2569,material!A:D,2,0),"")</f>
        <v/>
      </c>
    </row>
    <row r="2570">
      <c r="A2570" s="6"/>
      <c r="B2570" s="7"/>
      <c r="C2570" s="8" t="str">
        <f t="array" ref="C2570">IFERROR(INDEX(atlas!H:H,MATCH(A2570,atlas!C:C,0)),"")</f>
        <v/>
      </c>
      <c r="D2570" s="8" t="str">
        <f t="array" ref="D2570">IFERROR(INDEX(atlas!D:D,MATCH(A2570,atlas!C:C,0)),"")</f>
        <v/>
      </c>
      <c r="E2570" s="8" t="str">
        <f t="array" ref="E2570">IFERROR(INDEX(atlas!F:F,MATCH(A2570,atlas!C:C,0)),"")</f>
        <v/>
      </c>
      <c r="F2570" s="9"/>
      <c r="G2570" s="10"/>
      <c r="H2570" s="11"/>
      <c r="I2570" s="12" t="str">
        <f t="array" ref="I2570">IFERROR(INDEX(atlas!B:B,MATCH(A2570,atlas!C:C,0)),"")</f>
        <v/>
      </c>
      <c r="J2570" s="8" t="str">
        <f>IFERROR(VLOOKUP(F2570,tecnica!A:B,2,0),"")</f>
        <v/>
      </c>
      <c r="K2570" s="8" t="str">
        <f>IFERROR(VLOOKUP(J2570,tecnica!B:C,2,0),"")</f>
        <v/>
      </c>
      <c r="L2570" s="13"/>
      <c r="M2570" s="14" t="str">
        <f>IFERROR(VLOOKUP(I2570,material!A:D,4,0),"")</f>
        <v/>
      </c>
      <c r="N2570" s="14" t="str">
        <f t="shared" si="1"/>
        <v/>
      </c>
      <c r="O2570" s="15" t="str">
        <f>IFERROR(VLOOKUP(I2570,material!A:D,2,0),"")</f>
        <v/>
      </c>
    </row>
    <row r="2571">
      <c r="A2571" s="6"/>
      <c r="B2571" s="7"/>
      <c r="C2571" s="8" t="str">
        <f t="array" ref="C2571">IFERROR(INDEX(atlas!H:H,MATCH(A2571,atlas!C:C,0)),"")</f>
        <v/>
      </c>
      <c r="D2571" s="8" t="str">
        <f t="array" ref="D2571">IFERROR(INDEX(atlas!D:D,MATCH(A2571,atlas!C:C,0)),"")</f>
        <v/>
      </c>
      <c r="E2571" s="8" t="str">
        <f t="array" ref="E2571">IFERROR(INDEX(atlas!F:F,MATCH(A2571,atlas!C:C,0)),"")</f>
        <v/>
      </c>
      <c r="F2571" s="9"/>
      <c r="G2571" s="10"/>
      <c r="H2571" s="11"/>
      <c r="I2571" s="12" t="str">
        <f t="array" ref="I2571">IFERROR(INDEX(atlas!B:B,MATCH(A2571,atlas!C:C,0)),"")</f>
        <v/>
      </c>
      <c r="J2571" s="8" t="str">
        <f>IFERROR(VLOOKUP(F2571,tecnica!A:B,2,0),"")</f>
        <v/>
      </c>
      <c r="K2571" s="8" t="str">
        <f>IFERROR(VLOOKUP(J2571,tecnica!B:C,2,0),"")</f>
        <v/>
      </c>
      <c r="L2571" s="13"/>
      <c r="M2571" s="14" t="str">
        <f>IFERROR(VLOOKUP(I2571,material!A:D,4,0),"")</f>
        <v/>
      </c>
      <c r="N2571" s="14" t="str">
        <f t="shared" si="1"/>
        <v/>
      </c>
      <c r="O2571" s="15" t="str">
        <f>IFERROR(VLOOKUP(I2571,material!A:D,2,0),"")</f>
        <v/>
      </c>
    </row>
    <row r="2572">
      <c r="A2572" s="6"/>
      <c r="B2572" s="7"/>
      <c r="C2572" s="8" t="str">
        <f t="array" ref="C2572">IFERROR(INDEX(atlas!H:H,MATCH(A2572,atlas!C:C,0)),"")</f>
        <v/>
      </c>
      <c r="D2572" s="8" t="str">
        <f t="array" ref="D2572">IFERROR(INDEX(atlas!D:D,MATCH(A2572,atlas!C:C,0)),"")</f>
        <v/>
      </c>
      <c r="E2572" s="8" t="str">
        <f t="array" ref="E2572">IFERROR(INDEX(atlas!F:F,MATCH(A2572,atlas!C:C,0)),"")</f>
        <v/>
      </c>
      <c r="F2572" s="9"/>
      <c r="G2572" s="10"/>
      <c r="H2572" s="11"/>
      <c r="I2572" s="12" t="str">
        <f t="array" ref="I2572">IFERROR(INDEX(atlas!B:B,MATCH(A2572,atlas!C:C,0)),"")</f>
        <v/>
      </c>
      <c r="J2572" s="8" t="str">
        <f>IFERROR(VLOOKUP(F2572,tecnica!A:B,2,0),"")</f>
        <v/>
      </c>
      <c r="K2572" s="8" t="str">
        <f>IFERROR(VLOOKUP(J2572,tecnica!B:C,2,0),"")</f>
        <v/>
      </c>
      <c r="L2572" s="13"/>
      <c r="M2572" s="14" t="str">
        <f>IFERROR(VLOOKUP(I2572,material!A:D,4,0),"")</f>
        <v/>
      </c>
      <c r="N2572" s="14" t="str">
        <f t="shared" si="1"/>
        <v/>
      </c>
      <c r="O2572" s="15" t="str">
        <f>IFERROR(VLOOKUP(I2572,material!A:D,2,0),"")</f>
        <v/>
      </c>
    </row>
    <row r="2573">
      <c r="A2573" s="6"/>
      <c r="B2573" s="7"/>
      <c r="C2573" s="8" t="str">
        <f t="array" ref="C2573">IFERROR(INDEX(atlas!H:H,MATCH(A2573,atlas!C:C,0)),"")</f>
        <v/>
      </c>
      <c r="D2573" s="8" t="str">
        <f t="array" ref="D2573">IFERROR(INDEX(atlas!D:D,MATCH(A2573,atlas!C:C,0)),"")</f>
        <v/>
      </c>
      <c r="E2573" s="8" t="str">
        <f t="array" ref="E2573">IFERROR(INDEX(atlas!F:F,MATCH(A2573,atlas!C:C,0)),"")</f>
        <v/>
      </c>
      <c r="F2573" s="9"/>
      <c r="G2573" s="10"/>
      <c r="H2573" s="11"/>
      <c r="I2573" s="12" t="str">
        <f t="array" ref="I2573">IFERROR(INDEX(atlas!B:B,MATCH(A2573,atlas!C:C,0)),"")</f>
        <v/>
      </c>
      <c r="J2573" s="8" t="str">
        <f>IFERROR(VLOOKUP(F2573,tecnica!A:B,2,0),"")</f>
        <v/>
      </c>
      <c r="K2573" s="8" t="str">
        <f>IFERROR(VLOOKUP(J2573,tecnica!B:C,2,0),"")</f>
        <v/>
      </c>
      <c r="L2573" s="13"/>
      <c r="M2573" s="14" t="str">
        <f>IFERROR(VLOOKUP(I2573,material!A:D,4,0),"")</f>
        <v/>
      </c>
      <c r="N2573" s="14" t="str">
        <f t="shared" si="1"/>
        <v/>
      </c>
      <c r="O2573" s="15" t="str">
        <f>IFERROR(VLOOKUP(I2573,material!A:D,2,0),"")</f>
        <v/>
      </c>
    </row>
    <row r="2574">
      <c r="A2574" s="6"/>
      <c r="B2574" s="7"/>
      <c r="C2574" s="8" t="str">
        <f t="array" ref="C2574">IFERROR(INDEX(atlas!H:H,MATCH(A2574,atlas!C:C,0)),"")</f>
        <v/>
      </c>
      <c r="D2574" s="8" t="str">
        <f t="array" ref="D2574">IFERROR(INDEX(atlas!D:D,MATCH(A2574,atlas!C:C,0)),"")</f>
        <v/>
      </c>
      <c r="E2574" s="8" t="str">
        <f t="array" ref="E2574">IFERROR(INDEX(atlas!F:F,MATCH(A2574,atlas!C:C,0)),"")</f>
        <v/>
      </c>
      <c r="F2574" s="9"/>
      <c r="G2574" s="10"/>
      <c r="H2574" s="11"/>
      <c r="I2574" s="12" t="str">
        <f t="array" ref="I2574">IFERROR(INDEX(atlas!B:B,MATCH(A2574,atlas!C:C,0)),"")</f>
        <v/>
      </c>
      <c r="J2574" s="8" t="str">
        <f>IFERROR(VLOOKUP(F2574,tecnica!A:B,2,0),"")</f>
        <v/>
      </c>
      <c r="K2574" s="8" t="str">
        <f>IFERROR(VLOOKUP(J2574,tecnica!B:C,2,0),"")</f>
        <v/>
      </c>
      <c r="L2574" s="13"/>
      <c r="M2574" s="14" t="str">
        <f>IFERROR(VLOOKUP(I2574,material!A:D,4,0),"")</f>
        <v/>
      </c>
      <c r="N2574" s="14" t="str">
        <f t="shared" si="1"/>
        <v/>
      </c>
      <c r="O2574" s="15" t="str">
        <f>IFERROR(VLOOKUP(I2574,material!A:D,2,0),"")</f>
        <v/>
      </c>
    </row>
    <row r="2575">
      <c r="A2575" s="6"/>
      <c r="B2575" s="7"/>
      <c r="C2575" s="8" t="str">
        <f t="array" ref="C2575">IFERROR(INDEX(atlas!H:H,MATCH(A2575,atlas!C:C,0)),"")</f>
        <v/>
      </c>
      <c r="D2575" s="8" t="str">
        <f t="array" ref="D2575">IFERROR(INDEX(atlas!D:D,MATCH(A2575,atlas!C:C,0)),"")</f>
        <v/>
      </c>
      <c r="E2575" s="8" t="str">
        <f t="array" ref="E2575">IFERROR(INDEX(atlas!F:F,MATCH(A2575,atlas!C:C,0)),"")</f>
        <v/>
      </c>
      <c r="F2575" s="9"/>
      <c r="G2575" s="10"/>
      <c r="H2575" s="11"/>
      <c r="I2575" s="12" t="str">
        <f t="array" ref="I2575">IFERROR(INDEX(atlas!B:B,MATCH(A2575,atlas!C:C,0)),"")</f>
        <v/>
      </c>
      <c r="J2575" s="8" t="str">
        <f>IFERROR(VLOOKUP(F2575,tecnica!A:B,2,0),"")</f>
        <v/>
      </c>
      <c r="K2575" s="8" t="str">
        <f>IFERROR(VLOOKUP(J2575,tecnica!B:C,2,0),"")</f>
        <v/>
      </c>
      <c r="L2575" s="13"/>
      <c r="M2575" s="14" t="str">
        <f>IFERROR(VLOOKUP(I2575,material!A:D,4,0),"")</f>
        <v/>
      </c>
      <c r="N2575" s="14" t="str">
        <f t="shared" si="1"/>
        <v/>
      </c>
      <c r="O2575" s="15" t="str">
        <f>IFERROR(VLOOKUP(I2575,material!A:D,2,0),"")</f>
        <v/>
      </c>
    </row>
    <row r="2576">
      <c r="A2576" s="6"/>
      <c r="B2576" s="7"/>
      <c r="C2576" s="8" t="str">
        <f t="array" ref="C2576">IFERROR(INDEX(atlas!H:H,MATCH(A2576,atlas!C:C,0)),"")</f>
        <v/>
      </c>
      <c r="D2576" s="8" t="str">
        <f t="array" ref="D2576">IFERROR(INDEX(atlas!D:D,MATCH(A2576,atlas!C:C,0)),"")</f>
        <v/>
      </c>
      <c r="E2576" s="8" t="str">
        <f t="array" ref="E2576">IFERROR(INDEX(atlas!F:F,MATCH(A2576,atlas!C:C,0)),"")</f>
        <v/>
      </c>
      <c r="F2576" s="9"/>
      <c r="G2576" s="10"/>
      <c r="H2576" s="11"/>
      <c r="I2576" s="12" t="str">
        <f t="array" ref="I2576">IFERROR(INDEX(atlas!B:B,MATCH(A2576,atlas!C:C,0)),"")</f>
        <v/>
      </c>
      <c r="J2576" s="8" t="str">
        <f>IFERROR(VLOOKUP(F2576,tecnica!A:B,2,0),"")</f>
        <v/>
      </c>
      <c r="K2576" s="8" t="str">
        <f>IFERROR(VLOOKUP(J2576,tecnica!B:C,2,0),"")</f>
        <v/>
      </c>
      <c r="L2576" s="13"/>
      <c r="M2576" s="14" t="str">
        <f>IFERROR(VLOOKUP(I2576,material!A:D,4,0),"")</f>
        <v/>
      </c>
      <c r="N2576" s="14" t="str">
        <f t="shared" si="1"/>
        <v/>
      </c>
      <c r="O2576" s="15" t="str">
        <f>IFERROR(VLOOKUP(I2576,material!A:D,2,0),"")</f>
        <v/>
      </c>
    </row>
    <row r="2577">
      <c r="A2577" s="6"/>
      <c r="B2577" s="7"/>
      <c r="C2577" s="8" t="str">
        <f t="array" ref="C2577">IFERROR(INDEX(atlas!H:H,MATCH(A2577,atlas!C:C,0)),"")</f>
        <v/>
      </c>
      <c r="D2577" s="8" t="str">
        <f t="array" ref="D2577">IFERROR(INDEX(atlas!D:D,MATCH(A2577,atlas!C:C,0)),"")</f>
        <v/>
      </c>
      <c r="E2577" s="8" t="str">
        <f t="array" ref="E2577">IFERROR(INDEX(atlas!F:F,MATCH(A2577,atlas!C:C,0)),"")</f>
        <v/>
      </c>
      <c r="F2577" s="9"/>
      <c r="G2577" s="10"/>
      <c r="H2577" s="11"/>
      <c r="I2577" s="12" t="str">
        <f t="array" ref="I2577">IFERROR(INDEX(atlas!B:B,MATCH(A2577,atlas!C:C,0)),"")</f>
        <v/>
      </c>
      <c r="J2577" s="8" t="str">
        <f>IFERROR(VLOOKUP(F2577,tecnica!A:B,2,0),"")</f>
        <v/>
      </c>
      <c r="K2577" s="8" t="str">
        <f>IFERROR(VLOOKUP(J2577,tecnica!B:C,2,0),"")</f>
        <v/>
      </c>
      <c r="L2577" s="13"/>
      <c r="M2577" s="14" t="str">
        <f>IFERROR(VLOOKUP(I2577,material!A:D,4,0),"")</f>
        <v/>
      </c>
      <c r="N2577" s="14" t="str">
        <f t="shared" si="1"/>
        <v/>
      </c>
      <c r="O2577" s="15" t="str">
        <f>IFERROR(VLOOKUP(I2577,material!A:D,2,0),"")</f>
        <v/>
      </c>
    </row>
    <row r="2578">
      <c r="A2578" s="6"/>
      <c r="B2578" s="7"/>
      <c r="C2578" s="8" t="str">
        <f t="array" ref="C2578">IFERROR(INDEX(atlas!H:H,MATCH(A2578,atlas!C:C,0)),"")</f>
        <v/>
      </c>
      <c r="D2578" s="8" t="str">
        <f t="array" ref="D2578">IFERROR(INDEX(atlas!D:D,MATCH(A2578,atlas!C:C,0)),"")</f>
        <v/>
      </c>
      <c r="E2578" s="8" t="str">
        <f t="array" ref="E2578">IFERROR(INDEX(atlas!F:F,MATCH(A2578,atlas!C:C,0)),"")</f>
        <v/>
      </c>
      <c r="F2578" s="9"/>
      <c r="G2578" s="10"/>
      <c r="H2578" s="11"/>
      <c r="I2578" s="12" t="str">
        <f t="array" ref="I2578">IFERROR(INDEX(atlas!B:B,MATCH(A2578,atlas!C:C,0)),"")</f>
        <v/>
      </c>
      <c r="J2578" s="8" t="str">
        <f>IFERROR(VLOOKUP(F2578,tecnica!A:B,2,0),"")</f>
        <v/>
      </c>
      <c r="K2578" s="8" t="str">
        <f>IFERROR(VLOOKUP(J2578,tecnica!B:C,2,0),"")</f>
        <v/>
      </c>
      <c r="L2578" s="13"/>
      <c r="M2578" s="14" t="str">
        <f>IFERROR(VLOOKUP(I2578,material!A:D,4,0),"")</f>
        <v/>
      </c>
      <c r="N2578" s="14" t="str">
        <f t="shared" si="1"/>
        <v/>
      </c>
      <c r="O2578" s="15" t="str">
        <f>IFERROR(VLOOKUP(I2578,material!A:D,2,0),"")</f>
        <v/>
      </c>
    </row>
    <row r="2579">
      <c r="A2579" s="6"/>
      <c r="B2579" s="7"/>
      <c r="C2579" s="8" t="str">
        <f t="array" ref="C2579">IFERROR(INDEX(atlas!H:H,MATCH(A2579,atlas!C:C,0)),"")</f>
        <v/>
      </c>
      <c r="D2579" s="8" t="str">
        <f t="array" ref="D2579">IFERROR(INDEX(atlas!D:D,MATCH(A2579,atlas!C:C,0)),"")</f>
        <v/>
      </c>
      <c r="E2579" s="8" t="str">
        <f t="array" ref="E2579">IFERROR(INDEX(atlas!F:F,MATCH(A2579,atlas!C:C,0)),"")</f>
        <v/>
      </c>
      <c r="F2579" s="9"/>
      <c r="G2579" s="10"/>
      <c r="H2579" s="11"/>
      <c r="I2579" s="12" t="str">
        <f t="array" ref="I2579">IFERROR(INDEX(atlas!B:B,MATCH(A2579,atlas!C:C,0)),"")</f>
        <v/>
      </c>
      <c r="J2579" s="8" t="str">
        <f>IFERROR(VLOOKUP(F2579,tecnica!A:B,2,0),"")</f>
        <v/>
      </c>
      <c r="K2579" s="8" t="str">
        <f>IFERROR(VLOOKUP(J2579,tecnica!B:C,2,0),"")</f>
        <v/>
      </c>
      <c r="L2579" s="13"/>
      <c r="M2579" s="14" t="str">
        <f>IFERROR(VLOOKUP(I2579,material!A:D,4,0),"")</f>
        <v/>
      </c>
      <c r="N2579" s="14" t="str">
        <f t="shared" si="1"/>
        <v/>
      </c>
      <c r="O2579" s="15" t="str">
        <f>IFERROR(VLOOKUP(I2579,material!A:D,2,0),"")</f>
        <v/>
      </c>
    </row>
    <row r="2580">
      <c r="A2580" s="6"/>
      <c r="B2580" s="7"/>
      <c r="C2580" s="8" t="str">
        <f t="array" ref="C2580">IFERROR(INDEX(atlas!H:H,MATCH(A2580,atlas!C:C,0)),"")</f>
        <v/>
      </c>
      <c r="D2580" s="8" t="str">
        <f t="array" ref="D2580">IFERROR(INDEX(atlas!D:D,MATCH(A2580,atlas!C:C,0)),"")</f>
        <v/>
      </c>
      <c r="E2580" s="8" t="str">
        <f t="array" ref="E2580">IFERROR(INDEX(atlas!F:F,MATCH(A2580,atlas!C:C,0)),"")</f>
        <v/>
      </c>
      <c r="F2580" s="9"/>
      <c r="G2580" s="10"/>
      <c r="H2580" s="11"/>
      <c r="I2580" s="12" t="str">
        <f t="array" ref="I2580">IFERROR(INDEX(atlas!B:B,MATCH(A2580,atlas!C:C,0)),"")</f>
        <v/>
      </c>
      <c r="J2580" s="8" t="str">
        <f>IFERROR(VLOOKUP(F2580,tecnica!A:B,2,0),"")</f>
        <v/>
      </c>
      <c r="K2580" s="8" t="str">
        <f>IFERROR(VLOOKUP(J2580,tecnica!B:C,2,0),"")</f>
        <v/>
      </c>
      <c r="L2580" s="13"/>
      <c r="M2580" s="14" t="str">
        <f>IFERROR(VLOOKUP(I2580,material!A:D,4,0),"")</f>
        <v/>
      </c>
      <c r="N2580" s="14" t="str">
        <f t="shared" si="1"/>
        <v/>
      </c>
      <c r="O2580" s="15" t="str">
        <f>IFERROR(VLOOKUP(I2580,material!A:D,2,0),"")</f>
        <v/>
      </c>
    </row>
    <row r="2581">
      <c r="A2581" s="6"/>
      <c r="B2581" s="7"/>
      <c r="C2581" s="8" t="str">
        <f t="array" ref="C2581">IFERROR(INDEX(atlas!H:H,MATCH(A2581,atlas!C:C,0)),"")</f>
        <v/>
      </c>
      <c r="D2581" s="8" t="str">
        <f t="array" ref="D2581">IFERROR(INDEX(atlas!D:D,MATCH(A2581,atlas!C:C,0)),"")</f>
        <v/>
      </c>
      <c r="E2581" s="8" t="str">
        <f t="array" ref="E2581">IFERROR(INDEX(atlas!F:F,MATCH(A2581,atlas!C:C,0)),"")</f>
        <v/>
      </c>
      <c r="F2581" s="9"/>
      <c r="G2581" s="10"/>
      <c r="H2581" s="11"/>
      <c r="I2581" s="12" t="str">
        <f t="array" ref="I2581">IFERROR(INDEX(atlas!B:B,MATCH(A2581,atlas!C:C,0)),"")</f>
        <v/>
      </c>
      <c r="J2581" s="8" t="str">
        <f>IFERROR(VLOOKUP(F2581,tecnica!A:B,2,0),"")</f>
        <v/>
      </c>
      <c r="K2581" s="8" t="str">
        <f>IFERROR(VLOOKUP(J2581,tecnica!B:C,2,0),"")</f>
        <v/>
      </c>
      <c r="L2581" s="13"/>
      <c r="M2581" s="14" t="str">
        <f>IFERROR(VLOOKUP(I2581,material!A:D,4,0),"")</f>
        <v/>
      </c>
      <c r="N2581" s="14" t="str">
        <f t="shared" si="1"/>
        <v/>
      </c>
      <c r="O2581" s="15" t="str">
        <f>IFERROR(VLOOKUP(I2581,material!A:D,2,0),"")</f>
        <v/>
      </c>
    </row>
    <row r="2582">
      <c r="A2582" s="6"/>
      <c r="B2582" s="7"/>
      <c r="C2582" s="8" t="str">
        <f t="array" ref="C2582">IFERROR(INDEX(atlas!H:H,MATCH(A2582,atlas!C:C,0)),"")</f>
        <v/>
      </c>
      <c r="D2582" s="8" t="str">
        <f t="array" ref="D2582">IFERROR(INDEX(atlas!D:D,MATCH(A2582,atlas!C:C,0)),"")</f>
        <v/>
      </c>
      <c r="E2582" s="8" t="str">
        <f t="array" ref="E2582">IFERROR(INDEX(atlas!F:F,MATCH(A2582,atlas!C:C,0)),"")</f>
        <v/>
      </c>
      <c r="F2582" s="9"/>
      <c r="G2582" s="10"/>
      <c r="H2582" s="11"/>
      <c r="I2582" s="12" t="str">
        <f t="array" ref="I2582">IFERROR(INDEX(atlas!B:B,MATCH(A2582,atlas!C:C,0)),"")</f>
        <v/>
      </c>
      <c r="J2582" s="8" t="str">
        <f>IFERROR(VLOOKUP(F2582,tecnica!A:B,2,0),"")</f>
        <v/>
      </c>
      <c r="K2582" s="8" t="str">
        <f>IFERROR(VLOOKUP(J2582,tecnica!B:C,2,0),"")</f>
        <v/>
      </c>
      <c r="L2582" s="13"/>
      <c r="M2582" s="14" t="str">
        <f>IFERROR(VLOOKUP(I2582,material!A:D,4,0),"")</f>
        <v/>
      </c>
      <c r="N2582" s="14" t="str">
        <f t="shared" si="1"/>
        <v/>
      </c>
      <c r="O2582" s="15" t="str">
        <f>IFERROR(VLOOKUP(I2582,material!A:D,2,0),"")</f>
        <v/>
      </c>
    </row>
    <row r="2583">
      <c r="A2583" s="6"/>
      <c r="B2583" s="7"/>
      <c r="C2583" s="8" t="str">
        <f t="array" ref="C2583">IFERROR(INDEX(atlas!H:H,MATCH(A2583,atlas!C:C,0)),"")</f>
        <v/>
      </c>
      <c r="D2583" s="8" t="str">
        <f t="array" ref="D2583">IFERROR(INDEX(atlas!D:D,MATCH(A2583,atlas!C:C,0)),"")</f>
        <v/>
      </c>
      <c r="E2583" s="8" t="str">
        <f t="array" ref="E2583">IFERROR(INDEX(atlas!F:F,MATCH(A2583,atlas!C:C,0)),"")</f>
        <v/>
      </c>
      <c r="F2583" s="9"/>
      <c r="G2583" s="10"/>
      <c r="H2583" s="11"/>
      <c r="I2583" s="12" t="str">
        <f t="array" ref="I2583">IFERROR(INDEX(atlas!B:B,MATCH(A2583,atlas!C:C,0)),"")</f>
        <v/>
      </c>
      <c r="J2583" s="8" t="str">
        <f>IFERROR(VLOOKUP(F2583,tecnica!A:B,2,0),"")</f>
        <v/>
      </c>
      <c r="K2583" s="8" t="str">
        <f>IFERROR(VLOOKUP(J2583,tecnica!B:C,2,0),"")</f>
        <v/>
      </c>
      <c r="L2583" s="13"/>
      <c r="M2583" s="14" t="str">
        <f>IFERROR(VLOOKUP(I2583,material!A:D,4,0),"")</f>
        <v/>
      </c>
      <c r="N2583" s="14" t="str">
        <f t="shared" si="1"/>
        <v/>
      </c>
      <c r="O2583" s="15" t="str">
        <f>IFERROR(VLOOKUP(I2583,material!A:D,2,0),"")</f>
        <v/>
      </c>
    </row>
    <row r="2584">
      <c r="A2584" s="6"/>
      <c r="B2584" s="7"/>
      <c r="C2584" s="8" t="str">
        <f t="array" ref="C2584">IFERROR(INDEX(atlas!H:H,MATCH(A2584,atlas!C:C,0)),"")</f>
        <v/>
      </c>
      <c r="D2584" s="8" t="str">
        <f t="array" ref="D2584">IFERROR(INDEX(atlas!D:D,MATCH(A2584,atlas!C:C,0)),"")</f>
        <v/>
      </c>
      <c r="E2584" s="8" t="str">
        <f t="array" ref="E2584">IFERROR(INDEX(atlas!F:F,MATCH(A2584,atlas!C:C,0)),"")</f>
        <v/>
      </c>
      <c r="F2584" s="9"/>
      <c r="G2584" s="10"/>
      <c r="H2584" s="11"/>
      <c r="I2584" s="12" t="str">
        <f t="array" ref="I2584">IFERROR(INDEX(atlas!B:B,MATCH(A2584,atlas!C:C,0)),"")</f>
        <v/>
      </c>
      <c r="J2584" s="8" t="str">
        <f>IFERROR(VLOOKUP(F2584,tecnica!A:B,2,0),"")</f>
        <v/>
      </c>
      <c r="K2584" s="8" t="str">
        <f>IFERROR(VLOOKUP(J2584,tecnica!B:C,2,0),"")</f>
        <v/>
      </c>
      <c r="L2584" s="13"/>
      <c r="M2584" s="14" t="str">
        <f>IFERROR(VLOOKUP(I2584,material!A:D,4,0),"")</f>
        <v/>
      </c>
      <c r="N2584" s="14" t="str">
        <f t="shared" si="1"/>
        <v/>
      </c>
      <c r="O2584" s="15" t="str">
        <f>IFERROR(VLOOKUP(I2584,material!A:D,2,0),"")</f>
        <v/>
      </c>
    </row>
    <row r="2585">
      <c r="A2585" s="6"/>
      <c r="B2585" s="7"/>
      <c r="C2585" s="8" t="str">
        <f t="array" ref="C2585">IFERROR(INDEX(atlas!H:H,MATCH(A2585,atlas!C:C,0)),"")</f>
        <v/>
      </c>
      <c r="D2585" s="8" t="str">
        <f t="array" ref="D2585">IFERROR(INDEX(atlas!D:D,MATCH(A2585,atlas!C:C,0)),"")</f>
        <v/>
      </c>
      <c r="E2585" s="8" t="str">
        <f t="array" ref="E2585">IFERROR(INDEX(atlas!F:F,MATCH(A2585,atlas!C:C,0)),"")</f>
        <v/>
      </c>
      <c r="F2585" s="9"/>
      <c r="G2585" s="10"/>
      <c r="H2585" s="11"/>
      <c r="I2585" s="12" t="str">
        <f t="array" ref="I2585">IFERROR(INDEX(atlas!B:B,MATCH(A2585,atlas!C:C,0)),"")</f>
        <v/>
      </c>
      <c r="J2585" s="8" t="str">
        <f>IFERROR(VLOOKUP(F2585,tecnica!A:B,2,0),"")</f>
        <v/>
      </c>
      <c r="K2585" s="8" t="str">
        <f>IFERROR(VLOOKUP(J2585,tecnica!B:C,2,0),"")</f>
        <v/>
      </c>
      <c r="L2585" s="13"/>
      <c r="M2585" s="14" t="str">
        <f>IFERROR(VLOOKUP(I2585,material!A:D,4,0),"")</f>
        <v/>
      </c>
      <c r="N2585" s="14" t="str">
        <f t="shared" si="1"/>
        <v/>
      </c>
      <c r="O2585" s="15" t="str">
        <f>IFERROR(VLOOKUP(I2585,material!A:D,2,0),"")</f>
        <v/>
      </c>
    </row>
    <row r="2586">
      <c r="A2586" s="6"/>
      <c r="B2586" s="7"/>
      <c r="C2586" s="8" t="str">
        <f t="array" ref="C2586">IFERROR(INDEX(atlas!H:H,MATCH(A2586,atlas!C:C,0)),"")</f>
        <v/>
      </c>
      <c r="D2586" s="8" t="str">
        <f t="array" ref="D2586">IFERROR(INDEX(atlas!D:D,MATCH(A2586,atlas!C:C,0)),"")</f>
        <v/>
      </c>
      <c r="E2586" s="8" t="str">
        <f t="array" ref="E2586">IFERROR(INDEX(atlas!F:F,MATCH(A2586,atlas!C:C,0)),"")</f>
        <v/>
      </c>
      <c r="F2586" s="9"/>
      <c r="G2586" s="10"/>
      <c r="H2586" s="11"/>
      <c r="I2586" s="12" t="str">
        <f t="array" ref="I2586">IFERROR(INDEX(atlas!B:B,MATCH(A2586,atlas!C:C,0)),"")</f>
        <v/>
      </c>
      <c r="J2586" s="8" t="str">
        <f>IFERROR(VLOOKUP(F2586,tecnica!A:B,2,0),"")</f>
        <v/>
      </c>
      <c r="K2586" s="8" t="str">
        <f>IFERROR(VLOOKUP(J2586,tecnica!B:C,2,0),"")</f>
        <v/>
      </c>
      <c r="L2586" s="13"/>
      <c r="M2586" s="14" t="str">
        <f>IFERROR(VLOOKUP(I2586,material!A:D,4,0),"")</f>
        <v/>
      </c>
      <c r="N2586" s="14" t="str">
        <f t="shared" si="1"/>
        <v/>
      </c>
      <c r="O2586" s="15" t="str">
        <f>IFERROR(VLOOKUP(I2586,material!A:D,2,0),"")</f>
        <v/>
      </c>
    </row>
    <row r="2587">
      <c r="A2587" s="6"/>
      <c r="B2587" s="7"/>
      <c r="C2587" s="8" t="str">
        <f t="array" ref="C2587">IFERROR(INDEX(atlas!H:H,MATCH(A2587,atlas!C:C,0)),"")</f>
        <v/>
      </c>
      <c r="D2587" s="8" t="str">
        <f t="array" ref="D2587">IFERROR(INDEX(atlas!D:D,MATCH(A2587,atlas!C:C,0)),"")</f>
        <v/>
      </c>
      <c r="E2587" s="8" t="str">
        <f t="array" ref="E2587">IFERROR(INDEX(atlas!F:F,MATCH(A2587,atlas!C:C,0)),"")</f>
        <v/>
      </c>
      <c r="F2587" s="9"/>
      <c r="G2587" s="10"/>
      <c r="H2587" s="11"/>
      <c r="I2587" s="12" t="str">
        <f t="array" ref="I2587">IFERROR(INDEX(atlas!B:B,MATCH(A2587,atlas!C:C,0)),"")</f>
        <v/>
      </c>
      <c r="J2587" s="8" t="str">
        <f>IFERROR(VLOOKUP(F2587,tecnica!A:B,2,0),"")</f>
        <v/>
      </c>
      <c r="K2587" s="8" t="str">
        <f>IFERROR(VLOOKUP(J2587,tecnica!B:C,2,0),"")</f>
        <v/>
      </c>
      <c r="L2587" s="13"/>
      <c r="M2587" s="14" t="str">
        <f>IFERROR(VLOOKUP(I2587,material!A:D,4,0),"")</f>
        <v/>
      </c>
      <c r="N2587" s="14" t="str">
        <f t="shared" si="1"/>
        <v/>
      </c>
      <c r="O2587" s="15" t="str">
        <f>IFERROR(VLOOKUP(I2587,material!A:D,2,0),"")</f>
        <v/>
      </c>
    </row>
    <row r="2588">
      <c r="A2588" s="6"/>
      <c r="B2588" s="7"/>
      <c r="C2588" s="8" t="str">
        <f t="array" ref="C2588">IFERROR(INDEX(atlas!H:H,MATCH(A2588,atlas!C:C,0)),"")</f>
        <v/>
      </c>
      <c r="D2588" s="8" t="str">
        <f t="array" ref="D2588">IFERROR(INDEX(atlas!D:D,MATCH(A2588,atlas!C:C,0)),"")</f>
        <v/>
      </c>
      <c r="E2588" s="8" t="str">
        <f t="array" ref="E2588">IFERROR(INDEX(atlas!F:F,MATCH(A2588,atlas!C:C,0)),"")</f>
        <v/>
      </c>
      <c r="F2588" s="9"/>
      <c r="G2588" s="10"/>
      <c r="H2588" s="11"/>
      <c r="I2588" s="12" t="str">
        <f t="array" ref="I2588">IFERROR(INDEX(atlas!B:B,MATCH(A2588,atlas!C:C,0)),"")</f>
        <v/>
      </c>
      <c r="J2588" s="8" t="str">
        <f>IFERROR(VLOOKUP(F2588,tecnica!A:B,2,0),"")</f>
        <v/>
      </c>
      <c r="K2588" s="8" t="str">
        <f>IFERROR(VLOOKUP(J2588,tecnica!B:C,2,0),"")</f>
        <v/>
      </c>
      <c r="L2588" s="13"/>
      <c r="M2588" s="14" t="str">
        <f>IFERROR(VLOOKUP(I2588,material!A:D,4,0),"")</f>
        <v/>
      </c>
      <c r="N2588" s="14" t="str">
        <f t="shared" si="1"/>
        <v/>
      </c>
      <c r="O2588" s="15" t="str">
        <f>IFERROR(VLOOKUP(I2588,material!A:D,2,0),"")</f>
        <v/>
      </c>
    </row>
    <row r="2589">
      <c r="A2589" s="6"/>
      <c r="B2589" s="7"/>
      <c r="C2589" s="8" t="str">
        <f t="array" ref="C2589">IFERROR(INDEX(atlas!H:H,MATCH(A2589,atlas!C:C,0)),"")</f>
        <v/>
      </c>
      <c r="D2589" s="8" t="str">
        <f t="array" ref="D2589">IFERROR(INDEX(atlas!D:D,MATCH(A2589,atlas!C:C,0)),"")</f>
        <v/>
      </c>
      <c r="E2589" s="8" t="str">
        <f t="array" ref="E2589">IFERROR(INDEX(atlas!F:F,MATCH(A2589,atlas!C:C,0)),"")</f>
        <v/>
      </c>
      <c r="F2589" s="9"/>
      <c r="G2589" s="10"/>
      <c r="H2589" s="11"/>
      <c r="I2589" s="12" t="str">
        <f t="array" ref="I2589">IFERROR(INDEX(atlas!B:B,MATCH(A2589,atlas!C:C,0)),"")</f>
        <v/>
      </c>
      <c r="J2589" s="8" t="str">
        <f>IFERROR(VLOOKUP(F2589,tecnica!A:B,2,0),"")</f>
        <v/>
      </c>
      <c r="K2589" s="8" t="str">
        <f>IFERROR(VLOOKUP(J2589,tecnica!B:C,2,0),"")</f>
        <v/>
      </c>
      <c r="L2589" s="13"/>
      <c r="M2589" s="14" t="str">
        <f>IFERROR(VLOOKUP(I2589,material!A:D,4,0),"")</f>
        <v/>
      </c>
      <c r="N2589" s="14" t="str">
        <f t="shared" si="1"/>
        <v/>
      </c>
      <c r="O2589" s="15" t="str">
        <f>IFERROR(VLOOKUP(I2589,material!A:D,2,0),"")</f>
        <v/>
      </c>
    </row>
    <row r="2590">
      <c r="A2590" s="6"/>
      <c r="B2590" s="7"/>
      <c r="C2590" s="8" t="str">
        <f t="array" ref="C2590">IFERROR(INDEX(atlas!H:H,MATCH(A2590,atlas!C:C,0)),"")</f>
        <v/>
      </c>
      <c r="D2590" s="8" t="str">
        <f t="array" ref="D2590">IFERROR(INDEX(atlas!D:D,MATCH(A2590,atlas!C:C,0)),"")</f>
        <v/>
      </c>
      <c r="E2590" s="8" t="str">
        <f t="array" ref="E2590">IFERROR(INDEX(atlas!F:F,MATCH(A2590,atlas!C:C,0)),"")</f>
        <v/>
      </c>
      <c r="F2590" s="9"/>
      <c r="G2590" s="10"/>
      <c r="H2590" s="11"/>
      <c r="I2590" s="12" t="str">
        <f t="array" ref="I2590">IFERROR(INDEX(atlas!B:B,MATCH(A2590,atlas!C:C,0)),"")</f>
        <v/>
      </c>
      <c r="J2590" s="8" t="str">
        <f>IFERROR(VLOOKUP(F2590,tecnica!A:B,2,0),"")</f>
        <v/>
      </c>
      <c r="K2590" s="8" t="str">
        <f>IFERROR(VLOOKUP(J2590,tecnica!B:C,2,0),"")</f>
        <v/>
      </c>
      <c r="L2590" s="13"/>
      <c r="M2590" s="14" t="str">
        <f>IFERROR(VLOOKUP(I2590,material!A:D,4,0),"")</f>
        <v/>
      </c>
      <c r="N2590" s="14" t="str">
        <f t="shared" si="1"/>
        <v/>
      </c>
      <c r="O2590" s="15" t="str">
        <f>IFERROR(VLOOKUP(I2590,material!A:D,2,0),"")</f>
        <v/>
      </c>
    </row>
    <row r="2591">
      <c r="A2591" s="6"/>
      <c r="B2591" s="7"/>
      <c r="C2591" s="8" t="str">
        <f t="array" ref="C2591">IFERROR(INDEX(atlas!H:H,MATCH(A2591,atlas!C:C,0)),"")</f>
        <v/>
      </c>
      <c r="D2591" s="8" t="str">
        <f t="array" ref="D2591">IFERROR(INDEX(atlas!D:D,MATCH(A2591,atlas!C:C,0)),"")</f>
        <v/>
      </c>
      <c r="E2591" s="8" t="str">
        <f t="array" ref="E2591">IFERROR(INDEX(atlas!F:F,MATCH(A2591,atlas!C:C,0)),"")</f>
        <v/>
      </c>
      <c r="F2591" s="9"/>
      <c r="G2591" s="10"/>
      <c r="H2591" s="11"/>
      <c r="I2591" s="12" t="str">
        <f t="array" ref="I2591">IFERROR(INDEX(atlas!B:B,MATCH(A2591,atlas!C:C,0)),"")</f>
        <v/>
      </c>
      <c r="J2591" s="8" t="str">
        <f>IFERROR(VLOOKUP(F2591,tecnica!A:B,2,0),"")</f>
        <v/>
      </c>
      <c r="K2591" s="8" t="str">
        <f>IFERROR(VLOOKUP(J2591,tecnica!B:C,2,0),"")</f>
        <v/>
      </c>
      <c r="L2591" s="13"/>
      <c r="M2591" s="14" t="str">
        <f>IFERROR(VLOOKUP(I2591,material!A:D,4,0),"")</f>
        <v/>
      </c>
      <c r="N2591" s="14" t="str">
        <f t="shared" si="1"/>
        <v/>
      </c>
      <c r="O2591" s="15" t="str">
        <f>IFERROR(VLOOKUP(I2591,material!A:D,2,0),"")</f>
        <v/>
      </c>
    </row>
    <row r="2592">
      <c r="A2592" s="6"/>
      <c r="B2592" s="7"/>
      <c r="C2592" s="8" t="str">
        <f t="array" ref="C2592">IFERROR(INDEX(atlas!H:H,MATCH(A2592,atlas!C:C,0)),"")</f>
        <v/>
      </c>
      <c r="D2592" s="8" t="str">
        <f t="array" ref="D2592">IFERROR(INDEX(atlas!D:D,MATCH(A2592,atlas!C:C,0)),"")</f>
        <v/>
      </c>
      <c r="E2592" s="8" t="str">
        <f t="array" ref="E2592">IFERROR(INDEX(atlas!F:F,MATCH(A2592,atlas!C:C,0)),"")</f>
        <v/>
      </c>
      <c r="F2592" s="9"/>
      <c r="G2592" s="10"/>
      <c r="H2592" s="11"/>
      <c r="I2592" s="12" t="str">
        <f t="array" ref="I2592">IFERROR(INDEX(atlas!B:B,MATCH(A2592,atlas!C:C,0)),"")</f>
        <v/>
      </c>
      <c r="J2592" s="8" t="str">
        <f>IFERROR(VLOOKUP(F2592,tecnica!A:B,2,0),"")</f>
        <v/>
      </c>
      <c r="K2592" s="8" t="str">
        <f>IFERROR(VLOOKUP(J2592,tecnica!B:C,2,0),"")</f>
        <v/>
      </c>
      <c r="L2592" s="13"/>
      <c r="M2592" s="14" t="str">
        <f>IFERROR(VLOOKUP(I2592,material!A:D,4,0),"")</f>
        <v/>
      </c>
      <c r="N2592" s="14" t="str">
        <f t="shared" si="1"/>
        <v/>
      </c>
      <c r="O2592" s="15" t="str">
        <f>IFERROR(VLOOKUP(I2592,material!A:D,2,0),"")</f>
        <v/>
      </c>
    </row>
    <row r="2593">
      <c r="A2593" s="6"/>
      <c r="B2593" s="7"/>
      <c r="C2593" s="8" t="str">
        <f t="array" ref="C2593">IFERROR(INDEX(atlas!H:H,MATCH(A2593,atlas!C:C,0)),"")</f>
        <v/>
      </c>
      <c r="D2593" s="8" t="str">
        <f t="array" ref="D2593">IFERROR(INDEX(atlas!D:D,MATCH(A2593,atlas!C:C,0)),"")</f>
        <v/>
      </c>
      <c r="E2593" s="8" t="str">
        <f t="array" ref="E2593">IFERROR(INDEX(atlas!F:F,MATCH(A2593,atlas!C:C,0)),"")</f>
        <v/>
      </c>
      <c r="F2593" s="9"/>
      <c r="G2593" s="10"/>
      <c r="H2593" s="11"/>
      <c r="I2593" s="12" t="str">
        <f t="array" ref="I2593">IFERROR(INDEX(atlas!B:B,MATCH(A2593,atlas!C:C,0)),"")</f>
        <v/>
      </c>
      <c r="J2593" s="8" t="str">
        <f>IFERROR(VLOOKUP(F2593,tecnica!A:B,2,0),"")</f>
        <v/>
      </c>
      <c r="K2593" s="8" t="str">
        <f>IFERROR(VLOOKUP(J2593,tecnica!B:C,2,0),"")</f>
        <v/>
      </c>
      <c r="L2593" s="13"/>
      <c r="M2593" s="14" t="str">
        <f>IFERROR(VLOOKUP(I2593,material!A:D,4,0),"")</f>
        <v/>
      </c>
      <c r="N2593" s="14" t="str">
        <f t="shared" si="1"/>
        <v/>
      </c>
      <c r="O2593" s="15" t="str">
        <f>IFERROR(VLOOKUP(I2593,material!A:D,2,0),"")</f>
        <v/>
      </c>
    </row>
    <row r="2594">
      <c r="A2594" s="6"/>
      <c r="B2594" s="7"/>
      <c r="C2594" s="8" t="str">
        <f t="array" ref="C2594">IFERROR(INDEX(atlas!H:H,MATCH(A2594,atlas!C:C,0)),"")</f>
        <v/>
      </c>
      <c r="D2594" s="8" t="str">
        <f t="array" ref="D2594">IFERROR(INDEX(atlas!D:D,MATCH(A2594,atlas!C:C,0)),"")</f>
        <v/>
      </c>
      <c r="E2594" s="8" t="str">
        <f t="array" ref="E2594">IFERROR(INDEX(atlas!F:F,MATCH(A2594,atlas!C:C,0)),"")</f>
        <v/>
      </c>
      <c r="F2594" s="9"/>
      <c r="G2594" s="10"/>
      <c r="H2594" s="11"/>
      <c r="I2594" s="12" t="str">
        <f t="array" ref="I2594">IFERROR(INDEX(atlas!B:B,MATCH(A2594,atlas!C:C,0)),"")</f>
        <v/>
      </c>
      <c r="J2594" s="8" t="str">
        <f>IFERROR(VLOOKUP(F2594,tecnica!A:B,2,0),"")</f>
        <v/>
      </c>
      <c r="K2594" s="8" t="str">
        <f>IFERROR(VLOOKUP(J2594,tecnica!B:C,2,0),"")</f>
        <v/>
      </c>
      <c r="L2594" s="13"/>
      <c r="M2594" s="14" t="str">
        <f>IFERROR(VLOOKUP(I2594,material!A:D,4,0),"")</f>
        <v/>
      </c>
      <c r="N2594" s="14" t="str">
        <f t="shared" si="1"/>
        <v/>
      </c>
      <c r="O2594" s="15" t="str">
        <f>IFERROR(VLOOKUP(I2594,material!A:D,2,0),"")</f>
        <v/>
      </c>
    </row>
    <row r="2595">
      <c r="A2595" s="6"/>
      <c r="B2595" s="7"/>
      <c r="C2595" s="8" t="str">
        <f t="array" ref="C2595">IFERROR(INDEX(atlas!H:H,MATCH(A2595,atlas!C:C,0)),"")</f>
        <v/>
      </c>
      <c r="D2595" s="8" t="str">
        <f t="array" ref="D2595">IFERROR(INDEX(atlas!D:D,MATCH(A2595,atlas!C:C,0)),"")</f>
        <v/>
      </c>
      <c r="E2595" s="8" t="str">
        <f t="array" ref="E2595">IFERROR(INDEX(atlas!F:F,MATCH(A2595,atlas!C:C,0)),"")</f>
        <v/>
      </c>
      <c r="F2595" s="9"/>
      <c r="G2595" s="10"/>
      <c r="H2595" s="11"/>
      <c r="I2595" s="12" t="str">
        <f t="array" ref="I2595">IFERROR(INDEX(atlas!B:B,MATCH(A2595,atlas!C:C,0)),"")</f>
        <v/>
      </c>
      <c r="J2595" s="8" t="str">
        <f>IFERROR(VLOOKUP(F2595,tecnica!A:B,2,0),"")</f>
        <v/>
      </c>
      <c r="K2595" s="8" t="str">
        <f>IFERROR(VLOOKUP(J2595,tecnica!B:C,2,0),"")</f>
        <v/>
      </c>
      <c r="L2595" s="13"/>
      <c r="M2595" s="14" t="str">
        <f>IFERROR(VLOOKUP(I2595,material!A:D,4,0),"")</f>
        <v/>
      </c>
      <c r="N2595" s="14" t="str">
        <f t="shared" si="1"/>
        <v/>
      </c>
      <c r="O2595" s="15" t="str">
        <f>IFERROR(VLOOKUP(I2595,material!A:D,2,0),"")</f>
        <v/>
      </c>
    </row>
    <row r="2596">
      <c r="A2596" s="6"/>
      <c r="B2596" s="7"/>
      <c r="C2596" s="8" t="str">
        <f t="array" ref="C2596">IFERROR(INDEX(atlas!H:H,MATCH(A2596,atlas!C:C,0)),"")</f>
        <v/>
      </c>
      <c r="D2596" s="8" t="str">
        <f t="array" ref="D2596">IFERROR(INDEX(atlas!D:D,MATCH(A2596,atlas!C:C,0)),"")</f>
        <v/>
      </c>
      <c r="E2596" s="8" t="str">
        <f t="array" ref="E2596">IFERROR(INDEX(atlas!F:F,MATCH(A2596,atlas!C:C,0)),"")</f>
        <v/>
      </c>
      <c r="F2596" s="9"/>
      <c r="G2596" s="10"/>
      <c r="H2596" s="11"/>
      <c r="I2596" s="12" t="str">
        <f t="array" ref="I2596">IFERROR(INDEX(atlas!B:B,MATCH(A2596,atlas!C:C,0)),"")</f>
        <v/>
      </c>
      <c r="J2596" s="8" t="str">
        <f>IFERROR(VLOOKUP(F2596,tecnica!A:B,2,0),"")</f>
        <v/>
      </c>
      <c r="K2596" s="8" t="str">
        <f>IFERROR(VLOOKUP(J2596,tecnica!B:C,2,0),"")</f>
        <v/>
      </c>
      <c r="L2596" s="13"/>
      <c r="M2596" s="14" t="str">
        <f>IFERROR(VLOOKUP(I2596,material!A:D,4,0),"")</f>
        <v/>
      </c>
      <c r="N2596" s="14" t="str">
        <f t="shared" si="1"/>
        <v/>
      </c>
      <c r="O2596" s="15" t="str">
        <f>IFERROR(VLOOKUP(I2596,material!A:D,2,0),"")</f>
        <v/>
      </c>
    </row>
    <row r="2597">
      <c r="A2597" s="6"/>
      <c r="B2597" s="7"/>
      <c r="C2597" s="8" t="str">
        <f t="array" ref="C2597">IFERROR(INDEX(atlas!H:H,MATCH(A2597,atlas!C:C,0)),"")</f>
        <v/>
      </c>
      <c r="D2597" s="8" t="str">
        <f t="array" ref="D2597">IFERROR(INDEX(atlas!D:D,MATCH(A2597,atlas!C:C,0)),"")</f>
        <v/>
      </c>
      <c r="E2597" s="8" t="str">
        <f t="array" ref="E2597">IFERROR(INDEX(atlas!F:F,MATCH(A2597,atlas!C:C,0)),"")</f>
        <v/>
      </c>
      <c r="F2597" s="9"/>
      <c r="G2597" s="10"/>
      <c r="H2597" s="11"/>
      <c r="I2597" s="12" t="str">
        <f t="array" ref="I2597">IFERROR(INDEX(atlas!B:B,MATCH(A2597,atlas!C:C,0)),"")</f>
        <v/>
      </c>
      <c r="J2597" s="8" t="str">
        <f>IFERROR(VLOOKUP(F2597,tecnica!A:B,2,0),"")</f>
        <v/>
      </c>
      <c r="K2597" s="8" t="str">
        <f>IFERROR(VLOOKUP(J2597,tecnica!B:C,2,0),"")</f>
        <v/>
      </c>
      <c r="L2597" s="13"/>
      <c r="M2597" s="14" t="str">
        <f>IFERROR(VLOOKUP(I2597,material!A:D,4,0),"")</f>
        <v/>
      </c>
      <c r="N2597" s="14" t="str">
        <f t="shared" si="1"/>
        <v/>
      </c>
      <c r="O2597" s="15" t="str">
        <f>IFERROR(VLOOKUP(I2597,material!A:D,2,0),"")</f>
        <v/>
      </c>
    </row>
    <row r="2598">
      <c r="A2598" s="6"/>
      <c r="B2598" s="7"/>
      <c r="C2598" s="8" t="str">
        <f t="array" ref="C2598">IFERROR(INDEX(atlas!H:H,MATCH(A2598,atlas!C:C,0)),"")</f>
        <v/>
      </c>
      <c r="D2598" s="8" t="str">
        <f t="array" ref="D2598">IFERROR(INDEX(atlas!D:D,MATCH(A2598,atlas!C:C,0)),"")</f>
        <v/>
      </c>
      <c r="E2598" s="8" t="str">
        <f t="array" ref="E2598">IFERROR(INDEX(atlas!F:F,MATCH(A2598,atlas!C:C,0)),"")</f>
        <v/>
      </c>
      <c r="F2598" s="9"/>
      <c r="G2598" s="10"/>
      <c r="H2598" s="11"/>
      <c r="I2598" s="12" t="str">
        <f t="array" ref="I2598">IFERROR(INDEX(atlas!B:B,MATCH(A2598,atlas!C:C,0)),"")</f>
        <v/>
      </c>
      <c r="J2598" s="8" t="str">
        <f>IFERROR(VLOOKUP(F2598,tecnica!A:B,2,0),"")</f>
        <v/>
      </c>
      <c r="K2598" s="8" t="str">
        <f>IFERROR(VLOOKUP(J2598,tecnica!B:C,2,0),"")</f>
        <v/>
      </c>
      <c r="L2598" s="13"/>
      <c r="M2598" s="14" t="str">
        <f>IFERROR(VLOOKUP(I2598,material!A:D,4,0),"")</f>
        <v/>
      </c>
      <c r="N2598" s="14" t="str">
        <f t="shared" si="1"/>
        <v/>
      </c>
      <c r="O2598" s="15" t="str">
        <f>IFERROR(VLOOKUP(I2598,material!A:D,2,0),"")</f>
        <v/>
      </c>
    </row>
    <row r="2599">
      <c r="A2599" s="6"/>
      <c r="B2599" s="7"/>
      <c r="C2599" s="8" t="str">
        <f t="array" ref="C2599">IFERROR(INDEX(atlas!H:H,MATCH(A2599,atlas!C:C,0)),"")</f>
        <v/>
      </c>
      <c r="D2599" s="8" t="str">
        <f t="array" ref="D2599">IFERROR(INDEX(atlas!D:D,MATCH(A2599,atlas!C:C,0)),"")</f>
        <v/>
      </c>
      <c r="E2599" s="8" t="str">
        <f t="array" ref="E2599">IFERROR(INDEX(atlas!F:F,MATCH(A2599,atlas!C:C,0)),"")</f>
        <v/>
      </c>
      <c r="F2599" s="9"/>
      <c r="G2599" s="10"/>
      <c r="H2599" s="11"/>
      <c r="I2599" s="12" t="str">
        <f t="array" ref="I2599">IFERROR(INDEX(atlas!B:B,MATCH(A2599,atlas!C:C,0)),"")</f>
        <v/>
      </c>
      <c r="J2599" s="8" t="str">
        <f>IFERROR(VLOOKUP(F2599,tecnica!A:B,2,0),"")</f>
        <v/>
      </c>
      <c r="K2599" s="8" t="str">
        <f>IFERROR(VLOOKUP(J2599,tecnica!B:C,2,0),"")</f>
        <v/>
      </c>
      <c r="L2599" s="13"/>
      <c r="M2599" s="14" t="str">
        <f>IFERROR(VLOOKUP(I2599,material!A:D,4,0),"")</f>
        <v/>
      </c>
      <c r="N2599" s="14" t="str">
        <f t="shared" si="1"/>
        <v/>
      </c>
      <c r="O2599" s="15" t="str">
        <f>IFERROR(VLOOKUP(I2599,material!A:D,2,0),"")</f>
        <v/>
      </c>
    </row>
    <row r="2600">
      <c r="A2600" s="6"/>
      <c r="B2600" s="7"/>
      <c r="C2600" s="8" t="str">
        <f t="array" ref="C2600">IFERROR(INDEX(atlas!H:H,MATCH(A2600,atlas!C:C,0)),"")</f>
        <v/>
      </c>
      <c r="D2600" s="8" t="str">
        <f t="array" ref="D2600">IFERROR(INDEX(atlas!D:D,MATCH(A2600,atlas!C:C,0)),"")</f>
        <v/>
      </c>
      <c r="E2600" s="8" t="str">
        <f t="array" ref="E2600">IFERROR(INDEX(atlas!F:F,MATCH(A2600,atlas!C:C,0)),"")</f>
        <v/>
      </c>
      <c r="F2600" s="9"/>
      <c r="G2600" s="10"/>
      <c r="H2600" s="11"/>
      <c r="I2600" s="12" t="str">
        <f t="array" ref="I2600">IFERROR(INDEX(atlas!B:B,MATCH(A2600,atlas!C:C,0)),"")</f>
        <v/>
      </c>
      <c r="J2600" s="8" t="str">
        <f>IFERROR(VLOOKUP(F2600,tecnica!A:B,2,0),"")</f>
        <v/>
      </c>
      <c r="K2600" s="8" t="str">
        <f>IFERROR(VLOOKUP(J2600,tecnica!B:C,2,0),"")</f>
        <v/>
      </c>
      <c r="L2600" s="13"/>
      <c r="M2600" s="14" t="str">
        <f>IFERROR(VLOOKUP(I2600,material!A:D,4,0),"")</f>
        <v/>
      </c>
      <c r="N2600" s="14" t="str">
        <f t="shared" si="1"/>
        <v/>
      </c>
      <c r="O2600" s="15" t="str">
        <f>IFERROR(VLOOKUP(I2600,material!A:D,2,0),"")</f>
        <v/>
      </c>
    </row>
    <row r="2601">
      <c r="A2601" s="6"/>
      <c r="B2601" s="7"/>
      <c r="C2601" s="8" t="str">
        <f t="array" ref="C2601">IFERROR(INDEX(atlas!H:H,MATCH(A2601,atlas!C:C,0)),"")</f>
        <v/>
      </c>
      <c r="D2601" s="8" t="str">
        <f t="array" ref="D2601">IFERROR(INDEX(atlas!D:D,MATCH(A2601,atlas!C:C,0)),"")</f>
        <v/>
      </c>
      <c r="E2601" s="8" t="str">
        <f t="array" ref="E2601">IFERROR(INDEX(atlas!F:F,MATCH(A2601,atlas!C:C,0)),"")</f>
        <v/>
      </c>
      <c r="F2601" s="9"/>
      <c r="G2601" s="10"/>
      <c r="H2601" s="11"/>
      <c r="I2601" s="12" t="str">
        <f t="array" ref="I2601">IFERROR(INDEX(atlas!B:B,MATCH(A2601,atlas!C:C,0)),"")</f>
        <v/>
      </c>
      <c r="J2601" s="8" t="str">
        <f>IFERROR(VLOOKUP(F2601,tecnica!A:B,2,0),"")</f>
        <v/>
      </c>
      <c r="K2601" s="8" t="str">
        <f>IFERROR(VLOOKUP(J2601,tecnica!B:C,2,0),"")</f>
        <v/>
      </c>
      <c r="L2601" s="13"/>
      <c r="M2601" s="14" t="str">
        <f>IFERROR(VLOOKUP(I2601,material!A:D,4,0),"")</f>
        <v/>
      </c>
      <c r="N2601" s="14" t="str">
        <f t="shared" si="1"/>
        <v/>
      </c>
      <c r="O2601" s="15" t="str">
        <f>IFERROR(VLOOKUP(I2601,material!A:D,2,0),"")</f>
        <v/>
      </c>
    </row>
    <row r="2602">
      <c r="A2602" s="6"/>
      <c r="B2602" s="7"/>
      <c r="C2602" s="8" t="str">
        <f t="array" ref="C2602">IFERROR(INDEX(atlas!H:H,MATCH(A2602,atlas!C:C,0)),"")</f>
        <v/>
      </c>
      <c r="D2602" s="8" t="str">
        <f t="array" ref="D2602">IFERROR(INDEX(atlas!D:D,MATCH(A2602,atlas!C:C,0)),"")</f>
        <v/>
      </c>
      <c r="E2602" s="8" t="str">
        <f t="array" ref="E2602">IFERROR(INDEX(atlas!F:F,MATCH(A2602,atlas!C:C,0)),"")</f>
        <v/>
      </c>
      <c r="F2602" s="9"/>
      <c r="G2602" s="10"/>
      <c r="H2602" s="11"/>
      <c r="I2602" s="12" t="str">
        <f t="array" ref="I2602">IFERROR(INDEX(atlas!B:B,MATCH(A2602,atlas!C:C,0)),"")</f>
        <v/>
      </c>
      <c r="J2602" s="8" t="str">
        <f>IFERROR(VLOOKUP(F2602,tecnica!A:B,2,0),"")</f>
        <v/>
      </c>
      <c r="K2602" s="8" t="str">
        <f>IFERROR(VLOOKUP(J2602,tecnica!B:C,2,0),"")</f>
        <v/>
      </c>
      <c r="L2602" s="13"/>
      <c r="M2602" s="14" t="str">
        <f>IFERROR(VLOOKUP(I2602,material!A:D,4,0),"")</f>
        <v/>
      </c>
      <c r="N2602" s="14" t="str">
        <f t="shared" si="1"/>
        <v/>
      </c>
      <c r="O2602" s="15" t="str">
        <f>IFERROR(VLOOKUP(I2602,material!A:D,2,0),"")</f>
        <v/>
      </c>
    </row>
    <row r="2603">
      <c r="A2603" s="6"/>
      <c r="B2603" s="7"/>
      <c r="C2603" s="8" t="str">
        <f t="array" ref="C2603">IFERROR(INDEX(atlas!H:H,MATCH(A2603,atlas!C:C,0)),"")</f>
        <v/>
      </c>
      <c r="D2603" s="8" t="str">
        <f t="array" ref="D2603">IFERROR(INDEX(atlas!D:D,MATCH(A2603,atlas!C:C,0)),"")</f>
        <v/>
      </c>
      <c r="E2603" s="8" t="str">
        <f t="array" ref="E2603">IFERROR(INDEX(atlas!F:F,MATCH(A2603,atlas!C:C,0)),"")</f>
        <v/>
      </c>
      <c r="F2603" s="9"/>
      <c r="G2603" s="10"/>
      <c r="H2603" s="11"/>
      <c r="I2603" s="12" t="str">
        <f t="array" ref="I2603">IFERROR(INDEX(atlas!B:B,MATCH(A2603,atlas!C:C,0)),"")</f>
        <v/>
      </c>
      <c r="J2603" s="8" t="str">
        <f>IFERROR(VLOOKUP(F2603,tecnica!A:B,2,0),"")</f>
        <v/>
      </c>
      <c r="K2603" s="8" t="str">
        <f>IFERROR(VLOOKUP(J2603,tecnica!B:C,2,0),"")</f>
        <v/>
      </c>
      <c r="L2603" s="13"/>
      <c r="M2603" s="14" t="str">
        <f>IFERROR(VLOOKUP(I2603,material!A:D,4,0),"")</f>
        <v/>
      </c>
      <c r="N2603" s="14" t="str">
        <f t="shared" si="1"/>
        <v/>
      </c>
      <c r="O2603" s="15" t="str">
        <f>IFERROR(VLOOKUP(I2603,material!A:D,2,0),"")</f>
        <v/>
      </c>
    </row>
    <row r="2604">
      <c r="A2604" s="6"/>
      <c r="B2604" s="7"/>
      <c r="C2604" s="8" t="str">
        <f t="array" ref="C2604">IFERROR(INDEX(atlas!H:H,MATCH(A2604,atlas!C:C,0)),"")</f>
        <v/>
      </c>
      <c r="D2604" s="8" t="str">
        <f t="array" ref="D2604">IFERROR(INDEX(atlas!D:D,MATCH(A2604,atlas!C:C,0)),"")</f>
        <v/>
      </c>
      <c r="E2604" s="8" t="str">
        <f t="array" ref="E2604">IFERROR(INDEX(atlas!F:F,MATCH(A2604,atlas!C:C,0)),"")</f>
        <v/>
      </c>
      <c r="F2604" s="9"/>
      <c r="G2604" s="10"/>
      <c r="H2604" s="11"/>
      <c r="I2604" s="12" t="str">
        <f t="array" ref="I2604">IFERROR(INDEX(atlas!B:B,MATCH(A2604,atlas!C:C,0)),"")</f>
        <v/>
      </c>
      <c r="J2604" s="8" t="str">
        <f>IFERROR(VLOOKUP(F2604,tecnica!A:B,2,0),"")</f>
        <v/>
      </c>
      <c r="K2604" s="8" t="str">
        <f>IFERROR(VLOOKUP(J2604,tecnica!B:C,2,0),"")</f>
        <v/>
      </c>
      <c r="L2604" s="13"/>
      <c r="M2604" s="14" t="str">
        <f>IFERROR(VLOOKUP(I2604,material!A:D,4,0),"")</f>
        <v/>
      </c>
      <c r="N2604" s="14" t="str">
        <f t="shared" si="1"/>
        <v/>
      </c>
      <c r="O2604" s="15" t="str">
        <f>IFERROR(VLOOKUP(I2604,material!A:D,2,0),"")</f>
        <v/>
      </c>
    </row>
    <row r="2605">
      <c r="A2605" s="6"/>
      <c r="B2605" s="7"/>
      <c r="C2605" s="8" t="str">
        <f t="array" ref="C2605">IFERROR(INDEX(atlas!H:H,MATCH(A2605,atlas!C:C,0)),"")</f>
        <v/>
      </c>
      <c r="D2605" s="8" t="str">
        <f t="array" ref="D2605">IFERROR(INDEX(atlas!D:D,MATCH(A2605,atlas!C:C,0)),"")</f>
        <v/>
      </c>
      <c r="E2605" s="8" t="str">
        <f t="array" ref="E2605">IFERROR(INDEX(atlas!F:F,MATCH(A2605,atlas!C:C,0)),"")</f>
        <v/>
      </c>
      <c r="F2605" s="9"/>
      <c r="G2605" s="10"/>
      <c r="H2605" s="11"/>
      <c r="I2605" s="12" t="str">
        <f t="array" ref="I2605">IFERROR(INDEX(atlas!B:B,MATCH(A2605,atlas!C:C,0)),"")</f>
        <v/>
      </c>
      <c r="J2605" s="8" t="str">
        <f>IFERROR(VLOOKUP(F2605,tecnica!A:B,2,0),"")</f>
        <v/>
      </c>
      <c r="K2605" s="8" t="str">
        <f>IFERROR(VLOOKUP(J2605,tecnica!B:C,2,0),"")</f>
        <v/>
      </c>
      <c r="L2605" s="13"/>
      <c r="M2605" s="14" t="str">
        <f>IFERROR(VLOOKUP(I2605,material!A:D,4,0),"")</f>
        <v/>
      </c>
      <c r="N2605" s="14" t="str">
        <f t="shared" si="1"/>
        <v/>
      </c>
      <c r="O2605" s="15" t="str">
        <f>IFERROR(VLOOKUP(I2605,material!A:D,2,0),"")</f>
        <v/>
      </c>
    </row>
    <row r="2606">
      <c r="A2606" s="6"/>
      <c r="B2606" s="7"/>
      <c r="C2606" s="8" t="str">
        <f t="array" ref="C2606">IFERROR(INDEX(atlas!H:H,MATCH(A2606,atlas!C:C,0)),"")</f>
        <v/>
      </c>
      <c r="D2606" s="8" t="str">
        <f t="array" ref="D2606">IFERROR(INDEX(atlas!D:D,MATCH(A2606,atlas!C:C,0)),"")</f>
        <v/>
      </c>
      <c r="E2606" s="8" t="str">
        <f t="array" ref="E2606">IFERROR(INDEX(atlas!F:F,MATCH(A2606,atlas!C:C,0)),"")</f>
        <v/>
      </c>
      <c r="F2606" s="9"/>
      <c r="G2606" s="10"/>
      <c r="H2606" s="11"/>
      <c r="I2606" s="12" t="str">
        <f t="array" ref="I2606">IFERROR(INDEX(atlas!B:B,MATCH(A2606,atlas!C:C,0)),"")</f>
        <v/>
      </c>
      <c r="J2606" s="8" t="str">
        <f>IFERROR(VLOOKUP(F2606,tecnica!A:B,2,0),"")</f>
        <v/>
      </c>
      <c r="K2606" s="8" t="str">
        <f>IFERROR(VLOOKUP(J2606,tecnica!B:C,2,0),"")</f>
        <v/>
      </c>
      <c r="L2606" s="13"/>
      <c r="M2606" s="14" t="str">
        <f>IFERROR(VLOOKUP(I2606,material!A:D,4,0),"")</f>
        <v/>
      </c>
      <c r="N2606" s="14" t="str">
        <f t="shared" si="1"/>
        <v/>
      </c>
      <c r="O2606" s="15" t="str">
        <f>IFERROR(VLOOKUP(I2606,material!A:D,2,0),"")</f>
        <v/>
      </c>
    </row>
    <row r="2607">
      <c r="A2607" s="6"/>
      <c r="B2607" s="7"/>
      <c r="C2607" s="8" t="str">
        <f t="array" ref="C2607">IFERROR(INDEX(atlas!H:H,MATCH(A2607,atlas!C:C,0)),"")</f>
        <v/>
      </c>
      <c r="D2607" s="8" t="str">
        <f t="array" ref="D2607">IFERROR(INDEX(atlas!D:D,MATCH(A2607,atlas!C:C,0)),"")</f>
        <v/>
      </c>
      <c r="E2607" s="8" t="str">
        <f t="array" ref="E2607">IFERROR(INDEX(atlas!F:F,MATCH(A2607,atlas!C:C,0)),"")</f>
        <v/>
      </c>
      <c r="F2607" s="9"/>
      <c r="G2607" s="10"/>
      <c r="H2607" s="11"/>
      <c r="I2607" s="12" t="str">
        <f t="array" ref="I2607">IFERROR(INDEX(atlas!B:B,MATCH(A2607,atlas!C:C,0)),"")</f>
        <v/>
      </c>
      <c r="J2607" s="8" t="str">
        <f>IFERROR(VLOOKUP(F2607,tecnica!A:B,2,0),"")</f>
        <v/>
      </c>
      <c r="K2607" s="8" t="str">
        <f>IFERROR(VLOOKUP(J2607,tecnica!B:C,2,0),"")</f>
        <v/>
      </c>
      <c r="L2607" s="13"/>
      <c r="M2607" s="14" t="str">
        <f>IFERROR(VLOOKUP(I2607,material!A:D,4,0),"")</f>
        <v/>
      </c>
      <c r="N2607" s="14" t="str">
        <f t="shared" si="1"/>
        <v/>
      </c>
      <c r="O2607" s="15" t="str">
        <f>IFERROR(VLOOKUP(I2607,material!A:D,2,0),"")</f>
        <v/>
      </c>
    </row>
    <row r="2608">
      <c r="A2608" s="6"/>
      <c r="B2608" s="7"/>
      <c r="C2608" s="8" t="str">
        <f t="array" ref="C2608">IFERROR(INDEX(atlas!H:H,MATCH(A2608,atlas!C:C,0)),"")</f>
        <v/>
      </c>
      <c r="D2608" s="8" t="str">
        <f t="array" ref="D2608">IFERROR(INDEX(atlas!D:D,MATCH(A2608,atlas!C:C,0)),"")</f>
        <v/>
      </c>
      <c r="E2608" s="8" t="str">
        <f t="array" ref="E2608">IFERROR(INDEX(atlas!F:F,MATCH(A2608,atlas!C:C,0)),"")</f>
        <v/>
      </c>
      <c r="F2608" s="9"/>
      <c r="G2608" s="10"/>
      <c r="H2608" s="11"/>
      <c r="I2608" s="12" t="str">
        <f t="array" ref="I2608">IFERROR(INDEX(atlas!B:B,MATCH(A2608,atlas!C:C,0)),"")</f>
        <v/>
      </c>
      <c r="J2608" s="8" t="str">
        <f>IFERROR(VLOOKUP(F2608,tecnica!A:B,2,0),"")</f>
        <v/>
      </c>
      <c r="K2608" s="8" t="str">
        <f>IFERROR(VLOOKUP(J2608,tecnica!B:C,2,0),"")</f>
        <v/>
      </c>
      <c r="L2608" s="13"/>
      <c r="M2608" s="14" t="str">
        <f>IFERROR(VLOOKUP(I2608,material!A:D,4,0),"")</f>
        <v/>
      </c>
      <c r="N2608" s="14" t="str">
        <f t="shared" si="1"/>
        <v/>
      </c>
      <c r="O2608" s="15" t="str">
        <f>IFERROR(VLOOKUP(I2608,material!A:D,2,0),"")</f>
        <v/>
      </c>
    </row>
    <row r="2609">
      <c r="A2609" s="6"/>
      <c r="B2609" s="7"/>
      <c r="C2609" s="8" t="str">
        <f t="array" ref="C2609">IFERROR(INDEX(atlas!H:H,MATCH(A2609,atlas!C:C,0)),"")</f>
        <v/>
      </c>
      <c r="D2609" s="8" t="str">
        <f t="array" ref="D2609">IFERROR(INDEX(atlas!D:D,MATCH(A2609,atlas!C:C,0)),"")</f>
        <v/>
      </c>
      <c r="E2609" s="8" t="str">
        <f t="array" ref="E2609">IFERROR(INDEX(atlas!F:F,MATCH(A2609,atlas!C:C,0)),"")</f>
        <v/>
      </c>
      <c r="F2609" s="9"/>
      <c r="G2609" s="10"/>
      <c r="H2609" s="11"/>
      <c r="I2609" s="12" t="str">
        <f t="array" ref="I2609">IFERROR(INDEX(atlas!B:B,MATCH(A2609,atlas!C:C,0)),"")</f>
        <v/>
      </c>
      <c r="J2609" s="8" t="str">
        <f>IFERROR(VLOOKUP(F2609,tecnica!A:B,2,0),"")</f>
        <v/>
      </c>
      <c r="K2609" s="8" t="str">
        <f>IFERROR(VLOOKUP(J2609,tecnica!B:C,2,0),"")</f>
        <v/>
      </c>
      <c r="L2609" s="13"/>
      <c r="M2609" s="14" t="str">
        <f>IFERROR(VLOOKUP(I2609,material!A:D,4,0),"")</f>
        <v/>
      </c>
      <c r="N2609" s="14" t="str">
        <f t="shared" si="1"/>
        <v/>
      </c>
      <c r="O2609" s="15" t="str">
        <f>IFERROR(VLOOKUP(I2609,material!A:D,2,0),"")</f>
        <v/>
      </c>
    </row>
    <row r="2610">
      <c r="A2610" s="6"/>
      <c r="B2610" s="7"/>
      <c r="C2610" s="8" t="str">
        <f t="array" ref="C2610">IFERROR(INDEX(atlas!H:H,MATCH(A2610,atlas!C:C,0)),"")</f>
        <v/>
      </c>
      <c r="D2610" s="8" t="str">
        <f t="array" ref="D2610">IFERROR(INDEX(atlas!D:D,MATCH(A2610,atlas!C:C,0)),"")</f>
        <v/>
      </c>
      <c r="E2610" s="8" t="str">
        <f t="array" ref="E2610">IFERROR(INDEX(atlas!F:F,MATCH(A2610,atlas!C:C,0)),"")</f>
        <v/>
      </c>
      <c r="F2610" s="9"/>
      <c r="G2610" s="10"/>
      <c r="H2610" s="11"/>
      <c r="I2610" s="12" t="str">
        <f t="array" ref="I2610">IFERROR(INDEX(atlas!B:B,MATCH(A2610,atlas!C:C,0)),"")</f>
        <v/>
      </c>
      <c r="J2610" s="8" t="str">
        <f>IFERROR(VLOOKUP(F2610,tecnica!A:B,2,0),"")</f>
        <v/>
      </c>
      <c r="K2610" s="8" t="str">
        <f>IFERROR(VLOOKUP(J2610,tecnica!B:C,2,0),"")</f>
        <v/>
      </c>
      <c r="L2610" s="13"/>
      <c r="M2610" s="14" t="str">
        <f>IFERROR(VLOOKUP(I2610,material!A:D,4,0),"")</f>
        <v/>
      </c>
      <c r="N2610" s="14" t="str">
        <f t="shared" si="1"/>
        <v/>
      </c>
      <c r="O2610" s="15" t="str">
        <f>IFERROR(VLOOKUP(I2610,material!A:D,2,0),"")</f>
        <v/>
      </c>
    </row>
    <row r="2611">
      <c r="A2611" s="6"/>
      <c r="B2611" s="7"/>
      <c r="C2611" s="8" t="str">
        <f t="array" ref="C2611">IFERROR(INDEX(atlas!H:H,MATCH(A2611,atlas!C:C,0)),"")</f>
        <v/>
      </c>
      <c r="D2611" s="8" t="str">
        <f t="array" ref="D2611">IFERROR(INDEX(atlas!D:D,MATCH(A2611,atlas!C:C,0)),"")</f>
        <v/>
      </c>
      <c r="E2611" s="8" t="str">
        <f t="array" ref="E2611">IFERROR(INDEX(atlas!F:F,MATCH(A2611,atlas!C:C,0)),"")</f>
        <v/>
      </c>
      <c r="F2611" s="9"/>
      <c r="G2611" s="10"/>
      <c r="H2611" s="11"/>
      <c r="I2611" s="12" t="str">
        <f t="array" ref="I2611">IFERROR(INDEX(atlas!B:B,MATCH(A2611,atlas!C:C,0)),"")</f>
        <v/>
      </c>
      <c r="J2611" s="8" t="str">
        <f>IFERROR(VLOOKUP(F2611,tecnica!A:B,2,0),"")</f>
        <v/>
      </c>
      <c r="K2611" s="8" t="str">
        <f>IFERROR(VLOOKUP(J2611,tecnica!B:C,2,0),"")</f>
        <v/>
      </c>
      <c r="L2611" s="13"/>
      <c r="M2611" s="14" t="str">
        <f>IFERROR(VLOOKUP(I2611,material!A:D,4,0),"")</f>
        <v/>
      </c>
      <c r="N2611" s="14" t="str">
        <f t="shared" si="1"/>
        <v/>
      </c>
      <c r="O2611" s="15" t="str">
        <f>IFERROR(VLOOKUP(I2611,material!A:D,2,0),"")</f>
        <v/>
      </c>
    </row>
    <row r="2612">
      <c r="A2612" s="6"/>
      <c r="B2612" s="7"/>
      <c r="C2612" s="8" t="str">
        <f t="array" ref="C2612">IFERROR(INDEX(atlas!H:H,MATCH(A2612,atlas!C:C,0)),"")</f>
        <v/>
      </c>
      <c r="D2612" s="8" t="str">
        <f t="array" ref="D2612">IFERROR(INDEX(atlas!D:D,MATCH(A2612,atlas!C:C,0)),"")</f>
        <v/>
      </c>
      <c r="E2612" s="8" t="str">
        <f t="array" ref="E2612">IFERROR(INDEX(atlas!F:F,MATCH(A2612,atlas!C:C,0)),"")</f>
        <v/>
      </c>
      <c r="F2612" s="9"/>
      <c r="G2612" s="10"/>
      <c r="H2612" s="11"/>
      <c r="I2612" s="12" t="str">
        <f t="array" ref="I2612">IFERROR(INDEX(atlas!B:B,MATCH(A2612,atlas!C:C,0)),"")</f>
        <v/>
      </c>
      <c r="J2612" s="8" t="str">
        <f>IFERROR(VLOOKUP(F2612,tecnica!A:B,2,0),"")</f>
        <v/>
      </c>
      <c r="K2612" s="8" t="str">
        <f>IFERROR(VLOOKUP(J2612,tecnica!B:C,2,0),"")</f>
        <v/>
      </c>
      <c r="L2612" s="13"/>
      <c r="M2612" s="14" t="str">
        <f>IFERROR(VLOOKUP(I2612,material!A:D,4,0),"")</f>
        <v/>
      </c>
      <c r="N2612" s="14" t="str">
        <f t="shared" si="1"/>
        <v/>
      </c>
      <c r="O2612" s="15" t="str">
        <f>IFERROR(VLOOKUP(I2612,material!A:D,2,0),"")</f>
        <v/>
      </c>
    </row>
    <row r="2613">
      <c r="A2613" s="6"/>
      <c r="B2613" s="7"/>
      <c r="C2613" s="8" t="str">
        <f t="array" ref="C2613">IFERROR(INDEX(atlas!H:H,MATCH(A2613,atlas!C:C,0)),"")</f>
        <v/>
      </c>
      <c r="D2613" s="8" t="str">
        <f t="array" ref="D2613">IFERROR(INDEX(atlas!D:D,MATCH(A2613,atlas!C:C,0)),"")</f>
        <v/>
      </c>
      <c r="E2613" s="8" t="str">
        <f t="array" ref="E2613">IFERROR(INDEX(atlas!F:F,MATCH(A2613,atlas!C:C,0)),"")</f>
        <v/>
      </c>
      <c r="F2613" s="9"/>
      <c r="G2613" s="10"/>
      <c r="H2613" s="11"/>
      <c r="I2613" s="12" t="str">
        <f t="array" ref="I2613">IFERROR(INDEX(atlas!B:B,MATCH(A2613,atlas!C:C,0)),"")</f>
        <v/>
      </c>
      <c r="J2613" s="8" t="str">
        <f>IFERROR(VLOOKUP(F2613,tecnica!A:B,2,0),"")</f>
        <v/>
      </c>
      <c r="K2613" s="8" t="str">
        <f>IFERROR(VLOOKUP(J2613,tecnica!B:C,2,0),"")</f>
        <v/>
      </c>
      <c r="L2613" s="13"/>
      <c r="M2613" s="14" t="str">
        <f>IFERROR(VLOOKUP(I2613,material!A:D,4,0),"")</f>
        <v/>
      </c>
      <c r="N2613" s="14" t="str">
        <f t="shared" si="1"/>
        <v/>
      </c>
      <c r="O2613" s="15" t="str">
        <f>IFERROR(VLOOKUP(I2613,material!A:D,2,0),"")</f>
        <v/>
      </c>
    </row>
    <row r="2614">
      <c r="A2614" s="6"/>
      <c r="B2614" s="7"/>
      <c r="C2614" s="8" t="str">
        <f t="array" ref="C2614">IFERROR(INDEX(atlas!H:H,MATCH(A2614,atlas!C:C,0)),"")</f>
        <v/>
      </c>
      <c r="D2614" s="8" t="str">
        <f t="array" ref="D2614">IFERROR(INDEX(atlas!D:D,MATCH(A2614,atlas!C:C,0)),"")</f>
        <v/>
      </c>
      <c r="E2614" s="8" t="str">
        <f t="array" ref="E2614">IFERROR(INDEX(atlas!F:F,MATCH(A2614,atlas!C:C,0)),"")</f>
        <v/>
      </c>
      <c r="F2614" s="9"/>
      <c r="G2614" s="10"/>
      <c r="H2614" s="11"/>
      <c r="I2614" s="12" t="str">
        <f t="array" ref="I2614">IFERROR(INDEX(atlas!B:B,MATCH(A2614,atlas!C:C,0)),"")</f>
        <v/>
      </c>
      <c r="J2614" s="8" t="str">
        <f>IFERROR(VLOOKUP(F2614,tecnica!A:B,2,0),"")</f>
        <v/>
      </c>
      <c r="K2614" s="8" t="str">
        <f>IFERROR(VLOOKUP(J2614,tecnica!B:C,2,0),"")</f>
        <v/>
      </c>
      <c r="L2614" s="13"/>
      <c r="M2614" s="14" t="str">
        <f>IFERROR(VLOOKUP(I2614,material!A:D,4,0),"")</f>
        <v/>
      </c>
      <c r="N2614" s="14" t="str">
        <f t="shared" si="1"/>
        <v/>
      </c>
      <c r="O2614" s="15" t="str">
        <f>IFERROR(VLOOKUP(I2614,material!A:D,2,0),"")</f>
        <v/>
      </c>
    </row>
    <row r="2615">
      <c r="A2615" s="6"/>
      <c r="B2615" s="7"/>
      <c r="C2615" s="8" t="str">
        <f t="array" ref="C2615">IFERROR(INDEX(atlas!H:H,MATCH(A2615,atlas!C:C,0)),"")</f>
        <v/>
      </c>
      <c r="D2615" s="8" t="str">
        <f t="array" ref="D2615">IFERROR(INDEX(atlas!D:D,MATCH(A2615,atlas!C:C,0)),"")</f>
        <v/>
      </c>
      <c r="E2615" s="8" t="str">
        <f t="array" ref="E2615">IFERROR(INDEX(atlas!F:F,MATCH(A2615,atlas!C:C,0)),"")</f>
        <v/>
      </c>
      <c r="F2615" s="9"/>
      <c r="G2615" s="10"/>
      <c r="H2615" s="11"/>
      <c r="I2615" s="12" t="str">
        <f t="array" ref="I2615">IFERROR(INDEX(atlas!B:B,MATCH(A2615,atlas!C:C,0)),"")</f>
        <v/>
      </c>
      <c r="J2615" s="8" t="str">
        <f>IFERROR(VLOOKUP(F2615,tecnica!A:B,2,0),"")</f>
        <v/>
      </c>
      <c r="K2615" s="8" t="str">
        <f>IFERROR(VLOOKUP(J2615,tecnica!B:C,2,0),"")</f>
        <v/>
      </c>
      <c r="L2615" s="13"/>
      <c r="M2615" s="14" t="str">
        <f>IFERROR(VLOOKUP(I2615,material!A:D,4,0),"")</f>
        <v/>
      </c>
      <c r="N2615" s="14" t="str">
        <f t="shared" si="1"/>
        <v/>
      </c>
      <c r="O2615" s="15" t="str">
        <f>IFERROR(VLOOKUP(I2615,material!A:D,2,0),"")</f>
        <v/>
      </c>
    </row>
    <row r="2616">
      <c r="A2616" s="6"/>
      <c r="B2616" s="7"/>
      <c r="C2616" s="8" t="str">
        <f t="array" ref="C2616">IFERROR(INDEX(atlas!H:H,MATCH(A2616,atlas!C:C,0)),"")</f>
        <v/>
      </c>
      <c r="D2616" s="8" t="str">
        <f t="array" ref="D2616">IFERROR(INDEX(atlas!D:D,MATCH(A2616,atlas!C:C,0)),"")</f>
        <v/>
      </c>
      <c r="E2616" s="8" t="str">
        <f t="array" ref="E2616">IFERROR(INDEX(atlas!F:F,MATCH(A2616,atlas!C:C,0)),"")</f>
        <v/>
      </c>
      <c r="F2616" s="9"/>
      <c r="G2616" s="10"/>
      <c r="H2616" s="11"/>
      <c r="I2616" s="12" t="str">
        <f t="array" ref="I2616">IFERROR(INDEX(atlas!B:B,MATCH(A2616,atlas!C:C,0)),"")</f>
        <v/>
      </c>
      <c r="J2616" s="8" t="str">
        <f>IFERROR(VLOOKUP(F2616,tecnica!A:B,2,0),"")</f>
        <v/>
      </c>
      <c r="K2616" s="8" t="str">
        <f>IFERROR(VLOOKUP(J2616,tecnica!B:C,2,0),"")</f>
        <v/>
      </c>
      <c r="L2616" s="13"/>
      <c r="M2616" s="14" t="str">
        <f>IFERROR(VLOOKUP(I2616,material!A:D,4,0),"")</f>
        <v/>
      </c>
      <c r="N2616" s="14" t="str">
        <f t="shared" si="1"/>
        <v/>
      </c>
      <c r="O2616" s="15" t="str">
        <f>IFERROR(VLOOKUP(I2616,material!A:D,2,0),"")</f>
        <v/>
      </c>
    </row>
    <row r="2617">
      <c r="A2617" s="6"/>
      <c r="B2617" s="7"/>
      <c r="C2617" s="8" t="str">
        <f t="array" ref="C2617">IFERROR(INDEX(atlas!H:H,MATCH(A2617,atlas!C:C,0)),"")</f>
        <v/>
      </c>
      <c r="D2617" s="8" t="str">
        <f t="array" ref="D2617">IFERROR(INDEX(atlas!D:D,MATCH(A2617,atlas!C:C,0)),"")</f>
        <v/>
      </c>
      <c r="E2617" s="8" t="str">
        <f t="array" ref="E2617">IFERROR(INDEX(atlas!F:F,MATCH(A2617,atlas!C:C,0)),"")</f>
        <v/>
      </c>
      <c r="F2617" s="9"/>
      <c r="G2617" s="10"/>
      <c r="H2617" s="11"/>
      <c r="I2617" s="12" t="str">
        <f t="array" ref="I2617">IFERROR(INDEX(atlas!B:B,MATCH(A2617,atlas!C:C,0)),"")</f>
        <v/>
      </c>
      <c r="J2617" s="8" t="str">
        <f>IFERROR(VLOOKUP(F2617,tecnica!A:B,2,0),"")</f>
        <v/>
      </c>
      <c r="K2617" s="8" t="str">
        <f>IFERROR(VLOOKUP(J2617,tecnica!B:C,2,0),"")</f>
        <v/>
      </c>
      <c r="L2617" s="13"/>
      <c r="M2617" s="14" t="str">
        <f>IFERROR(VLOOKUP(I2617,material!A:D,4,0),"")</f>
        <v/>
      </c>
      <c r="N2617" s="14" t="str">
        <f t="shared" si="1"/>
        <v/>
      </c>
      <c r="O2617" s="15" t="str">
        <f>IFERROR(VLOOKUP(I2617,material!A:D,2,0),"")</f>
        <v/>
      </c>
    </row>
    <row r="2618">
      <c r="A2618" s="6"/>
      <c r="B2618" s="7"/>
      <c r="C2618" s="8" t="str">
        <f t="array" ref="C2618">IFERROR(INDEX(atlas!H:H,MATCH(A2618,atlas!C:C,0)),"")</f>
        <v/>
      </c>
      <c r="D2618" s="8" t="str">
        <f t="array" ref="D2618">IFERROR(INDEX(atlas!D:D,MATCH(A2618,atlas!C:C,0)),"")</f>
        <v/>
      </c>
      <c r="E2618" s="8" t="str">
        <f t="array" ref="E2618">IFERROR(INDEX(atlas!F:F,MATCH(A2618,atlas!C:C,0)),"")</f>
        <v/>
      </c>
      <c r="F2618" s="9"/>
      <c r="G2618" s="10"/>
      <c r="H2618" s="11"/>
      <c r="I2618" s="12" t="str">
        <f t="array" ref="I2618">IFERROR(INDEX(atlas!B:B,MATCH(A2618,atlas!C:C,0)),"")</f>
        <v/>
      </c>
      <c r="J2618" s="8" t="str">
        <f>IFERROR(VLOOKUP(F2618,tecnica!A:B,2,0),"")</f>
        <v/>
      </c>
      <c r="K2618" s="8" t="str">
        <f>IFERROR(VLOOKUP(J2618,tecnica!B:C,2,0),"")</f>
        <v/>
      </c>
      <c r="L2618" s="13"/>
      <c r="M2618" s="14" t="str">
        <f>IFERROR(VLOOKUP(I2618,material!A:D,4,0),"")</f>
        <v/>
      </c>
      <c r="N2618" s="14" t="str">
        <f t="shared" si="1"/>
        <v/>
      </c>
      <c r="O2618" s="15" t="str">
        <f>IFERROR(VLOOKUP(I2618,material!A:D,2,0),"")</f>
        <v/>
      </c>
    </row>
    <row r="2619">
      <c r="A2619" s="6"/>
      <c r="B2619" s="7"/>
      <c r="C2619" s="8" t="str">
        <f t="array" ref="C2619">IFERROR(INDEX(atlas!H:H,MATCH(A2619,atlas!C:C,0)),"")</f>
        <v/>
      </c>
      <c r="D2619" s="8" t="str">
        <f t="array" ref="D2619">IFERROR(INDEX(atlas!D:D,MATCH(A2619,atlas!C:C,0)),"")</f>
        <v/>
      </c>
      <c r="E2619" s="8" t="str">
        <f t="array" ref="E2619">IFERROR(INDEX(atlas!F:F,MATCH(A2619,atlas!C:C,0)),"")</f>
        <v/>
      </c>
      <c r="F2619" s="9"/>
      <c r="G2619" s="10"/>
      <c r="H2619" s="11"/>
      <c r="I2619" s="12" t="str">
        <f t="array" ref="I2619">IFERROR(INDEX(atlas!B:B,MATCH(A2619,atlas!C:C,0)),"")</f>
        <v/>
      </c>
      <c r="J2619" s="8" t="str">
        <f>IFERROR(VLOOKUP(F2619,tecnica!A:B,2,0),"")</f>
        <v/>
      </c>
      <c r="K2619" s="8" t="str">
        <f>IFERROR(VLOOKUP(J2619,tecnica!B:C,2,0),"")</f>
        <v/>
      </c>
      <c r="L2619" s="13"/>
      <c r="M2619" s="14" t="str">
        <f>IFERROR(VLOOKUP(I2619,material!A:D,4,0),"")</f>
        <v/>
      </c>
      <c r="N2619" s="14" t="str">
        <f t="shared" si="1"/>
        <v/>
      </c>
      <c r="O2619" s="15" t="str">
        <f>IFERROR(VLOOKUP(I2619,material!A:D,2,0),"")</f>
        <v/>
      </c>
    </row>
    <row r="2620">
      <c r="A2620" s="6"/>
      <c r="B2620" s="7"/>
      <c r="C2620" s="8" t="str">
        <f t="array" ref="C2620">IFERROR(INDEX(atlas!H:H,MATCH(A2620,atlas!C:C,0)),"")</f>
        <v/>
      </c>
      <c r="D2620" s="8" t="str">
        <f t="array" ref="D2620">IFERROR(INDEX(atlas!D:D,MATCH(A2620,atlas!C:C,0)),"")</f>
        <v/>
      </c>
      <c r="E2620" s="8" t="str">
        <f t="array" ref="E2620">IFERROR(INDEX(atlas!F:F,MATCH(A2620,atlas!C:C,0)),"")</f>
        <v/>
      </c>
      <c r="F2620" s="9"/>
      <c r="G2620" s="10"/>
      <c r="H2620" s="11"/>
      <c r="I2620" s="12" t="str">
        <f t="array" ref="I2620">IFERROR(INDEX(atlas!B:B,MATCH(A2620,atlas!C:C,0)),"")</f>
        <v/>
      </c>
      <c r="J2620" s="8" t="str">
        <f>IFERROR(VLOOKUP(F2620,tecnica!A:B,2,0),"")</f>
        <v/>
      </c>
      <c r="K2620" s="8" t="str">
        <f>IFERROR(VLOOKUP(J2620,tecnica!B:C,2,0),"")</f>
        <v/>
      </c>
      <c r="L2620" s="13"/>
      <c r="M2620" s="14" t="str">
        <f>IFERROR(VLOOKUP(I2620,material!A:D,4,0),"")</f>
        <v/>
      </c>
      <c r="N2620" s="14" t="str">
        <f t="shared" si="1"/>
        <v/>
      </c>
      <c r="O2620" s="15" t="str">
        <f>IFERROR(VLOOKUP(I2620,material!A:D,2,0),"")</f>
        <v/>
      </c>
    </row>
    <row r="2621">
      <c r="A2621" s="6"/>
      <c r="B2621" s="7"/>
      <c r="C2621" s="8" t="str">
        <f t="array" ref="C2621">IFERROR(INDEX(atlas!H:H,MATCH(A2621,atlas!C:C,0)),"")</f>
        <v/>
      </c>
      <c r="D2621" s="8" t="str">
        <f t="array" ref="D2621">IFERROR(INDEX(atlas!D:D,MATCH(A2621,atlas!C:C,0)),"")</f>
        <v/>
      </c>
      <c r="E2621" s="8" t="str">
        <f t="array" ref="E2621">IFERROR(INDEX(atlas!F:F,MATCH(A2621,atlas!C:C,0)),"")</f>
        <v/>
      </c>
      <c r="F2621" s="9"/>
      <c r="G2621" s="10"/>
      <c r="H2621" s="11"/>
      <c r="I2621" s="12" t="str">
        <f t="array" ref="I2621">IFERROR(INDEX(atlas!B:B,MATCH(A2621,atlas!C:C,0)),"")</f>
        <v/>
      </c>
      <c r="J2621" s="8" t="str">
        <f>IFERROR(VLOOKUP(F2621,tecnica!A:B,2,0),"")</f>
        <v/>
      </c>
      <c r="K2621" s="8" t="str">
        <f>IFERROR(VLOOKUP(J2621,tecnica!B:C,2,0),"")</f>
        <v/>
      </c>
      <c r="L2621" s="13"/>
      <c r="M2621" s="14" t="str">
        <f>IFERROR(VLOOKUP(I2621,material!A:D,4,0),"")</f>
        <v/>
      </c>
      <c r="N2621" s="14" t="str">
        <f t="shared" si="1"/>
        <v/>
      </c>
      <c r="O2621" s="15" t="str">
        <f>IFERROR(VLOOKUP(I2621,material!A:D,2,0),"")</f>
        <v/>
      </c>
    </row>
    <row r="2622">
      <c r="A2622" s="6"/>
      <c r="B2622" s="7"/>
      <c r="C2622" s="8" t="str">
        <f t="array" ref="C2622">IFERROR(INDEX(atlas!H:H,MATCH(A2622,atlas!C:C,0)),"")</f>
        <v/>
      </c>
      <c r="D2622" s="8" t="str">
        <f t="array" ref="D2622">IFERROR(INDEX(atlas!D:D,MATCH(A2622,atlas!C:C,0)),"")</f>
        <v/>
      </c>
      <c r="E2622" s="8" t="str">
        <f t="array" ref="E2622">IFERROR(INDEX(atlas!F:F,MATCH(A2622,atlas!C:C,0)),"")</f>
        <v/>
      </c>
      <c r="F2622" s="9"/>
      <c r="G2622" s="10"/>
      <c r="H2622" s="11"/>
      <c r="I2622" s="12" t="str">
        <f t="array" ref="I2622">IFERROR(INDEX(atlas!B:B,MATCH(A2622,atlas!C:C,0)),"")</f>
        <v/>
      </c>
      <c r="J2622" s="8" t="str">
        <f>IFERROR(VLOOKUP(F2622,tecnica!A:B,2,0),"")</f>
        <v/>
      </c>
      <c r="K2622" s="8" t="str">
        <f>IFERROR(VLOOKUP(J2622,tecnica!B:C,2,0),"")</f>
        <v/>
      </c>
      <c r="L2622" s="13"/>
      <c r="M2622" s="14" t="str">
        <f>IFERROR(VLOOKUP(I2622,material!A:D,4,0),"")</f>
        <v/>
      </c>
      <c r="N2622" s="14" t="str">
        <f t="shared" si="1"/>
        <v/>
      </c>
      <c r="O2622" s="15" t="str">
        <f>IFERROR(VLOOKUP(I2622,material!A:D,2,0),"")</f>
        <v/>
      </c>
    </row>
    <row r="2623">
      <c r="A2623" s="6"/>
      <c r="B2623" s="7"/>
      <c r="C2623" s="8" t="str">
        <f t="array" ref="C2623">IFERROR(INDEX(atlas!H:H,MATCH(A2623,atlas!C:C,0)),"")</f>
        <v/>
      </c>
      <c r="D2623" s="8" t="str">
        <f t="array" ref="D2623">IFERROR(INDEX(atlas!D:D,MATCH(A2623,atlas!C:C,0)),"")</f>
        <v/>
      </c>
      <c r="E2623" s="8" t="str">
        <f t="array" ref="E2623">IFERROR(INDEX(atlas!F:F,MATCH(A2623,atlas!C:C,0)),"")</f>
        <v/>
      </c>
      <c r="F2623" s="9"/>
      <c r="G2623" s="10"/>
      <c r="H2623" s="11"/>
      <c r="I2623" s="12" t="str">
        <f t="array" ref="I2623">IFERROR(INDEX(atlas!B:B,MATCH(A2623,atlas!C:C,0)),"")</f>
        <v/>
      </c>
      <c r="J2623" s="8" t="str">
        <f>IFERROR(VLOOKUP(F2623,tecnica!A:B,2,0),"")</f>
        <v/>
      </c>
      <c r="K2623" s="8" t="str">
        <f>IFERROR(VLOOKUP(J2623,tecnica!B:C,2,0),"")</f>
        <v/>
      </c>
      <c r="L2623" s="13"/>
      <c r="M2623" s="14" t="str">
        <f>IFERROR(VLOOKUP(I2623,material!A:D,4,0),"")</f>
        <v/>
      </c>
      <c r="N2623" s="14" t="str">
        <f t="shared" si="1"/>
        <v/>
      </c>
      <c r="O2623" s="15" t="str">
        <f>IFERROR(VLOOKUP(I2623,material!A:D,2,0),"")</f>
        <v/>
      </c>
    </row>
    <row r="2624">
      <c r="A2624" s="6"/>
      <c r="B2624" s="7"/>
      <c r="C2624" s="8" t="str">
        <f t="array" ref="C2624">IFERROR(INDEX(atlas!H:H,MATCH(A2624,atlas!C:C,0)),"")</f>
        <v/>
      </c>
      <c r="D2624" s="8" t="str">
        <f t="array" ref="D2624">IFERROR(INDEX(atlas!D:D,MATCH(A2624,atlas!C:C,0)),"")</f>
        <v/>
      </c>
      <c r="E2624" s="8" t="str">
        <f t="array" ref="E2624">IFERROR(INDEX(atlas!F:F,MATCH(A2624,atlas!C:C,0)),"")</f>
        <v/>
      </c>
      <c r="F2624" s="9"/>
      <c r="G2624" s="10"/>
      <c r="H2624" s="11"/>
      <c r="I2624" s="12" t="str">
        <f t="array" ref="I2624">IFERROR(INDEX(atlas!B:B,MATCH(A2624,atlas!C:C,0)),"")</f>
        <v/>
      </c>
      <c r="J2624" s="8" t="str">
        <f>IFERROR(VLOOKUP(F2624,tecnica!A:B,2,0),"")</f>
        <v/>
      </c>
      <c r="K2624" s="8" t="str">
        <f>IFERROR(VLOOKUP(J2624,tecnica!B:C,2,0),"")</f>
        <v/>
      </c>
      <c r="L2624" s="13"/>
      <c r="M2624" s="14" t="str">
        <f>IFERROR(VLOOKUP(I2624,material!A:D,4,0),"")</f>
        <v/>
      </c>
      <c r="N2624" s="14" t="str">
        <f t="shared" si="1"/>
        <v/>
      </c>
      <c r="O2624" s="15" t="str">
        <f>IFERROR(VLOOKUP(I2624,material!A:D,2,0),"")</f>
        <v/>
      </c>
    </row>
    <row r="2625">
      <c r="A2625" s="6"/>
      <c r="B2625" s="7"/>
      <c r="C2625" s="8" t="str">
        <f t="array" ref="C2625">IFERROR(INDEX(atlas!H:H,MATCH(A2625,atlas!C:C,0)),"")</f>
        <v/>
      </c>
      <c r="D2625" s="8" t="str">
        <f t="array" ref="D2625">IFERROR(INDEX(atlas!D:D,MATCH(A2625,atlas!C:C,0)),"")</f>
        <v/>
      </c>
      <c r="E2625" s="8" t="str">
        <f t="array" ref="E2625">IFERROR(INDEX(atlas!F:F,MATCH(A2625,atlas!C:C,0)),"")</f>
        <v/>
      </c>
      <c r="F2625" s="9"/>
      <c r="G2625" s="10"/>
      <c r="H2625" s="11"/>
      <c r="I2625" s="12" t="str">
        <f t="array" ref="I2625">IFERROR(INDEX(atlas!B:B,MATCH(A2625,atlas!C:C,0)),"")</f>
        <v/>
      </c>
      <c r="J2625" s="8" t="str">
        <f>IFERROR(VLOOKUP(F2625,tecnica!A:B,2,0),"")</f>
        <v/>
      </c>
      <c r="K2625" s="8" t="str">
        <f>IFERROR(VLOOKUP(J2625,tecnica!B:C,2,0),"")</f>
        <v/>
      </c>
      <c r="L2625" s="13"/>
      <c r="M2625" s="14" t="str">
        <f>IFERROR(VLOOKUP(I2625,material!A:D,4,0),"")</f>
        <v/>
      </c>
      <c r="N2625" s="14" t="str">
        <f t="shared" si="1"/>
        <v/>
      </c>
      <c r="O2625" s="15" t="str">
        <f>IFERROR(VLOOKUP(I2625,material!A:D,2,0),"")</f>
        <v/>
      </c>
    </row>
    <row r="2626">
      <c r="A2626" s="6"/>
      <c r="B2626" s="7"/>
      <c r="C2626" s="8" t="str">
        <f t="array" ref="C2626">IFERROR(INDEX(atlas!H:H,MATCH(A2626,atlas!C:C,0)),"")</f>
        <v/>
      </c>
      <c r="D2626" s="8" t="str">
        <f t="array" ref="D2626">IFERROR(INDEX(atlas!D:D,MATCH(A2626,atlas!C:C,0)),"")</f>
        <v/>
      </c>
      <c r="E2626" s="8" t="str">
        <f t="array" ref="E2626">IFERROR(INDEX(atlas!F:F,MATCH(A2626,atlas!C:C,0)),"")</f>
        <v/>
      </c>
      <c r="F2626" s="9"/>
      <c r="G2626" s="10"/>
      <c r="H2626" s="11"/>
      <c r="I2626" s="12" t="str">
        <f t="array" ref="I2626">IFERROR(INDEX(atlas!B:B,MATCH(A2626,atlas!C:C,0)),"")</f>
        <v/>
      </c>
      <c r="J2626" s="8" t="str">
        <f>IFERROR(VLOOKUP(F2626,tecnica!A:B,2,0),"")</f>
        <v/>
      </c>
      <c r="K2626" s="8" t="str">
        <f>IFERROR(VLOOKUP(J2626,tecnica!B:C,2,0),"")</f>
        <v/>
      </c>
      <c r="L2626" s="13"/>
      <c r="M2626" s="14" t="str">
        <f>IFERROR(VLOOKUP(I2626,material!A:D,4,0),"")</f>
        <v/>
      </c>
      <c r="N2626" s="14" t="str">
        <f t="shared" si="1"/>
        <v/>
      </c>
      <c r="O2626" s="15" t="str">
        <f>IFERROR(VLOOKUP(I2626,material!A:D,2,0),"")</f>
        <v/>
      </c>
    </row>
    <row r="2627">
      <c r="A2627" s="6"/>
      <c r="B2627" s="7"/>
      <c r="C2627" s="8" t="str">
        <f t="array" ref="C2627">IFERROR(INDEX(atlas!H:H,MATCH(A2627,atlas!C:C,0)),"")</f>
        <v/>
      </c>
      <c r="D2627" s="8" t="str">
        <f t="array" ref="D2627">IFERROR(INDEX(atlas!D:D,MATCH(A2627,atlas!C:C,0)),"")</f>
        <v/>
      </c>
      <c r="E2627" s="8" t="str">
        <f t="array" ref="E2627">IFERROR(INDEX(atlas!F:F,MATCH(A2627,atlas!C:C,0)),"")</f>
        <v/>
      </c>
      <c r="F2627" s="9"/>
      <c r="G2627" s="10"/>
      <c r="H2627" s="11"/>
      <c r="I2627" s="12" t="str">
        <f t="array" ref="I2627">IFERROR(INDEX(atlas!B:B,MATCH(A2627,atlas!C:C,0)),"")</f>
        <v/>
      </c>
      <c r="J2627" s="8" t="str">
        <f>IFERROR(VLOOKUP(F2627,tecnica!A:B,2,0),"")</f>
        <v/>
      </c>
      <c r="K2627" s="8" t="str">
        <f>IFERROR(VLOOKUP(J2627,tecnica!B:C,2,0),"")</f>
        <v/>
      </c>
      <c r="L2627" s="13"/>
      <c r="M2627" s="14" t="str">
        <f>IFERROR(VLOOKUP(I2627,material!A:D,4,0),"")</f>
        <v/>
      </c>
      <c r="N2627" s="14" t="str">
        <f t="shared" si="1"/>
        <v/>
      </c>
      <c r="O2627" s="15" t="str">
        <f>IFERROR(VLOOKUP(I2627,material!A:D,2,0),"")</f>
        <v/>
      </c>
    </row>
    <row r="2628">
      <c r="A2628" s="6"/>
      <c r="B2628" s="7"/>
      <c r="C2628" s="8" t="str">
        <f t="array" ref="C2628">IFERROR(INDEX(atlas!H:H,MATCH(A2628,atlas!C:C,0)),"")</f>
        <v/>
      </c>
      <c r="D2628" s="8" t="str">
        <f t="array" ref="D2628">IFERROR(INDEX(atlas!D:D,MATCH(A2628,atlas!C:C,0)),"")</f>
        <v/>
      </c>
      <c r="E2628" s="8" t="str">
        <f t="array" ref="E2628">IFERROR(INDEX(atlas!F:F,MATCH(A2628,atlas!C:C,0)),"")</f>
        <v/>
      </c>
      <c r="F2628" s="9"/>
      <c r="G2628" s="10"/>
      <c r="H2628" s="11"/>
      <c r="I2628" s="12" t="str">
        <f t="array" ref="I2628">IFERROR(INDEX(atlas!B:B,MATCH(A2628,atlas!C:C,0)),"")</f>
        <v/>
      </c>
      <c r="J2628" s="8" t="str">
        <f>IFERROR(VLOOKUP(F2628,tecnica!A:B,2,0),"")</f>
        <v/>
      </c>
      <c r="K2628" s="8" t="str">
        <f>IFERROR(VLOOKUP(J2628,tecnica!B:C,2,0),"")</f>
        <v/>
      </c>
      <c r="L2628" s="13"/>
      <c r="M2628" s="14" t="str">
        <f>IFERROR(VLOOKUP(I2628,material!A:D,4,0),"")</f>
        <v/>
      </c>
      <c r="N2628" s="14" t="str">
        <f t="shared" si="1"/>
        <v/>
      </c>
      <c r="O2628" s="15" t="str">
        <f>IFERROR(VLOOKUP(I2628,material!A:D,2,0),"")</f>
        <v/>
      </c>
    </row>
    <row r="2629">
      <c r="A2629" s="6"/>
      <c r="B2629" s="7"/>
      <c r="C2629" s="8" t="str">
        <f t="array" ref="C2629">IFERROR(INDEX(atlas!H:H,MATCH(A2629,atlas!C:C,0)),"")</f>
        <v/>
      </c>
      <c r="D2629" s="8" t="str">
        <f t="array" ref="D2629">IFERROR(INDEX(atlas!D:D,MATCH(A2629,atlas!C:C,0)),"")</f>
        <v/>
      </c>
      <c r="E2629" s="8" t="str">
        <f t="array" ref="E2629">IFERROR(INDEX(atlas!F:F,MATCH(A2629,atlas!C:C,0)),"")</f>
        <v/>
      </c>
      <c r="F2629" s="9"/>
      <c r="G2629" s="10"/>
      <c r="H2629" s="11"/>
      <c r="I2629" s="12" t="str">
        <f t="array" ref="I2629">IFERROR(INDEX(atlas!B:B,MATCH(A2629,atlas!C:C,0)),"")</f>
        <v/>
      </c>
      <c r="J2629" s="8" t="str">
        <f>IFERROR(VLOOKUP(F2629,tecnica!A:B,2,0),"")</f>
        <v/>
      </c>
      <c r="K2629" s="8" t="str">
        <f>IFERROR(VLOOKUP(J2629,tecnica!B:C,2,0),"")</f>
        <v/>
      </c>
      <c r="L2629" s="13"/>
      <c r="M2629" s="14" t="str">
        <f>IFERROR(VLOOKUP(I2629,material!A:D,4,0),"")</f>
        <v/>
      </c>
      <c r="N2629" s="14" t="str">
        <f t="shared" si="1"/>
        <v/>
      </c>
      <c r="O2629" s="15" t="str">
        <f>IFERROR(VLOOKUP(I2629,material!A:D,2,0),"")</f>
        <v/>
      </c>
    </row>
    <row r="2630">
      <c r="A2630" s="6"/>
      <c r="B2630" s="7"/>
      <c r="C2630" s="8" t="str">
        <f t="array" ref="C2630">IFERROR(INDEX(atlas!H:H,MATCH(A2630,atlas!C:C,0)),"")</f>
        <v/>
      </c>
      <c r="D2630" s="8" t="str">
        <f t="array" ref="D2630">IFERROR(INDEX(atlas!D:D,MATCH(A2630,atlas!C:C,0)),"")</f>
        <v/>
      </c>
      <c r="E2630" s="8" t="str">
        <f t="array" ref="E2630">IFERROR(INDEX(atlas!F:F,MATCH(A2630,atlas!C:C,0)),"")</f>
        <v/>
      </c>
      <c r="F2630" s="9"/>
      <c r="G2630" s="10"/>
      <c r="H2630" s="11"/>
      <c r="I2630" s="12" t="str">
        <f t="array" ref="I2630">IFERROR(INDEX(atlas!B:B,MATCH(A2630,atlas!C:C,0)),"")</f>
        <v/>
      </c>
      <c r="J2630" s="8" t="str">
        <f>IFERROR(VLOOKUP(F2630,tecnica!A:B,2,0),"")</f>
        <v/>
      </c>
      <c r="K2630" s="8" t="str">
        <f>IFERROR(VLOOKUP(J2630,tecnica!B:C,2,0),"")</f>
        <v/>
      </c>
      <c r="L2630" s="13"/>
      <c r="M2630" s="14" t="str">
        <f>IFERROR(VLOOKUP(I2630,material!A:D,4,0),"")</f>
        <v/>
      </c>
      <c r="N2630" s="14" t="str">
        <f t="shared" si="1"/>
        <v/>
      </c>
      <c r="O2630" s="15" t="str">
        <f>IFERROR(VLOOKUP(I2630,material!A:D,2,0),"")</f>
        <v/>
      </c>
    </row>
    <row r="2631">
      <c r="A2631" s="6"/>
      <c r="B2631" s="7"/>
      <c r="C2631" s="8" t="str">
        <f t="array" ref="C2631">IFERROR(INDEX(atlas!H:H,MATCH(A2631,atlas!C:C,0)),"")</f>
        <v/>
      </c>
      <c r="D2631" s="8" t="str">
        <f t="array" ref="D2631">IFERROR(INDEX(atlas!D:D,MATCH(A2631,atlas!C:C,0)),"")</f>
        <v/>
      </c>
      <c r="E2631" s="8" t="str">
        <f t="array" ref="E2631">IFERROR(INDEX(atlas!F:F,MATCH(A2631,atlas!C:C,0)),"")</f>
        <v/>
      </c>
      <c r="F2631" s="9"/>
      <c r="G2631" s="10"/>
      <c r="H2631" s="11"/>
      <c r="I2631" s="12" t="str">
        <f t="array" ref="I2631">IFERROR(INDEX(atlas!B:B,MATCH(A2631,atlas!C:C,0)),"")</f>
        <v/>
      </c>
      <c r="J2631" s="8" t="str">
        <f>IFERROR(VLOOKUP(F2631,tecnica!A:B,2,0),"")</f>
        <v/>
      </c>
      <c r="K2631" s="8" t="str">
        <f>IFERROR(VLOOKUP(J2631,tecnica!B:C,2,0),"")</f>
        <v/>
      </c>
      <c r="L2631" s="13"/>
      <c r="M2631" s="14" t="str">
        <f>IFERROR(VLOOKUP(I2631,material!A:D,4,0),"")</f>
        <v/>
      </c>
      <c r="N2631" s="14" t="str">
        <f t="shared" si="1"/>
        <v/>
      </c>
      <c r="O2631" s="15" t="str">
        <f>IFERROR(VLOOKUP(I2631,material!A:D,2,0),"")</f>
        <v/>
      </c>
    </row>
    <row r="2632">
      <c r="A2632" s="6"/>
      <c r="B2632" s="7"/>
      <c r="C2632" s="8" t="str">
        <f t="array" ref="C2632">IFERROR(INDEX(atlas!H:H,MATCH(A2632,atlas!C:C,0)),"")</f>
        <v/>
      </c>
      <c r="D2632" s="8" t="str">
        <f t="array" ref="D2632">IFERROR(INDEX(atlas!D:D,MATCH(A2632,atlas!C:C,0)),"")</f>
        <v/>
      </c>
      <c r="E2632" s="8" t="str">
        <f t="array" ref="E2632">IFERROR(INDEX(atlas!F:F,MATCH(A2632,atlas!C:C,0)),"")</f>
        <v/>
      </c>
      <c r="F2632" s="9"/>
      <c r="G2632" s="10"/>
      <c r="H2632" s="11"/>
      <c r="I2632" s="12" t="str">
        <f t="array" ref="I2632">IFERROR(INDEX(atlas!B:B,MATCH(A2632,atlas!C:C,0)),"")</f>
        <v/>
      </c>
      <c r="J2632" s="8" t="str">
        <f>IFERROR(VLOOKUP(F2632,tecnica!A:B,2,0),"")</f>
        <v/>
      </c>
      <c r="K2632" s="8" t="str">
        <f>IFERROR(VLOOKUP(J2632,tecnica!B:C,2,0),"")</f>
        <v/>
      </c>
      <c r="L2632" s="13"/>
      <c r="M2632" s="14" t="str">
        <f>IFERROR(VLOOKUP(I2632,material!A:D,4,0),"")</f>
        <v/>
      </c>
      <c r="N2632" s="14" t="str">
        <f t="shared" si="1"/>
        <v/>
      </c>
      <c r="O2632" s="15" t="str">
        <f>IFERROR(VLOOKUP(I2632,material!A:D,2,0),"")</f>
        <v/>
      </c>
    </row>
    <row r="2633">
      <c r="A2633" s="6"/>
      <c r="B2633" s="7"/>
      <c r="C2633" s="8" t="str">
        <f t="array" ref="C2633">IFERROR(INDEX(atlas!H:H,MATCH(A2633,atlas!C:C,0)),"")</f>
        <v/>
      </c>
      <c r="D2633" s="8" t="str">
        <f t="array" ref="D2633">IFERROR(INDEX(atlas!D:D,MATCH(A2633,atlas!C:C,0)),"")</f>
        <v/>
      </c>
      <c r="E2633" s="8" t="str">
        <f t="array" ref="E2633">IFERROR(INDEX(atlas!F:F,MATCH(A2633,atlas!C:C,0)),"")</f>
        <v/>
      </c>
      <c r="F2633" s="9"/>
      <c r="G2633" s="10"/>
      <c r="H2633" s="11"/>
      <c r="I2633" s="12" t="str">
        <f t="array" ref="I2633">IFERROR(INDEX(atlas!B:B,MATCH(A2633,atlas!C:C,0)),"")</f>
        <v/>
      </c>
      <c r="J2633" s="8" t="str">
        <f>IFERROR(VLOOKUP(F2633,tecnica!A:B,2,0),"")</f>
        <v/>
      </c>
      <c r="K2633" s="8" t="str">
        <f>IFERROR(VLOOKUP(J2633,tecnica!B:C,2,0),"")</f>
        <v/>
      </c>
      <c r="L2633" s="13"/>
      <c r="M2633" s="14" t="str">
        <f>IFERROR(VLOOKUP(I2633,material!A:D,4,0),"")</f>
        <v/>
      </c>
      <c r="N2633" s="14" t="str">
        <f t="shared" si="1"/>
        <v/>
      </c>
      <c r="O2633" s="15" t="str">
        <f>IFERROR(VLOOKUP(I2633,material!A:D,2,0),"")</f>
        <v/>
      </c>
    </row>
    <row r="2634">
      <c r="A2634" s="6"/>
      <c r="B2634" s="7"/>
      <c r="C2634" s="8" t="str">
        <f t="array" ref="C2634">IFERROR(INDEX(atlas!H:H,MATCH(A2634,atlas!C:C,0)),"")</f>
        <v/>
      </c>
      <c r="D2634" s="8" t="str">
        <f t="array" ref="D2634">IFERROR(INDEX(atlas!D:D,MATCH(A2634,atlas!C:C,0)),"")</f>
        <v/>
      </c>
      <c r="E2634" s="8" t="str">
        <f t="array" ref="E2634">IFERROR(INDEX(atlas!F:F,MATCH(A2634,atlas!C:C,0)),"")</f>
        <v/>
      </c>
      <c r="F2634" s="9"/>
      <c r="G2634" s="10"/>
      <c r="H2634" s="11"/>
      <c r="I2634" s="12" t="str">
        <f t="array" ref="I2634">IFERROR(INDEX(atlas!B:B,MATCH(A2634,atlas!C:C,0)),"")</f>
        <v/>
      </c>
      <c r="J2634" s="8" t="str">
        <f>IFERROR(VLOOKUP(F2634,tecnica!A:B,2,0),"")</f>
        <v/>
      </c>
      <c r="K2634" s="8" t="str">
        <f>IFERROR(VLOOKUP(J2634,tecnica!B:C,2,0),"")</f>
        <v/>
      </c>
      <c r="L2634" s="13"/>
      <c r="M2634" s="14" t="str">
        <f>IFERROR(VLOOKUP(I2634,material!A:D,4,0),"")</f>
        <v/>
      </c>
      <c r="N2634" s="14" t="str">
        <f t="shared" si="1"/>
        <v/>
      </c>
      <c r="O2634" s="15" t="str">
        <f>IFERROR(VLOOKUP(I2634,material!A:D,2,0),"")</f>
        <v/>
      </c>
    </row>
    <row r="2635">
      <c r="A2635" s="6"/>
      <c r="B2635" s="7"/>
      <c r="C2635" s="8" t="str">
        <f t="array" ref="C2635">IFERROR(INDEX(atlas!H:H,MATCH(A2635,atlas!C:C,0)),"")</f>
        <v/>
      </c>
      <c r="D2635" s="8" t="str">
        <f t="array" ref="D2635">IFERROR(INDEX(atlas!D:D,MATCH(A2635,atlas!C:C,0)),"")</f>
        <v/>
      </c>
      <c r="E2635" s="8" t="str">
        <f t="array" ref="E2635">IFERROR(INDEX(atlas!F:F,MATCH(A2635,atlas!C:C,0)),"")</f>
        <v/>
      </c>
      <c r="F2635" s="9"/>
      <c r="G2635" s="10"/>
      <c r="H2635" s="11"/>
      <c r="I2635" s="12" t="str">
        <f t="array" ref="I2635">IFERROR(INDEX(atlas!B:B,MATCH(A2635,atlas!C:C,0)),"")</f>
        <v/>
      </c>
      <c r="J2635" s="8" t="str">
        <f>IFERROR(VLOOKUP(F2635,tecnica!A:B,2,0),"")</f>
        <v/>
      </c>
      <c r="K2635" s="8" t="str">
        <f>IFERROR(VLOOKUP(J2635,tecnica!B:C,2,0),"")</f>
        <v/>
      </c>
      <c r="L2635" s="13"/>
      <c r="M2635" s="14" t="str">
        <f>IFERROR(VLOOKUP(I2635,material!A:D,4,0),"")</f>
        <v/>
      </c>
      <c r="N2635" s="14" t="str">
        <f t="shared" si="1"/>
        <v/>
      </c>
      <c r="O2635" s="15" t="str">
        <f>IFERROR(VLOOKUP(I2635,material!A:D,2,0),"")</f>
        <v/>
      </c>
    </row>
    <row r="2636">
      <c r="A2636" s="6"/>
      <c r="B2636" s="7"/>
      <c r="C2636" s="8" t="str">
        <f t="array" ref="C2636">IFERROR(INDEX(atlas!H:H,MATCH(A2636,atlas!C:C,0)),"")</f>
        <v/>
      </c>
      <c r="D2636" s="8" t="str">
        <f t="array" ref="D2636">IFERROR(INDEX(atlas!D:D,MATCH(A2636,atlas!C:C,0)),"")</f>
        <v/>
      </c>
      <c r="E2636" s="8" t="str">
        <f t="array" ref="E2636">IFERROR(INDEX(atlas!F:F,MATCH(A2636,atlas!C:C,0)),"")</f>
        <v/>
      </c>
      <c r="F2636" s="9"/>
      <c r="G2636" s="10"/>
      <c r="H2636" s="11"/>
      <c r="I2636" s="12" t="str">
        <f t="array" ref="I2636">IFERROR(INDEX(atlas!B:B,MATCH(A2636,atlas!C:C,0)),"")</f>
        <v/>
      </c>
      <c r="J2636" s="8" t="str">
        <f>IFERROR(VLOOKUP(F2636,tecnica!A:B,2,0),"")</f>
        <v/>
      </c>
      <c r="K2636" s="8" t="str">
        <f>IFERROR(VLOOKUP(J2636,tecnica!B:C,2,0),"")</f>
        <v/>
      </c>
      <c r="L2636" s="13"/>
      <c r="M2636" s="14" t="str">
        <f>IFERROR(VLOOKUP(I2636,material!A:D,4,0),"")</f>
        <v/>
      </c>
      <c r="N2636" s="14" t="str">
        <f t="shared" si="1"/>
        <v/>
      </c>
      <c r="O2636" s="15" t="str">
        <f>IFERROR(VLOOKUP(I2636,material!A:D,2,0),"")</f>
        <v/>
      </c>
    </row>
    <row r="2637">
      <c r="A2637" s="6"/>
      <c r="B2637" s="7"/>
      <c r="C2637" s="8" t="str">
        <f t="array" ref="C2637">IFERROR(INDEX(atlas!H:H,MATCH(A2637,atlas!C:C,0)),"")</f>
        <v/>
      </c>
      <c r="D2637" s="8" t="str">
        <f t="array" ref="D2637">IFERROR(INDEX(atlas!D:D,MATCH(A2637,atlas!C:C,0)),"")</f>
        <v/>
      </c>
      <c r="E2637" s="8" t="str">
        <f t="array" ref="E2637">IFERROR(INDEX(atlas!F:F,MATCH(A2637,atlas!C:C,0)),"")</f>
        <v/>
      </c>
      <c r="F2637" s="9"/>
      <c r="G2637" s="10"/>
      <c r="H2637" s="11"/>
      <c r="I2637" s="12" t="str">
        <f t="array" ref="I2637">IFERROR(INDEX(atlas!B:B,MATCH(A2637,atlas!C:C,0)),"")</f>
        <v/>
      </c>
      <c r="J2637" s="8" t="str">
        <f>IFERROR(VLOOKUP(F2637,tecnica!A:B,2,0),"")</f>
        <v/>
      </c>
      <c r="K2637" s="8" t="str">
        <f>IFERROR(VLOOKUP(J2637,tecnica!B:C,2,0),"")</f>
        <v/>
      </c>
      <c r="L2637" s="13"/>
      <c r="M2637" s="14" t="str">
        <f>IFERROR(VLOOKUP(I2637,material!A:D,4,0),"")</f>
        <v/>
      </c>
      <c r="N2637" s="14" t="str">
        <f t="shared" si="1"/>
        <v/>
      </c>
      <c r="O2637" s="15" t="str">
        <f>IFERROR(VLOOKUP(I2637,material!A:D,2,0),"")</f>
        <v/>
      </c>
    </row>
    <row r="2638">
      <c r="A2638" s="6"/>
      <c r="B2638" s="7"/>
      <c r="C2638" s="8" t="str">
        <f t="array" ref="C2638">IFERROR(INDEX(atlas!H:H,MATCH(A2638,atlas!C:C,0)),"")</f>
        <v/>
      </c>
      <c r="D2638" s="8" t="str">
        <f t="array" ref="D2638">IFERROR(INDEX(atlas!D:D,MATCH(A2638,atlas!C:C,0)),"")</f>
        <v/>
      </c>
      <c r="E2638" s="8" t="str">
        <f t="array" ref="E2638">IFERROR(INDEX(atlas!F:F,MATCH(A2638,atlas!C:C,0)),"")</f>
        <v/>
      </c>
      <c r="F2638" s="9"/>
      <c r="G2638" s="10"/>
      <c r="H2638" s="11"/>
      <c r="I2638" s="12" t="str">
        <f t="array" ref="I2638">IFERROR(INDEX(atlas!B:B,MATCH(A2638,atlas!C:C,0)),"")</f>
        <v/>
      </c>
      <c r="J2638" s="8" t="str">
        <f>IFERROR(VLOOKUP(F2638,tecnica!A:B,2,0),"")</f>
        <v/>
      </c>
      <c r="K2638" s="8" t="str">
        <f>IFERROR(VLOOKUP(J2638,tecnica!B:C,2,0),"")</f>
        <v/>
      </c>
      <c r="L2638" s="13"/>
      <c r="M2638" s="14" t="str">
        <f>IFERROR(VLOOKUP(I2638,material!A:D,4,0),"")</f>
        <v/>
      </c>
      <c r="N2638" s="14" t="str">
        <f t="shared" si="1"/>
        <v/>
      </c>
      <c r="O2638" s="15" t="str">
        <f>IFERROR(VLOOKUP(I2638,material!A:D,2,0),"")</f>
        <v/>
      </c>
    </row>
    <row r="2639">
      <c r="A2639" s="6"/>
      <c r="B2639" s="7"/>
      <c r="C2639" s="8" t="str">
        <f t="array" ref="C2639">IFERROR(INDEX(atlas!H:H,MATCH(A2639,atlas!C:C,0)),"")</f>
        <v/>
      </c>
      <c r="D2639" s="8" t="str">
        <f t="array" ref="D2639">IFERROR(INDEX(atlas!D:D,MATCH(A2639,atlas!C:C,0)),"")</f>
        <v/>
      </c>
      <c r="E2639" s="8" t="str">
        <f t="array" ref="E2639">IFERROR(INDEX(atlas!F:F,MATCH(A2639,atlas!C:C,0)),"")</f>
        <v/>
      </c>
      <c r="F2639" s="9"/>
      <c r="G2639" s="10"/>
      <c r="H2639" s="11"/>
      <c r="I2639" s="12" t="str">
        <f t="array" ref="I2639">IFERROR(INDEX(atlas!B:B,MATCH(A2639,atlas!C:C,0)),"")</f>
        <v/>
      </c>
      <c r="J2639" s="8" t="str">
        <f>IFERROR(VLOOKUP(F2639,tecnica!A:B,2,0),"")</f>
        <v/>
      </c>
      <c r="K2639" s="8" t="str">
        <f>IFERROR(VLOOKUP(J2639,tecnica!B:C,2,0),"")</f>
        <v/>
      </c>
      <c r="L2639" s="13"/>
      <c r="M2639" s="14" t="str">
        <f>IFERROR(VLOOKUP(I2639,material!A:D,4,0),"")</f>
        <v/>
      </c>
      <c r="N2639" s="14" t="str">
        <f t="shared" si="1"/>
        <v/>
      </c>
      <c r="O2639" s="15" t="str">
        <f>IFERROR(VLOOKUP(I2639,material!A:D,2,0),"")</f>
        <v/>
      </c>
    </row>
    <row r="2640">
      <c r="A2640" s="6"/>
      <c r="B2640" s="7"/>
      <c r="C2640" s="8" t="str">
        <f t="array" ref="C2640">IFERROR(INDEX(atlas!H:H,MATCH(A2640,atlas!C:C,0)),"")</f>
        <v/>
      </c>
      <c r="D2640" s="8" t="str">
        <f t="array" ref="D2640">IFERROR(INDEX(atlas!D:D,MATCH(A2640,atlas!C:C,0)),"")</f>
        <v/>
      </c>
      <c r="E2640" s="8" t="str">
        <f t="array" ref="E2640">IFERROR(INDEX(atlas!F:F,MATCH(A2640,atlas!C:C,0)),"")</f>
        <v/>
      </c>
      <c r="F2640" s="9"/>
      <c r="G2640" s="10"/>
      <c r="H2640" s="11"/>
      <c r="I2640" s="12" t="str">
        <f t="array" ref="I2640">IFERROR(INDEX(atlas!B:B,MATCH(A2640,atlas!C:C,0)),"")</f>
        <v/>
      </c>
      <c r="J2640" s="8" t="str">
        <f>IFERROR(VLOOKUP(F2640,tecnica!A:B,2,0),"")</f>
        <v/>
      </c>
      <c r="K2640" s="8" t="str">
        <f>IFERROR(VLOOKUP(J2640,tecnica!B:C,2,0),"")</f>
        <v/>
      </c>
      <c r="L2640" s="13"/>
      <c r="M2640" s="14" t="str">
        <f>IFERROR(VLOOKUP(I2640,material!A:D,4,0),"")</f>
        <v/>
      </c>
      <c r="N2640" s="14" t="str">
        <f t="shared" si="1"/>
        <v/>
      </c>
      <c r="O2640" s="15" t="str">
        <f>IFERROR(VLOOKUP(I2640,material!A:D,2,0),"")</f>
        <v/>
      </c>
    </row>
    <row r="2641">
      <c r="A2641" s="6"/>
      <c r="B2641" s="7"/>
      <c r="C2641" s="8" t="str">
        <f t="array" ref="C2641">IFERROR(INDEX(atlas!H:H,MATCH(A2641,atlas!C:C,0)),"")</f>
        <v/>
      </c>
      <c r="D2641" s="8" t="str">
        <f t="array" ref="D2641">IFERROR(INDEX(atlas!D:D,MATCH(A2641,atlas!C:C,0)),"")</f>
        <v/>
      </c>
      <c r="E2641" s="8" t="str">
        <f t="array" ref="E2641">IFERROR(INDEX(atlas!F:F,MATCH(A2641,atlas!C:C,0)),"")</f>
        <v/>
      </c>
      <c r="F2641" s="9"/>
      <c r="G2641" s="10"/>
      <c r="H2641" s="11"/>
      <c r="I2641" s="12" t="str">
        <f t="array" ref="I2641">IFERROR(INDEX(atlas!B:B,MATCH(A2641,atlas!C:C,0)),"")</f>
        <v/>
      </c>
      <c r="J2641" s="8" t="str">
        <f>IFERROR(VLOOKUP(F2641,tecnica!A:B,2,0),"")</f>
        <v/>
      </c>
      <c r="K2641" s="8" t="str">
        <f>IFERROR(VLOOKUP(J2641,tecnica!B:C,2,0),"")</f>
        <v/>
      </c>
      <c r="L2641" s="13"/>
      <c r="M2641" s="14" t="str">
        <f>IFERROR(VLOOKUP(I2641,material!A:D,4,0),"")</f>
        <v/>
      </c>
      <c r="N2641" s="14" t="str">
        <f t="shared" si="1"/>
        <v/>
      </c>
      <c r="O2641" s="15" t="str">
        <f>IFERROR(VLOOKUP(I2641,material!A:D,2,0),"")</f>
        <v/>
      </c>
    </row>
    <row r="2642">
      <c r="A2642" s="6"/>
      <c r="B2642" s="7"/>
      <c r="C2642" s="8" t="str">
        <f t="array" ref="C2642">IFERROR(INDEX(atlas!H:H,MATCH(A2642,atlas!C:C,0)),"")</f>
        <v/>
      </c>
      <c r="D2642" s="8" t="str">
        <f t="array" ref="D2642">IFERROR(INDEX(atlas!D:D,MATCH(A2642,atlas!C:C,0)),"")</f>
        <v/>
      </c>
      <c r="E2642" s="8" t="str">
        <f t="array" ref="E2642">IFERROR(INDEX(atlas!F:F,MATCH(A2642,atlas!C:C,0)),"")</f>
        <v/>
      </c>
      <c r="F2642" s="9"/>
      <c r="G2642" s="10"/>
      <c r="H2642" s="11"/>
      <c r="I2642" s="12" t="str">
        <f t="array" ref="I2642">IFERROR(INDEX(atlas!B:B,MATCH(A2642,atlas!C:C,0)),"")</f>
        <v/>
      </c>
      <c r="J2642" s="8" t="str">
        <f>IFERROR(VLOOKUP(F2642,tecnica!A:B,2,0),"")</f>
        <v/>
      </c>
      <c r="K2642" s="8" t="str">
        <f>IFERROR(VLOOKUP(J2642,tecnica!B:C,2,0),"")</f>
        <v/>
      </c>
      <c r="L2642" s="13"/>
      <c r="M2642" s="14" t="str">
        <f>IFERROR(VLOOKUP(I2642,material!A:D,4,0),"")</f>
        <v/>
      </c>
      <c r="N2642" s="14" t="str">
        <f t="shared" si="1"/>
        <v/>
      </c>
      <c r="O2642" s="15" t="str">
        <f>IFERROR(VLOOKUP(I2642,material!A:D,2,0),"")</f>
        <v/>
      </c>
    </row>
    <row r="2643">
      <c r="A2643" s="6"/>
      <c r="B2643" s="7"/>
      <c r="C2643" s="8" t="str">
        <f t="array" ref="C2643">IFERROR(INDEX(atlas!H:H,MATCH(A2643,atlas!C:C,0)),"")</f>
        <v/>
      </c>
      <c r="D2643" s="8" t="str">
        <f t="array" ref="D2643">IFERROR(INDEX(atlas!D:D,MATCH(A2643,atlas!C:C,0)),"")</f>
        <v/>
      </c>
      <c r="E2643" s="8" t="str">
        <f t="array" ref="E2643">IFERROR(INDEX(atlas!F:F,MATCH(A2643,atlas!C:C,0)),"")</f>
        <v/>
      </c>
      <c r="F2643" s="9"/>
      <c r="G2643" s="10"/>
      <c r="H2643" s="11"/>
      <c r="I2643" s="12" t="str">
        <f t="array" ref="I2643">IFERROR(INDEX(atlas!B:B,MATCH(A2643,atlas!C:C,0)),"")</f>
        <v/>
      </c>
      <c r="J2643" s="8" t="str">
        <f>IFERROR(VLOOKUP(F2643,tecnica!A:B,2,0),"")</f>
        <v/>
      </c>
      <c r="K2643" s="8" t="str">
        <f>IFERROR(VLOOKUP(J2643,tecnica!B:C,2,0),"")</f>
        <v/>
      </c>
      <c r="L2643" s="13"/>
      <c r="M2643" s="14" t="str">
        <f>IFERROR(VLOOKUP(I2643,material!A:D,4,0),"")</f>
        <v/>
      </c>
      <c r="N2643" s="14" t="str">
        <f t="shared" si="1"/>
        <v/>
      </c>
      <c r="O2643" s="15" t="str">
        <f>IFERROR(VLOOKUP(I2643,material!A:D,2,0),"")</f>
        <v/>
      </c>
    </row>
    <row r="2644">
      <c r="A2644" s="6"/>
      <c r="B2644" s="7"/>
      <c r="C2644" s="8" t="str">
        <f t="array" ref="C2644">IFERROR(INDEX(atlas!H:H,MATCH(A2644,atlas!C:C,0)),"")</f>
        <v/>
      </c>
      <c r="D2644" s="8" t="str">
        <f t="array" ref="D2644">IFERROR(INDEX(atlas!D:D,MATCH(A2644,atlas!C:C,0)),"")</f>
        <v/>
      </c>
      <c r="E2644" s="8" t="str">
        <f t="array" ref="E2644">IFERROR(INDEX(atlas!F:F,MATCH(A2644,atlas!C:C,0)),"")</f>
        <v/>
      </c>
      <c r="F2644" s="9"/>
      <c r="G2644" s="10"/>
      <c r="H2644" s="11"/>
      <c r="I2644" s="12" t="str">
        <f t="array" ref="I2644">IFERROR(INDEX(atlas!B:B,MATCH(A2644,atlas!C:C,0)),"")</f>
        <v/>
      </c>
      <c r="J2644" s="8" t="str">
        <f>IFERROR(VLOOKUP(F2644,tecnica!A:B,2,0),"")</f>
        <v/>
      </c>
      <c r="K2644" s="8" t="str">
        <f>IFERROR(VLOOKUP(J2644,tecnica!B:C,2,0),"")</f>
        <v/>
      </c>
      <c r="L2644" s="13"/>
      <c r="M2644" s="14" t="str">
        <f>IFERROR(VLOOKUP(I2644,material!A:D,4,0),"")</f>
        <v/>
      </c>
      <c r="N2644" s="14" t="str">
        <f t="shared" si="1"/>
        <v/>
      </c>
      <c r="O2644" s="15" t="str">
        <f>IFERROR(VLOOKUP(I2644,material!A:D,2,0),"")</f>
        <v/>
      </c>
    </row>
    <row r="2645">
      <c r="A2645" s="6"/>
      <c r="B2645" s="7"/>
      <c r="C2645" s="8" t="str">
        <f t="array" ref="C2645">IFERROR(INDEX(atlas!H:H,MATCH(A2645,atlas!C:C,0)),"")</f>
        <v/>
      </c>
      <c r="D2645" s="8" t="str">
        <f t="array" ref="D2645">IFERROR(INDEX(atlas!D:D,MATCH(A2645,atlas!C:C,0)),"")</f>
        <v/>
      </c>
      <c r="E2645" s="8" t="str">
        <f t="array" ref="E2645">IFERROR(INDEX(atlas!F:F,MATCH(A2645,atlas!C:C,0)),"")</f>
        <v/>
      </c>
      <c r="F2645" s="9"/>
      <c r="G2645" s="10"/>
      <c r="H2645" s="11"/>
      <c r="I2645" s="12" t="str">
        <f t="array" ref="I2645">IFERROR(INDEX(atlas!B:B,MATCH(A2645,atlas!C:C,0)),"")</f>
        <v/>
      </c>
      <c r="J2645" s="8" t="str">
        <f>IFERROR(VLOOKUP(F2645,tecnica!A:B,2,0),"")</f>
        <v/>
      </c>
      <c r="K2645" s="8" t="str">
        <f>IFERROR(VLOOKUP(J2645,tecnica!B:C,2,0),"")</f>
        <v/>
      </c>
      <c r="L2645" s="13"/>
      <c r="M2645" s="14" t="str">
        <f>IFERROR(VLOOKUP(I2645,material!A:D,4,0),"")</f>
        <v/>
      </c>
      <c r="N2645" s="14" t="str">
        <f t="shared" si="1"/>
        <v/>
      </c>
      <c r="O2645" s="15" t="str">
        <f>IFERROR(VLOOKUP(I2645,material!A:D,2,0),"")</f>
        <v/>
      </c>
    </row>
    <row r="2646">
      <c r="A2646" s="6"/>
      <c r="B2646" s="7"/>
      <c r="C2646" s="8" t="str">
        <f t="array" ref="C2646">IFERROR(INDEX(atlas!H:H,MATCH(A2646,atlas!C:C,0)),"")</f>
        <v/>
      </c>
      <c r="D2646" s="8" t="str">
        <f t="array" ref="D2646">IFERROR(INDEX(atlas!D:D,MATCH(A2646,atlas!C:C,0)),"")</f>
        <v/>
      </c>
      <c r="E2646" s="8" t="str">
        <f t="array" ref="E2646">IFERROR(INDEX(atlas!F:F,MATCH(A2646,atlas!C:C,0)),"")</f>
        <v/>
      </c>
      <c r="F2646" s="9"/>
      <c r="G2646" s="10"/>
      <c r="H2646" s="11"/>
      <c r="I2646" s="12" t="str">
        <f t="array" ref="I2646">IFERROR(INDEX(atlas!B:B,MATCH(A2646,atlas!C:C,0)),"")</f>
        <v/>
      </c>
      <c r="J2646" s="8" t="str">
        <f>IFERROR(VLOOKUP(F2646,tecnica!A:B,2,0),"")</f>
        <v/>
      </c>
      <c r="K2646" s="8" t="str">
        <f>IFERROR(VLOOKUP(J2646,tecnica!B:C,2,0),"")</f>
        <v/>
      </c>
      <c r="L2646" s="13"/>
      <c r="M2646" s="14" t="str">
        <f>IFERROR(VLOOKUP(I2646,material!A:D,4,0),"")</f>
        <v/>
      </c>
      <c r="N2646" s="14" t="str">
        <f t="shared" si="1"/>
        <v/>
      </c>
      <c r="O2646" s="15" t="str">
        <f>IFERROR(VLOOKUP(I2646,material!A:D,2,0),"")</f>
        <v/>
      </c>
    </row>
    <row r="2647">
      <c r="A2647" s="6"/>
      <c r="B2647" s="7"/>
      <c r="C2647" s="8" t="str">
        <f t="array" ref="C2647">IFERROR(INDEX(atlas!H:H,MATCH(A2647,atlas!C:C,0)),"")</f>
        <v/>
      </c>
      <c r="D2647" s="8" t="str">
        <f t="array" ref="D2647">IFERROR(INDEX(atlas!D:D,MATCH(A2647,atlas!C:C,0)),"")</f>
        <v/>
      </c>
      <c r="E2647" s="8" t="str">
        <f t="array" ref="E2647">IFERROR(INDEX(atlas!F:F,MATCH(A2647,atlas!C:C,0)),"")</f>
        <v/>
      </c>
      <c r="F2647" s="9"/>
      <c r="G2647" s="10"/>
      <c r="H2647" s="11"/>
      <c r="I2647" s="12" t="str">
        <f t="array" ref="I2647">IFERROR(INDEX(atlas!B:B,MATCH(A2647,atlas!C:C,0)),"")</f>
        <v/>
      </c>
      <c r="J2647" s="8" t="str">
        <f>IFERROR(VLOOKUP(F2647,tecnica!A:B,2,0),"")</f>
        <v/>
      </c>
      <c r="K2647" s="8" t="str">
        <f>IFERROR(VLOOKUP(J2647,tecnica!B:C,2,0),"")</f>
        <v/>
      </c>
      <c r="L2647" s="13"/>
      <c r="M2647" s="14" t="str">
        <f>IFERROR(VLOOKUP(I2647,material!A:D,4,0),"")</f>
        <v/>
      </c>
      <c r="N2647" s="14" t="str">
        <f t="shared" si="1"/>
        <v/>
      </c>
      <c r="O2647" s="15" t="str">
        <f>IFERROR(VLOOKUP(I2647,material!A:D,2,0),"")</f>
        <v/>
      </c>
    </row>
    <row r="2648">
      <c r="A2648" s="6"/>
      <c r="B2648" s="7"/>
      <c r="C2648" s="8" t="str">
        <f t="array" ref="C2648">IFERROR(INDEX(atlas!H:H,MATCH(A2648,atlas!C:C,0)),"")</f>
        <v/>
      </c>
      <c r="D2648" s="8" t="str">
        <f t="array" ref="D2648">IFERROR(INDEX(atlas!D:D,MATCH(A2648,atlas!C:C,0)),"")</f>
        <v/>
      </c>
      <c r="E2648" s="8" t="str">
        <f t="array" ref="E2648">IFERROR(INDEX(atlas!F:F,MATCH(A2648,atlas!C:C,0)),"")</f>
        <v/>
      </c>
      <c r="F2648" s="9"/>
      <c r="G2648" s="10"/>
      <c r="H2648" s="11"/>
      <c r="I2648" s="12" t="str">
        <f t="array" ref="I2648">IFERROR(INDEX(atlas!B:B,MATCH(A2648,atlas!C:C,0)),"")</f>
        <v/>
      </c>
      <c r="J2648" s="8" t="str">
        <f>IFERROR(VLOOKUP(F2648,tecnica!A:B,2,0),"")</f>
        <v/>
      </c>
      <c r="K2648" s="8" t="str">
        <f>IFERROR(VLOOKUP(J2648,tecnica!B:C,2,0),"")</f>
        <v/>
      </c>
      <c r="L2648" s="13"/>
      <c r="M2648" s="14" t="str">
        <f>IFERROR(VLOOKUP(I2648,material!A:D,4,0),"")</f>
        <v/>
      </c>
      <c r="N2648" s="14" t="str">
        <f t="shared" si="1"/>
        <v/>
      </c>
      <c r="O2648" s="15" t="str">
        <f>IFERROR(VLOOKUP(I2648,material!A:D,2,0),"")</f>
        <v/>
      </c>
    </row>
    <row r="2649">
      <c r="A2649" s="6"/>
      <c r="B2649" s="7"/>
      <c r="C2649" s="8" t="str">
        <f t="array" ref="C2649">IFERROR(INDEX(atlas!H:H,MATCH(A2649,atlas!C:C,0)),"")</f>
        <v/>
      </c>
      <c r="D2649" s="8" t="str">
        <f t="array" ref="D2649">IFERROR(INDEX(atlas!D:D,MATCH(A2649,atlas!C:C,0)),"")</f>
        <v/>
      </c>
      <c r="E2649" s="8" t="str">
        <f t="array" ref="E2649">IFERROR(INDEX(atlas!F:F,MATCH(A2649,atlas!C:C,0)),"")</f>
        <v/>
      </c>
      <c r="F2649" s="9"/>
      <c r="G2649" s="10"/>
      <c r="H2649" s="11"/>
      <c r="I2649" s="12" t="str">
        <f t="array" ref="I2649">IFERROR(INDEX(atlas!B:B,MATCH(A2649,atlas!C:C,0)),"")</f>
        <v/>
      </c>
      <c r="J2649" s="8" t="str">
        <f>IFERROR(VLOOKUP(F2649,tecnica!A:B,2,0),"")</f>
        <v/>
      </c>
      <c r="K2649" s="8" t="str">
        <f>IFERROR(VLOOKUP(J2649,tecnica!B:C,2,0),"")</f>
        <v/>
      </c>
      <c r="L2649" s="13"/>
      <c r="M2649" s="14" t="str">
        <f>IFERROR(VLOOKUP(I2649,material!A:D,4,0),"")</f>
        <v/>
      </c>
      <c r="N2649" s="14" t="str">
        <f t="shared" si="1"/>
        <v/>
      </c>
      <c r="O2649" s="15" t="str">
        <f>IFERROR(VLOOKUP(I2649,material!A:D,2,0),"")</f>
        <v/>
      </c>
    </row>
    <row r="2650">
      <c r="A2650" s="6"/>
      <c r="B2650" s="7"/>
      <c r="C2650" s="8" t="str">
        <f t="array" ref="C2650">IFERROR(INDEX(atlas!H:H,MATCH(A2650,atlas!C:C,0)),"")</f>
        <v/>
      </c>
      <c r="D2650" s="8" t="str">
        <f t="array" ref="D2650">IFERROR(INDEX(atlas!D:D,MATCH(A2650,atlas!C:C,0)),"")</f>
        <v/>
      </c>
      <c r="E2650" s="8" t="str">
        <f t="array" ref="E2650">IFERROR(INDEX(atlas!F:F,MATCH(A2650,atlas!C:C,0)),"")</f>
        <v/>
      </c>
      <c r="F2650" s="9"/>
      <c r="G2650" s="10"/>
      <c r="H2650" s="11"/>
      <c r="I2650" s="12" t="str">
        <f t="array" ref="I2650">IFERROR(INDEX(atlas!B:B,MATCH(A2650,atlas!C:C,0)),"")</f>
        <v/>
      </c>
      <c r="J2650" s="8" t="str">
        <f>IFERROR(VLOOKUP(F2650,tecnica!A:B,2,0),"")</f>
        <v/>
      </c>
      <c r="K2650" s="8" t="str">
        <f>IFERROR(VLOOKUP(J2650,tecnica!B:C,2,0),"")</f>
        <v/>
      </c>
      <c r="L2650" s="13"/>
      <c r="M2650" s="14" t="str">
        <f>IFERROR(VLOOKUP(I2650,material!A:D,4,0),"")</f>
        <v/>
      </c>
      <c r="N2650" s="14" t="str">
        <f t="shared" si="1"/>
        <v/>
      </c>
      <c r="O2650" s="15" t="str">
        <f>IFERROR(VLOOKUP(I2650,material!A:D,2,0),"")</f>
        <v/>
      </c>
    </row>
    <row r="2651">
      <c r="A2651" s="6"/>
      <c r="B2651" s="7"/>
      <c r="C2651" s="8" t="str">
        <f t="array" ref="C2651">IFERROR(INDEX(atlas!H:H,MATCH(A2651,atlas!C:C,0)),"")</f>
        <v/>
      </c>
      <c r="D2651" s="8" t="str">
        <f t="array" ref="D2651">IFERROR(INDEX(atlas!D:D,MATCH(A2651,atlas!C:C,0)),"")</f>
        <v/>
      </c>
      <c r="E2651" s="8" t="str">
        <f t="array" ref="E2651">IFERROR(INDEX(atlas!F:F,MATCH(A2651,atlas!C:C,0)),"")</f>
        <v/>
      </c>
      <c r="F2651" s="9"/>
      <c r="G2651" s="10"/>
      <c r="H2651" s="11"/>
      <c r="I2651" s="12" t="str">
        <f t="array" ref="I2651">IFERROR(INDEX(atlas!B:B,MATCH(A2651,atlas!C:C,0)),"")</f>
        <v/>
      </c>
      <c r="J2651" s="8" t="str">
        <f>IFERROR(VLOOKUP(F2651,tecnica!A:B,2,0),"")</f>
        <v/>
      </c>
      <c r="K2651" s="8" t="str">
        <f>IFERROR(VLOOKUP(J2651,tecnica!B:C,2,0),"")</f>
        <v/>
      </c>
      <c r="L2651" s="13"/>
      <c r="M2651" s="14" t="str">
        <f>IFERROR(VLOOKUP(I2651,material!A:D,4,0),"")</f>
        <v/>
      </c>
      <c r="N2651" s="14" t="str">
        <f t="shared" si="1"/>
        <v/>
      </c>
      <c r="O2651" s="15" t="str">
        <f>IFERROR(VLOOKUP(I2651,material!A:D,2,0),"")</f>
        <v/>
      </c>
    </row>
    <row r="2652">
      <c r="A2652" s="6"/>
      <c r="B2652" s="7"/>
      <c r="C2652" s="8" t="str">
        <f t="array" ref="C2652">IFERROR(INDEX(atlas!H:H,MATCH(A2652,atlas!C:C,0)),"")</f>
        <v/>
      </c>
      <c r="D2652" s="8" t="str">
        <f t="array" ref="D2652">IFERROR(INDEX(atlas!D:D,MATCH(A2652,atlas!C:C,0)),"")</f>
        <v/>
      </c>
      <c r="E2652" s="8" t="str">
        <f t="array" ref="E2652">IFERROR(INDEX(atlas!F:F,MATCH(A2652,atlas!C:C,0)),"")</f>
        <v/>
      </c>
      <c r="F2652" s="9"/>
      <c r="G2652" s="10"/>
      <c r="H2652" s="11"/>
      <c r="I2652" s="12" t="str">
        <f t="array" ref="I2652">IFERROR(INDEX(atlas!B:B,MATCH(A2652,atlas!C:C,0)),"")</f>
        <v/>
      </c>
      <c r="J2652" s="8" t="str">
        <f>IFERROR(VLOOKUP(F2652,tecnica!A:B,2,0),"")</f>
        <v/>
      </c>
      <c r="K2652" s="8" t="str">
        <f>IFERROR(VLOOKUP(J2652,tecnica!B:C,2,0),"")</f>
        <v/>
      </c>
      <c r="L2652" s="13"/>
      <c r="M2652" s="14" t="str">
        <f>IFERROR(VLOOKUP(I2652,material!A:D,4,0),"")</f>
        <v/>
      </c>
      <c r="N2652" s="14" t="str">
        <f t="shared" si="1"/>
        <v/>
      </c>
      <c r="O2652" s="15" t="str">
        <f>IFERROR(VLOOKUP(I2652,material!A:D,2,0),"")</f>
        <v/>
      </c>
    </row>
    <row r="2653">
      <c r="A2653" s="6"/>
      <c r="B2653" s="7"/>
      <c r="C2653" s="8" t="str">
        <f t="array" ref="C2653">IFERROR(INDEX(atlas!H:H,MATCH(A2653,atlas!C:C,0)),"")</f>
        <v/>
      </c>
      <c r="D2653" s="8" t="str">
        <f t="array" ref="D2653">IFERROR(INDEX(atlas!D:D,MATCH(A2653,atlas!C:C,0)),"")</f>
        <v/>
      </c>
      <c r="E2653" s="8" t="str">
        <f t="array" ref="E2653">IFERROR(INDEX(atlas!F:F,MATCH(A2653,atlas!C:C,0)),"")</f>
        <v/>
      </c>
      <c r="F2653" s="9"/>
      <c r="G2653" s="10"/>
      <c r="H2653" s="11"/>
      <c r="I2653" s="12" t="str">
        <f t="array" ref="I2653">IFERROR(INDEX(atlas!B:B,MATCH(A2653,atlas!C:C,0)),"")</f>
        <v/>
      </c>
      <c r="J2653" s="8" t="str">
        <f>IFERROR(VLOOKUP(F2653,tecnica!A:B,2,0),"")</f>
        <v/>
      </c>
      <c r="K2653" s="8" t="str">
        <f>IFERROR(VLOOKUP(J2653,tecnica!B:C,2,0),"")</f>
        <v/>
      </c>
      <c r="L2653" s="13"/>
      <c r="M2653" s="14" t="str">
        <f>IFERROR(VLOOKUP(I2653,material!A:D,4,0),"")</f>
        <v/>
      </c>
      <c r="N2653" s="14" t="str">
        <f t="shared" si="1"/>
        <v/>
      </c>
      <c r="O2653" s="15" t="str">
        <f>IFERROR(VLOOKUP(I2653,material!A:D,2,0),"")</f>
        <v/>
      </c>
    </row>
    <row r="2654">
      <c r="A2654" s="6"/>
      <c r="B2654" s="7"/>
      <c r="C2654" s="8" t="str">
        <f t="array" ref="C2654">IFERROR(INDEX(atlas!H:H,MATCH(A2654,atlas!C:C,0)),"")</f>
        <v/>
      </c>
      <c r="D2654" s="8" t="str">
        <f t="array" ref="D2654">IFERROR(INDEX(atlas!D:D,MATCH(A2654,atlas!C:C,0)),"")</f>
        <v/>
      </c>
      <c r="E2654" s="8" t="str">
        <f t="array" ref="E2654">IFERROR(INDEX(atlas!F:F,MATCH(A2654,atlas!C:C,0)),"")</f>
        <v/>
      </c>
      <c r="F2654" s="9"/>
      <c r="G2654" s="10"/>
      <c r="H2654" s="11"/>
      <c r="I2654" s="12" t="str">
        <f t="array" ref="I2654">IFERROR(INDEX(atlas!B:B,MATCH(A2654,atlas!C:C,0)),"")</f>
        <v/>
      </c>
      <c r="J2654" s="8" t="str">
        <f>IFERROR(VLOOKUP(F2654,tecnica!A:B,2,0),"")</f>
        <v/>
      </c>
      <c r="K2654" s="8" t="str">
        <f>IFERROR(VLOOKUP(J2654,tecnica!B:C,2,0),"")</f>
        <v/>
      </c>
      <c r="L2654" s="13"/>
      <c r="M2654" s="14" t="str">
        <f>IFERROR(VLOOKUP(I2654,material!A:D,4,0),"")</f>
        <v/>
      </c>
      <c r="N2654" s="14" t="str">
        <f t="shared" si="1"/>
        <v/>
      </c>
      <c r="O2654" s="15" t="str">
        <f>IFERROR(VLOOKUP(I2654,material!A:D,2,0),"")</f>
        <v/>
      </c>
    </row>
    <row r="2655">
      <c r="A2655" s="6"/>
      <c r="B2655" s="7"/>
      <c r="C2655" s="8" t="str">
        <f t="array" ref="C2655">IFERROR(INDEX(atlas!H:H,MATCH(A2655,atlas!C:C,0)),"")</f>
        <v/>
      </c>
      <c r="D2655" s="8" t="str">
        <f t="array" ref="D2655">IFERROR(INDEX(atlas!D:D,MATCH(A2655,atlas!C:C,0)),"")</f>
        <v/>
      </c>
      <c r="E2655" s="8" t="str">
        <f t="array" ref="E2655">IFERROR(INDEX(atlas!F:F,MATCH(A2655,atlas!C:C,0)),"")</f>
        <v/>
      </c>
      <c r="F2655" s="9"/>
      <c r="G2655" s="10"/>
      <c r="H2655" s="11"/>
      <c r="I2655" s="12" t="str">
        <f t="array" ref="I2655">IFERROR(INDEX(atlas!B:B,MATCH(A2655,atlas!C:C,0)),"")</f>
        <v/>
      </c>
      <c r="J2655" s="8" t="str">
        <f>IFERROR(VLOOKUP(F2655,tecnica!A:B,2,0),"")</f>
        <v/>
      </c>
      <c r="K2655" s="8" t="str">
        <f>IFERROR(VLOOKUP(J2655,tecnica!B:C,2,0),"")</f>
        <v/>
      </c>
      <c r="L2655" s="13"/>
      <c r="M2655" s="14" t="str">
        <f>IFERROR(VLOOKUP(I2655,material!A:D,4,0),"")</f>
        <v/>
      </c>
      <c r="N2655" s="14" t="str">
        <f t="shared" si="1"/>
        <v/>
      </c>
      <c r="O2655" s="15" t="str">
        <f>IFERROR(VLOOKUP(I2655,material!A:D,2,0),"")</f>
        <v/>
      </c>
    </row>
    <row r="2656">
      <c r="A2656" s="6"/>
      <c r="B2656" s="7"/>
      <c r="C2656" s="8" t="str">
        <f t="array" ref="C2656">IFERROR(INDEX(atlas!H:H,MATCH(A2656,atlas!C:C,0)),"")</f>
        <v/>
      </c>
      <c r="D2656" s="8" t="str">
        <f t="array" ref="D2656">IFERROR(INDEX(atlas!D:D,MATCH(A2656,atlas!C:C,0)),"")</f>
        <v/>
      </c>
      <c r="E2656" s="8" t="str">
        <f t="array" ref="E2656">IFERROR(INDEX(atlas!F:F,MATCH(A2656,atlas!C:C,0)),"")</f>
        <v/>
      </c>
      <c r="F2656" s="9"/>
      <c r="G2656" s="10"/>
      <c r="H2656" s="11"/>
      <c r="I2656" s="12" t="str">
        <f t="array" ref="I2656">IFERROR(INDEX(atlas!B:B,MATCH(A2656,atlas!C:C,0)),"")</f>
        <v/>
      </c>
      <c r="J2656" s="8" t="str">
        <f>IFERROR(VLOOKUP(F2656,tecnica!A:B,2,0),"")</f>
        <v/>
      </c>
      <c r="K2656" s="8" t="str">
        <f>IFERROR(VLOOKUP(J2656,tecnica!B:C,2,0),"")</f>
        <v/>
      </c>
      <c r="L2656" s="13"/>
      <c r="M2656" s="14" t="str">
        <f>IFERROR(VLOOKUP(I2656,material!A:D,4,0),"")</f>
        <v/>
      </c>
      <c r="N2656" s="14" t="str">
        <f t="shared" si="1"/>
        <v/>
      </c>
      <c r="O2656" s="15" t="str">
        <f>IFERROR(VLOOKUP(I2656,material!A:D,2,0),"")</f>
        <v/>
      </c>
    </row>
    <row r="2657">
      <c r="A2657" s="6"/>
      <c r="B2657" s="7"/>
      <c r="C2657" s="8" t="str">
        <f t="array" ref="C2657">IFERROR(INDEX(atlas!H:H,MATCH(A2657,atlas!C:C,0)),"")</f>
        <v/>
      </c>
      <c r="D2657" s="8" t="str">
        <f t="array" ref="D2657">IFERROR(INDEX(atlas!D:D,MATCH(A2657,atlas!C:C,0)),"")</f>
        <v/>
      </c>
      <c r="E2657" s="8" t="str">
        <f t="array" ref="E2657">IFERROR(INDEX(atlas!F:F,MATCH(A2657,atlas!C:C,0)),"")</f>
        <v/>
      </c>
      <c r="F2657" s="9"/>
      <c r="G2657" s="10"/>
      <c r="H2657" s="11"/>
      <c r="I2657" s="12" t="str">
        <f t="array" ref="I2657">IFERROR(INDEX(atlas!B:B,MATCH(A2657,atlas!C:C,0)),"")</f>
        <v/>
      </c>
      <c r="J2657" s="8" t="str">
        <f>IFERROR(VLOOKUP(F2657,tecnica!A:B,2,0),"")</f>
        <v/>
      </c>
      <c r="K2657" s="8" t="str">
        <f>IFERROR(VLOOKUP(J2657,tecnica!B:C,2,0),"")</f>
        <v/>
      </c>
      <c r="L2657" s="13"/>
      <c r="M2657" s="14" t="str">
        <f>IFERROR(VLOOKUP(I2657,material!A:D,4,0),"")</f>
        <v/>
      </c>
      <c r="N2657" s="14" t="str">
        <f t="shared" si="1"/>
        <v/>
      </c>
      <c r="O2657" s="15" t="str">
        <f>IFERROR(VLOOKUP(I2657,material!A:D,2,0),"")</f>
        <v/>
      </c>
    </row>
    <row r="2658">
      <c r="A2658" s="6"/>
      <c r="B2658" s="7"/>
      <c r="C2658" s="8" t="str">
        <f t="array" ref="C2658">IFERROR(INDEX(atlas!H:H,MATCH(A2658,atlas!C:C,0)),"")</f>
        <v/>
      </c>
      <c r="D2658" s="8" t="str">
        <f t="array" ref="D2658">IFERROR(INDEX(atlas!D:D,MATCH(A2658,atlas!C:C,0)),"")</f>
        <v/>
      </c>
      <c r="E2658" s="8" t="str">
        <f t="array" ref="E2658">IFERROR(INDEX(atlas!F:F,MATCH(A2658,atlas!C:C,0)),"")</f>
        <v/>
      </c>
      <c r="F2658" s="9"/>
      <c r="G2658" s="10"/>
      <c r="H2658" s="11"/>
      <c r="I2658" s="12" t="str">
        <f t="array" ref="I2658">IFERROR(INDEX(atlas!B:B,MATCH(A2658,atlas!C:C,0)),"")</f>
        <v/>
      </c>
      <c r="J2658" s="8" t="str">
        <f>IFERROR(VLOOKUP(F2658,tecnica!A:B,2,0),"")</f>
        <v/>
      </c>
      <c r="K2658" s="8" t="str">
        <f>IFERROR(VLOOKUP(J2658,tecnica!B:C,2,0),"")</f>
        <v/>
      </c>
      <c r="L2658" s="13"/>
      <c r="M2658" s="14" t="str">
        <f>IFERROR(VLOOKUP(I2658,material!A:D,4,0),"")</f>
        <v/>
      </c>
      <c r="N2658" s="14" t="str">
        <f t="shared" si="1"/>
        <v/>
      </c>
      <c r="O2658" s="15" t="str">
        <f>IFERROR(VLOOKUP(I2658,material!A:D,2,0),"")</f>
        <v/>
      </c>
    </row>
    <row r="2659">
      <c r="A2659" s="6"/>
      <c r="B2659" s="7"/>
      <c r="C2659" s="8" t="str">
        <f t="array" ref="C2659">IFERROR(INDEX(atlas!H:H,MATCH(A2659,atlas!C:C,0)),"")</f>
        <v/>
      </c>
      <c r="D2659" s="8" t="str">
        <f t="array" ref="D2659">IFERROR(INDEX(atlas!D:D,MATCH(A2659,atlas!C:C,0)),"")</f>
        <v/>
      </c>
      <c r="E2659" s="8" t="str">
        <f t="array" ref="E2659">IFERROR(INDEX(atlas!F:F,MATCH(A2659,atlas!C:C,0)),"")</f>
        <v/>
      </c>
      <c r="F2659" s="9"/>
      <c r="G2659" s="10"/>
      <c r="H2659" s="11"/>
      <c r="I2659" s="12" t="str">
        <f t="array" ref="I2659">IFERROR(INDEX(atlas!B:B,MATCH(A2659,atlas!C:C,0)),"")</f>
        <v/>
      </c>
      <c r="J2659" s="8" t="str">
        <f>IFERROR(VLOOKUP(F2659,tecnica!A:B,2,0),"")</f>
        <v/>
      </c>
      <c r="K2659" s="8" t="str">
        <f>IFERROR(VLOOKUP(J2659,tecnica!B:C,2,0),"")</f>
        <v/>
      </c>
      <c r="L2659" s="13"/>
      <c r="M2659" s="14" t="str">
        <f>IFERROR(VLOOKUP(I2659,material!A:D,4,0),"")</f>
        <v/>
      </c>
      <c r="N2659" s="14" t="str">
        <f t="shared" si="1"/>
        <v/>
      </c>
      <c r="O2659" s="15" t="str">
        <f>IFERROR(VLOOKUP(I2659,material!A:D,2,0),"")</f>
        <v/>
      </c>
    </row>
    <row r="2660">
      <c r="A2660" s="6"/>
      <c r="B2660" s="7"/>
      <c r="C2660" s="8" t="str">
        <f t="array" ref="C2660">IFERROR(INDEX(atlas!H:H,MATCH(A2660,atlas!C:C,0)),"")</f>
        <v/>
      </c>
      <c r="D2660" s="8" t="str">
        <f t="array" ref="D2660">IFERROR(INDEX(atlas!D:D,MATCH(A2660,atlas!C:C,0)),"")</f>
        <v/>
      </c>
      <c r="E2660" s="8" t="str">
        <f t="array" ref="E2660">IFERROR(INDEX(atlas!F:F,MATCH(A2660,atlas!C:C,0)),"")</f>
        <v/>
      </c>
      <c r="F2660" s="9"/>
      <c r="G2660" s="10"/>
      <c r="H2660" s="11"/>
      <c r="I2660" s="12" t="str">
        <f t="array" ref="I2660">IFERROR(INDEX(atlas!B:B,MATCH(A2660,atlas!C:C,0)),"")</f>
        <v/>
      </c>
      <c r="J2660" s="8" t="str">
        <f>IFERROR(VLOOKUP(F2660,tecnica!A:B,2,0),"")</f>
        <v/>
      </c>
      <c r="K2660" s="8" t="str">
        <f>IFERROR(VLOOKUP(J2660,tecnica!B:C,2,0),"")</f>
        <v/>
      </c>
      <c r="L2660" s="13"/>
      <c r="M2660" s="14" t="str">
        <f>IFERROR(VLOOKUP(I2660,material!A:D,4,0),"")</f>
        <v/>
      </c>
      <c r="N2660" s="14" t="str">
        <f t="shared" si="1"/>
        <v/>
      </c>
      <c r="O2660" s="15" t="str">
        <f>IFERROR(VLOOKUP(I2660,material!A:D,2,0),"")</f>
        <v/>
      </c>
    </row>
    <row r="2661">
      <c r="A2661" s="6"/>
      <c r="B2661" s="7"/>
      <c r="C2661" s="8" t="str">
        <f t="array" ref="C2661">IFERROR(INDEX(atlas!H:H,MATCH(A2661,atlas!C:C,0)),"")</f>
        <v/>
      </c>
      <c r="D2661" s="8" t="str">
        <f t="array" ref="D2661">IFERROR(INDEX(atlas!D:D,MATCH(A2661,atlas!C:C,0)),"")</f>
        <v/>
      </c>
      <c r="E2661" s="8" t="str">
        <f t="array" ref="E2661">IFERROR(INDEX(atlas!F:F,MATCH(A2661,atlas!C:C,0)),"")</f>
        <v/>
      </c>
      <c r="F2661" s="9"/>
      <c r="G2661" s="10"/>
      <c r="H2661" s="11"/>
      <c r="I2661" s="12" t="str">
        <f t="array" ref="I2661">IFERROR(INDEX(atlas!B:B,MATCH(A2661,atlas!C:C,0)),"")</f>
        <v/>
      </c>
      <c r="J2661" s="8" t="str">
        <f>IFERROR(VLOOKUP(F2661,tecnica!A:B,2,0),"")</f>
        <v/>
      </c>
      <c r="K2661" s="8" t="str">
        <f>IFERROR(VLOOKUP(J2661,tecnica!B:C,2,0),"")</f>
        <v/>
      </c>
      <c r="L2661" s="13"/>
      <c r="M2661" s="14" t="str">
        <f>IFERROR(VLOOKUP(I2661,material!A:D,4,0),"")</f>
        <v/>
      </c>
      <c r="N2661" s="14" t="str">
        <f t="shared" si="1"/>
        <v/>
      </c>
      <c r="O2661" s="15" t="str">
        <f>IFERROR(VLOOKUP(I2661,material!A:D,2,0),"")</f>
        <v/>
      </c>
    </row>
    <row r="2662">
      <c r="A2662" s="6"/>
      <c r="B2662" s="7"/>
      <c r="C2662" s="8" t="str">
        <f t="array" ref="C2662">IFERROR(INDEX(atlas!H:H,MATCH(A2662,atlas!C:C,0)),"")</f>
        <v/>
      </c>
      <c r="D2662" s="8" t="str">
        <f t="array" ref="D2662">IFERROR(INDEX(atlas!D:D,MATCH(A2662,atlas!C:C,0)),"")</f>
        <v/>
      </c>
      <c r="E2662" s="8" t="str">
        <f t="array" ref="E2662">IFERROR(INDEX(atlas!F:F,MATCH(A2662,atlas!C:C,0)),"")</f>
        <v/>
      </c>
      <c r="F2662" s="9"/>
      <c r="G2662" s="10"/>
      <c r="H2662" s="11"/>
      <c r="I2662" s="12" t="str">
        <f t="array" ref="I2662">IFERROR(INDEX(atlas!B:B,MATCH(A2662,atlas!C:C,0)),"")</f>
        <v/>
      </c>
      <c r="J2662" s="8" t="str">
        <f>IFERROR(VLOOKUP(F2662,tecnica!A:B,2,0),"")</f>
        <v/>
      </c>
      <c r="K2662" s="8" t="str">
        <f>IFERROR(VLOOKUP(J2662,tecnica!B:C,2,0),"")</f>
        <v/>
      </c>
      <c r="L2662" s="13"/>
      <c r="M2662" s="14" t="str">
        <f>IFERROR(VLOOKUP(I2662,material!A:D,4,0),"")</f>
        <v/>
      </c>
      <c r="N2662" s="14" t="str">
        <f t="shared" si="1"/>
        <v/>
      </c>
      <c r="O2662" s="15" t="str">
        <f>IFERROR(VLOOKUP(I2662,material!A:D,2,0),"")</f>
        <v/>
      </c>
    </row>
    <row r="2663">
      <c r="A2663" s="6"/>
      <c r="B2663" s="7"/>
      <c r="C2663" s="8" t="str">
        <f t="array" ref="C2663">IFERROR(INDEX(atlas!H:H,MATCH(A2663,atlas!C:C,0)),"")</f>
        <v/>
      </c>
      <c r="D2663" s="8" t="str">
        <f t="array" ref="D2663">IFERROR(INDEX(atlas!D:D,MATCH(A2663,atlas!C:C,0)),"")</f>
        <v/>
      </c>
      <c r="E2663" s="8" t="str">
        <f t="array" ref="E2663">IFERROR(INDEX(atlas!F:F,MATCH(A2663,atlas!C:C,0)),"")</f>
        <v/>
      </c>
      <c r="F2663" s="9"/>
      <c r="G2663" s="10"/>
      <c r="H2663" s="11"/>
      <c r="I2663" s="12" t="str">
        <f t="array" ref="I2663">IFERROR(INDEX(atlas!B:B,MATCH(A2663,atlas!C:C,0)),"")</f>
        <v/>
      </c>
      <c r="J2663" s="8" t="str">
        <f>IFERROR(VLOOKUP(F2663,tecnica!A:B,2,0),"")</f>
        <v/>
      </c>
      <c r="K2663" s="8" t="str">
        <f>IFERROR(VLOOKUP(J2663,tecnica!B:C,2,0),"")</f>
        <v/>
      </c>
      <c r="L2663" s="13"/>
      <c r="M2663" s="14" t="str">
        <f>IFERROR(VLOOKUP(I2663,material!A:D,4,0),"")</f>
        <v/>
      </c>
      <c r="N2663" s="14" t="str">
        <f t="shared" si="1"/>
        <v/>
      </c>
      <c r="O2663" s="15" t="str">
        <f>IFERROR(VLOOKUP(I2663,material!A:D,2,0),"")</f>
        <v/>
      </c>
    </row>
    <row r="2664">
      <c r="A2664" s="6"/>
      <c r="B2664" s="7"/>
      <c r="C2664" s="8" t="str">
        <f t="array" ref="C2664">IFERROR(INDEX(atlas!H:H,MATCH(A2664,atlas!C:C,0)),"")</f>
        <v/>
      </c>
      <c r="D2664" s="8" t="str">
        <f t="array" ref="D2664">IFERROR(INDEX(atlas!D:D,MATCH(A2664,atlas!C:C,0)),"")</f>
        <v/>
      </c>
      <c r="E2664" s="8" t="str">
        <f t="array" ref="E2664">IFERROR(INDEX(atlas!F:F,MATCH(A2664,atlas!C:C,0)),"")</f>
        <v/>
      </c>
      <c r="F2664" s="9"/>
      <c r="G2664" s="10"/>
      <c r="H2664" s="11"/>
      <c r="I2664" s="12" t="str">
        <f t="array" ref="I2664">IFERROR(INDEX(atlas!B:B,MATCH(A2664,atlas!C:C,0)),"")</f>
        <v/>
      </c>
      <c r="J2664" s="8" t="str">
        <f>IFERROR(VLOOKUP(F2664,tecnica!A:B,2,0),"")</f>
        <v/>
      </c>
      <c r="K2664" s="8" t="str">
        <f>IFERROR(VLOOKUP(J2664,tecnica!B:C,2,0),"")</f>
        <v/>
      </c>
      <c r="L2664" s="13"/>
      <c r="M2664" s="14" t="str">
        <f>IFERROR(VLOOKUP(I2664,material!A:D,4,0),"")</f>
        <v/>
      </c>
      <c r="N2664" s="14" t="str">
        <f t="shared" si="1"/>
        <v/>
      </c>
      <c r="O2664" s="15" t="str">
        <f>IFERROR(VLOOKUP(I2664,material!A:D,2,0),"")</f>
        <v/>
      </c>
    </row>
    <row r="2665">
      <c r="A2665" s="6"/>
      <c r="B2665" s="7"/>
      <c r="C2665" s="8" t="str">
        <f t="array" ref="C2665">IFERROR(INDEX(atlas!H:H,MATCH(A2665,atlas!C:C,0)),"")</f>
        <v/>
      </c>
      <c r="D2665" s="8" t="str">
        <f t="array" ref="D2665">IFERROR(INDEX(atlas!D:D,MATCH(A2665,atlas!C:C,0)),"")</f>
        <v/>
      </c>
      <c r="E2665" s="8" t="str">
        <f t="array" ref="E2665">IFERROR(INDEX(atlas!F:F,MATCH(A2665,atlas!C:C,0)),"")</f>
        <v/>
      </c>
      <c r="F2665" s="9"/>
      <c r="G2665" s="10"/>
      <c r="H2665" s="11"/>
      <c r="I2665" s="12" t="str">
        <f t="array" ref="I2665">IFERROR(INDEX(atlas!B:B,MATCH(A2665,atlas!C:C,0)),"")</f>
        <v/>
      </c>
      <c r="J2665" s="8" t="str">
        <f>IFERROR(VLOOKUP(F2665,tecnica!A:B,2,0),"")</f>
        <v/>
      </c>
      <c r="K2665" s="8" t="str">
        <f>IFERROR(VLOOKUP(J2665,tecnica!B:C,2,0),"")</f>
        <v/>
      </c>
      <c r="L2665" s="13"/>
      <c r="M2665" s="14" t="str">
        <f>IFERROR(VLOOKUP(I2665,material!A:D,4,0),"")</f>
        <v/>
      </c>
      <c r="N2665" s="14" t="str">
        <f t="shared" si="1"/>
        <v/>
      </c>
      <c r="O2665" s="15" t="str">
        <f>IFERROR(VLOOKUP(I2665,material!A:D,2,0),"")</f>
        <v/>
      </c>
    </row>
    <row r="2666">
      <c r="A2666" s="6"/>
      <c r="B2666" s="7"/>
      <c r="C2666" s="8" t="str">
        <f t="array" ref="C2666">IFERROR(INDEX(atlas!H:H,MATCH(A2666,atlas!C:C,0)),"")</f>
        <v/>
      </c>
      <c r="D2666" s="8" t="str">
        <f t="array" ref="D2666">IFERROR(INDEX(atlas!D:D,MATCH(A2666,atlas!C:C,0)),"")</f>
        <v/>
      </c>
      <c r="E2666" s="8" t="str">
        <f t="array" ref="E2666">IFERROR(INDEX(atlas!F:F,MATCH(A2666,atlas!C:C,0)),"")</f>
        <v/>
      </c>
      <c r="F2666" s="9"/>
      <c r="G2666" s="10"/>
      <c r="H2666" s="11"/>
      <c r="I2666" s="12" t="str">
        <f t="array" ref="I2666">IFERROR(INDEX(atlas!B:B,MATCH(A2666,atlas!C:C,0)),"")</f>
        <v/>
      </c>
      <c r="J2666" s="8" t="str">
        <f>IFERROR(VLOOKUP(F2666,tecnica!A:B,2,0),"")</f>
        <v/>
      </c>
      <c r="K2666" s="8" t="str">
        <f>IFERROR(VLOOKUP(J2666,tecnica!B:C,2,0),"")</f>
        <v/>
      </c>
      <c r="L2666" s="13"/>
      <c r="M2666" s="14" t="str">
        <f>IFERROR(VLOOKUP(I2666,material!A:D,4,0),"")</f>
        <v/>
      </c>
      <c r="N2666" s="14" t="str">
        <f t="shared" si="1"/>
        <v/>
      </c>
      <c r="O2666" s="15" t="str">
        <f>IFERROR(VLOOKUP(I2666,material!A:D,2,0),"")</f>
        <v/>
      </c>
    </row>
    <row r="2667">
      <c r="A2667" s="6"/>
      <c r="B2667" s="7"/>
      <c r="C2667" s="8" t="str">
        <f t="array" ref="C2667">IFERROR(INDEX(atlas!H:H,MATCH(A2667,atlas!C:C,0)),"")</f>
        <v/>
      </c>
      <c r="D2667" s="8" t="str">
        <f t="array" ref="D2667">IFERROR(INDEX(atlas!D:D,MATCH(A2667,atlas!C:C,0)),"")</f>
        <v/>
      </c>
      <c r="E2667" s="8" t="str">
        <f t="array" ref="E2667">IFERROR(INDEX(atlas!F:F,MATCH(A2667,atlas!C:C,0)),"")</f>
        <v/>
      </c>
      <c r="F2667" s="9"/>
      <c r="G2667" s="10"/>
      <c r="H2667" s="11"/>
      <c r="I2667" s="12" t="str">
        <f t="array" ref="I2667">IFERROR(INDEX(atlas!B:B,MATCH(A2667,atlas!C:C,0)),"")</f>
        <v/>
      </c>
      <c r="J2667" s="8" t="str">
        <f>IFERROR(VLOOKUP(F2667,tecnica!A:B,2,0),"")</f>
        <v/>
      </c>
      <c r="K2667" s="8" t="str">
        <f>IFERROR(VLOOKUP(J2667,tecnica!B:C,2,0),"")</f>
        <v/>
      </c>
      <c r="L2667" s="13"/>
      <c r="M2667" s="14" t="str">
        <f>IFERROR(VLOOKUP(I2667,material!A:D,4,0),"")</f>
        <v/>
      </c>
      <c r="N2667" s="14" t="str">
        <f t="shared" si="1"/>
        <v/>
      </c>
      <c r="O2667" s="15" t="str">
        <f>IFERROR(VLOOKUP(I2667,material!A:D,2,0),"")</f>
        <v/>
      </c>
    </row>
    <row r="2668">
      <c r="A2668" s="6"/>
      <c r="B2668" s="7"/>
      <c r="C2668" s="8" t="str">
        <f t="array" ref="C2668">IFERROR(INDEX(atlas!H:H,MATCH(A2668,atlas!C:C,0)),"")</f>
        <v/>
      </c>
      <c r="D2668" s="8" t="str">
        <f t="array" ref="D2668">IFERROR(INDEX(atlas!D:D,MATCH(A2668,atlas!C:C,0)),"")</f>
        <v/>
      </c>
      <c r="E2668" s="8" t="str">
        <f t="array" ref="E2668">IFERROR(INDEX(atlas!F:F,MATCH(A2668,atlas!C:C,0)),"")</f>
        <v/>
      </c>
      <c r="F2668" s="9"/>
      <c r="G2668" s="10"/>
      <c r="H2668" s="11"/>
      <c r="I2668" s="12" t="str">
        <f t="array" ref="I2668">IFERROR(INDEX(atlas!B:B,MATCH(A2668,atlas!C:C,0)),"")</f>
        <v/>
      </c>
      <c r="J2668" s="8" t="str">
        <f>IFERROR(VLOOKUP(F2668,tecnica!A:B,2,0),"")</f>
        <v/>
      </c>
      <c r="K2668" s="8" t="str">
        <f>IFERROR(VLOOKUP(J2668,tecnica!B:C,2,0),"")</f>
        <v/>
      </c>
      <c r="L2668" s="13"/>
      <c r="M2668" s="14" t="str">
        <f>IFERROR(VLOOKUP(I2668,material!A:D,4,0),"")</f>
        <v/>
      </c>
      <c r="N2668" s="14" t="str">
        <f t="shared" si="1"/>
        <v/>
      </c>
      <c r="O2668" s="15" t="str">
        <f>IFERROR(VLOOKUP(I2668,material!A:D,2,0),"")</f>
        <v/>
      </c>
    </row>
    <row r="2669">
      <c r="A2669" s="6"/>
      <c r="B2669" s="7"/>
      <c r="C2669" s="8" t="str">
        <f t="array" ref="C2669">IFERROR(INDEX(atlas!H:H,MATCH(A2669,atlas!C:C,0)),"")</f>
        <v/>
      </c>
      <c r="D2669" s="8" t="str">
        <f t="array" ref="D2669">IFERROR(INDEX(atlas!D:D,MATCH(A2669,atlas!C:C,0)),"")</f>
        <v/>
      </c>
      <c r="E2669" s="8" t="str">
        <f t="array" ref="E2669">IFERROR(INDEX(atlas!F:F,MATCH(A2669,atlas!C:C,0)),"")</f>
        <v/>
      </c>
      <c r="F2669" s="9"/>
      <c r="G2669" s="10"/>
      <c r="H2669" s="11"/>
      <c r="I2669" s="12" t="str">
        <f t="array" ref="I2669">IFERROR(INDEX(atlas!B:B,MATCH(A2669,atlas!C:C,0)),"")</f>
        <v/>
      </c>
      <c r="J2669" s="8" t="str">
        <f>IFERROR(VLOOKUP(F2669,tecnica!A:B,2,0),"")</f>
        <v/>
      </c>
      <c r="K2669" s="8" t="str">
        <f>IFERROR(VLOOKUP(J2669,tecnica!B:C,2,0),"")</f>
        <v/>
      </c>
      <c r="L2669" s="13"/>
      <c r="M2669" s="14" t="str">
        <f>IFERROR(VLOOKUP(I2669,material!A:D,4,0),"")</f>
        <v/>
      </c>
      <c r="N2669" s="14" t="str">
        <f t="shared" si="1"/>
        <v/>
      </c>
      <c r="O2669" s="15" t="str">
        <f>IFERROR(VLOOKUP(I2669,material!A:D,2,0),"")</f>
        <v/>
      </c>
    </row>
    <row r="2670">
      <c r="A2670" s="6"/>
      <c r="B2670" s="7"/>
      <c r="C2670" s="8" t="str">
        <f t="array" ref="C2670">IFERROR(INDEX(atlas!H:H,MATCH(A2670,atlas!C:C,0)),"")</f>
        <v/>
      </c>
      <c r="D2670" s="8" t="str">
        <f t="array" ref="D2670">IFERROR(INDEX(atlas!D:D,MATCH(A2670,atlas!C:C,0)),"")</f>
        <v/>
      </c>
      <c r="E2670" s="8" t="str">
        <f t="array" ref="E2670">IFERROR(INDEX(atlas!F:F,MATCH(A2670,atlas!C:C,0)),"")</f>
        <v/>
      </c>
      <c r="F2670" s="9"/>
      <c r="G2670" s="10"/>
      <c r="H2670" s="11"/>
      <c r="I2670" s="12" t="str">
        <f t="array" ref="I2670">IFERROR(INDEX(atlas!B:B,MATCH(A2670,atlas!C:C,0)),"")</f>
        <v/>
      </c>
      <c r="J2670" s="8" t="str">
        <f>IFERROR(VLOOKUP(F2670,tecnica!A:B,2,0),"")</f>
        <v/>
      </c>
      <c r="K2670" s="8" t="str">
        <f>IFERROR(VLOOKUP(J2670,tecnica!B:C,2,0),"")</f>
        <v/>
      </c>
      <c r="L2670" s="13"/>
      <c r="M2670" s="14" t="str">
        <f>IFERROR(VLOOKUP(I2670,material!A:D,4,0),"")</f>
        <v/>
      </c>
      <c r="N2670" s="14" t="str">
        <f t="shared" si="1"/>
        <v/>
      </c>
      <c r="O2670" s="15" t="str">
        <f>IFERROR(VLOOKUP(I2670,material!A:D,2,0),"")</f>
        <v/>
      </c>
    </row>
    <row r="2671">
      <c r="A2671" s="6"/>
      <c r="B2671" s="7"/>
      <c r="C2671" s="8" t="str">
        <f t="array" ref="C2671">IFERROR(INDEX(atlas!H:H,MATCH(A2671,atlas!C:C,0)),"")</f>
        <v/>
      </c>
      <c r="D2671" s="8" t="str">
        <f t="array" ref="D2671">IFERROR(INDEX(atlas!D:D,MATCH(A2671,atlas!C:C,0)),"")</f>
        <v/>
      </c>
      <c r="E2671" s="8" t="str">
        <f t="array" ref="E2671">IFERROR(INDEX(atlas!F:F,MATCH(A2671,atlas!C:C,0)),"")</f>
        <v/>
      </c>
      <c r="F2671" s="9"/>
      <c r="G2671" s="10"/>
      <c r="H2671" s="11"/>
      <c r="I2671" s="12" t="str">
        <f t="array" ref="I2671">IFERROR(INDEX(atlas!B:B,MATCH(A2671,atlas!C:C,0)),"")</f>
        <v/>
      </c>
      <c r="J2671" s="8" t="str">
        <f>IFERROR(VLOOKUP(F2671,tecnica!A:B,2,0),"")</f>
        <v/>
      </c>
      <c r="K2671" s="8" t="str">
        <f>IFERROR(VLOOKUP(J2671,tecnica!B:C,2,0),"")</f>
        <v/>
      </c>
      <c r="L2671" s="13"/>
      <c r="M2671" s="14" t="str">
        <f>IFERROR(VLOOKUP(I2671,material!A:D,4,0),"")</f>
        <v/>
      </c>
      <c r="N2671" s="14" t="str">
        <f t="shared" si="1"/>
        <v/>
      </c>
      <c r="O2671" s="15" t="str">
        <f>IFERROR(VLOOKUP(I2671,material!A:D,2,0),"")</f>
        <v/>
      </c>
    </row>
    <row r="2672">
      <c r="A2672" s="6"/>
      <c r="B2672" s="7"/>
      <c r="C2672" s="8" t="str">
        <f t="array" ref="C2672">IFERROR(INDEX(atlas!H:H,MATCH(A2672,atlas!C:C,0)),"")</f>
        <v/>
      </c>
      <c r="D2672" s="8" t="str">
        <f t="array" ref="D2672">IFERROR(INDEX(atlas!D:D,MATCH(A2672,atlas!C:C,0)),"")</f>
        <v/>
      </c>
      <c r="E2672" s="8" t="str">
        <f t="array" ref="E2672">IFERROR(INDEX(atlas!F:F,MATCH(A2672,atlas!C:C,0)),"")</f>
        <v/>
      </c>
      <c r="F2672" s="9"/>
      <c r="G2672" s="10"/>
      <c r="H2672" s="11"/>
      <c r="I2672" s="12" t="str">
        <f t="array" ref="I2672">IFERROR(INDEX(atlas!B:B,MATCH(A2672,atlas!C:C,0)),"")</f>
        <v/>
      </c>
      <c r="J2672" s="8" t="str">
        <f>IFERROR(VLOOKUP(F2672,tecnica!A:B,2,0),"")</f>
        <v/>
      </c>
      <c r="K2672" s="8" t="str">
        <f>IFERROR(VLOOKUP(J2672,tecnica!B:C,2,0),"")</f>
        <v/>
      </c>
      <c r="L2672" s="13"/>
      <c r="M2672" s="14" t="str">
        <f>IFERROR(VLOOKUP(I2672,material!A:D,4,0),"")</f>
        <v/>
      </c>
      <c r="N2672" s="14" t="str">
        <f t="shared" si="1"/>
        <v/>
      </c>
      <c r="O2672" s="15" t="str">
        <f>IFERROR(VLOOKUP(I2672,material!A:D,2,0),"")</f>
        <v/>
      </c>
    </row>
    <row r="2673">
      <c r="A2673" s="6"/>
      <c r="B2673" s="7"/>
      <c r="C2673" s="8" t="str">
        <f t="array" ref="C2673">IFERROR(INDEX(atlas!H:H,MATCH(A2673,atlas!C:C,0)),"")</f>
        <v/>
      </c>
      <c r="D2673" s="8" t="str">
        <f t="array" ref="D2673">IFERROR(INDEX(atlas!D:D,MATCH(A2673,atlas!C:C,0)),"")</f>
        <v/>
      </c>
      <c r="E2673" s="8" t="str">
        <f t="array" ref="E2673">IFERROR(INDEX(atlas!F:F,MATCH(A2673,atlas!C:C,0)),"")</f>
        <v/>
      </c>
      <c r="F2673" s="9"/>
      <c r="G2673" s="10"/>
      <c r="H2673" s="11"/>
      <c r="I2673" s="12" t="str">
        <f t="array" ref="I2673">IFERROR(INDEX(atlas!B:B,MATCH(A2673,atlas!C:C,0)),"")</f>
        <v/>
      </c>
      <c r="J2673" s="8" t="str">
        <f>IFERROR(VLOOKUP(F2673,tecnica!A:B,2,0),"")</f>
        <v/>
      </c>
      <c r="K2673" s="8" t="str">
        <f>IFERROR(VLOOKUP(J2673,tecnica!B:C,2,0),"")</f>
        <v/>
      </c>
      <c r="L2673" s="13"/>
      <c r="M2673" s="14" t="str">
        <f>IFERROR(VLOOKUP(I2673,material!A:D,4,0),"")</f>
        <v/>
      </c>
      <c r="N2673" s="14" t="str">
        <f t="shared" si="1"/>
        <v/>
      </c>
      <c r="O2673" s="15" t="str">
        <f>IFERROR(VLOOKUP(I2673,material!A:D,2,0),"")</f>
        <v/>
      </c>
    </row>
    <row r="2674">
      <c r="A2674" s="6"/>
      <c r="B2674" s="7"/>
      <c r="C2674" s="8" t="str">
        <f t="array" ref="C2674">IFERROR(INDEX(atlas!H:H,MATCH(A2674,atlas!C:C,0)),"")</f>
        <v/>
      </c>
      <c r="D2674" s="8" t="str">
        <f t="array" ref="D2674">IFERROR(INDEX(atlas!D:D,MATCH(A2674,atlas!C:C,0)),"")</f>
        <v/>
      </c>
      <c r="E2674" s="8" t="str">
        <f t="array" ref="E2674">IFERROR(INDEX(atlas!F:F,MATCH(A2674,atlas!C:C,0)),"")</f>
        <v/>
      </c>
      <c r="F2674" s="9"/>
      <c r="G2674" s="10"/>
      <c r="H2674" s="11"/>
      <c r="I2674" s="12" t="str">
        <f t="array" ref="I2674">IFERROR(INDEX(atlas!B:B,MATCH(A2674,atlas!C:C,0)),"")</f>
        <v/>
      </c>
      <c r="J2674" s="8" t="str">
        <f>IFERROR(VLOOKUP(F2674,tecnica!A:B,2,0),"")</f>
        <v/>
      </c>
      <c r="K2674" s="8" t="str">
        <f>IFERROR(VLOOKUP(J2674,tecnica!B:C,2,0),"")</f>
        <v/>
      </c>
      <c r="L2674" s="13"/>
      <c r="M2674" s="14" t="str">
        <f>IFERROR(VLOOKUP(I2674,material!A:D,4,0),"")</f>
        <v/>
      </c>
      <c r="N2674" s="14" t="str">
        <f t="shared" si="1"/>
        <v/>
      </c>
      <c r="O2674" s="15" t="str">
        <f>IFERROR(VLOOKUP(I2674,material!A:D,2,0),"")</f>
        <v/>
      </c>
    </row>
    <row r="2675">
      <c r="A2675" s="6"/>
      <c r="B2675" s="7"/>
      <c r="C2675" s="8" t="str">
        <f t="array" ref="C2675">IFERROR(INDEX(atlas!H:H,MATCH(A2675,atlas!C:C,0)),"")</f>
        <v/>
      </c>
      <c r="D2675" s="8" t="str">
        <f t="array" ref="D2675">IFERROR(INDEX(atlas!D:D,MATCH(A2675,atlas!C:C,0)),"")</f>
        <v/>
      </c>
      <c r="E2675" s="8" t="str">
        <f t="array" ref="E2675">IFERROR(INDEX(atlas!F:F,MATCH(A2675,atlas!C:C,0)),"")</f>
        <v/>
      </c>
      <c r="F2675" s="9"/>
      <c r="G2675" s="10"/>
      <c r="H2675" s="11"/>
      <c r="I2675" s="12" t="str">
        <f t="array" ref="I2675">IFERROR(INDEX(atlas!B:B,MATCH(A2675,atlas!C:C,0)),"")</f>
        <v/>
      </c>
      <c r="J2675" s="8" t="str">
        <f>IFERROR(VLOOKUP(F2675,tecnica!A:B,2,0),"")</f>
        <v/>
      </c>
      <c r="K2675" s="8" t="str">
        <f>IFERROR(VLOOKUP(J2675,tecnica!B:C,2,0),"")</f>
        <v/>
      </c>
      <c r="L2675" s="13"/>
      <c r="M2675" s="14" t="str">
        <f>IFERROR(VLOOKUP(I2675,material!A:D,4,0),"")</f>
        <v/>
      </c>
      <c r="N2675" s="14" t="str">
        <f t="shared" si="1"/>
        <v/>
      </c>
      <c r="O2675" s="15" t="str">
        <f>IFERROR(VLOOKUP(I2675,material!A:D,2,0),"")</f>
        <v/>
      </c>
    </row>
    <row r="2676">
      <c r="A2676" s="6"/>
      <c r="B2676" s="7"/>
      <c r="C2676" s="8" t="str">
        <f t="array" ref="C2676">IFERROR(INDEX(atlas!H:H,MATCH(A2676,atlas!C:C,0)),"")</f>
        <v/>
      </c>
      <c r="D2676" s="8" t="str">
        <f t="array" ref="D2676">IFERROR(INDEX(atlas!D:D,MATCH(A2676,atlas!C:C,0)),"")</f>
        <v/>
      </c>
      <c r="E2676" s="8" t="str">
        <f t="array" ref="E2676">IFERROR(INDEX(atlas!F:F,MATCH(A2676,atlas!C:C,0)),"")</f>
        <v/>
      </c>
      <c r="F2676" s="9"/>
      <c r="G2676" s="10"/>
      <c r="H2676" s="11"/>
      <c r="I2676" s="12" t="str">
        <f t="array" ref="I2676">IFERROR(INDEX(atlas!B:B,MATCH(A2676,atlas!C:C,0)),"")</f>
        <v/>
      </c>
      <c r="J2676" s="8" t="str">
        <f>IFERROR(VLOOKUP(F2676,tecnica!A:B,2,0),"")</f>
        <v/>
      </c>
      <c r="K2676" s="8" t="str">
        <f>IFERROR(VLOOKUP(J2676,tecnica!B:C,2,0),"")</f>
        <v/>
      </c>
      <c r="L2676" s="13"/>
      <c r="M2676" s="14" t="str">
        <f>IFERROR(VLOOKUP(I2676,material!A:D,4,0),"")</f>
        <v/>
      </c>
      <c r="N2676" s="14" t="str">
        <f t="shared" si="1"/>
        <v/>
      </c>
      <c r="O2676" s="15" t="str">
        <f>IFERROR(VLOOKUP(I2676,material!A:D,2,0),"")</f>
        <v/>
      </c>
    </row>
    <row r="2677">
      <c r="A2677" s="6"/>
      <c r="B2677" s="7"/>
      <c r="C2677" s="8" t="str">
        <f t="array" ref="C2677">IFERROR(INDEX(atlas!H:H,MATCH(A2677,atlas!C:C,0)),"")</f>
        <v/>
      </c>
      <c r="D2677" s="8" t="str">
        <f t="array" ref="D2677">IFERROR(INDEX(atlas!D:D,MATCH(A2677,atlas!C:C,0)),"")</f>
        <v/>
      </c>
      <c r="E2677" s="8" t="str">
        <f t="array" ref="E2677">IFERROR(INDEX(atlas!F:F,MATCH(A2677,atlas!C:C,0)),"")</f>
        <v/>
      </c>
      <c r="F2677" s="9"/>
      <c r="G2677" s="10"/>
      <c r="H2677" s="11"/>
      <c r="I2677" s="12" t="str">
        <f t="array" ref="I2677">IFERROR(INDEX(atlas!B:B,MATCH(A2677,atlas!C:C,0)),"")</f>
        <v/>
      </c>
      <c r="J2677" s="8" t="str">
        <f>IFERROR(VLOOKUP(F2677,tecnica!A:B,2,0),"")</f>
        <v/>
      </c>
      <c r="K2677" s="8" t="str">
        <f>IFERROR(VLOOKUP(J2677,tecnica!B:C,2,0),"")</f>
        <v/>
      </c>
      <c r="L2677" s="13"/>
      <c r="M2677" s="14" t="str">
        <f>IFERROR(VLOOKUP(I2677,material!A:D,4,0),"")</f>
        <v/>
      </c>
      <c r="N2677" s="14" t="str">
        <f t="shared" si="1"/>
        <v/>
      </c>
      <c r="O2677" s="15" t="str">
        <f>IFERROR(VLOOKUP(I2677,material!A:D,2,0),"")</f>
        <v/>
      </c>
    </row>
    <row r="2678">
      <c r="A2678" s="6"/>
      <c r="B2678" s="7"/>
      <c r="C2678" s="8" t="str">
        <f t="array" ref="C2678">IFERROR(INDEX(atlas!H:H,MATCH(A2678,atlas!C:C,0)),"")</f>
        <v/>
      </c>
      <c r="D2678" s="8" t="str">
        <f t="array" ref="D2678">IFERROR(INDEX(atlas!D:D,MATCH(A2678,atlas!C:C,0)),"")</f>
        <v/>
      </c>
      <c r="E2678" s="8" t="str">
        <f t="array" ref="E2678">IFERROR(INDEX(atlas!F:F,MATCH(A2678,atlas!C:C,0)),"")</f>
        <v/>
      </c>
      <c r="F2678" s="9"/>
      <c r="G2678" s="10"/>
      <c r="H2678" s="11"/>
      <c r="I2678" s="12" t="str">
        <f t="array" ref="I2678">IFERROR(INDEX(atlas!B:B,MATCH(A2678,atlas!C:C,0)),"")</f>
        <v/>
      </c>
      <c r="J2678" s="8" t="str">
        <f>IFERROR(VLOOKUP(F2678,tecnica!A:B,2,0),"")</f>
        <v/>
      </c>
      <c r="K2678" s="8" t="str">
        <f>IFERROR(VLOOKUP(J2678,tecnica!B:C,2,0),"")</f>
        <v/>
      </c>
      <c r="L2678" s="13"/>
      <c r="M2678" s="14" t="str">
        <f>IFERROR(VLOOKUP(I2678,material!A:D,4,0),"")</f>
        <v/>
      </c>
      <c r="N2678" s="14" t="str">
        <f t="shared" si="1"/>
        <v/>
      </c>
      <c r="O2678" s="15" t="str">
        <f>IFERROR(VLOOKUP(I2678,material!A:D,2,0),"")</f>
        <v/>
      </c>
    </row>
    <row r="2679">
      <c r="A2679" s="6"/>
      <c r="B2679" s="7"/>
      <c r="C2679" s="8" t="str">
        <f t="array" ref="C2679">IFERROR(INDEX(atlas!H:H,MATCH(A2679,atlas!C:C,0)),"")</f>
        <v/>
      </c>
      <c r="D2679" s="8" t="str">
        <f t="array" ref="D2679">IFERROR(INDEX(atlas!D:D,MATCH(A2679,atlas!C:C,0)),"")</f>
        <v/>
      </c>
      <c r="E2679" s="8" t="str">
        <f t="array" ref="E2679">IFERROR(INDEX(atlas!F:F,MATCH(A2679,atlas!C:C,0)),"")</f>
        <v/>
      </c>
      <c r="F2679" s="9"/>
      <c r="G2679" s="10"/>
      <c r="H2679" s="11"/>
      <c r="I2679" s="12" t="str">
        <f t="array" ref="I2679">IFERROR(INDEX(atlas!B:B,MATCH(A2679,atlas!C:C,0)),"")</f>
        <v/>
      </c>
      <c r="J2679" s="8" t="str">
        <f>IFERROR(VLOOKUP(F2679,tecnica!A:B,2,0),"")</f>
        <v/>
      </c>
      <c r="K2679" s="8" t="str">
        <f>IFERROR(VLOOKUP(J2679,tecnica!B:C,2,0),"")</f>
        <v/>
      </c>
      <c r="L2679" s="13"/>
      <c r="M2679" s="14" t="str">
        <f>IFERROR(VLOOKUP(I2679,material!A:D,4,0),"")</f>
        <v/>
      </c>
      <c r="N2679" s="14" t="str">
        <f t="shared" si="1"/>
        <v/>
      </c>
      <c r="O2679" s="15" t="str">
        <f>IFERROR(VLOOKUP(I2679,material!A:D,2,0),"")</f>
        <v/>
      </c>
    </row>
    <row r="2680">
      <c r="A2680" s="6"/>
      <c r="B2680" s="7"/>
      <c r="C2680" s="8" t="str">
        <f t="array" ref="C2680">IFERROR(INDEX(atlas!H:H,MATCH(A2680,atlas!C:C,0)),"")</f>
        <v/>
      </c>
      <c r="D2680" s="8" t="str">
        <f t="array" ref="D2680">IFERROR(INDEX(atlas!D:D,MATCH(A2680,atlas!C:C,0)),"")</f>
        <v/>
      </c>
      <c r="E2680" s="8" t="str">
        <f t="array" ref="E2680">IFERROR(INDEX(atlas!F:F,MATCH(A2680,atlas!C:C,0)),"")</f>
        <v/>
      </c>
      <c r="F2680" s="9"/>
      <c r="G2680" s="10"/>
      <c r="H2680" s="11"/>
      <c r="I2680" s="12" t="str">
        <f t="array" ref="I2680">IFERROR(INDEX(atlas!B:B,MATCH(A2680,atlas!C:C,0)),"")</f>
        <v/>
      </c>
      <c r="J2680" s="8" t="str">
        <f>IFERROR(VLOOKUP(F2680,tecnica!A:B,2,0),"")</f>
        <v/>
      </c>
      <c r="K2680" s="8" t="str">
        <f>IFERROR(VLOOKUP(J2680,tecnica!B:C,2,0),"")</f>
        <v/>
      </c>
      <c r="L2680" s="13"/>
      <c r="M2680" s="14" t="str">
        <f>IFERROR(VLOOKUP(I2680,material!A:D,4,0),"")</f>
        <v/>
      </c>
      <c r="N2680" s="14" t="str">
        <f t="shared" si="1"/>
        <v/>
      </c>
      <c r="O2680" s="15" t="str">
        <f>IFERROR(VLOOKUP(I2680,material!A:D,2,0),"")</f>
        <v/>
      </c>
    </row>
    <row r="2681">
      <c r="A2681" s="6"/>
      <c r="B2681" s="7"/>
      <c r="C2681" s="8" t="str">
        <f t="array" ref="C2681">IFERROR(INDEX(atlas!H:H,MATCH(A2681,atlas!C:C,0)),"")</f>
        <v/>
      </c>
      <c r="D2681" s="8" t="str">
        <f t="array" ref="D2681">IFERROR(INDEX(atlas!D:D,MATCH(A2681,atlas!C:C,0)),"")</f>
        <v/>
      </c>
      <c r="E2681" s="8" t="str">
        <f t="array" ref="E2681">IFERROR(INDEX(atlas!F:F,MATCH(A2681,atlas!C:C,0)),"")</f>
        <v/>
      </c>
      <c r="F2681" s="9"/>
      <c r="G2681" s="10"/>
      <c r="H2681" s="11"/>
      <c r="I2681" s="12" t="str">
        <f t="array" ref="I2681">IFERROR(INDEX(atlas!B:B,MATCH(A2681,atlas!C:C,0)),"")</f>
        <v/>
      </c>
      <c r="J2681" s="8" t="str">
        <f>IFERROR(VLOOKUP(F2681,tecnica!A:B,2,0),"")</f>
        <v/>
      </c>
      <c r="K2681" s="8" t="str">
        <f>IFERROR(VLOOKUP(J2681,tecnica!B:C,2,0),"")</f>
        <v/>
      </c>
      <c r="L2681" s="13"/>
      <c r="M2681" s="14" t="str">
        <f>IFERROR(VLOOKUP(I2681,material!A:D,4,0),"")</f>
        <v/>
      </c>
      <c r="N2681" s="14" t="str">
        <f t="shared" si="1"/>
        <v/>
      </c>
      <c r="O2681" s="15" t="str">
        <f>IFERROR(VLOOKUP(I2681,material!A:D,2,0),"")</f>
        <v/>
      </c>
    </row>
    <row r="2682">
      <c r="A2682" s="6"/>
      <c r="B2682" s="7"/>
      <c r="C2682" s="8" t="str">
        <f t="array" ref="C2682">IFERROR(INDEX(atlas!H:H,MATCH(A2682,atlas!C:C,0)),"")</f>
        <v/>
      </c>
      <c r="D2682" s="8" t="str">
        <f t="array" ref="D2682">IFERROR(INDEX(atlas!D:D,MATCH(A2682,atlas!C:C,0)),"")</f>
        <v/>
      </c>
      <c r="E2682" s="8" t="str">
        <f t="array" ref="E2682">IFERROR(INDEX(atlas!F:F,MATCH(A2682,atlas!C:C,0)),"")</f>
        <v/>
      </c>
      <c r="F2682" s="9"/>
      <c r="G2682" s="10"/>
      <c r="H2682" s="11"/>
      <c r="I2682" s="12" t="str">
        <f t="array" ref="I2682">IFERROR(INDEX(atlas!B:B,MATCH(A2682,atlas!C:C,0)),"")</f>
        <v/>
      </c>
      <c r="J2682" s="8" t="str">
        <f>IFERROR(VLOOKUP(F2682,tecnica!A:B,2,0),"")</f>
        <v/>
      </c>
      <c r="K2682" s="8" t="str">
        <f>IFERROR(VLOOKUP(J2682,tecnica!B:C,2,0),"")</f>
        <v/>
      </c>
      <c r="L2682" s="13"/>
      <c r="M2682" s="14" t="str">
        <f>IFERROR(VLOOKUP(I2682,material!A:D,4,0),"")</f>
        <v/>
      </c>
      <c r="N2682" s="14" t="str">
        <f t="shared" si="1"/>
        <v/>
      </c>
      <c r="O2682" s="15" t="str">
        <f>IFERROR(VLOOKUP(I2682,material!A:D,2,0),"")</f>
        <v/>
      </c>
    </row>
    <row r="2683">
      <c r="A2683" s="6"/>
      <c r="B2683" s="7"/>
      <c r="C2683" s="8" t="str">
        <f t="array" ref="C2683">IFERROR(INDEX(atlas!H:H,MATCH(A2683,atlas!C:C,0)),"")</f>
        <v/>
      </c>
      <c r="D2683" s="8" t="str">
        <f t="array" ref="D2683">IFERROR(INDEX(atlas!D:D,MATCH(A2683,atlas!C:C,0)),"")</f>
        <v/>
      </c>
      <c r="E2683" s="8" t="str">
        <f t="array" ref="E2683">IFERROR(INDEX(atlas!F:F,MATCH(A2683,atlas!C:C,0)),"")</f>
        <v/>
      </c>
      <c r="F2683" s="9"/>
      <c r="G2683" s="10"/>
      <c r="H2683" s="11"/>
      <c r="I2683" s="12" t="str">
        <f t="array" ref="I2683">IFERROR(INDEX(atlas!B:B,MATCH(A2683,atlas!C:C,0)),"")</f>
        <v/>
      </c>
      <c r="J2683" s="8" t="str">
        <f>IFERROR(VLOOKUP(F2683,tecnica!A:B,2,0),"")</f>
        <v/>
      </c>
      <c r="K2683" s="8" t="str">
        <f>IFERROR(VLOOKUP(J2683,tecnica!B:C,2,0),"")</f>
        <v/>
      </c>
      <c r="L2683" s="13"/>
      <c r="M2683" s="14" t="str">
        <f>IFERROR(VLOOKUP(I2683,material!A:D,4,0),"")</f>
        <v/>
      </c>
      <c r="N2683" s="14" t="str">
        <f t="shared" si="1"/>
        <v/>
      </c>
      <c r="O2683" s="15" t="str">
        <f>IFERROR(VLOOKUP(I2683,material!A:D,2,0),"")</f>
        <v/>
      </c>
    </row>
    <row r="2684">
      <c r="A2684" s="6"/>
      <c r="B2684" s="7"/>
      <c r="C2684" s="8" t="str">
        <f t="array" ref="C2684">IFERROR(INDEX(atlas!H:H,MATCH(A2684,atlas!C:C,0)),"")</f>
        <v/>
      </c>
      <c r="D2684" s="8" t="str">
        <f t="array" ref="D2684">IFERROR(INDEX(atlas!D:D,MATCH(A2684,atlas!C:C,0)),"")</f>
        <v/>
      </c>
      <c r="E2684" s="8" t="str">
        <f t="array" ref="E2684">IFERROR(INDEX(atlas!F:F,MATCH(A2684,atlas!C:C,0)),"")</f>
        <v/>
      </c>
      <c r="F2684" s="9"/>
      <c r="G2684" s="10"/>
      <c r="H2684" s="11"/>
      <c r="I2684" s="12" t="str">
        <f t="array" ref="I2684">IFERROR(INDEX(atlas!B:B,MATCH(A2684,atlas!C:C,0)),"")</f>
        <v/>
      </c>
      <c r="J2684" s="8" t="str">
        <f>IFERROR(VLOOKUP(F2684,tecnica!A:B,2,0),"")</f>
        <v/>
      </c>
      <c r="K2684" s="8" t="str">
        <f>IFERROR(VLOOKUP(J2684,tecnica!B:C,2,0),"")</f>
        <v/>
      </c>
      <c r="L2684" s="13"/>
      <c r="M2684" s="14" t="str">
        <f>IFERROR(VLOOKUP(I2684,material!A:D,4,0),"")</f>
        <v/>
      </c>
      <c r="N2684" s="14" t="str">
        <f t="shared" si="1"/>
        <v/>
      </c>
      <c r="O2684" s="15" t="str">
        <f>IFERROR(VLOOKUP(I2684,material!A:D,2,0),"")</f>
        <v/>
      </c>
    </row>
    <row r="2685">
      <c r="A2685" s="6"/>
      <c r="B2685" s="7"/>
      <c r="C2685" s="8" t="str">
        <f t="array" ref="C2685">IFERROR(INDEX(atlas!H:H,MATCH(A2685,atlas!C:C,0)),"")</f>
        <v/>
      </c>
      <c r="D2685" s="8" t="str">
        <f t="array" ref="D2685">IFERROR(INDEX(atlas!D:D,MATCH(A2685,atlas!C:C,0)),"")</f>
        <v/>
      </c>
      <c r="E2685" s="8" t="str">
        <f t="array" ref="E2685">IFERROR(INDEX(atlas!F:F,MATCH(A2685,atlas!C:C,0)),"")</f>
        <v/>
      </c>
      <c r="F2685" s="9"/>
      <c r="G2685" s="10"/>
      <c r="H2685" s="11"/>
      <c r="I2685" s="12" t="str">
        <f t="array" ref="I2685">IFERROR(INDEX(atlas!B:B,MATCH(A2685,atlas!C:C,0)),"")</f>
        <v/>
      </c>
      <c r="J2685" s="8" t="str">
        <f>IFERROR(VLOOKUP(F2685,tecnica!A:B,2,0),"")</f>
        <v/>
      </c>
      <c r="K2685" s="8" t="str">
        <f>IFERROR(VLOOKUP(J2685,tecnica!B:C,2,0),"")</f>
        <v/>
      </c>
      <c r="L2685" s="13"/>
      <c r="M2685" s="14" t="str">
        <f>IFERROR(VLOOKUP(I2685,material!A:D,4,0),"")</f>
        <v/>
      </c>
      <c r="N2685" s="14" t="str">
        <f t="shared" si="1"/>
        <v/>
      </c>
      <c r="O2685" s="15" t="str">
        <f>IFERROR(VLOOKUP(I2685,material!A:D,2,0),"")</f>
        <v/>
      </c>
    </row>
    <row r="2686">
      <c r="A2686" s="6"/>
      <c r="B2686" s="7"/>
      <c r="C2686" s="8" t="str">
        <f t="array" ref="C2686">IFERROR(INDEX(atlas!H:H,MATCH(A2686,atlas!C:C,0)),"")</f>
        <v/>
      </c>
      <c r="D2686" s="8" t="str">
        <f t="array" ref="D2686">IFERROR(INDEX(atlas!D:D,MATCH(A2686,atlas!C:C,0)),"")</f>
        <v/>
      </c>
      <c r="E2686" s="8" t="str">
        <f t="array" ref="E2686">IFERROR(INDEX(atlas!F:F,MATCH(A2686,atlas!C:C,0)),"")</f>
        <v/>
      </c>
      <c r="F2686" s="9"/>
      <c r="G2686" s="10"/>
      <c r="H2686" s="11"/>
      <c r="I2686" s="12" t="str">
        <f t="array" ref="I2686">IFERROR(INDEX(atlas!B:B,MATCH(A2686,atlas!C:C,0)),"")</f>
        <v/>
      </c>
      <c r="J2686" s="8" t="str">
        <f>IFERROR(VLOOKUP(F2686,tecnica!A:B,2,0),"")</f>
        <v/>
      </c>
      <c r="K2686" s="8" t="str">
        <f>IFERROR(VLOOKUP(J2686,tecnica!B:C,2,0),"")</f>
        <v/>
      </c>
      <c r="L2686" s="13"/>
      <c r="M2686" s="14" t="str">
        <f>IFERROR(VLOOKUP(I2686,material!A:D,4,0),"")</f>
        <v/>
      </c>
      <c r="N2686" s="14" t="str">
        <f t="shared" si="1"/>
        <v/>
      </c>
      <c r="O2686" s="15" t="str">
        <f>IFERROR(VLOOKUP(I2686,material!A:D,2,0),"")</f>
        <v/>
      </c>
    </row>
    <row r="2687">
      <c r="A2687" s="6"/>
      <c r="B2687" s="7"/>
      <c r="C2687" s="8" t="str">
        <f t="array" ref="C2687">IFERROR(INDEX(atlas!H:H,MATCH(A2687,atlas!C:C,0)),"")</f>
        <v/>
      </c>
      <c r="D2687" s="8" t="str">
        <f t="array" ref="D2687">IFERROR(INDEX(atlas!D:D,MATCH(A2687,atlas!C:C,0)),"")</f>
        <v/>
      </c>
      <c r="E2687" s="8" t="str">
        <f t="array" ref="E2687">IFERROR(INDEX(atlas!F:F,MATCH(A2687,atlas!C:C,0)),"")</f>
        <v/>
      </c>
      <c r="F2687" s="9"/>
      <c r="G2687" s="10"/>
      <c r="H2687" s="11"/>
      <c r="I2687" s="12" t="str">
        <f t="array" ref="I2687">IFERROR(INDEX(atlas!B:B,MATCH(A2687,atlas!C:C,0)),"")</f>
        <v/>
      </c>
      <c r="J2687" s="8" t="str">
        <f>IFERROR(VLOOKUP(F2687,tecnica!A:B,2,0),"")</f>
        <v/>
      </c>
      <c r="K2687" s="8" t="str">
        <f>IFERROR(VLOOKUP(J2687,tecnica!B:C,2,0),"")</f>
        <v/>
      </c>
      <c r="L2687" s="13"/>
      <c r="M2687" s="14" t="str">
        <f>IFERROR(VLOOKUP(I2687,material!A:D,4,0),"")</f>
        <v/>
      </c>
      <c r="N2687" s="14" t="str">
        <f t="shared" si="1"/>
        <v/>
      </c>
      <c r="O2687" s="15" t="str">
        <f>IFERROR(VLOOKUP(I2687,material!A:D,2,0),"")</f>
        <v/>
      </c>
    </row>
    <row r="2688">
      <c r="A2688" s="6"/>
      <c r="B2688" s="7"/>
      <c r="C2688" s="8" t="str">
        <f t="array" ref="C2688">IFERROR(INDEX(atlas!H:H,MATCH(A2688,atlas!C:C,0)),"")</f>
        <v/>
      </c>
      <c r="D2688" s="8" t="str">
        <f t="array" ref="D2688">IFERROR(INDEX(atlas!D:D,MATCH(A2688,atlas!C:C,0)),"")</f>
        <v/>
      </c>
      <c r="E2688" s="8" t="str">
        <f t="array" ref="E2688">IFERROR(INDEX(atlas!F:F,MATCH(A2688,atlas!C:C,0)),"")</f>
        <v/>
      </c>
      <c r="F2688" s="9"/>
      <c r="G2688" s="10"/>
      <c r="H2688" s="11"/>
      <c r="I2688" s="12" t="str">
        <f t="array" ref="I2688">IFERROR(INDEX(atlas!B:B,MATCH(A2688,atlas!C:C,0)),"")</f>
        <v/>
      </c>
      <c r="J2688" s="8" t="str">
        <f>IFERROR(VLOOKUP(F2688,tecnica!A:B,2,0),"")</f>
        <v/>
      </c>
      <c r="K2688" s="8" t="str">
        <f>IFERROR(VLOOKUP(J2688,tecnica!B:C,2,0),"")</f>
        <v/>
      </c>
      <c r="L2688" s="13"/>
      <c r="M2688" s="14" t="str">
        <f>IFERROR(VLOOKUP(I2688,material!A:D,4,0),"")</f>
        <v/>
      </c>
      <c r="N2688" s="14" t="str">
        <f t="shared" si="1"/>
        <v/>
      </c>
      <c r="O2688" s="15" t="str">
        <f>IFERROR(VLOOKUP(I2688,material!A:D,2,0),"")</f>
        <v/>
      </c>
    </row>
    <row r="2689">
      <c r="A2689" s="6"/>
      <c r="B2689" s="7"/>
      <c r="C2689" s="8" t="str">
        <f t="array" ref="C2689">IFERROR(INDEX(atlas!H:H,MATCH(A2689,atlas!C:C,0)),"")</f>
        <v/>
      </c>
      <c r="D2689" s="8" t="str">
        <f t="array" ref="D2689">IFERROR(INDEX(atlas!D:D,MATCH(A2689,atlas!C:C,0)),"")</f>
        <v/>
      </c>
      <c r="E2689" s="8" t="str">
        <f t="array" ref="E2689">IFERROR(INDEX(atlas!F:F,MATCH(A2689,atlas!C:C,0)),"")</f>
        <v/>
      </c>
      <c r="F2689" s="9"/>
      <c r="G2689" s="10"/>
      <c r="H2689" s="11"/>
      <c r="I2689" s="12" t="str">
        <f t="array" ref="I2689">IFERROR(INDEX(atlas!B:B,MATCH(A2689,atlas!C:C,0)),"")</f>
        <v/>
      </c>
      <c r="J2689" s="8" t="str">
        <f>IFERROR(VLOOKUP(F2689,tecnica!A:B,2,0),"")</f>
        <v/>
      </c>
      <c r="K2689" s="8" t="str">
        <f>IFERROR(VLOOKUP(J2689,tecnica!B:C,2,0),"")</f>
        <v/>
      </c>
      <c r="L2689" s="13"/>
      <c r="M2689" s="14" t="str">
        <f>IFERROR(VLOOKUP(I2689,material!A:D,4,0),"")</f>
        <v/>
      </c>
      <c r="N2689" s="14" t="str">
        <f t="shared" si="1"/>
        <v/>
      </c>
      <c r="O2689" s="15" t="str">
        <f>IFERROR(VLOOKUP(I2689,material!A:D,2,0),"")</f>
        <v/>
      </c>
    </row>
    <row r="2690">
      <c r="A2690" s="6"/>
      <c r="B2690" s="7"/>
      <c r="C2690" s="8" t="str">
        <f t="array" ref="C2690">IFERROR(INDEX(atlas!H:H,MATCH(A2690,atlas!C:C,0)),"")</f>
        <v/>
      </c>
      <c r="D2690" s="8" t="str">
        <f t="array" ref="D2690">IFERROR(INDEX(atlas!D:D,MATCH(A2690,atlas!C:C,0)),"")</f>
        <v/>
      </c>
      <c r="E2690" s="8" t="str">
        <f t="array" ref="E2690">IFERROR(INDEX(atlas!F:F,MATCH(A2690,atlas!C:C,0)),"")</f>
        <v/>
      </c>
      <c r="F2690" s="9"/>
      <c r="G2690" s="10"/>
      <c r="H2690" s="11"/>
      <c r="I2690" s="12" t="str">
        <f t="array" ref="I2690">IFERROR(INDEX(atlas!B:B,MATCH(A2690,atlas!C:C,0)),"")</f>
        <v/>
      </c>
      <c r="J2690" s="8" t="str">
        <f>IFERROR(VLOOKUP(F2690,tecnica!A:B,2,0),"")</f>
        <v/>
      </c>
      <c r="K2690" s="8" t="str">
        <f>IFERROR(VLOOKUP(J2690,tecnica!B:C,2,0),"")</f>
        <v/>
      </c>
      <c r="L2690" s="13"/>
      <c r="M2690" s="14" t="str">
        <f>IFERROR(VLOOKUP(I2690,material!A:D,4,0),"")</f>
        <v/>
      </c>
      <c r="N2690" s="14" t="str">
        <f t="shared" si="1"/>
        <v/>
      </c>
      <c r="O2690" s="15" t="str">
        <f>IFERROR(VLOOKUP(I2690,material!A:D,2,0),"")</f>
        <v/>
      </c>
    </row>
    <row r="2691">
      <c r="A2691" s="6"/>
      <c r="B2691" s="7"/>
      <c r="C2691" s="8" t="str">
        <f t="array" ref="C2691">IFERROR(INDEX(atlas!H:H,MATCH(A2691,atlas!C:C,0)),"")</f>
        <v/>
      </c>
      <c r="D2691" s="8" t="str">
        <f t="array" ref="D2691">IFERROR(INDEX(atlas!D:D,MATCH(A2691,atlas!C:C,0)),"")</f>
        <v/>
      </c>
      <c r="E2691" s="8" t="str">
        <f t="array" ref="E2691">IFERROR(INDEX(atlas!F:F,MATCH(A2691,atlas!C:C,0)),"")</f>
        <v/>
      </c>
      <c r="F2691" s="9"/>
      <c r="G2691" s="10"/>
      <c r="H2691" s="11"/>
      <c r="I2691" s="12" t="str">
        <f t="array" ref="I2691">IFERROR(INDEX(atlas!B:B,MATCH(A2691,atlas!C:C,0)),"")</f>
        <v/>
      </c>
      <c r="J2691" s="8" t="str">
        <f>IFERROR(VLOOKUP(F2691,tecnica!A:B,2,0),"")</f>
        <v/>
      </c>
      <c r="K2691" s="8" t="str">
        <f>IFERROR(VLOOKUP(J2691,tecnica!B:C,2,0),"")</f>
        <v/>
      </c>
      <c r="L2691" s="13"/>
      <c r="M2691" s="14" t="str">
        <f>IFERROR(VLOOKUP(I2691,material!A:D,4,0),"")</f>
        <v/>
      </c>
      <c r="N2691" s="14" t="str">
        <f t="shared" si="1"/>
        <v/>
      </c>
      <c r="O2691" s="15" t="str">
        <f>IFERROR(VLOOKUP(I2691,material!A:D,2,0),"")</f>
        <v/>
      </c>
    </row>
    <row r="2692">
      <c r="A2692" s="6"/>
      <c r="B2692" s="7"/>
      <c r="C2692" s="8" t="str">
        <f t="array" ref="C2692">IFERROR(INDEX(atlas!H:H,MATCH(A2692,atlas!C:C,0)),"")</f>
        <v/>
      </c>
      <c r="D2692" s="8" t="str">
        <f t="array" ref="D2692">IFERROR(INDEX(atlas!D:D,MATCH(A2692,atlas!C:C,0)),"")</f>
        <v/>
      </c>
      <c r="E2692" s="8" t="str">
        <f t="array" ref="E2692">IFERROR(INDEX(atlas!F:F,MATCH(A2692,atlas!C:C,0)),"")</f>
        <v/>
      </c>
      <c r="F2692" s="9"/>
      <c r="G2692" s="10"/>
      <c r="H2692" s="11"/>
      <c r="I2692" s="12" t="str">
        <f t="array" ref="I2692">IFERROR(INDEX(atlas!B:B,MATCH(A2692,atlas!C:C,0)),"")</f>
        <v/>
      </c>
      <c r="J2692" s="8" t="str">
        <f>IFERROR(VLOOKUP(F2692,tecnica!A:B,2,0),"")</f>
        <v/>
      </c>
      <c r="K2692" s="8" t="str">
        <f>IFERROR(VLOOKUP(J2692,tecnica!B:C,2,0),"")</f>
        <v/>
      </c>
      <c r="L2692" s="13"/>
      <c r="M2692" s="14" t="str">
        <f>IFERROR(VLOOKUP(I2692,material!A:D,4,0),"")</f>
        <v/>
      </c>
      <c r="N2692" s="14" t="str">
        <f t="shared" si="1"/>
        <v/>
      </c>
      <c r="O2692" s="15" t="str">
        <f>IFERROR(VLOOKUP(I2692,material!A:D,2,0),"")</f>
        <v/>
      </c>
    </row>
    <row r="2693">
      <c r="A2693" s="6"/>
      <c r="B2693" s="7"/>
      <c r="C2693" s="8" t="str">
        <f t="array" ref="C2693">IFERROR(INDEX(atlas!H:H,MATCH(A2693,atlas!C:C,0)),"")</f>
        <v/>
      </c>
      <c r="D2693" s="8" t="str">
        <f t="array" ref="D2693">IFERROR(INDEX(atlas!D:D,MATCH(A2693,atlas!C:C,0)),"")</f>
        <v/>
      </c>
      <c r="E2693" s="8" t="str">
        <f t="array" ref="E2693">IFERROR(INDEX(atlas!F:F,MATCH(A2693,atlas!C:C,0)),"")</f>
        <v/>
      </c>
      <c r="F2693" s="9"/>
      <c r="G2693" s="10"/>
      <c r="H2693" s="11"/>
      <c r="I2693" s="12" t="str">
        <f t="array" ref="I2693">IFERROR(INDEX(atlas!B:B,MATCH(A2693,atlas!C:C,0)),"")</f>
        <v/>
      </c>
      <c r="J2693" s="8" t="str">
        <f>IFERROR(VLOOKUP(F2693,tecnica!A:B,2,0),"")</f>
        <v/>
      </c>
      <c r="K2693" s="8" t="str">
        <f>IFERROR(VLOOKUP(J2693,tecnica!B:C,2,0),"")</f>
        <v/>
      </c>
      <c r="L2693" s="13"/>
      <c r="M2693" s="14" t="str">
        <f>IFERROR(VLOOKUP(I2693,material!A:D,4,0),"")</f>
        <v/>
      </c>
      <c r="N2693" s="14" t="str">
        <f t="shared" si="1"/>
        <v/>
      </c>
      <c r="O2693" s="15" t="str">
        <f>IFERROR(VLOOKUP(I2693,material!A:D,2,0),"")</f>
        <v/>
      </c>
    </row>
    <row r="2694">
      <c r="A2694" s="6"/>
      <c r="B2694" s="7"/>
      <c r="C2694" s="8" t="str">
        <f t="array" ref="C2694">IFERROR(INDEX(atlas!H:H,MATCH(A2694,atlas!C:C,0)),"")</f>
        <v/>
      </c>
      <c r="D2694" s="8" t="str">
        <f t="array" ref="D2694">IFERROR(INDEX(atlas!D:D,MATCH(A2694,atlas!C:C,0)),"")</f>
        <v/>
      </c>
      <c r="E2694" s="8" t="str">
        <f t="array" ref="E2694">IFERROR(INDEX(atlas!F:F,MATCH(A2694,atlas!C:C,0)),"")</f>
        <v/>
      </c>
      <c r="F2694" s="9"/>
      <c r="G2694" s="10"/>
      <c r="H2694" s="11"/>
      <c r="I2694" s="12" t="str">
        <f t="array" ref="I2694">IFERROR(INDEX(atlas!B:B,MATCH(A2694,atlas!C:C,0)),"")</f>
        <v/>
      </c>
      <c r="J2694" s="8" t="str">
        <f>IFERROR(VLOOKUP(F2694,tecnica!A:B,2,0),"")</f>
        <v/>
      </c>
      <c r="K2694" s="8" t="str">
        <f>IFERROR(VLOOKUP(J2694,tecnica!B:C,2,0),"")</f>
        <v/>
      </c>
      <c r="L2694" s="13"/>
      <c r="M2694" s="14" t="str">
        <f>IFERROR(VLOOKUP(I2694,material!A:D,4,0),"")</f>
        <v/>
      </c>
      <c r="N2694" s="14" t="str">
        <f t="shared" si="1"/>
        <v/>
      </c>
      <c r="O2694" s="15" t="str">
        <f>IFERROR(VLOOKUP(I2694,material!A:D,2,0),"")</f>
        <v/>
      </c>
    </row>
    <row r="2695">
      <c r="A2695" s="6"/>
      <c r="B2695" s="7"/>
      <c r="C2695" s="8" t="str">
        <f t="array" ref="C2695">IFERROR(INDEX(atlas!H:H,MATCH(A2695,atlas!C:C,0)),"")</f>
        <v/>
      </c>
      <c r="D2695" s="8" t="str">
        <f t="array" ref="D2695">IFERROR(INDEX(atlas!D:D,MATCH(A2695,atlas!C:C,0)),"")</f>
        <v/>
      </c>
      <c r="E2695" s="8" t="str">
        <f t="array" ref="E2695">IFERROR(INDEX(atlas!F:F,MATCH(A2695,atlas!C:C,0)),"")</f>
        <v/>
      </c>
      <c r="F2695" s="9"/>
      <c r="G2695" s="10"/>
      <c r="H2695" s="11"/>
      <c r="I2695" s="12" t="str">
        <f t="array" ref="I2695">IFERROR(INDEX(atlas!B:B,MATCH(A2695,atlas!C:C,0)),"")</f>
        <v/>
      </c>
      <c r="J2695" s="8" t="str">
        <f>IFERROR(VLOOKUP(F2695,tecnica!A:B,2,0),"")</f>
        <v/>
      </c>
      <c r="K2695" s="8" t="str">
        <f>IFERROR(VLOOKUP(J2695,tecnica!B:C,2,0),"")</f>
        <v/>
      </c>
      <c r="L2695" s="13"/>
      <c r="M2695" s="14" t="str">
        <f>IFERROR(VLOOKUP(I2695,material!A:D,4,0),"")</f>
        <v/>
      </c>
      <c r="N2695" s="14" t="str">
        <f t="shared" si="1"/>
        <v/>
      </c>
      <c r="O2695" s="15" t="str">
        <f>IFERROR(VLOOKUP(I2695,material!A:D,2,0),"")</f>
        <v/>
      </c>
    </row>
    <row r="2696">
      <c r="A2696" s="6"/>
      <c r="B2696" s="7"/>
      <c r="C2696" s="8" t="str">
        <f t="array" ref="C2696">IFERROR(INDEX(atlas!H:H,MATCH(A2696,atlas!C:C,0)),"")</f>
        <v/>
      </c>
      <c r="D2696" s="8" t="str">
        <f t="array" ref="D2696">IFERROR(INDEX(atlas!D:D,MATCH(A2696,atlas!C:C,0)),"")</f>
        <v/>
      </c>
      <c r="E2696" s="8" t="str">
        <f t="array" ref="E2696">IFERROR(INDEX(atlas!F:F,MATCH(A2696,atlas!C:C,0)),"")</f>
        <v/>
      </c>
      <c r="F2696" s="9"/>
      <c r="G2696" s="10"/>
      <c r="H2696" s="11"/>
      <c r="I2696" s="12" t="str">
        <f t="array" ref="I2696">IFERROR(INDEX(atlas!B:B,MATCH(A2696,atlas!C:C,0)),"")</f>
        <v/>
      </c>
      <c r="J2696" s="8" t="str">
        <f>IFERROR(VLOOKUP(F2696,tecnica!A:B,2,0),"")</f>
        <v/>
      </c>
      <c r="K2696" s="8" t="str">
        <f>IFERROR(VLOOKUP(J2696,tecnica!B:C,2,0),"")</f>
        <v/>
      </c>
      <c r="L2696" s="13"/>
      <c r="M2696" s="14" t="str">
        <f>IFERROR(VLOOKUP(I2696,material!A:D,4,0),"")</f>
        <v/>
      </c>
      <c r="N2696" s="14" t="str">
        <f t="shared" si="1"/>
        <v/>
      </c>
      <c r="O2696" s="15" t="str">
        <f>IFERROR(VLOOKUP(I2696,material!A:D,2,0),"")</f>
        <v/>
      </c>
    </row>
    <row r="2697">
      <c r="A2697" s="6"/>
      <c r="B2697" s="7"/>
      <c r="C2697" s="8" t="str">
        <f t="array" ref="C2697">IFERROR(INDEX(atlas!H:H,MATCH(A2697,atlas!C:C,0)),"")</f>
        <v/>
      </c>
      <c r="D2697" s="8" t="str">
        <f t="array" ref="D2697">IFERROR(INDEX(atlas!D:D,MATCH(A2697,atlas!C:C,0)),"")</f>
        <v/>
      </c>
      <c r="E2697" s="8" t="str">
        <f t="array" ref="E2697">IFERROR(INDEX(atlas!F:F,MATCH(A2697,atlas!C:C,0)),"")</f>
        <v/>
      </c>
      <c r="F2697" s="9"/>
      <c r="G2697" s="10"/>
      <c r="H2697" s="11"/>
      <c r="I2697" s="12" t="str">
        <f t="array" ref="I2697">IFERROR(INDEX(atlas!B:B,MATCH(A2697,atlas!C:C,0)),"")</f>
        <v/>
      </c>
      <c r="J2697" s="8" t="str">
        <f>IFERROR(VLOOKUP(F2697,tecnica!A:B,2,0),"")</f>
        <v/>
      </c>
      <c r="K2697" s="8" t="str">
        <f>IFERROR(VLOOKUP(J2697,tecnica!B:C,2,0),"")</f>
        <v/>
      </c>
      <c r="L2697" s="13"/>
      <c r="M2697" s="14" t="str">
        <f>IFERROR(VLOOKUP(I2697,material!A:D,4,0),"")</f>
        <v/>
      </c>
      <c r="N2697" s="14" t="str">
        <f t="shared" si="1"/>
        <v/>
      </c>
      <c r="O2697" s="15" t="str">
        <f>IFERROR(VLOOKUP(I2697,material!A:D,2,0),"")</f>
        <v/>
      </c>
    </row>
    <row r="2698">
      <c r="A2698" s="6"/>
      <c r="B2698" s="7"/>
      <c r="C2698" s="8" t="str">
        <f t="array" ref="C2698">IFERROR(INDEX(atlas!H:H,MATCH(A2698,atlas!C:C,0)),"")</f>
        <v/>
      </c>
      <c r="D2698" s="8" t="str">
        <f t="array" ref="D2698">IFERROR(INDEX(atlas!D:D,MATCH(A2698,atlas!C:C,0)),"")</f>
        <v/>
      </c>
      <c r="E2698" s="8" t="str">
        <f t="array" ref="E2698">IFERROR(INDEX(atlas!F:F,MATCH(A2698,atlas!C:C,0)),"")</f>
        <v/>
      </c>
      <c r="F2698" s="9"/>
      <c r="G2698" s="10"/>
      <c r="H2698" s="11"/>
      <c r="I2698" s="12" t="str">
        <f t="array" ref="I2698">IFERROR(INDEX(atlas!B:B,MATCH(A2698,atlas!C:C,0)),"")</f>
        <v/>
      </c>
      <c r="J2698" s="8" t="str">
        <f>IFERROR(VLOOKUP(F2698,tecnica!A:B,2,0),"")</f>
        <v/>
      </c>
      <c r="K2698" s="8" t="str">
        <f>IFERROR(VLOOKUP(J2698,tecnica!B:C,2,0),"")</f>
        <v/>
      </c>
      <c r="L2698" s="13"/>
      <c r="M2698" s="14" t="str">
        <f>IFERROR(VLOOKUP(I2698,material!A:D,4,0),"")</f>
        <v/>
      </c>
      <c r="N2698" s="14" t="str">
        <f t="shared" si="1"/>
        <v/>
      </c>
      <c r="O2698" s="15" t="str">
        <f>IFERROR(VLOOKUP(I2698,material!A:D,2,0),"")</f>
        <v/>
      </c>
    </row>
    <row r="2699">
      <c r="A2699" s="6"/>
      <c r="B2699" s="7"/>
      <c r="C2699" s="8" t="str">
        <f t="array" ref="C2699">IFERROR(INDEX(atlas!H:H,MATCH(A2699,atlas!C:C,0)),"")</f>
        <v/>
      </c>
      <c r="D2699" s="8" t="str">
        <f t="array" ref="D2699">IFERROR(INDEX(atlas!D:D,MATCH(A2699,atlas!C:C,0)),"")</f>
        <v/>
      </c>
      <c r="E2699" s="8" t="str">
        <f t="array" ref="E2699">IFERROR(INDEX(atlas!F:F,MATCH(A2699,atlas!C:C,0)),"")</f>
        <v/>
      </c>
      <c r="F2699" s="9"/>
      <c r="G2699" s="10"/>
      <c r="H2699" s="11"/>
      <c r="I2699" s="12" t="str">
        <f t="array" ref="I2699">IFERROR(INDEX(atlas!B:B,MATCH(A2699,atlas!C:C,0)),"")</f>
        <v/>
      </c>
      <c r="J2699" s="8" t="str">
        <f>IFERROR(VLOOKUP(F2699,tecnica!A:B,2,0),"")</f>
        <v/>
      </c>
      <c r="K2699" s="8" t="str">
        <f>IFERROR(VLOOKUP(J2699,tecnica!B:C,2,0),"")</f>
        <v/>
      </c>
      <c r="L2699" s="13"/>
      <c r="M2699" s="14" t="str">
        <f>IFERROR(VLOOKUP(I2699,material!A:D,4,0),"")</f>
        <v/>
      </c>
      <c r="N2699" s="14" t="str">
        <f t="shared" si="1"/>
        <v/>
      </c>
      <c r="O2699" s="15" t="str">
        <f>IFERROR(VLOOKUP(I2699,material!A:D,2,0),"")</f>
        <v/>
      </c>
    </row>
    <row r="2700">
      <c r="A2700" s="6"/>
      <c r="B2700" s="7"/>
      <c r="C2700" s="8" t="str">
        <f t="array" ref="C2700">IFERROR(INDEX(atlas!H:H,MATCH(A2700,atlas!C:C,0)),"")</f>
        <v/>
      </c>
      <c r="D2700" s="8" t="str">
        <f t="array" ref="D2700">IFERROR(INDEX(atlas!D:D,MATCH(A2700,atlas!C:C,0)),"")</f>
        <v/>
      </c>
      <c r="E2700" s="8" t="str">
        <f t="array" ref="E2700">IFERROR(INDEX(atlas!F:F,MATCH(A2700,atlas!C:C,0)),"")</f>
        <v/>
      </c>
      <c r="F2700" s="9"/>
      <c r="G2700" s="10"/>
      <c r="H2700" s="11"/>
      <c r="I2700" s="12" t="str">
        <f t="array" ref="I2700">IFERROR(INDEX(atlas!B:B,MATCH(A2700,atlas!C:C,0)),"")</f>
        <v/>
      </c>
      <c r="J2700" s="8" t="str">
        <f>IFERROR(VLOOKUP(F2700,tecnica!A:B,2,0),"")</f>
        <v/>
      </c>
      <c r="K2700" s="8" t="str">
        <f>IFERROR(VLOOKUP(J2700,tecnica!B:C,2,0),"")</f>
        <v/>
      </c>
      <c r="L2700" s="13"/>
      <c r="M2700" s="14" t="str">
        <f>IFERROR(VLOOKUP(I2700,material!A:D,4,0),"")</f>
        <v/>
      </c>
      <c r="N2700" s="14" t="str">
        <f t="shared" si="1"/>
        <v/>
      </c>
      <c r="O2700" s="15" t="str">
        <f>IFERROR(VLOOKUP(I2700,material!A:D,2,0),"")</f>
        <v/>
      </c>
    </row>
    <row r="2701">
      <c r="A2701" s="6"/>
      <c r="B2701" s="7"/>
      <c r="C2701" s="8" t="str">
        <f t="array" ref="C2701">IFERROR(INDEX(atlas!H:H,MATCH(A2701,atlas!C:C,0)),"")</f>
        <v/>
      </c>
      <c r="D2701" s="8" t="str">
        <f t="array" ref="D2701">IFERROR(INDEX(atlas!D:D,MATCH(A2701,atlas!C:C,0)),"")</f>
        <v/>
      </c>
      <c r="E2701" s="8" t="str">
        <f t="array" ref="E2701">IFERROR(INDEX(atlas!F:F,MATCH(A2701,atlas!C:C,0)),"")</f>
        <v/>
      </c>
      <c r="F2701" s="9"/>
      <c r="G2701" s="10"/>
      <c r="H2701" s="11"/>
      <c r="I2701" s="12" t="str">
        <f t="array" ref="I2701">IFERROR(INDEX(atlas!B:B,MATCH(A2701,atlas!C:C,0)),"")</f>
        <v/>
      </c>
      <c r="J2701" s="8" t="str">
        <f>IFERROR(VLOOKUP(F2701,tecnica!A:B,2,0),"")</f>
        <v/>
      </c>
      <c r="K2701" s="8" t="str">
        <f>IFERROR(VLOOKUP(J2701,tecnica!B:C,2,0),"")</f>
        <v/>
      </c>
      <c r="L2701" s="13"/>
      <c r="M2701" s="14" t="str">
        <f>IFERROR(VLOOKUP(I2701,material!A:D,4,0),"")</f>
        <v/>
      </c>
      <c r="N2701" s="14" t="str">
        <f t="shared" si="1"/>
        <v/>
      </c>
      <c r="O2701" s="15" t="str">
        <f>IFERROR(VLOOKUP(I2701,material!A:D,2,0),"")</f>
        <v/>
      </c>
    </row>
    <row r="2702">
      <c r="A2702" s="6"/>
      <c r="B2702" s="7"/>
      <c r="C2702" s="8" t="str">
        <f t="array" ref="C2702">IFERROR(INDEX(atlas!H:H,MATCH(A2702,atlas!C:C,0)),"")</f>
        <v/>
      </c>
      <c r="D2702" s="8" t="str">
        <f t="array" ref="D2702">IFERROR(INDEX(atlas!D:D,MATCH(A2702,atlas!C:C,0)),"")</f>
        <v/>
      </c>
      <c r="E2702" s="8" t="str">
        <f t="array" ref="E2702">IFERROR(INDEX(atlas!F:F,MATCH(A2702,atlas!C:C,0)),"")</f>
        <v/>
      </c>
      <c r="F2702" s="9"/>
      <c r="G2702" s="10"/>
      <c r="H2702" s="11"/>
      <c r="I2702" s="12" t="str">
        <f t="array" ref="I2702">IFERROR(INDEX(atlas!B:B,MATCH(A2702,atlas!C:C,0)),"")</f>
        <v/>
      </c>
      <c r="J2702" s="8" t="str">
        <f>IFERROR(VLOOKUP(F2702,tecnica!A:B,2,0),"")</f>
        <v/>
      </c>
      <c r="K2702" s="8" t="str">
        <f>IFERROR(VLOOKUP(J2702,tecnica!B:C,2,0),"")</f>
        <v/>
      </c>
      <c r="L2702" s="13"/>
      <c r="M2702" s="14" t="str">
        <f>IFERROR(VLOOKUP(I2702,material!A:D,4,0),"")</f>
        <v/>
      </c>
      <c r="N2702" s="14" t="str">
        <f t="shared" si="1"/>
        <v/>
      </c>
      <c r="O2702" s="15" t="str">
        <f>IFERROR(VLOOKUP(I2702,material!A:D,2,0),"")</f>
        <v/>
      </c>
    </row>
    <row r="2703">
      <c r="A2703" s="6"/>
      <c r="B2703" s="7"/>
      <c r="C2703" s="8" t="str">
        <f t="array" ref="C2703">IFERROR(INDEX(atlas!H:H,MATCH(A2703,atlas!C:C,0)),"")</f>
        <v/>
      </c>
      <c r="D2703" s="8" t="str">
        <f t="array" ref="D2703">IFERROR(INDEX(atlas!D:D,MATCH(A2703,atlas!C:C,0)),"")</f>
        <v/>
      </c>
      <c r="E2703" s="8" t="str">
        <f t="array" ref="E2703">IFERROR(INDEX(atlas!F:F,MATCH(A2703,atlas!C:C,0)),"")</f>
        <v/>
      </c>
      <c r="F2703" s="9"/>
      <c r="G2703" s="10"/>
      <c r="H2703" s="11"/>
      <c r="I2703" s="12" t="str">
        <f t="array" ref="I2703">IFERROR(INDEX(atlas!B:B,MATCH(A2703,atlas!C:C,0)),"")</f>
        <v/>
      </c>
      <c r="J2703" s="8" t="str">
        <f>IFERROR(VLOOKUP(F2703,tecnica!A:B,2,0),"")</f>
        <v/>
      </c>
      <c r="K2703" s="8" t="str">
        <f>IFERROR(VLOOKUP(J2703,tecnica!B:C,2,0),"")</f>
        <v/>
      </c>
      <c r="L2703" s="13"/>
      <c r="M2703" s="14" t="str">
        <f>IFERROR(VLOOKUP(I2703,material!A:D,4,0),"")</f>
        <v/>
      </c>
      <c r="N2703" s="14" t="str">
        <f t="shared" si="1"/>
        <v/>
      </c>
      <c r="O2703" s="15" t="str">
        <f>IFERROR(VLOOKUP(I2703,material!A:D,2,0),"")</f>
        <v/>
      </c>
    </row>
    <row r="2704">
      <c r="A2704" s="6"/>
      <c r="B2704" s="7"/>
      <c r="C2704" s="8" t="str">
        <f t="array" ref="C2704">IFERROR(INDEX(atlas!H:H,MATCH(A2704,atlas!C:C,0)),"")</f>
        <v/>
      </c>
      <c r="D2704" s="8" t="str">
        <f t="array" ref="D2704">IFERROR(INDEX(atlas!D:D,MATCH(A2704,atlas!C:C,0)),"")</f>
        <v/>
      </c>
      <c r="E2704" s="8" t="str">
        <f t="array" ref="E2704">IFERROR(INDEX(atlas!F:F,MATCH(A2704,atlas!C:C,0)),"")</f>
        <v/>
      </c>
      <c r="F2704" s="9"/>
      <c r="G2704" s="10"/>
      <c r="H2704" s="11"/>
      <c r="I2704" s="12" t="str">
        <f t="array" ref="I2704">IFERROR(INDEX(atlas!B:B,MATCH(A2704,atlas!C:C,0)),"")</f>
        <v/>
      </c>
      <c r="J2704" s="8" t="str">
        <f>IFERROR(VLOOKUP(F2704,tecnica!A:B,2,0),"")</f>
        <v/>
      </c>
      <c r="K2704" s="8" t="str">
        <f>IFERROR(VLOOKUP(J2704,tecnica!B:C,2,0),"")</f>
        <v/>
      </c>
      <c r="L2704" s="13"/>
      <c r="M2704" s="14" t="str">
        <f>IFERROR(VLOOKUP(I2704,material!A:D,4,0),"")</f>
        <v/>
      </c>
      <c r="N2704" s="14" t="str">
        <f t="shared" si="1"/>
        <v/>
      </c>
      <c r="O2704" s="15" t="str">
        <f>IFERROR(VLOOKUP(I2704,material!A:D,2,0),"")</f>
        <v/>
      </c>
    </row>
    <row r="2705">
      <c r="A2705" s="6"/>
      <c r="B2705" s="7"/>
      <c r="C2705" s="8" t="str">
        <f t="array" ref="C2705">IFERROR(INDEX(atlas!H:H,MATCH(A2705,atlas!C:C,0)),"")</f>
        <v/>
      </c>
      <c r="D2705" s="8" t="str">
        <f t="array" ref="D2705">IFERROR(INDEX(atlas!D:D,MATCH(A2705,atlas!C:C,0)),"")</f>
        <v/>
      </c>
      <c r="E2705" s="8" t="str">
        <f t="array" ref="E2705">IFERROR(INDEX(atlas!F:F,MATCH(A2705,atlas!C:C,0)),"")</f>
        <v/>
      </c>
      <c r="F2705" s="9"/>
      <c r="G2705" s="10"/>
      <c r="H2705" s="11"/>
      <c r="I2705" s="12" t="str">
        <f t="array" ref="I2705">IFERROR(INDEX(atlas!B:B,MATCH(A2705,atlas!C:C,0)),"")</f>
        <v/>
      </c>
      <c r="J2705" s="8" t="str">
        <f>IFERROR(VLOOKUP(F2705,tecnica!A:B,2,0),"")</f>
        <v/>
      </c>
      <c r="K2705" s="8" t="str">
        <f>IFERROR(VLOOKUP(J2705,tecnica!B:C,2,0),"")</f>
        <v/>
      </c>
      <c r="L2705" s="13"/>
      <c r="M2705" s="14" t="str">
        <f>IFERROR(VLOOKUP(I2705,material!A:D,4,0),"")</f>
        <v/>
      </c>
      <c r="N2705" s="14" t="str">
        <f t="shared" si="1"/>
        <v/>
      </c>
      <c r="O2705" s="15" t="str">
        <f>IFERROR(VLOOKUP(I2705,material!A:D,2,0),"")</f>
        <v/>
      </c>
    </row>
    <row r="2706">
      <c r="A2706" s="6"/>
      <c r="B2706" s="7"/>
      <c r="C2706" s="8" t="str">
        <f t="array" ref="C2706">IFERROR(INDEX(atlas!H:H,MATCH(A2706,atlas!C:C,0)),"")</f>
        <v/>
      </c>
      <c r="D2706" s="8" t="str">
        <f t="array" ref="D2706">IFERROR(INDEX(atlas!D:D,MATCH(A2706,atlas!C:C,0)),"")</f>
        <v/>
      </c>
      <c r="E2706" s="8" t="str">
        <f t="array" ref="E2706">IFERROR(INDEX(atlas!F:F,MATCH(A2706,atlas!C:C,0)),"")</f>
        <v/>
      </c>
      <c r="F2706" s="9"/>
      <c r="G2706" s="10"/>
      <c r="H2706" s="11"/>
      <c r="I2706" s="12" t="str">
        <f t="array" ref="I2706">IFERROR(INDEX(atlas!B:B,MATCH(A2706,atlas!C:C,0)),"")</f>
        <v/>
      </c>
      <c r="J2706" s="8" t="str">
        <f>IFERROR(VLOOKUP(F2706,tecnica!A:B,2,0),"")</f>
        <v/>
      </c>
      <c r="K2706" s="8" t="str">
        <f>IFERROR(VLOOKUP(J2706,tecnica!B:C,2,0),"")</f>
        <v/>
      </c>
      <c r="L2706" s="13"/>
      <c r="M2706" s="14" t="str">
        <f>IFERROR(VLOOKUP(I2706,material!A:D,4,0),"")</f>
        <v/>
      </c>
      <c r="N2706" s="14" t="str">
        <f t="shared" si="1"/>
        <v/>
      </c>
      <c r="O2706" s="15" t="str">
        <f>IFERROR(VLOOKUP(I2706,material!A:D,2,0),"")</f>
        <v/>
      </c>
    </row>
    <row r="2707">
      <c r="A2707" s="6"/>
      <c r="B2707" s="7"/>
      <c r="C2707" s="8" t="str">
        <f t="array" ref="C2707">IFERROR(INDEX(atlas!H:H,MATCH(A2707,atlas!C:C,0)),"")</f>
        <v/>
      </c>
      <c r="D2707" s="8" t="str">
        <f t="array" ref="D2707">IFERROR(INDEX(atlas!D:D,MATCH(A2707,atlas!C:C,0)),"")</f>
        <v/>
      </c>
      <c r="E2707" s="8" t="str">
        <f t="array" ref="E2707">IFERROR(INDEX(atlas!F:F,MATCH(A2707,atlas!C:C,0)),"")</f>
        <v/>
      </c>
      <c r="F2707" s="9"/>
      <c r="G2707" s="10"/>
      <c r="H2707" s="11"/>
      <c r="I2707" s="12" t="str">
        <f t="array" ref="I2707">IFERROR(INDEX(atlas!B:B,MATCH(A2707,atlas!C:C,0)),"")</f>
        <v/>
      </c>
      <c r="J2707" s="8" t="str">
        <f>IFERROR(VLOOKUP(F2707,tecnica!A:B,2,0),"")</f>
        <v/>
      </c>
      <c r="K2707" s="8" t="str">
        <f>IFERROR(VLOOKUP(J2707,tecnica!B:C,2,0),"")</f>
        <v/>
      </c>
      <c r="L2707" s="13"/>
      <c r="M2707" s="14" t="str">
        <f>IFERROR(VLOOKUP(I2707,material!A:D,4,0),"")</f>
        <v/>
      </c>
      <c r="N2707" s="14" t="str">
        <f t="shared" si="1"/>
        <v/>
      </c>
      <c r="O2707" s="15" t="str">
        <f>IFERROR(VLOOKUP(I2707,material!A:D,2,0),"")</f>
        <v/>
      </c>
    </row>
    <row r="2708">
      <c r="A2708" s="6"/>
      <c r="B2708" s="7"/>
      <c r="C2708" s="8" t="str">
        <f t="array" ref="C2708">IFERROR(INDEX(atlas!H:H,MATCH(A2708,atlas!C:C,0)),"")</f>
        <v/>
      </c>
      <c r="D2708" s="8" t="str">
        <f t="array" ref="D2708">IFERROR(INDEX(atlas!D:D,MATCH(A2708,atlas!C:C,0)),"")</f>
        <v/>
      </c>
      <c r="E2708" s="8" t="str">
        <f t="array" ref="E2708">IFERROR(INDEX(atlas!F:F,MATCH(A2708,atlas!C:C,0)),"")</f>
        <v/>
      </c>
      <c r="F2708" s="9"/>
      <c r="G2708" s="10"/>
      <c r="H2708" s="11"/>
      <c r="I2708" s="12" t="str">
        <f t="array" ref="I2708">IFERROR(INDEX(atlas!B:B,MATCH(A2708,atlas!C:C,0)),"")</f>
        <v/>
      </c>
      <c r="J2708" s="8" t="str">
        <f>IFERROR(VLOOKUP(F2708,tecnica!A:B,2,0),"")</f>
        <v/>
      </c>
      <c r="K2708" s="8" t="str">
        <f>IFERROR(VLOOKUP(J2708,tecnica!B:C,2,0),"")</f>
        <v/>
      </c>
      <c r="L2708" s="13"/>
      <c r="M2708" s="14" t="str">
        <f>IFERROR(VLOOKUP(I2708,material!A:D,4,0),"")</f>
        <v/>
      </c>
      <c r="N2708" s="14" t="str">
        <f t="shared" si="1"/>
        <v/>
      </c>
      <c r="O2708" s="15" t="str">
        <f>IFERROR(VLOOKUP(I2708,material!A:D,2,0),"")</f>
        <v/>
      </c>
    </row>
    <row r="2709">
      <c r="A2709" s="6"/>
      <c r="B2709" s="7"/>
      <c r="C2709" s="8" t="str">
        <f t="array" ref="C2709">IFERROR(INDEX(atlas!H:H,MATCH(A2709,atlas!C:C,0)),"")</f>
        <v/>
      </c>
      <c r="D2709" s="8" t="str">
        <f t="array" ref="D2709">IFERROR(INDEX(atlas!D:D,MATCH(A2709,atlas!C:C,0)),"")</f>
        <v/>
      </c>
      <c r="E2709" s="8" t="str">
        <f t="array" ref="E2709">IFERROR(INDEX(atlas!F:F,MATCH(A2709,atlas!C:C,0)),"")</f>
        <v/>
      </c>
      <c r="F2709" s="9"/>
      <c r="G2709" s="10"/>
      <c r="H2709" s="11"/>
      <c r="I2709" s="12" t="str">
        <f t="array" ref="I2709">IFERROR(INDEX(atlas!B:B,MATCH(A2709,atlas!C:C,0)),"")</f>
        <v/>
      </c>
      <c r="J2709" s="8" t="str">
        <f>IFERROR(VLOOKUP(F2709,tecnica!A:B,2,0),"")</f>
        <v/>
      </c>
      <c r="K2709" s="8" t="str">
        <f>IFERROR(VLOOKUP(J2709,tecnica!B:C,2,0),"")</f>
        <v/>
      </c>
      <c r="L2709" s="13"/>
      <c r="M2709" s="14" t="str">
        <f>IFERROR(VLOOKUP(I2709,material!A:D,4,0),"")</f>
        <v/>
      </c>
      <c r="N2709" s="14" t="str">
        <f t="shared" si="1"/>
        <v/>
      </c>
      <c r="O2709" s="15" t="str">
        <f>IFERROR(VLOOKUP(I2709,material!A:D,2,0),"")</f>
        <v/>
      </c>
    </row>
    <row r="2710">
      <c r="A2710" s="6"/>
      <c r="B2710" s="7"/>
      <c r="C2710" s="8" t="str">
        <f t="array" ref="C2710">IFERROR(INDEX(atlas!H:H,MATCH(A2710,atlas!C:C,0)),"")</f>
        <v/>
      </c>
      <c r="D2710" s="8" t="str">
        <f t="array" ref="D2710">IFERROR(INDEX(atlas!D:D,MATCH(A2710,atlas!C:C,0)),"")</f>
        <v/>
      </c>
      <c r="E2710" s="8" t="str">
        <f t="array" ref="E2710">IFERROR(INDEX(atlas!F:F,MATCH(A2710,atlas!C:C,0)),"")</f>
        <v/>
      </c>
      <c r="F2710" s="9"/>
      <c r="G2710" s="10"/>
      <c r="H2710" s="11"/>
      <c r="I2710" s="12" t="str">
        <f t="array" ref="I2710">IFERROR(INDEX(atlas!B:B,MATCH(A2710,atlas!C:C,0)),"")</f>
        <v/>
      </c>
      <c r="J2710" s="8" t="str">
        <f>IFERROR(VLOOKUP(F2710,tecnica!A:B,2,0),"")</f>
        <v/>
      </c>
      <c r="K2710" s="8" t="str">
        <f>IFERROR(VLOOKUP(J2710,tecnica!B:C,2,0),"")</f>
        <v/>
      </c>
      <c r="L2710" s="13"/>
      <c r="M2710" s="14" t="str">
        <f>IFERROR(VLOOKUP(I2710,material!A:D,4,0),"")</f>
        <v/>
      </c>
      <c r="N2710" s="14" t="str">
        <f t="shared" si="1"/>
        <v/>
      </c>
      <c r="O2710" s="15" t="str">
        <f>IFERROR(VLOOKUP(I2710,material!A:D,2,0),"")</f>
        <v/>
      </c>
    </row>
    <row r="2711">
      <c r="A2711" s="6"/>
      <c r="B2711" s="7"/>
      <c r="C2711" s="8" t="str">
        <f t="array" ref="C2711">IFERROR(INDEX(atlas!H:H,MATCH(A2711,atlas!C:C,0)),"")</f>
        <v/>
      </c>
      <c r="D2711" s="8" t="str">
        <f t="array" ref="D2711">IFERROR(INDEX(atlas!D:D,MATCH(A2711,atlas!C:C,0)),"")</f>
        <v/>
      </c>
      <c r="E2711" s="8" t="str">
        <f t="array" ref="E2711">IFERROR(INDEX(atlas!F:F,MATCH(A2711,atlas!C:C,0)),"")</f>
        <v/>
      </c>
      <c r="F2711" s="9"/>
      <c r="G2711" s="10"/>
      <c r="H2711" s="11"/>
      <c r="I2711" s="12" t="str">
        <f t="array" ref="I2711">IFERROR(INDEX(atlas!B:B,MATCH(A2711,atlas!C:C,0)),"")</f>
        <v/>
      </c>
      <c r="J2711" s="8" t="str">
        <f>IFERROR(VLOOKUP(F2711,tecnica!A:B,2,0),"")</f>
        <v/>
      </c>
      <c r="K2711" s="8" t="str">
        <f>IFERROR(VLOOKUP(J2711,tecnica!B:C,2,0),"")</f>
        <v/>
      </c>
      <c r="L2711" s="13"/>
      <c r="M2711" s="14" t="str">
        <f>IFERROR(VLOOKUP(I2711,material!A:D,4,0),"")</f>
        <v/>
      </c>
      <c r="N2711" s="14" t="str">
        <f t="shared" si="1"/>
        <v/>
      </c>
      <c r="O2711" s="15" t="str">
        <f>IFERROR(VLOOKUP(I2711,material!A:D,2,0),"")</f>
        <v/>
      </c>
    </row>
    <row r="2712">
      <c r="A2712" s="6"/>
      <c r="B2712" s="7"/>
      <c r="C2712" s="8" t="str">
        <f t="array" ref="C2712">IFERROR(INDEX(atlas!H:H,MATCH(A2712,atlas!C:C,0)),"")</f>
        <v/>
      </c>
      <c r="D2712" s="8" t="str">
        <f t="array" ref="D2712">IFERROR(INDEX(atlas!D:D,MATCH(A2712,atlas!C:C,0)),"")</f>
        <v/>
      </c>
      <c r="E2712" s="8" t="str">
        <f t="array" ref="E2712">IFERROR(INDEX(atlas!F:F,MATCH(A2712,atlas!C:C,0)),"")</f>
        <v/>
      </c>
      <c r="F2712" s="9"/>
      <c r="G2712" s="10"/>
      <c r="H2712" s="11"/>
      <c r="I2712" s="12" t="str">
        <f t="array" ref="I2712">IFERROR(INDEX(atlas!B:B,MATCH(A2712,atlas!C:C,0)),"")</f>
        <v/>
      </c>
      <c r="J2712" s="8" t="str">
        <f>IFERROR(VLOOKUP(F2712,tecnica!A:B,2,0),"")</f>
        <v/>
      </c>
      <c r="K2712" s="8" t="str">
        <f>IFERROR(VLOOKUP(J2712,tecnica!B:C,2,0),"")</f>
        <v/>
      </c>
      <c r="L2712" s="13"/>
      <c r="M2712" s="14" t="str">
        <f>IFERROR(VLOOKUP(I2712,material!A:D,4,0),"")</f>
        <v/>
      </c>
      <c r="N2712" s="14" t="str">
        <f t="shared" si="1"/>
        <v/>
      </c>
      <c r="O2712" s="15" t="str">
        <f>IFERROR(VLOOKUP(I2712,material!A:D,2,0),"")</f>
        <v/>
      </c>
    </row>
    <row r="2713">
      <c r="A2713" s="6"/>
      <c r="B2713" s="7"/>
      <c r="C2713" s="8" t="str">
        <f t="array" ref="C2713">IFERROR(INDEX(atlas!H:H,MATCH(A2713,atlas!C:C,0)),"")</f>
        <v/>
      </c>
      <c r="D2713" s="8" t="str">
        <f t="array" ref="D2713">IFERROR(INDEX(atlas!D:D,MATCH(A2713,atlas!C:C,0)),"")</f>
        <v/>
      </c>
      <c r="E2713" s="8" t="str">
        <f t="array" ref="E2713">IFERROR(INDEX(atlas!F:F,MATCH(A2713,atlas!C:C,0)),"")</f>
        <v/>
      </c>
      <c r="F2713" s="9"/>
      <c r="G2713" s="10"/>
      <c r="H2713" s="11"/>
      <c r="I2713" s="12" t="str">
        <f t="array" ref="I2713">IFERROR(INDEX(atlas!B:B,MATCH(A2713,atlas!C:C,0)),"")</f>
        <v/>
      </c>
      <c r="J2713" s="8" t="str">
        <f>IFERROR(VLOOKUP(F2713,tecnica!A:B,2,0),"")</f>
        <v/>
      </c>
      <c r="K2713" s="8" t="str">
        <f>IFERROR(VLOOKUP(J2713,tecnica!B:C,2,0),"")</f>
        <v/>
      </c>
      <c r="L2713" s="13"/>
      <c r="M2713" s="14" t="str">
        <f>IFERROR(VLOOKUP(I2713,material!A:D,4,0),"")</f>
        <v/>
      </c>
      <c r="N2713" s="14" t="str">
        <f t="shared" si="1"/>
        <v/>
      </c>
      <c r="O2713" s="15" t="str">
        <f>IFERROR(VLOOKUP(I2713,material!A:D,2,0),"")</f>
        <v/>
      </c>
    </row>
    <row r="2714">
      <c r="A2714" s="6"/>
      <c r="B2714" s="7"/>
      <c r="C2714" s="8" t="str">
        <f t="array" ref="C2714">IFERROR(INDEX(atlas!H:H,MATCH(A2714,atlas!C:C,0)),"")</f>
        <v/>
      </c>
      <c r="D2714" s="8" t="str">
        <f t="array" ref="D2714">IFERROR(INDEX(atlas!D:D,MATCH(A2714,atlas!C:C,0)),"")</f>
        <v/>
      </c>
      <c r="E2714" s="8" t="str">
        <f t="array" ref="E2714">IFERROR(INDEX(atlas!F:F,MATCH(A2714,atlas!C:C,0)),"")</f>
        <v/>
      </c>
      <c r="F2714" s="9"/>
      <c r="G2714" s="10"/>
      <c r="H2714" s="11"/>
      <c r="I2714" s="12" t="str">
        <f t="array" ref="I2714">IFERROR(INDEX(atlas!B:B,MATCH(A2714,atlas!C:C,0)),"")</f>
        <v/>
      </c>
      <c r="J2714" s="8" t="str">
        <f>IFERROR(VLOOKUP(F2714,tecnica!A:B,2,0),"")</f>
        <v/>
      </c>
      <c r="K2714" s="8" t="str">
        <f>IFERROR(VLOOKUP(J2714,tecnica!B:C,2,0),"")</f>
        <v/>
      </c>
      <c r="L2714" s="13"/>
      <c r="M2714" s="14" t="str">
        <f>IFERROR(VLOOKUP(I2714,material!A:D,4,0),"")</f>
        <v/>
      </c>
      <c r="N2714" s="14" t="str">
        <f t="shared" si="1"/>
        <v/>
      </c>
      <c r="O2714" s="15" t="str">
        <f>IFERROR(VLOOKUP(I2714,material!A:D,2,0),"")</f>
        <v/>
      </c>
    </row>
    <row r="2715">
      <c r="A2715" s="6"/>
      <c r="B2715" s="7"/>
      <c r="C2715" s="8" t="str">
        <f t="array" ref="C2715">IFERROR(INDEX(atlas!H:H,MATCH(A2715,atlas!C:C,0)),"")</f>
        <v/>
      </c>
      <c r="D2715" s="8" t="str">
        <f t="array" ref="D2715">IFERROR(INDEX(atlas!D:D,MATCH(A2715,atlas!C:C,0)),"")</f>
        <v/>
      </c>
      <c r="E2715" s="8" t="str">
        <f t="array" ref="E2715">IFERROR(INDEX(atlas!F:F,MATCH(A2715,atlas!C:C,0)),"")</f>
        <v/>
      </c>
      <c r="F2715" s="9"/>
      <c r="G2715" s="10"/>
      <c r="H2715" s="11"/>
      <c r="I2715" s="12" t="str">
        <f t="array" ref="I2715">IFERROR(INDEX(atlas!B:B,MATCH(A2715,atlas!C:C,0)),"")</f>
        <v/>
      </c>
      <c r="J2715" s="8" t="str">
        <f>IFERROR(VLOOKUP(F2715,tecnica!A:B,2,0),"")</f>
        <v/>
      </c>
      <c r="K2715" s="8" t="str">
        <f>IFERROR(VLOOKUP(J2715,tecnica!B:C,2,0),"")</f>
        <v/>
      </c>
      <c r="L2715" s="13"/>
      <c r="M2715" s="14" t="str">
        <f>IFERROR(VLOOKUP(I2715,material!A:D,4,0),"")</f>
        <v/>
      </c>
      <c r="N2715" s="14" t="str">
        <f t="shared" si="1"/>
        <v/>
      </c>
      <c r="O2715" s="15" t="str">
        <f>IFERROR(VLOOKUP(I2715,material!A:D,2,0),"")</f>
        <v/>
      </c>
    </row>
    <row r="2716">
      <c r="A2716" s="6"/>
      <c r="B2716" s="7"/>
      <c r="C2716" s="8" t="str">
        <f t="array" ref="C2716">IFERROR(INDEX(atlas!H:H,MATCH(A2716,atlas!C:C,0)),"")</f>
        <v/>
      </c>
      <c r="D2716" s="8" t="str">
        <f t="array" ref="D2716">IFERROR(INDEX(atlas!D:D,MATCH(A2716,atlas!C:C,0)),"")</f>
        <v/>
      </c>
      <c r="E2716" s="8" t="str">
        <f t="array" ref="E2716">IFERROR(INDEX(atlas!F:F,MATCH(A2716,atlas!C:C,0)),"")</f>
        <v/>
      </c>
      <c r="F2716" s="9"/>
      <c r="G2716" s="10"/>
      <c r="H2716" s="11"/>
      <c r="I2716" s="12" t="str">
        <f t="array" ref="I2716">IFERROR(INDEX(atlas!B:B,MATCH(A2716,atlas!C:C,0)),"")</f>
        <v/>
      </c>
      <c r="J2716" s="8" t="str">
        <f>IFERROR(VLOOKUP(F2716,tecnica!A:B,2,0),"")</f>
        <v/>
      </c>
      <c r="K2716" s="8" t="str">
        <f>IFERROR(VLOOKUP(J2716,tecnica!B:C,2,0),"")</f>
        <v/>
      </c>
      <c r="L2716" s="13"/>
      <c r="M2716" s="14" t="str">
        <f>IFERROR(VLOOKUP(I2716,material!A:D,4,0),"")</f>
        <v/>
      </c>
      <c r="N2716" s="14" t="str">
        <f t="shared" si="1"/>
        <v/>
      </c>
      <c r="O2716" s="15" t="str">
        <f>IFERROR(VLOOKUP(I2716,material!A:D,2,0),"")</f>
        <v/>
      </c>
    </row>
    <row r="2717">
      <c r="A2717" s="6"/>
      <c r="B2717" s="7"/>
      <c r="C2717" s="8" t="str">
        <f t="array" ref="C2717">IFERROR(INDEX(atlas!H:H,MATCH(A2717,atlas!C:C,0)),"")</f>
        <v/>
      </c>
      <c r="D2717" s="8" t="str">
        <f t="array" ref="D2717">IFERROR(INDEX(atlas!D:D,MATCH(A2717,atlas!C:C,0)),"")</f>
        <v/>
      </c>
      <c r="E2717" s="8" t="str">
        <f t="array" ref="E2717">IFERROR(INDEX(atlas!F:F,MATCH(A2717,atlas!C:C,0)),"")</f>
        <v/>
      </c>
      <c r="F2717" s="9"/>
      <c r="G2717" s="10"/>
      <c r="H2717" s="11"/>
      <c r="I2717" s="12" t="str">
        <f t="array" ref="I2717">IFERROR(INDEX(atlas!B:B,MATCH(A2717,atlas!C:C,0)),"")</f>
        <v/>
      </c>
      <c r="J2717" s="8" t="str">
        <f>IFERROR(VLOOKUP(F2717,tecnica!A:B,2,0),"")</f>
        <v/>
      </c>
      <c r="K2717" s="8" t="str">
        <f>IFERROR(VLOOKUP(J2717,tecnica!B:C,2,0),"")</f>
        <v/>
      </c>
      <c r="L2717" s="13"/>
      <c r="M2717" s="14" t="str">
        <f>IFERROR(VLOOKUP(I2717,material!A:D,4,0),"")</f>
        <v/>
      </c>
      <c r="N2717" s="14" t="str">
        <f t="shared" si="1"/>
        <v/>
      </c>
      <c r="O2717" s="15" t="str">
        <f>IFERROR(VLOOKUP(I2717,material!A:D,2,0),"")</f>
        <v/>
      </c>
    </row>
    <row r="2718">
      <c r="A2718" s="6"/>
      <c r="B2718" s="7"/>
      <c r="C2718" s="8" t="str">
        <f t="array" ref="C2718">IFERROR(INDEX(atlas!H:H,MATCH(A2718,atlas!C:C,0)),"")</f>
        <v/>
      </c>
      <c r="D2718" s="8" t="str">
        <f t="array" ref="D2718">IFERROR(INDEX(atlas!D:D,MATCH(A2718,atlas!C:C,0)),"")</f>
        <v/>
      </c>
      <c r="E2718" s="8" t="str">
        <f t="array" ref="E2718">IFERROR(INDEX(atlas!F:F,MATCH(A2718,atlas!C:C,0)),"")</f>
        <v/>
      </c>
      <c r="F2718" s="9"/>
      <c r="G2718" s="10"/>
      <c r="H2718" s="11"/>
      <c r="I2718" s="12" t="str">
        <f t="array" ref="I2718">IFERROR(INDEX(atlas!B:B,MATCH(A2718,atlas!C:C,0)),"")</f>
        <v/>
      </c>
      <c r="J2718" s="8" t="str">
        <f>IFERROR(VLOOKUP(F2718,tecnica!A:B,2,0),"")</f>
        <v/>
      </c>
      <c r="K2718" s="8" t="str">
        <f>IFERROR(VLOOKUP(J2718,tecnica!B:C,2,0),"")</f>
        <v/>
      </c>
      <c r="L2718" s="13"/>
      <c r="M2718" s="14" t="str">
        <f>IFERROR(VLOOKUP(I2718,material!A:D,4,0),"")</f>
        <v/>
      </c>
      <c r="N2718" s="14" t="str">
        <f t="shared" si="1"/>
        <v/>
      </c>
      <c r="O2718" s="15" t="str">
        <f>IFERROR(VLOOKUP(I2718,material!A:D,2,0),"")</f>
        <v/>
      </c>
    </row>
    <row r="2719">
      <c r="A2719" s="6"/>
      <c r="B2719" s="7"/>
      <c r="C2719" s="8" t="str">
        <f t="array" ref="C2719">IFERROR(INDEX(atlas!H:H,MATCH(A2719,atlas!C:C,0)),"")</f>
        <v/>
      </c>
      <c r="D2719" s="8" t="str">
        <f t="array" ref="D2719">IFERROR(INDEX(atlas!D:D,MATCH(A2719,atlas!C:C,0)),"")</f>
        <v/>
      </c>
      <c r="E2719" s="8" t="str">
        <f t="array" ref="E2719">IFERROR(INDEX(atlas!F:F,MATCH(A2719,atlas!C:C,0)),"")</f>
        <v/>
      </c>
      <c r="F2719" s="9"/>
      <c r="G2719" s="10"/>
      <c r="H2719" s="11"/>
      <c r="I2719" s="12" t="str">
        <f t="array" ref="I2719">IFERROR(INDEX(atlas!B:B,MATCH(A2719,atlas!C:C,0)),"")</f>
        <v/>
      </c>
      <c r="J2719" s="8" t="str">
        <f>IFERROR(VLOOKUP(F2719,tecnica!A:B,2,0),"")</f>
        <v/>
      </c>
      <c r="K2719" s="8" t="str">
        <f>IFERROR(VLOOKUP(J2719,tecnica!B:C,2,0),"")</f>
        <v/>
      </c>
      <c r="L2719" s="13"/>
      <c r="M2719" s="14" t="str">
        <f>IFERROR(VLOOKUP(I2719,material!A:D,4,0),"")</f>
        <v/>
      </c>
      <c r="N2719" s="14" t="str">
        <f t="shared" si="1"/>
        <v/>
      </c>
      <c r="O2719" s="15" t="str">
        <f>IFERROR(VLOOKUP(I2719,material!A:D,2,0),"")</f>
        <v/>
      </c>
    </row>
    <row r="2720">
      <c r="A2720" s="6"/>
      <c r="B2720" s="7"/>
      <c r="C2720" s="8" t="str">
        <f t="array" ref="C2720">IFERROR(INDEX(atlas!H:H,MATCH(A2720,atlas!C:C,0)),"")</f>
        <v/>
      </c>
      <c r="D2720" s="8" t="str">
        <f t="array" ref="D2720">IFERROR(INDEX(atlas!D:D,MATCH(A2720,atlas!C:C,0)),"")</f>
        <v/>
      </c>
      <c r="E2720" s="8" t="str">
        <f t="array" ref="E2720">IFERROR(INDEX(atlas!F:F,MATCH(A2720,atlas!C:C,0)),"")</f>
        <v/>
      </c>
      <c r="F2720" s="9"/>
      <c r="G2720" s="10"/>
      <c r="H2720" s="11"/>
      <c r="I2720" s="12" t="str">
        <f t="array" ref="I2720">IFERROR(INDEX(atlas!B:B,MATCH(A2720,atlas!C:C,0)),"")</f>
        <v/>
      </c>
      <c r="J2720" s="8" t="str">
        <f>IFERROR(VLOOKUP(F2720,tecnica!A:B,2,0),"")</f>
        <v/>
      </c>
      <c r="K2720" s="8" t="str">
        <f>IFERROR(VLOOKUP(J2720,tecnica!B:C,2,0),"")</f>
        <v/>
      </c>
      <c r="L2720" s="13"/>
      <c r="M2720" s="14" t="str">
        <f>IFERROR(VLOOKUP(I2720,material!A:D,4,0),"")</f>
        <v/>
      </c>
      <c r="N2720" s="14" t="str">
        <f t="shared" si="1"/>
        <v/>
      </c>
      <c r="O2720" s="15" t="str">
        <f>IFERROR(VLOOKUP(I2720,material!A:D,2,0),"")</f>
        <v/>
      </c>
    </row>
    <row r="2721">
      <c r="A2721" s="6"/>
      <c r="B2721" s="7"/>
      <c r="C2721" s="8" t="str">
        <f t="array" ref="C2721">IFERROR(INDEX(atlas!H:H,MATCH(A2721,atlas!C:C,0)),"")</f>
        <v/>
      </c>
      <c r="D2721" s="8" t="str">
        <f t="array" ref="D2721">IFERROR(INDEX(atlas!D:D,MATCH(A2721,atlas!C:C,0)),"")</f>
        <v/>
      </c>
      <c r="E2721" s="8" t="str">
        <f t="array" ref="E2721">IFERROR(INDEX(atlas!F:F,MATCH(A2721,atlas!C:C,0)),"")</f>
        <v/>
      </c>
      <c r="F2721" s="9"/>
      <c r="G2721" s="10"/>
      <c r="H2721" s="11"/>
      <c r="I2721" s="12" t="str">
        <f t="array" ref="I2721">IFERROR(INDEX(atlas!B:B,MATCH(A2721,atlas!C:C,0)),"")</f>
        <v/>
      </c>
      <c r="J2721" s="8" t="str">
        <f>IFERROR(VLOOKUP(F2721,tecnica!A:B,2,0),"")</f>
        <v/>
      </c>
      <c r="K2721" s="8" t="str">
        <f>IFERROR(VLOOKUP(J2721,tecnica!B:C,2,0),"")</f>
        <v/>
      </c>
      <c r="L2721" s="13"/>
      <c r="M2721" s="14" t="str">
        <f>IFERROR(VLOOKUP(I2721,material!A:D,4,0),"")</f>
        <v/>
      </c>
      <c r="N2721" s="14" t="str">
        <f t="shared" si="1"/>
        <v/>
      </c>
      <c r="O2721" s="15" t="str">
        <f>IFERROR(VLOOKUP(I2721,material!A:D,2,0),"")</f>
        <v/>
      </c>
    </row>
    <row r="2722">
      <c r="A2722" s="6"/>
      <c r="B2722" s="7"/>
      <c r="C2722" s="8" t="str">
        <f t="array" ref="C2722">IFERROR(INDEX(atlas!H:H,MATCH(A2722,atlas!C:C,0)),"")</f>
        <v/>
      </c>
      <c r="D2722" s="8" t="str">
        <f t="array" ref="D2722">IFERROR(INDEX(atlas!D:D,MATCH(A2722,atlas!C:C,0)),"")</f>
        <v/>
      </c>
      <c r="E2722" s="8" t="str">
        <f t="array" ref="E2722">IFERROR(INDEX(atlas!F:F,MATCH(A2722,atlas!C:C,0)),"")</f>
        <v/>
      </c>
      <c r="F2722" s="9"/>
      <c r="G2722" s="10"/>
      <c r="H2722" s="11"/>
      <c r="I2722" s="12" t="str">
        <f t="array" ref="I2722">IFERROR(INDEX(atlas!B:B,MATCH(A2722,atlas!C:C,0)),"")</f>
        <v/>
      </c>
      <c r="J2722" s="8" t="str">
        <f>IFERROR(VLOOKUP(F2722,tecnica!A:B,2,0),"")</f>
        <v/>
      </c>
      <c r="K2722" s="8" t="str">
        <f>IFERROR(VLOOKUP(J2722,tecnica!B:C,2,0),"")</f>
        <v/>
      </c>
      <c r="L2722" s="13"/>
      <c r="M2722" s="14" t="str">
        <f>IFERROR(VLOOKUP(I2722,material!A:D,4,0),"")</f>
        <v/>
      </c>
      <c r="N2722" s="14" t="str">
        <f t="shared" si="1"/>
        <v/>
      </c>
      <c r="O2722" s="15" t="str">
        <f>IFERROR(VLOOKUP(I2722,material!A:D,2,0),"")</f>
        <v/>
      </c>
    </row>
    <row r="2723">
      <c r="A2723" s="6"/>
      <c r="B2723" s="7"/>
      <c r="C2723" s="8" t="str">
        <f t="array" ref="C2723">IFERROR(INDEX(atlas!H:H,MATCH(A2723,atlas!C:C,0)),"")</f>
        <v/>
      </c>
      <c r="D2723" s="8" t="str">
        <f t="array" ref="D2723">IFERROR(INDEX(atlas!D:D,MATCH(A2723,atlas!C:C,0)),"")</f>
        <v/>
      </c>
      <c r="E2723" s="8" t="str">
        <f t="array" ref="E2723">IFERROR(INDEX(atlas!F:F,MATCH(A2723,atlas!C:C,0)),"")</f>
        <v/>
      </c>
      <c r="F2723" s="9"/>
      <c r="G2723" s="10"/>
      <c r="H2723" s="11"/>
      <c r="I2723" s="12" t="str">
        <f t="array" ref="I2723">IFERROR(INDEX(atlas!B:B,MATCH(A2723,atlas!C:C,0)),"")</f>
        <v/>
      </c>
      <c r="J2723" s="8" t="str">
        <f>IFERROR(VLOOKUP(F2723,tecnica!A:B,2,0),"")</f>
        <v/>
      </c>
      <c r="K2723" s="8" t="str">
        <f>IFERROR(VLOOKUP(J2723,tecnica!B:C,2,0),"")</f>
        <v/>
      </c>
      <c r="L2723" s="13"/>
      <c r="M2723" s="14" t="str">
        <f>IFERROR(VLOOKUP(I2723,material!A:D,4,0),"")</f>
        <v/>
      </c>
      <c r="N2723" s="14" t="str">
        <f t="shared" si="1"/>
        <v/>
      </c>
      <c r="O2723" s="15" t="str">
        <f>IFERROR(VLOOKUP(I2723,material!A:D,2,0),"")</f>
        <v/>
      </c>
    </row>
    <row r="2724">
      <c r="A2724" s="6"/>
      <c r="B2724" s="7"/>
      <c r="C2724" s="8" t="str">
        <f t="array" ref="C2724">IFERROR(INDEX(atlas!H:H,MATCH(A2724,atlas!C:C,0)),"")</f>
        <v/>
      </c>
      <c r="D2724" s="8" t="str">
        <f t="array" ref="D2724">IFERROR(INDEX(atlas!D:D,MATCH(A2724,atlas!C:C,0)),"")</f>
        <v/>
      </c>
      <c r="E2724" s="8" t="str">
        <f t="array" ref="E2724">IFERROR(INDEX(atlas!F:F,MATCH(A2724,atlas!C:C,0)),"")</f>
        <v/>
      </c>
      <c r="F2724" s="9"/>
      <c r="G2724" s="10"/>
      <c r="H2724" s="11"/>
      <c r="I2724" s="12" t="str">
        <f t="array" ref="I2724">IFERROR(INDEX(atlas!B:B,MATCH(A2724,atlas!C:C,0)),"")</f>
        <v/>
      </c>
      <c r="J2724" s="8" t="str">
        <f>IFERROR(VLOOKUP(F2724,tecnica!A:B,2,0),"")</f>
        <v/>
      </c>
      <c r="K2724" s="8" t="str">
        <f>IFERROR(VLOOKUP(J2724,tecnica!B:C,2,0),"")</f>
        <v/>
      </c>
      <c r="L2724" s="13"/>
      <c r="M2724" s="14" t="str">
        <f>IFERROR(VLOOKUP(I2724,material!A:D,4,0),"")</f>
        <v/>
      </c>
      <c r="N2724" s="14" t="str">
        <f t="shared" si="1"/>
        <v/>
      </c>
      <c r="O2724" s="15" t="str">
        <f>IFERROR(VLOOKUP(I2724,material!A:D,2,0),"")</f>
        <v/>
      </c>
    </row>
    <row r="2725">
      <c r="A2725" s="6"/>
      <c r="B2725" s="7"/>
      <c r="C2725" s="8" t="str">
        <f t="array" ref="C2725">IFERROR(INDEX(atlas!H:H,MATCH(A2725,atlas!C:C,0)),"")</f>
        <v/>
      </c>
      <c r="D2725" s="8" t="str">
        <f t="array" ref="D2725">IFERROR(INDEX(atlas!D:D,MATCH(A2725,atlas!C:C,0)),"")</f>
        <v/>
      </c>
      <c r="E2725" s="8" t="str">
        <f t="array" ref="E2725">IFERROR(INDEX(atlas!F:F,MATCH(A2725,atlas!C:C,0)),"")</f>
        <v/>
      </c>
      <c r="F2725" s="9"/>
      <c r="G2725" s="10"/>
      <c r="H2725" s="11"/>
      <c r="I2725" s="12" t="str">
        <f t="array" ref="I2725">IFERROR(INDEX(atlas!B:B,MATCH(A2725,atlas!C:C,0)),"")</f>
        <v/>
      </c>
      <c r="J2725" s="8" t="str">
        <f>IFERROR(VLOOKUP(F2725,tecnica!A:B,2,0),"")</f>
        <v/>
      </c>
      <c r="K2725" s="8" t="str">
        <f>IFERROR(VLOOKUP(J2725,tecnica!B:C,2,0),"")</f>
        <v/>
      </c>
      <c r="L2725" s="13"/>
      <c r="M2725" s="14" t="str">
        <f>IFERROR(VLOOKUP(I2725,material!A:D,4,0),"")</f>
        <v/>
      </c>
      <c r="N2725" s="14" t="str">
        <f t="shared" si="1"/>
        <v/>
      </c>
      <c r="O2725" s="15" t="str">
        <f>IFERROR(VLOOKUP(I2725,material!A:D,2,0),"")</f>
        <v/>
      </c>
    </row>
    <row r="2726">
      <c r="A2726" s="6"/>
      <c r="B2726" s="7"/>
      <c r="C2726" s="8" t="str">
        <f t="array" ref="C2726">IFERROR(INDEX(atlas!H:H,MATCH(A2726,atlas!C:C,0)),"")</f>
        <v/>
      </c>
      <c r="D2726" s="8" t="str">
        <f t="array" ref="D2726">IFERROR(INDEX(atlas!D:D,MATCH(A2726,atlas!C:C,0)),"")</f>
        <v/>
      </c>
      <c r="E2726" s="8" t="str">
        <f t="array" ref="E2726">IFERROR(INDEX(atlas!F:F,MATCH(A2726,atlas!C:C,0)),"")</f>
        <v/>
      </c>
      <c r="F2726" s="9"/>
      <c r="G2726" s="10"/>
      <c r="H2726" s="11"/>
      <c r="I2726" s="12" t="str">
        <f t="array" ref="I2726">IFERROR(INDEX(atlas!B:B,MATCH(A2726,atlas!C:C,0)),"")</f>
        <v/>
      </c>
      <c r="J2726" s="8" t="str">
        <f>IFERROR(VLOOKUP(F2726,tecnica!A:B,2,0),"")</f>
        <v/>
      </c>
      <c r="K2726" s="8" t="str">
        <f>IFERROR(VLOOKUP(J2726,tecnica!B:C,2,0),"")</f>
        <v/>
      </c>
      <c r="L2726" s="13"/>
      <c r="M2726" s="14" t="str">
        <f>IFERROR(VLOOKUP(I2726,material!A:D,4,0),"")</f>
        <v/>
      </c>
      <c r="N2726" s="14" t="str">
        <f t="shared" si="1"/>
        <v/>
      </c>
      <c r="O2726" s="15" t="str">
        <f>IFERROR(VLOOKUP(I2726,material!A:D,2,0),"")</f>
        <v/>
      </c>
    </row>
    <row r="2727">
      <c r="A2727" s="6"/>
      <c r="B2727" s="7"/>
      <c r="C2727" s="8" t="str">
        <f t="array" ref="C2727">IFERROR(INDEX(atlas!H:H,MATCH(A2727,atlas!C:C,0)),"")</f>
        <v/>
      </c>
      <c r="D2727" s="8" t="str">
        <f t="array" ref="D2727">IFERROR(INDEX(atlas!D:D,MATCH(A2727,atlas!C:C,0)),"")</f>
        <v/>
      </c>
      <c r="E2727" s="8" t="str">
        <f t="array" ref="E2727">IFERROR(INDEX(atlas!F:F,MATCH(A2727,atlas!C:C,0)),"")</f>
        <v/>
      </c>
      <c r="F2727" s="9"/>
      <c r="G2727" s="10"/>
      <c r="H2727" s="11"/>
      <c r="I2727" s="12" t="str">
        <f t="array" ref="I2727">IFERROR(INDEX(atlas!B:B,MATCH(A2727,atlas!C:C,0)),"")</f>
        <v/>
      </c>
      <c r="J2727" s="8" t="str">
        <f>IFERROR(VLOOKUP(F2727,tecnica!A:B,2,0),"")</f>
        <v/>
      </c>
      <c r="K2727" s="8" t="str">
        <f>IFERROR(VLOOKUP(J2727,tecnica!B:C,2,0),"")</f>
        <v/>
      </c>
      <c r="L2727" s="13"/>
      <c r="M2727" s="14" t="str">
        <f>IFERROR(VLOOKUP(I2727,material!A:D,4,0),"")</f>
        <v/>
      </c>
      <c r="N2727" s="14" t="str">
        <f t="shared" si="1"/>
        <v/>
      </c>
      <c r="O2727" s="15" t="str">
        <f>IFERROR(VLOOKUP(I2727,material!A:D,2,0),"")</f>
        <v/>
      </c>
    </row>
    <row r="2728">
      <c r="A2728" s="6"/>
      <c r="B2728" s="7"/>
      <c r="C2728" s="8" t="str">
        <f t="array" ref="C2728">IFERROR(INDEX(atlas!H:H,MATCH(A2728,atlas!C:C,0)),"")</f>
        <v/>
      </c>
      <c r="D2728" s="8" t="str">
        <f t="array" ref="D2728">IFERROR(INDEX(atlas!D:D,MATCH(A2728,atlas!C:C,0)),"")</f>
        <v/>
      </c>
      <c r="E2728" s="8" t="str">
        <f t="array" ref="E2728">IFERROR(INDEX(atlas!F:F,MATCH(A2728,atlas!C:C,0)),"")</f>
        <v/>
      </c>
      <c r="F2728" s="9"/>
      <c r="G2728" s="10"/>
      <c r="H2728" s="11"/>
      <c r="I2728" s="12" t="str">
        <f t="array" ref="I2728">IFERROR(INDEX(atlas!B:B,MATCH(A2728,atlas!C:C,0)),"")</f>
        <v/>
      </c>
      <c r="J2728" s="8" t="str">
        <f>IFERROR(VLOOKUP(F2728,tecnica!A:B,2,0),"")</f>
        <v/>
      </c>
      <c r="K2728" s="8" t="str">
        <f>IFERROR(VLOOKUP(J2728,tecnica!B:C,2,0),"")</f>
        <v/>
      </c>
      <c r="L2728" s="13"/>
      <c r="M2728" s="14" t="str">
        <f>IFERROR(VLOOKUP(I2728,material!A:D,4,0),"")</f>
        <v/>
      </c>
      <c r="N2728" s="14" t="str">
        <f t="shared" si="1"/>
        <v/>
      </c>
      <c r="O2728" s="15" t="str">
        <f>IFERROR(VLOOKUP(I2728,material!A:D,2,0),"")</f>
        <v/>
      </c>
    </row>
    <row r="2729">
      <c r="A2729" s="6"/>
      <c r="B2729" s="7"/>
      <c r="C2729" s="8" t="str">
        <f t="array" ref="C2729">IFERROR(INDEX(atlas!H:H,MATCH(A2729,atlas!C:C,0)),"")</f>
        <v/>
      </c>
      <c r="D2729" s="8" t="str">
        <f t="array" ref="D2729">IFERROR(INDEX(atlas!D:D,MATCH(A2729,atlas!C:C,0)),"")</f>
        <v/>
      </c>
      <c r="E2729" s="8" t="str">
        <f t="array" ref="E2729">IFERROR(INDEX(atlas!F:F,MATCH(A2729,atlas!C:C,0)),"")</f>
        <v/>
      </c>
      <c r="F2729" s="9"/>
      <c r="G2729" s="10"/>
      <c r="H2729" s="11"/>
      <c r="I2729" s="12" t="str">
        <f t="array" ref="I2729">IFERROR(INDEX(atlas!B:B,MATCH(A2729,atlas!C:C,0)),"")</f>
        <v/>
      </c>
      <c r="J2729" s="8" t="str">
        <f>IFERROR(VLOOKUP(F2729,tecnica!A:B,2,0),"")</f>
        <v/>
      </c>
      <c r="K2729" s="8" t="str">
        <f>IFERROR(VLOOKUP(J2729,tecnica!B:C,2,0),"")</f>
        <v/>
      </c>
      <c r="L2729" s="13"/>
      <c r="M2729" s="14" t="str">
        <f>IFERROR(VLOOKUP(I2729,material!A:D,4,0),"")</f>
        <v/>
      </c>
      <c r="N2729" s="14" t="str">
        <f t="shared" si="1"/>
        <v/>
      </c>
      <c r="O2729" s="15" t="str">
        <f>IFERROR(VLOOKUP(I2729,material!A:D,2,0),"")</f>
        <v/>
      </c>
    </row>
    <row r="2730">
      <c r="A2730" s="6"/>
      <c r="B2730" s="7"/>
      <c r="C2730" s="8" t="str">
        <f t="array" ref="C2730">IFERROR(INDEX(atlas!H:H,MATCH(A2730,atlas!C:C,0)),"")</f>
        <v/>
      </c>
      <c r="D2730" s="8" t="str">
        <f t="array" ref="D2730">IFERROR(INDEX(atlas!D:D,MATCH(A2730,atlas!C:C,0)),"")</f>
        <v/>
      </c>
      <c r="E2730" s="8" t="str">
        <f t="array" ref="E2730">IFERROR(INDEX(atlas!F:F,MATCH(A2730,atlas!C:C,0)),"")</f>
        <v/>
      </c>
      <c r="F2730" s="9"/>
      <c r="G2730" s="10"/>
      <c r="H2730" s="11"/>
      <c r="I2730" s="12" t="str">
        <f t="array" ref="I2730">IFERROR(INDEX(atlas!B:B,MATCH(A2730,atlas!C:C,0)),"")</f>
        <v/>
      </c>
      <c r="J2730" s="8" t="str">
        <f>IFERROR(VLOOKUP(F2730,tecnica!A:B,2,0),"")</f>
        <v/>
      </c>
      <c r="K2730" s="8" t="str">
        <f>IFERROR(VLOOKUP(J2730,tecnica!B:C,2,0),"")</f>
        <v/>
      </c>
      <c r="L2730" s="13"/>
      <c r="M2730" s="14" t="str">
        <f>IFERROR(VLOOKUP(I2730,material!A:D,4,0),"")</f>
        <v/>
      </c>
      <c r="N2730" s="14" t="str">
        <f t="shared" si="1"/>
        <v/>
      </c>
      <c r="O2730" s="15" t="str">
        <f>IFERROR(VLOOKUP(I2730,material!A:D,2,0),"")</f>
        <v/>
      </c>
    </row>
    <row r="2731">
      <c r="A2731" s="6"/>
      <c r="B2731" s="7"/>
      <c r="C2731" s="8" t="str">
        <f t="array" ref="C2731">IFERROR(INDEX(atlas!H:H,MATCH(A2731,atlas!C:C,0)),"")</f>
        <v/>
      </c>
      <c r="D2731" s="8" t="str">
        <f t="array" ref="D2731">IFERROR(INDEX(atlas!D:D,MATCH(A2731,atlas!C:C,0)),"")</f>
        <v/>
      </c>
      <c r="E2731" s="8" t="str">
        <f t="array" ref="E2731">IFERROR(INDEX(atlas!F:F,MATCH(A2731,atlas!C:C,0)),"")</f>
        <v/>
      </c>
      <c r="F2731" s="9"/>
      <c r="G2731" s="10"/>
      <c r="H2731" s="11"/>
      <c r="I2731" s="12" t="str">
        <f t="array" ref="I2731">IFERROR(INDEX(atlas!B:B,MATCH(A2731,atlas!C:C,0)),"")</f>
        <v/>
      </c>
      <c r="J2731" s="8" t="str">
        <f>IFERROR(VLOOKUP(F2731,tecnica!A:B,2,0),"")</f>
        <v/>
      </c>
      <c r="K2731" s="8" t="str">
        <f>IFERROR(VLOOKUP(J2731,tecnica!B:C,2,0),"")</f>
        <v/>
      </c>
      <c r="L2731" s="13"/>
      <c r="M2731" s="14" t="str">
        <f>IFERROR(VLOOKUP(I2731,material!A:D,4,0),"")</f>
        <v/>
      </c>
      <c r="N2731" s="14" t="str">
        <f t="shared" si="1"/>
        <v/>
      </c>
      <c r="O2731" s="15" t="str">
        <f>IFERROR(VLOOKUP(I2731,material!A:D,2,0),"")</f>
        <v/>
      </c>
    </row>
    <row r="2732">
      <c r="A2732" s="6"/>
      <c r="B2732" s="7"/>
      <c r="C2732" s="8" t="str">
        <f t="array" ref="C2732">IFERROR(INDEX(atlas!H:H,MATCH(A2732,atlas!C:C,0)),"")</f>
        <v/>
      </c>
      <c r="D2732" s="8" t="str">
        <f t="array" ref="D2732">IFERROR(INDEX(atlas!D:D,MATCH(A2732,atlas!C:C,0)),"")</f>
        <v/>
      </c>
      <c r="E2732" s="8" t="str">
        <f t="array" ref="E2732">IFERROR(INDEX(atlas!F:F,MATCH(A2732,atlas!C:C,0)),"")</f>
        <v/>
      </c>
      <c r="F2732" s="9"/>
      <c r="G2732" s="10"/>
      <c r="H2732" s="11"/>
      <c r="I2732" s="12" t="str">
        <f t="array" ref="I2732">IFERROR(INDEX(atlas!B:B,MATCH(A2732,atlas!C:C,0)),"")</f>
        <v/>
      </c>
      <c r="J2732" s="8" t="str">
        <f>IFERROR(VLOOKUP(F2732,tecnica!A:B,2,0),"")</f>
        <v/>
      </c>
      <c r="K2732" s="8" t="str">
        <f>IFERROR(VLOOKUP(J2732,tecnica!B:C,2,0),"")</f>
        <v/>
      </c>
      <c r="L2732" s="13"/>
      <c r="M2732" s="14" t="str">
        <f>IFERROR(VLOOKUP(I2732,material!A:D,4,0),"")</f>
        <v/>
      </c>
      <c r="N2732" s="14" t="str">
        <f t="shared" si="1"/>
        <v/>
      </c>
      <c r="O2732" s="15" t="str">
        <f>IFERROR(VLOOKUP(I2732,material!A:D,2,0),"")</f>
        <v/>
      </c>
    </row>
    <row r="2733">
      <c r="A2733" s="6"/>
      <c r="B2733" s="7"/>
      <c r="C2733" s="8" t="str">
        <f t="array" ref="C2733">IFERROR(INDEX(atlas!H:H,MATCH(A2733,atlas!C:C,0)),"")</f>
        <v/>
      </c>
      <c r="D2733" s="8" t="str">
        <f t="array" ref="D2733">IFERROR(INDEX(atlas!D:D,MATCH(A2733,atlas!C:C,0)),"")</f>
        <v/>
      </c>
      <c r="E2733" s="8" t="str">
        <f t="array" ref="E2733">IFERROR(INDEX(atlas!F:F,MATCH(A2733,atlas!C:C,0)),"")</f>
        <v/>
      </c>
      <c r="F2733" s="9"/>
      <c r="G2733" s="10"/>
      <c r="H2733" s="11"/>
      <c r="I2733" s="12" t="str">
        <f t="array" ref="I2733">IFERROR(INDEX(atlas!B:B,MATCH(A2733,atlas!C:C,0)),"")</f>
        <v/>
      </c>
      <c r="J2733" s="8" t="str">
        <f>IFERROR(VLOOKUP(F2733,tecnica!A:B,2,0),"")</f>
        <v/>
      </c>
      <c r="K2733" s="8" t="str">
        <f>IFERROR(VLOOKUP(J2733,tecnica!B:C,2,0),"")</f>
        <v/>
      </c>
      <c r="L2733" s="13"/>
      <c r="M2733" s="14" t="str">
        <f>IFERROR(VLOOKUP(I2733,material!A:D,4,0),"")</f>
        <v/>
      </c>
      <c r="N2733" s="14" t="str">
        <f t="shared" si="1"/>
        <v/>
      </c>
      <c r="O2733" s="15" t="str">
        <f>IFERROR(VLOOKUP(I2733,material!A:D,2,0),"")</f>
        <v/>
      </c>
    </row>
    <row r="2734">
      <c r="A2734" s="6"/>
      <c r="B2734" s="7"/>
      <c r="C2734" s="8" t="str">
        <f t="array" ref="C2734">IFERROR(INDEX(atlas!H:H,MATCH(A2734,atlas!C:C,0)),"")</f>
        <v/>
      </c>
      <c r="D2734" s="8" t="str">
        <f t="array" ref="D2734">IFERROR(INDEX(atlas!D:D,MATCH(A2734,atlas!C:C,0)),"")</f>
        <v/>
      </c>
      <c r="E2734" s="8" t="str">
        <f t="array" ref="E2734">IFERROR(INDEX(atlas!F:F,MATCH(A2734,atlas!C:C,0)),"")</f>
        <v/>
      </c>
      <c r="F2734" s="9"/>
      <c r="G2734" s="10"/>
      <c r="H2734" s="11"/>
      <c r="I2734" s="12" t="str">
        <f t="array" ref="I2734">IFERROR(INDEX(atlas!B:B,MATCH(A2734,atlas!C:C,0)),"")</f>
        <v/>
      </c>
      <c r="J2734" s="8" t="str">
        <f>IFERROR(VLOOKUP(F2734,tecnica!A:B,2,0),"")</f>
        <v/>
      </c>
      <c r="K2734" s="8" t="str">
        <f>IFERROR(VLOOKUP(J2734,tecnica!B:C,2,0),"")</f>
        <v/>
      </c>
      <c r="L2734" s="13"/>
      <c r="M2734" s="14" t="str">
        <f>IFERROR(VLOOKUP(I2734,material!A:D,4,0),"")</f>
        <v/>
      </c>
      <c r="N2734" s="14" t="str">
        <f t="shared" si="1"/>
        <v/>
      </c>
      <c r="O2734" s="15" t="str">
        <f>IFERROR(VLOOKUP(I2734,material!A:D,2,0),"")</f>
        <v/>
      </c>
    </row>
    <row r="2735">
      <c r="A2735" s="6"/>
      <c r="B2735" s="7"/>
      <c r="C2735" s="8" t="str">
        <f t="array" ref="C2735">IFERROR(INDEX(atlas!H:H,MATCH(A2735,atlas!C:C,0)),"")</f>
        <v/>
      </c>
      <c r="D2735" s="8" t="str">
        <f t="array" ref="D2735">IFERROR(INDEX(atlas!D:D,MATCH(A2735,atlas!C:C,0)),"")</f>
        <v/>
      </c>
      <c r="E2735" s="8" t="str">
        <f t="array" ref="E2735">IFERROR(INDEX(atlas!F:F,MATCH(A2735,atlas!C:C,0)),"")</f>
        <v/>
      </c>
      <c r="F2735" s="9"/>
      <c r="G2735" s="10"/>
      <c r="H2735" s="11"/>
      <c r="I2735" s="12" t="str">
        <f t="array" ref="I2735">IFERROR(INDEX(atlas!B:B,MATCH(A2735,atlas!C:C,0)),"")</f>
        <v/>
      </c>
      <c r="J2735" s="8" t="str">
        <f>IFERROR(VLOOKUP(F2735,tecnica!A:B,2,0),"")</f>
        <v/>
      </c>
      <c r="K2735" s="8" t="str">
        <f>IFERROR(VLOOKUP(J2735,tecnica!B:C,2,0),"")</f>
        <v/>
      </c>
      <c r="L2735" s="13"/>
      <c r="M2735" s="14" t="str">
        <f>IFERROR(VLOOKUP(I2735,material!A:D,4,0),"")</f>
        <v/>
      </c>
      <c r="N2735" s="14" t="str">
        <f t="shared" si="1"/>
        <v/>
      </c>
      <c r="O2735" s="15" t="str">
        <f>IFERROR(VLOOKUP(I2735,material!A:D,2,0),"")</f>
        <v/>
      </c>
    </row>
    <row r="2736">
      <c r="A2736" s="6"/>
      <c r="B2736" s="7"/>
      <c r="C2736" s="8" t="str">
        <f t="array" ref="C2736">IFERROR(INDEX(atlas!H:H,MATCH(A2736,atlas!C:C,0)),"")</f>
        <v/>
      </c>
      <c r="D2736" s="8" t="str">
        <f t="array" ref="D2736">IFERROR(INDEX(atlas!D:D,MATCH(A2736,atlas!C:C,0)),"")</f>
        <v/>
      </c>
      <c r="E2736" s="8" t="str">
        <f t="array" ref="E2736">IFERROR(INDEX(atlas!F:F,MATCH(A2736,atlas!C:C,0)),"")</f>
        <v/>
      </c>
      <c r="F2736" s="9"/>
      <c r="G2736" s="10"/>
      <c r="H2736" s="11"/>
      <c r="I2736" s="12" t="str">
        <f t="array" ref="I2736">IFERROR(INDEX(atlas!B:B,MATCH(A2736,atlas!C:C,0)),"")</f>
        <v/>
      </c>
      <c r="J2736" s="8" t="str">
        <f>IFERROR(VLOOKUP(F2736,tecnica!A:B,2,0),"")</f>
        <v/>
      </c>
      <c r="K2736" s="8" t="str">
        <f>IFERROR(VLOOKUP(J2736,tecnica!B:C,2,0),"")</f>
        <v/>
      </c>
      <c r="L2736" s="13"/>
      <c r="M2736" s="14" t="str">
        <f>IFERROR(VLOOKUP(I2736,material!A:D,4,0),"")</f>
        <v/>
      </c>
      <c r="N2736" s="14" t="str">
        <f t="shared" si="1"/>
        <v/>
      </c>
      <c r="O2736" s="15" t="str">
        <f>IFERROR(VLOOKUP(I2736,material!A:D,2,0),"")</f>
        <v/>
      </c>
    </row>
    <row r="2737">
      <c r="A2737" s="6"/>
      <c r="B2737" s="7"/>
      <c r="C2737" s="8" t="str">
        <f t="array" ref="C2737">IFERROR(INDEX(atlas!H:H,MATCH(A2737,atlas!C:C,0)),"")</f>
        <v/>
      </c>
      <c r="D2737" s="8" t="str">
        <f t="array" ref="D2737">IFERROR(INDEX(atlas!D:D,MATCH(A2737,atlas!C:C,0)),"")</f>
        <v/>
      </c>
      <c r="E2737" s="8" t="str">
        <f t="array" ref="E2737">IFERROR(INDEX(atlas!F:F,MATCH(A2737,atlas!C:C,0)),"")</f>
        <v/>
      </c>
      <c r="F2737" s="9"/>
      <c r="G2737" s="10"/>
      <c r="H2737" s="11"/>
      <c r="I2737" s="12" t="str">
        <f t="array" ref="I2737">IFERROR(INDEX(atlas!B:B,MATCH(A2737,atlas!C:C,0)),"")</f>
        <v/>
      </c>
      <c r="J2737" s="8" t="str">
        <f>IFERROR(VLOOKUP(F2737,tecnica!A:B,2,0),"")</f>
        <v/>
      </c>
      <c r="K2737" s="8" t="str">
        <f>IFERROR(VLOOKUP(J2737,tecnica!B:C,2,0),"")</f>
        <v/>
      </c>
      <c r="L2737" s="13"/>
      <c r="M2737" s="14" t="str">
        <f>IFERROR(VLOOKUP(I2737,material!A:D,4,0),"")</f>
        <v/>
      </c>
      <c r="N2737" s="14" t="str">
        <f t="shared" si="1"/>
        <v/>
      </c>
      <c r="O2737" s="15" t="str">
        <f>IFERROR(VLOOKUP(I2737,material!A:D,2,0),"")</f>
        <v/>
      </c>
    </row>
    <row r="2738">
      <c r="A2738" s="6"/>
      <c r="B2738" s="7"/>
      <c r="C2738" s="8" t="str">
        <f t="array" ref="C2738">IFERROR(INDEX(atlas!H:H,MATCH(A2738,atlas!C:C,0)),"")</f>
        <v/>
      </c>
      <c r="D2738" s="8" t="str">
        <f t="array" ref="D2738">IFERROR(INDEX(atlas!D:D,MATCH(A2738,atlas!C:C,0)),"")</f>
        <v/>
      </c>
      <c r="E2738" s="8" t="str">
        <f t="array" ref="E2738">IFERROR(INDEX(atlas!F:F,MATCH(A2738,atlas!C:C,0)),"")</f>
        <v/>
      </c>
      <c r="F2738" s="9"/>
      <c r="G2738" s="10"/>
      <c r="H2738" s="11"/>
      <c r="I2738" s="12" t="str">
        <f t="array" ref="I2738">IFERROR(INDEX(atlas!B:B,MATCH(A2738,atlas!C:C,0)),"")</f>
        <v/>
      </c>
      <c r="J2738" s="8" t="str">
        <f>IFERROR(VLOOKUP(F2738,tecnica!A:B,2,0),"")</f>
        <v/>
      </c>
      <c r="K2738" s="8" t="str">
        <f>IFERROR(VLOOKUP(J2738,tecnica!B:C,2,0),"")</f>
        <v/>
      </c>
      <c r="L2738" s="13"/>
      <c r="M2738" s="14" t="str">
        <f>IFERROR(VLOOKUP(I2738,material!A:D,4,0),"")</f>
        <v/>
      </c>
      <c r="N2738" s="14" t="str">
        <f t="shared" si="1"/>
        <v/>
      </c>
      <c r="O2738" s="15" t="str">
        <f>IFERROR(VLOOKUP(I2738,material!A:D,2,0),"")</f>
        <v/>
      </c>
    </row>
    <row r="2739">
      <c r="A2739" s="6"/>
      <c r="B2739" s="7"/>
      <c r="C2739" s="8" t="str">
        <f t="array" ref="C2739">IFERROR(INDEX(atlas!H:H,MATCH(A2739,atlas!C:C,0)),"")</f>
        <v/>
      </c>
      <c r="D2739" s="8" t="str">
        <f t="array" ref="D2739">IFERROR(INDEX(atlas!D:D,MATCH(A2739,atlas!C:C,0)),"")</f>
        <v/>
      </c>
      <c r="E2739" s="8" t="str">
        <f t="array" ref="E2739">IFERROR(INDEX(atlas!F:F,MATCH(A2739,atlas!C:C,0)),"")</f>
        <v/>
      </c>
      <c r="F2739" s="9"/>
      <c r="G2739" s="10"/>
      <c r="H2739" s="11"/>
      <c r="I2739" s="12" t="str">
        <f t="array" ref="I2739">IFERROR(INDEX(atlas!B:B,MATCH(A2739,atlas!C:C,0)),"")</f>
        <v/>
      </c>
      <c r="J2739" s="8" t="str">
        <f>IFERROR(VLOOKUP(F2739,tecnica!A:B,2,0),"")</f>
        <v/>
      </c>
      <c r="K2739" s="8" t="str">
        <f>IFERROR(VLOOKUP(J2739,tecnica!B:C,2,0),"")</f>
        <v/>
      </c>
      <c r="L2739" s="13"/>
      <c r="M2739" s="14" t="str">
        <f>IFERROR(VLOOKUP(I2739,material!A:D,4,0),"")</f>
        <v/>
      </c>
      <c r="N2739" s="14" t="str">
        <f t="shared" si="1"/>
        <v/>
      </c>
      <c r="O2739" s="15" t="str">
        <f>IFERROR(VLOOKUP(I2739,material!A:D,2,0),"")</f>
        <v/>
      </c>
    </row>
    <row r="2740">
      <c r="A2740" s="6"/>
      <c r="B2740" s="7"/>
      <c r="C2740" s="8" t="str">
        <f t="array" ref="C2740">IFERROR(INDEX(atlas!H:H,MATCH(A2740,atlas!C:C,0)),"")</f>
        <v/>
      </c>
      <c r="D2740" s="8" t="str">
        <f t="array" ref="D2740">IFERROR(INDEX(atlas!D:D,MATCH(A2740,atlas!C:C,0)),"")</f>
        <v/>
      </c>
      <c r="E2740" s="8" t="str">
        <f t="array" ref="E2740">IFERROR(INDEX(atlas!F:F,MATCH(A2740,atlas!C:C,0)),"")</f>
        <v/>
      </c>
      <c r="F2740" s="9"/>
      <c r="G2740" s="10"/>
      <c r="H2740" s="11"/>
      <c r="I2740" s="12" t="str">
        <f t="array" ref="I2740">IFERROR(INDEX(atlas!B:B,MATCH(A2740,atlas!C:C,0)),"")</f>
        <v/>
      </c>
      <c r="J2740" s="8" t="str">
        <f>IFERROR(VLOOKUP(F2740,tecnica!A:B,2,0),"")</f>
        <v/>
      </c>
      <c r="K2740" s="8" t="str">
        <f>IFERROR(VLOOKUP(J2740,tecnica!B:C,2,0),"")</f>
        <v/>
      </c>
      <c r="L2740" s="13"/>
      <c r="M2740" s="14" t="str">
        <f>IFERROR(VLOOKUP(I2740,material!A:D,4,0),"")</f>
        <v/>
      </c>
      <c r="N2740" s="14" t="str">
        <f t="shared" si="1"/>
        <v/>
      </c>
      <c r="O2740" s="15" t="str">
        <f>IFERROR(VLOOKUP(I2740,material!A:D,2,0),"")</f>
        <v/>
      </c>
    </row>
    <row r="2741">
      <c r="A2741" s="6"/>
      <c r="B2741" s="7"/>
      <c r="C2741" s="8" t="str">
        <f t="array" ref="C2741">IFERROR(INDEX(atlas!H:H,MATCH(A2741,atlas!C:C,0)),"")</f>
        <v/>
      </c>
      <c r="D2741" s="8" t="str">
        <f t="array" ref="D2741">IFERROR(INDEX(atlas!D:D,MATCH(A2741,atlas!C:C,0)),"")</f>
        <v/>
      </c>
      <c r="E2741" s="8" t="str">
        <f t="array" ref="E2741">IFERROR(INDEX(atlas!F:F,MATCH(A2741,atlas!C:C,0)),"")</f>
        <v/>
      </c>
      <c r="F2741" s="9"/>
      <c r="G2741" s="10"/>
      <c r="H2741" s="11"/>
      <c r="I2741" s="12" t="str">
        <f t="array" ref="I2741">IFERROR(INDEX(atlas!B:B,MATCH(A2741,atlas!C:C,0)),"")</f>
        <v/>
      </c>
      <c r="J2741" s="8" t="str">
        <f>IFERROR(VLOOKUP(F2741,tecnica!A:B,2,0),"")</f>
        <v/>
      </c>
      <c r="K2741" s="8" t="str">
        <f>IFERROR(VLOOKUP(J2741,tecnica!B:C,2,0),"")</f>
        <v/>
      </c>
      <c r="L2741" s="13"/>
      <c r="M2741" s="14" t="str">
        <f>IFERROR(VLOOKUP(I2741,material!A:D,4,0),"")</f>
        <v/>
      </c>
      <c r="N2741" s="14" t="str">
        <f t="shared" si="1"/>
        <v/>
      </c>
      <c r="O2741" s="15" t="str">
        <f>IFERROR(VLOOKUP(I2741,material!A:D,2,0),"")</f>
        <v/>
      </c>
    </row>
    <row r="2742">
      <c r="A2742" s="6"/>
      <c r="B2742" s="7"/>
      <c r="C2742" s="8" t="str">
        <f t="array" ref="C2742">IFERROR(INDEX(atlas!H:H,MATCH(A2742,atlas!C:C,0)),"")</f>
        <v/>
      </c>
      <c r="D2742" s="8" t="str">
        <f t="array" ref="D2742">IFERROR(INDEX(atlas!D:D,MATCH(A2742,atlas!C:C,0)),"")</f>
        <v/>
      </c>
      <c r="E2742" s="8" t="str">
        <f t="array" ref="E2742">IFERROR(INDEX(atlas!F:F,MATCH(A2742,atlas!C:C,0)),"")</f>
        <v/>
      </c>
      <c r="F2742" s="9"/>
      <c r="G2742" s="10"/>
      <c r="H2742" s="11"/>
      <c r="I2742" s="12" t="str">
        <f t="array" ref="I2742">IFERROR(INDEX(atlas!B:B,MATCH(A2742,atlas!C:C,0)),"")</f>
        <v/>
      </c>
      <c r="J2742" s="8" t="str">
        <f>IFERROR(VLOOKUP(F2742,tecnica!A:B,2,0),"")</f>
        <v/>
      </c>
      <c r="K2742" s="8" t="str">
        <f>IFERROR(VLOOKUP(J2742,tecnica!B:C,2,0),"")</f>
        <v/>
      </c>
      <c r="L2742" s="13"/>
      <c r="M2742" s="14" t="str">
        <f>IFERROR(VLOOKUP(I2742,material!A:D,4,0),"")</f>
        <v/>
      </c>
      <c r="N2742" s="14" t="str">
        <f t="shared" si="1"/>
        <v/>
      </c>
      <c r="O2742" s="15" t="str">
        <f>IFERROR(VLOOKUP(I2742,material!A:D,2,0),"")</f>
        <v/>
      </c>
    </row>
    <row r="2743">
      <c r="A2743" s="6"/>
      <c r="B2743" s="7"/>
      <c r="C2743" s="8" t="str">
        <f t="array" ref="C2743">IFERROR(INDEX(atlas!H:H,MATCH(A2743,atlas!C:C,0)),"")</f>
        <v/>
      </c>
      <c r="D2743" s="8" t="str">
        <f t="array" ref="D2743">IFERROR(INDEX(atlas!D:D,MATCH(A2743,atlas!C:C,0)),"")</f>
        <v/>
      </c>
      <c r="E2743" s="8" t="str">
        <f t="array" ref="E2743">IFERROR(INDEX(atlas!F:F,MATCH(A2743,atlas!C:C,0)),"")</f>
        <v/>
      </c>
      <c r="F2743" s="9"/>
      <c r="G2743" s="10"/>
      <c r="H2743" s="11"/>
      <c r="I2743" s="12" t="str">
        <f t="array" ref="I2743">IFERROR(INDEX(atlas!B:B,MATCH(A2743,atlas!C:C,0)),"")</f>
        <v/>
      </c>
      <c r="J2743" s="8" t="str">
        <f>IFERROR(VLOOKUP(F2743,tecnica!A:B,2,0),"")</f>
        <v/>
      </c>
      <c r="K2743" s="8" t="str">
        <f>IFERROR(VLOOKUP(J2743,tecnica!B:C,2,0),"")</f>
        <v/>
      </c>
      <c r="L2743" s="13"/>
      <c r="M2743" s="14" t="str">
        <f>IFERROR(VLOOKUP(I2743,material!A:D,4,0),"")</f>
        <v/>
      </c>
      <c r="N2743" s="14" t="str">
        <f t="shared" si="1"/>
        <v/>
      </c>
      <c r="O2743" s="15" t="str">
        <f>IFERROR(VLOOKUP(I2743,material!A:D,2,0),"")</f>
        <v/>
      </c>
    </row>
    <row r="2744">
      <c r="A2744" s="6"/>
      <c r="B2744" s="7"/>
      <c r="C2744" s="8" t="str">
        <f t="array" ref="C2744">IFERROR(INDEX(atlas!H:H,MATCH(A2744,atlas!C:C,0)),"")</f>
        <v/>
      </c>
      <c r="D2744" s="8" t="str">
        <f t="array" ref="D2744">IFERROR(INDEX(atlas!D:D,MATCH(A2744,atlas!C:C,0)),"")</f>
        <v/>
      </c>
      <c r="E2744" s="8" t="str">
        <f t="array" ref="E2744">IFERROR(INDEX(atlas!F:F,MATCH(A2744,atlas!C:C,0)),"")</f>
        <v/>
      </c>
      <c r="F2744" s="9"/>
      <c r="G2744" s="10"/>
      <c r="H2744" s="11"/>
      <c r="I2744" s="12" t="str">
        <f t="array" ref="I2744">IFERROR(INDEX(atlas!B:B,MATCH(A2744,atlas!C:C,0)),"")</f>
        <v/>
      </c>
      <c r="J2744" s="8" t="str">
        <f>IFERROR(VLOOKUP(F2744,tecnica!A:B,2,0),"")</f>
        <v/>
      </c>
      <c r="K2744" s="8" t="str">
        <f>IFERROR(VLOOKUP(J2744,tecnica!B:C,2,0),"")</f>
        <v/>
      </c>
      <c r="L2744" s="13"/>
      <c r="M2744" s="14" t="str">
        <f>IFERROR(VLOOKUP(I2744,material!A:D,4,0),"")</f>
        <v/>
      </c>
      <c r="N2744" s="14" t="str">
        <f t="shared" si="1"/>
        <v/>
      </c>
      <c r="O2744" s="15" t="str">
        <f>IFERROR(VLOOKUP(I2744,material!A:D,2,0),"")</f>
        <v/>
      </c>
    </row>
    <row r="2745">
      <c r="A2745" s="6"/>
      <c r="B2745" s="7"/>
      <c r="C2745" s="8" t="str">
        <f t="array" ref="C2745">IFERROR(INDEX(atlas!H:H,MATCH(A2745,atlas!C:C,0)),"")</f>
        <v/>
      </c>
      <c r="D2745" s="8" t="str">
        <f t="array" ref="D2745">IFERROR(INDEX(atlas!D:D,MATCH(A2745,atlas!C:C,0)),"")</f>
        <v/>
      </c>
      <c r="E2745" s="8" t="str">
        <f t="array" ref="E2745">IFERROR(INDEX(atlas!F:F,MATCH(A2745,atlas!C:C,0)),"")</f>
        <v/>
      </c>
      <c r="F2745" s="9"/>
      <c r="G2745" s="10"/>
      <c r="H2745" s="11"/>
      <c r="I2745" s="12" t="str">
        <f t="array" ref="I2745">IFERROR(INDEX(atlas!B:B,MATCH(A2745,atlas!C:C,0)),"")</f>
        <v/>
      </c>
      <c r="J2745" s="8" t="str">
        <f>IFERROR(VLOOKUP(F2745,tecnica!A:B,2,0),"")</f>
        <v/>
      </c>
      <c r="K2745" s="8" t="str">
        <f>IFERROR(VLOOKUP(J2745,tecnica!B:C,2,0),"")</f>
        <v/>
      </c>
      <c r="L2745" s="13"/>
      <c r="M2745" s="14" t="str">
        <f>IFERROR(VLOOKUP(I2745,material!A:D,4,0),"")</f>
        <v/>
      </c>
      <c r="N2745" s="14" t="str">
        <f t="shared" si="1"/>
        <v/>
      </c>
      <c r="O2745" s="15" t="str">
        <f>IFERROR(VLOOKUP(I2745,material!A:D,2,0),"")</f>
        <v/>
      </c>
    </row>
    <row r="2746">
      <c r="A2746" s="6"/>
      <c r="B2746" s="7"/>
      <c r="C2746" s="8" t="str">
        <f t="array" ref="C2746">IFERROR(INDEX(atlas!H:H,MATCH(A2746,atlas!C:C,0)),"")</f>
        <v/>
      </c>
      <c r="D2746" s="8" t="str">
        <f t="array" ref="D2746">IFERROR(INDEX(atlas!D:D,MATCH(A2746,atlas!C:C,0)),"")</f>
        <v/>
      </c>
      <c r="E2746" s="8" t="str">
        <f t="array" ref="E2746">IFERROR(INDEX(atlas!F:F,MATCH(A2746,atlas!C:C,0)),"")</f>
        <v/>
      </c>
      <c r="F2746" s="9"/>
      <c r="G2746" s="10"/>
      <c r="H2746" s="11"/>
      <c r="I2746" s="12" t="str">
        <f t="array" ref="I2746">IFERROR(INDEX(atlas!B:B,MATCH(A2746,atlas!C:C,0)),"")</f>
        <v/>
      </c>
      <c r="J2746" s="8" t="str">
        <f>IFERROR(VLOOKUP(F2746,tecnica!A:B,2,0),"")</f>
        <v/>
      </c>
      <c r="K2746" s="8" t="str">
        <f>IFERROR(VLOOKUP(J2746,tecnica!B:C,2,0),"")</f>
        <v/>
      </c>
      <c r="L2746" s="13"/>
      <c r="M2746" s="14" t="str">
        <f>IFERROR(VLOOKUP(I2746,material!A:D,4,0),"")</f>
        <v/>
      </c>
      <c r="N2746" s="14" t="str">
        <f t="shared" si="1"/>
        <v/>
      </c>
      <c r="O2746" s="15" t="str">
        <f>IFERROR(VLOOKUP(I2746,material!A:D,2,0),"")</f>
        <v/>
      </c>
    </row>
    <row r="2747">
      <c r="A2747" s="6"/>
      <c r="B2747" s="7"/>
      <c r="C2747" s="8" t="str">
        <f t="array" ref="C2747">IFERROR(INDEX(atlas!H:H,MATCH(A2747,atlas!C:C,0)),"")</f>
        <v/>
      </c>
      <c r="D2747" s="8" t="str">
        <f t="array" ref="D2747">IFERROR(INDEX(atlas!D:D,MATCH(A2747,atlas!C:C,0)),"")</f>
        <v/>
      </c>
      <c r="E2747" s="8" t="str">
        <f t="array" ref="E2747">IFERROR(INDEX(atlas!F:F,MATCH(A2747,atlas!C:C,0)),"")</f>
        <v/>
      </c>
      <c r="F2747" s="9"/>
      <c r="G2747" s="10"/>
      <c r="H2747" s="11"/>
      <c r="I2747" s="12" t="str">
        <f t="array" ref="I2747">IFERROR(INDEX(atlas!B:B,MATCH(A2747,atlas!C:C,0)),"")</f>
        <v/>
      </c>
      <c r="J2747" s="8" t="str">
        <f>IFERROR(VLOOKUP(F2747,tecnica!A:B,2,0),"")</f>
        <v/>
      </c>
      <c r="K2747" s="8" t="str">
        <f>IFERROR(VLOOKUP(J2747,tecnica!B:C,2,0),"")</f>
        <v/>
      </c>
      <c r="L2747" s="13"/>
      <c r="M2747" s="14" t="str">
        <f>IFERROR(VLOOKUP(I2747,material!A:D,4,0),"")</f>
        <v/>
      </c>
      <c r="N2747" s="14" t="str">
        <f t="shared" si="1"/>
        <v/>
      </c>
      <c r="O2747" s="15" t="str">
        <f>IFERROR(VLOOKUP(I2747,material!A:D,2,0),"")</f>
        <v/>
      </c>
    </row>
    <row r="2748">
      <c r="A2748" s="6"/>
      <c r="B2748" s="7"/>
      <c r="C2748" s="8" t="str">
        <f t="array" ref="C2748">IFERROR(INDEX(atlas!H:H,MATCH(A2748,atlas!C:C,0)),"")</f>
        <v/>
      </c>
      <c r="D2748" s="8" t="str">
        <f t="array" ref="D2748">IFERROR(INDEX(atlas!D:D,MATCH(A2748,atlas!C:C,0)),"")</f>
        <v/>
      </c>
      <c r="E2748" s="8" t="str">
        <f t="array" ref="E2748">IFERROR(INDEX(atlas!F:F,MATCH(A2748,atlas!C:C,0)),"")</f>
        <v/>
      </c>
      <c r="F2748" s="9"/>
      <c r="G2748" s="10"/>
      <c r="H2748" s="11"/>
      <c r="I2748" s="12" t="str">
        <f t="array" ref="I2748">IFERROR(INDEX(atlas!B:B,MATCH(A2748,atlas!C:C,0)),"")</f>
        <v/>
      </c>
      <c r="J2748" s="8" t="str">
        <f>IFERROR(VLOOKUP(F2748,tecnica!A:B,2,0),"")</f>
        <v/>
      </c>
      <c r="K2748" s="8" t="str">
        <f>IFERROR(VLOOKUP(J2748,tecnica!B:C,2,0),"")</f>
        <v/>
      </c>
      <c r="L2748" s="13"/>
      <c r="M2748" s="14" t="str">
        <f>IFERROR(VLOOKUP(I2748,material!A:D,4,0),"")</f>
        <v/>
      </c>
      <c r="N2748" s="14" t="str">
        <f t="shared" si="1"/>
        <v/>
      </c>
      <c r="O2748" s="15" t="str">
        <f>IFERROR(VLOOKUP(I2748,material!A:D,2,0),"")</f>
        <v/>
      </c>
    </row>
    <row r="2749">
      <c r="A2749" s="6"/>
      <c r="B2749" s="7"/>
      <c r="C2749" s="8" t="str">
        <f t="array" ref="C2749">IFERROR(INDEX(atlas!H:H,MATCH(A2749,atlas!C:C,0)),"")</f>
        <v/>
      </c>
      <c r="D2749" s="8" t="str">
        <f t="array" ref="D2749">IFERROR(INDEX(atlas!D:D,MATCH(A2749,atlas!C:C,0)),"")</f>
        <v/>
      </c>
      <c r="E2749" s="8" t="str">
        <f t="array" ref="E2749">IFERROR(INDEX(atlas!F:F,MATCH(A2749,atlas!C:C,0)),"")</f>
        <v/>
      </c>
      <c r="F2749" s="9"/>
      <c r="G2749" s="10"/>
      <c r="H2749" s="11"/>
      <c r="I2749" s="12" t="str">
        <f t="array" ref="I2749">IFERROR(INDEX(atlas!B:B,MATCH(A2749,atlas!C:C,0)),"")</f>
        <v/>
      </c>
      <c r="J2749" s="8" t="str">
        <f>IFERROR(VLOOKUP(F2749,tecnica!A:B,2,0),"")</f>
        <v/>
      </c>
      <c r="K2749" s="8" t="str">
        <f>IFERROR(VLOOKUP(J2749,tecnica!B:C,2,0),"")</f>
        <v/>
      </c>
      <c r="L2749" s="13"/>
      <c r="M2749" s="14" t="str">
        <f>IFERROR(VLOOKUP(I2749,material!A:D,4,0),"")</f>
        <v/>
      </c>
      <c r="N2749" s="14" t="str">
        <f t="shared" si="1"/>
        <v/>
      </c>
      <c r="O2749" s="15" t="str">
        <f>IFERROR(VLOOKUP(I2749,material!A:D,2,0),"")</f>
        <v/>
      </c>
    </row>
    <row r="2750">
      <c r="A2750" s="6"/>
      <c r="B2750" s="7"/>
      <c r="C2750" s="8" t="str">
        <f t="array" ref="C2750">IFERROR(INDEX(atlas!H:H,MATCH(A2750,atlas!C:C,0)),"")</f>
        <v/>
      </c>
      <c r="D2750" s="8" t="str">
        <f t="array" ref="D2750">IFERROR(INDEX(atlas!D:D,MATCH(A2750,atlas!C:C,0)),"")</f>
        <v/>
      </c>
      <c r="E2750" s="8" t="str">
        <f t="array" ref="E2750">IFERROR(INDEX(atlas!F:F,MATCH(A2750,atlas!C:C,0)),"")</f>
        <v/>
      </c>
      <c r="F2750" s="9"/>
      <c r="G2750" s="10"/>
      <c r="H2750" s="11"/>
      <c r="I2750" s="12" t="str">
        <f t="array" ref="I2750">IFERROR(INDEX(atlas!B:B,MATCH(A2750,atlas!C:C,0)),"")</f>
        <v/>
      </c>
      <c r="J2750" s="8" t="str">
        <f>IFERROR(VLOOKUP(F2750,tecnica!A:B,2,0),"")</f>
        <v/>
      </c>
      <c r="K2750" s="8" t="str">
        <f>IFERROR(VLOOKUP(J2750,tecnica!B:C,2,0),"")</f>
        <v/>
      </c>
      <c r="L2750" s="13"/>
      <c r="M2750" s="14" t="str">
        <f>IFERROR(VLOOKUP(I2750,material!A:D,4,0),"")</f>
        <v/>
      </c>
      <c r="N2750" s="14" t="str">
        <f t="shared" si="1"/>
        <v/>
      </c>
      <c r="O2750" s="15" t="str">
        <f>IFERROR(VLOOKUP(I2750,material!A:D,2,0),"")</f>
        <v/>
      </c>
    </row>
    <row r="2751">
      <c r="A2751" s="6"/>
      <c r="B2751" s="7"/>
      <c r="C2751" s="8" t="str">
        <f t="array" ref="C2751">IFERROR(INDEX(atlas!H:H,MATCH(A2751,atlas!C:C,0)),"")</f>
        <v/>
      </c>
      <c r="D2751" s="8" t="str">
        <f t="array" ref="D2751">IFERROR(INDEX(atlas!D:D,MATCH(A2751,atlas!C:C,0)),"")</f>
        <v/>
      </c>
      <c r="E2751" s="8" t="str">
        <f t="array" ref="E2751">IFERROR(INDEX(atlas!F:F,MATCH(A2751,atlas!C:C,0)),"")</f>
        <v/>
      </c>
      <c r="F2751" s="9"/>
      <c r="G2751" s="10"/>
      <c r="H2751" s="11"/>
      <c r="I2751" s="12" t="str">
        <f t="array" ref="I2751">IFERROR(INDEX(atlas!B:B,MATCH(A2751,atlas!C:C,0)),"")</f>
        <v/>
      </c>
      <c r="J2751" s="8" t="str">
        <f>IFERROR(VLOOKUP(F2751,tecnica!A:B,2,0),"")</f>
        <v/>
      </c>
      <c r="K2751" s="8" t="str">
        <f>IFERROR(VLOOKUP(J2751,tecnica!B:C,2,0),"")</f>
        <v/>
      </c>
      <c r="L2751" s="13"/>
      <c r="M2751" s="14" t="str">
        <f>IFERROR(VLOOKUP(I2751,material!A:D,4,0),"")</f>
        <v/>
      </c>
      <c r="N2751" s="14" t="str">
        <f t="shared" si="1"/>
        <v/>
      </c>
      <c r="O2751" s="15" t="str">
        <f>IFERROR(VLOOKUP(I2751,material!A:D,2,0),"")</f>
        <v/>
      </c>
    </row>
    <row r="2752">
      <c r="A2752" s="6"/>
      <c r="B2752" s="7"/>
      <c r="C2752" s="8" t="str">
        <f t="array" ref="C2752">IFERROR(INDEX(atlas!H:H,MATCH(A2752,atlas!C:C,0)),"")</f>
        <v/>
      </c>
      <c r="D2752" s="8" t="str">
        <f t="array" ref="D2752">IFERROR(INDEX(atlas!D:D,MATCH(A2752,atlas!C:C,0)),"")</f>
        <v/>
      </c>
      <c r="E2752" s="8" t="str">
        <f t="array" ref="E2752">IFERROR(INDEX(atlas!F:F,MATCH(A2752,atlas!C:C,0)),"")</f>
        <v/>
      </c>
      <c r="F2752" s="9"/>
      <c r="G2752" s="10"/>
      <c r="H2752" s="11"/>
      <c r="I2752" s="12" t="str">
        <f t="array" ref="I2752">IFERROR(INDEX(atlas!B:B,MATCH(A2752,atlas!C:C,0)),"")</f>
        <v/>
      </c>
      <c r="J2752" s="8" t="str">
        <f>IFERROR(VLOOKUP(F2752,tecnica!A:B,2,0),"")</f>
        <v/>
      </c>
      <c r="K2752" s="8" t="str">
        <f>IFERROR(VLOOKUP(J2752,tecnica!B:C,2,0),"")</f>
        <v/>
      </c>
      <c r="L2752" s="13"/>
      <c r="M2752" s="14" t="str">
        <f>IFERROR(VLOOKUP(I2752,material!A:D,4,0),"")</f>
        <v/>
      </c>
      <c r="N2752" s="14" t="str">
        <f t="shared" si="1"/>
        <v/>
      </c>
      <c r="O2752" s="15" t="str">
        <f>IFERROR(VLOOKUP(I2752,material!A:D,2,0),"")</f>
        <v/>
      </c>
    </row>
    <row r="2753">
      <c r="A2753" s="6"/>
      <c r="B2753" s="7"/>
      <c r="C2753" s="8" t="str">
        <f t="array" ref="C2753">IFERROR(INDEX(atlas!H:H,MATCH(A2753,atlas!C:C,0)),"")</f>
        <v/>
      </c>
      <c r="D2753" s="8" t="str">
        <f t="array" ref="D2753">IFERROR(INDEX(atlas!D:D,MATCH(A2753,atlas!C:C,0)),"")</f>
        <v/>
      </c>
      <c r="E2753" s="8" t="str">
        <f t="array" ref="E2753">IFERROR(INDEX(atlas!F:F,MATCH(A2753,atlas!C:C,0)),"")</f>
        <v/>
      </c>
      <c r="F2753" s="9"/>
      <c r="G2753" s="10"/>
      <c r="H2753" s="11"/>
      <c r="I2753" s="12" t="str">
        <f t="array" ref="I2753">IFERROR(INDEX(atlas!B:B,MATCH(A2753,atlas!C:C,0)),"")</f>
        <v/>
      </c>
      <c r="J2753" s="8" t="str">
        <f>IFERROR(VLOOKUP(F2753,tecnica!A:B,2,0),"")</f>
        <v/>
      </c>
      <c r="K2753" s="8" t="str">
        <f>IFERROR(VLOOKUP(J2753,tecnica!B:C,2,0),"")</f>
        <v/>
      </c>
      <c r="L2753" s="13"/>
      <c r="M2753" s="14" t="str">
        <f>IFERROR(VLOOKUP(I2753,material!A:D,4,0),"")</f>
        <v/>
      </c>
      <c r="N2753" s="14" t="str">
        <f t="shared" si="1"/>
        <v/>
      </c>
      <c r="O2753" s="15" t="str">
        <f>IFERROR(VLOOKUP(I2753,material!A:D,2,0),"")</f>
        <v/>
      </c>
    </row>
    <row r="2754">
      <c r="A2754" s="6"/>
      <c r="B2754" s="7"/>
      <c r="C2754" s="8" t="str">
        <f t="array" ref="C2754">IFERROR(INDEX(atlas!H:H,MATCH(A2754,atlas!C:C,0)),"")</f>
        <v/>
      </c>
      <c r="D2754" s="8" t="str">
        <f t="array" ref="D2754">IFERROR(INDEX(atlas!D:D,MATCH(A2754,atlas!C:C,0)),"")</f>
        <v/>
      </c>
      <c r="E2754" s="8" t="str">
        <f t="array" ref="E2754">IFERROR(INDEX(atlas!F:F,MATCH(A2754,atlas!C:C,0)),"")</f>
        <v/>
      </c>
      <c r="F2754" s="9"/>
      <c r="G2754" s="10"/>
      <c r="H2754" s="11"/>
      <c r="I2754" s="12" t="str">
        <f t="array" ref="I2754">IFERROR(INDEX(atlas!B:B,MATCH(A2754,atlas!C:C,0)),"")</f>
        <v/>
      </c>
      <c r="J2754" s="8" t="str">
        <f>IFERROR(VLOOKUP(F2754,tecnica!A:B,2,0),"")</f>
        <v/>
      </c>
      <c r="K2754" s="8" t="str">
        <f>IFERROR(VLOOKUP(J2754,tecnica!B:C,2,0),"")</f>
        <v/>
      </c>
      <c r="L2754" s="13"/>
      <c r="M2754" s="14" t="str">
        <f>IFERROR(VLOOKUP(I2754,material!A:D,4,0),"")</f>
        <v/>
      </c>
      <c r="N2754" s="14" t="str">
        <f t="shared" si="1"/>
        <v/>
      </c>
      <c r="O2754" s="15" t="str">
        <f>IFERROR(VLOOKUP(I2754,material!A:D,2,0),"")</f>
        <v/>
      </c>
    </row>
    <row r="2755">
      <c r="A2755" s="6"/>
      <c r="B2755" s="7"/>
      <c r="C2755" s="8" t="str">
        <f t="array" ref="C2755">IFERROR(INDEX(atlas!H:H,MATCH(A2755,atlas!C:C,0)),"")</f>
        <v/>
      </c>
      <c r="D2755" s="8" t="str">
        <f t="array" ref="D2755">IFERROR(INDEX(atlas!D:D,MATCH(A2755,atlas!C:C,0)),"")</f>
        <v/>
      </c>
      <c r="E2755" s="8" t="str">
        <f t="array" ref="E2755">IFERROR(INDEX(atlas!F:F,MATCH(A2755,atlas!C:C,0)),"")</f>
        <v/>
      </c>
      <c r="F2755" s="9"/>
      <c r="G2755" s="10"/>
      <c r="H2755" s="11"/>
      <c r="I2755" s="12" t="str">
        <f t="array" ref="I2755">IFERROR(INDEX(atlas!B:B,MATCH(A2755,atlas!C:C,0)),"")</f>
        <v/>
      </c>
      <c r="J2755" s="8" t="str">
        <f>IFERROR(VLOOKUP(F2755,tecnica!A:B,2,0),"")</f>
        <v/>
      </c>
      <c r="K2755" s="8" t="str">
        <f>IFERROR(VLOOKUP(J2755,tecnica!B:C,2,0),"")</f>
        <v/>
      </c>
      <c r="L2755" s="13"/>
      <c r="M2755" s="14" t="str">
        <f>IFERROR(VLOOKUP(I2755,material!A:D,4,0),"")</f>
        <v/>
      </c>
      <c r="N2755" s="14" t="str">
        <f t="shared" si="1"/>
        <v/>
      </c>
      <c r="O2755" s="15" t="str">
        <f>IFERROR(VLOOKUP(I2755,material!A:D,2,0),"")</f>
        <v/>
      </c>
    </row>
    <row r="2756">
      <c r="A2756" s="6"/>
      <c r="B2756" s="7"/>
      <c r="C2756" s="8" t="str">
        <f t="array" ref="C2756">IFERROR(INDEX(atlas!H:H,MATCH(A2756,atlas!C:C,0)),"")</f>
        <v/>
      </c>
      <c r="D2756" s="8" t="str">
        <f t="array" ref="D2756">IFERROR(INDEX(atlas!D:D,MATCH(A2756,atlas!C:C,0)),"")</f>
        <v/>
      </c>
      <c r="E2756" s="8" t="str">
        <f t="array" ref="E2756">IFERROR(INDEX(atlas!F:F,MATCH(A2756,atlas!C:C,0)),"")</f>
        <v/>
      </c>
      <c r="F2756" s="9"/>
      <c r="G2756" s="10"/>
      <c r="H2756" s="11"/>
      <c r="I2756" s="12" t="str">
        <f t="array" ref="I2756">IFERROR(INDEX(atlas!B:B,MATCH(A2756,atlas!C:C,0)),"")</f>
        <v/>
      </c>
      <c r="J2756" s="8" t="str">
        <f>IFERROR(VLOOKUP(F2756,tecnica!A:B,2,0),"")</f>
        <v/>
      </c>
      <c r="K2756" s="8" t="str">
        <f>IFERROR(VLOOKUP(J2756,tecnica!B:C,2,0),"")</f>
        <v/>
      </c>
      <c r="L2756" s="13"/>
      <c r="M2756" s="14" t="str">
        <f>IFERROR(VLOOKUP(I2756,material!A:D,4,0),"")</f>
        <v/>
      </c>
      <c r="N2756" s="14" t="str">
        <f t="shared" si="1"/>
        <v/>
      </c>
      <c r="O2756" s="15" t="str">
        <f>IFERROR(VLOOKUP(I2756,material!A:D,2,0),"")</f>
        <v/>
      </c>
    </row>
    <row r="2757">
      <c r="A2757" s="6"/>
      <c r="B2757" s="7"/>
      <c r="C2757" s="8" t="str">
        <f t="array" ref="C2757">IFERROR(INDEX(atlas!H:H,MATCH(A2757,atlas!C:C,0)),"")</f>
        <v/>
      </c>
      <c r="D2757" s="8" t="str">
        <f t="array" ref="D2757">IFERROR(INDEX(atlas!D:D,MATCH(A2757,atlas!C:C,0)),"")</f>
        <v/>
      </c>
      <c r="E2757" s="8" t="str">
        <f t="array" ref="E2757">IFERROR(INDEX(atlas!F:F,MATCH(A2757,atlas!C:C,0)),"")</f>
        <v/>
      </c>
      <c r="F2757" s="9"/>
      <c r="G2757" s="10"/>
      <c r="H2757" s="11"/>
      <c r="I2757" s="12" t="str">
        <f t="array" ref="I2757">IFERROR(INDEX(atlas!B:B,MATCH(A2757,atlas!C:C,0)),"")</f>
        <v/>
      </c>
      <c r="J2757" s="8" t="str">
        <f>IFERROR(VLOOKUP(F2757,tecnica!A:B,2,0),"")</f>
        <v/>
      </c>
      <c r="K2757" s="8" t="str">
        <f>IFERROR(VLOOKUP(J2757,tecnica!B:C,2,0),"")</f>
        <v/>
      </c>
      <c r="L2757" s="13"/>
      <c r="M2757" s="14" t="str">
        <f>IFERROR(VLOOKUP(I2757,material!A:D,4,0),"")</f>
        <v/>
      </c>
      <c r="N2757" s="14" t="str">
        <f t="shared" si="1"/>
        <v/>
      </c>
      <c r="O2757" s="15" t="str">
        <f>IFERROR(VLOOKUP(I2757,material!A:D,2,0),"")</f>
        <v/>
      </c>
    </row>
    <row r="2758">
      <c r="A2758" s="6"/>
      <c r="B2758" s="7"/>
      <c r="C2758" s="8" t="str">
        <f t="array" ref="C2758">IFERROR(INDEX(atlas!H:H,MATCH(A2758,atlas!C:C,0)),"")</f>
        <v/>
      </c>
      <c r="D2758" s="8" t="str">
        <f t="array" ref="D2758">IFERROR(INDEX(atlas!D:D,MATCH(A2758,atlas!C:C,0)),"")</f>
        <v/>
      </c>
      <c r="E2758" s="8" t="str">
        <f t="array" ref="E2758">IFERROR(INDEX(atlas!F:F,MATCH(A2758,atlas!C:C,0)),"")</f>
        <v/>
      </c>
      <c r="F2758" s="9"/>
      <c r="G2758" s="10"/>
      <c r="H2758" s="11"/>
      <c r="I2758" s="12" t="str">
        <f t="array" ref="I2758">IFERROR(INDEX(atlas!B:B,MATCH(A2758,atlas!C:C,0)),"")</f>
        <v/>
      </c>
      <c r="J2758" s="8" t="str">
        <f>IFERROR(VLOOKUP(F2758,tecnica!A:B,2,0),"")</f>
        <v/>
      </c>
      <c r="K2758" s="8" t="str">
        <f>IFERROR(VLOOKUP(J2758,tecnica!B:C,2,0),"")</f>
        <v/>
      </c>
      <c r="L2758" s="13"/>
      <c r="M2758" s="14" t="str">
        <f>IFERROR(VLOOKUP(I2758,material!A:D,4,0),"")</f>
        <v/>
      </c>
      <c r="N2758" s="14" t="str">
        <f t="shared" si="1"/>
        <v/>
      </c>
      <c r="O2758" s="15" t="str">
        <f>IFERROR(VLOOKUP(I2758,material!A:D,2,0),"")</f>
        <v/>
      </c>
    </row>
    <row r="2759">
      <c r="A2759" s="6"/>
      <c r="B2759" s="7"/>
      <c r="C2759" s="8" t="str">
        <f t="array" ref="C2759">IFERROR(INDEX(atlas!H:H,MATCH(A2759,atlas!C:C,0)),"")</f>
        <v/>
      </c>
      <c r="D2759" s="8" t="str">
        <f t="array" ref="D2759">IFERROR(INDEX(atlas!D:D,MATCH(A2759,atlas!C:C,0)),"")</f>
        <v/>
      </c>
      <c r="E2759" s="8" t="str">
        <f t="array" ref="E2759">IFERROR(INDEX(atlas!F:F,MATCH(A2759,atlas!C:C,0)),"")</f>
        <v/>
      </c>
      <c r="F2759" s="9"/>
      <c r="G2759" s="10"/>
      <c r="H2759" s="11"/>
      <c r="I2759" s="12" t="str">
        <f t="array" ref="I2759">IFERROR(INDEX(atlas!B:B,MATCH(A2759,atlas!C:C,0)),"")</f>
        <v/>
      </c>
      <c r="J2759" s="8" t="str">
        <f>IFERROR(VLOOKUP(F2759,tecnica!A:B,2,0),"")</f>
        <v/>
      </c>
      <c r="K2759" s="8" t="str">
        <f>IFERROR(VLOOKUP(J2759,tecnica!B:C,2,0),"")</f>
        <v/>
      </c>
      <c r="L2759" s="13"/>
      <c r="M2759" s="14" t="str">
        <f>IFERROR(VLOOKUP(I2759,material!A:D,4,0),"")</f>
        <v/>
      </c>
      <c r="N2759" s="14" t="str">
        <f t="shared" si="1"/>
        <v/>
      </c>
      <c r="O2759" s="15" t="str">
        <f>IFERROR(VLOOKUP(I2759,material!A:D,2,0),"")</f>
        <v/>
      </c>
    </row>
    <row r="2760">
      <c r="A2760" s="6"/>
      <c r="B2760" s="7"/>
      <c r="C2760" s="8" t="str">
        <f t="array" ref="C2760">IFERROR(INDEX(atlas!H:H,MATCH(A2760,atlas!C:C,0)),"")</f>
        <v/>
      </c>
      <c r="D2760" s="8" t="str">
        <f t="array" ref="D2760">IFERROR(INDEX(atlas!D:D,MATCH(A2760,atlas!C:C,0)),"")</f>
        <v/>
      </c>
      <c r="E2760" s="8" t="str">
        <f t="array" ref="E2760">IFERROR(INDEX(atlas!F:F,MATCH(A2760,atlas!C:C,0)),"")</f>
        <v/>
      </c>
      <c r="F2760" s="9"/>
      <c r="G2760" s="10"/>
      <c r="H2760" s="11"/>
      <c r="I2760" s="12" t="str">
        <f t="array" ref="I2760">IFERROR(INDEX(atlas!B:B,MATCH(A2760,atlas!C:C,0)),"")</f>
        <v/>
      </c>
      <c r="J2760" s="8" t="str">
        <f>IFERROR(VLOOKUP(F2760,tecnica!A:B,2,0),"")</f>
        <v/>
      </c>
      <c r="K2760" s="8" t="str">
        <f>IFERROR(VLOOKUP(J2760,tecnica!B:C,2,0),"")</f>
        <v/>
      </c>
      <c r="L2760" s="13"/>
      <c r="M2760" s="14" t="str">
        <f>IFERROR(VLOOKUP(I2760,material!A:D,4,0),"")</f>
        <v/>
      </c>
      <c r="N2760" s="14" t="str">
        <f t="shared" si="1"/>
        <v/>
      </c>
      <c r="O2760" s="15" t="str">
        <f>IFERROR(VLOOKUP(I2760,material!A:D,2,0),"")</f>
        <v/>
      </c>
    </row>
    <row r="2761">
      <c r="A2761" s="6"/>
      <c r="B2761" s="7"/>
      <c r="C2761" s="8" t="str">
        <f t="array" ref="C2761">IFERROR(INDEX(atlas!H:H,MATCH(A2761,atlas!C:C,0)),"")</f>
        <v/>
      </c>
      <c r="D2761" s="8" t="str">
        <f t="array" ref="D2761">IFERROR(INDEX(atlas!D:D,MATCH(A2761,atlas!C:C,0)),"")</f>
        <v/>
      </c>
      <c r="E2761" s="8" t="str">
        <f t="array" ref="E2761">IFERROR(INDEX(atlas!F:F,MATCH(A2761,atlas!C:C,0)),"")</f>
        <v/>
      </c>
      <c r="F2761" s="9"/>
      <c r="G2761" s="10"/>
      <c r="H2761" s="11"/>
      <c r="I2761" s="12" t="str">
        <f t="array" ref="I2761">IFERROR(INDEX(atlas!B:B,MATCH(A2761,atlas!C:C,0)),"")</f>
        <v/>
      </c>
      <c r="J2761" s="8" t="str">
        <f>IFERROR(VLOOKUP(F2761,tecnica!A:B,2,0),"")</f>
        <v/>
      </c>
      <c r="K2761" s="8" t="str">
        <f>IFERROR(VLOOKUP(J2761,tecnica!B:C,2,0),"")</f>
        <v/>
      </c>
      <c r="L2761" s="13"/>
      <c r="M2761" s="14" t="str">
        <f>IFERROR(VLOOKUP(I2761,material!A:D,4,0),"")</f>
        <v/>
      </c>
      <c r="N2761" s="14" t="str">
        <f t="shared" si="1"/>
        <v/>
      </c>
      <c r="O2761" s="15" t="str">
        <f>IFERROR(VLOOKUP(I2761,material!A:D,2,0),"")</f>
        <v/>
      </c>
    </row>
    <row r="2762">
      <c r="A2762" s="6"/>
      <c r="B2762" s="7"/>
      <c r="C2762" s="8" t="str">
        <f t="array" ref="C2762">IFERROR(INDEX(atlas!H:H,MATCH(A2762,atlas!C:C,0)),"")</f>
        <v/>
      </c>
      <c r="D2762" s="8" t="str">
        <f t="array" ref="D2762">IFERROR(INDEX(atlas!D:D,MATCH(A2762,atlas!C:C,0)),"")</f>
        <v/>
      </c>
      <c r="E2762" s="8" t="str">
        <f t="array" ref="E2762">IFERROR(INDEX(atlas!F:F,MATCH(A2762,atlas!C:C,0)),"")</f>
        <v/>
      </c>
      <c r="F2762" s="9"/>
      <c r="G2762" s="10"/>
      <c r="H2762" s="11"/>
      <c r="I2762" s="12" t="str">
        <f t="array" ref="I2762">IFERROR(INDEX(atlas!B:B,MATCH(A2762,atlas!C:C,0)),"")</f>
        <v/>
      </c>
      <c r="J2762" s="8" t="str">
        <f>IFERROR(VLOOKUP(F2762,tecnica!A:B,2,0),"")</f>
        <v/>
      </c>
      <c r="K2762" s="8" t="str">
        <f>IFERROR(VLOOKUP(J2762,tecnica!B:C,2,0),"")</f>
        <v/>
      </c>
      <c r="L2762" s="13"/>
      <c r="M2762" s="14" t="str">
        <f>IFERROR(VLOOKUP(I2762,material!A:D,4,0),"")</f>
        <v/>
      </c>
      <c r="N2762" s="14" t="str">
        <f t="shared" si="1"/>
        <v/>
      </c>
      <c r="O2762" s="15" t="str">
        <f>IFERROR(VLOOKUP(I2762,material!A:D,2,0),"")</f>
        <v/>
      </c>
    </row>
    <row r="2763">
      <c r="A2763" s="6"/>
      <c r="B2763" s="7"/>
      <c r="C2763" s="8" t="str">
        <f t="array" ref="C2763">IFERROR(INDEX(atlas!H:H,MATCH(A2763,atlas!C:C,0)),"")</f>
        <v/>
      </c>
      <c r="D2763" s="8" t="str">
        <f t="array" ref="D2763">IFERROR(INDEX(atlas!D:D,MATCH(A2763,atlas!C:C,0)),"")</f>
        <v/>
      </c>
      <c r="E2763" s="8" t="str">
        <f t="array" ref="E2763">IFERROR(INDEX(atlas!F:F,MATCH(A2763,atlas!C:C,0)),"")</f>
        <v/>
      </c>
      <c r="F2763" s="9"/>
      <c r="G2763" s="10"/>
      <c r="H2763" s="11"/>
      <c r="I2763" s="12" t="str">
        <f t="array" ref="I2763">IFERROR(INDEX(atlas!B:B,MATCH(A2763,atlas!C:C,0)),"")</f>
        <v/>
      </c>
      <c r="J2763" s="8" t="str">
        <f>IFERROR(VLOOKUP(F2763,tecnica!A:B,2,0),"")</f>
        <v/>
      </c>
      <c r="K2763" s="8" t="str">
        <f>IFERROR(VLOOKUP(J2763,tecnica!B:C,2,0),"")</f>
        <v/>
      </c>
      <c r="L2763" s="13"/>
      <c r="M2763" s="14" t="str">
        <f>IFERROR(VLOOKUP(I2763,material!A:D,4,0),"")</f>
        <v/>
      </c>
      <c r="N2763" s="14" t="str">
        <f t="shared" si="1"/>
        <v/>
      </c>
      <c r="O2763" s="15" t="str">
        <f>IFERROR(VLOOKUP(I2763,material!A:D,2,0),"")</f>
        <v/>
      </c>
    </row>
    <row r="2764">
      <c r="A2764" s="6"/>
      <c r="B2764" s="7"/>
      <c r="C2764" s="8" t="str">
        <f t="array" ref="C2764">IFERROR(INDEX(atlas!H:H,MATCH(A2764,atlas!C:C,0)),"")</f>
        <v/>
      </c>
      <c r="D2764" s="8" t="str">
        <f t="array" ref="D2764">IFERROR(INDEX(atlas!D:D,MATCH(A2764,atlas!C:C,0)),"")</f>
        <v/>
      </c>
      <c r="E2764" s="8" t="str">
        <f t="array" ref="E2764">IFERROR(INDEX(atlas!F:F,MATCH(A2764,atlas!C:C,0)),"")</f>
        <v/>
      </c>
      <c r="F2764" s="9"/>
      <c r="G2764" s="10"/>
      <c r="H2764" s="11"/>
      <c r="I2764" s="12" t="str">
        <f t="array" ref="I2764">IFERROR(INDEX(atlas!B:B,MATCH(A2764,atlas!C:C,0)),"")</f>
        <v/>
      </c>
      <c r="J2764" s="8" t="str">
        <f>IFERROR(VLOOKUP(F2764,tecnica!A:B,2,0),"")</f>
        <v/>
      </c>
      <c r="K2764" s="8" t="str">
        <f>IFERROR(VLOOKUP(J2764,tecnica!B:C,2,0),"")</f>
        <v/>
      </c>
      <c r="L2764" s="13"/>
      <c r="M2764" s="14" t="str">
        <f>IFERROR(VLOOKUP(I2764,material!A:D,4,0),"")</f>
        <v/>
      </c>
      <c r="N2764" s="14" t="str">
        <f t="shared" si="1"/>
        <v/>
      </c>
      <c r="O2764" s="15" t="str">
        <f>IFERROR(VLOOKUP(I2764,material!A:D,2,0),"")</f>
        <v/>
      </c>
    </row>
    <row r="2765">
      <c r="A2765" s="6"/>
      <c r="B2765" s="7"/>
      <c r="C2765" s="8" t="str">
        <f t="array" ref="C2765">IFERROR(INDEX(atlas!H:H,MATCH(A2765,atlas!C:C,0)),"")</f>
        <v/>
      </c>
      <c r="D2765" s="8" t="str">
        <f t="array" ref="D2765">IFERROR(INDEX(atlas!D:D,MATCH(A2765,atlas!C:C,0)),"")</f>
        <v/>
      </c>
      <c r="E2765" s="8" t="str">
        <f t="array" ref="E2765">IFERROR(INDEX(atlas!F:F,MATCH(A2765,atlas!C:C,0)),"")</f>
        <v/>
      </c>
      <c r="F2765" s="9"/>
      <c r="G2765" s="10"/>
      <c r="H2765" s="11"/>
      <c r="I2765" s="12" t="str">
        <f t="array" ref="I2765">IFERROR(INDEX(atlas!B:B,MATCH(A2765,atlas!C:C,0)),"")</f>
        <v/>
      </c>
      <c r="J2765" s="8" t="str">
        <f>IFERROR(VLOOKUP(F2765,tecnica!A:B,2,0),"")</f>
        <v/>
      </c>
      <c r="K2765" s="8" t="str">
        <f>IFERROR(VLOOKUP(J2765,tecnica!B:C,2,0),"")</f>
        <v/>
      </c>
      <c r="L2765" s="13"/>
      <c r="M2765" s="14" t="str">
        <f>IFERROR(VLOOKUP(I2765,material!A:D,4,0),"")</f>
        <v/>
      </c>
      <c r="N2765" s="14" t="str">
        <f t="shared" si="1"/>
        <v/>
      </c>
      <c r="O2765" s="15" t="str">
        <f>IFERROR(VLOOKUP(I2765,material!A:D,2,0),"")</f>
        <v/>
      </c>
    </row>
    <row r="2766">
      <c r="A2766" s="6"/>
      <c r="B2766" s="7"/>
      <c r="C2766" s="8" t="str">
        <f t="array" ref="C2766">IFERROR(INDEX(atlas!H:H,MATCH(A2766,atlas!C:C,0)),"")</f>
        <v/>
      </c>
      <c r="D2766" s="8" t="str">
        <f t="array" ref="D2766">IFERROR(INDEX(atlas!D:D,MATCH(A2766,atlas!C:C,0)),"")</f>
        <v/>
      </c>
      <c r="E2766" s="8" t="str">
        <f t="array" ref="E2766">IFERROR(INDEX(atlas!F:F,MATCH(A2766,atlas!C:C,0)),"")</f>
        <v/>
      </c>
      <c r="F2766" s="9"/>
      <c r="G2766" s="10"/>
      <c r="H2766" s="11"/>
      <c r="I2766" s="12" t="str">
        <f t="array" ref="I2766">IFERROR(INDEX(atlas!B:B,MATCH(A2766,atlas!C:C,0)),"")</f>
        <v/>
      </c>
      <c r="J2766" s="8" t="str">
        <f>IFERROR(VLOOKUP(F2766,tecnica!A:B,2,0),"")</f>
        <v/>
      </c>
      <c r="K2766" s="8" t="str">
        <f>IFERROR(VLOOKUP(J2766,tecnica!B:C,2,0),"")</f>
        <v/>
      </c>
      <c r="L2766" s="13"/>
      <c r="M2766" s="14" t="str">
        <f>IFERROR(VLOOKUP(I2766,material!A:D,4,0),"")</f>
        <v/>
      </c>
      <c r="N2766" s="14" t="str">
        <f t="shared" si="1"/>
        <v/>
      </c>
      <c r="O2766" s="15" t="str">
        <f>IFERROR(VLOOKUP(I2766,material!A:D,2,0),"")</f>
        <v/>
      </c>
    </row>
    <row r="2767">
      <c r="A2767" s="6"/>
      <c r="B2767" s="7"/>
      <c r="C2767" s="8" t="str">
        <f t="array" ref="C2767">IFERROR(INDEX(atlas!H:H,MATCH(A2767,atlas!C:C,0)),"")</f>
        <v/>
      </c>
      <c r="D2767" s="8" t="str">
        <f t="array" ref="D2767">IFERROR(INDEX(atlas!D:D,MATCH(A2767,atlas!C:C,0)),"")</f>
        <v/>
      </c>
      <c r="E2767" s="8" t="str">
        <f t="array" ref="E2767">IFERROR(INDEX(atlas!F:F,MATCH(A2767,atlas!C:C,0)),"")</f>
        <v/>
      </c>
      <c r="F2767" s="9"/>
      <c r="G2767" s="10"/>
      <c r="H2767" s="11"/>
      <c r="I2767" s="12" t="str">
        <f t="array" ref="I2767">IFERROR(INDEX(atlas!B:B,MATCH(A2767,atlas!C:C,0)),"")</f>
        <v/>
      </c>
      <c r="J2767" s="8" t="str">
        <f>IFERROR(VLOOKUP(F2767,tecnica!A:B,2,0),"")</f>
        <v/>
      </c>
      <c r="K2767" s="8" t="str">
        <f>IFERROR(VLOOKUP(J2767,tecnica!B:C,2,0),"")</f>
        <v/>
      </c>
      <c r="L2767" s="13"/>
      <c r="M2767" s="14" t="str">
        <f>IFERROR(VLOOKUP(I2767,material!A:D,4,0),"")</f>
        <v/>
      </c>
      <c r="N2767" s="14" t="str">
        <f t="shared" si="1"/>
        <v/>
      </c>
      <c r="O2767" s="15" t="str">
        <f>IFERROR(VLOOKUP(I2767,material!A:D,2,0),"")</f>
        <v/>
      </c>
    </row>
    <row r="2768">
      <c r="A2768" s="6"/>
      <c r="B2768" s="7"/>
      <c r="C2768" s="8" t="str">
        <f t="array" ref="C2768">IFERROR(INDEX(atlas!H:H,MATCH(A2768,atlas!C:C,0)),"")</f>
        <v/>
      </c>
      <c r="D2768" s="8" t="str">
        <f t="array" ref="D2768">IFERROR(INDEX(atlas!D:D,MATCH(A2768,atlas!C:C,0)),"")</f>
        <v/>
      </c>
      <c r="E2768" s="8" t="str">
        <f t="array" ref="E2768">IFERROR(INDEX(atlas!F:F,MATCH(A2768,atlas!C:C,0)),"")</f>
        <v/>
      </c>
      <c r="F2768" s="9"/>
      <c r="G2768" s="10"/>
      <c r="H2768" s="11"/>
      <c r="I2768" s="12" t="str">
        <f t="array" ref="I2768">IFERROR(INDEX(atlas!B:B,MATCH(A2768,atlas!C:C,0)),"")</f>
        <v/>
      </c>
      <c r="J2768" s="8" t="str">
        <f>IFERROR(VLOOKUP(F2768,tecnica!A:B,2,0),"")</f>
        <v/>
      </c>
      <c r="K2768" s="8" t="str">
        <f>IFERROR(VLOOKUP(J2768,tecnica!B:C,2,0),"")</f>
        <v/>
      </c>
      <c r="L2768" s="13"/>
      <c r="M2768" s="14" t="str">
        <f>IFERROR(VLOOKUP(I2768,material!A:D,4,0),"")</f>
        <v/>
      </c>
      <c r="N2768" s="14" t="str">
        <f t="shared" si="1"/>
        <v/>
      </c>
      <c r="O2768" s="15" t="str">
        <f>IFERROR(VLOOKUP(I2768,material!A:D,2,0),"")</f>
        <v/>
      </c>
    </row>
    <row r="2769">
      <c r="A2769" s="6"/>
      <c r="B2769" s="7"/>
      <c r="C2769" s="8" t="str">
        <f t="array" ref="C2769">IFERROR(INDEX(atlas!H:H,MATCH(A2769,atlas!C:C,0)),"")</f>
        <v/>
      </c>
      <c r="D2769" s="8" t="str">
        <f t="array" ref="D2769">IFERROR(INDEX(atlas!D:D,MATCH(A2769,atlas!C:C,0)),"")</f>
        <v/>
      </c>
      <c r="E2769" s="8" t="str">
        <f t="array" ref="E2769">IFERROR(INDEX(atlas!F:F,MATCH(A2769,atlas!C:C,0)),"")</f>
        <v/>
      </c>
      <c r="F2769" s="9"/>
      <c r="G2769" s="10"/>
      <c r="H2769" s="11"/>
      <c r="I2769" s="12" t="str">
        <f t="array" ref="I2769">IFERROR(INDEX(atlas!B:B,MATCH(A2769,atlas!C:C,0)),"")</f>
        <v/>
      </c>
      <c r="J2769" s="8" t="str">
        <f>IFERROR(VLOOKUP(F2769,tecnica!A:B,2,0),"")</f>
        <v/>
      </c>
      <c r="K2769" s="8" t="str">
        <f>IFERROR(VLOOKUP(J2769,tecnica!B:C,2,0),"")</f>
        <v/>
      </c>
      <c r="L2769" s="13"/>
      <c r="M2769" s="14" t="str">
        <f>IFERROR(VLOOKUP(I2769,material!A:D,4,0),"")</f>
        <v/>
      </c>
      <c r="N2769" s="14" t="str">
        <f t="shared" si="1"/>
        <v/>
      </c>
      <c r="O2769" s="15" t="str">
        <f>IFERROR(VLOOKUP(I2769,material!A:D,2,0),"")</f>
        <v/>
      </c>
    </row>
    <row r="2770">
      <c r="A2770" s="6"/>
      <c r="B2770" s="7"/>
      <c r="C2770" s="8" t="str">
        <f t="array" ref="C2770">IFERROR(INDEX(atlas!H:H,MATCH(A2770,atlas!C:C,0)),"")</f>
        <v/>
      </c>
      <c r="D2770" s="8" t="str">
        <f t="array" ref="D2770">IFERROR(INDEX(atlas!D:D,MATCH(A2770,atlas!C:C,0)),"")</f>
        <v/>
      </c>
      <c r="E2770" s="8" t="str">
        <f t="array" ref="E2770">IFERROR(INDEX(atlas!F:F,MATCH(A2770,atlas!C:C,0)),"")</f>
        <v/>
      </c>
      <c r="F2770" s="9"/>
      <c r="G2770" s="10"/>
      <c r="H2770" s="11"/>
      <c r="I2770" s="12" t="str">
        <f t="array" ref="I2770">IFERROR(INDEX(atlas!B:B,MATCH(A2770,atlas!C:C,0)),"")</f>
        <v/>
      </c>
      <c r="J2770" s="8" t="str">
        <f>IFERROR(VLOOKUP(F2770,tecnica!A:B,2,0),"")</f>
        <v/>
      </c>
      <c r="K2770" s="8" t="str">
        <f>IFERROR(VLOOKUP(J2770,tecnica!B:C,2,0),"")</f>
        <v/>
      </c>
      <c r="L2770" s="13"/>
      <c r="M2770" s="14" t="str">
        <f>IFERROR(VLOOKUP(I2770,material!A:D,4,0),"")</f>
        <v/>
      </c>
      <c r="N2770" s="14" t="str">
        <f t="shared" si="1"/>
        <v/>
      </c>
      <c r="O2770" s="15" t="str">
        <f>IFERROR(VLOOKUP(I2770,material!A:D,2,0),"")</f>
        <v/>
      </c>
    </row>
    <row r="2771">
      <c r="A2771" s="6"/>
      <c r="B2771" s="7"/>
      <c r="C2771" s="8" t="str">
        <f t="array" ref="C2771">IFERROR(INDEX(atlas!H:H,MATCH(A2771,atlas!C:C,0)),"")</f>
        <v/>
      </c>
      <c r="D2771" s="8" t="str">
        <f t="array" ref="D2771">IFERROR(INDEX(atlas!D:D,MATCH(A2771,atlas!C:C,0)),"")</f>
        <v/>
      </c>
      <c r="E2771" s="8" t="str">
        <f t="array" ref="E2771">IFERROR(INDEX(atlas!F:F,MATCH(A2771,atlas!C:C,0)),"")</f>
        <v/>
      </c>
      <c r="F2771" s="9"/>
      <c r="G2771" s="10"/>
      <c r="H2771" s="11"/>
      <c r="I2771" s="12" t="str">
        <f t="array" ref="I2771">IFERROR(INDEX(atlas!B:B,MATCH(A2771,atlas!C:C,0)),"")</f>
        <v/>
      </c>
      <c r="J2771" s="8" t="str">
        <f>IFERROR(VLOOKUP(F2771,tecnica!A:B,2,0),"")</f>
        <v/>
      </c>
      <c r="K2771" s="8" t="str">
        <f>IFERROR(VLOOKUP(J2771,tecnica!B:C,2,0),"")</f>
        <v/>
      </c>
      <c r="L2771" s="13"/>
      <c r="M2771" s="14" t="str">
        <f>IFERROR(VLOOKUP(I2771,material!A:D,4,0),"")</f>
        <v/>
      </c>
      <c r="N2771" s="14" t="str">
        <f t="shared" si="1"/>
        <v/>
      </c>
      <c r="O2771" s="15" t="str">
        <f>IFERROR(VLOOKUP(I2771,material!A:D,2,0),"")</f>
        <v/>
      </c>
    </row>
    <row r="2772">
      <c r="A2772" s="6"/>
      <c r="B2772" s="7"/>
      <c r="C2772" s="8" t="str">
        <f t="array" ref="C2772">IFERROR(INDEX(atlas!H:H,MATCH(A2772,atlas!C:C,0)),"")</f>
        <v/>
      </c>
      <c r="D2772" s="8" t="str">
        <f t="array" ref="D2772">IFERROR(INDEX(atlas!D:D,MATCH(A2772,atlas!C:C,0)),"")</f>
        <v/>
      </c>
      <c r="E2772" s="8" t="str">
        <f t="array" ref="E2772">IFERROR(INDEX(atlas!F:F,MATCH(A2772,atlas!C:C,0)),"")</f>
        <v/>
      </c>
      <c r="F2772" s="9"/>
      <c r="G2772" s="10"/>
      <c r="H2772" s="11"/>
      <c r="I2772" s="12" t="str">
        <f t="array" ref="I2772">IFERROR(INDEX(atlas!B:B,MATCH(A2772,atlas!C:C,0)),"")</f>
        <v/>
      </c>
      <c r="J2772" s="8" t="str">
        <f>IFERROR(VLOOKUP(F2772,tecnica!A:B,2,0),"")</f>
        <v/>
      </c>
      <c r="K2772" s="8" t="str">
        <f>IFERROR(VLOOKUP(J2772,tecnica!B:C,2,0),"")</f>
        <v/>
      </c>
      <c r="L2772" s="13"/>
      <c r="M2772" s="14" t="str">
        <f>IFERROR(VLOOKUP(I2772,material!A:D,4,0),"")</f>
        <v/>
      </c>
      <c r="N2772" s="14" t="str">
        <f t="shared" si="1"/>
        <v/>
      </c>
      <c r="O2772" s="15" t="str">
        <f>IFERROR(VLOOKUP(I2772,material!A:D,2,0),"")</f>
        <v/>
      </c>
    </row>
    <row r="2773">
      <c r="A2773" s="6"/>
      <c r="B2773" s="7"/>
      <c r="C2773" s="8" t="str">
        <f t="array" ref="C2773">IFERROR(INDEX(atlas!H:H,MATCH(A2773,atlas!C:C,0)),"")</f>
        <v/>
      </c>
      <c r="D2773" s="8" t="str">
        <f t="array" ref="D2773">IFERROR(INDEX(atlas!D:D,MATCH(A2773,atlas!C:C,0)),"")</f>
        <v/>
      </c>
      <c r="E2773" s="8" t="str">
        <f t="array" ref="E2773">IFERROR(INDEX(atlas!F:F,MATCH(A2773,atlas!C:C,0)),"")</f>
        <v/>
      </c>
      <c r="F2773" s="9"/>
      <c r="G2773" s="10"/>
      <c r="H2773" s="11"/>
      <c r="I2773" s="12" t="str">
        <f t="array" ref="I2773">IFERROR(INDEX(atlas!B:B,MATCH(A2773,atlas!C:C,0)),"")</f>
        <v/>
      </c>
      <c r="J2773" s="8" t="str">
        <f>IFERROR(VLOOKUP(F2773,tecnica!A:B,2,0),"")</f>
        <v/>
      </c>
      <c r="K2773" s="8" t="str">
        <f>IFERROR(VLOOKUP(J2773,tecnica!B:C,2,0),"")</f>
        <v/>
      </c>
      <c r="L2773" s="13"/>
      <c r="M2773" s="14" t="str">
        <f>IFERROR(VLOOKUP(I2773,material!A:D,4,0),"")</f>
        <v/>
      </c>
      <c r="N2773" s="14" t="str">
        <f t="shared" si="1"/>
        <v/>
      </c>
      <c r="O2773" s="15" t="str">
        <f>IFERROR(VLOOKUP(I2773,material!A:D,2,0),"")</f>
        <v/>
      </c>
    </row>
    <row r="2774">
      <c r="A2774" s="6"/>
      <c r="B2774" s="7"/>
      <c r="C2774" s="8" t="str">
        <f t="array" ref="C2774">IFERROR(INDEX(atlas!H:H,MATCH(A2774,atlas!C:C,0)),"")</f>
        <v/>
      </c>
      <c r="D2774" s="8" t="str">
        <f t="array" ref="D2774">IFERROR(INDEX(atlas!D:D,MATCH(A2774,atlas!C:C,0)),"")</f>
        <v/>
      </c>
      <c r="E2774" s="8" t="str">
        <f t="array" ref="E2774">IFERROR(INDEX(atlas!F:F,MATCH(A2774,atlas!C:C,0)),"")</f>
        <v/>
      </c>
      <c r="F2774" s="9"/>
      <c r="G2774" s="10"/>
      <c r="H2774" s="11"/>
      <c r="I2774" s="12" t="str">
        <f t="array" ref="I2774">IFERROR(INDEX(atlas!B:B,MATCH(A2774,atlas!C:C,0)),"")</f>
        <v/>
      </c>
      <c r="J2774" s="8" t="str">
        <f>IFERROR(VLOOKUP(F2774,tecnica!A:B,2,0),"")</f>
        <v/>
      </c>
      <c r="K2774" s="8" t="str">
        <f>IFERROR(VLOOKUP(J2774,tecnica!B:C,2,0),"")</f>
        <v/>
      </c>
      <c r="L2774" s="13"/>
      <c r="M2774" s="14" t="str">
        <f>IFERROR(VLOOKUP(I2774,material!A:D,4,0),"")</f>
        <v/>
      </c>
      <c r="N2774" s="14" t="str">
        <f t="shared" si="1"/>
        <v/>
      </c>
      <c r="O2774" s="15" t="str">
        <f>IFERROR(VLOOKUP(I2774,material!A:D,2,0),"")</f>
        <v/>
      </c>
    </row>
    <row r="2775">
      <c r="A2775" s="6"/>
      <c r="B2775" s="7"/>
      <c r="C2775" s="8" t="str">
        <f t="array" ref="C2775">IFERROR(INDEX(atlas!H:H,MATCH(A2775,atlas!C:C,0)),"")</f>
        <v/>
      </c>
      <c r="D2775" s="8" t="str">
        <f t="array" ref="D2775">IFERROR(INDEX(atlas!D:D,MATCH(A2775,atlas!C:C,0)),"")</f>
        <v/>
      </c>
      <c r="E2775" s="8" t="str">
        <f t="array" ref="E2775">IFERROR(INDEX(atlas!F:F,MATCH(A2775,atlas!C:C,0)),"")</f>
        <v/>
      </c>
      <c r="F2775" s="9"/>
      <c r="G2775" s="10"/>
      <c r="H2775" s="11"/>
      <c r="I2775" s="12" t="str">
        <f t="array" ref="I2775">IFERROR(INDEX(atlas!B:B,MATCH(A2775,atlas!C:C,0)),"")</f>
        <v/>
      </c>
      <c r="J2775" s="8" t="str">
        <f>IFERROR(VLOOKUP(F2775,tecnica!A:B,2,0),"")</f>
        <v/>
      </c>
      <c r="K2775" s="8" t="str">
        <f>IFERROR(VLOOKUP(J2775,tecnica!B:C,2,0),"")</f>
        <v/>
      </c>
      <c r="L2775" s="13"/>
      <c r="M2775" s="14" t="str">
        <f>IFERROR(VLOOKUP(I2775,material!A:D,4,0),"")</f>
        <v/>
      </c>
      <c r="N2775" s="14" t="str">
        <f t="shared" si="1"/>
        <v/>
      </c>
      <c r="O2775" s="15" t="str">
        <f>IFERROR(VLOOKUP(I2775,material!A:D,2,0),"")</f>
        <v/>
      </c>
    </row>
    <row r="2776">
      <c r="A2776" s="6"/>
      <c r="B2776" s="7"/>
      <c r="C2776" s="8" t="str">
        <f t="array" ref="C2776">IFERROR(INDEX(atlas!H:H,MATCH(A2776,atlas!C:C,0)),"")</f>
        <v/>
      </c>
      <c r="D2776" s="8" t="str">
        <f t="array" ref="D2776">IFERROR(INDEX(atlas!D:D,MATCH(A2776,atlas!C:C,0)),"")</f>
        <v/>
      </c>
      <c r="E2776" s="8" t="str">
        <f t="array" ref="E2776">IFERROR(INDEX(atlas!F:F,MATCH(A2776,atlas!C:C,0)),"")</f>
        <v/>
      </c>
      <c r="F2776" s="9"/>
      <c r="G2776" s="10"/>
      <c r="H2776" s="11"/>
      <c r="I2776" s="12" t="str">
        <f t="array" ref="I2776">IFERROR(INDEX(atlas!B:B,MATCH(A2776,atlas!C:C,0)),"")</f>
        <v/>
      </c>
      <c r="J2776" s="8" t="str">
        <f>IFERROR(VLOOKUP(F2776,tecnica!A:B,2,0),"")</f>
        <v/>
      </c>
      <c r="K2776" s="8" t="str">
        <f>IFERROR(VLOOKUP(J2776,tecnica!B:C,2,0),"")</f>
        <v/>
      </c>
      <c r="L2776" s="13"/>
      <c r="M2776" s="14" t="str">
        <f>IFERROR(VLOOKUP(I2776,material!A:D,4,0),"")</f>
        <v/>
      </c>
      <c r="N2776" s="14" t="str">
        <f t="shared" si="1"/>
        <v/>
      </c>
      <c r="O2776" s="15" t="str">
        <f>IFERROR(VLOOKUP(I2776,material!A:D,2,0),"")</f>
        <v/>
      </c>
    </row>
    <row r="2777">
      <c r="A2777" s="6"/>
      <c r="B2777" s="7"/>
      <c r="C2777" s="8" t="str">
        <f t="array" ref="C2777">IFERROR(INDEX(atlas!H:H,MATCH(A2777,atlas!C:C,0)),"")</f>
        <v/>
      </c>
      <c r="D2777" s="8" t="str">
        <f t="array" ref="D2777">IFERROR(INDEX(atlas!D:D,MATCH(A2777,atlas!C:C,0)),"")</f>
        <v/>
      </c>
      <c r="E2777" s="8" t="str">
        <f t="array" ref="E2777">IFERROR(INDEX(atlas!F:F,MATCH(A2777,atlas!C:C,0)),"")</f>
        <v/>
      </c>
      <c r="F2777" s="9"/>
      <c r="G2777" s="10"/>
      <c r="H2777" s="11"/>
      <c r="I2777" s="12" t="str">
        <f t="array" ref="I2777">IFERROR(INDEX(atlas!B:B,MATCH(A2777,atlas!C:C,0)),"")</f>
        <v/>
      </c>
      <c r="J2777" s="8" t="str">
        <f>IFERROR(VLOOKUP(F2777,tecnica!A:B,2,0),"")</f>
        <v/>
      </c>
      <c r="K2777" s="8" t="str">
        <f>IFERROR(VLOOKUP(J2777,tecnica!B:C,2,0),"")</f>
        <v/>
      </c>
      <c r="L2777" s="13"/>
      <c r="M2777" s="14" t="str">
        <f>IFERROR(VLOOKUP(I2777,material!A:D,4,0),"")</f>
        <v/>
      </c>
      <c r="N2777" s="14" t="str">
        <f t="shared" si="1"/>
        <v/>
      </c>
      <c r="O2777" s="15" t="str">
        <f>IFERROR(VLOOKUP(I2777,material!A:D,2,0),"")</f>
        <v/>
      </c>
    </row>
    <row r="2778">
      <c r="A2778" s="6"/>
      <c r="B2778" s="7"/>
      <c r="C2778" s="8" t="str">
        <f t="array" ref="C2778">IFERROR(INDEX(atlas!H:H,MATCH(A2778,atlas!C:C,0)),"")</f>
        <v/>
      </c>
      <c r="D2778" s="8" t="str">
        <f t="array" ref="D2778">IFERROR(INDEX(atlas!D:D,MATCH(A2778,atlas!C:C,0)),"")</f>
        <v/>
      </c>
      <c r="E2778" s="8" t="str">
        <f t="array" ref="E2778">IFERROR(INDEX(atlas!F:F,MATCH(A2778,atlas!C:C,0)),"")</f>
        <v/>
      </c>
      <c r="F2778" s="9"/>
      <c r="G2778" s="10"/>
      <c r="H2778" s="11"/>
      <c r="I2778" s="12" t="str">
        <f t="array" ref="I2778">IFERROR(INDEX(atlas!B:B,MATCH(A2778,atlas!C:C,0)),"")</f>
        <v/>
      </c>
      <c r="J2778" s="8" t="str">
        <f>IFERROR(VLOOKUP(F2778,tecnica!A:B,2,0),"")</f>
        <v/>
      </c>
      <c r="K2778" s="8" t="str">
        <f>IFERROR(VLOOKUP(J2778,tecnica!B:C,2,0),"")</f>
        <v/>
      </c>
      <c r="L2778" s="13"/>
      <c r="M2778" s="14" t="str">
        <f>IFERROR(VLOOKUP(I2778,material!A:D,4,0),"")</f>
        <v/>
      </c>
      <c r="N2778" s="14" t="str">
        <f t="shared" si="1"/>
        <v/>
      </c>
      <c r="O2778" s="15" t="str">
        <f>IFERROR(VLOOKUP(I2778,material!A:D,2,0),"")</f>
        <v/>
      </c>
    </row>
    <row r="2779">
      <c r="A2779" s="6"/>
      <c r="B2779" s="7"/>
      <c r="C2779" s="8" t="str">
        <f t="array" ref="C2779">IFERROR(INDEX(atlas!H:H,MATCH(A2779,atlas!C:C,0)),"")</f>
        <v/>
      </c>
      <c r="D2779" s="8" t="str">
        <f t="array" ref="D2779">IFERROR(INDEX(atlas!D:D,MATCH(A2779,atlas!C:C,0)),"")</f>
        <v/>
      </c>
      <c r="E2779" s="8" t="str">
        <f t="array" ref="E2779">IFERROR(INDEX(atlas!F:F,MATCH(A2779,atlas!C:C,0)),"")</f>
        <v/>
      </c>
      <c r="F2779" s="9"/>
      <c r="G2779" s="10"/>
      <c r="H2779" s="11"/>
      <c r="I2779" s="12" t="str">
        <f t="array" ref="I2779">IFERROR(INDEX(atlas!B:B,MATCH(A2779,atlas!C:C,0)),"")</f>
        <v/>
      </c>
      <c r="J2779" s="8" t="str">
        <f>IFERROR(VLOOKUP(F2779,tecnica!A:B,2,0),"")</f>
        <v/>
      </c>
      <c r="K2779" s="8" t="str">
        <f>IFERROR(VLOOKUP(J2779,tecnica!B:C,2,0),"")</f>
        <v/>
      </c>
      <c r="L2779" s="13"/>
      <c r="M2779" s="14" t="str">
        <f>IFERROR(VLOOKUP(I2779,material!A:D,4,0),"")</f>
        <v/>
      </c>
      <c r="N2779" s="14" t="str">
        <f t="shared" si="1"/>
        <v/>
      </c>
      <c r="O2779" s="15" t="str">
        <f>IFERROR(VLOOKUP(I2779,material!A:D,2,0),"")</f>
        <v/>
      </c>
    </row>
    <row r="2780">
      <c r="A2780" s="6"/>
      <c r="B2780" s="7"/>
      <c r="C2780" s="8" t="str">
        <f t="array" ref="C2780">IFERROR(INDEX(atlas!H:H,MATCH(A2780,atlas!C:C,0)),"")</f>
        <v/>
      </c>
      <c r="D2780" s="8" t="str">
        <f t="array" ref="D2780">IFERROR(INDEX(atlas!D:D,MATCH(A2780,atlas!C:C,0)),"")</f>
        <v/>
      </c>
      <c r="E2780" s="8" t="str">
        <f t="array" ref="E2780">IFERROR(INDEX(atlas!F:F,MATCH(A2780,atlas!C:C,0)),"")</f>
        <v/>
      </c>
      <c r="F2780" s="9"/>
      <c r="G2780" s="10"/>
      <c r="H2780" s="11"/>
      <c r="I2780" s="12" t="str">
        <f t="array" ref="I2780">IFERROR(INDEX(atlas!B:B,MATCH(A2780,atlas!C:C,0)),"")</f>
        <v/>
      </c>
      <c r="J2780" s="8" t="str">
        <f>IFERROR(VLOOKUP(F2780,tecnica!A:B,2,0),"")</f>
        <v/>
      </c>
      <c r="K2780" s="8" t="str">
        <f>IFERROR(VLOOKUP(J2780,tecnica!B:C,2,0),"")</f>
        <v/>
      </c>
      <c r="L2780" s="13"/>
      <c r="M2780" s="14" t="str">
        <f>IFERROR(VLOOKUP(I2780,material!A:D,4,0),"")</f>
        <v/>
      </c>
      <c r="N2780" s="14" t="str">
        <f t="shared" si="1"/>
        <v/>
      </c>
      <c r="O2780" s="15" t="str">
        <f>IFERROR(VLOOKUP(I2780,material!A:D,2,0),"")</f>
        <v/>
      </c>
    </row>
    <row r="2781">
      <c r="A2781" s="6"/>
      <c r="B2781" s="7"/>
      <c r="C2781" s="8" t="str">
        <f t="array" ref="C2781">IFERROR(INDEX(atlas!H:H,MATCH(A2781,atlas!C:C,0)),"")</f>
        <v/>
      </c>
      <c r="D2781" s="8" t="str">
        <f t="array" ref="D2781">IFERROR(INDEX(atlas!D:D,MATCH(A2781,atlas!C:C,0)),"")</f>
        <v/>
      </c>
      <c r="E2781" s="8" t="str">
        <f t="array" ref="E2781">IFERROR(INDEX(atlas!F:F,MATCH(A2781,atlas!C:C,0)),"")</f>
        <v/>
      </c>
      <c r="F2781" s="9"/>
      <c r="G2781" s="10"/>
      <c r="H2781" s="11"/>
      <c r="I2781" s="12" t="str">
        <f t="array" ref="I2781">IFERROR(INDEX(atlas!B:B,MATCH(A2781,atlas!C:C,0)),"")</f>
        <v/>
      </c>
      <c r="J2781" s="8" t="str">
        <f>IFERROR(VLOOKUP(F2781,tecnica!A:B,2,0),"")</f>
        <v/>
      </c>
      <c r="K2781" s="8" t="str">
        <f>IFERROR(VLOOKUP(J2781,tecnica!B:C,2,0),"")</f>
        <v/>
      </c>
      <c r="L2781" s="13"/>
      <c r="M2781" s="14" t="str">
        <f>IFERROR(VLOOKUP(I2781,material!A:D,4,0),"")</f>
        <v/>
      </c>
      <c r="N2781" s="14" t="str">
        <f t="shared" si="1"/>
        <v/>
      </c>
      <c r="O2781" s="15" t="str">
        <f>IFERROR(VLOOKUP(I2781,material!A:D,2,0),"")</f>
        <v/>
      </c>
    </row>
    <row r="2782">
      <c r="A2782" s="6"/>
      <c r="B2782" s="7"/>
      <c r="C2782" s="8" t="str">
        <f t="array" ref="C2782">IFERROR(INDEX(atlas!H:H,MATCH(A2782,atlas!C:C,0)),"")</f>
        <v/>
      </c>
      <c r="D2782" s="8" t="str">
        <f t="array" ref="D2782">IFERROR(INDEX(atlas!D:D,MATCH(A2782,atlas!C:C,0)),"")</f>
        <v/>
      </c>
      <c r="E2782" s="8" t="str">
        <f t="array" ref="E2782">IFERROR(INDEX(atlas!F:F,MATCH(A2782,atlas!C:C,0)),"")</f>
        <v/>
      </c>
      <c r="F2782" s="9"/>
      <c r="G2782" s="10"/>
      <c r="H2782" s="11"/>
      <c r="I2782" s="12" t="str">
        <f t="array" ref="I2782">IFERROR(INDEX(atlas!B:B,MATCH(A2782,atlas!C:C,0)),"")</f>
        <v/>
      </c>
      <c r="J2782" s="8" t="str">
        <f>IFERROR(VLOOKUP(F2782,tecnica!A:B,2,0),"")</f>
        <v/>
      </c>
      <c r="K2782" s="8" t="str">
        <f>IFERROR(VLOOKUP(J2782,tecnica!B:C,2,0),"")</f>
        <v/>
      </c>
      <c r="L2782" s="13"/>
      <c r="M2782" s="14" t="str">
        <f>IFERROR(VLOOKUP(I2782,material!A:D,4,0),"")</f>
        <v/>
      </c>
      <c r="N2782" s="14" t="str">
        <f t="shared" si="1"/>
        <v/>
      </c>
      <c r="O2782" s="15" t="str">
        <f>IFERROR(VLOOKUP(I2782,material!A:D,2,0),"")</f>
        <v/>
      </c>
    </row>
    <row r="2783">
      <c r="A2783" s="6"/>
      <c r="B2783" s="7"/>
      <c r="C2783" s="8" t="str">
        <f t="array" ref="C2783">IFERROR(INDEX(atlas!H:H,MATCH(A2783,atlas!C:C,0)),"")</f>
        <v/>
      </c>
      <c r="D2783" s="8" t="str">
        <f t="array" ref="D2783">IFERROR(INDEX(atlas!D:D,MATCH(A2783,atlas!C:C,0)),"")</f>
        <v/>
      </c>
      <c r="E2783" s="8" t="str">
        <f t="array" ref="E2783">IFERROR(INDEX(atlas!F:F,MATCH(A2783,atlas!C:C,0)),"")</f>
        <v/>
      </c>
      <c r="F2783" s="9"/>
      <c r="G2783" s="10"/>
      <c r="H2783" s="11"/>
      <c r="I2783" s="12" t="str">
        <f t="array" ref="I2783">IFERROR(INDEX(atlas!B:B,MATCH(A2783,atlas!C:C,0)),"")</f>
        <v/>
      </c>
      <c r="J2783" s="8" t="str">
        <f>IFERROR(VLOOKUP(F2783,tecnica!A:B,2,0),"")</f>
        <v/>
      </c>
      <c r="K2783" s="8" t="str">
        <f>IFERROR(VLOOKUP(J2783,tecnica!B:C,2,0),"")</f>
        <v/>
      </c>
      <c r="L2783" s="13"/>
      <c r="M2783" s="14" t="str">
        <f>IFERROR(VLOOKUP(I2783,material!A:D,4,0),"")</f>
        <v/>
      </c>
      <c r="N2783" s="14" t="str">
        <f t="shared" si="1"/>
        <v/>
      </c>
      <c r="O2783" s="15" t="str">
        <f>IFERROR(VLOOKUP(I2783,material!A:D,2,0),"")</f>
        <v/>
      </c>
    </row>
    <row r="2784">
      <c r="A2784" s="6"/>
      <c r="B2784" s="7"/>
      <c r="C2784" s="8" t="str">
        <f t="array" ref="C2784">IFERROR(INDEX(atlas!H:H,MATCH(A2784,atlas!C:C,0)),"")</f>
        <v/>
      </c>
      <c r="D2784" s="8" t="str">
        <f t="array" ref="D2784">IFERROR(INDEX(atlas!D:D,MATCH(A2784,atlas!C:C,0)),"")</f>
        <v/>
      </c>
      <c r="E2784" s="8" t="str">
        <f t="array" ref="E2784">IFERROR(INDEX(atlas!F:F,MATCH(A2784,atlas!C:C,0)),"")</f>
        <v/>
      </c>
      <c r="F2784" s="9"/>
      <c r="G2784" s="10"/>
      <c r="H2784" s="11"/>
      <c r="I2784" s="12" t="str">
        <f t="array" ref="I2784">IFERROR(INDEX(atlas!B:B,MATCH(A2784,atlas!C:C,0)),"")</f>
        <v/>
      </c>
      <c r="J2784" s="8" t="str">
        <f>IFERROR(VLOOKUP(F2784,tecnica!A:B,2,0),"")</f>
        <v/>
      </c>
      <c r="K2784" s="8" t="str">
        <f>IFERROR(VLOOKUP(J2784,tecnica!B:C,2,0),"")</f>
        <v/>
      </c>
      <c r="L2784" s="13"/>
      <c r="M2784" s="14" t="str">
        <f>IFERROR(VLOOKUP(I2784,material!A:D,4,0),"")</f>
        <v/>
      </c>
      <c r="N2784" s="14" t="str">
        <f t="shared" si="1"/>
        <v/>
      </c>
      <c r="O2784" s="15" t="str">
        <f>IFERROR(VLOOKUP(I2784,material!A:D,2,0),"")</f>
        <v/>
      </c>
    </row>
    <row r="2785">
      <c r="A2785" s="6"/>
      <c r="B2785" s="7"/>
      <c r="C2785" s="8" t="str">
        <f t="array" ref="C2785">IFERROR(INDEX(atlas!H:H,MATCH(A2785,atlas!C:C,0)),"")</f>
        <v/>
      </c>
      <c r="D2785" s="8" t="str">
        <f t="array" ref="D2785">IFERROR(INDEX(atlas!D:D,MATCH(A2785,atlas!C:C,0)),"")</f>
        <v/>
      </c>
      <c r="E2785" s="8" t="str">
        <f t="array" ref="E2785">IFERROR(INDEX(atlas!F:F,MATCH(A2785,atlas!C:C,0)),"")</f>
        <v/>
      </c>
      <c r="F2785" s="9"/>
      <c r="G2785" s="10"/>
      <c r="H2785" s="11"/>
      <c r="I2785" s="12" t="str">
        <f t="array" ref="I2785">IFERROR(INDEX(atlas!B:B,MATCH(A2785,atlas!C:C,0)),"")</f>
        <v/>
      </c>
      <c r="J2785" s="8" t="str">
        <f>IFERROR(VLOOKUP(F2785,tecnica!A:B,2,0),"")</f>
        <v/>
      </c>
      <c r="K2785" s="8" t="str">
        <f>IFERROR(VLOOKUP(J2785,tecnica!B:C,2,0),"")</f>
        <v/>
      </c>
      <c r="L2785" s="13"/>
      <c r="M2785" s="14" t="str">
        <f>IFERROR(VLOOKUP(I2785,material!A:D,4,0),"")</f>
        <v/>
      </c>
      <c r="N2785" s="14" t="str">
        <f t="shared" si="1"/>
        <v/>
      </c>
      <c r="O2785" s="15" t="str">
        <f>IFERROR(VLOOKUP(I2785,material!A:D,2,0),"")</f>
        <v/>
      </c>
    </row>
    <row r="2786">
      <c r="A2786" s="6"/>
      <c r="B2786" s="7"/>
      <c r="C2786" s="8" t="str">
        <f t="array" ref="C2786">IFERROR(INDEX(atlas!H:H,MATCH(A2786,atlas!C:C,0)),"")</f>
        <v/>
      </c>
      <c r="D2786" s="8" t="str">
        <f t="array" ref="D2786">IFERROR(INDEX(atlas!D:D,MATCH(A2786,atlas!C:C,0)),"")</f>
        <v/>
      </c>
      <c r="E2786" s="8" t="str">
        <f t="array" ref="E2786">IFERROR(INDEX(atlas!F:F,MATCH(A2786,atlas!C:C,0)),"")</f>
        <v/>
      </c>
      <c r="F2786" s="9"/>
      <c r="G2786" s="10"/>
      <c r="H2786" s="11"/>
      <c r="I2786" s="12" t="str">
        <f t="array" ref="I2786">IFERROR(INDEX(atlas!B:B,MATCH(A2786,atlas!C:C,0)),"")</f>
        <v/>
      </c>
      <c r="J2786" s="8" t="str">
        <f>IFERROR(VLOOKUP(F2786,tecnica!A:B,2,0),"")</f>
        <v/>
      </c>
      <c r="K2786" s="8" t="str">
        <f>IFERROR(VLOOKUP(J2786,tecnica!B:C,2,0),"")</f>
        <v/>
      </c>
      <c r="L2786" s="13"/>
      <c r="M2786" s="14" t="str">
        <f>IFERROR(VLOOKUP(I2786,material!A:D,4,0),"")</f>
        <v/>
      </c>
      <c r="N2786" s="14" t="str">
        <f t="shared" si="1"/>
        <v/>
      </c>
      <c r="O2786" s="15" t="str">
        <f>IFERROR(VLOOKUP(I2786,material!A:D,2,0),"")</f>
        <v/>
      </c>
    </row>
    <row r="2787">
      <c r="A2787" s="6"/>
      <c r="B2787" s="7"/>
      <c r="C2787" s="8" t="str">
        <f t="array" ref="C2787">IFERROR(INDEX(atlas!H:H,MATCH(A2787,atlas!C:C,0)),"")</f>
        <v/>
      </c>
      <c r="D2787" s="8" t="str">
        <f t="array" ref="D2787">IFERROR(INDEX(atlas!D:D,MATCH(A2787,atlas!C:C,0)),"")</f>
        <v/>
      </c>
      <c r="E2787" s="8" t="str">
        <f t="array" ref="E2787">IFERROR(INDEX(atlas!F:F,MATCH(A2787,atlas!C:C,0)),"")</f>
        <v/>
      </c>
      <c r="F2787" s="9"/>
      <c r="G2787" s="10"/>
      <c r="H2787" s="11"/>
      <c r="I2787" s="12" t="str">
        <f t="array" ref="I2787">IFERROR(INDEX(atlas!B:B,MATCH(A2787,atlas!C:C,0)),"")</f>
        <v/>
      </c>
      <c r="J2787" s="8" t="str">
        <f>IFERROR(VLOOKUP(F2787,tecnica!A:B,2,0),"")</f>
        <v/>
      </c>
      <c r="K2787" s="8" t="str">
        <f>IFERROR(VLOOKUP(J2787,tecnica!B:C,2,0),"")</f>
        <v/>
      </c>
      <c r="L2787" s="13"/>
      <c r="M2787" s="14" t="str">
        <f>IFERROR(VLOOKUP(I2787,material!A:D,4,0),"")</f>
        <v/>
      </c>
      <c r="N2787" s="14" t="str">
        <f t="shared" si="1"/>
        <v/>
      </c>
      <c r="O2787" s="15" t="str">
        <f>IFERROR(VLOOKUP(I2787,material!A:D,2,0),"")</f>
        <v/>
      </c>
    </row>
    <row r="2788">
      <c r="A2788" s="6"/>
      <c r="B2788" s="7"/>
      <c r="C2788" s="8" t="str">
        <f t="array" ref="C2788">IFERROR(INDEX(atlas!H:H,MATCH(A2788,atlas!C:C,0)),"")</f>
        <v/>
      </c>
      <c r="D2788" s="8" t="str">
        <f t="array" ref="D2788">IFERROR(INDEX(atlas!D:D,MATCH(A2788,atlas!C:C,0)),"")</f>
        <v/>
      </c>
      <c r="E2788" s="8" t="str">
        <f t="array" ref="E2788">IFERROR(INDEX(atlas!F:F,MATCH(A2788,atlas!C:C,0)),"")</f>
        <v/>
      </c>
      <c r="F2788" s="9"/>
      <c r="G2788" s="10"/>
      <c r="H2788" s="11"/>
      <c r="I2788" s="12" t="str">
        <f t="array" ref="I2788">IFERROR(INDEX(atlas!B:B,MATCH(A2788,atlas!C:C,0)),"")</f>
        <v/>
      </c>
      <c r="J2788" s="8" t="str">
        <f>IFERROR(VLOOKUP(F2788,tecnica!A:B,2,0),"")</f>
        <v/>
      </c>
      <c r="K2788" s="8" t="str">
        <f>IFERROR(VLOOKUP(J2788,tecnica!B:C,2,0),"")</f>
        <v/>
      </c>
      <c r="L2788" s="13"/>
      <c r="M2788" s="14" t="str">
        <f>IFERROR(VLOOKUP(I2788,material!A:D,4,0),"")</f>
        <v/>
      </c>
      <c r="N2788" s="14" t="str">
        <f t="shared" si="1"/>
        <v/>
      </c>
      <c r="O2788" s="15" t="str">
        <f>IFERROR(VLOOKUP(I2788,material!A:D,2,0),"")</f>
        <v/>
      </c>
    </row>
    <row r="2789">
      <c r="A2789" s="6"/>
      <c r="B2789" s="7"/>
      <c r="C2789" s="8" t="str">
        <f t="array" ref="C2789">IFERROR(INDEX(atlas!H:H,MATCH(A2789,atlas!C:C,0)),"")</f>
        <v/>
      </c>
      <c r="D2789" s="8" t="str">
        <f t="array" ref="D2789">IFERROR(INDEX(atlas!D:D,MATCH(A2789,atlas!C:C,0)),"")</f>
        <v/>
      </c>
      <c r="E2789" s="8" t="str">
        <f t="array" ref="E2789">IFERROR(INDEX(atlas!F:F,MATCH(A2789,atlas!C:C,0)),"")</f>
        <v/>
      </c>
      <c r="F2789" s="9"/>
      <c r="G2789" s="10"/>
      <c r="H2789" s="11"/>
      <c r="I2789" s="12" t="str">
        <f t="array" ref="I2789">IFERROR(INDEX(atlas!B:B,MATCH(A2789,atlas!C:C,0)),"")</f>
        <v/>
      </c>
      <c r="J2789" s="8" t="str">
        <f>IFERROR(VLOOKUP(F2789,tecnica!A:B,2,0),"")</f>
        <v/>
      </c>
      <c r="K2789" s="8" t="str">
        <f>IFERROR(VLOOKUP(J2789,tecnica!B:C,2,0),"")</f>
        <v/>
      </c>
      <c r="L2789" s="13"/>
      <c r="M2789" s="14" t="str">
        <f>IFERROR(VLOOKUP(I2789,material!A:D,4,0),"")</f>
        <v/>
      </c>
      <c r="N2789" s="14" t="str">
        <f t="shared" si="1"/>
        <v/>
      </c>
      <c r="O2789" s="15" t="str">
        <f>IFERROR(VLOOKUP(I2789,material!A:D,2,0),"")</f>
        <v/>
      </c>
    </row>
    <row r="2790">
      <c r="A2790" s="6"/>
      <c r="B2790" s="7"/>
      <c r="C2790" s="8" t="str">
        <f t="array" ref="C2790">IFERROR(INDEX(atlas!H:H,MATCH(A2790,atlas!C:C,0)),"")</f>
        <v/>
      </c>
      <c r="D2790" s="8" t="str">
        <f t="array" ref="D2790">IFERROR(INDEX(atlas!D:D,MATCH(A2790,atlas!C:C,0)),"")</f>
        <v/>
      </c>
      <c r="E2790" s="8" t="str">
        <f t="array" ref="E2790">IFERROR(INDEX(atlas!F:F,MATCH(A2790,atlas!C:C,0)),"")</f>
        <v/>
      </c>
      <c r="F2790" s="9"/>
      <c r="G2790" s="10"/>
      <c r="H2790" s="11"/>
      <c r="I2790" s="12" t="str">
        <f t="array" ref="I2790">IFERROR(INDEX(atlas!B:B,MATCH(A2790,atlas!C:C,0)),"")</f>
        <v/>
      </c>
      <c r="J2790" s="8" t="str">
        <f>IFERROR(VLOOKUP(F2790,tecnica!A:B,2,0),"")</f>
        <v/>
      </c>
      <c r="K2790" s="8" t="str">
        <f>IFERROR(VLOOKUP(J2790,tecnica!B:C,2,0),"")</f>
        <v/>
      </c>
      <c r="L2790" s="13"/>
      <c r="M2790" s="14" t="str">
        <f>IFERROR(VLOOKUP(I2790,material!A:D,4,0),"")</f>
        <v/>
      </c>
      <c r="N2790" s="14" t="str">
        <f t="shared" si="1"/>
        <v/>
      </c>
      <c r="O2790" s="15" t="str">
        <f>IFERROR(VLOOKUP(I2790,material!A:D,2,0),"")</f>
        <v/>
      </c>
    </row>
    <row r="2791">
      <c r="A2791" s="6"/>
      <c r="B2791" s="7"/>
      <c r="C2791" s="8" t="str">
        <f t="array" ref="C2791">IFERROR(INDEX(atlas!H:H,MATCH(A2791,atlas!C:C,0)),"")</f>
        <v/>
      </c>
      <c r="D2791" s="8" t="str">
        <f t="array" ref="D2791">IFERROR(INDEX(atlas!D:D,MATCH(A2791,atlas!C:C,0)),"")</f>
        <v/>
      </c>
      <c r="E2791" s="8" t="str">
        <f t="array" ref="E2791">IFERROR(INDEX(atlas!F:F,MATCH(A2791,atlas!C:C,0)),"")</f>
        <v/>
      </c>
      <c r="F2791" s="9"/>
      <c r="G2791" s="10"/>
      <c r="H2791" s="11"/>
      <c r="I2791" s="12" t="str">
        <f t="array" ref="I2791">IFERROR(INDEX(atlas!B:B,MATCH(A2791,atlas!C:C,0)),"")</f>
        <v/>
      </c>
      <c r="J2791" s="8" t="str">
        <f>IFERROR(VLOOKUP(F2791,tecnica!A:B,2,0),"")</f>
        <v/>
      </c>
      <c r="K2791" s="8" t="str">
        <f>IFERROR(VLOOKUP(J2791,tecnica!B:C,2,0),"")</f>
        <v/>
      </c>
      <c r="L2791" s="13"/>
      <c r="M2791" s="14" t="str">
        <f>IFERROR(VLOOKUP(I2791,material!A:D,4,0),"")</f>
        <v/>
      </c>
      <c r="N2791" s="14" t="str">
        <f t="shared" si="1"/>
        <v/>
      </c>
      <c r="O2791" s="15" t="str">
        <f>IFERROR(VLOOKUP(I2791,material!A:D,2,0),"")</f>
        <v/>
      </c>
    </row>
    <row r="2792">
      <c r="A2792" s="6"/>
      <c r="B2792" s="7"/>
      <c r="C2792" s="8" t="str">
        <f t="array" ref="C2792">IFERROR(INDEX(atlas!H:H,MATCH(A2792,atlas!C:C,0)),"")</f>
        <v/>
      </c>
      <c r="D2792" s="8" t="str">
        <f t="array" ref="D2792">IFERROR(INDEX(atlas!D:D,MATCH(A2792,atlas!C:C,0)),"")</f>
        <v/>
      </c>
      <c r="E2792" s="8" t="str">
        <f t="array" ref="E2792">IFERROR(INDEX(atlas!F:F,MATCH(A2792,atlas!C:C,0)),"")</f>
        <v/>
      </c>
      <c r="F2792" s="9"/>
      <c r="G2792" s="10"/>
      <c r="H2792" s="11"/>
      <c r="I2792" s="12" t="str">
        <f t="array" ref="I2792">IFERROR(INDEX(atlas!B:B,MATCH(A2792,atlas!C:C,0)),"")</f>
        <v/>
      </c>
      <c r="J2792" s="8" t="str">
        <f>IFERROR(VLOOKUP(F2792,tecnica!A:B,2,0),"")</f>
        <v/>
      </c>
      <c r="K2792" s="8" t="str">
        <f>IFERROR(VLOOKUP(J2792,tecnica!B:C,2,0),"")</f>
        <v/>
      </c>
      <c r="L2792" s="13"/>
      <c r="M2792" s="14" t="str">
        <f>IFERROR(VLOOKUP(I2792,material!A:D,4,0),"")</f>
        <v/>
      </c>
      <c r="N2792" s="14" t="str">
        <f t="shared" si="1"/>
        <v/>
      </c>
      <c r="O2792" s="15" t="str">
        <f>IFERROR(VLOOKUP(I2792,material!A:D,2,0),"")</f>
        <v/>
      </c>
    </row>
    <row r="2793">
      <c r="A2793" s="6"/>
      <c r="B2793" s="7"/>
      <c r="C2793" s="8" t="str">
        <f t="array" ref="C2793">IFERROR(INDEX(atlas!H:H,MATCH(A2793,atlas!C:C,0)),"")</f>
        <v/>
      </c>
      <c r="D2793" s="8" t="str">
        <f t="array" ref="D2793">IFERROR(INDEX(atlas!D:D,MATCH(A2793,atlas!C:C,0)),"")</f>
        <v/>
      </c>
      <c r="E2793" s="8" t="str">
        <f t="array" ref="E2793">IFERROR(INDEX(atlas!F:F,MATCH(A2793,atlas!C:C,0)),"")</f>
        <v/>
      </c>
      <c r="F2793" s="9"/>
      <c r="G2793" s="10"/>
      <c r="H2793" s="11"/>
      <c r="I2793" s="12" t="str">
        <f t="array" ref="I2793">IFERROR(INDEX(atlas!B:B,MATCH(A2793,atlas!C:C,0)),"")</f>
        <v/>
      </c>
      <c r="J2793" s="8" t="str">
        <f>IFERROR(VLOOKUP(F2793,tecnica!A:B,2,0),"")</f>
        <v/>
      </c>
      <c r="K2793" s="8" t="str">
        <f>IFERROR(VLOOKUP(J2793,tecnica!B:C,2,0),"")</f>
        <v/>
      </c>
      <c r="L2793" s="13"/>
      <c r="M2793" s="14" t="str">
        <f>IFERROR(VLOOKUP(I2793,material!A:D,4,0),"")</f>
        <v/>
      </c>
      <c r="N2793" s="14" t="str">
        <f t="shared" si="1"/>
        <v/>
      </c>
      <c r="O2793" s="15" t="str">
        <f>IFERROR(VLOOKUP(I2793,material!A:D,2,0),"")</f>
        <v/>
      </c>
    </row>
    <row r="2794">
      <c r="A2794" s="6"/>
      <c r="B2794" s="7"/>
      <c r="C2794" s="8" t="str">
        <f t="array" ref="C2794">IFERROR(INDEX(atlas!H:H,MATCH(A2794,atlas!C:C,0)),"")</f>
        <v/>
      </c>
      <c r="D2794" s="8" t="str">
        <f t="array" ref="D2794">IFERROR(INDEX(atlas!D:D,MATCH(A2794,atlas!C:C,0)),"")</f>
        <v/>
      </c>
      <c r="E2794" s="8" t="str">
        <f t="array" ref="E2794">IFERROR(INDEX(atlas!F:F,MATCH(A2794,atlas!C:C,0)),"")</f>
        <v/>
      </c>
      <c r="F2794" s="9"/>
      <c r="G2794" s="10"/>
      <c r="H2794" s="11"/>
      <c r="I2794" s="12" t="str">
        <f t="array" ref="I2794">IFERROR(INDEX(atlas!B:B,MATCH(A2794,atlas!C:C,0)),"")</f>
        <v/>
      </c>
      <c r="J2794" s="8" t="str">
        <f>IFERROR(VLOOKUP(F2794,tecnica!A:B,2,0),"")</f>
        <v/>
      </c>
      <c r="K2794" s="8" t="str">
        <f>IFERROR(VLOOKUP(J2794,tecnica!B:C,2,0),"")</f>
        <v/>
      </c>
      <c r="L2794" s="13"/>
      <c r="M2794" s="14" t="str">
        <f>IFERROR(VLOOKUP(I2794,material!A:D,4,0),"")</f>
        <v/>
      </c>
      <c r="N2794" s="14" t="str">
        <f t="shared" si="1"/>
        <v/>
      </c>
      <c r="O2794" s="15" t="str">
        <f>IFERROR(VLOOKUP(I2794,material!A:D,2,0),"")</f>
        <v/>
      </c>
    </row>
    <row r="2795">
      <c r="A2795" s="6"/>
      <c r="B2795" s="7"/>
      <c r="C2795" s="8" t="str">
        <f t="array" ref="C2795">IFERROR(INDEX(atlas!H:H,MATCH(A2795,atlas!C:C,0)),"")</f>
        <v/>
      </c>
      <c r="D2795" s="8" t="str">
        <f t="array" ref="D2795">IFERROR(INDEX(atlas!D:D,MATCH(A2795,atlas!C:C,0)),"")</f>
        <v/>
      </c>
      <c r="E2795" s="8" t="str">
        <f t="array" ref="E2795">IFERROR(INDEX(atlas!F:F,MATCH(A2795,atlas!C:C,0)),"")</f>
        <v/>
      </c>
      <c r="F2795" s="9"/>
      <c r="G2795" s="10"/>
      <c r="H2795" s="11"/>
      <c r="I2795" s="12" t="str">
        <f t="array" ref="I2795">IFERROR(INDEX(atlas!B:B,MATCH(A2795,atlas!C:C,0)),"")</f>
        <v/>
      </c>
      <c r="J2795" s="8" t="str">
        <f>IFERROR(VLOOKUP(F2795,tecnica!A:B,2,0),"")</f>
        <v/>
      </c>
      <c r="K2795" s="8" t="str">
        <f>IFERROR(VLOOKUP(J2795,tecnica!B:C,2,0),"")</f>
        <v/>
      </c>
      <c r="L2795" s="13"/>
      <c r="M2795" s="14" t="str">
        <f>IFERROR(VLOOKUP(I2795,material!A:D,4,0),"")</f>
        <v/>
      </c>
      <c r="N2795" s="14" t="str">
        <f t="shared" si="1"/>
        <v/>
      </c>
      <c r="O2795" s="15" t="str">
        <f>IFERROR(VLOOKUP(I2795,material!A:D,2,0),"")</f>
        <v/>
      </c>
    </row>
    <row r="2796">
      <c r="A2796" s="6"/>
      <c r="B2796" s="7"/>
      <c r="C2796" s="8" t="str">
        <f t="array" ref="C2796">IFERROR(INDEX(atlas!H:H,MATCH(A2796,atlas!C:C,0)),"")</f>
        <v/>
      </c>
      <c r="D2796" s="8" t="str">
        <f t="array" ref="D2796">IFERROR(INDEX(atlas!D:D,MATCH(A2796,atlas!C:C,0)),"")</f>
        <v/>
      </c>
      <c r="E2796" s="8" t="str">
        <f t="array" ref="E2796">IFERROR(INDEX(atlas!F:F,MATCH(A2796,atlas!C:C,0)),"")</f>
        <v/>
      </c>
      <c r="F2796" s="9"/>
      <c r="G2796" s="10"/>
      <c r="H2796" s="11"/>
      <c r="I2796" s="12" t="str">
        <f t="array" ref="I2796">IFERROR(INDEX(atlas!B:B,MATCH(A2796,atlas!C:C,0)),"")</f>
        <v/>
      </c>
      <c r="J2796" s="8" t="str">
        <f>IFERROR(VLOOKUP(F2796,tecnica!A:B,2,0),"")</f>
        <v/>
      </c>
      <c r="K2796" s="8" t="str">
        <f>IFERROR(VLOOKUP(J2796,tecnica!B:C,2,0),"")</f>
        <v/>
      </c>
      <c r="L2796" s="13"/>
      <c r="M2796" s="14" t="str">
        <f>IFERROR(VLOOKUP(I2796,material!A:D,4,0),"")</f>
        <v/>
      </c>
      <c r="N2796" s="14" t="str">
        <f t="shared" si="1"/>
        <v/>
      </c>
      <c r="O2796" s="15" t="str">
        <f>IFERROR(VLOOKUP(I2796,material!A:D,2,0),"")</f>
        <v/>
      </c>
    </row>
    <row r="2797">
      <c r="A2797" s="6"/>
      <c r="B2797" s="7"/>
      <c r="C2797" s="8" t="str">
        <f t="array" ref="C2797">IFERROR(INDEX(atlas!H:H,MATCH(A2797,atlas!C:C,0)),"")</f>
        <v/>
      </c>
      <c r="D2797" s="8" t="str">
        <f t="array" ref="D2797">IFERROR(INDEX(atlas!D:D,MATCH(A2797,atlas!C:C,0)),"")</f>
        <v/>
      </c>
      <c r="E2797" s="8" t="str">
        <f t="array" ref="E2797">IFERROR(INDEX(atlas!F:F,MATCH(A2797,atlas!C:C,0)),"")</f>
        <v/>
      </c>
      <c r="F2797" s="9"/>
      <c r="G2797" s="10"/>
      <c r="H2797" s="11"/>
      <c r="I2797" s="12" t="str">
        <f t="array" ref="I2797">IFERROR(INDEX(atlas!B:B,MATCH(A2797,atlas!C:C,0)),"")</f>
        <v/>
      </c>
      <c r="J2797" s="8" t="str">
        <f>IFERROR(VLOOKUP(F2797,tecnica!A:B,2,0),"")</f>
        <v/>
      </c>
      <c r="K2797" s="8" t="str">
        <f>IFERROR(VLOOKUP(J2797,tecnica!B:C,2,0),"")</f>
        <v/>
      </c>
      <c r="L2797" s="13"/>
      <c r="M2797" s="14" t="str">
        <f>IFERROR(VLOOKUP(I2797,material!A:D,4,0),"")</f>
        <v/>
      </c>
      <c r="N2797" s="14" t="str">
        <f t="shared" si="1"/>
        <v/>
      </c>
      <c r="O2797" s="15" t="str">
        <f>IFERROR(VLOOKUP(I2797,material!A:D,2,0),"")</f>
        <v/>
      </c>
    </row>
    <row r="2798">
      <c r="A2798" s="6"/>
      <c r="B2798" s="7"/>
      <c r="C2798" s="8" t="str">
        <f t="array" ref="C2798">IFERROR(INDEX(atlas!H:H,MATCH(A2798,atlas!C:C,0)),"")</f>
        <v/>
      </c>
      <c r="D2798" s="8" t="str">
        <f t="array" ref="D2798">IFERROR(INDEX(atlas!D:D,MATCH(A2798,atlas!C:C,0)),"")</f>
        <v/>
      </c>
      <c r="E2798" s="8" t="str">
        <f t="array" ref="E2798">IFERROR(INDEX(atlas!F:F,MATCH(A2798,atlas!C:C,0)),"")</f>
        <v/>
      </c>
      <c r="F2798" s="9"/>
      <c r="G2798" s="10"/>
      <c r="H2798" s="11"/>
      <c r="I2798" s="12" t="str">
        <f t="array" ref="I2798">IFERROR(INDEX(atlas!B:B,MATCH(A2798,atlas!C:C,0)),"")</f>
        <v/>
      </c>
      <c r="J2798" s="8" t="str">
        <f>IFERROR(VLOOKUP(F2798,tecnica!A:B,2,0),"")</f>
        <v/>
      </c>
      <c r="K2798" s="8" t="str">
        <f>IFERROR(VLOOKUP(J2798,tecnica!B:C,2,0),"")</f>
        <v/>
      </c>
      <c r="L2798" s="13"/>
      <c r="M2798" s="14" t="str">
        <f>IFERROR(VLOOKUP(I2798,material!A:D,4,0),"")</f>
        <v/>
      </c>
      <c r="N2798" s="14" t="str">
        <f t="shared" si="1"/>
        <v/>
      </c>
      <c r="O2798" s="15" t="str">
        <f>IFERROR(VLOOKUP(I2798,material!A:D,2,0),"")</f>
        <v/>
      </c>
    </row>
    <row r="2799">
      <c r="A2799" s="6"/>
      <c r="B2799" s="7"/>
      <c r="C2799" s="8" t="str">
        <f t="array" ref="C2799">IFERROR(INDEX(atlas!H:H,MATCH(A2799,atlas!C:C,0)),"")</f>
        <v/>
      </c>
      <c r="D2799" s="8" t="str">
        <f t="array" ref="D2799">IFERROR(INDEX(atlas!D:D,MATCH(A2799,atlas!C:C,0)),"")</f>
        <v/>
      </c>
      <c r="E2799" s="8" t="str">
        <f t="array" ref="E2799">IFERROR(INDEX(atlas!F:F,MATCH(A2799,atlas!C:C,0)),"")</f>
        <v/>
      </c>
      <c r="F2799" s="9"/>
      <c r="G2799" s="10"/>
      <c r="H2799" s="11"/>
      <c r="I2799" s="12" t="str">
        <f t="array" ref="I2799">IFERROR(INDEX(atlas!B:B,MATCH(A2799,atlas!C:C,0)),"")</f>
        <v/>
      </c>
      <c r="J2799" s="8" t="str">
        <f>IFERROR(VLOOKUP(F2799,tecnica!A:B,2,0),"")</f>
        <v/>
      </c>
      <c r="K2799" s="8" t="str">
        <f>IFERROR(VLOOKUP(J2799,tecnica!B:C,2,0),"")</f>
        <v/>
      </c>
      <c r="L2799" s="13"/>
      <c r="M2799" s="14" t="str">
        <f>IFERROR(VLOOKUP(I2799,material!A:D,4,0),"")</f>
        <v/>
      </c>
      <c r="N2799" s="14" t="str">
        <f t="shared" si="1"/>
        <v/>
      </c>
      <c r="O2799" s="15" t="str">
        <f>IFERROR(VLOOKUP(I2799,material!A:D,2,0),"")</f>
        <v/>
      </c>
    </row>
    <row r="2800">
      <c r="A2800" s="6"/>
      <c r="B2800" s="7"/>
      <c r="C2800" s="8" t="str">
        <f t="array" ref="C2800">IFERROR(INDEX(atlas!H:H,MATCH(A2800,atlas!C:C,0)),"")</f>
        <v/>
      </c>
      <c r="D2800" s="8" t="str">
        <f t="array" ref="D2800">IFERROR(INDEX(atlas!D:D,MATCH(A2800,atlas!C:C,0)),"")</f>
        <v/>
      </c>
      <c r="E2800" s="8" t="str">
        <f t="array" ref="E2800">IFERROR(INDEX(atlas!F:F,MATCH(A2800,atlas!C:C,0)),"")</f>
        <v/>
      </c>
      <c r="F2800" s="9"/>
      <c r="G2800" s="10"/>
      <c r="H2800" s="11"/>
      <c r="I2800" s="12" t="str">
        <f t="array" ref="I2800">IFERROR(INDEX(atlas!B:B,MATCH(A2800,atlas!C:C,0)),"")</f>
        <v/>
      </c>
      <c r="J2800" s="8" t="str">
        <f>IFERROR(VLOOKUP(F2800,tecnica!A:B,2,0),"")</f>
        <v/>
      </c>
      <c r="K2800" s="8" t="str">
        <f>IFERROR(VLOOKUP(J2800,tecnica!B:C,2,0),"")</f>
        <v/>
      </c>
      <c r="L2800" s="13"/>
      <c r="M2800" s="14" t="str">
        <f>IFERROR(VLOOKUP(I2800,material!A:D,4,0),"")</f>
        <v/>
      </c>
      <c r="N2800" s="14" t="str">
        <f t="shared" si="1"/>
        <v/>
      </c>
      <c r="O2800" s="15" t="str">
        <f>IFERROR(VLOOKUP(I2800,material!A:D,2,0),"")</f>
        <v/>
      </c>
    </row>
    <row r="2801">
      <c r="A2801" s="6"/>
      <c r="B2801" s="7"/>
      <c r="C2801" s="8" t="str">
        <f t="array" ref="C2801">IFERROR(INDEX(atlas!H:H,MATCH(A2801,atlas!C:C,0)),"")</f>
        <v/>
      </c>
      <c r="D2801" s="8" t="str">
        <f t="array" ref="D2801">IFERROR(INDEX(atlas!D:D,MATCH(A2801,atlas!C:C,0)),"")</f>
        <v/>
      </c>
      <c r="E2801" s="8" t="str">
        <f t="array" ref="E2801">IFERROR(INDEX(atlas!F:F,MATCH(A2801,atlas!C:C,0)),"")</f>
        <v/>
      </c>
      <c r="F2801" s="9"/>
      <c r="G2801" s="10"/>
      <c r="H2801" s="11"/>
      <c r="I2801" s="12" t="str">
        <f t="array" ref="I2801">IFERROR(INDEX(atlas!B:B,MATCH(A2801,atlas!C:C,0)),"")</f>
        <v/>
      </c>
      <c r="J2801" s="8" t="str">
        <f>IFERROR(VLOOKUP(F2801,tecnica!A:B,2,0),"")</f>
        <v/>
      </c>
      <c r="K2801" s="8" t="str">
        <f>IFERROR(VLOOKUP(J2801,tecnica!B:C,2,0),"")</f>
        <v/>
      </c>
      <c r="L2801" s="13"/>
      <c r="M2801" s="14" t="str">
        <f>IFERROR(VLOOKUP(I2801,material!A:D,4,0),"")</f>
        <v/>
      </c>
      <c r="N2801" s="14" t="str">
        <f t="shared" si="1"/>
        <v/>
      </c>
      <c r="O2801" s="15" t="str">
        <f>IFERROR(VLOOKUP(I2801,material!A:D,2,0),"")</f>
        <v/>
      </c>
    </row>
    <row r="2802">
      <c r="A2802" s="6"/>
      <c r="B2802" s="7"/>
      <c r="C2802" s="8" t="str">
        <f t="array" ref="C2802">IFERROR(INDEX(atlas!H:H,MATCH(A2802,atlas!C:C,0)),"")</f>
        <v/>
      </c>
      <c r="D2802" s="8" t="str">
        <f t="array" ref="D2802">IFERROR(INDEX(atlas!D:D,MATCH(A2802,atlas!C:C,0)),"")</f>
        <v/>
      </c>
      <c r="E2802" s="8" t="str">
        <f t="array" ref="E2802">IFERROR(INDEX(atlas!F:F,MATCH(A2802,atlas!C:C,0)),"")</f>
        <v/>
      </c>
      <c r="F2802" s="9"/>
      <c r="G2802" s="10"/>
      <c r="H2802" s="11"/>
      <c r="I2802" s="12" t="str">
        <f t="array" ref="I2802">IFERROR(INDEX(atlas!B:B,MATCH(A2802,atlas!C:C,0)),"")</f>
        <v/>
      </c>
      <c r="J2802" s="8" t="str">
        <f>IFERROR(VLOOKUP(F2802,tecnica!A:B,2,0),"")</f>
        <v/>
      </c>
      <c r="K2802" s="8" t="str">
        <f>IFERROR(VLOOKUP(J2802,tecnica!B:C,2,0),"")</f>
        <v/>
      </c>
      <c r="L2802" s="13"/>
      <c r="M2802" s="14" t="str">
        <f>IFERROR(VLOOKUP(I2802,material!A:D,4,0),"")</f>
        <v/>
      </c>
      <c r="N2802" s="14" t="str">
        <f t="shared" si="1"/>
        <v/>
      </c>
      <c r="O2802" s="15" t="str">
        <f>IFERROR(VLOOKUP(I2802,material!A:D,2,0),"")</f>
        <v/>
      </c>
    </row>
    <row r="2803">
      <c r="A2803" s="6"/>
      <c r="B2803" s="7"/>
      <c r="C2803" s="8" t="str">
        <f t="array" ref="C2803">IFERROR(INDEX(atlas!H:H,MATCH(A2803,atlas!C:C,0)),"")</f>
        <v/>
      </c>
      <c r="D2803" s="8" t="str">
        <f t="array" ref="D2803">IFERROR(INDEX(atlas!D:D,MATCH(A2803,atlas!C:C,0)),"")</f>
        <v/>
      </c>
      <c r="E2803" s="8" t="str">
        <f t="array" ref="E2803">IFERROR(INDEX(atlas!F:F,MATCH(A2803,atlas!C:C,0)),"")</f>
        <v/>
      </c>
      <c r="F2803" s="9"/>
      <c r="G2803" s="10"/>
      <c r="H2803" s="11"/>
      <c r="I2803" s="12" t="str">
        <f t="array" ref="I2803">IFERROR(INDEX(atlas!B:B,MATCH(A2803,atlas!C:C,0)),"")</f>
        <v/>
      </c>
      <c r="J2803" s="8" t="str">
        <f>IFERROR(VLOOKUP(F2803,tecnica!A:B,2,0),"")</f>
        <v/>
      </c>
      <c r="K2803" s="8" t="str">
        <f>IFERROR(VLOOKUP(J2803,tecnica!B:C,2,0),"")</f>
        <v/>
      </c>
      <c r="L2803" s="13"/>
      <c r="M2803" s="14" t="str">
        <f>IFERROR(VLOOKUP(I2803,material!A:D,4,0),"")</f>
        <v/>
      </c>
      <c r="N2803" s="14" t="str">
        <f t="shared" si="1"/>
        <v/>
      </c>
      <c r="O2803" s="15" t="str">
        <f>IFERROR(VLOOKUP(I2803,material!A:D,2,0),"")</f>
        <v/>
      </c>
    </row>
    <row r="2804">
      <c r="A2804" s="6"/>
      <c r="B2804" s="7"/>
      <c r="C2804" s="8" t="str">
        <f t="array" ref="C2804">IFERROR(INDEX(atlas!H:H,MATCH(A2804,atlas!C:C,0)),"")</f>
        <v/>
      </c>
      <c r="D2804" s="8" t="str">
        <f t="array" ref="D2804">IFERROR(INDEX(atlas!D:D,MATCH(A2804,atlas!C:C,0)),"")</f>
        <v/>
      </c>
      <c r="E2804" s="8" t="str">
        <f t="array" ref="E2804">IFERROR(INDEX(atlas!F:F,MATCH(A2804,atlas!C:C,0)),"")</f>
        <v/>
      </c>
      <c r="F2804" s="9"/>
      <c r="G2804" s="10"/>
      <c r="H2804" s="11"/>
      <c r="I2804" s="12" t="str">
        <f t="array" ref="I2804">IFERROR(INDEX(atlas!B:B,MATCH(A2804,atlas!C:C,0)),"")</f>
        <v/>
      </c>
      <c r="J2804" s="8" t="str">
        <f>IFERROR(VLOOKUP(F2804,tecnica!A:B,2,0),"")</f>
        <v/>
      </c>
      <c r="K2804" s="8" t="str">
        <f>IFERROR(VLOOKUP(J2804,tecnica!B:C,2,0),"")</f>
        <v/>
      </c>
      <c r="L2804" s="13"/>
      <c r="M2804" s="14" t="str">
        <f>IFERROR(VLOOKUP(I2804,material!A:D,4,0),"")</f>
        <v/>
      </c>
      <c r="N2804" s="14" t="str">
        <f t="shared" si="1"/>
        <v/>
      </c>
      <c r="O2804" s="15" t="str">
        <f>IFERROR(VLOOKUP(I2804,material!A:D,2,0),"")</f>
        <v/>
      </c>
    </row>
    <row r="2805">
      <c r="A2805" s="6"/>
      <c r="B2805" s="7"/>
      <c r="C2805" s="8" t="str">
        <f t="array" ref="C2805">IFERROR(INDEX(atlas!H:H,MATCH(A2805,atlas!C:C,0)),"")</f>
        <v/>
      </c>
      <c r="D2805" s="8" t="str">
        <f t="array" ref="D2805">IFERROR(INDEX(atlas!D:D,MATCH(A2805,atlas!C:C,0)),"")</f>
        <v/>
      </c>
      <c r="E2805" s="8" t="str">
        <f t="array" ref="E2805">IFERROR(INDEX(atlas!F:F,MATCH(A2805,atlas!C:C,0)),"")</f>
        <v/>
      </c>
      <c r="F2805" s="9"/>
      <c r="G2805" s="10"/>
      <c r="H2805" s="11"/>
      <c r="I2805" s="12" t="str">
        <f t="array" ref="I2805">IFERROR(INDEX(atlas!B:B,MATCH(A2805,atlas!C:C,0)),"")</f>
        <v/>
      </c>
      <c r="J2805" s="8" t="str">
        <f>IFERROR(VLOOKUP(F2805,tecnica!A:B,2,0),"")</f>
        <v/>
      </c>
      <c r="K2805" s="8" t="str">
        <f>IFERROR(VLOOKUP(J2805,tecnica!B:C,2,0),"")</f>
        <v/>
      </c>
      <c r="L2805" s="13"/>
      <c r="M2805" s="14" t="str">
        <f>IFERROR(VLOOKUP(I2805,material!A:D,4,0),"")</f>
        <v/>
      </c>
      <c r="N2805" s="14" t="str">
        <f t="shared" si="1"/>
        <v/>
      </c>
      <c r="O2805" s="15" t="str">
        <f>IFERROR(VLOOKUP(I2805,material!A:D,2,0),"")</f>
        <v/>
      </c>
    </row>
    <row r="2806">
      <c r="A2806" s="6"/>
      <c r="B2806" s="7"/>
      <c r="C2806" s="8" t="str">
        <f t="array" ref="C2806">IFERROR(INDEX(atlas!H:H,MATCH(A2806,atlas!C:C,0)),"")</f>
        <v/>
      </c>
      <c r="D2806" s="8" t="str">
        <f t="array" ref="D2806">IFERROR(INDEX(atlas!D:D,MATCH(A2806,atlas!C:C,0)),"")</f>
        <v/>
      </c>
      <c r="E2806" s="8" t="str">
        <f t="array" ref="E2806">IFERROR(INDEX(atlas!F:F,MATCH(A2806,atlas!C:C,0)),"")</f>
        <v/>
      </c>
      <c r="F2806" s="9"/>
      <c r="G2806" s="10"/>
      <c r="H2806" s="11"/>
      <c r="I2806" s="12" t="str">
        <f t="array" ref="I2806">IFERROR(INDEX(atlas!B:B,MATCH(A2806,atlas!C:C,0)),"")</f>
        <v/>
      </c>
      <c r="J2806" s="8" t="str">
        <f>IFERROR(VLOOKUP(F2806,tecnica!A:B,2,0),"")</f>
        <v/>
      </c>
      <c r="K2806" s="8" t="str">
        <f>IFERROR(VLOOKUP(J2806,tecnica!B:C,2,0),"")</f>
        <v/>
      </c>
      <c r="L2806" s="13"/>
      <c r="M2806" s="14" t="str">
        <f>IFERROR(VLOOKUP(I2806,material!A:D,4,0),"")</f>
        <v/>
      </c>
      <c r="N2806" s="14" t="str">
        <f t="shared" si="1"/>
        <v/>
      </c>
      <c r="O2806" s="15" t="str">
        <f>IFERROR(VLOOKUP(I2806,material!A:D,2,0),"")</f>
        <v/>
      </c>
    </row>
    <row r="2807">
      <c r="A2807" s="6"/>
      <c r="B2807" s="7"/>
      <c r="C2807" s="8" t="str">
        <f t="array" ref="C2807">IFERROR(INDEX(atlas!H:H,MATCH(A2807,atlas!C:C,0)),"")</f>
        <v/>
      </c>
      <c r="D2807" s="8" t="str">
        <f t="array" ref="D2807">IFERROR(INDEX(atlas!D:D,MATCH(A2807,atlas!C:C,0)),"")</f>
        <v/>
      </c>
      <c r="E2807" s="8" t="str">
        <f t="array" ref="E2807">IFERROR(INDEX(atlas!F:F,MATCH(A2807,atlas!C:C,0)),"")</f>
        <v/>
      </c>
      <c r="F2807" s="9"/>
      <c r="G2807" s="10"/>
      <c r="H2807" s="11"/>
      <c r="I2807" s="12" t="str">
        <f t="array" ref="I2807">IFERROR(INDEX(atlas!B:B,MATCH(A2807,atlas!C:C,0)),"")</f>
        <v/>
      </c>
      <c r="J2807" s="8" t="str">
        <f>IFERROR(VLOOKUP(F2807,tecnica!A:B,2,0),"")</f>
        <v/>
      </c>
      <c r="K2807" s="8" t="str">
        <f>IFERROR(VLOOKUP(J2807,tecnica!B:C,2,0),"")</f>
        <v/>
      </c>
      <c r="L2807" s="13"/>
      <c r="M2807" s="14" t="str">
        <f>IFERROR(VLOOKUP(I2807,material!A:D,4,0),"")</f>
        <v/>
      </c>
      <c r="N2807" s="14" t="str">
        <f t="shared" si="1"/>
        <v/>
      </c>
      <c r="O2807" s="15" t="str">
        <f>IFERROR(VLOOKUP(I2807,material!A:D,2,0),"")</f>
        <v/>
      </c>
    </row>
    <row r="2808">
      <c r="A2808" s="6"/>
      <c r="B2808" s="7"/>
      <c r="C2808" s="8" t="str">
        <f t="array" ref="C2808">IFERROR(INDEX(atlas!H:H,MATCH(A2808,atlas!C:C,0)),"")</f>
        <v/>
      </c>
      <c r="D2808" s="8" t="str">
        <f t="array" ref="D2808">IFERROR(INDEX(atlas!D:D,MATCH(A2808,atlas!C:C,0)),"")</f>
        <v/>
      </c>
      <c r="E2808" s="8" t="str">
        <f t="array" ref="E2808">IFERROR(INDEX(atlas!F:F,MATCH(A2808,atlas!C:C,0)),"")</f>
        <v/>
      </c>
      <c r="F2808" s="9"/>
      <c r="G2808" s="10"/>
      <c r="H2808" s="11"/>
      <c r="I2808" s="12" t="str">
        <f t="array" ref="I2808">IFERROR(INDEX(atlas!B:B,MATCH(A2808,atlas!C:C,0)),"")</f>
        <v/>
      </c>
      <c r="J2808" s="8" t="str">
        <f>IFERROR(VLOOKUP(F2808,tecnica!A:B,2,0),"")</f>
        <v/>
      </c>
      <c r="K2808" s="8" t="str">
        <f>IFERROR(VLOOKUP(J2808,tecnica!B:C,2,0),"")</f>
        <v/>
      </c>
      <c r="L2808" s="13"/>
      <c r="M2808" s="14" t="str">
        <f>IFERROR(VLOOKUP(I2808,material!A:D,4,0),"")</f>
        <v/>
      </c>
      <c r="N2808" s="14" t="str">
        <f t="shared" si="1"/>
        <v/>
      </c>
      <c r="O2808" s="15" t="str">
        <f>IFERROR(VLOOKUP(I2808,material!A:D,2,0),"")</f>
        <v/>
      </c>
    </row>
    <row r="2809">
      <c r="A2809" s="6"/>
      <c r="B2809" s="7"/>
      <c r="C2809" s="8" t="str">
        <f t="array" ref="C2809">IFERROR(INDEX(atlas!H:H,MATCH(A2809,atlas!C:C,0)),"")</f>
        <v/>
      </c>
      <c r="D2809" s="8" t="str">
        <f t="array" ref="D2809">IFERROR(INDEX(atlas!D:D,MATCH(A2809,atlas!C:C,0)),"")</f>
        <v/>
      </c>
      <c r="E2809" s="8" t="str">
        <f t="array" ref="E2809">IFERROR(INDEX(atlas!F:F,MATCH(A2809,atlas!C:C,0)),"")</f>
        <v/>
      </c>
      <c r="F2809" s="9"/>
      <c r="G2809" s="10"/>
      <c r="H2809" s="11"/>
      <c r="I2809" s="12" t="str">
        <f t="array" ref="I2809">IFERROR(INDEX(atlas!B:B,MATCH(A2809,atlas!C:C,0)),"")</f>
        <v/>
      </c>
      <c r="J2809" s="8" t="str">
        <f>IFERROR(VLOOKUP(F2809,tecnica!A:B,2,0),"")</f>
        <v/>
      </c>
      <c r="K2809" s="8" t="str">
        <f>IFERROR(VLOOKUP(J2809,tecnica!B:C,2,0),"")</f>
        <v/>
      </c>
      <c r="L2809" s="13"/>
      <c r="M2809" s="14" t="str">
        <f>IFERROR(VLOOKUP(I2809,material!A:D,4,0),"")</f>
        <v/>
      </c>
      <c r="N2809" s="14" t="str">
        <f t="shared" si="1"/>
        <v/>
      </c>
      <c r="O2809" s="15" t="str">
        <f>IFERROR(VLOOKUP(I2809,material!A:D,2,0),"")</f>
        <v/>
      </c>
    </row>
    <row r="2810">
      <c r="A2810" s="6"/>
      <c r="B2810" s="7"/>
      <c r="C2810" s="8" t="str">
        <f t="array" ref="C2810">IFERROR(INDEX(atlas!H:H,MATCH(A2810,atlas!C:C,0)),"")</f>
        <v/>
      </c>
      <c r="D2810" s="8" t="str">
        <f t="array" ref="D2810">IFERROR(INDEX(atlas!D:D,MATCH(A2810,atlas!C:C,0)),"")</f>
        <v/>
      </c>
      <c r="E2810" s="8" t="str">
        <f t="array" ref="E2810">IFERROR(INDEX(atlas!F:F,MATCH(A2810,atlas!C:C,0)),"")</f>
        <v/>
      </c>
      <c r="F2810" s="9"/>
      <c r="G2810" s="10"/>
      <c r="H2810" s="11"/>
      <c r="I2810" s="12" t="str">
        <f t="array" ref="I2810">IFERROR(INDEX(atlas!B:B,MATCH(A2810,atlas!C:C,0)),"")</f>
        <v/>
      </c>
      <c r="J2810" s="8" t="str">
        <f>IFERROR(VLOOKUP(F2810,tecnica!A:B,2,0),"")</f>
        <v/>
      </c>
      <c r="K2810" s="8" t="str">
        <f>IFERROR(VLOOKUP(J2810,tecnica!B:C,2,0),"")</f>
        <v/>
      </c>
      <c r="L2810" s="13"/>
      <c r="M2810" s="14" t="str">
        <f>IFERROR(VLOOKUP(I2810,material!A:D,4,0),"")</f>
        <v/>
      </c>
      <c r="N2810" s="14" t="str">
        <f t="shared" si="1"/>
        <v/>
      </c>
      <c r="O2810" s="15" t="str">
        <f>IFERROR(VLOOKUP(I2810,material!A:D,2,0),"")</f>
        <v/>
      </c>
    </row>
    <row r="2811">
      <c r="A2811" s="6"/>
      <c r="B2811" s="7"/>
      <c r="C2811" s="8" t="str">
        <f t="array" ref="C2811">IFERROR(INDEX(atlas!H:H,MATCH(A2811,atlas!C:C,0)),"")</f>
        <v/>
      </c>
      <c r="D2811" s="8" t="str">
        <f t="array" ref="D2811">IFERROR(INDEX(atlas!D:D,MATCH(A2811,atlas!C:C,0)),"")</f>
        <v/>
      </c>
      <c r="E2811" s="8" t="str">
        <f t="array" ref="E2811">IFERROR(INDEX(atlas!F:F,MATCH(A2811,atlas!C:C,0)),"")</f>
        <v/>
      </c>
      <c r="F2811" s="9"/>
      <c r="G2811" s="10"/>
      <c r="H2811" s="11"/>
      <c r="I2811" s="12" t="str">
        <f t="array" ref="I2811">IFERROR(INDEX(atlas!B:B,MATCH(A2811,atlas!C:C,0)),"")</f>
        <v/>
      </c>
      <c r="J2811" s="8" t="str">
        <f>IFERROR(VLOOKUP(F2811,tecnica!A:B,2,0),"")</f>
        <v/>
      </c>
      <c r="K2811" s="8" t="str">
        <f>IFERROR(VLOOKUP(J2811,tecnica!B:C,2,0),"")</f>
        <v/>
      </c>
      <c r="L2811" s="13"/>
      <c r="M2811" s="14" t="str">
        <f>IFERROR(VLOOKUP(I2811,material!A:D,4,0),"")</f>
        <v/>
      </c>
      <c r="N2811" s="14" t="str">
        <f t="shared" si="1"/>
        <v/>
      </c>
      <c r="O2811" s="15" t="str">
        <f>IFERROR(VLOOKUP(I2811,material!A:D,2,0),"")</f>
        <v/>
      </c>
    </row>
    <row r="2812">
      <c r="A2812" s="6"/>
      <c r="B2812" s="7"/>
      <c r="C2812" s="8" t="str">
        <f t="array" ref="C2812">IFERROR(INDEX(atlas!H:H,MATCH(A2812,atlas!C:C,0)),"")</f>
        <v/>
      </c>
      <c r="D2812" s="8" t="str">
        <f t="array" ref="D2812">IFERROR(INDEX(atlas!D:D,MATCH(A2812,atlas!C:C,0)),"")</f>
        <v/>
      </c>
      <c r="E2812" s="8" t="str">
        <f t="array" ref="E2812">IFERROR(INDEX(atlas!F:F,MATCH(A2812,atlas!C:C,0)),"")</f>
        <v/>
      </c>
      <c r="F2812" s="9"/>
      <c r="G2812" s="10"/>
      <c r="H2812" s="11"/>
      <c r="I2812" s="12" t="str">
        <f t="array" ref="I2812">IFERROR(INDEX(atlas!B:B,MATCH(A2812,atlas!C:C,0)),"")</f>
        <v/>
      </c>
      <c r="J2812" s="8" t="str">
        <f>IFERROR(VLOOKUP(F2812,tecnica!A:B,2,0),"")</f>
        <v/>
      </c>
      <c r="K2812" s="8" t="str">
        <f>IFERROR(VLOOKUP(J2812,tecnica!B:C,2,0),"")</f>
        <v/>
      </c>
      <c r="L2812" s="13"/>
      <c r="M2812" s="14" t="str">
        <f>IFERROR(VLOOKUP(I2812,material!A:D,4,0),"")</f>
        <v/>
      </c>
      <c r="N2812" s="14" t="str">
        <f t="shared" si="1"/>
        <v/>
      </c>
      <c r="O2812" s="15" t="str">
        <f>IFERROR(VLOOKUP(I2812,material!A:D,2,0),"")</f>
        <v/>
      </c>
    </row>
    <row r="2813">
      <c r="A2813" s="6"/>
      <c r="B2813" s="7"/>
      <c r="C2813" s="8" t="str">
        <f t="array" ref="C2813">IFERROR(INDEX(atlas!H:H,MATCH(A2813,atlas!C:C,0)),"")</f>
        <v/>
      </c>
      <c r="D2813" s="8" t="str">
        <f t="array" ref="D2813">IFERROR(INDEX(atlas!D:D,MATCH(A2813,atlas!C:C,0)),"")</f>
        <v/>
      </c>
      <c r="E2813" s="8" t="str">
        <f t="array" ref="E2813">IFERROR(INDEX(atlas!F:F,MATCH(A2813,atlas!C:C,0)),"")</f>
        <v/>
      </c>
      <c r="F2813" s="9"/>
      <c r="G2813" s="10"/>
      <c r="H2813" s="11"/>
      <c r="I2813" s="12" t="str">
        <f t="array" ref="I2813">IFERROR(INDEX(atlas!B:B,MATCH(A2813,atlas!C:C,0)),"")</f>
        <v/>
      </c>
      <c r="J2813" s="8" t="str">
        <f>IFERROR(VLOOKUP(F2813,tecnica!A:B,2,0),"")</f>
        <v/>
      </c>
      <c r="K2813" s="8" t="str">
        <f>IFERROR(VLOOKUP(J2813,tecnica!B:C,2,0),"")</f>
        <v/>
      </c>
      <c r="L2813" s="13"/>
      <c r="M2813" s="14" t="str">
        <f>IFERROR(VLOOKUP(I2813,material!A:D,4,0),"")</f>
        <v/>
      </c>
      <c r="N2813" s="14" t="str">
        <f t="shared" si="1"/>
        <v/>
      </c>
      <c r="O2813" s="15" t="str">
        <f>IFERROR(VLOOKUP(I2813,material!A:D,2,0),"")</f>
        <v/>
      </c>
    </row>
    <row r="2814">
      <c r="A2814" s="6"/>
      <c r="B2814" s="7"/>
      <c r="C2814" s="8" t="str">
        <f t="array" ref="C2814">IFERROR(INDEX(atlas!H:H,MATCH(A2814,atlas!C:C,0)),"")</f>
        <v/>
      </c>
      <c r="D2814" s="8" t="str">
        <f t="array" ref="D2814">IFERROR(INDEX(atlas!D:D,MATCH(A2814,atlas!C:C,0)),"")</f>
        <v/>
      </c>
      <c r="E2814" s="8" t="str">
        <f t="array" ref="E2814">IFERROR(INDEX(atlas!F:F,MATCH(A2814,atlas!C:C,0)),"")</f>
        <v/>
      </c>
      <c r="F2814" s="9"/>
      <c r="G2814" s="10"/>
      <c r="H2814" s="11"/>
      <c r="I2814" s="12" t="str">
        <f t="array" ref="I2814">IFERROR(INDEX(atlas!B:B,MATCH(A2814,atlas!C:C,0)),"")</f>
        <v/>
      </c>
      <c r="J2814" s="8" t="str">
        <f>IFERROR(VLOOKUP(F2814,tecnica!A:B,2,0),"")</f>
        <v/>
      </c>
      <c r="K2814" s="8" t="str">
        <f>IFERROR(VLOOKUP(J2814,tecnica!B:C,2,0),"")</f>
        <v/>
      </c>
      <c r="L2814" s="13"/>
      <c r="M2814" s="14" t="str">
        <f>IFERROR(VLOOKUP(I2814,material!A:D,4,0),"")</f>
        <v/>
      </c>
      <c r="N2814" s="14" t="str">
        <f t="shared" si="1"/>
        <v/>
      </c>
      <c r="O2814" s="15" t="str">
        <f>IFERROR(VLOOKUP(I2814,material!A:D,2,0),"")</f>
        <v/>
      </c>
    </row>
    <row r="2815">
      <c r="A2815" s="6"/>
      <c r="B2815" s="7"/>
      <c r="C2815" s="8" t="str">
        <f t="array" ref="C2815">IFERROR(INDEX(atlas!H:H,MATCH(A2815,atlas!C:C,0)),"")</f>
        <v/>
      </c>
      <c r="D2815" s="8" t="str">
        <f t="array" ref="D2815">IFERROR(INDEX(atlas!D:D,MATCH(A2815,atlas!C:C,0)),"")</f>
        <v/>
      </c>
      <c r="E2815" s="8" t="str">
        <f t="array" ref="E2815">IFERROR(INDEX(atlas!F:F,MATCH(A2815,atlas!C:C,0)),"")</f>
        <v/>
      </c>
      <c r="F2815" s="9"/>
      <c r="G2815" s="10"/>
      <c r="H2815" s="11"/>
      <c r="I2815" s="12" t="str">
        <f t="array" ref="I2815">IFERROR(INDEX(atlas!B:B,MATCH(A2815,atlas!C:C,0)),"")</f>
        <v/>
      </c>
      <c r="J2815" s="8" t="str">
        <f>IFERROR(VLOOKUP(F2815,tecnica!A:B,2,0),"")</f>
        <v/>
      </c>
      <c r="K2815" s="8" t="str">
        <f>IFERROR(VLOOKUP(J2815,tecnica!B:C,2,0),"")</f>
        <v/>
      </c>
      <c r="L2815" s="13"/>
      <c r="M2815" s="14" t="str">
        <f>IFERROR(VLOOKUP(I2815,material!A:D,4,0),"")</f>
        <v/>
      </c>
      <c r="N2815" s="14" t="str">
        <f t="shared" si="1"/>
        <v/>
      </c>
      <c r="O2815" s="15" t="str">
        <f>IFERROR(VLOOKUP(I2815,material!A:D,2,0),"")</f>
        <v/>
      </c>
    </row>
    <row r="2816">
      <c r="A2816" s="6"/>
      <c r="B2816" s="7"/>
      <c r="C2816" s="8" t="str">
        <f t="array" ref="C2816">IFERROR(INDEX(atlas!H:H,MATCH(A2816,atlas!C:C,0)),"")</f>
        <v/>
      </c>
      <c r="D2816" s="8" t="str">
        <f t="array" ref="D2816">IFERROR(INDEX(atlas!D:D,MATCH(A2816,atlas!C:C,0)),"")</f>
        <v/>
      </c>
      <c r="E2816" s="8" t="str">
        <f t="array" ref="E2816">IFERROR(INDEX(atlas!F:F,MATCH(A2816,atlas!C:C,0)),"")</f>
        <v/>
      </c>
      <c r="F2816" s="9"/>
      <c r="G2816" s="10"/>
      <c r="H2816" s="11"/>
      <c r="I2816" s="12" t="str">
        <f t="array" ref="I2816">IFERROR(INDEX(atlas!B:B,MATCH(A2816,atlas!C:C,0)),"")</f>
        <v/>
      </c>
      <c r="J2816" s="8" t="str">
        <f>IFERROR(VLOOKUP(F2816,tecnica!A:B,2,0),"")</f>
        <v/>
      </c>
      <c r="K2816" s="8" t="str">
        <f>IFERROR(VLOOKUP(J2816,tecnica!B:C,2,0),"")</f>
        <v/>
      </c>
      <c r="L2816" s="13"/>
      <c r="M2816" s="14" t="str">
        <f>IFERROR(VLOOKUP(I2816,material!A:D,4,0),"")</f>
        <v/>
      </c>
      <c r="N2816" s="14" t="str">
        <f t="shared" si="1"/>
        <v/>
      </c>
      <c r="O2816" s="15" t="str">
        <f>IFERROR(VLOOKUP(I2816,material!A:D,2,0),"")</f>
        <v/>
      </c>
    </row>
    <row r="2817">
      <c r="A2817" s="6"/>
      <c r="B2817" s="7"/>
      <c r="C2817" s="8" t="str">
        <f t="array" ref="C2817">IFERROR(INDEX(atlas!H:H,MATCH(A2817,atlas!C:C,0)),"")</f>
        <v/>
      </c>
      <c r="D2817" s="8" t="str">
        <f t="array" ref="D2817">IFERROR(INDEX(atlas!D:D,MATCH(A2817,atlas!C:C,0)),"")</f>
        <v/>
      </c>
      <c r="E2817" s="8" t="str">
        <f t="array" ref="E2817">IFERROR(INDEX(atlas!F:F,MATCH(A2817,atlas!C:C,0)),"")</f>
        <v/>
      </c>
      <c r="F2817" s="9"/>
      <c r="G2817" s="10"/>
      <c r="H2817" s="11"/>
      <c r="I2817" s="12" t="str">
        <f t="array" ref="I2817">IFERROR(INDEX(atlas!B:B,MATCH(A2817,atlas!C:C,0)),"")</f>
        <v/>
      </c>
      <c r="J2817" s="8" t="str">
        <f>IFERROR(VLOOKUP(F2817,tecnica!A:B,2,0),"")</f>
        <v/>
      </c>
      <c r="K2817" s="8" t="str">
        <f>IFERROR(VLOOKUP(J2817,tecnica!B:C,2,0),"")</f>
        <v/>
      </c>
      <c r="L2817" s="13"/>
      <c r="M2817" s="14" t="str">
        <f>IFERROR(VLOOKUP(I2817,material!A:D,4,0),"")</f>
        <v/>
      </c>
      <c r="N2817" s="14" t="str">
        <f t="shared" si="1"/>
        <v/>
      </c>
      <c r="O2817" s="15" t="str">
        <f>IFERROR(VLOOKUP(I2817,material!A:D,2,0),"")</f>
        <v/>
      </c>
    </row>
    <row r="2818">
      <c r="A2818" s="6"/>
      <c r="B2818" s="7"/>
      <c r="C2818" s="8" t="str">
        <f t="array" ref="C2818">IFERROR(INDEX(atlas!H:H,MATCH(A2818,atlas!C:C,0)),"")</f>
        <v/>
      </c>
      <c r="D2818" s="8" t="str">
        <f t="array" ref="D2818">IFERROR(INDEX(atlas!D:D,MATCH(A2818,atlas!C:C,0)),"")</f>
        <v/>
      </c>
      <c r="E2818" s="8" t="str">
        <f t="array" ref="E2818">IFERROR(INDEX(atlas!F:F,MATCH(A2818,atlas!C:C,0)),"")</f>
        <v/>
      </c>
      <c r="F2818" s="9"/>
      <c r="G2818" s="10"/>
      <c r="H2818" s="11"/>
      <c r="I2818" s="12" t="str">
        <f t="array" ref="I2818">IFERROR(INDEX(atlas!B:B,MATCH(A2818,atlas!C:C,0)),"")</f>
        <v/>
      </c>
      <c r="J2818" s="8" t="str">
        <f>IFERROR(VLOOKUP(F2818,tecnica!A:B,2,0),"")</f>
        <v/>
      </c>
      <c r="K2818" s="8" t="str">
        <f>IFERROR(VLOOKUP(J2818,tecnica!B:C,2,0),"")</f>
        <v/>
      </c>
      <c r="L2818" s="13"/>
      <c r="M2818" s="14" t="str">
        <f>IFERROR(VLOOKUP(I2818,material!A:D,4,0),"")</f>
        <v/>
      </c>
      <c r="N2818" s="14" t="str">
        <f t="shared" si="1"/>
        <v/>
      </c>
      <c r="O2818" s="15" t="str">
        <f>IFERROR(VLOOKUP(I2818,material!A:D,2,0),"")</f>
        <v/>
      </c>
    </row>
    <row r="2819">
      <c r="A2819" s="6"/>
      <c r="B2819" s="7"/>
      <c r="C2819" s="8" t="str">
        <f t="array" ref="C2819">IFERROR(INDEX(atlas!H:H,MATCH(A2819,atlas!C:C,0)),"")</f>
        <v/>
      </c>
      <c r="D2819" s="8" t="str">
        <f t="array" ref="D2819">IFERROR(INDEX(atlas!D:D,MATCH(A2819,atlas!C:C,0)),"")</f>
        <v/>
      </c>
      <c r="E2819" s="8" t="str">
        <f t="array" ref="E2819">IFERROR(INDEX(atlas!F:F,MATCH(A2819,atlas!C:C,0)),"")</f>
        <v/>
      </c>
      <c r="F2819" s="9"/>
      <c r="G2819" s="10"/>
      <c r="H2819" s="11"/>
      <c r="I2819" s="12" t="str">
        <f t="array" ref="I2819">IFERROR(INDEX(atlas!B:B,MATCH(A2819,atlas!C:C,0)),"")</f>
        <v/>
      </c>
      <c r="J2819" s="8" t="str">
        <f>IFERROR(VLOOKUP(F2819,tecnica!A:B,2,0),"")</f>
        <v/>
      </c>
      <c r="K2819" s="8" t="str">
        <f>IFERROR(VLOOKUP(J2819,tecnica!B:C,2,0),"")</f>
        <v/>
      </c>
      <c r="L2819" s="13"/>
      <c r="M2819" s="14" t="str">
        <f>IFERROR(VLOOKUP(I2819,material!A:D,4,0),"")</f>
        <v/>
      </c>
      <c r="N2819" s="14" t="str">
        <f t="shared" si="1"/>
        <v/>
      </c>
      <c r="O2819" s="15" t="str">
        <f>IFERROR(VLOOKUP(I2819,material!A:D,2,0),"")</f>
        <v/>
      </c>
    </row>
    <row r="2820">
      <c r="A2820" s="6"/>
      <c r="B2820" s="7"/>
      <c r="C2820" s="8" t="str">
        <f t="array" ref="C2820">IFERROR(INDEX(atlas!H:H,MATCH(A2820,atlas!C:C,0)),"")</f>
        <v/>
      </c>
      <c r="D2820" s="8" t="str">
        <f t="array" ref="D2820">IFERROR(INDEX(atlas!D:D,MATCH(A2820,atlas!C:C,0)),"")</f>
        <v/>
      </c>
      <c r="E2820" s="8" t="str">
        <f t="array" ref="E2820">IFERROR(INDEX(atlas!F:F,MATCH(A2820,atlas!C:C,0)),"")</f>
        <v/>
      </c>
      <c r="F2820" s="9"/>
      <c r="G2820" s="10"/>
      <c r="H2820" s="11"/>
      <c r="I2820" s="12" t="str">
        <f t="array" ref="I2820">IFERROR(INDEX(atlas!B:B,MATCH(A2820,atlas!C:C,0)),"")</f>
        <v/>
      </c>
      <c r="J2820" s="8" t="str">
        <f>IFERROR(VLOOKUP(F2820,tecnica!A:B,2,0),"")</f>
        <v/>
      </c>
      <c r="K2820" s="8" t="str">
        <f>IFERROR(VLOOKUP(J2820,tecnica!B:C,2,0),"")</f>
        <v/>
      </c>
      <c r="L2820" s="13"/>
      <c r="M2820" s="14" t="str">
        <f>IFERROR(VLOOKUP(I2820,material!A:D,4,0),"")</f>
        <v/>
      </c>
      <c r="N2820" s="14" t="str">
        <f t="shared" si="1"/>
        <v/>
      </c>
      <c r="O2820" s="15" t="str">
        <f>IFERROR(VLOOKUP(I2820,material!A:D,2,0),"")</f>
        <v/>
      </c>
    </row>
    <row r="2821">
      <c r="A2821" s="6"/>
      <c r="B2821" s="7"/>
      <c r="C2821" s="8" t="str">
        <f t="array" ref="C2821">IFERROR(INDEX(atlas!H:H,MATCH(A2821,atlas!C:C,0)),"")</f>
        <v/>
      </c>
      <c r="D2821" s="8" t="str">
        <f t="array" ref="D2821">IFERROR(INDEX(atlas!D:D,MATCH(A2821,atlas!C:C,0)),"")</f>
        <v/>
      </c>
      <c r="E2821" s="8" t="str">
        <f t="array" ref="E2821">IFERROR(INDEX(atlas!F:F,MATCH(A2821,atlas!C:C,0)),"")</f>
        <v/>
      </c>
      <c r="F2821" s="9"/>
      <c r="G2821" s="10"/>
      <c r="H2821" s="11"/>
      <c r="I2821" s="12" t="str">
        <f t="array" ref="I2821">IFERROR(INDEX(atlas!B:B,MATCH(A2821,atlas!C:C,0)),"")</f>
        <v/>
      </c>
      <c r="J2821" s="8" t="str">
        <f>IFERROR(VLOOKUP(F2821,tecnica!A:B,2,0),"")</f>
        <v/>
      </c>
      <c r="K2821" s="8" t="str">
        <f>IFERROR(VLOOKUP(J2821,tecnica!B:C,2,0),"")</f>
        <v/>
      </c>
      <c r="L2821" s="13"/>
      <c r="M2821" s="14" t="str">
        <f>IFERROR(VLOOKUP(I2821,material!A:D,4,0),"")</f>
        <v/>
      </c>
      <c r="N2821" s="14" t="str">
        <f t="shared" si="1"/>
        <v/>
      </c>
      <c r="O2821" s="15" t="str">
        <f>IFERROR(VLOOKUP(I2821,material!A:D,2,0),"")</f>
        <v/>
      </c>
    </row>
    <row r="2822">
      <c r="A2822" s="6"/>
      <c r="B2822" s="7"/>
      <c r="C2822" s="8" t="str">
        <f t="array" ref="C2822">IFERROR(INDEX(atlas!H:H,MATCH(A2822,atlas!C:C,0)),"")</f>
        <v/>
      </c>
      <c r="D2822" s="8" t="str">
        <f t="array" ref="D2822">IFERROR(INDEX(atlas!D:D,MATCH(A2822,atlas!C:C,0)),"")</f>
        <v/>
      </c>
      <c r="E2822" s="8" t="str">
        <f t="array" ref="E2822">IFERROR(INDEX(atlas!F:F,MATCH(A2822,atlas!C:C,0)),"")</f>
        <v/>
      </c>
      <c r="F2822" s="9"/>
      <c r="G2822" s="10"/>
      <c r="H2822" s="11"/>
      <c r="I2822" s="12" t="str">
        <f t="array" ref="I2822">IFERROR(INDEX(atlas!B:B,MATCH(A2822,atlas!C:C,0)),"")</f>
        <v/>
      </c>
      <c r="J2822" s="8" t="str">
        <f>IFERROR(VLOOKUP(F2822,tecnica!A:B,2,0),"")</f>
        <v/>
      </c>
      <c r="K2822" s="8" t="str">
        <f>IFERROR(VLOOKUP(J2822,tecnica!B:C,2,0),"")</f>
        <v/>
      </c>
      <c r="L2822" s="13"/>
      <c r="M2822" s="14" t="str">
        <f>IFERROR(VLOOKUP(I2822,material!A:D,4,0),"")</f>
        <v/>
      </c>
      <c r="N2822" s="14" t="str">
        <f t="shared" si="1"/>
        <v/>
      </c>
      <c r="O2822" s="15" t="str">
        <f>IFERROR(VLOOKUP(I2822,material!A:D,2,0),"")</f>
        <v/>
      </c>
    </row>
    <row r="2823">
      <c r="A2823" s="6"/>
      <c r="B2823" s="7"/>
      <c r="C2823" s="8" t="str">
        <f t="array" ref="C2823">IFERROR(INDEX(atlas!H:H,MATCH(A2823,atlas!C:C,0)),"")</f>
        <v/>
      </c>
      <c r="D2823" s="8" t="str">
        <f t="array" ref="D2823">IFERROR(INDEX(atlas!D:D,MATCH(A2823,atlas!C:C,0)),"")</f>
        <v/>
      </c>
      <c r="E2823" s="8" t="str">
        <f t="array" ref="E2823">IFERROR(INDEX(atlas!F:F,MATCH(A2823,atlas!C:C,0)),"")</f>
        <v/>
      </c>
      <c r="F2823" s="9"/>
      <c r="G2823" s="10"/>
      <c r="H2823" s="11"/>
      <c r="I2823" s="12" t="str">
        <f t="array" ref="I2823">IFERROR(INDEX(atlas!B:B,MATCH(A2823,atlas!C:C,0)),"")</f>
        <v/>
      </c>
      <c r="J2823" s="8" t="str">
        <f>IFERROR(VLOOKUP(F2823,tecnica!A:B,2,0),"")</f>
        <v/>
      </c>
      <c r="K2823" s="8" t="str">
        <f>IFERROR(VLOOKUP(J2823,tecnica!B:C,2,0),"")</f>
        <v/>
      </c>
      <c r="L2823" s="13"/>
      <c r="M2823" s="14" t="str">
        <f>IFERROR(VLOOKUP(I2823,material!A:D,4,0),"")</f>
        <v/>
      </c>
      <c r="N2823" s="14" t="str">
        <f t="shared" si="1"/>
        <v/>
      </c>
      <c r="O2823" s="15" t="str">
        <f>IFERROR(VLOOKUP(I2823,material!A:D,2,0),"")</f>
        <v/>
      </c>
    </row>
    <row r="2824">
      <c r="A2824" s="6"/>
      <c r="B2824" s="7"/>
      <c r="C2824" s="8" t="str">
        <f t="array" ref="C2824">IFERROR(INDEX(atlas!H:H,MATCH(A2824,atlas!C:C,0)),"")</f>
        <v/>
      </c>
      <c r="D2824" s="8" t="str">
        <f t="array" ref="D2824">IFERROR(INDEX(atlas!D:D,MATCH(A2824,atlas!C:C,0)),"")</f>
        <v/>
      </c>
      <c r="E2824" s="8" t="str">
        <f t="array" ref="E2824">IFERROR(INDEX(atlas!F:F,MATCH(A2824,atlas!C:C,0)),"")</f>
        <v/>
      </c>
      <c r="F2824" s="9"/>
      <c r="G2824" s="10"/>
      <c r="H2824" s="11"/>
      <c r="I2824" s="12" t="str">
        <f t="array" ref="I2824">IFERROR(INDEX(atlas!B:B,MATCH(A2824,atlas!C:C,0)),"")</f>
        <v/>
      </c>
      <c r="J2824" s="8" t="str">
        <f>IFERROR(VLOOKUP(F2824,tecnica!A:B,2,0),"")</f>
        <v/>
      </c>
      <c r="K2824" s="8" t="str">
        <f>IFERROR(VLOOKUP(J2824,tecnica!B:C,2,0),"")</f>
        <v/>
      </c>
      <c r="L2824" s="13"/>
      <c r="M2824" s="14" t="str">
        <f>IFERROR(VLOOKUP(I2824,material!A:D,4,0),"")</f>
        <v/>
      </c>
      <c r="N2824" s="14" t="str">
        <f t="shared" si="1"/>
        <v/>
      </c>
      <c r="O2824" s="15" t="str">
        <f>IFERROR(VLOOKUP(I2824,material!A:D,2,0),"")</f>
        <v/>
      </c>
    </row>
    <row r="2825">
      <c r="A2825" s="6"/>
      <c r="B2825" s="7"/>
      <c r="C2825" s="8" t="str">
        <f t="array" ref="C2825">IFERROR(INDEX(atlas!H:H,MATCH(A2825,atlas!C:C,0)),"")</f>
        <v/>
      </c>
      <c r="D2825" s="8" t="str">
        <f t="array" ref="D2825">IFERROR(INDEX(atlas!D:D,MATCH(A2825,atlas!C:C,0)),"")</f>
        <v/>
      </c>
      <c r="E2825" s="8" t="str">
        <f t="array" ref="E2825">IFERROR(INDEX(atlas!F:F,MATCH(A2825,atlas!C:C,0)),"")</f>
        <v/>
      </c>
      <c r="F2825" s="9"/>
      <c r="G2825" s="10"/>
      <c r="H2825" s="11"/>
      <c r="I2825" s="12" t="str">
        <f t="array" ref="I2825">IFERROR(INDEX(atlas!B:B,MATCH(A2825,atlas!C:C,0)),"")</f>
        <v/>
      </c>
      <c r="J2825" s="8" t="str">
        <f>IFERROR(VLOOKUP(F2825,tecnica!A:B,2,0),"")</f>
        <v/>
      </c>
      <c r="K2825" s="8" t="str">
        <f>IFERROR(VLOOKUP(J2825,tecnica!B:C,2,0),"")</f>
        <v/>
      </c>
      <c r="L2825" s="13"/>
      <c r="M2825" s="14" t="str">
        <f>IFERROR(VLOOKUP(I2825,material!A:D,4,0),"")</f>
        <v/>
      </c>
      <c r="N2825" s="14" t="str">
        <f t="shared" si="1"/>
        <v/>
      </c>
      <c r="O2825" s="15" t="str">
        <f>IFERROR(VLOOKUP(I2825,material!A:D,2,0),"")</f>
        <v/>
      </c>
    </row>
    <row r="2826">
      <c r="A2826" s="6"/>
      <c r="B2826" s="7"/>
      <c r="C2826" s="8" t="str">
        <f t="array" ref="C2826">IFERROR(INDEX(atlas!H:H,MATCH(A2826,atlas!C:C,0)),"")</f>
        <v/>
      </c>
      <c r="D2826" s="8" t="str">
        <f t="array" ref="D2826">IFERROR(INDEX(atlas!D:D,MATCH(A2826,atlas!C:C,0)),"")</f>
        <v/>
      </c>
      <c r="E2826" s="8" t="str">
        <f t="array" ref="E2826">IFERROR(INDEX(atlas!F:F,MATCH(A2826,atlas!C:C,0)),"")</f>
        <v/>
      </c>
      <c r="F2826" s="9"/>
      <c r="G2826" s="10"/>
      <c r="H2826" s="11"/>
      <c r="I2826" s="12" t="str">
        <f t="array" ref="I2826">IFERROR(INDEX(atlas!B:B,MATCH(A2826,atlas!C:C,0)),"")</f>
        <v/>
      </c>
      <c r="J2826" s="8" t="str">
        <f>IFERROR(VLOOKUP(F2826,tecnica!A:B,2,0),"")</f>
        <v/>
      </c>
      <c r="K2826" s="8" t="str">
        <f>IFERROR(VLOOKUP(J2826,tecnica!B:C,2,0),"")</f>
        <v/>
      </c>
      <c r="L2826" s="13"/>
      <c r="M2826" s="14" t="str">
        <f>IFERROR(VLOOKUP(I2826,material!A:D,4,0),"")</f>
        <v/>
      </c>
      <c r="N2826" s="14" t="str">
        <f t="shared" si="1"/>
        <v/>
      </c>
      <c r="O2826" s="15" t="str">
        <f>IFERROR(VLOOKUP(I2826,material!A:D,2,0),"")</f>
        <v/>
      </c>
    </row>
    <row r="2827">
      <c r="A2827" s="6"/>
      <c r="B2827" s="7"/>
      <c r="C2827" s="8" t="str">
        <f t="array" ref="C2827">IFERROR(INDEX(atlas!H:H,MATCH(A2827,atlas!C:C,0)),"")</f>
        <v/>
      </c>
      <c r="D2827" s="8" t="str">
        <f t="array" ref="D2827">IFERROR(INDEX(atlas!D:D,MATCH(A2827,atlas!C:C,0)),"")</f>
        <v/>
      </c>
      <c r="E2827" s="8" t="str">
        <f t="array" ref="E2827">IFERROR(INDEX(atlas!F:F,MATCH(A2827,atlas!C:C,0)),"")</f>
        <v/>
      </c>
      <c r="F2827" s="9"/>
      <c r="G2827" s="10"/>
      <c r="H2827" s="11"/>
      <c r="I2827" s="12" t="str">
        <f t="array" ref="I2827">IFERROR(INDEX(atlas!B:B,MATCH(A2827,atlas!C:C,0)),"")</f>
        <v/>
      </c>
      <c r="J2827" s="8" t="str">
        <f>IFERROR(VLOOKUP(F2827,tecnica!A:B,2,0),"")</f>
        <v/>
      </c>
      <c r="K2827" s="8" t="str">
        <f>IFERROR(VLOOKUP(J2827,tecnica!B:C,2,0),"")</f>
        <v/>
      </c>
      <c r="L2827" s="13"/>
      <c r="M2827" s="14" t="str">
        <f>IFERROR(VLOOKUP(I2827,material!A:D,4,0),"")</f>
        <v/>
      </c>
      <c r="N2827" s="14" t="str">
        <f t="shared" si="1"/>
        <v/>
      </c>
      <c r="O2827" s="15" t="str">
        <f>IFERROR(VLOOKUP(I2827,material!A:D,2,0),"")</f>
        <v/>
      </c>
    </row>
    <row r="2828">
      <c r="A2828" s="6"/>
      <c r="B2828" s="7"/>
      <c r="C2828" s="8" t="str">
        <f t="array" ref="C2828">IFERROR(INDEX(atlas!H:H,MATCH(A2828,atlas!C:C,0)),"")</f>
        <v/>
      </c>
      <c r="D2828" s="8" t="str">
        <f t="array" ref="D2828">IFERROR(INDEX(atlas!D:D,MATCH(A2828,atlas!C:C,0)),"")</f>
        <v/>
      </c>
      <c r="E2828" s="8" t="str">
        <f t="array" ref="E2828">IFERROR(INDEX(atlas!F:F,MATCH(A2828,atlas!C:C,0)),"")</f>
        <v/>
      </c>
      <c r="F2828" s="9"/>
      <c r="G2828" s="10"/>
      <c r="H2828" s="11"/>
      <c r="I2828" s="12" t="str">
        <f t="array" ref="I2828">IFERROR(INDEX(atlas!B:B,MATCH(A2828,atlas!C:C,0)),"")</f>
        <v/>
      </c>
      <c r="J2828" s="8" t="str">
        <f>IFERROR(VLOOKUP(F2828,tecnica!A:B,2,0),"")</f>
        <v/>
      </c>
      <c r="K2828" s="8" t="str">
        <f>IFERROR(VLOOKUP(J2828,tecnica!B:C,2,0),"")</f>
        <v/>
      </c>
      <c r="L2828" s="13"/>
      <c r="M2828" s="14" t="str">
        <f>IFERROR(VLOOKUP(I2828,material!A:D,4,0),"")</f>
        <v/>
      </c>
      <c r="N2828" s="14" t="str">
        <f t="shared" si="1"/>
        <v/>
      </c>
      <c r="O2828" s="15" t="str">
        <f>IFERROR(VLOOKUP(I2828,material!A:D,2,0),"")</f>
        <v/>
      </c>
    </row>
    <row r="2829">
      <c r="A2829" s="6"/>
      <c r="B2829" s="7"/>
      <c r="C2829" s="8" t="str">
        <f t="array" ref="C2829">IFERROR(INDEX(atlas!H:H,MATCH(A2829,atlas!C:C,0)),"")</f>
        <v/>
      </c>
      <c r="D2829" s="8" t="str">
        <f t="array" ref="D2829">IFERROR(INDEX(atlas!D:D,MATCH(A2829,atlas!C:C,0)),"")</f>
        <v/>
      </c>
      <c r="E2829" s="8" t="str">
        <f t="array" ref="E2829">IFERROR(INDEX(atlas!F:F,MATCH(A2829,atlas!C:C,0)),"")</f>
        <v/>
      </c>
      <c r="F2829" s="9"/>
      <c r="G2829" s="10"/>
      <c r="H2829" s="11"/>
      <c r="I2829" s="12" t="str">
        <f t="array" ref="I2829">IFERROR(INDEX(atlas!B:B,MATCH(A2829,atlas!C:C,0)),"")</f>
        <v/>
      </c>
      <c r="J2829" s="8" t="str">
        <f>IFERROR(VLOOKUP(F2829,tecnica!A:B,2,0),"")</f>
        <v/>
      </c>
      <c r="K2829" s="8" t="str">
        <f>IFERROR(VLOOKUP(J2829,tecnica!B:C,2,0),"")</f>
        <v/>
      </c>
      <c r="L2829" s="13"/>
      <c r="M2829" s="14" t="str">
        <f>IFERROR(VLOOKUP(I2829,material!A:D,4,0),"")</f>
        <v/>
      </c>
      <c r="N2829" s="14" t="str">
        <f t="shared" si="1"/>
        <v/>
      </c>
      <c r="O2829" s="15" t="str">
        <f>IFERROR(VLOOKUP(I2829,material!A:D,2,0),"")</f>
        <v/>
      </c>
    </row>
    <row r="2830">
      <c r="A2830" s="6"/>
      <c r="B2830" s="7"/>
      <c r="C2830" s="8" t="str">
        <f t="array" ref="C2830">IFERROR(INDEX(atlas!H:H,MATCH(A2830,atlas!C:C,0)),"")</f>
        <v/>
      </c>
      <c r="D2830" s="8" t="str">
        <f t="array" ref="D2830">IFERROR(INDEX(atlas!D:D,MATCH(A2830,atlas!C:C,0)),"")</f>
        <v/>
      </c>
      <c r="E2830" s="8" t="str">
        <f t="array" ref="E2830">IFERROR(INDEX(atlas!F:F,MATCH(A2830,atlas!C:C,0)),"")</f>
        <v/>
      </c>
      <c r="F2830" s="9"/>
      <c r="G2830" s="10"/>
      <c r="H2830" s="11"/>
      <c r="I2830" s="12" t="str">
        <f t="array" ref="I2830">IFERROR(INDEX(atlas!B:B,MATCH(A2830,atlas!C:C,0)),"")</f>
        <v/>
      </c>
      <c r="J2830" s="8" t="str">
        <f>IFERROR(VLOOKUP(F2830,tecnica!A:B,2,0),"")</f>
        <v/>
      </c>
      <c r="K2830" s="8" t="str">
        <f>IFERROR(VLOOKUP(J2830,tecnica!B:C,2,0),"")</f>
        <v/>
      </c>
      <c r="L2830" s="13"/>
      <c r="M2830" s="14" t="str">
        <f>IFERROR(VLOOKUP(I2830,material!A:D,4,0),"")</f>
        <v/>
      </c>
      <c r="N2830" s="14" t="str">
        <f t="shared" si="1"/>
        <v/>
      </c>
      <c r="O2830" s="15" t="str">
        <f>IFERROR(VLOOKUP(I2830,material!A:D,2,0),"")</f>
        <v/>
      </c>
    </row>
    <row r="2831">
      <c r="A2831" s="6"/>
      <c r="B2831" s="7"/>
      <c r="C2831" s="8" t="str">
        <f t="array" ref="C2831">IFERROR(INDEX(atlas!H:H,MATCH(A2831,atlas!C:C,0)),"")</f>
        <v/>
      </c>
      <c r="D2831" s="8" t="str">
        <f t="array" ref="D2831">IFERROR(INDEX(atlas!D:D,MATCH(A2831,atlas!C:C,0)),"")</f>
        <v/>
      </c>
      <c r="E2831" s="8" t="str">
        <f t="array" ref="E2831">IFERROR(INDEX(atlas!F:F,MATCH(A2831,atlas!C:C,0)),"")</f>
        <v/>
      </c>
      <c r="F2831" s="9"/>
      <c r="G2831" s="10"/>
      <c r="H2831" s="11"/>
      <c r="I2831" s="12" t="str">
        <f t="array" ref="I2831">IFERROR(INDEX(atlas!B:B,MATCH(A2831,atlas!C:C,0)),"")</f>
        <v/>
      </c>
      <c r="J2831" s="8" t="str">
        <f>IFERROR(VLOOKUP(F2831,tecnica!A:B,2,0),"")</f>
        <v/>
      </c>
      <c r="K2831" s="8" t="str">
        <f>IFERROR(VLOOKUP(J2831,tecnica!B:C,2,0),"")</f>
        <v/>
      </c>
      <c r="L2831" s="13"/>
      <c r="M2831" s="14" t="str">
        <f>IFERROR(VLOOKUP(I2831,material!A:D,4,0),"")</f>
        <v/>
      </c>
      <c r="N2831" s="14" t="str">
        <f t="shared" si="1"/>
        <v/>
      </c>
      <c r="O2831" s="15" t="str">
        <f>IFERROR(VLOOKUP(I2831,material!A:D,2,0),"")</f>
        <v/>
      </c>
    </row>
    <row r="2832">
      <c r="A2832" s="6"/>
      <c r="B2832" s="7"/>
      <c r="C2832" s="8" t="str">
        <f t="array" ref="C2832">IFERROR(INDEX(atlas!H:H,MATCH(A2832,atlas!C:C,0)),"")</f>
        <v/>
      </c>
      <c r="D2832" s="8" t="str">
        <f t="array" ref="D2832">IFERROR(INDEX(atlas!D:D,MATCH(A2832,atlas!C:C,0)),"")</f>
        <v/>
      </c>
      <c r="E2832" s="8" t="str">
        <f t="array" ref="E2832">IFERROR(INDEX(atlas!F:F,MATCH(A2832,atlas!C:C,0)),"")</f>
        <v/>
      </c>
      <c r="F2832" s="9"/>
      <c r="G2832" s="10"/>
      <c r="H2832" s="11"/>
      <c r="I2832" s="12" t="str">
        <f t="array" ref="I2832">IFERROR(INDEX(atlas!B:B,MATCH(A2832,atlas!C:C,0)),"")</f>
        <v/>
      </c>
      <c r="J2832" s="8" t="str">
        <f>IFERROR(VLOOKUP(F2832,tecnica!A:B,2,0),"")</f>
        <v/>
      </c>
      <c r="K2832" s="8" t="str">
        <f>IFERROR(VLOOKUP(J2832,tecnica!B:C,2,0),"")</f>
        <v/>
      </c>
      <c r="L2832" s="13"/>
      <c r="M2832" s="14" t="str">
        <f>IFERROR(VLOOKUP(I2832,material!A:D,4,0),"")</f>
        <v/>
      </c>
      <c r="N2832" s="14" t="str">
        <f t="shared" si="1"/>
        <v/>
      </c>
      <c r="O2832" s="15" t="str">
        <f>IFERROR(VLOOKUP(I2832,material!A:D,2,0),"")</f>
        <v/>
      </c>
    </row>
    <row r="2833">
      <c r="A2833" s="6"/>
      <c r="B2833" s="7"/>
      <c r="C2833" s="8" t="str">
        <f t="array" ref="C2833">IFERROR(INDEX(atlas!H:H,MATCH(A2833,atlas!C:C,0)),"")</f>
        <v/>
      </c>
      <c r="D2833" s="8" t="str">
        <f t="array" ref="D2833">IFERROR(INDEX(atlas!D:D,MATCH(A2833,atlas!C:C,0)),"")</f>
        <v/>
      </c>
      <c r="E2833" s="8" t="str">
        <f t="array" ref="E2833">IFERROR(INDEX(atlas!F:F,MATCH(A2833,atlas!C:C,0)),"")</f>
        <v/>
      </c>
      <c r="F2833" s="9"/>
      <c r="G2833" s="10"/>
      <c r="H2833" s="11"/>
      <c r="I2833" s="12" t="str">
        <f t="array" ref="I2833">IFERROR(INDEX(atlas!B:B,MATCH(A2833,atlas!C:C,0)),"")</f>
        <v/>
      </c>
      <c r="J2833" s="8" t="str">
        <f>IFERROR(VLOOKUP(F2833,tecnica!A:B,2,0),"")</f>
        <v/>
      </c>
      <c r="K2833" s="8" t="str">
        <f>IFERROR(VLOOKUP(J2833,tecnica!B:C,2,0),"")</f>
        <v/>
      </c>
      <c r="L2833" s="13"/>
      <c r="M2833" s="14" t="str">
        <f>IFERROR(VLOOKUP(I2833,material!A:D,4,0),"")</f>
        <v/>
      </c>
      <c r="N2833" s="14" t="str">
        <f t="shared" si="1"/>
        <v/>
      </c>
      <c r="O2833" s="15" t="str">
        <f>IFERROR(VLOOKUP(I2833,material!A:D,2,0),"")</f>
        <v/>
      </c>
    </row>
    <row r="2834">
      <c r="A2834" s="6"/>
      <c r="B2834" s="7"/>
      <c r="C2834" s="8" t="str">
        <f t="array" ref="C2834">IFERROR(INDEX(atlas!H:H,MATCH(A2834,atlas!C:C,0)),"")</f>
        <v/>
      </c>
      <c r="D2834" s="8" t="str">
        <f t="array" ref="D2834">IFERROR(INDEX(atlas!D:D,MATCH(A2834,atlas!C:C,0)),"")</f>
        <v/>
      </c>
      <c r="E2834" s="8" t="str">
        <f t="array" ref="E2834">IFERROR(INDEX(atlas!F:F,MATCH(A2834,atlas!C:C,0)),"")</f>
        <v/>
      </c>
      <c r="F2834" s="9"/>
      <c r="G2834" s="10"/>
      <c r="H2834" s="11"/>
      <c r="I2834" s="12" t="str">
        <f t="array" ref="I2834">IFERROR(INDEX(atlas!B:B,MATCH(A2834,atlas!C:C,0)),"")</f>
        <v/>
      </c>
      <c r="J2834" s="8" t="str">
        <f>IFERROR(VLOOKUP(F2834,tecnica!A:B,2,0),"")</f>
        <v/>
      </c>
      <c r="K2834" s="8" t="str">
        <f>IFERROR(VLOOKUP(J2834,tecnica!B:C,2,0),"")</f>
        <v/>
      </c>
      <c r="L2834" s="13"/>
      <c r="M2834" s="14" t="str">
        <f>IFERROR(VLOOKUP(I2834,material!A:D,4,0),"")</f>
        <v/>
      </c>
      <c r="N2834" s="14" t="str">
        <f t="shared" si="1"/>
        <v/>
      </c>
      <c r="O2834" s="15" t="str">
        <f>IFERROR(VLOOKUP(I2834,material!A:D,2,0),"")</f>
        <v/>
      </c>
    </row>
    <row r="2835">
      <c r="A2835" s="6"/>
      <c r="B2835" s="7"/>
      <c r="C2835" s="8" t="str">
        <f t="array" ref="C2835">IFERROR(INDEX(atlas!H:H,MATCH(A2835,atlas!C:C,0)),"")</f>
        <v/>
      </c>
      <c r="D2835" s="8" t="str">
        <f t="array" ref="D2835">IFERROR(INDEX(atlas!D:D,MATCH(A2835,atlas!C:C,0)),"")</f>
        <v/>
      </c>
      <c r="E2835" s="8" t="str">
        <f t="array" ref="E2835">IFERROR(INDEX(atlas!F:F,MATCH(A2835,atlas!C:C,0)),"")</f>
        <v/>
      </c>
      <c r="F2835" s="9"/>
      <c r="G2835" s="10"/>
      <c r="H2835" s="11"/>
      <c r="I2835" s="12" t="str">
        <f t="array" ref="I2835">IFERROR(INDEX(atlas!B:B,MATCH(A2835,atlas!C:C,0)),"")</f>
        <v/>
      </c>
      <c r="J2835" s="8" t="str">
        <f>IFERROR(VLOOKUP(F2835,tecnica!A:B,2,0),"")</f>
        <v/>
      </c>
      <c r="K2835" s="8" t="str">
        <f>IFERROR(VLOOKUP(J2835,tecnica!B:C,2,0),"")</f>
        <v/>
      </c>
      <c r="L2835" s="13"/>
      <c r="M2835" s="14" t="str">
        <f>IFERROR(VLOOKUP(I2835,material!A:D,4,0),"")</f>
        <v/>
      </c>
      <c r="N2835" s="14" t="str">
        <f t="shared" si="1"/>
        <v/>
      </c>
      <c r="O2835" s="15" t="str">
        <f>IFERROR(VLOOKUP(I2835,material!A:D,2,0),"")</f>
        <v/>
      </c>
    </row>
    <row r="2836">
      <c r="A2836" s="6"/>
      <c r="B2836" s="7"/>
      <c r="C2836" s="8" t="str">
        <f t="array" ref="C2836">IFERROR(INDEX(atlas!H:H,MATCH(A2836,atlas!C:C,0)),"")</f>
        <v/>
      </c>
      <c r="D2836" s="8" t="str">
        <f t="array" ref="D2836">IFERROR(INDEX(atlas!D:D,MATCH(A2836,atlas!C:C,0)),"")</f>
        <v/>
      </c>
      <c r="E2836" s="8" t="str">
        <f t="array" ref="E2836">IFERROR(INDEX(atlas!F:F,MATCH(A2836,atlas!C:C,0)),"")</f>
        <v/>
      </c>
      <c r="F2836" s="9"/>
      <c r="G2836" s="10"/>
      <c r="H2836" s="11"/>
      <c r="I2836" s="12" t="str">
        <f t="array" ref="I2836">IFERROR(INDEX(atlas!B:B,MATCH(A2836,atlas!C:C,0)),"")</f>
        <v/>
      </c>
      <c r="J2836" s="8" t="str">
        <f>IFERROR(VLOOKUP(F2836,tecnica!A:B,2,0),"")</f>
        <v/>
      </c>
      <c r="K2836" s="8" t="str">
        <f>IFERROR(VLOOKUP(J2836,tecnica!B:C,2,0),"")</f>
        <v/>
      </c>
      <c r="L2836" s="13"/>
      <c r="M2836" s="14" t="str">
        <f>IFERROR(VLOOKUP(I2836,material!A:D,4,0),"")</f>
        <v/>
      </c>
      <c r="N2836" s="14" t="str">
        <f t="shared" si="1"/>
        <v/>
      </c>
      <c r="O2836" s="15" t="str">
        <f>IFERROR(VLOOKUP(I2836,material!A:D,2,0),"")</f>
        <v/>
      </c>
    </row>
    <row r="2837">
      <c r="A2837" s="6"/>
      <c r="B2837" s="7"/>
      <c r="C2837" s="8" t="str">
        <f t="array" ref="C2837">IFERROR(INDEX(atlas!H:H,MATCH(A2837,atlas!C:C,0)),"")</f>
        <v/>
      </c>
      <c r="D2837" s="8" t="str">
        <f t="array" ref="D2837">IFERROR(INDEX(atlas!D:D,MATCH(A2837,atlas!C:C,0)),"")</f>
        <v/>
      </c>
      <c r="E2837" s="8" t="str">
        <f t="array" ref="E2837">IFERROR(INDEX(atlas!F:F,MATCH(A2837,atlas!C:C,0)),"")</f>
        <v/>
      </c>
      <c r="F2837" s="9"/>
      <c r="G2837" s="10"/>
      <c r="H2837" s="11"/>
      <c r="I2837" s="12" t="str">
        <f t="array" ref="I2837">IFERROR(INDEX(atlas!B:B,MATCH(A2837,atlas!C:C,0)),"")</f>
        <v/>
      </c>
      <c r="J2837" s="8" t="str">
        <f>IFERROR(VLOOKUP(F2837,tecnica!A:B,2,0),"")</f>
        <v/>
      </c>
      <c r="K2837" s="8" t="str">
        <f>IFERROR(VLOOKUP(J2837,tecnica!B:C,2,0),"")</f>
        <v/>
      </c>
      <c r="L2837" s="13"/>
      <c r="M2837" s="14" t="str">
        <f>IFERROR(VLOOKUP(I2837,material!A:D,4,0),"")</f>
        <v/>
      </c>
      <c r="N2837" s="14" t="str">
        <f t="shared" si="1"/>
        <v/>
      </c>
      <c r="O2837" s="15" t="str">
        <f>IFERROR(VLOOKUP(I2837,material!A:D,2,0),"")</f>
        <v/>
      </c>
    </row>
    <row r="2838">
      <c r="A2838" s="6"/>
      <c r="B2838" s="7"/>
      <c r="C2838" s="8" t="str">
        <f t="array" ref="C2838">IFERROR(INDEX(atlas!H:H,MATCH(A2838,atlas!C:C,0)),"")</f>
        <v/>
      </c>
      <c r="D2838" s="8" t="str">
        <f t="array" ref="D2838">IFERROR(INDEX(atlas!D:D,MATCH(A2838,atlas!C:C,0)),"")</f>
        <v/>
      </c>
      <c r="E2838" s="8" t="str">
        <f t="array" ref="E2838">IFERROR(INDEX(atlas!F:F,MATCH(A2838,atlas!C:C,0)),"")</f>
        <v/>
      </c>
      <c r="F2838" s="9"/>
      <c r="G2838" s="10"/>
      <c r="H2838" s="11"/>
      <c r="I2838" s="12" t="str">
        <f t="array" ref="I2838">IFERROR(INDEX(atlas!B:B,MATCH(A2838,atlas!C:C,0)),"")</f>
        <v/>
      </c>
      <c r="J2838" s="8" t="str">
        <f>IFERROR(VLOOKUP(F2838,tecnica!A:B,2,0),"")</f>
        <v/>
      </c>
      <c r="K2838" s="8" t="str">
        <f>IFERROR(VLOOKUP(J2838,tecnica!B:C,2,0),"")</f>
        <v/>
      </c>
      <c r="L2838" s="13"/>
      <c r="M2838" s="14" t="str">
        <f>IFERROR(VLOOKUP(I2838,material!A:D,4,0),"")</f>
        <v/>
      </c>
      <c r="N2838" s="14" t="str">
        <f t="shared" si="1"/>
        <v/>
      </c>
      <c r="O2838" s="15" t="str">
        <f>IFERROR(VLOOKUP(I2838,material!A:D,2,0),"")</f>
        <v/>
      </c>
    </row>
    <row r="2839">
      <c r="A2839" s="6"/>
      <c r="B2839" s="7"/>
      <c r="C2839" s="8" t="str">
        <f t="array" ref="C2839">IFERROR(INDEX(atlas!H:H,MATCH(A2839,atlas!C:C,0)),"")</f>
        <v/>
      </c>
      <c r="D2839" s="8" t="str">
        <f t="array" ref="D2839">IFERROR(INDEX(atlas!D:D,MATCH(A2839,atlas!C:C,0)),"")</f>
        <v/>
      </c>
      <c r="E2839" s="8" t="str">
        <f t="array" ref="E2839">IFERROR(INDEX(atlas!F:F,MATCH(A2839,atlas!C:C,0)),"")</f>
        <v/>
      </c>
      <c r="F2839" s="9"/>
      <c r="G2839" s="10"/>
      <c r="H2839" s="11"/>
      <c r="I2839" s="12" t="str">
        <f t="array" ref="I2839">IFERROR(INDEX(atlas!B:B,MATCH(A2839,atlas!C:C,0)),"")</f>
        <v/>
      </c>
      <c r="J2839" s="8" t="str">
        <f>IFERROR(VLOOKUP(F2839,tecnica!A:B,2,0),"")</f>
        <v/>
      </c>
      <c r="K2839" s="8" t="str">
        <f>IFERROR(VLOOKUP(J2839,tecnica!B:C,2,0),"")</f>
        <v/>
      </c>
      <c r="L2839" s="13"/>
      <c r="M2839" s="14" t="str">
        <f>IFERROR(VLOOKUP(I2839,material!A:D,4,0),"")</f>
        <v/>
      </c>
      <c r="N2839" s="14" t="str">
        <f t="shared" si="1"/>
        <v/>
      </c>
      <c r="O2839" s="15" t="str">
        <f>IFERROR(VLOOKUP(I2839,material!A:D,2,0),"")</f>
        <v/>
      </c>
    </row>
    <row r="2840">
      <c r="A2840" s="6"/>
      <c r="B2840" s="7"/>
      <c r="C2840" s="8" t="str">
        <f t="array" ref="C2840">IFERROR(INDEX(atlas!H:H,MATCH(A2840,atlas!C:C,0)),"")</f>
        <v/>
      </c>
      <c r="D2840" s="8" t="str">
        <f t="array" ref="D2840">IFERROR(INDEX(atlas!D:D,MATCH(A2840,atlas!C:C,0)),"")</f>
        <v/>
      </c>
      <c r="E2840" s="8" t="str">
        <f t="array" ref="E2840">IFERROR(INDEX(atlas!F:F,MATCH(A2840,atlas!C:C,0)),"")</f>
        <v/>
      </c>
      <c r="F2840" s="9"/>
      <c r="G2840" s="10"/>
      <c r="H2840" s="11"/>
      <c r="I2840" s="12" t="str">
        <f t="array" ref="I2840">IFERROR(INDEX(atlas!B:B,MATCH(A2840,atlas!C:C,0)),"")</f>
        <v/>
      </c>
      <c r="J2840" s="8" t="str">
        <f>IFERROR(VLOOKUP(F2840,tecnica!A:B,2,0),"")</f>
        <v/>
      </c>
      <c r="K2840" s="8" t="str">
        <f>IFERROR(VLOOKUP(J2840,tecnica!B:C,2,0),"")</f>
        <v/>
      </c>
      <c r="L2840" s="13"/>
      <c r="M2840" s="14" t="str">
        <f>IFERROR(VLOOKUP(I2840,material!A:D,4,0),"")</f>
        <v/>
      </c>
      <c r="N2840" s="14" t="str">
        <f t="shared" si="1"/>
        <v/>
      </c>
      <c r="O2840" s="15" t="str">
        <f>IFERROR(VLOOKUP(I2840,material!A:D,2,0),"")</f>
        <v/>
      </c>
    </row>
    <row r="2841">
      <c r="A2841" s="6"/>
      <c r="B2841" s="7"/>
      <c r="C2841" s="8" t="str">
        <f t="array" ref="C2841">IFERROR(INDEX(atlas!H:H,MATCH(A2841,atlas!C:C,0)),"")</f>
        <v/>
      </c>
      <c r="D2841" s="8" t="str">
        <f t="array" ref="D2841">IFERROR(INDEX(atlas!D:D,MATCH(A2841,atlas!C:C,0)),"")</f>
        <v/>
      </c>
      <c r="E2841" s="8" t="str">
        <f t="array" ref="E2841">IFERROR(INDEX(atlas!F:F,MATCH(A2841,atlas!C:C,0)),"")</f>
        <v/>
      </c>
      <c r="F2841" s="9"/>
      <c r="G2841" s="10"/>
      <c r="H2841" s="11"/>
      <c r="I2841" s="12" t="str">
        <f t="array" ref="I2841">IFERROR(INDEX(atlas!B:B,MATCH(A2841,atlas!C:C,0)),"")</f>
        <v/>
      </c>
      <c r="J2841" s="8" t="str">
        <f>IFERROR(VLOOKUP(F2841,tecnica!A:B,2,0),"")</f>
        <v/>
      </c>
      <c r="K2841" s="8" t="str">
        <f>IFERROR(VLOOKUP(J2841,tecnica!B:C,2,0),"")</f>
        <v/>
      </c>
      <c r="L2841" s="13"/>
      <c r="M2841" s="14" t="str">
        <f>IFERROR(VLOOKUP(I2841,material!A:D,4,0),"")</f>
        <v/>
      </c>
      <c r="N2841" s="14" t="str">
        <f t="shared" si="1"/>
        <v/>
      </c>
      <c r="O2841" s="15" t="str">
        <f>IFERROR(VLOOKUP(I2841,material!A:D,2,0),"")</f>
        <v/>
      </c>
    </row>
    <row r="2842">
      <c r="A2842" s="6"/>
      <c r="B2842" s="7"/>
      <c r="C2842" s="8" t="str">
        <f t="array" ref="C2842">IFERROR(INDEX(atlas!H:H,MATCH(A2842,atlas!C:C,0)),"")</f>
        <v/>
      </c>
      <c r="D2842" s="8" t="str">
        <f t="array" ref="D2842">IFERROR(INDEX(atlas!D:D,MATCH(A2842,atlas!C:C,0)),"")</f>
        <v/>
      </c>
      <c r="E2842" s="8" t="str">
        <f t="array" ref="E2842">IFERROR(INDEX(atlas!F:F,MATCH(A2842,atlas!C:C,0)),"")</f>
        <v/>
      </c>
      <c r="F2842" s="9"/>
      <c r="G2842" s="10"/>
      <c r="H2842" s="11"/>
      <c r="I2842" s="12" t="str">
        <f t="array" ref="I2842">IFERROR(INDEX(atlas!B:B,MATCH(A2842,atlas!C:C,0)),"")</f>
        <v/>
      </c>
      <c r="J2842" s="8" t="str">
        <f>IFERROR(VLOOKUP(F2842,tecnica!A:B,2,0),"")</f>
        <v/>
      </c>
      <c r="K2842" s="8" t="str">
        <f>IFERROR(VLOOKUP(J2842,tecnica!B:C,2,0),"")</f>
        <v/>
      </c>
      <c r="L2842" s="13"/>
      <c r="M2842" s="14" t="str">
        <f>IFERROR(VLOOKUP(I2842,material!A:D,4,0),"")</f>
        <v/>
      </c>
      <c r="N2842" s="14" t="str">
        <f t="shared" si="1"/>
        <v/>
      </c>
      <c r="O2842" s="15" t="str">
        <f>IFERROR(VLOOKUP(I2842,material!A:D,2,0),"")</f>
        <v/>
      </c>
    </row>
    <row r="2843">
      <c r="A2843" s="6"/>
      <c r="B2843" s="7"/>
      <c r="C2843" s="8" t="str">
        <f t="array" ref="C2843">IFERROR(INDEX(atlas!H:H,MATCH(A2843,atlas!C:C,0)),"")</f>
        <v/>
      </c>
      <c r="D2843" s="8" t="str">
        <f t="array" ref="D2843">IFERROR(INDEX(atlas!D:D,MATCH(A2843,atlas!C:C,0)),"")</f>
        <v/>
      </c>
      <c r="E2843" s="8" t="str">
        <f t="array" ref="E2843">IFERROR(INDEX(atlas!F:F,MATCH(A2843,atlas!C:C,0)),"")</f>
        <v/>
      </c>
      <c r="F2843" s="9"/>
      <c r="G2843" s="10"/>
      <c r="H2843" s="11"/>
      <c r="I2843" s="12" t="str">
        <f t="array" ref="I2843">IFERROR(INDEX(atlas!B:B,MATCH(A2843,atlas!C:C,0)),"")</f>
        <v/>
      </c>
      <c r="J2843" s="8" t="str">
        <f>IFERROR(VLOOKUP(F2843,tecnica!A:B,2,0),"")</f>
        <v/>
      </c>
      <c r="K2843" s="8" t="str">
        <f>IFERROR(VLOOKUP(J2843,tecnica!B:C,2,0),"")</f>
        <v/>
      </c>
      <c r="L2843" s="13"/>
      <c r="M2843" s="14" t="str">
        <f>IFERROR(VLOOKUP(I2843,material!A:D,4,0),"")</f>
        <v/>
      </c>
      <c r="N2843" s="14" t="str">
        <f t="shared" si="1"/>
        <v/>
      </c>
      <c r="O2843" s="15" t="str">
        <f>IFERROR(VLOOKUP(I2843,material!A:D,2,0),"")</f>
        <v/>
      </c>
    </row>
    <row r="2844">
      <c r="A2844" s="6"/>
      <c r="B2844" s="7"/>
      <c r="C2844" s="8" t="str">
        <f t="array" ref="C2844">IFERROR(INDEX(atlas!H:H,MATCH(A2844,atlas!C:C,0)),"")</f>
        <v/>
      </c>
      <c r="D2844" s="8" t="str">
        <f t="array" ref="D2844">IFERROR(INDEX(atlas!D:D,MATCH(A2844,atlas!C:C,0)),"")</f>
        <v/>
      </c>
      <c r="E2844" s="8" t="str">
        <f t="array" ref="E2844">IFERROR(INDEX(atlas!F:F,MATCH(A2844,atlas!C:C,0)),"")</f>
        <v/>
      </c>
      <c r="F2844" s="9"/>
      <c r="G2844" s="10"/>
      <c r="H2844" s="11"/>
      <c r="I2844" s="12" t="str">
        <f t="array" ref="I2844">IFERROR(INDEX(atlas!B:B,MATCH(A2844,atlas!C:C,0)),"")</f>
        <v/>
      </c>
      <c r="J2844" s="8" t="str">
        <f>IFERROR(VLOOKUP(F2844,tecnica!A:B,2,0),"")</f>
        <v/>
      </c>
      <c r="K2844" s="8" t="str">
        <f>IFERROR(VLOOKUP(J2844,tecnica!B:C,2,0),"")</f>
        <v/>
      </c>
      <c r="L2844" s="13"/>
      <c r="M2844" s="14" t="str">
        <f>IFERROR(VLOOKUP(I2844,material!A:D,4,0),"")</f>
        <v/>
      </c>
      <c r="N2844" s="14" t="str">
        <f t="shared" si="1"/>
        <v/>
      </c>
      <c r="O2844" s="15" t="str">
        <f>IFERROR(VLOOKUP(I2844,material!A:D,2,0),"")</f>
        <v/>
      </c>
    </row>
    <row r="2845">
      <c r="A2845" s="6"/>
      <c r="B2845" s="7"/>
      <c r="C2845" s="8" t="str">
        <f t="array" ref="C2845">IFERROR(INDEX(atlas!H:H,MATCH(A2845,atlas!C:C,0)),"")</f>
        <v/>
      </c>
      <c r="D2845" s="8" t="str">
        <f t="array" ref="D2845">IFERROR(INDEX(atlas!D:D,MATCH(A2845,atlas!C:C,0)),"")</f>
        <v/>
      </c>
      <c r="E2845" s="8" t="str">
        <f t="array" ref="E2845">IFERROR(INDEX(atlas!F:F,MATCH(A2845,atlas!C:C,0)),"")</f>
        <v/>
      </c>
      <c r="F2845" s="9"/>
      <c r="G2845" s="10"/>
      <c r="H2845" s="11"/>
      <c r="I2845" s="12" t="str">
        <f t="array" ref="I2845">IFERROR(INDEX(atlas!B:B,MATCH(A2845,atlas!C:C,0)),"")</f>
        <v/>
      </c>
      <c r="J2845" s="8" t="str">
        <f>IFERROR(VLOOKUP(F2845,tecnica!A:B,2,0),"")</f>
        <v/>
      </c>
      <c r="K2845" s="8" t="str">
        <f>IFERROR(VLOOKUP(J2845,tecnica!B:C,2,0),"")</f>
        <v/>
      </c>
      <c r="L2845" s="13"/>
      <c r="M2845" s="14" t="str">
        <f>IFERROR(VLOOKUP(I2845,material!A:D,4,0),"")</f>
        <v/>
      </c>
      <c r="N2845" s="14" t="str">
        <f t="shared" si="1"/>
        <v/>
      </c>
      <c r="O2845" s="15" t="str">
        <f>IFERROR(VLOOKUP(I2845,material!A:D,2,0),"")</f>
        <v/>
      </c>
    </row>
    <row r="2846">
      <c r="A2846" s="6"/>
      <c r="B2846" s="7"/>
      <c r="C2846" s="8" t="str">
        <f t="array" ref="C2846">IFERROR(INDEX(atlas!H:H,MATCH(A2846,atlas!C:C,0)),"")</f>
        <v/>
      </c>
      <c r="D2846" s="8" t="str">
        <f t="array" ref="D2846">IFERROR(INDEX(atlas!D:D,MATCH(A2846,atlas!C:C,0)),"")</f>
        <v/>
      </c>
      <c r="E2846" s="8" t="str">
        <f t="array" ref="E2846">IFERROR(INDEX(atlas!F:F,MATCH(A2846,atlas!C:C,0)),"")</f>
        <v/>
      </c>
      <c r="F2846" s="9"/>
      <c r="G2846" s="10"/>
      <c r="H2846" s="11"/>
      <c r="I2846" s="12" t="str">
        <f t="array" ref="I2846">IFERROR(INDEX(atlas!B:B,MATCH(A2846,atlas!C:C,0)),"")</f>
        <v/>
      </c>
      <c r="J2846" s="8" t="str">
        <f>IFERROR(VLOOKUP(F2846,tecnica!A:B,2,0),"")</f>
        <v/>
      </c>
      <c r="K2846" s="8" t="str">
        <f>IFERROR(VLOOKUP(J2846,tecnica!B:C,2,0),"")</f>
        <v/>
      </c>
      <c r="L2846" s="13"/>
      <c r="M2846" s="14" t="str">
        <f>IFERROR(VLOOKUP(I2846,material!A:D,4,0),"")</f>
        <v/>
      </c>
      <c r="N2846" s="14" t="str">
        <f t="shared" si="1"/>
        <v/>
      </c>
      <c r="O2846" s="15" t="str">
        <f>IFERROR(VLOOKUP(I2846,material!A:D,2,0),"")</f>
        <v/>
      </c>
    </row>
    <row r="2847">
      <c r="A2847" s="6"/>
      <c r="B2847" s="7"/>
      <c r="C2847" s="8" t="str">
        <f t="array" ref="C2847">IFERROR(INDEX(atlas!H:H,MATCH(A2847,atlas!C:C,0)),"")</f>
        <v/>
      </c>
      <c r="D2847" s="8" t="str">
        <f t="array" ref="D2847">IFERROR(INDEX(atlas!D:D,MATCH(A2847,atlas!C:C,0)),"")</f>
        <v/>
      </c>
      <c r="E2847" s="8" t="str">
        <f t="array" ref="E2847">IFERROR(INDEX(atlas!F:F,MATCH(A2847,atlas!C:C,0)),"")</f>
        <v/>
      </c>
      <c r="F2847" s="9"/>
      <c r="G2847" s="10"/>
      <c r="H2847" s="11"/>
      <c r="I2847" s="12" t="str">
        <f t="array" ref="I2847">IFERROR(INDEX(atlas!B:B,MATCH(A2847,atlas!C:C,0)),"")</f>
        <v/>
      </c>
      <c r="J2847" s="8" t="str">
        <f>IFERROR(VLOOKUP(F2847,tecnica!A:B,2,0),"")</f>
        <v/>
      </c>
      <c r="K2847" s="8" t="str">
        <f>IFERROR(VLOOKUP(J2847,tecnica!B:C,2,0),"")</f>
        <v/>
      </c>
      <c r="L2847" s="13"/>
      <c r="M2847" s="14" t="str">
        <f>IFERROR(VLOOKUP(I2847,material!A:D,4,0),"")</f>
        <v/>
      </c>
      <c r="N2847" s="14" t="str">
        <f t="shared" si="1"/>
        <v/>
      </c>
      <c r="O2847" s="15" t="str">
        <f>IFERROR(VLOOKUP(I2847,material!A:D,2,0),"")</f>
        <v/>
      </c>
    </row>
    <row r="2848">
      <c r="A2848" s="6"/>
      <c r="B2848" s="7"/>
      <c r="C2848" s="8" t="str">
        <f t="array" ref="C2848">IFERROR(INDEX(atlas!H:H,MATCH(A2848,atlas!C:C,0)),"")</f>
        <v/>
      </c>
      <c r="D2848" s="8" t="str">
        <f t="array" ref="D2848">IFERROR(INDEX(atlas!D:D,MATCH(A2848,atlas!C:C,0)),"")</f>
        <v/>
      </c>
      <c r="E2848" s="8" t="str">
        <f t="array" ref="E2848">IFERROR(INDEX(atlas!F:F,MATCH(A2848,atlas!C:C,0)),"")</f>
        <v/>
      </c>
      <c r="F2848" s="9"/>
      <c r="G2848" s="10"/>
      <c r="H2848" s="11"/>
      <c r="I2848" s="12" t="str">
        <f t="array" ref="I2848">IFERROR(INDEX(atlas!B:B,MATCH(A2848,atlas!C:C,0)),"")</f>
        <v/>
      </c>
      <c r="J2848" s="8" t="str">
        <f>IFERROR(VLOOKUP(F2848,tecnica!A:B,2,0),"")</f>
        <v/>
      </c>
      <c r="K2848" s="8" t="str">
        <f>IFERROR(VLOOKUP(J2848,tecnica!B:C,2,0),"")</f>
        <v/>
      </c>
      <c r="L2848" s="13"/>
      <c r="M2848" s="14" t="str">
        <f>IFERROR(VLOOKUP(I2848,material!A:D,4,0),"")</f>
        <v/>
      </c>
      <c r="N2848" s="14" t="str">
        <f t="shared" si="1"/>
        <v/>
      </c>
      <c r="O2848" s="15" t="str">
        <f>IFERROR(VLOOKUP(I2848,material!A:D,2,0),"")</f>
        <v/>
      </c>
    </row>
    <row r="2849">
      <c r="A2849" s="6"/>
      <c r="B2849" s="7"/>
      <c r="C2849" s="8" t="str">
        <f t="array" ref="C2849">IFERROR(INDEX(atlas!H:H,MATCH(A2849,atlas!C:C,0)),"")</f>
        <v/>
      </c>
      <c r="D2849" s="8" t="str">
        <f t="array" ref="D2849">IFERROR(INDEX(atlas!D:D,MATCH(A2849,atlas!C:C,0)),"")</f>
        <v/>
      </c>
      <c r="E2849" s="8" t="str">
        <f t="array" ref="E2849">IFERROR(INDEX(atlas!F:F,MATCH(A2849,atlas!C:C,0)),"")</f>
        <v/>
      </c>
      <c r="F2849" s="9"/>
      <c r="G2849" s="10"/>
      <c r="H2849" s="11"/>
      <c r="I2849" s="12" t="str">
        <f t="array" ref="I2849">IFERROR(INDEX(atlas!B:B,MATCH(A2849,atlas!C:C,0)),"")</f>
        <v/>
      </c>
      <c r="J2849" s="8" t="str">
        <f>IFERROR(VLOOKUP(F2849,tecnica!A:B,2,0),"")</f>
        <v/>
      </c>
      <c r="K2849" s="8" t="str">
        <f>IFERROR(VLOOKUP(J2849,tecnica!B:C,2,0),"")</f>
        <v/>
      </c>
      <c r="L2849" s="13"/>
      <c r="M2849" s="14" t="str">
        <f>IFERROR(VLOOKUP(I2849,material!A:D,4,0),"")</f>
        <v/>
      </c>
      <c r="N2849" s="14" t="str">
        <f t="shared" si="1"/>
        <v/>
      </c>
      <c r="O2849" s="15" t="str">
        <f>IFERROR(VLOOKUP(I2849,material!A:D,2,0),"")</f>
        <v/>
      </c>
    </row>
    <row r="2850">
      <c r="A2850" s="6"/>
      <c r="B2850" s="7"/>
      <c r="C2850" s="8" t="str">
        <f t="array" ref="C2850">IFERROR(INDEX(atlas!H:H,MATCH(A2850,atlas!C:C,0)),"")</f>
        <v/>
      </c>
      <c r="D2850" s="8" t="str">
        <f t="array" ref="D2850">IFERROR(INDEX(atlas!D:D,MATCH(A2850,atlas!C:C,0)),"")</f>
        <v/>
      </c>
      <c r="E2850" s="8" t="str">
        <f t="array" ref="E2850">IFERROR(INDEX(atlas!F:F,MATCH(A2850,atlas!C:C,0)),"")</f>
        <v/>
      </c>
      <c r="F2850" s="9"/>
      <c r="G2850" s="10"/>
      <c r="H2850" s="11"/>
      <c r="I2850" s="12" t="str">
        <f t="array" ref="I2850">IFERROR(INDEX(atlas!B:B,MATCH(A2850,atlas!C:C,0)),"")</f>
        <v/>
      </c>
      <c r="J2850" s="8" t="str">
        <f>IFERROR(VLOOKUP(F2850,tecnica!A:B,2,0),"")</f>
        <v/>
      </c>
      <c r="K2850" s="8" t="str">
        <f>IFERROR(VLOOKUP(J2850,tecnica!B:C,2,0),"")</f>
        <v/>
      </c>
      <c r="L2850" s="13"/>
      <c r="M2850" s="14" t="str">
        <f>IFERROR(VLOOKUP(I2850,material!A:D,4,0),"")</f>
        <v/>
      </c>
      <c r="N2850" s="14" t="str">
        <f t="shared" si="1"/>
        <v/>
      </c>
      <c r="O2850" s="15" t="str">
        <f>IFERROR(VLOOKUP(I2850,material!A:D,2,0),"")</f>
        <v/>
      </c>
    </row>
    <row r="2851">
      <c r="A2851" s="6"/>
      <c r="B2851" s="7"/>
      <c r="C2851" s="8" t="str">
        <f t="array" ref="C2851">IFERROR(INDEX(atlas!H:H,MATCH(A2851,atlas!C:C,0)),"")</f>
        <v/>
      </c>
      <c r="D2851" s="8" t="str">
        <f t="array" ref="D2851">IFERROR(INDEX(atlas!D:D,MATCH(A2851,atlas!C:C,0)),"")</f>
        <v/>
      </c>
      <c r="E2851" s="8" t="str">
        <f t="array" ref="E2851">IFERROR(INDEX(atlas!F:F,MATCH(A2851,atlas!C:C,0)),"")</f>
        <v/>
      </c>
      <c r="F2851" s="9"/>
      <c r="G2851" s="10"/>
      <c r="H2851" s="11"/>
      <c r="I2851" s="12" t="str">
        <f t="array" ref="I2851">IFERROR(INDEX(atlas!B:B,MATCH(A2851,atlas!C:C,0)),"")</f>
        <v/>
      </c>
      <c r="J2851" s="8" t="str">
        <f>IFERROR(VLOOKUP(F2851,tecnica!A:B,2,0),"")</f>
        <v/>
      </c>
      <c r="K2851" s="8" t="str">
        <f>IFERROR(VLOOKUP(J2851,tecnica!B:C,2,0),"")</f>
        <v/>
      </c>
      <c r="L2851" s="13"/>
      <c r="M2851" s="14" t="str">
        <f>IFERROR(VLOOKUP(I2851,material!A:D,4,0),"")</f>
        <v/>
      </c>
      <c r="N2851" s="14" t="str">
        <f t="shared" si="1"/>
        <v/>
      </c>
      <c r="O2851" s="15" t="str">
        <f>IFERROR(VLOOKUP(I2851,material!A:D,2,0),"")</f>
        <v/>
      </c>
    </row>
    <row r="2852">
      <c r="A2852" s="6"/>
      <c r="B2852" s="7"/>
      <c r="C2852" s="8" t="str">
        <f t="array" ref="C2852">IFERROR(INDEX(atlas!H:H,MATCH(A2852,atlas!C:C,0)),"")</f>
        <v/>
      </c>
      <c r="D2852" s="8" t="str">
        <f t="array" ref="D2852">IFERROR(INDEX(atlas!D:D,MATCH(A2852,atlas!C:C,0)),"")</f>
        <v/>
      </c>
      <c r="E2852" s="8" t="str">
        <f t="array" ref="E2852">IFERROR(INDEX(atlas!F:F,MATCH(A2852,atlas!C:C,0)),"")</f>
        <v/>
      </c>
      <c r="F2852" s="9"/>
      <c r="G2852" s="10"/>
      <c r="H2852" s="11"/>
      <c r="I2852" s="12" t="str">
        <f t="array" ref="I2852">IFERROR(INDEX(atlas!B:B,MATCH(A2852,atlas!C:C,0)),"")</f>
        <v/>
      </c>
      <c r="J2852" s="8" t="str">
        <f>IFERROR(VLOOKUP(F2852,tecnica!A:B,2,0),"")</f>
        <v/>
      </c>
      <c r="K2852" s="8" t="str">
        <f>IFERROR(VLOOKUP(J2852,tecnica!B:C,2,0),"")</f>
        <v/>
      </c>
      <c r="L2852" s="13"/>
      <c r="M2852" s="14" t="str">
        <f>IFERROR(VLOOKUP(I2852,material!A:D,4,0),"")</f>
        <v/>
      </c>
      <c r="N2852" s="14" t="str">
        <f t="shared" si="1"/>
        <v/>
      </c>
      <c r="O2852" s="15" t="str">
        <f>IFERROR(VLOOKUP(I2852,material!A:D,2,0),"")</f>
        <v/>
      </c>
    </row>
    <row r="2853">
      <c r="A2853" s="6"/>
      <c r="B2853" s="7"/>
      <c r="C2853" s="8" t="str">
        <f t="array" ref="C2853">IFERROR(INDEX(atlas!H:H,MATCH(A2853,atlas!C:C,0)),"")</f>
        <v/>
      </c>
      <c r="D2853" s="8" t="str">
        <f t="array" ref="D2853">IFERROR(INDEX(atlas!D:D,MATCH(A2853,atlas!C:C,0)),"")</f>
        <v/>
      </c>
      <c r="E2853" s="8" t="str">
        <f t="array" ref="E2853">IFERROR(INDEX(atlas!F:F,MATCH(A2853,atlas!C:C,0)),"")</f>
        <v/>
      </c>
      <c r="F2853" s="9"/>
      <c r="G2853" s="10"/>
      <c r="H2853" s="11"/>
      <c r="I2853" s="12" t="str">
        <f t="array" ref="I2853">IFERROR(INDEX(atlas!B:B,MATCH(A2853,atlas!C:C,0)),"")</f>
        <v/>
      </c>
      <c r="J2853" s="8" t="str">
        <f>IFERROR(VLOOKUP(F2853,tecnica!A:B,2,0),"")</f>
        <v/>
      </c>
      <c r="K2853" s="8" t="str">
        <f>IFERROR(VLOOKUP(J2853,tecnica!B:C,2,0),"")</f>
        <v/>
      </c>
      <c r="L2853" s="13"/>
      <c r="M2853" s="14" t="str">
        <f>IFERROR(VLOOKUP(I2853,material!A:D,4,0),"")</f>
        <v/>
      </c>
      <c r="N2853" s="14" t="str">
        <f t="shared" si="1"/>
        <v/>
      </c>
      <c r="O2853" s="15" t="str">
        <f>IFERROR(VLOOKUP(I2853,material!A:D,2,0),"")</f>
        <v/>
      </c>
    </row>
    <row r="2854">
      <c r="A2854" s="6"/>
      <c r="B2854" s="7"/>
      <c r="C2854" s="8" t="str">
        <f t="array" ref="C2854">IFERROR(INDEX(atlas!H:H,MATCH(A2854,atlas!C:C,0)),"")</f>
        <v/>
      </c>
      <c r="D2854" s="8" t="str">
        <f t="array" ref="D2854">IFERROR(INDEX(atlas!D:D,MATCH(A2854,atlas!C:C,0)),"")</f>
        <v/>
      </c>
      <c r="E2854" s="8" t="str">
        <f t="array" ref="E2854">IFERROR(INDEX(atlas!F:F,MATCH(A2854,atlas!C:C,0)),"")</f>
        <v/>
      </c>
      <c r="F2854" s="9"/>
      <c r="G2854" s="10"/>
      <c r="H2854" s="11"/>
      <c r="I2854" s="12" t="str">
        <f t="array" ref="I2854">IFERROR(INDEX(atlas!B:B,MATCH(A2854,atlas!C:C,0)),"")</f>
        <v/>
      </c>
      <c r="J2854" s="8" t="str">
        <f>IFERROR(VLOOKUP(F2854,tecnica!A:B,2,0),"")</f>
        <v/>
      </c>
      <c r="K2854" s="8" t="str">
        <f>IFERROR(VLOOKUP(J2854,tecnica!B:C,2,0),"")</f>
        <v/>
      </c>
      <c r="L2854" s="13"/>
      <c r="M2854" s="14" t="str">
        <f>IFERROR(VLOOKUP(I2854,material!A:D,4,0),"")</f>
        <v/>
      </c>
      <c r="N2854" s="14" t="str">
        <f t="shared" si="1"/>
        <v/>
      </c>
      <c r="O2854" s="15" t="str">
        <f>IFERROR(VLOOKUP(I2854,material!A:D,2,0),"")</f>
        <v/>
      </c>
    </row>
    <row r="2855">
      <c r="A2855" s="6"/>
      <c r="B2855" s="7"/>
      <c r="C2855" s="8" t="str">
        <f t="array" ref="C2855">IFERROR(INDEX(atlas!H:H,MATCH(A2855,atlas!C:C,0)),"")</f>
        <v/>
      </c>
      <c r="D2855" s="8" t="str">
        <f t="array" ref="D2855">IFERROR(INDEX(atlas!D:D,MATCH(A2855,atlas!C:C,0)),"")</f>
        <v/>
      </c>
      <c r="E2855" s="8" t="str">
        <f t="array" ref="E2855">IFERROR(INDEX(atlas!F:F,MATCH(A2855,atlas!C:C,0)),"")</f>
        <v/>
      </c>
      <c r="F2855" s="9"/>
      <c r="G2855" s="10"/>
      <c r="H2855" s="11"/>
      <c r="I2855" s="12" t="str">
        <f t="array" ref="I2855">IFERROR(INDEX(atlas!B:B,MATCH(A2855,atlas!C:C,0)),"")</f>
        <v/>
      </c>
      <c r="J2855" s="8" t="str">
        <f>IFERROR(VLOOKUP(F2855,tecnica!A:B,2,0),"")</f>
        <v/>
      </c>
      <c r="K2855" s="8" t="str">
        <f>IFERROR(VLOOKUP(J2855,tecnica!B:C,2,0),"")</f>
        <v/>
      </c>
      <c r="L2855" s="13"/>
      <c r="M2855" s="14" t="str">
        <f>IFERROR(VLOOKUP(I2855,material!A:D,4,0),"")</f>
        <v/>
      </c>
      <c r="N2855" s="14" t="str">
        <f t="shared" si="1"/>
        <v/>
      </c>
      <c r="O2855" s="15" t="str">
        <f>IFERROR(VLOOKUP(I2855,material!A:D,2,0),"")</f>
        <v/>
      </c>
    </row>
    <row r="2856">
      <c r="A2856" s="6"/>
      <c r="B2856" s="7"/>
      <c r="C2856" s="8" t="str">
        <f t="array" ref="C2856">IFERROR(INDEX(atlas!H:H,MATCH(A2856,atlas!C:C,0)),"")</f>
        <v/>
      </c>
      <c r="D2856" s="8" t="str">
        <f t="array" ref="D2856">IFERROR(INDEX(atlas!D:D,MATCH(A2856,atlas!C:C,0)),"")</f>
        <v/>
      </c>
      <c r="E2856" s="8" t="str">
        <f t="array" ref="E2856">IFERROR(INDEX(atlas!F:F,MATCH(A2856,atlas!C:C,0)),"")</f>
        <v/>
      </c>
      <c r="F2856" s="9"/>
      <c r="G2856" s="10"/>
      <c r="H2856" s="11"/>
      <c r="I2856" s="12" t="str">
        <f t="array" ref="I2856">IFERROR(INDEX(atlas!B:B,MATCH(A2856,atlas!C:C,0)),"")</f>
        <v/>
      </c>
      <c r="J2856" s="8" t="str">
        <f>IFERROR(VLOOKUP(F2856,tecnica!A:B,2,0),"")</f>
        <v/>
      </c>
      <c r="K2856" s="8" t="str">
        <f>IFERROR(VLOOKUP(J2856,tecnica!B:C,2,0),"")</f>
        <v/>
      </c>
      <c r="L2856" s="13"/>
      <c r="M2856" s="14" t="str">
        <f>IFERROR(VLOOKUP(I2856,material!A:D,4,0),"")</f>
        <v/>
      </c>
      <c r="N2856" s="14" t="str">
        <f t="shared" si="1"/>
        <v/>
      </c>
      <c r="O2856" s="15" t="str">
        <f>IFERROR(VLOOKUP(I2856,material!A:D,2,0),"")</f>
        <v/>
      </c>
    </row>
    <row r="2857">
      <c r="A2857" s="6"/>
      <c r="B2857" s="7"/>
      <c r="C2857" s="8" t="str">
        <f t="array" ref="C2857">IFERROR(INDEX(atlas!H:H,MATCH(A2857,atlas!C:C,0)),"")</f>
        <v/>
      </c>
      <c r="D2857" s="8" t="str">
        <f t="array" ref="D2857">IFERROR(INDEX(atlas!D:D,MATCH(A2857,atlas!C:C,0)),"")</f>
        <v/>
      </c>
      <c r="E2857" s="8" t="str">
        <f t="array" ref="E2857">IFERROR(INDEX(atlas!F:F,MATCH(A2857,atlas!C:C,0)),"")</f>
        <v/>
      </c>
      <c r="F2857" s="9"/>
      <c r="G2857" s="10"/>
      <c r="H2857" s="11"/>
      <c r="I2857" s="12" t="str">
        <f t="array" ref="I2857">IFERROR(INDEX(atlas!B:B,MATCH(A2857,atlas!C:C,0)),"")</f>
        <v/>
      </c>
      <c r="J2857" s="8" t="str">
        <f>IFERROR(VLOOKUP(F2857,tecnica!A:B,2,0),"")</f>
        <v/>
      </c>
      <c r="K2857" s="8" t="str">
        <f>IFERROR(VLOOKUP(J2857,tecnica!B:C,2,0),"")</f>
        <v/>
      </c>
      <c r="L2857" s="13"/>
      <c r="M2857" s="14" t="str">
        <f>IFERROR(VLOOKUP(I2857,material!A:D,4,0),"")</f>
        <v/>
      </c>
      <c r="N2857" s="14" t="str">
        <f t="shared" si="1"/>
        <v/>
      </c>
      <c r="O2857" s="15" t="str">
        <f>IFERROR(VLOOKUP(I2857,material!A:D,2,0),"")</f>
        <v/>
      </c>
    </row>
    <row r="2858">
      <c r="A2858" s="6"/>
      <c r="B2858" s="7"/>
      <c r="C2858" s="8" t="str">
        <f t="array" ref="C2858">IFERROR(INDEX(atlas!H:H,MATCH(A2858,atlas!C:C,0)),"")</f>
        <v/>
      </c>
      <c r="D2858" s="8" t="str">
        <f t="array" ref="D2858">IFERROR(INDEX(atlas!D:D,MATCH(A2858,atlas!C:C,0)),"")</f>
        <v/>
      </c>
      <c r="E2858" s="8" t="str">
        <f t="array" ref="E2858">IFERROR(INDEX(atlas!F:F,MATCH(A2858,atlas!C:C,0)),"")</f>
        <v/>
      </c>
      <c r="F2858" s="9"/>
      <c r="G2858" s="10"/>
      <c r="H2858" s="11"/>
      <c r="I2858" s="12" t="str">
        <f t="array" ref="I2858">IFERROR(INDEX(atlas!B:B,MATCH(A2858,atlas!C:C,0)),"")</f>
        <v/>
      </c>
      <c r="J2858" s="8" t="str">
        <f>IFERROR(VLOOKUP(F2858,tecnica!A:B,2,0),"")</f>
        <v/>
      </c>
      <c r="K2858" s="8" t="str">
        <f>IFERROR(VLOOKUP(J2858,tecnica!B:C,2,0),"")</f>
        <v/>
      </c>
      <c r="L2858" s="13"/>
      <c r="M2858" s="14" t="str">
        <f>IFERROR(VLOOKUP(I2858,material!A:D,4,0),"")</f>
        <v/>
      </c>
      <c r="N2858" s="14" t="str">
        <f t="shared" si="1"/>
        <v/>
      </c>
      <c r="O2858" s="15" t="str">
        <f>IFERROR(VLOOKUP(I2858,material!A:D,2,0),"")</f>
        <v/>
      </c>
    </row>
    <row r="2859">
      <c r="A2859" s="6"/>
      <c r="B2859" s="7"/>
      <c r="C2859" s="8" t="str">
        <f t="array" ref="C2859">IFERROR(INDEX(atlas!H:H,MATCH(A2859,atlas!C:C,0)),"")</f>
        <v/>
      </c>
      <c r="D2859" s="8" t="str">
        <f t="array" ref="D2859">IFERROR(INDEX(atlas!D:D,MATCH(A2859,atlas!C:C,0)),"")</f>
        <v/>
      </c>
      <c r="E2859" s="8" t="str">
        <f t="array" ref="E2859">IFERROR(INDEX(atlas!F:F,MATCH(A2859,atlas!C:C,0)),"")</f>
        <v/>
      </c>
      <c r="F2859" s="9"/>
      <c r="G2859" s="10"/>
      <c r="H2859" s="11"/>
      <c r="I2859" s="12" t="str">
        <f t="array" ref="I2859">IFERROR(INDEX(atlas!B:B,MATCH(A2859,atlas!C:C,0)),"")</f>
        <v/>
      </c>
      <c r="J2859" s="8" t="str">
        <f>IFERROR(VLOOKUP(F2859,tecnica!A:B,2,0),"")</f>
        <v/>
      </c>
      <c r="K2859" s="8" t="str">
        <f>IFERROR(VLOOKUP(J2859,tecnica!B:C,2,0),"")</f>
        <v/>
      </c>
      <c r="L2859" s="13"/>
      <c r="M2859" s="14" t="str">
        <f>IFERROR(VLOOKUP(I2859,material!A:D,4,0),"")</f>
        <v/>
      </c>
      <c r="N2859" s="14" t="str">
        <f t="shared" si="1"/>
        <v/>
      </c>
      <c r="O2859" s="15" t="str">
        <f>IFERROR(VLOOKUP(I2859,material!A:D,2,0),"")</f>
        <v/>
      </c>
    </row>
    <row r="2860">
      <c r="A2860" s="6"/>
      <c r="B2860" s="7"/>
      <c r="C2860" s="8" t="str">
        <f t="array" ref="C2860">IFERROR(INDEX(atlas!H:H,MATCH(A2860,atlas!C:C,0)),"")</f>
        <v/>
      </c>
      <c r="D2860" s="8" t="str">
        <f t="array" ref="D2860">IFERROR(INDEX(atlas!D:D,MATCH(A2860,atlas!C:C,0)),"")</f>
        <v/>
      </c>
      <c r="E2860" s="8" t="str">
        <f t="array" ref="E2860">IFERROR(INDEX(atlas!F:F,MATCH(A2860,atlas!C:C,0)),"")</f>
        <v/>
      </c>
      <c r="F2860" s="9"/>
      <c r="G2860" s="10"/>
      <c r="H2860" s="11"/>
      <c r="I2860" s="12" t="str">
        <f t="array" ref="I2860">IFERROR(INDEX(atlas!B:B,MATCH(A2860,atlas!C:C,0)),"")</f>
        <v/>
      </c>
      <c r="J2860" s="8" t="str">
        <f>IFERROR(VLOOKUP(F2860,tecnica!A:B,2,0),"")</f>
        <v/>
      </c>
      <c r="K2860" s="8" t="str">
        <f>IFERROR(VLOOKUP(J2860,tecnica!B:C,2,0),"")</f>
        <v/>
      </c>
      <c r="L2860" s="13"/>
      <c r="M2860" s="14" t="str">
        <f>IFERROR(VLOOKUP(I2860,material!A:D,4,0),"")</f>
        <v/>
      </c>
      <c r="N2860" s="14" t="str">
        <f t="shared" si="1"/>
        <v/>
      </c>
      <c r="O2860" s="15" t="str">
        <f>IFERROR(VLOOKUP(I2860,material!A:D,2,0),"")</f>
        <v/>
      </c>
    </row>
    <row r="2861">
      <c r="A2861" s="6"/>
      <c r="B2861" s="7"/>
      <c r="C2861" s="8" t="str">
        <f t="array" ref="C2861">IFERROR(INDEX(atlas!H:H,MATCH(A2861,atlas!C:C,0)),"")</f>
        <v/>
      </c>
      <c r="D2861" s="8" t="str">
        <f t="array" ref="D2861">IFERROR(INDEX(atlas!D:D,MATCH(A2861,atlas!C:C,0)),"")</f>
        <v/>
      </c>
      <c r="E2861" s="8" t="str">
        <f t="array" ref="E2861">IFERROR(INDEX(atlas!F:F,MATCH(A2861,atlas!C:C,0)),"")</f>
        <v/>
      </c>
      <c r="F2861" s="9"/>
      <c r="G2861" s="10"/>
      <c r="H2861" s="11"/>
      <c r="I2861" s="12" t="str">
        <f t="array" ref="I2861">IFERROR(INDEX(atlas!B:B,MATCH(A2861,atlas!C:C,0)),"")</f>
        <v/>
      </c>
      <c r="J2861" s="8" t="str">
        <f>IFERROR(VLOOKUP(F2861,tecnica!A:B,2,0),"")</f>
        <v/>
      </c>
      <c r="K2861" s="8" t="str">
        <f>IFERROR(VLOOKUP(J2861,tecnica!B:C,2,0),"")</f>
        <v/>
      </c>
      <c r="L2861" s="13"/>
      <c r="M2861" s="14" t="str">
        <f>IFERROR(VLOOKUP(I2861,material!A:D,4,0),"")</f>
        <v/>
      </c>
      <c r="N2861" s="14" t="str">
        <f t="shared" si="1"/>
        <v/>
      </c>
      <c r="O2861" s="15" t="str">
        <f>IFERROR(VLOOKUP(I2861,material!A:D,2,0),"")</f>
        <v/>
      </c>
    </row>
    <row r="2862">
      <c r="A2862" s="6"/>
      <c r="B2862" s="7"/>
      <c r="C2862" s="8" t="str">
        <f t="array" ref="C2862">IFERROR(INDEX(atlas!H:H,MATCH(A2862,atlas!C:C,0)),"")</f>
        <v/>
      </c>
      <c r="D2862" s="8" t="str">
        <f t="array" ref="D2862">IFERROR(INDEX(atlas!D:D,MATCH(A2862,atlas!C:C,0)),"")</f>
        <v/>
      </c>
      <c r="E2862" s="8" t="str">
        <f t="array" ref="E2862">IFERROR(INDEX(atlas!F:F,MATCH(A2862,atlas!C:C,0)),"")</f>
        <v/>
      </c>
      <c r="F2862" s="9"/>
      <c r="G2862" s="10"/>
      <c r="H2862" s="11"/>
      <c r="I2862" s="12" t="str">
        <f t="array" ref="I2862">IFERROR(INDEX(atlas!B:B,MATCH(A2862,atlas!C:C,0)),"")</f>
        <v/>
      </c>
      <c r="J2862" s="8" t="str">
        <f>IFERROR(VLOOKUP(F2862,tecnica!A:B,2,0),"")</f>
        <v/>
      </c>
      <c r="K2862" s="8" t="str">
        <f>IFERROR(VLOOKUP(J2862,tecnica!B:C,2,0),"")</f>
        <v/>
      </c>
      <c r="L2862" s="13"/>
      <c r="M2862" s="14" t="str">
        <f>IFERROR(VLOOKUP(I2862,material!A:D,4,0),"")</f>
        <v/>
      </c>
      <c r="N2862" s="14" t="str">
        <f t="shared" si="1"/>
        <v/>
      </c>
      <c r="O2862" s="15" t="str">
        <f>IFERROR(VLOOKUP(I2862,material!A:D,2,0),"")</f>
        <v/>
      </c>
    </row>
    <row r="2863">
      <c r="A2863" s="6"/>
      <c r="B2863" s="7"/>
      <c r="C2863" s="8" t="str">
        <f t="array" ref="C2863">IFERROR(INDEX(atlas!H:H,MATCH(A2863,atlas!C:C,0)),"")</f>
        <v/>
      </c>
      <c r="D2863" s="8" t="str">
        <f t="array" ref="D2863">IFERROR(INDEX(atlas!D:D,MATCH(A2863,atlas!C:C,0)),"")</f>
        <v/>
      </c>
      <c r="E2863" s="8" t="str">
        <f t="array" ref="E2863">IFERROR(INDEX(atlas!F:F,MATCH(A2863,atlas!C:C,0)),"")</f>
        <v/>
      </c>
      <c r="F2863" s="9"/>
      <c r="G2863" s="10"/>
      <c r="H2863" s="11"/>
      <c r="I2863" s="12" t="str">
        <f t="array" ref="I2863">IFERROR(INDEX(atlas!B:B,MATCH(A2863,atlas!C:C,0)),"")</f>
        <v/>
      </c>
      <c r="J2863" s="8" t="str">
        <f>IFERROR(VLOOKUP(F2863,tecnica!A:B,2,0),"")</f>
        <v/>
      </c>
      <c r="K2863" s="8" t="str">
        <f>IFERROR(VLOOKUP(J2863,tecnica!B:C,2,0),"")</f>
        <v/>
      </c>
      <c r="L2863" s="13"/>
      <c r="M2863" s="14" t="str">
        <f>IFERROR(VLOOKUP(I2863,material!A:D,4,0),"")</f>
        <v/>
      </c>
      <c r="N2863" s="14" t="str">
        <f t="shared" si="1"/>
        <v/>
      </c>
      <c r="O2863" s="15" t="str">
        <f>IFERROR(VLOOKUP(I2863,material!A:D,2,0),"")</f>
        <v/>
      </c>
    </row>
    <row r="2864">
      <c r="A2864" s="6"/>
      <c r="B2864" s="7"/>
      <c r="C2864" s="8" t="str">
        <f t="array" ref="C2864">IFERROR(INDEX(atlas!H:H,MATCH(A2864,atlas!C:C,0)),"")</f>
        <v/>
      </c>
      <c r="D2864" s="8" t="str">
        <f t="array" ref="D2864">IFERROR(INDEX(atlas!D:D,MATCH(A2864,atlas!C:C,0)),"")</f>
        <v/>
      </c>
      <c r="E2864" s="8" t="str">
        <f t="array" ref="E2864">IFERROR(INDEX(atlas!F:F,MATCH(A2864,atlas!C:C,0)),"")</f>
        <v/>
      </c>
      <c r="F2864" s="9"/>
      <c r="G2864" s="10"/>
      <c r="H2864" s="11"/>
      <c r="I2864" s="12" t="str">
        <f t="array" ref="I2864">IFERROR(INDEX(atlas!B:B,MATCH(A2864,atlas!C:C,0)),"")</f>
        <v/>
      </c>
      <c r="J2864" s="8" t="str">
        <f>IFERROR(VLOOKUP(F2864,tecnica!A:B,2,0),"")</f>
        <v/>
      </c>
      <c r="K2864" s="8" t="str">
        <f>IFERROR(VLOOKUP(J2864,tecnica!B:C,2,0),"")</f>
        <v/>
      </c>
      <c r="L2864" s="13"/>
      <c r="M2864" s="14" t="str">
        <f>IFERROR(VLOOKUP(I2864,material!A:D,4,0),"")</f>
        <v/>
      </c>
      <c r="N2864" s="14" t="str">
        <f t="shared" si="1"/>
        <v/>
      </c>
      <c r="O2864" s="15" t="str">
        <f>IFERROR(VLOOKUP(I2864,material!A:D,2,0),"")</f>
        <v/>
      </c>
    </row>
    <row r="2865">
      <c r="A2865" s="6"/>
      <c r="B2865" s="7"/>
      <c r="C2865" s="8" t="str">
        <f t="array" ref="C2865">IFERROR(INDEX(atlas!H:H,MATCH(A2865,atlas!C:C,0)),"")</f>
        <v/>
      </c>
      <c r="D2865" s="8" t="str">
        <f t="array" ref="D2865">IFERROR(INDEX(atlas!D:D,MATCH(A2865,atlas!C:C,0)),"")</f>
        <v/>
      </c>
      <c r="E2865" s="8" t="str">
        <f t="array" ref="E2865">IFERROR(INDEX(atlas!F:F,MATCH(A2865,atlas!C:C,0)),"")</f>
        <v/>
      </c>
      <c r="F2865" s="9"/>
      <c r="G2865" s="10"/>
      <c r="H2865" s="11"/>
      <c r="I2865" s="12" t="str">
        <f t="array" ref="I2865">IFERROR(INDEX(atlas!B:B,MATCH(A2865,atlas!C:C,0)),"")</f>
        <v/>
      </c>
      <c r="J2865" s="8" t="str">
        <f>IFERROR(VLOOKUP(F2865,tecnica!A:B,2,0),"")</f>
        <v/>
      </c>
      <c r="K2865" s="8" t="str">
        <f>IFERROR(VLOOKUP(J2865,tecnica!B:C,2,0),"")</f>
        <v/>
      </c>
      <c r="L2865" s="13"/>
      <c r="M2865" s="14" t="str">
        <f>IFERROR(VLOOKUP(I2865,material!A:D,4,0),"")</f>
        <v/>
      </c>
      <c r="N2865" s="14" t="str">
        <f t="shared" si="1"/>
        <v/>
      </c>
      <c r="O2865" s="15" t="str">
        <f>IFERROR(VLOOKUP(I2865,material!A:D,2,0),"")</f>
        <v/>
      </c>
    </row>
    <row r="2866">
      <c r="A2866" s="6"/>
      <c r="B2866" s="7"/>
      <c r="C2866" s="8" t="str">
        <f t="array" ref="C2866">IFERROR(INDEX(atlas!H:H,MATCH(A2866,atlas!C:C,0)),"")</f>
        <v/>
      </c>
      <c r="D2866" s="8" t="str">
        <f t="array" ref="D2866">IFERROR(INDEX(atlas!D:D,MATCH(A2866,atlas!C:C,0)),"")</f>
        <v/>
      </c>
      <c r="E2866" s="8" t="str">
        <f t="array" ref="E2866">IFERROR(INDEX(atlas!F:F,MATCH(A2866,atlas!C:C,0)),"")</f>
        <v/>
      </c>
      <c r="F2866" s="9"/>
      <c r="G2866" s="10"/>
      <c r="H2866" s="11"/>
      <c r="I2866" s="12" t="str">
        <f t="array" ref="I2866">IFERROR(INDEX(atlas!B:B,MATCH(A2866,atlas!C:C,0)),"")</f>
        <v/>
      </c>
      <c r="J2866" s="8" t="str">
        <f>IFERROR(VLOOKUP(F2866,tecnica!A:B,2,0),"")</f>
        <v/>
      </c>
      <c r="K2866" s="8" t="str">
        <f>IFERROR(VLOOKUP(J2866,tecnica!B:C,2,0),"")</f>
        <v/>
      </c>
      <c r="L2866" s="13"/>
      <c r="M2866" s="14" t="str">
        <f>IFERROR(VLOOKUP(I2866,material!A:D,4,0),"")</f>
        <v/>
      </c>
      <c r="N2866" s="14" t="str">
        <f t="shared" si="1"/>
        <v/>
      </c>
      <c r="O2866" s="15" t="str">
        <f>IFERROR(VLOOKUP(I2866,material!A:D,2,0),"")</f>
        <v/>
      </c>
    </row>
    <row r="2867">
      <c r="A2867" s="6"/>
      <c r="B2867" s="7"/>
      <c r="C2867" s="8" t="str">
        <f t="array" ref="C2867">IFERROR(INDEX(atlas!H:H,MATCH(A2867,atlas!C:C,0)),"")</f>
        <v/>
      </c>
      <c r="D2867" s="8" t="str">
        <f t="array" ref="D2867">IFERROR(INDEX(atlas!D:D,MATCH(A2867,atlas!C:C,0)),"")</f>
        <v/>
      </c>
      <c r="E2867" s="8" t="str">
        <f t="array" ref="E2867">IFERROR(INDEX(atlas!F:F,MATCH(A2867,atlas!C:C,0)),"")</f>
        <v/>
      </c>
      <c r="F2867" s="9"/>
      <c r="G2867" s="10"/>
      <c r="H2867" s="11"/>
      <c r="I2867" s="12" t="str">
        <f t="array" ref="I2867">IFERROR(INDEX(atlas!B:B,MATCH(A2867,atlas!C:C,0)),"")</f>
        <v/>
      </c>
      <c r="J2867" s="8" t="str">
        <f>IFERROR(VLOOKUP(F2867,tecnica!A:B,2,0),"")</f>
        <v/>
      </c>
      <c r="K2867" s="8" t="str">
        <f>IFERROR(VLOOKUP(J2867,tecnica!B:C,2,0),"")</f>
        <v/>
      </c>
      <c r="L2867" s="13"/>
      <c r="M2867" s="14" t="str">
        <f>IFERROR(VLOOKUP(I2867,material!A:D,4,0),"")</f>
        <v/>
      </c>
      <c r="N2867" s="14" t="str">
        <f t="shared" si="1"/>
        <v/>
      </c>
      <c r="O2867" s="15" t="str">
        <f>IFERROR(VLOOKUP(I2867,material!A:D,2,0),"")</f>
        <v/>
      </c>
    </row>
    <row r="2868">
      <c r="A2868" s="6"/>
      <c r="B2868" s="7"/>
      <c r="C2868" s="8" t="str">
        <f t="array" ref="C2868">IFERROR(INDEX(atlas!H:H,MATCH(A2868,atlas!C:C,0)),"")</f>
        <v/>
      </c>
      <c r="D2868" s="8" t="str">
        <f t="array" ref="D2868">IFERROR(INDEX(atlas!D:D,MATCH(A2868,atlas!C:C,0)),"")</f>
        <v/>
      </c>
      <c r="E2868" s="8" t="str">
        <f t="array" ref="E2868">IFERROR(INDEX(atlas!F:F,MATCH(A2868,atlas!C:C,0)),"")</f>
        <v/>
      </c>
      <c r="F2868" s="9"/>
      <c r="G2868" s="10"/>
      <c r="H2868" s="11"/>
      <c r="I2868" s="12" t="str">
        <f t="array" ref="I2868">IFERROR(INDEX(atlas!B:B,MATCH(A2868,atlas!C:C,0)),"")</f>
        <v/>
      </c>
      <c r="J2868" s="8" t="str">
        <f>IFERROR(VLOOKUP(F2868,tecnica!A:B,2,0),"")</f>
        <v/>
      </c>
      <c r="K2868" s="8" t="str">
        <f>IFERROR(VLOOKUP(J2868,tecnica!B:C,2,0),"")</f>
        <v/>
      </c>
      <c r="L2868" s="13"/>
      <c r="M2868" s="14" t="str">
        <f>IFERROR(VLOOKUP(I2868,material!A:D,4,0),"")</f>
        <v/>
      </c>
      <c r="N2868" s="14" t="str">
        <f t="shared" si="1"/>
        <v/>
      </c>
      <c r="O2868" s="15" t="str">
        <f>IFERROR(VLOOKUP(I2868,material!A:D,2,0),"")</f>
        <v/>
      </c>
    </row>
    <row r="2869">
      <c r="A2869" s="6"/>
      <c r="B2869" s="7"/>
      <c r="C2869" s="8" t="str">
        <f t="array" ref="C2869">IFERROR(INDEX(atlas!H:H,MATCH(A2869,atlas!C:C,0)),"")</f>
        <v/>
      </c>
      <c r="D2869" s="8" t="str">
        <f t="array" ref="D2869">IFERROR(INDEX(atlas!D:D,MATCH(A2869,atlas!C:C,0)),"")</f>
        <v/>
      </c>
      <c r="E2869" s="8" t="str">
        <f t="array" ref="E2869">IFERROR(INDEX(atlas!F:F,MATCH(A2869,atlas!C:C,0)),"")</f>
        <v/>
      </c>
      <c r="F2869" s="9"/>
      <c r="G2869" s="10"/>
      <c r="H2869" s="11"/>
      <c r="I2869" s="12" t="str">
        <f t="array" ref="I2869">IFERROR(INDEX(atlas!B:B,MATCH(A2869,atlas!C:C,0)),"")</f>
        <v/>
      </c>
      <c r="J2869" s="8" t="str">
        <f>IFERROR(VLOOKUP(F2869,tecnica!A:B,2,0),"")</f>
        <v/>
      </c>
      <c r="K2869" s="8" t="str">
        <f>IFERROR(VLOOKUP(J2869,tecnica!B:C,2,0),"")</f>
        <v/>
      </c>
      <c r="L2869" s="13"/>
      <c r="M2869" s="14" t="str">
        <f>IFERROR(VLOOKUP(I2869,material!A:D,4,0),"")</f>
        <v/>
      </c>
      <c r="N2869" s="14" t="str">
        <f t="shared" si="1"/>
        <v/>
      </c>
      <c r="O2869" s="15" t="str">
        <f>IFERROR(VLOOKUP(I2869,material!A:D,2,0),"")</f>
        <v/>
      </c>
    </row>
    <row r="2870">
      <c r="A2870" s="6"/>
      <c r="B2870" s="7"/>
      <c r="C2870" s="8" t="str">
        <f t="array" ref="C2870">IFERROR(INDEX(atlas!H:H,MATCH(A2870,atlas!C:C,0)),"")</f>
        <v/>
      </c>
      <c r="D2870" s="8" t="str">
        <f t="array" ref="D2870">IFERROR(INDEX(atlas!D:D,MATCH(A2870,atlas!C:C,0)),"")</f>
        <v/>
      </c>
      <c r="E2870" s="8" t="str">
        <f t="array" ref="E2870">IFERROR(INDEX(atlas!F:F,MATCH(A2870,atlas!C:C,0)),"")</f>
        <v/>
      </c>
      <c r="F2870" s="9"/>
      <c r="G2870" s="10"/>
      <c r="H2870" s="11"/>
      <c r="I2870" s="12" t="str">
        <f t="array" ref="I2870">IFERROR(INDEX(atlas!B:B,MATCH(A2870,atlas!C:C,0)),"")</f>
        <v/>
      </c>
      <c r="J2870" s="8" t="str">
        <f>IFERROR(VLOOKUP(F2870,tecnica!A:B,2,0),"")</f>
        <v/>
      </c>
      <c r="K2870" s="8" t="str">
        <f>IFERROR(VLOOKUP(J2870,tecnica!B:C,2,0),"")</f>
        <v/>
      </c>
      <c r="L2870" s="13"/>
      <c r="M2870" s="14" t="str">
        <f>IFERROR(VLOOKUP(I2870,material!A:D,4,0),"")</f>
        <v/>
      </c>
      <c r="N2870" s="14" t="str">
        <f t="shared" si="1"/>
        <v/>
      </c>
      <c r="O2870" s="15" t="str">
        <f>IFERROR(VLOOKUP(I2870,material!A:D,2,0),"")</f>
        <v/>
      </c>
    </row>
    <row r="2871">
      <c r="A2871" s="6"/>
      <c r="B2871" s="7"/>
      <c r="C2871" s="8" t="str">
        <f t="array" ref="C2871">IFERROR(INDEX(atlas!H:H,MATCH(A2871,atlas!C:C,0)),"")</f>
        <v/>
      </c>
      <c r="D2871" s="8" t="str">
        <f t="array" ref="D2871">IFERROR(INDEX(atlas!D:D,MATCH(A2871,atlas!C:C,0)),"")</f>
        <v/>
      </c>
      <c r="E2871" s="8" t="str">
        <f t="array" ref="E2871">IFERROR(INDEX(atlas!F:F,MATCH(A2871,atlas!C:C,0)),"")</f>
        <v/>
      </c>
      <c r="F2871" s="9"/>
      <c r="G2871" s="10"/>
      <c r="H2871" s="11"/>
      <c r="I2871" s="12" t="str">
        <f t="array" ref="I2871">IFERROR(INDEX(atlas!B:B,MATCH(A2871,atlas!C:C,0)),"")</f>
        <v/>
      </c>
      <c r="J2871" s="8" t="str">
        <f>IFERROR(VLOOKUP(F2871,tecnica!A:B,2,0),"")</f>
        <v/>
      </c>
      <c r="K2871" s="8" t="str">
        <f>IFERROR(VLOOKUP(J2871,tecnica!B:C,2,0),"")</f>
        <v/>
      </c>
      <c r="L2871" s="13"/>
      <c r="M2871" s="14" t="str">
        <f>IFERROR(VLOOKUP(I2871,material!A:D,4,0),"")</f>
        <v/>
      </c>
      <c r="N2871" s="14" t="str">
        <f t="shared" si="1"/>
        <v/>
      </c>
      <c r="O2871" s="15" t="str">
        <f>IFERROR(VLOOKUP(I2871,material!A:D,2,0),"")</f>
        <v/>
      </c>
    </row>
    <row r="2872">
      <c r="A2872" s="6"/>
      <c r="B2872" s="7"/>
      <c r="C2872" s="8" t="str">
        <f t="array" ref="C2872">IFERROR(INDEX(atlas!H:H,MATCH(A2872,atlas!C:C,0)),"")</f>
        <v/>
      </c>
      <c r="D2872" s="8" t="str">
        <f t="array" ref="D2872">IFERROR(INDEX(atlas!D:D,MATCH(A2872,atlas!C:C,0)),"")</f>
        <v/>
      </c>
      <c r="E2872" s="8" t="str">
        <f t="array" ref="E2872">IFERROR(INDEX(atlas!F:F,MATCH(A2872,atlas!C:C,0)),"")</f>
        <v/>
      </c>
      <c r="F2872" s="9"/>
      <c r="G2872" s="10"/>
      <c r="H2872" s="11"/>
      <c r="I2872" s="12" t="str">
        <f t="array" ref="I2872">IFERROR(INDEX(atlas!B:B,MATCH(A2872,atlas!C:C,0)),"")</f>
        <v/>
      </c>
      <c r="J2872" s="8" t="str">
        <f>IFERROR(VLOOKUP(F2872,tecnica!A:B,2,0),"")</f>
        <v/>
      </c>
      <c r="K2872" s="8" t="str">
        <f>IFERROR(VLOOKUP(J2872,tecnica!B:C,2,0),"")</f>
        <v/>
      </c>
      <c r="L2872" s="13"/>
      <c r="M2872" s="14" t="str">
        <f>IFERROR(VLOOKUP(I2872,material!A:D,4,0),"")</f>
        <v/>
      </c>
      <c r="N2872" s="14" t="str">
        <f t="shared" si="1"/>
        <v/>
      </c>
      <c r="O2872" s="15" t="str">
        <f>IFERROR(VLOOKUP(I2872,material!A:D,2,0),"")</f>
        <v/>
      </c>
    </row>
    <row r="2873">
      <c r="A2873" s="6"/>
      <c r="B2873" s="7"/>
      <c r="C2873" s="8" t="str">
        <f t="array" ref="C2873">IFERROR(INDEX(atlas!H:H,MATCH(A2873,atlas!C:C,0)),"")</f>
        <v/>
      </c>
      <c r="D2873" s="8" t="str">
        <f t="array" ref="D2873">IFERROR(INDEX(atlas!D:D,MATCH(A2873,atlas!C:C,0)),"")</f>
        <v/>
      </c>
      <c r="E2873" s="8" t="str">
        <f t="array" ref="E2873">IFERROR(INDEX(atlas!F:F,MATCH(A2873,atlas!C:C,0)),"")</f>
        <v/>
      </c>
      <c r="F2873" s="9"/>
      <c r="G2873" s="10"/>
      <c r="H2873" s="11"/>
      <c r="I2873" s="12" t="str">
        <f t="array" ref="I2873">IFERROR(INDEX(atlas!B:B,MATCH(A2873,atlas!C:C,0)),"")</f>
        <v/>
      </c>
      <c r="J2873" s="8" t="str">
        <f>IFERROR(VLOOKUP(F2873,tecnica!A:B,2,0),"")</f>
        <v/>
      </c>
      <c r="K2873" s="8" t="str">
        <f>IFERROR(VLOOKUP(J2873,tecnica!B:C,2,0),"")</f>
        <v/>
      </c>
      <c r="L2873" s="13"/>
      <c r="M2873" s="14" t="str">
        <f>IFERROR(VLOOKUP(I2873,material!A:D,4,0),"")</f>
        <v/>
      </c>
      <c r="N2873" s="14" t="str">
        <f t="shared" si="1"/>
        <v/>
      </c>
      <c r="O2873" s="15" t="str">
        <f>IFERROR(VLOOKUP(I2873,material!A:D,2,0),"")</f>
        <v/>
      </c>
    </row>
    <row r="2874">
      <c r="A2874" s="6"/>
      <c r="B2874" s="7"/>
      <c r="C2874" s="8" t="str">
        <f t="array" ref="C2874">IFERROR(INDEX(atlas!H:H,MATCH(A2874,atlas!C:C,0)),"")</f>
        <v/>
      </c>
      <c r="D2874" s="8" t="str">
        <f t="array" ref="D2874">IFERROR(INDEX(atlas!D:D,MATCH(A2874,atlas!C:C,0)),"")</f>
        <v/>
      </c>
      <c r="E2874" s="8" t="str">
        <f t="array" ref="E2874">IFERROR(INDEX(atlas!F:F,MATCH(A2874,atlas!C:C,0)),"")</f>
        <v/>
      </c>
      <c r="F2874" s="9"/>
      <c r="G2874" s="10"/>
      <c r="H2874" s="11"/>
      <c r="I2874" s="12" t="str">
        <f t="array" ref="I2874">IFERROR(INDEX(atlas!B:B,MATCH(A2874,atlas!C:C,0)),"")</f>
        <v/>
      </c>
      <c r="J2874" s="8" t="str">
        <f>IFERROR(VLOOKUP(F2874,tecnica!A:B,2,0),"")</f>
        <v/>
      </c>
      <c r="K2874" s="8" t="str">
        <f>IFERROR(VLOOKUP(J2874,tecnica!B:C,2,0),"")</f>
        <v/>
      </c>
      <c r="L2874" s="13"/>
      <c r="M2874" s="14" t="str">
        <f>IFERROR(VLOOKUP(I2874,material!A:D,4,0),"")</f>
        <v/>
      </c>
      <c r="N2874" s="14" t="str">
        <f t="shared" si="1"/>
        <v/>
      </c>
      <c r="O2874" s="15" t="str">
        <f>IFERROR(VLOOKUP(I2874,material!A:D,2,0),"")</f>
        <v/>
      </c>
    </row>
    <row r="2875">
      <c r="A2875" s="6"/>
      <c r="B2875" s="7"/>
      <c r="C2875" s="8" t="str">
        <f t="array" ref="C2875">IFERROR(INDEX(atlas!H:H,MATCH(A2875,atlas!C:C,0)),"")</f>
        <v/>
      </c>
      <c r="D2875" s="8" t="str">
        <f t="array" ref="D2875">IFERROR(INDEX(atlas!D:D,MATCH(A2875,atlas!C:C,0)),"")</f>
        <v/>
      </c>
      <c r="E2875" s="8" t="str">
        <f t="array" ref="E2875">IFERROR(INDEX(atlas!F:F,MATCH(A2875,atlas!C:C,0)),"")</f>
        <v/>
      </c>
      <c r="F2875" s="9"/>
      <c r="G2875" s="10"/>
      <c r="H2875" s="11"/>
      <c r="I2875" s="12" t="str">
        <f t="array" ref="I2875">IFERROR(INDEX(atlas!B:B,MATCH(A2875,atlas!C:C,0)),"")</f>
        <v/>
      </c>
      <c r="J2875" s="8" t="str">
        <f>IFERROR(VLOOKUP(F2875,tecnica!A:B,2,0),"")</f>
        <v/>
      </c>
      <c r="K2875" s="8" t="str">
        <f>IFERROR(VLOOKUP(J2875,tecnica!B:C,2,0),"")</f>
        <v/>
      </c>
      <c r="L2875" s="13"/>
      <c r="M2875" s="14" t="str">
        <f>IFERROR(VLOOKUP(I2875,material!A:D,4,0),"")</f>
        <v/>
      </c>
      <c r="N2875" s="14" t="str">
        <f t="shared" si="1"/>
        <v/>
      </c>
      <c r="O2875" s="15" t="str">
        <f>IFERROR(VLOOKUP(I2875,material!A:D,2,0),"")</f>
        <v/>
      </c>
    </row>
    <row r="2876">
      <c r="A2876" s="6"/>
      <c r="B2876" s="7"/>
      <c r="C2876" s="8" t="str">
        <f t="array" ref="C2876">IFERROR(INDEX(atlas!H:H,MATCH(A2876,atlas!C:C,0)),"")</f>
        <v/>
      </c>
      <c r="D2876" s="8" t="str">
        <f t="array" ref="D2876">IFERROR(INDEX(atlas!D:D,MATCH(A2876,atlas!C:C,0)),"")</f>
        <v/>
      </c>
      <c r="E2876" s="8" t="str">
        <f t="array" ref="E2876">IFERROR(INDEX(atlas!F:F,MATCH(A2876,atlas!C:C,0)),"")</f>
        <v/>
      </c>
      <c r="F2876" s="9"/>
      <c r="G2876" s="10"/>
      <c r="H2876" s="11"/>
      <c r="I2876" s="12" t="str">
        <f t="array" ref="I2876">IFERROR(INDEX(atlas!B:B,MATCH(A2876,atlas!C:C,0)),"")</f>
        <v/>
      </c>
      <c r="J2876" s="8" t="str">
        <f>IFERROR(VLOOKUP(F2876,tecnica!A:B,2,0),"")</f>
        <v/>
      </c>
      <c r="K2876" s="8" t="str">
        <f>IFERROR(VLOOKUP(J2876,tecnica!B:C,2,0),"")</f>
        <v/>
      </c>
      <c r="L2876" s="13"/>
      <c r="M2876" s="14" t="str">
        <f>IFERROR(VLOOKUP(I2876,material!A:D,4,0),"")</f>
        <v/>
      </c>
      <c r="N2876" s="14" t="str">
        <f t="shared" si="1"/>
        <v/>
      </c>
      <c r="O2876" s="15" t="str">
        <f>IFERROR(VLOOKUP(I2876,material!A:D,2,0),"")</f>
        <v/>
      </c>
    </row>
    <row r="2877">
      <c r="A2877" s="6"/>
      <c r="B2877" s="7"/>
      <c r="C2877" s="8" t="str">
        <f t="array" ref="C2877">IFERROR(INDEX(atlas!H:H,MATCH(A2877,atlas!C:C,0)),"")</f>
        <v/>
      </c>
      <c r="D2877" s="8" t="str">
        <f t="array" ref="D2877">IFERROR(INDEX(atlas!D:D,MATCH(A2877,atlas!C:C,0)),"")</f>
        <v/>
      </c>
      <c r="E2877" s="8" t="str">
        <f t="array" ref="E2877">IFERROR(INDEX(atlas!F:F,MATCH(A2877,atlas!C:C,0)),"")</f>
        <v/>
      </c>
      <c r="F2877" s="9"/>
      <c r="G2877" s="10"/>
      <c r="H2877" s="11"/>
      <c r="I2877" s="12" t="str">
        <f t="array" ref="I2877">IFERROR(INDEX(atlas!B:B,MATCH(A2877,atlas!C:C,0)),"")</f>
        <v/>
      </c>
      <c r="J2877" s="8" t="str">
        <f>IFERROR(VLOOKUP(F2877,tecnica!A:B,2,0),"")</f>
        <v/>
      </c>
      <c r="K2877" s="8" t="str">
        <f>IFERROR(VLOOKUP(J2877,tecnica!B:C,2,0),"")</f>
        <v/>
      </c>
      <c r="L2877" s="13"/>
      <c r="M2877" s="14" t="str">
        <f>IFERROR(VLOOKUP(I2877,material!A:D,4,0),"")</f>
        <v/>
      </c>
      <c r="N2877" s="14" t="str">
        <f t="shared" si="1"/>
        <v/>
      </c>
      <c r="O2877" s="15" t="str">
        <f>IFERROR(VLOOKUP(I2877,material!A:D,2,0),"")</f>
        <v/>
      </c>
    </row>
    <row r="2878">
      <c r="A2878" s="6"/>
      <c r="B2878" s="7"/>
      <c r="C2878" s="8" t="str">
        <f t="array" ref="C2878">IFERROR(INDEX(atlas!H:H,MATCH(A2878,atlas!C:C,0)),"")</f>
        <v/>
      </c>
      <c r="D2878" s="8" t="str">
        <f t="array" ref="D2878">IFERROR(INDEX(atlas!D:D,MATCH(A2878,atlas!C:C,0)),"")</f>
        <v/>
      </c>
      <c r="E2878" s="8" t="str">
        <f t="array" ref="E2878">IFERROR(INDEX(atlas!F:F,MATCH(A2878,atlas!C:C,0)),"")</f>
        <v/>
      </c>
      <c r="F2878" s="9"/>
      <c r="G2878" s="10"/>
      <c r="H2878" s="11"/>
      <c r="I2878" s="12" t="str">
        <f t="array" ref="I2878">IFERROR(INDEX(atlas!B:B,MATCH(A2878,atlas!C:C,0)),"")</f>
        <v/>
      </c>
      <c r="J2878" s="8" t="str">
        <f>IFERROR(VLOOKUP(F2878,tecnica!A:B,2,0),"")</f>
        <v/>
      </c>
      <c r="K2878" s="8" t="str">
        <f>IFERROR(VLOOKUP(J2878,tecnica!B:C,2,0),"")</f>
        <v/>
      </c>
      <c r="L2878" s="13"/>
      <c r="M2878" s="14" t="str">
        <f>IFERROR(VLOOKUP(I2878,material!A:D,4,0),"")</f>
        <v/>
      </c>
      <c r="N2878" s="14" t="str">
        <f t="shared" si="1"/>
        <v/>
      </c>
      <c r="O2878" s="15" t="str">
        <f>IFERROR(VLOOKUP(I2878,material!A:D,2,0),"")</f>
        <v/>
      </c>
    </row>
    <row r="2879">
      <c r="A2879" s="6"/>
      <c r="B2879" s="7"/>
      <c r="C2879" s="8" t="str">
        <f t="array" ref="C2879">IFERROR(INDEX(atlas!H:H,MATCH(A2879,atlas!C:C,0)),"")</f>
        <v/>
      </c>
      <c r="D2879" s="8" t="str">
        <f t="array" ref="D2879">IFERROR(INDEX(atlas!D:D,MATCH(A2879,atlas!C:C,0)),"")</f>
        <v/>
      </c>
      <c r="E2879" s="8" t="str">
        <f t="array" ref="E2879">IFERROR(INDEX(atlas!F:F,MATCH(A2879,atlas!C:C,0)),"")</f>
        <v/>
      </c>
      <c r="F2879" s="9"/>
      <c r="G2879" s="10"/>
      <c r="H2879" s="11"/>
      <c r="I2879" s="12" t="str">
        <f t="array" ref="I2879">IFERROR(INDEX(atlas!B:B,MATCH(A2879,atlas!C:C,0)),"")</f>
        <v/>
      </c>
      <c r="J2879" s="8" t="str">
        <f>IFERROR(VLOOKUP(F2879,tecnica!A:B,2,0),"")</f>
        <v/>
      </c>
      <c r="K2879" s="8" t="str">
        <f>IFERROR(VLOOKUP(J2879,tecnica!B:C,2,0),"")</f>
        <v/>
      </c>
      <c r="L2879" s="13"/>
      <c r="M2879" s="14" t="str">
        <f>IFERROR(VLOOKUP(I2879,material!A:D,4,0),"")</f>
        <v/>
      </c>
      <c r="N2879" s="14" t="str">
        <f t="shared" si="1"/>
        <v/>
      </c>
      <c r="O2879" s="15" t="str">
        <f>IFERROR(VLOOKUP(I2879,material!A:D,2,0),"")</f>
        <v/>
      </c>
    </row>
    <row r="2880">
      <c r="A2880" s="6"/>
      <c r="B2880" s="7"/>
      <c r="C2880" s="8" t="str">
        <f t="array" ref="C2880">IFERROR(INDEX(atlas!H:H,MATCH(A2880,atlas!C:C,0)),"")</f>
        <v/>
      </c>
      <c r="D2880" s="8" t="str">
        <f t="array" ref="D2880">IFERROR(INDEX(atlas!D:D,MATCH(A2880,atlas!C:C,0)),"")</f>
        <v/>
      </c>
      <c r="E2880" s="8" t="str">
        <f t="array" ref="E2880">IFERROR(INDEX(atlas!F:F,MATCH(A2880,atlas!C:C,0)),"")</f>
        <v/>
      </c>
      <c r="F2880" s="9"/>
      <c r="G2880" s="10"/>
      <c r="H2880" s="11"/>
      <c r="I2880" s="12" t="str">
        <f t="array" ref="I2880">IFERROR(INDEX(atlas!B:B,MATCH(A2880,atlas!C:C,0)),"")</f>
        <v/>
      </c>
      <c r="J2880" s="8" t="str">
        <f>IFERROR(VLOOKUP(F2880,tecnica!A:B,2,0),"")</f>
        <v/>
      </c>
      <c r="K2880" s="8" t="str">
        <f>IFERROR(VLOOKUP(J2880,tecnica!B:C,2,0),"")</f>
        <v/>
      </c>
      <c r="L2880" s="13"/>
      <c r="M2880" s="14" t="str">
        <f>IFERROR(VLOOKUP(I2880,material!A:D,4,0),"")</f>
        <v/>
      </c>
      <c r="N2880" s="14" t="str">
        <f t="shared" si="1"/>
        <v/>
      </c>
      <c r="O2880" s="15" t="str">
        <f>IFERROR(VLOOKUP(I2880,material!A:D,2,0),"")</f>
        <v/>
      </c>
    </row>
    <row r="2881">
      <c r="A2881" s="6"/>
      <c r="B2881" s="7"/>
      <c r="C2881" s="8" t="str">
        <f t="array" ref="C2881">IFERROR(INDEX(atlas!H:H,MATCH(A2881,atlas!C:C,0)),"")</f>
        <v/>
      </c>
      <c r="D2881" s="8" t="str">
        <f t="array" ref="D2881">IFERROR(INDEX(atlas!D:D,MATCH(A2881,atlas!C:C,0)),"")</f>
        <v/>
      </c>
      <c r="E2881" s="8" t="str">
        <f t="array" ref="E2881">IFERROR(INDEX(atlas!F:F,MATCH(A2881,atlas!C:C,0)),"")</f>
        <v/>
      </c>
      <c r="F2881" s="9"/>
      <c r="G2881" s="10"/>
      <c r="H2881" s="11"/>
      <c r="I2881" s="12" t="str">
        <f t="array" ref="I2881">IFERROR(INDEX(atlas!B:B,MATCH(A2881,atlas!C:C,0)),"")</f>
        <v/>
      </c>
      <c r="J2881" s="8" t="str">
        <f>IFERROR(VLOOKUP(F2881,tecnica!A:B,2,0),"")</f>
        <v/>
      </c>
      <c r="K2881" s="8" t="str">
        <f>IFERROR(VLOOKUP(J2881,tecnica!B:C,2,0),"")</f>
        <v/>
      </c>
      <c r="L2881" s="13"/>
      <c r="M2881" s="14" t="str">
        <f>IFERROR(VLOOKUP(I2881,material!A:D,4,0),"")</f>
        <v/>
      </c>
      <c r="N2881" s="14" t="str">
        <f t="shared" si="1"/>
        <v/>
      </c>
      <c r="O2881" s="15" t="str">
        <f>IFERROR(VLOOKUP(I2881,material!A:D,2,0),"")</f>
        <v/>
      </c>
    </row>
    <row r="2882">
      <c r="A2882" s="6"/>
      <c r="B2882" s="7"/>
      <c r="C2882" s="8" t="str">
        <f t="array" ref="C2882">IFERROR(INDEX(atlas!H:H,MATCH(A2882,atlas!C:C,0)),"")</f>
        <v/>
      </c>
      <c r="D2882" s="8" t="str">
        <f t="array" ref="D2882">IFERROR(INDEX(atlas!D:D,MATCH(A2882,atlas!C:C,0)),"")</f>
        <v/>
      </c>
      <c r="E2882" s="8" t="str">
        <f t="array" ref="E2882">IFERROR(INDEX(atlas!F:F,MATCH(A2882,atlas!C:C,0)),"")</f>
        <v/>
      </c>
      <c r="F2882" s="9"/>
      <c r="G2882" s="10"/>
      <c r="H2882" s="11"/>
      <c r="I2882" s="12" t="str">
        <f t="array" ref="I2882">IFERROR(INDEX(atlas!B:B,MATCH(A2882,atlas!C:C,0)),"")</f>
        <v/>
      </c>
      <c r="J2882" s="8" t="str">
        <f>IFERROR(VLOOKUP(F2882,tecnica!A:B,2,0),"")</f>
        <v/>
      </c>
      <c r="K2882" s="8" t="str">
        <f>IFERROR(VLOOKUP(J2882,tecnica!B:C,2,0),"")</f>
        <v/>
      </c>
      <c r="L2882" s="13"/>
      <c r="M2882" s="14" t="str">
        <f>IFERROR(VLOOKUP(I2882,material!A:D,4,0),"")</f>
        <v/>
      </c>
      <c r="N2882" s="14" t="str">
        <f t="shared" si="1"/>
        <v/>
      </c>
      <c r="O2882" s="15" t="str">
        <f>IFERROR(VLOOKUP(I2882,material!A:D,2,0),"")</f>
        <v/>
      </c>
    </row>
    <row r="2883">
      <c r="A2883" s="6"/>
      <c r="B2883" s="7"/>
      <c r="C2883" s="8" t="str">
        <f t="array" ref="C2883">IFERROR(INDEX(atlas!H:H,MATCH(A2883,atlas!C:C,0)),"")</f>
        <v/>
      </c>
      <c r="D2883" s="8" t="str">
        <f t="array" ref="D2883">IFERROR(INDEX(atlas!D:D,MATCH(A2883,atlas!C:C,0)),"")</f>
        <v/>
      </c>
      <c r="E2883" s="8" t="str">
        <f t="array" ref="E2883">IFERROR(INDEX(atlas!F:F,MATCH(A2883,atlas!C:C,0)),"")</f>
        <v/>
      </c>
      <c r="F2883" s="9"/>
      <c r="G2883" s="10"/>
      <c r="H2883" s="11"/>
      <c r="I2883" s="12" t="str">
        <f t="array" ref="I2883">IFERROR(INDEX(atlas!B:B,MATCH(A2883,atlas!C:C,0)),"")</f>
        <v/>
      </c>
      <c r="J2883" s="8" t="str">
        <f>IFERROR(VLOOKUP(F2883,tecnica!A:B,2,0),"")</f>
        <v/>
      </c>
      <c r="K2883" s="8" t="str">
        <f>IFERROR(VLOOKUP(J2883,tecnica!B:C,2,0),"")</f>
        <v/>
      </c>
      <c r="L2883" s="13"/>
      <c r="M2883" s="14" t="str">
        <f>IFERROR(VLOOKUP(I2883,material!A:D,4,0),"")</f>
        <v/>
      </c>
      <c r="N2883" s="14" t="str">
        <f t="shared" si="1"/>
        <v/>
      </c>
      <c r="O2883" s="15" t="str">
        <f>IFERROR(VLOOKUP(I2883,material!A:D,2,0),"")</f>
        <v/>
      </c>
    </row>
    <row r="2884">
      <c r="A2884" s="6"/>
      <c r="B2884" s="7"/>
      <c r="C2884" s="8" t="str">
        <f t="array" ref="C2884">IFERROR(INDEX(atlas!H:H,MATCH(A2884,atlas!C:C,0)),"")</f>
        <v/>
      </c>
      <c r="D2884" s="8" t="str">
        <f t="array" ref="D2884">IFERROR(INDEX(atlas!D:D,MATCH(A2884,atlas!C:C,0)),"")</f>
        <v/>
      </c>
      <c r="E2884" s="8" t="str">
        <f t="array" ref="E2884">IFERROR(INDEX(atlas!F:F,MATCH(A2884,atlas!C:C,0)),"")</f>
        <v/>
      </c>
      <c r="F2884" s="9"/>
      <c r="G2884" s="10"/>
      <c r="H2884" s="11"/>
      <c r="I2884" s="12" t="str">
        <f t="array" ref="I2884">IFERROR(INDEX(atlas!B:B,MATCH(A2884,atlas!C:C,0)),"")</f>
        <v/>
      </c>
      <c r="J2884" s="8" t="str">
        <f>IFERROR(VLOOKUP(F2884,tecnica!A:B,2,0),"")</f>
        <v/>
      </c>
      <c r="K2884" s="8" t="str">
        <f>IFERROR(VLOOKUP(J2884,tecnica!B:C,2,0),"")</f>
        <v/>
      </c>
      <c r="L2884" s="13"/>
      <c r="M2884" s="14" t="str">
        <f>IFERROR(VLOOKUP(I2884,material!A:D,4,0),"")</f>
        <v/>
      </c>
      <c r="N2884" s="14" t="str">
        <f t="shared" si="1"/>
        <v/>
      </c>
      <c r="O2884" s="15" t="str">
        <f>IFERROR(VLOOKUP(I2884,material!A:D,2,0),"")</f>
        <v/>
      </c>
    </row>
    <row r="2885">
      <c r="A2885" s="6"/>
      <c r="B2885" s="7"/>
      <c r="C2885" s="8" t="str">
        <f t="array" ref="C2885">IFERROR(INDEX(atlas!H:H,MATCH(A2885,atlas!C:C,0)),"")</f>
        <v/>
      </c>
      <c r="D2885" s="8" t="str">
        <f t="array" ref="D2885">IFERROR(INDEX(atlas!D:D,MATCH(A2885,atlas!C:C,0)),"")</f>
        <v/>
      </c>
      <c r="E2885" s="8" t="str">
        <f t="array" ref="E2885">IFERROR(INDEX(atlas!F:F,MATCH(A2885,atlas!C:C,0)),"")</f>
        <v/>
      </c>
      <c r="F2885" s="9"/>
      <c r="G2885" s="10"/>
      <c r="H2885" s="11"/>
      <c r="I2885" s="12" t="str">
        <f t="array" ref="I2885">IFERROR(INDEX(atlas!B:B,MATCH(A2885,atlas!C:C,0)),"")</f>
        <v/>
      </c>
      <c r="J2885" s="8" t="str">
        <f>IFERROR(VLOOKUP(F2885,tecnica!A:B,2,0),"")</f>
        <v/>
      </c>
      <c r="K2885" s="8" t="str">
        <f>IFERROR(VLOOKUP(J2885,tecnica!B:C,2,0),"")</f>
        <v/>
      </c>
      <c r="L2885" s="13"/>
      <c r="M2885" s="14" t="str">
        <f>IFERROR(VLOOKUP(I2885,material!A:D,4,0),"")</f>
        <v/>
      </c>
      <c r="N2885" s="14" t="str">
        <f t="shared" si="1"/>
        <v/>
      </c>
      <c r="O2885" s="15" t="str">
        <f>IFERROR(VLOOKUP(I2885,material!A:D,2,0),"")</f>
        <v/>
      </c>
    </row>
    <row r="2886">
      <c r="A2886" s="6"/>
      <c r="B2886" s="7"/>
      <c r="C2886" s="8" t="str">
        <f t="array" ref="C2886">IFERROR(INDEX(atlas!H:H,MATCH(A2886,atlas!C:C,0)),"")</f>
        <v/>
      </c>
      <c r="D2886" s="8" t="str">
        <f t="array" ref="D2886">IFERROR(INDEX(atlas!D:D,MATCH(A2886,atlas!C:C,0)),"")</f>
        <v/>
      </c>
      <c r="E2886" s="8" t="str">
        <f t="array" ref="E2886">IFERROR(INDEX(atlas!F:F,MATCH(A2886,atlas!C:C,0)),"")</f>
        <v/>
      </c>
      <c r="F2886" s="9"/>
      <c r="G2886" s="10"/>
      <c r="H2886" s="11"/>
      <c r="I2886" s="12" t="str">
        <f t="array" ref="I2886">IFERROR(INDEX(atlas!B:B,MATCH(A2886,atlas!C:C,0)),"")</f>
        <v/>
      </c>
      <c r="J2886" s="8" t="str">
        <f>IFERROR(VLOOKUP(F2886,tecnica!A:B,2,0),"")</f>
        <v/>
      </c>
      <c r="K2886" s="8" t="str">
        <f>IFERROR(VLOOKUP(J2886,tecnica!B:C,2,0),"")</f>
        <v/>
      </c>
      <c r="L2886" s="13"/>
      <c r="M2886" s="14" t="str">
        <f>IFERROR(VLOOKUP(I2886,material!A:D,4,0),"")</f>
        <v/>
      </c>
      <c r="N2886" s="14" t="str">
        <f t="shared" si="1"/>
        <v/>
      </c>
      <c r="O2886" s="15" t="str">
        <f>IFERROR(VLOOKUP(I2886,material!A:D,2,0),"")</f>
        <v/>
      </c>
    </row>
  </sheetData>
  <autoFilter ref="$A$1:$O$2886">
    <sortState ref="A1:O2886">
      <sortCondition ref="F1:F2886"/>
    </sortState>
  </autoFilter>
  <customSheetViews>
    <customSheetView guid="{410871B0-A199-422F-900C-04A9F97D48B3}" filter="1" showAutoFilter="1">
      <autoFilter ref="$A$1:$M$1">
        <filterColumn colId="7">
          <filters/>
        </filterColumn>
        <filterColumn colId="1">
          <filters/>
        </filterColumn>
        <filterColumn colId="5">
          <filters/>
        </filterColumn>
      </autoFilter>
    </customSheetView>
    <customSheetView guid="{538E608E-5F56-4B4E-838B-4A3FD164B110}" filter="1" showAutoFilter="1">
      <autoFilter ref="$A$1:$M$1">
        <filterColumn colId="7">
          <filters/>
        </filterColumn>
        <filterColumn colId="4">
          <filters/>
        </filterColumn>
      </autoFilter>
    </customSheetView>
    <customSheetView guid="{8EC3868D-0348-46D3-A29A-880C678433E3}" filter="1" showAutoFilter="1">
      <autoFilter ref="$A$1:$M$1"/>
    </customSheetView>
    <customSheetView guid="{6B53BE1D-A6FE-49A4-9558-757D4A879EDA}" filter="1" showAutoFilter="1">
      <autoFilter ref="$A$1:$M$1"/>
    </customSheetView>
    <customSheetView guid="{91F88BD4-4D96-43A2-9A3D-F00DE8525A8B}" filter="1" showAutoFilter="1">
      <autoFilter ref="$A$1:$M$1"/>
    </customSheetView>
    <customSheetView guid="{E0C6C8E1-FC08-404A-B170-D7B8CD04456E}" filter="1" showAutoFilter="1">
      <autoFilter ref="$A$1:$M$1">
        <filterColumn colId="4">
          <filters/>
        </filterColumn>
      </autoFilter>
    </customSheetView>
  </customSheetViews>
  <conditionalFormatting sqref="H1:H2886">
    <cfRule type="cellIs" dxfId="0" priority="1" operator="equal">
      <formula>"DEVOLUCAO"</formula>
    </cfRule>
  </conditionalFormatting>
  <conditionalFormatting sqref="H1:H2886">
    <cfRule type="cellIs" dxfId="1" priority="2" operator="equal">
      <formula>"ENTREGA"</formula>
    </cfRule>
  </conditionalFormatting>
  <conditionalFormatting sqref="E1:E2886 G2:G2886">
    <cfRule type="containsText" dxfId="2" priority="3" operator="containsText" text="INICIALIZADO">
      <formula>NOT(ISERROR(SEARCH(("INICIALIZADO"),(E1))))</formula>
    </cfRule>
  </conditionalFormatting>
  <conditionalFormatting sqref="E1:E2886 G2:G2886">
    <cfRule type="containsText" dxfId="3" priority="4" operator="containsText" text="SUSPEITO">
      <formula>NOT(ISERROR(SEARCH(("SUSPEITO"),(E1))))</formula>
    </cfRule>
  </conditionalFormatting>
  <conditionalFormatting sqref="E1:E2886 G2:G2886">
    <cfRule type="containsText" dxfId="4" priority="5" operator="containsText" text="ANALISE DE INVENTARIO">
      <formula>NOT(ISERROR(SEARCH(("ANALISE DE INVENTARIO"),(E1))))</formula>
    </cfRule>
  </conditionalFormatting>
  <conditionalFormatting sqref="D1:D2886">
    <cfRule type="containsText" dxfId="3" priority="6" operator="containsText" text="SOLUTEC">
      <formula>NOT(ISERROR(SEARCH(("SOLUTEC"),(D1))))</formula>
    </cfRule>
  </conditionalFormatting>
  <conditionalFormatting sqref="D1:D2886">
    <cfRule type="containsText" dxfId="4" priority="7" operator="containsText" text="MISCELANEA">
      <formula>NOT(ISERROR(SEARCH(("MISCELANEA"),(D1))))</formula>
    </cfRule>
  </conditionalFormatting>
  <conditionalFormatting sqref="D1:D2886">
    <cfRule type="containsText" dxfId="5" priority="8" operator="containsText" text="DIGITEC MOVEIS TECNOLOGIA DIGI">
      <formula>NOT(ISERROR(SEARCH(("DIGITEC MOVEIS TECNOLOGIA DIGI"),(D1))))</formula>
    </cfRule>
  </conditionalFormatting>
  <conditionalFormatting sqref="E1:E2886 G2:G2886">
    <cfRule type="containsText" dxfId="6" priority="9" operator="containsText" text="MISCELANEA">
      <formula>NOT(ISERROR(SEARCH(("MISCELANEA"),(E1))))</formula>
    </cfRule>
  </conditionalFormatting>
  <conditionalFormatting sqref="D1:D2886">
    <cfRule type="cellIs" dxfId="2" priority="10" operator="equal">
      <formula>"DIGITEC TECNOLOGIA DIGITAL E REPRES"</formula>
    </cfRule>
  </conditionalFormatting>
  <conditionalFormatting sqref="E1:E2886 G2:G2886">
    <cfRule type="cellIs" dxfId="7" priority="11" operator="equal">
      <formula>"COM DEFEITO"</formula>
    </cfRule>
  </conditionalFormatting>
  <conditionalFormatting sqref="H1">
    <cfRule type="cellIs" dxfId="8" priority="12" operator="equal">
      <formula>"CONFERIR"</formula>
    </cfRule>
  </conditionalFormatting>
  <conditionalFormatting sqref="L1:O1">
    <cfRule type="cellIs" dxfId="9" priority="13" operator="equal">
      <formula>"reuso"</formula>
    </cfRule>
  </conditionalFormatting>
  <conditionalFormatting sqref="L1:O1">
    <cfRule type="cellIs" dxfId="10" priority="14" operator="equal">
      <formula>"novo"</formula>
    </cfRule>
  </conditionalFormatting>
  <conditionalFormatting sqref="L1">
    <cfRule type="endsWith" dxfId="8" priority="15" operator="endsWith" text="4K BOX">
      <formula>RIGHT((L1),LEN("4K BOX"))=("4K BOX")</formula>
    </cfRule>
  </conditionalFormatting>
  <conditionalFormatting sqref="A2:B2886">
    <cfRule type="expression" dxfId="9" priority="16">
      <formula>COUNTIF(A:A,A2)&gt;1</formula>
    </cfRule>
  </conditionalFormatting>
  <dataValidations>
    <dataValidation type="list" allowBlank="1" showErrorMessage="1" sqref="H2:H2886">
      <formula1>"ENTREGA,DEVOLUCAO"</formula1>
    </dataValidation>
    <dataValidation type="list" allowBlank="1" showDropDown="1" showErrorMessage="1" sqref="F2:F2886">
      <formula1>tecnica!$A$2:$A2886</formula1>
    </dataValidation>
    <dataValidation type="list" allowBlank="1" showDropDown="1" showErrorMessage="1" sqref="L2:L2886">
      <formula1>"IARLEY,RENATO,MARCELO"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57"/>
    <col customWidth="1" min="2" max="2" width="26.86"/>
    <col customWidth="1" min="3" max="3" width="25.86"/>
    <col customWidth="1" min="4" max="4" width="49.0"/>
    <col customWidth="1" min="5" max="5" width="27.57"/>
    <col customWidth="1" min="6" max="6" width="16.43"/>
    <col customWidth="1" min="7" max="7" width="25.86"/>
    <col customWidth="1" min="8" max="8" width="16.43"/>
  </cols>
  <sheetData>
    <row r="1" ht="30.0" customHeight="1">
      <c r="A1" s="17" t="str">
        <f>IFERROR(__xludf.DUMMYFUNCTION("query(IMPORTRANGE(""https://docs.google.com/spreadsheets/d/1w7MkprGGgMbw4u3Sco6py1xWkrtNyM6XyS8AWWLVVw4/edit#gid=0"",""Digitec!a1:Q8000""),(""SELECT Col2, Col4, Col6,Col8, Col11, Col12,Col13""))"),"Modelo")</f>
        <v>Modelo</v>
      </c>
      <c r="B1" s="18" t="str">
        <f>IFERROR(__xludf.DUMMYFUNCTION("""COMPUTED_VALUE"""),"Código Material SAP")</f>
        <v>Código Material SAP</v>
      </c>
      <c r="C1" s="17" t="str">
        <f>IFERROR(__xludf.DUMMYFUNCTION("""COMPUTED_VALUE"""),"Endereçavel Principal")</f>
        <v>Endereçavel Principal</v>
      </c>
      <c r="D1" s="17" t="str">
        <f>IFERROR(__xludf.DUMMYFUNCTION("""COMPUTED_VALUE"""),"Nome do Local")</f>
        <v>Nome do Local</v>
      </c>
      <c r="E1" s="17" t="str">
        <f>IFERROR(__xludf.DUMMYFUNCTION("""COMPUTED_VALUE"""),"Código Fornecedor SAP")</f>
        <v>Código Fornecedor SAP</v>
      </c>
      <c r="F1" s="17" t="str">
        <f>IFERROR(__xludf.DUMMYFUNCTION("""COMPUTED_VALUE"""),"Estado")</f>
        <v>Estado</v>
      </c>
      <c r="G1" s="19" t="str">
        <f>IFERROR(__xludf.DUMMYFUNCTION("""COMPUTED_VALUE"""),"Data Última Alteração")</f>
        <v>Data Última Alteração</v>
      </c>
      <c r="H1" s="20" t="s">
        <v>227</v>
      </c>
    </row>
    <row r="2" ht="11.25" customHeight="1">
      <c r="A2" s="21" t="str">
        <f>IFERROR(__xludf.DUMMYFUNCTION("""COMPUTED_VALUE"""),"SMART CARD LARANJA")</f>
        <v>SMART CARD LARANJA</v>
      </c>
      <c r="B2" s="22">
        <f>IFERROR(__xludf.DUMMYFUNCTION("""COMPUTED_VALUE"""),4.1001186E7)</f>
        <v>41001186</v>
      </c>
      <c r="C2" s="21" t="str">
        <f>IFERROR(__xludf.DUMMYFUNCTION("""COMPUTED_VALUE"""),"215624184353")</f>
        <v>215624184353</v>
      </c>
      <c r="D2" s="21" t="str">
        <f>IFERROR(__xludf.DUMMYFUNCTION("""COMPUTED_VALUE"""),"DIGITEC TECNOLOGIA DIGITAL E REPRES")</f>
        <v>DIGITEC TECNOLOGIA DIGITAL E REPRES</v>
      </c>
      <c r="E2" s="21">
        <f>IFERROR(__xludf.DUMMYFUNCTION("""COMPUTED_VALUE"""),145359.0)</f>
        <v>145359</v>
      </c>
      <c r="F2" s="21" t="str">
        <f>IFERROR(__xludf.DUMMYFUNCTION("""COMPUTED_VALUE"""),"SUCATA")</f>
        <v>SUCATA</v>
      </c>
      <c r="G2" s="23">
        <f>IFERROR(__xludf.DUMMYFUNCTION("""COMPUTED_VALUE"""),45075.586863425924)</f>
        <v>45075.58686</v>
      </c>
      <c r="H2" s="24" t="str">
        <f>IFERROR(VLOOKUP(B2,material!A:D,3,0),"")</f>
        <v>CARD</v>
      </c>
    </row>
    <row r="3" ht="11.25" customHeight="1">
      <c r="A3" s="21" t="str">
        <f>IFERROR(__xludf.DUMMYFUNCTION("""COMPUTED_VALUE"""),"EMTA WI-FI 3.0 TG862A ARRIS")</f>
        <v>EMTA WI-FI 3.0 TG862A ARRIS</v>
      </c>
      <c r="B3" s="22">
        <f>IFERROR(__xludf.DUMMYFUNCTION("""COMPUTED_VALUE"""),4.1001155E7)</f>
        <v>41001155</v>
      </c>
      <c r="C3" s="21" t="str">
        <f>IFERROR(__xludf.DUMMYFUNCTION("""COMPUTED_VALUE"""),"900DCB949372")</f>
        <v>900DCB949372</v>
      </c>
      <c r="D3" s="21" t="str">
        <f>IFERROR(__xludf.DUMMYFUNCTION("""COMPUTED_VALUE"""),"DIGITEC TECNOLOGIA DIGITAL E REPRES")</f>
        <v>DIGITEC TECNOLOGIA DIGITAL E REPRES</v>
      </c>
      <c r="E3" s="21">
        <f>IFERROR(__xludf.DUMMYFUNCTION("""COMPUTED_VALUE"""),145359.0)</f>
        <v>145359</v>
      </c>
      <c r="F3" s="21" t="str">
        <f>IFERROR(__xludf.DUMMYFUNCTION("""COMPUTED_VALUE"""),"TRANSITO REVERSA")</f>
        <v>TRANSITO REVERSA</v>
      </c>
      <c r="G3" s="23">
        <f>IFERROR(__xludf.DUMMYFUNCTION("""COMPUTED_VALUE"""),45638.52113425926)</f>
        <v>45638.52113</v>
      </c>
      <c r="H3" s="24" t="str">
        <f>IFERROR(VLOOKUP(B3,material!A:D,3,0),"")</f>
        <v>SINGLE</v>
      </c>
    </row>
    <row r="4" ht="11.25" customHeight="1">
      <c r="A4" s="21" t="str">
        <f>IFERROR(__xludf.DUMMYFUNCTION("""COMPUTED_VALUE"""),"SMART CARD LARANJA NAGRA")</f>
        <v>SMART CARD LARANJA NAGRA</v>
      </c>
      <c r="B4" s="22">
        <f>IFERROR(__xludf.DUMMYFUNCTION("""COMPUTED_VALUE"""),4.1001186E7)</f>
        <v>41001186</v>
      </c>
      <c r="C4" s="21" t="str">
        <f>IFERROR(__xludf.DUMMYFUNCTION("""COMPUTED_VALUE"""),"226699640822")</f>
        <v>226699640822</v>
      </c>
      <c r="D4" s="21" t="str">
        <f>IFERROR(__xludf.DUMMYFUNCTION("""COMPUTED_VALUE"""),"DIGITEC TECNOLOGIA DIGITAL E REPRES")</f>
        <v>DIGITEC TECNOLOGIA DIGITAL E REPRES</v>
      </c>
      <c r="E4" s="21">
        <f>IFERROR(__xludf.DUMMYFUNCTION("""COMPUTED_VALUE"""),145359.0)</f>
        <v>145359</v>
      </c>
      <c r="F4" s="21" t="str">
        <f>IFERROR(__xludf.DUMMYFUNCTION("""COMPUTED_VALUE"""),"SUCATA")</f>
        <v>SUCATA</v>
      </c>
      <c r="G4" s="23">
        <f>IFERROR(__xludf.DUMMYFUNCTION("""COMPUTED_VALUE"""),45075.51190972222)</f>
        <v>45075.51191</v>
      </c>
      <c r="H4" s="24" t="str">
        <f>IFERROR(VLOOKUP(B4,material!A:D,3,0),"")</f>
        <v>CARD</v>
      </c>
    </row>
    <row r="5" ht="11.25" customHeight="1">
      <c r="A5" s="21" t="str">
        <f>IFERROR(__xludf.DUMMYFUNCTION("""COMPUTED_VALUE"""),"SMART CARD LARANJA NAGRA")</f>
        <v>SMART CARD LARANJA NAGRA</v>
      </c>
      <c r="B5" s="22">
        <f>IFERROR(__xludf.DUMMYFUNCTION("""COMPUTED_VALUE"""),4.1001186E7)</f>
        <v>41001186</v>
      </c>
      <c r="C5" s="21" t="str">
        <f>IFERROR(__xludf.DUMMYFUNCTION("""COMPUTED_VALUE"""),"215863697694")</f>
        <v>215863697694</v>
      </c>
      <c r="D5" s="21" t="str">
        <f>IFERROR(__xludf.DUMMYFUNCTION("""COMPUTED_VALUE"""),"DIGITEC TECNOLOGIA DIGITAL E REPRES")</f>
        <v>DIGITEC TECNOLOGIA DIGITAL E REPRES</v>
      </c>
      <c r="E5" s="21">
        <f>IFERROR(__xludf.DUMMYFUNCTION("""COMPUTED_VALUE"""),145359.0)</f>
        <v>145359</v>
      </c>
      <c r="F5" s="21" t="str">
        <f>IFERROR(__xludf.DUMMYFUNCTION("""COMPUTED_VALUE"""),"INICIALIZADO")</f>
        <v>INICIALIZADO</v>
      </c>
      <c r="G5" s="23">
        <f>IFERROR(__xludf.DUMMYFUNCTION("""COMPUTED_VALUE"""),45573.66674768519)</f>
        <v>45573.66675</v>
      </c>
      <c r="H5" s="24" t="str">
        <f>IFERROR(VLOOKUP(B5,material!A:D,3,0),"")</f>
        <v>CARD</v>
      </c>
    </row>
    <row r="6" ht="11.25" customHeight="1">
      <c r="A6" s="21" t="str">
        <f>IFERROR(__xludf.DUMMYFUNCTION("""COMPUTED_VALUE"""),"SMART CARD LARANJA NAGRA")</f>
        <v>SMART CARD LARANJA NAGRA</v>
      </c>
      <c r="B6" s="22">
        <f>IFERROR(__xludf.DUMMYFUNCTION("""COMPUTED_VALUE"""),4.1001186E7)</f>
        <v>41001186</v>
      </c>
      <c r="C6" s="21" t="str">
        <f>IFERROR(__xludf.DUMMYFUNCTION("""COMPUTED_VALUE"""),"226615122326")</f>
        <v>226615122326</v>
      </c>
      <c r="D6" s="21" t="str">
        <f>IFERROR(__xludf.DUMMYFUNCTION("""COMPUTED_VALUE"""),"DIGITEC TECNOLOGIA DIGITAL E REPRES")</f>
        <v>DIGITEC TECNOLOGIA DIGITAL E REPRES</v>
      </c>
      <c r="E6" s="21">
        <f>IFERROR(__xludf.DUMMYFUNCTION("""COMPUTED_VALUE"""),145359.0)</f>
        <v>145359</v>
      </c>
      <c r="F6" s="21" t="str">
        <f>IFERROR(__xludf.DUMMYFUNCTION("""COMPUTED_VALUE"""),"SUCATA")</f>
        <v>SUCATA</v>
      </c>
      <c r="G6" s="23">
        <f>IFERROR(__xludf.DUMMYFUNCTION("""COMPUTED_VALUE"""),45075.599131944444)</f>
        <v>45075.59913</v>
      </c>
      <c r="H6" s="24" t="str">
        <f>IFERROR(VLOOKUP(B6,material!A:D,3,0),"")</f>
        <v>CARD</v>
      </c>
    </row>
    <row r="7" ht="11.25" customHeight="1">
      <c r="A7" s="21" t="str">
        <f>IFERROR(__xludf.DUMMYFUNCTION("""COMPUTED_VALUE"""),"SMART CARD LARANJA NAGRA")</f>
        <v>SMART CARD LARANJA NAGRA</v>
      </c>
      <c r="B7" s="22">
        <f>IFERROR(__xludf.DUMMYFUNCTION("""COMPUTED_VALUE"""),4.1001186E7)</f>
        <v>41001186</v>
      </c>
      <c r="C7" s="21" t="str">
        <f>IFERROR(__xludf.DUMMYFUNCTION("""COMPUTED_VALUE"""),"226623539511")</f>
        <v>226623539511</v>
      </c>
      <c r="D7" s="21" t="str">
        <f>IFERROR(__xludf.DUMMYFUNCTION("""COMPUTED_VALUE"""),"DIGITEC TECNOLOGIA DIGITAL E REPRES")</f>
        <v>DIGITEC TECNOLOGIA DIGITAL E REPRES</v>
      </c>
      <c r="E7" s="21">
        <f>IFERROR(__xludf.DUMMYFUNCTION("""COMPUTED_VALUE"""),145359.0)</f>
        <v>145359</v>
      </c>
      <c r="F7" s="21" t="str">
        <f>IFERROR(__xludf.DUMMYFUNCTION("""COMPUTED_VALUE"""),"SUCATA")</f>
        <v>SUCATA</v>
      </c>
      <c r="G7" s="23">
        <f>IFERROR(__xludf.DUMMYFUNCTION("""COMPUTED_VALUE"""),45075.59908564815)</f>
        <v>45075.59909</v>
      </c>
      <c r="H7" s="24" t="str">
        <f>IFERROR(VLOOKUP(B7,material!A:D,3,0),"")</f>
        <v>CARD</v>
      </c>
    </row>
    <row r="8" ht="11.25" customHeight="1">
      <c r="A8" s="21" t="str">
        <f>IFERROR(__xludf.DUMMYFUNCTION("""COMPUTED_VALUE"""),"DECODER DIGITAL HD HNB100 2T")</f>
        <v>DECODER DIGITAL HD HNB100 2T</v>
      </c>
      <c r="B8" s="22">
        <f>IFERROR(__xludf.DUMMYFUNCTION("""COMPUTED_VALUE"""),4.1001276E7)</f>
        <v>41001276</v>
      </c>
      <c r="C8" s="21" t="str">
        <f>IFERROR(__xludf.DUMMYFUNCTION("""COMPUTED_VALUE"""),"216546891924")</f>
        <v>216546891924</v>
      </c>
      <c r="D8" s="21" t="str">
        <f>IFERROR(__xludf.DUMMYFUNCTION("""COMPUTED_VALUE"""),"DIGITEC TECNOLOGIA DIGITAL E REPRES")</f>
        <v>DIGITEC TECNOLOGIA DIGITAL E REPRES</v>
      </c>
      <c r="E8" s="21">
        <f>IFERROR(__xludf.DUMMYFUNCTION("""COMPUTED_VALUE"""),145359.0)</f>
        <v>145359</v>
      </c>
      <c r="F8" s="21" t="str">
        <f>IFERROR(__xludf.DUMMYFUNCTION("""COMPUTED_VALUE"""),"INICIALIZADO")</f>
        <v>INICIALIZADO</v>
      </c>
      <c r="G8" s="23">
        <f>IFERROR(__xludf.DUMMYFUNCTION("""COMPUTED_VALUE"""),45642.524143518516)</f>
        <v>45642.52414</v>
      </c>
      <c r="H8" s="24" t="str">
        <f>IFERROR(VLOOKUP(B8,material!A:D,3,0),"")</f>
        <v>TOP MIX</v>
      </c>
    </row>
    <row r="9" ht="11.25" customHeight="1">
      <c r="A9" s="21" t="str">
        <f>IFERROR(__xludf.DUMMYFUNCTION("""COMPUTED_VALUE"""),"SMART CARD LARANJA")</f>
        <v>SMART CARD LARANJA</v>
      </c>
      <c r="B9" s="22">
        <f>IFERROR(__xludf.DUMMYFUNCTION("""COMPUTED_VALUE"""),4.1001186E7)</f>
        <v>41001186</v>
      </c>
      <c r="C9" s="21" t="str">
        <f>IFERROR(__xludf.DUMMYFUNCTION("""COMPUTED_VALUE"""),"215866463756")</f>
        <v>215866463756</v>
      </c>
      <c r="D9" s="21" t="str">
        <f>IFERROR(__xludf.DUMMYFUNCTION("""COMPUTED_VALUE"""),"DIGITEC TECNOLOGIA DIGITAL E REPRES")</f>
        <v>DIGITEC TECNOLOGIA DIGITAL E REPRES</v>
      </c>
      <c r="E9" s="21">
        <f>IFERROR(__xludf.DUMMYFUNCTION("""COMPUTED_VALUE"""),145359.0)</f>
        <v>145359</v>
      </c>
      <c r="F9" s="21" t="str">
        <f>IFERROR(__xludf.DUMMYFUNCTION("""COMPUTED_VALUE"""),"SUCATA")</f>
        <v>SUCATA</v>
      </c>
      <c r="G9" s="23">
        <f>IFERROR(__xludf.DUMMYFUNCTION("""COMPUTED_VALUE"""),45076.620254629626)</f>
        <v>45076.62025</v>
      </c>
      <c r="H9" s="24" t="str">
        <f>IFERROR(VLOOKUP(B9,material!A:D,3,0),"")</f>
        <v>CARD</v>
      </c>
    </row>
    <row r="10" ht="11.25" customHeight="1">
      <c r="A10" s="21" t="str">
        <f>IFERROR(__xludf.DUMMYFUNCTION("""COMPUTED_VALUE"""),"TECHNICOLOR TC7337NET")</f>
        <v>TECHNICOLOR TC7337NET</v>
      </c>
      <c r="B10" s="22">
        <f>IFERROR(__xludf.DUMMYFUNCTION("""COMPUTED_VALUE"""),4.1001294E7)</f>
        <v>41001294</v>
      </c>
      <c r="C10" s="21" t="str">
        <f>IFERROR(__xludf.DUMMYFUNCTION("""COMPUTED_VALUE"""),"14B7F88BF022")</f>
        <v>14B7F88BF022</v>
      </c>
      <c r="D10" s="21" t="str">
        <f>IFERROR(__xludf.DUMMYFUNCTION("""COMPUTED_VALUE"""),"DIGITEC TECNOLOGIA DIGITAL E REPRES")</f>
        <v>DIGITEC TECNOLOGIA DIGITAL E REPRES</v>
      </c>
      <c r="E10" s="21">
        <f>IFERROR(__xludf.DUMMYFUNCTION("""COMPUTED_VALUE"""),145359.0)</f>
        <v>145359</v>
      </c>
      <c r="F10" s="21" t="str">
        <f>IFERROR(__xludf.DUMMYFUNCTION("""COMPUTED_VALUE"""),"SUSPEITO")</f>
        <v>SUSPEITO</v>
      </c>
      <c r="G10" s="23">
        <f>IFERROR(__xludf.DUMMYFUNCTION("""COMPUTED_VALUE"""),45643.66337962963)</f>
        <v>45643.66338</v>
      </c>
      <c r="H10" s="24" t="str">
        <f>IFERROR(VLOOKUP(B10,material!A:D,3,0),"")</f>
        <v>DUAL</v>
      </c>
    </row>
    <row r="11" ht="11.25" customHeight="1">
      <c r="A11" s="21" t="str">
        <f>IFERROR(__xludf.DUMMYFUNCTION("""COMPUTED_VALUE"""),"SMART CARD PRETO NAGRA")</f>
        <v>SMART CARD PRETO NAGRA</v>
      </c>
      <c r="B11" s="22">
        <f>IFERROR(__xludf.DUMMYFUNCTION("""COMPUTED_VALUE"""),4.1001234E7)</f>
        <v>41001234</v>
      </c>
      <c r="C11" s="21" t="str">
        <f>IFERROR(__xludf.DUMMYFUNCTION("""COMPUTED_VALUE"""),"226266122138")</f>
        <v>226266122138</v>
      </c>
      <c r="D11" s="21" t="str">
        <f>IFERROR(__xludf.DUMMYFUNCTION("""COMPUTED_VALUE"""),"DIGITEC TECNOLOGIA DIGITAL E REPRES")</f>
        <v>DIGITEC TECNOLOGIA DIGITAL E REPRES</v>
      </c>
      <c r="E11" s="21">
        <f>IFERROR(__xludf.DUMMYFUNCTION("""COMPUTED_VALUE"""),145359.0)</f>
        <v>145359</v>
      </c>
      <c r="F11" s="21" t="str">
        <f>IFERROR(__xludf.DUMMYFUNCTION("""COMPUTED_VALUE"""),"INICIALIZADO")</f>
        <v>INICIALIZADO</v>
      </c>
      <c r="G11" s="23">
        <f>IFERROR(__xludf.DUMMYFUNCTION("""COMPUTED_VALUE"""),45635.53494212963)</f>
        <v>45635.53494</v>
      </c>
      <c r="H11" s="24" t="str">
        <f>IFERROR(VLOOKUP(B11,material!A:D,3,0),"")</f>
        <v>CARD</v>
      </c>
    </row>
    <row r="12" ht="11.25" customHeight="1">
      <c r="A12" s="21" t="str">
        <f>IFERROR(__xludf.DUMMYFUNCTION("""COMPUTED_VALUE"""),"SMART CARD PRETO NAGRA")</f>
        <v>SMART CARD PRETO NAGRA</v>
      </c>
      <c r="B12" s="22">
        <f>IFERROR(__xludf.DUMMYFUNCTION("""COMPUTED_VALUE"""),4.1001234E7)</f>
        <v>41001234</v>
      </c>
      <c r="C12" s="21" t="str">
        <f>IFERROR(__xludf.DUMMYFUNCTION("""COMPUTED_VALUE"""),"226202501013")</f>
        <v>226202501013</v>
      </c>
      <c r="D12" s="21" t="str">
        <f>IFERROR(__xludf.DUMMYFUNCTION("""COMPUTED_VALUE"""),"DIGITEC TECNOLOGIA DIGITAL E REPRES")</f>
        <v>DIGITEC TECNOLOGIA DIGITAL E REPRES</v>
      </c>
      <c r="E12" s="21">
        <f>IFERROR(__xludf.DUMMYFUNCTION("""COMPUTED_VALUE"""),145359.0)</f>
        <v>145359</v>
      </c>
      <c r="F12" s="21" t="str">
        <f>IFERROR(__xludf.DUMMYFUNCTION("""COMPUTED_VALUE"""),"INICIALIZADO")</f>
        <v>INICIALIZADO</v>
      </c>
      <c r="G12" s="23">
        <f>IFERROR(__xludf.DUMMYFUNCTION("""COMPUTED_VALUE"""),45635.53494212963)</f>
        <v>45635.53494</v>
      </c>
      <c r="H12" s="24" t="str">
        <f>IFERROR(VLOOKUP(B12,material!A:D,3,0),"")</f>
        <v>CARD</v>
      </c>
    </row>
    <row r="13" ht="11.25" customHeight="1">
      <c r="A13" s="21" t="str">
        <f>IFERROR(__xludf.DUMMYFUNCTION("""COMPUTED_VALUE"""),"SMART CARD PRETO NAGRA")</f>
        <v>SMART CARD PRETO NAGRA</v>
      </c>
      <c r="B13" s="22">
        <f>IFERROR(__xludf.DUMMYFUNCTION("""COMPUTED_VALUE"""),4.1001234E7)</f>
        <v>41001234</v>
      </c>
      <c r="C13" s="21" t="str">
        <f>IFERROR(__xludf.DUMMYFUNCTION("""COMPUTED_VALUE"""),"246102132329")</f>
        <v>246102132329</v>
      </c>
      <c r="D13" s="21" t="str">
        <f>IFERROR(__xludf.DUMMYFUNCTION("""COMPUTED_VALUE"""),"DIGITEC TECNOLOGIA DIGITAL E REPRES")</f>
        <v>DIGITEC TECNOLOGIA DIGITAL E REPRES</v>
      </c>
      <c r="E13" s="21">
        <f>IFERROR(__xludf.DUMMYFUNCTION("""COMPUTED_VALUE"""),145359.0)</f>
        <v>145359</v>
      </c>
      <c r="F13" s="21" t="str">
        <f>IFERROR(__xludf.DUMMYFUNCTION("""COMPUTED_VALUE"""),"INICIALIZADO")</f>
        <v>INICIALIZADO</v>
      </c>
      <c r="G13" s="23">
        <f>IFERROR(__xludf.DUMMYFUNCTION("""COMPUTED_VALUE"""),45635.534907407404)</f>
        <v>45635.53491</v>
      </c>
      <c r="H13" s="24" t="str">
        <f>IFERROR(VLOOKUP(B13,material!A:D,3,0),"")</f>
        <v>CARD</v>
      </c>
    </row>
    <row r="14" ht="11.25" customHeight="1">
      <c r="A14" s="21" t="str">
        <f>IFERROR(__xludf.DUMMYFUNCTION("""COMPUTED_VALUE"""),"SMART CARD LARANJA NAGRA")</f>
        <v>SMART CARD LARANJA NAGRA</v>
      </c>
      <c r="B14" s="22">
        <f>IFERROR(__xludf.DUMMYFUNCTION("""COMPUTED_VALUE"""),4.1001186E7)</f>
        <v>41001186</v>
      </c>
      <c r="C14" s="21" t="str">
        <f>IFERROR(__xludf.DUMMYFUNCTION("""COMPUTED_VALUE"""),"225767859301")</f>
        <v>225767859301</v>
      </c>
      <c r="D14" s="21" t="str">
        <f>IFERROR(__xludf.DUMMYFUNCTION("""COMPUTED_VALUE"""),"DIGITEC TECNOLOGIA DIGITAL E REPRES")</f>
        <v>DIGITEC TECNOLOGIA DIGITAL E REPRES</v>
      </c>
      <c r="E14" s="21">
        <f>IFERROR(__xludf.DUMMYFUNCTION("""COMPUTED_VALUE"""),145359.0)</f>
        <v>145359</v>
      </c>
      <c r="F14" s="21" t="str">
        <f>IFERROR(__xludf.DUMMYFUNCTION("""COMPUTED_VALUE"""),"INICIALIZADO")</f>
        <v>INICIALIZADO</v>
      </c>
      <c r="G14" s="23">
        <f>IFERROR(__xludf.DUMMYFUNCTION("""COMPUTED_VALUE"""),45000.35914351852)</f>
        <v>45000.35914</v>
      </c>
      <c r="H14" s="24" t="str">
        <f>IFERROR(VLOOKUP(B14,material!A:D,3,0),"")</f>
        <v>CARD</v>
      </c>
    </row>
    <row r="15" ht="11.25" customHeight="1">
      <c r="A15" s="21" t="str">
        <f>IFERROR(__xludf.DUMMYFUNCTION("""COMPUTED_VALUE"""),"SMART CARD PRETO NAGRA")</f>
        <v>SMART CARD PRETO NAGRA</v>
      </c>
      <c r="B15" s="22">
        <f>IFERROR(__xludf.DUMMYFUNCTION("""COMPUTED_VALUE"""),4.1001234E7)</f>
        <v>41001234</v>
      </c>
      <c r="C15" s="21" t="str">
        <f>IFERROR(__xludf.DUMMYFUNCTION("""COMPUTED_VALUE"""),"226242506869")</f>
        <v>226242506869</v>
      </c>
      <c r="D15" s="21" t="str">
        <f>IFERROR(__xludf.DUMMYFUNCTION("""COMPUTED_VALUE"""),"DIGITEC TECNOLOGIA DIGITAL E REPRES")</f>
        <v>DIGITEC TECNOLOGIA DIGITAL E REPRES</v>
      </c>
      <c r="E15" s="21">
        <f>IFERROR(__xludf.DUMMYFUNCTION("""COMPUTED_VALUE"""),145359.0)</f>
        <v>145359</v>
      </c>
      <c r="F15" s="21" t="str">
        <f>IFERROR(__xludf.DUMMYFUNCTION("""COMPUTED_VALUE"""),"INICIALIZADO")</f>
        <v>INICIALIZADO</v>
      </c>
      <c r="G15" s="23">
        <f>IFERROR(__xludf.DUMMYFUNCTION("""COMPUTED_VALUE"""),45642.52410879629)</f>
        <v>45642.52411</v>
      </c>
      <c r="H15" s="24" t="str">
        <f>IFERROR(VLOOKUP(B15,material!A:D,3,0),"")</f>
        <v>CARD</v>
      </c>
    </row>
    <row r="16" ht="11.25" customHeight="1">
      <c r="A16" s="21" t="str">
        <f>IFERROR(__xludf.DUMMYFUNCTION("""COMPUTED_VALUE"""),"SMART CARD LARANJA NAGRA")</f>
        <v>SMART CARD LARANJA NAGRA</v>
      </c>
      <c r="B16" s="22">
        <f>IFERROR(__xludf.DUMMYFUNCTION("""COMPUTED_VALUE"""),4.1001186E7)</f>
        <v>41001186</v>
      </c>
      <c r="C16" s="21" t="str">
        <f>IFERROR(__xludf.DUMMYFUNCTION("""COMPUTED_VALUE"""),"215776169803")</f>
        <v>215776169803</v>
      </c>
      <c r="D16" s="21" t="str">
        <f>IFERROR(__xludf.DUMMYFUNCTION("""COMPUTED_VALUE"""),"DIGITEC TECNOLOGIA DIGITAL E REPRES")</f>
        <v>DIGITEC TECNOLOGIA DIGITAL E REPRES</v>
      </c>
      <c r="E16" s="21">
        <f>IFERROR(__xludf.DUMMYFUNCTION("""COMPUTED_VALUE"""),145359.0)</f>
        <v>145359</v>
      </c>
      <c r="F16" s="21" t="str">
        <f>IFERROR(__xludf.DUMMYFUNCTION("""COMPUTED_VALUE"""),"SUCATA")</f>
        <v>SUCATA</v>
      </c>
      <c r="G16" s="23">
        <f>IFERROR(__xludf.DUMMYFUNCTION("""COMPUTED_VALUE"""),45075.62225694444)</f>
        <v>45075.62226</v>
      </c>
      <c r="H16" s="24" t="str">
        <f>IFERROR(VLOOKUP(B16,material!A:D,3,0),"")</f>
        <v>CARD</v>
      </c>
    </row>
    <row r="17" ht="11.25" customHeight="1">
      <c r="A17" s="21" t="str">
        <f>IFERROR(__xludf.DUMMYFUNCTION("""COMPUTED_VALUE"""),"DECODER DIGITAL HD HNB100 2T")</f>
        <v>DECODER DIGITAL HD HNB100 2T</v>
      </c>
      <c r="B17" s="22">
        <f>IFERROR(__xludf.DUMMYFUNCTION("""COMPUTED_VALUE"""),4.1001276E7)</f>
        <v>41001276</v>
      </c>
      <c r="C17" s="21" t="str">
        <f>IFERROR(__xludf.DUMMYFUNCTION("""COMPUTED_VALUE"""),"216736431017")</f>
        <v>216736431017</v>
      </c>
      <c r="D17" s="21" t="str">
        <f>IFERROR(__xludf.DUMMYFUNCTION("""COMPUTED_VALUE"""),"DIGITEC TECNOLOGIA DIGITAL E REPRES")</f>
        <v>DIGITEC TECNOLOGIA DIGITAL E REPRES</v>
      </c>
      <c r="E17" s="21">
        <f>IFERROR(__xludf.DUMMYFUNCTION("""COMPUTED_VALUE"""),145359.0)</f>
        <v>145359</v>
      </c>
      <c r="F17" s="21" t="str">
        <f>IFERROR(__xludf.DUMMYFUNCTION("""COMPUTED_VALUE"""),"INICIALIZADO")</f>
        <v>INICIALIZADO</v>
      </c>
      <c r="G17" s="23">
        <f>IFERROR(__xludf.DUMMYFUNCTION("""COMPUTED_VALUE"""),45642.52412037037)</f>
        <v>45642.52412</v>
      </c>
      <c r="H17" s="24" t="str">
        <f>IFERROR(VLOOKUP(B17,material!A:D,3,0),"")</f>
        <v>TOP MIX</v>
      </c>
    </row>
    <row r="18" ht="11.25" customHeight="1">
      <c r="A18" s="21" t="str">
        <f>IFERROR(__xludf.DUMMYFUNCTION("""COMPUTED_VALUE"""),"DECODER DIGITAL HD HNB100 2T")</f>
        <v>DECODER DIGITAL HD HNB100 2T</v>
      </c>
      <c r="B18" s="22">
        <f>IFERROR(__xludf.DUMMYFUNCTION("""COMPUTED_VALUE"""),4.1001276E7)</f>
        <v>41001276</v>
      </c>
      <c r="C18" s="21" t="str">
        <f>IFERROR(__xludf.DUMMYFUNCTION("""COMPUTED_VALUE"""),"216731654557")</f>
        <v>216731654557</v>
      </c>
      <c r="D18" s="21" t="str">
        <f>IFERROR(__xludf.DUMMYFUNCTION("""COMPUTED_VALUE"""),"DIGITEC TECNOLOGIA DIGITAL E REPRES")</f>
        <v>DIGITEC TECNOLOGIA DIGITAL E REPRES</v>
      </c>
      <c r="E18" s="21">
        <f>IFERROR(__xludf.DUMMYFUNCTION("""COMPUTED_VALUE"""),145359.0)</f>
        <v>145359</v>
      </c>
      <c r="F18" s="21" t="str">
        <f>IFERROR(__xludf.DUMMYFUNCTION("""COMPUTED_VALUE"""),"INICIALIZADO")</f>
        <v>INICIALIZADO</v>
      </c>
      <c r="G18" s="23">
        <f>IFERROR(__xludf.DUMMYFUNCTION("""COMPUTED_VALUE"""),45642.52412037037)</f>
        <v>45642.52412</v>
      </c>
      <c r="H18" s="24" t="str">
        <f>IFERROR(VLOOKUP(B18,material!A:D,3,0),"")</f>
        <v>TOP MIX</v>
      </c>
    </row>
    <row r="19" ht="11.25" customHeight="1">
      <c r="A19" s="21" t="str">
        <f>IFERROR(__xludf.DUMMYFUNCTION("""COMPUTED_VALUE"""),"PACE - HIGH DEFINITION DCR7411")</f>
        <v>PACE - HIGH DEFINITION DCR7411</v>
      </c>
      <c r="B19" s="22">
        <f>IFERROR(__xludf.DUMMYFUNCTION("""COMPUTED_VALUE"""),4.1001216E7)</f>
        <v>41001216</v>
      </c>
      <c r="C19" s="21" t="str">
        <f>IFERROR(__xludf.DUMMYFUNCTION("""COMPUTED_VALUE"""),"184162766277")</f>
        <v>184162766277</v>
      </c>
      <c r="D19" s="21" t="str">
        <f>IFERROR(__xludf.DUMMYFUNCTION("""COMPUTED_VALUE"""),"DIGITEC TECNOLOGIA DIGITAL E REPRES")</f>
        <v>DIGITEC TECNOLOGIA DIGITAL E REPRES</v>
      </c>
      <c r="E19" s="21">
        <f>IFERROR(__xludf.DUMMYFUNCTION("""COMPUTED_VALUE"""),145359.0)</f>
        <v>145359</v>
      </c>
      <c r="F19" s="21" t="str">
        <f>IFERROR(__xludf.DUMMYFUNCTION("""COMPUTED_VALUE"""),"ANALISE DE INVENTARIO")</f>
        <v>ANALISE DE INVENTARIO</v>
      </c>
      <c r="G19" s="23">
        <f>IFERROR(__xludf.DUMMYFUNCTION("""COMPUTED_VALUE"""),45517.70171296297)</f>
        <v>45517.70171</v>
      </c>
      <c r="H19" s="24" t="str">
        <f>IFERROR(VLOOKUP(B19,material!A:D,3,0),"")</f>
        <v>LEGADO</v>
      </c>
    </row>
    <row r="20" ht="11.25" customHeight="1">
      <c r="A20" s="21" t="str">
        <f>IFERROR(__xludf.DUMMYFUNCTION("""COMPUTED_VALUE"""),"SMART SIM CARD NAGRA")</f>
        <v>SMART SIM CARD NAGRA</v>
      </c>
      <c r="B20" s="22">
        <f>IFERROR(__xludf.DUMMYFUNCTION("""COMPUTED_VALUE"""),4.1000805E7)</f>
        <v>41000805</v>
      </c>
      <c r="C20" s="21" t="str">
        <f>IFERROR(__xludf.DUMMYFUNCTION("""COMPUTED_VALUE"""),"246527840610")</f>
        <v>246527840610</v>
      </c>
      <c r="D20" s="21" t="str">
        <f>IFERROR(__xludf.DUMMYFUNCTION("""COMPUTED_VALUE"""),"DIGITEC TECNOLOGIA DIGITAL E REPRES")</f>
        <v>DIGITEC TECNOLOGIA DIGITAL E REPRES</v>
      </c>
      <c r="E20" s="21">
        <f>IFERROR(__xludf.DUMMYFUNCTION("""COMPUTED_VALUE"""),145359.0)</f>
        <v>145359</v>
      </c>
      <c r="F20" s="21" t="str">
        <f>IFERROR(__xludf.DUMMYFUNCTION("""COMPUTED_VALUE"""),"TRANSITO REVERSA")</f>
        <v>TRANSITO REVERSA</v>
      </c>
      <c r="G20" s="23">
        <f>IFERROR(__xludf.DUMMYFUNCTION("""COMPUTED_VALUE"""),45638.52111111111)</f>
        <v>45638.52111</v>
      </c>
      <c r="H20" s="24" t="str">
        <f>IFERROR(VLOOKUP(B20,material!A:D,3,0),"")</f>
        <v>SIM CARD</v>
      </c>
    </row>
    <row r="21" ht="11.25" customHeight="1">
      <c r="A21" s="21" t="str">
        <f>IFERROR(__xludf.DUMMYFUNCTION("""COMPUTED_VALUE"""),"TECHNICOLOR TC7337NET")</f>
        <v>TECHNICOLOR TC7337NET</v>
      </c>
      <c r="B21" s="22">
        <f>IFERROR(__xludf.DUMMYFUNCTION("""COMPUTED_VALUE"""),4.1001294E7)</f>
        <v>41001294</v>
      </c>
      <c r="C21" s="21" t="str">
        <f>IFERROR(__xludf.DUMMYFUNCTION("""COMPUTED_VALUE"""),"14B7F8DEC3A7")</f>
        <v>14B7F8DEC3A7</v>
      </c>
      <c r="D21" s="21" t="str">
        <f>IFERROR(__xludf.DUMMYFUNCTION("""COMPUTED_VALUE"""),"DIGITEC TECNOLOGIA DIGITAL E REPRES")</f>
        <v>DIGITEC TECNOLOGIA DIGITAL E REPRES</v>
      </c>
      <c r="E21" s="21">
        <f>IFERROR(__xludf.DUMMYFUNCTION("""COMPUTED_VALUE"""),145359.0)</f>
        <v>145359</v>
      </c>
      <c r="F21" s="21" t="str">
        <f>IFERROR(__xludf.DUMMYFUNCTION("""COMPUTED_VALUE"""),"TRANSITO REVERSA")</f>
        <v>TRANSITO REVERSA</v>
      </c>
      <c r="G21" s="23">
        <f>IFERROR(__xludf.DUMMYFUNCTION("""COMPUTED_VALUE"""),45626.2987037037)</f>
        <v>45626.2987</v>
      </c>
      <c r="H21" s="24" t="str">
        <f>IFERROR(VLOOKUP(B21,material!A:D,3,0),"")</f>
        <v>DUAL</v>
      </c>
    </row>
    <row r="22" ht="11.25" customHeight="1">
      <c r="A22" s="21" t="str">
        <f>IFERROR(__xludf.DUMMYFUNCTION("""COMPUTED_VALUE"""),"TECHNICOLOR TC7337NET")</f>
        <v>TECHNICOLOR TC7337NET</v>
      </c>
      <c r="B22" s="22">
        <f>IFERROR(__xludf.DUMMYFUNCTION("""COMPUTED_VALUE"""),4.1001294E7)</f>
        <v>41001294</v>
      </c>
      <c r="C22" s="21" t="str">
        <f>IFERROR(__xludf.DUMMYFUNCTION("""COMPUTED_VALUE"""),"1062D0C66E37")</f>
        <v>1062D0C66E37</v>
      </c>
      <c r="D22" s="21" t="str">
        <f>IFERROR(__xludf.DUMMYFUNCTION("""COMPUTED_VALUE"""),"DIGITEC TECNOLOGIA DIGITAL E REPRES")</f>
        <v>DIGITEC TECNOLOGIA DIGITAL E REPRES</v>
      </c>
      <c r="E22" s="21">
        <f>IFERROR(__xludf.DUMMYFUNCTION("""COMPUTED_VALUE"""),145359.0)</f>
        <v>145359</v>
      </c>
      <c r="F22" s="21" t="str">
        <f>IFERROR(__xludf.DUMMYFUNCTION("""COMPUTED_VALUE"""),"TRANSITO REVERSA")</f>
        <v>TRANSITO REVERSA</v>
      </c>
      <c r="G22" s="23">
        <f>IFERROR(__xludf.DUMMYFUNCTION("""COMPUTED_VALUE"""),45638.52060185185)</f>
        <v>45638.5206</v>
      </c>
      <c r="H22" s="24" t="str">
        <f>IFERROR(VLOOKUP(B22,material!A:D,3,0),"")</f>
        <v>DUAL</v>
      </c>
    </row>
    <row r="23" ht="11.25" customHeight="1">
      <c r="A23" s="21" t="str">
        <f>IFERROR(__xludf.DUMMYFUNCTION("""COMPUTED_VALUE"""),"HUMAX HGB10R-02")</f>
        <v>HUMAX HGB10R-02</v>
      </c>
      <c r="B23" s="22">
        <f>IFERROR(__xludf.DUMMYFUNCTION("""COMPUTED_VALUE"""),4.1001292E7)</f>
        <v>41001292</v>
      </c>
      <c r="C23" s="21" t="str">
        <f>IFERROR(__xludf.DUMMYFUNCTION("""COMPUTED_VALUE"""),"90F305561884")</f>
        <v>90F305561884</v>
      </c>
      <c r="D23" s="21" t="str">
        <f>IFERROR(__xludf.DUMMYFUNCTION("""COMPUTED_VALUE"""),"DIGITEC TECNOLOGIA DIGITAL E REPRES")</f>
        <v>DIGITEC TECNOLOGIA DIGITAL E REPRES</v>
      </c>
      <c r="E23" s="21">
        <f>IFERROR(__xludf.DUMMYFUNCTION("""COMPUTED_VALUE"""),145359.0)</f>
        <v>145359</v>
      </c>
      <c r="F23" s="21" t="str">
        <f>IFERROR(__xludf.DUMMYFUNCTION("""COMPUTED_VALUE"""),"TRANSITO REVERSA")</f>
        <v>TRANSITO REVERSA</v>
      </c>
      <c r="G23" s="23">
        <f>IFERROR(__xludf.DUMMYFUNCTION("""COMPUTED_VALUE"""),45633.00341435186)</f>
        <v>45633.00341</v>
      </c>
      <c r="H23" s="24" t="str">
        <f>IFERROR(VLOOKUP(B23,material!A:D,3,0),"")</f>
        <v>DUAL</v>
      </c>
    </row>
    <row r="24" ht="11.25" customHeight="1">
      <c r="A24" s="21" t="str">
        <f>IFERROR(__xludf.DUMMYFUNCTION("""COMPUTED_VALUE"""),"ARRIS TG1692A")</f>
        <v>ARRIS TG1692A</v>
      </c>
      <c r="B24" s="22">
        <f>IFERROR(__xludf.DUMMYFUNCTION("""COMPUTED_VALUE"""),4.1001293E7)</f>
        <v>41001293</v>
      </c>
      <c r="C24" s="21" t="str">
        <f>IFERROR(__xludf.DUMMYFUNCTION("""COMPUTED_VALUE"""),"4C1265362FE6")</f>
        <v>4C1265362FE6</v>
      </c>
      <c r="D24" s="21" t="str">
        <f>IFERROR(__xludf.DUMMYFUNCTION("""COMPUTED_VALUE"""),"DIGITEC TECNOLOGIA DIGITAL E REPRES")</f>
        <v>DIGITEC TECNOLOGIA DIGITAL E REPRES</v>
      </c>
      <c r="E24" s="21">
        <f>IFERROR(__xludf.DUMMYFUNCTION("""COMPUTED_VALUE"""),145359.0)</f>
        <v>145359</v>
      </c>
      <c r="F24" s="21" t="str">
        <f>IFERROR(__xludf.DUMMYFUNCTION("""COMPUTED_VALUE"""),"COM DEFEITO")</f>
        <v>COM DEFEITO</v>
      </c>
      <c r="G24" s="23">
        <f>IFERROR(__xludf.DUMMYFUNCTION("""COMPUTED_VALUE"""),45595.63983796297)</f>
        <v>45595.63984</v>
      </c>
      <c r="H24" s="24" t="str">
        <f>IFERROR(VLOOKUP(B24,material!A:D,3,0),"")</f>
        <v>DUAL</v>
      </c>
    </row>
    <row r="25" ht="11.25" customHeight="1">
      <c r="A25" s="21" t="str">
        <f>IFERROR(__xludf.DUMMYFUNCTION("""COMPUTED_VALUE"""),"MODEM VOIP EMTA WIFI 3.1 HGJ310")</f>
        <v>MODEM VOIP EMTA WIFI 3.1 HGJ310</v>
      </c>
      <c r="B25" s="22">
        <f>IFERROR(__xludf.DUMMYFUNCTION("""COMPUTED_VALUE"""),4.1001481E7)</f>
        <v>41001481</v>
      </c>
      <c r="C25" s="21" t="str">
        <f>IFERROR(__xludf.DUMMYFUNCTION("""COMPUTED_VALUE"""),"C85D38F76664")</f>
        <v>C85D38F76664</v>
      </c>
      <c r="D25" s="21" t="str">
        <f>IFERROR(__xludf.DUMMYFUNCTION("""COMPUTED_VALUE"""),"DIGITEC TECNOLOGIA DIGITAL E REPRES")</f>
        <v>DIGITEC TECNOLOGIA DIGITAL E REPRES</v>
      </c>
      <c r="E25" s="21">
        <f>IFERROR(__xludf.DUMMYFUNCTION("""COMPUTED_VALUE"""),145359.0)</f>
        <v>145359</v>
      </c>
      <c r="F25" s="21" t="str">
        <f>IFERROR(__xludf.DUMMYFUNCTION("""COMPUTED_VALUE"""),"INICIALIZADO")</f>
        <v>INICIALIZADO</v>
      </c>
      <c r="G25" s="23">
        <f>IFERROR(__xludf.DUMMYFUNCTION("""COMPUTED_VALUE"""),45639.64981481481)</f>
        <v>45639.64981</v>
      </c>
      <c r="H25" s="24" t="str">
        <f>IFERROR(VLOOKUP(B25,material!A:D,3,0),"")</f>
        <v>3.1</v>
      </c>
    </row>
    <row r="26" ht="11.25" customHeight="1">
      <c r="A26" s="21" t="str">
        <f>IFERROR(__xludf.DUMMYFUNCTION("""COMPUTED_VALUE"""),"MODEM VOIP EMTA WIFI 3.1 HGJ310")</f>
        <v>MODEM VOIP EMTA WIFI 3.1 HGJ310</v>
      </c>
      <c r="B26" s="22">
        <f>IFERROR(__xludf.DUMMYFUNCTION("""COMPUTED_VALUE"""),4.1001481E7)</f>
        <v>41001481</v>
      </c>
      <c r="C26" s="21" t="str">
        <f>IFERROR(__xludf.DUMMYFUNCTION("""COMPUTED_VALUE"""),"D86C5A3E36A3")</f>
        <v>D86C5A3E36A3</v>
      </c>
      <c r="D26" s="21" t="str">
        <f>IFERROR(__xludf.DUMMYFUNCTION("""COMPUTED_VALUE"""),"DIGITEC TECNOLOGIA DIGITAL E REPRES")</f>
        <v>DIGITEC TECNOLOGIA DIGITAL E REPRES</v>
      </c>
      <c r="E26" s="21">
        <f>IFERROR(__xludf.DUMMYFUNCTION("""COMPUTED_VALUE"""),145359.0)</f>
        <v>145359</v>
      </c>
      <c r="F26" s="21" t="str">
        <f>IFERROR(__xludf.DUMMYFUNCTION("""COMPUTED_VALUE"""),"INICIALIZADO")</f>
        <v>INICIALIZADO</v>
      </c>
      <c r="G26" s="23">
        <f>IFERROR(__xludf.DUMMYFUNCTION("""COMPUTED_VALUE"""),45639.64982638889)</f>
        <v>45639.64983</v>
      </c>
      <c r="H26" s="24" t="str">
        <f>IFERROR(VLOOKUP(B26,material!A:D,3,0),"")</f>
        <v>3.1</v>
      </c>
    </row>
    <row r="27" ht="11.25" customHeight="1">
      <c r="A27" s="21" t="str">
        <f>IFERROR(__xludf.DUMMYFUNCTION("""COMPUTED_VALUE"""),"MODEM VOIP EMTA WIFI 3.1 HGJ310")</f>
        <v>MODEM VOIP EMTA WIFI 3.1 HGJ310</v>
      </c>
      <c r="B27" s="22">
        <f>IFERROR(__xludf.DUMMYFUNCTION("""COMPUTED_VALUE"""),4.1001481E7)</f>
        <v>41001481</v>
      </c>
      <c r="C27" s="21" t="str">
        <f>IFERROR(__xludf.DUMMYFUNCTION("""COMPUTED_VALUE"""),"C85D38024323")</f>
        <v>C85D38024323</v>
      </c>
      <c r="D27" s="21" t="str">
        <f>IFERROR(__xludf.DUMMYFUNCTION("""COMPUTED_VALUE"""),"DIGITEC TECNOLOGIA DIGITAL E REPRES")</f>
        <v>DIGITEC TECNOLOGIA DIGITAL E REPRES</v>
      </c>
      <c r="E27" s="21">
        <f>IFERROR(__xludf.DUMMYFUNCTION("""COMPUTED_VALUE"""),145359.0)</f>
        <v>145359</v>
      </c>
      <c r="F27" s="21" t="str">
        <f>IFERROR(__xludf.DUMMYFUNCTION("""COMPUTED_VALUE"""),"INICIALIZADO")</f>
        <v>INICIALIZADO</v>
      </c>
      <c r="G27" s="23">
        <f>IFERROR(__xludf.DUMMYFUNCTION("""COMPUTED_VALUE"""),45639.64980324074)</f>
        <v>45639.6498</v>
      </c>
      <c r="H27" s="24" t="str">
        <f>IFERROR(VLOOKUP(B27,material!A:D,3,0),"")</f>
        <v>3.1</v>
      </c>
    </row>
    <row r="28" ht="11.25" customHeight="1">
      <c r="A28" s="21" t="str">
        <f>IFERROR(__xludf.DUMMYFUNCTION("""COMPUTED_VALUE"""),"MODEM VOIP EMTA WIFI 3.1 HGJ310")</f>
        <v>MODEM VOIP EMTA WIFI 3.1 HGJ310</v>
      </c>
      <c r="B28" s="22">
        <f>IFERROR(__xludf.DUMMYFUNCTION("""COMPUTED_VALUE"""),4.1001481E7)</f>
        <v>41001481</v>
      </c>
      <c r="C28" s="21" t="str">
        <f>IFERROR(__xludf.DUMMYFUNCTION("""COMPUTED_VALUE"""),"C85D3879678B")</f>
        <v>C85D3879678B</v>
      </c>
      <c r="D28" s="21" t="str">
        <f>IFERROR(__xludf.DUMMYFUNCTION("""COMPUTED_VALUE"""),"DIGITEC TECNOLOGIA DIGITAL E REPRES")</f>
        <v>DIGITEC TECNOLOGIA DIGITAL E REPRES</v>
      </c>
      <c r="E28" s="21">
        <f>IFERROR(__xludf.DUMMYFUNCTION("""COMPUTED_VALUE"""),145359.0)</f>
        <v>145359</v>
      </c>
      <c r="F28" s="21" t="str">
        <f>IFERROR(__xludf.DUMMYFUNCTION("""COMPUTED_VALUE"""),"INICIALIZADO")</f>
        <v>INICIALIZADO</v>
      </c>
      <c r="G28" s="23">
        <f>IFERROR(__xludf.DUMMYFUNCTION("""COMPUTED_VALUE"""),45639.64983796296)</f>
        <v>45639.64984</v>
      </c>
      <c r="H28" s="24" t="str">
        <f>IFERROR(VLOOKUP(B28,material!A:D,3,0),"")</f>
        <v>3.1</v>
      </c>
    </row>
    <row r="29" ht="11.25" customHeight="1">
      <c r="A29" s="21" t="str">
        <f>IFERROR(__xludf.DUMMYFUNCTION("""COMPUTED_VALUE"""),"MODEM VOIP EMTA WIFI 3.1 HGJ310")</f>
        <v>MODEM VOIP EMTA WIFI 3.1 HGJ310</v>
      </c>
      <c r="B29" s="22">
        <f>IFERROR(__xludf.DUMMYFUNCTION("""COMPUTED_VALUE"""),4.1001481E7)</f>
        <v>41001481</v>
      </c>
      <c r="C29" s="21" t="str">
        <f>IFERROR(__xludf.DUMMYFUNCTION("""COMPUTED_VALUE"""),"D86C5A477C8A")</f>
        <v>D86C5A477C8A</v>
      </c>
      <c r="D29" s="21" t="str">
        <f>IFERROR(__xludf.DUMMYFUNCTION("""COMPUTED_VALUE"""),"DIGITEC TECNOLOGIA DIGITAL E REPRES")</f>
        <v>DIGITEC TECNOLOGIA DIGITAL E REPRES</v>
      </c>
      <c r="E29" s="21">
        <f>IFERROR(__xludf.DUMMYFUNCTION("""COMPUTED_VALUE"""),145359.0)</f>
        <v>145359</v>
      </c>
      <c r="F29" s="21" t="str">
        <f>IFERROR(__xludf.DUMMYFUNCTION("""COMPUTED_VALUE"""),"INICIALIZADO")</f>
        <v>INICIALIZADO</v>
      </c>
      <c r="G29" s="23">
        <f>IFERROR(__xludf.DUMMYFUNCTION("""COMPUTED_VALUE"""),45639.64981481481)</f>
        <v>45639.64981</v>
      </c>
      <c r="H29" s="24" t="str">
        <f>IFERROR(VLOOKUP(B29,material!A:D,3,0),"")</f>
        <v>3.1</v>
      </c>
    </row>
    <row r="30" ht="11.25" customHeight="1">
      <c r="A30" s="21" t="str">
        <f>IFERROR(__xludf.DUMMYFUNCTION("""COMPUTED_VALUE"""),"DECODER 4K ULTRA HD DGCI363 COM IG")</f>
        <v>DECODER 4K ULTRA HD DGCI363 COM IG</v>
      </c>
      <c r="B30" s="22">
        <f>IFERROR(__xludf.DUMMYFUNCTION("""COMPUTED_VALUE"""),4.1001484E7)</f>
        <v>41001484</v>
      </c>
      <c r="C30" s="21" t="str">
        <f>IFERROR(__xludf.DUMMYFUNCTION("""COMPUTED_VALUE"""),"229850665167")</f>
        <v>229850665167</v>
      </c>
      <c r="D30" s="21" t="str">
        <f>IFERROR(__xludf.DUMMYFUNCTION("""COMPUTED_VALUE"""),"DIGITEC TECNOLOGIA DIGITAL E REPRES")</f>
        <v>DIGITEC TECNOLOGIA DIGITAL E REPRES</v>
      </c>
      <c r="E30" s="21">
        <f>IFERROR(__xludf.DUMMYFUNCTION("""COMPUTED_VALUE"""),145359.0)</f>
        <v>145359</v>
      </c>
      <c r="F30" s="21" t="str">
        <f>IFERROR(__xludf.DUMMYFUNCTION("""COMPUTED_VALUE"""),"INICIALIZADO")</f>
        <v>INICIALIZADO</v>
      </c>
      <c r="G30" s="23">
        <f>IFERROR(__xludf.DUMMYFUNCTION("""COMPUTED_VALUE"""),45625.653182870374)</f>
        <v>45625.65318</v>
      </c>
      <c r="H30" s="24" t="str">
        <f>IFERROR(VLOOKUP(B30,material!A:D,3,0),"")</f>
        <v>4K</v>
      </c>
    </row>
    <row r="31" ht="11.25" customHeight="1">
      <c r="A31" s="21" t="str">
        <f>IFERROR(__xludf.DUMMYFUNCTION("""COMPUTED_VALUE"""),"TECHNICOLOR TC7337NET")</f>
        <v>TECHNICOLOR TC7337NET</v>
      </c>
      <c r="B31" s="22">
        <f>IFERROR(__xludf.DUMMYFUNCTION("""COMPUTED_VALUE"""),4.1001294E7)</f>
        <v>41001294</v>
      </c>
      <c r="C31" s="21" t="str">
        <f>IFERROR(__xludf.DUMMYFUNCTION("""COMPUTED_VALUE"""),"14B7F8DE1437")</f>
        <v>14B7F8DE1437</v>
      </c>
      <c r="D31" s="21" t="str">
        <f>IFERROR(__xludf.DUMMYFUNCTION("""COMPUTED_VALUE"""),"DIGITEC TECNOLOGIA DIGITAL E REPRES")</f>
        <v>DIGITEC TECNOLOGIA DIGITAL E REPRES</v>
      </c>
      <c r="E31" s="21">
        <f>IFERROR(__xludf.DUMMYFUNCTION("""COMPUTED_VALUE"""),145359.0)</f>
        <v>145359</v>
      </c>
      <c r="F31" s="21" t="str">
        <f>IFERROR(__xludf.DUMMYFUNCTION("""COMPUTED_VALUE"""),"INICIALIZADO")</f>
        <v>INICIALIZADO</v>
      </c>
      <c r="G31" s="23">
        <f>IFERROR(__xludf.DUMMYFUNCTION("""COMPUTED_VALUE"""),45618.74476851852)</f>
        <v>45618.74477</v>
      </c>
      <c r="H31" s="24" t="str">
        <f>IFERROR(VLOOKUP(B31,material!A:D,3,0),"")</f>
        <v>DUAL</v>
      </c>
    </row>
    <row r="32" ht="11.25" customHeight="1">
      <c r="A32" s="21" t="str">
        <f>IFERROR(__xludf.DUMMYFUNCTION("""COMPUTED_VALUE"""),"TECHNICOLOR TC7337NET")</f>
        <v>TECHNICOLOR TC7337NET</v>
      </c>
      <c r="B32" s="22">
        <f>IFERROR(__xludf.DUMMYFUNCTION("""COMPUTED_VALUE"""),4.1001294E7)</f>
        <v>41001294</v>
      </c>
      <c r="C32" s="21" t="str">
        <f>IFERROR(__xludf.DUMMYFUNCTION("""COMPUTED_VALUE"""),"D4B92F297472")</f>
        <v>D4B92F297472</v>
      </c>
      <c r="D32" s="21" t="str">
        <f>IFERROR(__xludf.DUMMYFUNCTION("""COMPUTED_VALUE"""),"DIGITEC TECNOLOGIA DIGITAL E REPRES")</f>
        <v>DIGITEC TECNOLOGIA DIGITAL E REPRES</v>
      </c>
      <c r="E32" s="21">
        <f>IFERROR(__xludf.DUMMYFUNCTION("""COMPUTED_VALUE"""),145359.0)</f>
        <v>145359</v>
      </c>
      <c r="F32" s="21" t="str">
        <f>IFERROR(__xludf.DUMMYFUNCTION("""COMPUTED_VALUE"""),"INICIALIZADO")</f>
        <v>INICIALIZADO</v>
      </c>
      <c r="G32" s="23">
        <f>IFERROR(__xludf.DUMMYFUNCTION("""COMPUTED_VALUE"""),45317.553136574075)</f>
        <v>45317.55314</v>
      </c>
      <c r="H32" s="24" t="str">
        <f>IFERROR(VLOOKUP(B32,material!A:D,3,0),"")</f>
        <v>DUAL</v>
      </c>
    </row>
    <row r="33" ht="11.25" customHeight="1">
      <c r="A33" s="21" t="str">
        <f>IFERROR(__xludf.DUMMYFUNCTION("""COMPUTED_VALUE"""),"DECODER DIGITAL HD DXC5000 2T")</f>
        <v>DECODER DIGITAL HD DXC5000 2T</v>
      </c>
      <c r="B33" s="22">
        <f>IFERROR(__xludf.DUMMYFUNCTION("""COMPUTED_VALUE"""),4.1001277E7)</f>
        <v>41001277</v>
      </c>
      <c r="C33" s="21" t="str">
        <f>IFERROR(__xludf.DUMMYFUNCTION("""COMPUTED_VALUE"""),"216466199604")</f>
        <v>216466199604</v>
      </c>
      <c r="D33" s="21" t="str">
        <f>IFERROR(__xludf.DUMMYFUNCTION("""COMPUTED_VALUE"""),"DIGITEC TECNOLOGIA DIGITAL E REPRES")</f>
        <v>DIGITEC TECNOLOGIA DIGITAL E REPRES</v>
      </c>
      <c r="E33" s="21">
        <f>IFERROR(__xludf.DUMMYFUNCTION("""COMPUTED_VALUE"""),145359.0)</f>
        <v>145359</v>
      </c>
      <c r="F33" s="21" t="str">
        <f>IFERROR(__xludf.DUMMYFUNCTION("""COMPUTED_VALUE"""),"INICIALIZADO")</f>
        <v>INICIALIZADO</v>
      </c>
      <c r="G33" s="23">
        <f>IFERROR(__xludf.DUMMYFUNCTION("""COMPUTED_VALUE"""),45618.65200231482)</f>
        <v>45618.652</v>
      </c>
      <c r="H33" s="24" t="str">
        <f>IFERROR(VLOOKUP(B33,material!A:D,3,0),"")</f>
        <v>TOP MIX</v>
      </c>
    </row>
    <row r="34" ht="11.25" customHeight="1">
      <c r="A34" s="21" t="str">
        <f>IFERROR(__xludf.DUMMYFUNCTION("""COMPUTED_VALUE"""),"DECODER DIGITAL HD HNB100 2T")</f>
        <v>DECODER DIGITAL HD HNB100 2T</v>
      </c>
      <c r="B34" s="22">
        <f>IFERROR(__xludf.DUMMYFUNCTION("""COMPUTED_VALUE"""),4.1001276E7)</f>
        <v>41001276</v>
      </c>
      <c r="C34" s="21" t="str">
        <f>IFERROR(__xludf.DUMMYFUNCTION("""COMPUTED_VALUE"""),"216910692951")</f>
        <v>216910692951</v>
      </c>
      <c r="D34" s="21" t="str">
        <f>IFERROR(__xludf.DUMMYFUNCTION("""COMPUTED_VALUE"""),"DIGITEC TECNOLOGIA DIGITAL E REPRES")</f>
        <v>DIGITEC TECNOLOGIA DIGITAL E REPRES</v>
      </c>
      <c r="E34" s="21">
        <f>IFERROR(__xludf.DUMMYFUNCTION("""COMPUTED_VALUE"""),145359.0)</f>
        <v>145359</v>
      </c>
      <c r="F34" s="21" t="str">
        <f>IFERROR(__xludf.DUMMYFUNCTION("""COMPUTED_VALUE"""),"INICIALIZADO")</f>
        <v>INICIALIZADO</v>
      </c>
      <c r="G34" s="23">
        <f>IFERROR(__xludf.DUMMYFUNCTION("""COMPUTED_VALUE"""),45635.53502314815)</f>
        <v>45635.53502</v>
      </c>
      <c r="H34" s="24" t="str">
        <f>IFERROR(VLOOKUP(B34,material!A:D,3,0),"")</f>
        <v>TOP MIX</v>
      </c>
    </row>
    <row r="35" ht="11.25" customHeight="1">
      <c r="A35" s="21" t="str">
        <f>IFERROR(__xludf.DUMMYFUNCTION("""COMPUTED_VALUE"""),"DECODER DIGITAL HD HNB100 2T")</f>
        <v>DECODER DIGITAL HD HNB100 2T</v>
      </c>
      <c r="B35" s="22">
        <f>IFERROR(__xludf.DUMMYFUNCTION("""COMPUTED_VALUE"""),4.1001276E7)</f>
        <v>41001276</v>
      </c>
      <c r="C35" s="21" t="str">
        <f>IFERROR(__xludf.DUMMYFUNCTION("""COMPUTED_VALUE"""),"216872358793")</f>
        <v>216872358793</v>
      </c>
      <c r="D35" s="21" t="str">
        <f>IFERROR(__xludf.DUMMYFUNCTION("""COMPUTED_VALUE"""),"DIGITEC TECNOLOGIA DIGITAL E REPRES")</f>
        <v>DIGITEC TECNOLOGIA DIGITAL E REPRES</v>
      </c>
      <c r="E35" s="21">
        <f>IFERROR(__xludf.DUMMYFUNCTION("""COMPUTED_VALUE"""),145359.0)</f>
        <v>145359</v>
      </c>
      <c r="F35" s="21" t="str">
        <f>IFERROR(__xludf.DUMMYFUNCTION("""COMPUTED_VALUE"""),"INICIALIZADO")</f>
        <v>INICIALIZADO</v>
      </c>
      <c r="G35" s="23">
        <f>IFERROR(__xludf.DUMMYFUNCTION("""COMPUTED_VALUE"""),45635.53502314815)</f>
        <v>45635.53502</v>
      </c>
      <c r="H35" s="24" t="str">
        <f>IFERROR(VLOOKUP(B35,material!A:D,3,0),"")</f>
        <v>TOP MIX</v>
      </c>
    </row>
    <row r="36" ht="11.25" customHeight="1">
      <c r="A36" s="21" t="str">
        <f>IFERROR(__xludf.DUMMYFUNCTION("""COMPUTED_VALUE"""),"DECODER DIGITAL HD HNB100 2T")</f>
        <v>DECODER DIGITAL HD HNB100 2T</v>
      </c>
      <c r="B36" s="22">
        <f>IFERROR(__xludf.DUMMYFUNCTION("""COMPUTED_VALUE"""),4.1001276E7)</f>
        <v>41001276</v>
      </c>
      <c r="C36" s="21" t="str">
        <f>IFERROR(__xludf.DUMMYFUNCTION("""COMPUTED_VALUE"""),"216878719920")</f>
        <v>216878719920</v>
      </c>
      <c r="D36" s="21" t="str">
        <f>IFERROR(__xludf.DUMMYFUNCTION("""COMPUTED_VALUE"""),"DIGITEC TECNOLOGIA DIGITAL E REPRES")</f>
        <v>DIGITEC TECNOLOGIA DIGITAL E REPRES</v>
      </c>
      <c r="E36" s="21">
        <f>IFERROR(__xludf.DUMMYFUNCTION("""COMPUTED_VALUE"""),145359.0)</f>
        <v>145359</v>
      </c>
      <c r="F36" s="21" t="str">
        <f>IFERROR(__xludf.DUMMYFUNCTION("""COMPUTED_VALUE"""),"INICIALIZADO")</f>
        <v>INICIALIZADO</v>
      </c>
      <c r="G36" s="23">
        <f>IFERROR(__xludf.DUMMYFUNCTION("""COMPUTED_VALUE"""),45635.53502314815)</f>
        <v>45635.53502</v>
      </c>
      <c r="H36" s="24" t="str">
        <f>IFERROR(VLOOKUP(B36,material!A:D,3,0),"")</f>
        <v>TOP MIX</v>
      </c>
    </row>
    <row r="37" ht="11.25" customHeight="1">
      <c r="A37" s="21" t="str">
        <f>IFERROR(__xludf.DUMMYFUNCTION("""COMPUTED_VALUE"""),"DECODER DIGITAL HD HNB100 2T")</f>
        <v>DECODER DIGITAL HD HNB100 2T</v>
      </c>
      <c r="B37" s="22">
        <f>IFERROR(__xludf.DUMMYFUNCTION("""COMPUTED_VALUE"""),4.1001276E7)</f>
        <v>41001276</v>
      </c>
      <c r="C37" s="21" t="str">
        <f>IFERROR(__xludf.DUMMYFUNCTION("""COMPUTED_VALUE"""),"216553267697")</f>
        <v>216553267697</v>
      </c>
      <c r="D37" s="21" t="str">
        <f>IFERROR(__xludf.DUMMYFUNCTION("""COMPUTED_VALUE"""),"DIGITEC TECNOLOGIA DIGITAL E REPRES")</f>
        <v>DIGITEC TECNOLOGIA DIGITAL E REPRES</v>
      </c>
      <c r="E37" s="21">
        <f>IFERROR(__xludf.DUMMYFUNCTION("""COMPUTED_VALUE"""),145359.0)</f>
        <v>145359</v>
      </c>
      <c r="F37" s="21" t="str">
        <f>IFERROR(__xludf.DUMMYFUNCTION("""COMPUTED_VALUE"""),"INICIALIZADO")</f>
        <v>INICIALIZADO</v>
      </c>
      <c r="G37" s="23">
        <f>IFERROR(__xludf.DUMMYFUNCTION("""COMPUTED_VALUE"""),45635.53508101852)</f>
        <v>45635.53508</v>
      </c>
      <c r="H37" s="24" t="str">
        <f>IFERROR(VLOOKUP(B37,material!A:D,3,0),"")</f>
        <v>TOP MIX</v>
      </c>
    </row>
    <row r="38" ht="11.25" customHeight="1">
      <c r="A38" s="21" t="str">
        <f>IFERROR(__xludf.DUMMYFUNCTION("""COMPUTED_VALUE"""),"DECODER DIGITAL HD HNB100 2T")</f>
        <v>DECODER DIGITAL HD HNB100 2T</v>
      </c>
      <c r="B38" s="22">
        <f>IFERROR(__xludf.DUMMYFUNCTION("""COMPUTED_VALUE"""),4.1001276E7)</f>
        <v>41001276</v>
      </c>
      <c r="C38" s="21" t="str">
        <f>IFERROR(__xludf.DUMMYFUNCTION("""COMPUTED_VALUE"""),"216553181730")</f>
        <v>216553181730</v>
      </c>
      <c r="D38" s="21" t="str">
        <f>IFERROR(__xludf.DUMMYFUNCTION("""COMPUTED_VALUE"""),"DIGITEC TECNOLOGIA DIGITAL E REPRES")</f>
        <v>DIGITEC TECNOLOGIA DIGITAL E REPRES</v>
      </c>
      <c r="E38" s="21">
        <f>IFERROR(__xludf.DUMMYFUNCTION("""COMPUTED_VALUE"""),145359.0)</f>
        <v>145359</v>
      </c>
      <c r="F38" s="21" t="str">
        <f>IFERROR(__xludf.DUMMYFUNCTION("""COMPUTED_VALUE"""),"INICIALIZADO")</f>
        <v>INICIALIZADO</v>
      </c>
      <c r="G38" s="23">
        <f>IFERROR(__xludf.DUMMYFUNCTION("""COMPUTED_VALUE"""),45635.53508101852)</f>
        <v>45635.53508</v>
      </c>
      <c r="H38" s="24" t="str">
        <f>IFERROR(VLOOKUP(B38,material!A:D,3,0),"")</f>
        <v>TOP MIX</v>
      </c>
    </row>
    <row r="39" ht="11.25" customHeight="1">
      <c r="A39" s="21" t="str">
        <f>IFERROR(__xludf.DUMMYFUNCTION("""COMPUTED_VALUE"""),"DECODER DIGITAL HD HNB100 2T")</f>
        <v>DECODER DIGITAL HD HNB100 2T</v>
      </c>
      <c r="B39" s="22">
        <f>IFERROR(__xludf.DUMMYFUNCTION("""COMPUTED_VALUE"""),4.1001276E7)</f>
        <v>41001276</v>
      </c>
      <c r="C39" s="21" t="str">
        <f>IFERROR(__xludf.DUMMYFUNCTION("""COMPUTED_VALUE"""),"216701501525")</f>
        <v>216701501525</v>
      </c>
      <c r="D39" s="21" t="str">
        <f>IFERROR(__xludf.DUMMYFUNCTION("""COMPUTED_VALUE"""),"DIGITEC TECNOLOGIA DIGITAL E REPRES")</f>
        <v>DIGITEC TECNOLOGIA DIGITAL E REPRES</v>
      </c>
      <c r="E39" s="21">
        <f>IFERROR(__xludf.DUMMYFUNCTION("""COMPUTED_VALUE"""),145359.0)</f>
        <v>145359</v>
      </c>
      <c r="F39" s="21" t="str">
        <f>IFERROR(__xludf.DUMMYFUNCTION("""COMPUTED_VALUE"""),"INICIALIZADO")</f>
        <v>INICIALIZADO</v>
      </c>
      <c r="G39" s="23">
        <f>IFERROR(__xludf.DUMMYFUNCTION("""COMPUTED_VALUE"""),45635.53501157407)</f>
        <v>45635.53501</v>
      </c>
      <c r="H39" s="24" t="str">
        <f>IFERROR(VLOOKUP(B39,material!A:D,3,0),"")</f>
        <v>TOP MIX</v>
      </c>
    </row>
    <row r="40" ht="11.25" customHeight="1">
      <c r="A40" s="21" t="str">
        <f>IFERROR(__xludf.DUMMYFUNCTION("""COMPUTED_VALUE"""),"DECODER DIGITAL HD HNB100 2T")</f>
        <v>DECODER DIGITAL HD HNB100 2T</v>
      </c>
      <c r="B40" s="22">
        <f>IFERROR(__xludf.DUMMYFUNCTION("""COMPUTED_VALUE"""),4.1001276E7)</f>
        <v>41001276</v>
      </c>
      <c r="C40" s="21" t="str">
        <f>IFERROR(__xludf.DUMMYFUNCTION("""COMPUTED_VALUE"""),"216516007091")</f>
        <v>216516007091</v>
      </c>
      <c r="D40" s="21" t="str">
        <f>IFERROR(__xludf.DUMMYFUNCTION("""COMPUTED_VALUE"""),"DIGITEC TECNOLOGIA DIGITAL E REPRES")</f>
        <v>DIGITEC TECNOLOGIA DIGITAL E REPRES</v>
      </c>
      <c r="E40" s="21">
        <f>IFERROR(__xludf.DUMMYFUNCTION("""COMPUTED_VALUE"""),145359.0)</f>
        <v>145359</v>
      </c>
      <c r="F40" s="21" t="str">
        <f>IFERROR(__xludf.DUMMYFUNCTION("""COMPUTED_VALUE"""),"INICIALIZADO")</f>
        <v>INICIALIZADO</v>
      </c>
      <c r="G40" s="23">
        <f>IFERROR(__xludf.DUMMYFUNCTION("""COMPUTED_VALUE"""),45635.53508101852)</f>
        <v>45635.53508</v>
      </c>
      <c r="H40" s="24" t="str">
        <f>IFERROR(VLOOKUP(B40,material!A:D,3,0),"")</f>
        <v>TOP MIX</v>
      </c>
    </row>
    <row r="41" ht="11.25" customHeight="1">
      <c r="A41" s="21" t="str">
        <f>IFERROR(__xludf.DUMMYFUNCTION("""COMPUTED_VALUE"""),"DECODER DIGITAL HD HNB100 2T")</f>
        <v>DECODER DIGITAL HD HNB100 2T</v>
      </c>
      <c r="B41" s="22">
        <f>IFERROR(__xludf.DUMMYFUNCTION("""COMPUTED_VALUE"""),4.1001276E7)</f>
        <v>41001276</v>
      </c>
      <c r="C41" s="21" t="str">
        <f>IFERROR(__xludf.DUMMYFUNCTION("""COMPUTED_VALUE"""),"216550215570")</f>
        <v>216550215570</v>
      </c>
      <c r="D41" s="21" t="str">
        <f>IFERROR(__xludf.DUMMYFUNCTION("""COMPUTED_VALUE"""),"DIGITEC TECNOLOGIA DIGITAL E REPRES")</f>
        <v>DIGITEC TECNOLOGIA DIGITAL E REPRES</v>
      </c>
      <c r="E41" s="21">
        <f>IFERROR(__xludf.DUMMYFUNCTION("""COMPUTED_VALUE"""),145359.0)</f>
        <v>145359</v>
      </c>
      <c r="F41" s="21" t="str">
        <f>IFERROR(__xludf.DUMMYFUNCTION("""COMPUTED_VALUE"""),"INICIALIZADO")</f>
        <v>INICIALIZADO</v>
      </c>
      <c r="G41" s="23">
        <f>IFERROR(__xludf.DUMMYFUNCTION("""COMPUTED_VALUE"""),45635.53506944445)</f>
        <v>45635.53507</v>
      </c>
      <c r="H41" s="24" t="str">
        <f>IFERROR(VLOOKUP(B41,material!A:D,3,0),"")</f>
        <v>TOP MIX</v>
      </c>
    </row>
    <row r="42" ht="11.25" customHeight="1">
      <c r="A42" s="21" t="str">
        <f>IFERROR(__xludf.DUMMYFUNCTION("""COMPUTED_VALUE"""),"MODEM VOIP EMTA WIFI 3.1 FAST3895")</f>
        <v>MODEM VOIP EMTA WIFI 3.1 FAST3895</v>
      </c>
      <c r="B42" s="22">
        <f>IFERROR(__xludf.DUMMYFUNCTION("""COMPUTED_VALUE"""),4.1001504E7)</f>
        <v>41001504</v>
      </c>
      <c r="C42" s="21" t="str">
        <f>IFERROR(__xludf.DUMMYFUNCTION("""COMPUTED_VALUE"""),"5447CC774973")</f>
        <v>5447CC774973</v>
      </c>
      <c r="D42" s="21" t="str">
        <f>IFERROR(__xludf.DUMMYFUNCTION("""COMPUTED_VALUE"""),"DIGITEC TECNOLOGIA DIGITAL E REPRES")</f>
        <v>DIGITEC TECNOLOGIA DIGITAL E REPRES</v>
      </c>
      <c r="E42" s="21">
        <f>IFERROR(__xludf.DUMMYFUNCTION("""COMPUTED_VALUE"""),145359.0)</f>
        <v>145359</v>
      </c>
      <c r="F42" s="21" t="str">
        <f>IFERROR(__xludf.DUMMYFUNCTION("""COMPUTED_VALUE"""),"TRANSITO REVERSA")</f>
        <v>TRANSITO REVERSA</v>
      </c>
      <c r="G42" s="23">
        <f>IFERROR(__xludf.DUMMYFUNCTION("""COMPUTED_VALUE"""),45610.73042824074)</f>
        <v>45610.73043</v>
      </c>
      <c r="H42" s="24" t="str">
        <f>IFERROR(VLOOKUP(B42,material!A:D,3,0),"")</f>
        <v>3.1</v>
      </c>
    </row>
    <row r="43" ht="11.25" customHeight="1">
      <c r="A43" s="21" t="str">
        <f>IFERROR(__xludf.DUMMYFUNCTION("""COMPUTED_VALUE"""),"MODEM VOIP EMTA WIFI 3.1 CH8568")</f>
        <v>MODEM VOIP EMTA WIFI 3.1 CH8568</v>
      </c>
      <c r="B43" s="22">
        <f>IFERROR(__xludf.DUMMYFUNCTION("""COMPUTED_VALUE"""),4.1001485E7)</f>
        <v>41001485</v>
      </c>
      <c r="C43" s="21" t="str">
        <f>IFERROR(__xludf.DUMMYFUNCTION("""COMPUTED_VALUE"""),"B4F2673336A1")</f>
        <v>B4F2673336A1</v>
      </c>
      <c r="D43" s="21" t="str">
        <f>IFERROR(__xludf.DUMMYFUNCTION("""COMPUTED_VALUE"""),"DIGITEC TECNOLOGIA DIGITAL E REPRES")</f>
        <v>DIGITEC TECNOLOGIA DIGITAL E REPRES</v>
      </c>
      <c r="E43" s="21">
        <f>IFERROR(__xludf.DUMMYFUNCTION("""COMPUTED_VALUE"""),145359.0)</f>
        <v>145359</v>
      </c>
      <c r="F43" s="21" t="str">
        <f>IFERROR(__xludf.DUMMYFUNCTION("""COMPUTED_VALUE"""),"TRANSITO REVERSA")</f>
        <v>TRANSITO REVERSA</v>
      </c>
      <c r="G43" s="23">
        <f>IFERROR(__xludf.DUMMYFUNCTION("""COMPUTED_VALUE"""),45626.29872685185)</f>
        <v>45626.29873</v>
      </c>
      <c r="H43" s="24" t="str">
        <f>IFERROR(VLOOKUP(B43,material!A:D,3,0),"")</f>
        <v>3.1</v>
      </c>
    </row>
    <row r="44" ht="11.25" customHeight="1">
      <c r="A44" s="21" t="str">
        <f>IFERROR(__xludf.DUMMYFUNCTION("""COMPUTED_VALUE"""),"MODEM VOIP EMTA WIFI 3.1 CG3000")</f>
        <v>MODEM VOIP EMTA WIFI 3.1 CG3000</v>
      </c>
      <c r="B44" s="22">
        <f>IFERROR(__xludf.DUMMYFUNCTION("""COMPUTED_VALUE"""),4.1001486E7)</f>
        <v>41001486</v>
      </c>
      <c r="C44" s="21" t="str">
        <f>IFERROR(__xludf.DUMMYFUNCTION("""COMPUTED_VALUE"""),"8401127F98CD")</f>
        <v>8401127F98CD</v>
      </c>
      <c r="D44" s="21" t="str">
        <f>IFERROR(__xludf.DUMMYFUNCTION("""COMPUTED_VALUE"""),"DIGITEC TECNOLOGIA DIGITAL E REPRES")</f>
        <v>DIGITEC TECNOLOGIA DIGITAL E REPRES</v>
      </c>
      <c r="E44" s="21">
        <f>IFERROR(__xludf.DUMMYFUNCTION("""COMPUTED_VALUE"""),145359.0)</f>
        <v>145359</v>
      </c>
      <c r="F44" s="21" t="str">
        <f>IFERROR(__xludf.DUMMYFUNCTION("""COMPUTED_VALUE"""),"TRANSITO REVERSA")</f>
        <v>TRANSITO REVERSA</v>
      </c>
      <c r="G44" s="23">
        <f>IFERROR(__xludf.DUMMYFUNCTION("""COMPUTED_VALUE"""),45638.52061342592)</f>
        <v>45638.52061</v>
      </c>
      <c r="H44" s="24" t="str">
        <f>IFERROR(VLOOKUP(B44,material!A:D,3,0),"")</f>
        <v>3.1</v>
      </c>
    </row>
    <row r="45" ht="11.25" customHeight="1">
      <c r="A45" s="21" t="str">
        <f>IFERROR(__xludf.DUMMYFUNCTION("""COMPUTED_VALUE"""),"TECHNICOLOR TC7337NET")</f>
        <v>TECHNICOLOR TC7337NET</v>
      </c>
      <c r="B45" s="22">
        <f>IFERROR(__xludf.DUMMYFUNCTION("""COMPUTED_VALUE"""),4.1001294E7)</f>
        <v>41001294</v>
      </c>
      <c r="C45" s="21" t="str">
        <f>IFERROR(__xludf.DUMMYFUNCTION("""COMPUTED_VALUE"""),"5C769591EDA0")</f>
        <v>5C769591EDA0</v>
      </c>
      <c r="D45" s="21" t="str">
        <f>IFERROR(__xludf.DUMMYFUNCTION("""COMPUTED_VALUE"""),"DIGITEC TECNOLOGIA DIGITAL E REPRES")</f>
        <v>DIGITEC TECNOLOGIA DIGITAL E REPRES</v>
      </c>
      <c r="E45" s="21">
        <f>IFERROR(__xludf.DUMMYFUNCTION("""COMPUTED_VALUE"""),145359.0)</f>
        <v>145359</v>
      </c>
      <c r="F45" s="21" t="str">
        <f>IFERROR(__xludf.DUMMYFUNCTION("""COMPUTED_VALUE"""),"TRANSITO REVERSA")</f>
        <v>TRANSITO REVERSA</v>
      </c>
      <c r="G45" s="23">
        <f>IFERROR(__xludf.DUMMYFUNCTION("""COMPUTED_VALUE"""),45626.298692129625)</f>
        <v>45626.29869</v>
      </c>
      <c r="H45" s="24" t="str">
        <f>IFERROR(VLOOKUP(B45,material!A:D,3,0),"")</f>
        <v>DUAL</v>
      </c>
    </row>
    <row r="46" ht="11.25" customHeight="1">
      <c r="A46" s="21" t="str">
        <f>IFERROR(__xludf.DUMMYFUNCTION("""COMPUTED_VALUE"""),"ARRIS TG1692A")</f>
        <v>ARRIS TG1692A</v>
      </c>
      <c r="B46" s="22">
        <f>IFERROR(__xludf.DUMMYFUNCTION("""COMPUTED_VALUE"""),4.1001293E7)</f>
        <v>41001293</v>
      </c>
      <c r="C46" s="21" t="str">
        <f>IFERROR(__xludf.DUMMYFUNCTION("""COMPUTED_VALUE"""),"BC644BC46650")</f>
        <v>BC644BC46650</v>
      </c>
      <c r="D46" s="21" t="str">
        <f>IFERROR(__xludf.DUMMYFUNCTION("""COMPUTED_VALUE"""),"DIGITEC TECNOLOGIA DIGITAL E REPRES")</f>
        <v>DIGITEC TECNOLOGIA DIGITAL E REPRES</v>
      </c>
      <c r="E46" s="21">
        <f>IFERROR(__xludf.DUMMYFUNCTION("""COMPUTED_VALUE"""),145359.0)</f>
        <v>145359</v>
      </c>
      <c r="F46" s="21" t="str">
        <f>IFERROR(__xludf.DUMMYFUNCTION("""COMPUTED_VALUE"""),"TRANSITO REVERSA")</f>
        <v>TRANSITO REVERSA</v>
      </c>
      <c r="G46" s="23">
        <f>IFERROR(__xludf.DUMMYFUNCTION("""COMPUTED_VALUE"""),45610.73042824074)</f>
        <v>45610.73043</v>
      </c>
      <c r="H46" s="24" t="str">
        <f>IFERROR(VLOOKUP(B46,material!A:D,3,0),"")</f>
        <v>DUAL</v>
      </c>
    </row>
    <row r="47" ht="11.25" customHeight="1">
      <c r="A47" s="21" t="str">
        <f>IFERROR(__xludf.DUMMYFUNCTION("""COMPUTED_VALUE"""),"ARRIS TG1692A")</f>
        <v>ARRIS TG1692A</v>
      </c>
      <c r="B47" s="22">
        <f>IFERROR(__xludf.DUMMYFUNCTION("""COMPUTED_VALUE"""),4.1001293E7)</f>
        <v>41001293</v>
      </c>
      <c r="C47" s="21" t="str">
        <f>IFERROR(__xludf.DUMMYFUNCTION("""COMPUTED_VALUE"""),"5819F843A434")</f>
        <v>5819F843A434</v>
      </c>
      <c r="D47" s="21" t="str">
        <f>IFERROR(__xludf.DUMMYFUNCTION("""COMPUTED_VALUE"""),"DIGITEC TECNOLOGIA DIGITAL E REPRES")</f>
        <v>DIGITEC TECNOLOGIA DIGITAL E REPRES</v>
      </c>
      <c r="E47" s="21">
        <f>IFERROR(__xludf.DUMMYFUNCTION("""COMPUTED_VALUE"""),145359.0)</f>
        <v>145359</v>
      </c>
      <c r="F47" s="21" t="str">
        <f>IFERROR(__xludf.DUMMYFUNCTION("""COMPUTED_VALUE"""),"TRANSITO REVERSA")</f>
        <v>TRANSITO REVERSA</v>
      </c>
      <c r="G47" s="23">
        <f>IFERROR(__xludf.DUMMYFUNCTION("""COMPUTED_VALUE"""),45610.73042824074)</f>
        <v>45610.73043</v>
      </c>
      <c r="H47" s="24" t="str">
        <f>IFERROR(VLOOKUP(B47,material!A:D,3,0),"")</f>
        <v>DUAL</v>
      </c>
    </row>
    <row r="48" ht="11.25" customHeight="1">
      <c r="A48" s="21" t="str">
        <f>IFERROR(__xludf.DUMMYFUNCTION("""COMPUTED_VALUE"""),"HUMAX HGB10R-02")</f>
        <v>HUMAX HGB10R-02</v>
      </c>
      <c r="B48" s="22">
        <f>IFERROR(__xludf.DUMMYFUNCTION("""COMPUTED_VALUE"""),4.1001292E7)</f>
        <v>41001292</v>
      </c>
      <c r="C48" s="21" t="str">
        <f>IFERROR(__xludf.DUMMYFUNCTION("""COMPUTED_VALUE"""),"E820E2D0545A")</f>
        <v>E820E2D0545A</v>
      </c>
      <c r="D48" s="21" t="str">
        <f>IFERROR(__xludf.DUMMYFUNCTION("""COMPUTED_VALUE"""),"DIGITEC TECNOLOGIA DIGITAL E REPRES")</f>
        <v>DIGITEC TECNOLOGIA DIGITAL E REPRES</v>
      </c>
      <c r="E48" s="21">
        <f>IFERROR(__xludf.DUMMYFUNCTION("""COMPUTED_VALUE"""),145359.0)</f>
        <v>145359</v>
      </c>
      <c r="F48" s="21" t="str">
        <f>IFERROR(__xludf.DUMMYFUNCTION("""COMPUTED_VALUE"""),"TRANSITO REVERSA")</f>
        <v>TRANSITO REVERSA</v>
      </c>
      <c r="G48" s="23">
        <f>IFERROR(__xludf.DUMMYFUNCTION("""COMPUTED_VALUE"""),45633.00398148148)</f>
        <v>45633.00398</v>
      </c>
      <c r="H48" s="24" t="str">
        <f>IFERROR(VLOOKUP(B48,material!A:D,3,0),"")</f>
        <v>DUAL</v>
      </c>
    </row>
    <row r="49" ht="11.25" customHeight="1">
      <c r="A49" s="21" t="str">
        <f>IFERROR(__xludf.DUMMYFUNCTION("""COMPUTED_VALUE"""),"HUMAX HGB10R-02")</f>
        <v>HUMAX HGB10R-02</v>
      </c>
      <c r="B49" s="22">
        <f>IFERROR(__xludf.DUMMYFUNCTION("""COMPUTED_VALUE"""),4.1001292E7)</f>
        <v>41001292</v>
      </c>
      <c r="C49" s="21" t="str">
        <f>IFERROR(__xludf.DUMMYFUNCTION("""COMPUTED_VALUE"""),"E820E291AA23")</f>
        <v>E820E291AA23</v>
      </c>
      <c r="D49" s="21" t="str">
        <f>IFERROR(__xludf.DUMMYFUNCTION("""COMPUTED_VALUE"""),"DIGITEC TECNOLOGIA DIGITAL E REPRES")</f>
        <v>DIGITEC TECNOLOGIA DIGITAL E REPRES</v>
      </c>
      <c r="E49" s="21">
        <f>IFERROR(__xludf.DUMMYFUNCTION("""COMPUTED_VALUE"""),145359.0)</f>
        <v>145359</v>
      </c>
      <c r="F49" s="21" t="str">
        <f>IFERROR(__xludf.DUMMYFUNCTION("""COMPUTED_VALUE"""),"TRANSITO REVERSA")</f>
        <v>TRANSITO REVERSA</v>
      </c>
      <c r="G49" s="23">
        <f>IFERROR(__xludf.DUMMYFUNCTION("""COMPUTED_VALUE"""),45633.00399305555)</f>
        <v>45633.00399</v>
      </c>
      <c r="H49" s="24" t="str">
        <f>IFERROR(VLOOKUP(B49,material!A:D,3,0),"")</f>
        <v>DUAL</v>
      </c>
    </row>
    <row r="50" ht="11.25" customHeight="1">
      <c r="A50" s="21" t="str">
        <f>IFERROR(__xludf.DUMMYFUNCTION("""COMPUTED_VALUE"""),"HUMAX HGB10R-02")</f>
        <v>HUMAX HGB10R-02</v>
      </c>
      <c r="B50" s="22">
        <f>IFERROR(__xludf.DUMMYFUNCTION("""COMPUTED_VALUE"""),4.1001292E7)</f>
        <v>41001292</v>
      </c>
      <c r="C50" s="21" t="str">
        <f>IFERROR(__xludf.DUMMYFUNCTION("""COMPUTED_VALUE"""),"8C444F687ECD")</f>
        <v>8C444F687ECD</v>
      </c>
      <c r="D50" s="21" t="str">
        <f>IFERROR(__xludf.DUMMYFUNCTION("""COMPUTED_VALUE"""),"DIGITEC TECNOLOGIA DIGITAL E REPRES")</f>
        <v>DIGITEC TECNOLOGIA DIGITAL E REPRES</v>
      </c>
      <c r="E50" s="21">
        <f>IFERROR(__xludf.DUMMYFUNCTION("""COMPUTED_VALUE"""),145359.0)</f>
        <v>145359</v>
      </c>
      <c r="F50" s="21" t="str">
        <f>IFERROR(__xludf.DUMMYFUNCTION("""COMPUTED_VALUE"""),"TRANSITO REVERSA")</f>
        <v>TRANSITO REVERSA</v>
      </c>
      <c r="G50" s="23">
        <f>IFERROR(__xludf.DUMMYFUNCTION("""COMPUTED_VALUE"""),45617.87143518518)</f>
        <v>45617.87144</v>
      </c>
      <c r="H50" s="24" t="str">
        <f>IFERROR(VLOOKUP(B50,material!A:D,3,0),"")</f>
        <v>DUAL</v>
      </c>
    </row>
    <row r="51" ht="11.25" customHeight="1">
      <c r="A51" s="21" t="str">
        <f>IFERROR(__xludf.DUMMYFUNCTION("""COMPUTED_VALUE"""),"HUMAX HGB10R-02")</f>
        <v>HUMAX HGB10R-02</v>
      </c>
      <c r="B51" s="22">
        <f>IFERROR(__xludf.DUMMYFUNCTION("""COMPUTED_VALUE"""),4.1001292E7)</f>
        <v>41001292</v>
      </c>
      <c r="C51" s="21" t="str">
        <f>IFERROR(__xludf.DUMMYFUNCTION("""COMPUTED_VALUE"""),"942CB3EDC289")</f>
        <v>942CB3EDC289</v>
      </c>
      <c r="D51" s="21" t="str">
        <f>IFERROR(__xludf.DUMMYFUNCTION("""COMPUTED_VALUE"""),"DIGITEC TECNOLOGIA DIGITAL E REPRES")</f>
        <v>DIGITEC TECNOLOGIA DIGITAL E REPRES</v>
      </c>
      <c r="E51" s="21">
        <f>IFERROR(__xludf.DUMMYFUNCTION("""COMPUTED_VALUE"""),145359.0)</f>
        <v>145359</v>
      </c>
      <c r="F51" s="21" t="str">
        <f>IFERROR(__xludf.DUMMYFUNCTION("""COMPUTED_VALUE"""),"TRANSITO REVERSA")</f>
        <v>TRANSITO REVERSA</v>
      </c>
      <c r="G51" s="23">
        <f>IFERROR(__xludf.DUMMYFUNCTION("""COMPUTED_VALUE"""),45626.29872685185)</f>
        <v>45626.29873</v>
      </c>
      <c r="H51" s="24" t="str">
        <f>IFERROR(VLOOKUP(B51,material!A:D,3,0),"")</f>
        <v>DUAL</v>
      </c>
    </row>
    <row r="52" ht="11.25" customHeight="1">
      <c r="A52" s="21" t="str">
        <f>IFERROR(__xludf.DUMMYFUNCTION("""COMPUTED_VALUE"""),"HUMAX HGB10R-02")</f>
        <v>HUMAX HGB10R-02</v>
      </c>
      <c r="B52" s="22">
        <f>IFERROR(__xludf.DUMMYFUNCTION("""COMPUTED_VALUE"""),4.1001292E7)</f>
        <v>41001292</v>
      </c>
      <c r="C52" s="21" t="str">
        <f>IFERROR(__xludf.DUMMYFUNCTION("""COMPUTED_VALUE"""),"942CB346E7A5")</f>
        <v>942CB346E7A5</v>
      </c>
      <c r="D52" s="21" t="str">
        <f>IFERROR(__xludf.DUMMYFUNCTION("""COMPUTED_VALUE"""),"DIGITEC TECNOLOGIA DIGITAL E REPRES")</f>
        <v>DIGITEC TECNOLOGIA DIGITAL E REPRES</v>
      </c>
      <c r="E52" s="21">
        <f>IFERROR(__xludf.DUMMYFUNCTION("""COMPUTED_VALUE"""),145359.0)</f>
        <v>145359</v>
      </c>
      <c r="F52" s="21" t="str">
        <f>IFERROR(__xludf.DUMMYFUNCTION("""COMPUTED_VALUE"""),"TRANSITO REVERSA")</f>
        <v>TRANSITO REVERSA</v>
      </c>
      <c r="G52" s="23">
        <f>IFERROR(__xludf.DUMMYFUNCTION("""COMPUTED_VALUE"""),45617.87140046296)</f>
        <v>45617.8714</v>
      </c>
      <c r="H52" s="24" t="str">
        <f>IFERROR(VLOOKUP(B52,material!A:D,3,0),"")</f>
        <v>DUAL</v>
      </c>
    </row>
    <row r="53" ht="11.25" customHeight="1">
      <c r="A53" s="21" t="str">
        <f>IFERROR(__xludf.DUMMYFUNCTION("""COMPUTED_VALUE"""),"DECODER DIGITAL HD DXC5000 2T")</f>
        <v>DECODER DIGITAL HD DXC5000 2T</v>
      </c>
      <c r="B53" s="22">
        <f>IFERROR(__xludf.DUMMYFUNCTION("""COMPUTED_VALUE"""),4.1001277E7)</f>
        <v>41001277</v>
      </c>
      <c r="C53" s="21" t="str">
        <f>IFERROR(__xludf.DUMMYFUNCTION("""COMPUTED_VALUE"""),"216764913336")</f>
        <v>216764913336</v>
      </c>
      <c r="D53" s="21" t="str">
        <f>IFERROR(__xludf.DUMMYFUNCTION("""COMPUTED_VALUE"""),"DIGITEC TECNOLOGIA DIGITAL E REPRES")</f>
        <v>DIGITEC TECNOLOGIA DIGITAL E REPRES</v>
      </c>
      <c r="E53" s="21">
        <f>IFERROR(__xludf.DUMMYFUNCTION("""COMPUTED_VALUE"""),145359.0)</f>
        <v>145359</v>
      </c>
      <c r="F53" s="21" t="str">
        <f>IFERROR(__xludf.DUMMYFUNCTION("""COMPUTED_VALUE"""),"TRANSITO REVERSA")</f>
        <v>TRANSITO REVERSA</v>
      </c>
      <c r="G53" s="23">
        <f>IFERROR(__xludf.DUMMYFUNCTION("""COMPUTED_VALUE"""),45638.52113425926)</f>
        <v>45638.52113</v>
      </c>
      <c r="H53" s="24" t="str">
        <f>IFERROR(VLOOKUP(B53,material!A:D,3,0),"")</f>
        <v>TOP MIX</v>
      </c>
    </row>
    <row r="54" ht="11.25" customHeight="1">
      <c r="A54" s="21" t="str">
        <f>IFERROR(__xludf.DUMMYFUNCTION("""COMPUTED_VALUE"""),"SMART CARD LARANJA NAGRA")</f>
        <v>SMART CARD LARANJA NAGRA</v>
      </c>
      <c r="B54" s="22">
        <f>IFERROR(__xludf.DUMMYFUNCTION("""COMPUTED_VALUE"""),4.1001186E7)</f>
        <v>41001186</v>
      </c>
      <c r="C54" s="21" t="str">
        <f>IFERROR(__xludf.DUMMYFUNCTION("""COMPUTED_VALUE"""),"226585472227")</f>
        <v>226585472227</v>
      </c>
      <c r="D54" s="21" t="str">
        <f>IFERROR(__xludf.DUMMYFUNCTION("""COMPUTED_VALUE"""),"DIGITEC TECNOLOGIA DIGITAL E REPRES")</f>
        <v>DIGITEC TECNOLOGIA DIGITAL E REPRES</v>
      </c>
      <c r="E54" s="21">
        <f>IFERROR(__xludf.DUMMYFUNCTION("""COMPUTED_VALUE"""),145359.0)</f>
        <v>145359</v>
      </c>
      <c r="F54" s="21" t="str">
        <f>IFERROR(__xludf.DUMMYFUNCTION("""COMPUTED_VALUE"""),"SUCATA")</f>
        <v>SUCATA</v>
      </c>
      <c r="G54" s="23">
        <f>IFERROR(__xludf.DUMMYFUNCTION("""COMPUTED_VALUE"""),45076.47320601852)</f>
        <v>45076.47321</v>
      </c>
      <c r="H54" s="24" t="str">
        <f>IFERROR(VLOOKUP(B54,material!A:D,3,0),"")</f>
        <v>CARD</v>
      </c>
    </row>
    <row r="55" ht="11.25" customHeight="1">
      <c r="A55" s="21" t="str">
        <f>IFERROR(__xludf.DUMMYFUNCTION("""COMPUTED_VALUE"""),"TECHNICOLOR TC7337NET")</f>
        <v>TECHNICOLOR TC7337NET</v>
      </c>
      <c r="B55" s="22">
        <f>IFERROR(__xludf.DUMMYFUNCTION("""COMPUTED_VALUE"""),4.1001294E7)</f>
        <v>41001294</v>
      </c>
      <c r="C55" s="21" t="str">
        <f>IFERROR(__xludf.DUMMYFUNCTION("""COMPUTED_VALUE"""),"383FB3A4F8CA")</f>
        <v>383FB3A4F8CA</v>
      </c>
      <c r="D55" s="21" t="str">
        <f>IFERROR(__xludf.DUMMYFUNCTION("""COMPUTED_VALUE"""),"DIGITEC TECNOLOGIA DIGITAL E REPRES")</f>
        <v>DIGITEC TECNOLOGIA DIGITAL E REPRES</v>
      </c>
      <c r="E55" s="21">
        <f>IFERROR(__xludf.DUMMYFUNCTION("""COMPUTED_VALUE"""),145359.0)</f>
        <v>145359</v>
      </c>
      <c r="F55" s="21" t="str">
        <f>IFERROR(__xludf.DUMMYFUNCTION("""COMPUTED_VALUE"""),"SUSPEITO")</f>
        <v>SUSPEITO</v>
      </c>
      <c r="G55" s="23">
        <f>IFERROR(__xludf.DUMMYFUNCTION("""COMPUTED_VALUE"""),45637.4746875)</f>
        <v>45637.47469</v>
      </c>
      <c r="H55" s="24" t="str">
        <f>IFERROR(VLOOKUP(B55,material!A:D,3,0),"")</f>
        <v>DUAL</v>
      </c>
    </row>
    <row r="56" ht="11.25" customHeight="1">
      <c r="A56" s="21" t="str">
        <f>IFERROR(__xludf.DUMMYFUNCTION("""COMPUTED_VALUE"""),"TECHNICOLOR TC7337NET")</f>
        <v>TECHNICOLOR TC7337NET</v>
      </c>
      <c r="B56" s="22">
        <f>IFERROR(__xludf.DUMMYFUNCTION("""COMPUTED_VALUE"""),4.1001294E7)</f>
        <v>41001294</v>
      </c>
      <c r="C56" s="21" t="str">
        <f>IFERROR(__xludf.DUMMYFUNCTION("""COMPUTED_VALUE"""),"1062D09C0243")</f>
        <v>1062D09C0243</v>
      </c>
      <c r="D56" s="21" t="str">
        <f>IFERROR(__xludf.DUMMYFUNCTION("""COMPUTED_VALUE"""),"DIGITEC TECNOLOGIA DIGITAL E REPRES")</f>
        <v>DIGITEC TECNOLOGIA DIGITAL E REPRES</v>
      </c>
      <c r="E56" s="21">
        <f>IFERROR(__xludf.DUMMYFUNCTION("""COMPUTED_VALUE"""),145359.0)</f>
        <v>145359</v>
      </c>
      <c r="F56" s="21" t="str">
        <f>IFERROR(__xludf.DUMMYFUNCTION("""COMPUTED_VALUE"""),"SUSPEITO")</f>
        <v>SUSPEITO</v>
      </c>
      <c r="G56" s="23">
        <f>IFERROR(__xludf.DUMMYFUNCTION("""COMPUTED_VALUE"""),45642.60869212963)</f>
        <v>45642.60869</v>
      </c>
      <c r="H56" s="24" t="str">
        <f>IFERROR(VLOOKUP(B56,material!A:D,3,0),"")</f>
        <v>DUAL</v>
      </c>
    </row>
    <row r="57" ht="11.25" customHeight="1">
      <c r="A57" s="21" t="str">
        <f>IFERROR(__xludf.DUMMYFUNCTION("""COMPUTED_VALUE"""),"ARRIS TG1692A")</f>
        <v>ARRIS TG1692A</v>
      </c>
      <c r="B57" s="22">
        <f>IFERROR(__xludf.DUMMYFUNCTION("""COMPUTED_VALUE"""),4.1001293E7)</f>
        <v>41001293</v>
      </c>
      <c r="C57" s="21" t="str">
        <f>IFERROR(__xludf.DUMMYFUNCTION("""COMPUTED_VALUE"""),"B0935BEB0462")</f>
        <v>B0935BEB0462</v>
      </c>
      <c r="D57" s="21" t="str">
        <f>IFERROR(__xludf.DUMMYFUNCTION("""COMPUTED_VALUE"""),"DIGITEC TECNOLOGIA DIGITAL E REPRES")</f>
        <v>DIGITEC TECNOLOGIA DIGITAL E REPRES</v>
      </c>
      <c r="E57" s="21">
        <f>IFERROR(__xludf.DUMMYFUNCTION("""COMPUTED_VALUE"""),145359.0)</f>
        <v>145359</v>
      </c>
      <c r="F57" s="21" t="str">
        <f>IFERROR(__xludf.DUMMYFUNCTION("""COMPUTED_VALUE"""),"SUSPEITO")</f>
        <v>SUSPEITO</v>
      </c>
      <c r="G57" s="23">
        <f>IFERROR(__xludf.DUMMYFUNCTION("""COMPUTED_VALUE"""),45643.428773148145)</f>
        <v>45643.42877</v>
      </c>
      <c r="H57" s="24" t="str">
        <f>IFERROR(VLOOKUP(B57,material!A:D,3,0),"")</f>
        <v>DUAL</v>
      </c>
    </row>
    <row r="58" ht="11.25" customHeight="1">
      <c r="A58" s="21" t="str">
        <f>IFERROR(__xludf.DUMMYFUNCTION("""COMPUTED_VALUE"""),"ARRIS TG1692A")</f>
        <v>ARRIS TG1692A</v>
      </c>
      <c r="B58" s="22">
        <f>IFERROR(__xludf.DUMMYFUNCTION("""COMPUTED_VALUE"""),4.1001293E7)</f>
        <v>41001293</v>
      </c>
      <c r="C58" s="21" t="str">
        <f>IFERROR(__xludf.DUMMYFUNCTION("""COMPUTED_VALUE"""),"2C584F38A7BD")</f>
        <v>2C584F38A7BD</v>
      </c>
      <c r="D58" s="21" t="str">
        <f>IFERROR(__xludf.DUMMYFUNCTION("""COMPUTED_VALUE"""),"DIGITEC TECNOLOGIA DIGITAL E REPRES")</f>
        <v>DIGITEC TECNOLOGIA DIGITAL E REPRES</v>
      </c>
      <c r="E58" s="21">
        <f>IFERROR(__xludf.DUMMYFUNCTION("""COMPUTED_VALUE"""),145359.0)</f>
        <v>145359</v>
      </c>
      <c r="F58" s="21" t="str">
        <f>IFERROR(__xludf.DUMMYFUNCTION("""COMPUTED_VALUE"""),"SUSPEITO")</f>
        <v>SUSPEITO</v>
      </c>
      <c r="G58" s="23">
        <f>IFERROR(__xludf.DUMMYFUNCTION("""COMPUTED_VALUE"""),45643.4287962963)</f>
        <v>45643.4288</v>
      </c>
      <c r="H58" s="24" t="str">
        <f>IFERROR(VLOOKUP(B58,material!A:D,3,0),"")</f>
        <v>DUAL</v>
      </c>
    </row>
    <row r="59" ht="11.25" customHeight="1">
      <c r="A59" s="21" t="str">
        <f>IFERROR(__xludf.DUMMYFUNCTION("""COMPUTED_VALUE"""),"HUMAX HGB10R-02")</f>
        <v>HUMAX HGB10R-02</v>
      </c>
      <c r="B59" s="22">
        <f>IFERROR(__xludf.DUMMYFUNCTION("""COMPUTED_VALUE"""),4.1001292E7)</f>
        <v>41001292</v>
      </c>
      <c r="C59" s="21" t="str">
        <f>IFERROR(__xludf.DUMMYFUNCTION("""COMPUTED_VALUE"""),"8C444F3D66D4")</f>
        <v>8C444F3D66D4</v>
      </c>
      <c r="D59" s="21" t="str">
        <f>IFERROR(__xludf.DUMMYFUNCTION("""COMPUTED_VALUE"""),"DIGITEC TECNOLOGIA DIGITAL E REPRES")</f>
        <v>DIGITEC TECNOLOGIA DIGITAL E REPRES</v>
      </c>
      <c r="E59" s="21">
        <f>IFERROR(__xludf.DUMMYFUNCTION("""COMPUTED_VALUE"""),145359.0)</f>
        <v>145359</v>
      </c>
      <c r="F59" s="21" t="str">
        <f>IFERROR(__xludf.DUMMYFUNCTION("""COMPUTED_VALUE"""),"SUSPEITO")</f>
        <v>SUSPEITO</v>
      </c>
      <c r="G59" s="23">
        <f>IFERROR(__xludf.DUMMYFUNCTION("""COMPUTED_VALUE"""),45642.65981481482)</f>
        <v>45642.65981</v>
      </c>
      <c r="H59" s="24" t="str">
        <f>IFERROR(VLOOKUP(B59,material!A:D,3,0),"")</f>
        <v>DUAL</v>
      </c>
    </row>
    <row r="60" ht="11.25" customHeight="1">
      <c r="A60" s="21" t="str">
        <f>IFERROR(__xludf.DUMMYFUNCTION("""COMPUTED_VALUE"""),"ARRIS TG1692A")</f>
        <v>ARRIS TG1692A</v>
      </c>
      <c r="B60" s="22">
        <f>IFERROR(__xludf.DUMMYFUNCTION("""COMPUTED_VALUE"""),4.1001293E7)</f>
        <v>41001293</v>
      </c>
      <c r="C60" s="21" t="str">
        <f>IFERROR(__xludf.DUMMYFUNCTION("""COMPUTED_VALUE"""),"BC644BCC3EE8")</f>
        <v>BC644BCC3EE8</v>
      </c>
      <c r="D60" s="21" t="str">
        <f>IFERROR(__xludf.DUMMYFUNCTION("""COMPUTED_VALUE"""),"DIGITEC TECNOLOGIA DIGITAL E REPRES")</f>
        <v>DIGITEC TECNOLOGIA DIGITAL E REPRES</v>
      </c>
      <c r="E60" s="21">
        <f>IFERROR(__xludf.DUMMYFUNCTION("""COMPUTED_VALUE"""),145359.0)</f>
        <v>145359</v>
      </c>
      <c r="F60" s="21" t="str">
        <f>IFERROR(__xludf.DUMMYFUNCTION("""COMPUTED_VALUE"""),"COM DEFEITO")</f>
        <v>COM DEFEITO</v>
      </c>
      <c r="G60" s="23">
        <f>IFERROR(__xludf.DUMMYFUNCTION("""COMPUTED_VALUE"""),45397.70768518519)</f>
        <v>45397.70769</v>
      </c>
      <c r="H60" s="24" t="str">
        <f>IFERROR(VLOOKUP(B60,material!A:D,3,0),"")</f>
        <v>DUAL</v>
      </c>
    </row>
    <row r="61" ht="11.25" customHeight="1">
      <c r="A61" s="21" t="str">
        <f>IFERROR(__xludf.DUMMYFUNCTION("""COMPUTED_VALUE"""),"DECODER DIGITAL HD DXC5000 2T")</f>
        <v>DECODER DIGITAL HD DXC5000 2T</v>
      </c>
      <c r="B61" s="22">
        <f>IFERROR(__xludf.DUMMYFUNCTION("""COMPUTED_VALUE"""),4.1001277E7)</f>
        <v>41001277</v>
      </c>
      <c r="C61" s="21" t="str">
        <f>IFERROR(__xludf.DUMMYFUNCTION("""COMPUTED_VALUE"""),"216377755776")</f>
        <v>216377755776</v>
      </c>
      <c r="D61" s="21" t="str">
        <f>IFERROR(__xludf.DUMMYFUNCTION("""COMPUTED_VALUE"""),"DIGITEC TECNOLOGIA DIGITAL E REPRES")</f>
        <v>DIGITEC TECNOLOGIA DIGITAL E REPRES</v>
      </c>
      <c r="E61" s="21">
        <f>IFERROR(__xludf.DUMMYFUNCTION("""COMPUTED_VALUE"""),145359.0)</f>
        <v>145359</v>
      </c>
      <c r="F61" s="21" t="str">
        <f>IFERROR(__xludf.DUMMYFUNCTION("""COMPUTED_VALUE"""),"COM DEFEITO")</f>
        <v>COM DEFEITO</v>
      </c>
      <c r="G61" s="23">
        <f>IFERROR(__xludf.DUMMYFUNCTION("""COMPUTED_VALUE"""),45617.71240740741)</f>
        <v>45617.71241</v>
      </c>
      <c r="H61" s="24" t="str">
        <f>IFERROR(VLOOKUP(B61,material!A:D,3,0),"")</f>
        <v>TOP MIX</v>
      </c>
    </row>
    <row r="62" ht="11.25" customHeight="1">
      <c r="A62" s="21" t="str">
        <f>IFERROR(__xludf.DUMMYFUNCTION("""COMPUTED_VALUE"""),"DECODER IP 4K UHD S4KW2 DDR FAST ETH VOZ")</f>
        <v>DECODER IP 4K UHD S4KW2 DDR FAST ETH VOZ</v>
      </c>
      <c r="B62" s="22">
        <f>IFERROR(__xludf.DUMMYFUNCTION("""COMPUTED_VALUE"""),4.1001538E7)</f>
        <v>41001538</v>
      </c>
      <c r="C62" s="21" t="str">
        <f>IFERROR(__xludf.DUMMYFUNCTION("""COMPUTED_VALUE"""),"229902335765")</f>
        <v>229902335765</v>
      </c>
      <c r="D62" s="21" t="str">
        <f>IFERROR(__xludf.DUMMYFUNCTION("""COMPUTED_VALUE"""),"DIGITEC TECNOLOGIA DIGITAL E REPRES")</f>
        <v>DIGITEC TECNOLOGIA DIGITAL E REPRES</v>
      </c>
      <c r="E62" s="21">
        <f>IFERROR(__xludf.DUMMYFUNCTION("""COMPUTED_VALUE"""),145359.0)</f>
        <v>145359</v>
      </c>
      <c r="F62" s="21" t="str">
        <f>IFERROR(__xludf.DUMMYFUNCTION("""COMPUTED_VALUE"""),"INICIALIZADO")</f>
        <v>INICIALIZADO</v>
      </c>
      <c r="G62" s="23">
        <f>IFERROR(__xludf.DUMMYFUNCTION("""COMPUTED_VALUE"""),45637.522268518514)</f>
        <v>45637.52227</v>
      </c>
      <c r="H62" s="24" t="str">
        <f>IFERROR(VLOOKUP(B62,material!A:D,3,0),"")</f>
        <v>BOX</v>
      </c>
    </row>
    <row r="63" ht="11.25" customHeight="1">
      <c r="A63" s="21" t="str">
        <f>IFERROR(__xludf.DUMMYFUNCTION("""COMPUTED_VALUE"""),"DECODER IP 4K UHD S4KW2 DDR FAST ETH")</f>
        <v>DECODER IP 4K UHD S4KW2 DDR FAST ETH</v>
      </c>
      <c r="B63" s="22">
        <f>IFERROR(__xludf.DUMMYFUNCTION("""COMPUTED_VALUE"""),4.1001537E7)</f>
        <v>41001537</v>
      </c>
      <c r="C63" s="21" t="str">
        <f>IFERROR(__xludf.DUMMYFUNCTION("""COMPUTED_VALUE"""),"229895074765")</f>
        <v>229895074765</v>
      </c>
      <c r="D63" s="21" t="str">
        <f>IFERROR(__xludf.DUMMYFUNCTION("""COMPUTED_VALUE"""),"DIGITEC TECNOLOGIA DIGITAL E REPRES")</f>
        <v>DIGITEC TECNOLOGIA DIGITAL E REPRES</v>
      </c>
      <c r="E63" s="21">
        <f>IFERROR(__xludf.DUMMYFUNCTION("""COMPUTED_VALUE"""),145359.0)</f>
        <v>145359</v>
      </c>
      <c r="F63" s="21" t="str">
        <f>IFERROR(__xludf.DUMMYFUNCTION("""COMPUTED_VALUE"""),"INICIALIZADO")</f>
        <v>INICIALIZADO</v>
      </c>
      <c r="G63" s="23">
        <f>IFERROR(__xludf.DUMMYFUNCTION("""COMPUTED_VALUE"""),45638.68790509259)</f>
        <v>45638.68791</v>
      </c>
      <c r="H63" s="24" t="str">
        <f>IFERROR(VLOOKUP(B63,material!A:D,3,0),"")</f>
        <v>BOX</v>
      </c>
    </row>
    <row r="64" ht="11.25" customHeight="1">
      <c r="A64" s="21" t="str">
        <f>IFERROR(__xludf.DUMMYFUNCTION("""COMPUTED_VALUE"""),"MODEM VOIP EMTA WIFI 3.1 FAST3895")</f>
        <v>MODEM VOIP EMTA WIFI 3.1 FAST3895</v>
      </c>
      <c r="B64" s="22">
        <f>IFERROR(__xludf.DUMMYFUNCTION("""COMPUTED_VALUE"""),4.1001504E7)</f>
        <v>41001504</v>
      </c>
      <c r="C64" s="21" t="str">
        <f>IFERROR(__xludf.DUMMYFUNCTION("""COMPUTED_VALUE"""),"D833B7A3B888")</f>
        <v>D833B7A3B888</v>
      </c>
      <c r="D64" s="21" t="str">
        <f>IFERROR(__xludf.DUMMYFUNCTION("""COMPUTED_VALUE"""),"DIGITEC TECNOLOGIA DIGITAL E REPRES")</f>
        <v>DIGITEC TECNOLOGIA DIGITAL E REPRES</v>
      </c>
      <c r="E64" s="21">
        <f>IFERROR(__xludf.DUMMYFUNCTION("""COMPUTED_VALUE"""),145359.0)</f>
        <v>145359</v>
      </c>
      <c r="F64" s="21" t="str">
        <f>IFERROR(__xludf.DUMMYFUNCTION("""COMPUTED_VALUE"""),"INICIALIZADO")</f>
        <v>INICIALIZADO</v>
      </c>
      <c r="G64" s="23">
        <f>IFERROR(__xludf.DUMMYFUNCTION("""COMPUTED_VALUE"""),45615.61854166667)</f>
        <v>45615.61854</v>
      </c>
      <c r="H64" s="24" t="str">
        <f>IFERROR(VLOOKUP(B64,material!A:D,3,0),"")</f>
        <v>3.1</v>
      </c>
    </row>
    <row r="65" ht="11.25" customHeight="1">
      <c r="A65" s="21" t="str">
        <f>IFERROR(__xludf.DUMMYFUNCTION("""COMPUTED_VALUE"""),"MODEM VOIP EMTA WIFI 3.1 FAST3895")</f>
        <v>MODEM VOIP EMTA WIFI 3.1 FAST3895</v>
      </c>
      <c r="B65" s="22">
        <f>IFERROR(__xludf.DUMMYFUNCTION("""COMPUTED_VALUE"""),4.1001504E7)</f>
        <v>41001504</v>
      </c>
      <c r="C65" s="21" t="str">
        <f>IFERROR(__xludf.DUMMYFUNCTION("""COMPUTED_VALUE"""),"5447CC76C346")</f>
        <v>5447CC76C346</v>
      </c>
      <c r="D65" s="21" t="str">
        <f>IFERROR(__xludf.DUMMYFUNCTION("""COMPUTED_VALUE"""),"DIGITEC TECNOLOGIA DIGITAL E REPRES")</f>
        <v>DIGITEC TECNOLOGIA DIGITAL E REPRES</v>
      </c>
      <c r="E65" s="21">
        <f>IFERROR(__xludf.DUMMYFUNCTION("""COMPUTED_VALUE"""),145359.0)</f>
        <v>145359</v>
      </c>
      <c r="F65" s="21" t="str">
        <f>IFERROR(__xludf.DUMMYFUNCTION("""COMPUTED_VALUE"""),"INICIALIZADO")</f>
        <v>INICIALIZADO</v>
      </c>
      <c r="G65" s="23">
        <f>IFERROR(__xludf.DUMMYFUNCTION("""COMPUTED_VALUE"""),45602.64472222222)</f>
        <v>45602.64472</v>
      </c>
      <c r="H65" s="24" t="str">
        <f>IFERROR(VLOOKUP(B65,material!A:D,3,0),"")</f>
        <v>3.1</v>
      </c>
    </row>
    <row r="66" ht="11.25" customHeight="1">
      <c r="A66" s="21" t="str">
        <f>IFERROR(__xludf.DUMMYFUNCTION("""COMPUTED_VALUE"""),"MODEM VOIP EMTA WIFI 3.1 CG3000")</f>
        <v>MODEM VOIP EMTA WIFI 3.1 CG3000</v>
      </c>
      <c r="B66" s="22">
        <f>IFERROR(__xludf.DUMMYFUNCTION("""COMPUTED_VALUE"""),4.1001486E7)</f>
        <v>41001486</v>
      </c>
      <c r="C66" s="21" t="str">
        <f>IFERROR(__xludf.DUMMYFUNCTION("""COMPUTED_VALUE"""),"840112052190")</f>
        <v>840112052190</v>
      </c>
      <c r="D66" s="21" t="str">
        <f>IFERROR(__xludf.DUMMYFUNCTION("""COMPUTED_VALUE"""),"DIGITEC TECNOLOGIA DIGITAL E REPRES")</f>
        <v>DIGITEC TECNOLOGIA DIGITAL E REPRES</v>
      </c>
      <c r="E66" s="21">
        <f>IFERROR(__xludf.DUMMYFUNCTION("""COMPUTED_VALUE"""),145359.0)</f>
        <v>145359</v>
      </c>
      <c r="F66" s="21" t="str">
        <f>IFERROR(__xludf.DUMMYFUNCTION("""COMPUTED_VALUE"""),"INICIALIZADO")</f>
        <v>INICIALIZADO</v>
      </c>
      <c r="G66" s="23">
        <f>IFERROR(__xludf.DUMMYFUNCTION("""COMPUTED_VALUE"""),45635.535)</f>
        <v>45635.535</v>
      </c>
      <c r="H66" s="24" t="str">
        <f>IFERROR(VLOOKUP(B66,material!A:D,3,0),"")</f>
        <v>3.1</v>
      </c>
    </row>
    <row r="67" ht="11.25" customHeight="1">
      <c r="A67" s="21" t="str">
        <f>IFERROR(__xludf.DUMMYFUNCTION("""COMPUTED_VALUE"""),"MODEM VOIP EMTA WIFI 3.1 HGJ310")</f>
        <v>MODEM VOIP EMTA WIFI 3.1 HGJ310</v>
      </c>
      <c r="B67" s="22">
        <f>IFERROR(__xludf.DUMMYFUNCTION("""COMPUTED_VALUE"""),4.1001481E7)</f>
        <v>41001481</v>
      </c>
      <c r="C67" s="21" t="str">
        <f>IFERROR(__xludf.DUMMYFUNCTION("""COMPUTED_VALUE"""),"D86C5A471DA1")</f>
        <v>D86C5A471DA1</v>
      </c>
      <c r="D67" s="21" t="str">
        <f>IFERROR(__xludf.DUMMYFUNCTION("""COMPUTED_VALUE"""),"DIGITEC TECNOLOGIA DIGITAL E REPRES")</f>
        <v>DIGITEC TECNOLOGIA DIGITAL E REPRES</v>
      </c>
      <c r="E67" s="21">
        <f>IFERROR(__xludf.DUMMYFUNCTION("""COMPUTED_VALUE"""),145359.0)</f>
        <v>145359</v>
      </c>
      <c r="F67" s="21" t="str">
        <f>IFERROR(__xludf.DUMMYFUNCTION("""COMPUTED_VALUE"""),"INICIALIZADO")</f>
        <v>INICIALIZADO</v>
      </c>
      <c r="G67" s="23">
        <f>IFERROR(__xludf.DUMMYFUNCTION("""COMPUTED_VALUE"""),45639.64981481481)</f>
        <v>45639.64981</v>
      </c>
      <c r="H67" s="24" t="str">
        <f>IFERROR(VLOOKUP(B67,material!A:D,3,0),"")</f>
        <v>3.1</v>
      </c>
    </row>
    <row r="68" ht="11.25" customHeight="1">
      <c r="A68" s="21" t="str">
        <f>IFERROR(__xludf.DUMMYFUNCTION("""COMPUTED_VALUE"""),"TERMINAL ONT WIFI HGU HP610")</f>
        <v>TERMINAL ONT WIFI HGU HP610</v>
      </c>
      <c r="B68" s="22">
        <f>IFERROR(__xludf.DUMMYFUNCTION("""COMPUTED_VALUE"""),4.1001478E7)</f>
        <v>41001478</v>
      </c>
      <c r="C68" s="21" t="str">
        <f>IFERROR(__xludf.DUMMYFUNCTION("""COMPUTED_VALUE"""),"4CD08A4DB908")</f>
        <v>4CD08A4DB908</v>
      </c>
      <c r="D68" s="21" t="str">
        <f>IFERROR(__xludf.DUMMYFUNCTION("""COMPUTED_VALUE"""),"DIGITEC TECNOLOGIA DIGITAL E REPRES")</f>
        <v>DIGITEC TECNOLOGIA DIGITAL E REPRES</v>
      </c>
      <c r="E68" s="21">
        <f>IFERROR(__xludf.DUMMYFUNCTION("""COMPUTED_VALUE"""),145359.0)</f>
        <v>145359</v>
      </c>
      <c r="F68" s="21" t="str">
        <f>IFERROR(__xludf.DUMMYFUNCTION("""COMPUTED_VALUE"""),"INICIALIZADO")</f>
        <v>INICIALIZADO</v>
      </c>
      <c r="G68" s="23">
        <f>IFERROR(__xludf.DUMMYFUNCTION("""COMPUTED_VALUE"""),45642.52415509259)</f>
        <v>45642.52416</v>
      </c>
      <c r="H68" s="24" t="str">
        <f>IFERROR(VLOOKUP(B68,material!A:D,3,0),"")</f>
        <v>ONT</v>
      </c>
    </row>
    <row r="69" ht="11.25" customHeight="1">
      <c r="A69" s="21" t="str">
        <f>IFERROR(__xludf.DUMMYFUNCTION("""COMPUTED_VALUE"""),"DECODER 4K ULTRA HD DGCI363 COM IG")</f>
        <v>DECODER 4K ULTRA HD DGCI363 COM IG</v>
      </c>
      <c r="B69" s="22">
        <f>IFERROR(__xludf.DUMMYFUNCTION("""COMPUTED_VALUE"""),4.1001484E7)</f>
        <v>41001484</v>
      </c>
      <c r="C69" s="21" t="str">
        <f>IFERROR(__xludf.DUMMYFUNCTION("""COMPUTED_VALUE"""),"229866815576")</f>
        <v>229866815576</v>
      </c>
      <c r="D69" s="21" t="str">
        <f>IFERROR(__xludf.DUMMYFUNCTION("""COMPUTED_VALUE"""),"DIGITEC TECNOLOGIA DIGITAL E REPRES")</f>
        <v>DIGITEC TECNOLOGIA DIGITAL E REPRES</v>
      </c>
      <c r="E69" s="21">
        <f>IFERROR(__xludf.DUMMYFUNCTION("""COMPUTED_VALUE"""),145359.0)</f>
        <v>145359</v>
      </c>
      <c r="F69" s="21" t="str">
        <f>IFERROR(__xludf.DUMMYFUNCTION("""COMPUTED_VALUE"""),"INICIALIZADO")</f>
        <v>INICIALIZADO</v>
      </c>
      <c r="G69" s="23">
        <f>IFERROR(__xludf.DUMMYFUNCTION("""COMPUTED_VALUE"""),45618.74478009259)</f>
        <v>45618.74478</v>
      </c>
      <c r="H69" s="24" t="str">
        <f>IFERROR(VLOOKUP(B69,material!A:D,3,0),"")</f>
        <v>4K</v>
      </c>
    </row>
    <row r="70" ht="11.25" customHeight="1">
      <c r="A70" s="21" t="str">
        <f>IFERROR(__xludf.DUMMYFUNCTION("""COMPUTED_VALUE"""),"DECODER IP 4K ULTRA HD ZAPPER S4KW1")</f>
        <v>DECODER IP 4K ULTRA HD ZAPPER S4KW1</v>
      </c>
      <c r="B70" s="22">
        <f>IFERROR(__xludf.DUMMYFUNCTION("""COMPUTED_VALUE"""),4.1001422E7)</f>
        <v>41001422</v>
      </c>
      <c r="C70" s="21" t="str">
        <f>IFERROR(__xludf.DUMMYFUNCTION("""COMPUTED_VALUE"""),"229679812040")</f>
        <v>229679812040</v>
      </c>
      <c r="D70" s="21" t="str">
        <f>IFERROR(__xludf.DUMMYFUNCTION("""COMPUTED_VALUE"""),"DIGITEC TECNOLOGIA DIGITAL E REPRES")</f>
        <v>DIGITEC TECNOLOGIA DIGITAL E REPRES</v>
      </c>
      <c r="E70" s="21">
        <f>IFERROR(__xludf.DUMMYFUNCTION("""COMPUTED_VALUE"""),145359.0)</f>
        <v>145359</v>
      </c>
      <c r="F70" s="21" t="str">
        <f>IFERROR(__xludf.DUMMYFUNCTION("""COMPUTED_VALUE"""),"INICIALIZADO")</f>
        <v>INICIALIZADO</v>
      </c>
      <c r="G70" s="23">
        <f>IFERROR(__xludf.DUMMYFUNCTION("""COMPUTED_VALUE"""),45638.68790509259)</f>
        <v>45638.68791</v>
      </c>
      <c r="H70" s="24" t="str">
        <f>IFERROR(VLOOKUP(B70,material!A:D,3,0),"")</f>
        <v>BOX</v>
      </c>
    </row>
    <row r="71" ht="11.25" customHeight="1">
      <c r="A71" s="21" t="str">
        <f>IFERROR(__xludf.DUMMYFUNCTION("""COMPUTED_VALUE"""),"TECHNICOLOR TC7337NET")</f>
        <v>TECHNICOLOR TC7337NET</v>
      </c>
      <c r="B71" s="22">
        <f>IFERROR(__xludf.DUMMYFUNCTION("""COMPUTED_VALUE"""),4.1001294E7)</f>
        <v>41001294</v>
      </c>
      <c r="C71" s="21" t="str">
        <f>IFERROR(__xludf.DUMMYFUNCTION("""COMPUTED_VALUE"""),"5C7695921A6A")</f>
        <v>5C7695921A6A</v>
      </c>
      <c r="D71" s="21" t="str">
        <f>IFERROR(__xludf.DUMMYFUNCTION("""COMPUTED_VALUE"""),"DIGITEC TECNOLOGIA DIGITAL E REPRES")</f>
        <v>DIGITEC TECNOLOGIA DIGITAL E REPRES</v>
      </c>
      <c r="E71" s="21">
        <f>IFERROR(__xludf.DUMMYFUNCTION("""COMPUTED_VALUE"""),145359.0)</f>
        <v>145359</v>
      </c>
      <c r="F71" s="21" t="str">
        <f>IFERROR(__xludf.DUMMYFUNCTION("""COMPUTED_VALUE"""),"INICIALIZADO")</f>
        <v>INICIALIZADO</v>
      </c>
      <c r="G71" s="23">
        <f>IFERROR(__xludf.DUMMYFUNCTION("""COMPUTED_VALUE"""),45618.74478009259)</f>
        <v>45618.74478</v>
      </c>
      <c r="H71" s="24" t="str">
        <f>IFERROR(VLOOKUP(B71,material!A:D,3,0),"")</f>
        <v>DUAL</v>
      </c>
    </row>
    <row r="72" ht="11.25" customHeight="1">
      <c r="A72" s="21" t="str">
        <f>IFERROR(__xludf.DUMMYFUNCTION("""COMPUTED_VALUE"""),"TECHNICOLOR TC7337NET")</f>
        <v>TECHNICOLOR TC7337NET</v>
      </c>
      <c r="B72" s="22">
        <f>IFERROR(__xludf.DUMMYFUNCTION("""COMPUTED_VALUE"""),4.1001294E7)</f>
        <v>41001294</v>
      </c>
      <c r="C72" s="21" t="str">
        <f>IFERROR(__xludf.DUMMYFUNCTION("""COMPUTED_VALUE"""),"10C25A3E0A30")</f>
        <v>10C25A3E0A30</v>
      </c>
      <c r="D72" s="21" t="str">
        <f>IFERROR(__xludf.DUMMYFUNCTION("""COMPUTED_VALUE"""),"DIGITEC TECNOLOGIA DIGITAL E REPRES")</f>
        <v>DIGITEC TECNOLOGIA DIGITAL E REPRES</v>
      </c>
      <c r="E72" s="21">
        <f>IFERROR(__xludf.DUMMYFUNCTION("""COMPUTED_VALUE"""),145359.0)</f>
        <v>145359</v>
      </c>
      <c r="F72" s="21" t="str">
        <f>IFERROR(__xludf.DUMMYFUNCTION("""COMPUTED_VALUE"""),"INICIALIZADO")</f>
        <v>INICIALIZADO</v>
      </c>
      <c r="G72" s="23">
        <f>IFERROR(__xludf.DUMMYFUNCTION("""COMPUTED_VALUE"""),45618.74476851852)</f>
        <v>45618.74477</v>
      </c>
      <c r="H72" s="24" t="str">
        <f>IFERROR(VLOOKUP(B72,material!A:D,3,0),"")</f>
        <v>DUAL</v>
      </c>
    </row>
    <row r="73" ht="11.25" customHeight="1">
      <c r="A73" s="21" t="str">
        <f>IFERROR(__xludf.DUMMYFUNCTION("""COMPUTED_VALUE"""),"TECHNICOLOR TC7337NET")</f>
        <v>TECHNICOLOR TC7337NET</v>
      </c>
      <c r="B73" s="22">
        <f>IFERROR(__xludf.DUMMYFUNCTION("""COMPUTED_VALUE"""),4.1001294E7)</f>
        <v>41001294</v>
      </c>
      <c r="C73" s="21" t="str">
        <f>IFERROR(__xludf.DUMMYFUNCTION("""COMPUTED_VALUE"""),"54A65C8F70FF")</f>
        <v>54A65C8F70FF</v>
      </c>
      <c r="D73" s="21" t="str">
        <f>IFERROR(__xludf.DUMMYFUNCTION("""COMPUTED_VALUE"""),"DIGITEC TECNOLOGIA DIGITAL E REPRES")</f>
        <v>DIGITEC TECNOLOGIA DIGITAL E REPRES</v>
      </c>
      <c r="E73" s="21">
        <f>IFERROR(__xludf.DUMMYFUNCTION("""COMPUTED_VALUE"""),145359.0)</f>
        <v>145359</v>
      </c>
      <c r="F73" s="21" t="str">
        <f>IFERROR(__xludf.DUMMYFUNCTION("""COMPUTED_VALUE"""),"INICIALIZADO")</f>
        <v>INICIALIZADO</v>
      </c>
      <c r="G73" s="23">
        <f>IFERROR(__xludf.DUMMYFUNCTION("""COMPUTED_VALUE"""),45601.65571759259)</f>
        <v>45601.65572</v>
      </c>
      <c r="H73" s="24" t="str">
        <f>IFERROR(VLOOKUP(B73,material!A:D,3,0),"")</f>
        <v>DUAL</v>
      </c>
    </row>
    <row r="74" ht="11.25" customHeight="1">
      <c r="A74" s="21" t="str">
        <f>IFERROR(__xludf.DUMMYFUNCTION("""COMPUTED_VALUE"""),"TECHNICOLOR TC7337NET")</f>
        <v>TECHNICOLOR TC7337NET</v>
      </c>
      <c r="B74" s="22">
        <f>IFERROR(__xludf.DUMMYFUNCTION("""COMPUTED_VALUE"""),4.1001294E7)</f>
        <v>41001294</v>
      </c>
      <c r="C74" s="21" t="str">
        <f>IFERROR(__xludf.DUMMYFUNCTION("""COMPUTED_VALUE"""),"B42A0ED35099")</f>
        <v>B42A0ED35099</v>
      </c>
      <c r="D74" s="21" t="str">
        <f>IFERROR(__xludf.DUMMYFUNCTION("""COMPUTED_VALUE"""),"DIGITEC TECNOLOGIA DIGITAL E REPRES")</f>
        <v>DIGITEC TECNOLOGIA DIGITAL E REPRES</v>
      </c>
      <c r="E74" s="21">
        <f>IFERROR(__xludf.DUMMYFUNCTION("""COMPUTED_VALUE"""),145359.0)</f>
        <v>145359</v>
      </c>
      <c r="F74" s="21" t="str">
        <f>IFERROR(__xludf.DUMMYFUNCTION("""COMPUTED_VALUE"""),"INICIALIZADO")</f>
        <v>INICIALIZADO</v>
      </c>
      <c r="G74" s="23">
        <f>IFERROR(__xludf.DUMMYFUNCTION("""COMPUTED_VALUE"""),45618.74476851852)</f>
        <v>45618.74477</v>
      </c>
      <c r="H74" s="24" t="str">
        <f>IFERROR(VLOOKUP(B74,material!A:D,3,0),"")</f>
        <v>DUAL</v>
      </c>
    </row>
    <row r="75" ht="11.25" customHeight="1">
      <c r="A75" s="21" t="str">
        <f>IFERROR(__xludf.DUMMYFUNCTION("""COMPUTED_VALUE"""),"TECHNICOLOR TC7337NET")</f>
        <v>TECHNICOLOR TC7337NET</v>
      </c>
      <c r="B75" s="22">
        <f>IFERROR(__xludf.DUMMYFUNCTION("""COMPUTED_VALUE"""),4.1001294E7)</f>
        <v>41001294</v>
      </c>
      <c r="C75" s="21" t="str">
        <f>IFERROR(__xludf.DUMMYFUNCTION("""COMPUTED_VALUE"""),"B42A0E9C52D8")</f>
        <v>B42A0E9C52D8</v>
      </c>
      <c r="D75" s="21" t="str">
        <f>IFERROR(__xludf.DUMMYFUNCTION("""COMPUTED_VALUE"""),"DIGITEC TECNOLOGIA DIGITAL E REPRES")</f>
        <v>DIGITEC TECNOLOGIA DIGITAL E REPRES</v>
      </c>
      <c r="E75" s="21">
        <f>IFERROR(__xludf.DUMMYFUNCTION("""COMPUTED_VALUE"""),145359.0)</f>
        <v>145359</v>
      </c>
      <c r="F75" s="21" t="str">
        <f>IFERROR(__xludf.DUMMYFUNCTION("""COMPUTED_VALUE"""),"INICIALIZADO")</f>
        <v>INICIALIZADO</v>
      </c>
      <c r="G75" s="23">
        <f>IFERROR(__xludf.DUMMYFUNCTION("""COMPUTED_VALUE"""),45618.74476851852)</f>
        <v>45618.74477</v>
      </c>
      <c r="H75" s="24" t="str">
        <f>IFERROR(VLOOKUP(B75,material!A:D,3,0),"")</f>
        <v>DUAL</v>
      </c>
    </row>
    <row r="76" ht="11.25" customHeight="1">
      <c r="A76" s="21" t="str">
        <f>IFERROR(__xludf.DUMMYFUNCTION("""COMPUTED_VALUE"""),"ARRIS TG1692A")</f>
        <v>ARRIS TG1692A</v>
      </c>
      <c r="B76" s="22">
        <f>IFERROR(__xludf.DUMMYFUNCTION("""COMPUTED_VALUE"""),4.1001293E7)</f>
        <v>41001293</v>
      </c>
      <c r="C76" s="21" t="str">
        <f>IFERROR(__xludf.DUMMYFUNCTION("""COMPUTED_VALUE"""),"F8F532551558")</f>
        <v>F8F532551558</v>
      </c>
      <c r="D76" s="21" t="str">
        <f>IFERROR(__xludf.DUMMYFUNCTION("""COMPUTED_VALUE"""),"DIGITEC TECNOLOGIA DIGITAL E REPRES")</f>
        <v>DIGITEC TECNOLOGIA DIGITAL E REPRES</v>
      </c>
      <c r="E76" s="21">
        <f>IFERROR(__xludf.DUMMYFUNCTION("""COMPUTED_VALUE"""),145359.0)</f>
        <v>145359</v>
      </c>
      <c r="F76" s="21" t="str">
        <f>IFERROR(__xludf.DUMMYFUNCTION("""COMPUTED_VALUE"""),"INICIALIZADO")</f>
        <v>INICIALIZADO</v>
      </c>
      <c r="G76" s="23">
        <f>IFERROR(__xludf.DUMMYFUNCTION("""COMPUTED_VALUE"""),45603.576886574076)</f>
        <v>45603.57689</v>
      </c>
      <c r="H76" s="24" t="str">
        <f>IFERROR(VLOOKUP(B76,material!A:D,3,0),"")</f>
        <v>DUAL</v>
      </c>
    </row>
    <row r="77" ht="11.25" customHeight="1">
      <c r="A77" s="21" t="str">
        <f>IFERROR(__xludf.DUMMYFUNCTION("""COMPUTED_VALUE"""),"ARRIS TG1692A")</f>
        <v>ARRIS TG1692A</v>
      </c>
      <c r="B77" s="22">
        <f>IFERROR(__xludf.DUMMYFUNCTION("""COMPUTED_VALUE"""),4.1001293E7)</f>
        <v>41001293</v>
      </c>
      <c r="C77" s="21" t="str">
        <f>IFERROR(__xludf.DUMMYFUNCTION("""COMPUTED_VALUE"""),"BC644BCE0B10")</f>
        <v>BC644BCE0B10</v>
      </c>
      <c r="D77" s="21" t="str">
        <f>IFERROR(__xludf.DUMMYFUNCTION("""COMPUTED_VALUE"""),"DIGITEC TECNOLOGIA DIGITAL E REPRES")</f>
        <v>DIGITEC TECNOLOGIA DIGITAL E REPRES</v>
      </c>
      <c r="E77" s="21">
        <f>IFERROR(__xludf.DUMMYFUNCTION("""COMPUTED_VALUE"""),145359.0)</f>
        <v>145359</v>
      </c>
      <c r="F77" s="21" t="str">
        <f>IFERROR(__xludf.DUMMYFUNCTION("""COMPUTED_VALUE"""),"INICIALIZADO")</f>
        <v>INICIALIZADO</v>
      </c>
      <c r="G77" s="23">
        <f>IFERROR(__xludf.DUMMYFUNCTION("""COMPUTED_VALUE"""),45602.64472222222)</f>
        <v>45602.64472</v>
      </c>
      <c r="H77" s="24" t="str">
        <f>IFERROR(VLOOKUP(B77,material!A:D,3,0),"")</f>
        <v>DUAL</v>
      </c>
    </row>
    <row r="78" ht="11.25" customHeight="1">
      <c r="A78" s="21" t="str">
        <f>IFERROR(__xludf.DUMMYFUNCTION("""COMPUTED_VALUE"""),"ARRIS TG1692A")</f>
        <v>ARRIS TG1692A</v>
      </c>
      <c r="B78" s="22">
        <f>IFERROR(__xludf.DUMMYFUNCTION("""COMPUTED_VALUE"""),4.1001293E7)</f>
        <v>41001293</v>
      </c>
      <c r="C78" s="21" t="str">
        <f>IFERROR(__xludf.DUMMYFUNCTION("""COMPUTED_VALUE"""),"BC644BC78AF6")</f>
        <v>BC644BC78AF6</v>
      </c>
      <c r="D78" s="21" t="str">
        <f>IFERROR(__xludf.DUMMYFUNCTION("""COMPUTED_VALUE"""),"DIGITEC TECNOLOGIA DIGITAL E REPRES")</f>
        <v>DIGITEC TECNOLOGIA DIGITAL E REPRES</v>
      </c>
      <c r="E78" s="21">
        <f>IFERROR(__xludf.DUMMYFUNCTION("""COMPUTED_VALUE"""),145359.0)</f>
        <v>145359</v>
      </c>
      <c r="F78" s="21" t="str">
        <f>IFERROR(__xludf.DUMMYFUNCTION("""COMPUTED_VALUE"""),"INICIALIZADO")</f>
        <v>INICIALIZADO</v>
      </c>
      <c r="G78" s="23">
        <f>IFERROR(__xludf.DUMMYFUNCTION("""COMPUTED_VALUE"""),45478.39482638889)</f>
        <v>45478.39483</v>
      </c>
      <c r="H78" s="24" t="str">
        <f>IFERROR(VLOOKUP(B78,material!A:D,3,0),"")</f>
        <v>DUAL</v>
      </c>
    </row>
    <row r="79" ht="11.25" customHeight="1">
      <c r="A79" s="21" t="str">
        <f>IFERROR(__xludf.DUMMYFUNCTION("""COMPUTED_VALUE"""),"ARRIS TG1692A")</f>
        <v>ARRIS TG1692A</v>
      </c>
      <c r="B79" s="22">
        <f>IFERROR(__xludf.DUMMYFUNCTION("""COMPUTED_VALUE"""),4.1001293E7)</f>
        <v>41001293</v>
      </c>
      <c r="C79" s="21" t="str">
        <f>IFERROR(__xludf.DUMMYFUNCTION("""COMPUTED_VALUE"""),"B0DAF9633BC2")</f>
        <v>B0DAF9633BC2</v>
      </c>
      <c r="D79" s="21" t="str">
        <f>IFERROR(__xludf.DUMMYFUNCTION("""COMPUTED_VALUE"""),"DIGITEC TECNOLOGIA DIGITAL E REPRES")</f>
        <v>DIGITEC TECNOLOGIA DIGITAL E REPRES</v>
      </c>
      <c r="E79" s="21">
        <f>IFERROR(__xludf.DUMMYFUNCTION("""COMPUTED_VALUE"""),145359.0)</f>
        <v>145359</v>
      </c>
      <c r="F79" s="21" t="str">
        <f>IFERROR(__xludf.DUMMYFUNCTION("""COMPUTED_VALUE"""),"INICIALIZADO")</f>
        <v>INICIALIZADO</v>
      </c>
      <c r="G79" s="23">
        <f>IFERROR(__xludf.DUMMYFUNCTION("""COMPUTED_VALUE"""),45602.64472222222)</f>
        <v>45602.64472</v>
      </c>
      <c r="H79" s="24" t="str">
        <f>IFERROR(VLOOKUP(B79,material!A:D,3,0),"")</f>
        <v>DUAL</v>
      </c>
    </row>
    <row r="80" ht="11.25" customHeight="1">
      <c r="A80" s="21" t="str">
        <f>IFERROR(__xludf.DUMMYFUNCTION("""COMPUTED_VALUE"""),"HUMAX HGB10R-02")</f>
        <v>HUMAX HGB10R-02</v>
      </c>
      <c r="B80" s="22">
        <f>IFERROR(__xludf.DUMMYFUNCTION("""COMPUTED_VALUE"""),4.1001292E7)</f>
        <v>41001292</v>
      </c>
      <c r="C80" s="21" t="str">
        <f>IFERROR(__xludf.DUMMYFUNCTION("""COMPUTED_VALUE"""),"E820E2EC573B")</f>
        <v>E820E2EC573B</v>
      </c>
      <c r="D80" s="21" t="str">
        <f>IFERROR(__xludf.DUMMYFUNCTION("""COMPUTED_VALUE"""),"DIGITEC TECNOLOGIA DIGITAL E REPRES")</f>
        <v>DIGITEC TECNOLOGIA DIGITAL E REPRES</v>
      </c>
      <c r="E80" s="21">
        <f>IFERROR(__xludf.DUMMYFUNCTION("""COMPUTED_VALUE"""),145359.0)</f>
        <v>145359</v>
      </c>
      <c r="F80" s="21" t="str">
        <f>IFERROR(__xludf.DUMMYFUNCTION("""COMPUTED_VALUE"""),"INICIALIZADO")</f>
        <v>INICIALIZADO</v>
      </c>
      <c r="G80" s="23">
        <f>IFERROR(__xludf.DUMMYFUNCTION("""COMPUTED_VALUE"""),45154.74603009259)</f>
        <v>45154.74603</v>
      </c>
      <c r="H80" s="24" t="str">
        <f>IFERROR(VLOOKUP(B80,material!A:D,3,0),"")</f>
        <v>DUAL</v>
      </c>
    </row>
    <row r="81" ht="11.25" customHeight="1">
      <c r="A81" s="21" t="str">
        <f>IFERROR(__xludf.DUMMYFUNCTION("""COMPUTED_VALUE"""),"DECODER DIGITAL HD DXC5000 2T")</f>
        <v>DECODER DIGITAL HD DXC5000 2T</v>
      </c>
      <c r="B81" s="22">
        <f>IFERROR(__xludf.DUMMYFUNCTION("""COMPUTED_VALUE"""),4.1001277E7)</f>
        <v>41001277</v>
      </c>
      <c r="C81" s="21" t="str">
        <f>IFERROR(__xludf.DUMMYFUNCTION("""COMPUTED_VALUE"""),"216582747880")</f>
        <v>216582747880</v>
      </c>
      <c r="D81" s="21" t="str">
        <f>IFERROR(__xludf.DUMMYFUNCTION("""COMPUTED_VALUE"""),"DIGITEC TECNOLOGIA DIGITAL E REPRES")</f>
        <v>DIGITEC TECNOLOGIA DIGITAL E REPRES</v>
      </c>
      <c r="E81" s="21">
        <f>IFERROR(__xludf.DUMMYFUNCTION("""COMPUTED_VALUE"""),145359.0)</f>
        <v>145359</v>
      </c>
      <c r="F81" s="21" t="str">
        <f>IFERROR(__xludf.DUMMYFUNCTION("""COMPUTED_VALUE"""),"INICIALIZADO")</f>
        <v>INICIALIZADO</v>
      </c>
      <c r="G81" s="23">
        <f>IFERROR(__xludf.DUMMYFUNCTION("""COMPUTED_VALUE"""),45618.65200231482)</f>
        <v>45618.652</v>
      </c>
      <c r="H81" s="24" t="str">
        <f>IFERROR(VLOOKUP(B81,material!A:D,3,0),"")</f>
        <v>TOP MIX</v>
      </c>
    </row>
    <row r="82" ht="11.25" customHeight="1">
      <c r="A82" s="21" t="str">
        <f>IFERROR(__xludf.DUMMYFUNCTION("""COMPUTED_VALUE"""),"DECODER DIGITAL HD HNB100 2T")</f>
        <v>DECODER DIGITAL HD HNB100 2T</v>
      </c>
      <c r="B82" s="22">
        <f>IFERROR(__xludf.DUMMYFUNCTION("""COMPUTED_VALUE"""),4.1001276E7)</f>
        <v>41001276</v>
      </c>
      <c r="C82" s="21" t="str">
        <f>IFERROR(__xludf.DUMMYFUNCTION("""COMPUTED_VALUE"""),"216617673557")</f>
        <v>216617673557</v>
      </c>
      <c r="D82" s="21" t="str">
        <f>IFERROR(__xludf.DUMMYFUNCTION("""COMPUTED_VALUE"""),"DIGITEC TECNOLOGIA DIGITAL E REPRES")</f>
        <v>DIGITEC TECNOLOGIA DIGITAL E REPRES</v>
      </c>
      <c r="E82" s="21">
        <f>IFERROR(__xludf.DUMMYFUNCTION("""COMPUTED_VALUE"""),145359.0)</f>
        <v>145359</v>
      </c>
      <c r="F82" s="21" t="str">
        <f>IFERROR(__xludf.DUMMYFUNCTION("""COMPUTED_VALUE"""),"INICIALIZADO")</f>
        <v>INICIALIZADO</v>
      </c>
      <c r="G82" s="23">
        <f>IFERROR(__xludf.DUMMYFUNCTION("""COMPUTED_VALUE"""),45635.535057870366)</f>
        <v>45635.53506</v>
      </c>
      <c r="H82" s="24" t="str">
        <f>IFERROR(VLOOKUP(B82,material!A:D,3,0),"")</f>
        <v>TOP MIX</v>
      </c>
    </row>
    <row r="83" ht="11.25" customHeight="1">
      <c r="A83" s="21" t="str">
        <f>IFERROR(__xludf.DUMMYFUNCTION("""COMPUTED_VALUE"""),"DECODER DIGITAL HD HNB100 2T")</f>
        <v>DECODER DIGITAL HD HNB100 2T</v>
      </c>
      <c r="B83" s="22">
        <f>IFERROR(__xludf.DUMMYFUNCTION("""COMPUTED_VALUE"""),4.1001276E7)</f>
        <v>41001276</v>
      </c>
      <c r="C83" s="21" t="str">
        <f>IFERROR(__xludf.DUMMYFUNCTION("""COMPUTED_VALUE"""),"216611974448")</f>
        <v>216611974448</v>
      </c>
      <c r="D83" s="21" t="str">
        <f>IFERROR(__xludf.DUMMYFUNCTION("""COMPUTED_VALUE"""),"DIGITEC TECNOLOGIA DIGITAL E REPRES")</f>
        <v>DIGITEC TECNOLOGIA DIGITAL E REPRES</v>
      </c>
      <c r="E83" s="21">
        <f>IFERROR(__xludf.DUMMYFUNCTION("""COMPUTED_VALUE"""),145359.0)</f>
        <v>145359</v>
      </c>
      <c r="F83" s="21" t="str">
        <f>IFERROR(__xludf.DUMMYFUNCTION("""COMPUTED_VALUE"""),"INICIALIZADO")</f>
        <v>INICIALIZADO</v>
      </c>
      <c r="G83" s="23">
        <f>IFERROR(__xludf.DUMMYFUNCTION("""COMPUTED_VALUE"""),45642.524143518516)</f>
        <v>45642.52414</v>
      </c>
      <c r="H83" s="24" t="str">
        <f>IFERROR(VLOOKUP(B83,material!A:D,3,0),"")</f>
        <v>TOP MIX</v>
      </c>
    </row>
    <row r="84" ht="11.25" customHeight="1">
      <c r="A84" s="21" t="str">
        <f>IFERROR(__xludf.DUMMYFUNCTION("""COMPUTED_VALUE"""),"DECODER DIGITAL HD HNB100 2T")</f>
        <v>DECODER DIGITAL HD HNB100 2T</v>
      </c>
      <c r="B84" s="22">
        <f>IFERROR(__xludf.DUMMYFUNCTION("""COMPUTED_VALUE"""),4.1001276E7)</f>
        <v>41001276</v>
      </c>
      <c r="C84" s="21" t="str">
        <f>IFERROR(__xludf.DUMMYFUNCTION("""COMPUTED_VALUE"""),"184330796368")</f>
        <v>184330796368</v>
      </c>
      <c r="D84" s="21" t="str">
        <f>IFERROR(__xludf.DUMMYFUNCTION("""COMPUTED_VALUE"""),"DIGITEC TECNOLOGIA DIGITAL E REPRES")</f>
        <v>DIGITEC TECNOLOGIA DIGITAL E REPRES</v>
      </c>
      <c r="E84" s="21">
        <f>IFERROR(__xludf.DUMMYFUNCTION("""COMPUTED_VALUE"""),145359.0)</f>
        <v>145359</v>
      </c>
      <c r="F84" s="21" t="str">
        <f>IFERROR(__xludf.DUMMYFUNCTION("""COMPUTED_VALUE"""),"INICIALIZADO")</f>
        <v>INICIALIZADO</v>
      </c>
      <c r="G84" s="23">
        <f>IFERROR(__xludf.DUMMYFUNCTION("""COMPUTED_VALUE"""),45635.535046296296)</f>
        <v>45635.53505</v>
      </c>
      <c r="H84" s="24" t="str">
        <f>IFERROR(VLOOKUP(B84,material!A:D,3,0),"")</f>
        <v>TOP MIX</v>
      </c>
    </row>
    <row r="85" ht="11.25" customHeight="1">
      <c r="A85" s="21" t="str">
        <f>IFERROR(__xludf.DUMMYFUNCTION("""COMPUTED_VALUE"""),"DECODER DIGITAL HD HNB100 2T")</f>
        <v>DECODER DIGITAL HD HNB100 2T</v>
      </c>
      <c r="B85" s="22">
        <f>IFERROR(__xludf.DUMMYFUNCTION("""COMPUTED_VALUE"""),4.1001276E7)</f>
        <v>41001276</v>
      </c>
      <c r="C85" s="21" t="str">
        <f>IFERROR(__xludf.DUMMYFUNCTION("""COMPUTED_VALUE"""),"216862937683")</f>
        <v>216862937683</v>
      </c>
      <c r="D85" s="21" t="str">
        <f>IFERROR(__xludf.DUMMYFUNCTION("""COMPUTED_VALUE"""),"DIGITEC TECNOLOGIA DIGITAL E REPRES")</f>
        <v>DIGITEC TECNOLOGIA DIGITAL E REPRES</v>
      </c>
      <c r="E85" s="21">
        <f>IFERROR(__xludf.DUMMYFUNCTION("""COMPUTED_VALUE"""),145359.0)</f>
        <v>145359</v>
      </c>
      <c r="F85" s="21" t="str">
        <f>IFERROR(__xludf.DUMMYFUNCTION("""COMPUTED_VALUE"""),"INICIALIZADO")</f>
        <v>INICIALIZADO</v>
      </c>
      <c r="G85" s="23">
        <f>IFERROR(__xludf.DUMMYFUNCTION("""COMPUTED_VALUE"""),45635.53502314815)</f>
        <v>45635.53502</v>
      </c>
      <c r="H85" s="24" t="str">
        <f>IFERROR(VLOOKUP(B85,material!A:D,3,0),"")</f>
        <v>TOP MIX</v>
      </c>
    </row>
    <row r="86" ht="11.25" customHeight="1">
      <c r="A86" s="21" t="str">
        <f>IFERROR(__xludf.DUMMYFUNCTION("""COMPUTED_VALUE"""),"DECODER DIGITAL HD HNB100 2T")</f>
        <v>DECODER DIGITAL HD HNB100 2T</v>
      </c>
      <c r="B86" s="22">
        <f>IFERROR(__xludf.DUMMYFUNCTION("""COMPUTED_VALUE"""),4.1001276E7)</f>
        <v>41001276</v>
      </c>
      <c r="C86" s="21" t="str">
        <f>IFERROR(__xludf.DUMMYFUNCTION("""COMPUTED_VALUE"""),"216864384761")</f>
        <v>216864384761</v>
      </c>
      <c r="D86" s="21" t="str">
        <f>IFERROR(__xludf.DUMMYFUNCTION("""COMPUTED_VALUE"""),"DIGITEC TECNOLOGIA DIGITAL E REPRES")</f>
        <v>DIGITEC TECNOLOGIA DIGITAL E REPRES</v>
      </c>
      <c r="E86" s="21">
        <f>IFERROR(__xludf.DUMMYFUNCTION("""COMPUTED_VALUE"""),145359.0)</f>
        <v>145359</v>
      </c>
      <c r="F86" s="21" t="str">
        <f>IFERROR(__xludf.DUMMYFUNCTION("""COMPUTED_VALUE"""),"INICIALIZADO")</f>
        <v>INICIALIZADO</v>
      </c>
      <c r="G86" s="23">
        <f>IFERROR(__xludf.DUMMYFUNCTION("""COMPUTED_VALUE"""),45635.53502314815)</f>
        <v>45635.53502</v>
      </c>
      <c r="H86" s="24" t="str">
        <f>IFERROR(VLOOKUP(B86,material!A:D,3,0),"")</f>
        <v>TOP MIX</v>
      </c>
    </row>
    <row r="87" ht="11.25" customHeight="1">
      <c r="A87" s="21" t="str">
        <f>IFERROR(__xludf.DUMMYFUNCTION("""COMPUTED_VALUE"""),"DECODER DIGITAL HD HNB100 2T")</f>
        <v>DECODER DIGITAL HD HNB100 2T</v>
      </c>
      <c r="B87" s="22">
        <f>IFERROR(__xludf.DUMMYFUNCTION("""COMPUTED_VALUE"""),4.1001276E7)</f>
        <v>41001276</v>
      </c>
      <c r="C87" s="21" t="str">
        <f>IFERROR(__xludf.DUMMYFUNCTION("""COMPUTED_VALUE"""),"216754751335")</f>
        <v>216754751335</v>
      </c>
      <c r="D87" s="21" t="str">
        <f>IFERROR(__xludf.DUMMYFUNCTION("""COMPUTED_VALUE"""),"DIGITEC TECNOLOGIA DIGITAL E REPRES")</f>
        <v>DIGITEC TECNOLOGIA DIGITAL E REPRES</v>
      </c>
      <c r="E87" s="21">
        <f>IFERROR(__xludf.DUMMYFUNCTION("""COMPUTED_VALUE"""),145359.0)</f>
        <v>145359</v>
      </c>
      <c r="F87" s="21" t="str">
        <f>IFERROR(__xludf.DUMMYFUNCTION("""COMPUTED_VALUE"""),"INICIALIZADO")</f>
        <v>INICIALIZADO</v>
      </c>
      <c r="G87" s="23">
        <f>IFERROR(__xludf.DUMMYFUNCTION("""COMPUTED_VALUE"""),45635.535)</f>
        <v>45635.535</v>
      </c>
      <c r="H87" s="24" t="str">
        <f>IFERROR(VLOOKUP(B87,material!A:D,3,0),"")</f>
        <v>TOP MIX</v>
      </c>
    </row>
    <row r="88" ht="11.25" customHeight="1">
      <c r="A88" s="21" t="str">
        <f>IFERROR(__xludf.DUMMYFUNCTION("""COMPUTED_VALUE"""),"SMART CARD PRETO NAGRA")</f>
        <v>SMART CARD PRETO NAGRA</v>
      </c>
      <c r="B88" s="22">
        <f>IFERROR(__xludf.DUMMYFUNCTION("""COMPUTED_VALUE"""),4.1001234E7)</f>
        <v>41001234</v>
      </c>
      <c r="C88" s="21" t="str">
        <f>IFERROR(__xludf.DUMMYFUNCTION("""COMPUTED_VALUE"""),"246165328686")</f>
        <v>246165328686</v>
      </c>
      <c r="D88" s="21" t="str">
        <f>IFERROR(__xludf.DUMMYFUNCTION("""COMPUTED_VALUE"""),"DIGITEC TECNOLOGIA DIGITAL E REPRES")</f>
        <v>DIGITEC TECNOLOGIA DIGITAL E REPRES</v>
      </c>
      <c r="E88" s="21">
        <f>IFERROR(__xludf.DUMMYFUNCTION("""COMPUTED_VALUE"""),145359.0)</f>
        <v>145359</v>
      </c>
      <c r="F88" s="21" t="str">
        <f>IFERROR(__xludf.DUMMYFUNCTION("""COMPUTED_VALUE"""),"INICIALIZADO")</f>
        <v>INICIALIZADO</v>
      </c>
      <c r="G88" s="23">
        <f>IFERROR(__xludf.DUMMYFUNCTION("""COMPUTED_VALUE"""),45635.534895833334)</f>
        <v>45635.5349</v>
      </c>
      <c r="H88" s="24" t="str">
        <f>IFERROR(VLOOKUP(B88,material!A:D,3,0),"")</f>
        <v>CARD</v>
      </c>
    </row>
    <row r="89" ht="11.25" customHeight="1">
      <c r="A89" s="21" t="str">
        <f>IFERROR(__xludf.DUMMYFUNCTION("""COMPUTED_VALUE"""),"SMART CARD PRETO NAGRA")</f>
        <v>SMART CARD PRETO NAGRA</v>
      </c>
      <c r="B89" s="22">
        <f>IFERROR(__xludf.DUMMYFUNCTION("""COMPUTED_VALUE"""),4.1001234E7)</f>
        <v>41001234</v>
      </c>
      <c r="C89" s="21" t="str">
        <f>IFERROR(__xludf.DUMMYFUNCTION("""COMPUTED_VALUE"""),"226145138703")</f>
        <v>226145138703</v>
      </c>
      <c r="D89" s="21" t="str">
        <f>IFERROR(__xludf.DUMMYFUNCTION("""COMPUTED_VALUE"""),"DIGITEC TECNOLOGIA DIGITAL E REPRES")</f>
        <v>DIGITEC TECNOLOGIA DIGITAL E REPRES</v>
      </c>
      <c r="E89" s="21">
        <f>IFERROR(__xludf.DUMMYFUNCTION("""COMPUTED_VALUE"""),145359.0)</f>
        <v>145359</v>
      </c>
      <c r="F89" s="21" t="str">
        <f>IFERROR(__xludf.DUMMYFUNCTION("""COMPUTED_VALUE"""),"INICIALIZADO")</f>
        <v>INICIALIZADO</v>
      </c>
      <c r="G89" s="23">
        <f>IFERROR(__xludf.DUMMYFUNCTION("""COMPUTED_VALUE"""),45635.53494212963)</f>
        <v>45635.53494</v>
      </c>
      <c r="H89" s="24" t="str">
        <f>IFERROR(VLOOKUP(B89,material!A:D,3,0),"")</f>
        <v>CARD</v>
      </c>
    </row>
    <row r="90" ht="11.25" customHeight="1">
      <c r="A90" s="21" t="str">
        <f>IFERROR(__xludf.DUMMYFUNCTION("""COMPUTED_VALUE"""),"DECODER DIGITAL HD DXC5000 2T")</f>
        <v>DECODER DIGITAL HD DXC5000 2T</v>
      </c>
      <c r="B90" s="22">
        <f>IFERROR(__xludf.DUMMYFUNCTION("""COMPUTED_VALUE"""),4.1001277E7)</f>
        <v>41001277</v>
      </c>
      <c r="C90" s="21" t="str">
        <f>IFERROR(__xludf.DUMMYFUNCTION("""COMPUTED_VALUE"""),"216585477193")</f>
        <v>216585477193</v>
      </c>
      <c r="D90" s="21" t="str">
        <f>IFERROR(__xludf.DUMMYFUNCTION("""COMPUTED_VALUE"""),"DIGITEC TECNOLOGIA DIGITAL E REPRES")</f>
        <v>DIGITEC TECNOLOGIA DIGITAL E REPRES</v>
      </c>
      <c r="E90" s="21">
        <f>IFERROR(__xludf.DUMMYFUNCTION("""COMPUTED_VALUE"""),145359.0)</f>
        <v>145359</v>
      </c>
      <c r="F90" s="21" t="str">
        <f>IFERROR(__xludf.DUMMYFUNCTION("""COMPUTED_VALUE"""),"TRANSITO REVERSA")</f>
        <v>TRANSITO REVERSA</v>
      </c>
      <c r="G90" s="23">
        <f>IFERROR(__xludf.DUMMYFUNCTION("""COMPUTED_VALUE"""),45610.730416666665)</f>
        <v>45610.73042</v>
      </c>
      <c r="H90" s="24" t="str">
        <f>IFERROR(VLOOKUP(B90,material!A:D,3,0),"")</f>
        <v>TOP MIX</v>
      </c>
    </row>
    <row r="91" ht="11.25" customHeight="1">
      <c r="A91" s="21" t="str">
        <f>IFERROR(__xludf.DUMMYFUNCTION("""COMPUTED_VALUE"""),"DECODER DIGITAL HD DXC5000 2T")</f>
        <v>DECODER DIGITAL HD DXC5000 2T</v>
      </c>
      <c r="B91" s="22">
        <f>IFERROR(__xludf.DUMMYFUNCTION("""COMPUTED_VALUE"""),4.1001277E7)</f>
        <v>41001277</v>
      </c>
      <c r="C91" s="21" t="str">
        <f>IFERROR(__xludf.DUMMYFUNCTION("""COMPUTED_VALUE"""),"216477471221")</f>
        <v>216477471221</v>
      </c>
      <c r="D91" s="21" t="str">
        <f>IFERROR(__xludf.DUMMYFUNCTION("""COMPUTED_VALUE"""),"DIGITEC TECNOLOGIA DIGITAL E REPRES")</f>
        <v>DIGITEC TECNOLOGIA DIGITAL E REPRES</v>
      </c>
      <c r="E91" s="21">
        <f>IFERROR(__xludf.DUMMYFUNCTION("""COMPUTED_VALUE"""),145359.0)</f>
        <v>145359</v>
      </c>
      <c r="F91" s="21" t="str">
        <f>IFERROR(__xludf.DUMMYFUNCTION("""COMPUTED_VALUE"""),"TRANSITO REVERSA")</f>
        <v>TRANSITO REVERSA</v>
      </c>
      <c r="G91" s="23">
        <f>IFERROR(__xludf.DUMMYFUNCTION("""COMPUTED_VALUE"""),45633.00396990741)</f>
        <v>45633.00397</v>
      </c>
      <c r="H91" s="24" t="str">
        <f>IFERROR(VLOOKUP(B91,material!A:D,3,0),"")</f>
        <v>TOP MIX</v>
      </c>
    </row>
    <row r="92" ht="11.25" customHeight="1">
      <c r="A92" s="21" t="str">
        <f>IFERROR(__xludf.DUMMYFUNCTION("""COMPUTED_VALUE"""),"DECODER DIGITAL HD DXC5000 2T")</f>
        <v>DECODER DIGITAL HD DXC5000 2T</v>
      </c>
      <c r="B92" s="22">
        <f>IFERROR(__xludf.DUMMYFUNCTION("""COMPUTED_VALUE"""),4.1001277E7)</f>
        <v>41001277</v>
      </c>
      <c r="C92" s="21" t="str">
        <f>IFERROR(__xludf.DUMMYFUNCTION("""COMPUTED_VALUE"""),"184284013251")</f>
        <v>184284013251</v>
      </c>
      <c r="D92" s="21" t="str">
        <f>IFERROR(__xludf.DUMMYFUNCTION("""COMPUTED_VALUE"""),"DIGITEC TECNOLOGIA DIGITAL E REPRES")</f>
        <v>DIGITEC TECNOLOGIA DIGITAL E REPRES</v>
      </c>
      <c r="E92" s="21">
        <f>IFERROR(__xludf.DUMMYFUNCTION("""COMPUTED_VALUE"""),145359.0)</f>
        <v>145359</v>
      </c>
      <c r="F92" s="21" t="str">
        <f>IFERROR(__xludf.DUMMYFUNCTION("""COMPUTED_VALUE"""),"TRANSITO REVERSA")</f>
        <v>TRANSITO REVERSA</v>
      </c>
      <c r="G92" s="23">
        <f>IFERROR(__xludf.DUMMYFUNCTION("""COMPUTED_VALUE"""),45638.52186342592)</f>
        <v>45638.52186</v>
      </c>
      <c r="H92" s="24" t="str">
        <f>IFERROR(VLOOKUP(B92,material!A:D,3,0),"")</f>
        <v>TOP MIX</v>
      </c>
    </row>
    <row r="93" ht="11.25" customHeight="1">
      <c r="A93" s="21" t="str">
        <f>IFERROR(__xludf.DUMMYFUNCTION("""COMPUTED_VALUE"""),"EMTA 3.0 HG100R-L2 HUMAX")</f>
        <v>EMTA 3.0 HG100R-L2 HUMAX</v>
      </c>
      <c r="B93" s="22">
        <f>IFERROR(__xludf.DUMMYFUNCTION("""COMPUTED_VALUE"""),4.1001286E7)</f>
        <v>41001286</v>
      </c>
      <c r="C93" s="21" t="str">
        <f>IFERROR(__xludf.DUMMYFUNCTION("""COMPUTED_VALUE"""),"2832C54DC9E7")</f>
        <v>2832C54DC9E7</v>
      </c>
      <c r="D93" s="21" t="str">
        <f>IFERROR(__xludf.DUMMYFUNCTION("""COMPUTED_VALUE"""),"DIGITEC TECNOLOGIA DIGITAL E REPRES")</f>
        <v>DIGITEC TECNOLOGIA DIGITAL E REPRES</v>
      </c>
      <c r="E93" s="21">
        <f>IFERROR(__xludf.DUMMYFUNCTION("""COMPUTED_VALUE"""),145359.0)</f>
        <v>145359</v>
      </c>
      <c r="F93" s="21" t="str">
        <f>IFERROR(__xludf.DUMMYFUNCTION("""COMPUTED_VALUE"""),"TRANSITO REVERSA")</f>
        <v>TRANSITO REVERSA</v>
      </c>
      <c r="G93" s="23">
        <f>IFERROR(__xludf.DUMMYFUNCTION("""COMPUTED_VALUE"""),45633.00399305555)</f>
        <v>45633.00399</v>
      </c>
      <c r="H93" s="24" t="str">
        <f>IFERROR(VLOOKUP(B93,material!A:D,3,0),"")</f>
        <v>SINGLE</v>
      </c>
    </row>
    <row r="94" ht="11.25" customHeight="1">
      <c r="A94" s="21" t="str">
        <f>IFERROR(__xludf.DUMMYFUNCTION("""COMPUTED_VALUE"""),"SMART CARD PRETO NAGRA")</f>
        <v>SMART CARD PRETO NAGRA</v>
      </c>
      <c r="B94" s="22">
        <f>IFERROR(__xludf.DUMMYFUNCTION("""COMPUTED_VALUE"""),4.1001234E7)</f>
        <v>41001234</v>
      </c>
      <c r="C94" s="21" t="str">
        <f>IFERROR(__xludf.DUMMYFUNCTION("""COMPUTED_VALUE"""),"226283221315")</f>
        <v>226283221315</v>
      </c>
      <c r="D94" s="21" t="str">
        <f>IFERROR(__xludf.DUMMYFUNCTION("""COMPUTED_VALUE"""),"DIGITEC TECNOLOGIA DIGITAL E REPRES")</f>
        <v>DIGITEC TECNOLOGIA DIGITAL E REPRES</v>
      </c>
      <c r="E94" s="21">
        <f>IFERROR(__xludf.DUMMYFUNCTION("""COMPUTED_VALUE"""),145359.0)</f>
        <v>145359</v>
      </c>
      <c r="F94" s="21" t="str">
        <f>IFERROR(__xludf.DUMMYFUNCTION("""COMPUTED_VALUE"""),"TRANSITO REVERSA")</f>
        <v>TRANSITO REVERSA</v>
      </c>
      <c r="G94" s="23">
        <f>IFERROR(__xludf.DUMMYFUNCTION("""COMPUTED_VALUE"""),45633.00341435186)</f>
        <v>45633.00341</v>
      </c>
      <c r="H94" s="24" t="str">
        <f>IFERROR(VLOOKUP(B94,material!A:D,3,0),"")</f>
        <v>CARD</v>
      </c>
    </row>
    <row r="95" ht="11.25" customHeight="1">
      <c r="A95" s="21" t="str">
        <f>IFERROR(__xludf.DUMMYFUNCTION("""COMPUTED_VALUE"""),"SMART CARD PRETO NAGRA")</f>
        <v>SMART CARD PRETO NAGRA</v>
      </c>
      <c r="B95" s="22">
        <f>IFERROR(__xludf.DUMMYFUNCTION("""COMPUTED_VALUE"""),4.1001234E7)</f>
        <v>41001234</v>
      </c>
      <c r="C95" s="21" t="str">
        <f>IFERROR(__xludf.DUMMYFUNCTION("""COMPUTED_VALUE"""),"226071627173")</f>
        <v>226071627173</v>
      </c>
      <c r="D95" s="21" t="str">
        <f>IFERROR(__xludf.DUMMYFUNCTION("""COMPUTED_VALUE"""),"DIGITEC TECNOLOGIA DIGITAL E REPRES")</f>
        <v>DIGITEC TECNOLOGIA DIGITAL E REPRES</v>
      </c>
      <c r="E95" s="21">
        <f>IFERROR(__xludf.DUMMYFUNCTION("""COMPUTED_VALUE"""),145359.0)</f>
        <v>145359</v>
      </c>
      <c r="F95" s="21" t="str">
        <f>IFERROR(__xludf.DUMMYFUNCTION("""COMPUTED_VALUE"""),"TRANSITO REVERSA")</f>
        <v>TRANSITO REVERSA</v>
      </c>
      <c r="G95" s="23">
        <f>IFERROR(__xludf.DUMMYFUNCTION("""COMPUTED_VALUE"""),45638.52059027778)</f>
        <v>45638.52059</v>
      </c>
      <c r="H95" s="24" t="str">
        <f>IFERROR(VLOOKUP(B95,material!A:D,3,0),"")</f>
        <v>CARD</v>
      </c>
    </row>
    <row r="96" ht="11.25" customHeight="1">
      <c r="A96" s="21" t="str">
        <f>IFERROR(__xludf.DUMMYFUNCTION("""COMPUTED_VALUE"""),"SMART CARD PRETO NAGRA")</f>
        <v>SMART CARD PRETO NAGRA</v>
      </c>
      <c r="B96" s="22">
        <f>IFERROR(__xludf.DUMMYFUNCTION("""COMPUTED_VALUE"""),4.1001234E7)</f>
        <v>41001234</v>
      </c>
      <c r="C96" s="21" t="str">
        <f>IFERROR(__xludf.DUMMYFUNCTION("""COMPUTED_VALUE"""),"226073750513")</f>
        <v>226073750513</v>
      </c>
      <c r="D96" s="21" t="str">
        <f>IFERROR(__xludf.DUMMYFUNCTION("""COMPUTED_VALUE"""),"DIGITEC TECNOLOGIA DIGITAL E REPRES")</f>
        <v>DIGITEC TECNOLOGIA DIGITAL E REPRES</v>
      </c>
      <c r="E96" s="21">
        <f>IFERROR(__xludf.DUMMYFUNCTION("""COMPUTED_VALUE"""),145359.0)</f>
        <v>145359</v>
      </c>
      <c r="F96" s="21" t="str">
        <f>IFERROR(__xludf.DUMMYFUNCTION("""COMPUTED_VALUE"""),"TRANSITO REVERSA")</f>
        <v>TRANSITO REVERSA</v>
      </c>
      <c r="G96" s="23">
        <f>IFERROR(__xludf.DUMMYFUNCTION("""COMPUTED_VALUE"""),45617.87142361111)</f>
        <v>45617.87142</v>
      </c>
      <c r="H96" s="24" t="str">
        <f>IFERROR(VLOOKUP(B96,material!A:D,3,0),"")</f>
        <v>CARD</v>
      </c>
    </row>
    <row r="97" ht="11.25" customHeight="1">
      <c r="A97" s="21" t="str">
        <f>IFERROR(__xludf.DUMMYFUNCTION("""COMPUTED_VALUE"""),"SMART CARD PRETO NAGRA")</f>
        <v>SMART CARD PRETO NAGRA</v>
      </c>
      <c r="B97" s="22">
        <f>IFERROR(__xludf.DUMMYFUNCTION("""COMPUTED_VALUE"""),4.1001234E7)</f>
        <v>41001234</v>
      </c>
      <c r="C97" s="21" t="str">
        <f>IFERROR(__xludf.DUMMYFUNCTION("""COMPUTED_VALUE"""),"226311531317")</f>
        <v>226311531317</v>
      </c>
      <c r="D97" s="21" t="str">
        <f>IFERROR(__xludf.DUMMYFUNCTION("""COMPUTED_VALUE"""),"DIGITEC TECNOLOGIA DIGITAL E REPRES")</f>
        <v>DIGITEC TECNOLOGIA DIGITAL E REPRES</v>
      </c>
      <c r="E97" s="21">
        <f>IFERROR(__xludf.DUMMYFUNCTION("""COMPUTED_VALUE"""),145359.0)</f>
        <v>145359</v>
      </c>
      <c r="F97" s="21" t="str">
        <f>IFERROR(__xludf.DUMMYFUNCTION("""COMPUTED_VALUE"""),"TRANSITO REVERSA")</f>
        <v>TRANSITO REVERSA</v>
      </c>
      <c r="G97" s="23">
        <f>IFERROR(__xludf.DUMMYFUNCTION("""COMPUTED_VALUE"""),45633.00533564815)</f>
        <v>45633.00534</v>
      </c>
      <c r="H97" s="24" t="str">
        <f>IFERROR(VLOOKUP(B97,material!A:D,3,0),"")</f>
        <v>CARD</v>
      </c>
    </row>
    <row r="98" ht="11.25" customHeight="1">
      <c r="A98" s="21" t="str">
        <f>IFERROR(__xludf.DUMMYFUNCTION("""COMPUTED_VALUE"""),"SMART CARD LARANJA NAGRA")</f>
        <v>SMART CARD LARANJA NAGRA</v>
      </c>
      <c r="B98" s="22">
        <f>IFERROR(__xludf.DUMMYFUNCTION("""COMPUTED_VALUE"""),4.1001186E7)</f>
        <v>41001186</v>
      </c>
      <c r="C98" s="21" t="str">
        <f>IFERROR(__xludf.DUMMYFUNCTION("""COMPUTED_VALUE"""),"226504506670")</f>
        <v>226504506670</v>
      </c>
      <c r="D98" s="21" t="str">
        <f>IFERROR(__xludf.DUMMYFUNCTION("""COMPUTED_VALUE"""),"DIGITEC TECNOLOGIA DIGITAL E REPRES")</f>
        <v>DIGITEC TECNOLOGIA DIGITAL E REPRES</v>
      </c>
      <c r="E98" s="21">
        <f>IFERROR(__xludf.DUMMYFUNCTION("""COMPUTED_VALUE"""),145359.0)</f>
        <v>145359</v>
      </c>
      <c r="F98" s="21" t="str">
        <f>IFERROR(__xludf.DUMMYFUNCTION("""COMPUTED_VALUE"""),"TRANSITO REVERSA")</f>
        <v>TRANSITO REVERSA</v>
      </c>
      <c r="G98" s="23">
        <f>IFERROR(__xludf.DUMMYFUNCTION("""COMPUTED_VALUE"""),45617.87240740741)</f>
        <v>45617.87241</v>
      </c>
      <c r="H98" s="24" t="str">
        <f>IFERROR(VLOOKUP(B98,material!A:D,3,0),"")</f>
        <v>CARD</v>
      </c>
    </row>
    <row r="99" ht="11.25" customHeight="1">
      <c r="A99" s="21" t="str">
        <f>IFERROR(__xludf.DUMMYFUNCTION("""COMPUTED_VALUE"""),"NAGRA KIT")</f>
        <v>NAGRA KIT</v>
      </c>
      <c r="B99" s="22">
        <f>IFERROR(__xludf.DUMMYFUNCTION("""COMPUTED_VALUE"""),4.1001186E7)</f>
        <v>41001186</v>
      </c>
      <c r="C99" s="21" t="str">
        <f>IFERROR(__xludf.DUMMYFUNCTION("""COMPUTED_VALUE"""),"215474359696")</f>
        <v>215474359696</v>
      </c>
      <c r="D99" s="21" t="str">
        <f>IFERROR(__xludf.DUMMYFUNCTION("""COMPUTED_VALUE"""),"DIGITEC TECNOLOGIA DIGITAL E REPRES")</f>
        <v>DIGITEC TECNOLOGIA DIGITAL E REPRES</v>
      </c>
      <c r="E99" s="21">
        <f>IFERROR(__xludf.DUMMYFUNCTION("""COMPUTED_VALUE"""),145359.0)</f>
        <v>145359</v>
      </c>
      <c r="F99" s="21" t="str">
        <f>IFERROR(__xludf.DUMMYFUNCTION("""COMPUTED_VALUE"""),"TRANSITO REVERSA")</f>
        <v>TRANSITO REVERSA</v>
      </c>
      <c r="G99" s="23">
        <f>IFERROR(__xludf.DUMMYFUNCTION("""COMPUTED_VALUE"""),45633.00340277777)</f>
        <v>45633.0034</v>
      </c>
      <c r="H99" s="24" t="str">
        <f>IFERROR(VLOOKUP(B99,material!A:D,3,0),"")</f>
        <v>CARD</v>
      </c>
    </row>
    <row r="100" ht="11.25" customHeight="1">
      <c r="A100" s="21" t="str">
        <f>IFERROR(__xludf.DUMMYFUNCTION("""COMPUTED_VALUE"""),"DECODER DIGITAL HD DXC5000 2T")</f>
        <v>DECODER DIGITAL HD DXC5000 2T</v>
      </c>
      <c r="B100" s="22">
        <f>IFERROR(__xludf.DUMMYFUNCTION("""COMPUTED_VALUE"""),4.1001277E7)</f>
        <v>41001277</v>
      </c>
      <c r="C100" s="21" t="str">
        <f>IFERROR(__xludf.DUMMYFUNCTION("""COMPUTED_VALUE"""),"216580266269")</f>
        <v>216580266269</v>
      </c>
      <c r="D100" s="21" t="str">
        <f>IFERROR(__xludf.DUMMYFUNCTION("""COMPUTED_VALUE"""),"DIGITEC TECNOLOGIA DIGITAL E REPRES")</f>
        <v>DIGITEC TECNOLOGIA DIGITAL E REPRES</v>
      </c>
      <c r="E100" s="21">
        <f>IFERROR(__xludf.DUMMYFUNCTION("""COMPUTED_VALUE"""),145359.0)</f>
        <v>145359</v>
      </c>
      <c r="F100" s="21" t="str">
        <f>IFERROR(__xludf.DUMMYFUNCTION("""COMPUTED_VALUE"""),"SUSPEITO")</f>
        <v>SUSPEITO</v>
      </c>
      <c r="G100" s="23">
        <f>IFERROR(__xludf.DUMMYFUNCTION("""COMPUTED_VALUE"""),45623.423680555556)</f>
        <v>45623.42368</v>
      </c>
      <c r="H100" s="24" t="str">
        <f>IFERROR(VLOOKUP(B100,material!A:D,3,0),"")</f>
        <v>TOP MIX</v>
      </c>
    </row>
    <row r="101" ht="11.25" customHeight="1">
      <c r="A101" s="21" t="str">
        <f>IFERROR(__xludf.DUMMYFUNCTION("""COMPUTED_VALUE"""),"DECODER DIGITAL HD DXC5000 2T")</f>
        <v>DECODER DIGITAL HD DXC5000 2T</v>
      </c>
      <c r="B101" s="22">
        <f>IFERROR(__xludf.DUMMYFUNCTION("""COMPUTED_VALUE"""),4.1001277E7)</f>
        <v>41001277</v>
      </c>
      <c r="C101" s="21" t="str">
        <f>IFERROR(__xludf.DUMMYFUNCTION("""COMPUTED_VALUE"""),"216331561212")</f>
        <v>216331561212</v>
      </c>
      <c r="D101" s="21" t="str">
        <f>IFERROR(__xludf.DUMMYFUNCTION("""COMPUTED_VALUE"""),"DIGITEC TECNOLOGIA DIGITAL E REPRES")</f>
        <v>DIGITEC TECNOLOGIA DIGITAL E REPRES</v>
      </c>
      <c r="E101" s="21">
        <f>IFERROR(__xludf.DUMMYFUNCTION("""COMPUTED_VALUE"""),145359.0)</f>
        <v>145359</v>
      </c>
      <c r="F101" s="21" t="str">
        <f>IFERROR(__xludf.DUMMYFUNCTION("""COMPUTED_VALUE"""),"INICIALIZADO")</f>
        <v>INICIALIZADO</v>
      </c>
      <c r="G101" s="23">
        <f>IFERROR(__xludf.DUMMYFUNCTION("""COMPUTED_VALUE"""),45498.71035879629)</f>
        <v>45498.71036</v>
      </c>
      <c r="H101" s="24" t="str">
        <f>IFERROR(VLOOKUP(B101,material!A:D,3,0),"")</f>
        <v>TOP MIX</v>
      </c>
    </row>
    <row r="102" ht="11.25" customHeight="1">
      <c r="A102" s="21" t="str">
        <f>IFERROR(__xludf.DUMMYFUNCTION("""COMPUTED_VALUE"""),"DECODER DIGITAL HD HNB100 2T")</f>
        <v>DECODER DIGITAL HD HNB100 2T</v>
      </c>
      <c r="B102" s="22">
        <f>IFERROR(__xludf.DUMMYFUNCTION("""COMPUTED_VALUE"""),4.1001276E7)</f>
        <v>41001276</v>
      </c>
      <c r="C102" s="21" t="str">
        <f>IFERROR(__xludf.DUMMYFUNCTION("""COMPUTED_VALUE"""),"216619886477")</f>
        <v>216619886477</v>
      </c>
      <c r="D102" s="21" t="str">
        <f>IFERROR(__xludf.DUMMYFUNCTION("""COMPUTED_VALUE"""),"DIGITEC TECNOLOGIA DIGITAL E REPRES")</f>
        <v>DIGITEC TECNOLOGIA DIGITAL E REPRES</v>
      </c>
      <c r="E102" s="21">
        <f>IFERROR(__xludf.DUMMYFUNCTION("""COMPUTED_VALUE"""),145359.0)</f>
        <v>145359</v>
      </c>
      <c r="F102" s="21" t="str">
        <f>IFERROR(__xludf.DUMMYFUNCTION("""COMPUTED_VALUE"""),"INICIALIZADO")</f>
        <v>INICIALIZADO</v>
      </c>
      <c r="G102" s="23">
        <f>IFERROR(__xludf.DUMMYFUNCTION("""COMPUTED_VALUE"""),45642.524143518516)</f>
        <v>45642.52414</v>
      </c>
      <c r="H102" s="24" t="str">
        <f>IFERROR(VLOOKUP(B102,material!A:D,3,0),"")</f>
        <v>TOP MIX</v>
      </c>
    </row>
    <row r="103" ht="11.25" customHeight="1">
      <c r="A103" s="21" t="str">
        <f>IFERROR(__xludf.DUMMYFUNCTION("""COMPUTED_VALUE"""),"DECODER DIGITAL HD HNB100 2T")</f>
        <v>DECODER DIGITAL HD HNB100 2T</v>
      </c>
      <c r="B103" s="22">
        <f>IFERROR(__xludf.DUMMYFUNCTION("""COMPUTED_VALUE"""),4.1001276E7)</f>
        <v>41001276</v>
      </c>
      <c r="C103" s="21" t="str">
        <f>IFERROR(__xludf.DUMMYFUNCTION("""COMPUTED_VALUE"""),"216607588587")</f>
        <v>216607588587</v>
      </c>
      <c r="D103" s="21" t="str">
        <f>IFERROR(__xludf.DUMMYFUNCTION("""COMPUTED_VALUE"""),"DIGITEC TECNOLOGIA DIGITAL E REPRES")</f>
        <v>DIGITEC TECNOLOGIA DIGITAL E REPRES</v>
      </c>
      <c r="E103" s="21">
        <f>IFERROR(__xludf.DUMMYFUNCTION("""COMPUTED_VALUE"""),145359.0)</f>
        <v>145359</v>
      </c>
      <c r="F103" s="21" t="str">
        <f>IFERROR(__xludf.DUMMYFUNCTION("""COMPUTED_VALUE"""),"INICIALIZADO")</f>
        <v>INICIALIZADO</v>
      </c>
      <c r="G103" s="23">
        <f>IFERROR(__xludf.DUMMYFUNCTION("""COMPUTED_VALUE"""),45642.524143518516)</f>
        <v>45642.52414</v>
      </c>
      <c r="H103" s="24" t="str">
        <f>IFERROR(VLOOKUP(B103,material!A:D,3,0),"")</f>
        <v>TOP MIX</v>
      </c>
    </row>
    <row r="104" ht="11.25" customHeight="1">
      <c r="A104" s="21" t="str">
        <f>IFERROR(__xludf.DUMMYFUNCTION("""COMPUTED_VALUE"""),"DECODER DIGITAL HD HNB100 2T")</f>
        <v>DECODER DIGITAL HD HNB100 2T</v>
      </c>
      <c r="B104" s="22">
        <f>IFERROR(__xludf.DUMMYFUNCTION("""COMPUTED_VALUE"""),4.1001276E7)</f>
        <v>41001276</v>
      </c>
      <c r="C104" s="21" t="str">
        <f>IFERROR(__xludf.DUMMYFUNCTION("""COMPUTED_VALUE"""),"216518487187")</f>
        <v>216518487187</v>
      </c>
      <c r="D104" s="21" t="str">
        <f>IFERROR(__xludf.DUMMYFUNCTION("""COMPUTED_VALUE"""),"DIGITEC TECNOLOGIA DIGITAL E REPRES")</f>
        <v>DIGITEC TECNOLOGIA DIGITAL E REPRES</v>
      </c>
      <c r="E104" s="21">
        <f>IFERROR(__xludf.DUMMYFUNCTION("""COMPUTED_VALUE"""),145359.0)</f>
        <v>145359</v>
      </c>
      <c r="F104" s="21" t="str">
        <f>IFERROR(__xludf.DUMMYFUNCTION("""COMPUTED_VALUE"""),"INICIALIZADO")</f>
        <v>INICIALIZADO</v>
      </c>
      <c r="G104" s="23">
        <f>IFERROR(__xludf.DUMMYFUNCTION("""COMPUTED_VALUE"""),45635.53508101852)</f>
        <v>45635.53508</v>
      </c>
      <c r="H104" s="24" t="str">
        <f>IFERROR(VLOOKUP(B104,material!A:D,3,0),"")</f>
        <v>TOP MIX</v>
      </c>
    </row>
    <row r="105" ht="11.25" customHeight="1">
      <c r="A105" s="21" t="str">
        <f>IFERROR(__xludf.DUMMYFUNCTION("""COMPUTED_VALUE"""),"DECODER DIGITAL HD HNB100 2T")</f>
        <v>DECODER DIGITAL HD HNB100 2T</v>
      </c>
      <c r="B105" s="22">
        <f>IFERROR(__xludf.DUMMYFUNCTION("""COMPUTED_VALUE"""),4.1001276E7)</f>
        <v>41001276</v>
      </c>
      <c r="C105" s="21" t="str">
        <f>IFERROR(__xludf.DUMMYFUNCTION("""COMPUTED_VALUE"""),"216753241625")</f>
        <v>216753241625</v>
      </c>
      <c r="D105" s="21" t="str">
        <f>IFERROR(__xludf.DUMMYFUNCTION("""COMPUTED_VALUE"""),"DIGITEC TECNOLOGIA DIGITAL E REPRES")</f>
        <v>DIGITEC TECNOLOGIA DIGITAL E REPRES</v>
      </c>
      <c r="E105" s="21">
        <f>IFERROR(__xludf.DUMMYFUNCTION("""COMPUTED_VALUE"""),145359.0)</f>
        <v>145359</v>
      </c>
      <c r="F105" s="21" t="str">
        <f>IFERROR(__xludf.DUMMYFUNCTION("""COMPUTED_VALUE"""),"INICIALIZADO")</f>
        <v>INICIALIZADO</v>
      </c>
      <c r="G105" s="23">
        <f>IFERROR(__xludf.DUMMYFUNCTION("""COMPUTED_VALUE"""),45642.52412037037)</f>
        <v>45642.52412</v>
      </c>
      <c r="H105" s="24" t="str">
        <f>IFERROR(VLOOKUP(B105,material!A:D,3,0),"")</f>
        <v>TOP MIX</v>
      </c>
    </row>
    <row r="106" ht="11.25" customHeight="1">
      <c r="A106" s="21" t="str">
        <f>IFERROR(__xludf.DUMMYFUNCTION("""COMPUTED_VALUE"""),"DECODER DIGITAL HD HNB100 2T")</f>
        <v>DECODER DIGITAL HD HNB100 2T</v>
      </c>
      <c r="B106" s="22">
        <f>IFERROR(__xludf.DUMMYFUNCTION("""COMPUTED_VALUE"""),4.1001276E7)</f>
        <v>41001276</v>
      </c>
      <c r="C106" s="21" t="str">
        <f>IFERROR(__xludf.DUMMYFUNCTION("""COMPUTED_VALUE"""),"216754783941")</f>
        <v>216754783941</v>
      </c>
      <c r="D106" s="21" t="str">
        <f>IFERROR(__xludf.DUMMYFUNCTION("""COMPUTED_VALUE"""),"DIGITEC TECNOLOGIA DIGITAL E REPRES")</f>
        <v>DIGITEC TECNOLOGIA DIGITAL E REPRES</v>
      </c>
      <c r="E106" s="21">
        <f>IFERROR(__xludf.DUMMYFUNCTION("""COMPUTED_VALUE"""),145359.0)</f>
        <v>145359</v>
      </c>
      <c r="F106" s="21" t="str">
        <f>IFERROR(__xludf.DUMMYFUNCTION("""COMPUTED_VALUE"""),"INICIALIZADO")</f>
        <v>INICIALIZADO</v>
      </c>
      <c r="G106" s="23">
        <f>IFERROR(__xludf.DUMMYFUNCTION("""COMPUTED_VALUE"""),45635.535)</f>
        <v>45635.535</v>
      </c>
      <c r="H106" s="24" t="str">
        <f>IFERROR(VLOOKUP(B106,material!A:D,3,0),"")</f>
        <v>TOP MIX</v>
      </c>
    </row>
    <row r="107" ht="11.25" customHeight="1">
      <c r="A107" s="21" t="str">
        <f>IFERROR(__xludf.DUMMYFUNCTION("""COMPUTED_VALUE"""),"SMART CARD PRETO NAGRA")</f>
        <v>SMART CARD PRETO NAGRA</v>
      </c>
      <c r="B107" s="22">
        <f>IFERROR(__xludf.DUMMYFUNCTION("""COMPUTED_VALUE"""),4.1001234E7)</f>
        <v>41001234</v>
      </c>
      <c r="C107" s="21" t="str">
        <f>IFERROR(__xludf.DUMMYFUNCTION("""COMPUTED_VALUE"""),"226121972020")</f>
        <v>226121972020</v>
      </c>
      <c r="D107" s="21" t="str">
        <f>IFERROR(__xludf.DUMMYFUNCTION("""COMPUTED_VALUE"""),"DIGITEC TECNOLOGIA DIGITAL E REPRES")</f>
        <v>DIGITEC TECNOLOGIA DIGITAL E REPRES</v>
      </c>
      <c r="E107" s="21">
        <f>IFERROR(__xludf.DUMMYFUNCTION("""COMPUTED_VALUE"""),145359.0)</f>
        <v>145359</v>
      </c>
      <c r="F107" s="21" t="str">
        <f>IFERROR(__xludf.DUMMYFUNCTION("""COMPUTED_VALUE"""),"INICIALIZADO")</f>
        <v>INICIALIZADO</v>
      </c>
      <c r="G107" s="23">
        <f>IFERROR(__xludf.DUMMYFUNCTION("""COMPUTED_VALUE"""),45635.53494212963)</f>
        <v>45635.53494</v>
      </c>
      <c r="H107" s="24" t="str">
        <f>IFERROR(VLOOKUP(B107,material!A:D,3,0),"")</f>
        <v>CARD</v>
      </c>
    </row>
    <row r="108" ht="11.25" customHeight="1">
      <c r="A108" s="21" t="str">
        <f>IFERROR(__xludf.DUMMYFUNCTION("""COMPUTED_VALUE"""),"TECHNICOLOR TC7337NET")</f>
        <v>TECHNICOLOR TC7337NET</v>
      </c>
      <c r="B108" s="22">
        <f>IFERROR(__xludf.DUMMYFUNCTION("""COMPUTED_VALUE"""),4.1001294E7)</f>
        <v>41001294</v>
      </c>
      <c r="C108" s="21" t="str">
        <f>IFERROR(__xludf.DUMMYFUNCTION("""COMPUTED_VALUE"""),"A456CCDFF0E7")</f>
        <v>A456CCDFF0E7</v>
      </c>
      <c r="D108" s="21" t="str">
        <f>IFERROR(__xludf.DUMMYFUNCTION("""COMPUTED_VALUE"""),"DIGITEC TECNOLOGIA DIGITAL E REPRES")</f>
        <v>DIGITEC TECNOLOGIA DIGITAL E REPRES</v>
      </c>
      <c r="E108" s="21">
        <f>IFERROR(__xludf.DUMMYFUNCTION("""COMPUTED_VALUE"""),145359.0)</f>
        <v>145359</v>
      </c>
      <c r="F108" s="21" t="str">
        <f>IFERROR(__xludf.DUMMYFUNCTION("""COMPUTED_VALUE"""),"INICIALIZADO")</f>
        <v>INICIALIZADO</v>
      </c>
      <c r="G108" s="23">
        <f>IFERROR(__xludf.DUMMYFUNCTION("""COMPUTED_VALUE"""),45618.74476851852)</f>
        <v>45618.74477</v>
      </c>
      <c r="H108" s="24" t="str">
        <f>IFERROR(VLOOKUP(B108,material!A:D,3,0),"")</f>
        <v>DUAL</v>
      </c>
    </row>
    <row r="109" ht="11.25" customHeight="1">
      <c r="A109" s="21" t="str">
        <f>IFERROR(__xludf.DUMMYFUNCTION("""COMPUTED_VALUE"""),"DECODER DIGITAL HD HNB100 2T")</f>
        <v>DECODER DIGITAL HD HNB100 2T</v>
      </c>
      <c r="B109" s="22">
        <f>IFERROR(__xludf.DUMMYFUNCTION("""COMPUTED_VALUE"""),4.1001276E7)</f>
        <v>41001276</v>
      </c>
      <c r="C109" s="21" t="str">
        <f>IFERROR(__xludf.DUMMYFUNCTION("""COMPUTED_VALUE"""),"216562721718")</f>
        <v>216562721718</v>
      </c>
      <c r="D109" s="21" t="str">
        <f>IFERROR(__xludf.DUMMYFUNCTION("""COMPUTED_VALUE"""),"DIGITEC TECNOLOGIA DIGITAL E REPRES")</f>
        <v>DIGITEC TECNOLOGIA DIGITAL E REPRES</v>
      </c>
      <c r="E109" s="21">
        <f>IFERROR(__xludf.DUMMYFUNCTION("""COMPUTED_VALUE"""),145359.0)</f>
        <v>145359</v>
      </c>
      <c r="F109" s="21" t="str">
        <f>IFERROR(__xludf.DUMMYFUNCTION("""COMPUTED_VALUE"""),"INICIALIZADO")</f>
        <v>INICIALIZADO</v>
      </c>
      <c r="G109" s="23">
        <f>IFERROR(__xludf.DUMMYFUNCTION("""COMPUTED_VALUE"""),45635.53506944445)</f>
        <v>45635.53507</v>
      </c>
      <c r="H109" s="24" t="str">
        <f>IFERROR(VLOOKUP(B109,material!A:D,3,0),"")</f>
        <v>TOP MIX</v>
      </c>
    </row>
    <row r="110" ht="11.25" customHeight="1">
      <c r="A110" s="21" t="str">
        <f>IFERROR(__xludf.DUMMYFUNCTION("""COMPUTED_VALUE"""),"DECODER DIGITAL HD HNB100 2T")</f>
        <v>DECODER DIGITAL HD HNB100 2T</v>
      </c>
      <c r="B110" s="22">
        <f>IFERROR(__xludf.DUMMYFUNCTION("""COMPUTED_VALUE"""),4.1001276E7)</f>
        <v>41001276</v>
      </c>
      <c r="C110" s="21" t="str">
        <f>IFERROR(__xludf.DUMMYFUNCTION("""COMPUTED_VALUE"""),"216617338899")</f>
        <v>216617338899</v>
      </c>
      <c r="D110" s="21" t="str">
        <f>IFERROR(__xludf.DUMMYFUNCTION("""COMPUTED_VALUE"""),"DIGITEC TECNOLOGIA DIGITAL E REPRES")</f>
        <v>DIGITEC TECNOLOGIA DIGITAL E REPRES</v>
      </c>
      <c r="E110" s="21">
        <f>IFERROR(__xludf.DUMMYFUNCTION("""COMPUTED_VALUE"""),145359.0)</f>
        <v>145359</v>
      </c>
      <c r="F110" s="21" t="str">
        <f>IFERROR(__xludf.DUMMYFUNCTION("""COMPUTED_VALUE"""),"INICIALIZADO")</f>
        <v>INICIALIZADO</v>
      </c>
      <c r="G110" s="23">
        <f>IFERROR(__xludf.DUMMYFUNCTION("""COMPUTED_VALUE"""),45635.535057870366)</f>
        <v>45635.53506</v>
      </c>
      <c r="H110" s="24" t="str">
        <f>IFERROR(VLOOKUP(B110,material!A:D,3,0),"")</f>
        <v>TOP MIX</v>
      </c>
    </row>
    <row r="111" ht="11.25" customHeight="1">
      <c r="A111" s="21" t="str">
        <f>IFERROR(__xludf.DUMMYFUNCTION("""COMPUTED_VALUE"""),"DECODER DIGITAL HD HNB100 2T")</f>
        <v>DECODER DIGITAL HD HNB100 2T</v>
      </c>
      <c r="B111" s="22">
        <f>IFERROR(__xludf.DUMMYFUNCTION("""COMPUTED_VALUE"""),4.1001276E7)</f>
        <v>41001276</v>
      </c>
      <c r="C111" s="21" t="str">
        <f>IFERROR(__xludf.DUMMYFUNCTION("""COMPUTED_VALUE"""),"216736072138")</f>
        <v>216736072138</v>
      </c>
      <c r="D111" s="21" t="str">
        <f>IFERROR(__xludf.DUMMYFUNCTION("""COMPUTED_VALUE"""),"DIGITEC TECNOLOGIA DIGITAL E REPRES")</f>
        <v>DIGITEC TECNOLOGIA DIGITAL E REPRES</v>
      </c>
      <c r="E111" s="21">
        <f>IFERROR(__xludf.DUMMYFUNCTION("""COMPUTED_VALUE"""),145359.0)</f>
        <v>145359</v>
      </c>
      <c r="F111" s="21" t="str">
        <f>IFERROR(__xludf.DUMMYFUNCTION("""COMPUTED_VALUE"""),"INICIALIZADO")</f>
        <v>INICIALIZADO</v>
      </c>
      <c r="G111" s="23">
        <f>IFERROR(__xludf.DUMMYFUNCTION("""COMPUTED_VALUE"""),45635.535)</f>
        <v>45635.535</v>
      </c>
      <c r="H111" s="24" t="str">
        <f>IFERROR(VLOOKUP(B111,material!A:D,3,0),"")</f>
        <v>TOP MIX</v>
      </c>
    </row>
    <row r="112" ht="11.25" customHeight="1">
      <c r="A112" s="21" t="str">
        <f>IFERROR(__xludf.DUMMYFUNCTION("""COMPUTED_VALUE"""),"DECODER DIGITAL HD HNB100 2T")</f>
        <v>DECODER DIGITAL HD HNB100 2T</v>
      </c>
      <c r="B112" s="22">
        <f>IFERROR(__xludf.DUMMYFUNCTION("""COMPUTED_VALUE"""),4.1001276E7)</f>
        <v>41001276</v>
      </c>
      <c r="C112" s="21" t="str">
        <f>IFERROR(__xludf.DUMMYFUNCTION("""COMPUTED_VALUE"""),"216752438404")</f>
        <v>216752438404</v>
      </c>
      <c r="D112" s="21" t="str">
        <f>IFERROR(__xludf.DUMMYFUNCTION("""COMPUTED_VALUE"""),"DIGITEC TECNOLOGIA DIGITAL E REPRES")</f>
        <v>DIGITEC TECNOLOGIA DIGITAL E REPRES</v>
      </c>
      <c r="E112" s="21">
        <f>IFERROR(__xludf.DUMMYFUNCTION("""COMPUTED_VALUE"""),145359.0)</f>
        <v>145359</v>
      </c>
      <c r="F112" s="21" t="str">
        <f>IFERROR(__xludf.DUMMYFUNCTION("""COMPUTED_VALUE"""),"INICIALIZADO")</f>
        <v>INICIALIZADO</v>
      </c>
      <c r="G112" s="23">
        <f>IFERROR(__xludf.DUMMYFUNCTION("""COMPUTED_VALUE"""),45642.52412037037)</f>
        <v>45642.52412</v>
      </c>
      <c r="H112" s="24" t="str">
        <f>IFERROR(VLOOKUP(B112,material!A:D,3,0),"")</f>
        <v>TOP MIX</v>
      </c>
    </row>
    <row r="113" ht="11.25" customHeight="1">
      <c r="A113" s="21" t="str">
        <f>IFERROR(__xludf.DUMMYFUNCTION("""COMPUTED_VALUE"""),"DECODER DIGITAL HD HNB100 2T")</f>
        <v>DECODER DIGITAL HD HNB100 2T</v>
      </c>
      <c r="B113" s="22">
        <f>IFERROR(__xludf.DUMMYFUNCTION("""COMPUTED_VALUE"""),4.1001276E7)</f>
        <v>41001276</v>
      </c>
      <c r="C113" s="21" t="str">
        <f>IFERROR(__xludf.DUMMYFUNCTION("""COMPUTED_VALUE"""),"216753609618")</f>
        <v>216753609618</v>
      </c>
      <c r="D113" s="21" t="str">
        <f>IFERROR(__xludf.DUMMYFUNCTION("""COMPUTED_VALUE"""),"DIGITEC TECNOLOGIA DIGITAL E REPRES")</f>
        <v>DIGITEC TECNOLOGIA DIGITAL E REPRES</v>
      </c>
      <c r="E113" s="21">
        <f>IFERROR(__xludf.DUMMYFUNCTION("""COMPUTED_VALUE"""),145359.0)</f>
        <v>145359</v>
      </c>
      <c r="F113" s="21" t="str">
        <f>IFERROR(__xludf.DUMMYFUNCTION("""COMPUTED_VALUE"""),"INICIALIZADO")</f>
        <v>INICIALIZADO</v>
      </c>
      <c r="G113" s="23">
        <f>IFERROR(__xludf.DUMMYFUNCTION("""COMPUTED_VALUE"""),45635.535)</f>
        <v>45635.535</v>
      </c>
      <c r="H113" s="24" t="str">
        <f>IFERROR(VLOOKUP(B113,material!A:D,3,0),"")</f>
        <v>TOP MIX</v>
      </c>
    </row>
    <row r="114" ht="11.25" customHeight="1">
      <c r="A114" s="21" t="str">
        <f>IFERROR(__xludf.DUMMYFUNCTION("""COMPUTED_VALUE"""),"DECODER DIGITAL HD HNB100 2T")</f>
        <v>DECODER DIGITAL HD HNB100 2T</v>
      </c>
      <c r="B114" s="22">
        <f>IFERROR(__xludf.DUMMYFUNCTION("""COMPUTED_VALUE"""),4.1001276E7)</f>
        <v>41001276</v>
      </c>
      <c r="C114" s="21" t="str">
        <f>IFERROR(__xludf.DUMMYFUNCTION("""COMPUTED_VALUE"""),"216815680222")</f>
        <v>216815680222</v>
      </c>
      <c r="D114" s="21" t="str">
        <f>IFERROR(__xludf.DUMMYFUNCTION("""COMPUTED_VALUE"""),"DIGITEC TECNOLOGIA DIGITAL E REPRES")</f>
        <v>DIGITEC TECNOLOGIA DIGITAL E REPRES</v>
      </c>
      <c r="E114" s="21">
        <f>IFERROR(__xludf.DUMMYFUNCTION("""COMPUTED_VALUE"""),145359.0)</f>
        <v>145359</v>
      </c>
      <c r="F114" s="21" t="str">
        <f>IFERROR(__xludf.DUMMYFUNCTION("""COMPUTED_VALUE"""),"INICIALIZADO")</f>
        <v>INICIALIZADO</v>
      </c>
      <c r="G114" s="23">
        <f>IFERROR(__xludf.DUMMYFUNCTION("""COMPUTED_VALUE"""),45635.53502314815)</f>
        <v>45635.53502</v>
      </c>
      <c r="H114" s="24" t="str">
        <f>IFERROR(VLOOKUP(B114,material!A:D,3,0),"")</f>
        <v>TOP MIX</v>
      </c>
    </row>
    <row r="115" ht="11.25" customHeight="1">
      <c r="A115" s="21" t="str">
        <f>IFERROR(__xludf.DUMMYFUNCTION("""COMPUTED_VALUE"""),"DECODER DIGITAL HD HNB100 2T")</f>
        <v>DECODER DIGITAL HD HNB100 2T</v>
      </c>
      <c r="B115" s="22">
        <f>IFERROR(__xludf.DUMMYFUNCTION("""COMPUTED_VALUE"""),4.1001276E7)</f>
        <v>41001276</v>
      </c>
      <c r="C115" s="21" t="str">
        <f>IFERROR(__xludf.DUMMYFUNCTION("""COMPUTED_VALUE"""),"216819601334")</f>
        <v>216819601334</v>
      </c>
      <c r="D115" s="21" t="str">
        <f>IFERROR(__xludf.DUMMYFUNCTION("""COMPUTED_VALUE"""),"DIGITEC TECNOLOGIA DIGITAL E REPRES")</f>
        <v>DIGITEC TECNOLOGIA DIGITAL E REPRES</v>
      </c>
      <c r="E115" s="21">
        <f>IFERROR(__xludf.DUMMYFUNCTION("""COMPUTED_VALUE"""),145359.0)</f>
        <v>145359</v>
      </c>
      <c r="F115" s="21" t="str">
        <f>IFERROR(__xludf.DUMMYFUNCTION("""COMPUTED_VALUE"""),"INICIALIZADO")</f>
        <v>INICIALIZADO</v>
      </c>
      <c r="G115" s="23">
        <f>IFERROR(__xludf.DUMMYFUNCTION("""COMPUTED_VALUE"""),45635.53502314815)</f>
        <v>45635.53502</v>
      </c>
      <c r="H115" s="24" t="str">
        <f>IFERROR(VLOOKUP(B115,material!A:D,3,0),"")</f>
        <v>TOP MIX</v>
      </c>
    </row>
    <row r="116" ht="11.25" customHeight="1">
      <c r="A116" s="21" t="str">
        <f>IFERROR(__xludf.DUMMYFUNCTION("""COMPUTED_VALUE"""),"DECODER DIGITAL HD DXC5000 2T")</f>
        <v>DECODER DIGITAL HD DXC5000 2T</v>
      </c>
      <c r="B116" s="22">
        <f>IFERROR(__xludf.DUMMYFUNCTION("""COMPUTED_VALUE"""),4.1001277E7)</f>
        <v>41001277</v>
      </c>
      <c r="C116" s="21" t="str">
        <f>IFERROR(__xludf.DUMMYFUNCTION("""COMPUTED_VALUE"""),"216579978990")</f>
        <v>216579978990</v>
      </c>
      <c r="D116" s="21" t="str">
        <f>IFERROR(__xludf.DUMMYFUNCTION("""COMPUTED_VALUE"""),"DIGITEC TECNOLOGIA DIGITAL E REPRES")</f>
        <v>DIGITEC TECNOLOGIA DIGITAL E REPRES</v>
      </c>
      <c r="E116" s="21">
        <f>IFERROR(__xludf.DUMMYFUNCTION("""COMPUTED_VALUE"""),145359.0)</f>
        <v>145359</v>
      </c>
      <c r="F116" s="21" t="str">
        <f>IFERROR(__xludf.DUMMYFUNCTION("""COMPUTED_VALUE"""),"TRANSITO REVERSA")</f>
        <v>TRANSITO REVERSA</v>
      </c>
      <c r="G116" s="23">
        <f>IFERROR(__xludf.DUMMYFUNCTION("""COMPUTED_VALUE"""),45610.730416666665)</f>
        <v>45610.73042</v>
      </c>
      <c r="H116" s="24" t="str">
        <f>IFERROR(VLOOKUP(B116,material!A:D,3,0),"")</f>
        <v>TOP MIX</v>
      </c>
    </row>
    <row r="117" ht="11.25" customHeight="1">
      <c r="A117" s="21" t="str">
        <f>IFERROR(__xludf.DUMMYFUNCTION("""COMPUTED_VALUE"""),"SMART CARD PRETO NAGRA")</f>
        <v>SMART CARD PRETO NAGRA</v>
      </c>
      <c r="B117" s="22">
        <f>IFERROR(__xludf.DUMMYFUNCTION("""COMPUTED_VALUE"""),4.1001234E7)</f>
        <v>41001234</v>
      </c>
      <c r="C117" s="21" t="str">
        <f>IFERROR(__xludf.DUMMYFUNCTION("""COMPUTED_VALUE"""),"246082346772")</f>
        <v>246082346772</v>
      </c>
      <c r="D117" s="21" t="str">
        <f>IFERROR(__xludf.DUMMYFUNCTION("""COMPUTED_VALUE"""),"DIGITEC TECNOLOGIA DIGITAL E REPRES")</f>
        <v>DIGITEC TECNOLOGIA DIGITAL E REPRES</v>
      </c>
      <c r="E117" s="21">
        <f>IFERROR(__xludf.DUMMYFUNCTION("""COMPUTED_VALUE"""),145359.0)</f>
        <v>145359</v>
      </c>
      <c r="F117" s="21" t="str">
        <f>IFERROR(__xludf.DUMMYFUNCTION("""COMPUTED_VALUE"""),"TRANSITO REVERSA")</f>
        <v>TRANSITO REVERSA</v>
      </c>
      <c r="G117" s="23">
        <f>IFERROR(__xludf.DUMMYFUNCTION("""COMPUTED_VALUE"""),45617.87142361111)</f>
        <v>45617.87142</v>
      </c>
      <c r="H117" s="24" t="str">
        <f>IFERROR(VLOOKUP(B117,material!A:D,3,0),"")</f>
        <v>CARD</v>
      </c>
    </row>
    <row r="118" ht="11.25" customHeight="1">
      <c r="A118" s="21" t="str">
        <f>IFERROR(__xludf.DUMMYFUNCTION("""COMPUTED_VALUE"""),"SMART CARD PRETO NAGRA")</f>
        <v>SMART CARD PRETO NAGRA</v>
      </c>
      <c r="B118" s="22">
        <f>IFERROR(__xludf.DUMMYFUNCTION("""COMPUTED_VALUE"""),4.1001234E7)</f>
        <v>41001234</v>
      </c>
      <c r="C118" s="21" t="str">
        <f>IFERROR(__xludf.DUMMYFUNCTION("""COMPUTED_VALUE"""),"226329048087")</f>
        <v>226329048087</v>
      </c>
      <c r="D118" s="21" t="str">
        <f>IFERROR(__xludf.DUMMYFUNCTION("""COMPUTED_VALUE"""),"DIGITEC TECNOLOGIA DIGITAL E REPRES")</f>
        <v>DIGITEC TECNOLOGIA DIGITAL E REPRES</v>
      </c>
      <c r="E118" s="21">
        <f>IFERROR(__xludf.DUMMYFUNCTION("""COMPUTED_VALUE"""),145359.0)</f>
        <v>145359</v>
      </c>
      <c r="F118" s="21" t="str">
        <f>IFERROR(__xludf.DUMMYFUNCTION("""COMPUTED_VALUE"""),"INICIALIZADO")</f>
        <v>INICIALIZADO</v>
      </c>
      <c r="G118" s="23">
        <f>IFERROR(__xludf.DUMMYFUNCTION("""COMPUTED_VALUE"""),45642.52412037037)</f>
        <v>45642.52412</v>
      </c>
      <c r="H118" s="24" t="str">
        <f>IFERROR(VLOOKUP(B118,material!A:D,3,0),"")</f>
        <v>CARD</v>
      </c>
    </row>
    <row r="119" ht="11.25" customHeight="1">
      <c r="A119" s="21" t="str">
        <f>IFERROR(__xludf.DUMMYFUNCTION("""COMPUTED_VALUE"""),"SMART CARD PRETO NAGRA")</f>
        <v>SMART CARD PRETO NAGRA</v>
      </c>
      <c r="B119" s="22">
        <f>IFERROR(__xludf.DUMMYFUNCTION("""COMPUTED_VALUE"""),4.1001234E7)</f>
        <v>41001234</v>
      </c>
      <c r="C119" s="21" t="str">
        <f>IFERROR(__xludf.DUMMYFUNCTION("""COMPUTED_VALUE"""),"226392581730")</f>
        <v>226392581730</v>
      </c>
      <c r="D119" s="21" t="str">
        <f>IFERROR(__xludf.DUMMYFUNCTION("""COMPUTED_VALUE"""),"DIGITEC TECNOLOGIA DIGITAL E REPRES")</f>
        <v>DIGITEC TECNOLOGIA DIGITAL E REPRES</v>
      </c>
      <c r="E119" s="21">
        <f>IFERROR(__xludf.DUMMYFUNCTION("""COMPUTED_VALUE"""),145359.0)</f>
        <v>145359</v>
      </c>
      <c r="F119" s="21" t="str">
        <f>IFERROR(__xludf.DUMMYFUNCTION("""COMPUTED_VALUE"""),"INICIALIZADO")</f>
        <v>INICIALIZADO</v>
      </c>
      <c r="G119" s="23">
        <f>IFERROR(__xludf.DUMMYFUNCTION("""COMPUTED_VALUE"""),45635.534953703704)</f>
        <v>45635.53495</v>
      </c>
      <c r="H119" s="24" t="str">
        <f>IFERROR(VLOOKUP(B119,material!A:D,3,0),"")</f>
        <v>CARD</v>
      </c>
    </row>
    <row r="120" ht="11.25" customHeight="1">
      <c r="A120" s="21" t="str">
        <f>IFERROR(__xludf.DUMMYFUNCTION("""COMPUTED_VALUE"""),"SMART CARD PRETO NAGRA")</f>
        <v>SMART CARD PRETO NAGRA</v>
      </c>
      <c r="B120" s="22">
        <f>IFERROR(__xludf.DUMMYFUNCTION("""COMPUTED_VALUE"""),4.1001234E7)</f>
        <v>41001234</v>
      </c>
      <c r="C120" s="21" t="str">
        <f>IFERROR(__xludf.DUMMYFUNCTION("""COMPUTED_VALUE"""),"246007759415")</f>
        <v>246007759415</v>
      </c>
      <c r="D120" s="21" t="str">
        <f>IFERROR(__xludf.DUMMYFUNCTION("""COMPUTED_VALUE"""),"DIGITEC TECNOLOGIA DIGITAL E REPRES")</f>
        <v>DIGITEC TECNOLOGIA DIGITAL E REPRES</v>
      </c>
      <c r="E120" s="21">
        <f>IFERROR(__xludf.DUMMYFUNCTION("""COMPUTED_VALUE"""),145359.0)</f>
        <v>145359</v>
      </c>
      <c r="F120" s="21" t="str">
        <f>IFERROR(__xludf.DUMMYFUNCTION("""COMPUTED_VALUE"""),"INICIALIZADO")</f>
        <v>INICIALIZADO</v>
      </c>
      <c r="G120" s="23">
        <f>IFERROR(__xludf.DUMMYFUNCTION("""COMPUTED_VALUE"""),45642.52410879629)</f>
        <v>45642.52411</v>
      </c>
      <c r="H120" s="24" t="str">
        <f>IFERROR(VLOOKUP(B120,material!A:D,3,0),"")</f>
        <v>CARD</v>
      </c>
    </row>
    <row r="121" ht="11.25" customHeight="1">
      <c r="A121" s="21" t="str">
        <f>IFERROR(__xludf.DUMMYFUNCTION("""COMPUTED_VALUE"""),"DECODER DIGITAL HD DXC5000 2T")</f>
        <v>DECODER DIGITAL HD DXC5000 2T</v>
      </c>
      <c r="B121" s="22">
        <f>IFERROR(__xludf.DUMMYFUNCTION("""COMPUTED_VALUE"""),4.1001277E7)</f>
        <v>41001277</v>
      </c>
      <c r="C121" s="21" t="str">
        <f>IFERROR(__xludf.DUMMYFUNCTION("""COMPUTED_VALUE"""),"216381321826")</f>
        <v>216381321826</v>
      </c>
      <c r="D121" s="21" t="str">
        <f>IFERROR(__xludf.DUMMYFUNCTION("""COMPUTED_VALUE"""),"DIGITEC TECNOLOGIA DIGITAL E REPRES")</f>
        <v>DIGITEC TECNOLOGIA DIGITAL E REPRES</v>
      </c>
      <c r="E121" s="21">
        <f>IFERROR(__xludf.DUMMYFUNCTION("""COMPUTED_VALUE"""),145359.0)</f>
        <v>145359</v>
      </c>
      <c r="F121" s="21" t="str">
        <f>IFERROR(__xludf.DUMMYFUNCTION("""COMPUTED_VALUE"""),"INICIALIZADO")</f>
        <v>INICIALIZADO</v>
      </c>
      <c r="G121" s="23">
        <f>IFERROR(__xludf.DUMMYFUNCTION("""COMPUTED_VALUE"""),45618.65201388889)</f>
        <v>45618.65201</v>
      </c>
      <c r="H121" s="24" t="str">
        <f>IFERROR(VLOOKUP(B121,material!A:D,3,0),"")</f>
        <v>TOP MIX</v>
      </c>
    </row>
    <row r="122" ht="11.25" customHeight="1">
      <c r="A122" s="21" t="str">
        <f>IFERROR(__xludf.DUMMYFUNCTION("""COMPUTED_VALUE"""),"DECODER DIGITAL HD HNB100 2T")</f>
        <v>DECODER DIGITAL HD HNB100 2T</v>
      </c>
      <c r="B122" s="22">
        <f>IFERROR(__xludf.DUMMYFUNCTION("""COMPUTED_VALUE"""),4.1001276E7)</f>
        <v>41001276</v>
      </c>
      <c r="C122" s="21" t="str">
        <f>IFERROR(__xludf.DUMMYFUNCTION("""COMPUTED_VALUE"""),"216631634762")</f>
        <v>216631634762</v>
      </c>
      <c r="D122" s="21" t="str">
        <f>IFERROR(__xludf.DUMMYFUNCTION("""COMPUTED_VALUE"""),"DIGITEC TECNOLOGIA DIGITAL E REPRES")</f>
        <v>DIGITEC TECNOLOGIA DIGITAL E REPRES</v>
      </c>
      <c r="E122" s="21">
        <f>IFERROR(__xludf.DUMMYFUNCTION("""COMPUTED_VALUE"""),145359.0)</f>
        <v>145359</v>
      </c>
      <c r="F122" s="21" t="str">
        <f>IFERROR(__xludf.DUMMYFUNCTION("""COMPUTED_VALUE"""),"INICIALIZADO")</f>
        <v>INICIALIZADO</v>
      </c>
      <c r="G122" s="23">
        <f>IFERROR(__xludf.DUMMYFUNCTION("""COMPUTED_VALUE"""),45635.53506944445)</f>
        <v>45635.53507</v>
      </c>
      <c r="H122" s="24" t="str">
        <f>IFERROR(VLOOKUP(B122,material!A:D,3,0),"")</f>
        <v>TOP MIX</v>
      </c>
    </row>
    <row r="123" ht="11.25" customHeight="1">
      <c r="A123" s="21" t="str">
        <f>IFERROR(__xludf.DUMMYFUNCTION("""COMPUTED_VALUE"""),"DECODER DIGITAL HD HNB100 2T")</f>
        <v>DECODER DIGITAL HD HNB100 2T</v>
      </c>
      <c r="B123" s="22">
        <f>IFERROR(__xludf.DUMMYFUNCTION("""COMPUTED_VALUE"""),4.1001276E7)</f>
        <v>41001276</v>
      </c>
      <c r="C123" s="21" t="str">
        <f>IFERROR(__xludf.DUMMYFUNCTION("""COMPUTED_VALUE"""),"216408104664")</f>
        <v>216408104664</v>
      </c>
      <c r="D123" s="21" t="str">
        <f>IFERROR(__xludf.DUMMYFUNCTION("""COMPUTED_VALUE"""),"DIGITEC TECNOLOGIA DIGITAL E REPRES")</f>
        <v>DIGITEC TECNOLOGIA DIGITAL E REPRES</v>
      </c>
      <c r="E123" s="21">
        <f>IFERROR(__xludf.DUMMYFUNCTION("""COMPUTED_VALUE"""),145359.0)</f>
        <v>145359</v>
      </c>
      <c r="F123" s="21" t="str">
        <f>IFERROR(__xludf.DUMMYFUNCTION("""COMPUTED_VALUE"""),"INICIALIZADO")</f>
        <v>INICIALIZADO</v>
      </c>
      <c r="G123" s="23">
        <f>IFERROR(__xludf.DUMMYFUNCTION("""COMPUTED_VALUE"""),45635.535046296296)</f>
        <v>45635.53505</v>
      </c>
      <c r="H123" s="24" t="str">
        <f>IFERROR(VLOOKUP(B123,material!A:D,3,0),"")</f>
        <v>TOP MIX</v>
      </c>
    </row>
    <row r="124" ht="11.25" customHeight="1">
      <c r="A124" s="21" t="str">
        <f>IFERROR(__xludf.DUMMYFUNCTION("""COMPUTED_VALUE"""),"DECODER DIGITAL HD HNB100 2T")</f>
        <v>DECODER DIGITAL HD HNB100 2T</v>
      </c>
      <c r="B124" s="22">
        <f>IFERROR(__xludf.DUMMYFUNCTION("""COMPUTED_VALUE"""),4.1001276E7)</f>
        <v>41001276</v>
      </c>
      <c r="C124" s="21" t="str">
        <f>IFERROR(__xludf.DUMMYFUNCTION("""COMPUTED_VALUE"""),"216397491328")</f>
        <v>216397491328</v>
      </c>
      <c r="D124" s="21" t="str">
        <f>IFERROR(__xludf.DUMMYFUNCTION("""COMPUTED_VALUE"""),"DIGITEC TECNOLOGIA DIGITAL E REPRES")</f>
        <v>DIGITEC TECNOLOGIA DIGITAL E REPRES</v>
      </c>
      <c r="E124" s="21">
        <f>IFERROR(__xludf.DUMMYFUNCTION("""COMPUTED_VALUE"""),145359.0)</f>
        <v>145359</v>
      </c>
      <c r="F124" s="21" t="str">
        <f>IFERROR(__xludf.DUMMYFUNCTION("""COMPUTED_VALUE"""),"INICIALIZADO")</f>
        <v>INICIALIZADO</v>
      </c>
      <c r="G124" s="23">
        <f>IFERROR(__xludf.DUMMYFUNCTION("""COMPUTED_VALUE"""),45635.53503472223)</f>
        <v>45635.53503</v>
      </c>
      <c r="H124" s="24" t="str">
        <f>IFERROR(VLOOKUP(B124,material!A:D,3,0),"")</f>
        <v>TOP MIX</v>
      </c>
    </row>
    <row r="125" ht="11.25" customHeight="1">
      <c r="A125" s="21" t="str">
        <f>IFERROR(__xludf.DUMMYFUNCTION("""COMPUTED_VALUE"""),"DECODER DIGITAL HD HNB100 2T")</f>
        <v>DECODER DIGITAL HD HNB100 2T</v>
      </c>
      <c r="B125" s="22">
        <f>IFERROR(__xludf.DUMMYFUNCTION("""COMPUTED_VALUE"""),4.1001276E7)</f>
        <v>41001276</v>
      </c>
      <c r="C125" s="21" t="str">
        <f>IFERROR(__xludf.DUMMYFUNCTION("""COMPUTED_VALUE"""),"216698518292")</f>
        <v>216698518292</v>
      </c>
      <c r="D125" s="21" t="str">
        <f>IFERROR(__xludf.DUMMYFUNCTION("""COMPUTED_VALUE"""),"DIGITEC TECNOLOGIA DIGITAL E REPRES")</f>
        <v>DIGITEC TECNOLOGIA DIGITAL E REPRES</v>
      </c>
      <c r="E125" s="21">
        <f>IFERROR(__xludf.DUMMYFUNCTION("""COMPUTED_VALUE"""),145359.0)</f>
        <v>145359</v>
      </c>
      <c r="F125" s="21" t="str">
        <f>IFERROR(__xludf.DUMMYFUNCTION("""COMPUTED_VALUE"""),"INICIALIZADO")</f>
        <v>INICIALIZADO</v>
      </c>
      <c r="G125" s="23">
        <f>IFERROR(__xludf.DUMMYFUNCTION("""COMPUTED_VALUE"""),45635.53501157407)</f>
        <v>45635.53501</v>
      </c>
      <c r="H125" s="24" t="str">
        <f>IFERROR(VLOOKUP(B125,material!A:D,3,0),"")</f>
        <v>TOP MIX</v>
      </c>
    </row>
    <row r="126" ht="11.25" customHeight="1">
      <c r="A126" s="21" t="str">
        <f>IFERROR(__xludf.DUMMYFUNCTION("""COMPUTED_VALUE"""),"DECODER DIGITAL HD HNB100 2T")</f>
        <v>DECODER DIGITAL HD HNB100 2T</v>
      </c>
      <c r="B126" s="22">
        <f>IFERROR(__xludf.DUMMYFUNCTION("""COMPUTED_VALUE"""),4.1001276E7)</f>
        <v>41001276</v>
      </c>
      <c r="C126" s="21" t="str">
        <f>IFERROR(__xludf.DUMMYFUNCTION("""COMPUTED_VALUE"""),"216640034852")</f>
        <v>216640034852</v>
      </c>
      <c r="D126" s="21" t="str">
        <f>IFERROR(__xludf.DUMMYFUNCTION("""COMPUTED_VALUE"""),"DIGITEC TECNOLOGIA DIGITAL E REPRES")</f>
        <v>DIGITEC TECNOLOGIA DIGITAL E REPRES</v>
      </c>
      <c r="E126" s="21">
        <f>IFERROR(__xludf.DUMMYFUNCTION("""COMPUTED_VALUE"""),145359.0)</f>
        <v>145359</v>
      </c>
      <c r="F126" s="21" t="str">
        <f>IFERROR(__xludf.DUMMYFUNCTION("""COMPUTED_VALUE"""),"INICIALIZADO")</f>
        <v>INICIALIZADO</v>
      </c>
      <c r="G126" s="23">
        <f>IFERROR(__xludf.DUMMYFUNCTION("""COMPUTED_VALUE"""),45635.53506944445)</f>
        <v>45635.53507</v>
      </c>
      <c r="H126" s="24" t="str">
        <f>IFERROR(VLOOKUP(B126,material!A:D,3,0),"")</f>
        <v>TOP MIX</v>
      </c>
    </row>
    <row r="127" ht="11.25" customHeight="1">
      <c r="A127" s="21" t="str">
        <f>IFERROR(__xludf.DUMMYFUNCTION("""COMPUTED_VALUE"""),"DECODER DIGITAL HD HNB100 2T")</f>
        <v>DECODER DIGITAL HD HNB100 2T</v>
      </c>
      <c r="B127" s="22">
        <f>IFERROR(__xludf.DUMMYFUNCTION("""COMPUTED_VALUE"""),4.1001276E7)</f>
        <v>41001276</v>
      </c>
      <c r="C127" s="21" t="str">
        <f>IFERROR(__xludf.DUMMYFUNCTION("""COMPUTED_VALUE"""),"216628233252")</f>
        <v>216628233252</v>
      </c>
      <c r="D127" s="21" t="str">
        <f>IFERROR(__xludf.DUMMYFUNCTION("""COMPUTED_VALUE"""),"DIGITEC TECNOLOGIA DIGITAL E REPRES")</f>
        <v>DIGITEC TECNOLOGIA DIGITAL E REPRES</v>
      </c>
      <c r="E127" s="21">
        <f>IFERROR(__xludf.DUMMYFUNCTION("""COMPUTED_VALUE"""),145359.0)</f>
        <v>145359</v>
      </c>
      <c r="F127" s="21" t="str">
        <f>IFERROR(__xludf.DUMMYFUNCTION("""COMPUTED_VALUE"""),"INICIALIZADO")</f>
        <v>INICIALIZADO</v>
      </c>
      <c r="G127" s="23">
        <f>IFERROR(__xludf.DUMMYFUNCTION("""COMPUTED_VALUE"""),45642.52413194445)</f>
        <v>45642.52413</v>
      </c>
      <c r="H127" s="24" t="str">
        <f>IFERROR(VLOOKUP(B127,material!A:D,3,0),"")</f>
        <v>TOP MIX</v>
      </c>
    </row>
    <row r="128" ht="11.25" customHeight="1">
      <c r="A128" s="21" t="str">
        <f>IFERROR(__xludf.DUMMYFUNCTION("""COMPUTED_VALUE"""),"DECODER DIGITAL HD HNB100 2T")</f>
        <v>DECODER DIGITAL HD HNB100 2T</v>
      </c>
      <c r="B128" s="22">
        <f>IFERROR(__xludf.DUMMYFUNCTION("""COMPUTED_VALUE"""),4.1001276E7)</f>
        <v>41001276</v>
      </c>
      <c r="C128" s="21" t="str">
        <f>IFERROR(__xludf.DUMMYFUNCTION("""COMPUTED_VALUE"""),"216862759002")</f>
        <v>216862759002</v>
      </c>
      <c r="D128" s="21" t="str">
        <f>IFERROR(__xludf.DUMMYFUNCTION("""COMPUTED_VALUE"""),"DIGITEC TECNOLOGIA DIGITAL E REPRES")</f>
        <v>DIGITEC TECNOLOGIA DIGITAL E REPRES</v>
      </c>
      <c r="E128" s="21">
        <f>IFERROR(__xludf.DUMMYFUNCTION("""COMPUTED_VALUE"""),145359.0)</f>
        <v>145359</v>
      </c>
      <c r="F128" s="21" t="str">
        <f>IFERROR(__xludf.DUMMYFUNCTION("""COMPUTED_VALUE"""),"INICIALIZADO")</f>
        <v>INICIALIZADO</v>
      </c>
      <c r="G128" s="23">
        <f>IFERROR(__xludf.DUMMYFUNCTION("""COMPUTED_VALUE"""),45635.53502314815)</f>
        <v>45635.53502</v>
      </c>
      <c r="H128" s="24" t="str">
        <f>IFERROR(VLOOKUP(B128,material!A:D,3,0),"")</f>
        <v>TOP MIX</v>
      </c>
    </row>
    <row r="129" ht="11.25" customHeight="1">
      <c r="A129" s="21" t="str">
        <f>IFERROR(__xludf.DUMMYFUNCTION("""COMPUTED_VALUE"""),"DECODER DIGITAL HD HNB100 2T")</f>
        <v>DECODER DIGITAL HD HNB100 2T</v>
      </c>
      <c r="B129" s="22">
        <f>IFERROR(__xludf.DUMMYFUNCTION("""COMPUTED_VALUE"""),4.1001276E7)</f>
        <v>41001276</v>
      </c>
      <c r="C129" s="21" t="str">
        <f>IFERROR(__xludf.DUMMYFUNCTION("""COMPUTED_VALUE"""),"216858663047")</f>
        <v>216858663047</v>
      </c>
      <c r="D129" s="21" t="str">
        <f>IFERROR(__xludf.DUMMYFUNCTION("""COMPUTED_VALUE"""),"DIGITEC TECNOLOGIA DIGITAL E REPRES")</f>
        <v>DIGITEC TECNOLOGIA DIGITAL E REPRES</v>
      </c>
      <c r="E129" s="21">
        <f>IFERROR(__xludf.DUMMYFUNCTION("""COMPUTED_VALUE"""),145359.0)</f>
        <v>145359</v>
      </c>
      <c r="F129" s="21" t="str">
        <f>IFERROR(__xludf.DUMMYFUNCTION("""COMPUTED_VALUE"""),"INICIALIZADO")</f>
        <v>INICIALIZADO</v>
      </c>
      <c r="G129" s="23">
        <f>IFERROR(__xludf.DUMMYFUNCTION("""COMPUTED_VALUE"""),45635.53503472223)</f>
        <v>45635.53503</v>
      </c>
      <c r="H129" s="24" t="str">
        <f>IFERROR(VLOOKUP(B129,material!A:D,3,0),"")</f>
        <v>TOP MIX</v>
      </c>
    </row>
    <row r="130" ht="11.25" customHeight="1">
      <c r="A130" s="21" t="str">
        <f>IFERROR(__xludf.DUMMYFUNCTION("""COMPUTED_VALUE"""),"DECODER DIGITAL HD HNB100 2T")</f>
        <v>DECODER DIGITAL HD HNB100 2T</v>
      </c>
      <c r="B130" s="22">
        <f>IFERROR(__xludf.DUMMYFUNCTION("""COMPUTED_VALUE"""),4.1001276E7)</f>
        <v>41001276</v>
      </c>
      <c r="C130" s="21" t="str">
        <f>IFERROR(__xludf.DUMMYFUNCTION("""COMPUTED_VALUE"""),"216410328999")</f>
        <v>216410328999</v>
      </c>
      <c r="D130" s="21" t="str">
        <f>IFERROR(__xludf.DUMMYFUNCTION("""COMPUTED_VALUE"""),"DIGITEC TECNOLOGIA DIGITAL E REPRES")</f>
        <v>DIGITEC TECNOLOGIA DIGITAL E REPRES</v>
      </c>
      <c r="E130" s="21">
        <f>IFERROR(__xludf.DUMMYFUNCTION("""COMPUTED_VALUE"""),145359.0)</f>
        <v>145359</v>
      </c>
      <c r="F130" s="21" t="str">
        <f>IFERROR(__xludf.DUMMYFUNCTION("""COMPUTED_VALUE"""),"INICIALIZADO")</f>
        <v>INICIALIZADO</v>
      </c>
      <c r="G130" s="23">
        <f>IFERROR(__xludf.DUMMYFUNCTION("""COMPUTED_VALUE"""),45635.535046296296)</f>
        <v>45635.53505</v>
      </c>
      <c r="H130" s="24" t="str">
        <f>IFERROR(VLOOKUP(B130,material!A:D,3,0),"")</f>
        <v>TOP MIX</v>
      </c>
    </row>
    <row r="131" ht="11.25" customHeight="1">
      <c r="A131" s="21" t="str">
        <f>IFERROR(__xludf.DUMMYFUNCTION("""COMPUTED_VALUE"""),"SMART CARD LARANJA")</f>
        <v>SMART CARD LARANJA</v>
      </c>
      <c r="B131" s="22">
        <f>IFERROR(__xludf.DUMMYFUNCTION("""COMPUTED_VALUE"""),4.1001186E7)</f>
        <v>41001186</v>
      </c>
      <c r="C131" s="21" t="str">
        <f>IFERROR(__xludf.DUMMYFUNCTION("""COMPUTED_VALUE"""),"215610056666")</f>
        <v>215610056666</v>
      </c>
      <c r="D131" s="21" t="str">
        <f>IFERROR(__xludf.DUMMYFUNCTION("""COMPUTED_VALUE"""),"DIGITEC TECNOLOGIA DIGITAL E REPRES")</f>
        <v>DIGITEC TECNOLOGIA DIGITAL E REPRES</v>
      </c>
      <c r="E131" s="21">
        <f>IFERROR(__xludf.DUMMYFUNCTION("""COMPUTED_VALUE"""),145359.0)</f>
        <v>145359</v>
      </c>
      <c r="F131" s="21" t="str">
        <f>IFERROR(__xludf.DUMMYFUNCTION("""COMPUTED_VALUE"""),"SUCATA")</f>
        <v>SUCATA</v>
      </c>
      <c r="G131" s="23">
        <f>IFERROR(__xludf.DUMMYFUNCTION("""COMPUTED_VALUE"""),45076.68128472222)</f>
        <v>45076.68128</v>
      </c>
      <c r="H131" s="24" t="str">
        <f>IFERROR(VLOOKUP(B131,material!A:D,3,0),"")</f>
        <v>CARD</v>
      </c>
    </row>
    <row r="132" ht="11.25" customHeight="1">
      <c r="A132" s="21" t="str">
        <f>IFERROR(__xludf.DUMMYFUNCTION("""COMPUTED_VALUE"""),"SMART CARD LARANJA NAGRA")</f>
        <v>SMART CARD LARANJA NAGRA</v>
      </c>
      <c r="B132" s="22">
        <f>IFERROR(__xludf.DUMMYFUNCTION("""COMPUTED_VALUE"""),4.1001186E7)</f>
        <v>41001186</v>
      </c>
      <c r="C132" s="21" t="str">
        <f>IFERROR(__xludf.DUMMYFUNCTION("""COMPUTED_VALUE"""),"215931407074")</f>
        <v>215931407074</v>
      </c>
      <c r="D132" s="21" t="str">
        <f>IFERROR(__xludf.DUMMYFUNCTION("""COMPUTED_VALUE"""),"DIGITEC TECNOLOGIA DIGITAL E REPRES")</f>
        <v>DIGITEC TECNOLOGIA DIGITAL E REPRES</v>
      </c>
      <c r="E132" s="21">
        <f>IFERROR(__xludf.DUMMYFUNCTION("""COMPUTED_VALUE"""),145359.0)</f>
        <v>145359</v>
      </c>
      <c r="F132" s="21" t="str">
        <f>IFERROR(__xludf.DUMMYFUNCTION("""COMPUTED_VALUE"""),"SUCATA")</f>
        <v>SUCATA</v>
      </c>
      <c r="G132" s="23">
        <f>IFERROR(__xludf.DUMMYFUNCTION("""COMPUTED_VALUE"""),45076.73263888889)</f>
        <v>45076.73264</v>
      </c>
      <c r="H132" s="24" t="str">
        <f>IFERROR(VLOOKUP(B132,material!A:D,3,0),"")</f>
        <v>CARD</v>
      </c>
    </row>
    <row r="133" ht="11.25" customHeight="1">
      <c r="A133" s="21" t="str">
        <f>IFERROR(__xludf.DUMMYFUNCTION("""COMPUTED_VALUE"""),"SMART CARD LARANJA NAGRA")</f>
        <v>SMART CARD LARANJA NAGRA</v>
      </c>
      <c r="B133" s="22">
        <f>IFERROR(__xludf.DUMMYFUNCTION("""COMPUTED_VALUE"""),4.1001186E7)</f>
        <v>41001186</v>
      </c>
      <c r="C133" s="21" t="str">
        <f>IFERROR(__xludf.DUMMYFUNCTION("""COMPUTED_VALUE"""),"215701773149")</f>
        <v>215701773149</v>
      </c>
      <c r="D133" s="21" t="str">
        <f>IFERROR(__xludf.DUMMYFUNCTION("""COMPUTED_VALUE"""),"DIGITEC TECNOLOGIA DIGITAL E REPRES")</f>
        <v>DIGITEC TECNOLOGIA DIGITAL E REPRES</v>
      </c>
      <c r="E133" s="21">
        <f>IFERROR(__xludf.DUMMYFUNCTION("""COMPUTED_VALUE"""),145359.0)</f>
        <v>145359</v>
      </c>
      <c r="F133" s="21" t="str">
        <f>IFERROR(__xludf.DUMMYFUNCTION("""COMPUTED_VALUE"""),"SUCATA")</f>
        <v>SUCATA</v>
      </c>
      <c r="G133" s="23">
        <f>IFERROR(__xludf.DUMMYFUNCTION("""COMPUTED_VALUE"""),45075.58660879629)</f>
        <v>45075.58661</v>
      </c>
      <c r="H133" s="24" t="str">
        <f>IFERROR(VLOOKUP(B133,material!A:D,3,0),"")</f>
        <v>CARD</v>
      </c>
    </row>
    <row r="134" ht="11.25" customHeight="1">
      <c r="A134" s="21" t="str">
        <f>IFERROR(__xludf.DUMMYFUNCTION("""COMPUTED_VALUE"""),"DECODER HD DCI738 2T")</f>
        <v>DECODER HD DCI738 2T</v>
      </c>
      <c r="B134" s="22">
        <f>IFERROR(__xludf.DUMMYFUNCTION("""COMPUTED_VALUE"""),4.1001275E7)</f>
        <v>41001275</v>
      </c>
      <c r="C134" s="21" t="str">
        <f>IFERROR(__xludf.DUMMYFUNCTION("""COMPUTED_VALUE"""),"184337741424")</f>
        <v>184337741424</v>
      </c>
      <c r="D134" s="21" t="str">
        <f>IFERROR(__xludf.DUMMYFUNCTION("""COMPUTED_VALUE"""),"DIGITEC TECNOLOGIA DIGITAL E REPRES")</f>
        <v>DIGITEC TECNOLOGIA DIGITAL E REPRES</v>
      </c>
      <c r="E134" s="21">
        <f>IFERROR(__xludf.DUMMYFUNCTION("""COMPUTED_VALUE"""),145359.0)</f>
        <v>145359</v>
      </c>
      <c r="F134" s="21" t="str">
        <f>IFERROR(__xludf.DUMMYFUNCTION("""COMPUTED_VALUE"""),"TRANSITO REVERSA")</f>
        <v>TRANSITO REVERSA</v>
      </c>
      <c r="G134" s="23">
        <f>IFERROR(__xludf.DUMMYFUNCTION("""COMPUTED_VALUE"""),45638.52060185185)</f>
        <v>45638.5206</v>
      </c>
      <c r="H134" s="24" t="str">
        <f>IFERROR(VLOOKUP(B134,material!A:D,3,0),"")</f>
        <v>TOP MIX</v>
      </c>
    </row>
    <row r="135" ht="11.25" customHeight="1">
      <c r="A135" s="21" t="str">
        <f>IFERROR(__xludf.DUMMYFUNCTION("""COMPUTED_VALUE"""),"SMART CARD LARANJA NAGRA")</f>
        <v>SMART CARD LARANJA NAGRA</v>
      </c>
      <c r="B135" s="22">
        <f>IFERROR(__xludf.DUMMYFUNCTION("""COMPUTED_VALUE"""),4.1001186E7)</f>
        <v>41001186</v>
      </c>
      <c r="C135" s="21" t="str">
        <f>IFERROR(__xludf.DUMMYFUNCTION("""COMPUTED_VALUE"""),"226529160615")</f>
        <v>226529160615</v>
      </c>
      <c r="D135" s="21" t="str">
        <f>IFERROR(__xludf.DUMMYFUNCTION("""COMPUTED_VALUE"""),"DIGITEC TECNOLOGIA DIGITAL E REPRES")</f>
        <v>DIGITEC TECNOLOGIA DIGITAL E REPRES</v>
      </c>
      <c r="E135" s="21">
        <f>IFERROR(__xludf.DUMMYFUNCTION("""COMPUTED_VALUE"""),145359.0)</f>
        <v>145359</v>
      </c>
      <c r="F135" s="21" t="str">
        <f>IFERROR(__xludf.DUMMYFUNCTION("""COMPUTED_VALUE"""),"TRANSITO REVERSA")</f>
        <v>TRANSITO REVERSA</v>
      </c>
      <c r="G135" s="23">
        <f>IFERROR(__xludf.DUMMYFUNCTION("""COMPUTED_VALUE"""),45638.52111111111)</f>
        <v>45638.52111</v>
      </c>
      <c r="H135" s="24" t="str">
        <f>IFERROR(VLOOKUP(B135,material!A:D,3,0),"")</f>
        <v>CARD</v>
      </c>
    </row>
    <row r="136" ht="11.25" customHeight="1">
      <c r="A136" s="21" t="str">
        <f>IFERROR(__xludf.DUMMYFUNCTION("""COMPUTED_VALUE"""),"SMART CARD LARANJA NAGRA")</f>
        <v>SMART CARD LARANJA NAGRA</v>
      </c>
      <c r="B136" s="22">
        <f>IFERROR(__xludf.DUMMYFUNCTION("""COMPUTED_VALUE"""),4.1001186E7)</f>
        <v>41001186</v>
      </c>
      <c r="C136" s="21" t="str">
        <f>IFERROR(__xludf.DUMMYFUNCTION("""COMPUTED_VALUE"""),"226610204966")</f>
        <v>226610204966</v>
      </c>
      <c r="D136" s="21" t="str">
        <f>IFERROR(__xludf.DUMMYFUNCTION("""COMPUTED_VALUE"""),"DIGITEC TECNOLOGIA DIGITAL E REPRES")</f>
        <v>DIGITEC TECNOLOGIA DIGITAL E REPRES</v>
      </c>
      <c r="E136" s="21">
        <f>IFERROR(__xludf.DUMMYFUNCTION("""COMPUTED_VALUE"""),145359.0)</f>
        <v>145359</v>
      </c>
      <c r="F136" s="21" t="str">
        <f>IFERROR(__xludf.DUMMYFUNCTION("""COMPUTED_VALUE"""),"SUCATA")</f>
        <v>SUCATA</v>
      </c>
      <c r="G136" s="23">
        <f>IFERROR(__xludf.DUMMYFUNCTION("""COMPUTED_VALUE"""),45075.5991087963)</f>
        <v>45075.59911</v>
      </c>
      <c r="H136" s="24" t="str">
        <f>IFERROR(VLOOKUP(B136,material!A:D,3,0),"")</f>
        <v>CARD</v>
      </c>
    </row>
    <row r="137" ht="11.25" customHeight="1">
      <c r="A137" s="21" t="str">
        <f>IFERROR(__xludf.DUMMYFUNCTION("""COMPUTED_VALUE"""),"SMART CARD LARANJA NAGRA")</f>
        <v>SMART CARD LARANJA NAGRA</v>
      </c>
      <c r="B137" s="22">
        <f>IFERROR(__xludf.DUMMYFUNCTION("""COMPUTED_VALUE"""),4.1001186E7)</f>
        <v>41001186</v>
      </c>
      <c r="C137" s="21" t="str">
        <f>IFERROR(__xludf.DUMMYFUNCTION("""COMPUTED_VALUE"""),"226701565476")</f>
        <v>226701565476</v>
      </c>
      <c r="D137" s="21" t="str">
        <f>IFERROR(__xludf.DUMMYFUNCTION("""COMPUTED_VALUE"""),"DIGITEC TECNOLOGIA DIGITAL E REPRES")</f>
        <v>DIGITEC TECNOLOGIA DIGITAL E REPRES</v>
      </c>
      <c r="E137" s="21">
        <f>IFERROR(__xludf.DUMMYFUNCTION("""COMPUTED_VALUE"""),145359.0)</f>
        <v>145359</v>
      </c>
      <c r="F137" s="21" t="str">
        <f>IFERROR(__xludf.DUMMYFUNCTION("""COMPUTED_VALUE"""),"SUCATA")</f>
        <v>SUCATA</v>
      </c>
      <c r="G137" s="23">
        <f>IFERROR(__xludf.DUMMYFUNCTION("""COMPUTED_VALUE"""),45075.51190972222)</f>
        <v>45075.51191</v>
      </c>
      <c r="H137" s="24" t="str">
        <f>IFERROR(VLOOKUP(B137,material!A:D,3,0),"")</f>
        <v>CARD</v>
      </c>
    </row>
    <row r="138" ht="11.25" customHeight="1">
      <c r="A138" s="21" t="str">
        <f>IFERROR(__xludf.DUMMYFUNCTION("""COMPUTED_VALUE"""),"SMART CARD PRETO NAGRA")</f>
        <v>SMART CARD PRETO NAGRA</v>
      </c>
      <c r="B138" s="22">
        <f>IFERROR(__xludf.DUMMYFUNCTION("""COMPUTED_VALUE"""),4.1001234E7)</f>
        <v>41001234</v>
      </c>
      <c r="C138" s="21" t="str">
        <f>IFERROR(__xludf.DUMMYFUNCTION("""COMPUTED_VALUE"""),"226397641528")</f>
        <v>226397641528</v>
      </c>
      <c r="D138" s="21" t="str">
        <f>IFERROR(__xludf.DUMMYFUNCTION("""COMPUTED_VALUE"""),"DIGITEC TECNOLOGIA DIGITAL E REPRES")</f>
        <v>DIGITEC TECNOLOGIA DIGITAL E REPRES</v>
      </c>
      <c r="E138" s="21">
        <f>IFERROR(__xludf.DUMMYFUNCTION("""COMPUTED_VALUE"""),145359.0)</f>
        <v>145359</v>
      </c>
      <c r="F138" s="21" t="str">
        <f>IFERROR(__xludf.DUMMYFUNCTION("""COMPUTED_VALUE"""),"INICIALIZADO")</f>
        <v>INICIALIZADO</v>
      </c>
      <c r="G138" s="23">
        <f>IFERROR(__xludf.DUMMYFUNCTION("""COMPUTED_VALUE"""),45635.534953703704)</f>
        <v>45635.53495</v>
      </c>
      <c r="H138" s="24" t="str">
        <f>IFERROR(VLOOKUP(B138,material!A:D,3,0),"")</f>
        <v>CARD</v>
      </c>
    </row>
    <row r="139" ht="11.25" customHeight="1">
      <c r="A139" s="21" t="str">
        <f>IFERROR(__xludf.DUMMYFUNCTION("""COMPUTED_VALUE"""),"SMART CARD LARANJA NAGRA")</f>
        <v>SMART CARD LARANJA NAGRA</v>
      </c>
      <c r="B139" s="22">
        <f>IFERROR(__xludf.DUMMYFUNCTION("""COMPUTED_VALUE"""),4.1001186E7)</f>
        <v>41001186</v>
      </c>
      <c r="C139" s="21" t="str">
        <f>IFERROR(__xludf.DUMMYFUNCTION("""COMPUTED_VALUE"""),"226671653556")</f>
        <v>226671653556</v>
      </c>
      <c r="D139" s="21" t="str">
        <f>IFERROR(__xludf.DUMMYFUNCTION("""COMPUTED_VALUE"""),"DIGITEC TECNOLOGIA DIGITAL E REPRES")</f>
        <v>DIGITEC TECNOLOGIA DIGITAL E REPRES</v>
      </c>
      <c r="E139" s="21">
        <f>IFERROR(__xludf.DUMMYFUNCTION("""COMPUTED_VALUE"""),145359.0)</f>
        <v>145359</v>
      </c>
      <c r="F139" s="21" t="str">
        <f>IFERROR(__xludf.DUMMYFUNCTION("""COMPUTED_VALUE"""),"SUCATA")</f>
        <v>SUCATA</v>
      </c>
      <c r="G139" s="23">
        <f>IFERROR(__xludf.DUMMYFUNCTION("""COMPUTED_VALUE"""),45075.51189814815)</f>
        <v>45075.5119</v>
      </c>
      <c r="H139" s="24" t="str">
        <f>IFERROR(VLOOKUP(B139,material!A:D,3,0),"")</f>
        <v>CARD</v>
      </c>
    </row>
    <row r="140" ht="11.25" customHeight="1">
      <c r="A140" s="21" t="str">
        <f>IFERROR(__xludf.DUMMYFUNCTION("""COMPUTED_VALUE"""),"DECODER DIGITAL HD HNB100 2T")</f>
        <v>DECODER DIGITAL HD HNB100 2T</v>
      </c>
      <c r="B140" s="22">
        <f>IFERROR(__xludf.DUMMYFUNCTION("""COMPUTED_VALUE"""),4.1001276E7)</f>
        <v>41001276</v>
      </c>
      <c r="C140" s="21" t="str">
        <f>IFERROR(__xludf.DUMMYFUNCTION("""COMPUTED_VALUE"""),"216502179210")</f>
        <v>216502179210</v>
      </c>
      <c r="D140" s="21" t="str">
        <f>IFERROR(__xludf.DUMMYFUNCTION("""COMPUTED_VALUE"""),"DIGITEC TECNOLOGIA DIGITAL E REPRES")</f>
        <v>DIGITEC TECNOLOGIA DIGITAL E REPRES</v>
      </c>
      <c r="E140" s="21">
        <f>IFERROR(__xludf.DUMMYFUNCTION("""COMPUTED_VALUE"""),145359.0)</f>
        <v>145359</v>
      </c>
      <c r="F140" s="21" t="str">
        <f>IFERROR(__xludf.DUMMYFUNCTION("""COMPUTED_VALUE"""),"SUSPEITO")</f>
        <v>SUSPEITO</v>
      </c>
      <c r="G140" s="23">
        <f>IFERROR(__xludf.DUMMYFUNCTION("""COMPUTED_VALUE"""),45603.758518518516)</f>
        <v>45603.75852</v>
      </c>
      <c r="H140" s="24" t="str">
        <f>IFERROR(VLOOKUP(B140,material!A:D,3,0),"")</f>
        <v>TOP MIX</v>
      </c>
    </row>
    <row r="141" ht="11.25" customHeight="1">
      <c r="A141" s="21" t="str">
        <f>IFERROR(__xludf.DUMMYFUNCTION("""COMPUTED_VALUE"""),"DECODER DIGITAL HD DXC5000 2T")</f>
        <v>DECODER DIGITAL HD DXC5000 2T</v>
      </c>
      <c r="B141" s="22">
        <f>IFERROR(__xludf.DUMMYFUNCTION("""COMPUTED_VALUE"""),4.1001277E7)</f>
        <v>41001277</v>
      </c>
      <c r="C141" s="21" t="str">
        <f>IFERROR(__xludf.DUMMYFUNCTION("""COMPUTED_VALUE"""),"216723474163")</f>
        <v>216723474163</v>
      </c>
      <c r="D141" s="21" t="str">
        <f>IFERROR(__xludf.DUMMYFUNCTION("""COMPUTED_VALUE"""),"DIGITEC TECNOLOGIA DIGITAL E REPRES")</f>
        <v>DIGITEC TECNOLOGIA DIGITAL E REPRES</v>
      </c>
      <c r="E141" s="21">
        <f>IFERROR(__xludf.DUMMYFUNCTION("""COMPUTED_VALUE"""),145359.0)</f>
        <v>145359</v>
      </c>
      <c r="F141" s="21" t="str">
        <f>IFERROR(__xludf.DUMMYFUNCTION("""COMPUTED_VALUE"""),"INICIALIZADO")</f>
        <v>INICIALIZADO</v>
      </c>
      <c r="G141" s="23">
        <f>IFERROR(__xludf.DUMMYFUNCTION("""COMPUTED_VALUE"""),45635.30667824074)</f>
        <v>45635.30668</v>
      </c>
      <c r="H141" s="24" t="str">
        <f>IFERROR(VLOOKUP(B141,material!A:D,3,0),"")</f>
        <v>TOP MIX</v>
      </c>
    </row>
    <row r="142" ht="11.25" customHeight="1">
      <c r="A142" s="21" t="str">
        <f>IFERROR(__xludf.DUMMYFUNCTION("""COMPUTED_VALUE"""),"DECODER DIGITAL HD HNB100 2T")</f>
        <v>DECODER DIGITAL HD HNB100 2T</v>
      </c>
      <c r="B142" s="22">
        <f>IFERROR(__xludf.DUMMYFUNCTION("""COMPUTED_VALUE"""),4.1001276E7)</f>
        <v>41001276</v>
      </c>
      <c r="C142" s="21" t="str">
        <f>IFERROR(__xludf.DUMMYFUNCTION("""COMPUTED_VALUE"""),"216615869901")</f>
        <v>216615869901</v>
      </c>
      <c r="D142" s="21" t="str">
        <f>IFERROR(__xludf.DUMMYFUNCTION("""COMPUTED_VALUE"""),"DIGITEC TECNOLOGIA DIGITAL E REPRES")</f>
        <v>DIGITEC TECNOLOGIA DIGITAL E REPRES</v>
      </c>
      <c r="E142" s="21">
        <f>IFERROR(__xludf.DUMMYFUNCTION("""COMPUTED_VALUE"""),145359.0)</f>
        <v>145359</v>
      </c>
      <c r="F142" s="21" t="str">
        <f>IFERROR(__xludf.DUMMYFUNCTION("""COMPUTED_VALUE"""),"INICIALIZADO")</f>
        <v>INICIALIZADO</v>
      </c>
      <c r="G142" s="23">
        <f>IFERROR(__xludf.DUMMYFUNCTION("""COMPUTED_VALUE"""),45642.524143518516)</f>
        <v>45642.52414</v>
      </c>
      <c r="H142" s="24" t="str">
        <f>IFERROR(VLOOKUP(B142,material!A:D,3,0),"")</f>
        <v>TOP MIX</v>
      </c>
    </row>
    <row r="143" ht="11.25" customHeight="1">
      <c r="A143" s="21" t="str">
        <f>IFERROR(__xludf.DUMMYFUNCTION("""COMPUTED_VALUE"""),"DECODER DIGITAL HD HNB100 2T")</f>
        <v>DECODER DIGITAL HD HNB100 2T</v>
      </c>
      <c r="B143" s="22">
        <f>IFERROR(__xludf.DUMMYFUNCTION("""COMPUTED_VALUE"""),4.1001276E7)</f>
        <v>41001276</v>
      </c>
      <c r="C143" s="21" t="str">
        <f>IFERROR(__xludf.DUMMYFUNCTION("""COMPUTED_VALUE"""),"216562446281")</f>
        <v>216562446281</v>
      </c>
      <c r="D143" s="21" t="str">
        <f>IFERROR(__xludf.DUMMYFUNCTION("""COMPUTED_VALUE"""),"DIGITEC TECNOLOGIA DIGITAL E REPRES")</f>
        <v>DIGITEC TECNOLOGIA DIGITAL E REPRES</v>
      </c>
      <c r="E143" s="21">
        <f>IFERROR(__xludf.DUMMYFUNCTION("""COMPUTED_VALUE"""),145359.0)</f>
        <v>145359</v>
      </c>
      <c r="F143" s="21" t="str">
        <f>IFERROR(__xludf.DUMMYFUNCTION("""COMPUTED_VALUE"""),"INICIALIZADO")</f>
        <v>INICIALIZADO</v>
      </c>
      <c r="G143" s="23">
        <f>IFERROR(__xludf.DUMMYFUNCTION("""COMPUTED_VALUE"""),45635.53506944445)</f>
        <v>45635.53507</v>
      </c>
      <c r="H143" s="24" t="str">
        <f>IFERROR(VLOOKUP(B143,material!A:D,3,0),"")</f>
        <v>TOP MIX</v>
      </c>
    </row>
    <row r="144" ht="11.25" customHeight="1">
      <c r="A144" s="21" t="str">
        <f>IFERROR(__xludf.DUMMYFUNCTION("""COMPUTED_VALUE"""),"DECODER DIGITAL HD HNB100 2T")</f>
        <v>DECODER DIGITAL HD HNB100 2T</v>
      </c>
      <c r="B144" s="22">
        <f>IFERROR(__xludf.DUMMYFUNCTION("""COMPUTED_VALUE"""),4.1001276E7)</f>
        <v>41001276</v>
      </c>
      <c r="C144" s="21" t="str">
        <f>IFERROR(__xludf.DUMMYFUNCTION("""COMPUTED_VALUE"""),"216835970608")</f>
        <v>216835970608</v>
      </c>
      <c r="D144" s="21" t="str">
        <f>IFERROR(__xludf.DUMMYFUNCTION("""COMPUTED_VALUE"""),"DIGITEC TECNOLOGIA DIGITAL E REPRES")</f>
        <v>DIGITEC TECNOLOGIA DIGITAL E REPRES</v>
      </c>
      <c r="E144" s="21">
        <f>IFERROR(__xludf.DUMMYFUNCTION("""COMPUTED_VALUE"""),145359.0)</f>
        <v>145359</v>
      </c>
      <c r="F144" s="21" t="str">
        <f>IFERROR(__xludf.DUMMYFUNCTION("""COMPUTED_VALUE"""),"INICIALIZADO")</f>
        <v>INICIALIZADO</v>
      </c>
      <c r="G144" s="23">
        <f>IFERROR(__xludf.DUMMYFUNCTION("""COMPUTED_VALUE"""),45635.53503472223)</f>
        <v>45635.53503</v>
      </c>
      <c r="H144" s="24" t="str">
        <f>IFERROR(VLOOKUP(B144,material!A:D,3,0),"")</f>
        <v>TOP MIX</v>
      </c>
    </row>
    <row r="145" ht="11.25" customHeight="1">
      <c r="A145" s="21" t="str">
        <f>IFERROR(__xludf.DUMMYFUNCTION("""COMPUTED_VALUE"""),"DECODER DIGITAL HD HNB100 2T")</f>
        <v>DECODER DIGITAL HD HNB100 2T</v>
      </c>
      <c r="B145" s="22">
        <f>IFERROR(__xludf.DUMMYFUNCTION("""COMPUTED_VALUE"""),4.1001276E7)</f>
        <v>41001276</v>
      </c>
      <c r="C145" s="21" t="str">
        <f>IFERROR(__xludf.DUMMYFUNCTION("""COMPUTED_VALUE"""),"216857554061")</f>
        <v>216857554061</v>
      </c>
      <c r="D145" s="21" t="str">
        <f>IFERROR(__xludf.DUMMYFUNCTION("""COMPUTED_VALUE"""),"DIGITEC TECNOLOGIA DIGITAL E REPRES")</f>
        <v>DIGITEC TECNOLOGIA DIGITAL E REPRES</v>
      </c>
      <c r="E145" s="21">
        <f>IFERROR(__xludf.DUMMYFUNCTION("""COMPUTED_VALUE"""),145359.0)</f>
        <v>145359</v>
      </c>
      <c r="F145" s="21" t="str">
        <f>IFERROR(__xludf.DUMMYFUNCTION("""COMPUTED_VALUE"""),"INICIALIZADO")</f>
        <v>INICIALIZADO</v>
      </c>
      <c r="G145" s="23">
        <f>IFERROR(__xludf.DUMMYFUNCTION("""COMPUTED_VALUE"""),45635.53503472223)</f>
        <v>45635.53503</v>
      </c>
      <c r="H145" s="24" t="str">
        <f>IFERROR(VLOOKUP(B145,material!A:D,3,0),"")</f>
        <v>TOP MIX</v>
      </c>
    </row>
    <row r="146" ht="11.25" customHeight="1">
      <c r="A146" s="21" t="str">
        <f>IFERROR(__xludf.DUMMYFUNCTION("""COMPUTED_VALUE"""),"SMART CARD PRETO NAGRA")</f>
        <v>SMART CARD PRETO NAGRA</v>
      </c>
      <c r="B146" s="22">
        <f>IFERROR(__xludf.DUMMYFUNCTION("""COMPUTED_VALUE"""),4.1001234E7)</f>
        <v>41001234</v>
      </c>
      <c r="C146" s="21" t="str">
        <f>IFERROR(__xludf.DUMMYFUNCTION("""COMPUTED_VALUE"""),"226348666579")</f>
        <v>226348666579</v>
      </c>
      <c r="D146" s="21" t="str">
        <f>IFERROR(__xludf.DUMMYFUNCTION("""COMPUTED_VALUE"""),"DIGITEC TECNOLOGIA DIGITAL E REPRES")</f>
        <v>DIGITEC TECNOLOGIA DIGITAL E REPRES</v>
      </c>
      <c r="E146" s="21">
        <f>IFERROR(__xludf.DUMMYFUNCTION("""COMPUTED_VALUE"""),145359.0)</f>
        <v>145359</v>
      </c>
      <c r="F146" s="21" t="str">
        <f>IFERROR(__xludf.DUMMYFUNCTION("""COMPUTED_VALUE"""),"INICIALIZADO")</f>
        <v>INICIALIZADO</v>
      </c>
      <c r="G146" s="23">
        <f>IFERROR(__xludf.DUMMYFUNCTION("""COMPUTED_VALUE"""),45594.64797453704)</f>
        <v>45594.64797</v>
      </c>
      <c r="H146" s="24" t="str">
        <f>IFERROR(VLOOKUP(B146,material!A:D,3,0),"")</f>
        <v>CARD</v>
      </c>
    </row>
    <row r="147" ht="11.25" customHeight="1">
      <c r="A147" s="21" t="str">
        <f>IFERROR(__xludf.DUMMYFUNCTION("""COMPUTED_VALUE"""),"TECHNICOLOR TC7337NET")</f>
        <v>TECHNICOLOR TC7337NET</v>
      </c>
      <c r="B147" s="22">
        <f>IFERROR(__xludf.DUMMYFUNCTION("""COMPUTED_VALUE"""),4.1001294E7)</f>
        <v>41001294</v>
      </c>
      <c r="C147" s="21" t="str">
        <f>IFERROR(__xludf.DUMMYFUNCTION("""COMPUTED_VALUE"""),"14B7F88E4854")</f>
        <v>14B7F88E4854</v>
      </c>
      <c r="D147" s="21" t="str">
        <f>IFERROR(__xludf.DUMMYFUNCTION("""COMPUTED_VALUE"""),"DIGITEC TECNOLOGIA DIGITAL E REPRES")</f>
        <v>DIGITEC TECNOLOGIA DIGITAL E REPRES</v>
      </c>
      <c r="E147" s="21">
        <f>IFERROR(__xludf.DUMMYFUNCTION("""COMPUTED_VALUE"""),145359.0)</f>
        <v>145359</v>
      </c>
      <c r="F147" s="21" t="str">
        <f>IFERROR(__xludf.DUMMYFUNCTION("""COMPUTED_VALUE"""),"SUSPEITO")</f>
        <v>SUSPEITO</v>
      </c>
      <c r="G147" s="23">
        <f>IFERROR(__xludf.DUMMYFUNCTION("""COMPUTED_VALUE"""),45639.46570601852)</f>
        <v>45639.46571</v>
      </c>
      <c r="H147" s="24" t="str">
        <f>IFERROR(VLOOKUP(B147,material!A:D,3,0),"")</f>
        <v>DUAL</v>
      </c>
    </row>
    <row r="148" ht="11.25" customHeight="1">
      <c r="A148" s="21" t="str">
        <f>IFERROR(__xludf.DUMMYFUNCTION("""COMPUTED_VALUE"""),"EMTA 3.0 HG100R-L2 HUMAX")</f>
        <v>EMTA 3.0 HG100R-L2 HUMAX</v>
      </c>
      <c r="B148" s="22">
        <f>IFERROR(__xludf.DUMMYFUNCTION("""COMPUTED_VALUE"""),4.1001286E7)</f>
        <v>41001286</v>
      </c>
      <c r="C148" s="21" t="str">
        <f>IFERROR(__xludf.DUMMYFUNCTION("""COMPUTED_VALUE"""),"2832C575590F")</f>
        <v>2832C575590F</v>
      </c>
      <c r="D148" s="21" t="str">
        <f>IFERROR(__xludf.DUMMYFUNCTION("""COMPUTED_VALUE"""),"DIGITEC TECNOLOGIA DIGITAL E REPRES")</f>
        <v>DIGITEC TECNOLOGIA DIGITAL E REPRES</v>
      </c>
      <c r="E148" s="21">
        <f>IFERROR(__xludf.DUMMYFUNCTION("""COMPUTED_VALUE"""),145359.0)</f>
        <v>145359</v>
      </c>
      <c r="F148" s="21" t="str">
        <f>IFERROR(__xludf.DUMMYFUNCTION("""COMPUTED_VALUE"""),"SUSPEITO")</f>
        <v>SUSPEITO</v>
      </c>
      <c r="G148" s="23">
        <f>IFERROR(__xludf.DUMMYFUNCTION("""COMPUTED_VALUE"""),45639.56224537037)</f>
        <v>45639.56225</v>
      </c>
      <c r="H148" s="24" t="str">
        <f>IFERROR(VLOOKUP(B148,material!A:D,3,0),"")</f>
        <v>SINGLE</v>
      </c>
    </row>
    <row r="149" ht="11.25" customHeight="1">
      <c r="A149" s="21" t="str">
        <f>IFERROR(__xludf.DUMMYFUNCTION("""COMPUTED_VALUE"""),"ARRIS TG1692A")</f>
        <v>ARRIS TG1692A</v>
      </c>
      <c r="B149" s="22">
        <f>IFERROR(__xludf.DUMMYFUNCTION("""COMPUTED_VALUE"""),4.1001293E7)</f>
        <v>41001293</v>
      </c>
      <c r="C149" s="21" t="str">
        <f>IFERROR(__xludf.DUMMYFUNCTION("""COMPUTED_VALUE"""),"2C9569F14F14")</f>
        <v>2C9569F14F14</v>
      </c>
      <c r="D149" s="21" t="str">
        <f>IFERROR(__xludf.DUMMYFUNCTION("""COMPUTED_VALUE"""),"DIGITEC TECNOLOGIA DIGITAL E REPRES")</f>
        <v>DIGITEC TECNOLOGIA DIGITAL E REPRES</v>
      </c>
      <c r="E149" s="21">
        <f>IFERROR(__xludf.DUMMYFUNCTION("""COMPUTED_VALUE"""),145359.0)</f>
        <v>145359</v>
      </c>
      <c r="F149" s="21" t="str">
        <f>IFERROR(__xludf.DUMMYFUNCTION("""COMPUTED_VALUE"""),"INICIALIZADO")</f>
        <v>INICIALIZADO</v>
      </c>
      <c r="G149" s="23">
        <f>IFERROR(__xludf.DUMMYFUNCTION("""COMPUTED_VALUE"""),45565.383726851855)</f>
        <v>45565.38373</v>
      </c>
      <c r="H149" s="24" t="str">
        <f>IFERROR(VLOOKUP(B149,material!A:D,3,0),"")</f>
        <v>DUAL</v>
      </c>
    </row>
    <row r="150" ht="11.25" customHeight="1">
      <c r="A150" s="21" t="str">
        <f>IFERROR(__xludf.DUMMYFUNCTION("""COMPUTED_VALUE"""),"DECODER HD DCI738 2T")</f>
        <v>DECODER HD DCI738 2T</v>
      </c>
      <c r="B150" s="22">
        <f>IFERROR(__xludf.DUMMYFUNCTION("""COMPUTED_VALUE"""),4.1001275E7)</f>
        <v>41001275</v>
      </c>
      <c r="C150" s="21" t="str">
        <f>IFERROR(__xludf.DUMMYFUNCTION("""COMPUTED_VALUE"""),"216672959502")</f>
        <v>216672959502</v>
      </c>
      <c r="D150" s="21" t="str">
        <f>IFERROR(__xludf.DUMMYFUNCTION("""COMPUTED_VALUE"""),"DIGITEC TECNOLOGIA DIGITAL E REPRES")</f>
        <v>DIGITEC TECNOLOGIA DIGITAL E REPRES</v>
      </c>
      <c r="E150" s="21">
        <f>IFERROR(__xludf.DUMMYFUNCTION("""COMPUTED_VALUE"""),145359.0)</f>
        <v>145359</v>
      </c>
      <c r="F150" s="21" t="str">
        <f>IFERROR(__xludf.DUMMYFUNCTION("""COMPUTED_VALUE"""),"INICIALIZADO")</f>
        <v>INICIALIZADO</v>
      </c>
      <c r="G150" s="23">
        <f>IFERROR(__xludf.DUMMYFUNCTION("""COMPUTED_VALUE"""),45602.64471064815)</f>
        <v>45602.64471</v>
      </c>
      <c r="H150" s="24" t="str">
        <f>IFERROR(VLOOKUP(B150,material!A:D,3,0),"")</f>
        <v>TOP MIX</v>
      </c>
    </row>
    <row r="151" ht="11.25" customHeight="1">
      <c r="A151" s="21" t="str">
        <f>IFERROR(__xludf.DUMMYFUNCTION("""COMPUTED_VALUE"""),"DECODER DIGITAL HD HNB100 2T")</f>
        <v>DECODER DIGITAL HD HNB100 2T</v>
      </c>
      <c r="B151" s="22">
        <f>IFERROR(__xludf.DUMMYFUNCTION("""COMPUTED_VALUE"""),4.1001276E7)</f>
        <v>41001276</v>
      </c>
      <c r="C151" s="21" t="str">
        <f>IFERROR(__xludf.DUMMYFUNCTION("""COMPUTED_VALUE"""),"216620010710")</f>
        <v>216620010710</v>
      </c>
      <c r="D151" s="21" t="str">
        <f>IFERROR(__xludf.DUMMYFUNCTION("""COMPUTED_VALUE"""),"DIGITEC TECNOLOGIA DIGITAL E REPRES")</f>
        <v>DIGITEC TECNOLOGIA DIGITAL E REPRES</v>
      </c>
      <c r="E151" s="21">
        <f>IFERROR(__xludf.DUMMYFUNCTION("""COMPUTED_VALUE"""),145359.0)</f>
        <v>145359</v>
      </c>
      <c r="F151" s="21" t="str">
        <f>IFERROR(__xludf.DUMMYFUNCTION("""COMPUTED_VALUE"""),"INICIALIZADO")</f>
        <v>INICIALIZADO</v>
      </c>
      <c r="G151" s="23">
        <f>IFERROR(__xludf.DUMMYFUNCTION("""COMPUTED_VALUE"""),45635.53506944445)</f>
        <v>45635.53507</v>
      </c>
      <c r="H151" s="24" t="str">
        <f>IFERROR(VLOOKUP(B151,material!A:D,3,0),"")</f>
        <v>TOP MIX</v>
      </c>
    </row>
    <row r="152" ht="11.25" customHeight="1">
      <c r="A152" s="21" t="str">
        <f>IFERROR(__xludf.DUMMYFUNCTION("""COMPUTED_VALUE"""),"DECODER DIGITAL HD HNB100 2T")</f>
        <v>DECODER DIGITAL HD HNB100 2T</v>
      </c>
      <c r="B152" s="22">
        <f>IFERROR(__xludf.DUMMYFUNCTION("""COMPUTED_VALUE"""),4.1001276E7)</f>
        <v>41001276</v>
      </c>
      <c r="C152" s="21" t="str">
        <f>IFERROR(__xludf.DUMMYFUNCTION("""COMPUTED_VALUE"""),"216561662838")</f>
        <v>216561662838</v>
      </c>
      <c r="D152" s="21" t="str">
        <f>IFERROR(__xludf.DUMMYFUNCTION("""COMPUTED_VALUE"""),"DIGITEC TECNOLOGIA DIGITAL E REPRES")</f>
        <v>DIGITEC TECNOLOGIA DIGITAL E REPRES</v>
      </c>
      <c r="E152" s="21">
        <f>IFERROR(__xludf.DUMMYFUNCTION("""COMPUTED_VALUE"""),145359.0)</f>
        <v>145359</v>
      </c>
      <c r="F152" s="21" t="str">
        <f>IFERROR(__xludf.DUMMYFUNCTION("""COMPUTED_VALUE"""),"INICIALIZADO")</f>
        <v>INICIALIZADO</v>
      </c>
      <c r="G152" s="23">
        <f>IFERROR(__xludf.DUMMYFUNCTION("""COMPUTED_VALUE"""),45635.53506944445)</f>
        <v>45635.53507</v>
      </c>
      <c r="H152" s="24" t="str">
        <f>IFERROR(VLOOKUP(B152,material!A:D,3,0),"")</f>
        <v>TOP MIX</v>
      </c>
    </row>
    <row r="153" ht="11.25" customHeight="1">
      <c r="A153" s="21" t="str">
        <f>IFERROR(__xludf.DUMMYFUNCTION("""COMPUTED_VALUE"""),"DECODER DIGITAL HD HNB100 2T")</f>
        <v>DECODER DIGITAL HD HNB100 2T</v>
      </c>
      <c r="B153" s="22">
        <f>IFERROR(__xludf.DUMMYFUNCTION("""COMPUTED_VALUE"""),4.1001276E7)</f>
        <v>41001276</v>
      </c>
      <c r="C153" s="21" t="str">
        <f>IFERROR(__xludf.DUMMYFUNCTION("""COMPUTED_VALUE"""),"216548725054")</f>
        <v>216548725054</v>
      </c>
      <c r="D153" s="21" t="str">
        <f>IFERROR(__xludf.DUMMYFUNCTION("""COMPUTED_VALUE"""),"DIGITEC TECNOLOGIA DIGITAL E REPRES")</f>
        <v>DIGITEC TECNOLOGIA DIGITAL E REPRES</v>
      </c>
      <c r="E153" s="21">
        <f>IFERROR(__xludf.DUMMYFUNCTION("""COMPUTED_VALUE"""),145359.0)</f>
        <v>145359</v>
      </c>
      <c r="F153" s="21" t="str">
        <f>IFERROR(__xludf.DUMMYFUNCTION("""COMPUTED_VALUE"""),"INICIALIZADO")</f>
        <v>INICIALIZADO</v>
      </c>
      <c r="G153" s="23">
        <f>IFERROR(__xludf.DUMMYFUNCTION("""COMPUTED_VALUE"""),45635.53506944445)</f>
        <v>45635.53507</v>
      </c>
      <c r="H153" s="24" t="str">
        <f>IFERROR(VLOOKUP(B153,material!A:D,3,0),"")</f>
        <v>TOP MIX</v>
      </c>
    </row>
    <row r="154" ht="11.25" customHeight="1">
      <c r="A154" s="21" t="str">
        <f>IFERROR(__xludf.DUMMYFUNCTION("""COMPUTED_VALUE"""),"DECODER DIGITAL HD HNB100 2T")</f>
        <v>DECODER DIGITAL HD HNB100 2T</v>
      </c>
      <c r="B154" s="22">
        <f>IFERROR(__xludf.DUMMYFUNCTION("""COMPUTED_VALUE"""),4.1001276E7)</f>
        <v>41001276</v>
      </c>
      <c r="C154" s="21" t="str">
        <f>IFERROR(__xludf.DUMMYFUNCTION("""COMPUTED_VALUE"""),"216397069816")</f>
        <v>216397069816</v>
      </c>
      <c r="D154" s="21" t="str">
        <f>IFERROR(__xludf.DUMMYFUNCTION("""COMPUTED_VALUE"""),"DIGITEC TECNOLOGIA DIGITAL E REPRES")</f>
        <v>DIGITEC TECNOLOGIA DIGITAL E REPRES</v>
      </c>
      <c r="E154" s="21">
        <f>IFERROR(__xludf.DUMMYFUNCTION("""COMPUTED_VALUE"""),145359.0)</f>
        <v>145359</v>
      </c>
      <c r="F154" s="21" t="str">
        <f>IFERROR(__xludf.DUMMYFUNCTION("""COMPUTED_VALUE"""),"INICIALIZADO")</f>
        <v>INICIALIZADO</v>
      </c>
      <c r="G154" s="23">
        <f>IFERROR(__xludf.DUMMYFUNCTION("""COMPUTED_VALUE"""),45635.53503472223)</f>
        <v>45635.53503</v>
      </c>
      <c r="H154" s="24" t="str">
        <f>IFERROR(VLOOKUP(B154,material!A:D,3,0),"")</f>
        <v>TOP MIX</v>
      </c>
    </row>
    <row r="155" ht="11.25" customHeight="1">
      <c r="A155" s="21" t="str">
        <f>IFERROR(__xludf.DUMMYFUNCTION("""COMPUTED_VALUE"""),"DECODER DIGITAL HD HNB100 2T")</f>
        <v>DECODER DIGITAL HD HNB100 2T</v>
      </c>
      <c r="B155" s="22">
        <f>IFERROR(__xludf.DUMMYFUNCTION("""COMPUTED_VALUE"""),4.1001276E7)</f>
        <v>41001276</v>
      </c>
      <c r="C155" s="21" t="str">
        <f>IFERROR(__xludf.DUMMYFUNCTION("""COMPUTED_VALUE"""),"216702214759")</f>
        <v>216702214759</v>
      </c>
      <c r="D155" s="21" t="str">
        <f>IFERROR(__xludf.DUMMYFUNCTION("""COMPUTED_VALUE"""),"DIGITEC TECNOLOGIA DIGITAL E REPRES")</f>
        <v>DIGITEC TECNOLOGIA DIGITAL E REPRES</v>
      </c>
      <c r="E155" s="21">
        <f>IFERROR(__xludf.DUMMYFUNCTION("""COMPUTED_VALUE"""),145359.0)</f>
        <v>145359</v>
      </c>
      <c r="F155" s="21" t="str">
        <f>IFERROR(__xludf.DUMMYFUNCTION("""COMPUTED_VALUE"""),"INICIALIZADO")</f>
        <v>INICIALIZADO</v>
      </c>
      <c r="G155" s="23">
        <f>IFERROR(__xludf.DUMMYFUNCTION("""COMPUTED_VALUE"""),45635.53501157407)</f>
        <v>45635.53501</v>
      </c>
      <c r="H155" s="24" t="str">
        <f>IFERROR(VLOOKUP(B155,material!A:D,3,0),"")</f>
        <v>TOP MIX</v>
      </c>
    </row>
    <row r="156" ht="11.25" customHeight="1">
      <c r="A156" s="21" t="str">
        <f>IFERROR(__xludf.DUMMYFUNCTION("""COMPUTED_VALUE"""),"DECODER DIGITAL HD HNB100 2T")</f>
        <v>DECODER DIGITAL HD HNB100 2T</v>
      </c>
      <c r="B156" s="22">
        <f>IFERROR(__xludf.DUMMYFUNCTION("""COMPUTED_VALUE"""),4.1001276E7)</f>
        <v>41001276</v>
      </c>
      <c r="C156" s="21" t="str">
        <f>IFERROR(__xludf.DUMMYFUNCTION("""COMPUTED_VALUE"""),"216349110108")</f>
        <v>216349110108</v>
      </c>
      <c r="D156" s="21" t="str">
        <f>IFERROR(__xludf.DUMMYFUNCTION("""COMPUTED_VALUE"""),"DIGITEC TECNOLOGIA DIGITAL E REPRES")</f>
        <v>DIGITEC TECNOLOGIA DIGITAL E REPRES</v>
      </c>
      <c r="E156" s="21">
        <f>IFERROR(__xludf.DUMMYFUNCTION("""COMPUTED_VALUE"""),145359.0)</f>
        <v>145359</v>
      </c>
      <c r="F156" s="21" t="str">
        <f>IFERROR(__xludf.DUMMYFUNCTION("""COMPUTED_VALUE"""),"INICIALIZADO")</f>
        <v>INICIALIZADO</v>
      </c>
      <c r="G156" s="23">
        <f>IFERROR(__xludf.DUMMYFUNCTION("""COMPUTED_VALUE"""),45635.535057870366)</f>
        <v>45635.53506</v>
      </c>
      <c r="H156" s="24" t="str">
        <f>IFERROR(VLOOKUP(B156,material!A:D,3,0),"")</f>
        <v>TOP MIX</v>
      </c>
    </row>
    <row r="157" ht="11.25" customHeight="1">
      <c r="A157" s="21" t="str">
        <f>IFERROR(__xludf.DUMMYFUNCTION("""COMPUTED_VALUE"""),"DECODER DIGITAL HD HNB100 2T")</f>
        <v>DECODER DIGITAL HD HNB100 2T</v>
      </c>
      <c r="B157" s="22">
        <f>IFERROR(__xludf.DUMMYFUNCTION("""COMPUTED_VALUE"""),4.1001276E7)</f>
        <v>41001276</v>
      </c>
      <c r="C157" s="21" t="str">
        <f>IFERROR(__xludf.DUMMYFUNCTION("""COMPUTED_VALUE"""),"216334397784")</f>
        <v>216334397784</v>
      </c>
      <c r="D157" s="21" t="str">
        <f>IFERROR(__xludf.DUMMYFUNCTION("""COMPUTED_VALUE"""),"DIGITEC TECNOLOGIA DIGITAL E REPRES")</f>
        <v>DIGITEC TECNOLOGIA DIGITAL E REPRES</v>
      </c>
      <c r="E157" s="21">
        <f>IFERROR(__xludf.DUMMYFUNCTION("""COMPUTED_VALUE"""),145359.0)</f>
        <v>145359</v>
      </c>
      <c r="F157" s="21" t="str">
        <f>IFERROR(__xludf.DUMMYFUNCTION("""COMPUTED_VALUE"""),"INICIALIZADO")</f>
        <v>INICIALIZADO</v>
      </c>
      <c r="G157" s="23">
        <f>IFERROR(__xludf.DUMMYFUNCTION("""COMPUTED_VALUE"""),45635.535046296296)</f>
        <v>45635.53505</v>
      </c>
      <c r="H157" s="24" t="str">
        <f>IFERROR(VLOOKUP(B157,material!A:D,3,0),"")</f>
        <v>TOP MIX</v>
      </c>
    </row>
    <row r="158" ht="11.25" customHeight="1">
      <c r="A158" s="21" t="str">
        <f>IFERROR(__xludf.DUMMYFUNCTION("""COMPUTED_VALUE"""),"DECODER DIGITAL HD HNB100 2T")</f>
        <v>DECODER DIGITAL HD HNB100 2T</v>
      </c>
      <c r="B158" s="22">
        <f>IFERROR(__xludf.DUMMYFUNCTION("""COMPUTED_VALUE"""),4.1001276E7)</f>
        <v>41001276</v>
      </c>
      <c r="C158" s="21" t="str">
        <f>IFERROR(__xludf.DUMMYFUNCTION("""COMPUTED_VALUE"""),"216349096469")</f>
        <v>216349096469</v>
      </c>
      <c r="D158" s="21" t="str">
        <f>IFERROR(__xludf.DUMMYFUNCTION("""COMPUTED_VALUE"""),"DIGITEC TECNOLOGIA DIGITAL E REPRES")</f>
        <v>DIGITEC TECNOLOGIA DIGITAL E REPRES</v>
      </c>
      <c r="E158" s="21">
        <f>IFERROR(__xludf.DUMMYFUNCTION("""COMPUTED_VALUE"""),145359.0)</f>
        <v>145359</v>
      </c>
      <c r="F158" s="21" t="str">
        <f>IFERROR(__xludf.DUMMYFUNCTION("""COMPUTED_VALUE"""),"INICIALIZADO")</f>
        <v>INICIALIZADO</v>
      </c>
      <c r="G158" s="23">
        <f>IFERROR(__xludf.DUMMYFUNCTION("""COMPUTED_VALUE"""),45635.535057870366)</f>
        <v>45635.53506</v>
      </c>
      <c r="H158" s="24" t="str">
        <f>IFERROR(VLOOKUP(B158,material!A:D,3,0),"")</f>
        <v>TOP MIX</v>
      </c>
    </row>
    <row r="159" ht="11.25" customHeight="1">
      <c r="A159" s="21" t="str">
        <f>IFERROR(__xludf.DUMMYFUNCTION("""COMPUTED_VALUE"""),"DECODER DIGITAL HD HNB100 2T")</f>
        <v>DECODER DIGITAL HD HNB100 2T</v>
      </c>
      <c r="B159" s="22">
        <f>IFERROR(__xludf.DUMMYFUNCTION("""COMPUTED_VALUE"""),4.1001276E7)</f>
        <v>41001276</v>
      </c>
      <c r="C159" s="21" t="str">
        <f>IFERROR(__xludf.DUMMYFUNCTION("""COMPUTED_VALUE"""),"216347565972")</f>
        <v>216347565972</v>
      </c>
      <c r="D159" s="21" t="str">
        <f>IFERROR(__xludf.DUMMYFUNCTION("""COMPUTED_VALUE"""),"DIGITEC TECNOLOGIA DIGITAL E REPRES")</f>
        <v>DIGITEC TECNOLOGIA DIGITAL E REPRES</v>
      </c>
      <c r="E159" s="21">
        <f>IFERROR(__xludf.DUMMYFUNCTION("""COMPUTED_VALUE"""),145359.0)</f>
        <v>145359</v>
      </c>
      <c r="F159" s="21" t="str">
        <f>IFERROR(__xludf.DUMMYFUNCTION("""COMPUTED_VALUE"""),"INICIALIZADO")</f>
        <v>INICIALIZADO</v>
      </c>
      <c r="G159" s="23">
        <f>IFERROR(__xludf.DUMMYFUNCTION("""COMPUTED_VALUE"""),45635.535057870366)</f>
        <v>45635.53506</v>
      </c>
      <c r="H159" s="24" t="str">
        <f>IFERROR(VLOOKUP(B159,material!A:D,3,0),"")</f>
        <v>TOP MIX</v>
      </c>
    </row>
    <row r="160" ht="11.25" customHeight="1">
      <c r="A160" s="21" t="str">
        <f>IFERROR(__xludf.DUMMYFUNCTION("""COMPUTED_VALUE"""),"DECODER DIGITAL HD HNB100 2T")</f>
        <v>DECODER DIGITAL HD HNB100 2T</v>
      </c>
      <c r="B160" s="22">
        <f>IFERROR(__xludf.DUMMYFUNCTION("""COMPUTED_VALUE"""),4.1001276E7)</f>
        <v>41001276</v>
      </c>
      <c r="C160" s="21" t="str">
        <f>IFERROR(__xludf.DUMMYFUNCTION("""COMPUTED_VALUE"""),"216630262945")</f>
        <v>216630262945</v>
      </c>
      <c r="D160" s="21" t="str">
        <f>IFERROR(__xludf.DUMMYFUNCTION("""COMPUTED_VALUE"""),"DIGITEC TECNOLOGIA DIGITAL E REPRES")</f>
        <v>DIGITEC TECNOLOGIA DIGITAL E REPRES</v>
      </c>
      <c r="E160" s="21">
        <f>IFERROR(__xludf.DUMMYFUNCTION("""COMPUTED_VALUE"""),145359.0)</f>
        <v>145359</v>
      </c>
      <c r="F160" s="21" t="str">
        <f>IFERROR(__xludf.DUMMYFUNCTION("""COMPUTED_VALUE"""),"INICIALIZADO")</f>
        <v>INICIALIZADO</v>
      </c>
      <c r="G160" s="23">
        <f>IFERROR(__xludf.DUMMYFUNCTION("""COMPUTED_VALUE"""),45642.52412037037)</f>
        <v>45642.52412</v>
      </c>
      <c r="H160" s="24" t="str">
        <f>IFERROR(VLOOKUP(B160,material!A:D,3,0),"")</f>
        <v>TOP MIX</v>
      </c>
    </row>
    <row r="161" ht="11.25" customHeight="1">
      <c r="A161" s="21" t="str">
        <f>IFERROR(__xludf.DUMMYFUNCTION("""COMPUTED_VALUE"""),"DECODER DIGITAL HD HNB100 2T")</f>
        <v>DECODER DIGITAL HD HNB100 2T</v>
      </c>
      <c r="B161" s="22">
        <f>IFERROR(__xludf.DUMMYFUNCTION("""COMPUTED_VALUE"""),4.1001276E7)</f>
        <v>41001276</v>
      </c>
      <c r="C161" s="21" t="str">
        <f>IFERROR(__xludf.DUMMYFUNCTION("""COMPUTED_VALUE"""),"216543692633")</f>
        <v>216543692633</v>
      </c>
      <c r="D161" s="21" t="str">
        <f>IFERROR(__xludf.DUMMYFUNCTION("""COMPUTED_VALUE"""),"DIGITEC TECNOLOGIA DIGITAL E REPRES")</f>
        <v>DIGITEC TECNOLOGIA DIGITAL E REPRES</v>
      </c>
      <c r="E161" s="21">
        <f>IFERROR(__xludf.DUMMYFUNCTION("""COMPUTED_VALUE"""),145359.0)</f>
        <v>145359</v>
      </c>
      <c r="F161" s="21" t="str">
        <f>IFERROR(__xludf.DUMMYFUNCTION("""COMPUTED_VALUE"""),"INICIALIZADO")</f>
        <v>INICIALIZADO</v>
      </c>
      <c r="G161" s="23">
        <f>IFERROR(__xludf.DUMMYFUNCTION("""COMPUTED_VALUE"""),45373.425578703704)</f>
        <v>45373.42558</v>
      </c>
      <c r="H161" s="24" t="str">
        <f>IFERROR(VLOOKUP(B161,material!A:D,3,0),"")</f>
        <v>TOP MIX</v>
      </c>
    </row>
    <row r="162" ht="11.25" customHeight="1">
      <c r="A162" s="21" t="str">
        <f>IFERROR(__xludf.DUMMYFUNCTION("""COMPUTED_VALUE"""),"DECODER DIGITAL HD HNB100 2T")</f>
        <v>DECODER DIGITAL HD HNB100 2T</v>
      </c>
      <c r="B162" s="22">
        <f>IFERROR(__xludf.DUMMYFUNCTION("""COMPUTED_VALUE"""),4.1001276E7)</f>
        <v>41001276</v>
      </c>
      <c r="C162" s="21" t="str">
        <f>IFERROR(__xludf.DUMMYFUNCTION("""COMPUTED_VALUE"""),"216516475678")</f>
        <v>216516475678</v>
      </c>
      <c r="D162" s="21" t="str">
        <f>IFERROR(__xludf.DUMMYFUNCTION("""COMPUTED_VALUE"""),"DIGITEC TECNOLOGIA DIGITAL E REPRES")</f>
        <v>DIGITEC TECNOLOGIA DIGITAL E REPRES</v>
      </c>
      <c r="E162" s="21">
        <f>IFERROR(__xludf.DUMMYFUNCTION("""COMPUTED_VALUE"""),145359.0)</f>
        <v>145359</v>
      </c>
      <c r="F162" s="21" t="str">
        <f>IFERROR(__xludf.DUMMYFUNCTION("""COMPUTED_VALUE"""),"INICIALIZADO")</f>
        <v>INICIALIZADO</v>
      </c>
      <c r="G162" s="23">
        <f>IFERROR(__xludf.DUMMYFUNCTION("""COMPUTED_VALUE"""),45635.53508101852)</f>
        <v>45635.53508</v>
      </c>
      <c r="H162" s="24" t="str">
        <f>IFERROR(VLOOKUP(B162,material!A:D,3,0),"")</f>
        <v>TOP MIX</v>
      </c>
    </row>
    <row r="163" ht="11.25" customHeight="1">
      <c r="A163" s="21" t="str">
        <f>IFERROR(__xludf.DUMMYFUNCTION("""COMPUTED_VALUE"""),"DECODER DIGITAL HD HNB100 2T")</f>
        <v>DECODER DIGITAL HD HNB100 2T</v>
      </c>
      <c r="B163" s="22">
        <f>IFERROR(__xludf.DUMMYFUNCTION("""COMPUTED_VALUE"""),4.1001276E7)</f>
        <v>41001276</v>
      </c>
      <c r="C163" s="21" t="str">
        <f>IFERROR(__xludf.DUMMYFUNCTION("""COMPUTED_VALUE"""),"216516470224")</f>
        <v>216516470224</v>
      </c>
      <c r="D163" s="21" t="str">
        <f>IFERROR(__xludf.DUMMYFUNCTION("""COMPUTED_VALUE"""),"DIGITEC TECNOLOGIA DIGITAL E REPRES")</f>
        <v>DIGITEC TECNOLOGIA DIGITAL E REPRES</v>
      </c>
      <c r="E163" s="21">
        <f>IFERROR(__xludf.DUMMYFUNCTION("""COMPUTED_VALUE"""),145359.0)</f>
        <v>145359</v>
      </c>
      <c r="F163" s="21" t="str">
        <f>IFERROR(__xludf.DUMMYFUNCTION("""COMPUTED_VALUE"""),"INICIALIZADO")</f>
        <v>INICIALIZADO</v>
      </c>
      <c r="G163" s="23">
        <f>IFERROR(__xludf.DUMMYFUNCTION("""COMPUTED_VALUE"""),45635.53508101852)</f>
        <v>45635.53508</v>
      </c>
      <c r="H163" s="24" t="str">
        <f>IFERROR(VLOOKUP(B163,material!A:D,3,0),"")</f>
        <v>TOP MIX</v>
      </c>
    </row>
    <row r="164" ht="11.25" customHeight="1">
      <c r="A164" s="21" t="str">
        <f>IFERROR(__xludf.DUMMYFUNCTION("""COMPUTED_VALUE"""),"DECODER DIGITAL HD HNB100 2T")</f>
        <v>DECODER DIGITAL HD HNB100 2T</v>
      </c>
      <c r="B164" s="22">
        <f>IFERROR(__xludf.DUMMYFUNCTION("""COMPUTED_VALUE"""),4.1001276E7)</f>
        <v>41001276</v>
      </c>
      <c r="C164" s="21" t="str">
        <f>IFERROR(__xludf.DUMMYFUNCTION("""COMPUTED_VALUE"""),"216515921124")</f>
        <v>216515921124</v>
      </c>
      <c r="D164" s="21" t="str">
        <f>IFERROR(__xludf.DUMMYFUNCTION("""COMPUTED_VALUE"""),"DIGITEC TECNOLOGIA DIGITAL E REPRES")</f>
        <v>DIGITEC TECNOLOGIA DIGITAL E REPRES</v>
      </c>
      <c r="E164" s="21">
        <f>IFERROR(__xludf.DUMMYFUNCTION("""COMPUTED_VALUE"""),145359.0)</f>
        <v>145359</v>
      </c>
      <c r="F164" s="21" t="str">
        <f>IFERROR(__xludf.DUMMYFUNCTION("""COMPUTED_VALUE"""),"INICIALIZADO")</f>
        <v>INICIALIZADO</v>
      </c>
      <c r="G164" s="23">
        <f>IFERROR(__xludf.DUMMYFUNCTION("""COMPUTED_VALUE"""),45642.524143518516)</f>
        <v>45642.52414</v>
      </c>
      <c r="H164" s="24" t="str">
        <f>IFERROR(VLOOKUP(B164,material!A:D,3,0),"")</f>
        <v>TOP MIX</v>
      </c>
    </row>
    <row r="165" ht="11.25" customHeight="1">
      <c r="A165" s="21" t="str">
        <f>IFERROR(__xludf.DUMMYFUNCTION("""COMPUTED_VALUE"""),"DECODER DIGITAL HD HNB100 2T")</f>
        <v>DECODER DIGITAL HD HNB100 2T</v>
      </c>
      <c r="B165" s="22">
        <f>IFERROR(__xludf.DUMMYFUNCTION("""COMPUTED_VALUE"""),4.1001276E7)</f>
        <v>41001276</v>
      </c>
      <c r="C165" s="21" t="str">
        <f>IFERROR(__xludf.DUMMYFUNCTION("""COMPUTED_VALUE"""),"216857669807")</f>
        <v>216857669807</v>
      </c>
      <c r="D165" s="21" t="str">
        <f>IFERROR(__xludf.DUMMYFUNCTION("""COMPUTED_VALUE"""),"DIGITEC TECNOLOGIA DIGITAL E REPRES")</f>
        <v>DIGITEC TECNOLOGIA DIGITAL E REPRES</v>
      </c>
      <c r="E165" s="21">
        <f>IFERROR(__xludf.DUMMYFUNCTION("""COMPUTED_VALUE"""),145359.0)</f>
        <v>145359</v>
      </c>
      <c r="F165" s="21" t="str">
        <f>IFERROR(__xludf.DUMMYFUNCTION("""COMPUTED_VALUE"""),"INICIALIZADO")</f>
        <v>INICIALIZADO</v>
      </c>
      <c r="G165" s="23">
        <f>IFERROR(__xludf.DUMMYFUNCTION("""COMPUTED_VALUE"""),45642.52413194445)</f>
        <v>45642.52413</v>
      </c>
      <c r="H165" s="24" t="str">
        <f>IFERROR(VLOOKUP(B165,material!A:D,3,0),"")</f>
        <v>TOP MIX</v>
      </c>
    </row>
    <row r="166" ht="11.25" customHeight="1">
      <c r="A166" s="21" t="str">
        <f>IFERROR(__xludf.DUMMYFUNCTION("""COMPUTED_VALUE"""),"DECODER DIGITAL HD HNB100 2T")</f>
        <v>DECODER DIGITAL HD HNB100 2T</v>
      </c>
      <c r="B166" s="22">
        <f>IFERROR(__xludf.DUMMYFUNCTION("""COMPUTED_VALUE"""),4.1001276E7)</f>
        <v>41001276</v>
      </c>
      <c r="C166" s="21" t="str">
        <f>IFERROR(__xludf.DUMMYFUNCTION("""COMPUTED_VALUE"""),"216838586373")</f>
        <v>216838586373</v>
      </c>
      <c r="D166" s="21" t="str">
        <f>IFERROR(__xludf.DUMMYFUNCTION("""COMPUTED_VALUE"""),"DIGITEC TECNOLOGIA DIGITAL E REPRES")</f>
        <v>DIGITEC TECNOLOGIA DIGITAL E REPRES</v>
      </c>
      <c r="E166" s="21">
        <f>IFERROR(__xludf.DUMMYFUNCTION("""COMPUTED_VALUE"""),145359.0)</f>
        <v>145359</v>
      </c>
      <c r="F166" s="21" t="str">
        <f>IFERROR(__xludf.DUMMYFUNCTION("""COMPUTED_VALUE"""),"INICIALIZADO")</f>
        <v>INICIALIZADO</v>
      </c>
      <c r="G166" s="23">
        <f>IFERROR(__xludf.DUMMYFUNCTION("""COMPUTED_VALUE"""),45642.52413194445)</f>
        <v>45642.52413</v>
      </c>
      <c r="H166" s="24" t="str">
        <f>IFERROR(VLOOKUP(B166,material!A:D,3,0),"")</f>
        <v>TOP MIX</v>
      </c>
    </row>
    <row r="167" ht="11.25" customHeight="1">
      <c r="A167" s="21" t="str">
        <f>IFERROR(__xludf.DUMMYFUNCTION("""COMPUTED_VALUE"""),"DECODER DIGITAL HD HNB100 2T")</f>
        <v>DECODER DIGITAL HD HNB100 2T</v>
      </c>
      <c r="B167" s="22">
        <f>IFERROR(__xludf.DUMMYFUNCTION("""COMPUTED_VALUE"""),4.1001276E7)</f>
        <v>41001276</v>
      </c>
      <c r="C167" s="21" t="str">
        <f>IFERROR(__xludf.DUMMYFUNCTION("""COMPUTED_VALUE"""),"216505293139")</f>
        <v>216505293139</v>
      </c>
      <c r="D167" s="21" t="str">
        <f>IFERROR(__xludf.DUMMYFUNCTION("""COMPUTED_VALUE"""),"DIGITEC TECNOLOGIA DIGITAL E REPRES")</f>
        <v>DIGITEC TECNOLOGIA DIGITAL E REPRES</v>
      </c>
      <c r="E167" s="21">
        <f>IFERROR(__xludf.DUMMYFUNCTION("""COMPUTED_VALUE"""),145359.0)</f>
        <v>145359</v>
      </c>
      <c r="F167" s="21" t="str">
        <f>IFERROR(__xludf.DUMMYFUNCTION("""COMPUTED_VALUE"""),"INICIALIZADO")</f>
        <v>INICIALIZADO</v>
      </c>
      <c r="G167" s="23">
        <f>IFERROR(__xludf.DUMMYFUNCTION("""COMPUTED_VALUE"""),45642.524143518516)</f>
        <v>45642.52414</v>
      </c>
      <c r="H167" s="24" t="str">
        <f>IFERROR(VLOOKUP(B167,material!A:D,3,0),"")</f>
        <v>TOP MIX</v>
      </c>
    </row>
    <row r="168" ht="11.25" customHeight="1">
      <c r="A168" s="21" t="str">
        <f>IFERROR(__xludf.DUMMYFUNCTION("""COMPUTED_VALUE"""),"SMART CARD PRETO NAGRA")</f>
        <v>SMART CARD PRETO NAGRA</v>
      </c>
      <c r="B168" s="22">
        <f>IFERROR(__xludf.DUMMYFUNCTION("""COMPUTED_VALUE"""),4.1001234E7)</f>
        <v>41001234</v>
      </c>
      <c r="C168" s="21" t="str">
        <f>IFERROR(__xludf.DUMMYFUNCTION("""COMPUTED_VALUE"""),"226230153139")</f>
        <v>226230153139</v>
      </c>
      <c r="D168" s="21" t="str">
        <f>IFERROR(__xludf.DUMMYFUNCTION("""COMPUTED_VALUE"""),"DIGITEC TECNOLOGIA DIGITAL E REPRES")</f>
        <v>DIGITEC TECNOLOGIA DIGITAL E REPRES</v>
      </c>
      <c r="E168" s="21">
        <f>IFERROR(__xludf.DUMMYFUNCTION("""COMPUTED_VALUE"""),145359.0)</f>
        <v>145359</v>
      </c>
      <c r="F168" s="21" t="str">
        <f>IFERROR(__xludf.DUMMYFUNCTION("""COMPUTED_VALUE"""),"INICIALIZADO")</f>
        <v>INICIALIZADO</v>
      </c>
      <c r="G168" s="23">
        <f>IFERROR(__xludf.DUMMYFUNCTION("""COMPUTED_VALUE"""),45618.65202546296)</f>
        <v>45618.65203</v>
      </c>
      <c r="H168" s="24" t="str">
        <f>IFERROR(VLOOKUP(B168,material!A:D,3,0),"")</f>
        <v>CARD</v>
      </c>
    </row>
    <row r="169" ht="11.25" customHeight="1">
      <c r="A169" s="21" t="str">
        <f>IFERROR(__xludf.DUMMYFUNCTION("""COMPUTED_VALUE"""),"SMART CARD PRETO NAGRA")</f>
        <v>SMART CARD PRETO NAGRA</v>
      </c>
      <c r="B169" s="22">
        <f>IFERROR(__xludf.DUMMYFUNCTION("""COMPUTED_VALUE"""),4.1001234E7)</f>
        <v>41001234</v>
      </c>
      <c r="C169" s="21" t="str">
        <f>IFERROR(__xludf.DUMMYFUNCTION("""COMPUTED_VALUE"""),"246045694464")</f>
        <v>246045694464</v>
      </c>
      <c r="D169" s="21" t="str">
        <f>IFERROR(__xludf.DUMMYFUNCTION("""COMPUTED_VALUE"""),"DIGITEC TECNOLOGIA DIGITAL E REPRES")</f>
        <v>DIGITEC TECNOLOGIA DIGITAL E REPRES</v>
      </c>
      <c r="E169" s="21">
        <f>IFERROR(__xludf.DUMMYFUNCTION("""COMPUTED_VALUE"""),145359.0)</f>
        <v>145359</v>
      </c>
      <c r="F169" s="21" t="str">
        <f>IFERROR(__xludf.DUMMYFUNCTION("""COMPUTED_VALUE"""),"INICIALIZADO")</f>
        <v>INICIALIZADO</v>
      </c>
      <c r="G169" s="23">
        <f>IFERROR(__xludf.DUMMYFUNCTION("""COMPUTED_VALUE"""),45618.65201388889)</f>
        <v>45618.65201</v>
      </c>
      <c r="H169" s="24" t="str">
        <f>IFERROR(VLOOKUP(B169,material!A:D,3,0),"")</f>
        <v>CARD</v>
      </c>
    </row>
    <row r="170" ht="11.25" customHeight="1">
      <c r="A170" s="21" t="str">
        <f>IFERROR(__xludf.DUMMYFUNCTION("""COMPUTED_VALUE"""),"SMART CARD PRETO NAGRA")</f>
        <v>SMART CARD PRETO NAGRA</v>
      </c>
      <c r="B170" s="22">
        <f>IFERROR(__xludf.DUMMYFUNCTION("""COMPUTED_VALUE"""),4.1001234E7)</f>
        <v>41001234</v>
      </c>
      <c r="C170" s="21" t="str">
        <f>IFERROR(__xludf.DUMMYFUNCTION("""COMPUTED_VALUE"""),"226157326379")</f>
        <v>226157326379</v>
      </c>
      <c r="D170" s="21" t="str">
        <f>IFERROR(__xludf.DUMMYFUNCTION("""COMPUTED_VALUE"""),"DIGITEC TECNOLOGIA DIGITAL E REPRES")</f>
        <v>DIGITEC TECNOLOGIA DIGITAL E REPRES</v>
      </c>
      <c r="E170" s="21">
        <f>IFERROR(__xludf.DUMMYFUNCTION("""COMPUTED_VALUE"""),145359.0)</f>
        <v>145359</v>
      </c>
      <c r="F170" s="21" t="str">
        <f>IFERROR(__xludf.DUMMYFUNCTION("""COMPUTED_VALUE"""),"INICIALIZADO")</f>
        <v>INICIALIZADO</v>
      </c>
      <c r="G170" s="23">
        <f>IFERROR(__xludf.DUMMYFUNCTION("""COMPUTED_VALUE"""),45594.64796296296)</f>
        <v>45594.64796</v>
      </c>
      <c r="H170" s="24" t="str">
        <f>IFERROR(VLOOKUP(B170,material!A:D,3,0),"")</f>
        <v>CARD</v>
      </c>
    </row>
    <row r="171" ht="11.25" customHeight="1">
      <c r="A171" s="21" t="str">
        <f>IFERROR(__xludf.DUMMYFUNCTION("""COMPUTED_VALUE"""),"SMART CARD PRETO NAGRA")</f>
        <v>SMART CARD PRETO NAGRA</v>
      </c>
      <c r="B171" s="22">
        <f>IFERROR(__xludf.DUMMYFUNCTION("""COMPUTED_VALUE"""),4.1001234E7)</f>
        <v>41001234</v>
      </c>
      <c r="C171" s="21" t="str">
        <f>IFERROR(__xludf.DUMMYFUNCTION("""COMPUTED_VALUE"""),"246302836282")</f>
        <v>246302836282</v>
      </c>
      <c r="D171" s="21" t="str">
        <f>IFERROR(__xludf.DUMMYFUNCTION("""COMPUTED_VALUE"""),"DIGITEC TECNOLOGIA DIGITAL E REPRES")</f>
        <v>DIGITEC TECNOLOGIA DIGITAL E REPRES</v>
      </c>
      <c r="E171" s="21">
        <f>IFERROR(__xludf.DUMMYFUNCTION("""COMPUTED_VALUE"""),145359.0)</f>
        <v>145359</v>
      </c>
      <c r="F171" s="21" t="str">
        <f>IFERROR(__xludf.DUMMYFUNCTION("""COMPUTED_VALUE"""),"INICIALIZADO")</f>
        <v>INICIALIZADO</v>
      </c>
      <c r="G171" s="23">
        <f>IFERROR(__xludf.DUMMYFUNCTION("""COMPUTED_VALUE"""),45642.52410879629)</f>
        <v>45642.52411</v>
      </c>
      <c r="H171" s="24" t="str">
        <f>IFERROR(VLOOKUP(B171,material!A:D,3,0),"")</f>
        <v>CARD</v>
      </c>
    </row>
    <row r="172" ht="11.25" customHeight="1">
      <c r="A172" s="21" t="str">
        <f>IFERROR(__xludf.DUMMYFUNCTION("""COMPUTED_VALUE"""),"SMART CARD LARANJA NAGRA")</f>
        <v>SMART CARD LARANJA NAGRA</v>
      </c>
      <c r="B172" s="22">
        <f>IFERROR(__xludf.DUMMYFUNCTION("""COMPUTED_VALUE"""),4.1001186E7)</f>
        <v>41001186</v>
      </c>
      <c r="C172" s="21" t="str">
        <f>IFERROR(__xludf.DUMMYFUNCTION("""COMPUTED_VALUE"""),"215993109202")</f>
        <v>215993109202</v>
      </c>
      <c r="D172" s="21" t="str">
        <f>IFERROR(__xludf.DUMMYFUNCTION("""COMPUTED_VALUE"""),"DIGITEC TECNOLOGIA DIGITAL E REPRES")</f>
        <v>DIGITEC TECNOLOGIA DIGITAL E REPRES</v>
      </c>
      <c r="E172" s="21">
        <f>IFERROR(__xludf.DUMMYFUNCTION("""COMPUTED_VALUE"""),145359.0)</f>
        <v>145359</v>
      </c>
      <c r="F172" s="21" t="str">
        <f>IFERROR(__xludf.DUMMYFUNCTION("""COMPUTED_VALUE"""),"SUCATA")</f>
        <v>SUCATA</v>
      </c>
      <c r="G172" s="23">
        <f>IFERROR(__xludf.DUMMYFUNCTION("""COMPUTED_VALUE"""),45075.63358796296)</f>
        <v>45075.63359</v>
      </c>
      <c r="H172" s="24" t="str">
        <f>IFERROR(VLOOKUP(B172,material!A:D,3,0),"")</f>
        <v>CARD</v>
      </c>
    </row>
    <row r="173" ht="11.25" customHeight="1">
      <c r="A173" s="21" t="str">
        <f>IFERROR(__xludf.DUMMYFUNCTION("""COMPUTED_VALUE"""),"PACE - HIGH DEFINITION DCR7411")</f>
        <v>PACE - HIGH DEFINITION DCR7411</v>
      </c>
      <c r="B173" s="22">
        <f>IFERROR(__xludf.DUMMYFUNCTION("""COMPUTED_VALUE"""),4.1001216E7)</f>
        <v>41001216</v>
      </c>
      <c r="C173" s="21" t="str">
        <f>IFERROR(__xludf.DUMMYFUNCTION("""COMPUTED_VALUE"""),"184047416265")</f>
        <v>184047416265</v>
      </c>
      <c r="D173" s="21" t="str">
        <f>IFERROR(__xludf.DUMMYFUNCTION("""COMPUTED_VALUE"""),"DIGITEC TECNOLOGIA DIGITAL E REPRES")</f>
        <v>DIGITEC TECNOLOGIA DIGITAL E REPRES</v>
      </c>
      <c r="E173" s="21">
        <f>IFERROR(__xludf.DUMMYFUNCTION("""COMPUTED_VALUE"""),145359.0)</f>
        <v>145359</v>
      </c>
      <c r="F173" s="21" t="str">
        <f>IFERROR(__xludf.DUMMYFUNCTION("""COMPUTED_VALUE"""),"TRANSITO REVERSA")</f>
        <v>TRANSITO REVERSA</v>
      </c>
      <c r="G173" s="23">
        <f>IFERROR(__xludf.DUMMYFUNCTION("""COMPUTED_VALUE"""),45638.520625000005)</f>
        <v>45638.52063</v>
      </c>
      <c r="H173" s="24" t="str">
        <f>IFERROR(VLOOKUP(B173,material!A:D,3,0),"")</f>
        <v>LEGADO</v>
      </c>
    </row>
    <row r="174" ht="11.25" customHeight="1">
      <c r="A174" s="21" t="str">
        <f>IFERROR(__xludf.DUMMYFUNCTION("""COMPUTED_VALUE"""),"SMART CARD LARANJA")</f>
        <v>SMART CARD LARANJA</v>
      </c>
      <c r="B174" s="22">
        <f>IFERROR(__xludf.DUMMYFUNCTION("""COMPUTED_VALUE"""),4.1001186E7)</f>
        <v>41001186</v>
      </c>
      <c r="C174" s="21" t="str">
        <f>IFERROR(__xludf.DUMMYFUNCTION("""COMPUTED_VALUE"""),"215644902941")</f>
        <v>215644902941</v>
      </c>
      <c r="D174" s="21" t="str">
        <f>IFERROR(__xludf.DUMMYFUNCTION("""COMPUTED_VALUE"""),"DIGITEC TECNOLOGIA DIGITAL E REPRES")</f>
        <v>DIGITEC TECNOLOGIA DIGITAL E REPRES</v>
      </c>
      <c r="E174" s="21">
        <f>IFERROR(__xludf.DUMMYFUNCTION("""COMPUTED_VALUE"""),145359.0)</f>
        <v>145359</v>
      </c>
      <c r="F174" s="21" t="str">
        <f>IFERROR(__xludf.DUMMYFUNCTION("""COMPUTED_VALUE"""),"SUCATA")</f>
        <v>SUCATA</v>
      </c>
      <c r="G174" s="23">
        <f>IFERROR(__xludf.DUMMYFUNCTION("""COMPUTED_VALUE"""),45075.58684027778)</f>
        <v>45075.58684</v>
      </c>
      <c r="H174" s="24" t="str">
        <f>IFERROR(VLOOKUP(B174,material!A:D,3,0),"")</f>
        <v>CARD</v>
      </c>
    </row>
    <row r="175" ht="11.25" customHeight="1">
      <c r="A175" s="21" t="str">
        <f>IFERROR(__xludf.DUMMYFUNCTION("""COMPUTED_VALUE"""),"SMART CARD LARANJA NAGRA")</f>
        <v>SMART CARD LARANJA NAGRA</v>
      </c>
      <c r="B175" s="22">
        <f>IFERROR(__xludf.DUMMYFUNCTION("""COMPUTED_VALUE"""),4.1001186E7)</f>
        <v>41001186</v>
      </c>
      <c r="C175" s="21" t="str">
        <f>IFERROR(__xludf.DUMMYFUNCTION("""COMPUTED_VALUE"""),"226669511832")</f>
        <v>226669511832</v>
      </c>
      <c r="D175" s="21" t="str">
        <f>IFERROR(__xludf.DUMMYFUNCTION("""COMPUTED_VALUE"""),"DIGITEC TECNOLOGIA DIGITAL E REPRES")</f>
        <v>DIGITEC TECNOLOGIA DIGITAL E REPRES</v>
      </c>
      <c r="E175" s="21">
        <f>IFERROR(__xludf.DUMMYFUNCTION("""COMPUTED_VALUE"""),145359.0)</f>
        <v>145359</v>
      </c>
      <c r="F175" s="21" t="str">
        <f>IFERROR(__xludf.DUMMYFUNCTION("""COMPUTED_VALUE"""),"SUCATA")</f>
        <v>SUCATA</v>
      </c>
      <c r="G175" s="23">
        <f>IFERROR(__xludf.DUMMYFUNCTION("""COMPUTED_VALUE"""),45075.51189814815)</f>
        <v>45075.5119</v>
      </c>
      <c r="H175" s="24" t="str">
        <f>IFERROR(VLOOKUP(B175,material!A:D,3,0),"")</f>
        <v>CARD</v>
      </c>
    </row>
    <row r="176" ht="11.25" customHeight="1">
      <c r="A176" s="21" t="str">
        <f>IFERROR(__xludf.DUMMYFUNCTION("""COMPUTED_VALUE"""),"SMART CARD LARANJA NAGRA")</f>
        <v>SMART CARD LARANJA NAGRA</v>
      </c>
      <c r="B176" s="22">
        <f>IFERROR(__xludf.DUMMYFUNCTION("""COMPUTED_VALUE"""),4.1001186E7)</f>
        <v>41001186</v>
      </c>
      <c r="C176" s="21" t="str">
        <f>IFERROR(__xludf.DUMMYFUNCTION("""COMPUTED_VALUE"""),"226623642832")</f>
        <v>226623642832</v>
      </c>
      <c r="D176" s="21" t="str">
        <f>IFERROR(__xludf.DUMMYFUNCTION("""COMPUTED_VALUE"""),"DIGITEC TECNOLOGIA DIGITAL E REPRES")</f>
        <v>DIGITEC TECNOLOGIA DIGITAL E REPRES</v>
      </c>
      <c r="E176" s="21">
        <f>IFERROR(__xludf.DUMMYFUNCTION("""COMPUTED_VALUE"""),145359.0)</f>
        <v>145359</v>
      </c>
      <c r="F176" s="21" t="str">
        <f>IFERROR(__xludf.DUMMYFUNCTION("""COMPUTED_VALUE"""),"SUCATA")</f>
        <v>SUCATA</v>
      </c>
      <c r="G176" s="23">
        <f>IFERROR(__xludf.DUMMYFUNCTION("""COMPUTED_VALUE"""),45076.68157407407)</f>
        <v>45076.68157</v>
      </c>
      <c r="H176" s="24" t="str">
        <f>IFERROR(VLOOKUP(B176,material!A:D,3,0),"")</f>
        <v>CARD</v>
      </c>
    </row>
    <row r="177" ht="11.25" customHeight="1">
      <c r="A177" s="21" t="str">
        <f>IFERROR(__xludf.DUMMYFUNCTION("""COMPUTED_VALUE"""),"SMART CARD LARANJA NAGRA")</f>
        <v>SMART CARD LARANJA NAGRA</v>
      </c>
      <c r="B177" s="22">
        <f>IFERROR(__xludf.DUMMYFUNCTION("""COMPUTED_VALUE"""),4.1001186E7)</f>
        <v>41001186</v>
      </c>
      <c r="C177" s="21" t="str">
        <f>IFERROR(__xludf.DUMMYFUNCTION("""COMPUTED_VALUE"""),"226643347695")</f>
        <v>226643347695</v>
      </c>
      <c r="D177" s="21" t="str">
        <f>IFERROR(__xludf.DUMMYFUNCTION("""COMPUTED_VALUE"""),"DIGITEC TECNOLOGIA DIGITAL E REPRES")</f>
        <v>DIGITEC TECNOLOGIA DIGITAL E REPRES</v>
      </c>
      <c r="E177" s="21">
        <f>IFERROR(__xludf.DUMMYFUNCTION("""COMPUTED_VALUE"""),145359.0)</f>
        <v>145359</v>
      </c>
      <c r="F177" s="21" t="str">
        <f>IFERROR(__xludf.DUMMYFUNCTION("""COMPUTED_VALUE"""),"SUCATA")</f>
        <v>SUCATA</v>
      </c>
      <c r="G177" s="23">
        <f>IFERROR(__xludf.DUMMYFUNCTION("""COMPUTED_VALUE"""),45075.59909722222)</f>
        <v>45075.5991</v>
      </c>
      <c r="H177" s="24" t="str">
        <f>IFERROR(VLOOKUP(B177,material!A:D,3,0),"")</f>
        <v>CARD</v>
      </c>
    </row>
    <row r="178" ht="11.25" customHeight="1">
      <c r="A178" s="21" t="str">
        <f>IFERROR(__xludf.DUMMYFUNCTION("""COMPUTED_VALUE"""),"SMART CARD LARANJA NAGRA")</f>
        <v>SMART CARD LARANJA NAGRA</v>
      </c>
      <c r="B178" s="22">
        <f>IFERROR(__xludf.DUMMYFUNCTION("""COMPUTED_VALUE"""),4.1001186E7)</f>
        <v>41001186</v>
      </c>
      <c r="C178" s="21" t="str">
        <f>IFERROR(__xludf.DUMMYFUNCTION("""COMPUTED_VALUE"""),"226554216875")</f>
        <v>226554216875</v>
      </c>
      <c r="D178" s="21" t="str">
        <f>IFERROR(__xludf.DUMMYFUNCTION("""COMPUTED_VALUE"""),"DIGITEC TECNOLOGIA DIGITAL E REPRES")</f>
        <v>DIGITEC TECNOLOGIA DIGITAL E REPRES</v>
      </c>
      <c r="E178" s="21">
        <f>IFERROR(__xludf.DUMMYFUNCTION("""COMPUTED_VALUE"""),145359.0)</f>
        <v>145359</v>
      </c>
      <c r="F178" s="21" t="str">
        <f>IFERROR(__xludf.DUMMYFUNCTION("""COMPUTED_VALUE"""),"SUCATA")</f>
        <v>SUCATA</v>
      </c>
      <c r="G178" s="23">
        <f>IFERROR(__xludf.DUMMYFUNCTION("""COMPUTED_VALUE"""),45076.47196759259)</f>
        <v>45076.47197</v>
      </c>
      <c r="H178" s="24" t="str">
        <f>IFERROR(VLOOKUP(B178,material!A:D,3,0),"")</f>
        <v>CARD</v>
      </c>
    </row>
    <row r="179" ht="11.25" customHeight="1">
      <c r="A179" s="21" t="str">
        <f>IFERROR(__xludf.DUMMYFUNCTION("""COMPUTED_VALUE"""),"SMART CARD LARANJA NAGRA")</f>
        <v>SMART CARD LARANJA NAGRA</v>
      </c>
      <c r="B179" s="22">
        <f>IFERROR(__xludf.DUMMYFUNCTION("""COMPUTED_VALUE"""),4.1001186E7)</f>
        <v>41001186</v>
      </c>
      <c r="C179" s="21" t="str">
        <f>IFERROR(__xludf.DUMMYFUNCTION("""COMPUTED_VALUE"""),"226803722528")</f>
        <v>226803722528</v>
      </c>
      <c r="D179" s="21" t="str">
        <f>IFERROR(__xludf.DUMMYFUNCTION("""COMPUTED_VALUE"""),"DIGITEC TECNOLOGIA DIGITAL E REPRES")</f>
        <v>DIGITEC TECNOLOGIA DIGITAL E REPRES</v>
      </c>
      <c r="E179" s="21">
        <f>IFERROR(__xludf.DUMMYFUNCTION("""COMPUTED_VALUE"""),145359.0)</f>
        <v>145359</v>
      </c>
      <c r="F179" s="21" t="str">
        <f>IFERROR(__xludf.DUMMYFUNCTION("""COMPUTED_VALUE"""),"SUCATA")</f>
        <v>SUCATA</v>
      </c>
      <c r="G179" s="23">
        <f>IFERROR(__xludf.DUMMYFUNCTION("""COMPUTED_VALUE"""),45075.62605324074)</f>
        <v>45075.62605</v>
      </c>
      <c r="H179" s="24" t="str">
        <f>IFERROR(VLOOKUP(B179,material!A:D,3,0),"")</f>
        <v>CARD</v>
      </c>
    </row>
    <row r="180" ht="11.25" customHeight="1">
      <c r="A180" s="21" t="str">
        <f>IFERROR(__xludf.DUMMYFUNCTION("""COMPUTED_VALUE"""),"SMART CARD LARANJA NAGRA")</f>
        <v>SMART CARD LARANJA NAGRA</v>
      </c>
      <c r="B180" s="22">
        <f>IFERROR(__xludf.DUMMYFUNCTION("""COMPUTED_VALUE"""),4.1001186E7)</f>
        <v>41001186</v>
      </c>
      <c r="C180" s="21" t="str">
        <f>IFERROR(__xludf.DUMMYFUNCTION("""COMPUTED_VALUE"""),"215748345662")</f>
        <v>215748345662</v>
      </c>
      <c r="D180" s="21" t="str">
        <f>IFERROR(__xludf.DUMMYFUNCTION("""COMPUTED_VALUE"""),"DIGITEC TECNOLOGIA DIGITAL E REPRES")</f>
        <v>DIGITEC TECNOLOGIA DIGITAL E REPRES</v>
      </c>
      <c r="E180" s="21">
        <f>IFERROR(__xludf.DUMMYFUNCTION("""COMPUTED_VALUE"""),145359.0)</f>
        <v>145359</v>
      </c>
      <c r="F180" s="21" t="str">
        <f>IFERROR(__xludf.DUMMYFUNCTION("""COMPUTED_VALUE"""),"SUCATA")</f>
        <v>SUCATA</v>
      </c>
      <c r="G180" s="23">
        <f>IFERROR(__xludf.DUMMYFUNCTION("""COMPUTED_VALUE"""),45075.62226851852)</f>
        <v>45075.62227</v>
      </c>
      <c r="H180" s="24" t="str">
        <f>IFERROR(VLOOKUP(B180,material!A:D,3,0),"")</f>
        <v>CARD</v>
      </c>
    </row>
    <row r="181" ht="11.25" customHeight="1">
      <c r="A181" s="21" t="str">
        <f>IFERROR(__xludf.DUMMYFUNCTION("""COMPUTED_VALUE"""),"SMART CARD LARANJA NAGRA")</f>
        <v>SMART CARD LARANJA NAGRA</v>
      </c>
      <c r="B181" s="22">
        <f>IFERROR(__xludf.DUMMYFUNCTION("""COMPUTED_VALUE"""),4.1001186E7)</f>
        <v>41001186</v>
      </c>
      <c r="C181" s="21" t="str">
        <f>IFERROR(__xludf.DUMMYFUNCTION("""COMPUTED_VALUE"""),"215751534851")</f>
        <v>215751534851</v>
      </c>
      <c r="D181" s="21" t="str">
        <f>IFERROR(__xludf.DUMMYFUNCTION("""COMPUTED_VALUE"""),"DIGITEC TECNOLOGIA DIGITAL E REPRES")</f>
        <v>DIGITEC TECNOLOGIA DIGITAL E REPRES</v>
      </c>
      <c r="E181" s="21">
        <f>IFERROR(__xludf.DUMMYFUNCTION("""COMPUTED_VALUE"""),145359.0)</f>
        <v>145359</v>
      </c>
      <c r="F181" s="21" t="str">
        <f>IFERROR(__xludf.DUMMYFUNCTION("""COMPUTED_VALUE"""),"SUCATA")</f>
        <v>SUCATA</v>
      </c>
      <c r="G181" s="23">
        <f>IFERROR(__xludf.DUMMYFUNCTION("""COMPUTED_VALUE"""),45075.62228009259)</f>
        <v>45075.62228</v>
      </c>
      <c r="H181" s="24" t="str">
        <f>IFERROR(VLOOKUP(B181,material!A:D,3,0),"")</f>
        <v>CARD</v>
      </c>
    </row>
    <row r="182" ht="11.25" customHeight="1">
      <c r="A182" s="21" t="str">
        <f>IFERROR(__xludf.DUMMYFUNCTION("""COMPUTED_VALUE"""),"DECODER DIGITAL HD HNB100 2T")</f>
        <v>DECODER DIGITAL HD HNB100 2T</v>
      </c>
      <c r="B182" s="22">
        <f>IFERROR(__xludf.DUMMYFUNCTION("""COMPUTED_VALUE"""),4.1001276E7)</f>
        <v>41001276</v>
      </c>
      <c r="C182" s="21" t="str">
        <f>IFERROR(__xludf.DUMMYFUNCTION("""COMPUTED_VALUE"""),"216406108789")</f>
        <v>216406108789</v>
      </c>
      <c r="D182" s="21" t="str">
        <f>IFERROR(__xludf.DUMMYFUNCTION("""COMPUTED_VALUE"""),"DIGITEC TECNOLOGIA DIGITAL E REPRES")</f>
        <v>DIGITEC TECNOLOGIA DIGITAL E REPRES</v>
      </c>
      <c r="E182" s="21">
        <f>IFERROR(__xludf.DUMMYFUNCTION("""COMPUTED_VALUE"""),145359.0)</f>
        <v>145359</v>
      </c>
      <c r="F182" s="21" t="str">
        <f>IFERROR(__xludf.DUMMYFUNCTION("""COMPUTED_VALUE"""),"INICIALIZADO")</f>
        <v>INICIALIZADO</v>
      </c>
      <c r="G182" s="23">
        <f>IFERROR(__xludf.DUMMYFUNCTION("""COMPUTED_VALUE"""),45635.535046296296)</f>
        <v>45635.53505</v>
      </c>
      <c r="H182" s="24" t="str">
        <f>IFERROR(VLOOKUP(B182,material!A:D,3,0),"")</f>
        <v>TOP MIX</v>
      </c>
    </row>
    <row r="183" ht="11.25" customHeight="1">
      <c r="A183" s="21" t="str">
        <f>IFERROR(__xludf.DUMMYFUNCTION("""COMPUTED_VALUE"""),"DECODER DIGITAL HD HNB100 2T")</f>
        <v>DECODER DIGITAL HD HNB100 2T</v>
      </c>
      <c r="B183" s="22">
        <f>IFERROR(__xludf.DUMMYFUNCTION("""COMPUTED_VALUE"""),4.1001276E7)</f>
        <v>41001276</v>
      </c>
      <c r="C183" s="21" t="str">
        <f>IFERROR(__xludf.DUMMYFUNCTION("""COMPUTED_VALUE"""),"216403470318")</f>
        <v>216403470318</v>
      </c>
      <c r="D183" s="21" t="str">
        <f>IFERROR(__xludf.DUMMYFUNCTION("""COMPUTED_VALUE"""),"DIGITEC TECNOLOGIA DIGITAL E REPRES")</f>
        <v>DIGITEC TECNOLOGIA DIGITAL E REPRES</v>
      </c>
      <c r="E183" s="21">
        <f>IFERROR(__xludf.DUMMYFUNCTION("""COMPUTED_VALUE"""),145359.0)</f>
        <v>145359</v>
      </c>
      <c r="F183" s="21" t="str">
        <f>IFERROR(__xludf.DUMMYFUNCTION("""COMPUTED_VALUE"""),"INICIALIZADO")</f>
        <v>INICIALIZADO</v>
      </c>
      <c r="G183" s="23">
        <f>IFERROR(__xludf.DUMMYFUNCTION("""COMPUTED_VALUE"""),45635.53503472223)</f>
        <v>45635.53503</v>
      </c>
      <c r="H183" s="24" t="str">
        <f>IFERROR(VLOOKUP(B183,material!A:D,3,0),"")</f>
        <v>TOP MIX</v>
      </c>
    </row>
    <row r="184" ht="11.25" customHeight="1">
      <c r="A184" s="21" t="str">
        <f>IFERROR(__xludf.DUMMYFUNCTION("""COMPUTED_VALUE"""),"SMART CARD LARANJA NAGRA")</f>
        <v>SMART CARD LARANJA NAGRA</v>
      </c>
      <c r="B184" s="22">
        <f>IFERROR(__xludf.DUMMYFUNCTION("""COMPUTED_VALUE"""),4.1001186E7)</f>
        <v>41001186</v>
      </c>
      <c r="C184" s="21" t="str">
        <f>IFERROR(__xludf.DUMMYFUNCTION("""COMPUTED_VALUE"""),"226598271636")</f>
        <v>226598271636</v>
      </c>
      <c r="D184" s="21" t="str">
        <f>IFERROR(__xludf.DUMMYFUNCTION("""COMPUTED_VALUE"""),"DIGITEC TECNOLOGIA DIGITAL E REPRES")</f>
        <v>DIGITEC TECNOLOGIA DIGITAL E REPRES</v>
      </c>
      <c r="E184" s="21">
        <f>IFERROR(__xludf.DUMMYFUNCTION("""COMPUTED_VALUE"""),145359.0)</f>
        <v>145359</v>
      </c>
      <c r="F184" s="21" t="str">
        <f>IFERROR(__xludf.DUMMYFUNCTION("""COMPUTED_VALUE"""),"SUCATA")</f>
        <v>SUCATA</v>
      </c>
      <c r="G184" s="23">
        <f>IFERROR(__xludf.DUMMYFUNCTION("""COMPUTED_VALUE"""),45075.599074074074)</f>
        <v>45075.59907</v>
      </c>
      <c r="H184" s="24" t="str">
        <f>IFERROR(VLOOKUP(B184,material!A:D,3,0),"")</f>
        <v>CARD</v>
      </c>
    </row>
    <row r="185" ht="11.25" customHeight="1">
      <c r="A185" s="21" t="str">
        <f>IFERROR(__xludf.DUMMYFUNCTION("""COMPUTED_VALUE"""),"SMART CARD PRETO NAGRA")</f>
        <v>SMART CARD PRETO NAGRA</v>
      </c>
      <c r="B185" s="22">
        <f>IFERROR(__xludf.DUMMYFUNCTION("""COMPUTED_VALUE"""),4.1001234E7)</f>
        <v>41001234</v>
      </c>
      <c r="C185" s="21" t="str">
        <f>IFERROR(__xludf.DUMMYFUNCTION("""COMPUTED_VALUE"""),"226282850112")</f>
        <v>226282850112</v>
      </c>
      <c r="D185" s="21" t="str">
        <f>IFERROR(__xludf.DUMMYFUNCTION("""COMPUTED_VALUE"""),"DIGITEC TECNOLOGIA DIGITAL E REPRES")</f>
        <v>DIGITEC TECNOLOGIA DIGITAL E REPRES</v>
      </c>
      <c r="E185" s="21">
        <f>IFERROR(__xludf.DUMMYFUNCTION("""COMPUTED_VALUE"""),145359.0)</f>
        <v>145359</v>
      </c>
      <c r="F185" s="21" t="str">
        <f>IFERROR(__xludf.DUMMYFUNCTION("""COMPUTED_VALUE"""),"INICIALIZADO")</f>
        <v>INICIALIZADO</v>
      </c>
      <c r="G185" s="23">
        <f>IFERROR(__xludf.DUMMYFUNCTION("""COMPUTED_VALUE"""),45635.53496527778)</f>
        <v>45635.53497</v>
      </c>
      <c r="H185" s="24" t="str">
        <f>IFERROR(VLOOKUP(B185,material!A:D,3,0),"")</f>
        <v>CARD</v>
      </c>
    </row>
    <row r="186" ht="11.25" customHeight="1">
      <c r="A186" s="21" t="str">
        <f>IFERROR(__xludf.DUMMYFUNCTION("""COMPUTED_VALUE"""),"SMART CARD AVULSO MINI")</f>
        <v>SMART CARD AVULSO MINI</v>
      </c>
      <c r="B186" s="22">
        <f>IFERROR(__xludf.DUMMYFUNCTION("""COMPUTED_VALUE"""),4.1001508E7)</f>
        <v>41001508</v>
      </c>
      <c r="C186" s="21" t="str">
        <f>IFERROR(__xludf.DUMMYFUNCTION("""COMPUTED_VALUE"""),"246251049107")</f>
        <v>246251049107</v>
      </c>
      <c r="D186" s="21" t="str">
        <f>IFERROR(__xludf.DUMMYFUNCTION("""COMPUTED_VALUE"""),"DIGITEC TECNOLOGIA DIGITAL E REPRES")</f>
        <v>DIGITEC TECNOLOGIA DIGITAL E REPRES</v>
      </c>
      <c r="E186" s="21">
        <f>IFERROR(__xludf.DUMMYFUNCTION("""COMPUTED_VALUE"""),145359.0)</f>
        <v>145359</v>
      </c>
      <c r="F186" s="21" t="str">
        <f>IFERROR(__xludf.DUMMYFUNCTION("""COMPUTED_VALUE"""),"TRANSITO REVERSA")</f>
        <v>TRANSITO REVERSA</v>
      </c>
      <c r="G186" s="23">
        <f>IFERROR(__xludf.DUMMYFUNCTION("""COMPUTED_VALUE"""),45633.00396990741)</f>
        <v>45633.00397</v>
      </c>
      <c r="H186" s="24" t="str">
        <f>IFERROR(VLOOKUP(B186,material!A:D,3,0),"")</f>
        <v>SIM CARD</v>
      </c>
    </row>
    <row r="187" ht="11.25" customHeight="1">
      <c r="A187" s="21" t="str">
        <f>IFERROR(__xludf.DUMMYFUNCTION("""COMPUTED_VALUE"""),"SMART CARD LARANJA NAGRA")</f>
        <v>SMART CARD LARANJA NAGRA</v>
      </c>
      <c r="B187" s="22">
        <f>IFERROR(__xludf.DUMMYFUNCTION("""COMPUTED_VALUE"""),4.1001186E7)</f>
        <v>41001186</v>
      </c>
      <c r="C187" s="21" t="str">
        <f>IFERROR(__xludf.DUMMYFUNCTION("""COMPUTED_VALUE"""),"226651387290")</f>
        <v>226651387290</v>
      </c>
      <c r="D187" s="21" t="str">
        <f>IFERROR(__xludf.DUMMYFUNCTION("""COMPUTED_VALUE"""),"DIGITEC TECNOLOGIA DIGITAL E REPRES")</f>
        <v>DIGITEC TECNOLOGIA DIGITAL E REPRES</v>
      </c>
      <c r="E187" s="21">
        <f>IFERROR(__xludf.DUMMYFUNCTION("""COMPUTED_VALUE"""),145359.0)</f>
        <v>145359</v>
      </c>
      <c r="F187" s="21" t="str">
        <f>IFERROR(__xludf.DUMMYFUNCTION("""COMPUTED_VALUE"""),"SUCATA")</f>
        <v>SUCATA</v>
      </c>
      <c r="G187" s="23">
        <f>IFERROR(__xludf.DUMMYFUNCTION("""COMPUTED_VALUE"""),45075.599120370374)</f>
        <v>45075.59912</v>
      </c>
      <c r="H187" s="24" t="str">
        <f>IFERROR(VLOOKUP(B187,material!A:D,3,0),"")</f>
        <v>CARD</v>
      </c>
    </row>
    <row r="188" ht="11.25" customHeight="1">
      <c r="A188" s="21" t="str">
        <f>IFERROR(__xludf.DUMMYFUNCTION("""COMPUTED_VALUE"""),"SMART CARD LARANJA NAGRA")</f>
        <v>SMART CARD LARANJA NAGRA</v>
      </c>
      <c r="B188" s="22">
        <f>IFERROR(__xludf.DUMMYFUNCTION("""COMPUTED_VALUE"""),4.1001186E7)</f>
        <v>41001186</v>
      </c>
      <c r="C188" s="21" t="str">
        <f>IFERROR(__xludf.DUMMYFUNCTION("""COMPUTED_VALUE"""),"226620032233")</f>
        <v>226620032233</v>
      </c>
      <c r="D188" s="21" t="str">
        <f>IFERROR(__xludf.DUMMYFUNCTION("""COMPUTED_VALUE"""),"DIGITEC TECNOLOGIA DIGITAL E REPRES")</f>
        <v>DIGITEC TECNOLOGIA DIGITAL E REPRES</v>
      </c>
      <c r="E188" s="21">
        <f>IFERROR(__xludf.DUMMYFUNCTION("""COMPUTED_VALUE"""),145359.0)</f>
        <v>145359</v>
      </c>
      <c r="F188" s="21" t="str">
        <f>IFERROR(__xludf.DUMMYFUNCTION("""COMPUTED_VALUE"""),"SUCATA")</f>
        <v>SUCATA</v>
      </c>
      <c r="G188" s="23">
        <f>IFERROR(__xludf.DUMMYFUNCTION("""COMPUTED_VALUE"""),45075.599131944444)</f>
        <v>45075.59913</v>
      </c>
      <c r="H188" s="24" t="str">
        <f>IFERROR(VLOOKUP(B188,material!A:D,3,0),"")</f>
        <v>CARD</v>
      </c>
    </row>
    <row r="189" ht="11.25" customHeight="1">
      <c r="A189" s="21" t="str">
        <f>IFERROR(__xludf.DUMMYFUNCTION("""COMPUTED_VALUE"""),"SMART CARD LARANJA NAGRA")</f>
        <v>SMART CARD LARANJA NAGRA</v>
      </c>
      <c r="B189" s="22">
        <f>IFERROR(__xludf.DUMMYFUNCTION("""COMPUTED_VALUE"""),4.1001186E7)</f>
        <v>41001186</v>
      </c>
      <c r="C189" s="21" t="str">
        <f>IFERROR(__xludf.DUMMYFUNCTION("""COMPUTED_VALUE"""),"215657916668")</f>
        <v>215657916668</v>
      </c>
      <c r="D189" s="21" t="str">
        <f>IFERROR(__xludf.DUMMYFUNCTION("""COMPUTED_VALUE"""),"DIGITEC TECNOLOGIA DIGITAL E REPRES")</f>
        <v>DIGITEC TECNOLOGIA DIGITAL E REPRES</v>
      </c>
      <c r="E189" s="21">
        <f>IFERROR(__xludf.DUMMYFUNCTION("""COMPUTED_VALUE"""),145359.0)</f>
        <v>145359</v>
      </c>
      <c r="F189" s="21" t="str">
        <f>IFERROR(__xludf.DUMMYFUNCTION("""COMPUTED_VALUE"""),"SUCATA")</f>
        <v>SUCATA</v>
      </c>
      <c r="G189" s="23">
        <f>IFERROR(__xludf.DUMMYFUNCTION("""COMPUTED_VALUE"""),45075.586863425924)</f>
        <v>45075.58686</v>
      </c>
      <c r="H189" s="24" t="str">
        <f>IFERROR(VLOOKUP(B189,material!A:D,3,0),"")</f>
        <v>CARD</v>
      </c>
    </row>
    <row r="190" ht="11.25" customHeight="1">
      <c r="A190" s="21" t="str">
        <f>IFERROR(__xludf.DUMMYFUNCTION("""COMPUTED_VALUE"""),"ARRIS TG1692A")</f>
        <v>ARRIS TG1692A</v>
      </c>
      <c r="B190" s="22">
        <f>IFERROR(__xludf.DUMMYFUNCTION("""COMPUTED_VALUE"""),4.1001293E7)</f>
        <v>41001293</v>
      </c>
      <c r="C190" s="21" t="str">
        <f>IFERROR(__xludf.DUMMYFUNCTION("""COMPUTED_VALUE"""),"B0935BEB589F")</f>
        <v>B0935BEB589F</v>
      </c>
      <c r="D190" s="21" t="str">
        <f>IFERROR(__xludf.DUMMYFUNCTION("""COMPUTED_VALUE"""),"DIGITEC TECNOLOGIA DIGITAL E REPRES")</f>
        <v>DIGITEC TECNOLOGIA DIGITAL E REPRES</v>
      </c>
      <c r="E190" s="21">
        <f>IFERROR(__xludf.DUMMYFUNCTION("""COMPUTED_VALUE"""),145359.0)</f>
        <v>145359</v>
      </c>
      <c r="F190" s="21" t="str">
        <f>IFERROR(__xludf.DUMMYFUNCTION("""COMPUTED_VALUE"""),"SUSPEITO")</f>
        <v>SUSPEITO</v>
      </c>
      <c r="G190" s="23">
        <f>IFERROR(__xludf.DUMMYFUNCTION("""COMPUTED_VALUE"""),45640.6480787037)</f>
        <v>45640.64808</v>
      </c>
      <c r="H190" s="24" t="str">
        <f>IFERROR(VLOOKUP(B190,material!A:D,3,0),"")</f>
        <v>DUAL</v>
      </c>
    </row>
    <row r="191" ht="11.25" customHeight="1">
      <c r="A191" s="21" t="str">
        <f>IFERROR(__xludf.DUMMYFUNCTION("""COMPUTED_VALUE"""),"DECODER HD DCI738 2T")</f>
        <v>DECODER HD DCI738 2T</v>
      </c>
      <c r="B191" s="22">
        <f>IFERROR(__xludf.DUMMYFUNCTION("""COMPUTED_VALUE"""),4.1001275E7)</f>
        <v>41001275</v>
      </c>
      <c r="C191" s="21" t="str">
        <f>IFERROR(__xludf.DUMMYFUNCTION("""COMPUTED_VALUE"""),"216567711027")</f>
        <v>216567711027</v>
      </c>
      <c r="D191" s="21" t="str">
        <f>IFERROR(__xludf.DUMMYFUNCTION("""COMPUTED_VALUE"""),"DIGITEC TECNOLOGIA DIGITAL E REPRES")</f>
        <v>DIGITEC TECNOLOGIA DIGITAL E REPRES</v>
      </c>
      <c r="E191" s="21">
        <f>IFERROR(__xludf.DUMMYFUNCTION("""COMPUTED_VALUE"""),145359.0)</f>
        <v>145359</v>
      </c>
      <c r="F191" s="21" t="str">
        <f>IFERROR(__xludf.DUMMYFUNCTION("""COMPUTED_VALUE"""),"SUSPEITO")</f>
        <v>SUSPEITO</v>
      </c>
      <c r="G191" s="23">
        <f>IFERROR(__xludf.DUMMYFUNCTION("""COMPUTED_VALUE"""),45638.6358912037)</f>
        <v>45638.63589</v>
      </c>
      <c r="H191" s="24" t="str">
        <f>IFERROR(VLOOKUP(B191,material!A:D,3,0),"")</f>
        <v>TOP MIX</v>
      </c>
    </row>
    <row r="192" ht="11.25" customHeight="1">
      <c r="A192" s="21" t="str">
        <f>IFERROR(__xludf.DUMMYFUNCTION("""COMPUTED_VALUE"""),"TECHNICOLOR TC7337NET")</f>
        <v>TECHNICOLOR TC7337NET</v>
      </c>
      <c r="B192" s="22">
        <f>IFERROR(__xludf.DUMMYFUNCTION("""COMPUTED_VALUE"""),4.1001294E7)</f>
        <v>41001294</v>
      </c>
      <c r="C192" s="21" t="str">
        <f>IFERROR(__xludf.DUMMYFUNCTION("""COMPUTED_VALUE"""),"10C25A3E087E")</f>
        <v>10C25A3E087E</v>
      </c>
      <c r="D192" s="21" t="str">
        <f>IFERROR(__xludf.DUMMYFUNCTION("""COMPUTED_VALUE"""),"DIGITEC TECNOLOGIA DIGITAL E REPRES")</f>
        <v>DIGITEC TECNOLOGIA DIGITAL E REPRES</v>
      </c>
      <c r="E192" s="21">
        <f>IFERROR(__xludf.DUMMYFUNCTION("""COMPUTED_VALUE"""),145359.0)</f>
        <v>145359</v>
      </c>
      <c r="F192" s="21" t="str">
        <f>IFERROR(__xludf.DUMMYFUNCTION("""COMPUTED_VALUE"""),"INICIALIZADO")</f>
        <v>INICIALIZADO</v>
      </c>
      <c r="G192" s="23">
        <f>IFERROR(__xludf.DUMMYFUNCTION("""COMPUTED_VALUE"""),45618.74476851852)</f>
        <v>45618.74477</v>
      </c>
      <c r="H192" s="24" t="str">
        <f>IFERROR(VLOOKUP(B192,material!A:D,3,0),"")</f>
        <v>DUAL</v>
      </c>
    </row>
    <row r="193" ht="11.25" customHeight="1">
      <c r="A193" s="21" t="str">
        <f>IFERROR(__xludf.DUMMYFUNCTION("""COMPUTED_VALUE"""),"DECODER DIGITAL HD DXC5000 2T")</f>
        <v>DECODER DIGITAL HD DXC5000 2T</v>
      </c>
      <c r="B193" s="22">
        <f>IFERROR(__xludf.DUMMYFUNCTION("""COMPUTED_VALUE"""),4.1001277E7)</f>
        <v>41001277</v>
      </c>
      <c r="C193" s="21" t="str">
        <f>IFERROR(__xludf.DUMMYFUNCTION("""COMPUTED_VALUE"""),"216711988686")</f>
        <v>216711988686</v>
      </c>
      <c r="D193" s="21" t="str">
        <f>IFERROR(__xludf.DUMMYFUNCTION("""COMPUTED_VALUE"""),"DIGITEC TECNOLOGIA DIGITAL E REPRES")</f>
        <v>DIGITEC TECNOLOGIA DIGITAL E REPRES</v>
      </c>
      <c r="E193" s="21">
        <f>IFERROR(__xludf.DUMMYFUNCTION("""COMPUTED_VALUE"""),145359.0)</f>
        <v>145359</v>
      </c>
      <c r="F193" s="21" t="str">
        <f>IFERROR(__xludf.DUMMYFUNCTION("""COMPUTED_VALUE"""),"INICIALIZADO")</f>
        <v>INICIALIZADO</v>
      </c>
      <c r="G193" s="23">
        <f>IFERROR(__xludf.DUMMYFUNCTION("""COMPUTED_VALUE"""),45618.65200231482)</f>
        <v>45618.652</v>
      </c>
      <c r="H193" s="24" t="str">
        <f>IFERROR(VLOOKUP(B193,material!A:D,3,0),"")</f>
        <v>TOP MIX</v>
      </c>
    </row>
    <row r="194" ht="11.25" customHeight="1">
      <c r="A194" s="21" t="str">
        <f>IFERROR(__xludf.DUMMYFUNCTION("""COMPUTED_VALUE"""),"DECODER DIGITAL HD HNB100 2T")</f>
        <v>DECODER DIGITAL HD HNB100 2T</v>
      </c>
      <c r="B194" s="22">
        <f>IFERROR(__xludf.DUMMYFUNCTION("""COMPUTED_VALUE"""),4.1001276E7)</f>
        <v>41001276</v>
      </c>
      <c r="C194" s="21" t="str">
        <f>IFERROR(__xludf.DUMMYFUNCTION("""COMPUTED_VALUE"""),"216812822737")</f>
        <v>216812822737</v>
      </c>
      <c r="D194" s="21" t="str">
        <f>IFERROR(__xludf.DUMMYFUNCTION("""COMPUTED_VALUE"""),"DIGITEC TECNOLOGIA DIGITAL E REPRES")</f>
        <v>DIGITEC TECNOLOGIA DIGITAL E REPRES</v>
      </c>
      <c r="E194" s="21">
        <f>IFERROR(__xludf.DUMMYFUNCTION("""COMPUTED_VALUE"""),145359.0)</f>
        <v>145359</v>
      </c>
      <c r="F194" s="21" t="str">
        <f>IFERROR(__xludf.DUMMYFUNCTION("""COMPUTED_VALUE"""),"INICIALIZADO")</f>
        <v>INICIALIZADO</v>
      </c>
      <c r="G194" s="23">
        <f>IFERROR(__xludf.DUMMYFUNCTION("""COMPUTED_VALUE"""),45635.53501157407)</f>
        <v>45635.53501</v>
      </c>
      <c r="H194" s="24" t="str">
        <f>IFERROR(VLOOKUP(B194,material!A:D,3,0),"")</f>
        <v>TOP MIX</v>
      </c>
    </row>
    <row r="195" ht="11.25" customHeight="1">
      <c r="A195" s="21" t="str">
        <f>IFERROR(__xludf.DUMMYFUNCTION("""COMPUTED_VALUE"""),"DECODER DIGITAL HD HNB100 2T")</f>
        <v>DECODER DIGITAL HD HNB100 2T</v>
      </c>
      <c r="B195" s="22">
        <f>IFERROR(__xludf.DUMMYFUNCTION("""COMPUTED_VALUE"""),4.1001276E7)</f>
        <v>41001276</v>
      </c>
      <c r="C195" s="21" t="str">
        <f>IFERROR(__xludf.DUMMYFUNCTION("""COMPUTED_VALUE"""),"216862164870")</f>
        <v>216862164870</v>
      </c>
      <c r="D195" s="21" t="str">
        <f>IFERROR(__xludf.DUMMYFUNCTION("""COMPUTED_VALUE"""),"DIGITEC TECNOLOGIA DIGITAL E REPRES")</f>
        <v>DIGITEC TECNOLOGIA DIGITAL E REPRES</v>
      </c>
      <c r="E195" s="21">
        <f>IFERROR(__xludf.DUMMYFUNCTION("""COMPUTED_VALUE"""),145359.0)</f>
        <v>145359</v>
      </c>
      <c r="F195" s="21" t="str">
        <f>IFERROR(__xludf.DUMMYFUNCTION("""COMPUTED_VALUE"""),"INICIALIZADO")</f>
        <v>INICIALIZADO</v>
      </c>
      <c r="G195" s="23">
        <f>IFERROR(__xludf.DUMMYFUNCTION("""COMPUTED_VALUE"""),45635.53501157407)</f>
        <v>45635.53501</v>
      </c>
      <c r="H195" s="24" t="str">
        <f>IFERROR(VLOOKUP(B195,material!A:D,3,0),"")</f>
        <v>TOP MIX</v>
      </c>
    </row>
    <row r="196" ht="11.25" customHeight="1">
      <c r="A196" s="21" t="str">
        <f>IFERROR(__xludf.DUMMYFUNCTION("""COMPUTED_VALUE"""),"DECODER DIGITAL HD HNB100 2T")</f>
        <v>DECODER DIGITAL HD HNB100 2T</v>
      </c>
      <c r="B196" s="22">
        <f>IFERROR(__xludf.DUMMYFUNCTION("""COMPUTED_VALUE"""),4.1001276E7)</f>
        <v>41001276</v>
      </c>
      <c r="C196" s="21" t="str">
        <f>IFERROR(__xludf.DUMMYFUNCTION("""COMPUTED_VALUE"""),"216859384969")</f>
        <v>216859384969</v>
      </c>
      <c r="D196" s="21" t="str">
        <f>IFERROR(__xludf.DUMMYFUNCTION("""COMPUTED_VALUE"""),"DIGITEC TECNOLOGIA DIGITAL E REPRES")</f>
        <v>DIGITEC TECNOLOGIA DIGITAL E REPRES</v>
      </c>
      <c r="E196" s="21">
        <f>IFERROR(__xludf.DUMMYFUNCTION("""COMPUTED_VALUE"""),145359.0)</f>
        <v>145359</v>
      </c>
      <c r="F196" s="21" t="str">
        <f>IFERROR(__xludf.DUMMYFUNCTION("""COMPUTED_VALUE"""),"INICIALIZADO")</f>
        <v>INICIALIZADO</v>
      </c>
      <c r="G196" s="23">
        <f>IFERROR(__xludf.DUMMYFUNCTION("""COMPUTED_VALUE"""),45635.53503472223)</f>
        <v>45635.53503</v>
      </c>
      <c r="H196" s="24" t="str">
        <f>IFERROR(VLOOKUP(B196,material!A:D,3,0),"")</f>
        <v>TOP MIX</v>
      </c>
    </row>
    <row r="197" ht="11.25" customHeight="1">
      <c r="A197" s="21" t="str">
        <f>IFERROR(__xludf.DUMMYFUNCTION("""COMPUTED_VALUE"""),"SMART CARD PRETO NAGRA")</f>
        <v>SMART CARD PRETO NAGRA</v>
      </c>
      <c r="B197" s="22">
        <f>IFERROR(__xludf.DUMMYFUNCTION("""COMPUTED_VALUE"""),4.1001234E7)</f>
        <v>41001234</v>
      </c>
      <c r="C197" s="21" t="str">
        <f>IFERROR(__xludf.DUMMYFUNCTION("""COMPUTED_VALUE"""),"246253984657")</f>
        <v>246253984657</v>
      </c>
      <c r="D197" s="21" t="str">
        <f>IFERROR(__xludf.DUMMYFUNCTION("""COMPUTED_VALUE"""),"DIGITEC TECNOLOGIA DIGITAL E REPRES")</f>
        <v>DIGITEC TECNOLOGIA DIGITAL E REPRES</v>
      </c>
      <c r="E197" s="21">
        <f>IFERROR(__xludf.DUMMYFUNCTION("""COMPUTED_VALUE"""),145359.0)</f>
        <v>145359</v>
      </c>
      <c r="F197" s="21" t="str">
        <f>IFERROR(__xludf.DUMMYFUNCTION("""COMPUTED_VALUE"""),"INICIALIZADO")</f>
        <v>INICIALIZADO</v>
      </c>
      <c r="G197" s="23">
        <f>IFERROR(__xludf.DUMMYFUNCTION("""COMPUTED_VALUE"""),45635.53493055556)</f>
        <v>45635.53493</v>
      </c>
      <c r="H197" s="24" t="str">
        <f>IFERROR(VLOOKUP(B197,material!A:D,3,0),"")</f>
        <v>CARD</v>
      </c>
    </row>
    <row r="198" ht="11.25" customHeight="1">
      <c r="A198" s="21" t="str">
        <f>IFERROR(__xludf.DUMMYFUNCTION("""COMPUTED_VALUE"""),"SMART CARD PRETO NAGRA")</f>
        <v>SMART CARD PRETO NAGRA</v>
      </c>
      <c r="B198" s="22">
        <f>IFERROR(__xludf.DUMMYFUNCTION("""COMPUTED_VALUE"""),4.1001234E7)</f>
        <v>41001234</v>
      </c>
      <c r="C198" s="21" t="str">
        <f>IFERROR(__xludf.DUMMYFUNCTION("""COMPUTED_VALUE"""),"246158376078")</f>
        <v>246158376078</v>
      </c>
      <c r="D198" s="21" t="str">
        <f>IFERROR(__xludf.DUMMYFUNCTION("""COMPUTED_VALUE"""),"DIGITEC TECNOLOGIA DIGITAL E REPRES")</f>
        <v>DIGITEC TECNOLOGIA DIGITAL E REPRES</v>
      </c>
      <c r="E198" s="21">
        <f>IFERROR(__xludf.DUMMYFUNCTION("""COMPUTED_VALUE"""),145359.0)</f>
        <v>145359</v>
      </c>
      <c r="F198" s="21" t="str">
        <f>IFERROR(__xludf.DUMMYFUNCTION("""COMPUTED_VALUE"""),"INICIALIZADO")</f>
        <v>INICIALIZADO</v>
      </c>
      <c r="G198" s="23">
        <f>IFERROR(__xludf.DUMMYFUNCTION("""COMPUTED_VALUE"""),45635.534895833334)</f>
        <v>45635.5349</v>
      </c>
      <c r="H198" s="24" t="str">
        <f>IFERROR(VLOOKUP(B198,material!A:D,3,0),"")</f>
        <v>CARD</v>
      </c>
    </row>
    <row r="199" ht="11.25" customHeight="1">
      <c r="A199" s="21" t="str">
        <f>IFERROR(__xludf.DUMMYFUNCTION("""COMPUTED_VALUE"""),"SMART CARD PRETO NAGRA")</f>
        <v>SMART CARD PRETO NAGRA</v>
      </c>
      <c r="B199" s="22">
        <f>IFERROR(__xludf.DUMMYFUNCTION("""COMPUTED_VALUE"""),4.1001234E7)</f>
        <v>41001234</v>
      </c>
      <c r="C199" s="21" t="str">
        <f>IFERROR(__xludf.DUMMYFUNCTION("""COMPUTED_VALUE"""),"226237973442")</f>
        <v>226237973442</v>
      </c>
      <c r="D199" s="21" t="str">
        <f>IFERROR(__xludf.DUMMYFUNCTION("""COMPUTED_VALUE"""),"DIGITEC TECNOLOGIA DIGITAL E REPRES")</f>
        <v>DIGITEC TECNOLOGIA DIGITAL E REPRES</v>
      </c>
      <c r="E199" s="21">
        <f>IFERROR(__xludf.DUMMYFUNCTION("""COMPUTED_VALUE"""),145359.0)</f>
        <v>145359</v>
      </c>
      <c r="F199" s="21" t="str">
        <f>IFERROR(__xludf.DUMMYFUNCTION("""COMPUTED_VALUE"""),"INICIALIZADO")</f>
        <v>INICIALIZADO</v>
      </c>
      <c r="G199" s="23">
        <f>IFERROR(__xludf.DUMMYFUNCTION("""COMPUTED_VALUE"""),45635.53494212963)</f>
        <v>45635.53494</v>
      </c>
      <c r="H199" s="24" t="str">
        <f>IFERROR(VLOOKUP(B199,material!A:D,3,0),"")</f>
        <v>CARD</v>
      </c>
    </row>
    <row r="200" ht="11.25" customHeight="1">
      <c r="A200" s="21" t="str">
        <f>IFERROR(__xludf.DUMMYFUNCTION("""COMPUTED_VALUE"""),"SMART CARD PRETO NAGRA")</f>
        <v>SMART CARD PRETO NAGRA</v>
      </c>
      <c r="B200" s="22">
        <f>IFERROR(__xludf.DUMMYFUNCTION("""COMPUTED_VALUE"""),4.1001234E7)</f>
        <v>41001234</v>
      </c>
      <c r="C200" s="21" t="str">
        <f>IFERROR(__xludf.DUMMYFUNCTION("""COMPUTED_VALUE"""),"246228129596")</f>
        <v>246228129596</v>
      </c>
      <c r="D200" s="21" t="str">
        <f>IFERROR(__xludf.DUMMYFUNCTION("""COMPUTED_VALUE"""),"DIGITEC TECNOLOGIA DIGITAL E REPRES")</f>
        <v>DIGITEC TECNOLOGIA DIGITAL E REPRES</v>
      </c>
      <c r="E200" s="21">
        <f>IFERROR(__xludf.DUMMYFUNCTION("""COMPUTED_VALUE"""),145359.0)</f>
        <v>145359</v>
      </c>
      <c r="F200" s="21" t="str">
        <f>IFERROR(__xludf.DUMMYFUNCTION("""COMPUTED_VALUE"""),"INICIALIZADO")</f>
        <v>INICIALIZADO</v>
      </c>
      <c r="G200" s="23">
        <f>IFERROR(__xludf.DUMMYFUNCTION("""COMPUTED_VALUE"""),45635.53493055556)</f>
        <v>45635.53493</v>
      </c>
      <c r="H200" s="24" t="str">
        <f>IFERROR(VLOOKUP(B200,material!A:D,3,0),"")</f>
        <v>CARD</v>
      </c>
    </row>
    <row r="201" ht="11.25" customHeight="1">
      <c r="A201" s="21" t="str">
        <f>IFERROR(__xludf.DUMMYFUNCTION("""COMPUTED_VALUE"""),"SMART CARD LARANJA NAGRA")</f>
        <v>SMART CARD LARANJA NAGRA</v>
      </c>
      <c r="B201" s="22">
        <f>IFERROR(__xludf.DUMMYFUNCTION("""COMPUTED_VALUE"""),4.1001186E7)</f>
        <v>41001186</v>
      </c>
      <c r="C201" s="21" t="str">
        <f>IFERROR(__xludf.DUMMYFUNCTION("""COMPUTED_VALUE"""),"215668123546")</f>
        <v>215668123546</v>
      </c>
      <c r="D201" s="21" t="str">
        <f>IFERROR(__xludf.DUMMYFUNCTION("""COMPUTED_VALUE"""),"DIGITEC TECNOLOGIA DIGITAL E REPRES")</f>
        <v>DIGITEC TECNOLOGIA DIGITAL E REPRES</v>
      </c>
      <c r="E201" s="21">
        <f>IFERROR(__xludf.DUMMYFUNCTION("""COMPUTED_VALUE"""),145359.0)</f>
        <v>145359</v>
      </c>
      <c r="F201" s="21" t="str">
        <f>IFERROR(__xludf.DUMMYFUNCTION("""COMPUTED_VALUE"""),"TRANSITO REVERSA")</f>
        <v>TRANSITO REVERSA</v>
      </c>
      <c r="G201" s="23">
        <f>IFERROR(__xludf.DUMMYFUNCTION("""COMPUTED_VALUE"""),45617.87240740741)</f>
        <v>45617.87241</v>
      </c>
      <c r="H201" s="24" t="str">
        <f>IFERROR(VLOOKUP(B201,material!A:D,3,0),"")</f>
        <v>CARD</v>
      </c>
    </row>
    <row r="202" ht="11.25" customHeight="1">
      <c r="A202" s="21" t="str">
        <f>IFERROR(__xludf.DUMMYFUNCTION("""COMPUTED_VALUE"""),"DECODER DIGITAL HD HNB100 2T")</f>
        <v>DECODER DIGITAL HD HNB100 2T</v>
      </c>
      <c r="B202" s="22">
        <f>IFERROR(__xludf.DUMMYFUNCTION("""COMPUTED_VALUE"""),4.1001276E7)</f>
        <v>41001276</v>
      </c>
      <c r="C202" s="21" t="str">
        <f>IFERROR(__xludf.DUMMYFUNCTION("""COMPUTED_VALUE"""),"216700949393")</f>
        <v>216700949393</v>
      </c>
      <c r="D202" s="21" t="str">
        <f>IFERROR(__xludf.DUMMYFUNCTION("""COMPUTED_VALUE"""),"DIGITEC TECNOLOGIA DIGITAL E REPRES")</f>
        <v>DIGITEC TECNOLOGIA DIGITAL E REPRES</v>
      </c>
      <c r="E202" s="21">
        <f>IFERROR(__xludf.DUMMYFUNCTION("""COMPUTED_VALUE"""),145359.0)</f>
        <v>145359</v>
      </c>
      <c r="F202" s="21" t="str">
        <f>IFERROR(__xludf.DUMMYFUNCTION("""COMPUTED_VALUE"""),"TRANSITO REVERSA")</f>
        <v>TRANSITO REVERSA</v>
      </c>
      <c r="G202" s="23">
        <f>IFERROR(__xludf.DUMMYFUNCTION("""COMPUTED_VALUE"""),45633.00341435186)</f>
        <v>45633.00341</v>
      </c>
      <c r="H202" s="24" t="str">
        <f>IFERROR(VLOOKUP(B202,material!A:D,3,0),"")</f>
        <v>TOP MIX</v>
      </c>
    </row>
    <row r="203" ht="11.25" customHeight="1">
      <c r="A203" s="21" t="str">
        <f>IFERROR(__xludf.DUMMYFUNCTION("""COMPUTED_VALUE"""),"EMTA WIFI 3.0 C6500")</f>
        <v>EMTA WIFI 3.0 C6500</v>
      </c>
      <c r="B203" s="22">
        <f>IFERROR(__xludf.DUMMYFUNCTION("""COMPUTED_VALUE"""),4.1001289E7)</f>
        <v>41001289</v>
      </c>
      <c r="C203" s="21" t="str">
        <f>IFERROR(__xludf.DUMMYFUNCTION("""COMPUTED_VALUE"""),"D42C0F289F39")</f>
        <v>D42C0F289F39</v>
      </c>
      <c r="D203" s="21" t="str">
        <f>IFERROR(__xludf.DUMMYFUNCTION("""COMPUTED_VALUE"""),"DIGITEC TECNOLOGIA DIGITAL E REPRES")</f>
        <v>DIGITEC TECNOLOGIA DIGITAL E REPRES</v>
      </c>
      <c r="E203" s="21">
        <f>IFERROR(__xludf.DUMMYFUNCTION("""COMPUTED_VALUE"""),145359.0)</f>
        <v>145359</v>
      </c>
      <c r="F203" s="21" t="str">
        <f>IFERROR(__xludf.DUMMYFUNCTION("""COMPUTED_VALUE"""),"SUSPEITO")</f>
        <v>SUSPEITO</v>
      </c>
      <c r="G203" s="23">
        <f>IFERROR(__xludf.DUMMYFUNCTION("""COMPUTED_VALUE"""),45641.67901620371)</f>
        <v>45641.67902</v>
      </c>
      <c r="H203" s="24" t="str">
        <f>IFERROR(VLOOKUP(B203,material!A:D,3,0),"")</f>
        <v>SINGLE</v>
      </c>
    </row>
    <row r="204" ht="11.25" customHeight="1">
      <c r="A204" s="21" t="str">
        <f>IFERROR(__xludf.DUMMYFUNCTION("""COMPUTED_VALUE"""),"THOMSON HIGH DEFINITION DCI713")</f>
        <v>THOMSON HIGH DEFINITION DCI713</v>
      </c>
      <c r="B204" s="22">
        <f>IFERROR(__xludf.DUMMYFUNCTION("""COMPUTED_VALUE"""),4.1001273E7)</f>
        <v>41001273</v>
      </c>
      <c r="C204" s="21" t="str">
        <f>IFERROR(__xludf.DUMMYFUNCTION("""COMPUTED_VALUE"""),"177162542950")</f>
        <v>177162542950</v>
      </c>
      <c r="D204" s="21" t="str">
        <f>IFERROR(__xludf.DUMMYFUNCTION("""COMPUTED_VALUE"""),"DIGITEC TECNOLOGIA DIGITAL E REPRES")</f>
        <v>DIGITEC TECNOLOGIA DIGITAL E REPRES</v>
      </c>
      <c r="E204" s="21">
        <f>IFERROR(__xludf.DUMMYFUNCTION("""COMPUTED_VALUE"""),145359.0)</f>
        <v>145359</v>
      </c>
      <c r="F204" s="21" t="str">
        <f>IFERROR(__xludf.DUMMYFUNCTION("""COMPUTED_VALUE"""),"SUSPEITO")</f>
        <v>SUSPEITO</v>
      </c>
      <c r="G204" s="23">
        <f>IFERROR(__xludf.DUMMYFUNCTION("""COMPUTED_VALUE"""),45637.75237268519)</f>
        <v>45637.75237</v>
      </c>
      <c r="H204" s="24" t="str">
        <f>IFERROR(VLOOKUP(B204,material!A:D,3,0),"")</f>
        <v>LEGADO</v>
      </c>
    </row>
    <row r="205" ht="11.25" customHeight="1">
      <c r="A205" s="21" t="str">
        <f>IFERROR(__xludf.DUMMYFUNCTION("""COMPUTED_VALUE"""),"SMART CARD PRETO NAGRA")</f>
        <v>SMART CARD PRETO NAGRA</v>
      </c>
      <c r="B205" s="22">
        <f>IFERROR(__xludf.DUMMYFUNCTION("""COMPUTED_VALUE"""),4.1001234E7)</f>
        <v>41001234</v>
      </c>
      <c r="C205" s="21" t="str">
        <f>IFERROR(__xludf.DUMMYFUNCTION("""COMPUTED_VALUE"""),"226155732442")</f>
        <v>226155732442</v>
      </c>
      <c r="D205" s="21" t="str">
        <f>IFERROR(__xludf.DUMMYFUNCTION("""COMPUTED_VALUE"""),"DIGITEC TECNOLOGIA DIGITAL E REPRES")</f>
        <v>DIGITEC TECNOLOGIA DIGITAL E REPRES</v>
      </c>
      <c r="E205" s="21">
        <f>IFERROR(__xludf.DUMMYFUNCTION("""COMPUTED_VALUE"""),145359.0)</f>
        <v>145359</v>
      </c>
      <c r="F205" s="21" t="str">
        <f>IFERROR(__xludf.DUMMYFUNCTION("""COMPUTED_VALUE"""),"COM DEFEITO")</f>
        <v>COM DEFEITO</v>
      </c>
      <c r="G205" s="23">
        <f>IFERROR(__xludf.DUMMYFUNCTION("""COMPUTED_VALUE"""),45617.71435185186)</f>
        <v>45617.71435</v>
      </c>
      <c r="H205" s="24" t="str">
        <f>IFERROR(VLOOKUP(B205,material!A:D,3,0),"")</f>
        <v>CARD</v>
      </c>
    </row>
    <row r="206" ht="11.25" customHeight="1">
      <c r="A206" s="21" t="str">
        <f>IFERROR(__xludf.DUMMYFUNCTION("""COMPUTED_VALUE"""),"DECODER DIGITAL HD HNB100 2T")</f>
        <v>DECODER DIGITAL HD HNB100 2T</v>
      </c>
      <c r="B206" s="22">
        <f>IFERROR(__xludf.DUMMYFUNCTION("""COMPUTED_VALUE"""),4.1001276E7)</f>
        <v>41001276</v>
      </c>
      <c r="C206" s="21" t="str">
        <f>IFERROR(__xludf.DUMMYFUNCTION("""COMPUTED_VALUE"""),"216409798487")</f>
        <v>216409798487</v>
      </c>
      <c r="D206" s="21" t="str">
        <f>IFERROR(__xludf.DUMMYFUNCTION("""COMPUTED_VALUE"""),"DIGITEC TECNOLOGIA DIGITAL E REPRES")</f>
        <v>DIGITEC TECNOLOGIA DIGITAL E REPRES</v>
      </c>
      <c r="E206" s="21">
        <f>IFERROR(__xludf.DUMMYFUNCTION("""COMPUTED_VALUE"""),145359.0)</f>
        <v>145359</v>
      </c>
      <c r="F206" s="21" t="str">
        <f>IFERROR(__xludf.DUMMYFUNCTION("""COMPUTED_VALUE"""),"INICIALIZADO")</f>
        <v>INICIALIZADO</v>
      </c>
      <c r="G206" s="23">
        <f>IFERROR(__xludf.DUMMYFUNCTION("""COMPUTED_VALUE"""),45635.535046296296)</f>
        <v>45635.53505</v>
      </c>
      <c r="H206" s="24" t="str">
        <f>IFERROR(VLOOKUP(B206,material!A:D,3,0),"")</f>
        <v>TOP MIX</v>
      </c>
    </row>
    <row r="207" ht="11.25" customHeight="1">
      <c r="A207" s="21" t="str">
        <f>IFERROR(__xludf.DUMMYFUNCTION("""COMPUTED_VALUE"""),"SMART CARD LARANJA NAGRA")</f>
        <v>SMART CARD LARANJA NAGRA</v>
      </c>
      <c r="B207" s="22">
        <f>IFERROR(__xludf.DUMMYFUNCTION("""COMPUTED_VALUE"""),4.1001186E7)</f>
        <v>41001186</v>
      </c>
      <c r="C207" s="21" t="str">
        <f>IFERROR(__xludf.DUMMYFUNCTION("""COMPUTED_VALUE"""),"226455815465")</f>
        <v>226455815465</v>
      </c>
      <c r="D207" s="21" t="str">
        <f>IFERROR(__xludf.DUMMYFUNCTION("""COMPUTED_VALUE"""),"DIGITEC TECNOLOGIA DIGITAL E REPRES")</f>
        <v>DIGITEC TECNOLOGIA DIGITAL E REPRES</v>
      </c>
      <c r="E207" s="21">
        <f>IFERROR(__xludf.DUMMYFUNCTION("""COMPUTED_VALUE"""),145359.0)</f>
        <v>145359</v>
      </c>
      <c r="F207" s="21" t="str">
        <f>IFERROR(__xludf.DUMMYFUNCTION("""COMPUTED_VALUE"""),"INICIALIZADO")</f>
        <v>INICIALIZADO</v>
      </c>
      <c r="G207" s="23">
        <f>IFERROR(__xludf.DUMMYFUNCTION("""COMPUTED_VALUE"""),45000.35914351852)</f>
        <v>45000.35914</v>
      </c>
      <c r="H207" s="24" t="str">
        <f>IFERROR(VLOOKUP(B207,material!A:D,3,0),"")</f>
        <v>CARD</v>
      </c>
    </row>
    <row r="208" ht="11.25" customHeight="1">
      <c r="A208" s="21" t="str">
        <f>IFERROR(__xludf.DUMMYFUNCTION("""COMPUTED_VALUE"""),"SMART CARD LARANJA NAGRA")</f>
        <v>SMART CARD LARANJA NAGRA</v>
      </c>
      <c r="B208" s="22">
        <f>IFERROR(__xludf.DUMMYFUNCTION("""COMPUTED_VALUE"""),4.1001186E7)</f>
        <v>41001186</v>
      </c>
      <c r="C208" s="21" t="str">
        <f>IFERROR(__xludf.DUMMYFUNCTION("""COMPUTED_VALUE"""),"225909910909")</f>
        <v>225909910909</v>
      </c>
      <c r="D208" s="21" t="str">
        <f>IFERROR(__xludf.DUMMYFUNCTION("""COMPUTED_VALUE"""),"DIGITEC TECNOLOGIA DIGITAL E REPRES")</f>
        <v>DIGITEC TECNOLOGIA DIGITAL E REPRES</v>
      </c>
      <c r="E208" s="21">
        <f>IFERROR(__xludf.DUMMYFUNCTION("""COMPUTED_VALUE"""),145359.0)</f>
        <v>145359</v>
      </c>
      <c r="F208" s="21" t="str">
        <f>IFERROR(__xludf.DUMMYFUNCTION("""COMPUTED_VALUE"""),"INICIALIZADO")</f>
        <v>INICIALIZADO</v>
      </c>
      <c r="G208" s="23">
        <f>IFERROR(__xludf.DUMMYFUNCTION("""COMPUTED_VALUE"""),45573.66674768519)</f>
        <v>45573.66675</v>
      </c>
      <c r="H208" s="24" t="str">
        <f>IFERROR(VLOOKUP(B208,material!A:D,3,0),"")</f>
        <v>CARD</v>
      </c>
    </row>
    <row r="209" ht="11.25" customHeight="1">
      <c r="A209" s="21" t="str">
        <f>IFERROR(__xludf.DUMMYFUNCTION("""COMPUTED_VALUE"""),"ARRIS TG1692A")</f>
        <v>ARRIS TG1692A</v>
      </c>
      <c r="B209" s="22">
        <f>IFERROR(__xludf.DUMMYFUNCTION("""COMPUTED_VALUE"""),4.1001293E7)</f>
        <v>41001293</v>
      </c>
      <c r="C209" s="21" t="str">
        <f>IFERROR(__xludf.DUMMYFUNCTION("""COMPUTED_VALUE"""),"5819F84784AA")</f>
        <v>5819F84784AA</v>
      </c>
      <c r="D209" s="21" t="str">
        <f>IFERROR(__xludf.DUMMYFUNCTION("""COMPUTED_VALUE"""),"DIGITEC TECNOLOGIA DIGITAL E REPRES")</f>
        <v>DIGITEC TECNOLOGIA DIGITAL E REPRES</v>
      </c>
      <c r="E209" s="21">
        <f>IFERROR(__xludf.DUMMYFUNCTION("""COMPUTED_VALUE"""),145359.0)</f>
        <v>145359</v>
      </c>
      <c r="F209" s="21" t="str">
        <f>IFERROR(__xludf.DUMMYFUNCTION("""COMPUTED_VALUE"""),"TRANSITO REVERSA")</f>
        <v>TRANSITO REVERSA</v>
      </c>
      <c r="G209" s="23">
        <f>IFERROR(__xludf.DUMMYFUNCTION("""COMPUTED_VALUE"""),45617.87143518518)</f>
        <v>45617.87144</v>
      </c>
      <c r="H209" s="24" t="str">
        <f>IFERROR(VLOOKUP(B209,material!A:D,3,0),"")</f>
        <v>DUAL</v>
      </c>
    </row>
    <row r="210" ht="11.25" customHeight="1">
      <c r="A210" s="21" t="str">
        <f>IFERROR(__xludf.DUMMYFUNCTION("""COMPUTED_VALUE"""),"DECODER DIGITAL HD DXC5000 2T")</f>
        <v>DECODER DIGITAL HD DXC5000 2T</v>
      </c>
      <c r="B210" s="22">
        <f>IFERROR(__xludf.DUMMYFUNCTION("""COMPUTED_VALUE"""),4.1001277E7)</f>
        <v>41001277</v>
      </c>
      <c r="C210" s="21" t="str">
        <f>IFERROR(__xludf.DUMMYFUNCTION("""COMPUTED_VALUE"""),"216779492436")</f>
        <v>216779492436</v>
      </c>
      <c r="D210" s="21" t="str">
        <f>IFERROR(__xludf.DUMMYFUNCTION("""COMPUTED_VALUE"""),"DIGITEC TECNOLOGIA DIGITAL E REPRES")</f>
        <v>DIGITEC TECNOLOGIA DIGITAL E REPRES</v>
      </c>
      <c r="E210" s="21">
        <f>IFERROR(__xludf.DUMMYFUNCTION("""COMPUTED_VALUE"""),145359.0)</f>
        <v>145359</v>
      </c>
      <c r="F210" s="21" t="str">
        <f>IFERROR(__xludf.DUMMYFUNCTION("""COMPUTED_VALUE"""),"TRANSITO REVERSA")</f>
        <v>TRANSITO REVERSA</v>
      </c>
      <c r="G210" s="23">
        <f>IFERROR(__xludf.DUMMYFUNCTION("""COMPUTED_VALUE"""),45626.29924768519)</f>
        <v>45626.29925</v>
      </c>
      <c r="H210" s="24" t="str">
        <f>IFERROR(VLOOKUP(B210,material!A:D,3,0),"")</f>
        <v>TOP MIX</v>
      </c>
    </row>
    <row r="211" ht="11.25" customHeight="1">
      <c r="A211" s="21" t="str">
        <f>IFERROR(__xludf.DUMMYFUNCTION("""COMPUTED_VALUE"""),"SMART CARD PRETO NAGRA")</f>
        <v>SMART CARD PRETO NAGRA</v>
      </c>
      <c r="B211" s="22">
        <f>IFERROR(__xludf.DUMMYFUNCTION("""COMPUTED_VALUE"""),4.1001234E7)</f>
        <v>41001234</v>
      </c>
      <c r="C211" s="21" t="str">
        <f>IFERROR(__xludf.DUMMYFUNCTION("""COMPUTED_VALUE"""),"246155124358")</f>
        <v>246155124358</v>
      </c>
      <c r="D211" s="21" t="str">
        <f>IFERROR(__xludf.DUMMYFUNCTION("""COMPUTED_VALUE"""),"DIGITEC TECNOLOGIA DIGITAL E REPRES")</f>
        <v>DIGITEC TECNOLOGIA DIGITAL E REPRES</v>
      </c>
      <c r="E211" s="21">
        <f>IFERROR(__xludf.DUMMYFUNCTION("""COMPUTED_VALUE"""),145359.0)</f>
        <v>145359</v>
      </c>
      <c r="F211" s="21" t="str">
        <f>IFERROR(__xludf.DUMMYFUNCTION("""COMPUTED_VALUE"""),"TRANSITO REVERSA")</f>
        <v>TRANSITO REVERSA</v>
      </c>
      <c r="G211" s="23">
        <f>IFERROR(__xludf.DUMMYFUNCTION("""COMPUTED_VALUE"""),45638.520636574074)</f>
        <v>45638.52064</v>
      </c>
      <c r="H211" s="24" t="str">
        <f>IFERROR(VLOOKUP(B211,material!A:D,3,0),"")</f>
        <v>CARD</v>
      </c>
    </row>
    <row r="212" ht="11.25" customHeight="1">
      <c r="A212" s="21" t="str">
        <f>IFERROR(__xludf.DUMMYFUNCTION("""COMPUTED_VALUE"""),"SMART CARD PRETO NAGRA")</f>
        <v>SMART CARD PRETO NAGRA</v>
      </c>
      <c r="B212" s="22">
        <f>IFERROR(__xludf.DUMMYFUNCTION("""COMPUTED_VALUE"""),4.1001234E7)</f>
        <v>41001234</v>
      </c>
      <c r="C212" s="21" t="str">
        <f>IFERROR(__xludf.DUMMYFUNCTION("""COMPUTED_VALUE"""),"226395467880")</f>
        <v>226395467880</v>
      </c>
      <c r="D212" s="21" t="str">
        <f>IFERROR(__xludf.DUMMYFUNCTION("""COMPUTED_VALUE"""),"DIGITEC TECNOLOGIA DIGITAL E REPRES")</f>
        <v>DIGITEC TECNOLOGIA DIGITAL E REPRES</v>
      </c>
      <c r="E212" s="21">
        <f>IFERROR(__xludf.DUMMYFUNCTION("""COMPUTED_VALUE"""),145359.0)</f>
        <v>145359</v>
      </c>
      <c r="F212" s="21" t="str">
        <f>IFERROR(__xludf.DUMMYFUNCTION("""COMPUTED_VALUE"""),"TRANSITO REVERSA")</f>
        <v>TRANSITO REVERSA</v>
      </c>
      <c r="G212" s="23">
        <f>IFERROR(__xludf.DUMMYFUNCTION("""COMPUTED_VALUE"""),45617.87240740741)</f>
        <v>45617.87241</v>
      </c>
      <c r="H212" s="24" t="str">
        <f>IFERROR(VLOOKUP(B212,material!A:D,3,0),"")</f>
        <v>CARD</v>
      </c>
    </row>
    <row r="213" ht="11.25" customHeight="1">
      <c r="A213" s="21" t="str">
        <f>IFERROR(__xludf.DUMMYFUNCTION("""COMPUTED_VALUE"""),"SMART CARD PRETO NAGRA")</f>
        <v>SMART CARD PRETO NAGRA</v>
      </c>
      <c r="B213" s="22">
        <f>IFERROR(__xludf.DUMMYFUNCTION("""COMPUTED_VALUE"""),4.1001234E7)</f>
        <v>41001234</v>
      </c>
      <c r="C213" s="21" t="str">
        <f>IFERROR(__xludf.DUMMYFUNCTION("""COMPUTED_VALUE"""),"226192370608")</f>
        <v>226192370608</v>
      </c>
      <c r="D213" s="21" t="str">
        <f>IFERROR(__xludf.DUMMYFUNCTION("""COMPUTED_VALUE"""),"DIGITEC TECNOLOGIA DIGITAL E REPRES")</f>
        <v>DIGITEC TECNOLOGIA DIGITAL E REPRES</v>
      </c>
      <c r="E213" s="21">
        <f>IFERROR(__xludf.DUMMYFUNCTION("""COMPUTED_VALUE"""),145359.0)</f>
        <v>145359</v>
      </c>
      <c r="F213" s="21" t="str">
        <f>IFERROR(__xludf.DUMMYFUNCTION("""COMPUTED_VALUE"""),"TRANSITO REVERSA")</f>
        <v>TRANSITO REVERSA</v>
      </c>
      <c r="G213" s="23">
        <f>IFERROR(__xludf.DUMMYFUNCTION("""COMPUTED_VALUE"""),45633.00340277777)</f>
        <v>45633.0034</v>
      </c>
      <c r="H213" s="24" t="str">
        <f>IFERROR(VLOOKUP(B213,material!A:D,3,0),"")</f>
        <v>CARD</v>
      </c>
    </row>
    <row r="214" ht="11.25" customHeight="1">
      <c r="A214" s="21" t="str">
        <f>IFERROR(__xludf.DUMMYFUNCTION("""COMPUTED_VALUE"""),"SMART CARD PRETO NAGRA")</f>
        <v>SMART CARD PRETO NAGRA</v>
      </c>
      <c r="B214" s="22">
        <f>IFERROR(__xludf.DUMMYFUNCTION("""COMPUTED_VALUE"""),4.1001234E7)</f>
        <v>41001234</v>
      </c>
      <c r="C214" s="21" t="str">
        <f>IFERROR(__xludf.DUMMYFUNCTION("""COMPUTED_VALUE"""),"246062437287")</f>
        <v>246062437287</v>
      </c>
      <c r="D214" s="21" t="str">
        <f>IFERROR(__xludf.DUMMYFUNCTION("""COMPUTED_VALUE"""),"DIGITEC TECNOLOGIA DIGITAL E REPRES")</f>
        <v>DIGITEC TECNOLOGIA DIGITAL E REPRES</v>
      </c>
      <c r="E214" s="21">
        <f>IFERROR(__xludf.DUMMYFUNCTION("""COMPUTED_VALUE"""),145359.0)</f>
        <v>145359</v>
      </c>
      <c r="F214" s="21" t="str">
        <f>IFERROR(__xludf.DUMMYFUNCTION("""COMPUTED_VALUE"""),"TRANSITO REVERSA")</f>
        <v>TRANSITO REVERSA</v>
      </c>
      <c r="G214" s="23">
        <f>IFERROR(__xludf.DUMMYFUNCTION("""COMPUTED_VALUE"""),45633.00340277777)</f>
        <v>45633.0034</v>
      </c>
      <c r="H214" s="24" t="str">
        <f>IFERROR(VLOOKUP(B214,material!A:D,3,0),"")</f>
        <v>CARD</v>
      </c>
    </row>
    <row r="215" ht="11.25" customHeight="1">
      <c r="A215" s="21" t="str">
        <f>IFERROR(__xludf.DUMMYFUNCTION("""COMPUTED_VALUE"""),"SMART CARD LARANJA NAGRA")</f>
        <v>SMART CARD LARANJA NAGRA</v>
      </c>
      <c r="B215" s="22">
        <f>IFERROR(__xludf.DUMMYFUNCTION("""COMPUTED_VALUE"""),4.1001186E7)</f>
        <v>41001186</v>
      </c>
      <c r="C215" s="21" t="str">
        <f>IFERROR(__xludf.DUMMYFUNCTION("""COMPUTED_VALUE"""),"225828686382")</f>
        <v>225828686382</v>
      </c>
      <c r="D215" s="21" t="str">
        <f>IFERROR(__xludf.DUMMYFUNCTION("""COMPUTED_VALUE"""),"DIGITEC TECNOLOGIA DIGITAL E REPRES")</f>
        <v>DIGITEC TECNOLOGIA DIGITAL E REPRES</v>
      </c>
      <c r="E215" s="21">
        <f>IFERROR(__xludf.DUMMYFUNCTION("""COMPUTED_VALUE"""),145359.0)</f>
        <v>145359</v>
      </c>
      <c r="F215" s="21" t="str">
        <f>IFERROR(__xludf.DUMMYFUNCTION("""COMPUTED_VALUE"""),"PERDA")</f>
        <v>PERDA</v>
      </c>
      <c r="G215" s="23">
        <f>IFERROR(__xludf.DUMMYFUNCTION("""COMPUTED_VALUE"""),45113.486875)</f>
        <v>45113.48688</v>
      </c>
      <c r="H215" s="24" t="str">
        <f>IFERROR(VLOOKUP(B215,material!A:D,3,0),"")</f>
        <v>CARD</v>
      </c>
    </row>
    <row r="216" ht="11.25" customHeight="1">
      <c r="A216" s="21" t="str">
        <f>IFERROR(__xludf.DUMMYFUNCTION("""COMPUTED_VALUE"""),"ARRIS TG1692A")</f>
        <v>ARRIS TG1692A</v>
      </c>
      <c r="B216" s="22">
        <f>IFERROR(__xludf.DUMMYFUNCTION("""COMPUTED_VALUE"""),4.1001293E7)</f>
        <v>41001293</v>
      </c>
      <c r="C216" s="21" t="str">
        <f>IFERROR(__xludf.DUMMYFUNCTION("""COMPUTED_VALUE"""),"5819F8473FC7")</f>
        <v>5819F8473FC7</v>
      </c>
      <c r="D216" s="21" t="str">
        <f>IFERROR(__xludf.DUMMYFUNCTION("""COMPUTED_VALUE"""),"DIGITEC TECNOLOGIA DIGITAL E REPRES")</f>
        <v>DIGITEC TECNOLOGIA DIGITAL E REPRES</v>
      </c>
      <c r="E216" s="21">
        <f>IFERROR(__xludf.DUMMYFUNCTION("""COMPUTED_VALUE"""),145359.0)</f>
        <v>145359</v>
      </c>
      <c r="F216" s="21" t="str">
        <f>IFERROR(__xludf.DUMMYFUNCTION("""COMPUTED_VALUE"""),"SUSPEITO")</f>
        <v>SUSPEITO</v>
      </c>
      <c r="G216" s="23">
        <f>IFERROR(__xludf.DUMMYFUNCTION("""COMPUTED_VALUE"""),45639.62646990741)</f>
        <v>45639.62647</v>
      </c>
      <c r="H216" s="24" t="str">
        <f>IFERROR(VLOOKUP(B216,material!A:D,3,0),"")</f>
        <v>DUAL</v>
      </c>
    </row>
    <row r="217" ht="11.25" customHeight="1">
      <c r="A217" s="21" t="str">
        <f>IFERROR(__xludf.DUMMYFUNCTION("""COMPUTED_VALUE"""),"SMART CARD PRETO NAGRA")</f>
        <v>SMART CARD PRETO NAGRA</v>
      </c>
      <c r="B217" s="22">
        <f>IFERROR(__xludf.DUMMYFUNCTION("""COMPUTED_VALUE"""),4.1001234E7)</f>
        <v>41001234</v>
      </c>
      <c r="C217" s="21" t="str">
        <f>IFERROR(__xludf.DUMMYFUNCTION("""COMPUTED_VALUE"""),"226085794864")</f>
        <v>226085794864</v>
      </c>
      <c r="D217" s="21" t="str">
        <f>IFERROR(__xludf.DUMMYFUNCTION("""COMPUTED_VALUE"""),"DIGITEC TECNOLOGIA DIGITAL E REPRES")</f>
        <v>DIGITEC TECNOLOGIA DIGITAL E REPRES</v>
      </c>
      <c r="E217" s="21">
        <f>IFERROR(__xludf.DUMMYFUNCTION("""COMPUTED_VALUE"""),145359.0)</f>
        <v>145359</v>
      </c>
      <c r="F217" s="21" t="str">
        <f>IFERROR(__xludf.DUMMYFUNCTION("""COMPUTED_VALUE"""),"SUSPEITO")</f>
        <v>SUSPEITO</v>
      </c>
      <c r="G217" s="23">
        <f>IFERROR(__xludf.DUMMYFUNCTION("""COMPUTED_VALUE"""),45638.64320601852)</f>
        <v>45638.64321</v>
      </c>
      <c r="H217" s="24" t="str">
        <f>IFERROR(VLOOKUP(B217,material!A:D,3,0),"")</f>
        <v>CARD</v>
      </c>
    </row>
    <row r="218" ht="11.25" customHeight="1">
      <c r="A218" s="21" t="str">
        <f>IFERROR(__xludf.DUMMYFUNCTION("""COMPUTED_VALUE"""),"ARRIS TG1692A")</f>
        <v>ARRIS TG1692A</v>
      </c>
      <c r="B218" s="22">
        <f>IFERROR(__xludf.DUMMYFUNCTION("""COMPUTED_VALUE"""),4.1001293E7)</f>
        <v>41001293</v>
      </c>
      <c r="C218" s="21" t="str">
        <f>IFERROR(__xludf.DUMMYFUNCTION("""COMPUTED_VALUE"""),"BC644BDF5631")</f>
        <v>BC644BDF5631</v>
      </c>
      <c r="D218" s="21" t="str">
        <f>IFERROR(__xludf.DUMMYFUNCTION("""COMPUTED_VALUE"""),"DIGITEC TECNOLOGIA DIGITAL E REPRES")</f>
        <v>DIGITEC TECNOLOGIA DIGITAL E REPRES</v>
      </c>
      <c r="E218" s="21">
        <f>IFERROR(__xludf.DUMMYFUNCTION("""COMPUTED_VALUE"""),145359.0)</f>
        <v>145359</v>
      </c>
      <c r="F218" s="21" t="str">
        <f>IFERROR(__xludf.DUMMYFUNCTION("""COMPUTED_VALUE"""),"INICIALIZADO")</f>
        <v>INICIALIZADO</v>
      </c>
      <c r="G218" s="23">
        <f>IFERROR(__xludf.DUMMYFUNCTION("""COMPUTED_VALUE"""),45602.64472222222)</f>
        <v>45602.64472</v>
      </c>
      <c r="H218" s="24" t="str">
        <f>IFERROR(VLOOKUP(B218,material!A:D,3,0),"")</f>
        <v>DUAL</v>
      </c>
    </row>
    <row r="219" ht="11.25" customHeight="1">
      <c r="A219" s="21" t="str">
        <f>IFERROR(__xludf.DUMMYFUNCTION("""COMPUTED_VALUE"""),"DECODER DIGITAL HD HNB100 2T")</f>
        <v>DECODER DIGITAL HD HNB100 2T</v>
      </c>
      <c r="B219" s="22">
        <f>IFERROR(__xludf.DUMMYFUNCTION("""COMPUTED_VALUE"""),4.1001276E7)</f>
        <v>41001276</v>
      </c>
      <c r="C219" s="21" t="str">
        <f>IFERROR(__xludf.DUMMYFUNCTION("""COMPUTED_VALUE"""),"216562814252")</f>
        <v>216562814252</v>
      </c>
      <c r="D219" s="21" t="str">
        <f>IFERROR(__xludf.DUMMYFUNCTION("""COMPUTED_VALUE"""),"DIGITEC TECNOLOGIA DIGITAL E REPRES")</f>
        <v>DIGITEC TECNOLOGIA DIGITAL E REPRES</v>
      </c>
      <c r="E219" s="21">
        <f>IFERROR(__xludf.DUMMYFUNCTION("""COMPUTED_VALUE"""),145359.0)</f>
        <v>145359</v>
      </c>
      <c r="F219" s="21" t="str">
        <f>IFERROR(__xludf.DUMMYFUNCTION("""COMPUTED_VALUE"""),"INICIALIZADO")</f>
        <v>INICIALIZADO</v>
      </c>
      <c r="G219" s="23">
        <f>IFERROR(__xludf.DUMMYFUNCTION("""COMPUTED_VALUE"""),45635.53506944445)</f>
        <v>45635.53507</v>
      </c>
      <c r="H219" s="24" t="str">
        <f>IFERROR(VLOOKUP(B219,material!A:D,3,0),"")</f>
        <v>TOP MIX</v>
      </c>
    </row>
    <row r="220" ht="11.25" customHeight="1">
      <c r="A220" s="21" t="str">
        <f>IFERROR(__xludf.DUMMYFUNCTION("""COMPUTED_VALUE"""),"SMART CARD PRETO NAGRA")</f>
        <v>SMART CARD PRETO NAGRA</v>
      </c>
      <c r="B220" s="22">
        <f>IFERROR(__xludf.DUMMYFUNCTION("""COMPUTED_VALUE"""),4.1001234E7)</f>
        <v>41001234</v>
      </c>
      <c r="C220" s="21" t="str">
        <f>IFERROR(__xludf.DUMMYFUNCTION("""COMPUTED_VALUE"""),"226396478091")</f>
        <v>226396478091</v>
      </c>
      <c r="D220" s="21" t="str">
        <f>IFERROR(__xludf.DUMMYFUNCTION("""COMPUTED_VALUE"""),"DIGITEC TECNOLOGIA DIGITAL E REPRES")</f>
        <v>DIGITEC TECNOLOGIA DIGITAL E REPRES</v>
      </c>
      <c r="E220" s="21">
        <f>IFERROR(__xludf.DUMMYFUNCTION("""COMPUTED_VALUE"""),145359.0)</f>
        <v>145359</v>
      </c>
      <c r="F220" s="21" t="str">
        <f>IFERROR(__xludf.DUMMYFUNCTION("""COMPUTED_VALUE"""),"INICIALIZADO")</f>
        <v>INICIALIZADO</v>
      </c>
      <c r="G220" s="23">
        <f>IFERROR(__xludf.DUMMYFUNCTION("""COMPUTED_VALUE"""),45635.534953703704)</f>
        <v>45635.53495</v>
      </c>
      <c r="H220" s="24" t="str">
        <f>IFERROR(VLOOKUP(B220,material!A:D,3,0),"")</f>
        <v>CARD</v>
      </c>
    </row>
    <row r="221" ht="11.25" customHeight="1">
      <c r="A221" s="21" t="str">
        <f>IFERROR(__xludf.DUMMYFUNCTION("""COMPUTED_VALUE"""),"SMART CARD PRETO NAGRA")</f>
        <v>SMART CARD PRETO NAGRA</v>
      </c>
      <c r="B221" s="22">
        <f>IFERROR(__xludf.DUMMYFUNCTION("""COMPUTED_VALUE"""),4.1001234E7)</f>
        <v>41001234</v>
      </c>
      <c r="C221" s="21" t="str">
        <f>IFERROR(__xludf.DUMMYFUNCTION("""COMPUTED_VALUE"""),"246290453334")</f>
        <v>246290453334</v>
      </c>
      <c r="D221" s="21" t="str">
        <f>IFERROR(__xludf.DUMMYFUNCTION("""COMPUTED_VALUE"""),"DIGITEC TECNOLOGIA DIGITAL E REPRES")</f>
        <v>DIGITEC TECNOLOGIA DIGITAL E REPRES</v>
      </c>
      <c r="E221" s="21">
        <f>IFERROR(__xludf.DUMMYFUNCTION("""COMPUTED_VALUE"""),145359.0)</f>
        <v>145359</v>
      </c>
      <c r="F221" s="21" t="str">
        <f>IFERROR(__xludf.DUMMYFUNCTION("""COMPUTED_VALUE"""),"INICIALIZADO")</f>
        <v>INICIALIZADO</v>
      </c>
      <c r="G221" s="23">
        <f>IFERROR(__xludf.DUMMYFUNCTION("""COMPUTED_VALUE"""),45635.53491898148)</f>
        <v>45635.53492</v>
      </c>
      <c r="H221" s="24" t="str">
        <f>IFERROR(VLOOKUP(B221,material!A:D,3,0),"")</f>
        <v>CARD</v>
      </c>
    </row>
    <row r="222" ht="11.25" customHeight="1">
      <c r="A222" s="21" t="str">
        <f>IFERROR(__xludf.DUMMYFUNCTION("""COMPUTED_VALUE"""),"THOMSON HIGH DEFINITION DCI713")</f>
        <v>THOMSON HIGH DEFINITION DCI713</v>
      </c>
      <c r="B222" s="22">
        <f>IFERROR(__xludf.DUMMYFUNCTION("""COMPUTED_VALUE"""),4.1001273E7)</f>
        <v>41001273</v>
      </c>
      <c r="C222" s="21" t="str">
        <f>IFERROR(__xludf.DUMMYFUNCTION("""COMPUTED_VALUE"""),"183968996670")</f>
        <v>183968996670</v>
      </c>
      <c r="D222" s="21" t="str">
        <f>IFERROR(__xludf.DUMMYFUNCTION("""COMPUTED_VALUE"""),"DIGITEC TECNOLOGIA DIGITAL E REPRES")</f>
        <v>DIGITEC TECNOLOGIA DIGITAL E REPRES</v>
      </c>
      <c r="E222" s="21">
        <f>IFERROR(__xludf.DUMMYFUNCTION("""COMPUTED_VALUE"""),145359.0)</f>
        <v>145359</v>
      </c>
      <c r="F222" s="21" t="str">
        <f>IFERROR(__xludf.DUMMYFUNCTION("""COMPUTED_VALUE"""),"INICIALIZADO")</f>
        <v>INICIALIZADO</v>
      </c>
      <c r="G222" s="23">
        <f>IFERROR(__xludf.DUMMYFUNCTION("""COMPUTED_VALUE"""),44999.92954861111)</f>
        <v>44999.92955</v>
      </c>
      <c r="H222" s="24" t="str">
        <f>IFERROR(VLOOKUP(B222,material!A:D,3,0),"")</f>
        <v>LEGADO</v>
      </c>
    </row>
    <row r="223" ht="11.25" customHeight="1">
      <c r="A223" s="21" t="str">
        <f>IFERROR(__xludf.DUMMYFUNCTION("""COMPUTED_VALUE"""),"SMART CARD LARANJA")</f>
        <v>SMART CARD LARANJA</v>
      </c>
      <c r="B223" s="22">
        <f>IFERROR(__xludf.DUMMYFUNCTION("""COMPUTED_VALUE"""),4.1001186E7)</f>
        <v>41001186</v>
      </c>
      <c r="C223" s="21" t="str">
        <f>IFERROR(__xludf.DUMMYFUNCTION("""COMPUTED_VALUE"""),"225865390818")</f>
        <v>225865390818</v>
      </c>
      <c r="D223" s="21" t="str">
        <f>IFERROR(__xludf.DUMMYFUNCTION("""COMPUTED_VALUE"""),"DIGITEC TECNOLOGIA DIGITAL E REPRES")</f>
        <v>DIGITEC TECNOLOGIA DIGITAL E REPRES</v>
      </c>
      <c r="E223" s="21">
        <f>IFERROR(__xludf.DUMMYFUNCTION("""COMPUTED_VALUE"""),145359.0)</f>
        <v>145359</v>
      </c>
      <c r="F223" s="21" t="str">
        <f>IFERROR(__xludf.DUMMYFUNCTION("""COMPUTED_VALUE"""),"INICIALIZADO")</f>
        <v>INICIALIZADO</v>
      </c>
      <c r="G223" s="23">
        <f>IFERROR(__xludf.DUMMYFUNCTION("""COMPUTED_VALUE"""),45573.66674768519)</f>
        <v>45573.66675</v>
      </c>
      <c r="H223" s="24" t="str">
        <f>IFERROR(VLOOKUP(B223,material!A:D,3,0),"")</f>
        <v>CARD</v>
      </c>
    </row>
    <row r="224" ht="11.25" customHeight="1">
      <c r="A224" s="21" t="str">
        <f>IFERROR(__xludf.DUMMYFUNCTION("""COMPUTED_VALUE"""),"SMART CARD LARANJA NAGRA")</f>
        <v>SMART CARD LARANJA NAGRA</v>
      </c>
      <c r="B224" s="22">
        <f>IFERROR(__xludf.DUMMYFUNCTION("""COMPUTED_VALUE"""),4.1001186E7)</f>
        <v>41001186</v>
      </c>
      <c r="C224" s="21" t="str">
        <f>IFERROR(__xludf.DUMMYFUNCTION("""COMPUTED_VALUE"""),"226700770719")</f>
        <v>226700770719</v>
      </c>
      <c r="D224" s="21" t="str">
        <f>IFERROR(__xludf.DUMMYFUNCTION("""COMPUTED_VALUE"""),"DIGITEC TECNOLOGIA DIGITAL E REPRES")</f>
        <v>DIGITEC TECNOLOGIA DIGITAL E REPRES</v>
      </c>
      <c r="E224" s="21">
        <f>IFERROR(__xludf.DUMMYFUNCTION("""COMPUTED_VALUE"""),145359.0)</f>
        <v>145359</v>
      </c>
      <c r="F224" s="21" t="str">
        <f>IFERROR(__xludf.DUMMYFUNCTION("""COMPUTED_VALUE"""),"INICIALIZADO")</f>
        <v>INICIALIZADO</v>
      </c>
      <c r="G224" s="23">
        <f>IFERROR(__xludf.DUMMYFUNCTION("""COMPUTED_VALUE"""),45000.78186342593)</f>
        <v>45000.78186</v>
      </c>
      <c r="H224" s="24" t="str">
        <f>IFERROR(VLOOKUP(B224,material!A:D,3,0),"")</f>
        <v>CARD</v>
      </c>
    </row>
    <row r="225" ht="11.25" customHeight="1">
      <c r="A225" s="21" t="str">
        <f>IFERROR(__xludf.DUMMYFUNCTION("""COMPUTED_VALUE"""),"PACE - HIGH DEFINITION DCR7411")</f>
        <v>PACE - HIGH DEFINITION DCR7411</v>
      </c>
      <c r="B225" s="22">
        <f>IFERROR(__xludf.DUMMYFUNCTION("""COMPUTED_VALUE"""),4.1001216E7)</f>
        <v>41001216</v>
      </c>
      <c r="C225" s="21" t="str">
        <f>IFERROR(__xludf.DUMMYFUNCTION("""COMPUTED_VALUE"""),"175186231319")</f>
        <v>175186231319</v>
      </c>
      <c r="D225" s="21" t="str">
        <f>IFERROR(__xludf.DUMMYFUNCTION("""COMPUTED_VALUE"""),"DIGITEC TECNOLOGIA DIGITAL E REPRES")</f>
        <v>DIGITEC TECNOLOGIA DIGITAL E REPRES</v>
      </c>
      <c r="E225" s="21">
        <f>IFERROR(__xludf.DUMMYFUNCTION("""COMPUTED_VALUE"""),145359.0)</f>
        <v>145359</v>
      </c>
      <c r="F225" s="21" t="str">
        <f>IFERROR(__xludf.DUMMYFUNCTION("""COMPUTED_VALUE"""),"ANALISE DE INVENTARIO")</f>
        <v>ANALISE DE INVENTARIO</v>
      </c>
      <c r="G225" s="23">
        <f>IFERROR(__xludf.DUMMYFUNCTION("""COMPUTED_VALUE"""),45517.70171296297)</f>
        <v>45517.70171</v>
      </c>
      <c r="H225" s="24" t="str">
        <f>IFERROR(VLOOKUP(B225,material!A:D,3,0),"")</f>
        <v>LEGADO</v>
      </c>
    </row>
    <row r="226" ht="11.25" customHeight="1">
      <c r="A226" s="21" t="str">
        <f>IFERROR(__xludf.DUMMYFUNCTION("""COMPUTED_VALUE"""),"ARRIS TG1692A")</f>
        <v>ARRIS TG1692A</v>
      </c>
      <c r="B226" s="22">
        <f>IFERROR(__xludf.DUMMYFUNCTION("""COMPUTED_VALUE"""),4.1001293E7)</f>
        <v>41001293</v>
      </c>
      <c r="C226" s="21" t="str">
        <f>IFERROR(__xludf.DUMMYFUNCTION("""COMPUTED_VALUE"""),"5819F847086D")</f>
        <v>5819F847086D</v>
      </c>
      <c r="D226" s="21" t="str">
        <f>IFERROR(__xludf.DUMMYFUNCTION("""COMPUTED_VALUE"""),"DIGITEC TECNOLOGIA DIGITAL E REPRES")</f>
        <v>DIGITEC TECNOLOGIA DIGITAL E REPRES</v>
      </c>
      <c r="E226" s="21">
        <f>IFERROR(__xludf.DUMMYFUNCTION("""COMPUTED_VALUE"""),145359.0)</f>
        <v>145359</v>
      </c>
      <c r="F226" s="21" t="str">
        <f>IFERROR(__xludf.DUMMYFUNCTION("""COMPUTED_VALUE"""),"TRANSITO REVERSA")</f>
        <v>TRANSITO REVERSA</v>
      </c>
      <c r="G226" s="23">
        <f>IFERROR(__xludf.DUMMYFUNCTION("""COMPUTED_VALUE"""),45633.00399305555)</f>
        <v>45633.00399</v>
      </c>
      <c r="H226" s="24" t="str">
        <f>IFERROR(VLOOKUP(B226,material!A:D,3,0),"")</f>
        <v>DUAL</v>
      </c>
    </row>
    <row r="227" ht="11.25" customHeight="1">
      <c r="A227" s="21" t="str">
        <f>IFERROR(__xludf.DUMMYFUNCTION("""COMPUTED_VALUE"""),"DECODER DIGITAL HD HNB100 2T")</f>
        <v>DECODER DIGITAL HD HNB100 2T</v>
      </c>
      <c r="B227" s="22">
        <f>IFERROR(__xludf.DUMMYFUNCTION("""COMPUTED_VALUE"""),4.1001276E7)</f>
        <v>41001276</v>
      </c>
      <c r="C227" s="21" t="str">
        <f>IFERROR(__xludf.DUMMYFUNCTION("""COMPUTED_VALUE"""),"216353391132")</f>
        <v>216353391132</v>
      </c>
      <c r="D227" s="21" t="str">
        <f>IFERROR(__xludf.DUMMYFUNCTION("""COMPUTED_VALUE"""),"DIGITEC TECNOLOGIA DIGITAL E REPRES")</f>
        <v>DIGITEC TECNOLOGIA DIGITAL E REPRES</v>
      </c>
      <c r="E227" s="21">
        <f>IFERROR(__xludf.DUMMYFUNCTION("""COMPUTED_VALUE"""),145359.0)</f>
        <v>145359</v>
      </c>
      <c r="F227" s="21" t="str">
        <f>IFERROR(__xludf.DUMMYFUNCTION("""COMPUTED_VALUE"""),"TRANSITO REVERSA")</f>
        <v>TRANSITO REVERSA</v>
      </c>
      <c r="G227" s="23">
        <f>IFERROR(__xludf.DUMMYFUNCTION("""COMPUTED_VALUE"""),45626.298692129625)</f>
        <v>45626.29869</v>
      </c>
      <c r="H227" s="24" t="str">
        <f>IFERROR(VLOOKUP(B227,material!A:D,3,0),"")</f>
        <v>TOP MIX</v>
      </c>
    </row>
    <row r="228" ht="11.25" customHeight="1">
      <c r="A228" s="21" t="str">
        <f>IFERROR(__xludf.DUMMYFUNCTION("""COMPUTED_VALUE"""),"SMART CARD LARANJA")</f>
        <v>SMART CARD LARANJA</v>
      </c>
      <c r="B228" s="22">
        <f>IFERROR(__xludf.DUMMYFUNCTION("""COMPUTED_VALUE"""),4.1001186E7)</f>
        <v>41001186</v>
      </c>
      <c r="C228" s="21" t="str">
        <f>IFERROR(__xludf.DUMMYFUNCTION("""COMPUTED_VALUE"""),"225865504465")</f>
        <v>225865504465</v>
      </c>
      <c r="D228" s="21" t="str">
        <f>IFERROR(__xludf.DUMMYFUNCTION("""COMPUTED_VALUE"""),"DIGITEC TECNOLOGIA DIGITAL E REPRES")</f>
        <v>DIGITEC TECNOLOGIA DIGITAL E REPRES</v>
      </c>
      <c r="E228" s="21">
        <f>IFERROR(__xludf.DUMMYFUNCTION("""COMPUTED_VALUE"""),145359.0)</f>
        <v>145359</v>
      </c>
      <c r="F228" s="21" t="str">
        <f>IFERROR(__xludf.DUMMYFUNCTION("""COMPUTED_VALUE"""),"TRANSITO REVERSA")</f>
        <v>TRANSITO REVERSA</v>
      </c>
      <c r="G228" s="23">
        <f>IFERROR(__xludf.DUMMYFUNCTION("""COMPUTED_VALUE"""),45633.00336805556)</f>
        <v>45633.00337</v>
      </c>
      <c r="H228" s="24" t="str">
        <f>IFERROR(VLOOKUP(B228,material!A:D,3,0),"")</f>
        <v>CARD</v>
      </c>
    </row>
    <row r="229" ht="11.25" customHeight="1">
      <c r="A229" s="21" t="str">
        <f>IFERROR(__xludf.DUMMYFUNCTION("""COMPUTED_VALUE"""),"SMART CARD LARANJA NAGRA")</f>
        <v>SMART CARD LARANJA NAGRA</v>
      </c>
      <c r="B229" s="22">
        <f>IFERROR(__xludf.DUMMYFUNCTION("""COMPUTED_VALUE"""),4.1001186E7)</f>
        <v>41001186</v>
      </c>
      <c r="C229" s="21" t="str">
        <f>IFERROR(__xludf.DUMMYFUNCTION("""COMPUTED_VALUE"""),"225935243437")</f>
        <v>225935243437</v>
      </c>
      <c r="D229" s="21" t="str">
        <f>IFERROR(__xludf.DUMMYFUNCTION("""COMPUTED_VALUE"""),"DIGITEC TECNOLOGIA DIGITAL E REPRES")</f>
        <v>DIGITEC TECNOLOGIA DIGITAL E REPRES</v>
      </c>
      <c r="E229" s="21">
        <f>IFERROR(__xludf.DUMMYFUNCTION("""COMPUTED_VALUE"""),145359.0)</f>
        <v>145359</v>
      </c>
      <c r="F229" s="21" t="str">
        <f>IFERROR(__xludf.DUMMYFUNCTION("""COMPUTED_VALUE"""),"TRANSITO REVERSA")</f>
        <v>TRANSITO REVERSA</v>
      </c>
      <c r="G229" s="23">
        <f>IFERROR(__xludf.DUMMYFUNCTION("""COMPUTED_VALUE"""),45617.87143518518)</f>
        <v>45617.87144</v>
      </c>
      <c r="H229" s="24" t="str">
        <f>IFERROR(VLOOKUP(B229,material!A:D,3,0),"")</f>
        <v>CARD</v>
      </c>
    </row>
    <row r="230" ht="11.25" customHeight="1">
      <c r="A230" s="21" t="str">
        <f>IFERROR(__xludf.DUMMYFUNCTION("""COMPUTED_VALUE"""),"SMART CARD LARANJA NAGRA")</f>
        <v>SMART CARD LARANJA NAGRA</v>
      </c>
      <c r="B230" s="22">
        <f>IFERROR(__xludf.DUMMYFUNCTION("""COMPUTED_VALUE"""),4.1001186E7)</f>
        <v>41001186</v>
      </c>
      <c r="C230" s="21" t="str">
        <f>IFERROR(__xludf.DUMMYFUNCTION("""COMPUTED_VALUE"""),"215936165272")</f>
        <v>215936165272</v>
      </c>
      <c r="D230" s="21" t="str">
        <f>IFERROR(__xludf.DUMMYFUNCTION("""COMPUTED_VALUE"""),"DIGITEC TECNOLOGIA DIGITAL E REPRES")</f>
        <v>DIGITEC TECNOLOGIA DIGITAL E REPRES</v>
      </c>
      <c r="E230" s="21">
        <f>IFERROR(__xludf.DUMMYFUNCTION("""COMPUTED_VALUE"""),145359.0)</f>
        <v>145359</v>
      </c>
      <c r="F230" s="21" t="str">
        <f>IFERROR(__xludf.DUMMYFUNCTION("""COMPUTED_VALUE"""),"TRANSITO REVERSA")</f>
        <v>TRANSITO REVERSA</v>
      </c>
      <c r="G230" s="23">
        <f>IFERROR(__xludf.DUMMYFUNCTION("""COMPUTED_VALUE"""),45638.520636574074)</f>
        <v>45638.52064</v>
      </c>
      <c r="H230" s="24" t="str">
        <f>IFERROR(VLOOKUP(B230,material!A:D,3,0),"")</f>
        <v>CARD</v>
      </c>
    </row>
    <row r="231" ht="11.25" customHeight="1">
      <c r="A231" s="21" t="str">
        <f>IFERROR(__xludf.DUMMYFUNCTION("""COMPUTED_VALUE"""),"SMART CARD LARANJA NAGRA")</f>
        <v>SMART CARD LARANJA NAGRA</v>
      </c>
      <c r="B231" s="22">
        <f>IFERROR(__xludf.DUMMYFUNCTION("""COMPUTED_VALUE"""),4.1001186E7)</f>
        <v>41001186</v>
      </c>
      <c r="C231" s="21" t="str">
        <f>IFERROR(__xludf.DUMMYFUNCTION("""COMPUTED_VALUE"""),"215688294044")</f>
        <v>215688294044</v>
      </c>
      <c r="D231" s="21" t="str">
        <f>IFERROR(__xludf.DUMMYFUNCTION("""COMPUTED_VALUE"""),"DIGITEC TECNOLOGIA DIGITAL E REPRES")</f>
        <v>DIGITEC TECNOLOGIA DIGITAL E REPRES</v>
      </c>
      <c r="E231" s="21">
        <f>IFERROR(__xludf.DUMMYFUNCTION("""COMPUTED_VALUE"""),145359.0)</f>
        <v>145359</v>
      </c>
      <c r="F231" s="21" t="str">
        <f>IFERROR(__xludf.DUMMYFUNCTION("""COMPUTED_VALUE"""),"TRANSITO REVERSA")</f>
        <v>TRANSITO REVERSA</v>
      </c>
      <c r="G231" s="23">
        <f>IFERROR(__xludf.DUMMYFUNCTION("""COMPUTED_VALUE"""),45638.52061342592)</f>
        <v>45638.52061</v>
      </c>
      <c r="H231" s="24" t="str">
        <f>IFERROR(VLOOKUP(B231,material!A:D,3,0),"")</f>
        <v>CARD</v>
      </c>
    </row>
    <row r="232" ht="11.25" customHeight="1">
      <c r="A232" s="21" t="str">
        <f>IFERROR(__xludf.DUMMYFUNCTION("""COMPUTED_VALUE"""),"SMART CARD LARANJA NAGRA")</f>
        <v>SMART CARD LARANJA NAGRA</v>
      </c>
      <c r="B232" s="22">
        <f>IFERROR(__xludf.DUMMYFUNCTION("""COMPUTED_VALUE"""),4.1001186E7)</f>
        <v>41001186</v>
      </c>
      <c r="C232" s="21" t="str">
        <f>IFERROR(__xludf.DUMMYFUNCTION("""COMPUTED_VALUE"""),"225942964763")</f>
        <v>225942964763</v>
      </c>
      <c r="D232" s="21" t="str">
        <f>IFERROR(__xludf.DUMMYFUNCTION("""COMPUTED_VALUE"""),"DIGITEC TECNOLOGIA DIGITAL E REPRES")</f>
        <v>DIGITEC TECNOLOGIA DIGITAL E REPRES</v>
      </c>
      <c r="E232" s="21">
        <f>IFERROR(__xludf.DUMMYFUNCTION("""COMPUTED_VALUE"""),145359.0)</f>
        <v>145359</v>
      </c>
      <c r="F232" s="21" t="str">
        <f>IFERROR(__xludf.DUMMYFUNCTION("""COMPUTED_VALUE"""),"PERDA")</f>
        <v>PERDA</v>
      </c>
      <c r="G232" s="23">
        <f>IFERROR(__xludf.DUMMYFUNCTION("""COMPUTED_VALUE"""),45113.486875)</f>
        <v>45113.48688</v>
      </c>
      <c r="H232" s="24" t="str">
        <f>IFERROR(VLOOKUP(B232,material!A:D,3,0),"")</f>
        <v>CARD</v>
      </c>
    </row>
    <row r="233" ht="11.25" customHeight="1">
      <c r="A233" s="21" t="str">
        <f>IFERROR(__xludf.DUMMYFUNCTION("""COMPUTED_VALUE"""),"SMART CARD LARANJA NAGRA")</f>
        <v>SMART CARD LARANJA NAGRA</v>
      </c>
      <c r="B233" s="22">
        <f>IFERROR(__xludf.DUMMYFUNCTION("""COMPUTED_VALUE"""),4.1001186E7)</f>
        <v>41001186</v>
      </c>
      <c r="C233" s="21" t="str">
        <f>IFERROR(__xludf.DUMMYFUNCTION("""COMPUTED_VALUE"""),"226455773542")</f>
        <v>226455773542</v>
      </c>
      <c r="D233" s="21" t="str">
        <f>IFERROR(__xludf.DUMMYFUNCTION("""COMPUTED_VALUE"""),"DIGITEC TECNOLOGIA DIGITAL E REPRES")</f>
        <v>DIGITEC TECNOLOGIA DIGITAL E REPRES</v>
      </c>
      <c r="E233" s="21">
        <f>IFERROR(__xludf.DUMMYFUNCTION("""COMPUTED_VALUE"""),145359.0)</f>
        <v>145359</v>
      </c>
      <c r="F233" s="21" t="str">
        <f>IFERROR(__xludf.DUMMYFUNCTION("""COMPUTED_VALUE"""),"PERDA")</f>
        <v>PERDA</v>
      </c>
      <c r="G233" s="23">
        <f>IFERROR(__xludf.DUMMYFUNCTION("""COMPUTED_VALUE"""),45113.486875)</f>
        <v>45113.48688</v>
      </c>
      <c r="H233" s="24" t="str">
        <f>IFERROR(VLOOKUP(B233,material!A:D,3,0),"")</f>
        <v>CARD</v>
      </c>
    </row>
    <row r="234" ht="11.25" customHeight="1">
      <c r="A234" s="21" t="str">
        <f>IFERROR(__xludf.DUMMYFUNCTION("""COMPUTED_VALUE"""),"SMART CARD LARANJA NAGRA")</f>
        <v>SMART CARD LARANJA NAGRA</v>
      </c>
      <c r="B234" s="22">
        <f>IFERROR(__xludf.DUMMYFUNCTION("""COMPUTED_VALUE"""),4.1001186E7)</f>
        <v>41001186</v>
      </c>
      <c r="C234" s="21" t="str">
        <f>IFERROR(__xludf.DUMMYFUNCTION("""COMPUTED_VALUE"""),"225832228893")</f>
        <v>225832228893</v>
      </c>
      <c r="D234" s="21" t="str">
        <f>IFERROR(__xludf.DUMMYFUNCTION("""COMPUTED_VALUE"""),"DIGITEC TECNOLOGIA DIGITAL E REPRES")</f>
        <v>DIGITEC TECNOLOGIA DIGITAL E REPRES</v>
      </c>
      <c r="E234" s="21">
        <f>IFERROR(__xludf.DUMMYFUNCTION("""COMPUTED_VALUE"""),145359.0)</f>
        <v>145359</v>
      </c>
      <c r="F234" s="21" t="str">
        <f>IFERROR(__xludf.DUMMYFUNCTION("""COMPUTED_VALUE"""),"PERDA")</f>
        <v>PERDA</v>
      </c>
      <c r="G234" s="23">
        <f>IFERROR(__xludf.DUMMYFUNCTION("""COMPUTED_VALUE"""),45113.486875)</f>
        <v>45113.48688</v>
      </c>
      <c r="H234" s="24" t="str">
        <f>IFERROR(VLOOKUP(B234,material!A:D,3,0),"")</f>
        <v>CARD</v>
      </c>
    </row>
    <row r="235" ht="11.25" customHeight="1">
      <c r="A235" s="21" t="str">
        <f>IFERROR(__xludf.DUMMYFUNCTION("""COMPUTED_VALUE"""),"SMART CARD LARANJA NAGRA")</f>
        <v>SMART CARD LARANJA NAGRA</v>
      </c>
      <c r="B235" s="22">
        <f>IFERROR(__xludf.DUMMYFUNCTION("""COMPUTED_VALUE"""),4.1001186E7)</f>
        <v>41001186</v>
      </c>
      <c r="C235" s="21" t="str">
        <f>IFERROR(__xludf.DUMMYFUNCTION("""COMPUTED_VALUE"""),"215553471717")</f>
        <v>215553471717</v>
      </c>
      <c r="D235" s="21" t="str">
        <f>IFERROR(__xludf.DUMMYFUNCTION("""COMPUTED_VALUE"""),"DIGITEC TECNOLOGIA DIGITAL E REPRES")</f>
        <v>DIGITEC TECNOLOGIA DIGITAL E REPRES</v>
      </c>
      <c r="E235" s="21">
        <f>IFERROR(__xludf.DUMMYFUNCTION("""COMPUTED_VALUE"""),145359.0)</f>
        <v>145359</v>
      </c>
      <c r="F235" s="21" t="str">
        <f>IFERROR(__xludf.DUMMYFUNCTION("""COMPUTED_VALUE"""),"PERDA")</f>
        <v>PERDA</v>
      </c>
      <c r="G235" s="23">
        <f>IFERROR(__xludf.DUMMYFUNCTION("""COMPUTED_VALUE"""),45113.486875)</f>
        <v>45113.48688</v>
      </c>
      <c r="H235" s="24" t="str">
        <f>IFERROR(VLOOKUP(B235,material!A:D,3,0),"")</f>
        <v>CARD</v>
      </c>
    </row>
    <row r="236" ht="11.25" customHeight="1">
      <c r="A236" s="21" t="str">
        <f>IFERROR(__xludf.DUMMYFUNCTION("""COMPUTED_VALUE"""),"SMART CARD LARANJA NAGRA")</f>
        <v>SMART CARD LARANJA NAGRA</v>
      </c>
      <c r="B236" s="22">
        <f>IFERROR(__xludf.DUMMYFUNCTION("""COMPUTED_VALUE"""),4.1001186E7)</f>
        <v>41001186</v>
      </c>
      <c r="C236" s="21" t="str">
        <f>IFERROR(__xludf.DUMMYFUNCTION("""COMPUTED_VALUE"""),"215655410409")</f>
        <v>215655410409</v>
      </c>
      <c r="D236" s="21" t="str">
        <f>IFERROR(__xludf.DUMMYFUNCTION("""COMPUTED_VALUE"""),"DIGITEC TECNOLOGIA DIGITAL E REPRES")</f>
        <v>DIGITEC TECNOLOGIA DIGITAL E REPRES</v>
      </c>
      <c r="E236" s="21">
        <f>IFERROR(__xludf.DUMMYFUNCTION("""COMPUTED_VALUE"""),145359.0)</f>
        <v>145359</v>
      </c>
      <c r="F236" s="21" t="str">
        <f>IFERROR(__xludf.DUMMYFUNCTION("""COMPUTED_VALUE"""),"PERDA")</f>
        <v>PERDA</v>
      </c>
      <c r="G236" s="23">
        <f>IFERROR(__xludf.DUMMYFUNCTION("""COMPUTED_VALUE"""),45113.486875)</f>
        <v>45113.48688</v>
      </c>
      <c r="H236" s="24" t="str">
        <f>IFERROR(VLOOKUP(B236,material!A:D,3,0),"")</f>
        <v>CARD</v>
      </c>
    </row>
    <row r="237" ht="11.25" customHeight="1">
      <c r="A237" s="21" t="str">
        <f>IFERROR(__xludf.DUMMYFUNCTION("""COMPUTED_VALUE"""),"SMART CARD PRETO NAGRA")</f>
        <v>SMART CARD PRETO NAGRA</v>
      </c>
      <c r="B237" s="22">
        <f>IFERROR(__xludf.DUMMYFUNCTION("""COMPUTED_VALUE"""),4.1001234E7)</f>
        <v>41001234</v>
      </c>
      <c r="C237" s="21" t="str">
        <f>IFERROR(__xludf.DUMMYFUNCTION("""COMPUTED_VALUE"""),"246059619706")</f>
        <v>246059619706</v>
      </c>
      <c r="D237" s="21" t="str">
        <f>IFERROR(__xludf.DUMMYFUNCTION("""COMPUTED_VALUE"""),"DIGITEC TECNOLOGIA DIGITAL E REPRES")</f>
        <v>DIGITEC TECNOLOGIA DIGITAL E REPRES</v>
      </c>
      <c r="E237" s="21">
        <f>IFERROR(__xludf.DUMMYFUNCTION("""COMPUTED_VALUE"""),145359.0)</f>
        <v>145359</v>
      </c>
      <c r="F237" s="21" t="str">
        <f>IFERROR(__xludf.DUMMYFUNCTION("""COMPUTED_VALUE"""),"SUSPEITO")</f>
        <v>SUSPEITO</v>
      </c>
      <c r="G237" s="23">
        <f>IFERROR(__xludf.DUMMYFUNCTION("""COMPUTED_VALUE"""),45631.73527777778)</f>
        <v>45631.73528</v>
      </c>
      <c r="H237" s="24" t="str">
        <f>IFERROR(VLOOKUP(B237,material!A:D,3,0),"")</f>
        <v>CARD</v>
      </c>
    </row>
    <row r="238" ht="11.25" customHeight="1">
      <c r="A238" s="21" t="str">
        <f>IFERROR(__xludf.DUMMYFUNCTION("""COMPUTED_VALUE"""),"ARRIS TG1692A")</f>
        <v>ARRIS TG1692A</v>
      </c>
      <c r="B238" s="22">
        <f>IFERROR(__xludf.DUMMYFUNCTION("""COMPUTED_VALUE"""),4.1001293E7)</f>
        <v>41001293</v>
      </c>
      <c r="C238" s="21" t="str">
        <f>IFERROR(__xludf.DUMMYFUNCTION("""COMPUTED_VALUE"""),"BC644BDED634")</f>
        <v>BC644BDED634</v>
      </c>
      <c r="D238" s="21" t="str">
        <f>IFERROR(__xludf.DUMMYFUNCTION("""COMPUTED_VALUE"""),"DIGITEC TECNOLOGIA DIGITAL E REPRES")</f>
        <v>DIGITEC TECNOLOGIA DIGITAL E REPRES</v>
      </c>
      <c r="E238" s="21">
        <f>IFERROR(__xludf.DUMMYFUNCTION("""COMPUTED_VALUE"""),145359.0)</f>
        <v>145359</v>
      </c>
      <c r="F238" s="21" t="str">
        <f>IFERROR(__xludf.DUMMYFUNCTION("""COMPUTED_VALUE"""),"COM DEFEITO")</f>
        <v>COM DEFEITO</v>
      </c>
      <c r="G238" s="23">
        <f>IFERROR(__xludf.DUMMYFUNCTION("""COMPUTED_VALUE"""),45397.70769675926)</f>
        <v>45397.7077</v>
      </c>
      <c r="H238" s="24" t="str">
        <f>IFERROR(VLOOKUP(B238,material!A:D,3,0),"")</f>
        <v>DUAL</v>
      </c>
    </row>
    <row r="239" ht="11.25" customHeight="1">
      <c r="A239" s="21" t="str">
        <f>IFERROR(__xludf.DUMMYFUNCTION("""COMPUTED_VALUE"""),"DECODER DIGITAL HD HNB100 2T")</f>
        <v>DECODER DIGITAL HD HNB100 2T</v>
      </c>
      <c r="B239" s="22">
        <f>IFERROR(__xludf.DUMMYFUNCTION("""COMPUTED_VALUE"""),4.1001276E7)</f>
        <v>41001276</v>
      </c>
      <c r="C239" s="21" t="str">
        <f>IFERROR(__xludf.DUMMYFUNCTION("""COMPUTED_VALUE"""),"216835044748")</f>
        <v>216835044748</v>
      </c>
      <c r="D239" s="21" t="str">
        <f>IFERROR(__xludf.DUMMYFUNCTION("""COMPUTED_VALUE"""),"DIGITEC TECNOLOGIA DIGITAL E REPRES")</f>
        <v>DIGITEC TECNOLOGIA DIGITAL E REPRES</v>
      </c>
      <c r="E239" s="21">
        <f>IFERROR(__xludf.DUMMYFUNCTION("""COMPUTED_VALUE"""),145359.0)</f>
        <v>145359</v>
      </c>
      <c r="F239" s="21" t="str">
        <f>IFERROR(__xludf.DUMMYFUNCTION("""COMPUTED_VALUE"""),"INICIALIZADO")</f>
        <v>INICIALIZADO</v>
      </c>
      <c r="G239" s="23">
        <f>IFERROR(__xludf.DUMMYFUNCTION("""COMPUTED_VALUE"""),45635.53503472223)</f>
        <v>45635.53503</v>
      </c>
      <c r="H239" s="24" t="str">
        <f>IFERROR(VLOOKUP(B239,material!A:D,3,0),"")</f>
        <v>TOP MIX</v>
      </c>
    </row>
    <row r="240" ht="11.25" customHeight="1">
      <c r="A240" s="21" t="str">
        <f>IFERROR(__xludf.DUMMYFUNCTION("""COMPUTED_VALUE"""),"SMART CARD PRETO NAGRA")</f>
        <v>SMART CARD PRETO NAGRA</v>
      </c>
      <c r="B240" s="22">
        <f>IFERROR(__xludf.DUMMYFUNCTION("""COMPUTED_VALUE"""),4.1001234E7)</f>
        <v>41001234</v>
      </c>
      <c r="C240" s="21" t="str">
        <f>IFERROR(__xludf.DUMMYFUNCTION("""COMPUTED_VALUE"""),"246211822529")</f>
        <v>246211822529</v>
      </c>
      <c r="D240" s="21" t="str">
        <f>IFERROR(__xludf.DUMMYFUNCTION("""COMPUTED_VALUE"""),"DIGITEC TECNOLOGIA DIGITAL E REPRES")</f>
        <v>DIGITEC TECNOLOGIA DIGITAL E REPRES</v>
      </c>
      <c r="E240" s="21">
        <f>IFERROR(__xludf.DUMMYFUNCTION("""COMPUTED_VALUE"""),145359.0)</f>
        <v>145359</v>
      </c>
      <c r="F240" s="21" t="str">
        <f>IFERROR(__xludf.DUMMYFUNCTION("""COMPUTED_VALUE"""),"INICIALIZADO")</f>
        <v>INICIALIZADO</v>
      </c>
      <c r="G240" s="23">
        <f>IFERROR(__xludf.DUMMYFUNCTION("""COMPUTED_VALUE"""),45615.61854166667)</f>
        <v>45615.61854</v>
      </c>
      <c r="H240" s="24" t="str">
        <f>IFERROR(VLOOKUP(B240,material!A:D,3,0),"")</f>
        <v>CARD</v>
      </c>
    </row>
    <row r="241" ht="11.25" customHeight="1">
      <c r="A241" s="21" t="str">
        <f>IFERROR(__xludf.DUMMYFUNCTION("""COMPUTED_VALUE"""),"SMART CARD PRETO NAGRA")</f>
        <v>SMART CARD PRETO NAGRA</v>
      </c>
      <c r="B241" s="22">
        <f>IFERROR(__xludf.DUMMYFUNCTION("""COMPUTED_VALUE"""),4.1001234E7)</f>
        <v>41001234</v>
      </c>
      <c r="C241" s="21" t="str">
        <f>IFERROR(__xludf.DUMMYFUNCTION("""COMPUTED_VALUE"""),"226362810306")</f>
        <v>226362810306</v>
      </c>
      <c r="D241" s="21" t="str">
        <f>IFERROR(__xludf.DUMMYFUNCTION("""COMPUTED_VALUE"""),"DIGITEC TECNOLOGIA DIGITAL E REPRES")</f>
        <v>DIGITEC TECNOLOGIA DIGITAL E REPRES</v>
      </c>
      <c r="E241" s="21">
        <f>IFERROR(__xludf.DUMMYFUNCTION("""COMPUTED_VALUE"""),145359.0)</f>
        <v>145359</v>
      </c>
      <c r="F241" s="21" t="str">
        <f>IFERROR(__xludf.DUMMYFUNCTION("""COMPUTED_VALUE"""),"INICIALIZADO")</f>
        <v>INICIALIZADO</v>
      </c>
      <c r="G241" s="23">
        <f>IFERROR(__xludf.DUMMYFUNCTION("""COMPUTED_VALUE"""),45635.53496527778)</f>
        <v>45635.53497</v>
      </c>
      <c r="H241" s="24" t="str">
        <f>IFERROR(VLOOKUP(B241,material!A:D,3,0),"")</f>
        <v>CARD</v>
      </c>
    </row>
    <row r="242" ht="11.25" customHeight="1">
      <c r="A242" s="21" t="str">
        <f>IFERROR(__xludf.DUMMYFUNCTION("""COMPUTED_VALUE"""),"SMART CARD PRETO NAGRA")</f>
        <v>SMART CARD PRETO NAGRA</v>
      </c>
      <c r="B242" s="22">
        <f>IFERROR(__xludf.DUMMYFUNCTION("""COMPUTED_VALUE"""),4.1001234E7)</f>
        <v>41001234</v>
      </c>
      <c r="C242" s="21" t="str">
        <f>IFERROR(__xludf.DUMMYFUNCTION("""COMPUTED_VALUE"""),"246290300009")</f>
        <v>246290300009</v>
      </c>
      <c r="D242" s="21" t="str">
        <f>IFERROR(__xludf.DUMMYFUNCTION("""COMPUTED_VALUE"""),"DIGITEC TECNOLOGIA DIGITAL E REPRES")</f>
        <v>DIGITEC TECNOLOGIA DIGITAL E REPRES</v>
      </c>
      <c r="E242" s="21">
        <f>IFERROR(__xludf.DUMMYFUNCTION("""COMPUTED_VALUE"""),145359.0)</f>
        <v>145359</v>
      </c>
      <c r="F242" s="21" t="str">
        <f>IFERROR(__xludf.DUMMYFUNCTION("""COMPUTED_VALUE"""),"INICIALIZADO")</f>
        <v>INICIALIZADO</v>
      </c>
      <c r="G242" s="23">
        <f>IFERROR(__xludf.DUMMYFUNCTION("""COMPUTED_VALUE"""),45635.53491898148)</f>
        <v>45635.53492</v>
      </c>
      <c r="H242" s="24" t="str">
        <f>IFERROR(VLOOKUP(B242,material!A:D,3,0),"")</f>
        <v>CARD</v>
      </c>
    </row>
    <row r="243" ht="11.25" customHeight="1">
      <c r="A243" s="21" t="str">
        <f>IFERROR(__xludf.DUMMYFUNCTION("""COMPUTED_VALUE"""),"SMART CARD LARANJA NAGRA")</f>
        <v>SMART CARD LARANJA NAGRA</v>
      </c>
      <c r="B243" s="22">
        <f>IFERROR(__xludf.DUMMYFUNCTION("""COMPUTED_VALUE"""),4.1001186E7)</f>
        <v>41001186</v>
      </c>
      <c r="C243" s="21" t="str">
        <f>IFERROR(__xludf.DUMMYFUNCTION("""COMPUTED_VALUE"""),"215750212635")</f>
        <v>215750212635</v>
      </c>
      <c r="D243" s="21" t="str">
        <f>IFERROR(__xludf.DUMMYFUNCTION("""COMPUTED_VALUE"""),"DIGITEC TECNOLOGIA DIGITAL E REPRES")</f>
        <v>DIGITEC TECNOLOGIA DIGITAL E REPRES</v>
      </c>
      <c r="E243" s="21">
        <f>IFERROR(__xludf.DUMMYFUNCTION("""COMPUTED_VALUE"""),145359.0)</f>
        <v>145359</v>
      </c>
      <c r="F243" s="21" t="str">
        <f>IFERROR(__xludf.DUMMYFUNCTION("""COMPUTED_VALUE"""),"INICIALIZADO")</f>
        <v>INICIALIZADO</v>
      </c>
      <c r="G243" s="23">
        <f>IFERROR(__xludf.DUMMYFUNCTION("""COMPUTED_VALUE"""),45573.66674768519)</f>
        <v>45573.66675</v>
      </c>
      <c r="H243" s="24" t="str">
        <f>IFERROR(VLOOKUP(B243,material!A:D,3,0),"")</f>
        <v>CARD</v>
      </c>
    </row>
    <row r="244" ht="11.25" customHeight="1">
      <c r="A244" s="21" t="str">
        <f>IFERROR(__xludf.DUMMYFUNCTION("""COMPUTED_VALUE"""),"SMART CARD LARANJA NAGRA")</f>
        <v>SMART CARD LARANJA NAGRA</v>
      </c>
      <c r="B244" s="22">
        <f>IFERROR(__xludf.DUMMYFUNCTION("""COMPUTED_VALUE"""),4.1001186E7)</f>
        <v>41001186</v>
      </c>
      <c r="C244" s="21" t="str">
        <f>IFERROR(__xludf.DUMMYFUNCTION("""COMPUTED_VALUE"""),"215590110310")</f>
        <v>215590110310</v>
      </c>
      <c r="D244" s="21" t="str">
        <f>IFERROR(__xludf.DUMMYFUNCTION("""COMPUTED_VALUE"""),"DIGITEC TECNOLOGIA DIGITAL E REPRES")</f>
        <v>DIGITEC TECNOLOGIA DIGITAL E REPRES</v>
      </c>
      <c r="E244" s="21">
        <f>IFERROR(__xludf.DUMMYFUNCTION("""COMPUTED_VALUE"""),145359.0)</f>
        <v>145359</v>
      </c>
      <c r="F244" s="21" t="str">
        <f>IFERROR(__xludf.DUMMYFUNCTION("""COMPUTED_VALUE"""),"INICIALIZADO")</f>
        <v>INICIALIZADO</v>
      </c>
      <c r="G244" s="23">
        <f>IFERROR(__xludf.DUMMYFUNCTION("""COMPUTED_VALUE"""),45573.66674768519)</f>
        <v>45573.66675</v>
      </c>
      <c r="H244" s="24" t="str">
        <f>IFERROR(VLOOKUP(B244,material!A:D,3,0),"")</f>
        <v>CARD</v>
      </c>
    </row>
    <row r="245" ht="11.25" customHeight="1">
      <c r="A245" s="21" t="str">
        <f>IFERROR(__xludf.DUMMYFUNCTION("""COMPUTED_VALUE"""),"DCR2231")</f>
        <v>DCR2231</v>
      </c>
      <c r="B245" s="22">
        <f>IFERROR(__xludf.DUMMYFUNCTION("""COMPUTED_VALUE"""),4.1001343E7)</f>
        <v>41001343</v>
      </c>
      <c r="C245" s="21" t="str">
        <f>IFERROR(__xludf.DUMMYFUNCTION("""COMPUTED_VALUE"""),"176658402323")</f>
        <v>176658402323</v>
      </c>
      <c r="D245" s="21" t="str">
        <f>IFERROR(__xludf.DUMMYFUNCTION("""COMPUTED_VALUE"""),"DIGITEC TECNOLOGIA DIGITAL E REPRES")</f>
        <v>DIGITEC TECNOLOGIA DIGITAL E REPRES</v>
      </c>
      <c r="E245" s="21">
        <f>IFERROR(__xludf.DUMMYFUNCTION("""COMPUTED_VALUE"""),145359.0)</f>
        <v>145359</v>
      </c>
      <c r="F245" s="21" t="str">
        <f>IFERROR(__xludf.DUMMYFUNCTION("""COMPUTED_VALUE"""),"TRANSITO REVERSA")</f>
        <v>TRANSITO REVERSA</v>
      </c>
      <c r="G245" s="23">
        <f>IFERROR(__xludf.DUMMYFUNCTION("""COMPUTED_VALUE"""),45638.52186342592)</f>
        <v>45638.52186</v>
      </c>
      <c r="H245" s="24" t="str">
        <f>IFERROR(VLOOKUP(B245,material!A:D,3,0),"")</f>
        <v>DIGITAL</v>
      </c>
    </row>
    <row r="246" ht="11.25" customHeight="1">
      <c r="A246" s="21" t="str">
        <f>IFERROR(__xludf.DUMMYFUNCTION("""COMPUTED_VALUE"""),"SMART CARD LARANJA")</f>
        <v>SMART CARD LARANJA</v>
      </c>
      <c r="B246" s="22">
        <f>IFERROR(__xludf.DUMMYFUNCTION("""COMPUTED_VALUE"""),4.1001186E7)</f>
        <v>41001186</v>
      </c>
      <c r="C246" s="21" t="str">
        <f>IFERROR(__xludf.DUMMYFUNCTION("""COMPUTED_VALUE"""),"226519901114")</f>
        <v>226519901114</v>
      </c>
      <c r="D246" s="21" t="str">
        <f>IFERROR(__xludf.DUMMYFUNCTION("""COMPUTED_VALUE"""),"DIGITEC TECNOLOGIA DIGITAL E REPRES")</f>
        <v>DIGITEC TECNOLOGIA DIGITAL E REPRES</v>
      </c>
      <c r="E246" s="21">
        <f>IFERROR(__xludf.DUMMYFUNCTION("""COMPUTED_VALUE"""),145359.0)</f>
        <v>145359</v>
      </c>
      <c r="F246" s="21" t="str">
        <f>IFERROR(__xludf.DUMMYFUNCTION("""COMPUTED_VALUE"""),"SUCATA")</f>
        <v>SUCATA</v>
      </c>
      <c r="G246" s="23">
        <f>IFERROR(__xludf.DUMMYFUNCTION("""COMPUTED_VALUE"""),45075.59885416667)</f>
        <v>45075.59885</v>
      </c>
      <c r="H246" s="24" t="str">
        <f>IFERROR(VLOOKUP(B246,material!A:D,3,0),"")</f>
        <v>CARD</v>
      </c>
    </row>
    <row r="247" ht="11.25" customHeight="1">
      <c r="A247" s="21" t="str">
        <f>IFERROR(__xludf.DUMMYFUNCTION("""COMPUTED_VALUE"""),"SMART CARD LARANJA NAGRA")</f>
        <v>SMART CARD LARANJA NAGRA</v>
      </c>
      <c r="B247" s="22">
        <f>IFERROR(__xludf.DUMMYFUNCTION("""COMPUTED_VALUE"""),4.1001186E7)</f>
        <v>41001186</v>
      </c>
      <c r="C247" s="21" t="str">
        <f>IFERROR(__xludf.DUMMYFUNCTION("""COMPUTED_VALUE"""),"226668363549")</f>
        <v>226668363549</v>
      </c>
      <c r="D247" s="21" t="str">
        <f>IFERROR(__xludf.DUMMYFUNCTION("""COMPUTED_VALUE"""),"DIGITEC TECNOLOGIA DIGITAL E REPRES")</f>
        <v>DIGITEC TECNOLOGIA DIGITAL E REPRES</v>
      </c>
      <c r="E247" s="21">
        <f>IFERROR(__xludf.DUMMYFUNCTION("""COMPUTED_VALUE"""),145359.0)</f>
        <v>145359</v>
      </c>
      <c r="F247" s="21" t="str">
        <f>IFERROR(__xludf.DUMMYFUNCTION("""COMPUTED_VALUE"""),"SUCATA")</f>
        <v>SUCATA</v>
      </c>
      <c r="G247" s="23">
        <f>IFERROR(__xludf.DUMMYFUNCTION("""COMPUTED_VALUE"""),45075.51189814815)</f>
        <v>45075.5119</v>
      </c>
      <c r="H247" s="24" t="str">
        <f>IFERROR(VLOOKUP(B247,material!A:D,3,0),"")</f>
        <v>CARD</v>
      </c>
    </row>
    <row r="248" ht="11.25" customHeight="1">
      <c r="A248" s="21" t="str">
        <f>IFERROR(__xludf.DUMMYFUNCTION("""COMPUTED_VALUE"""),"SMART CARD LARANJA NAGRA")</f>
        <v>SMART CARD LARANJA NAGRA</v>
      </c>
      <c r="B248" s="22">
        <f>IFERROR(__xludf.DUMMYFUNCTION("""COMPUTED_VALUE"""),4.1001186E7)</f>
        <v>41001186</v>
      </c>
      <c r="C248" s="21" t="str">
        <f>IFERROR(__xludf.DUMMYFUNCTION("""COMPUTED_VALUE"""),"226605410930")</f>
        <v>226605410930</v>
      </c>
      <c r="D248" s="21" t="str">
        <f>IFERROR(__xludf.DUMMYFUNCTION("""COMPUTED_VALUE"""),"DIGITEC TECNOLOGIA DIGITAL E REPRES")</f>
        <v>DIGITEC TECNOLOGIA DIGITAL E REPRES</v>
      </c>
      <c r="E248" s="21">
        <f>IFERROR(__xludf.DUMMYFUNCTION("""COMPUTED_VALUE"""),145359.0)</f>
        <v>145359</v>
      </c>
      <c r="F248" s="21" t="str">
        <f>IFERROR(__xludf.DUMMYFUNCTION("""COMPUTED_VALUE"""),"SUCATA")</f>
        <v>SUCATA</v>
      </c>
      <c r="G248" s="23">
        <f>IFERROR(__xludf.DUMMYFUNCTION("""COMPUTED_VALUE"""),45075.5991087963)</f>
        <v>45075.59911</v>
      </c>
      <c r="H248" s="24" t="str">
        <f>IFERROR(VLOOKUP(B248,material!A:D,3,0),"")</f>
        <v>CARD</v>
      </c>
    </row>
    <row r="249" ht="11.25" customHeight="1">
      <c r="A249" s="21" t="str">
        <f>IFERROR(__xludf.DUMMYFUNCTION("""COMPUTED_VALUE"""),"SMART CARD LARANJA NAGRA")</f>
        <v>SMART CARD LARANJA NAGRA</v>
      </c>
      <c r="B249" s="22">
        <f>IFERROR(__xludf.DUMMYFUNCTION("""COMPUTED_VALUE"""),4.1001186E7)</f>
        <v>41001186</v>
      </c>
      <c r="C249" s="21" t="str">
        <f>IFERROR(__xludf.DUMMYFUNCTION("""COMPUTED_VALUE"""),"215803286669")</f>
        <v>215803286669</v>
      </c>
      <c r="D249" s="21" t="str">
        <f>IFERROR(__xludf.DUMMYFUNCTION("""COMPUTED_VALUE"""),"DIGITEC TECNOLOGIA DIGITAL E REPRES")</f>
        <v>DIGITEC TECNOLOGIA DIGITAL E REPRES</v>
      </c>
      <c r="E249" s="21">
        <f>IFERROR(__xludf.DUMMYFUNCTION("""COMPUTED_VALUE"""),145359.0)</f>
        <v>145359</v>
      </c>
      <c r="F249" s="21" t="str">
        <f>IFERROR(__xludf.DUMMYFUNCTION("""COMPUTED_VALUE"""),"SUCATA")</f>
        <v>SUCATA</v>
      </c>
      <c r="G249" s="23">
        <f>IFERROR(__xludf.DUMMYFUNCTION("""COMPUTED_VALUE"""),45076.62077546296)</f>
        <v>45076.62078</v>
      </c>
      <c r="H249" s="24" t="str">
        <f>IFERROR(VLOOKUP(B249,material!A:D,3,0),"")</f>
        <v>CARD</v>
      </c>
    </row>
    <row r="250" ht="11.25" customHeight="1">
      <c r="A250" s="21" t="str">
        <f>IFERROR(__xludf.DUMMYFUNCTION("""COMPUTED_VALUE"""),"SMART CARD LARANJA NAGRA")</f>
        <v>SMART CARD LARANJA NAGRA</v>
      </c>
      <c r="B250" s="22">
        <f>IFERROR(__xludf.DUMMYFUNCTION("""COMPUTED_VALUE"""),4.1001186E7)</f>
        <v>41001186</v>
      </c>
      <c r="C250" s="21" t="str">
        <f>IFERROR(__xludf.DUMMYFUNCTION("""COMPUTED_VALUE"""),"215669928693")</f>
        <v>215669928693</v>
      </c>
      <c r="D250" s="21" t="str">
        <f>IFERROR(__xludf.DUMMYFUNCTION("""COMPUTED_VALUE"""),"DIGITEC TECNOLOGIA DIGITAL E REPRES")</f>
        <v>DIGITEC TECNOLOGIA DIGITAL E REPRES</v>
      </c>
      <c r="E250" s="21">
        <f>IFERROR(__xludf.DUMMYFUNCTION("""COMPUTED_VALUE"""),145359.0)</f>
        <v>145359</v>
      </c>
      <c r="F250" s="21" t="str">
        <f>IFERROR(__xludf.DUMMYFUNCTION("""COMPUTED_VALUE"""),"SUCATA")</f>
        <v>SUCATA</v>
      </c>
      <c r="G250" s="23">
        <f>IFERROR(__xludf.DUMMYFUNCTION("""COMPUTED_VALUE"""),45075.58660879629)</f>
        <v>45075.58661</v>
      </c>
      <c r="H250" s="24" t="str">
        <f>IFERROR(VLOOKUP(B250,material!A:D,3,0),"")</f>
        <v>CARD</v>
      </c>
    </row>
    <row r="251" ht="11.25" customHeight="1">
      <c r="A251" s="21" t="str">
        <f>IFERROR(__xludf.DUMMYFUNCTION("""COMPUTED_VALUE"""),"SMART CARD LARANJA NAGRA")</f>
        <v>SMART CARD LARANJA NAGRA</v>
      </c>
      <c r="B251" s="22">
        <f>IFERROR(__xludf.DUMMYFUNCTION("""COMPUTED_VALUE"""),4.1001186E7)</f>
        <v>41001186</v>
      </c>
      <c r="C251" s="21" t="str">
        <f>IFERROR(__xludf.DUMMYFUNCTION("""COMPUTED_VALUE"""),"215659425065")</f>
        <v>215659425065</v>
      </c>
      <c r="D251" s="21" t="str">
        <f>IFERROR(__xludf.DUMMYFUNCTION("""COMPUTED_VALUE"""),"DIGITEC TECNOLOGIA DIGITAL E REPRES")</f>
        <v>DIGITEC TECNOLOGIA DIGITAL E REPRES</v>
      </c>
      <c r="E251" s="21">
        <f>IFERROR(__xludf.DUMMYFUNCTION("""COMPUTED_VALUE"""),145359.0)</f>
        <v>145359</v>
      </c>
      <c r="F251" s="21" t="str">
        <f>IFERROR(__xludf.DUMMYFUNCTION("""COMPUTED_VALUE"""),"SUCATA")</f>
        <v>SUCATA</v>
      </c>
      <c r="G251" s="23">
        <f>IFERROR(__xludf.DUMMYFUNCTION("""COMPUTED_VALUE"""),45075.586851851855)</f>
        <v>45075.58685</v>
      </c>
      <c r="H251" s="24" t="str">
        <f>IFERROR(VLOOKUP(B251,material!A:D,3,0),"")</f>
        <v>CARD</v>
      </c>
    </row>
    <row r="252" ht="11.25" customHeight="1">
      <c r="A252" s="21" t="str">
        <f>IFERROR(__xludf.DUMMYFUNCTION("""COMPUTED_VALUE"""),"SMART CARD LARANJA NAGRA")</f>
        <v>SMART CARD LARANJA NAGRA</v>
      </c>
      <c r="B252" s="22">
        <f>IFERROR(__xludf.DUMMYFUNCTION("""COMPUTED_VALUE"""),4.1001186E7)</f>
        <v>41001186</v>
      </c>
      <c r="C252" s="21" t="str">
        <f>IFERROR(__xludf.DUMMYFUNCTION("""COMPUTED_VALUE"""),"215654179817")</f>
        <v>215654179817</v>
      </c>
      <c r="D252" s="21" t="str">
        <f>IFERROR(__xludf.DUMMYFUNCTION("""COMPUTED_VALUE"""),"DIGITEC TECNOLOGIA DIGITAL E REPRES")</f>
        <v>DIGITEC TECNOLOGIA DIGITAL E REPRES</v>
      </c>
      <c r="E252" s="21">
        <f>IFERROR(__xludf.DUMMYFUNCTION("""COMPUTED_VALUE"""),145359.0)</f>
        <v>145359</v>
      </c>
      <c r="F252" s="21" t="str">
        <f>IFERROR(__xludf.DUMMYFUNCTION("""COMPUTED_VALUE"""),"SUCATA")</f>
        <v>SUCATA</v>
      </c>
      <c r="G252" s="23">
        <f>IFERROR(__xludf.DUMMYFUNCTION("""COMPUTED_VALUE"""),45075.58660879629)</f>
        <v>45075.58661</v>
      </c>
      <c r="H252" s="24" t="str">
        <f>IFERROR(VLOOKUP(B252,material!A:D,3,0),"")</f>
        <v>CARD</v>
      </c>
    </row>
    <row r="253" ht="11.25" customHeight="1">
      <c r="A253" s="21" t="str">
        <f>IFERROR(__xludf.DUMMYFUNCTION("""COMPUTED_VALUE"""),"SMART CARD LARANJA NAGRA")</f>
        <v>SMART CARD LARANJA NAGRA</v>
      </c>
      <c r="B253" s="22">
        <f>IFERROR(__xludf.DUMMYFUNCTION("""COMPUTED_VALUE"""),4.1001186E7)</f>
        <v>41001186</v>
      </c>
      <c r="C253" s="21" t="str">
        <f>IFERROR(__xludf.DUMMYFUNCTION("""COMPUTED_VALUE"""),"215742314445")</f>
        <v>215742314445</v>
      </c>
      <c r="D253" s="21" t="str">
        <f>IFERROR(__xludf.DUMMYFUNCTION("""COMPUTED_VALUE"""),"DIGITEC TECNOLOGIA DIGITAL E REPRES")</f>
        <v>DIGITEC TECNOLOGIA DIGITAL E REPRES</v>
      </c>
      <c r="E253" s="21">
        <f>IFERROR(__xludf.DUMMYFUNCTION("""COMPUTED_VALUE"""),145359.0)</f>
        <v>145359</v>
      </c>
      <c r="F253" s="21" t="str">
        <f>IFERROR(__xludf.DUMMYFUNCTION("""COMPUTED_VALUE"""),"SUCATA")</f>
        <v>SUCATA</v>
      </c>
      <c r="G253" s="23">
        <f>IFERROR(__xludf.DUMMYFUNCTION("""COMPUTED_VALUE"""),45075.62226851852)</f>
        <v>45075.62227</v>
      </c>
      <c r="H253" s="24" t="str">
        <f>IFERROR(VLOOKUP(B253,material!A:D,3,0),"")</f>
        <v>CARD</v>
      </c>
    </row>
    <row r="254" ht="11.25" customHeight="1">
      <c r="A254" s="21" t="str">
        <f>IFERROR(__xludf.DUMMYFUNCTION("""COMPUTED_VALUE"""),"HUMAX HGB10R-02")</f>
        <v>HUMAX HGB10R-02</v>
      </c>
      <c r="B254" s="22">
        <f>IFERROR(__xludf.DUMMYFUNCTION("""COMPUTED_VALUE"""),4.1001292E7)</f>
        <v>41001292</v>
      </c>
      <c r="C254" s="21" t="str">
        <f>IFERROR(__xludf.DUMMYFUNCTION("""COMPUTED_VALUE"""),"942CB3403960")</f>
        <v>942CB3403960</v>
      </c>
      <c r="D254" s="21" t="str">
        <f>IFERROR(__xludf.DUMMYFUNCTION("""COMPUTED_VALUE"""),"DIGITEC TECNOLOGIA DIGITAL E REPRES")</f>
        <v>DIGITEC TECNOLOGIA DIGITAL E REPRES</v>
      </c>
      <c r="E254" s="21">
        <f>IFERROR(__xludf.DUMMYFUNCTION("""COMPUTED_VALUE"""),145359.0)</f>
        <v>145359</v>
      </c>
      <c r="F254" s="21" t="str">
        <f>IFERROR(__xludf.DUMMYFUNCTION("""COMPUTED_VALUE"""),"INICIALIZADO")</f>
        <v>INICIALIZADO</v>
      </c>
      <c r="G254" s="23">
        <f>IFERROR(__xludf.DUMMYFUNCTION("""COMPUTED_VALUE"""),45538.41375)</f>
        <v>45538.41375</v>
      </c>
      <c r="H254" s="24" t="str">
        <f>IFERROR(VLOOKUP(B254,material!A:D,3,0),"")</f>
        <v>DUAL</v>
      </c>
    </row>
    <row r="255" ht="11.25" customHeight="1">
      <c r="A255" s="21" t="str">
        <f>IFERROR(__xludf.DUMMYFUNCTION("""COMPUTED_VALUE"""),"DECODER DIGITAL HD DXC5000 2T")</f>
        <v>DECODER DIGITAL HD DXC5000 2T</v>
      </c>
      <c r="B255" s="22">
        <f>IFERROR(__xludf.DUMMYFUNCTION("""COMPUTED_VALUE"""),4.1001277E7)</f>
        <v>41001277</v>
      </c>
      <c r="C255" s="21" t="str">
        <f>IFERROR(__xludf.DUMMYFUNCTION("""COMPUTED_VALUE"""),"216569162627")</f>
        <v>216569162627</v>
      </c>
      <c r="D255" s="21" t="str">
        <f>IFERROR(__xludf.DUMMYFUNCTION("""COMPUTED_VALUE"""),"DIGITEC TECNOLOGIA DIGITAL E REPRES")</f>
        <v>DIGITEC TECNOLOGIA DIGITAL E REPRES</v>
      </c>
      <c r="E255" s="21">
        <f>IFERROR(__xludf.DUMMYFUNCTION("""COMPUTED_VALUE"""),145359.0)</f>
        <v>145359</v>
      </c>
      <c r="F255" s="21" t="str">
        <f>IFERROR(__xludf.DUMMYFUNCTION("""COMPUTED_VALUE"""),"INICIALIZADO")</f>
        <v>INICIALIZADO</v>
      </c>
      <c r="G255" s="23">
        <f>IFERROR(__xludf.DUMMYFUNCTION("""COMPUTED_VALUE"""),45594.64795138889)</f>
        <v>45594.64795</v>
      </c>
      <c r="H255" s="24" t="str">
        <f>IFERROR(VLOOKUP(B255,material!A:D,3,0),"")</f>
        <v>TOP MIX</v>
      </c>
    </row>
    <row r="256" ht="11.25" customHeight="1">
      <c r="A256" s="21" t="str">
        <f>IFERROR(__xludf.DUMMYFUNCTION("""COMPUTED_VALUE"""),"DECODER DIGITAL HD HNB100 2T")</f>
        <v>DECODER DIGITAL HD HNB100 2T</v>
      </c>
      <c r="B256" s="22">
        <f>IFERROR(__xludf.DUMMYFUNCTION("""COMPUTED_VALUE"""),4.1001276E7)</f>
        <v>41001276</v>
      </c>
      <c r="C256" s="21" t="str">
        <f>IFERROR(__xludf.DUMMYFUNCTION("""COMPUTED_VALUE"""),"216514813855")</f>
        <v>216514813855</v>
      </c>
      <c r="D256" s="21" t="str">
        <f>IFERROR(__xludf.DUMMYFUNCTION("""COMPUTED_VALUE"""),"DIGITEC TECNOLOGIA DIGITAL E REPRES")</f>
        <v>DIGITEC TECNOLOGIA DIGITAL E REPRES</v>
      </c>
      <c r="E256" s="21">
        <f>IFERROR(__xludf.DUMMYFUNCTION("""COMPUTED_VALUE"""),145359.0)</f>
        <v>145359</v>
      </c>
      <c r="F256" s="21" t="str">
        <f>IFERROR(__xludf.DUMMYFUNCTION("""COMPUTED_VALUE"""),"INICIALIZADO")</f>
        <v>INICIALIZADO</v>
      </c>
      <c r="G256" s="23">
        <f>IFERROR(__xludf.DUMMYFUNCTION("""COMPUTED_VALUE"""),45635.53508101852)</f>
        <v>45635.53508</v>
      </c>
      <c r="H256" s="24" t="str">
        <f>IFERROR(VLOOKUP(B256,material!A:D,3,0),"")</f>
        <v>TOP MIX</v>
      </c>
    </row>
    <row r="257" ht="11.25" customHeight="1">
      <c r="A257" s="21" t="str">
        <f>IFERROR(__xludf.DUMMYFUNCTION("""COMPUTED_VALUE"""),"SMART CARD PRETO NAGRA")</f>
        <v>SMART CARD PRETO NAGRA</v>
      </c>
      <c r="B257" s="22">
        <f>IFERROR(__xludf.DUMMYFUNCTION("""COMPUTED_VALUE"""),4.1001234E7)</f>
        <v>41001234</v>
      </c>
      <c r="C257" s="21" t="str">
        <f>IFERROR(__xludf.DUMMYFUNCTION("""COMPUTED_VALUE"""),"246177655670")</f>
        <v>246177655670</v>
      </c>
      <c r="D257" s="21" t="str">
        <f>IFERROR(__xludf.DUMMYFUNCTION("""COMPUTED_VALUE"""),"DIGITEC TECNOLOGIA DIGITAL E REPRES")</f>
        <v>DIGITEC TECNOLOGIA DIGITAL E REPRES</v>
      </c>
      <c r="E257" s="21">
        <f>IFERROR(__xludf.DUMMYFUNCTION("""COMPUTED_VALUE"""),145359.0)</f>
        <v>145359</v>
      </c>
      <c r="F257" s="21" t="str">
        <f>IFERROR(__xludf.DUMMYFUNCTION("""COMPUTED_VALUE"""),"INICIALIZADO")</f>
        <v>INICIALIZADO</v>
      </c>
      <c r="G257" s="23">
        <f>IFERROR(__xludf.DUMMYFUNCTION("""COMPUTED_VALUE"""),45635.534895833334)</f>
        <v>45635.5349</v>
      </c>
      <c r="H257" s="24" t="str">
        <f>IFERROR(VLOOKUP(B257,material!A:D,3,0),"")</f>
        <v>CARD</v>
      </c>
    </row>
    <row r="258" ht="11.25" customHeight="1">
      <c r="A258" s="21" t="str">
        <f>IFERROR(__xludf.DUMMYFUNCTION("""COMPUTED_VALUE"""),"SMART CARD PRETO NAGRA")</f>
        <v>SMART CARD PRETO NAGRA</v>
      </c>
      <c r="B258" s="22">
        <f>IFERROR(__xludf.DUMMYFUNCTION("""COMPUTED_VALUE"""),4.1001234E7)</f>
        <v>41001234</v>
      </c>
      <c r="C258" s="21" t="str">
        <f>IFERROR(__xludf.DUMMYFUNCTION("""COMPUTED_VALUE"""),"226280132944")</f>
        <v>226280132944</v>
      </c>
      <c r="D258" s="21" t="str">
        <f>IFERROR(__xludf.DUMMYFUNCTION("""COMPUTED_VALUE"""),"DIGITEC TECNOLOGIA DIGITAL E REPRES")</f>
        <v>DIGITEC TECNOLOGIA DIGITAL E REPRES</v>
      </c>
      <c r="E258" s="21">
        <f>IFERROR(__xludf.DUMMYFUNCTION("""COMPUTED_VALUE"""),145359.0)</f>
        <v>145359</v>
      </c>
      <c r="F258" s="21" t="str">
        <f>IFERROR(__xludf.DUMMYFUNCTION("""COMPUTED_VALUE"""),"INICIALIZADO")</f>
        <v>INICIALIZADO</v>
      </c>
      <c r="G258" s="23">
        <f>IFERROR(__xludf.DUMMYFUNCTION("""COMPUTED_VALUE"""),45635.53497685185)</f>
        <v>45635.53498</v>
      </c>
      <c r="H258" s="24" t="str">
        <f>IFERROR(VLOOKUP(B258,material!A:D,3,0),"")</f>
        <v>CARD</v>
      </c>
    </row>
    <row r="259" ht="11.25" customHeight="1">
      <c r="A259" s="21" t="str">
        <f>IFERROR(__xludf.DUMMYFUNCTION("""COMPUTED_VALUE"""),"SMART CARD PRETO NAGRA")</f>
        <v>SMART CARD PRETO NAGRA</v>
      </c>
      <c r="B259" s="22">
        <f>IFERROR(__xludf.DUMMYFUNCTION("""COMPUTED_VALUE"""),4.1001234E7)</f>
        <v>41001234</v>
      </c>
      <c r="C259" s="21" t="str">
        <f>IFERROR(__xludf.DUMMYFUNCTION("""COMPUTED_VALUE"""),"226244584446")</f>
        <v>226244584446</v>
      </c>
      <c r="D259" s="21" t="str">
        <f>IFERROR(__xludf.DUMMYFUNCTION("""COMPUTED_VALUE"""),"DIGITEC TECNOLOGIA DIGITAL E REPRES")</f>
        <v>DIGITEC TECNOLOGIA DIGITAL E REPRES</v>
      </c>
      <c r="E259" s="21">
        <f>IFERROR(__xludf.DUMMYFUNCTION("""COMPUTED_VALUE"""),145359.0)</f>
        <v>145359</v>
      </c>
      <c r="F259" s="21" t="str">
        <f>IFERROR(__xludf.DUMMYFUNCTION("""COMPUTED_VALUE"""),"INICIALIZADO")</f>
        <v>INICIALIZADO</v>
      </c>
      <c r="G259" s="23">
        <f>IFERROR(__xludf.DUMMYFUNCTION("""COMPUTED_VALUE"""),45635.53494212963)</f>
        <v>45635.53494</v>
      </c>
      <c r="H259" s="24" t="str">
        <f>IFERROR(VLOOKUP(B259,material!A:D,3,0),"")</f>
        <v>CARD</v>
      </c>
    </row>
    <row r="260" ht="11.25" customHeight="1">
      <c r="A260" s="21" t="str">
        <f>IFERROR(__xludf.DUMMYFUNCTION("""COMPUTED_VALUE"""),"SMART CARD PRETO NAGRA")</f>
        <v>SMART CARD PRETO NAGRA</v>
      </c>
      <c r="B260" s="22">
        <f>IFERROR(__xludf.DUMMYFUNCTION("""COMPUTED_VALUE"""),4.1001234E7)</f>
        <v>41001234</v>
      </c>
      <c r="C260" s="21" t="str">
        <f>IFERROR(__xludf.DUMMYFUNCTION("""COMPUTED_VALUE"""),"226314431836")</f>
        <v>226314431836</v>
      </c>
      <c r="D260" s="21" t="str">
        <f>IFERROR(__xludf.DUMMYFUNCTION("""COMPUTED_VALUE"""),"DIGITEC TECNOLOGIA DIGITAL E REPRES")</f>
        <v>DIGITEC TECNOLOGIA DIGITAL E REPRES</v>
      </c>
      <c r="E260" s="21">
        <f>IFERROR(__xludf.DUMMYFUNCTION("""COMPUTED_VALUE"""),145359.0)</f>
        <v>145359</v>
      </c>
      <c r="F260" s="21" t="str">
        <f>IFERROR(__xludf.DUMMYFUNCTION("""COMPUTED_VALUE"""),"INICIALIZADO")</f>
        <v>INICIALIZADO</v>
      </c>
      <c r="G260" s="23">
        <f>IFERROR(__xludf.DUMMYFUNCTION("""COMPUTED_VALUE"""),45618.65201388889)</f>
        <v>45618.65201</v>
      </c>
      <c r="H260" s="24" t="str">
        <f>IFERROR(VLOOKUP(B260,material!A:D,3,0),"")</f>
        <v>CARD</v>
      </c>
    </row>
    <row r="261" ht="11.25" customHeight="1">
      <c r="A261" s="21" t="str">
        <f>IFERROR(__xludf.DUMMYFUNCTION("""COMPUTED_VALUE"""),"ARRIS TG1692A")</f>
        <v>ARRIS TG1692A</v>
      </c>
      <c r="B261" s="22">
        <f>IFERROR(__xludf.DUMMYFUNCTION("""COMPUTED_VALUE"""),4.1001293E7)</f>
        <v>41001293</v>
      </c>
      <c r="C261" s="21" t="str">
        <f>IFERROR(__xludf.DUMMYFUNCTION("""COMPUTED_VALUE"""),"BC644BD92A2C")</f>
        <v>BC644BD92A2C</v>
      </c>
      <c r="D261" s="21" t="str">
        <f>IFERROR(__xludf.DUMMYFUNCTION("""COMPUTED_VALUE"""),"DIGITEC TECNOLOGIA DIGITAL E REPRES")</f>
        <v>DIGITEC TECNOLOGIA DIGITAL E REPRES</v>
      </c>
      <c r="E261" s="21">
        <f>IFERROR(__xludf.DUMMYFUNCTION("""COMPUTED_VALUE"""),145359.0)</f>
        <v>145359</v>
      </c>
      <c r="F261" s="21" t="str">
        <f>IFERROR(__xludf.DUMMYFUNCTION("""COMPUTED_VALUE"""),"TRANSITO REVERSA")</f>
        <v>TRANSITO REVERSA</v>
      </c>
      <c r="G261" s="23">
        <f>IFERROR(__xludf.DUMMYFUNCTION("""COMPUTED_VALUE"""),45617.87143518518)</f>
        <v>45617.87144</v>
      </c>
      <c r="H261" s="24" t="str">
        <f>IFERROR(VLOOKUP(B261,material!A:D,3,0),"")</f>
        <v>DUAL</v>
      </c>
    </row>
    <row r="262" ht="11.25" customHeight="1">
      <c r="A262" s="21" t="str">
        <f>IFERROR(__xludf.DUMMYFUNCTION("""COMPUTED_VALUE"""),"PACE - HIGH DEFINITION DCR7411")</f>
        <v>PACE - HIGH DEFINITION DCR7411</v>
      </c>
      <c r="B262" s="22">
        <f>IFERROR(__xludf.DUMMYFUNCTION("""COMPUTED_VALUE"""),4.1001216E7)</f>
        <v>41001216</v>
      </c>
      <c r="C262" s="21" t="str">
        <f>IFERROR(__xludf.DUMMYFUNCTION("""COMPUTED_VALUE"""),"176680635469")</f>
        <v>176680635469</v>
      </c>
      <c r="D262" s="21" t="str">
        <f>IFERROR(__xludf.DUMMYFUNCTION("""COMPUTED_VALUE"""),"DIGITEC TECNOLOGIA DIGITAL E REPRES")</f>
        <v>DIGITEC TECNOLOGIA DIGITAL E REPRES</v>
      </c>
      <c r="E262" s="21">
        <f>IFERROR(__xludf.DUMMYFUNCTION("""COMPUTED_VALUE"""),145359.0)</f>
        <v>145359</v>
      </c>
      <c r="F262" s="21" t="str">
        <f>IFERROR(__xludf.DUMMYFUNCTION("""COMPUTED_VALUE"""),"TRANSITO REVERSA")</f>
        <v>TRANSITO REVERSA</v>
      </c>
      <c r="G262" s="23">
        <f>IFERROR(__xludf.DUMMYFUNCTION("""COMPUTED_VALUE"""),45610.730416666665)</f>
        <v>45610.73042</v>
      </c>
      <c r="H262" s="24" t="str">
        <f>IFERROR(VLOOKUP(B262,material!A:D,3,0),"")</f>
        <v>LEGADO</v>
      </c>
    </row>
    <row r="263" ht="11.25" customHeight="1">
      <c r="A263" s="21" t="str">
        <f>IFERROR(__xludf.DUMMYFUNCTION("""COMPUTED_VALUE"""),"SMART CARD LARANJA NAGRA")</f>
        <v>SMART CARD LARANJA NAGRA</v>
      </c>
      <c r="B263" s="22">
        <f>IFERROR(__xludf.DUMMYFUNCTION("""COMPUTED_VALUE"""),4.1001186E7)</f>
        <v>41001186</v>
      </c>
      <c r="C263" s="21" t="str">
        <f>IFERROR(__xludf.DUMMYFUNCTION("""COMPUTED_VALUE"""),"225974159300")</f>
        <v>225974159300</v>
      </c>
      <c r="D263" s="21" t="str">
        <f>IFERROR(__xludf.DUMMYFUNCTION("""COMPUTED_VALUE"""),"DIGITEC TECNOLOGIA DIGITAL E REPRES")</f>
        <v>DIGITEC TECNOLOGIA DIGITAL E REPRES</v>
      </c>
      <c r="E263" s="21">
        <f>IFERROR(__xludf.DUMMYFUNCTION("""COMPUTED_VALUE"""),145359.0)</f>
        <v>145359</v>
      </c>
      <c r="F263" s="21" t="str">
        <f>IFERROR(__xludf.DUMMYFUNCTION("""COMPUTED_VALUE"""),"SUCATA")</f>
        <v>SUCATA</v>
      </c>
      <c r="G263" s="23">
        <f>IFERROR(__xludf.DUMMYFUNCTION("""COMPUTED_VALUE"""),45076.73284722222)</f>
        <v>45076.73285</v>
      </c>
      <c r="H263" s="24" t="str">
        <f>IFERROR(VLOOKUP(B263,material!A:D,3,0),"")</f>
        <v>CARD</v>
      </c>
    </row>
    <row r="264" ht="11.25" customHeight="1">
      <c r="A264" s="21" t="str">
        <f>IFERROR(__xludf.DUMMYFUNCTION("""COMPUTED_VALUE"""),"HUMAX HGB10R-02")</f>
        <v>HUMAX HGB10R-02</v>
      </c>
      <c r="B264" s="22">
        <f>IFERROR(__xludf.DUMMYFUNCTION("""COMPUTED_VALUE"""),4.1001292E7)</f>
        <v>41001292</v>
      </c>
      <c r="C264" s="21" t="str">
        <f>IFERROR(__xludf.DUMMYFUNCTION("""COMPUTED_VALUE"""),"942CB3FA1EA5")</f>
        <v>942CB3FA1EA5</v>
      </c>
      <c r="D264" s="21" t="str">
        <f>IFERROR(__xludf.DUMMYFUNCTION("""COMPUTED_VALUE"""),"DIGITEC TECNOLOGIA DIGITAL E REPRES")</f>
        <v>DIGITEC TECNOLOGIA DIGITAL E REPRES</v>
      </c>
      <c r="E264" s="21">
        <f>IFERROR(__xludf.DUMMYFUNCTION("""COMPUTED_VALUE"""),145359.0)</f>
        <v>145359</v>
      </c>
      <c r="F264" s="21" t="str">
        <f>IFERROR(__xludf.DUMMYFUNCTION("""COMPUTED_VALUE"""),"SUSPEITO")</f>
        <v>SUSPEITO</v>
      </c>
      <c r="G264" s="23">
        <f>IFERROR(__xludf.DUMMYFUNCTION("""COMPUTED_VALUE"""),45639.60995370371)</f>
        <v>45639.60995</v>
      </c>
      <c r="H264" s="24" t="str">
        <f>IFERROR(VLOOKUP(B264,material!A:D,3,0),"")</f>
        <v>DUAL</v>
      </c>
    </row>
    <row r="265" ht="11.25" customHeight="1">
      <c r="A265" s="21" t="str">
        <f>IFERROR(__xludf.DUMMYFUNCTION("""COMPUTED_VALUE"""),"HUMAX HG100R-L4")</f>
        <v>HUMAX HG100R-L4</v>
      </c>
      <c r="B265" s="22">
        <f>IFERROR(__xludf.DUMMYFUNCTION("""COMPUTED_VALUE"""),4.1001288E7)</f>
        <v>41001288</v>
      </c>
      <c r="C265" s="21" t="str">
        <f>IFERROR(__xludf.DUMMYFUNCTION("""COMPUTED_VALUE"""),"942CB305B02C")</f>
        <v>942CB305B02C</v>
      </c>
      <c r="D265" s="21" t="str">
        <f>IFERROR(__xludf.DUMMYFUNCTION("""COMPUTED_VALUE"""),"DIGITEC TECNOLOGIA DIGITAL E REPRES")</f>
        <v>DIGITEC TECNOLOGIA DIGITAL E REPRES</v>
      </c>
      <c r="E265" s="21">
        <f>IFERROR(__xludf.DUMMYFUNCTION("""COMPUTED_VALUE"""),145359.0)</f>
        <v>145359</v>
      </c>
      <c r="F265" s="21" t="str">
        <f>IFERROR(__xludf.DUMMYFUNCTION("""COMPUTED_VALUE"""),"INICIALIZADO")</f>
        <v>INICIALIZADO</v>
      </c>
      <c r="G265" s="23">
        <f>IFERROR(__xludf.DUMMYFUNCTION("""COMPUTED_VALUE"""),44999.92971064815)</f>
        <v>44999.92971</v>
      </c>
      <c r="H265" s="24" t="str">
        <f>IFERROR(VLOOKUP(B265,material!A:D,3,0),"")</f>
        <v>SINGLE</v>
      </c>
    </row>
    <row r="266" ht="11.25" customHeight="1">
      <c r="A266" s="21" t="str">
        <f>IFERROR(__xludf.DUMMYFUNCTION("""COMPUTED_VALUE"""),"DECODER DIGITAL HD HNB100 2T")</f>
        <v>DECODER DIGITAL HD HNB100 2T</v>
      </c>
      <c r="B266" s="22">
        <f>IFERROR(__xludf.DUMMYFUNCTION("""COMPUTED_VALUE"""),4.1001276E7)</f>
        <v>41001276</v>
      </c>
      <c r="C266" s="21" t="str">
        <f>IFERROR(__xludf.DUMMYFUNCTION("""COMPUTED_VALUE"""),"216610512039")</f>
        <v>216610512039</v>
      </c>
      <c r="D266" s="21" t="str">
        <f>IFERROR(__xludf.DUMMYFUNCTION("""COMPUTED_VALUE"""),"DIGITEC TECNOLOGIA DIGITAL E REPRES")</f>
        <v>DIGITEC TECNOLOGIA DIGITAL E REPRES</v>
      </c>
      <c r="E266" s="21">
        <f>IFERROR(__xludf.DUMMYFUNCTION("""COMPUTED_VALUE"""),145359.0)</f>
        <v>145359</v>
      </c>
      <c r="F266" s="21" t="str">
        <f>IFERROR(__xludf.DUMMYFUNCTION("""COMPUTED_VALUE"""),"INICIALIZADO")</f>
        <v>INICIALIZADO</v>
      </c>
      <c r="G266" s="23">
        <f>IFERROR(__xludf.DUMMYFUNCTION("""COMPUTED_VALUE"""),45635.535057870366)</f>
        <v>45635.53506</v>
      </c>
      <c r="H266" s="24" t="str">
        <f>IFERROR(VLOOKUP(B266,material!A:D,3,0),"")</f>
        <v>TOP MIX</v>
      </c>
    </row>
    <row r="267" ht="11.25" customHeight="1">
      <c r="A267" s="21" t="str">
        <f>IFERROR(__xludf.DUMMYFUNCTION("""COMPUTED_VALUE"""),"SMART CARD PRETO NAGRA")</f>
        <v>SMART CARD PRETO NAGRA</v>
      </c>
      <c r="B267" s="22">
        <f>IFERROR(__xludf.DUMMYFUNCTION("""COMPUTED_VALUE"""),4.1001234E7)</f>
        <v>41001234</v>
      </c>
      <c r="C267" s="21" t="str">
        <f>IFERROR(__xludf.DUMMYFUNCTION("""COMPUTED_VALUE"""),"246225471830")</f>
        <v>246225471830</v>
      </c>
      <c r="D267" s="21" t="str">
        <f>IFERROR(__xludf.DUMMYFUNCTION("""COMPUTED_VALUE"""),"DIGITEC TECNOLOGIA DIGITAL E REPRES")</f>
        <v>DIGITEC TECNOLOGIA DIGITAL E REPRES</v>
      </c>
      <c r="E267" s="21">
        <f>IFERROR(__xludf.DUMMYFUNCTION("""COMPUTED_VALUE"""),145359.0)</f>
        <v>145359</v>
      </c>
      <c r="F267" s="21" t="str">
        <f>IFERROR(__xludf.DUMMYFUNCTION("""COMPUTED_VALUE"""),"INICIALIZADO")</f>
        <v>INICIALIZADO</v>
      </c>
      <c r="G267" s="23">
        <f>IFERROR(__xludf.DUMMYFUNCTION("""COMPUTED_VALUE"""),45642.524097222224)</f>
        <v>45642.5241</v>
      </c>
      <c r="H267" s="24" t="str">
        <f>IFERROR(VLOOKUP(B267,material!A:D,3,0),"")</f>
        <v>CARD</v>
      </c>
    </row>
    <row r="268" ht="11.25" customHeight="1">
      <c r="A268" s="21" t="str">
        <f>IFERROR(__xludf.DUMMYFUNCTION("""COMPUTED_VALUE"""),"SMART CARD PRETO NAGRA")</f>
        <v>SMART CARD PRETO NAGRA</v>
      </c>
      <c r="B268" s="22">
        <f>IFERROR(__xludf.DUMMYFUNCTION("""COMPUTED_VALUE"""),4.1001234E7)</f>
        <v>41001234</v>
      </c>
      <c r="C268" s="21" t="str">
        <f>IFERROR(__xludf.DUMMYFUNCTION("""COMPUTED_VALUE"""),"246256701017")</f>
        <v>246256701017</v>
      </c>
      <c r="D268" s="21" t="str">
        <f>IFERROR(__xludf.DUMMYFUNCTION("""COMPUTED_VALUE"""),"DIGITEC TECNOLOGIA DIGITAL E REPRES")</f>
        <v>DIGITEC TECNOLOGIA DIGITAL E REPRES</v>
      </c>
      <c r="E268" s="21">
        <f>IFERROR(__xludf.DUMMYFUNCTION("""COMPUTED_VALUE"""),145359.0)</f>
        <v>145359</v>
      </c>
      <c r="F268" s="21" t="str">
        <f>IFERROR(__xludf.DUMMYFUNCTION("""COMPUTED_VALUE"""),"INICIALIZADO")</f>
        <v>INICIALIZADO</v>
      </c>
      <c r="G268" s="23">
        <f>IFERROR(__xludf.DUMMYFUNCTION("""COMPUTED_VALUE"""),45635.53493055556)</f>
        <v>45635.53493</v>
      </c>
      <c r="H268" s="24" t="str">
        <f>IFERROR(VLOOKUP(B268,material!A:D,3,0),"")</f>
        <v>CARD</v>
      </c>
    </row>
    <row r="269" ht="11.25" customHeight="1">
      <c r="A269" s="21" t="str">
        <f>IFERROR(__xludf.DUMMYFUNCTION("""COMPUTED_VALUE"""),"SMART CARD PRETO NAGRA")</f>
        <v>SMART CARD PRETO NAGRA</v>
      </c>
      <c r="B269" s="22">
        <f>IFERROR(__xludf.DUMMYFUNCTION("""COMPUTED_VALUE"""),4.1001234E7)</f>
        <v>41001234</v>
      </c>
      <c r="C269" s="21" t="str">
        <f>IFERROR(__xludf.DUMMYFUNCTION("""COMPUTED_VALUE"""),"226375211920")</f>
        <v>226375211920</v>
      </c>
      <c r="D269" s="21" t="str">
        <f>IFERROR(__xludf.DUMMYFUNCTION("""COMPUTED_VALUE"""),"DIGITEC TECNOLOGIA DIGITAL E REPRES")</f>
        <v>DIGITEC TECNOLOGIA DIGITAL E REPRES</v>
      </c>
      <c r="E269" s="21">
        <f>IFERROR(__xludf.DUMMYFUNCTION("""COMPUTED_VALUE"""),145359.0)</f>
        <v>145359</v>
      </c>
      <c r="F269" s="21" t="str">
        <f>IFERROR(__xludf.DUMMYFUNCTION("""COMPUTED_VALUE"""),"INICIALIZADO")</f>
        <v>INICIALIZADO</v>
      </c>
      <c r="G269" s="23">
        <f>IFERROR(__xludf.DUMMYFUNCTION("""COMPUTED_VALUE"""),45642.52412037037)</f>
        <v>45642.52412</v>
      </c>
      <c r="H269" s="24" t="str">
        <f>IFERROR(VLOOKUP(B269,material!A:D,3,0),"")</f>
        <v>CARD</v>
      </c>
    </row>
    <row r="270" ht="11.25" customHeight="1">
      <c r="A270" s="21" t="str">
        <f>IFERROR(__xludf.DUMMYFUNCTION("""COMPUTED_VALUE"""),"SMART CARD PRETO NAGRA")</f>
        <v>SMART CARD PRETO NAGRA</v>
      </c>
      <c r="B270" s="22">
        <f>IFERROR(__xludf.DUMMYFUNCTION("""COMPUTED_VALUE"""),4.1001234E7)</f>
        <v>41001234</v>
      </c>
      <c r="C270" s="21" t="str">
        <f>IFERROR(__xludf.DUMMYFUNCTION("""COMPUTED_VALUE"""),"226383469516")</f>
        <v>226383469516</v>
      </c>
      <c r="D270" s="21" t="str">
        <f>IFERROR(__xludf.DUMMYFUNCTION("""COMPUTED_VALUE"""),"DIGITEC TECNOLOGIA DIGITAL E REPRES")</f>
        <v>DIGITEC TECNOLOGIA DIGITAL E REPRES</v>
      </c>
      <c r="E270" s="21">
        <f>IFERROR(__xludf.DUMMYFUNCTION("""COMPUTED_VALUE"""),145359.0)</f>
        <v>145359</v>
      </c>
      <c r="F270" s="21" t="str">
        <f>IFERROR(__xludf.DUMMYFUNCTION("""COMPUTED_VALUE"""),"INICIALIZADO")</f>
        <v>INICIALIZADO</v>
      </c>
      <c r="G270" s="23">
        <f>IFERROR(__xludf.DUMMYFUNCTION("""COMPUTED_VALUE"""),45642.52412037037)</f>
        <v>45642.52412</v>
      </c>
      <c r="H270" s="24" t="str">
        <f>IFERROR(VLOOKUP(B270,material!A:D,3,0),"")</f>
        <v>CARD</v>
      </c>
    </row>
    <row r="271" ht="11.25" customHeight="1">
      <c r="A271" s="21" t="str">
        <f>IFERROR(__xludf.DUMMYFUNCTION("""COMPUTED_VALUE"""),"SMART CARD PRETO NAGRA")</f>
        <v>SMART CARD PRETO NAGRA</v>
      </c>
      <c r="B271" s="22">
        <f>IFERROR(__xludf.DUMMYFUNCTION("""COMPUTED_VALUE"""),4.1001234E7)</f>
        <v>41001234</v>
      </c>
      <c r="C271" s="21" t="str">
        <f>IFERROR(__xludf.DUMMYFUNCTION("""COMPUTED_VALUE"""),"226313858389")</f>
        <v>226313858389</v>
      </c>
      <c r="D271" s="21" t="str">
        <f>IFERROR(__xludf.DUMMYFUNCTION("""COMPUTED_VALUE"""),"DIGITEC TECNOLOGIA DIGITAL E REPRES")</f>
        <v>DIGITEC TECNOLOGIA DIGITAL E REPRES</v>
      </c>
      <c r="E271" s="21">
        <f>IFERROR(__xludf.DUMMYFUNCTION("""COMPUTED_VALUE"""),145359.0)</f>
        <v>145359</v>
      </c>
      <c r="F271" s="21" t="str">
        <f>IFERROR(__xludf.DUMMYFUNCTION("""COMPUTED_VALUE"""),"INICIALIZADO")</f>
        <v>INICIALIZADO</v>
      </c>
      <c r="G271" s="23">
        <f>IFERROR(__xludf.DUMMYFUNCTION("""COMPUTED_VALUE"""),45635.53496527778)</f>
        <v>45635.53497</v>
      </c>
      <c r="H271" s="24" t="str">
        <f>IFERROR(VLOOKUP(B271,material!A:D,3,0),"")</f>
        <v>CARD</v>
      </c>
    </row>
    <row r="272" ht="11.25" customHeight="1">
      <c r="A272" s="21" t="str">
        <f>IFERROR(__xludf.DUMMYFUNCTION("""COMPUTED_VALUE"""),"SMART CARD LARANJA")</f>
        <v>SMART CARD LARANJA</v>
      </c>
      <c r="B272" s="22">
        <f>IFERROR(__xludf.DUMMYFUNCTION("""COMPUTED_VALUE"""),4.1001186E7)</f>
        <v>41001186</v>
      </c>
      <c r="C272" s="21" t="str">
        <f>IFERROR(__xludf.DUMMYFUNCTION("""COMPUTED_VALUE"""),"215977707182")</f>
        <v>215977707182</v>
      </c>
      <c r="D272" s="21" t="str">
        <f>IFERROR(__xludf.DUMMYFUNCTION("""COMPUTED_VALUE"""),"DIGITEC TECNOLOGIA DIGITAL E REPRES")</f>
        <v>DIGITEC TECNOLOGIA DIGITAL E REPRES</v>
      </c>
      <c r="E272" s="21">
        <f>IFERROR(__xludf.DUMMYFUNCTION("""COMPUTED_VALUE"""),145359.0)</f>
        <v>145359</v>
      </c>
      <c r="F272" s="21" t="str">
        <f>IFERROR(__xludf.DUMMYFUNCTION("""COMPUTED_VALUE"""),"INICIALIZADO")</f>
        <v>INICIALIZADO</v>
      </c>
      <c r="G272" s="23">
        <f>IFERROR(__xludf.DUMMYFUNCTION("""COMPUTED_VALUE"""),45022.689467592594)</f>
        <v>45022.68947</v>
      </c>
      <c r="H272" s="24" t="str">
        <f>IFERROR(VLOOKUP(B272,material!A:D,3,0),"")</f>
        <v>CARD</v>
      </c>
    </row>
    <row r="273" ht="11.25" customHeight="1">
      <c r="A273" s="21" t="str">
        <f>IFERROR(__xludf.DUMMYFUNCTION("""COMPUTED_VALUE"""),"NAGRA KIT")</f>
        <v>NAGRA KIT</v>
      </c>
      <c r="B273" s="22">
        <f>IFERROR(__xludf.DUMMYFUNCTION("""COMPUTED_VALUE"""),4.1001186E7)</f>
        <v>41001186</v>
      </c>
      <c r="C273" s="21" t="str">
        <f>IFERROR(__xludf.DUMMYFUNCTION("""COMPUTED_VALUE"""),"215464967276")</f>
        <v>215464967276</v>
      </c>
      <c r="D273" s="21" t="str">
        <f>IFERROR(__xludf.DUMMYFUNCTION("""COMPUTED_VALUE"""),"DIGITEC TECNOLOGIA DIGITAL E REPRES")</f>
        <v>DIGITEC TECNOLOGIA DIGITAL E REPRES</v>
      </c>
      <c r="E273" s="21">
        <f>IFERROR(__xludf.DUMMYFUNCTION("""COMPUTED_VALUE"""),145359.0)</f>
        <v>145359</v>
      </c>
      <c r="F273" s="21" t="str">
        <f>IFERROR(__xludf.DUMMYFUNCTION("""COMPUTED_VALUE"""),"INICIALIZADO")</f>
        <v>INICIALIZADO</v>
      </c>
      <c r="G273" s="23">
        <f>IFERROR(__xludf.DUMMYFUNCTION("""COMPUTED_VALUE"""),45022.68950231481)</f>
        <v>45022.6895</v>
      </c>
      <c r="H273" s="24" t="str">
        <f>IFERROR(VLOOKUP(B273,material!A:D,3,0),"")</f>
        <v>CARD</v>
      </c>
    </row>
    <row r="274" ht="11.25" customHeight="1">
      <c r="A274" s="21" t="str">
        <f>IFERROR(__xludf.DUMMYFUNCTION("""COMPUTED_VALUE"""),"DECODER DIGITAL HD HNB100 2T")</f>
        <v>DECODER DIGITAL HD HNB100 2T</v>
      </c>
      <c r="B274" s="22">
        <f>IFERROR(__xludf.DUMMYFUNCTION("""COMPUTED_VALUE"""),4.1001276E7)</f>
        <v>41001276</v>
      </c>
      <c r="C274" s="21" t="str">
        <f>IFERROR(__xludf.DUMMYFUNCTION("""COMPUTED_VALUE"""),"216398950909")</f>
        <v>216398950909</v>
      </c>
      <c r="D274" s="21" t="str">
        <f>IFERROR(__xludf.DUMMYFUNCTION("""COMPUTED_VALUE"""),"DIGITEC TECNOLOGIA DIGITAL E REPRES")</f>
        <v>DIGITEC TECNOLOGIA DIGITAL E REPRES</v>
      </c>
      <c r="E274" s="21">
        <f>IFERROR(__xludf.DUMMYFUNCTION("""COMPUTED_VALUE"""),145359.0)</f>
        <v>145359</v>
      </c>
      <c r="F274" s="21" t="str">
        <f>IFERROR(__xludf.DUMMYFUNCTION("""COMPUTED_VALUE"""),"INICIALIZADO")</f>
        <v>INICIALIZADO</v>
      </c>
      <c r="G274" s="23">
        <f>IFERROR(__xludf.DUMMYFUNCTION("""COMPUTED_VALUE"""),45635.53503472223)</f>
        <v>45635.53503</v>
      </c>
      <c r="H274" s="24" t="str">
        <f>IFERROR(VLOOKUP(B274,material!A:D,3,0),"")</f>
        <v>TOP MIX</v>
      </c>
    </row>
    <row r="275" ht="11.25" customHeight="1">
      <c r="A275" s="21" t="str">
        <f>IFERROR(__xludf.DUMMYFUNCTION("""COMPUTED_VALUE"""),"SMART CARD PRETO NAGRA")</f>
        <v>SMART CARD PRETO NAGRA</v>
      </c>
      <c r="B275" s="22">
        <f>IFERROR(__xludf.DUMMYFUNCTION("""COMPUTED_VALUE"""),4.1001234E7)</f>
        <v>41001234</v>
      </c>
      <c r="C275" s="21" t="str">
        <f>IFERROR(__xludf.DUMMYFUNCTION("""COMPUTED_VALUE"""),"226101257394")</f>
        <v>226101257394</v>
      </c>
      <c r="D275" s="21" t="str">
        <f>IFERROR(__xludf.DUMMYFUNCTION("""COMPUTED_VALUE"""),"DIGITEC TECNOLOGIA DIGITAL E REPRES")</f>
        <v>DIGITEC TECNOLOGIA DIGITAL E REPRES</v>
      </c>
      <c r="E275" s="21">
        <f>IFERROR(__xludf.DUMMYFUNCTION("""COMPUTED_VALUE"""),145359.0)</f>
        <v>145359</v>
      </c>
      <c r="F275" s="21" t="str">
        <f>IFERROR(__xludf.DUMMYFUNCTION("""COMPUTED_VALUE"""),"INICIALIZADO")</f>
        <v>INICIALIZADO</v>
      </c>
      <c r="G275" s="23">
        <f>IFERROR(__xludf.DUMMYFUNCTION("""COMPUTED_VALUE"""),45642.52410879629)</f>
        <v>45642.52411</v>
      </c>
      <c r="H275" s="24" t="str">
        <f>IFERROR(VLOOKUP(B275,material!A:D,3,0),"")</f>
        <v>CARD</v>
      </c>
    </row>
    <row r="276" ht="11.25" customHeight="1">
      <c r="A276" s="21" t="str">
        <f>IFERROR(__xludf.DUMMYFUNCTION("""COMPUTED_VALUE"""),"SMART CARD PRETO NAGRA")</f>
        <v>SMART CARD PRETO NAGRA</v>
      </c>
      <c r="B276" s="22">
        <f>IFERROR(__xludf.DUMMYFUNCTION("""COMPUTED_VALUE"""),4.1001234E7)</f>
        <v>41001234</v>
      </c>
      <c r="C276" s="21" t="str">
        <f>IFERROR(__xludf.DUMMYFUNCTION("""COMPUTED_VALUE"""),"226166550726")</f>
        <v>226166550726</v>
      </c>
      <c r="D276" s="21" t="str">
        <f>IFERROR(__xludf.DUMMYFUNCTION("""COMPUTED_VALUE"""),"DIGITEC TECNOLOGIA DIGITAL E REPRES")</f>
        <v>DIGITEC TECNOLOGIA DIGITAL E REPRES</v>
      </c>
      <c r="E276" s="21">
        <f>IFERROR(__xludf.DUMMYFUNCTION("""COMPUTED_VALUE"""),145359.0)</f>
        <v>145359</v>
      </c>
      <c r="F276" s="21" t="str">
        <f>IFERROR(__xludf.DUMMYFUNCTION("""COMPUTED_VALUE"""),"INICIALIZADO")</f>
        <v>INICIALIZADO</v>
      </c>
      <c r="G276" s="23">
        <f>IFERROR(__xludf.DUMMYFUNCTION("""COMPUTED_VALUE"""),45635.53494212963)</f>
        <v>45635.53494</v>
      </c>
      <c r="H276" s="24" t="str">
        <f>IFERROR(VLOOKUP(B276,material!A:D,3,0),"")</f>
        <v>CARD</v>
      </c>
    </row>
    <row r="277" ht="11.25" customHeight="1">
      <c r="A277" s="21" t="str">
        <f>IFERROR(__xludf.DUMMYFUNCTION("""COMPUTED_VALUE"""),"SMART CARD PRETO NAGRA")</f>
        <v>SMART CARD PRETO NAGRA</v>
      </c>
      <c r="B277" s="22">
        <f>IFERROR(__xludf.DUMMYFUNCTION("""COMPUTED_VALUE"""),4.1001234E7)</f>
        <v>41001234</v>
      </c>
      <c r="C277" s="21" t="str">
        <f>IFERROR(__xludf.DUMMYFUNCTION("""COMPUTED_VALUE"""),"226413455461")</f>
        <v>226413455461</v>
      </c>
      <c r="D277" s="21" t="str">
        <f>IFERROR(__xludf.DUMMYFUNCTION("""COMPUTED_VALUE"""),"DIGITEC TECNOLOGIA DIGITAL E REPRES")</f>
        <v>DIGITEC TECNOLOGIA DIGITAL E REPRES</v>
      </c>
      <c r="E277" s="21">
        <f>IFERROR(__xludf.DUMMYFUNCTION("""COMPUTED_VALUE"""),145359.0)</f>
        <v>145359</v>
      </c>
      <c r="F277" s="21" t="str">
        <f>IFERROR(__xludf.DUMMYFUNCTION("""COMPUTED_VALUE"""),"INICIALIZADO")</f>
        <v>INICIALIZADO</v>
      </c>
      <c r="G277" s="23">
        <f>IFERROR(__xludf.DUMMYFUNCTION("""COMPUTED_VALUE"""),45642.52410879629)</f>
        <v>45642.52411</v>
      </c>
      <c r="H277" s="24" t="str">
        <f>IFERROR(VLOOKUP(B277,material!A:D,3,0),"")</f>
        <v>CARD</v>
      </c>
    </row>
    <row r="278" ht="11.25" customHeight="1">
      <c r="A278" s="21" t="str">
        <f>IFERROR(__xludf.DUMMYFUNCTION("""COMPUTED_VALUE"""),"SMART CARD PRETO NAGRA")</f>
        <v>SMART CARD PRETO NAGRA</v>
      </c>
      <c r="B278" s="22">
        <f>IFERROR(__xludf.DUMMYFUNCTION("""COMPUTED_VALUE"""),4.1001234E7)</f>
        <v>41001234</v>
      </c>
      <c r="C278" s="21" t="str">
        <f>IFERROR(__xludf.DUMMYFUNCTION("""COMPUTED_VALUE"""),"226401974049")</f>
        <v>226401974049</v>
      </c>
      <c r="D278" s="21" t="str">
        <f>IFERROR(__xludf.DUMMYFUNCTION("""COMPUTED_VALUE"""),"DIGITEC TECNOLOGIA DIGITAL E REPRES")</f>
        <v>DIGITEC TECNOLOGIA DIGITAL E REPRES</v>
      </c>
      <c r="E278" s="21">
        <f>IFERROR(__xludf.DUMMYFUNCTION("""COMPUTED_VALUE"""),145359.0)</f>
        <v>145359</v>
      </c>
      <c r="F278" s="21" t="str">
        <f>IFERROR(__xludf.DUMMYFUNCTION("""COMPUTED_VALUE"""),"INICIALIZADO")</f>
        <v>INICIALIZADO</v>
      </c>
      <c r="G278" s="23">
        <f>IFERROR(__xludf.DUMMYFUNCTION("""COMPUTED_VALUE"""),45635.53496527778)</f>
        <v>45635.53497</v>
      </c>
      <c r="H278" s="24" t="str">
        <f>IFERROR(VLOOKUP(B278,material!A:D,3,0),"")</f>
        <v>CARD</v>
      </c>
    </row>
    <row r="279" ht="11.25" customHeight="1">
      <c r="A279" s="21" t="str">
        <f>IFERROR(__xludf.DUMMYFUNCTION("""COMPUTED_VALUE"""),"SMART CARD PRETO NAGRA")</f>
        <v>SMART CARD PRETO NAGRA</v>
      </c>
      <c r="B279" s="22">
        <f>IFERROR(__xludf.DUMMYFUNCTION("""COMPUTED_VALUE"""),4.1001234E7)</f>
        <v>41001234</v>
      </c>
      <c r="C279" s="21" t="str">
        <f>IFERROR(__xludf.DUMMYFUNCTION("""COMPUTED_VALUE"""),"226127063134")</f>
        <v>226127063134</v>
      </c>
      <c r="D279" s="21" t="str">
        <f>IFERROR(__xludf.DUMMYFUNCTION("""COMPUTED_VALUE"""),"DIGITEC TECNOLOGIA DIGITAL E REPRES")</f>
        <v>DIGITEC TECNOLOGIA DIGITAL E REPRES</v>
      </c>
      <c r="E279" s="21">
        <f>IFERROR(__xludf.DUMMYFUNCTION("""COMPUTED_VALUE"""),145359.0)</f>
        <v>145359</v>
      </c>
      <c r="F279" s="21" t="str">
        <f>IFERROR(__xludf.DUMMYFUNCTION("""COMPUTED_VALUE"""),"INICIALIZADO")</f>
        <v>INICIALIZADO</v>
      </c>
      <c r="G279" s="23">
        <f>IFERROR(__xludf.DUMMYFUNCTION("""COMPUTED_VALUE"""),45635.53494212963)</f>
        <v>45635.53494</v>
      </c>
      <c r="H279" s="24" t="str">
        <f>IFERROR(VLOOKUP(B279,material!A:D,3,0),"")</f>
        <v>CARD</v>
      </c>
    </row>
    <row r="280" ht="11.25" customHeight="1">
      <c r="A280" s="21" t="str">
        <f>IFERROR(__xludf.DUMMYFUNCTION("""COMPUTED_VALUE"""),"SMART CARD PRETO NAGRA")</f>
        <v>SMART CARD PRETO NAGRA</v>
      </c>
      <c r="B280" s="22">
        <f>IFERROR(__xludf.DUMMYFUNCTION("""COMPUTED_VALUE"""),4.1001234E7)</f>
        <v>41001234</v>
      </c>
      <c r="C280" s="21" t="str">
        <f>IFERROR(__xludf.DUMMYFUNCTION("""COMPUTED_VALUE"""),"226232448592")</f>
        <v>226232448592</v>
      </c>
      <c r="D280" s="21" t="str">
        <f>IFERROR(__xludf.DUMMYFUNCTION("""COMPUTED_VALUE"""),"DIGITEC TECNOLOGIA DIGITAL E REPRES")</f>
        <v>DIGITEC TECNOLOGIA DIGITAL E REPRES</v>
      </c>
      <c r="E280" s="21">
        <f>IFERROR(__xludf.DUMMYFUNCTION("""COMPUTED_VALUE"""),145359.0)</f>
        <v>145359</v>
      </c>
      <c r="F280" s="21" t="str">
        <f>IFERROR(__xludf.DUMMYFUNCTION("""COMPUTED_VALUE"""),"INICIALIZADO")</f>
        <v>INICIALIZADO</v>
      </c>
      <c r="G280" s="23">
        <f>IFERROR(__xludf.DUMMYFUNCTION("""COMPUTED_VALUE"""),45635.53494212963)</f>
        <v>45635.53494</v>
      </c>
      <c r="H280" s="24" t="str">
        <f>IFERROR(VLOOKUP(B280,material!A:D,3,0),"")</f>
        <v>CARD</v>
      </c>
    </row>
    <row r="281" ht="11.25" customHeight="1">
      <c r="A281" s="21" t="str">
        <f>IFERROR(__xludf.DUMMYFUNCTION("""COMPUTED_VALUE"""),"SMART CARD PRETO NAGRA")</f>
        <v>SMART CARD PRETO NAGRA</v>
      </c>
      <c r="B281" s="22">
        <f>IFERROR(__xludf.DUMMYFUNCTION("""COMPUTED_VALUE"""),4.1001234E7)</f>
        <v>41001234</v>
      </c>
      <c r="C281" s="21" t="str">
        <f>IFERROR(__xludf.DUMMYFUNCTION("""COMPUTED_VALUE"""),"246115546073")</f>
        <v>246115546073</v>
      </c>
      <c r="D281" s="21" t="str">
        <f>IFERROR(__xludf.DUMMYFUNCTION("""COMPUTED_VALUE"""),"DIGITEC TECNOLOGIA DIGITAL E REPRES")</f>
        <v>DIGITEC TECNOLOGIA DIGITAL E REPRES</v>
      </c>
      <c r="E281" s="21">
        <f>IFERROR(__xludf.DUMMYFUNCTION("""COMPUTED_VALUE"""),145359.0)</f>
        <v>145359</v>
      </c>
      <c r="F281" s="21" t="str">
        <f>IFERROR(__xludf.DUMMYFUNCTION("""COMPUTED_VALUE"""),"INICIALIZADO")</f>
        <v>INICIALIZADO</v>
      </c>
      <c r="G281" s="23">
        <f>IFERROR(__xludf.DUMMYFUNCTION("""COMPUTED_VALUE"""),45635.534907407404)</f>
        <v>45635.53491</v>
      </c>
      <c r="H281" s="24" t="str">
        <f>IFERROR(VLOOKUP(B281,material!A:D,3,0),"")</f>
        <v>CARD</v>
      </c>
    </row>
    <row r="282" ht="11.25" customHeight="1">
      <c r="A282" s="21" t="str">
        <f>IFERROR(__xludf.DUMMYFUNCTION("""COMPUTED_VALUE"""),"SMART CARD PRETO NAGRA")</f>
        <v>SMART CARD PRETO NAGRA</v>
      </c>
      <c r="B282" s="22">
        <f>IFERROR(__xludf.DUMMYFUNCTION("""COMPUTED_VALUE"""),4.1001234E7)</f>
        <v>41001234</v>
      </c>
      <c r="C282" s="21" t="str">
        <f>IFERROR(__xludf.DUMMYFUNCTION("""COMPUTED_VALUE"""),"246115546174")</f>
        <v>246115546174</v>
      </c>
      <c r="D282" s="21" t="str">
        <f>IFERROR(__xludf.DUMMYFUNCTION("""COMPUTED_VALUE"""),"DIGITEC TECNOLOGIA DIGITAL E REPRES")</f>
        <v>DIGITEC TECNOLOGIA DIGITAL E REPRES</v>
      </c>
      <c r="E282" s="21">
        <f>IFERROR(__xludf.DUMMYFUNCTION("""COMPUTED_VALUE"""),145359.0)</f>
        <v>145359</v>
      </c>
      <c r="F282" s="21" t="str">
        <f>IFERROR(__xludf.DUMMYFUNCTION("""COMPUTED_VALUE"""),"INICIALIZADO")</f>
        <v>INICIALIZADO</v>
      </c>
      <c r="G282" s="23">
        <f>IFERROR(__xludf.DUMMYFUNCTION("""COMPUTED_VALUE"""),45635.534907407404)</f>
        <v>45635.53491</v>
      </c>
      <c r="H282" s="24" t="str">
        <f>IFERROR(VLOOKUP(B282,material!A:D,3,0),"")</f>
        <v>CARD</v>
      </c>
    </row>
    <row r="283" ht="11.25" customHeight="1">
      <c r="A283" s="21" t="str">
        <f>IFERROR(__xludf.DUMMYFUNCTION("""COMPUTED_VALUE"""),"SMART CARD PRETO NAGRA")</f>
        <v>SMART CARD PRETO NAGRA</v>
      </c>
      <c r="B283" s="22">
        <f>IFERROR(__xludf.DUMMYFUNCTION("""COMPUTED_VALUE"""),4.1001234E7)</f>
        <v>41001234</v>
      </c>
      <c r="C283" s="21" t="str">
        <f>IFERROR(__xludf.DUMMYFUNCTION("""COMPUTED_VALUE"""),"246283217891")</f>
        <v>246283217891</v>
      </c>
      <c r="D283" s="21" t="str">
        <f>IFERROR(__xludf.DUMMYFUNCTION("""COMPUTED_VALUE"""),"DIGITEC TECNOLOGIA DIGITAL E REPRES")</f>
        <v>DIGITEC TECNOLOGIA DIGITAL E REPRES</v>
      </c>
      <c r="E283" s="21">
        <f>IFERROR(__xludf.DUMMYFUNCTION("""COMPUTED_VALUE"""),145359.0)</f>
        <v>145359</v>
      </c>
      <c r="F283" s="21" t="str">
        <f>IFERROR(__xludf.DUMMYFUNCTION("""COMPUTED_VALUE"""),"INICIALIZADO")</f>
        <v>INICIALIZADO</v>
      </c>
      <c r="G283" s="23">
        <f>IFERROR(__xludf.DUMMYFUNCTION("""COMPUTED_VALUE"""),45635.53491898148)</f>
        <v>45635.53492</v>
      </c>
      <c r="H283" s="24" t="str">
        <f>IFERROR(VLOOKUP(B283,material!A:D,3,0),"")</f>
        <v>CARD</v>
      </c>
    </row>
    <row r="284" ht="11.25" customHeight="1">
      <c r="A284" s="21" t="str">
        <f>IFERROR(__xludf.DUMMYFUNCTION("""COMPUTED_VALUE"""),"SMART CARD PRETO NAGRA")</f>
        <v>SMART CARD PRETO NAGRA</v>
      </c>
      <c r="B284" s="22">
        <f>IFERROR(__xludf.DUMMYFUNCTION("""COMPUTED_VALUE"""),4.1001234E7)</f>
        <v>41001234</v>
      </c>
      <c r="C284" s="21" t="str">
        <f>IFERROR(__xludf.DUMMYFUNCTION("""COMPUTED_VALUE"""),"246103582033")</f>
        <v>246103582033</v>
      </c>
      <c r="D284" s="21" t="str">
        <f>IFERROR(__xludf.DUMMYFUNCTION("""COMPUTED_VALUE"""),"DIGITEC TECNOLOGIA DIGITAL E REPRES")</f>
        <v>DIGITEC TECNOLOGIA DIGITAL E REPRES</v>
      </c>
      <c r="E284" s="21">
        <f>IFERROR(__xludf.DUMMYFUNCTION("""COMPUTED_VALUE"""),145359.0)</f>
        <v>145359</v>
      </c>
      <c r="F284" s="21" t="str">
        <f>IFERROR(__xludf.DUMMYFUNCTION("""COMPUTED_VALUE"""),"INICIALIZADO")</f>
        <v>INICIALIZADO</v>
      </c>
      <c r="G284" s="23">
        <f>IFERROR(__xludf.DUMMYFUNCTION("""COMPUTED_VALUE"""),45635.534907407404)</f>
        <v>45635.53491</v>
      </c>
      <c r="H284" s="24" t="str">
        <f>IFERROR(VLOOKUP(B284,material!A:D,3,0),"")</f>
        <v>CARD</v>
      </c>
    </row>
    <row r="285" ht="11.25" customHeight="1">
      <c r="A285" s="21" t="str">
        <f>IFERROR(__xludf.DUMMYFUNCTION("""COMPUTED_VALUE"""),"SMART CARD PRETO NAGRA")</f>
        <v>SMART CARD PRETO NAGRA</v>
      </c>
      <c r="B285" s="22">
        <f>IFERROR(__xludf.DUMMYFUNCTION("""COMPUTED_VALUE"""),4.1001234E7)</f>
        <v>41001234</v>
      </c>
      <c r="C285" s="21" t="str">
        <f>IFERROR(__xludf.DUMMYFUNCTION("""COMPUTED_VALUE"""),"226379690315")</f>
        <v>226379690315</v>
      </c>
      <c r="D285" s="21" t="str">
        <f>IFERROR(__xludf.DUMMYFUNCTION("""COMPUTED_VALUE"""),"DIGITEC TECNOLOGIA DIGITAL E REPRES")</f>
        <v>DIGITEC TECNOLOGIA DIGITAL E REPRES</v>
      </c>
      <c r="E285" s="21">
        <f>IFERROR(__xludf.DUMMYFUNCTION("""COMPUTED_VALUE"""),145359.0)</f>
        <v>145359</v>
      </c>
      <c r="F285" s="21" t="str">
        <f>IFERROR(__xludf.DUMMYFUNCTION("""COMPUTED_VALUE"""),"INICIALIZADO")</f>
        <v>INICIALIZADO</v>
      </c>
      <c r="G285" s="23">
        <f>IFERROR(__xludf.DUMMYFUNCTION("""COMPUTED_VALUE"""),45635.53496527778)</f>
        <v>45635.53497</v>
      </c>
      <c r="H285" s="24" t="str">
        <f>IFERROR(VLOOKUP(B285,material!A:D,3,0),"")</f>
        <v>CARD</v>
      </c>
    </row>
    <row r="286" ht="11.25" customHeight="1">
      <c r="A286" s="21" t="str">
        <f>IFERROR(__xludf.DUMMYFUNCTION("""COMPUTED_VALUE"""),"DECODER DIGITAL HD DXC5000 2T")</f>
        <v>DECODER DIGITAL HD DXC5000 2T</v>
      </c>
      <c r="B286" s="22">
        <f>IFERROR(__xludf.DUMMYFUNCTION("""COMPUTED_VALUE"""),4.1001277E7)</f>
        <v>41001277</v>
      </c>
      <c r="C286" s="21" t="str">
        <f>IFERROR(__xludf.DUMMYFUNCTION("""COMPUTED_VALUE"""),"216480200612")</f>
        <v>216480200612</v>
      </c>
      <c r="D286" s="21" t="str">
        <f>IFERROR(__xludf.DUMMYFUNCTION("""COMPUTED_VALUE"""),"DIGITEC TECNOLOGIA DIGITAL E REPRES")</f>
        <v>DIGITEC TECNOLOGIA DIGITAL E REPRES</v>
      </c>
      <c r="E286" s="21">
        <f>IFERROR(__xludf.DUMMYFUNCTION("""COMPUTED_VALUE"""),145359.0)</f>
        <v>145359</v>
      </c>
      <c r="F286" s="21" t="str">
        <f>IFERROR(__xludf.DUMMYFUNCTION("""COMPUTED_VALUE"""),"INICIALIZADO")</f>
        <v>INICIALIZADO</v>
      </c>
      <c r="G286" s="23">
        <f>IFERROR(__xludf.DUMMYFUNCTION("""COMPUTED_VALUE"""),45617.498715277776)</f>
        <v>45617.49872</v>
      </c>
      <c r="H286" s="24" t="str">
        <f>IFERROR(VLOOKUP(B286,material!A:D,3,0),"")</f>
        <v>TOP MIX</v>
      </c>
    </row>
    <row r="287" ht="11.25" customHeight="1">
      <c r="A287" s="21" t="str">
        <f>IFERROR(__xludf.DUMMYFUNCTION("""COMPUTED_VALUE"""),"SMART CARD PRETO NAGRA")</f>
        <v>SMART CARD PRETO NAGRA</v>
      </c>
      <c r="B287" s="22">
        <f>IFERROR(__xludf.DUMMYFUNCTION("""COMPUTED_VALUE"""),4.1001234E7)</f>
        <v>41001234</v>
      </c>
      <c r="C287" s="21" t="str">
        <f>IFERROR(__xludf.DUMMYFUNCTION("""COMPUTED_VALUE"""),"246295724466")</f>
        <v>246295724466</v>
      </c>
      <c r="D287" s="21" t="str">
        <f>IFERROR(__xludf.DUMMYFUNCTION("""COMPUTED_VALUE"""),"DIGITEC TECNOLOGIA DIGITAL E REPRES")</f>
        <v>DIGITEC TECNOLOGIA DIGITAL E REPRES</v>
      </c>
      <c r="E287" s="21">
        <f>IFERROR(__xludf.DUMMYFUNCTION("""COMPUTED_VALUE"""),145359.0)</f>
        <v>145359</v>
      </c>
      <c r="F287" s="21" t="str">
        <f>IFERROR(__xludf.DUMMYFUNCTION("""COMPUTED_VALUE"""),"INICIALIZADO")</f>
        <v>INICIALIZADO</v>
      </c>
      <c r="G287" s="23">
        <f>IFERROR(__xludf.DUMMYFUNCTION("""COMPUTED_VALUE"""),45635.53491898148)</f>
        <v>45635.53492</v>
      </c>
      <c r="H287" s="24" t="str">
        <f>IFERROR(VLOOKUP(B287,material!A:D,3,0),"")</f>
        <v>CARD</v>
      </c>
    </row>
    <row r="288" ht="11.25" customHeight="1">
      <c r="A288" s="21" t="str">
        <f>IFERROR(__xludf.DUMMYFUNCTION("""COMPUTED_VALUE"""),"THOMSON HIGH DEFINITION DCI713")</f>
        <v>THOMSON HIGH DEFINITION DCI713</v>
      </c>
      <c r="B288" s="22">
        <f>IFERROR(__xludf.DUMMYFUNCTION("""COMPUTED_VALUE"""),4.1001273E7)</f>
        <v>41001273</v>
      </c>
      <c r="C288" s="21" t="str">
        <f>IFERROR(__xludf.DUMMYFUNCTION("""COMPUTED_VALUE"""),"177163531116")</f>
        <v>177163531116</v>
      </c>
      <c r="D288" s="21" t="str">
        <f>IFERROR(__xludf.DUMMYFUNCTION("""COMPUTED_VALUE"""),"DIGITEC TECNOLOGIA DIGITAL E REPRES")</f>
        <v>DIGITEC TECNOLOGIA DIGITAL E REPRES</v>
      </c>
      <c r="E288" s="21">
        <f>IFERROR(__xludf.DUMMYFUNCTION("""COMPUTED_VALUE"""),145359.0)</f>
        <v>145359</v>
      </c>
      <c r="F288" s="21" t="str">
        <f>IFERROR(__xludf.DUMMYFUNCTION("""COMPUTED_VALUE"""),"TRANSITO REVERSA")</f>
        <v>TRANSITO REVERSA</v>
      </c>
      <c r="G288" s="23">
        <f>IFERROR(__xludf.DUMMYFUNCTION("""COMPUTED_VALUE"""),45617.87143518518)</f>
        <v>45617.87144</v>
      </c>
      <c r="H288" s="24" t="str">
        <f>IFERROR(VLOOKUP(B288,material!A:D,3,0),"")</f>
        <v>LEGADO</v>
      </c>
    </row>
    <row r="289" ht="11.25" customHeight="1">
      <c r="A289" s="21" t="str">
        <f>IFERROR(__xludf.DUMMYFUNCTION("""COMPUTED_VALUE"""),"DECODER DIGITAL HD HNB100 2T")</f>
        <v>DECODER DIGITAL HD HNB100 2T</v>
      </c>
      <c r="B289" s="22">
        <f>IFERROR(__xludf.DUMMYFUNCTION("""COMPUTED_VALUE"""),4.1001276E7)</f>
        <v>41001276</v>
      </c>
      <c r="C289" s="21" t="str">
        <f>IFERROR(__xludf.DUMMYFUNCTION("""COMPUTED_VALUE"""),"216751888293")</f>
        <v>216751888293</v>
      </c>
      <c r="D289" s="21" t="str">
        <f>IFERROR(__xludf.DUMMYFUNCTION("""COMPUTED_VALUE"""),"DIGITEC TECNOLOGIA DIGITAL E REPRES")</f>
        <v>DIGITEC TECNOLOGIA DIGITAL E REPRES</v>
      </c>
      <c r="E289" s="21">
        <f>IFERROR(__xludf.DUMMYFUNCTION("""COMPUTED_VALUE"""),145359.0)</f>
        <v>145359</v>
      </c>
      <c r="F289" s="21" t="str">
        <f>IFERROR(__xludf.DUMMYFUNCTION("""COMPUTED_VALUE"""),"INICIALIZADO")</f>
        <v>INICIALIZADO</v>
      </c>
      <c r="G289" s="23">
        <f>IFERROR(__xludf.DUMMYFUNCTION("""COMPUTED_VALUE"""),45642.52412037037)</f>
        <v>45642.52412</v>
      </c>
      <c r="H289" s="24" t="str">
        <f>IFERROR(VLOOKUP(B289,material!A:D,3,0),"")</f>
        <v>TOP MIX</v>
      </c>
    </row>
    <row r="290" ht="11.25" customHeight="1">
      <c r="A290" s="21" t="str">
        <f>IFERROR(__xludf.DUMMYFUNCTION("""COMPUTED_VALUE"""),"HUMAX HG100R-L4")</f>
        <v>HUMAX HG100R-L4</v>
      </c>
      <c r="B290" s="22">
        <f>IFERROR(__xludf.DUMMYFUNCTION("""COMPUTED_VALUE"""),4.1001288E7)</f>
        <v>41001288</v>
      </c>
      <c r="C290" s="21" t="str">
        <f>IFERROR(__xludf.DUMMYFUNCTION("""COMPUTED_VALUE"""),"942CB315109C")</f>
        <v>942CB315109C</v>
      </c>
      <c r="D290" s="21" t="str">
        <f>IFERROR(__xludf.DUMMYFUNCTION("""COMPUTED_VALUE"""),"DIGITEC TECNOLOGIA DIGITAL E REPRES")</f>
        <v>DIGITEC TECNOLOGIA DIGITAL E REPRES</v>
      </c>
      <c r="E290" s="21">
        <f>IFERROR(__xludf.DUMMYFUNCTION("""COMPUTED_VALUE"""),145359.0)</f>
        <v>145359</v>
      </c>
      <c r="F290" s="21" t="str">
        <f>IFERROR(__xludf.DUMMYFUNCTION("""COMPUTED_VALUE"""),"TRANSITO REVERSA")</f>
        <v>TRANSITO REVERSA</v>
      </c>
      <c r="G290" s="23">
        <f>IFERROR(__xludf.DUMMYFUNCTION("""COMPUTED_VALUE"""),45633.0033912037)</f>
        <v>45633.00339</v>
      </c>
      <c r="H290" s="24" t="str">
        <f>IFERROR(VLOOKUP(B290,material!A:D,3,0),"")</f>
        <v>SINGLE</v>
      </c>
    </row>
    <row r="291" ht="11.25" customHeight="1">
      <c r="A291" s="21" t="str">
        <f>IFERROR(__xludf.DUMMYFUNCTION("""COMPUTED_VALUE"""),"SMART CARD PRETO NAGRA")</f>
        <v>SMART CARD PRETO NAGRA</v>
      </c>
      <c r="B291" s="22">
        <f>IFERROR(__xludf.DUMMYFUNCTION("""COMPUTED_VALUE"""),4.1001234E7)</f>
        <v>41001234</v>
      </c>
      <c r="C291" s="21" t="str">
        <f>IFERROR(__xludf.DUMMYFUNCTION("""COMPUTED_VALUE"""),"246103003536")</f>
        <v>246103003536</v>
      </c>
      <c r="D291" s="21" t="str">
        <f>IFERROR(__xludf.DUMMYFUNCTION("""COMPUTED_VALUE"""),"DIGITEC TECNOLOGIA DIGITAL E REPRES")</f>
        <v>DIGITEC TECNOLOGIA DIGITAL E REPRES</v>
      </c>
      <c r="E291" s="21">
        <f>IFERROR(__xludf.DUMMYFUNCTION("""COMPUTED_VALUE"""),145359.0)</f>
        <v>145359</v>
      </c>
      <c r="F291" s="21" t="str">
        <f>IFERROR(__xludf.DUMMYFUNCTION("""COMPUTED_VALUE"""),"INICIALIZADO")</f>
        <v>INICIALIZADO</v>
      </c>
      <c r="G291" s="23">
        <f>IFERROR(__xludf.DUMMYFUNCTION("""COMPUTED_VALUE"""),45635.534907407404)</f>
        <v>45635.53491</v>
      </c>
      <c r="H291" s="24" t="str">
        <f>IFERROR(VLOOKUP(B291,material!A:D,3,0),"")</f>
        <v>CARD</v>
      </c>
    </row>
    <row r="292" ht="11.25" customHeight="1">
      <c r="A292" s="21" t="str">
        <f>IFERROR(__xludf.DUMMYFUNCTION("""COMPUTED_VALUE"""),"DECODER DIGITAL HD HNB100 2T")</f>
        <v>DECODER DIGITAL HD HNB100 2T</v>
      </c>
      <c r="B292" s="22">
        <f>IFERROR(__xludf.DUMMYFUNCTION("""COMPUTED_VALUE"""),4.1001276E7)</f>
        <v>41001276</v>
      </c>
      <c r="C292" s="21" t="str">
        <f>IFERROR(__xludf.DUMMYFUNCTION("""COMPUTED_VALUE"""),"216359855757")</f>
        <v>216359855757</v>
      </c>
      <c r="D292" s="21" t="str">
        <f>IFERROR(__xludf.DUMMYFUNCTION("""COMPUTED_VALUE"""),"DIGITEC TECNOLOGIA DIGITAL E REPRES")</f>
        <v>DIGITEC TECNOLOGIA DIGITAL E REPRES</v>
      </c>
      <c r="E292" s="21">
        <f>IFERROR(__xludf.DUMMYFUNCTION("""COMPUTED_VALUE"""),145359.0)</f>
        <v>145359</v>
      </c>
      <c r="F292" s="21" t="str">
        <f>IFERROR(__xludf.DUMMYFUNCTION("""COMPUTED_VALUE"""),"TRANSITO REVERSA")</f>
        <v>TRANSITO REVERSA</v>
      </c>
      <c r="G292" s="23">
        <f>IFERROR(__xludf.DUMMYFUNCTION("""COMPUTED_VALUE"""),45633.00336805556)</f>
        <v>45633.00337</v>
      </c>
      <c r="H292" s="24" t="str">
        <f>IFERROR(VLOOKUP(B292,material!A:D,3,0),"")</f>
        <v>TOP MIX</v>
      </c>
    </row>
    <row r="293" ht="11.25" customHeight="1">
      <c r="A293" s="21" t="str">
        <f>IFERROR(__xludf.DUMMYFUNCTION("""COMPUTED_VALUE"""),"DECODER DIGITAL HD DXC5000 2T")</f>
        <v>DECODER DIGITAL HD DXC5000 2T</v>
      </c>
      <c r="B293" s="22">
        <f>IFERROR(__xludf.DUMMYFUNCTION("""COMPUTED_VALUE"""),4.1001277E7)</f>
        <v>41001277</v>
      </c>
      <c r="C293" s="21" t="str">
        <f>IFERROR(__xludf.DUMMYFUNCTION("""COMPUTED_VALUE"""),"216576419912")</f>
        <v>216576419912</v>
      </c>
      <c r="D293" s="21" t="str">
        <f>IFERROR(__xludf.DUMMYFUNCTION("""COMPUTED_VALUE"""),"DIGITEC TECNOLOGIA DIGITAL E REPRES")</f>
        <v>DIGITEC TECNOLOGIA DIGITAL E REPRES</v>
      </c>
      <c r="E293" s="21">
        <f>IFERROR(__xludf.DUMMYFUNCTION("""COMPUTED_VALUE"""),145359.0)</f>
        <v>145359</v>
      </c>
      <c r="F293" s="21" t="str">
        <f>IFERROR(__xludf.DUMMYFUNCTION("""COMPUTED_VALUE"""),"INICIALIZADO")</f>
        <v>INICIALIZADO</v>
      </c>
      <c r="G293" s="23">
        <f>IFERROR(__xludf.DUMMYFUNCTION("""COMPUTED_VALUE"""),45600.476006944446)</f>
        <v>45600.47601</v>
      </c>
      <c r="H293" s="24" t="str">
        <f>IFERROR(VLOOKUP(B293,material!A:D,3,0),"")</f>
        <v>TOP MIX</v>
      </c>
    </row>
    <row r="294" ht="11.25" customHeight="1">
      <c r="A294" s="21" t="str">
        <f>IFERROR(__xludf.DUMMYFUNCTION("""COMPUTED_VALUE"""),"DECODER DIGITAL HD DXC5000 2T")</f>
        <v>DECODER DIGITAL HD DXC5000 2T</v>
      </c>
      <c r="B294" s="22">
        <f>IFERROR(__xludf.DUMMYFUNCTION("""COMPUTED_VALUE"""),4.1001277E7)</f>
        <v>41001277</v>
      </c>
      <c r="C294" s="21" t="str">
        <f>IFERROR(__xludf.DUMMYFUNCTION("""COMPUTED_VALUE"""),"216437128305")</f>
        <v>216437128305</v>
      </c>
      <c r="D294" s="21" t="str">
        <f>IFERROR(__xludf.DUMMYFUNCTION("""COMPUTED_VALUE"""),"DIGITEC TECNOLOGIA DIGITAL E REPRES")</f>
        <v>DIGITEC TECNOLOGIA DIGITAL E REPRES</v>
      </c>
      <c r="E294" s="21">
        <f>IFERROR(__xludf.DUMMYFUNCTION("""COMPUTED_VALUE"""),145359.0)</f>
        <v>145359</v>
      </c>
      <c r="F294" s="21" t="str">
        <f>IFERROR(__xludf.DUMMYFUNCTION("""COMPUTED_VALUE"""),"INICIALIZADO")</f>
        <v>INICIALIZADO</v>
      </c>
      <c r="G294" s="23">
        <f>IFERROR(__xludf.DUMMYFUNCTION("""COMPUTED_VALUE"""),45632.596087962964)</f>
        <v>45632.59609</v>
      </c>
      <c r="H294" s="24" t="str">
        <f>IFERROR(VLOOKUP(B294,material!A:D,3,0),"")</f>
        <v>TOP MIX</v>
      </c>
    </row>
    <row r="295" ht="11.25" customHeight="1">
      <c r="A295" s="21" t="str">
        <f>IFERROR(__xludf.DUMMYFUNCTION("""COMPUTED_VALUE"""),"DECODER DIGITAL HD HNB100 2T")</f>
        <v>DECODER DIGITAL HD HNB100 2T</v>
      </c>
      <c r="B295" s="22">
        <f>IFERROR(__xludf.DUMMYFUNCTION("""COMPUTED_VALUE"""),4.1001276E7)</f>
        <v>41001276</v>
      </c>
      <c r="C295" s="21" t="str">
        <f>IFERROR(__xludf.DUMMYFUNCTION("""COMPUTED_VALUE"""),"216353951927")</f>
        <v>216353951927</v>
      </c>
      <c r="D295" s="21" t="str">
        <f>IFERROR(__xludf.DUMMYFUNCTION("""COMPUTED_VALUE"""),"DIGITEC TECNOLOGIA DIGITAL E REPRES")</f>
        <v>DIGITEC TECNOLOGIA DIGITAL E REPRES</v>
      </c>
      <c r="E295" s="21">
        <f>IFERROR(__xludf.DUMMYFUNCTION("""COMPUTED_VALUE"""),145359.0)</f>
        <v>145359</v>
      </c>
      <c r="F295" s="21" t="str">
        <f>IFERROR(__xludf.DUMMYFUNCTION("""COMPUTED_VALUE"""),"INICIALIZADO")</f>
        <v>INICIALIZADO</v>
      </c>
      <c r="G295" s="23">
        <f>IFERROR(__xludf.DUMMYFUNCTION("""COMPUTED_VALUE"""),45635.535057870366)</f>
        <v>45635.53506</v>
      </c>
      <c r="H295" s="24" t="str">
        <f>IFERROR(VLOOKUP(B295,material!A:D,3,0),"")</f>
        <v>TOP MIX</v>
      </c>
    </row>
    <row r="296" ht="11.25" customHeight="1">
      <c r="A296" s="21" t="str">
        <f>IFERROR(__xludf.DUMMYFUNCTION("""COMPUTED_VALUE"""),"SMART CARD PRETO NAGRA")</f>
        <v>SMART CARD PRETO NAGRA</v>
      </c>
      <c r="B296" s="22">
        <f>IFERROR(__xludf.DUMMYFUNCTION("""COMPUTED_VALUE"""),4.1001234E7)</f>
        <v>41001234</v>
      </c>
      <c r="C296" s="21" t="str">
        <f>IFERROR(__xludf.DUMMYFUNCTION("""COMPUTED_VALUE"""),"246031030811")</f>
        <v>246031030811</v>
      </c>
      <c r="D296" s="21" t="str">
        <f>IFERROR(__xludf.DUMMYFUNCTION("""COMPUTED_VALUE"""),"DIGITEC TECNOLOGIA DIGITAL E REPRES")</f>
        <v>DIGITEC TECNOLOGIA DIGITAL E REPRES</v>
      </c>
      <c r="E296" s="21">
        <f>IFERROR(__xludf.DUMMYFUNCTION("""COMPUTED_VALUE"""),145359.0)</f>
        <v>145359</v>
      </c>
      <c r="F296" s="21" t="str">
        <f>IFERROR(__xludf.DUMMYFUNCTION("""COMPUTED_VALUE"""),"INICIALIZADO")</f>
        <v>INICIALIZADO</v>
      </c>
      <c r="G296" s="23">
        <f>IFERROR(__xludf.DUMMYFUNCTION("""COMPUTED_VALUE"""),45635.534907407404)</f>
        <v>45635.53491</v>
      </c>
      <c r="H296" s="24" t="str">
        <f>IFERROR(VLOOKUP(B296,material!A:D,3,0),"")</f>
        <v>CARD</v>
      </c>
    </row>
    <row r="297" ht="11.25" customHeight="1">
      <c r="A297" s="21" t="str">
        <f>IFERROR(__xludf.DUMMYFUNCTION("""COMPUTED_VALUE"""),"SMART CARD PRETO NAGRA")</f>
        <v>SMART CARD PRETO NAGRA</v>
      </c>
      <c r="B297" s="22">
        <f>IFERROR(__xludf.DUMMYFUNCTION("""COMPUTED_VALUE"""),4.1001234E7)</f>
        <v>41001234</v>
      </c>
      <c r="C297" s="21" t="str">
        <f>IFERROR(__xludf.DUMMYFUNCTION("""COMPUTED_VALUE"""),"246167811433")</f>
        <v>246167811433</v>
      </c>
      <c r="D297" s="21" t="str">
        <f>IFERROR(__xludf.DUMMYFUNCTION("""COMPUTED_VALUE"""),"DIGITEC TECNOLOGIA DIGITAL E REPRES")</f>
        <v>DIGITEC TECNOLOGIA DIGITAL E REPRES</v>
      </c>
      <c r="E297" s="21">
        <f>IFERROR(__xludf.DUMMYFUNCTION("""COMPUTED_VALUE"""),145359.0)</f>
        <v>145359</v>
      </c>
      <c r="F297" s="21" t="str">
        <f>IFERROR(__xludf.DUMMYFUNCTION("""COMPUTED_VALUE"""),"INICIALIZADO")</f>
        <v>INICIALIZADO</v>
      </c>
      <c r="G297" s="23">
        <f>IFERROR(__xludf.DUMMYFUNCTION("""COMPUTED_VALUE"""),45635.534895833334)</f>
        <v>45635.5349</v>
      </c>
      <c r="H297" s="24" t="str">
        <f>IFERROR(VLOOKUP(B297,material!A:D,3,0),"")</f>
        <v>CARD</v>
      </c>
    </row>
    <row r="298" ht="11.25" customHeight="1">
      <c r="A298" s="21" t="str">
        <f>IFERROR(__xludf.DUMMYFUNCTION("""COMPUTED_VALUE"""),"SMART CARD PRETO NAGRA")</f>
        <v>SMART CARD PRETO NAGRA</v>
      </c>
      <c r="B298" s="22">
        <f>IFERROR(__xludf.DUMMYFUNCTION("""COMPUTED_VALUE"""),4.1001234E7)</f>
        <v>41001234</v>
      </c>
      <c r="C298" s="21" t="str">
        <f>IFERROR(__xludf.DUMMYFUNCTION("""COMPUTED_VALUE"""),"226279164454")</f>
        <v>226279164454</v>
      </c>
      <c r="D298" s="21" t="str">
        <f>IFERROR(__xludf.DUMMYFUNCTION("""COMPUTED_VALUE"""),"DIGITEC TECNOLOGIA DIGITAL E REPRES")</f>
        <v>DIGITEC TECNOLOGIA DIGITAL E REPRES</v>
      </c>
      <c r="E298" s="21">
        <f>IFERROR(__xludf.DUMMYFUNCTION("""COMPUTED_VALUE"""),145359.0)</f>
        <v>145359</v>
      </c>
      <c r="F298" s="21" t="str">
        <f>IFERROR(__xludf.DUMMYFUNCTION("""COMPUTED_VALUE"""),"INICIALIZADO")</f>
        <v>INICIALIZADO</v>
      </c>
      <c r="G298" s="23">
        <f>IFERROR(__xludf.DUMMYFUNCTION("""COMPUTED_VALUE"""),45642.52410879629)</f>
        <v>45642.52411</v>
      </c>
      <c r="H298" s="24" t="str">
        <f>IFERROR(VLOOKUP(B298,material!A:D,3,0),"")</f>
        <v>CARD</v>
      </c>
    </row>
    <row r="299" ht="11.25" customHeight="1">
      <c r="A299" s="21" t="str">
        <f>IFERROR(__xludf.DUMMYFUNCTION("""COMPUTED_VALUE"""),"SMART CARD PRETO NAGRA")</f>
        <v>SMART CARD PRETO NAGRA</v>
      </c>
      <c r="B299" s="22">
        <f>IFERROR(__xludf.DUMMYFUNCTION("""COMPUTED_VALUE"""),4.1001234E7)</f>
        <v>41001234</v>
      </c>
      <c r="C299" s="21" t="str">
        <f>IFERROR(__xludf.DUMMYFUNCTION("""COMPUTED_VALUE"""),"226141339296")</f>
        <v>226141339296</v>
      </c>
      <c r="D299" s="21" t="str">
        <f>IFERROR(__xludf.DUMMYFUNCTION("""COMPUTED_VALUE"""),"DIGITEC TECNOLOGIA DIGITAL E REPRES")</f>
        <v>DIGITEC TECNOLOGIA DIGITAL E REPRES</v>
      </c>
      <c r="E299" s="21">
        <f>IFERROR(__xludf.DUMMYFUNCTION("""COMPUTED_VALUE"""),145359.0)</f>
        <v>145359</v>
      </c>
      <c r="F299" s="21" t="str">
        <f>IFERROR(__xludf.DUMMYFUNCTION("""COMPUTED_VALUE"""),"INICIALIZADO")</f>
        <v>INICIALIZADO</v>
      </c>
      <c r="G299" s="23">
        <f>IFERROR(__xludf.DUMMYFUNCTION("""COMPUTED_VALUE"""),45635.53494212963)</f>
        <v>45635.53494</v>
      </c>
      <c r="H299" s="24" t="str">
        <f>IFERROR(VLOOKUP(B299,material!A:D,3,0),"")</f>
        <v>CARD</v>
      </c>
    </row>
    <row r="300" ht="11.25" customHeight="1">
      <c r="A300" s="21" t="str">
        <f>IFERROR(__xludf.DUMMYFUNCTION("""COMPUTED_VALUE"""),"SMART CARD LARANJA NAGRA")</f>
        <v>SMART CARD LARANJA NAGRA</v>
      </c>
      <c r="B300" s="22">
        <f>IFERROR(__xludf.DUMMYFUNCTION("""COMPUTED_VALUE"""),4.1001186E7)</f>
        <v>41001186</v>
      </c>
      <c r="C300" s="21" t="str">
        <f>IFERROR(__xludf.DUMMYFUNCTION("""COMPUTED_VALUE"""),"215706964351")</f>
        <v>215706964351</v>
      </c>
      <c r="D300" s="21" t="str">
        <f>IFERROR(__xludf.DUMMYFUNCTION("""COMPUTED_VALUE"""),"DIGITEC TECNOLOGIA DIGITAL E REPRES")</f>
        <v>DIGITEC TECNOLOGIA DIGITAL E REPRES</v>
      </c>
      <c r="E300" s="21">
        <f>IFERROR(__xludf.DUMMYFUNCTION("""COMPUTED_VALUE"""),145359.0)</f>
        <v>145359</v>
      </c>
      <c r="F300" s="21" t="str">
        <f>IFERROR(__xludf.DUMMYFUNCTION("""COMPUTED_VALUE"""),"SUCATA")</f>
        <v>SUCATA</v>
      </c>
      <c r="G300" s="23">
        <f>IFERROR(__xludf.DUMMYFUNCTION("""COMPUTED_VALUE"""),45075.58660879629)</f>
        <v>45075.58661</v>
      </c>
      <c r="H300" s="24" t="str">
        <f>IFERROR(VLOOKUP(B300,material!A:D,3,0),"")</f>
        <v>CARD</v>
      </c>
    </row>
    <row r="301" ht="11.25" customHeight="1">
      <c r="A301" s="21" t="str">
        <f>IFERROR(__xludf.DUMMYFUNCTION("""COMPUTED_VALUE"""),"SMART CARD LARANJA NAGRA")</f>
        <v>SMART CARD LARANJA NAGRA</v>
      </c>
      <c r="B301" s="22">
        <f>IFERROR(__xludf.DUMMYFUNCTION("""COMPUTED_VALUE"""),4.1001186E7)</f>
        <v>41001186</v>
      </c>
      <c r="C301" s="21" t="str">
        <f>IFERROR(__xludf.DUMMYFUNCTION("""COMPUTED_VALUE"""),"226565647474")</f>
        <v>226565647474</v>
      </c>
      <c r="D301" s="21" t="str">
        <f>IFERROR(__xludf.DUMMYFUNCTION("""COMPUTED_VALUE"""),"DIGITEC TECNOLOGIA DIGITAL E REPRES")</f>
        <v>DIGITEC TECNOLOGIA DIGITAL E REPRES</v>
      </c>
      <c r="E301" s="21">
        <f>IFERROR(__xludf.DUMMYFUNCTION("""COMPUTED_VALUE"""),145359.0)</f>
        <v>145359</v>
      </c>
      <c r="F301" s="21" t="str">
        <f>IFERROR(__xludf.DUMMYFUNCTION("""COMPUTED_VALUE"""),"TRANSITO REVERSA")</f>
        <v>TRANSITO REVERSA</v>
      </c>
      <c r="G301" s="23">
        <f>IFERROR(__xludf.DUMMYFUNCTION("""COMPUTED_VALUE"""),45638.520636574074)</f>
        <v>45638.52064</v>
      </c>
      <c r="H301" s="24" t="str">
        <f>IFERROR(VLOOKUP(B301,material!A:D,3,0),"")</f>
        <v>CARD</v>
      </c>
    </row>
    <row r="302" ht="11.25" customHeight="1">
      <c r="A302" s="21" t="str">
        <f>IFERROR(__xludf.DUMMYFUNCTION("""COMPUTED_VALUE"""),"TECHNICOLOR TC7337NET")</f>
        <v>TECHNICOLOR TC7337NET</v>
      </c>
      <c r="B302" s="22">
        <f>IFERROR(__xludf.DUMMYFUNCTION("""COMPUTED_VALUE"""),4.1001294E7)</f>
        <v>41001294</v>
      </c>
      <c r="C302" s="21" t="str">
        <f>IFERROR(__xludf.DUMMYFUNCTION("""COMPUTED_VALUE"""),"54A65C8CC5D7")</f>
        <v>54A65C8CC5D7</v>
      </c>
      <c r="D302" s="21" t="str">
        <f>IFERROR(__xludf.DUMMYFUNCTION("""COMPUTED_VALUE"""),"DIGITEC TECNOLOGIA DIGITAL E REPRES")</f>
        <v>DIGITEC TECNOLOGIA DIGITAL E REPRES</v>
      </c>
      <c r="E302" s="21">
        <f>IFERROR(__xludf.DUMMYFUNCTION("""COMPUTED_VALUE"""),145359.0)</f>
        <v>145359</v>
      </c>
      <c r="F302" s="21" t="str">
        <f>IFERROR(__xludf.DUMMYFUNCTION("""COMPUTED_VALUE"""),"TRANSITO REVERSA")</f>
        <v>TRANSITO REVERSA</v>
      </c>
      <c r="G302" s="23">
        <f>IFERROR(__xludf.DUMMYFUNCTION("""COMPUTED_VALUE"""),45633.00398148148)</f>
        <v>45633.00398</v>
      </c>
      <c r="H302" s="24" t="str">
        <f>IFERROR(VLOOKUP(B302,material!A:D,3,0),"")</f>
        <v>DUAL</v>
      </c>
    </row>
    <row r="303" ht="11.25" customHeight="1">
      <c r="A303" s="21" t="str">
        <f>IFERROR(__xludf.DUMMYFUNCTION("""COMPUTED_VALUE"""),"TECHNICOLOR TC7337NET")</f>
        <v>TECHNICOLOR TC7337NET</v>
      </c>
      <c r="B303" s="22">
        <f>IFERROR(__xludf.DUMMYFUNCTION("""COMPUTED_VALUE"""),4.1001294E7)</f>
        <v>41001294</v>
      </c>
      <c r="C303" s="21" t="str">
        <f>IFERROR(__xludf.DUMMYFUNCTION("""COMPUTED_VALUE"""),"B42A0ED303AE")</f>
        <v>B42A0ED303AE</v>
      </c>
      <c r="D303" s="21" t="str">
        <f>IFERROR(__xludf.DUMMYFUNCTION("""COMPUTED_VALUE"""),"DIGITEC TECNOLOGIA DIGITAL E REPRES")</f>
        <v>DIGITEC TECNOLOGIA DIGITAL E REPRES</v>
      </c>
      <c r="E303" s="21">
        <f>IFERROR(__xludf.DUMMYFUNCTION("""COMPUTED_VALUE"""),145359.0)</f>
        <v>145359</v>
      </c>
      <c r="F303" s="21" t="str">
        <f>IFERROR(__xludf.DUMMYFUNCTION("""COMPUTED_VALUE"""),"INICIALIZADO")</f>
        <v>INICIALIZADO</v>
      </c>
      <c r="G303" s="23">
        <f>IFERROR(__xludf.DUMMYFUNCTION("""COMPUTED_VALUE"""),45618.74476851852)</f>
        <v>45618.74477</v>
      </c>
      <c r="H303" s="24" t="str">
        <f>IFERROR(VLOOKUP(B303,material!A:D,3,0),"")</f>
        <v>DUAL</v>
      </c>
    </row>
    <row r="304" ht="11.25" customHeight="1">
      <c r="A304" s="21" t="str">
        <f>IFERROR(__xludf.DUMMYFUNCTION("""COMPUTED_VALUE"""),"DECODER DIGITAL HD HNB100 2T")</f>
        <v>DECODER DIGITAL HD HNB100 2T</v>
      </c>
      <c r="B304" s="22">
        <f>IFERROR(__xludf.DUMMYFUNCTION("""COMPUTED_VALUE"""),4.1001276E7)</f>
        <v>41001276</v>
      </c>
      <c r="C304" s="21" t="str">
        <f>IFERROR(__xludf.DUMMYFUNCTION("""COMPUTED_VALUE"""),"216799609719")</f>
        <v>216799609719</v>
      </c>
      <c r="D304" s="21" t="str">
        <f>IFERROR(__xludf.DUMMYFUNCTION("""COMPUTED_VALUE"""),"DIGITEC TECNOLOGIA DIGITAL E REPRES")</f>
        <v>DIGITEC TECNOLOGIA DIGITAL E REPRES</v>
      </c>
      <c r="E304" s="21">
        <f>IFERROR(__xludf.DUMMYFUNCTION("""COMPUTED_VALUE"""),145359.0)</f>
        <v>145359</v>
      </c>
      <c r="F304" s="21" t="str">
        <f>IFERROR(__xludf.DUMMYFUNCTION("""COMPUTED_VALUE"""),"INICIALIZADO")</f>
        <v>INICIALIZADO</v>
      </c>
      <c r="G304" s="23">
        <f>IFERROR(__xludf.DUMMYFUNCTION("""COMPUTED_VALUE"""),45635.53501157407)</f>
        <v>45635.53501</v>
      </c>
      <c r="H304" s="24" t="str">
        <f>IFERROR(VLOOKUP(B304,material!A:D,3,0),"")</f>
        <v>TOP MIX</v>
      </c>
    </row>
    <row r="305" ht="11.25" customHeight="1">
      <c r="A305" s="21" t="str">
        <f>IFERROR(__xludf.DUMMYFUNCTION("""COMPUTED_VALUE"""),"DECODER DIGITAL HD HNB100 2T")</f>
        <v>DECODER DIGITAL HD HNB100 2T</v>
      </c>
      <c r="B305" s="22">
        <f>IFERROR(__xludf.DUMMYFUNCTION("""COMPUTED_VALUE"""),4.1001276E7)</f>
        <v>41001276</v>
      </c>
      <c r="C305" s="21" t="str">
        <f>IFERROR(__xludf.DUMMYFUNCTION("""COMPUTED_VALUE"""),"216687610102")</f>
        <v>216687610102</v>
      </c>
      <c r="D305" s="21" t="str">
        <f>IFERROR(__xludf.DUMMYFUNCTION("""COMPUTED_VALUE"""),"DIGITEC TECNOLOGIA DIGITAL E REPRES")</f>
        <v>DIGITEC TECNOLOGIA DIGITAL E REPRES</v>
      </c>
      <c r="E305" s="21">
        <f>IFERROR(__xludf.DUMMYFUNCTION("""COMPUTED_VALUE"""),145359.0)</f>
        <v>145359</v>
      </c>
      <c r="F305" s="21" t="str">
        <f>IFERROR(__xludf.DUMMYFUNCTION("""COMPUTED_VALUE"""),"INICIALIZADO")</f>
        <v>INICIALIZADO</v>
      </c>
      <c r="G305" s="23">
        <f>IFERROR(__xludf.DUMMYFUNCTION("""COMPUTED_VALUE"""),45642.52412037037)</f>
        <v>45642.52412</v>
      </c>
      <c r="H305" s="24" t="str">
        <f>IFERROR(VLOOKUP(B305,material!A:D,3,0),"")</f>
        <v>TOP MIX</v>
      </c>
    </row>
    <row r="306" ht="11.25" customHeight="1">
      <c r="A306" s="21" t="str">
        <f>IFERROR(__xludf.DUMMYFUNCTION("""COMPUTED_VALUE"""),"DECODER DIGITAL HD HNB100 2T")</f>
        <v>DECODER DIGITAL HD HNB100 2T</v>
      </c>
      <c r="B306" s="22">
        <f>IFERROR(__xludf.DUMMYFUNCTION("""COMPUTED_VALUE"""),4.1001276E7)</f>
        <v>41001276</v>
      </c>
      <c r="C306" s="21" t="str">
        <f>IFERROR(__xludf.DUMMYFUNCTION("""COMPUTED_VALUE"""),"216554434848")</f>
        <v>216554434848</v>
      </c>
      <c r="D306" s="21" t="str">
        <f>IFERROR(__xludf.DUMMYFUNCTION("""COMPUTED_VALUE"""),"DIGITEC TECNOLOGIA DIGITAL E REPRES")</f>
        <v>DIGITEC TECNOLOGIA DIGITAL E REPRES</v>
      </c>
      <c r="E306" s="21">
        <f>IFERROR(__xludf.DUMMYFUNCTION("""COMPUTED_VALUE"""),145359.0)</f>
        <v>145359</v>
      </c>
      <c r="F306" s="21" t="str">
        <f>IFERROR(__xludf.DUMMYFUNCTION("""COMPUTED_VALUE"""),"INICIALIZADO")</f>
        <v>INICIALIZADO</v>
      </c>
      <c r="G306" s="23">
        <f>IFERROR(__xludf.DUMMYFUNCTION("""COMPUTED_VALUE"""),45635.53508101852)</f>
        <v>45635.53508</v>
      </c>
      <c r="H306" s="24" t="str">
        <f>IFERROR(VLOOKUP(B306,material!A:D,3,0),"")</f>
        <v>TOP MIX</v>
      </c>
    </row>
    <row r="307" ht="11.25" customHeight="1">
      <c r="A307" s="21" t="str">
        <f>IFERROR(__xludf.DUMMYFUNCTION("""COMPUTED_VALUE"""),"DECODER DIGITAL HD HNB100 2T")</f>
        <v>DECODER DIGITAL HD HNB100 2T</v>
      </c>
      <c r="B307" s="22">
        <f>IFERROR(__xludf.DUMMYFUNCTION("""COMPUTED_VALUE"""),4.1001276E7)</f>
        <v>41001276</v>
      </c>
      <c r="C307" s="21" t="str">
        <f>IFERROR(__xludf.DUMMYFUNCTION("""COMPUTED_VALUE"""),"184329493952")</f>
        <v>184329493952</v>
      </c>
      <c r="D307" s="21" t="str">
        <f>IFERROR(__xludf.DUMMYFUNCTION("""COMPUTED_VALUE"""),"DIGITEC TECNOLOGIA DIGITAL E REPRES")</f>
        <v>DIGITEC TECNOLOGIA DIGITAL E REPRES</v>
      </c>
      <c r="E307" s="21">
        <f>IFERROR(__xludf.DUMMYFUNCTION("""COMPUTED_VALUE"""),145359.0)</f>
        <v>145359</v>
      </c>
      <c r="F307" s="21" t="str">
        <f>IFERROR(__xludf.DUMMYFUNCTION("""COMPUTED_VALUE"""),"INICIALIZADO")</f>
        <v>INICIALIZADO</v>
      </c>
      <c r="G307" s="23">
        <f>IFERROR(__xludf.DUMMYFUNCTION("""COMPUTED_VALUE"""),45642.52413194445)</f>
        <v>45642.52413</v>
      </c>
      <c r="H307" s="24" t="str">
        <f>IFERROR(VLOOKUP(B307,material!A:D,3,0),"")</f>
        <v>TOP MIX</v>
      </c>
    </row>
    <row r="308" ht="11.25" customHeight="1">
      <c r="A308" s="21" t="str">
        <f>IFERROR(__xludf.DUMMYFUNCTION("""COMPUTED_VALUE"""),"DECODER DIGITAL HD HNB100 2T")</f>
        <v>DECODER DIGITAL HD HNB100 2T</v>
      </c>
      <c r="B308" s="22">
        <f>IFERROR(__xludf.DUMMYFUNCTION("""COMPUTED_VALUE"""),4.1001276E7)</f>
        <v>41001276</v>
      </c>
      <c r="C308" s="21" t="str">
        <f>IFERROR(__xludf.DUMMYFUNCTION("""COMPUTED_VALUE"""),"216411198287")</f>
        <v>216411198287</v>
      </c>
      <c r="D308" s="21" t="str">
        <f>IFERROR(__xludf.DUMMYFUNCTION("""COMPUTED_VALUE"""),"DIGITEC TECNOLOGIA DIGITAL E REPRES")</f>
        <v>DIGITEC TECNOLOGIA DIGITAL E REPRES</v>
      </c>
      <c r="E308" s="21">
        <f>IFERROR(__xludf.DUMMYFUNCTION("""COMPUTED_VALUE"""),145359.0)</f>
        <v>145359</v>
      </c>
      <c r="F308" s="21" t="str">
        <f>IFERROR(__xludf.DUMMYFUNCTION("""COMPUTED_VALUE"""),"INICIALIZADO")</f>
        <v>INICIALIZADO</v>
      </c>
      <c r="G308" s="23">
        <f>IFERROR(__xludf.DUMMYFUNCTION("""COMPUTED_VALUE"""),45635.535046296296)</f>
        <v>45635.53505</v>
      </c>
      <c r="H308" s="24" t="str">
        <f>IFERROR(VLOOKUP(B308,material!A:D,3,0),"")</f>
        <v>TOP MIX</v>
      </c>
    </row>
    <row r="309" ht="11.25" customHeight="1">
      <c r="A309" s="21" t="str">
        <f>IFERROR(__xludf.DUMMYFUNCTION("""COMPUTED_VALUE"""),"DECODER DIGITAL HD HNB100 2T")</f>
        <v>DECODER DIGITAL HD HNB100 2T</v>
      </c>
      <c r="B309" s="22">
        <f>IFERROR(__xludf.DUMMYFUNCTION("""COMPUTED_VALUE"""),4.1001276E7)</f>
        <v>41001276</v>
      </c>
      <c r="C309" s="21" t="str">
        <f>IFERROR(__xludf.DUMMYFUNCTION("""COMPUTED_VALUE"""),"216410888606")</f>
        <v>216410888606</v>
      </c>
      <c r="D309" s="21" t="str">
        <f>IFERROR(__xludf.DUMMYFUNCTION("""COMPUTED_VALUE"""),"DIGITEC TECNOLOGIA DIGITAL E REPRES")</f>
        <v>DIGITEC TECNOLOGIA DIGITAL E REPRES</v>
      </c>
      <c r="E309" s="21">
        <f>IFERROR(__xludf.DUMMYFUNCTION("""COMPUTED_VALUE"""),145359.0)</f>
        <v>145359</v>
      </c>
      <c r="F309" s="21" t="str">
        <f>IFERROR(__xludf.DUMMYFUNCTION("""COMPUTED_VALUE"""),"INICIALIZADO")</f>
        <v>INICIALIZADO</v>
      </c>
      <c r="G309" s="23">
        <f>IFERROR(__xludf.DUMMYFUNCTION("""COMPUTED_VALUE"""),45635.535046296296)</f>
        <v>45635.53505</v>
      </c>
      <c r="H309" s="24" t="str">
        <f>IFERROR(VLOOKUP(B309,material!A:D,3,0),"")</f>
        <v>TOP MIX</v>
      </c>
    </row>
    <row r="310" ht="11.25" customHeight="1">
      <c r="A310" s="21" t="str">
        <f>IFERROR(__xludf.DUMMYFUNCTION("""COMPUTED_VALUE"""),"DECODER DIGITAL HD DXC5000 2T")</f>
        <v>DECODER DIGITAL HD DXC5000 2T</v>
      </c>
      <c r="B310" s="22">
        <f>IFERROR(__xludf.DUMMYFUNCTION("""COMPUTED_VALUE"""),4.1001277E7)</f>
        <v>41001277</v>
      </c>
      <c r="C310" s="21" t="str">
        <f>IFERROR(__xludf.DUMMYFUNCTION("""COMPUTED_VALUE"""),"216591085159")</f>
        <v>216591085159</v>
      </c>
      <c r="D310" s="21" t="str">
        <f>IFERROR(__xludf.DUMMYFUNCTION("""COMPUTED_VALUE"""),"DIGITEC TECNOLOGIA DIGITAL E REPRES")</f>
        <v>DIGITEC TECNOLOGIA DIGITAL E REPRES</v>
      </c>
      <c r="E310" s="21">
        <f>IFERROR(__xludf.DUMMYFUNCTION("""COMPUTED_VALUE"""),145359.0)</f>
        <v>145359</v>
      </c>
      <c r="F310" s="21" t="str">
        <f>IFERROR(__xludf.DUMMYFUNCTION("""COMPUTED_VALUE"""),"INICIALIZADO")</f>
        <v>INICIALIZADO</v>
      </c>
      <c r="G310" s="23">
        <f>IFERROR(__xludf.DUMMYFUNCTION("""COMPUTED_VALUE"""),45600.47599537037)</f>
        <v>45600.476</v>
      </c>
      <c r="H310" s="24" t="str">
        <f>IFERROR(VLOOKUP(B310,material!A:D,3,0),"")</f>
        <v>TOP MIX</v>
      </c>
    </row>
    <row r="311" ht="11.25" customHeight="1">
      <c r="A311" s="21" t="str">
        <f>IFERROR(__xludf.DUMMYFUNCTION("""COMPUTED_VALUE"""),"SMART CARD PRETO NAGRA")</f>
        <v>SMART CARD PRETO NAGRA</v>
      </c>
      <c r="B311" s="22">
        <f>IFERROR(__xludf.DUMMYFUNCTION("""COMPUTED_VALUE"""),4.1001234E7)</f>
        <v>41001234</v>
      </c>
      <c r="C311" s="21" t="str">
        <f>IFERROR(__xludf.DUMMYFUNCTION("""COMPUTED_VALUE"""),"246009077792")</f>
        <v>246009077792</v>
      </c>
      <c r="D311" s="21" t="str">
        <f>IFERROR(__xludf.DUMMYFUNCTION("""COMPUTED_VALUE"""),"DIGITEC TECNOLOGIA DIGITAL E REPRES")</f>
        <v>DIGITEC TECNOLOGIA DIGITAL E REPRES</v>
      </c>
      <c r="E311" s="21">
        <f>IFERROR(__xludf.DUMMYFUNCTION("""COMPUTED_VALUE"""),145359.0)</f>
        <v>145359</v>
      </c>
      <c r="F311" s="21" t="str">
        <f>IFERROR(__xludf.DUMMYFUNCTION("""COMPUTED_VALUE"""),"INICIALIZADO")</f>
        <v>INICIALIZADO</v>
      </c>
      <c r="G311" s="23">
        <f>IFERROR(__xludf.DUMMYFUNCTION("""COMPUTED_VALUE"""),45635.53496527778)</f>
        <v>45635.53497</v>
      </c>
      <c r="H311" s="24" t="str">
        <f>IFERROR(VLOOKUP(B311,material!A:D,3,0),"")</f>
        <v>CARD</v>
      </c>
    </row>
    <row r="312" ht="11.25" customHeight="1">
      <c r="A312" s="21" t="str">
        <f>IFERROR(__xludf.DUMMYFUNCTION("""COMPUTED_VALUE"""),"SMART CARD PRETO NAGRA")</f>
        <v>SMART CARD PRETO NAGRA</v>
      </c>
      <c r="B312" s="22">
        <f>IFERROR(__xludf.DUMMYFUNCTION("""COMPUTED_VALUE"""),4.1001234E7)</f>
        <v>41001234</v>
      </c>
      <c r="C312" s="21" t="str">
        <f>IFERROR(__xludf.DUMMYFUNCTION("""COMPUTED_VALUE"""),"246056356166")</f>
        <v>246056356166</v>
      </c>
      <c r="D312" s="21" t="str">
        <f>IFERROR(__xludf.DUMMYFUNCTION("""COMPUTED_VALUE"""),"DIGITEC TECNOLOGIA DIGITAL E REPRES")</f>
        <v>DIGITEC TECNOLOGIA DIGITAL E REPRES</v>
      </c>
      <c r="E312" s="21">
        <f>IFERROR(__xludf.DUMMYFUNCTION("""COMPUTED_VALUE"""),145359.0)</f>
        <v>145359</v>
      </c>
      <c r="F312" s="21" t="str">
        <f>IFERROR(__xludf.DUMMYFUNCTION("""COMPUTED_VALUE"""),"INICIALIZADO")</f>
        <v>INICIALIZADO</v>
      </c>
      <c r="G312" s="23">
        <f>IFERROR(__xludf.DUMMYFUNCTION("""COMPUTED_VALUE"""),45635.534907407404)</f>
        <v>45635.53491</v>
      </c>
      <c r="H312" s="24" t="str">
        <f>IFERROR(VLOOKUP(B312,material!A:D,3,0),"")</f>
        <v>CARD</v>
      </c>
    </row>
    <row r="313" ht="11.25" customHeight="1">
      <c r="A313" s="21" t="str">
        <f>IFERROR(__xludf.DUMMYFUNCTION("""COMPUTED_VALUE"""),"DECODER DIGITAL HD HNB100 2T")</f>
        <v>DECODER DIGITAL HD HNB100 2T</v>
      </c>
      <c r="B313" s="22">
        <f>IFERROR(__xludf.DUMMYFUNCTION("""COMPUTED_VALUE"""),4.1001276E7)</f>
        <v>41001276</v>
      </c>
      <c r="C313" s="21" t="str">
        <f>IFERROR(__xludf.DUMMYFUNCTION("""COMPUTED_VALUE"""),"216629464146")</f>
        <v>216629464146</v>
      </c>
      <c r="D313" s="21" t="str">
        <f>IFERROR(__xludf.DUMMYFUNCTION("""COMPUTED_VALUE"""),"DIGITEC TECNOLOGIA DIGITAL E REPRES")</f>
        <v>DIGITEC TECNOLOGIA DIGITAL E REPRES</v>
      </c>
      <c r="E313" s="21">
        <f>IFERROR(__xludf.DUMMYFUNCTION("""COMPUTED_VALUE"""),145359.0)</f>
        <v>145359</v>
      </c>
      <c r="F313" s="21" t="str">
        <f>IFERROR(__xludf.DUMMYFUNCTION("""COMPUTED_VALUE"""),"INICIALIZADO")</f>
        <v>INICIALIZADO</v>
      </c>
      <c r="G313" s="23">
        <f>IFERROR(__xludf.DUMMYFUNCTION("""COMPUTED_VALUE"""),45642.52412037037)</f>
        <v>45642.52412</v>
      </c>
      <c r="H313" s="24" t="str">
        <f>IFERROR(VLOOKUP(B313,material!A:D,3,0),"")</f>
        <v>TOP MIX</v>
      </c>
    </row>
    <row r="314" ht="11.25" customHeight="1">
      <c r="A314" s="21" t="str">
        <f>IFERROR(__xludf.DUMMYFUNCTION("""COMPUTED_VALUE"""),"SMART CARD LARANJA")</f>
        <v>SMART CARD LARANJA</v>
      </c>
      <c r="B314" s="22">
        <f>IFERROR(__xludf.DUMMYFUNCTION("""COMPUTED_VALUE"""),4.1001186E7)</f>
        <v>41001186</v>
      </c>
      <c r="C314" s="21" t="str">
        <f>IFERROR(__xludf.DUMMYFUNCTION("""COMPUTED_VALUE"""),"215611813853")</f>
        <v>215611813853</v>
      </c>
      <c r="D314" s="21" t="str">
        <f>IFERROR(__xludf.DUMMYFUNCTION("""COMPUTED_VALUE"""),"DIGITEC TECNOLOGIA DIGITAL E REPRES")</f>
        <v>DIGITEC TECNOLOGIA DIGITAL E REPRES</v>
      </c>
      <c r="E314" s="21">
        <f>IFERROR(__xludf.DUMMYFUNCTION("""COMPUTED_VALUE"""),145359.0)</f>
        <v>145359</v>
      </c>
      <c r="F314" s="21" t="str">
        <f>IFERROR(__xludf.DUMMYFUNCTION("""COMPUTED_VALUE"""),"SUCATA")</f>
        <v>SUCATA</v>
      </c>
      <c r="G314" s="23">
        <f>IFERROR(__xludf.DUMMYFUNCTION("""COMPUTED_VALUE"""),45254.56527777778)</f>
        <v>45254.56528</v>
      </c>
      <c r="H314" s="24" t="str">
        <f>IFERROR(VLOOKUP(B314,material!A:D,3,0),"")</f>
        <v>CARD</v>
      </c>
    </row>
    <row r="315" ht="11.25" customHeight="1">
      <c r="A315" s="21" t="str">
        <f>IFERROR(__xludf.DUMMYFUNCTION("""COMPUTED_VALUE"""),"DECODER HD DCI738 2T")</f>
        <v>DECODER HD DCI738 2T</v>
      </c>
      <c r="B315" s="22">
        <f>IFERROR(__xludf.DUMMYFUNCTION("""COMPUTED_VALUE"""),4.1001275E7)</f>
        <v>41001275</v>
      </c>
      <c r="C315" s="21" t="str">
        <f>IFERROR(__xludf.DUMMYFUNCTION("""COMPUTED_VALUE"""),"216536640318")</f>
        <v>216536640318</v>
      </c>
      <c r="D315" s="21" t="str">
        <f>IFERROR(__xludf.DUMMYFUNCTION("""COMPUTED_VALUE"""),"DIGITEC TECNOLOGIA DIGITAL E REPRES")</f>
        <v>DIGITEC TECNOLOGIA DIGITAL E REPRES</v>
      </c>
      <c r="E315" s="21">
        <f>IFERROR(__xludf.DUMMYFUNCTION("""COMPUTED_VALUE"""),145359.0)</f>
        <v>145359</v>
      </c>
      <c r="F315" s="21" t="str">
        <f>IFERROR(__xludf.DUMMYFUNCTION("""COMPUTED_VALUE"""),"TRANSITO REVERSA")</f>
        <v>TRANSITO REVERSA</v>
      </c>
      <c r="G315" s="23">
        <f>IFERROR(__xludf.DUMMYFUNCTION("""COMPUTED_VALUE"""),45633.00340277777)</f>
        <v>45633.0034</v>
      </c>
      <c r="H315" s="24" t="str">
        <f>IFERROR(VLOOKUP(B315,material!A:D,3,0),"")</f>
        <v>TOP MIX</v>
      </c>
    </row>
    <row r="316" ht="11.25" customHeight="1">
      <c r="A316" s="21" t="str">
        <f>IFERROR(__xludf.DUMMYFUNCTION("""COMPUTED_VALUE"""),"SMART CARD PRETO NAGRA")</f>
        <v>SMART CARD PRETO NAGRA</v>
      </c>
      <c r="B316" s="22">
        <f>IFERROR(__xludf.DUMMYFUNCTION("""COMPUTED_VALUE"""),4.1001234E7)</f>
        <v>41001234</v>
      </c>
      <c r="C316" s="21" t="str">
        <f>IFERROR(__xludf.DUMMYFUNCTION("""COMPUTED_VALUE"""),"246048328996")</f>
        <v>246048328996</v>
      </c>
      <c r="D316" s="21" t="str">
        <f>IFERROR(__xludf.DUMMYFUNCTION("""COMPUTED_VALUE"""),"DIGITEC TECNOLOGIA DIGITAL E REPRES")</f>
        <v>DIGITEC TECNOLOGIA DIGITAL E REPRES</v>
      </c>
      <c r="E316" s="21">
        <f>IFERROR(__xludf.DUMMYFUNCTION("""COMPUTED_VALUE"""),145359.0)</f>
        <v>145359</v>
      </c>
      <c r="F316" s="21" t="str">
        <f>IFERROR(__xludf.DUMMYFUNCTION("""COMPUTED_VALUE"""),"INICIALIZADO")</f>
        <v>INICIALIZADO</v>
      </c>
      <c r="G316" s="23">
        <f>IFERROR(__xludf.DUMMYFUNCTION("""COMPUTED_VALUE"""),45635.534907407404)</f>
        <v>45635.53491</v>
      </c>
      <c r="H316" s="24" t="str">
        <f>IFERROR(VLOOKUP(B316,material!A:D,3,0),"")</f>
        <v>CARD</v>
      </c>
    </row>
    <row r="317" ht="11.25" customHeight="1">
      <c r="A317" s="21" t="str">
        <f>IFERROR(__xludf.DUMMYFUNCTION("""COMPUTED_VALUE"""),"SMART CARD LARANJA NAGRA")</f>
        <v>SMART CARD LARANJA NAGRA</v>
      </c>
      <c r="B317" s="22">
        <f>IFERROR(__xludf.DUMMYFUNCTION("""COMPUTED_VALUE"""),4.1001186E7)</f>
        <v>41001186</v>
      </c>
      <c r="C317" s="21" t="str">
        <f>IFERROR(__xludf.DUMMYFUNCTION("""COMPUTED_VALUE"""),"215920632331")</f>
        <v>215920632331</v>
      </c>
      <c r="D317" s="21" t="str">
        <f>IFERROR(__xludf.DUMMYFUNCTION("""COMPUTED_VALUE"""),"DIGITEC TECNOLOGIA DIGITAL E REPRES")</f>
        <v>DIGITEC TECNOLOGIA DIGITAL E REPRES</v>
      </c>
      <c r="E317" s="21">
        <f>IFERROR(__xludf.DUMMYFUNCTION("""COMPUTED_VALUE"""),145359.0)</f>
        <v>145359</v>
      </c>
      <c r="F317" s="21" t="str">
        <f>IFERROR(__xludf.DUMMYFUNCTION("""COMPUTED_VALUE"""),"SUCATA")</f>
        <v>SUCATA</v>
      </c>
      <c r="G317" s="23">
        <f>IFERROR(__xludf.DUMMYFUNCTION("""COMPUTED_VALUE"""),45076.59824074074)</f>
        <v>45076.59824</v>
      </c>
      <c r="H317" s="24" t="str">
        <f>IFERROR(VLOOKUP(B317,material!A:D,3,0),"")</f>
        <v>CARD</v>
      </c>
    </row>
    <row r="318" ht="11.25" customHeight="1">
      <c r="A318" s="21" t="str">
        <f>IFERROR(__xludf.DUMMYFUNCTION("""COMPUTED_VALUE"""),"DECODER DIGITAL HD HNB100 2T")</f>
        <v>DECODER DIGITAL HD HNB100 2T</v>
      </c>
      <c r="B318" s="22">
        <f>IFERROR(__xludf.DUMMYFUNCTION("""COMPUTED_VALUE"""),4.1001276E7)</f>
        <v>41001276</v>
      </c>
      <c r="C318" s="21" t="str">
        <f>IFERROR(__xludf.DUMMYFUNCTION("""COMPUTED_VALUE"""),"216552364848")</f>
        <v>216552364848</v>
      </c>
      <c r="D318" s="21" t="str">
        <f>IFERROR(__xludf.DUMMYFUNCTION("""COMPUTED_VALUE"""),"DIGITEC TECNOLOGIA DIGITAL E REPRES")</f>
        <v>DIGITEC TECNOLOGIA DIGITAL E REPRES</v>
      </c>
      <c r="E318" s="21">
        <f>IFERROR(__xludf.DUMMYFUNCTION("""COMPUTED_VALUE"""),145359.0)</f>
        <v>145359</v>
      </c>
      <c r="F318" s="21" t="str">
        <f>IFERROR(__xludf.DUMMYFUNCTION("""COMPUTED_VALUE"""),"INICIALIZADO")</f>
        <v>INICIALIZADO</v>
      </c>
      <c r="G318" s="23">
        <f>IFERROR(__xludf.DUMMYFUNCTION("""COMPUTED_VALUE"""),45635.53508101852)</f>
        <v>45635.53508</v>
      </c>
      <c r="H318" s="24" t="str">
        <f>IFERROR(VLOOKUP(B318,material!A:D,3,0),"")</f>
        <v>TOP MIX</v>
      </c>
    </row>
    <row r="319" ht="11.25" customHeight="1">
      <c r="A319" s="21" t="str">
        <f>IFERROR(__xludf.DUMMYFUNCTION("""COMPUTED_VALUE"""),"SMART CARD PRETO NAGRA")</f>
        <v>SMART CARD PRETO NAGRA</v>
      </c>
      <c r="B319" s="22">
        <f>IFERROR(__xludf.DUMMYFUNCTION("""COMPUTED_VALUE"""),4.1001234E7)</f>
        <v>41001234</v>
      </c>
      <c r="C319" s="21" t="str">
        <f>IFERROR(__xludf.DUMMYFUNCTION("""COMPUTED_VALUE"""),"226023175565")</f>
        <v>226023175565</v>
      </c>
      <c r="D319" s="21" t="str">
        <f>IFERROR(__xludf.DUMMYFUNCTION("""COMPUTED_VALUE"""),"DIGITEC TECNOLOGIA DIGITAL E REPRES")</f>
        <v>DIGITEC TECNOLOGIA DIGITAL E REPRES</v>
      </c>
      <c r="E319" s="21">
        <f>IFERROR(__xludf.DUMMYFUNCTION("""COMPUTED_VALUE"""),145359.0)</f>
        <v>145359</v>
      </c>
      <c r="F319" s="21" t="str">
        <f>IFERROR(__xludf.DUMMYFUNCTION("""COMPUTED_VALUE"""),"INICIALIZADO")</f>
        <v>INICIALIZADO</v>
      </c>
      <c r="G319" s="23">
        <f>IFERROR(__xludf.DUMMYFUNCTION("""COMPUTED_VALUE"""),45635.534953703704)</f>
        <v>45635.53495</v>
      </c>
      <c r="H319" s="24" t="str">
        <f>IFERROR(VLOOKUP(B319,material!A:D,3,0),"")</f>
        <v>CARD</v>
      </c>
    </row>
    <row r="320" ht="11.25" customHeight="1">
      <c r="A320" s="21" t="str">
        <f>IFERROR(__xludf.DUMMYFUNCTION("""COMPUTED_VALUE"""),"SMART CARD PRETO NAGRA")</f>
        <v>SMART CARD PRETO NAGRA</v>
      </c>
      <c r="B320" s="22">
        <f>IFERROR(__xludf.DUMMYFUNCTION("""COMPUTED_VALUE"""),4.1001234E7)</f>
        <v>41001234</v>
      </c>
      <c r="C320" s="21" t="str">
        <f>IFERROR(__xludf.DUMMYFUNCTION("""COMPUTED_VALUE"""),"226327116889")</f>
        <v>226327116889</v>
      </c>
      <c r="D320" s="21" t="str">
        <f>IFERROR(__xludf.DUMMYFUNCTION("""COMPUTED_VALUE"""),"DIGITEC TECNOLOGIA DIGITAL E REPRES")</f>
        <v>DIGITEC TECNOLOGIA DIGITAL E REPRES</v>
      </c>
      <c r="E320" s="21">
        <f>IFERROR(__xludf.DUMMYFUNCTION("""COMPUTED_VALUE"""),145359.0)</f>
        <v>145359</v>
      </c>
      <c r="F320" s="21" t="str">
        <f>IFERROR(__xludf.DUMMYFUNCTION("""COMPUTED_VALUE"""),"INICIALIZADO")</f>
        <v>INICIALIZADO</v>
      </c>
      <c r="G320" s="23">
        <f>IFERROR(__xludf.DUMMYFUNCTION("""COMPUTED_VALUE"""),45642.52412037037)</f>
        <v>45642.52412</v>
      </c>
      <c r="H320" s="24" t="str">
        <f>IFERROR(VLOOKUP(B320,material!A:D,3,0),"")</f>
        <v>CARD</v>
      </c>
    </row>
    <row r="321" ht="11.25" customHeight="1">
      <c r="A321" s="21" t="str">
        <f>IFERROR(__xludf.DUMMYFUNCTION("""COMPUTED_VALUE"""),"SMART CARD PRETO NAGRA")</f>
        <v>SMART CARD PRETO NAGRA</v>
      </c>
      <c r="B321" s="22">
        <f>IFERROR(__xludf.DUMMYFUNCTION("""COMPUTED_VALUE"""),4.1001234E7)</f>
        <v>41001234</v>
      </c>
      <c r="C321" s="21" t="str">
        <f>IFERROR(__xludf.DUMMYFUNCTION("""COMPUTED_VALUE"""),"246038407377")</f>
        <v>246038407377</v>
      </c>
      <c r="D321" s="21" t="str">
        <f>IFERROR(__xludf.DUMMYFUNCTION("""COMPUTED_VALUE"""),"DIGITEC TECNOLOGIA DIGITAL E REPRES")</f>
        <v>DIGITEC TECNOLOGIA DIGITAL E REPRES</v>
      </c>
      <c r="E321" s="21">
        <f>IFERROR(__xludf.DUMMYFUNCTION("""COMPUTED_VALUE"""),145359.0)</f>
        <v>145359</v>
      </c>
      <c r="F321" s="21" t="str">
        <f>IFERROR(__xludf.DUMMYFUNCTION("""COMPUTED_VALUE"""),"INICIALIZADO")</f>
        <v>INICIALIZADO</v>
      </c>
      <c r="G321" s="23">
        <f>IFERROR(__xludf.DUMMYFUNCTION("""COMPUTED_VALUE"""),45635.534907407404)</f>
        <v>45635.53491</v>
      </c>
      <c r="H321" s="24" t="str">
        <f>IFERROR(VLOOKUP(B321,material!A:D,3,0),"")</f>
        <v>CARD</v>
      </c>
    </row>
    <row r="322" ht="11.25" customHeight="1">
      <c r="A322" s="21" t="str">
        <f>IFERROR(__xludf.DUMMYFUNCTION("""COMPUTED_VALUE"""),"SMART CARD LARANJA NAGRA")</f>
        <v>SMART CARD LARANJA NAGRA</v>
      </c>
      <c r="B322" s="22">
        <f>IFERROR(__xludf.DUMMYFUNCTION("""COMPUTED_VALUE"""),4.1001186E7)</f>
        <v>41001186</v>
      </c>
      <c r="C322" s="21" t="str">
        <f>IFERROR(__xludf.DUMMYFUNCTION("""COMPUTED_VALUE"""),"226644027189")</f>
        <v>226644027189</v>
      </c>
      <c r="D322" s="21" t="str">
        <f>IFERROR(__xludf.DUMMYFUNCTION("""COMPUTED_VALUE"""),"DIGITEC TECNOLOGIA DIGITAL E REPRES")</f>
        <v>DIGITEC TECNOLOGIA DIGITAL E REPRES</v>
      </c>
      <c r="E322" s="21">
        <f>IFERROR(__xludf.DUMMYFUNCTION("""COMPUTED_VALUE"""),145359.0)</f>
        <v>145359</v>
      </c>
      <c r="F322" s="21" t="str">
        <f>IFERROR(__xludf.DUMMYFUNCTION("""COMPUTED_VALUE"""),"INICIALIZADO")</f>
        <v>INICIALIZADO</v>
      </c>
      <c r="G322" s="23">
        <f>IFERROR(__xludf.DUMMYFUNCTION("""COMPUTED_VALUE"""),45573.66674768519)</f>
        <v>45573.66675</v>
      </c>
      <c r="H322" s="24" t="str">
        <f>IFERROR(VLOOKUP(B322,material!A:D,3,0),"")</f>
        <v>CARD</v>
      </c>
    </row>
    <row r="323" ht="11.25" customHeight="1">
      <c r="A323" s="21" t="str">
        <f>IFERROR(__xludf.DUMMYFUNCTION("""COMPUTED_VALUE"""),"SMART CARD PRETO NAGRA")</f>
        <v>SMART CARD PRETO NAGRA</v>
      </c>
      <c r="B323" s="22">
        <f>IFERROR(__xludf.DUMMYFUNCTION("""COMPUTED_VALUE"""),4.1001234E7)</f>
        <v>41001234</v>
      </c>
      <c r="C323" s="21" t="str">
        <f>IFERROR(__xludf.DUMMYFUNCTION("""COMPUTED_VALUE"""),"226106641321")</f>
        <v>226106641321</v>
      </c>
      <c r="D323" s="21" t="str">
        <f>IFERROR(__xludf.DUMMYFUNCTION("""COMPUTED_VALUE"""),"DIGITEC TECNOLOGIA DIGITAL E REPRES")</f>
        <v>DIGITEC TECNOLOGIA DIGITAL E REPRES</v>
      </c>
      <c r="E323" s="21">
        <f>IFERROR(__xludf.DUMMYFUNCTION("""COMPUTED_VALUE"""),145359.0)</f>
        <v>145359</v>
      </c>
      <c r="F323" s="21" t="str">
        <f>IFERROR(__xludf.DUMMYFUNCTION("""COMPUTED_VALUE"""),"INICIALIZADO")</f>
        <v>INICIALIZADO</v>
      </c>
      <c r="G323" s="23">
        <f>IFERROR(__xludf.DUMMYFUNCTION("""COMPUTED_VALUE"""),45635.534953703704)</f>
        <v>45635.53495</v>
      </c>
      <c r="H323" s="24" t="str">
        <f>IFERROR(VLOOKUP(B323,material!A:D,3,0),"")</f>
        <v>CARD</v>
      </c>
    </row>
    <row r="324" ht="11.25" customHeight="1">
      <c r="A324" s="21" t="str">
        <f>IFERROR(__xludf.DUMMYFUNCTION("""COMPUTED_VALUE"""),"DECODER DIGITAL HD HNB100 2T")</f>
        <v>DECODER DIGITAL HD HNB100 2T</v>
      </c>
      <c r="B324" s="22">
        <f>IFERROR(__xludf.DUMMYFUNCTION("""COMPUTED_VALUE"""),4.1001276E7)</f>
        <v>41001276</v>
      </c>
      <c r="C324" s="21" t="str">
        <f>IFERROR(__xludf.DUMMYFUNCTION("""COMPUTED_VALUE"""),"184328157491")</f>
        <v>184328157491</v>
      </c>
      <c r="D324" s="21" t="str">
        <f>IFERROR(__xludf.DUMMYFUNCTION("""COMPUTED_VALUE"""),"DIGITEC TECNOLOGIA DIGITAL E REPRES")</f>
        <v>DIGITEC TECNOLOGIA DIGITAL E REPRES</v>
      </c>
      <c r="E324" s="21">
        <f>IFERROR(__xludf.DUMMYFUNCTION("""COMPUTED_VALUE"""),145359.0)</f>
        <v>145359</v>
      </c>
      <c r="F324" s="21" t="str">
        <f>IFERROR(__xludf.DUMMYFUNCTION("""COMPUTED_VALUE"""),"INICIALIZADO")</f>
        <v>INICIALIZADO</v>
      </c>
      <c r="G324" s="23">
        <f>IFERROR(__xludf.DUMMYFUNCTION("""COMPUTED_VALUE"""),45635.535046296296)</f>
        <v>45635.53505</v>
      </c>
      <c r="H324" s="24" t="str">
        <f>IFERROR(VLOOKUP(B324,material!A:D,3,0),"")</f>
        <v>TOP MIX</v>
      </c>
    </row>
    <row r="325" ht="11.25" customHeight="1">
      <c r="A325" s="21" t="str">
        <f>IFERROR(__xludf.DUMMYFUNCTION("""COMPUTED_VALUE"""),"DECODER DIGITAL HD HNB100 2T")</f>
        <v>DECODER DIGITAL HD HNB100 2T</v>
      </c>
      <c r="B325" s="22">
        <f>IFERROR(__xludf.DUMMYFUNCTION("""COMPUTED_VALUE"""),4.1001276E7)</f>
        <v>41001276</v>
      </c>
      <c r="C325" s="21" t="str">
        <f>IFERROR(__xludf.DUMMYFUNCTION("""COMPUTED_VALUE"""),"216608677392")</f>
        <v>216608677392</v>
      </c>
      <c r="D325" s="21" t="str">
        <f>IFERROR(__xludf.DUMMYFUNCTION("""COMPUTED_VALUE"""),"DIGITEC TECNOLOGIA DIGITAL E REPRES")</f>
        <v>DIGITEC TECNOLOGIA DIGITAL E REPRES</v>
      </c>
      <c r="E325" s="21">
        <f>IFERROR(__xludf.DUMMYFUNCTION("""COMPUTED_VALUE"""),145359.0)</f>
        <v>145359</v>
      </c>
      <c r="F325" s="21" t="str">
        <f>IFERROR(__xludf.DUMMYFUNCTION("""COMPUTED_VALUE"""),"INICIALIZADO")</f>
        <v>INICIALIZADO</v>
      </c>
      <c r="G325" s="23">
        <f>IFERROR(__xludf.DUMMYFUNCTION("""COMPUTED_VALUE"""),45635.53506944445)</f>
        <v>45635.53507</v>
      </c>
      <c r="H325" s="24" t="str">
        <f>IFERROR(VLOOKUP(B325,material!A:D,3,0),"")</f>
        <v>TOP MIX</v>
      </c>
    </row>
    <row r="326" ht="11.25" customHeight="1">
      <c r="A326" s="21" t="str">
        <f>IFERROR(__xludf.DUMMYFUNCTION("""COMPUTED_VALUE"""),"SMART CARD PRETO NAGRA")</f>
        <v>SMART CARD PRETO NAGRA</v>
      </c>
      <c r="B326" s="22">
        <f>IFERROR(__xludf.DUMMYFUNCTION("""COMPUTED_VALUE"""),4.1001234E7)</f>
        <v>41001234</v>
      </c>
      <c r="C326" s="21" t="str">
        <f>IFERROR(__xludf.DUMMYFUNCTION("""COMPUTED_VALUE"""),"246020426969")</f>
        <v>246020426969</v>
      </c>
      <c r="D326" s="21" t="str">
        <f>IFERROR(__xludf.DUMMYFUNCTION("""COMPUTED_VALUE"""),"DIGITEC TECNOLOGIA DIGITAL E REPRES")</f>
        <v>DIGITEC TECNOLOGIA DIGITAL E REPRES</v>
      </c>
      <c r="E326" s="21">
        <f>IFERROR(__xludf.DUMMYFUNCTION("""COMPUTED_VALUE"""),145359.0)</f>
        <v>145359</v>
      </c>
      <c r="F326" s="21" t="str">
        <f>IFERROR(__xludf.DUMMYFUNCTION("""COMPUTED_VALUE"""),"INICIALIZADO")</f>
        <v>INICIALIZADO</v>
      </c>
      <c r="G326" s="23">
        <f>IFERROR(__xludf.DUMMYFUNCTION("""COMPUTED_VALUE"""),45635.534907407404)</f>
        <v>45635.53491</v>
      </c>
      <c r="H326" s="24" t="str">
        <f>IFERROR(VLOOKUP(B326,material!A:D,3,0),"")</f>
        <v>CARD</v>
      </c>
    </row>
    <row r="327" ht="11.25" customHeight="1">
      <c r="A327" s="21" t="str">
        <f>IFERROR(__xludf.DUMMYFUNCTION("""COMPUTED_VALUE"""),"SMART CARD LARANJA")</f>
        <v>SMART CARD LARANJA</v>
      </c>
      <c r="B327" s="22">
        <f>IFERROR(__xludf.DUMMYFUNCTION("""COMPUTED_VALUE"""),4.1001186E7)</f>
        <v>41001186</v>
      </c>
      <c r="C327" s="21" t="str">
        <f>IFERROR(__xludf.DUMMYFUNCTION("""COMPUTED_VALUE"""),"215580521125")</f>
        <v>215580521125</v>
      </c>
      <c r="D327" s="21" t="str">
        <f>IFERROR(__xludf.DUMMYFUNCTION("""COMPUTED_VALUE"""),"DIGITEC TECNOLOGIA DIGITAL E REPRES")</f>
        <v>DIGITEC TECNOLOGIA DIGITAL E REPRES</v>
      </c>
      <c r="E327" s="21">
        <f>IFERROR(__xludf.DUMMYFUNCTION("""COMPUTED_VALUE"""),145359.0)</f>
        <v>145359</v>
      </c>
      <c r="F327" s="21" t="str">
        <f>IFERROR(__xludf.DUMMYFUNCTION("""COMPUTED_VALUE"""),"SUCATA")</f>
        <v>SUCATA</v>
      </c>
      <c r="G327" s="23">
        <f>IFERROR(__xludf.DUMMYFUNCTION("""COMPUTED_VALUE"""),45076.681238425925)</f>
        <v>45076.68124</v>
      </c>
      <c r="H327" s="24" t="str">
        <f>IFERROR(VLOOKUP(B327,material!A:D,3,0),"")</f>
        <v>CARD</v>
      </c>
    </row>
    <row r="328" ht="11.25" customHeight="1">
      <c r="A328" s="21" t="str">
        <f>IFERROR(__xludf.DUMMYFUNCTION("""COMPUTED_VALUE"""),"HUMAX HGB10R-02")</f>
        <v>HUMAX HGB10R-02</v>
      </c>
      <c r="B328" s="22">
        <f>IFERROR(__xludf.DUMMYFUNCTION("""COMPUTED_VALUE"""),4.1001292E7)</f>
        <v>41001292</v>
      </c>
      <c r="C328" s="21" t="str">
        <f>IFERROR(__xludf.DUMMYFUNCTION("""COMPUTED_VALUE"""),"E820E2573B61")</f>
        <v>E820E2573B61</v>
      </c>
      <c r="D328" s="21" t="str">
        <f>IFERROR(__xludf.DUMMYFUNCTION("""COMPUTED_VALUE"""),"DIGITEC TECNOLOGIA DIGITAL E REPRES")</f>
        <v>DIGITEC TECNOLOGIA DIGITAL E REPRES</v>
      </c>
      <c r="E328" s="21">
        <f>IFERROR(__xludf.DUMMYFUNCTION("""COMPUTED_VALUE"""),145359.0)</f>
        <v>145359</v>
      </c>
      <c r="F328" s="21" t="str">
        <f>IFERROR(__xludf.DUMMYFUNCTION("""COMPUTED_VALUE"""),"TRANSITO REVERSA")</f>
        <v>TRANSITO REVERSA</v>
      </c>
      <c r="G328" s="23">
        <f>IFERROR(__xludf.DUMMYFUNCTION("""COMPUTED_VALUE"""),45633.0033912037)</f>
        <v>45633.00339</v>
      </c>
      <c r="H328" s="24" t="str">
        <f>IFERROR(VLOOKUP(B328,material!A:D,3,0),"")</f>
        <v>DUAL</v>
      </c>
    </row>
    <row r="329" ht="11.25" customHeight="1">
      <c r="A329" s="21" t="str">
        <f>IFERROR(__xludf.DUMMYFUNCTION("""COMPUTED_VALUE"""),"SMART CARD PRETO NAGRA")</f>
        <v>SMART CARD PRETO NAGRA</v>
      </c>
      <c r="B329" s="22">
        <f>IFERROR(__xludf.DUMMYFUNCTION("""COMPUTED_VALUE"""),4.1001234E7)</f>
        <v>41001234</v>
      </c>
      <c r="C329" s="21" t="str">
        <f>IFERROR(__xludf.DUMMYFUNCTION("""COMPUTED_VALUE"""),"226393189802")</f>
        <v>226393189802</v>
      </c>
      <c r="D329" s="21" t="str">
        <f>IFERROR(__xludf.DUMMYFUNCTION("""COMPUTED_VALUE"""),"DIGITEC TECNOLOGIA DIGITAL E REPRES")</f>
        <v>DIGITEC TECNOLOGIA DIGITAL E REPRES</v>
      </c>
      <c r="E329" s="21">
        <f>IFERROR(__xludf.DUMMYFUNCTION("""COMPUTED_VALUE"""),145359.0)</f>
        <v>145359</v>
      </c>
      <c r="F329" s="21" t="str">
        <f>IFERROR(__xludf.DUMMYFUNCTION("""COMPUTED_VALUE"""),"TRANSITO REVERSA")</f>
        <v>TRANSITO REVERSA</v>
      </c>
      <c r="G329" s="23">
        <f>IFERROR(__xludf.DUMMYFUNCTION("""COMPUTED_VALUE"""),45638.52061342592)</f>
        <v>45638.52061</v>
      </c>
      <c r="H329" s="24" t="str">
        <f>IFERROR(VLOOKUP(B329,material!A:D,3,0),"")</f>
        <v>CARD</v>
      </c>
    </row>
    <row r="330" ht="11.25" customHeight="1">
      <c r="A330" s="21" t="str">
        <f>IFERROR(__xludf.DUMMYFUNCTION("""COMPUTED_VALUE"""),"SMART CARD LARANJA")</f>
        <v>SMART CARD LARANJA</v>
      </c>
      <c r="B330" s="22">
        <f>IFERROR(__xludf.DUMMYFUNCTION("""COMPUTED_VALUE"""),4.1001186E7)</f>
        <v>41001186</v>
      </c>
      <c r="C330" s="21" t="str">
        <f>IFERROR(__xludf.DUMMYFUNCTION("""COMPUTED_VALUE"""),"226523972241")</f>
        <v>226523972241</v>
      </c>
      <c r="D330" s="21" t="str">
        <f>IFERROR(__xludf.DUMMYFUNCTION("""COMPUTED_VALUE"""),"DIGITEC TECNOLOGIA DIGITAL E REPRES")</f>
        <v>DIGITEC TECNOLOGIA DIGITAL E REPRES</v>
      </c>
      <c r="E330" s="21">
        <f>IFERROR(__xludf.DUMMYFUNCTION("""COMPUTED_VALUE"""),145359.0)</f>
        <v>145359</v>
      </c>
      <c r="F330" s="21" t="str">
        <f>IFERROR(__xludf.DUMMYFUNCTION("""COMPUTED_VALUE"""),"SUCATA")</f>
        <v>SUCATA</v>
      </c>
      <c r="G330" s="23">
        <f>IFERROR(__xludf.DUMMYFUNCTION("""COMPUTED_VALUE"""),45075.59885416667)</f>
        <v>45075.59885</v>
      </c>
      <c r="H330" s="24" t="str">
        <f>IFERROR(VLOOKUP(B330,material!A:D,3,0),"")</f>
        <v>CARD</v>
      </c>
    </row>
    <row r="331" ht="11.25" customHeight="1">
      <c r="A331" s="21" t="str">
        <f>IFERROR(__xludf.DUMMYFUNCTION("""COMPUTED_VALUE"""),"SMART CARD LARANJA")</f>
        <v>SMART CARD LARANJA</v>
      </c>
      <c r="B331" s="22">
        <f>IFERROR(__xludf.DUMMYFUNCTION("""COMPUTED_VALUE"""),4.1001186E7)</f>
        <v>41001186</v>
      </c>
      <c r="C331" s="21" t="str">
        <f>IFERROR(__xludf.DUMMYFUNCTION("""COMPUTED_VALUE"""),"215648879210")</f>
        <v>215648879210</v>
      </c>
      <c r="D331" s="21" t="str">
        <f>IFERROR(__xludf.DUMMYFUNCTION("""COMPUTED_VALUE"""),"DIGITEC TECNOLOGIA DIGITAL E REPRES")</f>
        <v>DIGITEC TECNOLOGIA DIGITAL E REPRES</v>
      </c>
      <c r="E331" s="21">
        <f>IFERROR(__xludf.DUMMYFUNCTION("""COMPUTED_VALUE"""),145359.0)</f>
        <v>145359</v>
      </c>
      <c r="F331" s="21" t="str">
        <f>IFERROR(__xludf.DUMMYFUNCTION("""COMPUTED_VALUE"""),"SUCATA")</f>
        <v>SUCATA</v>
      </c>
      <c r="G331" s="23">
        <f>IFERROR(__xludf.DUMMYFUNCTION("""COMPUTED_VALUE"""),45075.586851851855)</f>
        <v>45075.58685</v>
      </c>
      <c r="H331" s="24" t="str">
        <f>IFERROR(VLOOKUP(B331,material!A:D,3,0),"")</f>
        <v>CARD</v>
      </c>
    </row>
    <row r="332" ht="11.25" customHeight="1">
      <c r="A332" s="21" t="str">
        <f>IFERROR(__xludf.DUMMYFUNCTION("""COMPUTED_VALUE"""),"SMART CARD LARANJA NAGRA")</f>
        <v>SMART CARD LARANJA NAGRA</v>
      </c>
      <c r="B332" s="22">
        <f>IFERROR(__xludf.DUMMYFUNCTION("""COMPUTED_VALUE"""),4.1001186E7)</f>
        <v>41001186</v>
      </c>
      <c r="C332" s="21" t="str">
        <f>IFERROR(__xludf.DUMMYFUNCTION("""COMPUTED_VALUE"""),"215814653043")</f>
        <v>215814653043</v>
      </c>
      <c r="D332" s="21" t="str">
        <f>IFERROR(__xludf.DUMMYFUNCTION("""COMPUTED_VALUE"""),"DIGITEC TECNOLOGIA DIGITAL E REPRES")</f>
        <v>DIGITEC TECNOLOGIA DIGITAL E REPRES</v>
      </c>
      <c r="E332" s="21">
        <f>IFERROR(__xludf.DUMMYFUNCTION("""COMPUTED_VALUE"""),145359.0)</f>
        <v>145359</v>
      </c>
      <c r="F332" s="21" t="str">
        <f>IFERROR(__xludf.DUMMYFUNCTION("""COMPUTED_VALUE"""),"SUCATA")</f>
        <v>SUCATA</v>
      </c>
      <c r="G332" s="23">
        <f>IFERROR(__xludf.DUMMYFUNCTION("""COMPUTED_VALUE"""),45075.62224537037)</f>
        <v>45075.62225</v>
      </c>
      <c r="H332" s="24" t="str">
        <f>IFERROR(VLOOKUP(B332,material!A:D,3,0),"")</f>
        <v>CARD</v>
      </c>
    </row>
    <row r="333" ht="11.25" customHeight="1">
      <c r="A333" s="21" t="str">
        <f>IFERROR(__xludf.DUMMYFUNCTION("""COMPUTED_VALUE"""),"SMART CARD LARANJA NAGRA")</f>
        <v>SMART CARD LARANJA NAGRA</v>
      </c>
      <c r="B333" s="22">
        <f>IFERROR(__xludf.DUMMYFUNCTION("""COMPUTED_VALUE"""),4.1001186E7)</f>
        <v>41001186</v>
      </c>
      <c r="C333" s="21" t="str">
        <f>IFERROR(__xludf.DUMMYFUNCTION("""COMPUTED_VALUE"""),"215741560018")</f>
        <v>215741560018</v>
      </c>
      <c r="D333" s="21" t="str">
        <f>IFERROR(__xludf.DUMMYFUNCTION("""COMPUTED_VALUE"""),"DIGITEC TECNOLOGIA DIGITAL E REPRES")</f>
        <v>DIGITEC TECNOLOGIA DIGITAL E REPRES</v>
      </c>
      <c r="E333" s="21">
        <f>IFERROR(__xludf.DUMMYFUNCTION("""COMPUTED_VALUE"""),145359.0)</f>
        <v>145359</v>
      </c>
      <c r="F333" s="21" t="str">
        <f>IFERROR(__xludf.DUMMYFUNCTION("""COMPUTED_VALUE"""),"SUCATA")</f>
        <v>SUCATA</v>
      </c>
      <c r="G333" s="23">
        <f>IFERROR(__xludf.DUMMYFUNCTION("""COMPUTED_VALUE"""),45075.62226851852)</f>
        <v>45075.62227</v>
      </c>
      <c r="H333" s="24" t="str">
        <f>IFERROR(VLOOKUP(B333,material!A:D,3,0),"")</f>
        <v>CARD</v>
      </c>
    </row>
    <row r="334" ht="11.25" customHeight="1">
      <c r="A334" s="21" t="str">
        <f>IFERROR(__xludf.DUMMYFUNCTION("""COMPUTED_VALUE"""),"SMART CARD AVULSO MINI")</f>
        <v>SMART CARD AVULSO MINI</v>
      </c>
      <c r="B334" s="22">
        <f>IFERROR(__xludf.DUMMYFUNCTION("""COMPUTED_VALUE"""),4.1001508E7)</f>
        <v>41001508</v>
      </c>
      <c r="C334" s="21" t="str">
        <f>IFERROR(__xludf.DUMMYFUNCTION("""COMPUTED_VALUE"""),"226279778385")</f>
        <v>226279778385</v>
      </c>
      <c r="D334" s="21" t="str">
        <f>IFERROR(__xludf.DUMMYFUNCTION("""COMPUTED_VALUE"""),"DIGITEC TECNOLOGIA DIGITAL E REPRES")</f>
        <v>DIGITEC TECNOLOGIA DIGITAL E REPRES</v>
      </c>
      <c r="E334" s="21">
        <f>IFERROR(__xludf.DUMMYFUNCTION("""COMPUTED_VALUE"""),145359.0)</f>
        <v>145359</v>
      </c>
      <c r="F334" s="21" t="str">
        <f>IFERROR(__xludf.DUMMYFUNCTION("""COMPUTED_VALUE"""),"SUSPEITO")</f>
        <v>SUSPEITO</v>
      </c>
      <c r="G334" s="23">
        <f>IFERROR(__xludf.DUMMYFUNCTION("""COMPUTED_VALUE"""),45636.50460648148)</f>
        <v>45636.50461</v>
      </c>
      <c r="H334" s="24" t="str">
        <f>IFERROR(VLOOKUP(B334,material!A:D,3,0),"")</f>
        <v>SIM CARD</v>
      </c>
    </row>
    <row r="335" ht="11.25" customHeight="1">
      <c r="A335" s="21" t="str">
        <f>IFERROR(__xludf.DUMMYFUNCTION("""COMPUTED_VALUE"""),"ARRIS TG1692A")</f>
        <v>ARRIS TG1692A</v>
      </c>
      <c r="B335" s="22">
        <f>IFERROR(__xludf.DUMMYFUNCTION("""COMPUTED_VALUE"""),4.1001293E7)</f>
        <v>41001293</v>
      </c>
      <c r="C335" s="21" t="str">
        <f>IFERROR(__xludf.DUMMYFUNCTION("""COMPUTED_VALUE"""),"BC644BCBA9A6")</f>
        <v>BC644BCBA9A6</v>
      </c>
      <c r="D335" s="21" t="str">
        <f>IFERROR(__xludf.DUMMYFUNCTION("""COMPUTED_VALUE"""),"DIGITEC TECNOLOGIA DIGITAL E REPRES")</f>
        <v>DIGITEC TECNOLOGIA DIGITAL E REPRES</v>
      </c>
      <c r="E335" s="21">
        <f>IFERROR(__xludf.DUMMYFUNCTION("""COMPUTED_VALUE"""),145359.0)</f>
        <v>145359</v>
      </c>
      <c r="F335" s="21" t="str">
        <f>IFERROR(__xludf.DUMMYFUNCTION("""COMPUTED_VALUE"""),"SUSPEITO")</f>
        <v>SUSPEITO</v>
      </c>
      <c r="G335" s="23">
        <f>IFERROR(__xludf.DUMMYFUNCTION("""COMPUTED_VALUE"""),45642.51106481481)</f>
        <v>45642.51106</v>
      </c>
      <c r="H335" s="24" t="str">
        <f>IFERROR(VLOOKUP(B335,material!A:D,3,0),"")</f>
        <v>DUAL</v>
      </c>
    </row>
    <row r="336" ht="11.25" customHeight="1">
      <c r="A336" s="21" t="str">
        <f>IFERROR(__xludf.DUMMYFUNCTION("""COMPUTED_VALUE"""),"TECHNICOLOR TC7337NET")</f>
        <v>TECHNICOLOR TC7337NET</v>
      </c>
      <c r="B336" s="22">
        <f>IFERROR(__xludf.DUMMYFUNCTION("""COMPUTED_VALUE"""),4.1001294E7)</f>
        <v>41001294</v>
      </c>
      <c r="C336" s="21" t="str">
        <f>IFERROR(__xludf.DUMMYFUNCTION("""COMPUTED_VALUE"""),"B42A0E1ABFFA")</f>
        <v>B42A0E1ABFFA</v>
      </c>
      <c r="D336" s="21" t="str">
        <f>IFERROR(__xludf.DUMMYFUNCTION("""COMPUTED_VALUE"""),"DIGITEC TECNOLOGIA DIGITAL E REPRES")</f>
        <v>DIGITEC TECNOLOGIA DIGITAL E REPRES</v>
      </c>
      <c r="E336" s="21">
        <f>IFERROR(__xludf.DUMMYFUNCTION("""COMPUTED_VALUE"""),145359.0)</f>
        <v>145359</v>
      </c>
      <c r="F336" s="21" t="str">
        <f>IFERROR(__xludf.DUMMYFUNCTION("""COMPUTED_VALUE"""),"INICIALIZADO")</f>
        <v>INICIALIZADO</v>
      </c>
      <c r="G336" s="23">
        <f>IFERROR(__xludf.DUMMYFUNCTION("""COMPUTED_VALUE"""),45495.52211805555)</f>
        <v>45495.52212</v>
      </c>
      <c r="H336" s="24" t="str">
        <f>IFERROR(VLOOKUP(B336,material!A:D,3,0),"")</f>
        <v>DUAL</v>
      </c>
    </row>
    <row r="337" ht="11.25" customHeight="1">
      <c r="A337" s="21" t="str">
        <f>IFERROR(__xludf.DUMMYFUNCTION("""COMPUTED_VALUE"""),"TECHNICOLOR TC7337NET")</f>
        <v>TECHNICOLOR TC7337NET</v>
      </c>
      <c r="B337" s="22">
        <f>IFERROR(__xludf.DUMMYFUNCTION("""COMPUTED_VALUE"""),4.1001294E7)</f>
        <v>41001294</v>
      </c>
      <c r="C337" s="21" t="str">
        <f>IFERROR(__xludf.DUMMYFUNCTION("""COMPUTED_VALUE"""),"10C25A1208E1")</f>
        <v>10C25A1208E1</v>
      </c>
      <c r="D337" s="21" t="str">
        <f>IFERROR(__xludf.DUMMYFUNCTION("""COMPUTED_VALUE"""),"DIGITEC TECNOLOGIA DIGITAL E REPRES")</f>
        <v>DIGITEC TECNOLOGIA DIGITAL E REPRES</v>
      </c>
      <c r="E337" s="21">
        <f>IFERROR(__xludf.DUMMYFUNCTION("""COMPUTED_VALUE"""),145359.0)</f>
        <v>145359</v>
      </c>
      <c r="F337" s="21" t="str">
        <f>IFERROR(__xludf.DUMMYFUNCTION("""COMPUTED_VALUE"""),"INICIALIZADO")</f>
        <v>INICIALIZADO</v>
      </c>
      <c r="G337" s="23">
        <f>IFERROR(__xludf.DUMMYFUNCTION("""COMPUTED_VALUE"""),45618.74476851852)</f>
        <v>45618.74477</v>
      </c>
      <c r="H337" s="24" t="str">
        <f>IFERROR(VLOOKUP(B337,material!A:D,3,0),"")</f>
        <v>DUAL</v>
      </c>
    </row>
    <row r="338" ht="11.25" customHeight="1">
      <c r="A338" s="21" t="str">
        <f>IFERROR(__xludf.DUMMYFUNCTION("""COMPUTED_VALUE"""),"HUMAX HG100R-L4")</f>
        <v>HUMAX HG100R-L4</v>
      </c>
      <c r="B338" s="22">
        <f>IFERROR(__xludf.DUMMYFUNCTION("""COMPUTED_VALUE"""),4.1001288E7)</f>
        <v>41001288</v>
      </c>
      <c r="C338" s="21" t="str">
        <f>IFERROR(__xludf.DUMMYFUNCTION("""COMPUTED_VALUE"""),"4CD08AA1C3D4")</f>
        <v>4CD08AA1C3D4</v>
      </c>
      <c r="D338" s="21" t="str">
        <f>IFERROR(__xludf.DUMMYFUNCTION("""COMPUTED_VALUE"""),"DIGITEC TECNOLOGIA DIGITAL E REPRES")</f>
        <v>DIGITEC TECNOLOGIA DIGITAL E REPRES</v>
      </c>
      <c r="E338" s="21">
        <f>IFERROR(__xludf.DUMMYFUNCTION("""COMPUTED_VALUE"""),145359.0)</f>
        <v>145359</v>
      </c>
      <c r="F338" s="21" t="str">
        <f>IFERROR(__xludf.DUMMYFUNCTION("""COMPUTED_VALUE"""),"INICIALIZADO")</f>
        <v>INICIALIZADO</v>
      </c>
      <c r="G338" s="23">
        <f>IFERROR(__xludf.DUMMYFUNCTION("""COMPUTED_VALUE"""),44999.92971064815)</f>
        <v>44999.92971</v>
      </c>
      <c r="H338" s="24" t="str">
        <f>IFERROR(VLOOKUP(B338,material!A:D,3,0),"")</f>
        <v>SINGLE</v>
      </c>
    </row>
    <row r="339" ht="11.25" customHeight="1">
      <c r="A339" s="21" t="str">
        <f>IFERROR(__xludf.DUMMYFUNCTION("""COMPUTED_VALUE"""),"DECODER DIGITAL HD HNB100 2T")</f>
        <v>DECODER DIGITAL HD HNB100 2T</v>
      </c>
      <c r="B339" s="22">
        <f>IFERROR(__xludf.DUMMYFUNCTION("""COMPUTED_VALUE"""),4.1001276E7)</f>
        <v>41001276</v>
      </c>
      <c r="C339" s="21" t="str">
        <f>IFERROR(__xludf.DUMMYFUNCTION("""COMPUTED_VALUE"""),"216790953038")</f>
        <v>216790953038</v>
      </c>
      <c r="D339" s="21" t="str">
        <f>IFERROR(__xludf.DUMMYFUNCTION("""COMPUTED_VALUE"""),"DIGITEC TECNOLOGIA DIGITAL E REPRES")</f>
        <v>DIGITEC TECNOLOGIA DIGITAL E REPRES</v>
      </c>
      <c r="E339" s="21">
        <f>IFERROR(__xludf.DUMMYFUNCTION("""COMPUTED_VALUE"""),145359.0)</f>
        <v>145359</v>
      </c>
      <c r="F339" s="21" t="str">
        <f>IFERROR(__xludf.DUMMYFUNCTION("""COMPUTED_VALUE"""),"INICIALIZADO")</f>
        <v>INICIALIZADO</v>
      </c>
      <c r="G339" s="23">
        <f>IFERROR(__xludf.DUMMYFUNCTION("""COMPUTED_VALUE"""),45635.53501157407)</f>
        <v>45635.53501</v>
      </c>
      <c r="H339" s="24" t="str">
        <f>IFERROR(VLOOKUP(B339,material!A:D,3,0),"")</f>
        <v>TOP MIX</v>
      </c>
    </row>
    <row r="340" ht="11.25" customHeight="1">
      <c r="A340" s="21" t="str">
        <f>IFERROR(__xludf.DUMMYFUNCTION("""COMPUTED_VALUE"""),"SMART CARD PRETO NAGRA")</f>
        <v>SMART CARD PRETO NAGRA</v>
      </c>
      <c r="B340" s="22">
        <f>IFERROR(__xludf.DUMMYFUNCTION("""COMPUTED_VALUE"""),4.1001234E7)</f>
        <v>41001234</v>
      </c>
      <c r="C340" s="21" t="str">
        <f>IFERROR(__xludf.DUMMYFUNCTION("""COMPUTED_VALUE"""),"246164825170")</f>
        <v>246164825170</v>
      </c>
      <c r="D340" s="21" t="str">
        <f>IFERROR(__xludf.DUMMYFUNCTION("""COMPUTED_VALUE"""),"DIGITEC TECNOLOGIA DIGITAL E REPRES")</f>
        <v>DIGITEC TECNOLOGIA DIGITAL E REPRES</v>
      </c>
      <c r="E340" s="21">
        <f>IFERROR(__xludf.DUMMYFUNCTION("""COMPUTED_VALUE"""),145359.0)</f>
        <v>145359</v>
      </c>
      <c r="F340" s="21" t="str">
        <f>IFERROR(__xludf.DUMMYFUNCTION("""COMPUTED_VALUE"""),"INICIALIZADO")</f>
        <v>INICIALIZADO</v>
      </c>
      <c r="G340" s="23">
        <f>IFERROR(__xludf.DUMMYFUNCTION("""COMPUTED_VALUE"""),45635.534895833334)</f>
        <v>45635.5349</v>
      </c>
      <c r="H340" s="24" t="str">
        <f>IFERROR(VLOOKUP(B340,material!A:D,3,0),"")</f>
        <v>CARD</v>
      </c>
    </row>
    <row r="341" ht="11.25" customHeight="1">
      <c r="A341" s="21" t="str">
        <f>IFERROR(__xludf.DUMMYFUNCTION("""COMPUTED_VALUE"""),"SMART CARD PRETO NAGRA")</f>
        <v>SMART CARD PRETO NAGRA</v>
      </c>
      <c r="B341" s="22">
        <f>IFERROR(__xludf.DUMMYFUNCTION("""COMPUTED_VALUE"""),4.1001234E7)</f>
        <v>41001234</v>
      </c>
      <c r="C341" s="21" t="str">
        <f>IFERROR(__xludf.DUMMYFUNCTION("""COMPUTED_VALUE"""),"226078966868")</f>
        <v>226078966868</v>
      </c>
      <c r="D341" s="21" t="str">
        <f>IFERROR(__xludf.DUMMYFUNCTION("""COMPUTED_VALUE"""),"DIGITEC TECNOLOGIA DIGITAL E REPRES")</f>
        <v>DIGITEC TECNOLOGIA DIGITAL E REPRES</v>
      </c>
      <c r="E341" s="21">
        <f>IFERROR(__xludf.DUMMYFUNCTION("""COMPUTED_VALUE"""),145359.0)</f>
        <v>145359</v>
      </c>
      <c r="F341" s="21" t="str">
        <f>IFERROR(__xludf.DUMMYFUNCTION("""COMPUTED_VALUE"""),"INICIALIZADO")</f>
        <v>INICIALIZADO</v>
      </c>
      <c r="G341" s="23">
        <f>IFERROR(__xludf.DUMMYFUNCTION("""COMPUTED_VALUE"""),45642.52410879629)</f>
        <v>45642.52411</v>
      </c>
      <c r="H341" s="24" t="str">
        <f>IFERROR(VLOOKUP(B341,material!A:D,3,0),"")</f>
        <v>CARD</v>
      </c>
    </row>
    <row r="342" ht="11.25" customHeight="1">
      <c r="A342" s="21" t="str">
        <f>IFERROR(__xludf.DUMMYFUNCTION("""COMPUTED_VALUE"""),"SMART CARD LARANJA NAGRA")</f>
        <v>SMART CARD LARANJA NAGRA</v>
      </c>
      <c r="B342" s="22">
        <f>IFERROR(__xludf.DUMMYFUNCTION("""COMPUTED_VALUE"""),4.1001186E7)</f>
        <v>41001186</v>
      </c>
      <c r="C342" s="21" t="str">
        <f>IFERROR(__xludf.DUMMYFUNCTION("""COMPUTED_VALUE"""),"226671209618")</f>
        <v>226671209618</v>
      </c>
      <c r="D342" s="21" t="str">
        <f>IFERROR(__xludf.DUMMYFUNCTION("""COMPUTED_VALUE"""),"DIGITEC TECNOLOGIA DIGITAL E REPRES")</f>
        <v>DIGITEC TECNOLOGIA DIGITAL E REPRES</v>
      </c>
      <c r="E342" s="21">
        <f>IFERROR(__xludf.DUMMYFUNCTION("""COMPUTED_VALUE"""),145359.0)</f>
        <v>145359</v>
      </c>
      <c r="F342" s="21" t="str">
        <f>IFERROR(__xludf.DUMMYFUNCTION("""COMPUTED_VALUE"""),"SUCATA")</f>
        <v>SUCATA</v>
      </c>
      <c r="G342" s="23">
        <f>IFERROR(__xludf.DUMMYFUNCTION("""COMPUTED_VALUE"""),45075.51189814815)</f>
        <v>45075.5119</v>
      </c>
      <c r="H342" s="24" t="str">
        <f>IFERROR(VLOOKUP(B342,material!A:D,3,0),"")</f>
        <v>CARD</v>
      </c>
    </row>
    <row r="343" ht="11.25" customHeight="1">
      <c r="A343" s="21" t="str">
        <f>IFERROR(__xludf.DUMMYFUNCTION("""COMPUTED_VALUE"""),"SMART CARD LARANJA NAGRA")</f>
        <v>SMART CARD LARANJA NAGRA</v>
      </c>
      <c r="B343" s="22">
        <f>IFERROR(__xludf.DUMMYFUNCTION("""COMPUTED_VALUE"""),4.1001186E7)</f>
        <v>41001186</v>
      </c>
      <c r="C343" s="21" t="str">
        <f>IFERROR(__xludf.DUMMYFUNCTION("""COMPUTED_VALUE"""),"226669788199")</f>
        <v>226669788199</v>
      </c>
      <c r="D343" s="21" t="str">
        <f>IFERROR(__xludf.DUMMYFUNCTION("""COMPUTED_VALUE"""),"DIGITEC TECNOLOGIA DIGITAL E REPRES")</f>
        <v>DIGITEC TECNOLOGIA DIGITAL E REPRES</v>
      </c>
      <c r="E343" s="21">
        <f>IFERROR(__xludf.DUMMYFUNCTION("""COMPUTED_VALUE"""),145359.0)</f>
        <v>145359</v>
      </c>
      <c r="F343" s="21" t="str">
        <f>IFERROR(__xludf.DUMMYFUNCTION("""COMPUTED_VALUE"""),"SUCATA")</f>
        <v>SUCATA</v>
      </c>
      <c r="G343" s="23">
        <f>IFERROR(__xludf.DUMMYFUNCTION("""COMPUTED_VALUE"""),45075.51189814815)</f>
        <v>45075.5119</v>
      </c>
      <c r="H343" s="24" t="str">
        <f>IFERROR(VLOOKUP(B343,material!A:D,3,0),"")</f>
        <v>CARD</v>
      </c>
    </row>
    <row r="344" ht="11.25" customHeight="1">
      <c r="A344" s="21" t="str">
        <f>IFERROR(__xludf.DUMMYFUNCTION("""COMPUTED_VALUE"""),"SMART CARD LARANJA NAGRA")</f>
        <v>SMART CARD LARANJA NAGRA</v>
      </c>
      <c r="B344" s="22">
        <f>IFERROR(__xludf.DUMMYFUNCTION("""COMPUTED_VALUE"""),4.1001186E7)</f>
        <v>41001186</v>
      </c>
      <c r="C344" s="21" t="str">
        <f>IFERROR(__xludf.DUMMYFUNCTION("""COMPUTED_VALUE"""),"226614661215")</f>
        <v>226614661215</v>
      </c>
      <c r="D344" s="21" t="str">
        <f>IFERROR(__xludf.DUMMYFUNCTION("""COMPUTED_VALUE"""),"DIGITEC TECNOLOGIA DIGITAL E REPRES")</f>
        <v>DIGITEC TECNOLOGIA DIGITAL E REPRES</v>
      </c>
      <c r="E344" s="21">
        <f>IFERROR(__xludf.DUMMYFUNCTION("""COMPUTED_VALUE"""),145359.0)</f>
        <v>145359</v>
      </c>
      <c r="F344" s="21" t="str">
        <f>IFERROR(__xludf.DUMMYFUNCTION("""COMPUTED_VALUE"""),"SUCATA")</f>
        <v>SUCATA</v>
      </c>
      <c r="G344" s="23">
        <f>IFERROR(__xludf.DUMMYFUNCTION("""COMPUTED_VALUE"""),45075.59909722222)</f>
        <v>45075.5991</v>
      </c>
      <c r="H344" s="24" t="str">
        <f>IFERROR(VLOOKUP(B344,material!A:D,3,0),"")</f>
        <v>CARD</v>
      </c>
    </row>
    <row r="345" ht="11.25" customHeight="1">
      <c r="A345" s="21" t="str">
        <f>IFERROR(__xludf.DUMMYFUNCTION("""COMPUTED_VALUE"""),"SMART CARD LARANJA NAGRA")</f>
        <v>SMART CARD LARANJA NAGRA</v>
      </c>
      <c r="B345" s="22">
        <f>IFERROR(__xludf.DUMMYFUNCTION("""COMPUTED_VALUE"""),4.1001186E7)</f>
        <v>41001186</v>
      </c>
      <c r="C345" s="21" t="str">
        <f>IFERROR(__xludf.DUMMYFUNCTION("""COMPUTED_VALUE"""),"215676283658")</f>
        <v>215676283658</v>
      </c>
      <c r="D345" s="21" t="str">
        <f>IFERROR(__xludf.DUMMYFUNCTION("""COMPUTED_VALUE"""),"DIGITEC TECNOLOGIA DIGITAL E REPRES")</f>
        <v>DIGITEC TECNOLOGIA DIGITAL E REPRES</v>
      </c>
      <c r="E345" s="21">
        <f>IFERROR(__xludf.DUMMYFUNCTION("""COMPUTED_VALUE"""),145359.0)</f>
        <v>145359</v>
      </c>
      <c r="F345" s="21" t="str">
        <f>IFERROR(__xludf.DUMMYFUNCTION("""COMPUTED_VALUE"""),"SUCATA")</f>
        <v>SUCATA</v>
      </c>
      <c r="G345" s="23">
        <f>IFERROR(__xludf.DUMMYFUNCTION("""COMPUTED_VALUE"""),45075.58660879629)</f>
        <v>45075.58661</v>
      </c>
      <c r="H345" s="24" t="str">
        <f>IFERROR(VLOOKUP(B345,material!A:D,3,0),"")</f>
        <v>CARD</v>
      </c>
    </row>
    <row r="346" ht="11.25" customHeight="1">
      <c r="A346" s="21" t="str">
        <f>IFERROR(__xludf.DUMMYFUNCTION("""COMPUTED_VALUE"""),"SMART CARD AVULSO MINI")</f>
        <v>SMART CARD AVULSO MINI</v>
      </c>
      <c r="B346" s="22">
        <f>IFERROR(__xludf.DUMMYFUNCTION("""COMPUTED_VALUE"""),4.1001508E7)</f>
        <v>41001508</v>
      </c>
      <c r="C346" s="21" t="str">
        <f>IFERROR(__xludf.DUMMYFUNCTION("""COMPUTED_VALUE"""),"226318743042")</f>
        <v>226318743042</v>
      </c>
      <c r="D346" s="21" t="str">
        <f>IFERROR(__xludf.DUMMYFUNCTION("""COMPUTED_VALUE"""),"DIGITEC TECNOLOGIA DIGITAL E REPRES")</f>
        <v>DIGITEC TECNOLOGIA DIGITAL E REPRES</v>
      </c>
      <c r="E346" s="21">
        <f>IFERROR(__xludf.DUMMYFUNCTION("""COMPUTED_VALUE"""),145359.0)</f>
        <v>145359</v>
      </c>
      <c r="F346" s="21" t="str">
        <f>IFERROR(__xludf.DUMMYFUNCTION("""COMPUTED_VALUE"""),"INICIALIZADO")</f>
        <v>INICIALIZADO</v>
      </c>
      <c r="G346" s="23">
        <f>IFERROR(__xludf.DUMMYFUNCTION("""COMPUTED_VALUE"""),45595.392175925925)</f>
        <v>45595.39218</v>
      </c>
      <c r="H346" s="24" t="str">
        <f>IFERROR(VLOOKUP(B346,material!A:D,3,0),"")</f>
        <v>SIM CARD</v>
      </c>
    </row>
    <row r="347" ht="11.25" customHeight="1">
      <c r="A347" s="21" t="str">
        <f>IFERROR(__xludf.DUMMYFUNCTION("""COMPUTED_VALUE"""),"SMART CARD PRETO NAGRA")</f>
        <v>SMART CARD PRETO NAGRA</v>
      </c>
      <c r="B347" s="22">
        <f>IFERROR(__xludf.DUMMYFUNCTION("""COMPUTED_VALUE"""),4.1001234E7)</f>
        <v>41001234</v>
      </c>
      <c r="C347" s="21" t="str">
        <f>IFERROR(__xludf.DUMMYFUNCTION("""COMPUTED_VALUE"""),"246044569820")</f>
        <v>246044569820</v>
      </c>
      <c r="D347" s="21" t="str">
        <f>IFERROR(__xludf.DUMMYFUNCTION("""COMPUTED_VALUE"""),"DIGITEC TECNOLOGIA DIGITAL E REPRES")</f>
        <v>DIGITEC TECNOLOGIA DIGITAL E REPRES</v>
      </c>
      <c r="E347" s="21">
        <f>IFERROR(__xludf.DUMMYFUNCTION("""COMPUTED_VALUE"""),145359.0)</f>
        <v>145359</v>
      </c>
      <c r="F347" s="21" t="str">
        <f>IFERROR(__xludf.DUMMYFUNCTION("""COMPUTED_VALUE"""),"INICIALIZADO")</f>
        <v>INICIALIZADO</v>
      </c>
      <c r="G347" s="23">
        <f>IFERROR(__xludf.DUMMYFUNCTION("""COMPUTED_VALUE"""),45635.534907407404)</f>
        <v>45635.53491</v>
      </c>
      <c r="H347" s="24" t="str">
        <f>IFERROR(VLOOKUP(B347,material!A:D,3,0),"")</f>
        <v>CARD</v>
      </c>
    </row>
    <row r="348" ht="11.25" customHeight="1">
      <c r="A348" s="21" t="str">
        <f>IFERROR(__xludf.DUMMYFUNCTION("""COMPUTED_VALUE"""),"SMART CARD PRETO NAGRA")</f>
        <v>SMART CARD PRETO NAGRA</v>
      </c>
      <c r="B348" s="22">
        <f>IFERROR(__xludf.DUMMYFUNCTION("""COMPUTED_VALUE"""),4.1001234E7)</f>
        <v>41001234</v>
      </c>
      <c r="C348" s="21" t="str">
        <f>IFERROR(__xludf.DUMMYFUNCTION("""COMPUTED_VALUE"""),"226412750006")</f>
        <v>226412750006</v>
      </c>
      <c r="D348" s="21" t="str">
        <f>IFERROR(__xludf.DUMMYFUNCTION("""COMPUTED_VALUE"""),"DIGITEC TECNOLOGIA DIGITAL E REPRES")</f>
        <v>DIGITEC TECNOLOGIA DIGITAL E REPRES</v>
      </c>
      <c r="E348" s="21">
        <f>IFERROR(__xludf.DUMMYFUNCTION("""COMPUTED_VALUE"""),145359.0)</f>
        <v>145359</v>
      </c>
      <c r="F348" s="21" t="str">
        <f>IFERROR(__xludf.DUMMYFUNCTION("""COMPUTED_VALUE"""),"INICIALIZADO")</f>
        <v>INICIALIZADO</v>
      </c>
      <c r="G348" s="23">
        <f>IFERROR(__xludf.DUMMYFUNCTION("""COMPUTED_VALUE"""),45635.53496527778)</f>
        <v>45635.53497</v>
      </c>
      <c r="H348" s="24" t="str">
        <f>IFERROR(VLOOKUP(B348,material!A:D,3,0),"")</f>
        <v>CARD</v>
      </c>
    </row>
    <row r="349" ht="11.25" customHeight="1">
      <c r="A349" s="21" t="str">
        <f>IFERROR(__xludf.DUMMYFUNCTION("""COMPUTED_VALUE"""),"SMART CARD PRETO NAGRA")</f>
        <v>SMART CARD PRETO NAGRA</v>
      </c>
      <c r="B349" s="22">
        <f>IFERROR(__xludf.DUMMYFUNCTION("""COMPUTED_VALUE"""),4.1001234E7)</f>
        <v>41001234</v>
      </c>
      <c r="C349" s="21" t="str">
        <f>IFERROR(__xludf.DUMMYFUNCTION("""COMPUTED_VALUE"""),"226268711010")</f>
        <v>226268711010</v>
      </c>
      <c r="D349" s="21" t="str">
        <f>IFERROR(__xludf.DUMMYFUNCTION("""COMPUTED_VALUE"""),"DIGITEC TECNOLOGIA DIGITAL E REPRES")</f>
        <v>DIGITEC TECNOLOGIA DIGITAL E REPRES</v>
      </c>
      <c r="E349" s="21">
        <f>IFERROR(__xludf.DUMMYFUNCTION("""COMPUTED_VALUE"""),145359.0)</f>
        <v>145359</v>
      </c>
      <c r="F349" s="21" t="str">
        <f>IFERROR(__xludf.DUMMYFUNCTION("""COMPUTED_VALUE"""),"INICIALIZADO")</f>
        <v>INICIALIZADO</v>
      </c>
      <c r="G349" s="23">
        <f>IFERROR(__xludf.DUMMYFUNCTION("""COMPUTED_VALUE"""),45594.64796296296)</f>
        <v>45594.64796</v>
      </c>
      <c r="H349" s="24" t="str">
        <f>IFERROR(VLOOKUP(B349,material!A:D,3,0),"")</f>
        <v>CARD</v>
      </c>
    </row>
    <row r="350" ht="11.25" customHeight="1">
      <c r="A350" s="21" t="str">
        <f>IFERROR(__xludf.DUMMYFUNCTION("""COMPUTED_VALUE"""),"SMART CARD LARANJA")</f>
        <v>SMART CARD LARANJA</v>
      </c>
      <c r="B350" s="22">
        <f>IFERROR(__xludf.DUMMYFUNCTION("""COMPUTED_VALUE"""),4.1001186E7)</f>
        <v>41001186</v>
      </c>
      <c r="C350" s="21" t="str">
        <f>IFERROR(__xludf.DUMMYFUNCTION("""COMPUTED_VALUE"""),"215962576379")</f>
        <v>215962576379</v>
      </c>
      <c r="D350" s="21" t="str">
        <f>IFERROR(__xludf.DUMMYFUNCTION("""COMPUTED_VALUE"""),"DIGITEC TECNOLOGIA DIGITAL E REPRES")</f>
        <v>DIGITEC TECNOLOGIA DIGITAL E REPRES</v>
      </c>
      <c r="E350" s="21">
        <f>IFERROR(__xludf.DUMMYFUNCTION("""COMPUTED_VALUE"""),145359.0)</f>
        <v>145359</v>
      </c>
      <c r="F350" s="21" t="str">
        <f>IFERROR(__xludf.DUMMYFUNCTION("""COMPUTED_VALUE"""),"INICIALIZADO")</f>
        <v>INICIALIZADO</v>
      </c>
      <c r="G350" s="23">
        <f>IFERROR(__xludf.DUMMYFUNCTION("""COMPUTED_VALUE"""),45022.68949074074)</f>
        <v>45022.68949</v>
      </c>
      <c r="H350" s="24" t="str">
        <f>IFERROR(VLOOKUP(B350,material!A:D,3,0),"")</f>
        <v>CARD</v>
      </c>
    </row>
    <row r="351" ht="11.25" customHeight="1">
      <c r="A351" s="21" t="str">
        <f>IFERROR(__xludf.DUMMYFUNCTION("""COMPUTED_VALUE"""),"TECHNICOLOR TC7337NET")</f>
        <v>TECHNICOLOR TC7337NET</v>
      </c>
      <c r="B351" s="22">
        <f>IFERROR(__xludf.DUMMYFUNCTION("""COMPUTED_VALUE"""),4.1001294E7)</f>
        <v>41001294</v>
      </c>
      <c r="C351" s="21" t="str">
        <f>IFERROR(__xludf.DUMMYFUNCTION("""COMPUTED_VALUE"""),"1062D0C5A17E")</f>
        <v>1062D0C5A17E</v>
      </c>
      <c r="D351" s="21" t="str">
        <f>IFERROR(__xludf.DUMMYFUNCTION("""COMPUTED_VALUE"""),"DIGITEC TECNOLOGIA DIGITAL E REPRES")</f>
        <v>DIGITEC TECNOLOGIA DIGITAL E REPRES</v>
      </c>
      <c r="E351" s="21">
        <f>IFERROR(__xludf.DUMMYFUNCTION("""COMPUTED_VALUE"""),145359.0)</f>
        <v>145359</v>
      </c>
      <c r="F351" s="21" t="str">
        <f>IFERROR(__xludf.DUMMYFUNCTION("""COMPUTED_VALUE"""),"INICIALIZADO")</f>
        <v>INICIALIZADO</v>
      </c>
      <c r="G351" s="23">
        <f>IFERROR(__xludf.DUMMYFUNCTION("""COMPUTED_VALUE"""),45618.74475694445)</f>
        <v>45618.74476</v>
      </c>
      <c r="H351" s="24" t="str">
        <f>IFERROR(VLOOKUP(B351,material!A:D,3,0),"")</f>
        <v>DUAL</v>
      </c>
    </row>
    <row r="352" ht="11.25" customHeight="1">
      <c r="A352" s="21" t="str">
        <f>IFERROR(__xludf.DUMMYFUNCTION("""COMPUTED_VALUE"""),"TECHNICOLOR TC7337NET")</f>
        <v>TECHNICOLOR TC7337NET</v>
      </c>
      <c r="B352" s="22">
        <f>IFERROR(__xludf.DUMMYFUNCTION("""COMPUTED_VALUE"""),4.1001294E7)</f>
        <v>41001294</v>
      </c>
      <c r="C352" s="21" t="str">
        <f>IFERROR(__xludf.DUMMYFUNCTION("""COMPUTED_VALUE"""),"54A65C10199D")</f>
        <v>54A65C10199D</v>
      </c>
      <c r="D352" s="21" t="str">
        <f>IFERROR(__xludf.DUMMYFUNCTION("""COMPUTED_VALUE"""),"DIGITEC TECNOLOGIA DIGITAL E REPRES")</f>
        <v>DIGITEC TECNOLOGIA DIGITAL E REPRES</v>
      </c>
      <c r="E352" s="21">
        <f>IFERROR(__xludf.DUMMYFUNCTION("""COMPUTED_VALUE"""),145359.0)</f>
        <v>145359</v>
      </c>
      <c r="F352" s="21" t="str">
        <f>IFERROR(__xludf.DUMMYFUNCTION("""COMPUTED_VALUE"""),"INICIALIZADO")</f>
        <v>INICIALIZADO</v>
      </c>
      <c r="G352" s="23">
        <f>IFERROR(__xludf.DUMMYFUNCTION("""COMPUTED_VALUE"""),45618.74476851852)</f>
        <v>45618.74477</v>
      </c>
      <c r="H352" s="24" t="str">
        <f>IFERROR(VLOOKUP(B352,material!A:D,3,0),"")</f>
        <v>DUAL</v>
      </c>
    </row>
    <row r="353" ht="11.25" customHeight="1">
      <c r="A353" s="21" t="str">
        <f>IFERROR(__xludf.DUMMYFUNCTION("""COMPUTED_VALUE"""),"DECODER DIGITAL HD HNB100 2T")</f>
        <v>DECODER DIGITAL HD HNB100 2T</v>
      </c>
      <c r="B353" s="22">
        <f>IFERROR(__xludf.DUMMYFUNCTION("""COMPUTED_VALUE"""),4.1001276E7)</f>
        <v>41001276</v>
      </c>
      <c r="C353" s="21" t="str">
        <f>IFERROR(__xludf.DUMMYFUNCTION("""COMPUTED_VALUE"""),"216562272123")</f>
        <v>216562272123</v>
      </c>
      <c r="D353" s="21" t="str">
        <f>IFERROR(__xludf.DUMMYFUNCTION("""COMPUTED_VALUE"""),"DIGITEC TECNOLOGIA DIGITAL E REPRES")</f>
        <v>DIGITEC TECNOLOGIA DIGITAL E REPRES</v>
      </c>
      <c r="E353" s="21">
        <f>IFERROR(__xludf.DUMMYFUNCTION("""COMPUTED_VALUE"""),145359.0)</f>
        <v>145359</v>
      </c>
      <c r="F353" s="21" t="str">
        <f>IFERROR(__xludf.DUMMYFUNCTION("""COMPUTED_VALUE"""),"INICIALIZADO")</f>
        <v>INICIALIZADO</v>
      </c>
      <c r="G353" s="23">
        <f>IFERROR(__xludf.DUMMYFUNCTION("""COMPUTED_VALUE"""),45635.53506944445)</f>
        <v>45635.53507</v>
      </c>
      <c r="H353" s="24" t="str">
        <f>IFERROR(VLOOKUP(B353,material!A:D,3,0),"")</f>
        <v>TOP MIX</v>
      </c>
    </row>
    <row r="354" ht="11.25" customHeight="1">
      <c r="A354" s="21" t="str">
        <f>IFERROR(__xludf.DUMMYFUNCTION("""COMPUTED_VALUE"""),"DECODER DIGITAL HD HNB100 2T")</f>
        <v>DECODER DIGITAL HD HNB100 2T</v>
      </c>
      <c r="B354" s="22">
        <f>IFERROR(__xludf.DUMMYFUNCTION("""COMPUTED_VALUE"""),4.1001276E7)</f>
        <v>41001276</v>
      </c>
      <c r="C354" s="21" t="str">
        <f>IFERROR(__xludf.DUMMYFUNCTION("""COMPUTED_VALUE"""),"216613282949")</f>
        <v>216613282949</v>
      </c>
      <c r="D354" s="21" t="str">
        <f>IFERROR(__xludf.DUMMYFUNCTION("""COMPUTED_VALUE"""),"DIGITEC TECNOLOGIA DIGITAL E REPRES")</f>
        <v>DIGITEC TECNOLOGIA DIGITAL E REPRES</v>
      </c>
      <c r="E354" s="21">
        <f>IFERROR(__xludf.DUMMYFUNCTION("""COMPUTED_VALUE"""),145359.0)</f>
        <v>145359</v>
      </c>
      <c r="F354" s="21" t="str">
        <f>IFERROR(__xludf.DUMMYFUNCTION("""COMPUTED_VALUE"""),"INICIALIZADO")</f>
        <v>INICIALIZADO</v>
      </c>
      <c r="G354" s="23">
        <f>IFERROR(__xludf.DUMMYFUNCTION("""COMPUTED_VALUE"""),45635.535057870366)</f>
        <v>45635.53506</v>
      </c>
      <c r="H354" s="24" t="str">
        <f>IFERROR(VLOOKUP(B354,material!A:D,3,0),"")</f>
        <v>TOP MIX</v>
      </c>
    </row>
    <row r="355" ht="11.25" customHeight="1">
      <c r="A355" s="21" t="str">
        <f>IFERROR(__xludf.DUMMYFUNCTION("""COMPUTED_VALUE"""),"DECODER DIGITAL HD HNB100 2T")</f>
        <v>DECODER DIGITAL HD HNB100 2T</v>
      </c>
      <c r="B355" s="22">
        <f>IFERROR(__xludf.DUMMYFUNCTION("""COMPUTED_VALUE"""),4.1001276E7)</f>
        <v>41001276</v>
      </c>
      <c r="C355" s="21" t="str">
        <f>IFERROR(__xludf.DUMMYFUNCTION("""COMPUTED_VALUE"""),"216398687796")</f>
        <v>216398687796</v>
      </c>
      <c r="D355" s="21" t="str">
        <f>IFERROR(__xludf.DUMMYFUNCTION("""COMPUTED_VALUE"""),"DIGITEC TECNOLOGIA DIGITAL E REPRES")</f>
        <v>DIGITEC TECNOLOGIA DIGITAL E REPRES</v>
      </c>
      <c r="E355" s="21">
        <f>IFERROR(__xludf.DUMMYFUNCTION("""COMPUTED_VALUE"""),145359.0)</f>
        <v>145359</v>
      </c>
      <c r="F355" s="21" t="str">
        <f>IFERROR(__xludf.DUMMYFUNCTION("""COMPUTED_VALUE"""),"INICIALIZADO")</f>
        <v>INICIALIZADO</v>
      </c>
      <c r="G355" s="23">
        <f>IFERROR(__xludf.DUMMYFUNCTION("""COMPUTED_VALUE"""),45635.53503472223)</f>
        <v>45635.53503</v>
      </c>
      <c r="H355" s="24" t="str">
        <f>IFERROR(VLOOKUP(B355,material!A:D,3,0),"")</f>
        <v>TOP MIX</v>
      </c>
    </row>
    <row r="356" ht="11.25" customHeight="1">
      <c r="A356" s="21" t="str">
        <f>IFERROR(__xludf.DUMMYFUNCTION("""COMPUTED_VALUE"""),"TECHNICOLOR WIRELESS DWG-850")</f>
        <v>TECHNICOLOR WIRELESS DWG-850</v>
      </c>
      <c r="B356" s="22">
        <f>IFERROR(__xludf.DUMMYFUNCTION("""COMPUTED_VALUE"""),4.1001218E7)</f>
        <v>41001218</v>
      </c>
      <c r="C356" s="21" t="str">
        <f>IFERROR(__xludf.DUMMYFUNCTION("""COMPUTED_VALUE"""),"28BE9B6E3D66")</f>
        <v>28BE9B6E3D66</v>
      </c>
      <c r="D356" s="21" t="str">
        <f>IFERROR(__xludf.DUMMYFUNCTION("""COMPUTED_VALUE"""),"DIGITEC TECNOLOGIA DIGITAL E REPRES")</f>
        <v>DIGITEC TECNOLOGIA DIGITAL E REPRES</v>
      </c>
      <c r="E356" s="21">
        <f>IFERROR(__xludf.DUMMYFUNCTION("""COMPUTED_VALUE"""),145359.0)</f>
        <v>145359</v>
      </c>
      <c r="F356" s="21" t="str">
        <f>IFERROR(__xludf.DUMMYFUNCTION("""COMPUTED_VALUE"""),"TRANSITO REVERSA")</f>
        <v>TRANSITO REVERSA</v>
      </c>
      <c r="G356" s="23">
        <f>IFERROR(__xludf.DUMMYFUNCTION("""COMPUTED_VALUE"""),45633.00398148148)</f>
        <v>45633.00398</v>
      </c>
      <c r="H356" s="24" t="str">
        <f>IFERROR(VLOOKUP(B356,material!A:D,3,0),"")</f>
        <v>INATIVO</v>
      </c>
    </row>
    <row r="357" ht="11.25" customHeight="1">
      <c r="A357" s="21" t="str">
        <f>IFERROR(__xludf.DUMMYFUNCTION("""COMPUTED_VALUE"""),"PACE - HIGH DEFINITION DCR7411")</f>
        <v>PACE - HIGH DEFINITION DCR7411</v>
      </c>
      <c r="B357" s="22">
        <f>IFERROR(__xludf.DUMMYFUNCTION("""COMPUTED_VALUE"""),4.1001216E7)</f>
        <v>41001216</v>
      </c>
      <c r="C357" s="21" t="str">
        <f>IFERROR(__xludf.DUMMYFUNCTION("""COMPUTED_VALUE"""),"181443593034")</f>
        <v>181443593034</v>
      </c>
      <c r="D357" s="21" t="str">
        <f>IFERROR(__xludf.DUMMYFUNCTION("""COMPUTED_VALUE"""),"DIGITEC TECNOLOGIA DIGITAL E REPRES")</f>
        <v>DIGITEC TECNOLOGIA DIGITAL E REPRES</v>
      </c>
      <c r="E357" s="21">
        <f>IFERROR(__xludf.DUMMYFUNCTION("""COMPUTED_VALUE"""),145359.0)</f>
        <v>145359</v>
      </c>
      <c r="F357" s="21" t="str">
        <f>IFERROR(__xludf.DUMMYFUNCTION("""COMPUTED_VALUE"""),"TRANSITO REVERSA")</f>
        <v>TRANSITO REVERSA</v>
      </c>
      <c r="G357" s="23">
        <f>IFERROR(__xludf.DUMMYFUNCTION("""COMPUTED_VALUE"""),45626.29872685185)</f>
        <v>45626.29873</v>
      </c>
      <c r="H357" s="24" t="str">
        <f>IFERROR(VLOOKUP(B357,material!A:D,3,0),"")</f>
        <v>LEGADO</v>
      </c>
    </row>
    <row r="358" ht="11.25" customHeight="1">
      <c r="A358" s="21" t="str">
        <f>IFERROR(__xludf.DUMMYFUNCTION("""COMPUTED_VALUE"""),"PACE - HIGH DEFINITION DCR7411")</f>
        <v>PACE - HIGH DEFINITION DCR7411</v>
      </c>
      <c r="B358" s="22">
        <f>IFERROR(__xludf.DUMMYFUNCTION("""COMPUTED_VALUE"""),4.1001216E7)</f>
        <v>41001216</v>
      </c>
      <c r="C358" s="21" t="str">
        <f>IFERROR(__xludf.DUMMYFUNCTION("""COMPUTED_VALUE"""),"184160546363")</f>
        <v>184160546363</v>
      </c>
      <c r="D358" s="21" t="str">
        <f>IFERROR(__xludf.DUMMYFUNCTION("""COMPUTED_VALUE"""),"DIGITEC TECNOLOGIA DIGITAL E REPRES")</f>
        <v>DIGITEC TECNOLOGIA DIGITAL E REPRES</v>
      </c>
      <c r="E358" s="21">
        <f>IFERROR(__xludf.DUMMYFUNCTION("""COMPUTED_VALUE"""),145359.0)</f>
        <v>145359</v>
      </c>
      <c r="F358" s="21" t="str">
        <f>IFERROR(__xludf.DUMMYFUNCTION("""COMPUTED_VALUE"""),"TRANSITO REVERSA")</f>
        <v>TRANSITO REVERSA</v>
      </c>
      <c r="G358" s="23">
        <f>IFERROR(__xludf.DUMMYFUNCTION("""COMPUTED_VALUE"""),45638.52060185185)</f>
        <v>45638.5206</v>
      </c>
      <c r="H358" s="24" t="str">
        <f>IFERROR(VLOOKUP(B358,material!A:D,3,0),"")</f>
        <v>LEGADO</v>
      </c>
    </row>
    <row r="359" ht="11.25" customHeight="1">
      <c r="A359" s="21" t="str">
        <f>IFERROR(__xludf.DUMMYFUNCTION("""COMPUTED_VALUE"""),"SMART CARD LARANJA NAGRA")</f>
        <v>SMART CARD LARANJA NAGRA</v>
      </c>
      <c r="B359" s="22">
        <f>IFERROR(__xludf.DUMMYFUNCTION("""COMPUTED_VALUE"""),4.1001186E7)</f>
        <v>41001186</v>
      </c>
      <c r="C359" s="21" t="str">
        <f>IFERROR(__xludf.DUMMYFUNCTION("""COMPUTED_VALUE"""),"226847216267")</f>
        <v>226847216267</v>
      </c>
      <c r="D359" s="21" t="str">
        <f>IFERROR(__xludf.DUMMYFUNCTION("""COMPUTED_VALUE"""),"DIGITEC TECNOLOGIA DIGITAL E REPRES")</f>
        <v>DIGITEC TECNOLOGIA DIGITAL E REPRES</v>
      </c>
      <c r="E359" s="21">
        <f>IFERROR(__xludf.DUMMYFUNCTION("""COMPUTED_VALUE"""),145359.0)</f>
        <v>145359</v>
      </c>
      <c r="F359" s="21" t="str">
        <f>IFERROR(__xludf.DUMMYFUNCTION("""COMPUTED_VALUE"""),"TRANSITO REVERSA")</f>
        <v>TRANSITO REVERSA</v>
      </c>
      <c r="G359" s="23">
        <f>IFERROR(__xludf.DUMMYFUNCTION("""COMPUTED_VALUE"""),45638.520636574074)</f>
        <v>45638.52064</v>
      </c>
      <c r="H359" s="24" t="str">
        <f>IFERROR(VLOOKUP(B359,material!A:D,3,0),"")</f>
        <v>CARD</v>
      </c>
    </row>
    <row r="360" ht="11.25" customHeight="1">
      <c r="A360" s="21" t="str">
        <f>IFERROR(__xludf.DUMMYFUNCTION("""COMPUTED_VALUE"""),"SMART CARD PRETO NAGRA")</f>
        <v>SMART CARD PRETO NAGRA</v>
      </c>
      <c r="B360" s="22">
        <f>IFERROR(__xludf.DUMMYFUNCTION("""COMPUTED_VALUE"""),4.1001234E7)</f>
        <v>41001234</v>
      </c>
      <c r="C360" s="21" t="str">
        <f>IFERROR(__xludf.DUMMYFUNCTION("""COMPUTED_VALUE"""),"226116593549")</f>
        <v>226116593549</v>
      </c>
      <c r="D360" s="21" t="str">
        <f>IFERROR(__xludf.DUMMYFUNCTION("""COMPUTED_VALUE"""),"DIGITEC TECNOLOGIA DIGITAL E REPRES")</f>
        <v>DIGITEC TECNOLOGIA DIGITAL E REPRES</v>
      </c>
      <c r="E360" s="21">
        <f>IFERROR(__xludf.DUMMYFUNCTION("""COMPUTED_VALUE"""),145359.0)</f>
        <v>145359</v>
      </c>
      <c r="F360" s="21" t="str">
        <f>IFERROR(__xludf.DUMMYFUNCTION("""COMPUTED_VALUE"""),"INICIALIZADO")</f>
        <v>INICIALIZADO</v>
      </c>
      <c r="G360" s="23">
        <f>IFERROR(__xludf.DUMMYFUNCTION("""COMPUTED_VALUE"""),45615.61853009259)</f>
        <v>45615.61853</v>
      </c>
      <c r="H360" s="24" t="str">
        <f>IFERROR(VLOOKUP(B360,material!A:D,3,0),"")</f>
        <v>CARD</v>
      </c>
    </row>
    <row r="361" ht="11.25" customHeight="1">
      <c r="A361" s="21" t="str">
        <f>IFERROR(__xludf.DUMMYFUNCTION("""COMPUTED_VALUE"""),"SMART CARD LARANJA")</f>
        <v>SMART CARD LARANJA</v>
      </c>
      <c r="B361" s="22">
        <f>IFERROR(__xludf.DUMMYFUNCTION("""COMPUTED_VALUE"""),4.1001186E7)</f>
        <v>41001186</v>
      </c>
      <c r="C361" s="21" t="str">
        <f>IFERROR(__xludf.DUMMYFUNCTION("""COMPUTED_VALUE"""),"215620151536")</f>
        <v>215620151536</v>
      </c>
      <c r="D361" s="21" t="str">
        <f>IFERROR(__xludf.DUMMYFUNCTION("""COMPUTED_VALUE"""),"DIGITEC TECNOLOGIA DIGITAL E REPRES")</f>
        <v>DIGITEC TECNOLOGIA DIGITAL E REPRES</v>
      </c>
      <c r="E361" s="21">
        <f>IFERROR(__xludf.DUMMYFUNCTION("""COMPUTED_VALUE"""),145359.0)</f>
        <v>145359</v>
      </c>
      <c r="F361" s="21" t="str">
        <f>IFERROR(__xludf.DUMMYFUNCTION("""COMPUTED_VALUE"""),"SUCATA")</f>
        <v>SUCATA</v>
      </c>
      <c r="G361" s="23">
        <f>IFERROR(__xludf.DUMMYFUNCTION("""COMPUTED_VALUE"""),45076.68128472222)</f>
        <v>45076.68128</v>
      </c>
      <c r="H361" s="24" t="str">
        <f>IFERROR(VLOOKUP(B361,material!A:D,3,0),"")</f>
        <v>CARD</v>
      </c>
    </row>
    <row r="362" ht="11.25" customHeight="1">
      <c r="A362" s="21" t="str">
        <f>IFERROR(__xludf.DUMMYFUNCTION("""COMPUTED_VALUE"""),"SMART CARD LARANJA NAGRA")</f>
        <v>SMART CARD LARANJA NAGRA</v>
      </c>
      <c r="B362" s="22">
        <f>IFERROR(__xludf.DUMMYFUNCTION("""COMPUTED_VALUE"""),4.1001186E7)</f>
        <v>41001186</v>
      </c>
      <c r="C362" s="21" t="str">
        <f>IFERROR(__xludf.DUMMYFUNCTION("""COMPUTED_VALUE"""),"226671863756")</f>
        <v>226671863756</v>
      </c>
      <c r="D362" s="21" t="str">
        <f>IFERROR(__xludf.DUMMYFUNCTION("""COMPUTED_VALUE"""),"DIGITEC TECNOLOGIA DIGITAL E REPRES")</f>
        <v>DIGITEC TECNOLOGIA DIGITAL E REPRES</v>
      </c>
      <c r="E362" s="21">
        <f>IFERROR(__xludf.DUMMYFUNCTION("""COMPUTED_VALUE"""),145359.0)</f>
        <v>145359</v>
      </c>
      <c r="F362" s="21" t="str">
        <f>IFERROR(__xludf.DUMMYFUNCTION("""COMPUTED_VALUE"""),"SUCATA")</f>
        <v>SUCATA</v>
      </c>
      <c r="G362" s="23">
        <f>IFERROR(__xludf.DUMMYFUNCTION("""COMPUTED_VALUE"""),45075.51189814815)</f>
        <v>45075.5119</v>
      </c>
      <c r="H362" s="24" t="str">
        <f>IFERROR(VLOOKUP(B362,material!A:D,3,0),"")</f>
        <v>CARD</v>
      </c>
    </row>
    <row r="363" ht="11.25" customHeight="1">
      <c r="A363" s="21" t="str">
        <f>IFERROR(__xludf.DUMMYFUNCTION("""COMPUTED_VALUE"""),"SMART CARD LARANJA NAGRA")</f>
        <v>SMART CARD LARANJA NAGRA</v>
      </c>
      <c r="B363" s="22">
        <f>IFERROR(__xludf.DUMMYFUNCTION("""COMPUTED_VALUE"""),4.1001186E7)</f>
        <v>41001186</v>
      </c>
      <c r="C363" s="21" t="str">
        <f>IFERROR(__xludf.DUMMYFUNCTION("""COMPUTED_VALUE"""),"225843155875")</f>
        <v>225843155875</v>
      </c>
      <c r="D363" s="21" t="str">
        <f>IFERROR(__xludf.DUMMYFUNCTION("""COMPUTED_VALUE"""),"DIGITEC TECNOLOGIA DIGITAL E REPRES")</f>
        <v>DIGITEC TECNOLOGIA DIGITAL E REPRES</v>
      </c>
      <c r="E363" s="21">
        <f>IFERROR(__xludf.DUMMYFUNCTION("""COMPUTED_VALUE"""),145359.0)</f>
        <v>145359</v>
      </c>
      <c r="F363" s="21" t="str">
        <f>IFERROR(__xludf.DUMMYFUNCTION("""COMPUTED_VALUE"""),"SUCATA")</f>
        <v>SUCATA</v>
      </c>
      <c r="G363" s="23">
        <f>IFERROR(__xludf.DUMMYFUNCTION("""COMPUTED_VALUE"""),45076.49894675926)</f>
        <v>45076.49895</v>
      </c>
      <c r="H363" s="24" t="str">
        <f>IFERROR(VLOOKUP(B363,material!A:D,3,0),"")</f>
        <v>CARD</v>
      </c>
    </row>
    <row r="364" ht="11.25" customHeight="1">
      <c r="A364" s="21" t="str">
        <f>IFERROR(__xludf.DUMMYFUNCTION("""COMPUTED_VALUE"""),"SMART CARD PRETO NAGRA")</f>
        <v>SMART CARD PRETO NAGRA</v>
      </c>
      <c r="B364" s="22">
        <f>IFERROR(__xludf.DUMMYFUNCTION("""COMPUTED_VALUE"""),4.1001234E7)</f>
        <v>41001234</v>
      </c>
      <c r="C364" s="21" t="str">
        <f>IFERROR(__xludf.DUMMYFUNCTION("""COMPUTED_VALUE"""),"226033325770")</f>
        <v>226033325770</v>
      </c>
      <c r="D364" s="21" t="str">
        <f>IFERROR(__xludf.DUMMYFUNCTION("""COMPUTED_VALUE"""),"DIGITEC TECNOLOGIA DIGITAL E REPRES")</f>
        <v>DIGITEC TECNOLOGIA DIGITAL E REPRES</v>
      </c>
      <c r="E364" s="21">
        <f>IFERROR(__xludf.DUMMYFUNCTION("""COMPUTED_VALUE"""),145359.0)</f>
        <v>145359</v>
      </c>
      <c r="F364" s="21" t="str">
        <f>IFERROR(__xludf.DUMMYFUNCTION("""COMPUTED_VALUE"""),"INICIALIZADO")</f>
        <v>INICIALIZADO</v>
      </c>
      <c r="G364" s="23">
        <f>IFERROR(__xludf.DUMMYFUNCTION("""COMPUTED_VALUE"""),45635.53494212963)</f>
        <v>45635.53494</v>
      </c>
      <c r="H364" s="24" t="str">
        <f>IFERROR(VLOOKUP(B364,material!A:D,3,0),"")</f>
        <v>CARD</v>
      </c>
    </row>
    <row r="365" ht="11.25" customHeight="1">
      <c r="A365" s="21" t="str">
        <f>IFERROR(__xludf.DUMMYFUNCTION("""COMPUTED_VALUE"""),"SMART CARD PRETO NAGRA")</f>
        <v>SMART CARD PRETO NAGRA</v>
      </c>
      <c r="B365" s="22">
        <f>IFERROR(__xludf.DUMMYFUNCTION("""COMPUTED_VALUE"""),4.1001234E7)</f>
        <v>41001234</v>
      </c>
      <c r="C365" s="21" t="str">
        <f>IFERROR(__xludf.DUMMYFUNCTION("""COMPUTED_VALUE"""),"226082067687")</f>
        <v>226082067687</v>
      </c>
      <c r="D365" s="21" t="str">
        <f>IFERROR(__xludf.DUMMYFUNCTION("""COMPUTED_VALUE"""),"DIGITEC TECNOLOGIA DIGITAL E REPRES")</f>
        <v>DIGITEC TECNOLOGIA DIGITAL E REPRES</v>
      </c>
      <c r="E365" s="21">
        <f>IFERROR(__xludf.DUMMYFUNCTION("""COMPUTED_VALUE"""),145359.0)</f>
        <v>145359</v>
      </c>
      <c r="F365" s="21" t="str">
        <f>IFERROR(__xludf.DUMMYFUNCTION("""COMPUTED_VALUE"""),"INICIALIZADO")</f>
        <v>INICIALIZADO</v>
      </c>
      <c r="G365" s="23">
        <f>IFERROR(__xludf.DUMMYFUNCTION("""COMPUTED_VALUE"""),45635.534953703704)</f>
        <v>45635.53495</v>
      </c>
      <c r="H365" s="24" t="str">
        <f>IFERROR(VLOOKUP(B365,material!A:D,3,0),"")</f>
        <v>CARD</v>
      </c>
    </row>
    <row r="366" ht="11.25" customHeight="1">
      <c r="A366" s="21" t="str">
        <f>IFERROR(__xludf.DUMMYFUNCTION("""COMPUTED_VALUE"""),"SMART CARD PRETO NAGRA")</f>
        <v>SMART CARD PRETO NAGRA</v>
      </c>
      <c r="B366" s="22">
        <f>IFERROR(__xludf.DUMMYFUNCTION("""COMPUTED_VALUE"""),4.1001234E7)</f>
        <v>41001234</v>
      </c>
      <c r="C366" s="21" t="str">
        <f>IFERROR(__xludf.DUMMYFUNCTION("""COMPUTED_VALUE"""),"226372768998")</f>
        <v>226372768998</v>
      </c>
      <c r="D366" s="21" t="str">
        <f>IFERROR(__xludf.DUMMYFUNCTION("""COMPUTED_VALUE"""),"DIGITEC TECNOLOGIA DIGITAL E REPRES")</f>
        <v>DIGITEC TECNOLOGIA DIGITAL E REPRES</v>
      </c>
      <c r="E366" s="21">
        <f>IFERROR(__xludf.DUMMYFUNCTION("""COMPUTED_VALUE"""),145359.0)</f>
        <v>145359</v>
      </c>
      <c r="F366" s="21" t="str">
        <f>IFERROR(__xludf.DUMMYFUNCTION("""COMPUTED_VALUE"""),"INICIALIZADO")</f>
        <v>INICIALIZADO</v>
      </c>
      <c r="G366" s="23">
        <f>IFERROR(__xludf.DUMMYFUNCTION("""COMPUTED_VALUE"""),45635.53496527778)</f>
        <v>45635.53497</v>
      </c>
      <c r="H366" s="24" t="str">
        <f>IFERROR(VLOOKUP(B366,material!A:D,3,0),"")</f>
        <v>CARD</v>
      </c>
    </row>
    <row r="367" ht="11.25" customHeight="1">
      <c r="A367" s="21" t="str">
        <f>IFERROR(__xludf.DUMMYFUNCTION("""COMPUTED_VALUE"""),"SMART CARD PRETO NAGRA")</f>
        <v>SMART CARD PRETO NAGRA</v>
      </c>
      <c r="B367" s="22">
        <f>IFERROR(__xludf.DUMMYFUNCTION("""COMPUTED_VALUE"""),4.1001234E7)</f>
        <v>41001234</v>
      </c>
      <c r="C367" s="21" t="str">
        <f>IFERROR(__xludf.DUMMYFUNCTION("""COMPUTED_VALUE"""),"246140660927")</f>
        <v>246140660927</v>
      </c>
      <c r="D367" s="21" t="str">
        <f>IFERROR(__xludf.DUMMYFUNCTION("""COMPUTED_VALUE"""),"DIGITEC TECNOLOGIA DIGITAL E REPRES")</f>
        <v>DIGITEC TECNOLOGIA DIGITAL E REPRES</v>
      </c>
      <c r="E367" s="21">
        <f>IFERROR(__xludf.DUMMYFUNCTION("""COMPUTED_VALUE"""),145359.0)</f>
        <v>145359</v>
      </c>
      <c r="F367" s="21" t="str">
        <f>IFERROR(__xludf.DUMMYFUNCTION("""COMPUTED_VALUE"""),"INICIALIZADO")</f>
        <v>INICIALIZADO</v>
      </c>
      <c r="G367" s="23">
        <f>IFERROR(__xludf.DUMMYFUNCTION("""COMPUTED_VALUE"""),45635.534895833334)</f>
        <v>45635.5349</v>
      </c>
      <c r="H367" s="24" t="str">
        <f>IFERROR(VLOOKUP(B367,material!A:D,3,0),"")</f>
        <v>CARD</v>
      </c>
    </row>
    <row r="368" ht="11.25" customHeight="1">
      <c r="A368" s="21" t="str">
        <f>IFERROR(__xludf.DUMMYFUNCTION("""COMPUTED_VALUE"""),"SMART CARD PRETO NAGRA")</f>
        <v>SMART CARD PRETO NAGRA</v>
      </c>
      <c r="B368" s="22">
        <f>IFERROR(__xludf.DUMMYFUNCTION("""COMPUTED_VALUE"""),4.1001234E7)</f>
        <v>41001234</v>
      </c>
      <c r="C368" s="21" t="str">
        <f>IFERROR(__xludf.DUMMYFUNCTION("""COMPUTED_VALUE"""),"226047920304")</f>
        <v>226047920304</v>
      </c>
      <c r="D368" s="21" t="str">
        <f>IFERROR(__xludf.DUMMYFUNCTION("""COMPUTED_VALUE"""),"DIGITEC TECNOLOGIA DIGITAL E REPRES")</f>
        <v>DIGITEC TECNOLOGIA DIGITAL E REPRES</v>
      </c>
      <c r="E368" s="21">
        <f>IFERROR(__xludf.DUMMYFUNCTION("""COMPUTED_VALUE"""),145359.0)</f>
        <v>145359</v>
      </c>
      <c r="F368" s="21" t="str">
        <f>IFERROR(__xludf.DUMMYFUNCTION("""COMPUTED_VALUE"""),"INICIALIZADO")</f>
        <v>INICIALIZADO</v>
      </c>
      <c r="G368" s="23">
        <f>IFERROR(__xludf.DUMMYFUNCTION("""COMPUTED_VALUE"""),45635.53494212963)</f>
        <v>45635.53494</v>
      </c>
      <c r="H368" s="24" t="str">
        <f>IFERROR(VLOOKUP(B368,material!A:D,3,0),"")</f>
        <v>CARD</v>
      </c>
    </row>
    <row r="369" ht="11.25" customHeight="1">
      <c r="A369" s="21" t="str">
        <f>IFERROR(__xludf.DUMMYFUNCTION("""COMPUTED_VALUE"""),"SMART CARD LARANJA NAGRA")</f>
        <v>SMART CARD LARANJA NAGRA</v>
      </c>
      <c r="B369" s="22">
        <f>IFERROR(__xludf.DUMMYFUNCTION("""COMPUTED_VALUE"""),4.1001186E7)</f>
        <v>41001186</v>
      </c>
      <c r="C369" s="21" t="str">
        <f>IFERROR(__xludf.DUMMYFUNCTION("""COMPUTED_VALUE"""),"225712643744")</f>
        <v>225712643744</v>
      </c>
      <c r="D369" s="21" t="str">
        <f>IFERROR(__xludf.DUMMYFUNCTION("""COMPUTED_VALUE"""),"DIGITEC TECNOLOGIA DIGITAL E REPRES")</f>
        <v>DIGITEC TECNOLOGIA DIGITAL E REPRES</v>
      </c>
      <c r="E369" s="21">
        <f>IFERROR(__xludf.DUMMYFUNCTION("""COMPUTED_VALUE"""),145359.0)</f>
        <v>145359</v>
      </c>
      <c r="F369" s="21" t="str">
        <f>IFERROR(__xludf.DUMMYFUNCTION("""COMPUTED_VALUE"""),"SUCATA")</f>
        <v>SUCATA</v>
      </c>
      <c r="G369" s="23">
        <f>IFERROR(__xludf.DUMMYFUNCTION("""COMPUTED_VALUE"""),45075.63358796296)</f>
        <v>45075.63359</v>
      </c>
      <c r="H369" s="24" t="str">
        <f>IFERROR(VLOOKUP(B369,material!A:D,3,0),"")</f>
        <v>CARD</v>
      </c>
    </row>
    <row r="370" ht="11.25" customHeight="1">
      <c r="A370" s="21" t="str">
        <f>IFERROR(__xludf.DUMMYFUNCTION("""COMPUTED_VALUE"""),"SMART CARD PRETO NAGRA")</f>
        <v>SMART CARD PRETO NAGRA</v>
      </c>
      <c r="B370" s="22">
        <f>IFERROR(__xludf.DUMMYFUNCTION("""COMPUTED_VALUE"""),4.1001234E7)</f>
        <v>41001234</v>
      </c>
      <c r="C370" s="21" t="str">
        <f>IFERROR(__xludf.DUMMYFUNCTION("""COMPUTED_VALUE"""),"226398991929")</f>
        <v>226398991929</v>
      </c>
      <c r="D370" s="21" t="str">
        <f>IFERROR(__xludf.DUMMYFUNCTION("""COMPUTED_VALUE"""),"DIGITEC TECNOLOGIA DIGITAL E REPRES")</f>
        <v>DIGITEC TECNOLOGIA DIGITAL E REPRES</v>
      </c>
      <c r="E370" s="21">
        <f>IFERROR(__xludf.DUMMYFUNCTION("""COMPUTED_VALUE"""),145359.0)</f>
        <v>145359</v>
      </c>
      <c r="F370" s="21" t="str">
        <f>IFERROR(__xludf.DUMMYFUNCTION("""COMPUTED_VALUE"""),"INICIALIZADO")</f>
        <v>INICIALIZADO</v>
      </c>
      <c r="G370" s="23">
        <f>IFERROR(__xludf.DUMMYFUNCTION("""COMPUTED_VALUE"""),45642.52412037037)</f>
        <v>45642.52412</v>
      </c>
      <c r="H370" s="24" t="str">
        <f>IFERROR(VLOOKUP(B370,material!A:D,3,0),"")</f>
        <v>CARD</v>
      </c>
    </row>
    <row r="371" ht="11.25" customHeight="1">
      <c r="A371" s="21" t="str">
        <f>IFERROR(__xludf.DUMMYFUNCTION("""COMPUTED_VALUE"""),"SMART CARD PRETO NAGRA")</f>
        <v>SMART CARD PRETO NAGRA</v>
      </c>
      <c r="B371" s="22">
        <f>IFERROR(__xludf.DUMMYFUNCTION("""COMPUTED_VALUE"""),4.1001234E7)</f>
        <v>41001234</v>
      </c>
      <c r="C371" s="21" t="str">
        <f>IFERROR(__xludf.DUMMYFUNCTION("""COMPUTED_VALUE"""),"226268091118")</f>
        <v>226268091118</v>
      </c>
      <c r="D371" s="21" t="str">
        <f>IFERROR(__xludf.DUMMYFUNCTION("""COMPUTED_VALUE"""),"DIGITEC TECNOLOGIA DIGITAL E REPRES")</f>
        <v>DIGITEC TECNOLOGIA DIGITAL E REPRES</v>
      </c>
      <c r="E371" s="21">
        <f>IFERROR(__xludf.DUMMYFUNCTION("""COMPUTED_VALUE"""),145359.0)</f>
        <v>145359</v>
      </c>
      <c r="F371" s="21" t="str">
        <f>IFERROR(__xludf.DUMMYFUNCTION("""COMPUTED_VALUE"""),"INICIALIZADO")</f>
        <v>INICIALIZADO</v>
      </c>
      <c r="G371" s="23">
        <f>IFERROR(__xludf.DUMMYFUNCTION("""COMPUTED_VALUE"""),45635.534953703704)</f>
        <v>45635.53495</v>
      </c>
      <c r="H371" s="24" t="str">
        <f>IFERROR(VLOOKUP(B371,material!A:D,3,0),"")</f>
        <v>CARD</v>
      </c>
    </row>
    <row r="372" ht="11.25" customHeight="1">
      <c r="A372" s="21" t="str">
        <f>IFERROR(__xludf.DUMMYFUNCTION("""COMPUTED_VALUE"""),"SMART CARD PRETO NAGRA")</f>
        <v>SMART CARD PRETO NAGRA</v>
      </c>
      <c r="B372" s="22">
        <f>IFERROR(__xludf.DUMMYFUNCTION("""COMPUTED_VALUE"""),4.1001234E7)</f>
        <v>41001234</v>
      </c>
      <c r="C372" s="21" t="str">
        <f>IFERROR(__xludf.DUMMYFUNCTION("""COMPUTED_VALUE"""),"226257866685")</f>
        <v>226257866685</v>
      </c>
      <c r="D372" s="21" t="str">
        <f>IFERROR(__xludf.DUMMYFUNCTION("""COMPUTED_VALUE"""),"DIGITEC TECNOLOGIA DIGITAL E REPRES")</f>
        <v>DIGITEC TECNOLOGIA DIGITAL E REPRES</v>
      </c>
      <c r="E372" s="21">
        <f>IFERROR(__xludf.DUMMYFUNCTION("""COMPUTED_VALUE"""),145359.0)</f>
        <v>145359</v>
      </c>
      <c r="F372" s="21" t="str">
        <f>IFERROR(__xludf.DUMMYFUNCTION("""COMPUTED_VALUE"""),"INICIALIZADO")</f>
        <v>INICIALIZADO</v>
      </c>
      <c r="G372" s="23">
        <f>IFERROR(__xludf.DUMMYFUNCTION("""COMPUTED_VALUE"""),45635.53494212963)</f>
        <v>45635.53494</v>
      </c>
      <c r="H372" s="24" t="str">
        <f>IFERROR(VLOOKUP(B372,material!A:D,3,0),"")</f>
        <v>CARD</v>
      </c>
    </row>
    <row r="373" ht="11.25" customHeight="1">
      <c r="A373" s="21" t="str">
        <f>IFERROR(__xludf.DUMMYFUNCTION("""COMPUTED_VALUE"""),"SMART CARD PRETO NAGRA")</f>
        <v>SMART CARD PRETO NAGRA</v>
      </c>
      <c r="B373" s="22">
        <f>IFERROR(__xludf.DUMMYFUNCTION("""COMPUTED_VALUE"""),4.1001234E7)</f>
        <v>41001234</v>
      </c>
      <c r="C373" s="21" t="str">
        <f>IFERROR(__xludf.DUMMYFUNCTION("""COMPUTED_VALUE"""),"226256109397")</f>
        <v>226256109397</v>
      </c>
      <c r="D373" s="21" t="str">
        <f>IFERROR(__xludf.DUMMYFUNCTION("""COMPUTED_VALUE"""),"DIGITEC TECNOLOGIA DIGITAL E REPRES")</f>
        <v>DIGITEC TECNOLOGIA DIGITAL E REPRES</v>
      </c>
      <c r="E373" s="21">
        <f>IFERROR(__xludf.DUMMYFUNCTION("""COMPUTED_VALUE"""),145359.0)</f>
        <v>145359</v>
      </c>
      <c r="F373" s="21" t="str">
        <f>IFERROR(__xludf.DUMMYFUNCTION("""COMPUTED_VALUE"""),"INICIALIZADO")</f>
        <v>INICIALIZADO</v>
      </c>
      <c r="G373" s="23">
        <f>IFERROR(__xludf.DUMMYFUNCTION("""COMPUTED_VALUE"""),45635.53494212963)</f>
        <v>45635.53494</v>
      </c>
      <c r="H373" s="24" t="str">
        <f>IFERROR(VLOOKUP(B373,material!A:D,3,0),"")</f>
        <v>CARD</v>
      </c>
    </row>
    <row r="374" ht="11.25" customHeight="1">
      <c r="A374" s="21" t="str">
        <f>IFERROR(__xludf.DUMMYFUNCTION("""COMPUTED_VALUE"""),"SMART CARD PRETO NAGRA")</f>
        <v>SMART CARD PRETO NAGRA</v>
      </c>
      <c r="B374" s="22">
        <f>IFERROR(__xludf.DUMMYFUNCTION("""COMPUTED_VALUE"""),4.1001234E7)</f>
        <v>41001234</v>
      </c>
      <c r="C374" s="21" t="str">
        <f>IFERROR(__xludf.DUMMYFUNCTION("""COMPUTED_VALUE"""),"226094745165")</f>
        <v>226094745165</v>
      </c>
      <c r="D374" s="21" t="str">
        <f>IFERROR(__xludf.DUMMYFUNCTION("""COMPUTED_VALUE"""),"DIGITEC TECNOLOGIA DIGITAL E REPRES")</f>
        <v>DIGITEC TECNOLOGIA DIGITAL E REPRES</v>
      </c>
      <c r="E374" s="21">
        <f>IFERROR(__xludf.DUMMYFUNCTION("""COMPUTED_VALUE"""),145359.0)</f>
        <v>145359</v>
      </c>
      <c r="F374" s="21" t="str">
        <f>IFERROR(__xludf.DUMMYFUNCTION("""COMPUTED_VALUE"""),"INICIALIZADO")</f>
        <v>INICIALIZADO</v>
      </c>
      <c r="G374" s="23">
        <f>IFERROR(__xludf.DUMMYFUNCTION("""COMPUTED_VALUE"""),45642.52410879629)</f>
        <v>45642.52411</v>
      </c>
      <c r="H374" s="24" t="str">
        <f>IFERROR(VLOOKUP(B374,material!A:D,3,0),"")</f>
        <v>CARD</v>
      </c>
    </row>
    <row r="375" ht="11.25" customHeight="1">
      <c r="A375" s="21" t="str">
        <f>IFERROR(__xludf.DUMMYFUNCTION("""COMPUTED_VALUE"""),"SMART CARD PRETO NAGRA")</f>
        <v>SMART CARD PRETO NAGRA</v>
      </c>
      <c r="B375" s="22">
        <f>IFERROR(__xludf.DUMMYFUNCTION("""COMPUTED_VALUE"""),4.1001234E7)</f>
        <v>41001234</v>
      </c>
      <c r="C375" s="21" t="str">
        <f>IFERROR(__xludf.DUMMYFUNCTION("""COMPUTED_VALUE"""),"246305858585")</f>
        <v>246305858585</v>
      </c>
      <c r="D375" s="21" t="str">
        <f>IFERROR(__xludf.DUMMYFUNCTION("""COMPUTED_VALUE"""),"DIGITEC TECNOLOGIA DIGITAL E REPRES")</f>
        <v>DIGITEC TECNOLOGIA DIGITAL E REPRES</v>
      </c>
      <c r="E375" s="21">
        <f>IFERROR(__xludf.DUMMYFUNCTION("""COMPUTED_VALUE"""),145359.0)</f>
        <v>145359</v>
      </c>
      <c r="F375" s="21" t="str">
        <f>IFERROR(__xludf.DUMMYFUNCTION("""COMPUTED_VALUE"""),"INICIALIZADO")</f>
        <v>INICIALIZADO</v>
      </c>
      <c r="G375" s="23">
        <f>IFERROR(__xludf.DUMMYFUNCTION("""COMPUTED_VALUE"""),45635.53491898148)</f>
        <v>45635.53492</v>
      </c>
      <c r="H375" s="24" t="str">
        <f>IFERROR(VLOOKUP(B375,material!A:D,3,0),"")</f>
        <v>CARD</v>
      </c>
    </row>
    <row r="376" ht="11.25" customHeight="1">
      <c r="A376" s="21" t="str">
        <f>IFERROR(__xludf.DUMMYFUNCTION("""COMPUTED_VALUE"""),"SMART CARD PRETO NAGRA")</f>
        <v>SMART CARD PRETO NAGRA</v>
      </c>
      <c r="B376" s="22">
        <f>IFERROR(__xludf.DUMMYFUNCTION("""COMPUTED_VALUE"""),4.1001234E7)</f>
        <v>41001234</v>
      </c>
      <c r="C376" s="21" t="str">
        <f>IFERROR(__xludf.DUMMYFUNCTION("""COMPUTED_VALUE"""),"226315982436")</f>
        <v>226315982436</v>
      </c>
      <c r="D376" s="21" t="str">
        <f>IFERROR(__xludf.DUMMYFUNCTION("""COMPUTED_VALUE"""),"DIGITEC TECNOLOGIA DIGITAL E REPRES")</f>
        <v>DIGITEC TECNOLOGIA DIGITAL E REPRES</v>
      </c>
      <c r="E376" s="21">
        <f>IFERROR(__xludf.DUMMYFUNCTION("""COMPUTED_VALUE"""),145359.0)</f>
        <v>145359</v>
      </c>
      <c r="F376" s="21" t="str">
        <f>IFERROR(__xludf.DUMMYFUNCTION("""COMPUTED_VALUE"""),"INICIALIZADO")</f>
        <v>INICIALIZADO</v>
      </c>
      <c r="G376" s="23">
        <f>IFERROR(__xludf.DUMMYFUNCTION("""COMPUTED_VALUE"""),45642.52412037037)</f>
        <v>45642.52412</v>
      </c>
      <c r="H376" s="24" t="str">
        <f>IFERROR(VLOOKUP(B376,material!A:D,3,0),"")</f>
        <v>CARD</v>
      </c>
    </row>
    <row r="377" ht="11.25" customHeight="1">
      <c r="A377" s="21" t="str">
        <f>IFERROR(__xludf.DUMMYFUNCTION("""COMPUTED_VALUE"""),"DECODER DIGITAL HD HNB100 2T")</f>
        <v>DECODER DIGITAL HD HNB100 2T</v>
      </c>
      <c r="B377" s="22">
        <f>IFERROR(__xludf.DUMMYFUNCTION("""COMPUTED_VALUE"""),4.1001276E7)</f>
        <v>41001276</v>
      </c>
      <c r="C377" s="21" t="str">
        <f>IFERROR(__xludf.DUMMYFUNCTION("""COMPUTED_VALUE"""),"216348639500")</f>
        <v>216348639500</v>
      </c>
      <c r="D377" s="21" t="str">
        <f>IFERROR(__xludf.DUMMYFUNCTION("""COMPUTED_VALUE"""),"DIGITEC TECNOLOGIA DIGITAL E REPRES")</f>
        <v>DIGITEC TECNOLOGIA DIGITAL E REPRES</v>
      </c>
      <c r="E377" s="21">
        <f>IFERROR(__xludf.DUMMYFUNCTION("""COMPUTED_VALUE"""),145359.0)</f>
        <v>145359</v>
      </c>
      <c r="F377" s="21" t="str">
        <f>IFERROR(__xludf.DUMMYFUNCTION("""COMPUTED_VALUE"""),"INICIALIZADO")</f>
        <v>INICIALIZADO</v>
      </c>
      <c r="G377" s="23">
        <f>IFERROR(__xludf.DUMMYFUNCTION("""COMPUTED_VALUE"""),45635.535057870366)</f>
        <v>45635.53506</v>
      </c>
      <c r="H377" s="24" t="str">
        <f>IFERROR(VLOOKUP(B377,material!A:D,3,0),"")</f>
        <v>TOP MIX</v>
      </c>
    </row>
    <row r="378" ht="11.25" customHeight="1">
      <c r="A378" s="21" t="str">
        <f>IFERROR(__xludf.DUMMYFUNCTION("""COMPUTED_VALUE"""),"SMART CARD LARANJA NAGRA")</f>
        <v>SMART CARD LARANJA NAGRA</v>
      </c>
      <c r="B378" s="22">
        <f>IFERROR(__xludf.DUMMYFUNCTION("""COMPUTED_VALUE"""),4.1001186E7)</f>
        <v>41001186</v>
      </c>
      <c r="C378" s="21" t="str">
        <f>IFERROR(__xludf.DUMMYFUNCTION("""COMPUTED_VALUE"""),"225988052946")</f>
        <v>225988052946</v>
      </c>
      <c r="D378" s="21" t="str">
        <f>IFERROR(__xludf.DUMMYFUNCTION("""COMPUTED_VALUE"""),"DIGITEC TECNOLOGIA DIGITAL E REPRES")</f>
        <v>DIGITEC TECNOLOGIA DIGITAL E REPRES</v>
      </c>
      <c r="E378" s="21">
        <f>IFERROR(__xludf.DUMMYFUNCTION("""COMPUTED_VALUE"""),145359.0)</f>
        <v>145359</v>
      </c>
      <c r="F378" s="21" t="str">
        <f>IFERROR(__xludf.DUMMYFUNCTION("""COMPUTED_VALUE"""),"SUCATA")</f>
        <v>SUCATA</v>
      </c>
      <c r="G378" s="23">
        <f>IFERROR(__xludf.DUMMYFUNCTION("""COMPUTED_VALUE"""),45076.73284722222)</f>
        <v>45076.73285</v>
      </c>
      <c r="H378" s="24" t="str">
        <f>IFERROR(VLOOKUP(B378,material!A:D,3,0),"")</f>
        <v>CARD</v>
      </c>
    </row>
    <row r="379" ht="11.25" customHeight="1">
      <c r="A379" s="21" t="str">
        <f>IFERROR(__xludf.DUMMYFUNCTION("""COMPUTED_VALUE"""),"SMART CARD AVULSO MINI")</f>
        <v>SMART CARD AVULSO MINI</v>
      </c>
      <c r="B379" s="22">
        <f>IFERROR(__xludf.DUMMYFUNCTION("""COMPUTED_VALUE"""),4.1001508E7)</f>
        <v>41001508</v>
      </c>
      <c r="C379" s="21" t="str">
        <f>IFERROR(__xludf.DUMMYFUNCTION("""COMPUTED_VALUE"""),"246081110727")</f>
        <v>246081110727</v>
      </c>
      <c r="D379" s="21" t="str">
        <f>IFERROR(__xludf.DUMMYFUNCTION("""COMPUTED_VALUE"""),"DIGITEC TECNOLOGIA DIGITAL E REPRES")</f>
        <v>DIGITEC TECNOLOGIA DIGITAL E REPRES</v>
      </c>
      <c r="E379" s="21">
        <f>IFERROR(__xludf.DUMMYFUNCTION("""COMPUTED_VALUE"""),145359.0)</f>
        <v>145359</v>
      </c>
      <c r="F379" s="21" t="str">
        <f>IFERROR(__xludf.DUMMYFUNCTION("""COMPUTED_VALUE"""),"TRANSITO REVERSA")</f>
        <v>TRANSITO REVERSA</v>
      </c>
      <c r="G379" s="23">
        <f>IFERROR(__xludf.DUMMYFUNCTION("""COMPUTED_VALUE"""),45638.52059027778)</f>
        <v>45638.52059</v>
      </c>
      <c r="H379" s="24" t="str">
        <f>IFERROR(VLOOKUP(B379,material!A:D,3,0),"")</f>
        <v>SIM CARD</v>
      </c>
    </row>
    <row r="380" ht="11.25" customHeight="1">
      <c r="A380" s="21" t="str">
        <f>IFERROR(__xludf.DUMMYFUNCTION("""COMPUTED_VALUE"""),"HUMAX HGB10R-02")</f>
        <v>HUMAX HGB10R-02</v>
      </c>
      <c r="B380" s="22">
        <f>IFERROR(__xludf.DUMMYFUNCTION("""COMPUTED_VALUE"""),4.1001292E7)</f>
        <v>41001292</v>
      </c>
      <c r="C380" s="21" t="str">
        <f>IFERROR(__xludf.DUMMYFUNCTION("""COMPUTED_VALUE"""),"E820E235A0B4")</f>
        <v>E820E235A0B4</v>
      </c>
      <c r="D380" s="21" t="str">
        <f>IFERROR(__xludf.DUMMYFUNCTION("""COMPUTED_VALUE"""),"DIGITEC TECNOLOGIA DIGITAL E REPRES")</f>
        <v>DIGITEC TECNOLOGIA DIGITAL E REPRES</v>
      </c>
      <c r="E380" s="21">
        <f>IFERROR(__xludf.DUMMYFUNCTION("""COMPUTED_VALUE"""),145359.0)</f>
        <v>145359</v>
      </c>
      <c r="F380" s="21" t="str">
        <f>IFERROR(__xludf.DUMMYFUNCTION("""COMPUTED_VALUE"""),"TRANSITO REVERSA")</f>
        <v>TRANSITO REVERSA</v>
      </c>
      <c r="G380" s="23">
        <f>IFERROR(__xludf.DUMMYFUNCTION("""COMPUTED_VALUE"""),45610.73042824074)</f>
        <v>45610.73043</v>
      </c>
      <c r="H380" s="24" t="str">
        <f>IFERROR(VLOOKUP(B380,material!A:D,3,0),"")</f>
        <v>DUAL</v>
      </c>
    </row>
    <row r="381" ht="11.25" customHeight="1">
      <c r="A381" s="21" t="str">
        <f>IFERROR(__xludf.DUMMYFUNCTION("""COMPUTED_VALUE"""),"EMTA WIFI 3.0 C6500")</f>
        <v>EMTA WIFI 3.0 C6500</v>
      </c>
      <c r="B381" s="22">
        <f>IFERROR(__xludf.DUMMYFUNCTION("""COMPUTED_VALUE"""),4.1001289E7)</f>
        <v>41001289</v>
      </c>
      <c r="C381" s="21" t="str">
        <f>IFERROR(__xludf.DUMMYFUNCTION("""COMPUTED_VALUE"""),"D42C0F70CA80")</f>
        <v>D42C0F70CA80</v>
      </c>
      <c r="D381" s="21" t="str">
        <f>IFERROR(__xludf.DUMMYFUNCTION("""COMPUTED_VALUE"""),"DIGITEC TECNOLOGIA DIGITAL E REPRES")</f>
        <v>DIGITEC TECNOLOGIA DIGITAL E REPRES</v>
      </c>
      <c r="E381" s="21">
        <f>IFERROR(__xludf.DUMMYFUNCTION("""COMPUTED_VALUE"""),145359.0)</f>
        <v>145359</v>
      </c>
      <c r="F381" s="21" t="str">
        <f>IFERROR(__xludf.DUMMYFUNCTION("""COMPUTED_VALUE"""),"TRANSITO REVERSA")</f>
        <v>TRANSITO REVERSA</v>
      </c>
      <c r="G381" s="23">
        <f>IFERROR(__xludf.DUMMYFUNCTION("""COMPUTED_VALUE"""),45638.520578703705)</f>
        <v>45638.52058</v>
      </c>
      <c r="H381" s="24" t="str">
        <f>IFERROR(VLOOKUP(B381,material!A:D,3,0),"")</f>
        <v>SINGLE</v>
      </c>
    </row>
    <row r="382" ht="11.25" customHeight="1">
      <c r="A382" s="21" t="str">
        <f>IFERROR(__xludf.DUMMYFUNCTION("""COMPUTED_VALUE"""),"SMART CARD LARANJA NAGRA")</f>
        <v>SMART CARD LARANJA NAGRA</v>
      </c>
      <c r="B382" s="22">
        <f>IFERROR(__xludf.DUMMYFUNCTION("""COMPUTED_VALUE"""),4.1001186E7)</f>
        <v>41001186</v>
      </c>
      <c r="C382" s="21" t="str">
        <f>IFERROR(__xludf.DUMMYFUNCTION("""COMPUTED_VALUE"""),"215729614867")</f>
        <v>215729614867</v>
      </c>
      <c r="D382" s="21" t="str">
        <f>IFERROR(__xludf.DUMMYFUNCTION("""COMPUTED_VALUE"""),"DIGITEC TECNOLOGIA DIGITAL E REPRES")</f>
        <v>DIGITEC TECNOLOGIA DIGITAL E REPRES</v>
      </c>
      <c r="E382" s="21">
        <f>IFERROR(__xludf.DUMMYFUNCTION("""COMPUTED_VALUE"""),145359.0)</f>
        <v>145359</v>
      </c>
      <c r="F382" s="21" t="str">
        <f>IFERROR(__xludf.DUMMYFUNCTION("""COMPUTED_VALUE"""),"SUCATA")</f>
        <v>SUCATA</v>
      </c>
      <c r="G382" s="23">
        <f>IFERROR(__xludf.DUMMYFUNCTION("""COMPUTED_VALUE"""),45075.62226851852)</f>
        <v>45075.62227</v>
      </c>
      <c r="H382" s="24" t="str">
        <f>IFERROR(VLOOKUP(B382,material!A:D,3,0),"")</f>
        <v>CARD</v>
      </c>
    </row>
    <row r="383" ht="11.25" customHeight="1">
      <c r="A383" s="21" t="str">
        <f>IFERROR(__xludf.DUMMYFUNCTION("""COMPUTED_VALUE"""),"TECHNICOLOR TC7337NET")</f>
        <v>TECHNICOLOR TC7337NET</v>
      </c>
      <c r="B383" s="22">
        <f>IFERROR(__xludf.DUMMYFUNCTION("""COMPUTED_VALUE"""),4.1001294E7)</f>
        <v>41001294</v>
      </c>
      <c r="C383" s="21" t="str">
        <f>IFERROR(__xludf.DUMMYFUNCTION("""COMPUTED_VALUE"""),"B42A0ED129BB")</f>
        <v>B42A0ED129BB</v>
      </c>
      <c r="D383" s="21" t="str">
        <f>IFERROR(__xludf.DUMMYFUNCTION("""COMPUTED_VALUE"""),"DIGITEC TECNOLOGIA DIGITAL E REPRES")</f>
        <v>DIGITEC TECNOLOGIA DIGITAL E REPRES</v>
      </c>
      <c r="E383" s="21">
        <f>IFERROR(__xludf.DUMMYFUNCTION("""COMPUTED_VALUE"""),145359.0)</f>
        <v>145359</v>
      </c>
      <c r="F383" s="21" t="str">
        <f>IFERROR(__xludf.DUMMYFUNCTION("""COMPUTED_VALUE"""),"INICIALIZADO")</f>
        <v>INICIALIZADO</v>
      </c>
      <c r="G383" s="23">
        <f>IFERROR(__xludf.DUMMYFUNCTION("""COMPUTED_VALUE"""),45618.74476851852)</f>
        <v>45618.74477</v>
      </c>
      <c r="H383" s="24" t="str">
        <f>IFERROR(VLOOKUP(B383,material!A:D,3,0),"")</f>
        <v>DUAL</v>
      </c>
    </row>
    <row r="384" ht="11.25" customHeight="1">
      <c r="A384" s="21" t="str">
        <f>IFERROR(__xludf.DUMMYFUNCTION("""COMPUTED_VALUE"""),"DECODER DIGITAL HD DXC5000 2T")</f>
        <v>DECODER DIGITAL HD DXC5000 2T</v>
      </c>
      <c r="B384" s="22">
        <f>IFERROR(__xludf.DUMMYFUNCTION("""COMPUTED_VALUE"""),4.1001277E7)</f>
        <v>41001277</v>
      </c>
      <c r="C384" s="21" t="str">
        <f>IFERROR(__xludf.DUMMYFUNCTION("""COMPUTED_VALUE"""),"216470169711")</f>
        <v>216470169711</v>
      </c>
      <c r="D384" s="21" t="str">
        <f>IFERROR(__xludf.DUMMYFUNCTION("""COMPUTED_VALUE"""),"DIGITEC TECNOLOGIA DIGITAL E REPRES")</f>
        <v>DIGITEC TECNOLOGIA DIGITAL E REPRES</v>
      </c>
      <c r="E384" s="21">
        <f>IFERROR(__xludf.DUMMYFUNCTION("""COMPUTED_VALUE"""),145359.0)</f>
        <v>145359</v>
      </c>
      <c r="F384" s="21" t="str">
        <f>IFERROR(__xludf.DUMMYFUNCTION("""COMPUTED_VALUE"""),"INICIALIZADO")</f>
        <v>INICIALIZADO</v>
      </c>
      <c r="G384" s="23">
        <f>IFERROR(__xludf.DUMMYFUNCTION("""COMPUTED_VALUE"""),45593.72916666667)</f>
        <v>45593.72917</v>
      </c>
      <c r="H384" s="24" t="str">
        <f>IFERROR(VLOOKUP(B384,material!A:D,3,0),"")</f>
        <v>TOP MIX</v>
      </c>
    </row>
    <row r="385" ht="11.25" customHeight="1">
      <c r="A385" s="21" t="str">
        <f>IFERROR(__xludf.DUMMYFUNCTION("""COMPUTED_VALUE"""),"DECODER DIGITAL HD HNB100 2T")</f>
        <v>DECODER DIGITAL HD HNB100 2T</v>
      </c>
      <c r="B385" s="22">
        <f>IFERROR(__xludf.DUMMYFUNCTION("""COMPUTED_VALUE"""),4.1001276E7)</f>
        <v>41001276</v>
      </c>
      <c r="C385" s="21" t="str">
        <f>IFERROR(__xludf.DUMMYFUNCTION("""COMPUTED_VALUE"""),"216812782430")</f>
        <v>216812782430</v>
      </c>
      <c r="D385" s="21" t="str">
        <f>IFERROR(__xludf.DUMMYFUNCTION("""COMPUTED_VALUE"""),"DIGITEC TECNOLOGIA DIGITAL E REPRES")</f>
        <v>DIGITEC TECNOLOGIA DIGITAL E REPRES</v>
      </c>
      <c r="E385" s="21">
        <f>IFERROR(__xludf.DUMMYFUNCTION("""COMPUTED_VALUE"""),145359.0)</f>
        <v>145359</v>
      </c>
      <c r="F385" s="21" t="str">
        <f>IFERROR(__xludf.DUMMYFUNCTION("""COMPUTED_VALUE"""),"INICIALIZADO")</f>
        <v>INICIALIZADO</v>
      </c>
      <c r="G385" s="23">
        <f>IFERROR(__xludf.DUMMYFUNCTION("""COMPUTED_VALUE"""),45642.52413194445)</f>
        <v>45642.52413</v>
      </c>
      <c r="H385" s="24" t="str">
        <f>IFERROR(VLOOKUP(B385,material!A:D,3,0),"")</f>
        <v>TOP MIX</v>
      </c>
    </row>
    <row r="386" ht="11.25" customHeight="1">
      <c r="A386" s="21" t="str">
        <f>IFERROR(__xludf.DUMMYFUNCTION("""COMPUTED_VALUE"""),"DECODER DIGITAL HD HNB100 2T")</f>
        <v>DECODER DIGITAL HD HNB100 2T</v>
      </c>
      <c r="B386" s="22">
        <f>IFERROR(__xludf.DUMMYFUNCTION("""COMPUTED_VALUE"""),4.1001276E7)</f>
        <v>41001276</v>
      </c>
      <c r="C386" s="21" t="str">
        <f>IFERROR(__xludf.DUMMYFUNCTION("""COMPUTED_VALUE"""),"216736633539")</f>
        <v>216736633539</v>
      </c>
      <c r="D386" s="21" t="str">
        <f>IFERROR(__xludf.DUMMYFUNCTION("""COMPUTED_VALUE"""),"DIGITEC TECNOLOGIA DIGITAL E REPRES")</f>
        <v>DIGITEC TECNOLOGIA DIGITAL E REPRES</v>
      </c>
      <c r="E386" s="21">
        <f>IFERROR(__xludf.DUMMYFUNCTION("""COMPUTED_VALUE"""),145359.0)</f>
        <v>145359</v>
      </c>
      <c r="F386" s="21" t="str">
        <f>IFERROR(__xludf.DUMMYFUNCTION("""COMPUTED_VALUE"""),"INICIALIZADO")</f>
        <v>INICIALIZADO</v>
      </c>
      <c r="G386" s="23">
        <f>IFERROR(__xludf.DUMMYFUNCTION("""COMPUTED_VALUE"""),45642.52412037037)</f>
        <v>45642.52412</v>
      </c>
      <c r="H386" s="24" t="str">
        <f>IFERROR(VLOOKUP(B386,material!A:D,3,0),"")</f>
        <v>TOP MIX</v>
      </c>
    </row>
    <row r="387" ht="11.25" customHeight="1">
      <c r="A387" s="21" t="str">
        <f>IFERROR(__xludf.DUMMYFUNCTION("""COMPUTED_VALUE"""),"SMART CARD PRETO NAGRA")</f>
        <v>SMART CARD PRETO NAGRA</v>
      </c>
      <c r="B387" s="22">
        <f>IFERROR(__xludf.DUMMYFUNCTION("""COMPUTED_VALUE"""),4.1001234E7)</f>
        <v>41001234</v>
      </c>
      <c r="C387" s="21" t="str">
        <f>IFERROR(__xludf.DUMMYFUNCTION("""COMPUTED_VALUE"""),"246189843145")</f>
        <v>246189843145</v>
      </c>
      <c r="D387" s="21" t="str">
        <f>IFERROR(__xludf.DUMMYFUNCTION("""COMPUTED_VALUE"""),"DIGITEC TECNOLOGIA DIGITAL E REPRES")</f>
        <v>DIGITEC TECNOLOGIA DIGITAL E REPRES</v>
      </c>
      <c r="E387" s="21">
        <f>IFERROR(__xludf.DUMMYFUNCTION("""COMPUTED_VALUE"""),145359.0)</f>
        <v>145359</v>
      </c>
      <c r="F387" s="21" t="str">
        <f>IFERROR(__xludf.DUMMYFUNCTION("""COMPUTED_VALUE"""),"INICIALIZADO")</f>
        <v>INICIALIZADO</v>
      </c>
      <c r="G387" s="23">
        <f>IFERROR(__xludf.DUMMYFUNCTION("""COMPUTED_VALUE"""),45635.534895833334)</f>
        <v>45635.5349</v>
      </c>
      <c r="H387" s="24" t="str">
        <f>IFERROR(VLOOKUP(B387,material!A:D,3,0),"")</f>
        <v>CARD</v>
      </c>
    </row>
    <row r="388" ht="11.25" customHeight="1">
      <c r="A388" s="21" t="str">
        <f>IFERROR(__xludf.DUMMYFUNCTION("""COMPUTED_VALUE"""),"SMART CARD PRETO NAGRA")</f>
        <v>SMART CARD PRETO NAGRA</v>
      </c>
      <c r="B388" s="22">
        <f>IFERROR(__xludf.DUMMYFUNCTION("""COMPUTED_VALUE"""),4.1001234E7)</f>
        <v>41001234</v>
      </c>
      <c r="C388" s="21" t="str">
        <f>IFERROR(__xludf.DUMMYFUNCTION("""COMPUTED_VALUE"""),"246172912222")</f>
        <v>246172912222</v>
      </c>
      <c r="D388" s="21" t="str">
        <f>IFERROR(__xludf.DUMMYFUNCTION("""COMPUTED_VALUE"""),"DIGITEC TECNOLOGIA DIGITAL E REPRES")</f>
        <v>DIGITEC TECNOLOGIA DIGITAL E REPRES</v>
      </c>
      <c r="E388" s="21">
        <f>IFERROR(__xludf.DUMMYFUNCTION("""COMPUTED_VALUE"""),145359.0)</f>
        <v>145359</v>
      </c>
      <c r="F388" s="21" t="str">
        <f>IFERROR(__xludf.DUMMYFUNCTION("""COMPUTED_VALUE"""),"INICIALIZADO")</f>
        <v>INICIALIZADO</v>
      </c>
      <c r="G388" s="23">
        <f>IFERROR(__xludf.DUMMYFUNCTION("""COMPUTED_VALUE"""),45635.534895833334)</f>
        <v>45635.5349</v>
      </c>
      <c r="H388" s="24" t="str">
        <f>IFERROR(VLOOKUP(B388,material!A:D,3,0),"")</f>
        <v>CARD</v>
      </c>
    </row>
    <row r="389" ht="11.25" customHeight="1">
      <c r="A389" s="21" t="str">
        <f>IFERROR(__xludf.DUMMYFUNCTION("""COMPUTED_VALUE"""),"SMART CARD LARANJA NAGRA")</f>
        <v>SMART CARD LARANJA NAGRA</v>
      </c>
      <c r="B389" s="22">
        <f>IFERROR(__xludf.DUMMYFUNCTION("""COMPUTED_VALUE"""),4.1001186E7)</f>
        <v>41001186</v>
      </c>
      <c r="C389" s="21" t="str">
        <f>IFERROR(__xludf.DUMMYFUNCTION("""COMPUTED_VALUE"""),"225735644754")</f>
        <v>225735644754</v>
      </c>
      <c r="D389" s="21" t="str">
        <f>IFERROR(__xludf.DUMMYFUNCTION("""COMPUTED_VALUE"""),"DIGITEC TECNOLOGIA DIGITAL E REPRES")</f>
        <v>DIGITEC TECNOLOGIA DIGITAL E REPRES</v>
      </c>
      <c r="E389" s="21">
        <f>IFERROR(__xludf.DUMMYFUNCTION("""COMPUTED_VALUE"""),145359.0)</f>
        <v>145359</v>
      </c>
      <c r="F389" s="21" t="str">
        <f>IFERROR(__xludf.DUMMYFUNCTION("""COMPUTED_VALUE"""),"SUCATA")</f>
        <v>SUCATA</v>
      </c>
      <c r="G389" s="23">
        <f>IFERROR(__xludf.DUMMYFUNCTION("""COMPUTED_VALUE"""),45076.6025462963)</f>
        <v>45076.60255</v>
      </c>
      <c r="H389" s="24" t="str">
        <f>IFERROR(VLOOKUP(B389,material!A:D,3,0),"")</f>
        <v>CARD</v>
      </c>
    </row>
    <row r="390" ht="11.25" customHeight="1">
      <c r="A390" s="21" t="str">
        <f>IFERROR(__xludf.DUMMYFUNCTION("""COMPUTED_VALUE"""),"SMART CARD AVULSO MINI")</f>
        <v>SMART CARD AVULSO MINI</v>
      </c>
      <c r="B390" s="22">
        <f>IFERROR(__xludf.DUMMYFUNCTION("""COMPUTED_VALUE"""),4.1001508E7)</f>
        <v>41001508</v>
      </c>
      <c r="C390" s="21" t="str">
        <f>IFERROR(__xludf.DUMMYFUNCTION("""COMPUTED_VALUE"""),"246230042837")</f>
        <v>246230042837</v>
      </c>
      <c r="D390" s="21" t="str">
        <f>IFERROR(__xludf.DUMMYFUNCTION("""COMPUTED_VALUE"""),"DIGITEC TECNOLOGIA DIGITAL E REPRES")</f>
        <v>DIGITEC TECNOLOGIA DIGITAL E REPRES</v>
      </c>
      <c r="E390" s="21">
        <f>IFERROR(__xludf.DUMMYFUNCTION("""COMPUTED_VALUE"""),145359.0)</f>
        <v>145359</v>
      </c>
      <c r="F390" s="21" t="str">
        <f>IFERROR(__xludf.DUMMYFUNCTION("""COMPUTED_VALUE"""),"SUSPEITO")</f>
        <v>SUSPEITO</v>
      </c>
      <c r="G390" s="23">
        <f>IFERROR(__xludf.DUMMYFUNCTION("""COMPUTED_VALUE"""),45643.48584490741)</f>
        <v>45643.48584</v>
      </c>
      <c r="H390" s="24" t="str">
        <f>IFERROR(VLOOKUP(B390,material!A:D,3,0),"")</f>
        <v>SIM CARD</v>
      </c>
    </row>
    <row r="391" ht="11.25" customHeight="1">
      <c r="A391" s="21" t="str">
        <f>IFERROR(__xludf.DUMMYFUNCTION("""COMPUTED_VALUE"""),"ARRIS TG1692A")</f>
        <v>ARRIS TG1692A</v>
      </c>
      <c r="B391" s="22">
        <f>IFERROR(__xludf.DUMMYFUNCTION("""COMPUTED_VALUE"""),4.1001293E7)</f>
        <v>41001293</v>
      </c>
      <c r="C391" s="21" t="str">
        <f>IFERROR(__xludf.DUMMYFUNCTION("""COMPUTED_VALUE"""),"BC644BE1359B")</f>
        <v>BC644BE1359B</v>
      </c>
      <c r="D391" s="21" t="str">
        <f>IFERROR(__xludf.DUMMYFUNCTION("""COMPUTED_VALUE"""),"DIGITEC TECNOLOGIA DIGITAL E REPRES")</f>
        <v>DIGITEC TECNOLOGIA DIGITAL E REPRES</v>
      </c>
      <c r="E391" s="21">
        <f>IFERROR(__xludf.DUMMYFUNCTION("""COMPUTED_VALUE"""),145359.0)</f>
        <v>145359</v>
      </c>
      <c r="F391" s="21" t="str">
        <f>IFERROR(__xludf.DUMMYFUNCTION("""COMPUTED_VALUE"""),"TRANSITO REVERSA")</f>
        <v>TRANSITO REVERSA</v>
      </c>
      <c r="G391" s="23">
        <f>IFERROR(__xludf.DUMMYFUNCTION("""COMPUTED_VALUE"""),45617.87142361111)</f>
        <v>45617.87142</v>
      </c>
      <c r="H391" s="24" t="str">
        <f>IFERROR(VLOOKUP(B391,material!A:D,3,0),"")</f>
        <v>DUAL</v>
      </c>
    </row>
    <row r="392" ht="11.25" customHeight="1">
      <c r="A392" s="21" t="str">
        <f>IFERROR(__xludf.DUMMYFUNCTION("""COMPUTED_VALUE"""),"HUMAX HG100R-L4")</f>
        <v>HUMAX HG100R-L4</v>
      </c>
      <c r="B392" s="22">
        <f>IFERROR(__xludf.DUMMYFUNCTION("""COMPUTED_VALUE"""),4.1001288E7)</f>
        <v>41001288</v>
      </c>
      <c r="C392" s="21" t="str">
        <f>IFERROR(__xludf.DUMMYFUNCTION("""COMPUTED_VALUE"""),"942CB31E7464")</f>
        <v>942CB31E7464</v>
      </c>
      <c r="D392" s="21" t="str">
        <f>IFERROR(__xludf.DUMMYFUNCTION("""COMPUTED_VALUE"""),"DIGITEC TECNOLOGIA DIGITAL E REPRES")</f>
        <v>DIGITEC TECNOLOGIA DIGITAL E REPRES</v>
      </c>
      <c r="E392" s="21">
        <f>IFERROR(__xludf.DUMMYFUNCTION("""COMPUTED_VALUE"""),145359.0)</f>
        <v>145359</v>
      </c>
      <c r="F392" s="21" t="str">
        <f>IFERROR(__xludf.DUMMYFUNCTION("""COMPUTED_VALUE"""),"INICIALIZADO")</f>
        <v>INICIALIZADO</v>
      </c>
      <c r="G392" s="23">
        <f>IFERROR(__xludf.DUMMYFUNCTION("""COMPUTED_VALUE"""),44999.92971064815)</f>
        <v>44999.92971</v>
      </c>
      <c r="H392" s="24" t="str">
        <f>IFERROR(VLOOKUP(B392,material!A:D,3,0),"")</f>
        <v>SINGLE</v>
      </c>
    </row>
    <row r="393" ht="11.25" customHeight="1">
      <c r="A393" s="21" t="str">
        <f>IFERROR(__xludf.DUMMYFUNCTION("""COMPUTED_VALUE"""),"SMART CARD PRETO NAGRA")</f>
        <v>SMART CARD PRETO NAGRA</v>
      </c>
      <c r="B393" s="22">
        <f>IFERROR(__xludf.DUMMYFUNCTION("""COMPUTED_VALUE"""),4.1001234E7)</f>
        <v>41001234</v>
      </c>
      <c r="C393" s="21" t="str">
        <f>IFERROR(__xludf.DUMMYFUNCTION("""COMPUTED_VALUE"""),"246124811434")</f>
        <v>246124811434</v>
      </c>
      <c r="D393" s="21" t="str">
        <f>IFERROR(__xludf.DUMMYFUNCTION("""COMPUTED_VALUE"""),"DIGITEC TECNOLOGIA DIGITAL E REPRES")</f>
        <v>DIGITEC TECNOLOGIA DIGITAL E REPRES</v>
      </c>
      <c r="E393" s="21">
        <f>IFERROR(__xludf.DUMMYFUNCTION("""COMPUTED_VALUE"""),145359.0)</f>
        <v>145359</v>
      </c>
      <c r="F393" s="21" t="str">
        <f>IFERROR(__xludf.DUMMYFUNCTION("""COMPUTED_VALUE"""),"INICIALIZADO")</f>
        <v>INICIALIZADO</v>
      </c>
      <c r="G393" s="23">
        <f>IFERROR(__xludf.DUMMYFUNCTION("""COMPUTED_VALUE"""),45635.534895833334)</f>
        <v>45635.5349</v>
      </c>
      <c r="H393" s="24" t="str">
        <f>IFERROR(VLOOKUP(B393,material!A:D,3,0),"")</f>
        <v>CARD</v>
      </c>
    </row>
    <row r="394" ht="11.25" customHeight="1">
      <c r="A394" s="21" t="str">
        <f>IFERROR(__xludf.DUMMYFUNCTION("""COMPUTED_VALUE"""),"DECODER DIGITAL HD HNB100 2T")</f>
        <v>DECODER DIGITAL HD HNB100 2T</v>
      </c>
      <c r="B394" s="22">
        <f>IFERROR(__xludf.DUMMYFUNCTION("""COMPUTED_VALUE"""),4.1001276E7)</f>
        <v>41001276</v>
      </c>
      <c r="C394" s="21" t="str">
        <f>IFERROR(__xludf.DUMMYFUNCTION("""COMPUTED_VALUE"""),"184271274252")</f>
        <v>184271274252</v>
      </c>
      <c r="D394" s="21" t="str">
        <f>IFERROR(__xludf.DUMMYFUNCTION("""COMPUTED_VALUE"""),"DIGITEC TECNOLOGIA DIGITAL E REPRES")</f>
        <v>DIGITEC TECNOLOGIA DIGITAL E REPRES</v>
      </c>
      <c r="E394" s="21">
        <f>IFERROR(__xludf.DUMMYFUNCTION("""COMPUTED_VALUE"""),145359.0)</f>
        <v>145359</v>
      </c>
      <c r="F394" s="21" t="str">
        <f>IFERROR(__xludf.DUMMYFUNCTION("""COMPUTED_VALUE"""),"INICIALIZADO")</f>
        <v>INICIALIZADO</v>
      </c>
      <c r="G394" s="23">
        <f>IFERROR(__xludf.DUMMYFUNCTION("""COMPUTED_VALUE"""),45635.535057870366)</f>
        <v>45635.53506</v>
      </c>
      <c r="H394" s="24" t="str">
        <f>IFERROR(VLOOKUP(B394,material!A:D,3,0),"")</f>
        <v>TOP MIX</v>
      </c>
    </row>
    <row r="395" ht="11.25" customHeight="1">
      <c r="A395" s="21" t="str">
        <f>IFERROR(__xludf.DUMMYFUNCTION("""COMPUTED_VALUE"""),"THOMSON HIGH DEFINITION DCI713")</f>
        <v>THOMSON HIGH DEFINITION DCI713</v>
      </c>
      <c r="B395" s="22">
        <f>IFERROR(__xludf.DUMMYFUNCTION("""COMPUTED_VALUE"""),4.1001273E7)</f>
        <v>41001273</v>
      </c>
      <c r="C395" s="21" t="str">
        <f>IFERROR(__xludf.DUMMYFUNCTION("""COMPUTED_VALUE"""),"184246798181")</f>
        <v>184246798181</v>
      </c>
      <c r="D395" s="21" t="str">
        <f>IFERROR(__xludf.DUMMYFUNCTION("""COMPUTED_VALUE"""),"DIGITEC TECNOLOGIA DIGITAL E REPRES")</f>
        <v>DIGITEC TECNOLOGIA DIGITAL E REPRES</v>
      </c>
      <c r="E395" s="21">
        <f>IFERROR(__xludf.DUMMYFUNCTION("""COMPUTED_VALUE"""),145359.0)</f>
        <v>145359</v>
      </c>
      <c r="F395" s="21" t="str">
        <f>IFERROR(__xludf.DUMMYFUNCTION("""COMPUTED_VALUE"""),"TRANSITO REVERSA")</f>
        <v>TRANSITO REVERSA</v>
      </c>
      <c r="G395" s="23">
        <f>IFERROR(__xludf.DUMMYFUNCTION("""COMPUTED_VALUE"""),45617.87180555555)</f>
        <v>45617.87181</v>
      </c>
      <c r="H395" s="24" t="str">
        <f>IFERROR(VLOOKUP(B395,material!A:D,3,0),"")</f>
        <v>LEGADO</v>
      </c>
    </row>
    <row r="396" ht="11.25" customHeight="1">
      <c r="A396" s="21" t="str">
        <f>IFERROR(__xludf.DUMMYFUNCTION("""COMPUTED_VALUE"""),"DECODER DIGITAL HD HNB100 2T")</f>
        <v>DECODER DIGITAL HD HNB100 2T</v>
      </c>
      <c r="B396" s="22">
        <f>IFERROR(__xludf.DUMMYFUNCTION("""COMPUTED_VALUE"""),4.1001276E7)</f>
        <v>41001276</v>
      </c>
      <c r="C396" s="21" t="str">
        <f>IFERROR(__xludf.DUMMYFUNCTION("""COMPUTED_VALUE"""),"216395735555")</f>
        <v>216395735555</v>
      </c>
      <c r="D396" s="21" t="str">
        <f>IFERROR(__xludf.DUMMYFUNCTION("""COMPUTED_VALUE"""),"DIGITEC TECNOLOGIA DIGITAL E REPRES")</f>
        <v>DIGITEC TECNOLOGIA DIGITAL E REPRES</v>
      </c>
      <c r="E396" s="21">
        <f>IFERROR(__xludf.DUMMYFUNCTION("""COMPUTED_VALUE"""),145359.0)</f>
        <v>145359</v>
      </c>
      <c r="F396" s="21" t="str">
        <f>IFERROR(__xludf.DUMMYFUNCTION("""COMPUTED_VALUE"""),"INICIALIZADO")</f>
        <v>INICIALIZADO</v>
      </c>
      <c r="G396" s="23">
        <f>IFERROR(__xludf.DUMMYFUNCTION("""COMPUTED_VALUE"""),45642.52413194445)</f>
        <v>45642.52413</v>
      </c>
      <c r="H396" s="24" t="str">
        <f>IFERROR(VLOOKUP(B396,material!A:D,3,0),"")</f>
        <v>TOP MIX</v>
      </c>
    </row>
    <row r="397" ht="11.25" customHeight="1">
      <c r="A397" s="21" t="str">
        <f>IFERROR(__xludf.DUMMYFUNCTION("""COMPUTED_VALUE"""),"DECODER DIGITAL HD HNB100 2T")</f>
        <v>DECODER DIGITAL HD HNB100 2T</v>
      </c>
      <c r="B397" s="22">
        <f>IFERROR(__xludf.DUMMYFUNCTION("""COMPUTED_VALUE"""),4.1001276E7)</f>
        <v>41001276</v>
      </c>
      <c r="C397" s="21" t="str">
        <f>IFERROR(__xludf.DUMMYFUNCTION("""COMPUTED_VALUE"""),"216398547782")</f>
        <v>216398547782</v>
      </c>
      <c r="D397" s="21" t="str">
        <f>IFERROR(__xludf.DUMMYFUNCTION("""COMPUTED_VALUE"""),"DIGITEC TECNOLOGIA DIGITAL E REPRES")</f>
        <v>DIGITEC TECNOLOGIA DIGITAL E REPRES</v>
      </c>
      <c r="E397" s="21">
        <f>IFERROR(__xludf.DUMMYFUNCTION("""COMPUTED_VALUE"""),145359.0)</f>
        <v>145359</v>
      </c>
      <c r="F397" s="21" t="str">
        <f>IFERROR(__xludf.DUMMYFUNCTION("""COMPUTED_VALUE"""),"INICIALIZADO")</f>
        <v>INICIALIZADO</v>
      </c>
      <c r="G397" s="23">
        <f>IFERROR(__xludf.DUMMYFUNCTION("""COMPUTED_VALUE"""),45635.53503472223)</f>
        <v>45635.53503</v>
      </c>
      <c r="H397" s="24" t="str">
        <f>IFERROR(VLOOKUP(B397,material!A:D,3,0),"")</f>
        <v>TOP MIX</v>
      </c>
    </row>
    <row r="398" ht="11.25" customHeight="1">
      <c r="A398" s="21" t="str">
        <f>IFERROR(__xludf.DUMMYFUNCTION("""COMPUTED_VALUE"""),"DECODER DIGITAL HD HNB100 2T")</f>
        <v>DECODER DIGITAL HD HNB100 2T</v>
      </c>
      <c r="B398" s="22">
        <f>IFERROR(__xludf.DUMMYFUNCTION("""COMPUTED_VALUE"""),4.1001276E7)</f>
        <v>41001276</v>
      </c>
      <c r="C398" s="21" t="str">
        <f>IFERROR(__xludf.DUMMYFUNCTION("""COMPUTED_VALUE"""),"216703152640")</f>
        <v>216703152640</v>
      </c>
      <c r="D398" s="21" t="str">
        <f>IFERROR(__xludf.DUMMYFUNCTION("""COMPUTED_VALUE"""),"DIGITEC TECNOLOGIA DIGITAL E REPRES")</f>
        <v>DIGITEC TECNOLOGIA DIGITAL E REPRES</v>
      </c>
      <c r="E398" s="21">
        <f>IFERROR(__xludf.DUMMYFUNCTION("""COMPUTED_VALUE"""),145359.0)</f>
        <v>145359</v>
      </c>
      <c r="F398" s="21" t="str">
        <f>IFERROR(__xludf.DUMMYFUNCTION("""COMPUTED_VALUE"""),"INICIALIZADO")</f>
        <v>INICIALIZADO</v>
      </c>
      <c r="G398" s="23">
        <f>IFERROR(__xludf.DUMMYFUNCTION("""COMPUTED_VALUE"""),45635.53501157407)</f>
        <v>45635.53501</v>
      </c>
      <c r="H398" s="24" t="str">
        <f>IFERROR(VLOOKUP(B398,material!A:D,3,0),"")</f>
        <v>TOP MIX</v>
      </c>
    </row>
    <row r="399" ht="11.25" customHeight="1">
      <c r="A399" s="21" t="str">
        <f>IFERROR(__xludf.DUMMYFUNCTION("""COMPUTED_VALUE"""),"DECODER DIGITAL HD HNB100 2T")</f>
        <v>DECODER DIGITAL HD HNB100 2T</v>
      </c>
      <c r="B399" s="22">
        <f>IFERROR(__xludf.DUMMYFUNCTION("""COMPUTED_VALUE"""),4.1001276E7)</f>
        <v>41001276</v>
      </c>
      <c r="C399" s="21" t="str">
        <f>IFERROR(__xludf.DUMMYFUNCTION("""COMPUTED_VALUE"""),"216505156380")</f>
        <v>216505156380</v>
      </c>
      <c r="D399" s="21" t="str">
        <f>IFERROR(__xludf.DUMMYFUNCTION("""COMPUTED_VALUE"""),"DIGITEC TECNOLOGIA DIGITAL E REPRES")</f>
        <v>DIGITEC TECNOLOGIA DIGITAL E REPRES</v>
      </c>
      <c r="E399" s="21">
        <f>IFERROR(__xludf.DUMMYFUNCTION("""COMPUTED_VALUE"""),145359.0)</f>
        <v>145359</v>
      </c>
      <c r="F399" s="21" t="str">
        <f>IFERROR(__xludf.DUMMYFUNCTION("""COMPUTED_VALUE"""),"INICIALIZADO")</f>
        <v>INICIALIZADO</v>
      </c>
      <c r="G399" s="23">
        <f>IFERROR(__xludf.DUMMYFUNCTION("""COMPUTED_VALUE"""),45635.535046296296)</f>
        <v>45635.53505</v>
      </c>
      <c r="H399" s="24" t="str">
        <f>IFERROR(VLOOKUP(B399,material!A:D,3,0),"")</f>
        <v>TOP MIX</v>
      </c>
    </row>
    <row r="400" ht="11.25" customHeight="1">
      <c r="A400" s="21" t="str">
        <f>IFERROR(__xludf.DUMMYFUNCTION("""COMPUTED_VALUE"""),"DECODER DIGITAL HD HNB100 2T")</f>
        <v>DECODER DIGITAL HD HNB100 2T</v>
      </c>
      <c r="B400" s="22">
        <f>IFERROR(__xludf.DUMMYFUNCTION("""COMPUTED_VALUE"""),4.1001276E7)</f>
        <v>41001276</v>
      </c>
      <c r="C400" s="21" t="str">
        <f>IFERROR(__xludf.DUMMYFUNCTION("""COMPUTED_VALUE"""),"216412665872")</f>
        <v>216412665872</v>
      </c>
      <c r="D400" s="21" t="str">
        <f>IFERROR(__xludf.DUMMYFUNCTION("""COMPUTED_VALUE"""),"DIGITEC TECNOLOGIA DIGITAL E REPRES")</f>
        <v>DIGITEC TECNOLOGIA DIGITAL E REPRES</v>
      </c>
      <c r="E400" s="21">
        <f>IFERROR(__xludf.DUMMYFUNCTION("""COMPUTED_VALUE"""),145359.0)</f>
        <v>145359</v>
      </c>
      <c r="F400" s="21" t="str">
        <f>IFERROR(__xludf.DUMMYFUNCTION("""COMPUTED_VALUE"""),"INICIALIZADO")</f>
        <v>INICIALIZADO</v>
      </c>
      <c r="G400" s="23">
        <f>IFERROR(__xludf.DUMMYFUNCTION("""COMPUTED_VALUE"""),45635.535046296296)</f>
        <v>45635.53505</v>
      </c>
      <c r="H400" s="24" t="str">
        <f>IFERROR(VLOOKUP(B400,material!A:D,3,0),"")</f>
        <v>TOP MIX</v>
      </c>
    </row>
    <row r="401" ht="11.25" customHeight="1">
      <c r="A401" s="21" t="str">
        <f>IFERROR(__xludf.DUMMYFUNCTION("""COMPUTED_VALUE"""),"SMART CARD PRETO NAGRA")</f>
        <v>SMART CARD PRETO NAGRA</v>
      </c>
      <c r="B401" s="22">
        <f>IFERROR(__xludf.DUMMYFUNCTION("""COMPUTED_VALUE"""),4.1001234E7)</f>
        <v>41001234</v>
      </c>
      <c r="C401" s="21" t="str">
        <f>IFERROR(__xludf.DUMMYFUNCTION("""COMPUTED_VALUE"""),"226398664343")</f>
        <v>226398664343</v>
      </c>
      <c r="D401" s="21" t="str">
        <f>IFERROR(__xludf.DUMMYFUNCTION("""COMPUTED_VALUE"""),"DIGITEC TECNOLOGIA DIGITAL E REPRES")</f>
        <v>DIGITEC TECNOLOGIA DIGITAL E REPRES</v>
      </c>
      <c r="E401" s="21">
        <f>IFERROR(__xludf.DUMMYFUNCTION("""COMPUTED_VALUE"""),145359.0)</f>
        <v>145359</v>
      </c>
      <c r="F401" s="21" t="str">
        <f>IFERROR(__xludf.DUMMYFUNCTION("""COMPUTED_VALUE"""),"INICIALIZADO")</f>
        <v>INICIALIZADO</v>
      </c>
      <c r="G401" s="23">
        <f>IFERROR(__xludf.DUMMYFUNCTION("""COMPUTED_VALUE"""),45635.53496527778)</f>
        <v>45635.53497</v>
      </c>
      <c r="H401" s="24" t="str">
        <f>IFERROR(VLOOKUP(B401,material!A:D,3,0),"")</f>
        <v>CARD</v>
      </c>
    </row>
    <row r="402" ht="11.25" customHeight="1">
      <c r="A402" s="21" t="str">
        <f>IFERROR(__xludf.DUMMYFUNCTION("""COMPUTED_VALUE"""),"SMART CARD LARANJA")</f>
        <v>SMART CARD LARANJA</v>
      </c>
      <c r="B402" s="22">
        <f>IFERROR(__xludf.DUMMYFUNCTION("""COMPUTED_VALUE"""),4.1001186E7)</f>
        <v>41001186</v>
      </c>
      <c r="C402" s="21" t="str">
        <f>IFERROR(__xludf.DUMMYFUNCTION("""COMPUTED_VALUE"""),"215962039098")</f>
        <v>215962039098</v>
      </c>
      <c r="D402" s="21" t="str">
        <f>IFERROR(__xludf.DUMMYFUNCTION("""COMPUTED_VALUE"""),"DIGITEC TECNOLOGIA DIGITAL E REPRES")</f>
        <v>DIGITEC TECNOLOGIA DIGITAL E REPRES</v>
      </c>
      <c r="E402" s="21">
        <f>IFERROR(__xludf.DUMMYFUNCTION("""COMPUTED_VALUE"""),145359.0)</f>
        <v>145359</v>
      </c>
      <c r="F402" s="21" t="str">
        <f>IFERROR(__xludf.DUMMYFUNCTION("""COMPUTED_VALUE"""),"INICIALIZADO")</f>
        <v>INICIALIZADO</v>
      </c>
      <c r="G402" s="23">
        <f>IFERROR(__xludf.DUMMYFUNCTION("""COMPUTED_VALUE"""),45022.68950231481)</f>
        <v>45022.6895</v>
      </c>
      <c r="H402" s="24" t="str">
        <f>IFERROR(VLOOKUP(B402,material!A:D,3,0),"")</f>
        <v>CARD</v>
      </c>
    </row>
    <row r="403" ht="11.25" customHeight="1">
      <c r="A403" s="21" t="str">
        <f>IFERROR(__xludf.DUMMYFUNCTION("""COMPUTED_VALUE"""),"SMART CARD LARANJA NAGRA")</f>
        <v>SMART CARD LARANJA NAGRA</v>
      </c>
      <c r="B403" s="22">
        <f>IFERROR(__xludf.DUMMYFUNCTION("""COMPUTED_VALUE"""),4.1001186E7)</f>
        <v>41001186</v>
      </c>
      <c r="C403" s="21" t="str">
        <f>IFERROR(__xludf.DUMMYFUNCTION("""COMPUTED_VALUE"""),"226626226170")</f>
        <v>226626226170</v>
      </c>
      <c r="D403" s="21" t="str">
        <f>IFERROR(__xludf.DUMMYFUNCTION("""COMPUTED_VALUE"""),"DIGITEC TECNOLOGIA DIGITAL E REPRES")</f>
        <v>DIGITEC TECNOLOGIA DIGITAL E REPRES</v>
      </c>
      <c r="E403" s="21">
        <f>IFERROR(__xludf.DUMMYFUNCTION("""COMPUTED_VALUE"""),145359.0)</f>
        <v>145359</v>
      </c>
      <c r="F403" s="21" t="str">
        <f>IFERROR(__xludf.DUMMYFUNCTION("""COMPUTED_VALUE"""),"SUCATA")</f>
        <v>SUCATA</v>
      </c>
      <c r="G403" s="23">
        <f>IFERROR(__xludf.DUMMYFUNCTION("""COMPUTED_VALUE"""),45075.599120370374)</f>
        <v>45075.59912</v>
      </c>
      <c r="H403" s="24" t="str">
        <f>IFERROR(VLOOKUP(B403,material!A:D,3,0),"")</f>
        <v>CARD</v>
      </c>
    </row>
    <row r="404" ht="11.25" customHeight="1">
      <c r="A404" s="21" t="str">
        <f>IFERROR(__xludf.DUMMYFUNCTION("""COMPUTED_VALUE"""),"SMART CARD PRETO NAGRA")</f>
        <v>SMART CARD PRETO NAGRA</v>
      </c>
      <c r="B404" s="22">
        <f>IFERROR(__xludf.DUMMYFUNCTION("""COMPUTED_VALUE"""),4.1001234E7)</f>
        <v>41001234</v>
      </c>
      <c r="C404" s="21" t="str">
        <f>IFERROR(__xludf.DUMMYFUNCTION("""COMPUTED_VALUE"""),"226284372022")</f>
        <v>226284372022</v>
      </c>
      <c r="D404" s="21" t="str">
        <f>IFERROR(__xludf.DUMMYFUNCTION("""COMPUTED_VALUE"""),"DIGITEC TECNOLOGIA DIGITAL E REPRES")</f>
        <v>DIGITEC TECNOLOGIA DIGITAL E REPRES</v>
      </c>
      <c r="E404" s="21">
        <f>IFERROR(__xludf.DUMMYFUNCTION("""COMPUTED_VALUE"""),145359.0)</f>
        <v>145359</v>
      </c>
      <c r="F404" s="21" t="str">
        <f>IFERROR(__xludf.DUMMYFUNCTION("""COMPUTED_VALUE"""),"INICIALIZADO")</f>
        <v>INICIALIZADO</v>
      </c>
      <c r="G404" s="23">
        <f>IFERROR(__xludf.DUMMYFUNCTION("""COMPUTED_VALUE"""),45618.65202546296)</f>
        <v>45618.65203</v>
      </c>
      <c r="H404" s="24" t="str">
        <f>IFERROR(VLOOKUP(B404,material!A:D,3,0),"")</f>
        <v>CARD</v>
      </c>
    </row>
    <row r="405" ht="11.25" customHeight="1">
      <c r="A405" s="21" t="str">
        <f>IFERROR(__xludf.DUMMYFUNCTION("""COMPUTED_VALUE"""),"SMART CARD PRETO NAGRA")</f>
        <v>SMART CARD PRETO NAGRA</v>
      </c>
      <c r="B405" s="22">
        <f>IFERROR(__xludf.DUMMYFUNCTION("""COMPUTED_VALUE"""),4.1001234E7)</f>
        <v>41001234</v>
      </c>
      <c r="C405" s="21" t="str">
        <f>IFERROR(__xludf.DUMMYFUNCTION("""COMPUTED_VALUE"""),"226032481233")</f>
        <v>226032481233</v>
      </c>
      <c r="D405" s="21" t="str">
        <f>IFERROR(__xludf.DUMMYFUNCTION("""COMPUTED_VALUE"""),"DIGITEC TECNOLOGIA DIGITAL E REPRES")</f>
        <v>DIGITEC TECNOLOGIA DIGITAL E REPRES</v>
      </c>
      <c r="E405" s="21">
        <f>IFERROR(__xludf.DUMMYFUNCTION("""COMPUTED_VALUE"""),145359.0)</f>
        <v>145359</v>
      </c>
      <c r="F405" s="21" t="str">
        <f>IFERROR(__xludf.DUMMYFUNCTION("""COMPUTED_VALUE"""),"INICIALIZADO")</f>
        <v>INICIALIZADO</v>
      </c>
      <c r="G405" s="23">
        <f>IFERROR(__xludf.DUMMYFUNCTION("""COMPUTED_VALUE"""),45635.53494212963)</f>
        <v>45635.53494</v>
      </c>
      <c r="H405" s="24" t="str">
        <f>IFERROR(VLOOKUP(B405,material!A:D,3,0),"")</f>
        <v>CARD</v>
      </c>
    </row>
    <row r="406" ht="11.25" customHeight="1">
      <c r="A406" s="21" t="str">
        <f>IFERROR(__xludf.DUMMYFUNCTION("""COMPUTED_VALUE"""),"SMART CARD PRETO NAGRA")</f>
        <v>SMART CARD PRETO NAGRA</v>
      </c>
      <c r="B406" s="22">
        <f>IFERROR(__xludf.DUMMYFUNCTION("""COMPUTED_VALUE"""),4.1001234E7)</f>
        <v>41001234</v>
      </c>
      <c r="C406" s="21" t="str">
        <f>IFERROR(__xludf.DUMMYFUNCTION("""COMPUTED_VALUE"""),"226137648083")</f>
        <v>226137648083</v>
      </c>
      <c r="D406" s="21" t="str">
        <f>IFERROR(__xludf.DUMMYFUNCTION("""COMPUTED_VALUE"""),"DIGITEC TECNOLOGIA DIGITAL E REPRES")</f>
        <v>DIGITEC TECNOLOGIA DIGITAL E REPRES</v>
      </c>
      <c r="E406" s="21">
        <f>IFERROR(__xludf.DUMMYFUNCTION("""COMPUTED_VALUE"""),145359.0)</f>
        <v>145359</v>
      </c>
      <c r="F406" s="21" t="str">
        <f>IFERROR(__xludf.DUMMYFUNCTION("""COMPUTED_VALUE"""),"INICIALIZADO")</f>
        <v>INICIALIZADO</v>
      </c>
      <c r="G406" s="23">
        <f>IFERROR(__xludf.DUMMYFUNCTION("""COMPUTED_VALUE"""),45635.53494212963)</f>
        <v>45635.53494</v>
      </c>
      <c r="H406" s="24" t="str">
        <f>IFERROR(VLOOKUP(B406,material!A:D,3,0),"")</f>
        <v>CARD</v>
      </c>
    </row>
    <row r="407" ht="11.25" customHeight="1">
      <c r="A407" s="21" t="str">
        <f>IFERROR(__xludf.DUMMYFUNCTION("""COMPUTED_VALUE"""),"TECHNICOLOR TC7337NET")</f>
        <v>TECHNICOLOR TC7337NET</v>
      </c>
      <c r="B407" s="22">
        <f>IFERROR(__xludf.DUMMYFUNCTION("""COMPUTED_VALUE"""),4.1001294E7)</f>
        <v>41001294</v>
      </c>
      <c r="C407" s="21" t="str">
        <f>IFERROR(__xludf.DUMMYFUNCTION("""COMPUTED_VALUE"""),"10C25A16CAFD")</f>
        <v>10C25A16CAFD</v>
      </c>
      <c r="D407" s="21" t="str">
        <f>IFERROR(__xludf.DUMMYFUNCTION("""COMPUTED_VALUE"""),"DIGITEC TECNOLOGIA DIGITAL E REPRES")</f>
        <v>DIGITEC TECNOLOGIA DIGITAL E REPRES</v>
      </c>
      <c r="E407" s="21">
        <f>IFERROR(__xludf.DUMMYFUNCTION("""COMPUTED_VALUE"""),145359.0)</f>
        <v>145359</v>
      </c>
      <c r="F407" s="21" t="str">
        <f>IFERROR(__xludf.DUMMYFUNCTION("""COMPUTED_VALUE"""),"INICIALIZADO")</f>
        <v>INICIALIZADO</v>
      </c>
      <c r="G407" s="23">
        <f>IFERROR(__xludf.DUMMYFUNCTION("""COMPUTED_VALUE"""),45615.61858796296)</f>
        <v>45615.61859</v>
      </c>
      <c r="H407" s="24" t="str">
        <f>IFERROR(VLOOKUP(B407,material!A:D,3,0),"")</f>
        <v>DUAL</v>
      </c>
    </row>
    <row r="408" ht="11.25" customHeight="1">
      <c r="A408" s="21" t="str">
        <f>IFERROR(__xludf.DUMMYFUNCTION("""COMPUTED_VALUE"""),"DECODER DIGITAL HD HNB100 2T")</f>
        <v>DECODER DIGITAL HD HNB100 2T</v>
      </c>
      <c r="B408" s="22">
        <f>IFERROR(__xludf.DUMMYFUNCTION("""COMPUTED_VALUE"""),4.1001276E7)</f>
        <v>41001276</v>
      </c>
      <c r="C408" s="21" t="str">
        <f>IFERROR(__xludf.DUMMYFUNCTION("""COMPUTED_VALUE"""),"216618869801")</f>
        <v>216618869801</v>
      </c>
      <c r="D408" s="21" t="str">
        <f>IFERROR(__xludf.DUMMYFUNCTION("""COMPUTED_VALUE"""),"DIGITEC TECNOLOGIA DIGITAL E REPRES")</f>
        <v>DIGITEC TECNOLOGIA DIGITAL E REPRES</v>
      </c>
      <c r="E408" s="21">
        <f>IFERROR(__xludf.DUMMYFUNCTION("""COMPUTED_VALUE"""),145359.0)</f>
        <v>145359</v>
      </c>
      <c r="F408" s="21" t="str">
        <f>IFERROR(__xludf.DUMMYFUNCTION("""COMPUTED_VALUE"""),"INICIALIZADO")</f>
        <v>INICIALIZADO</v>
      </c>
      <c r="G408" s="23">
        <f>IFERROR(__xludf.DUMMYFUNCTION("""COMPUTED_VALUE"""),45635.535057870366)</f>
        <v>45635.53506</v>
      </c>
      <c r="H408" s="24" t="str">
        <f>IFERROR(VLOOKUP(B408,material!A:D,3,0),"")</f>
        <v>TOP MIX</v>
      </c>
    </row>
    <row r="409" ht="11.25" customHeight="1">
      <c r="A409" s="21" t="str">
        <f>IFERROR(__xludf.DUMMYFUNCTION("""COMPUTED_VALUE"""),"DECODER DIGITAL HD HNB100 2T")</f>
        <v>DECODER DIGITAL HD HNB100 2T</v>
      </c>
      <c r="B409" s="22">
        <f>IFERROR(__xludf.DUMMYFUNCTION("""COMPUTED_VALUE"""),4.1001276E7)</f>
        <v>41001276</v>
      </c>
      <c r="C409" s="21" t="str">
        <f>IFERROR(__xludf.DUMMYFUNCTION("""COMPUTED_VALUE"""),"216739381013")</f>
        <v>216739381013</v>
      </c>
      <c r="D409" s="21" t="str">
        <f>IFERROR(__xludf.DUMMYFUNCTION("""COMPUTED_VALUE"""),"DIGITEC TECNOLOGIA DIGITAL E REPRES")</f>
        <v>DIGITEC TECNOLOGIA DIGITAL E REPRES</v>
      </c>
      <c r="E409" s="21">
        <f>IFERROR(__xludf.DUMMYFUNCTION("""COMPUTED_VALUE"""),145359.0)</f>
        <v>145359</v>
      </c>
      <c r="F409" s="21" t="str">
        <f>IFERROR(__xludf.DUMMYFUNCTION("""COMPUTED_VALUE"""),"INICIALIZADO")</f>
        <v>INICIALIZADO</v>
      </c>
      <c r="G409" s="23">
        <f>IFERROR(__xludf.DUMMYFUNCTION("""COMPUTED_VALUE"""),45635.535)</f>
        <v>45635.535</v>
      </c>
      <c r="H409" s="24" t="str">
        <f>IFERROR(VLOOKUP(B409,material!A:D,3,0),"")</f>
        <v>TOP MIX</v>
      </c>
    </row>
    <row r="410" ht="11.25" customHeight="1">
      <c r="A410" s="21" t="str">
        <f>IFERROR(__xludf.DUMMYFUNCTION("""COMPUTED_VALUE"""),"DECODER DIGITAL HD HNB100 2T")</f>
        <v>DECODER DIGITAL HD HNB100 2T</v>
      </c>
      <c r="B410" s="22">
        <f>IFERROR(__xludf.DUMMYFUNCTION("""COMPUTED_VALUE"""),4.1001276E7)</f>
        <v>41001276</v>
      </c>
      <c r="C410" s="21" t="str">
        <f>IFERROR(__xludf.DUMMYFUNCTION("""COMPUTED_VALUE"""),"216739438997")</f>
        <v>216739438997</v>
      </c>
      <c r="D410" s="21" t="str">
        <f>IFERROR(__xludf.DUMMYFUNCTION("""COMPUTED_VALUE"""),"DIGITEC TECNOLOGIA DIGITAL E REPRES")</f>
        <v>DIGITEC TECNOLOGIA DIGITAL E REPRES</v>
      </c>
      <c r="E410" s="21">
        <f>IFERROR(__xludf.DUMMYFUNCTION("""COMPUTED_VALUE"""),145359.0)</f>
        <v>145359</v>
      </c>
      <c r="F410" s="21" t="str">
        <f>IFERROR(__xludf.DUMMYFUNCTION("""COMPUTED_VALUE"""),"INICIALIZADO")</f>
        <v>INICIALIZADO</v>
      </c>
      <c r="G410" s="23">
        <f>IFERROR(__xludf.DUMMYFUNCTION("""COMPUTED_VALUE"""),45635.535)</f>
        <v>45635.535</v>
      </c>
      <c r="H410" s="24" t="str">
        <f>IFERROR(VLOOKUP(B410,material!A:D,3,0),"")</f>
        <v>TOP MIX</v>
      </c>
    </row>
    <row r="411" ht="11.25" customHeight="1">
      <c r="A411" s="21" t="str">
        <f>IFERROR(__xludf.DUMMYFUNCTION("""COMPUTED_VALUE"""),"DECODER DIGITAL HD HNB100 2T")</f>
        <v>DECODER DIGITAL HD HNB100 2T</v>
      </c>
      <c r="B411" s="22">
        <f>IFERROR(__xludf.DUMMYFUNCTION("""COMPUTED_VALUE"""),4.1001276E7)</f>
        <v>41001276</v>
      </c>
      <c r="C411" s="21" t="str">
        <f>IFERROR(__xludf.DUMMYFUNCTION("""COMPUTED_VALUE"""),"216802151213")</f>
        <v>216802151213</v>
      </c>
      <c r="D411" s="21" t="str">
        <f>IFERROR(__xludf.DUMMYFUNCTION("""COMPUTED_VALUE"""),"DIGITEC TECNOLOGIA DIGITAL E REPRES")</f>
        <v>DIGITEC TECNOLOGIA DIGITAL E REPRES</v>
      </c>
      <c r="E411" s="21">
        <f>IFERROR(__xludf.DUMMYFUNCTION("""COMPUTED_VALUE"""),145359.0)</f>
        <v>145359</v>
      </c>
      <c r="F411" s="21" t="str">
        <f>IFERROR(__xludf.DUMMYFUNCTION("""COMPUTED_VALUE"""),"INICIALIZADO")</f>
        <v>INICIALIZADO</v>
      </c>
      <c r="G411" s="23">
        <f>IFERROR(__xludf.DUMMYFUNCTION("""COMPUTED_VALUE"""),45635.53501157407)</f>
        <v>45635.53501</v>
      </c>
      <c r="H411" s="24" t="str">
        <f>IFERROR(VLOOKUP(B411,material!A:D,3,0),"")</f>
        <v>TOP MIX</v>
      </c>
    </row>
    <row r="412" ht="11.25" customHeight="1">
      <c r="A412" s="21" t="str">
        <f>IFERROR(__xludf.DUMMYFUNCTION("""COMPUTED_VALUE"""),"DECODER DIGITAL HD HNB100 2T")</f>
        <v>DECODER DIGITAL HD HNB100 2T</v>
      </c>
      <c r="B412" s="22">
        <f>IFERROR(__xludf.DUMMYFUNCTION("""COMPUTED_VALUE"""),4.1001276E7)</f>
        <v>41001276</v>
      </c>
      <c r="C412" s="21" t="str">
        <f>IFERROR(__xludf.DUMMYFUNCTION("""COMPUTED_VALUE"""),"216548524855")</f>
        <v>216548524855</v>
      </c>
      <c r="D412" s="21" t="str">
        <f>IFERROR(__xludf.DUMMYFUNCTION("""COMPUTED_VALUE"""),"DIGITEC TECNOLOGIA DIGITAL E REPRES")</f>
        <v>DIGITEC TECNOLOGIA DIGITAL E REPRES</v>
      </c>
      <c r="E412" s="21">
        <f>IFERROR(__xludf.DUMMYFUNCTION("""COMPUTED_VALUE"""),145359.0)</f>
        <v>145359</v>
      </c>
      <c r="F412" s="21" t="str">
        <f>IFERROR(__xludf.DUMMYFUNCTION("""COMPUTED_VALUE"""),"INICIALIZADO")</f>
        <v>INICIALIZADO</v>
      </c>
      <c r="G412" s="23">
        <f>IFERROR(__xludf.DUMMYFUNCTION("""COMPUTED_VALUE"""),45642.524143518516)</f>
        <v>45642.52414</v>
      </c>
      <c r="H412" s="24" t="str">
        <f>IFERROR(VLOOKUP(B412,material!A:D,3,0),"")</f>
        <v>TOP MIX</v>
      </c>
    </row>
    <row r="413" ht="11.25" customHeight="1">
      <c r="A413" s="21" t="str">
        <f>IFERROR(__xludf.DUMMYFUNCTION("""COMPUTED_VALUE"""),"DECODER DIGITAL HD HNB100 2T")</f>
        <v>DECODER DIGITAL HD HNB100 2T</v>
      </c>
      <c r="B413" s="22">
        <f>IFERROR(__xludf.DUMMYFUNCTION("""COMPUTED_VALUE"""),4.1001276E7)</f>
        <v>41001276</v>
      </c>
      <c r="C413" s="21" t="str">
        <f>IFERROR(__xludf.DUMMYFUNCTION("""COMPUTED_VALUE"""),"216394733146")</f>
        <v>216394733146</v>
      </c>
      <c r="D413" s="21" t="str">
        <f>IFERROR(__xludf.DUMMYFUNCTION("""COMPUTED_VALUE"""),"DIGITEC TECNOLOGIA DIGITAL E REPRES")</f>
        <v>DIGITEC TECNOLOGIA DIGITAL E REPRES</v>
      </c>
      <c r="E413" s="21">
        <f>IFERROR(__xludf.DUMMYFUNCTION("""COMPUTED_VALUE"""),145359.0)</f>
        <v>145359</v>
      </c>
      <c r="F413" s="21" t="str">
        <f>IFERROR(__xludf.DUMMYFUNCTION("""COMPUTED_VALUE"""),"INICIALIZADO")</f>
        <v>INICIALIZADO</v>
      </c>
      <c r="G413" s="23">
        <f>IFERROR(__xludf.DUMMYFUNCTION("""COMPUTED_VALUE"""),45635.535046296296)</f>
        <v>45635.53505</v>
      </c>
      <c r="H413" s="24" t="str">
        <f>IFERROR(VLOOKUP(B413,material!A:D,3,0),"")</f>
        <v>TOP MIX</v>
      </c>
    </row>
    <row r="414" ht="11.25" customHeight="1">
      <c r="A414" s="21" t="str">
        <f>IFERROR(__xludf.DUMMYFUNCTION("""COMPUTED_VALUE"""),"DECODER DIGITAL HD HNB100 2T")</f>
        <v>DECODER DIGITAL HD HNB100 2T</v>
      </c>
      <c r="B414" s="22">
        <f>IFERROR(__xludf.DUMMYFUNCTION("""COMPUTED_VALUE"""),4.1001276E7)</f>
        <v>41001276</v>
      </c>
      <c r="C414" s="21" t="str">
        <f>IFERROR(__xludf.DUMMYFUNCTION("""COMPUTED_VALUE"""),"216696110909")</f>
        <v>216696110909</v>
      </c>
      <c r="D414" s="21" t="str">
        <f>IFERROR(__xludf.DUMMYFUNCTION("""COMPUTED_VALUE"""),"DIGITEC TECNOLOGIA DIGITAL E REPRES")</f>
        <v>DIGITEC TECNOLOGIA DIGITAL E REPRES</v>
      </c>
      <c r="E414" s="21">
        <f>IFERROR(__xludf.DUMMYFUNCTION("""COMPUTED_VALUE"""),145359.0)</f>
        <v>145359</v>
      </c>
      <c r="F414" s="21" t="str">
        <f>IFERROR(__xludf.DUMMYFUNCTION("""COMPUTED_VALUE"""),"INICIALIZADO")</f>
        <v>INICIALIZADO</v>
      </c>
      <c r="G414" s="23">
        <f>IFERROR(__xludf.DUMMYFUNCTION("""COMPUTED_VALUE"""),45635.53501157407)</f>
        <v>45635.53501</v>
      </c>
      <c r="H414" s="24" t="str">
        <f>IFERROR(VLOOKUP(B414,material!A:D,3,0),"")</f>
        <v>TOP MIX</v>
      </c>
    </row>
    <row r="415" ht="11.25" customHeight="1">
      <c r="A415" s="21" t="str">
        <f>IFERROR(__xludf.DUMMYFUNCTION("""COMPUTED_VALUE"""),"DECODER DIGITAL HD HNB100 2T")</f>
        <v>DECODER DIGITAL HD HNB100 2T</v>
      </c>
      <c r="B415" s="22">
        <f>IFERROR(__xludf.DUMMYFUNCTION("""COMPUTED_VALUE"""),4.1001276E7)</f>
        <v>41001276</v>
      </c>
      <c r="C415" s="21" t="str">
        <f>IFERROR(__xludf.DUMMYFUNCTION("""COMPUTED_VALUE"""),"216392707695")</f>
        <v>216392707695</v>
      </c>
      <c r="D415" s="21" t="str">
        <f>IFERROR(__xludf.DUMMYFUNCTION("""COMPUTED_VALUE"""),"DIGITEC TECNOLOGIA DIGITAL E REPRES")</f>
        <v>DIGITEC TECNOLOGIA DIGITAL E REPRES</v>
      </c>
      <c r="E415" s="21">
        <f>IFERROR(__xludf.DUMMYFUNCTION("""COMPUTED_VALUE"""),145359.0)</f>
        <v>145359</v>
      </c>
      <c r="F415" s="21" t="str">
        <f>IFERROR(__xludf.DUMMYFUNCTION("""COMPUTED_VALUE"""),"INICIALIZADO")</f>
        <v>INICIALIZADO</v>
      </c>
      <c r="G415" s="23">
        <f>IFERROR(__xludf.DUMMYFUNCTION("""COMPUTED_VALUE"""),45635.535046296296)</f>
        <v>45635.53505</v>
      </c>
      <c r="H415" s="24" t="str">
        <f>IFERROR(VLOOKUP(B415,material!A:D,3,0),"")</f>
        <v>TOP MIX</v>
      </c>
    </row>
    <row r="416" ht="11.25" customHeight="1">
      <c r="A416" s="21" t="str">
        <f>IFERROR(__xludf.DUMMYFUNCTION("""COMPUTED_VALUE"""),"DECODER DIGITAL HD HNB100 2T")</f>
        <v>DECODER DIGITAL HD HNB100 2T</v>
      </c>
      <c r="B416" s="22">
        <f>IFERROR(__xludf.DUMMYFUNCTION("""COMPUTED_VALUE"""),4.1001276E7)</f>
        <v>41001276</v>
      </c>
      <c r="C416" s="21" t="str">
        <f>IFERROR(__xludf.DUMMYFUNCTION("""COMPUTED_VALUE"""),"216633331011")</f>
        <v>216633331011</v>
      </c>
      <c r="D416" s="21" t="str">
        <f>IFERROR(__xludf.DUMMYFUNCTION("""COMPUTED_VALUE"""),"DIGITEC TECNOLOGIA DIGITAL E REPRES")</f>
        <v>DIGITEC TECNOLOGIA DIGITAL E REPRES</v>
      </c>
      <c r="E416" s="21">
        <f>IFERROR(__xludf.DUMMYFUNCTION("""COMPUTED_VALUE"""),145359.0)</f>
        <v>145359</v>
      </c>
      <c r="F416" s="21" t="str">
        <f>IFERROR(__xludf.DUMMYFUNCTION("""COMPUTED_VALUE"""),"INICIALIZADO")</f>
        <v>INICIALIZADO</v>
      </c>
      <c r="G416" s="23">
        <f>IFERROR(__xludf.DUMMYFUNCTION("""COMPUTED_VALUE"""),45642.52412037037)</f>
        <v>45642.52412</v>
      </c>
      <c r="H416" s="24" t="str">
        <f>IFERROR(VLOOKUP(B416,material!A:D,3,0),"")</f>
        <v>TOP MIX</v>
      </c>
    </row>
    <row r="417" ht="11.25" customHeight="1">
      <c r="A417" s="21" t="str">
        <f>IFERROR(__xludf.DUMMYFUNCTION("""COMPUTED_VALUE"""),"DECODER DIGITAL HD HNB100 2T")</f>
        <v>DECODER DIGITAL HD HNB100 2T</v>
      </c>
      <c r="B417" s="22">
        <f>IFERROR(__xludf.DUMMYFUNCTION("""COMPUTED_VALUE"""),4.1001276E7)</f>
        <v>41001276</v>
      </c>
      <c r="C417" s="21" t="str">
        <f>IFERROR(__xludf.DUMMYFUNCTION("""COMPUTED_VALUE"""),"216518013449")</f>
        <v>216518013449</v>
      </c>
      <c r="D417" s="21" t="str">
        <f>IFERROR(__xludf.DUMMYFUNCTION("""COMPUTED_VALUE"""),"DIGITEC TECNOLOGIA DIGITAL E REPRES")</f>
        <v>DIGITEC TECNOLOGIA DIGITAL E REPRES</v>
      </c>
      <c r="E417" s="21">
        <f>IFERROR(__xludf.DUMMYFUNCTION("""COMPUTED_VALUE"""),145359.0)</f>
        <v>145359</v>
      </c>
      <c r="F417" s="21" t="str">
        <f>IFERROR(__xludf.DUMMYFUNCTION("""COMPUTED_VALUE"""),"INICIALIZADO")</f>
        <v>INICIALIZADO</v>
      </c>
      <c r="G417" s="23">
        <f>IFERROR(__xludf.DUMMYFUNCTION("""COMPUTED_VALUE"""),45635.53508101852)</f>
        <v>45635.53508</v>
      </c>
      <c r="H417" s="24" t="str">
        <f>IFERROR(VLOOKUP(B417,material!A:D,3,0),"")</f>
        <v>TOP MIX</v>
      </c>
    </row>
    <row r="418" ht="11.25" customHeight="1">
      <c r="A418" s="21" t="str">
        <f>IFERROR(__xludf.DUMMYFUNCTION("""COMPUTED_VALUE"""),"DECODER DIGITAL HD HNB100 2T")</f>
        <v>DECODER DIGITAL HD HNB100 2T</v>
      </c>
      <c r="B418" s="22">
        <f>IFERROR(__xludf.DUMMYFUNCTION("""COMPUTED_VALUE"""),4.1001276E7)</f>
        <v>41001276</v>
      </c>
      <c r="C418" s="21" t="str">
        <f>IFERROR(__xludf.DUMMYFUNCTION("""COMPUTED_VALUE"""),"216862827695")</f>
        <v>216862827695</v>
      </c>
      <c r="D418" s="21" t="str">
        <f>IFERROR(__xludf.DUMMYFUNCTION("""COMPUTED_VALUE"""),"DIGITEC TECNOLOGIA DIGITAL E REPRES")</f>
        <v>DIGITEC TECNOLOGIA DIGITAL E REPRES</v>
      </c>
      <c r="E418" s="21">
        <f>IFERROR(__xludf.DUMMYFUNCTION("""COMPUTED_VALUE"""),145359.0)</f>
        <v>145359</v>
      </c>
      <c r="F418" s="21" t="str">
        <f>IFERROR(__xludf.DUMMYFUNCTION("""COMPUTED_VALUE"""),"INICIALIZADO")</f>
        <v>INICIALIZADO</v>
      </c>
      <c r="G418" s="23">
        <f>IFERROR(__xludf.DUMMYFUNCTION("""COMPUTED_VALUE"""),45635.53502314815)</f>
        <v>45635.53502</v>
      </c>
      <c r="H418" s="24" t="str">
        <f>IFERROR(VLOOKUP(B418,material!A:D,3,0),"")</f>
        <v>TOP MIX</v>
      </c>
    </row>
    <row r="419" ht="11.25" customHeight="1">
      <c r="A419" s="21" t="str">
        <f>IFERROR(__xludf.DUMMYFUNCTION("""COMPUTED_VALUE"""),"DECODER DIGITAL HD HNB100 2T")</f>
        <v>DECODER DIGITAL HD HNB100 2T</v>
      </c>
      <c r="B419" s="22">
        <f>IFERROR(__xludf.DUMMYFUNCTION("""COMPUTED_VALUE"""),4.1001276E7)</f>
        <v>41001276</v>
      </c>
      <c r="C419" s="21" t="str">
        <f>IFERROR(__xludf.DUMMYFUNCTION("""COMPUTED_VALUE"""),"216863638290")</f>
        <v>216863638290</v>
      </c>
      <c r="D419" s="21" t="str">
        <f>IFERROR(__xludf.DUMMYFUNCTION("""COMPUTED_VALUE"""),"DIGITEC TECNOLOGIA DIGITAL E REPRES")</f>
        <v>DIGITEC TECNOLOGIA DIGITAL E REPRES</v>
      </c>
      <c r="E419" s="21">
        <f>IFERROR(__xludf.DUMMYFUNCTION("""COMPUTED_VALUE"""),145359.0)</f>
        <v>145359</v>
      </c>
      <c r="F419" s="21" t="str">
        <f>IFERROR(__xludf.DUMMYFUNCTION("""COMPUTED_VALUE"""),"INICIALIZADO")</f>
        <v>INICIALIZADO</v>
      </c>
      <c r="G419" s="23">
        <f>IFERROR(__xludf.DUMMYFUNCTION("""COMPUTED_VALUE"""),45635.53502314815)</f>
        <v>45635.53502</v>
      </c>
      <c r="H419" s="24" t="str">
        <f>IFERROR(VLOOKUP(B419,material!A:D,3,0),"")</f>
        <v>TOP MIX</v>
      </c>
    </row>
    <row r="420" ht="11.25" customHeight="1">
      <c r="A420" s="21" t="str">
        <f>IFERROR(__xludf.DUMMYFUNCTION("""COMPUTED_VALUE"""),"DECODER DIGITAL HD HNB100 2T")</f>
        <v>DECODER DIGITAL HD HNB100 2T</v>
      </c>
      <c r="B420" s="22">
        <f>IFERROR(__xludf.DUMMYFUNCTION("""COMPUTED_VALUE"""),4.1001276E7)</f>
        <v>41001276</v>
      </c>
      <c r="C420" s="21" t="str">
        <f>IFERROR(__xludf.DUMMYFUNCTION("""COMPUTED_VALUE"""),"216864287074")</f>
        <v>216864287074</v>
      </c>
      <c r="D420" s="21" t="str">
        <f>IFERROR(__xludf.DUMMYFUNCTION("""COMPUTED_VALUE"""),"DIGITEC TECNOLOGIA DIGITAL E REPRES")</f>
        <v>DIGITEC TECNOLOGIA DIGITAL E REPRES</v>
      </c>
      <c r="E420" s="21">
        <f>IFERROR(__xludf.DUMMYFUNCTION("""COMPUTED_VALUE"""),145359.0)</f>
        <v>145359</v>
      </c>
      <c r="F420" s="21" t="str">
        <f>IFERROR(__xludf.DUMMYFUNCTION("""COMPUTED_VALUE"""),"INICIALIZADO")</f>
        <v>INICIALIZADO</v>
      </c>
      <c r="G420" s="23">
        <f>IFERROR(__xludf.DUMMYFUNCTION("""COMPUTED_VALUE"""),45642.52412037037)</f>
        <v>45642.52412</v>
      </c>
      <c r="H420" s="24" t="str">
        <f>IFERROR(VLOOKUP(B420,material!A:D,3,0),"")</f>
        <v>TOP MIX</v>
      </c>
    </row>
    <row r="421" ht="11.25" customHeight="1">
      <c r="A421" s="21" t="str">
        <f>IFERROR(__xludf.DUMMYFUNCTION("""COMPUTED_VALUE"""),"DECODER DIGITAL HD HNB100 2T")</f>
        <v>DECODER DIGITAL HD HNB100 2T</v>
      </c>
      <c r="B421" s="22">
        <f>IFERROR(__xludf.DUMMYFUNCTION("""COMPUTED_VALUE"""),4.1001276E7)</f>
        <v>41001276</v>
      </c>
      <c r="C421" s="21" t="str">
        <f>IFERROR(__xludf.DUMMYFUNCTION("""COMPUTED_VALUE"""),"216505185171")</f>
        <v>216505185171</v>
      </c>
      <c r="D421" s="21" t="str">
        <f>IFERROR(__xludf.DUMMYFUNCTION("""COMPUTED_VALUE"""),"DIGITEC TECNOLOGIA DIGITAL E REPRES")</f>
        <v>DIGITEC TECNOLOGIA DIGITAL E REPRES</v>
      </c>
      <c r="E421" s="21">
        <f>IFERROR(__xludf.DUMMYFUNCTION("""COMPUTED_VALUE"""),145359.0)</f>
        <v>145359</v>
      </c>
      <c r="F421" s="21" t="str">
        <f>IFERROR(__xludf.DUMMYFUNCTION("""COMPUTED_VALUE"""),"INICIALIZADO")</f>
        <v>INICIALIZADO</v>
      </c>
      <c r="G421" s="23">
        <f>IFERROR(__xludf.DUMMYFUNCTION("""COMPUTED_VALUE"""),45642.524143518516)</f>
        <v>45642.52414</v>
      </c>
      <c r="H421" s="24" t="str">
        <f>IFERROR(VLOOKUP(B421,material!A:D,3,0),"")</f>
        <v>TOP MIX</v>
      </c>
    </row>
    <row r="422" ht="11.25" customHeight="1">
      <c r="A422" s="21" t="str">
        <f>IFERROR(__xludf.DUMMYFUNCTION("""COMPUTED_VALUE"""),"DECODER DIGITAL HD HNB100 2T")</f>
        <v>DECODER DIGITAL HD HNB100 2T</v>
      </c>
      <c r="B422" s="22">
        <f>IFERROR(__xludf.DUMMYFUNCTION("""COMPUTED_VALUE"""),4.1001276E7)</f>
        <v>41001276</v>
      </c>
      <c r="C422" s="21" t="str">
        <f>IFERROR(__xludf.DUMMYFUNCTION("""COMPUTED_VALUE"""),"216411082138")</f>
        <v>216411082138</v>
      </c>
      <c r="D422" s="21" t="str">
        <f>IFERROR(__xludf.DUMMYFUNCTION("""COMPUTED_VALUE"""),"DIGITEC TECNOLOGIA DIGITAL E REPRES")</f>
        <v>DIGITEC TECNOLOGIA DIGITAL E REPRES</v>
      </c>
      <c r="E422" s="21">
        <f>IFERROR(__xludf.DUMMYFUNCTION("""COMPUTED_VALUE"""),145359.0)</f>
        <v>145359</v>
      </c>
      <c r="F422" s="21" t="str">
        <f>IFERROR(__xludf.DUMMYFUNCTION("""COMPUTED_VALUE"""),"INICIALIZADO")</f>
        <v>INICIALIZADO</v>
      </c>
      <c r="G422" s="23">
        <f>IFERROR(__xludf.DUMMYFUNCTION("""COMPUTED_VALUE"""),45642.52413194445)</f>
        <v>45642.52413</v>
      </c>
      <c r="H422" s="24" t="str">
        <f>IFERROR(VLOOKUP(B422,material!A:D,3,0),"")</f>
        <v>TOP MIX</v>
      </c>
    </row>
    <row r="423" ht="11.25" customHeight="1">
      <c r="A423" s="21" t="str">
        <f>IFERROR(__xludf.DUMMYFUNCTION("""COMPUTED_VALUE"""),"DECODER DIGITAL HD HNB100 2T")</f>
        <v>DECODER DIGITAL HD HNB100 2T</v>
      </c>
      <c r="B423" s="22">
        <f>IFERROR(__xludf.DUMMYFUNCTION("""COMPUTED_VALUE"""),4.1001276E7)</f>
        <v>41001276</v>
      </c>
      <c r="C423" s="21" t="str">
        <f>IFERROR(__xludf.DUMMYFUNCTION("""COMPUTED_VALUE"""),"216753307590")</f>
        <v>216753307590</v>
      </c>
      <c r="D423" s="21" t="str">
        <f>IFERROR(__xludf.DUMMYFUNCTION("""COMPUTED_VALUE"""),"DIGITEC TECNOLOGIA DIGITAL E REPRES")</f>
        <v>DIGITEC TECNOLOGIA DIGITAL E REPRES</v>
      </c>
      <c r="E423" s="21">
        <f>IFERROR(__xludf.DUMMYFUNCTION("""COMPUTED_VALUE"""),145359.0)</f>
        <v>145359</v>
      </c>
      <c r="F423" s="21" t="str">
        <f>IFERROR(__xludf.DUMMYFUNCTION("""COMPUTED_VALUE"""),"INICIALIZADO")</f>
        <v>INICIALIZADO</v>
      </c>
      <c r="G423" s="23">
        <f>IFERROR(__xludf.DUMMYFUNCTION("""COMPUTED_VALUE"""),45642.52412037037)</f>
        <v>45642.52412</v>
      </c>
      <c r="H423" s="24" t="str">
        <f>IFERROR(VLOOKUP(B423,material!A:D,3,0),"")</f>
        <v>TOP MIX</v>
      </c>
    </row>
    <row r="424" ht="11.25" customHeight="1">
      <c r="A424" s="21" t="str">
        <f>IFERROR(__xludf.DUMMYFUNCTION("""COMPUTED_VALUE"""),"SMART CARD PRETO NAGRA")</f>
        <v>SMART CARD PRETO NAGRA</v>
      </c>
      <c r="B424" s="22">
        <f>IFERROR(__xludf.DUMMYFUNCTION("""COMPUTED_VALUE"""),4.1001234E7)</f>
        <v>41001234</v>
      </c>
      <c r="C424" s="21" t="str">
        <f>IFERROR(__xludf.DUMMYFUNCTION("""COMPUTED_VALUE"""),"246035906067")</f>
        <v>246035906067</v>
      </c>
      <c r="D424" s="21" t="str">
        <f>IFERROR(__xludf.DUMMYFUNCTION("""COMPUTED_VALUE"""),"DIGITEC TECNOLOGIA DIGITAL E REPRES")</f>
        <v>DIGITEC TECNOLOGIA DIGITAL E REPRES</v>
      </c>
      <c r="E424" s="21">
        <f>IFERROR(__xludf.DUMMYFUNCTION("""COMPUTED_VALUE"""),145359.0)</f>
        <v>145359</v>
      </c>
      <c r="F424" s="21" t="str">
        <f>IFERROR(__xludf.DUMMYFUNCTION("""COMPUTED_VALUE"""),"INICIALIZADO")</f>
        <v>INICIALIZADO</v>
      </c>
      <c r="G424" s="23">
        <f>IFERROR(__xludf.DUMMYFUNCTION("""COMPUTED_VALUE"""),45635.534907407404)</f>
        <v>45635.53491</v>
      </c>
      <c r="H424" s="24" t="str">
        <f>IFERROR(VLOOKUP(B424,material!A:D,3,0),"")</f>
        <v>CARD</v>
      </c>
    </row>
    <row r="425" ht="11.25" customHeight="1">
      <c r="A425" s="21" t="str">
        <f>IFERROR(__xludf.DUMMYFUNCTION("""COMPUTED_VALUE"""),"SMART CARD PRETO NAGRA")</f>
        <v>SMART CARD PRETO NAGRA</v>
      </c>
      <c r="B425" s="22">
        <f>IFERROR(__xludf.DUMMYFUNCTION("""COMPUTED_VALUE"""),4.1001234E7)</f>
        <v>41001234</v>
      </c>
      <c r="C425" s="21" t="str">
        <f>IFERROR(__xludf.DUMMYFUNCTION("""COMPUTED_VALUE"""),"246045495757")</f>
        <v>246045495757</v>
      </c>
      <c r="D425" s="21" t="str">
        <f>IFERROR(__xludf.DUMMYFUNCTION("""COMPUTED_VALUE"""),"DIGITEC TECNOLOGIA DIGITAL E REPRES")</f>
        <v>DIGITEC TECNOLOGIA DIGITAL E REPRES</v>
      </c>
      <c r="E425" s="21">
        <f>IFERROR(__xludf.DUMMYFUNCTION("""COMPUTED_VALUE"""),145359.0)</f>
        <v>145359</v>
      </c>
      <c r="F425" s="21" t="str">
        <f>IFERROR(__xludf.DUMMYFUNCTION("""COMPUTED_VALUE"""),"INICIALIZADO")</f>
        <v>INICIALIZADO</v>
      </c>
      <c r="G425" s="23">
        <f>IFERROR(__xludf.DUMMYFUNCTION("""COMPUTED_VALUE"""),45600.47594907407)</f>
        <v>45600.47595</v>
      </c>
      <c r="H425" s="24" t="str">
        <f>IFERROR(VLOOKUP(B425,material!A:D,3,0),"")</f>
        <v>CARD</v>
      </c>
    </row>
    <row r="426" ht="11.25" customHeight="1">
      <c r="A426" s="21" t="str">
        <f>IFERROR(__xludf.DUMMYFUNCTION("""COMPUTED_VALUE"""),"SMART CARD PRETO NAGRA")</f>
        <v>SMART CARD PRETO NAGRA</v>
      </c>
      <c r="B426" s="22">
        <f>IFERROR(__xludf.DUMMYFUNCTION("""COMPUTED_VALUE"""),4.1001234E7)</f>
        <v>41001234</v>
      </c>
      <c r="C426" s="21" t="str">
        <f>IFERROR(__xludf.DUMMYFUNCTION("""COMPUTED_VALUE"""),"246084061026")</f>
        <v>246084061026</v>
      </c>
      <c r="D426" s="21" t="str">
        <f>IFERROR(__xludf.DUMMYFUNCTION("""COMPUTED_VALUE"""),"DIGITEC TECNOLOGIA DIGITAL E REPRES")</f>
        <v>DIGITEC TECNOLOGIA DIGITAL E REPRES</v>
      </c>
      <c r="E426" s="21">
        <f>IFERROR(__xludf.DUMMYFUNCTION("""COMPUTED_VALUE"""),145359.0)</f>
        <v>145359</v>
      </c>
      <c r="F426" s="21" t="str">
        <f>IFERROR(__xludf.DUMMYFUNCTION("""COMPUTED_VALUE"""),"INICIALIZADO")</f>
        <v>INICIALIZADO</v>
      </c>
      <c r="G426" s="23">
        <f>IFERROR(__xludf.DUMMYFUNCTION("""COMPUTED_VALUE"""),45600.47596064815)</f>
        <v>45600.47596</v>
      </c>
      <c r="H426" s="24" t="str">
        <f>IFERROR(VLOOKUP(B426,material!A:D,3,0),"")</f>
        <v>CARD</v>
      </c>
    </row>
    <row r="427" ht="11.25" customHeight="1">
      <c r="A427" s="21" t="str">
        <f>IFERROR(__xludf.DUMMYFUNCTION("""COMPUTED_VALUE"""),"SMART CARD LARANJA NAGRA")</f>
        <v>SMART CARD LARANJA NAGRA</v>
      </c>
      <c r="B427" s="22">
        <f>IFERROR(__xludf.DUMMYFUNCTION("""COMPUTED_VALUE"""),4.1001186E7)</f>
        <v>41001186</v>
      </c>
      <c r="C427" s="21" t="str">
        <f>IFERROR(__xludf.DUMMYFUNCTION("""COMPUTED_VALUE"""),"226681215364")</f>
        <v>226681215364</v>
      </c>
      <c r="D427" s="21" t="str">
        <f>IFERROR(__xludf.DUMMYFUNCTION("""COMPUTED_VALUE"""),"DIGITEC TECNOLOGIA DIGITAL E REPRES")</f>
        <v>DIGITEC TECNOLOGIA DIGITAL E REPRES</v>
      </c>
      <c r="E427" s="21">
        <f>IFERROR(__xludf.DUMMYFUNCTION("""COMPUTED_VALUE"""),145359.0)</f>
        <v>145359</v>
      </c>
      <c r="F427" s="21" t="str">
        <f>IFERROR(__xludf.DUMMYFUNCTION("""COMPUTED_VALUE"""),"SUCATA")</f>
        <v>SUCATA</v>
      </c>
      <c r="G427" s="23">
        <f>IFERROR(__xludf.DUMMYFUNCTION("""COMPUTED_VALUE"""),45075.51188657407)</f>
        <v>45075.51189</v>
      </c>
      <c r="H427" s="24" t="str">
        <f>IFERROR(VLOOKUP(B427,material!A:D,3,0),"")</f>
        <v>CARD</v>
      </c>
    </row>
    <row r="428" ht="11.25" customHeight="1">
      <c r="A428" s="21" t="str">
        <f>IFERROR(__xludf.DUMMYFUNCTION("""COMPUTED_VALUE"""),"DECODER DIGITAL HD HNB100 2T")</f>
        <v>DECODER DIGITAL HD HNB100 2T</v>
      </c>
      <c r="B428" s="22">
        <f>IFERROR(__xludf.DUMMYFUNCTION("""COMPUTED_VALUE"""),4.1001276E7)</f>
        <v>41001276</v>
      </c>
      <c r="C428" s="21" t="str">
        <f>IFERROR(__xludf.DUMMYFUNCTION("""COMPUTED_VALUE"""),"216350095568")</f>
        <v>216350095568</v>
      </c>
      <c r="D428" s="21" t="str">
        <f>IFERROR(__xludf.DUMMYFUNCTION("""COMPUTED_VALUE"""),"DIGITEC TECNOLOGIA DIGITAL E REPRES")</f>
        <v>DIGITEC TECNOLOGIA DIGITAL E REPRES</v>
      </c>
      <c r="E428" s="21">
        <f>IFERROR(__xludf.DUMMYFUNCTION("""COMPUTED_VALUE"""),145359.0)</f>
        <v>145359</v>
      </c>
      <c r="F428" s="21" t="str">
        <f>IFERROR(__xludf.DUMMYFUNCTION("""COMPUTED_VALUE"""),"INICIALIZADO")</f>
        <v>INICIALIZADO</v>
      </c>
      <c r="G428" s="23">
        <f>IFERROR(__xludf.DUMMYFUNCTION("""COMPUTED_VALUE"""),45635.535057870366)</f>
        <v>45635.53506</v>
      </c>
      <c r="H428" s="24" t="str">
        <f>IFERROR(VLOOKUP(B428,material!A:D,3,0),"")</f>
        <v>TOP MIX</v>
      </c>
    </row>
    <row r="429" ht="11.25" customHeight="1">
      <c r="A429" s="21" t="str">
        <f>IFERROR(__xludf.DUMMYFUNCTION("""COMPUTED_VALUE"""),"DECODER DIGITAL HD HNB100 2T")</f>
        <v>DECODER DIGITAL HD HNB100 2T</v>
      </c>
      <c r="B429" s="22">
        <f>IFERROR(__xludf.DUMMYFUNCTION("""COMPUTED_VALUE"""),4.1001276E7)</f>
        <v>41001276</v>
      </c>
      <c r="C429" s="21" t="str">
        <f>IFERROR(__xludf.DUMMYFUNCTION("""COMPUTED_VALUE"""),"184327844049")</f>
        <v>184327844049</v>
      </c>
      <c r="D429" s="21" t="str">
        <f>IFERROR(__xludf.DUMMYFUNCTION("""COMPUTED_VALUE"""),"DIGITEC TECNOLOGIA DIGITAL E REPRES")</f>
        <v>DIGITEC TECNOLOGIA DIGITAL E REPRES</v>
      </c>
      <c r="E429" s="21">
        <f>IFERROR(__xludf.DUMMYFUNCTION("""COMPUTED_VALUE"""),145359.0)</f>
        <v>145359</v>
      </c>
      <c r="F429" s="21" t="str">
        <f>IFERROR(__xludf.DUMMYFUNCTION("""COMPUTED_VALUE"""),"INICIALIZADO")</f>
        <v>INICIALIZADO</v>
      </c>
      <c r="G429" s="23">
        <f>IFERROR(__xludf.DUMMYFUNCTION("""COMPUTED_VALUE"""),45642.52413194445)</f>
        <v>45642.52413</v>
      </c>
      <c r="H429" s="24" t="str">
        <f>IFERROR(VLOOKUP(B429,material!A:D,3,0),"")</f>
        <v>TOP MIX</v>
      </c>
    </row>
    <row r="430" ht="11.25" customHeight="1">
      <c r="A430" s="21" t="str">
        <f>IFERROR(__xludf.DUMMYFUNCTION("""COMPUTED_VALUE"""),"DECODER DIGITAL HD HNB100 2T")</f>
        <v>DECODER DIGITAL HD HNB100 2T</v>
      </c>
      <c r="B430" s="22">
        <f>IFERROR(__xludf.DUMMYFUNCTION("""COMPUTED_VALUE"""),4.1001276E7)</f>
        <v>41001276</v>
      </c>
      <c r="C430" s="21" t="str">
        <f>IFERROR(__xludf.DUMMYFUNCTION("""COMPUTED_VALUE"""),"216501070606")</f>
        <v>216501070606</v>
      </c>
      <c r="D430" s="21" t="str">
        <f>IFERROR(__xludf.DUMMYFUNCTION("""COMPUTED_VALUE"""),"DIGITEC TECNOLOGIA DIGITAL E REPRES")</f>
        <v>DIGITEC TECNOLOGIA DIGITAL E REPRES</v>
      </c>
      <c r="E430" s="21">
        <f>IFERROR(__xludf.DUMMYFUNCTION("""COMPUTED_VALUE"""),145359.0)</f>
        <v>145359</v>
      </c>
      <c r="F430" s="21" t="str">
        <f>IFERROR(__xludf.DUMMYFUNCTION("""COMPUTED_VALUE"""),"INICIALIZADO")</f>
        <v>INICIALIZADO</v>
      </c>
      <c r="G430" s="23">
        <f>IFERROR(__xludf.DUMMYFUNCTION("""COMPUTED_VALUE"""),45642.52413194445)</f>
        <v>45642.52413</v>
      </c>
      <c r="H430" s="24" t="str">
        <f>IFERROR(VLOOKUP(B430,material!A:D,3,0),"")</f>
        <v>TOP MIX</v>
      </c>
    </row>
    <row r="431" ht="11.25" customHeight="1">
      <c r="A431" s="21" t="str">
        <f>IFERROR(__xludf.DUMMYFUNCTION("""COMPUTED_VALUE"""),"SMART CARD PRETO NAGRA")</f>
        <v>SMART CARD PRETO NAGRA</v>
      </c>
      <c r="B431" s="22">
        <f>IFERROR(__xludf.DUMMYFUNCTION("""COMPUTED_VALUE"""),4.1001234E7)</f>
        <v>41001234</v>
      </c>
      <c r="C431" s="21" t="str">
        <f>IFERROR(__xludf.DUMMYFUNCTION("""COMPUTED_VALUE"""),"226180891822")</f>
        <v>226180891822</v>
      </c>
      <c r="D431" s="21" t="str">
        <f>IFERROR(__xludf.DUMMYFUNCTION("""COMPUTED_VALUE"""),"DIGITEC TECNOLOGIA DIGITAL E REPRES")</f>
        <v>DIGITEC TECNOLOGIA DIGITAL E REPRES</v>
      </c>
      <c r="E431" s="21">
        <f>IFERROR(__xludf.DUMMYFUNCTION("""COMPUTED_VALUE"""),145359.0)</f>
        <v>145359</v>
      </c>
      <c r="F431" s="21" t="str">
        <f>IFERROR(__xludf.DUMMYFUNCTION("""COMPUTED_VALUE"""),"INICIALIZADO")</f>
        <v>INICIALIZADO</v>
      </c>
      <c r="G431" s="23">
        <f>IFERROR(__xludf.DUMMYFUNCTION("""COMPUTED_VALUE"""),45618.65202546296)</f>
        <v>45618.65203</v>
      </c>
      <c r="H431" s="24" t="str">
        <f>IFERROR(VLOOKUP(B431,material!A:D,3,0),"")</f>
        <v>CARD</v>
      </c>
    </row>
    <row r="432" ht="11.25" customHeight="1">
      <c r="A432" s="21" t="str">
        <f>IFERROR(__xludf.DUMMYFUNCTION("""COMPUTED_VALUE"""),"SMART CARD LARANJA NAGRA")</f>
        <v>SMART CARD LARANJA NAGRA</v>
      </c>
      <c r="B432" s="22">
        <f>IFERROR(__xludf.DUMMYFUNCTION("""COMPUTED_VALUE"""),4.1001186E7)</f>
        <v>41001186</v>
      </c>
      <c r="C432" s="21" t="str">
        <f>IFERROR(__xludf.DUMMYFUNCTION("""COMPUTED_VALUE"""),"225919698193")</f>
        <v>225919698193</v>
      </c>
      <c r="D432" s="21" t="str">
        <f>IFERROR(__xludf.DUMMYFUNCTION("""COMPUTED_VALUE"""),"DIGITEC TECNOLOGIA DIGITAL E REPRES")</f>
        <v>DIGITEC TECNOLOGIA DIGITAL E REPRES</v>
      </c>
      <c r="E432" s="21">
        <f>IFERROR(__xludf.DUMMYFUNCTION("""COMPUTED_VALUE"""),145359.0)</f>
        <v>145359</v>
      </c>
      <c r="F432" s="21" t="str">
        <f>IFERROR(__xludf.DUMMYFUNCTION("""COMPUTED_VALUE"""),"SUCATA")</f>
        <v>SUCATA</v>
      </c>
      <c r="G432" s="23">
        <f>IFERROR(__xludf.DUMMYFUNCTION("""COMPUTED_VALUE"""),45076.50004629629)</f>
        <v>45076.50005</v>
      </c>
      <c r="H432" s="24" t="str">
        <f>IFERROR(VLOOKUP(B432,material!A:D,3,0),"")</f>
        <v>CARD</v>
      </c>
    </row>
    <row r="433" ht="11.25" customHeight="1">
      <c r="A433" s="21" t="str">
        <f>IFERROR(__xludf.DUMMYFUNCTION("""COMPUTED_VALUE"""),"SMART CARD PRETO NAGRA")</f>
        <v>SMART CARD PRETO NAGRA</v>
      </c>
      <c r="B433" s="22">
        <f>IFERROR(__xludf.DUMMYFUNCTION("""COMPUTED_VALUE"""),4.1001234E7)</f>
        <v>41001234</v>
      </c>
      <c r="C433" s="21" t="str">
        <f>IFERROR(__xludf.DUMMYFUNCTION("""COMPUTED_VALUE"""),"226078276969")</f>
        <v>226078276969</v>
      </c>
      <c r="D433" s="21" t="str">
        <f>IFERROR(__xludf.DUMMYFUNCTION("""COMPUTED_VALUE"""),"DIGITEC TECNOLOGIA DIGITAL E REPRES")</f>
        <v>DIGITEC TECNOLOGIA DIGITAL E REPRES</v>
      </c>
      <c r="E433" s="21">
        <f>IFERROR(__xludf.DUMMYFUNCTION("""COMPUTED_VALUE"""),145359.0)</f>
        <v>145359</v>
      </c>
      <c r="F433" s="21" t="str">
        <f>IFERROR(__xludf.DUMMYFUNCTION("""COMPUTED_VALUE"""),"INICIALIZADO")</f>
        <v>INICIALIZADO</v>
      </c>
      <c r="G433" s="23">
        <f>IFERROR(__xludf.DUMMYFUNCTION("""COMPUTED_VALUE"""),45635.534953703704)</f>
        <v>45635.53495</v>
      </c>
      <c r="H433" s="24" t="str">
        <f>IFERROR(VLOOKUP(B433,material!A:D,3,0),"")</f>
        <v>CARD</v>
      </c>
    </row>
    <row r="434" ht="11.25" customHeight="1">
      <c r="A434" s="21" t="str">
        <f>IFERROR(__xludf.DUMMYFUNCTION("""COMPUTED_VALUE"""),"SMART CARD PRETO NAGRA")</f>
        <v>SMART CARD PRETO NAGRA</v>
      </c>
      <c r="B434" s="22">
        <f>IFERROR(__xludf.DUMMYFUNCTION("""COMPUTED_VALUE"""),4.1001234E7)</f>
        <v>41001234</v>
      </c>
      <c r="C434" s="21" t="str">
        <f>IFERROR(__xludf.DUMMYFUNCTION("""COMPUTED_VALUE"""),"226198114142")</f>
        <v>226198114142</v>
      </c>
      <c r="D434" s="21" t="str">
        <f>IFERROR(__xludf.DUMMYFUNCTION("""COMPUTED_VALUE"""),"DIGITEC TECNOLOGIA DIGITAL E REPRES")</f>
        <v>DIGITEC TECNOLOGIA DIGITAL E REPRES</v>
      </c>
      <c r="E434" s="21">
        <f>IFERROR(__xludf.DUMMYFUNCTION("""COMPUTED_VALUE"""),145359.0)</f>
        <v>145359</v>
      </c>
      <c r="F434" s="21" t="str">
        <f>IFERROR(__xludf.DUMMYFUNCTION("""COMPUTED_VALUE"""),"INICIALIZADO")</f>
        <v>INICIALIZADO</v>
      </c>
      <c r="G434" s="23">
        <f>IFERROR(__xludf.DUMMYFUNCTION("""COMPUTED_VALUE"""),45635.53494212963)</f>
        <v>45635.53494</v>
      </c>
      <c r="H434" s="24" t="str">
        <f>IFERROR(VLOOKUP(B434,material!A:D,3,0),"")</f>
        <v>CARD</v>
      </c>
    </row>
    <row r="435" ht="11.25" customHeight="1">
      <c r="A435" s="21" t="str">
        <f>IFERROR(__xludf.DUMMYFUNCTION("""COMPUTED_VALUE"""),"SMART CARD LARANJA NAGRA")</f>
        <v>SMART CARD LARANJA NAGRA</v>
      </c>
      <c r="B435" s="22">
        <f>IFERROR(__xludf.DUMMYFUNCTION("""COMPUTED_VALUE"""),4.1001186E7)</f>
        <v>41001186</v>
      </c>
      <c r="C435" s="21" t="str">
        <f>IFERROR(__xludf.DUMMYFUNCTION("""COMPUTED_VALUE"""),"226793403137")</f>
        <v>226793403137</v>
      </c>
      <c r="D435" s="21" t="str">
        <f>IFERROR(__xludf.DUMMYFUNCTION("""COMPUTED_VALUE"""),"DIGITEC TECNOLOGIA DIGITAL E REPRES")</f>
        <v>DIGITEC TECNOLOGIA DIGITAL E REPRES</v>
      </c>
      <c r="E435" s="21">
        <f>IFERROR(__xludf.DUMMYFUNCTION("""COMPUTED_VALUE"""),145359.0)</f>
        <v>145359</v>
      </c>
      <c r="F435" s="21" t="str">
        <f>IFERROR(__xludf.DUMMYFUNCTION("""COMPUTED_VALUE"""),"INICIALIZADO")</f>
        <v>INICIALIZADO</v>
      </c>
      <c r="G435" s="23">
        <f>IFERROR(__xludf.DUMMYFUNCTION("""COMPUTED_VALUE"""),45000.35914351852)</f>
        <v>45000.35914</v>
      </c>
      <c r="H435" s="24" t="str">
        <f>IFERROR(VLOOKUP(B435,material!A:D,3,0),"")</f>
        <v>CARD</v>
      </c>
    </row>
    <row r="436" ht="11.25" customHeight="1">
      <c r="A436" s="21" t="str">
        <f>IFERROR(__xludf.DUMMYFUNCTION("""COMPUTED_VALUE"""),"SMART CARD LARANJA NAGRA")</f>
        <v>SMART CARD LARANJA NAGRA</v>
      </c>
      <c r="B436" s="22">
        <f>IFERROR(__xludf.DUMMYFUNCTION("""COMPUTED_VALUE"""),4.1001186E7)</f>
        <v>41001186</v>
      </c>
      <c r="C436" s="21" t="str">
        <f>IFERROR(__xludf.DUMMYFUNCTION("""COMPUTED_VALUE"""),"215713526282")</f>
        <v>215713526282</v>
      </c>
      <c r="D436" s="21" t="str">
        <f>IFERROR(__xludf.DUMMYFUNCTION("""COMPUTED_VALUE"""),"DIGITEC TECNOLOGIA DIGITAL E REPRES")</f>
        <v>DIGITEC TECNOLOGIA DIGITAL E REPRES</v>
      </c>
      <c r="E436" s="21">
        <f>IFERROR(__xludf.DUMMYFUNCTION("""COMPUTED_VALUE"""),145359.0)</f>
        <v>145359</v>
      </c>
      <c r="F436" s="21" t="str">
        <f>IFERROR(__xludf.DUMMYFUNCTION("""COMPUTED_VALUE"""),"INICIALIZADO")</f>
        <v>INICIALIZADO</v>
      </c>
      <c r="G436" s="23">
        <f>IFERROR(__xludf.DUMMYFUNCTION("""COMPUTED_VALUE"""),45573.66674768519)</f>
        <v>45573.66675</v>
      </c>
      <c r="H436" s="24" t="str">
        <f>IFERROR(VLOOKUP(B436,material!A:D,3,0),"")</f>
        <v>CARD</v>
      </c>
    </row>
    <row r="437" ht="11.25" customHeight="1">
      <c r="A437" s="21" t="str">
        <f>IFERROR(__xludf.DUMMYFUNCTION("""COMPUTED_VALUE"""),"SMART CARD LARANJA NAGRA")</f>
        <v>SMART CARD LARANJA NAGRA</v>
      </c>
      <c r="B437" s="22">
        <f>IFERROR(__xludf.DUMMYFUNCTION("""COMPUTED_VALUE"""),4.1001186E7)</f>
        <v>41001186</v>
      </c>
      <c r="C437" s="21" t="str">
        <f>IFERROR(__xludf.DUMMYFUNCTION("""COMPUTED_VALUE"""),"225965277894")</f>
        <v>225965277894</v>
      </c>
      <c r="D437" s="21" t="str">
        <f>IFERROR(__xludf.DUMMYFUNCTION("""COMPUTED_VALUE"""),"DIGITEC TECNOLOGIA DIGITAL E REPRES")</f>
        <v>DIGITEC TECNOLOGIA DIGITAL E REPRES</v>
      </c>
      <c r="E437" s="21">
        <f>IFERROR(__xludf.DUMMYFUNCTION("""COMPUTED_VALUE"""),145359.0)</f>
        <v>145359</v>
      </c>
      <c r="F437" s="21" t="str">
        <f>IFERROR(__xludf.DUMMYFUNCTION("""COMPUTED_VALUE"""),"PERDA")</f>
        <v>PERDA</v>
      </c>
      <c r="G437" s="23">
        <f>IFERROR(__xludf.DUMMYFUNCTION("""COMPUTED_VALUE"""),45113.486875)</f>
        <v>45113.48688</v>
      </c>
      <c r="H437" s="24" t="str">
        <f>IFERROR(VLOOKUP(B437,material!A:D,3,0),"")</f>
        <v>CARD</v>
      </c>
    </row>
    <row r="438" ht="11.25" customHeight="1">
      <c r="A438" s="21" t="str">
        <f>IFERROR(__xludf.DUMMYFUNCTION("""COMPUTED_VALUE"""),"DECODER HD DCI738 2T")</f>
        <v>DECODER HD DCI738 2T</v>
      </c>
      <c r="B438" s="22">
        <f>IFERROR(__xludf.DUMMYFUNCTION("""COMPUTED_VALUE"""),4.1001275E7)</f>
        <v>41001275</v>
      </c>
      <c r="C438" s="21" t="str">
        <f>IFERROR(__xludf.DUMMYFUNCTION("""COMPUTED_VALUE"""),"216415791823")</f>
        <v>216415791823</v>
      </c>
      <c r="D438" s="21" t="str">
        <f>IFERROR(__xludf.DUMMYFUNCTION("""COMPUTED_VALUE"""),"DIGITEC TECNOLOGIA DIGITAL E REPRES")</f>
        <v>DIGITEC TECNOLOGIA DIGITAL E REPRES</v>
      </c>
      <c r="E438" s="21">
        <f>IFERROR(__xludf.DUMMYFUNCTION("""COMPUTED_VALUE"""),145359.0)</f>
        <v>145359</v>
      </c>
      <c r="F438" s="21" t="str">
        <f>IFERROR(__xludf.DUMMYFUNCTION("""COMPUTED_VALUE"""),"TRANSITO REVERSA")</f>
        <v>TRANSITO REVERSA</v>
      </c>
      <c r="G438" s="23">
        <f>IFERROR(__xludf.DUMMYFUNCTION("""COMPUTED_VALUE"""),45633.00341435186)</f>
        <v>45633.00341</v>
      </c>
      <c r="H438" s="24" t="str">
        <f>IFERROR(VLOOKUP(B438,material!A:D,3,0),"")</f>
        <v>TOP MIX</v>
      </c>
    </row>
    <row r="439" ht="11.25" customHeight="1">
      <c r="A439" s="21" t="str">
        <f>IFERROR(__xludf.DUMMYFUNCTION("""COMPUTED_VALUE"""),"SMART CARD PRETO NAGRA")</f>
        <v>SMART CARD PRETO NAGRA</v>
      </c>
      <c r="B439" s="22">
        <f>IFERROR(__xludf.DUMMYFUNCTION("""COMPUTED_VALUE"""),4.1001234E7)</f>
        <v>41001234</v>
      </c>
      <c r="C439" s="21" t="str">
        <f>IFERROR(__xludf.DUMMYFUNCTION("""COMPUTED_VALUE"""),"226167424256")</f>
        <v>226167424256</v>
      </c>
      <c r="D439" s="21" t="str">
        <f>IFERROR(__xludf.DUMMYFUNCTION("""COMPUTED_VALUE"""),"DIGITEC TECNOLOGIA DIGITAL E REPRES")</f>
        <v>DIGITEC TECNOLOGIA DIGITAL E REPRES</v>
      </c>
      <c r="E439" s="21">
        <f>IFERROR(__xludf.DUMMYFUNCTION("""COMPUTED_VALUE"""),145359.0)</f>
        <v>145359</v>
      </c>
      <c r="F439" s="21" t="str">
        <f>IFERROR(__xludf.DUMMYFUNCTION("""COMPUTED_VALUE"""),"INICIALIZADO")</f>
        <v>INICIALIZADO</v>
      </c>
      <c r="G439" s="23">
        <f>IFERROR(__xludf.DUMMYFUNCTION("""COMPUTED_VALUE"""),45600.47596064815)</f>
        <v>45600.47596</v>
      </c>
      <c r="H439" s="24" t="str">
        <f>IFERROR(VLOOKUP(B439,material!A:D,3,0),"")</f>
        <v>CARD</v>
      </c>
    </row>
    <row r="440" ht="11.25" customHeight="1">
      <c r="A440" s="21" t="str">
        <f>IFERROR(__xludf.DUMMYFUNCTION("""COMPUTED_VALUE"""),"SMART CARD PRETO NAGRA")</f>
        <v>SMART CARD PRETO NAGRA</v>
      </c>
      <c r="B440" s="22">
        <f>IFERROR(__xludf.DUMMYFUNCTION("""COMPUTED_VALUE"""),4.1001234E7)</f>
        <v>41001234</v>
      </c>
      <c r="C440" s="21" t="str">
        <f>IFERROR(__xludf.DUMMYFUNCTION("""COMPUTED_VALUE"""),"246033541011")</f>
        <v>246033541011</v>
      </c>
      <c r="D440" s="21" t="str">
        <f>IFERROR(__xludf.DUMMYFUNCTION("""COMPUTED_VALUE"""),"DIGITEC TECNOLOGIA DIGITAL E REPRES")</f>
        <v>DIGITEC TECNOLOGIA DIGITAL E REPRES</v>
      </c>
      <c r="E440" s="21">
        <f>IFERROR(__xludf.DUMMYFUNCTION("""COMPUTED_VALUE"""),145359.0)</f>
        <v>145359</v>
      </c>
      <c r="F440" s="21" t="str">
        <f>IFERROR(__xludf.DUMMYFUNCTION("""COMPUTED_VALUE"""),"INICIALIZADO")</f>
        <v>INICIALIZADO</v>
      </c>
      <c r="G440" s="23">
        <f>IFERROR(__xludf.DUMMYFUNCTION("""COMPUTED_VALUE"""),45635.534907407404)</f>
        <v>45635.53491</v>
      </c>
      <c r="H440" s="24" t="str">
        <f>IFERROR(VLOOKUP(B440,material!A:D,3,0),"")</f>
        <v>CARD</v>
      </c>
    </row>
    <row r="441" ht="11.25" customHeight="1">
      <c r="A441" s="21" t="str">
        <f>IFERROR(__xludf.DUMMYFUNCTION("""COMPUTED_VALUE"""),"SMART CARD PRETO NAGRA")</f>
        <v>SMART CARD PRETO NAGRA</v>
      </c>
      <c r="B441" s="22">
        <f>IFERROR(__xludf.DUMMYFUNCTION("""COMPUTED_VALUE"""),4.1001234E7)</f>
        <v>41001234</v>
      </c>
      <c r="C441" s="21" t="str">
        <f>IFERROR(__xludf.DUMMYFUNCTION("""COMPUTED_VALUE"""),"246134977071")</f>
        <v>246134977071</v>
      </c>
      <c r="D441" s="21" t="str">
        <f>IFERROR(__xludf.DUMMYFUNCTION("""COMPUTED_VALUE"""),"DIGITEC TECNOLOGIA DIGITAL E REPRES")</f>
        <v>DIGITEC TECNOLOGIA DIGITAL E REPRES</v>
      </c>
      <c r="E441" s="21">
        <f>IFERROR(__xludf.DUMMYFUNCTION("""COMPUTED_VALUE"""),145359.0)</f>
        <v>145359</v>
      </c>
      <c r="F441" s="21" t="str">
        <f>IFERROR(__xludf.DUMMYFUNCTION("""COMPUTED_VALUE"""),"INICIALIZADO")</f>
        <v>INICIALIZADO</v>
      </c>
      <c r="G441" s="23">
        <f>IFERROR(__xludf.DUMMYFUNCTION("""COMPUTED_VALUE"""),45635.534895833334)</f>
        <v>45635.5349</v>
      </c>
      <c r="H441" s="24" t="str">
        <f>IFERROR(VLOOKUP(B441,material!A:D,3,0),"")</f>
        <v>CARD</v>
      </c>
    </row>
    <row r="442" ht="11.25" customHeight="1">
      <c r="A442" s="21" t="str">
        <f>IFERROR(__xludf.DUMMYFUNCTION("""COMPUTED_VALUE"""),"SMART CARD PRETO NAGRA")</f>
        <v>SMART CARD PRETO NAGRA</v>
      </c>
      <c r="B442" s="22">
        <f>IFERROR(__xludf.DUMMYFUNCTION("""COMPUTED_VALUE"""),4.1001234E7)</f>
        <v>41001234</v>
      </c>
      <c r="C442" s="21" t="str">
        <f>IFERROR(__xludf.DUMMYFUNCTION("""COMPUTED_VALUE"""),"246158801227")</f>
        <v>246158801227</v>
      </c>
      <c r="D442" s="21" t="str">
        <f>IFERROR(__xludf.DUMMYFUNCTION("""COMPUTED_VALUE"""),"DIGITEC TECNOLOGIA DIGITAL E REPRES")</f>
        <v>DIGITEC TECNOLOGIA DIGITAL E REPRES</v>
      </c>
      <c r="E442" s="21">
        <f>IFERROR(__xludf.DUMMYFUNCTION("""COMPUTED_VALUE"""),145359.0)</f>
        <v>145359</v>
      </c>
      <c r="F442" s="21" t="str">
        <f>IFERROR(__xludf.DUMMYFUNCTION("""COMPUTED_VALUE"""),"INICIALIZADO")</f>
        <v>INICIALIZADO</v>
      </c>
      <c r="G442" s="23">
        <f>IFERROR(__xludf.DUMMYFUNCTION("""COMPUTED_VALUE"""),45642.524097222224)</f>
        <v>45642.5241</v>
      </c>
      <c r="H442" s="24" t="str">
        <f>IFERROR(VLOOKUP(B442,material!A:D,3,0),"")</f>
        <v>CARD</v>
      </c>
    </row>
    <row r="443" ht="11.25" customHeight="1">
      <c r="A443" s="21" t="str">
        <f>IFERROR(__xludf.DUMMYFUNCTION("""COMPUTED_VALUE"""),"SMART CARD PRETO NAGRA")</f>
        <v>SMART CARD PRETO NAGRA</v>
      </c>
      <c r="B443" s="22">
        <f>IFERROR(__xludf.DUMMYFUNCTION("""COMPUTED_VALUE"""),4.1001234E7)</f>
        <v>41001234</v>
      </c>
      <c r="C443" s="21" t="str">
        <f>IFERROR(__xludf.DUMMYFUNCTION("""COMPUTED_VALUE"""),"226031055773")</f>
        <v>226031055773</v>
      </c>
      <c r="D443" s="21" t="str">
        <f>IFERROR(__xludf.DUMMYFUNCTION("""COMPUTED_VALUE"""),"DIGITEC TECNOLOGIA DIGITAL E REPRES")</f>
        <v>DIGITEC TECNOLOGIA DIGITAL E REPRES</v>
      </c>
      <c r="E443" s="21">
        <f>IFERROR(__xludf.DUMMYFUNCTION("""COMPUTED_VALUE"""),145359.0)</f>
        <v>145359</v>
      </c>
      <c r="F443" s="21" t="str">
        <f>IFERROR(__xludf.DUMMYFUNCTION("""COMPUTED_VALUE"""),"INICIALIZADO")</f>
        <v>INICIALIZADO</v>
      </c>
      <c r="G443" s="23">
        <f>IFERROR(__xludf.DUMMYFUNCTION("""COMPUTED_VALUE"""),45642.52410879629)</f>
        <v>45642.52411</v>
      </c>
      <c r="H443" s="24" t="str">
        <f>IFERROR(VLOOKUP(B443,material!A:D,3,0),"")</f>
        <v>CARD</v>
      </c>
    </row>
    <row r="444" ht="11.25" customHeight="1">
      <c r="A444" s="21" t="str">
        <f>IFERROR(__xludf.DUMMYFUNCTION("""COMPUTED_VALUE"""),"SMART CARD PRETO NAGRA")</f>
        <v>SMART CARD PRETO NAGRA</v>
      </c>
      <c r="B444" s="22">
        <f>IFERROR(__xludf.DUMMYFUNCTION("""COMPUTED_VALUE"""),4.1001234E7)</f>
        <v>41001234</v>
      </c>
      <c r="C444" s="21" t="str">
        <f>IFERROR(__xludf.DUMMYFUNCTION("""COMPUTED_VALUE"""),"246268450918")</f>
        <v>246268450918</v>
      </c>
      <c r="D444" s="21" t="str">
        <f>IFERROR(__xludf.DUMMYFUNCTION("""COMPUTED_VALUE"""),"DIGITEC TECNOLOGIA DIGITAL E REPRES")</f>
        <v>DIGITEC TECNOLOGIA DIGITAL E REPRES</v>
      </c>
      <c r="E444" s="21">
        <f>IFERROR(__xludf.DUMMYFUNCTION("""COMPUTED_VALUE"""),145359.0)</f>
        <v>145359</v>
      </c>
      <c r="F444" s="21" t="str">
        <f>IFERROR(__xludf.DUMMYFUNCTION("""COMPUTED_VALUE"""),"INICIALIZADO")</f>
        <v>INICIALIZADO</v>
      </c>
      <c r="G444" s="23">
        <f>IFERROR(__xludf.DUMMYFUNCTION("""COMPUTED_VALUE"""),45635.53491898148)</f>
        <v>45635.53492</v>
      </c>
      <c r="H444" s="24" t="str">
        <f>IFERROR(VLOOKUP(B444,material!A:D,3,0),"")</f>
        <v>CARD</v>
      </c>
    </row>
    <row r="445" ht="11.25" customHeight="1">
      <c r="A445" s="21" t="str">
        <f>IFERROR(__xludf.DUMMYFUNCTION("""COMPUTED_VALUE"""),"SMART CARD PRETO NAGRA")</f>
        <v>SMART CARD PRETO NAGRA</v>
      </c>
      <c r="B445" s="22">
        <f>IFERROR(__xludf.DUMMYFUNCTION("""COMPUTED_VALUE"""),4.1001234E7)</f>
        <v>41001234</v>
      </c>
      <c r="C445" s="21" t="str">
        <f>IFERROR(__xludf.DUMMYFUNCTION("""COMPUTED_VALUE"""),"246281523742")</f>
        <v>246281523742</v>
      </c>
      <c r="D445" s="21" t="str">
        <f>IFERROR(__xludf.DUMMYFUNCTION("""COMPUTED_VALUE"""),"DIGITEC TECNOLOGIA DIGITAL E REPRES")</f>
        <v>DIGITEC TECNOLOGIA DIGITAL E REPRES</v>
      </c>
      <c r="E445" s="21">
        <f>IFERROR(__xludf.DUMMYFUNCTION("""COMPUTED_VALUE"""),145359.0)</f>
        <v>145359</v>
      </c>
      <c r="F445" s="21" t="str">
        <f>IFERROR(__xludf.DUMMYFUNCTION("""COMPUTED_VALUE"""),"INICIALIZADO")</f>
        <v>INICIALIZADO</v>
      </c>
      <c r="G445" s="23">
        <f>IFERROR(__xludf.DUMMYFUNCTION("""COMPUTED_VALUE"""),45635.53491898148)</f>
        <v>45635.53492</v>
      </c>
      <c r="H445" s="24" t="str">
        <f>IFERROR(VLOOKUP(B445,material!A:D,3,0),"")</f>
        <v>CARD</v>
      </c>
    </row>
    <row r="446" ht="11.25" customHeight="1">
      <c r="A446" s="21" t="str">
        <f>IFERROR(__xludf.DUMMYFUNCTION("""COMPUTED_VALUE"""),"DECODER DIGITAL HD HNB100 2T")</f>
        <v>DECODER DIGITAL HD HNB100 2T</v>
      </c>
      <c r="B446" s="22">
        <f>IFERROR(__xludf.DUMMYFUNCTION("""COMPUTED_VALUE"""),4.1001276E7)</f>
        <v>41001276</v>
      </c>
      <c r="C446" s="21" t="str">
        <f>IFERROR(__xludf.DUMMYFUNCTION("""COMPUTED_VALUE"""),"216550391525")</f>
        <v>216550391525</v>
      </c>
      <c r="D446" s="21" t="str">
        <f>IFERROR(__xludf.DUMMYFUNCTION("""COMPUTED_VALUE"""),"DIGITEC TECNOLOGIA DIGITAL E REPRES")</f>
        <v>DIGITEC TECNOLOGIA DIGITAL E REPRES</v>
      </c>
      <c r="E446" s="21">
        <f>IFERROR(__xludf.DUMMYFUNCTION("""COMPUTED_VALUE"""),145359.0)</f>
        <v>145359</v>
      </c>
      <c r="F446" s="21" t="str">
        <f>IFERROR(__xludf.DUMMYFUNCTION("""COMPUTED_VALUE"""),"INICIALIZADO")</f>
        <v>INICIALIZADO</v>
      </c>
      <c r="G446" s="23">
        <f>IFERROR(__xludf.DUMMYFUNCTION("""COMPUTED_VALUE"""),45642.524143518516)</f>
        <v>45642.52414</v>
      </c>
      <c r="H446" s="24" t="str">
        <f>IFERROR(VLOOKUP(B446,material!A:D,3,0),"")</f>
        <v>TOP MIX</v>
      </c>
    </row>
    <row r="447" ht="11.25" customHeight="1">
      <c r="A447" s="21" t="str">
        <f>IFERROR(__xludf.DUMMYFUNCTION("""COMPUTED_VALUE"""),"DECODER DIGITAL HD HNB100 2T")</f>
        <v>DECODER DIGITAL HD HNB100 2T</v>
      </c>
      <c r="B447" s="22">
        <f>IFERROR(__xludf.DUMMYFUNCTION("""COMPUTED_VALUE"""),4.1001276E7)</f>
        <v>41001276</v>
      </c>
      <c r="C447" s="21" t="str">
        <f>IFERROR(__xludf.DUMMYFUNCTION("""COMPUTED_VALUE"""),"216513128695")</f>
        <v>216513128695</v>
      </c>
      <c r="D447" s="21" t="str">
        <f>IFERROR(__xludf.DUMMYFUNCTION("""COMPUTED_VALUE"""),"DIGITEC TECNOLOGIA DIGITAL E REPRES")</f>
        <v>DIGITEC TECNOLOGIA DIGITAL E REPRES</v>
      </c>
      <c r="E447" s="21">
        <f>IFERROR(__xludf.DUMMYFUNCTION("""COMPUTED_VALUE"""),145359.0)</f>
        <v>145359</v>
      </c>
      <c r="F447" s="21" t="str">
        <f>IFERROR(__xludf.DUMMYFUNCTION("""COMPUTED_VALUE"""),"INICIALIZADO")</f>
        <v>INICIALIZADO</v>
      </c>
      <c r="G447" s="23">
        <f>IFERROR(__xludf.DUMMYFUNCTION("""COMPUTED_VALUE"""),45642.524143518516)</f>
        <v>45642.52414</v>
      </c>
      <c r="H447" s="24" t="str">
        <f>IFERROR(VLOOKUP(B447,material!A:D,3,0),"")</f>
        <v>TOP MIX</v>
      </c>
    </row>
    <row r="448" ht="11.25" customHeight="1">
      <c r="A448" s="21" t="str">
        <f>IFERROR(__xludf.DUMMYFUNCTION("""COMPUTED_VALUE"""),"SMART CARD AVULSO MINI")</f>
        <v>SMART CARD AVULSO MINI</v>
      </c>
      <c r="B448" s="22">
        <f>IFERROR(__xludf.DUMMYFUNCTION("""COMPUTED_VALUE"""),4.1001508E7)</f>
        <v>41001508</v>
      </c>
      <c r="C448" s="21" t="str">
        <f>IFERROR(__xludf.DUMMYFUNCTION("""COMPUTED_VALUE"""),"226194544153")</f>
        <v>226194544153</v>
      </c>
      <c r="D448" s="21" t="str">
        <f>IFERROR(__xludf.DUMMYFUNCTION("""COMPUTED_VALUE"""),"DIGITEC TECNOLOGIA DIGITAL E REPRES")</f>
        <v>DIGITEC TECNOLOGIA DIGITAL E REPRES</v>
      </c>
      <c r="E448" s="21">
        <f>IFERROR(__xludf.DUMMYFUNCTION("""COMPUTED_VALUE"""),145359.0)</f>
        <v>145359</v>
      </c>
      <c r="F448" s="21" t="str">
        <f>IFERROR(__xludf.DUMMYFUNCTION("""COMPUTED_VALUE"""),"TRANSITO REVERSA")</f>
        <v>TRANSITO REVERSA</v>
      </c>
      <c r="G448" s="23">
        <f>IFERROR(__xludf.DUMMYFUNCTION("""COMPUTED_VALUE"""),45626.298692129625)</f>
        <v>45626.29869</v>
      </c>
      <c r="H448" s="24" t="str">
        <f>IFERROR(VLOOKUP(B448,material!A:D,3,0),"")</f>
        <v>SIM CARD</v>
      </c>
    </row>
    <row r="449" ht="11.25" customHeight="1">
      <c r="A449" s="21" t="str">
        <f>IFERROR(__xludf.DUMMYFUNCTION("""COMPUTED_VALUE"""),"EMTA WIFI 3.0 HGA12R-02 16X4")</f>
        <v>EMTA WIFI 3.0 HGA12R-02 16X4</v>
      </c>
      <c r="B449" s="22">
        <f>IFERROR(__xludf.DUMMYFUNCTION("""COMPUTED_VALUE"""),4.1001356E7)</f>
        <v>41001356</v>
      </c>
      <c r="C449" s="21" t="str">
        <f>IFERROR(__xludf.DUMMYFUNCTION("""COMPUTED_VALUE"""),"942CB364211E")</f>
        <v>942CB364211E</v>
      </c>
      <c r="D449" s="21" t="str">
        <f>IFERROR(__xludf.DUMMYFUNCTION("""COMPUTED_VALUE"""),"DIGITEC TECNOLOGIA DIGITAL E REPRES")</f>
        <v>DIGITEC TECNOLOGIA DIGITAL E REPRES</v>
      </c>
      <c r="E449" s="21">
        <f>IFERROR(__xludf.DUMMYFUNCTION("""COMPUTED_VALUE"""),145359.0)</f>
        <v>145359</v>
      </c>
      <c r="F449" s="21" t="str">
        <f>IFERROR(__xludf.DUMMYFUNCTION("""COMPUTED_VALUE"""),"TRANSITO REVERSA")</f>
        <v>TRANSITO REVERSA</v>
      </c>
      <c r="G449" s="23">
        <f>IFERROR(__xludf.DUMMYFUNCTION("""COMPUTED_VALUE"""),45638.52061342592)</f>
        <v>45638.52061</v>
      </c>
      <c r="H449" s="24" t="str">
        <f>IFERROR(VLOOKUP(B449,material!A:D,3,0),"")</f>
        <v>DUAL</v>
      </c>
    </row>
    <row r="450" ht="11.25" customHeight="1">
      <c r="A450" s="21" t="str">
        <f>IFERROR(__xludf.DUMMYFUNCTION("""COMPUTED_VALUE"""),"HUMAX HGB10R-02")</f>
        <v>HUMAX HGB10R-02</v>
      </c>
      <c r="B450" s="22">
        <f>IFERROR(__xludf.DUMMYFUNCTION("""COMPUTED_VALUE"""),4.1001292E7)</f>
        <v>41001292</v>
      </c>
      <c r="C450" s="21" t="str">
        <f>IFERROR(__xludf.DUMMYFUNCTION("""COMPUTED_VALUE"""),"E820E2698C49")</f>
        <v>E820E2698C49</v>
      </c>
      <c r="D450" s="21" t="str">
        <f>IFERROR(__xludf.DUMMYFUNCTION("""COMPUTED_VALUE"""),"DIGITEC TECNOLOGIA DIGITAL E REPRES")</f>
        <v>DIGITEC TECNOLOGIA DIGITAL E REPRES</v>
      </c>
      <c r="E450" s="21">
        <f>IFERROR(__xludf.DUMMYFUNCTION("""COMPUTED_VALUE"""),145359.0)</f>
        <v>145359</v>
      </c>
      <c r="F450" s="21" t="str">
        <f>IFERROR(__xludf.DUMMYFUNCTION("""COMPUTED_VALUE"""),"TRANSITO REVERSA")</f>
        <v>TRANSITO REVERSA</v>
      </c>
      <c r="G450" s="23">
        <f>IFERROR(__xludf.DUMMYFUNCTION("""COMPUTED_VALUE"""),45638.52111111111)</f>
        <v>45638.52111</v>
      </c>
      <c r="H450" s="24" t="str">
        <f>IFERROR(VLOOKUP(B450,material!A:D,3,0),"")</f>
        <v>DUAL</v>
      </c>
    </row>
    <row r="451" ht="11.25" customHeight="1">
      <c r="A451" s="21" t="str">
        <f>IFERROR(__xludf.DUMMYFUNCTION("""COMPUTED_VALUE"""),"DECODER DIGITAL HD DXC5000 2T")</f>
        <v>DECODER DIGITAL HD DXC5000 2T</v>
      </c>
      <c r="B451" s="22">
        <f>IFERROR(__xludf.DUMMYFUNCTION("""COMPUTED_VALUE"""),4.1001277E7)</f>
        <v>41001277</v>
      </c>
      <c r="C451" s="21" t="str">
        <f>IFERROR(__xludf.DUMMYFUNCTION("""COMPUTED_VALUE"""),"216805874146")</f>
        <v>216805874146</v>
      </c>
      <c r="D451" s="21" t="str">
        <f>IFERROR(__xludf.DUMMYFUNCTION("""COMPUTED_VALUE"""),"DIGITEC TECNOLOGIA DIGITAL E REPRES")</f>
        <v>DIGITEC TECNOLOGIA DIGITAL E REPRES</v>
      </c>
      <c r="E451" s="21">
        <f>IFERROR(__xludf.DUMMYFUNCTION("""COMPUTED_VALUE"""),145359.0)</f>
        <v>145359</v>
      </c>
      <c r="F451" s="21" t="str">
        <f>IFERROR(__xludf.DUMMYFUNCTION("""COMPUTED_VALUE"""),"TRANSITO REVERSA")</f>
        <v>TRANSITO REVERSA</v>
      </c>
      <c r="G451" s="23">
        <f>IFERROR(__xludf.DUMMYFUNCTION("""COMPUTED_VALUE"""),45638.520648148144)</f>
        <v>45638.52065</v>
      </c>
      <c r="H451" s="24" t="str">
        <f>IFERROR(VLOOKUP(B451,material!A:D,3,0),"")</f>
        <v>TOP MIX</v>
      </c>
    </row>
    <row r="452" ht="11.25" customHeight="1">
      <c r="A452" s="21" t="str">
        <f>IFERROR(__xludf.DUMMYFUNCTION("""COMPUTED_VALUE"""),"SMART CARD LARANJA NAGRA")</f>
        <v>SMART CARD LARANJA NAGRA</v>
      </c>
      <c r="B452" s="22">
        <f>IFERROR(__xludf.DUMMYFUNCTION("""COMPUTED_VALUE"""),4.1001186E7)</f>
        <v>41001186</v>
      </c>
      <c r="C452" s="21" t="str">
        <f>IFERROR(__xludf.DUMMYFUNCTION("""COMPUTED_VALUE"""),"226611745060")</f>
        <v>226611745060</v>
      </c>
      <c r="D452" s="21" t="str">
        <f>IFERROR(__xludf.DUMMYFUNCTION("""COMPUTED_VALUE"""),"DIGITEC TECNOLOGIA DIGITAL E REPRES")</f>
        <v>DIGITEC TECNOLOGIA DIGITAL E REPRES</v>
      </c>
      <c r="E452" s="21">
        <f>IFERROR(__xludf.DUMMYFUNCTION("""COMPUTED_VALUE"""),145359.0)</f>
        <v>145359</v>
      </c>
      <c r="F452" s="21" t="str">
        <f>IFERROR(__xludf.DUMMYFUNCTION("""COMPUTED_VALUE"""),"SUCATA")</f>
        <v>SUCATA</v>
      </c>
      <c r="G452" s="23">
        <f>IFERROR(__xludf.DUMMYFUNCTION("""COMPUTED_VALUE"""),45075.599131944444)</f>
        <v>45075.59913</v>
      </c>
      <c r="H452" s="24" t="str">
        <f>IFERROR(VLOOKUP(B452,material!A:D,3,0),"")</f>
        <v>CARD</v>
      </c>
    </row>
    <row r="453" ht="11.25" customHeight="1">
      <c r="A453" s="21" t="str">
        <f>IFERROR(__xludf.DUMMYFUNCTION("""COMPUTED_VALUE"""),"SMART CARD AVULSO MINI")</f>
        <v>SMART CARD AVULSO MINI</v>
      </c>
      <c r="B453" s="22">
        <f>IFERROR(__xludf.DUMMYFUNCTION("""COMPUTED_VALUE"""),4.1001508E7)</f>
        <v>41001508</v>
      </c>
      <c r="C453" s="21" t="str">
        <f>IFERROR(__xludf.DUMMYFUNCTION("""COMPUTED_VALUE"""),"246142804547")</f>
        <v>246142804547</v>
      </c>
      <c r="D453" s="21" t="str">
        <f>IFERROR(__xludf.DUMMYFUNCTION("""COMPUTED_VALUE"""),"DIGITEC TECNOLOGIA DIGITAL E REPRES")</f>
        <v>DIGITEC TECNOLOGIA DIGITAL E REPRES</v>
      </c>
      <c r="E453" s="21">
        <f>IFERROR(__xludf.DUMMYFUNCTION("""COMPUTED_VALUE"""),145359.0)</f>
        <v>145359</v>
      </c>
      <c r="F453" s="21" t="str">
        <f>IFERROR(__xludf.DUMMYFUNCTION("""COMPUTED_VALUE"""),"SUSPEITO")</f>
        <v>SUSPEITO</v>
      </c>
      <c r="G453" s="23">
        <f>IFERROR(__xludf.DUMMYFUNCTION("""COMPUTED_VALUE"""),45630.68581018518)</f>
        <v>45630.68581</v>
      </c>
      <c r="H453" s="24" t="str">
        <f>IFERROR(VLOOKUP(B453,material!A:D,3,0),"")</f>
        <v>SIM CARD</v>
      </c>
    </row>
    <row r="454" ht="11.25" customHeight="1">
      <c r="A454" s="21" t="str">
        <f>IFERROR(__xludf.DUMMYFUNCTION("""COMPUTED_VALUE"""),"TECHNICOLOR TC7337NET")</f>
        <v>TECHNICOLOR TC7337NET</v>
      </c>
      <c r="B454" s="22">
        <f>IFERROR(__xludf.DUMMYFUNCTION("""COMPUTED_VALUE"""),4.1001294E7)</f>
        <v>41001294</v>
      </c>
      <c r="C454" s="21" t="str">
        <f>IFERROR(__xludf.DUMMYFUNCTION("""COMPUTED_VALUE"""),"54A65C8CB522")</f>
        <v>54A65C8CB522</v>
      </c>
      <c r="D454" s="21" t="str">
        <f>IFERROR(__xludf.DUMMYFUNCTION("""COMPUTED_VALUE"""),"DIGITEC TECNOLOGIA DIGITAL E REPRES")</f>
        <v>DIGITEC TECNOLOGIA DIGITAL E REPRES</v>
      </c>
      <c r="E454" s="21">
        <f>IFERROR(__xludf.DUMMYFUNCTION("""COMPUTED_VALUE"""),145359.0)</f>
        <v>145359</v>
      </c>
      <c r="F454" s="21" t="str">
        <f>IFERROR(__xludf.DUMMYFUNCTION("""COMPUTED_VALUE"""),"SUSPEITO")</f>
        <v>SUSPEITO</v>
      </c>
      <c r="G454" s="23">
        <f>IFERROR(__xludf.DUMMYFUNCTION("""COMPUTED_VALUE"""),45636.509467592594)</f>
        <v>45636.50947</v>
      </c>
      <c r="H454" s="24" t="str">
        <f>IFERROR(VLOOKUP(B454,material!A:D,3,0),"")</f>
        <v>DUAL</v>
      </c>
    </row>
    <row r="455" ht="11.25" customHeight="1">
      <c r="A455" s="21" t="str">
        <f>IFERROR(__xludf.DUMMYFUNCTION("""COMPUTED_VALUE"""),"HUMAX HGB10R-02")</f>
        <v>HUMAX HGB10R-02</v>
      </c>
      <c r="B455" s="22">
        <f>IFERROR(__xludf.DUMMYFUNCTION("""COMPUTED_VALUE"""),4.1001292E7)</f>
        <v>41001292</v>
      </c>
      <c r="C455" s="21" t="str">
        <f>IFERROR(__xludf.DUMMYFUNCTION("""COMPUTED_VALUE"""),"E820E272ABDB")</f>
        <v>E820E272ABDB</v>
      </c>
      <c r="D455" s="21" t="str">
        <f>IFERROR(__xludf.DUMMYFUNCTION("""COMPUTED_VALUE"""),"DIGITEC TECNOLOGIA DIGITAL E REPRES")</f>
        <v>DIGITEC TECNOLOGIA DIGITAL E REPRES</v>
      </c>
      <c r="E455" s="21">
        <f>IFERROR(__xludf.DUMMYFUNCTION("""COMPUTED_VALUE"""),145359.0)</f>
        <v>145359</v>
      </c>
      <c r="F455" s="21" t="str">
        <f>IFERROR(__xludf.DUMMYFUNCTION("""COMPUTED_VALUE"""),"SUSPEITO")</f>
        <v>SUSPEITO</v>
      </c>
      <c r="G455" s="23">
        <f>IFERROR(__xludf.DUMMYFUNCTION("""COMPUTED_VALUE"""),45642.49178240741)</f>
        <v>45642.49178</v>
      </c>
      <c r="H455" s="24" t="str">
        <f>IFERROR(VLOOKUP(B455,material!A:D,3,0),"")</f>
        <v>DUAL</v>
      </c>
    </row>
    <row r="456" ht="11.25" customHeight="1">
      <c r="A456" s="21" t="str">
        <f>IFERROR(__xludf.DUMMYFUNCTION("""COMPUTED_VALUE"""),"SMART CARD AVULSO MINI")</f>
        <v>SMART CARD AVULSO MINI</v>
      </c>
      <c r="B456" s="22">
        <f>IFERROR(__xludf.DUMMYFUNCTION("""COMPUTED_VALUE"""),4.1001508E7)</f>
        <v>41001508</v>
      </c>
      <c r="C456" s="21" t="str">
        <f>IFERROR(__xludf.DUMMYFUNCTION("""COMPUTED_VALUE"""),"246065531619")</f>
        <v>246065531619</v>
      </c>
      <c r="D456" s="21" t="str">
        <f>IFERROR(__xludf.DUMMYFUNCTION("""COMPUTED_VALUE"""),"DIGITEC TECNOLOGIA DIGITAL E REPRES")</f>
        <v>DIGITEC TECNOLOGIA DIGITAL E REPRES</v>
      </c>
      <c r="E456" s="21">
        <f>IFERROR(__xludf.DUMMYFUNCTION("""COMPUTED_VALUE"""),145359.0)</f>
        <v>145359</v>
      </c>
      <c r="F456" s="21" t="str">
        <f>IFERROR(__xludf.DUMMYFUNCTION("""COMPUTED_VALUE"""),"INICIALIZADO")</f>
        <v>INICIALIZADO</v>
      </c>
      <c r="G456" s="23">
        <f>IFERROR(__xludf.DUMMYFUNCTION("""COMPUTED_VALUE"""),45618.744733796295)</f>
        <v>45618.74473</v>
      </c>
      <c r="H456" s="24" t="str">
        <f>IFERROR(VLOOKUP(B456,material!A:D,3,0),"")</f>
        <v>SIM CARD</v>
      </c>
    </row>
    <row r="457" ht="11.25" customHeight="1">
      <c r="A457" s="21" t="str">
        <f>IFERROR(__xludf.DUMMYFUNCTION("""COMPUTED_VALUE"""),"TECHNICOLOR TC7337NET")</f>
        <v>TECHNICOLOR TC7337NET</v>
      </c>
      <c r="B457" s="22">
        <f>IFERROR(__xludf.DUMMYFUNCTION("""COMPUTED_VALUE"""),4.1001294E7)</f>
        <v>41001294</v>
      </c>
      <c r="C457" s="21" t="str">
        <f>IFERROR(__xludf.DUMMYFUNCTION("""COMPUTED_VALUE"""),"54A65C131E91")</f>
        <v>54A65C131E91</v>
      </c>
      <c r="D457" s="21" t="str">
        <f>IFERROR(__xludf.DUMMYFUNCTION("""COMPUTED_VALUE"""),"DIGITEC TECNOLOGIA DIGITAL E REPRES")</f>
        <v>DIGITEC TECNOLOGIA DIGITAL E REPRES</v>
      </c>
      <c r="E457" s="21">
        <f>IFERROR(__xludf.DUMMYFUNCTION("""COMPUTED_VALUE"""),145359.0)</f>
        <v>145359</v>
      </c>
      <c r="F457" s="21" t="str">
        <f>IFERROR(__xludf.DUMMYFUNCTION("""COMPUTED_VALUE"""),"INICIALIZADO")</f>
        <v>INICIALIZADO</v>
      </c>
      <c r="G457" s="23">
        <f>IFERROR(__xludf.DUMMYFUNCTION("""COMPUTED_VALUE"""),45618.74476851852)</f>
        <v>45618.74477</v>
      </c>
      <c r="H457" s="24" t="str">
        <f>IFERROR(VLOOKUP(B457,material!A:D,3,0),"")</f>
        <v>DUAL</v>
      </c>
    </row>
    <row r="458" ht="11.25" customHeight="1">
      <c r="A458" s="21" t="str">
        <f>IFERROR(__xludf.DUMMYFUNCTION("""COMPUTED_VALUE"""),"DECODER DIGITAL HD DXC5000 2T")</f>
        <v>DECODER DIGITAL HD DXC5000 2T</v>
      </c>
      <c r="B458" s="22">
        <f>IFERROR(__xludf.DUMMYFUNCTION("""COMPUTED_VALUE"""),4.1001277E7)</f>
        <v>41001277</v>
      </c>
      <c r="C458" s="21" t="str">
        <f>IFERROR(__xludf.DUMMYFUNCTION("""COMPUTED_VALUE"""),"216493100917")</f>
        <v>216493100917</v>
      </c>
      <c r="D458" s="21" t="str">
        <f>IFERROR(__xludf.DUMMYFUNCTION("""COMPUTED_VALUE"""),"DIGITEC TECNOLOGIA DIGITAL E REPRES")</f>
        <v>DIGITEC TECNOLOGIA DIGITAL E REPRES</v>
      </c>
      <c r="E458" s="21">
        <f>IFERROR(__xludf.DUMMYFUNCTION("""COMPUTED_VALUE"""),145359.0)</f>
        <v>145359</v>
      </c>
      <c r="F458" s="21" t="str">
        <f>IFERROR(__xludf.DUMMYFUNCTION("""COMPUTED_VALUE"""),"INICIALIZADO")</f>
        <v>INICIALIZADO</v>
      </c>
      <c r="G458" s="23">
        <f>IFERROR(__xludf.DUMMYFUNCTION("""COMPUTED_VALUE"""),45600.476006944446)</f>
        <v>45600.47601</v>
      </c>
      <c r="H458" s="24" t="str">
        <f>IFERROR(VLOOKUP(B458,material!A:D,3,0),"")</f>
        <v>TOP MIX</v>
      </c>
    </row>
    <row r="459" ht="11.25" customHeight="1">
      <c r="A459" s="21" t="str">
        <f>IFERROR(__xludf.DUMMYFUNCTION("""COMPUTED_VALUE"""),"SMART CARD PRETO NAGRA")</f>
        <v>SMART CARD PRETO NAGRA</v>
      </c>
      <c r="B459" s="22">
        <f>IFERROR(__xludf.DUMMYFUNCTION("""COMPUTED_VALUE"""),4.1001234E7)</f>
        <v>41001234</v>
      </c>
      <c r="C459" s="21" t="str">
        <f>IFERROR(__xludf.DUMMYFUNCTION("""COMPUTED_VALUE"""),"246311042235")</f>
        <v>246311042235</v>
      </c>
      <c r="D459" s="21" t="str">
        <f>IFERROR(__xludf.DUMMYFUNCTION("""COMPUTED_VALUE"""),"DIGITEC TECNOLOGIA DIGITAL E REPRES")</f>
        <v>DIGITEC TECNOLOGIA DIGITAL E REPRES</v>
      </c>
      <c r="E459" s="21">
        <f>IFERROR(__xludf.DUMMYFUNCTION("""COMPUTED_VALUE"""),145359.0)</f>
        <v>145359</v>
      </c>
      <c r="F459" s="21" t="str">
        <f>IFERROR(__xludf.DUMMYFUNCTION("""COMPUTED_VALUE"""),"INICIALIZADO")</f>
        <v>INICIALIZADO</v>
      </c>
      <c r="G459" s="23">
        <f>IFERROR(__xludf.DUMMYFUNCTION("""COMPUTED_VALUE"""),45615.61853009259)</f>
        <v>45615.61853</v>
      </c>
      <c r="H459" s="24" t="str">
        <f>IFERROR(VLOOKUP(B459,material!A:D,3,0),"")</f>
        <v>CARD</v>
      </c>
    </row>
    <row r="460" ht="11.25" customHeight="1">
      <c r="A460" s="21" t="str">
        <f>IFERROR(__xludf.DUMMYFUNCTION("""COMPUTED_VALUE"""),"SMART CARD PRETO NAGRA")</f>
        <v>SMART CARD PRETO NAGRA</v>
      </c>
      <c r="B460" s="22">
        <f>IFERROR(__xludf.DUMMYFUNCTION("""COMPUTED_VALUE"""),4.1001234E7)</f>
        <v>41001234</v>
      </c>
      <c r="C460" s="21" t="str">
        <f>IFERROR(__xludf.DUMMYFUNCTION("""COMPUTED_VALUE"""),"246311051024")</f>
        <v>246311051024</v>
      </c>
      <c r="D460" s="21" t="str">
        <f>IFERROR(__xludf.DUMMYFUNCTION("""COMPUTED_VALUE"""),"DIGITEC TECNOLOGIA DIGITAL E REPRES")</f>
        <v>DIGITEC TECNOLOGIA DIGITAL E REPRES</v>
      </c>
      <c r="E460" s="21">
        <f>IFERROR(__xludf.DUMMYFUNCTION("""COMPUTED_VALUE"""),145359.0)</f>
        <v>145359</v>
      </c>
      <c r="F460" s="21" t="str">
        <f>IFERROR(__xludf.DUMMYFUNCTION("""COMPUTED_VALUE"""),"INICIALIZADO")</f>
        <v>INICIALIZADO</v>
      </c>
      <c r="G460" s="23">
        <f>IFERROR(__xludf.DUMMYFUNCTION("""COMPUTED_VALUE"""),45635.53491898148)</f>
        <v>45635.53492</v>
      </c>
      <c r="H460" s="24" t="str">
        <f>IFERROR(VLOOKUP(B460,material!A:D,3,0),"")</f>
        <v>CARD</v>
      </c>
    </row>
    <row r="461" ht="11.25" customHeight="1">
      <c r="A461" s="21" t="str">
        <f>IFERROR(__xludf.DUMMYFUNCTION("""COMPUTED_VALUE"""),"SMART CARD PRETO NAGRA")</f>
        <v>SMART CARD PRETO NAGRA</v>
      </c>
      <c r="B461" s="22">
        <f>IFERROR(__xludf.DUMMYFUNCTION("""COMPUTED_VALUE"""),4.1001234E7)</f>
        <v>41001234</v>
      </c>
      <c r="C461" s="21" t="str">
        <f>IFERROR(__xludf.DUMMYFUNCTION("""COMPUTED_VALUE"""),"246299781327")</f>
        <v>246299781327</v>
      </c>
      <c r="D461" s="21" t="str">
        <f>IFERROR(__xludf.DUMMYFUNCTION("""COMPUTED_VALUE"""),"DIGITEC TECNOLOGIA DIGITAL E REPRES")</f>
        <v>DIGITEC TECNOLOGIA DIGITAL E REPRES</v>
      </c>
      <c r="E461" s="21">
        <f>IFERROR(__xludf.DUMMYFUNCTION("""COMPUTED_VALUE"""),145359.0)</f>
        <v>145359</v>
      </c>
      <c r="F461" s="21" t="str">
        <f>IFERROR(__xludf.DUMMYFUNCTION("""COMPUTED_VALUE"""),"INICIALIZADO")</f>
        <v>INICIALIZADO</v>
      </c>
      <c r="G461" s="23">
        <f>IFERROR(__xludf.DUMMYFUNCTION("""COMPUTED_VALUE"""),45635.534907407404)</f>
        <v>45635.53491</v>
      </c>
      <c r="H461" s="24" t="str">
        <f>IFERROR(VLOOKUP(B461,material!A:D,3,0),"")</f>
        <v>CARD</v>
      </c>
    </row>
    <row r="462" ht="11.25" customHeight="1">
      <c r="A462" s="21" t="str">
        <f>IFERROR(__xludf.DUMMYFUNCTION("""COMPUTED_VALUE"""),"SMART CARD PRETO NAGRA")</f>
        <v>SMART CARD PRETO NAGRA</v>
      </c>
      <c r="B462" s="22">
        <f>IFERROR(__xludf.DUMMYFUNCTION("""COMPUTED_VALUE"""),4.1001234E7)</f>
        <v>41001234</v>
      </c>
      <c r="C462" s="21" t="str">
        <f>IFERROR(__xludf.DUMMYFUNCTION("""COMPUTED_VALUE"""),"246317497185")</f>
        <v>246317497185</v>
      </c>
      <c r="D462" s="21" t="str">
        <f>IFERROR(__xludf.DUMMYFUNCTION("""COMPUTED_VALUE"""),"DIGITEC TECNOLOGIA DIGITAL E REPRES")</f>
        <v>DIGITEC TECNOLOGIA DIGITAL E REPRES</v>
      </c>
      <c r="E462" s="21">
        <f>IFERROR(__xludf.DUMMYFUNCTION("""COMPUTED_VALUE"""),145359.0)</f>
        <v>145359</v>
      </c>
      <c r="F462" s="21" t="str">
        <f>IFERROR(__xludf.DUMMYFUNCTION("""COMPUTED_VALUE"""),"INICIALIZADO")</f>
        <v>INICIALIZADO</v>
      </c>
      <c r="G462" s="23">
        <f>IFERROR(__xludf.DUMMYFUNCTION("""COMPUTED_VALUE"""),45642.524097222224)</f>
        <v>45642.5241</v>
      </c>
      <c r="H462" s="24" t="str">
        <f>IFERROR(VLOOKUP(B462,material!A:D,3,0),"")</f>
        <v>CARD</v>
      </c>
    </row>
    <row r="463" ht="11.25" customHeight="1">
      <c r="A463" s="21" t="str">
        <f>IFERROR(__xludf.DUMMYFUNCTION("""COMPUTED_VALUE"""),"SMART CARD PRETO NAGRA")</f>
        <v>SMART CARD PRETO NAGRA</v>
      </c>
      <c r="B463" s="22">
        <f>IFERROR(__xludf.DUMMYFUNCTION("""COMPUTED_VALUE"""),4.1001234E7)</f>
        <v>41001234</v>
      </c>
      <c r="C463" s="21" t="str">
        <f>IFERROR(__xludf.DUMMYFUNCTION("""COMPUTED_VALUE"""),"246004004761")</f>
        <v>246004004761</v>
      </c>
      <c r="D463" s="21" t="str">
        <f>IFERROR(__xludf.DUMMYFUNCTION("""COMPUTED_VALUE"""),"DIGITEC TECNOLOGIA DIGITAL E REPRES")</f>
        <v>DIGITEC TECNOLOGIA DIGITAL E REPRES</v>
      </c>
      <c r="E463" s="21">
        <f>IFERROR(__xludf.DUMMYFUNCTION("""COMPUTED_VALUE"""),145359.0)</f>
        <v>145359</v>
      </c>
      <c r="F463" s="21" t="str">
        <f>IFERROR(__xludf.DUMMYFUNCTION("""COMPUTED_VALUE"""),"INICIALIZADO")</f>
        <v>INICIALIZADO</v>
      </c>
      <c r="G463" s="23">
        <f>IFERROR(__xludf.DUMMYFUNCTION("""COMPUTED_VALUE"""),45635.53496527778)</f>
        <v>45635.53497</v>
      </c>
      <c r="H463" s="24" t="str">
        <f>IFERROR(VLOOKUP(B463,material!A:D,3,0),"")</f>
        <v>CARD</v>
      </c>
    </row>
    <row r="464" ht="11.25" customHeight="1">
      <c r="A464" s="21" t="str">
        <f>IFERROR(__xludf.DUMMYFUNCTION("""COMPUTED_VALUE"""),"SMART CARD PRETO NAGRA")</f>
        <v>SMART CARD PRETO NAGRA</v>
      </c>
      <c r="B464" s="22">
        <f>IFERROR(__xludf.DUMMYFUNCTION("""COMPUTED_VALUE"""),4.1001234E7)</f>
        <v>41001234</v>
      </c>
      <c r="C464" s="21" t="str">
        <f>IFERROR(__xludf.DUMMYFUNCTION("""COMPUTED_VALUE"""),"246201438080")</f>
        <v>246201438080</v>
      </c>
      <c r="D464" s="21" t="str">
        <f>IFERROR(__xludf.DUMMYFUNCTION("""COMPUTED_VALUE"""),"DIGITEC TECNOLOGIA DIGITAL E REPRES")</f>
        <v>DIGITEC TECNOLOGIA DIGITAL E REPRES</v>
      </c>
      <c r="E464" s="21">
        <f>IFERROR(__xludf.DUMMYFUNCTION("""COMPUTED_VALUE"""),145359.0)</f>
        <v>145359</v>
      </c>
      <c r="F464" s="21" t="str">
        <f>IFERROR(__xludf.DUMMYFUNCTION("""COMPUTED_VALUE"""),"INICIALIZADO")</f>
        <v>INICIALIZADO</v>
      </c>
      <c r="G464" s="23">
        <f>IFERROR(__xludf.DUMMYFUNCTION("""COMPUTED_VALUE"""),45642.524097222224)</f>
        <v>45642.5241</v>
      </c>
      <c r="H464" s="24" t="str">
        <f>IFERROR(VLOOKUP(B464,material!A:D,3,0),"")</f>
        <v>CARD</v>
      </c>
    </row>
    <row r="465" ht="11.25" customHeight="1">
      <c r="A465" s="21" t="str">
        <f>IFERROR(__xludf.DUMMYFUNCTION("""COMPUTED_VALUE"""),"SMART CARD PRETO NAGRA")</f>
        <v>SMART CARD PRETO NAGRA</v>
      </c>
      <c r="B465" s="22">
        <f>IFERROR(__xludf.DUMMYFUNCTION("""COMPUTED_VALUE"""),4.1001234E7)</f>
        <v>41001234</v>
      </c>
      <c r="C465" s="21" t="str">
        <f>IFERROR(__xludf.DUMMYFUNCTION("""COMPUTED_VALUE"""),"246119412332")</f>
        <v>246119412332</v>
      </c>
      <c r="D465" s="21" t="str">
        <f>IFERROR(__xludf.DUMMYFUNCTION("""COMPUTED_VALUE"""),"DIGITEC TECNOLOGIA DIGITAL E REPRES")</f>
        <v>DIGITEC TECNOLOGIA DIGITAL E REPRES</v>
      </c>
      <c r="E465" s="21">
        <f>IFERROR(__xludf.DUMMYFUNCTION("""COMPUTED_VALUE"""),145359.0)</f>
        <v>145359</v>
      </c>
      <c r="F465" s="21" t="str">
        <f>IFERROR(__xludf.DUMMYFUNCTION("""COMPUTED_VALUE"""),"INICIALIZADO")</f>
        <v>INICIALIZADO</v>
      </c>
      <c r="G465" s="23">
        <f>IFERROR(__xludf.DUMMYFUNCTION("""COMPUTED_VALUE"""),45642.524097222224)</f>
        <v>45642.5241</v>
      </c>
      <c r="H465" s="24" t="str">
        <f>IFERROR(VLOOKUP(B465,material!A:D,3,0),"")</f>
        <v>CARD</v>
      </c>
    </row>
    <row r="466" ht="11.25" customHeight="1">
      <c r="A466" s="21" t="str">
        <f>IFERROR(__xludf.DUMMYFUNCTION("""COMPUTED_VALUE"""),"SMART CARD PRETO NAGRA")</f>
        <v>SMART CARD PRETO NAGRA</v>
      </c>
      <c r="B466" s="22">
        <f>IFERROR(__xludf.DUMMYFUNCTION("""COMPUTED_VALUE"""),4.1001234E7)</f>
        <v>41001234</v>
      </c>
      <c r="C466" s="21" t="str">
        <f>IFERROR(__xludf.DUMMYFUNCTION("""COMPUTED_VALUE"""),"246075124766")</f>
        <v>246075124766</v>
      </c>
      <c r="D466" s="21" t="str">
        <f>IFERROR(__xludf.DUMMYFUNCTION("""COMPUTED_VALUE"""),"DIGITEC TECNOLOGIA DIGITAL E REPRES")</f>
        <v>DIGITEC TECNOLOGIA DIGITAL E REPRES</v>
      </c>
      <c r="E466" s="21">
        <f>IFERROR(__xludf.DUMMYFUNCTION("""COMPUTED_VALUE"""),145359.0)</f>
        <v>145359</v>
      </c>
      <c r="F466" s="21" t="str">
        <f>IFERROR(__xludf.DUMMYFUNCTION("""COMPUTED_VALUE"""),"INICIALIZADO")</f>
        <v>INICIALIZADO</v>
      </c>
      <c r="G466" s="23">
        <f>IFERROR(__xludf.DUMMYFUNCTION("""COMPUTED_VALUE"""),45635.534907407404)</f>
        <v>45635.53491</v>
      </c>
      <c r="H466" s="24" t="str">
        <f>IFERROR(VLOOKUP(B466,material!A:D,3,0),"")</f>
        <v>CARD</v>
      </c>
    </row>
    <row r="467" ht="11.25" customHeight="1">
      <c r="A467" s="21" t="str">
        <f>IFERROR(__xludf.DUMMYFUNCTION("""COMPUTED_VALUE"""),"SMART CARD PRETO NAGRA")</f>
        <v>SMART CARD PRETO NAGRA</v>
      </c>
      <c r="B467" s="22">
        <f>IFERROR(__xludf.DUMMYFUNCTION("""COMPUTED_VALUE"""),4.1001234E7)</f>
        <v>41001234</v>
      </c>
      <c r="C467" s="21" t="str">
        <f>IFERROR(__xludf.DUMMYFUNCTION("""COMPUTED_VALUE"""),"246066763041")</f>
        <v>246066763041</v>
      </c>
      <c r="D467" s="21" t="str">
        <f>IFERROR(__xludf.DUMMYFUNCTION("""COMPUTED_VALUE"""),"DIGITEC TECNOLOGIA DIGITAL E REPRES")</f>
        <v>DIGITEC TECNOLOGIA DIGITAL E REPRES</v>
      </c>
      <c r="E467" s="21">
        <f>IFERROR(__xludf.DUMMYFUNCTION("""COMPUTED_VALUE"""),145359.0)</f>
        <v>145359</v>
      </c>
      <c r="F467" s="21" t="str">
        <f>IFERROR(__xludf.DUMMYFUNCTION("""COMPUTED_VALUE"""),"INICIALIZADO")</f>
        <v>INICIALIZADO</v>
      </c>
      <c r="G467" s="23">
        <f>IFERROR(__xludf.DUMMYFUNCTION("""COMPUTED_VALUE"""),45635.534895833334)</f>
        <v>45635.5349</v>
      </c>
      <c r="H467" s="24" t="str">
        <f>IFERROR(VLOOKUP(B467,material!A:D,3,0),"")</f>
        <v>CARD</v>
      </c>
    </row>
    <row r="468" ht="11.25" customHeight="1">
      <c r="A468" s="21" t="str">
        <f>IFERROR(__xludf.DUMMYFUNCTION("""COMPUTED_VALUE"""),"SMART CARD PRETO NAGRA")</f>
        <v>SMART CARD PRETO NAGRA</v>
      </c>
      <c r="B468" s="22">
        <f>IFERROR(__xludf.DUMMYFUNCTION("""COMPUTED_VALUE"""),4.1001234E7)</f>
        <v>41001234</v>
      </c>
      <c r="C468" s="21" t="str">
        <f>IFERROR(__xludf.DUMMYFUNCTION("""COMPUTED_VALUE"""),"226176345766")</f>
        <v>226176345766</v>
      </c>
      <c r="D468" s="21" t="str">
        <f>IFERROR(__xludf.DUMMYFUNCTION("""COMPUTED_VALUE"""),"DIGITEC TECNOLOGIA DIGITAL E REPRES")</f>
        <v>DIGITEC TECNOLOGIA DIGITAL E REPRES</v>
      </c>
      <c r="E468" s="21">
        <f>IFERROR(__xludf.DUMMYFUNCTION("""COMPUTED_VALUE"""),145359.0)</f>
        <v>145359</v>
      </c>
      <c r="F468" s="21" t="str">
        <f>IFERROR(__xludf.DUMMYFUNCTION("""COMPUTED_VALUE"""),"INICIALIZADO")</f>
        <v>INICIALIZADO</v>
      </c>
      <c r="G468" s="23">
        <f>IFERROR(__xludf.DUMMYFUNCTION("""COMPUTED_VALUE"""),45642.52410879629)</f>
        <v>45642.52411</v>
      </c>
      <c r="H468" s="24" t="str">
        <f>IFERROR(VLOOKUP(B468,material!A:D,3,0),"")</f>
        <v>CARD</v>
      </c>
    </row>
    <row r="469" ht="11.25" customHeight="1">
      <c r="A469" s="21" t="str">
        <f>IFERROR(__xludf.DUMMYFUNCTION("""COMPUTED_VALUE"""),"SMART CARD PRETO NAGRA")</f>
        <v>SMART CARD PRETO NAGRA</v>
      </c>
      <c r="B469" s="22">
        <f>IFERROR(__xludf.DUMMYFUNCTION("""COMPUTED_VALUE"""),4.1001234E7)</f>
        <v>41001234</v>
      </c>
      <c r="C469" s="21" t="str">
        <f>IFERROR(__xludf.DUMMYFUNCTION("""COMPUTED_VALUE"""),"246081049710")</f>
        <v>246081049710</v>
      </c>
      <c r="D469" s="21" t="str">
        <f>IFERROR(__xludf.DUMMYFUNCTION("""COMPUTED_VALUE"""),"DIGITEC TECNOLOGIA DIGITAL E REPRES")</f>
        <v>DIGITEC TECNOLOGIA DIGITAL E REPRES</v>
      </c>
      <c r="E469" s="21">
        <f>IFERROR(__xludf.DUMMYFUNCTION("""COMPUTED_VALUE"""),145359.0)</f>
        <v>145359</v>
      </c>
      <c r="F469" s="21" t="str">
        <f>IFERROR(__xludf.DUMMYFUNCTION("""COMPUTED_VALUE"""),"INICIALIZADO")</f>
        <v>INICIALIZADO</v>
      </c>
      <c r="G469" s="23">
        <f>IFERROR(__xludf.DUMMYFUNCTION("""COMPUTED_VALUE"""),45600.47596064815)</f>
        <v>45600.47596</v>
      </c>
      <c r="H469" s="24" t="str">
        <f>IFERROR(VLOOKUP(B469,material!A:D,3,0),"")</f>
        <v>CARD</v>
      </c>
    </row>
    <row r="470" ht="11.25" customHeight="1">
      <c r="A470" s="21" t="str">
        <f>IFERROR(__xludf.DUMMYFUNCTION("""COMPUTED_VALUE"""),"SMART CARD PRETO NAGRA")</f>
        <v>SMART CARD PRETO NAGRA</v>
      </c>
      <c r="B470" s="22">
        <f>IFERROR(__xludf.DUMMYFUNCTION("""COMPUTED_VALUE"""),4.1001234E7)</f>
        <v>41001234</v>
      </c>
      <c r="C470" s="21" t="str">
        <f>IFERROR(__xludf.DUMMYFUNCTION("""COMPUTED_VALUE"""),"226299207588")</f>
        <v>226299207588</v>
      </c>
      <c r="D470" s="21" t="str">
        <f>IFERROR(__xludf.DUMMYFUNCTION("""COMPUTED_VALUE"""),"DIGITEC TECNOLOGIA DIGITAL E REPRES")</f>
        <v>DIGITEC TECNOLOGIA DIGITAL E REPRES</v>
      </c>
      <c r="E470" s="21">
        <f>IFERROR(__xludf.DUMMYFUNCTION("""COMPUTED_VALUE"""),145359.0)</f>
        <v>145359</v>
      </c>
      <c r="F470" s="21" t="str">
        <f>IFERROR(__xludf.DUMMYFUNCTION("""COMPUTED_VALUE"""),"INICIALIZADO")</f>
        <v>INICIALIZADO</v>
      </c>
      <c r="G470" s="23">
        <f>IFERROR(__xludf.DUMMYFUNCTION("""COMPUTED_VALUE"""),45642.52412037037)</f>
        <v>45642.52412</v>
      </c>
      <c r="H470" s="24" t="str">
        <f>IFERROR(VLOOKUP(B470,material!A:D,3,0),"")</f>
        <v>CARD</v>
      </c>
    </row>
    <row r="471" ht="11.25" customHeight="1">
      <c r="A471" s="21" t="str">
        <f>IFERROR(__xludf.DUMMYFUNCTION("""COMPUTED_VALUE"""),"HUMAX HGB10R-02")</f>
        <v>HUMAX HGB10R-02</v>
      </c>
      <c r="B471" s="22">
        <f>IFERROR(__xludf.DUMMYFUNCTION("""COMPUTED_VALUE"""),4.1001292E7)</f>
        <v>41001292</v>
      </c>
      <c r="C471" s="21" t="str">
        <f>IFERROR(__xludf.DUMMYFUNCTION("""COMPUTED_VALUE"""),"E820E25DE5E0")</f>
        <v>E820E25DE5E0</v>
      </c>
      <c r="D471" s="21" t="str">
        <f>IFERROR(__xludf.DUMMYFUNCTION("""COMPUTED_VALUE"""),"DIGITEC TECNOLOGIA DIGITAL E REPRES")</f>
        <v>DIGITEC TECNOLOGIA DIGITAL E REPRES</v>
      </c>
      <c r="E471" s="21">
        <f>IFERROR(__xludf.DUMMYFUNCTION("""COMPUTED_VALUE"""),145359.0)</f>
        <v>145359</v>
      </c>
      <c r="F471" s="21" t="str">
        <f>IFERROR(__xludf.DUMMYFUNCTION("""COMPUTED_VALUE"""),"TRANSITO REVERSA")</f>
        <v>TRANSITO REVERSA</v>
      </c>
      <c r="G471" s="23">
        <f>IFERROR(__xludf.DUMMYFUNCTION("""COMPUTED_VALUE"""),45617.87180555555)</f>
        <v>45617.87181</v>
      </c>
      <c r="H471" s="24" t="str">
        <f>IFERROR(VLOOKUP(B471,material!A:D,3,0),"")</f>
        <v>DUAL</v>
      </c>
    </row>
    <row r="472" ht="11.25" customHeight="1">
      <c r="A472" s="21" t="str">
        <f>IFERROR(__xludf.DUMMYFUNCTION("""COMPUTED_VALUE"""),"DECODER DIGITAL HD HNB100 2T")</f>
        <v>DECODER DIGITAL HD HNB100 2T</v>
      </c>
      <c r="B472" s="22">
        <f>IFERROR(__xludf.DUMMYFUNCTION("""COMPUTED_VALUE"""),4.1001276E7)</f>
        <v>41001276</v>
      </c>
      <c r="C472" s="21" t="str">
        <f>IFERROR(__xludf.DUMMYFUNCTION("""COMPUTED_VALUE"""),"216361170118")</f>
        <v>216361170118</v>
      </c>
      <c r="D472" s="21" t="str">
        <f>IFERROR(__xludf.DUMMYFUNCTION("""COMPUTED_VALUE"""),"DIGITEC TECNOLOGIA DIGITAL E REPRES")</f>
        <v>DIGITEC TECNOLOGIA DIGITAL E REPRES</v>
      </c>
      <c r="E472" s="21">
        <f>IFERROR(__xludf.DUMMYFUNCTION("""COMPUTED_VALUE"""),145359.0)</f>
        <v>145359</v>
      </c>
      <c r="F472" s="21" t="str">
        <f>IFERROR(__xludf.DUMMYFUNCTION("""COMPUTED_VALUE"""),"TRANSITO REVERSA")</f>
        <v>TRANSITO REVERSA</v>
      </c>
      <c r="G472" s="23">
        <f>IFERROR(__xludf.DUMMYFUNCTION("""COMPUTED_VALUE"""),45633.00336805556)</f>
        <v>45633.00337</v>
      </c>
      <c r="H472" s="24" t="str">
        <f>IFERROR(VLOOKUP(B472,material!A:D,3,0),"")</f>
        <v>TOP MIX</v>
      </c>
    </row>
    <row r="473" ht="11.25" customHeight="1">
      <c r="A473" s="21" t="str">
        <f>IFERROR(__xludf.DUMMYFUNCTION("""COMPUTED_VALUE"""),"HUMAX HGB10R-02")</f>
        <v>HUMAX HGB10R-02</v>
      </c>
      <c r="B473" s="22">
        <f>IFERROR(__xludf.DUMMYFUNCTION("""COMPUTED_VALUE"""),4.1001292E7)</f>
        <v>41001292</v>
      </c>
      <c r="C473" s="21" t="str">
        <f>IFERROR(__xludf.DUMMYFUNCTION("""COMPUTED_VALUE"""),"942CB3CEEA3B")</f>
        <v>942CB3CEEA3B</v>
      </c>
      <c r="D473" s="21" t="str">
        <f>IFERROR(__xludf.DUMMYFUNCTION("""COMPUTED_VALUE"""),"DIGITEC TECNOLOGIA DIGITAL E REPRES")</f>
        <v>DIGITEC TECNOLOGIA DIGITAL E REPRES</v>
      </c>
      <c r="E473" s="21">
        <f>IFERROR(__xludf.DUMMYFUNCTION("""COMPUTED_VALUE"""),145359.0)</f>
        <v>145359</v>
      </c>
      <c r="F473" s="21" t="str">
        <f>IFERROR(__xludf.DUMMYFUNCTION("""COMPUTED_VALUE"""),"SUSPEITO")</f>
        <v>SUSPEITO</v>
      </c>
      <c r="G473" s="23">
        <f>IFERROR(__xludf.DUMMYFUNCTION("""COMPUTED_VALUE"""),45640.42659722222)</f>
        <v>45640.4266</v>
      </c>
      <c r="H473" s="24" t="str">
        <f>IFERROR(VLOOKUP(B473,material!A:D,3,0),"")</f>
        <v>DUAL</v>
      </c>
    </row>
    <row r="474" ht="11.25" customHeight="1">
      <c r="A474" s="21" t="str">
        <f>IFERROR(__xludf.DUMMYFUNCTION("""COMPUTED_VALUE"""),"DECODER HD DCI738 2T")</f>
        <v>DECODER HD DCI738 2T</v>
      </c>
      <c r="B474" s="22">
        <f>IFERROR(__xludf.DUMMYFUNCTION("""COMPUTED_VALUE"""),4.1001275E7)</f>
        <v>41001275</v>
      </c>
      <c r="C474" s="21" t="str">
        <f>IFERROR(__xludf.DUMMYFUNCTION("""COMPUTED_VALUE"""),"216647484760")</f>
        <v>216647484760</v>
      </c>
      <c r="D474" s="21" t="str">
        <f>IFERROR(__xludf.DUMMYFUNCTION("""COMPUTED_VALUE"""),"DIGITEC TECNOLOGIA DIGITAL E REPRES")</f>
        <v>DIGITEC TECNOLOGIA DIGITAL E REPRES</v>
      </c>
      <c r="E474" s="21">
        <f>IFERROR(__xludf.DUMMYFUNCTION("""COMPUTED_VALUE"""),145359.0)</f>
        <v>145359</v>
      </c>
      <c r="F474" s="21" t="str">
        <f>IFERROR(__xludf.DUMMYFUNCTION("""COMPUTED_VALUE"""),"INICIALIZADO")</f>
        <v>INICIALIZADO</v>
      </c>
      <c r="G474" s="23">
        <f>IFERROR(__xludf.DUMMYFUNCTION("""COMPUTED_VALUE"""),45516.4197337963)</f>
        <v>45516.41973</v>
      </c>
      <c r="H474" s="24" t="str">
        <f>IFERROR(VLOOKUP(B474,material!A:D,3,0),"")</f>
        <v>TOP MIX</v>
      </c>
    </row>
    <row r="475" ht="11.25" customHeight="1">
      <c r="A475" s="21" t="str">
        <f>IFERROR(__xludf.DUMMYFUNCTION("""COMPUTED_VALUE"""),"DECODER DIGITAL HD HNB100 2T")</f>
        <v>DECODER DIGITAL HD HNB100 2T</v>
      </c>
      <c r="B475" s="22">
        <f>IFERROR(__xludf.DUMMYFUNCTION("""COMPUTED_VALUE"""),4.1001276E7)</f>
        <v>41001276</v>
      </c>
      <c r="C475" s="21" t="str">
        <f>IFERROR(__xludf.DUMMYFUNCTION("""COMPUTED_VALUE"""),"216700968082")</f>
        <v>216700968082</v>
      </c>
      <c r="D475" s="21" t="str">
        <f>IFERROR(__xludf.DUMMYFUNCTION("""COMPUTED_VALUE"""),"DIGITEC TECNOLOGIA DIGITAL E REPRES")</f>
        <v>DIGITEC TECNOLOGIA DIGITAL E REPRES</v>
      </c>
      <c r="E475" s="21">
        <f>IFERROR(__xludf.DUMMYFUNCTION("""COMPUTED_VALUE"""),145359.0)</f>
        <v>145359</v>
      </c>
      <c r="F475" s="21" t="str">
        <f>IFERROR(__xludf.DUMMYFUNCTION("""COMPUTED_VALUE"""),"INICIALIZADO")</f>
        <v>INICIALIZADO</v>
      </c>
      <c r="G475" s="23">
        <f>IFERROR(__xludf.DUMMYFUNCTION("""COMPUTED_VALUE"""),45642.52412037037)</f>
        <v>45642.52412</v>
      </c>
      <c r="H475" s="24" t="str">
        <f>IFERROR(VLOOKUP(B475,material!A:D,3,0),"")</f>
        <v>TOP MIX</v>
      </c>
    </row>
    <row r="476" ht="11.25" customHeight="1">
      <c r="A476" s="21" t="str">
        <f>IFERROR(__xludf.DUMMYFUNCTION("""COMPUTED_VALUE"""),"DECODER DIGITAL HD HNB100 2T")</f>
        <v>DECODER DIGITAL HD HNB100 2T</v>
      </c>
      <c r="B476" s="22">
        <f>IFERROR(__xludf.DUMMYFUNCTION("""COMPUTED_VALUE"""),4.1001276E7)</f>
        <v>41001276</v>
      </c>
      <c r="C476" s="21" t="str">
        <f>IFERROR(__xludf.DUMMYFUNCTION("""COMPUTED_VALUE"""),"216546961325")</f>
        <v>216546961325</v>
      </c>
      <c r="D476" s="21" t="str">
        <f>IFERROR(__xludf.DUMMYFUNCTION("""COMPUTED_VALUE"""),"DIGITEC TECNOLOGIA DIGITAL E REPRES")</f>
        <v>DIGITEC TECNOLOGIA DIGITAL E REPRES</v>
      </c>
      <c r="E476" s="21">
        <f>IFERROR(__xludf.DUMMYFUNCTION("""COMPUTED_VALUE"""),145359.0)</f>
        <v>145359</v>
      </c>
      <c r="F476" s="21" t="str">
        <f>IFERROR(__xludf.DUMMYFUNCTION("""COMPUTED_VALUE"""),"INICIALIZADO")</f>
        <v>INICIALIZADO</v>
      </c>
      <c r="G476" s="23">
        <f>IFERROR(__xludf.DUMMYFUNCTION("""COMPUTED_VALUE"""),45635.53506944445)</f>
        <v>45635.53507</v>
      </c>
      <c r="H476" s="24" t="str">
        <f>IFERROR(VLOOKUP(B476,material!A:D,3,0),"")</f>
        <v>TOP MIX</v>
      </c>
    </row>
    <row r="477" ht="11.25" customHeight="1">
      <c r="A477" s="21" t="str">
        <f>IFERROR(__xludf.DUMMYFUNCTION("""COMPUTED_VALUE"""),"DECODER DIGITAL HD HNB100 2T")</f>
        <v>DECODER DIGITAL HD HNB100 2T</v>
      </c>
      <c r="B477" s="22">
        <f>IFERROR(__xludf.DUMMYFUNCTION("""COMPUTED_VALUE"""),4.1001276E7)</f>
        <v>41001276</v>
      </c>
      <c r="C477" s="21" t="str">
        <f>IFERROR(__xludf.DUMMYFUNCTION("""COMPUTED_VALUE"""),"216399010410")</f>
        <v>216399010410</v>
      </c>
      <c r="D477" s="21" t="str">
        <f>IFERROR(__xludf.DUMMYFUNCTION("""COMPUTED_VALUE"""),"DIGITEC TECNOLOGIA DIGITAL E REPRES")</f>
        <v>DIGITEC TECNOLOGIA DIGITAL E REPRES</v>
      </c>
      <c r="E477" s="21">
        <f>IFERROR(__xludf.DUMMYFUNCTION("""COMPUTED_VALUE"""),145359.0)</f>
        <v>145359</v>
      </c>
      <c r="F477" s="21" t="str">
        <f>IFERROR(__xludf.DUMMYFUNCTION("""COMPUTED_VALUE"""),"INICIALIZADO")</f>
        <v>INICIALIZADO</v>
      </c>
      <c r="G477" s="23">
        <f>IFERROR(__xludf.DUMMYFUNCTION("""COMPUTED_VALUE"""),45635.53503472223)</f>
        <v>45635.53503</v>
      </c>
      <c r="H477" s="24" t="str">
        <f>IFERROR(VLOOKUP(B477,material!A:D,3,0),"")</f>
        <v>TOP MIX</v>
      </c>
    </row>
    <row r="478" ht="11.25" customHeight="1">
      <c r="A478" s="21" t="str">
        <f>IFERROR(__xludf.DUMMYFUNCTION("""COMPUTED_VALUE"""),"DECODER DIGITAL HD HNB100 2T")</f>
        <v>DECODER DIGITAL HD HNB100 2T</v>
      </c>
      <c r="B478" s="22">
        <f>IFERROR(__xludf.DUMMYFUNCTION("""COMPUTED_VALUE"""),4.1001276E7)</f>
        <v>41001276</v>
      </c>
      <c r="C478" s="21" t="str">
        <f>IFERROR(__xludf.DUMMYFUNCTION("""COMPUTED_VALUE"""),"216702809496")</f>
        <v>216702809496</v>
      </c>
      <c r="D478" s="21" t="str">
        <f>IFERROR(__xludf.DUMMYFUNCTION("""COMPUTED_VALUE"""),"DIGITEC TECNOLOGIA DIGITAL E REPRES")</f>
        <v>DIGITEC TECNOLOGIA DIGITAL E REPRES</v>
      </c>
      <c r="E478" s="21">
        <f>IFERROR(__xludf.DUMMYFUNCTION("""COMPUTED_VALUE"""),145359.0)</f>
        <v>145359</v>
      </c>
      <c r="F478" s="21" t="str">
        <f>IFERROR(__xludf.DUMMYFUNCTION("""COMPUTED_VALUE"""),"INICIALIZADO")</f>
        <v>INICIALIZADO</v>
      </c>
      <c r="G478" s="23">
        <f>IFERROR(__xludf.DUMMYFUNCTION("""COMPUTED_VALUE"""),45635.53501157407)</f>
        <v>45635.53501</v>
      </c>
      <c r="H478" s="24" t="str">
        <f>IFERROR(VLOOKUP(B478,material!A:D,3,0),"")</f>
        <v>TOP MIX</v>
      </c>
    </row>
    <row r="479" ht="11.25" customHeight="1">
      <c r="A479" s="21" t="str">
        <f>IFERROR(__xludf.DUMMYFUNCTION("""COMPUTED_VALUE"""),"DECODER DIGITAL HD HNB100 2T")</f>
        <v>DECODER DIGITAL HD HNB100 2T</v>
      </c>
      <c r="B479" s="22">
        <f>IFERROR(__xludf.DUMMYFUNCTION("""COMPUTED_VALUE"""),4.1001276E7)</f>
        <v>41001276</v>
      </c>
      <c r="C479" s="21" t="str">
        <f>IFERROR(__xludf.DUMMYFUNCTION("""COMPUTED_VALUE"""),"216699054159")</f>
        <v>216699054159</v>
      </c>
      <c r="D479" s="21" t="str">
        <f>IFERROR(__xludf.DUMMYFUNCTION("""COMPUTED_VALUE"""),"DIGITEC TECNOLOGIA DIGITAL E REPRES")</f>
        <v>DIGITEC TECNOLOGIA DIGITAL E REPRES</v>
      </c>
      <c r="E479" s="21">
        <f>IFERROR(__xludf.DUMMYFUNCTION("""COMPUTED_VALUE"""),145359.0)</f>
        <v>145359</v>
      </c>
      <c r="F479" s="21" t="str">
        <f>IFERROR(__xludf.DUMMYFUNCTION("""COMPUTED_VALUE"""),"INICIALIZADO")</f>
        <v>INICIALIZADO</v>
      </c>
      <c r="G479" s="23">
        <f>IFERROR(__xludf.DUMMYFUNCTION("""COMPUTED_VALUE"""),45642.52412037037)</f>
        <v>45642.52412</v>
      </c>
      <c r="H479" s="24" t="str">
        <f>IFERROR(VLOOKUP(B479,material!A:D,3,0),"")</f>
        <v>TOP MIX</v>
      </c>
    </row>
    <row r="480" ht="11.25" customHeight="1">
      <c r="A480" s="21" t="str">
        <f>IFERROR(__xludf.DUMMYFUNCTION("""COMPUTED_VALUE"""),"DECODER DIGITAL HD HNB100 2T")</f>
        <v>DECODER DIGITAL HD HNB100 2T</v>
      </c>
      <c r="B480" s="22">
        <f>IFERROR(__xludf.DUMMYFUNCTION("""COMPUTED_VALUE"""),4.1001276E7)</f>
        <v>41001276</v>
      </c>
      <c r="C480" s="21" t="str">
        <f>IFERROR(__xludf.DUMMYFUNCTION("""COMPUTED_VALUE"""),"216337057898")</f>
        <v>216337057898</v>
      </c>
      <c r="D480" s="21" t="str">
        <f>IFERROR(__xludf.DUMMYFUNCTION("""COMPUTED_VALUE"""),"DIGITEC TECNOLOGIA DIGITAL E REPRES")</f>
        <v>DIGITEC TECNOLOGIA DIGITAL E REPRES</v>
      </c>
      <c r="E480" s="21">
        <f>IFERROR(__xludf.DUMMYFUNCTION("""COMPUTED_VALUE"""),145359.0)</f>
        <v>145359</v>
      </c>
      <c r="F480" s="21" t="str">
        <f>IFERROR(__xludf.DUMMYFUNCTION("""COMPUTED_VALUE"""),"INICIALIZADO")</f>
        <v>INICIALIZADO</v>
      </c>
      <c r="G480" s="23">
        <f>IFERROR(__xludf.DUMMYFUNCTION("""COMPUTED_VALUE"""),45635.535057870366)</f>
        <v>45635.53506</v>
      </c>
      <c r="H480" s="24" t="str">
        <f>IFERROR(VLOOKUP(B480,material!A:D,3,0),"")</f>
        <v>TOP MIX</v>
      </c>
    </row>
    <row r="481" ht="11.25" customHeight="1">
      <c r="A481" s="21" t="str">
        <f>IFERROR(__xludf.DUMMYFUNCTION("""COMPUTED_VALUE"""),"DECODER DIGITAL HD HNB100 2T")</f>
        <v>DECODER DIGITAL HD HNB100 2T</v>
      </c>
      <c r="B481" s="22">
        <f>IFERROR(__xludf.DUMMYFUNCTION("""COMPUTED_VALUE"""),4.1001276E7)</f>
        <v>41001276</v>
      </c>
      <c r="C481" s="21" t="str">
        <f>IFERROR(__xludf.DUMMYFUNCTION("""COMPUTED_VALUE"""),"216337486986")</f>
        <v>216337486986</v>
      </c>
      <c r="D481" s="21" t="str">
        <f>IFERROR(__xludf.DUMMYFUNCTION("""COMPUTED_VALUE"""),"DIGITEC TECNOLOGIA DIGITAL E REPRES")</f>
        <v>DIGITEC TECNOLOGIA DIGITAL E REPRES</v>
      </c>
      <c r="E481" s="21">
        <f>IFERROR(__xludf.DUMMYFUNCTION("""COMPUTED_VALUE"""),145359.0)</f>
        <v>145359</v>
      </c>
      <c r="F481" s="21" t="str">
        <f>IFERROR(__xludf.DUMMYFUNCTION("""COMPUTED_VALUE"""),"INICIALIZADO")</f>
        <v>INICIALIZADO</v>
      </c>
      <c r="G481" s="23">
        <f>IFERROR(__xludf.DUMMYFUNCTION("""COMPUTED_VALUE"""),45642.52413194445)</f>
        <v>45642.52413</v>
      </c>
      <c r="H481" s="24" t="str">
        <f>IFERROR(VLOOKUP(B481,material!A:D,3,0),"")</f>
        <v>TOP MIX</v>
      </c>
    </row>
    <row r="482" ht="11.25" customHeight="1">
      <c r="A482" s="21" t="str">
        <f>IFERROR(__xludf.DUMMYFUNCTION("""COMPUTED_VALUE"""),"DECODER DIGITAL HD HNB100 2T")</f>
        <v>DECODER DIGITAL HD HNB100 2T</v>
      </c>
      <c r="B482" s="22">
        <f>IFERROR(__xludf.DUMMYFUNCTION("""COMPUTED_VALUE"""),4.1001276E7)</f>
        <v>41001276</v>
      </c>
      <c r="C482" s="21" t="str">
        <f>IFERROR(__xludf.DUMMYFUNCTION("""COMPUTED_VALUE"""),"216336106481")</f>
        <v>216336106481</v>
      </c>
      <c r="D482" s="21" t="str">
        <f>IFERROR(__xludf.DUMMYFUNCTION("""COMPUTED_VALUE"""),"DIGITEC TECNOLOGIA DIGITAL E REPRES")</f>
        <v>DIGITEC TECNOLOGIA DIGITAL E REPRES</v>
      </c>
      <c r="E482" s="21">
        <f>IFERROR(__xludf.DUMMYFUNCTION("""COMPUTED_VALUE"""),145359.0)</f>
        <v>145359</v>
      </c>
      <c r="F482" s="21" t="str">
        <f>IFERROR(__xludf.DUMMYFUNCTION("""COMPUTED_VALUE"""),"INICIALIZADO")</f>
        <v>INICIALIZADO</v>
      </c>
      <c r="G482" s="23">
        <f>IFERROR(__xludf.DUMMYFUNCTION("""COMPUTED_VALUE"""),45635.535057870366)</f>
        <v>45635.53506</v>
      </c>
      <c r="H482" s="24" t="str">
        <f>IFERROR(VLOOKUP(B482,material!A:D,3,0),"")</f>
        <v>TOP MIX</v>
      </c>
    </row>
    <row r="483" ht="11.25" customHeight="1">
      <c r="A483" s="21" t="str">
        <f>IFERROR(__xludf.DUMMYFUNCTION("""COMPUTED_VALUE"""),"DECODER DIGITAL HD HNB100 2T")</f>
        <v>DECODER DIGITAL HD HNB100 2T</v>
      </c>
      <c r="B483" s="22">
        <f>IFERROR(__xludf.DUMMYFUNCTION("""COMPUTED_VALUE"""),4.1001276E7)</f>
        <v>41001276</v>
      </c>
      <c r="C483" s="21" t="str">
        <f>IFERROR(__xludf.DUMMYFUNCTION("""COMPUTED_VALUE"""),"216414197581")</f>
        <v>216414197581</v>
      </c>
      <c r="D483" s="21" t="str">
        <f>IFERROR(__xludf.DUMMYFUNCTION("""COMPUTED_VALUE"""),"DIGITEC TECNOLOGIA DIGITAL E REPRES")</f>
        <v>DIGITEC TECNOLOGIA DIGITAL E REPRES</v>
      </c>
      <c r="E483" s="21">
        <f>IFERROR(__xludf.DUMMYFUNCTION("""COMPUTED_VALUE"""),145359.0)</f>
        <v>145359</v>
      </c>
      <c r="F483" s="21" t="str">
        <f>IFERROR(__xludf.DUMMYFUNCTION("""COMPUTED_VALUE"""),"INICIALIZADO")</f>
        <v>INICIALIZADO</v>
      </c>
      <c r="G483" s="23">
        <f>IFERROR(__xludf.DUMMYFUNCTION("""COMPUTED_VALUE"""),45635.535046296296)</f>
        <v>45635.53505</v>
      </c>
      <c r="H483" s="24" t="str">
        <f>IFERROR(VLOOKUP(B483,material!A:D,3,0),"")</f>
        <v>TOP MIX</v>
      </c>
    </row>
    <row r="484" ht="11.25" customHeight="1">
      <c r="A484" s="21" t="str">
        <f>IFERROR(__xludf.DUMMYFUNCTION("""COMPUTED_VALUE"""),"DECODER DIGITAL HD HNB100 2T")</f>
        <v>DECODER DIGITAL HD HNB100 2T</v>
      </c>
      <c r="B484" s="22">
        <f>IFERROR(__xludf.DUMMYFUNCTION("""COMPUTED_VALUE"""),4.1001276E7)</f>
        <v>41001276</v>
      </c>
      <c r="C484" s="21" t="str">
        <f>IFERROR(__xludf.DUMMYFUNCTION("""COMPUTED_VALUE"""),"184270731517")</f>
        <v>184270731517</v>
      </c>
      <c r="D484" s="21" t="str">
        <f>IFERROR(__xludf.DUMMYFUNCTION("""COMPUTED_VALUE"""),"DIGITEC TECNOLOGIA DIGITAL E REPRES")</f>
        <v>DIGITEC TECNOLOGIA DIGITAL E REPRES</v>
      </c>
      <c r="E484" s="21">
        <f>IFERROR(__xludf.DUMMYFUNCTION("""COMPUTED_VALUE"""),145359.0)</f>
        <v>145359</v>
      </c>
      <c r="F484" s="21" t="str">
        <f>IFERROR(__xludf.DUMMYFUNCTION("""COMPUTED_VALUE"""),"INICIALIZADO")</f>
        <v>INICIALIZADO</v>
      </c>
      <c r="G484" s="23">
        <f>IFERROR(__xludf.DUMMYFUNCTION("""COMPUTED_VALUE"""),45642.52413194445)</f>
        <v>45642.52413</v>
      </c>
      <c r="H484" s="24" t="str">
        <f>IFERROR(VLOOKUP(B484,material!A:D,3,0),"")</f>
        <v>TOP MIX</v>
      </c>
    </row>
    <row r="485" ht="11.25" customHeight="1">
      <c r="A485" s="21" t="str">
        <f>IFERROR(__xludf.DUMMYFUNCTION("""COMPUTED_VALUE"""),"SMART CARD PRETO NAGRA")</f>
        <v>SMART CARD PRETO NAGRA</v>
      </c>
      <c r="B485" s="22">
        <f>IFERROR(__xludf.DUMMYFUNCTION("""COMPUTED_VALUE"""),4.1001234E7)</f>
        <v>41001234</v>
      </c>
      <c r="C485" s="21" t="str">
        <f>IFERROR(__xludf.DUMMYFUNCTION("""COMPUTED_VALUE"""),"246034910404")</f>
        <v>246034910404</v>
      </c>
      <c r="D485" s="21" t="str">
        <f>IFERROR(__xludf.DUMMYFUNCTION("""COMPUTED_VALUE"""),"DIGITEC TECNOLOGIA DIGITAL E REPRES")</f>
        <v>DIGITEC TECNOLOGIA DIGITAL E REPRES</v>
      </c>
      <c r="E485" s="21">
        <f>IFERROR(__xludf.DUMMYFUNCTION("""COMPUTED_VALUE"""),145359.0)</f>
        <v>145359</v>
      </c>
      <c r="F485" s="21" t="str">
        <f>IFERROR(__xludf.DUMMYFUNCTION("""COMPUTED_VALUE"""),"INICIALIZADO")</f>
        <v>INICIALIZADO</v>
      </c>
      <c r="G485" s="23">
        <f>IFERROR(__xludf.DUMMYFUNCTION("""COMPUTED_VALUE"""),45600.47597222222)</f>
        <v>45600.47597</v>
      </c>
      <c r="H485" s="24" t="str">
        <f>IFERROR(VLOOKUP(B485,material!A:D,3,0),"")</f>
        <v>CARD</v>
      </c>
    </row>
    <row r="486" ht="11.25" customHeight="1">
      <c r="A486" s="21" t="str">
        <f>IFERROR(__xludf.DUMMYFUNCTION("""COMPUTED_VALUE"""),"SMART CARD PRETO NAGRA")</f>
        <v>SMART CARD PRETO NAGRA</v>
      </c>
      <c r="B486" s="22">
        <f>IFERROR(__xludf.DUMMYFUNCTION("""COMPUTED_VALUE"""),4.1001234E7)</f>
        <v>41001234</v>
      </c>
      <c r="C486" s="21" t="str">
        <f>IFERROR(__xludf.DUMMYFUNCTION("""COMPUTED_VALUE"""),"226323277681")</f>
        <v>226323277681</v>
      </c>
      <c r="D486" s="21" t="str">
        <f>IFERROR(__xludf.DUMMYFUNCTION("""COMPUTED_VALUE"""),"DIGITEC TECNOLOGIA DIGITAL E REPRES")</f>
        <v>DIGITEC TECNOLOGIA DIGITAL E REPRES</v>
      </c>
      <c r="E486" s="21">
        <f>IFERROR(__xludf.DUMMYFUNCTION("""COMPUTED_VALUE"""),145359.0)</f>
        <v>145359</v>
      </c>
      <c r="F486" s="21" t="str">
        <f>IFERROR(__xludf.DUMMYFUNCTION("""COMPUTED_VALUE"""),"INICIALIZADO")</f>
        <v>INICIALIZADO</v>
      </c>
      <c r="G486" s="23">
        <f>IFERROR(__xludf.DUMMYFUNCTION("""COMPUTED_VALUE"""),45600.47596064815)</f>
        <v>45600.47596</v>
      </c>
      <c r="H486" s="24" t="str">
        <f>IFERROR(VLOOKUP(B486,material!A:D,3,0),"")</f>
        <v>CARD</v>
      </c>
    </row>
    <row r="487" ht="11.25" customHeight="1">
      <c r="A487" s="21" t="str">
        <f>IFERROR(__xludf.DUMMYFUNCTION("""COMPUTED_VALUE"""),"DECODER DIGITAL HD HNB100 2T")</f>
        <v>DECODER DIGITAL HD HNB100 2T</v>
      </c>
      <c r="B487" s="22">
        <f>IFERROR(__xludf.DUMMYFUNCTION("""COMPUTED_VALUE"""),4.1001276E7)</f>
        <v>41001276</v>
      </c>
      <c r="C487" s="21" t="str">
        <f>IFERROR(__xludf.DUMMYFUNCTION("""COMPUTED_VALUE"""),"216753867375")</f>
        <v>216753867375</v>
      </c>
      <c r="D487" s="21" t="str">
        <f>IFERROR(__xludf.DUMMYFUNCTION("""COMPUTED_VALUE"""),"DIGITEC TECNOLOGIA DIGITAL E REPRES")</f>
        <v>DIGITEC TECNOLOGIA DIGITAL E REPRES</v>
      </c>
      <c r="E487" s="21">
        <f>IFERROR(__xludf.DUMMYFUNCTION("""COMPUTED_VALUE"""),145359.0)</f>
        <v>145359</v>
      </c>
      <c r="F487" s="21" t="str">
        <f>IFERROR(__xludf.DUMMYFUNCTION("""COMPUTED_VALUE"""),"INICIALIZADO")</f>
        <v>INICIALIZADO</v>
      </c>
      <c r="G487" s="23">
        <f>IFERROR(__xludf.DUMMYFUNCTION("""COMPUTED_VALUE"""),45635.535)</f>
        <v>45635.535</v>
      </c>
      <c r="H487" s="24" t="str">
        <f>IFERROR(VLOOKUP(B487,material!A:D,3,0),"")</f>
        <v>TOP MIX</v>
      </c>
    </row>
    <row r="488" ht="11.25" customHeight="1">
      <c r="A488" s="21" t="str">
        <f>IFERROR(__xludf.DUMMYFUNCTION("""COMPUTED_VALUE"""),"ARRIS TG1692A")</f>
        <v>ARRIS TG1692A</v>
      </c>
      <c r="B488" s="22">
        <f>IFERROR(__xludf.DUMMYFUNCTION("""COMPUTED_VALUE"""),4.1001293E7)</f>
        <v>41001293</v>
      </c>
      <c r="C488" s="21" t="str">
        <f>IFERROR(__xludf.DUMMYFUNCTION("""COMPUTED_VALUE"""),"A89FECC31DC7")</f>
        <v>A89FECC31DC7</v>
      </c>
      <c r="D488" s="21" t="str">
        <f>IFERROR(__xludf.DUMMYFUNCTION("""COMPUTED_VALUE"""),"DIGITEC TECNOLOGIA DIGITAL E REPRES")</f>
        <v>DIGITEC TECNOLOGIA DIGITAL E REPRES</v>
      </c>
      <c r="E488" s="21">
        <f>IFERROR(__xludf.DUMMYFUNCTION("""COMPUTED_VALUE"""),145359.0)</f>
        <v>145359</v>
      </c>
      <c r="F488" s="21" t="str">
        <f>IFERROR(__xludf.DUMMYFUNCTION("""COMPUTED_VALUE"""),"INICIALIZADO")</f>
        <v>INICIALIZADO</v>
      </c>
      <c r="G488" s="23">
        <f>IFERROR(__xludf.DUMMYFUNCTION("""COMPUTED_VALUE"""),45180.446377314816)</f>
        <v>45180.44638</v>
      </c>
      <c r="H488" s="24" t="str">
        <f>IFERROR(VLOOKUP(B488,material!A:D,3,0),"")</f>
        <v>DUAL</v>
      </c>
    </row>
    <row r="489" ht="11.25" customHeight="1">
      <c r="A489" s="21" t="str">
        <f>IFERROR(__xludf.DUMMYFUNCTION("""COMPUTED_VALUE"""),"DECODER DIGITAL HD HNB100 2T")</f>
        <v>DECODER DIGITAL HD HNB100 2T</v>
      </c>
      <c r="B489" s="22">
        <f>IFERROR(__xludf.DUMMYFUNCTION("""COMPUTED_VALUE"""),4.1001276E7)</f>
        <v>41001276</v>
      </c>
      <c r="C489" s="21" t="str">
        <f>IFERROR(__xludf.DUMMYFUNCTION("""COMPUTED_VALUE"""),"216555171419")</f>
        <v>216555171419</v>
      </c>
      <c r="D489" s="21" t="str">
        <f>IFERROR(__xludf.DUMMYFUNCTION("""COMPUTED_VALUE"""),"DIGITEC TECNOLOGIA DIGITAL E REPRES")</f>
        <v>DIGITEC TECNOLOGIA DIGITAL E REPRES</v>
      </c>
      <c r="E489" s="21">
        <f>IFERROR(__xludf.DUMMYFUNCTION("""COMPUTED_VALUE"""),145359.0)</f>
        <v>145359</v>
      </c>
      <c r="F489" s="21" t="str">
        <f>IFERROR(__xludf.DUMMYFUNCTION("""COMPUTED_VALUE"""),"INICIALIZADO")</f>
        <v>INICIALIZADO</v>
      </c>
      <c r="G489" s="23">
        <f>IFERROR(__xludf.DUMMYFUNCTION("""COMPUTED_VALUE"""),45635.53508101852)</f>
        <v>45635.53508</v>
      </c>
      <c r="H489" s="24" t="str">
        <f>IFERROR(VLOOKUP(B489,material!A:D,3,0),"")</f>
        <v>TOP MIX</v>
      </c>
    </row>
    <row r="490" ht="11.25" customHeight="1">
      <c r="A490" s="21" t="str">
        <f>IFERROR(__xludf.DUMMYFUNCTION("""COMPUTED_VALUE"""),"DECODER DIGITAL HD HNB100 2T")</f>
        <v>DECODER DIGITAL HD HNB100 2T</v>
      </c>
      <c r="B490" s="22">
        <f>IFERROR(__xludf.DUMMYFUNCTION("""COMPUTED_VALUE"""),4.1001276E7)</f>
        <v>41001276</v>
      </c>
      <c r="C490" s="21" t="str">
        <f>IFERROR(__xludf.DUMMYFUNCTION("""COMPUTED_VALUE"""),"216862405454")</f>
        <v>216862405454</v>
      </c>
      <c r="D490" s="21" t="str">
        <f>IFERROR(__xludf.DUMMYFUNCTION("""COMPUTED_VALUE"""),"DIGITEC TECNOLOGIA DIGITAL E REPRES")</f>
        <v>DIGITEC TECNOLOGIA DIGITAL E REPRES</v>
      </c>
      <c r="E490" s="21">
        <f>IFERROR(__xludf.DUMMYFUNCTION("""COMPUTED_VALUE"""),145359.0)</f>
        <v>145359</v>
      </c>
      <c r="F490" s="21" t="str">
        <f>IFERROR(__xludf.DUMMYFUNCTION("""COMPUTED_VALUE"""),"INICIALIZADO")</f>
        <v>INICIALIZADO</v>
      </c>
      <c r="G490" s="23">
        <f>IFERROR(__xludf.DUMMYFUNCTION("""COMPUTED_VALUE"""),45635.53502314815)</f>
        <v>45635.53502</v>
      </c>
      <c r="H490" s="24" t="str">
        <f>IFERROR(VLOOKUP(B490,material!A:D,3,0),"")</f>
        <v>TOP MIX</v>
      </c>
    </row>
    <row r="491" ht="11.25" customHeight="1">
      <c r="A491" s="21" t="str">
        <f>IFERROR(__xludf.DUMMYFUNCTION("""COMPUTED_VALUE"""),"SMART CARD PRETO NAGRA")</f>
        <v>SMART CARD PRETO NAGRA</v>
      </c>
      <c r="B491" s="22">
        <f>IFERROR(__xludf.DUMMYFUNCTION("""COMPUTED_VALUE"""),4.1001234E7)</f>
        <v>41001234</v>
      </c>
      <c r="C491" s="21" t="str">
        <f>IFERROR(__xludf.DUMMYFUNCTION("""COMPUTED_VALUE"""),"226305292728")</f>
        <v>226305292728</v>
      </c>
      <c r="D491" s="21" t="str">
        <f>IFERROR(__xludf.DUMMYFUNCTION("""COMPUTED_VALUE"""),"DIGITEC TECNOLOGIA DIGITAL E REPRES")</f>
        <v>DIGITEC TECNOLOGIA DIGITAL E REPRES</v>
      </c>
      <c r="E491" s="21">
        <f>IFERROR(__xludf.DUMMYFUNCTION("""COMPUTED_VALUE"""),145359.0)</f>
        <v>145359</v>
      </c>
      <c r="F491" s="21" t="str">
        <f>IFERROR(__xludf.DUMMYFUNCTION("""COMPUTED_VALUE"""),"INICIALIZADO")</f>
        <v>INICIALIZADO</v>
      </c>
      <c r="G491" s="23">
        <f>IFERROR(__xludf.DUMMYFUNCTION("""COMPUTED_VALUE"""),45642.52412037037)</f>
        <v>45642.52412</v>
      </c>
      <c r="H491" s="24" t="str">
        <f>IFERROR(VLOOKUP(B491,material!A:D,3,0),"")</f>
        <v>CARD</v>
      </c>
    </row>
    <row r="492" ht="11.25" customHeight="1">
      <c r="A492" s="21" t="str">
        <f>IFERROR(__xludf.DUMMYFUNCTION("""COMPUTED_VALUE"""),"SMART CARD PRETO NAGRA")</f>
        <v>SMART CARD PRETO NAGRA</v>
      </c>
      <c r="B492" s="22">
        <f>IFERROR(__xludf.DUMMYFUNCTION("""COMPUTED_VALUE"""),4.1001234E7)</f>
        <v>41001234</v>
      </c>
      <c r="C492" s="21" t="str">
        <f>IFERROR(__xludf.DUMMYFUNCTION("""COMPUTED_VALUE"""),"226257845875")</f>
        <v>226257845875</v>
      </c>
      <c r="D492" s="21" t="str">
        <f>IFERROR(__xludf.DUMMYFUNCTION("""COMPUTED_VALUE"""),"DIGITEC TECNOLOGIA DIGITAL E REPRES")</f>
        <v>DIGITEC TECNOLOGIA DIGITAL E REPRES</v>
      </c>
      <c r="E492" s="21">
        <f>IFERROR(__xludf.DUMMYFUNCTION("""COMPUTED_VALUE"""),145359.0)</f>
        <v>145359</v>
      </c>
      <c r="F492" s="21" t="str">
        <f>IFERROR(__xludf.DUMMYFUNCTION("""COMPUTED_VALUE"""),"INICIALIZADO")</f>
        <v>INICIALIZADO</v>
      </c>
      <c r="G492" s="23">
        <f>IFERROR(__xludf.DUMMYFUNCTION("""COMPUTED_VALUE"""),45642.52410879629)</f>
        <v>45642.52411</v>
      </c>
      <c r="H492" s="24" t="str">
        <f>IFERROR(VLOOKUP(B492,material!A:D,3,0),"")</f>
        <v>CARD</v>
      </c>
    </row>
    <row r="493" ht="11.25" customHeight="1">
      <c r="A493" s="21" t="str">
        <f>IFERROR(__xludf.DUMMYFUNCTION("""COMPUTED_VALUE"""),"SMART CARD PRETO NAGRA")</f>
        <v>SMART CARD PRETO NAGRA</v>
      </c>
      <c r="B493" s="22">
        <f>IFERROR(__xludf.DUMMYFUNCTION("""COMPUTED_VALUE"""),4.1001234E7)</f>
        <v>41001234</v>
      </c>
      <c r="C493" s="21" t="str">
        <f>IFERROR(__xludf.DUMMYFUNCTION("""COMPUTED_VALUE"""),"226200031625")</f>
        <v>226200031625</v>
      </c>
      <c r="D493" s="21" t="str">
        <f>IFERROR(__xludf.DUMMYFUNCTION("""COMPUTED_VALUE"""),"DIGITEC TECNOLOGIA DIGITAL E REPRES")</f>
        <v>DIGITEC TECNOLOGIA DIGITAL E REPRES</v>
      </c>
      <c r="E493" s="21">
        <f>IFERROR(__xludf.DUMMYFUNCTION("""COMPUTED_VALUE"""),145359.0)</f>
        <v>145359</v>
      </c>
      <c r="F493" s="21" t="str">
        <f>IFERROR(__xludf.DUMMYFUNCTION("""COMPUTED_VALUE"""),"INICIALIZADO")</f>
        <v>INICIALIZADO</v>
      </c>
      <c r="G493" s="23">
        <f>IFERROR(__xludf.DUMMYFUNCTION("""COMPUTED_VALUE"""),45635.53494212963)</f>
        <v>45635.53494</v>
      </c>
      <c r="H493" s="24" t="str">
        <f>IFERROR(VLOOKUP(B493,material!A:D,3,0),"")</f>
        <v>CARD</v>
      </c>
    </row>
    <row r="494" ht="11.25" customHeight="1">
      <c r="A494" s="21" t="str">
        <f>IFERROR(__xludf.DUMMYFUNCTION("""COMPUTED_VALUE"""),"SMART CARD PRETO NAGRA")</f>
        <v>SMART CARD PRETO NAGRA</v>
      </c>
      <c r="B494" s="22">
        <f>IFERROR(__xludf.DUMMYFUNCTION("""COMPUTED_VALUE"""),4.1001234E7)</f>
        <v>41001234</v>
      </c>
      <c r="C494" s="21" t="str">
        <f>IFERROR(__xludf.DUMMYFUNCTION("""COMPUTED_VALUE"""),"246308306984")</f>
        <v>246308306984</v>
      </c>
      <c r="D494" s="21" t="str">
        <f>IFERROR(__xludf.DUMMYFUNCTION("""COMPUTED_VALUE"""),"DIGITEC TECNOLOGIA DIGITAL E REPRES")</f>
        <v>DIGITEC TECNOLOGIA DIGITAL E REPRES</v>
      </c>
      <c r="E494" s="21">
        <f>IFERROR(__xludf.DUMMYFUNCTION("""COMPUTED_VALUE"""),145359.0)</f>
        <v>145359</v>
      </c>
      <c r="F494" s="21" t="str">
        <f>IFERROR(__xludf.DUMMYFUNCTION("""COMPUTED_VALUE"""),"INICIALIZADO")</f>
        <v>INICIALIZADO</v>
      </c>
      <c r="G494" s="23">
        <f>IFERROR(__xludf.DUMMYFUNCTION("""COMPUTED_VALUE"""),45642.524097222224)</f>
        <v>45642.5241</v>
      </c>
      <c r="H494" s="24" t="str">
        <f>IFERROR(VLOOKUP(B494,material!A:D,3,0),"")</f>
        <v>CARD</v>
      </c>
    </row>
    <row r="495" ht="11.25" customHeight="1">
      <c r="A495" s="21" t="str">
        <f>IFERROR(__xludf.DUMMYFUNCTION("""COMPUTED_VALUE"""),"SMART CARD LARANJA NAGRA")</f>
        <v>SMART CARD LARANJA NAGRA</v>
      </c>
      <c r="B495" s="22">
        <f>IFERROR(__xludf.DUMMYFUNCTION("""COMPUTED_VALUE"""),4.1001186E7)</f>
        <v>41001186</v>
      </c>
      <c r="C495" s="21" t="str">
        <f>IFERROR(__xludf.DUMMYFUNCTION("""COMPUTED_VALUE"""),"226619983844")</f>
        <v>226619983844</v>
      </c>
      <c r="D495" s="21" t="str">
        <f>IFERROR(__xludf.DUMMYFUNCTION("""COMPUTED_VALUE"""),"DIGITEC TECNOLOGIA DIGITAL E REPRES")</f>
        <v>DIGITEC TECNOLOGIA DIGITAL E REPRES</v>
      </c>
      <c r="E495" s="21">
        <f>IFERROR(__xludf.DUMMYFUNCTION("""COMPUTED_VALUE"""),145359.0)</f>
        <v>145359</v>
      </c>
      <c r="F495" s="21" t="str">
        <f>IFERROR(__xludf.DUMMYFUNCTION("""COMPUTED_VALUE"""),"SUCATA")</f>
        <v>SUCATA</v>
      </c>
      <c r="G495" s="23">
        <f>IFERROR(__xludf.DUMMYFUNCTION("""COMPUTED_VALUE"""),45075.59909722222)</f>
        <v>45075.5991</v>
      </c>
      <c r="H495" s="24" t="str">
        <f>IFERROR(VLOOKUP(B495,material!A:D,3,0),"")</f>
        <v>CARD</v>
      </c>
    </row>
    <row r="496" ht="11.25" customHeight="1">
      <c r="A496" s="21" t="str">
        <f>IFERROR(__xludf.DUMMYFUNCTION("""COMPUTED_VALUE"""),"DECODER DIGITAL HD HNB100 2T")</f>
        <v>DECODER DIGITAL HD HNB100 2T</v>
      </c>
      <c r="B496" s="22">
        <f>IFERROR(__xludf.DUMMYFUNCTION("""COMPUTED_VALUE"""),4.1001276E7)</f>
        <v>41001276</v>
      </c>
      <c r="C496" s="21" t="str">
        <f>IFERROR(__xludf.DUMMYFUNCTION("""COMPUTED_VALUE"""),"216400004255")</f>
        <v>216400004255</v>
      </c>
      <c r="D496" s="21" t="str">
        <f>IFERROR(__xludf.DUMMYFUNCTION("""COMPUTED_VALUE"""),"DIGITEC TECNOLOGIA DIGITAL E REPRES")</f>
        <v>DIGITEC TECNOLOGIA DIGITAL E REPRES</v>
      </c>
      <c r="E496" s="21">
        <f>IFERROR(__xludf.DUMMYFUNCTION("""COMPUTED_VALUE"""),145359.0)</f>
        <v>145359</v>
      </c>
      <c r="F496" s="21" t="str">
        <f>IFERROR(__xludf.DUMMYFUNCTION("""COMPUTED_VALUE"""),"INICIALIZADO")</f>
        <v>INICIALIZADO</v>
      </c>
      <c r="G496" s="23">
        <f>IFERROR(__xludf.DUMMYFUNCTION("""COMPUTED_VALUE"""),45642.52413194445)</f>
        <v>45642.52413</v>
      </c>
      <c r="H496" s="24" t="str">
        <f>IFERROR(VLOOKUP(B496,material!A:D,3,0),"")</f>
        <v>TOP MIX</v>
      </c>
    </row>
    <row r="497" ht="11.25" customHeight="1">
      <c r="A497" s="21" t="str">
        <f>IFERROR(__xludf.DUMMYFUNCTION("""COMPUTED_VALUE"""),"DECODER DIGITAL HD HNB100 2T")</f>
        <v>DECODER DIGITAL HD HNB100 2T</v>
      </c>
      <c r="B497" s="22">
        <f>IFERROR(__xludf.DUMMYFUNCTION("""COMPUTED_VALUE"""),4.1001276E7)</f>
        <v>41001276</v>
      </c>
      <c r="C497" s="21" t="str">
        <f>IFERROR(__xludf.DUMMYFUNCTION("""COMPUTED_VALUE"""),"216512652533")</f>
        <v>216512652533</v>
      </c>
      <c r="D497" s="21" t="str">
        <f>IFERROR(__xludf.DUMMYFUNCTION("""COMPUTED_VALUE"""),"DIGITEC TECNOLOGIA DIGITAL E REPRES")</f>
        <v>DIGITEC TECNOLOGIA DIGITAL E REPRES</v>
      </c>
      <c r="E497" s="21">
        <f>IFERROR(__xludf.DUMMYFUNCTION("""COMPUTED_VALUE"""),145359.0)</f>
        <v>145359</v>
      </c>
      <c r="F497" s="21" t="str">
        <f>IFERROR(__xludf.DUMMYFUNCTION("""COMPUTED_VALUE"""),"INICIALIZADO")</f>
        <v>INICIALIZADO</v>
      </c>
      <c r="G497" s="23">
        <f>IFERROR(__xludf.DUMMYFUNCTION("""COMPUTED_VALUE"""),45635.53508101852)</f>
        <v>45635.53508</v>
      </c>
      <c r="H497" s="24" t="str">
        <f>IFERROR(VLOOKUP(B497,material!A:D,3,0),"")</f>
        <v>TOP MIX</v>
      </c>
    </row>
    <row r="498" ht="11.25" customHeight="1">
      <c r="A498" s="21" t="str">
        <f>IFERROR(__xludf.DUMMYFUNCTION("""COMPUTED_VALUE"""),"DECODER DIGITAL HD HNB100 2T")</f>
        <v>DECODER DIGITAL HD HNB100 2T</v>
      </c>
      <c r="B498" s="22">
        <f>IFERROR(__xludf.DUMMYFUNCTION("""COMPUTED_VALUE"""),4.1001276E7)</f>
        <v>41001276</v>
      </c>
      <c r="C498" s="21" t="str">
        <f>IFERROR(__xludf.DUMMYFUNCTION("""COMPUTED_VALUE"""),"184269470014")</f>
        <v>184269470014</v>
      </c>
      <c r="D498" s="21" t="str">
        <f>IFERROR(__xludf.DUMMYFUNCTION("""COMPUTED_VALUE"""),"DIGITEC TECNOLOGIA DIGITAL E REPRES")</f>
        <v>DIGITEC TECNOLOGIA DIGITAL E REPRES</v>
      </c>
      <c r="E498" s="21">
        <f>IFERROR(__xludf.DUMMYFUNCTION("""COMPUTED_VALUE"""),145359.0)</f>
        <v>145359</v>
      </c>
      <c r="F498" s="21" t="str">
        <f>IFERROR(__xludf.DUMMYFUNCTION("""COMPUTED_VALUE"""),"INICIALIZADO")</f>
        <v>INICIALIZADO</v>
      </c>
      <c r="G498" s="23">
        <f>IFERROR(__xludf.DUMMYFUNCTION("""COMPUTED_VALUE"""),45635.535057870366)</f>
        <v>45635.53506</v>
      </c>
      <c r="H498" s="24" t="str">
        <f>IFERROR(VLOOKUP(B498,material!A:D,3,0),"")</f>
        <v>TOP MIX</v>
      </c>
    </row>
    <row r="499" ht="11.25" customHeight="1">
      <c r="A499" s="21" t="str">
        <f>IFERROR(__xludf.DUMMYFUNCTION("""COMPUTED_VALUE"""),"SMART CARD PRETO NAGRA")</f>
        <v>SMART CARD PRETO NAGRA</v>
      </c>
      <c r="B499" s="22">
        <f>IFERROR(__xludf.DUMMYFUNCTION("""COMPUTED_VALUE"""),4.1001234E7)</f>
        <v>41001234</v>
      </c>
      <c r="C499" s="21" t="str">
        <f>IFERROR(__xludf.DUMMYFUNCTION("""COMPUTED_VALUE"""),"246065416276")</f>
        <v>246065416276</v>
      </c>
      <c r="D499" s="21" t="str">
        <f>IFERROR(__xludf.DUMMYFUNCTION("""COMPUTED_VALUE"""),"DIGITEC TECNOLOGIA DIGITAL E REPRES")</f>
        <v>DIGITEC TECNOLOGIA DIGITAL E REPRES</v>
      </c>
      <c r="E499" s="21">
        <f>IFERROR(__xludf.DUMMYFUNCTION("""COMPUTED_VALUE"""),145359.0)</f>
        <v>145359</v>
      </c>
      <c r="F499" s="21" t="str">
        <f>IFERROR(__xludf.DUMMYFUNCTION("""COMPUTED_VALUE"""),"INICIALIZADO")</f>
        <v>INICIALIZADO</v>
      </c>
      <c r="G499" s="23">
        <f>IFERROR(__xludf.DUMMYFUNCTION("""COMPUTED_VALUE"""),45594.64797453704)</f>
        <v>45594.64797</v>
      </c>
      <c r="H499" s="24" t="str">
        <f>IFERROR(VLOOKUP(B499,material!A:D,3,0),"")</f>
        <v>CARD</v>
      </c>
    </row>
    <row r="500" ht="11.25" customHeight="1">
      <c r="A500" s="21" t="str">
        <f>IFERROR(__xludf.DUMMYFUNCTION("""COMPUTED_VALUE"""),"SMART CARD PRETO NAGRA")</f>
        <v>SMART CARD PRETO NAGRA</v>
      </c>
      <c r="B500" s="22">
        <f>IFERROR(__xludf.DUMMYFUNCTION("""COMPUTED_VALUE"""),4.1001234E7)</f>
        <v>41001234</v>
      </c>
      <c r="C500" s="21" t="str">
        <f>IFERROR(__xludf.DUMMYFUNCTION("""COMPUTED_VALUE"""),"246097002648")</f>
        <v>246097002648</v>
      </c>
      <c r="D500" s="21" t="str">
        <f>IFERROR(__xludf.DUMMYFUNCTION("""COMPUTED_VALUE"""),"DIGITEC TECNOLOGIA DIGITAL E REPRES")</f>
        <v>DIGITEC TECNOLOGIA DIGITAL E REPRES</v>
      </c>
      <c r="E500" s="21">
        <f>IFERROR(__xludf.DUMMYFUNCTION("""COMPUTED_VALUE"""),145359.0)</f>
        <v>145359</v>
      </c>
      <c r="F500" s="21" t="str">
        <f>IFERROR(__xludf.DUMMYFUNCTION("""COMPUTED_VALUE"""),"INICIALIZADO")</f>
        <v>INICIALIZADO</v>
      </c>
      <c r="G500" s="23">
        <f>IFERROR(__xludf.DUMMYFUNCTION("""COMPUTED_VALUE"""),45600.47594907407)</f>
        <v>45600.47595</v>
      </c>
      <c r="H500" s="24" t="str">
        <f>IFERROR(VLOOKUP(B500,material!A:D,3,0),"")</f>
        <v>CARD</v>
      </c>
    </row>
    <row r="501" ht="11.25" customHeight="1">
      <c r="A501" s="21" t="str">
        <f>IFERROR(__xludf.DUMMYFUNCTION("""COMPUTED_VALUE"""),"ARRIS TG1692A")</f>
        <v>ARRIS TG1692A</v>
      </c>
      <c r="B501" s="22">
        <f>IFERROR(__xludf.DUMMYFUNCTION("""COMPUTED_VALUE"""),4.1001293E7)</f>
        <v>41001293</v>
      </c>
      <c r="C501" s="21" t="str">
        <f>IFERROR(__xludf.DUMMYFUNCTION("""COMPUTED_VALUE"""),"BC644BD0C602")</f>
        <v>BC644BD0C602</v>
      </c>
      <c r="D501" s="21" t="str">
        <f>IFERROR(__xludf.DUMMYFUNCTION("""COMPUTED_VALUE"""),"DIGITEC TECNOLOGIA DIGITAL E REPRES")</f>
        <v>DIGITEC TECNOLOGIA DIGITAL E REPRES</v>
      </c>
      <c r="E501" s="21">
        <f>IFERROR(__xludf.DUMMYFUNCTION("""COMPUTED_VALUE"""),145359.0)</f>
        <v>145359</v>
      </c>
      <c r="F501" s="21" t="str">
        <f>IFERROR(__xludf.DUMMYFUNCTION("""COMPUTED_VALUE"""),"ANALISE DE INVENTARIO")</f>
        <v>ANALISE DE INVENTARIO</v>
      </c>
      <c r="G501" s="23">
        <f>IFERROR(__xludf.DUMMYFUNCTION("""COMPUTED_VALUE"""),45617.660150462965)</f>
        <v>45617.66015</v>
      </c>
      <c r="H501" s="24" t="str">
        <f>IFERROR(VLOOKUP(B501,material!A:D,3,0),"")</f>
        <v>DUAL</v>
      </c>
    </row>
    <row r="502" ht="11.25" customHeight="1">
      <c r="A502" s="21" t="str">
        <f>IFERROR(__xludf.DUMMYFUNCTION("""COMPUTED_VALUE"""),"HUMAX HGB10R-02")</f>
        <v>HUMAX HGB10R-02</v>
      </c>
      <c r="B502" s="22">
        <f>IFERROR(__xludf.DUMMYFUNCTION("""COMPUTED_VALUE"""),4.1001292E7)</f>
        <v>41001292</v>
      </c>
      <c r="C502" s="21" t="str">
        <f>IFERROR(__xludf.DUMMYFUNCTION("""COMPUTED_VALUE"""),"90F3055B77EF")</f>
        <v>90F3055B77EF</v>
      </c>
      <c r="D502" s="21" t="str">
        <f>IFERROR(__xludf.DUMMYFUNCTION("""COMPUTED_VALUE"""),"DIGITEC TECNOLOGIA DIGITAL E REPRES")</f>
        <v>DIGITEC TECNOLOGIA DIGITAL E REPRES</v>
      </c>
      <c r="E502" s="21">
        <f>IFERROR(__xludf.DUMMYFUNCTION("""COMPUTED_VALUE"""),145359.0)</f>
        <v>145359</v>
      </c>
      <c r="F502" s="21" t="str">
        <f>IFERROR(__xludf.DUMMYFUNCTION("""COMPUTED_VALUE"""),"TRANSITO REVERSA")</f>
        <v>TRANSITO REVERSA</v>
      </c>
      <c r="G502" s="23">
        <f>IFERROR(__xludf.DUMMYFUNCTION("""COMPUTED_VALUE"""),45633.00399305555)</f>
        <v>45633.00399</v>
      </c>
      <c r="H502" s="24" t="str">
        <f>IFERROR(VLOOKUP(B502,material!A:D,3,0),"")</f>
        <v>DUAL</v>
      </c>
    </row>
    <row r="503" ht="11.25" customHeight="1">
      <c r="A503" s="21" t="str">
        <f>IFERROR(__xludf.DUMMYFUNCTION("""COMPUTED_VALUE"""),"HUMAX HGB10R-02")</f>
        <v>HUMAX HGB10R-02</v>
      </c>
      <c r="B503" s="22">
        <f>IFERROR(__xludf.DUMMYFUNCTION("""COMPUTED_VALUE"""),4.1001292E7)</f>
        <v>41001292</v>
      </c>
      <c r="C503" s="21" t="str">
        <f>IFERROR(__xludf.DUMMYFUNCTION("""COMPUTED_VALUE"""),"E820E290A850")</f>
        <v>E820E290A850</v>
      </c>
      <c r="D503" s="21" t="str">
        <f>IFERROR(__xludf.DUMMYFUNCTION("""COMPUTED_VALUE"""),"DIGITEC TECNOLOGIA DIGITAL E REPRES")</f>
        <v>DIGITEC TECNOLOGIA DIGITAL E REPRES</v>
      </c>
      <c r="E503" s="21">
        <f>IFERROR(__xludf.DUMMYFUNCTION("""COMPUTED_VALUE"""),145359.0)</f>
        <v>145359</v>
      </c>
      <c r="F503" s="21" t="str">
        <f>IFERROR(__xludf.DUMMYFUNCTION("""COMPUTED_VALUE"""),"TRANSITO REVERSA")</f>
        <v>TRANSITO REVERSA</v>
      </c>
      <c r="G503" s="23">
        <f>IFERROR(__xludf.DUMMYFUNCTION("""COMPUTED_VALUE"""),45610.73042824074)</f>
        <v>45610.73043</v>
      </c>
      <c r="H503" s="24" t="str">
        <f>IFERROR(VLOOKUP(B503,material!A:D,3,0),"")</f>
        <v>DUAL</v>
      </c>
    </row>
    <row r="504" ht="11.25" customHeight="1">
      <c r="A504" s="21" t="str">
        <f>IFERROR(__xludf.DUMMYFUNCTION("""COMPUTED_VALUE"""),"DECODER HD DCI738 2T")</f>
        <v>DECODER HD DCI738 2T</v>
      </c>
      <c r="B504" s="22">
        <f>IFERROR(__xludf.DUMMYFUNCTION("""COMPUTED_VALUE"""),4.1001275E7)</f>
        <v>41001275</v>
      </c>
      <c r="C504" s="21" t="str">
        <f>IFERROR(__xludf.DUMMYFUNCTION("""COMPUTED_VALUE"""),"216684693745")</f>
        <v>216684693745</v>
      </c>
      <c r="D504" s="21" t="str">
        <f>IFERROR(__xludf.DUMMYFUNCTION("""COMPUTED_VALUE"""),"DIGITEC TECNOLOGIA DIGITAL E REPRES")</f>
        <v>DIGITEC TECNOLOGIA DIGITAL E REPRES</v>
      </c>
      <c r="E504" s="21">
        <f>IFERROR(__xludf.DUMMYFUNCTION("""COMPUTED_VALUE"""),145359.0)</f>
        <v>145359</v>
      </c>
      <c r="F504" s="21" t="str">
        <f>IFERROR(__xludf.DUMMYFUNCTION("""COMPUTED_VALUE"""),"TRANSITO REVERSA")</f>
        <v>TRANSITO REVERSA</v>
      </c>
      <c r="G504" s="23">
        <f>IFERROR(__xludf.DUMMYFUNCTION("""COMPUTED_VALUE"""),45638.520625000005)</f>
        <v>45638.52063</v>
      </c>
      <c r="H504" s="24" t="str">
        <f>IFERROR(VLOOKUP(B504,material!A:D,3,0),"")</f>
        <v>TOP MIX</v>
      </c>
    </row>
    <row r="505" ht="11.25" customHeight="1">
      <c r="A505" s="21" t="str">
        <f>IFERROR(__xludf.DUMMYFUNCTION("""COMPUTED_VALUE"""),"DECODER DIGITAL HD DXC5000 2T")</f>
        <v>DECODER DIGITAL HD DXC5000 2T</v>
      </c>
      <c r="B505" s="22">
        <f>IFERROR(__xludf.DUMMYFUNCTION("""COMPUTED_VALUE"""),4.1001277E7)</f>
        <v>41001277</v>
      </c>
      <c r="C505" s="21" t="str">
        <f>IFERROR(__xludf.DUMMYFUNCTION("""COMPUTED_VALUE"""),"216781494146")</f>
        <v>216781494146</v>
      </c>
      <c r="D505" s="21" t="str">
        <f>IFERROR(__xludf.DUMMYFUNCTION("""COMPUTED_VALUE"""),"DIGITEC TECNOLOGIA DIGITAL E REPRES")</f>
        <v>DIGITEC TECNOLOGIA DIGITAL E REPRES</v>
      </c>
      <c r="E505" s="21">
        <f>IFERROR(__xludf.DUMMYFUNCTION("""COMPUTED_VALUE"""),145359.0)</f>
        <v>145359</v>
      </c>
      <c r="F505" s="21" t="str">
        <f>IFERROR(__xludf.DUMMYFUNCTION("""COMPUTED_VALUE"""),"TRANSITO REVERSA")</f>
        <v>TRANSITO REVERSA</v>
      </c>
      <c r="G505" s="23">
        <f>IFERROR(__xludf.DUMMYFUNCTION("""COMPUTED_VALUE"""),45626.298692129625)</f>
        <v>45626.29869</v>
      </c>
      <c r="H505" s="24" t="str">
        <f>IFERROR(VLOOKUP(B505,material!A:D,3,0),"")</f>
        <v>TOP MIX</v>
      </c>
    </row>
    <row r="506" ht="11.25" customHeight="1">
      <c r="A506" s="21" t="str">
        <f>IFERROR(__xludf.DUMMYFUNCTION("""COMPUTED_VALUE"""),"DECODER DIGITAL HD DXC5000 2T")</f>
        <v>DECODER DIGITAL HD DXC5000 2T</v>
      </c>
      <c r="B506" s="22">
        <f>IFERROR(__xludf.DUMMYFUNCTION("""COMPUTED_VALUE"""),4.1001277E7)</f>
        <v>41001277</v>
      </c>
      <c r="C506" s="21" t="str">
        <f>IFERROR(__xludf.DUMMYFUNCTION("""COMPUTED_VALUE"""),"216808616871")</f>
        <v>216808616871</v>
      </c>
      <c r="D506" s="21" t="str">
        <f>IFERROR(__xludf.DUMMYFUNCTION("""COMPUTED_VALUE"""),"DIGITEC TECNOLOGIA DIGITAL E REPRES")</f>
        <v>DIGITEC TECNOLOGIA DIGITAL E REPRES</v>
      </c>
      <c r="E506" s="21">
        <f>IFERROR(__xludf.DUMMYFUNCTION("""COMPUTED_VALUE"""),145359.0)</f>
        <v>145359</v>
      </c>
      <c r="F506" s="21" t="str">
        <f>IFERROR(__xludf.DUMMYFUNCTION("""COMPUTED_VALUE"""),"TRANSITO REVERSA")</f>
        <v>TRANSITO REVERSA</v>
      </c>
      <c r="G506" s="23">
        <f>IFERROR(__xludf.DUMMYFUNCTION("""COMPUTED_VALUE"""),45633.00398148148)</f>
        <v>45633.00398</v>
      </c>
      <c r="H506" s="24" t="str">
        <f>IFERROR(VLOOKUP(B506,material!A:D,3,0),"")</f>
        <v>TOP MIX</v>
      </c>
    </row>
    <row r="507" ht="11.25" customHeight="1">
      <c r="A507" s="21" t="str">
        <f>IFERROR(__xludf.DUMMYFUNCTION("""COMPUTED_VALUE"""),"DECODER DIGITAL HD DXC5000 2T")</f>
        <v>DECODER DIGITAL HD DXC5000 2T</v>
      </c>
      <c r="B507" s="22">
        <f>IFERROR(__xludf.DUMMYFUNCTION("""COMPUTED_VALUE"""),4.1001277E7)</f>
        <v>41001277</v>
      </c>
      <c r="C507" s="21" t="str">
        <f>IFERROR(__xludf.DUMMYFUNCTION("""COMPUTED_VALUE"""),"216807894444")</f>
        <v>216807894444</v>
      </c>
      <c r="D507" s="21" t="str">
        <f>IFERROR(__xludf.DUMMYFUNCTION("""COMPUTED_VALUE"""),"DIGITEC TECNOLOGIA DIGITAL E REPRES")</f>
        <v>DIGITEC TECNOLOGIA DIGITAL E REPRES</v>
      </c>
      <c r="E507" s="21">
        <f>IFERROR(__xludf.DUMMYFUNCTION("""COMPUTED_VALUE"""),145359.0)</f>
        <v>145359</v>
      </c>
      <c r="F507" s="21" t="str">
        <f>IFERROR(__xludf.DUMMYFUNCTION("""COMPUTED_VALUE"""),"TRANSITO REVERSA")</f>
        <v>TRANSITO REVERSA</v>
      </c>
      <c r="G507" s="23">
        <f>IFERROR(__xludf.DUMMYFUNCTION("""COMPUTED_VALUE"""),45633.00399305555)</f>
        <v>45633.00399</v>
      </c>
      <c r="H507" s="24" t="str">
        <f>IFERROR(VLOOKUP(B507,material!A:D,3,0),"")</f>
        <v>TOP MIX</v>
      </c>
    </row>
    <row r="508" ht="11.25" customHeight="1">
      <c r="A508" s="21" t="str">
        <f>IFERROR(__xludf.DUMMYFUNCTION("""COMPUTED_VALUE"""),"SMART CARD PRETO NAGRA")</f>
        <v>SMART CARD PRETO NAGRA</v>
      </c>
      <c r="B508" s="22">
        <f>IFERROR(__xludf.DUMMYFUNCTION("""COMPUTED_VALUE"""),4.1001234E7)</f>
        <v>41001234</v>
      </c>
      <c r="C508" s="21" t="str">
        <f>IFERROR(__xludf.DUMMYFUNCTION("""COMPUTED_VALUE"""),"246086927780")</f>
        <v>246086927780</v>
      </c>
      <c r="D508" s="21" t="str">
        <f>IFERROR(__xludf.DUMMYFUNCTION("""COMPUTED_VALUE"""),"DIGITEC TECNOLOGIA DIGITAL E REPRES")</f>
        <v>DIGITEC TECNOLOGIA DIGITAL E REPRES</v>
      </c>
      <c r="E508" s="21">
        <f>IFERROR(__xludf.DUMMYFUNCTION("""COMPUTED_VALUE"""),145359.0)</f>
        <v>145359</v>
      </c>
      <c r="F508" s="21" t="str">
        <f>IFERROR(__xludf.DUMMYFUNCTION("""COMPUTED_VALUE"""),"TRANSITO REVERSA")</f>
        <v>TRANSITO REVERSA</v>
      </c>
      <c r="G508" s="23">
        <f>IFERROR(__xludf.DUMMYFUNCTION("""COMPUTED_VALUE"""),45633.00341435186)</f>
        <v>45633.00341</v>
      </c>
      <c r="H508" s="24" t="str">
        <f>IFERROR(VLOOKUP(B508,material!A:D,3,0),"")</f>
        <v>CARD</v>
      </c>
    </row>
    <row r="509" ht="11.25" customHeight="1">
      <c r="A509" s="21" t="str">
        <f>IFERROR(__xludf.DUMMYFUNCTION("""COMPUTED_VALUE"""),"SMART CARD PRETO NAGRA")</f>
        <v>SMART CARD PRETO NAGRA</v>
      </c>
      <c r="B509" s="22">
        <f>IFERROR(__xludf.DUMMYFUNCTION("""COMPUTED_VALUE"""),4.1001234E7)</f>
        <v>41001234</v>
      </c>
      <c r="C509" s="21" t="str">
        <f>IFERROR(__xludf.DUMMYFUNCTION("""COMPUTED_VALUE"""),"226406338290")</f>
        <v>226406338290</v>
      </c>
      <c r="D509" s="21" t="str">
        <f>IFERROR(__xludf.DUMMYFUNCTION("""COMPUTED_VALUE"""),"DIGITEC TECNOLOGIA DIGITAL E REPRES")</f>
        <v>DIGITEC TECNOLOGIA DIGITAL E REPRES</v>
      </c>
      <c r="E509" s="21">
        <f>IFERROR(__xludf.DUMMYFUNCTION("""COMPUTED_VALUE"""),145359.0)</f>
        <v>145359</v>
      </c>
      <c r="F509" s="21" t="str">
        <f>IFERROR(__xludf.DUMMYFUNCTION("""COMPUTED_VALUE"""),"TRANSITO REVERSA")</f>
        <v>TRANSITO REVERSA</v>
      </c>
      <c r="G509" s="23">
        <f>IFERROR(__xludf.DUMMYFUNCTION("""COMPUTED_VALUE"""),45633.003958333335)</f>
        <v>45633.00396</v>
      </c>
      <c r="H509" s="24" t="str">
        <f>IFERROR(VLOOKUP(B509,material!A:D,3,0),"")</f>
        <v>CARD</v>
      </c>
    </row>
    <row r="510" ht="11.25" customHeight="1">
      <c r="A510" s="21" t="str">
        <f>IFERROR(__xludf.DUMMYFUNCTION("""COMPUTED_VALUE"""),"SMART CARD PRETO NAGRA")</f>
        <v>SMART CARD PRETO NAGRA</v>
      </c>
      <c r="B510" s="22">
        <f>IFERROR(__xludf.DUMMYFUNCTION("""COMPUTED_VALUE"""),4.1001234E7)</f>
        <v>41001234</v>
      </c>
      <c r="C510" s="21" t="str">
        <f>IFERROR(__xludf.DUMMYFUNCTION("""COMPUTED_VALUE"""),"226149107294")</f>
        <v>226149107294</v>
      </c>
      <c r="D510" s="21" t="str">
        <f>IFERROR(__xludf.DUMMYFUNCTION("""COMPUTED_VALUE"""),"DIGITEC TECNOLOGIA DIGITAL E REPRES")</f>
        <v>DIGITEC TECNOLOGIA DIGITAL E REPRES</v>
      </c>
      <c r="E510" s="21">
        <f>IFERROR(__xludf.DUMMYFUNCTION("""COMPUTED_VALUE"""),145359.0)</f>
        <v>145359</v>
      </c>
      <c r="F510" s="21" t="str">
        <f>IFERROR(__xludf.DUMMYFUNCTION("""COMPUTED_VALUE"""),"TRANSITO REVERSA")</f>
        <v>TRANSITO REVERSA</v>
      </c>
      <c r="G510" s="23">
        <f>IFERROR(__xludf.DUMMYFUNCTION("""COMPUTED_VALUE"""),45633.00336805556)</f>
        <v>45633.00337</v>
      </c>
      <c r="H510" s="24" t="str">
        <f>IFERROR(VLOOKUP(B510,material!A:D,3,0),"")</f>
        <v>CARD</v>
      </c>
    </row>
    <row r="511" ht="11.25" customHeight="1">
      <c r="A511" s="21" t="str">
        <f>IFERROR(__xludf.DUMMYFUNCTION("""COMPUTED_VALUE"""),"PACE - HIGH DEFINITION DCR7411")</f>
        <v>PACE - HIGH DEFINITION DCR7411</v>
      </c>
      <c r="B511" s="22">
        <f>IFERROR(__xludf.DUMMYFUNCTION("""COMPUTED_VALUE"""),4.1001216E7)</f>
        <v>41001216</v>
      </c>
      <c r="C511" s="21" t="str">
        <f>IFERROR(__xludf.DUMMYFUNCTION("""COMPUTED_VALUE"""),"181399876466")</f>
        <v>181399876466</v>
      </c>
      <c r="D511" s="21" t="str">
        <f>IFERROR(__xludf.DUMMYFUNCTION("""COMPUTED_VALUE"""),"DIGITEC TECNOLOGIA DIGITAL E REPRES")</f>
        <v>DIGITEC TECNOLOGIA DIGITAL E REPRES</v>
      </c>
      <c r="E511" s="21">
        <f>IFERROR(__xludf.DUMMYFUNCTION("""COMPUTED_VALUE"""),145359.0)</f>
        <v>145359</v>
      </c>
      <c r="F511" s="21" t="str">
        <f>IFERROR(__xludf.DUMMYFUNCTION("""COMPUTED_VALUE"""),"TRANSITO REVERSA")</f>
        <v>TRANSITO REVERSA</v>
      </c>
      <c r="G511" s="23">
        <f>IFERROR(__xludf.DUMMYFUNCTION("""COMPUTED_VALUE"""),45633.00399305555)</f>
        <v>45633.00399</v>
      </c>
      <c r="H511" s="24" t="str">
        <f>IFERROR(VLOOKUP(B511,material!A:D,3,0),"")</f>
        <v>LEGADO</v>
      </c>
    </row>
    <row r="512" ht="11.25" customHeight="1">
      <c r="A512" s="21" t="str">
        <f>IFERROR(__xludf.DUMMYFUNCTION("""COMPUTED_VALUE"""),"PACE - HIGH DEFINITION DCR7411")</f>
        <v>PACE - HIGH DEFINITION DCR7411</v>
      </c>
      <c r="B512" s="22">
        <f>IFERROR(__xludf.DUMMYFUNCTION("""COMPUTED_VALUE"""),4.1001216E7)</f>
        <v>41001216</v>
      </c>
      <c r="C512" s="21" t="str">
        <f>IFERROR(__xludf.DUMMYFUNCTION("""COMPUTED_VALUE"""),"184215091418")</f>
        <v>184215091418</v>
      </c>
      <c r="D512" s="21" t="str">
        <f>IFERROR(__xludf.DUMMYFUNCTION("""COMPUTED_VALUE"""),"DIGITEC TECNOLOGIA DIGITAL E REPRES")</f>
        <v>DIGITEC TECNOLOGIA DIGITAL E REPRES</v>
      </c>
      <c r="E512" s="21">
        <f>IFERROR(__xludf.DUMMYFUNCTION("""COMPUTED_VALUE"""),145359.0)</f>
        <v>145359</v>
      </c>
      <c r="F512" s="21" t="str">
        <f>IFERROR(__xludf.DUMMYFUNCTION("""COMPUTED_VALUE"""),"TRANSITO REVERSA")</f>
        <v>TRANSITO REVERSA</v>
      </c>
      <c r="G512" s="23">
        <f>IFERROR(__xludf.DUMMYFUNCTION("""COMPUTED_VALUE"""),45626.2987037037)</f>
        <v>45626.2987</v>
      </c>
      <c r="H512" s="24" t="str">
        <f>IFERROR(VLOOKUP(B512,material!A:D,3,0),"")</f>
        <v>LEGADO</v>
      </c>
    </row>
    <row r="513" ht="11.25" customHeight="1">
      <c r="A513" s="21" t="str">
        <f>IFERROR(__xludf.DUMMYFUNCTION("""COMPUTED_VALUE"""),"DECODER DIGITAL HD HNB100 2T")</f>
        <v>DECODER DIGITAL HD HNB100 2T</v>
      </c>
      <c r="B513" s="22">
        <f>IFERROR(__xludf.DUMMYFUNCTION("""COMPUTED_VALUE"""),4.1001276E7)</f>
        <v>41001276</v>
      </c>
      <c r="C513" s="21" t="str">
        <f>IFERROR(__xludf.DUMMYFUNCTION("""COMPUTED_VALUE"""),"216614239090")</f>
        <v>216614239090</v>
      </c>
      <c r="D513" s="21" t="str">
        <f>IFERROR(__xludf.DUMMYFUNCTION("""COMPUTED_VALUE"""),"DIGITEC TECNOLOGIA DIGITAL E REPRES")</f>
        <v>DIGITEC TECNOLOGIA DIGITAL E REPRES</v>
      </c>
      <c r="E513" s="21">
        <f>IFERROR(__xludf.DUMMYFUNCTION("""COMPUTED_VALUE"""),145359.0)</f>
        <v>145359</v>
      </c>
      <c r="F513" s="21" t="str">
        <f>IFERROR(__xludf.DUMMYFUNCTION("""COMPUTED_VALUE"""),"INICIALIZADO")</f>
        <v>INICIALIZADO</v>
      </c>
      <c r="G513" s="23">
        <f>IFERROR(__xludf.DUMMYFUNCTION("""COMPUTED_VALUE"""),45642.524143518516)</f>
        <v>45642.52414</v>
      </c>
      <c r="H513" s="24" t="str">
        <f>IFERROR(VLOOKUP(B513,material!A:D,3,0),"")</f>
        <v>TOP MIX</v>
      </c>
    </row>
    <row r="514" ht="11.25" customHeight="1">
      <c r="A514" s="21" t="str">
        <f>IFERROR(__xludf.DUMMYFUNCTION("""COMPUTED_VALUE"""),"DECODER DIGITAL HD HNB100 2T")</f>
        <v>DECODER DIGITAL HD HNB100 2T</v>
      </c>
      <c r="B514" s="22">
        <f>IFERROR(__xludf.DUMMYFUNCTION("""COMPUTED_VALUE"""),4.1001276E7)</f>
        <v>41001276</v>
      </c>
      <c r="C514" s="21" t="str">
        <f>IFERROR(__xludf.DUMMYFUNCTION("""COMPUTED_VALUE"""),"216400373539")</f>
        <v>216400373539</v>
      </c>
      <c r="D514" s="21" t="str">
        <f>IFERROR(__xludf.DUMMYFUNCTION("""COMPUTED_VALUE"""),"DIGITEC TECNOLOGIA DIGITAL E REPRES")</f>
        <v>DIGITEC TECNOLOGIA DIGITAL E REPRES</v>
      </c>
      <c r="E514" s="21">
        <f>IFERROR(__xludf.DUMMYFUNCTION("""COMPUTED_VALUE"""),145359.0)</f>
        <v>145359</v>
      </c>
      <c r="F514" s="21" t="str">
        <f>IFERROR(__xludf.DUMMYFUNCTION("""COMPUTED_VALUE"""),"INICIALIZADO")</f>
        <v>INICIALIZADO</v>
      </c>
      <c r="G514" s="23">
        <f>IFERROR(__xludf.DUMMYFUNCTION("""COMPUTED_VALUE"""),45642.52413194445)</f>
        <v>45642.52413</v>
      </c>
      <c r="H514" s="24" t="str">
        <f>IFERROR(VLOOKUP(B514,material!A:D,3,0),"")</f>
        <v>TOP MIX</v>
      </c>
    </row>
    <row r="515" ht="11.25" customHeight="1">
      <c r="A515" s="21" t="str">
        <f>IFERROR(__xludf.DUMMYFUNCTION("""COMPUTED_VALUE"""),"DECODER DIGITAL HD HNB100 2T")</f>
        <v>DECODER DIGITAL HD HNB100 2T</v>
      </c>
      <c r="B515" s="22">
        <f>IFERROR(__xludf.DUMMYFUNCTION("""COMPUTED_VALUE"""),4.1001276E7)</f>
        <v>41001276</v>
      </c>
      <c r="C515" s="21" t="str">
        <f>IFERROR(__xludf.DUMMYFUNCTION("""COMPUTED_VALUE"""),"216838858296")</f>
        <v>216838858296</v>
      </c>
      <c r="D515" s="21" t="str">
        <f>IFERROR(__xludf.DUMMYFUNCTION("""COMPUTED_VALUE"""),"DIGITEC TECNOLOGIA DIGITAL E REPRES")</f>
        <v>DIGITEC TECNOLOGIA DIGITAL E REPRES</v>
      </c>
      <c r="E515" s="21">
        <f>IFERROR(__xludf.DUMMYFUNCTION("""COMPUTED_VALUE"""),145359.0)</f>
        <v>145359</v>
      </c>
      <c r="F515" s="21" t="str">
        <f>IFERROR(__xludf.DUMMYFUNCTION("""COMPUTED_VALUE"""),"INICIALIZADO")</f>
        <v>INICIALIZADO</v>
      </c>
      <c r="G515" s="23">
        <f>IFERROR(__xludf.DUMMYFUNCTION("""COMPUTED_VALUE"""),45642.52413194445)</f>
        <v>45642.52413</v>
      </c>
      <c r="H515" s="24" t="str">
        <f>IFERROR(VLOOKUP(B515,material!A:D,3,0),"")</f>
        <v>TOP MIX</v>
      </c>
    </row>
    <row r="516" ht="11.25" customHeight="1">
      <c r="A516" s="21" t="str">
        <f>IFERROR(__xludf.DUMMYFUNCTION("""COMPUTED_VALUE"""),"SMART CARD PRETO NAGRA")</f>
        <v>SMART CARD PRETO NAGRA</v>
      </c>
      <c r="B516" s="22">
        <f>IFERROR(__xludf.DUMMYFUNCTION("""COMPUTED_VALUE"""),4.1001234E7)</f>
        <v>41001234</v>
      </c>
      <c r="C516" s="21" t="str">
        <f>IFERROR(__xludf.DUMMYFUNCTION("""COMPUTED_VALUE"""),"246232082632")</f>
        <v>246232082632</v>
      </c>
      <c r="D516" s="21" t="str">
        <f>IFERROR(__xludf.DUMMYFUNCTION("""COMPUTED_VALUE"""),"DIGITEC TECNOLOGIA DIGITAL E REPRES")</f>
        <v>DIGITEC TECNOLOGIA DIGITAL E REPRES</v>
      </c>
      <c r="E516" s="21">
        <f>IFERROR(__xludf.DUMMYFUNCTION("""COMPUTED_VALUE"""),145359.0)</f>
        <v>145359</v>
      </c>
      <c r="F516" s="21" t="str">
        <f>IFERROR(__xludf.DUMMYFUNCTION("""COMPUTED_VALUE"""),"INICIALIZADO")</f>
        <v>INICIALIZADO</v>
      </c>
      <c r="G516" s="23">
        <f>IFERROR(__xludf.DUMMYFUNCTION("""COMPUTED_VALUE"""),44999.92952546296)</f>
        <v>44999.92953</v>
      </c>
      <c r="H516" s="24" t="str">
        <f>IFERROR(VLOOKUP(B516,material!A:D,3,0),"")</f>
        <v>CARD</v>
      </c>
    </row>
    <row r="517" ht="11.25" customHeight="1">
      <c r="A517" s="21" t="str">
        <f>IFERROR(__xludf.DUMMYFUNCTION("""COMPUTED_VALUE"""),"SMART CARD PRETO NAGRA")</f>
        <v>SMART CARD PRETO NAGRA</v>
      </c>
      <c r="B517" s="22">
        <f>IFERROR(__xludf.DUMMYFUNCTION("""COMPUTED_VALUE"""),4.1001234E7)</f>
        <v>41001234</v>
      </c>
      <c r="C517" s="21" t="str">
        <f>IFERROR(__xludf.DUMMYFUNCTION("""COMPUTED_VALUE"""),"246275628497")</f>
        <v>246275628497</v>
      </c>
      <c r="D517" s="21" t="str">
        <f>IFERROR(__xludf.DUMMYFUNCTION("""COMPUTED_VALUE"""),"DIGITEC TECNOLOGIA DIGITAL E REPRES")</f>
        <v>DIGITEC TECNOLOGIA DIGITAL E REPRES</v>
      </c>
      <c r="E517" s="21">
        <f>IFERROR(__xludf.DUMMYFUNCTION("""COMPUTED_VALUE"""),145359.0)</f>
        <v>145359</v>
      </c>
      <c r="F517" s="21" t="str">
        <f>IFERROR(__xludf.DUMMYFUNCTION("""COMPUTED_VALUE"""),"INICIALIZADO")</f>
        <v>INICIALIZADO</v>
      </c>
      <c r="G517" s="23">
        <f>IFERROR(__xludf.DUMMYFUNCTION("""COMPUTED_VALUE"""),45600.47596064815)</f>
        <v>45600.47596</v>
      </c>
      <c r="H517" s="24" t="str">
        <f>IFERROR(VLOOKUP(B517,material!A:D,3,0),"")</f>
        <v>CARD</v>
      </c>
    </row>
    <row r="518" ht="11.25" customHeight="1">
      <c r="A518" s="21" t="str">
        <f>IFERROR(__xludf.DUMMYFUNCTION("""COMPUTED_VALUE"""),"SMART CARD PRETO NAGRA")</f>
        <v>SMART CARD PRETO NAGRA</v>
      </c>
      <c r="B518" s="22">
        <f>IFERROR(__xludf.DUMMYFUNCTION("""COMPUTED_VALUE"""),4.1001234E7)</f>
        <v>41001234</v>
      </c>
      <c r="C518" s="21" t="str">
        <f>IFERROR(__xludf.DUMMYFUNCTION("""COMPUTED_VALUE"""),"226251153853")</f>
        <v>226251153853</v>
      </c>
      <c r="D518" s="21" t="str">
        <f>IFERROR(__xludf.DUMMYFUNCTION("""COMPUTED_VALUE"""),"DIGITEC TECNOLOGIA DIGITAL E REPRES")</f>
        <v>DIGITEC TECNOLOGIA DIGITAL E REPRES</v>
      </c>
      <c r="E518" s="21">
        <f>IFERROR(__xludf.DUMMYFUNCTION("""COMPUTED_VALUE"""),145359.0)</f>
        <v>145359</v>
      </c>
      <c r="F518" s="21" t="str">
        <f>IFERROR(__xludf.DUMMYFUNCTION("""COMPUTED_VALUE"""),"INICIALIZADO")</f>
        <v>INICIALIZADO</v>
      </c>
      <c r="G518" s="23">
        <f>IFERROR(__xludf.DUMMYFUNCTION("""COMPUTED_VALUE"""),45000.35914351852)</f>
        <v>45000.35914</v>
      </c>
      <c r="H518" s="24" t="str">
        <f>IFERROR(VLOOKUP(B518,material!A:D,3,0),"")</f>
        <v>CARD</v>
      </c>
    </row>
    <row r="519" ht="11.25" customHeight="1">
      <c r="A519" s="21" t="str">
        <f>IFERROR(__xludf.DUMMYFUNCTION("""COMPUTED_VALUE"""),"SMART CARD PRETO NAGRA")</f>
        <v>SMART CARD PRETO NAGRA</v>
      </c>
      <c r="B519" s="22">
        <f>IFERROR(__xludf.DUMMYFUNCTION("""COMPUTED_VALUE"""),4.1001234E7)</f>
        <v>41001234</v>
      </c>
      <c r="C519" s="21" t="str">
        <f>IFERROR(__xludf.DUMMYFUNCTION("""COMPUTED_VALUE"""),"246049969303")</f>
        <v>246049969303</v>
      </c>
      <c r="D519" s="21" t="str">
        <f>IFERROR(__xludf.DUMMYFUNCTION("""COMPUTED_VALUE"""),"DIGITEC TECNOLOGIA DIGITAL E REPRES")</f>
        <v>DIGITEC TECNOLOGIA DIGITAL E REPRES</v>
      </c>
      <c r="E519" s="21">
        <f>IFERROR(__xludf.DUMMYFUNCTION("""COMPUTED_VALUE"""),145359.0)</f>
        <v>145359</v>
      </c>
      <c r="F519" s="21" t="str">
        <f>IFERROR(__xludf.DUMMYFUNCTION("""COMPUTED_VALUE"""),"INICIALIZADO")</f>
        <v>INICIALIZADO</v>
      </c>
      <c r="G519" s="23">
        <f>IFERROR(__xludf.DUMMYFUNCTION("""COMPUTED_VALUE"""),45635.534907407404)</f>
        <v>45635.53491</v>
      </c>
      <c r="H519" s="24" t="str">
        <f>IFERROR(VLOOKUP(B519,material!A:D,3,0),"")</f>
        <v>CARD</v>
      </c>
    </row>
    <row r="520" ht="11.25" customHeight="1">
      <c r="A520" s="21" t="str">
        <f>IFERROR(__xludf.DUMMYFUNCTION("""COMPUTED_VALUE"""),"THOMSON HIGH DEFINITION DCI713")</f>
        <v>THOMSON HIGH DEFINITION DCI713</v>
      </c>
      <c r="B520" s="22">
        <f>IFERROR(__xludf.DUMMYFUNCTION("""COMPUTED_VALUE"""),4.1001273E7)</f>
        <v>41001273</v>
      </c>
      <c r="C520" s="21" t="str">
        <f>IFERROR(__xludf.DUMMYFUNCTION("""COMPUTED_VALUE"""),"184236905555")</f>
        <v>184236905555</v>
      </c>
      <c r="D520" s="21" t="str">
        <f>IFERROR(__xludf.DUMMYFUNCTION("""COMPUTED_VALUE"""),"DIGITEC TECNOLOGIA DIGITAL E REPRES")</f>
        <v>DIGITEC TECNOLOGIA DIGITAL E REPRES</v>
      </c>
      <c r="E520" s="21">
        <f>IFERROR(__xludf.DUMMYFUNCTION("""COMPUTED_VALUE"""),145359.0)</f>
        <v>145359</v>
      </c>
      <c r="F520" s="21" t="str">
        <f>IFERROR(__xludf.DUMMYFUNCTION("""COMPUTED_VALUE"""),"INICIALIZADO")</f>
        <v>INICIALIZADO</v>
      </c>
      <c r="G520" s="23">
        <f>IFERROR(__xludf.DUMMYFUNCTION("""COMPUTED_VALUE"""),44999.92954861111)</f>
        <v>44999.92955</v>
      </c>
      <c r="H520" s="24" t="str">
        <f>IFERROR(VLOOKUP(B520,material!A:D,3,0),"")</f>
        <v>LEGADO</v>
      </c>
    </row>
    <row r="521" ht="11.25" customHeight="1">
      <c r="A521" s="21" t="str">
        <f>IFERROR(__xludf.DUMMYFUNCTION("""COMPUTED_VALUE"""),"SMART CARD LARANJA NAGRA")</f>
        <v>SMART CARD LARANJA NAGRA</v>
      </c>
      <c r="B521" s="22">
        <f>IFERROR(__xludf.DUMMYFUNCTION("""COMPUTED_VALUE"""),4.1001186E7)</f>
        <v>41001186</v>
      </c>
      <c r="C521" s="21" t="str">
        <f>IFERROR(__xludf.DUMMYFUNCTION("""COMPUTED_VALUE"""),"226747023246")</f>
        <v>226747023246</v>
      </c>
      <c r="D521" s="21" t="str">
        <f>IFERROR(__xludf.DUMMYFUNCTION("""COMPUTED_VALUE"""),"DIGITEC TECNOLOGIA DIGITAL E REPRES")</f>
        <v>DIGITEC TECNOLOGIA DIGITAL E REPRES</v>
      </c>
      <c r="E521" s="21">
        <f>IFERROR(__xludf.DUMMYFUNCTION("""COMPUTED_VALUE"""),145359.0)</f>
        <v>145359</v>
      </c>
      <c r="F521" s="21" t="str">
        <f>IFERROR(__xludf.DUMMYFUNCTION("""COMPUTED_VALUE"""),"INICIALIZADO")</f>
        <v>INICIALIZADO</v>
      </c>
      <c r="G521" s="23">
        <f>IFERROR(__xludf.DUMMYFUNCTION("""COMPUTED_VALUE"""),45573.66674768519)</f>
        <v>45573.66675</v>
      </c>
      <c r="H521" s="24" t="str">
        <f>IFERROR(VLOOKUP(B521,material!A:D,3,0),"")</f>
        <v>CARD</v>
      </c>
    </row>
    <row r="522" ht="11.25" customHeight="1">
      <c r="A522" s="21" t="str">
        <f>IFERROR(__xludf.DUMMYFUNCTION("""COMPUTED_VALUE"""),"SMART CARD LARANJA NAGRA")</f>
        <v>SMART CARD LARANJA NAGRA</v>
      </c>
      <c r="B522" s="22">
        <f>IFERROR(__xludf.DUMMYFUNCTION("""COMPUTED_VALUE"""),4.1001186E7)</f>
        <v>41001186</v>
      </c>
      <c r="C522" s="21" t="str">
        <f>IFERROR(__xludf.DUMMYFUNCTION("""COMPUTED_VALUE"""),"226550000303")</f>
        <v>226550000303</v>
      </c>
      <c r="D522" s="21" t="str">
        <f>IFERROR(__xludf.DUMMYFUNCTION("""COMPUTED_VALUE"""),"DIGITEC TECNOLOGIA DIGITAL E REPRES")</f>
        <v>DIGITEC TECNOLOGIA DIGITAL E REPRES</v>
      </c>
      <c r="E522" s="21">
        <f>IFERROR(__xludf.DUMMYFUNCTION("""COMPUTED_VALUE"""),145359.0)</f>
        <v>145359</v>
      </c>
      <c r="F522" s="21" t="str">
        <f>IFERROR(__xludf.DUMMYFUNCTION("""COMPUTED_VALUE"""),"SUCATA")</f>
        <v>SUCATA</v>
      </c>
      <c r="G522" s="23">
        <f>IFERROR(__xludf.DUMMYFUNCTION("""COMPUTED_VALUE"""),45076.47196759259)</f>
        <v>45076.47197</v>
      </c>
      <c r="H522" s="24" t="str">
        <f>IFERROR(VLOOKUP(B522,material!A:D,3,0),"")</f>
        <v>CARD</v>
      </c>
    </row>
    <row r="523" ht="11.25" customHeight="1">
      <c r="A523" s="21" t="str">
        <f>IFERROR(__xludf.DUMMYFUNCTION("""COMPUTED_VALUE"""),"SMART CARD PRETO NAGRA")</f>
        <v>SMART CARD PRETO NAGRA</v>
      </c>
      <c r="B523" s="22">
        <f>IFERROR(__xludf.DUMMYFUNCTION("""COMPUTED_VALUE"""),4.1001234E7)</f>
        <v>41001234</v>
      </c>
      <c r="C523" s="21" t="str">
        <f>IFERROR(__xludf.DUMMYFUNCTION("""COMPUTED_VALUE"""),"246223274769")</f>
        <v>246223274769</v>
      </c>
      <c r="D523" s="21" t="str">
        <f>IFERROR(__xludf.DUMMYFUNCTION("""COMPUTED_VALUE"""),"DIGITEC TECNOLOGIA DIGITAL E REPRES")</f>
        <v>DIGITEC TECNOLOGIA DIGITAL E REPRES</v>
      </c>
      <c r="E523" s="21">
        <f>IFERROR(__xludf.DUMMYFUNCTION("""COMPUTED_VALUE"""),145359.0)</f>
        <v>145359</v>
      </c>
      <c r="F523" s="21" t="str">
        <f>IFERROR(__xludf.DUMMYFUNCTION("""COMPUTED_VALUE"""),"INICIALIZADO")</f>
        <v>INICIALIZADO</v>
      </c>
      <c r="G523" s="23">
        <f>IFERROR(__xludf.DUMMYFUNCTION("""COMPUTED_VALUE"""),45642.524097222224)</f>
        <v>45642.5241</v>
      </c>
      <c r="H523" s="24" t="str">
        <f>IFERROR(VLOOKUP(B523,material!A:D,3,0),"")</f>
        <v>CARD</v>
      </c>
    </row>
    <row r="524" ht="11.25" customHeight="1">
      <c r="A524" s="21" t="str">
        <f>IFERROR(__xludf.DUMMYFUNCTION("""COMPUTED_VALUE"""),"SMART CARD PRETO NAGRA")</f>
        <v>SMART CARD PRETO NAGRA</v>
      </c>
      <c r="B524" s="22">
        <f>IFERROR(__xludf.DUMMYFUNCTION("""COMPUTED_VALUE"""),4.1001234E7)</f>
        <v>41001234</v>
      </c>
      <c r="C524" s="21" t="str">
        <f>IFERROR(__xludf.DUMMYFUNCTION("""COMPUTED_VALUE"""),"246167891014")</f>
        <v>246167891014</v>
      </c>
      <c r="D524" s="21" t="str">
        <f>IFERROR(__xludf.DUMMYFUNCTION("""COMPUTED_VALUE"""),"DIGITEC TECNOLOGIA DIGITAL E REPRES")</f>
        <v>DIGITEC TECNOLOGIA DIGITAL E REPRES</v>
      </c>
      <c r="E524" s="21">
        <f>IFERROR(__xludf.DUMMYFUNCTION("""COMPUTED_VALUE"""),145359.0)</f>
        <v>145359</v>
      </c>
      <c r="F524" s="21" t="str">
        <f>IFERROR(__xludf.DUMMYFUNCTION("""COMPUTED_VALUE"""),"INICIALIZADO")</f>
        <v>INICIALIZADO</v>
      </c>
      <c r="G524" s="23">
        <f>IFERROR(__xludf.DUMMYFUNCTION("""COMPUTED_VALUE"""),45642.524097222224)</f>
        <v>45642.5241</v>
      </c>
      <c r="H524" s="24" t="str">
        <f>IFERROR(VLOOKUP(B524,material!A:D,3,0),"")</f>
        <v>CARD</v>
      </c>
    </row>
    <row r="525" ht="11.25" customHeight="1">
      <c r="A525" s="21" t="str">
        <f>IFERROR(__xludf.DUMMYFUNCTION("""COMPUTED_VALUE"""),"SMART CARD PRETO NAGRA")</f>
        <v>SMART CARD PRETO NAGRA</v>
      </c>
      <c r="B525" s="22">
        <f>IFERROR(__xludf.DUMMYFUNCTION("""COMPUTED_VALUE"""),4.1001234E7)</f>
        <v>41001234</v>
      </c>
      <c r="C525" s="21" t="str">
        <f>IFERROR(__xludf.DUMMYFUNCTION("""COMPUTED_VALUE"""),"226117870913")</f>
        <v>226117870913</v>
      </c>
      <c r="D525" s="21" t="str">
        <f>IFERROR(__xludf.DUMMYFUNCTION("""COMPUTED_VALUE"""),"DIGITEC TECNOLOGIA DIGITAL E REPRES")</f>
        <v>DIGITEC TECNOLOGIA DIGITAL E REPRES</v>
      </c>
      <c r="E525" s="21">
        <f>IFERROR(__xludf.DUMMYFUNCTION("""COMPUTED_VALUE"""),145359.0)</f>
        <v>145359</v>
      </c>
      <c r="F525" s="21" t="str">
        <f>IFERROR(__xludf.DUMMYFUNCTION("""COMPUTED_VALUE"""),"INICIALIZADO")</f>
        <v>INICIALIZADO</v>
      </c>
      <c r="G525" s="23">
        <f>IFERROR(__xludf.DUMMYFUNCTION("""COMPUTED_VALUE"""),45642.52410879629)</f>
        <v>45642.52411</v>
      </c>
      <c r="H525" s="24" t="str">
        <f>IFERROR(VLOOKUP(B525,material!A:D,3,0),"")</f>
        <v>CARD</v>
      </c>
    </row>
    <row r="526" ht="11.25" customHeight="1">
      <c r="A526" s="21" t="str">
        <f>IFERROR(__xludf.DUMMYFUNCTION("""COMPUTED_VALUE"""),"SMART CARD PRETO NAGRA")</f>
        <v>SMART CARD PRETO NAGRA</v>
      </c>
      <c r="B526" s="22">
        <f>IFERROR(__xludf.DUMMYFUNCTION("""COMPUTED_VALUE"""),4.1001234E7)</f>
        <v>41001234</v>
      </c>
      <c r="C526" s="21" t="str">
        <f>IFERROR(__xludf.DUMMYFUNCTION("""COMPUTED_VALUE"""),"226016983648")</f>
        <v>226016983648</v>
      </c>
      <c r="D526" s="21" t="str">
        <f>IFERROR(__xludf.DUMMYFUNCTION("""COMPUTED_VALUE"""),"DIGITEC TECNOLOGIA DIGITAL E REPRES")</f>
        <v>DIGITEC TECNOLOGIA DIGITAL E REPRES</v>
      </c>
      <c r="E526" s="21">
        <f>IFERROR(__xludf.DUMMYFUNCTION("""COMPUTED_VALUE"""),145359.0)</f>
        <v>145359</v>
      </c>
      <c r="F526" s="21" t="str">
        <f>IFERROR(__xludf.DUMMYFUNCTION("""COMPUTED_VALUE"""),"INICIALIZADO")</f>
        <v>INICIALIZADO</v>
      </c>
      <c r="G526" s="23">
        <f>IFERROR(__xludf.DUMMYFUNCTION("""COMPUTED_VALUE"""),45635.534953703704)</f>
        <v>45635.53495</v>
      </c>
      <c r="H526" s="24" t="str">
        <f>IFERROR(VLOOKUP(B526,material!A:D,3,0),"")</f>
        <v>CARD</v>
      </c>
    </row>
    <row r="527" ht="11.25" customHeight="1">
      <c r="A527" s="21" t="str">
        <f>IFERROR(__xludf.DUMMYFUNCTION("""COMPUTED_VALUE"""),"SMART CARD LARANJA NAGRA")</f>
        <v>SMART CARD LARANJA NAGRA</v>
      </c>
      <c r="B527" s="22">
        <f>IFERROR(__xludf.DUMMYFUNCTION("""COMPUTED_VALUE"""),4.1001186E7)</f>
        <v>41001186</v>
      </c>
      <c r="C527" s="21" t="str">
        <f>IFERROR(__xludf.DUMMYFUNCTION("""COMPUTED_VALUE"""),"226623008796")</f>
        <v>226623008796</v>
      </c>
      <c r="D527" s="21" t="str">
        <f>IFERROR(__xludf.DUMMYFUNCTION("""COMPUTED_VALUE"""),"DIGITEC TECNOLOGIA DIGITAL E REPRES")</f>
        <v>DIGITEC TECNOLOGIA DIGITAL E REPRES</v>
      </c>
      <c r="E527" s="21">
        <f>IFERROR(__xludf.DUMMYFUNCTION("""COMPUTED_VALUE"""),145359.0)</f>
        <v>145359</v>
      </c>
      <c r="F527" s="21" t="str">
        <f>IFERROR(__xludf.DUMMYFUNCTION("""COMPUTED_VALUE"""),"SUCATA")</f>
        <v>SUCATA</v>
      </c>
      <c r="G527" s="23">
        <f>IFERROR(__xludf.DUMMYFUNCTION("""COMPUTED_VALUE"""),45075.599120370374)</f>
        <v>45075.59912</v>
      </c>
      <c r="H527" s="24" t="str">
        <f>IFERROR(VLOOKUP(B527,material!A:D,3,0),"")</f>
        <v>CARD</v>
      </c>
    </row>
    <row r="528" ht="11.25" customHeight="1">
      <c r="A528" s="21" t="str">
        <f>IFERROR(__xludf.DUMMYFUNCTION("""COMPUTED_VALUE"""),"SMART CARD PRETO NAGRA")</f>
        <v>SMART CARD PRETO NAGRA</v>
      </c>
      <c r="B528" s="22">
        <f>IFERROR(__xludf.DUMMYFUNCTION("""COMPUTED_VALUE"""),4.1001234E7)</f>
        <v>41001234</v>
      </c>
      <c r="C528" s="21" t="str">
        <f>IFERROR(__xludf.DUMMYFUNCTION("""COMPUTED_VALUE"""),"226324325371")</f>
        <v>226324325371</v>
      </c>
      <c r="D528" s="21" t="str">
        <f>IFERROR(__xludf.DUMMYFUNCTION("""COMPUTED_VALUE"""),"DIGITEC TECNOLOGIA DIGITAL E REPRES")</f>
        <v>DIGITEC TECNOLOGIA DIGITAL E REPRES</v>
      </c>
      <c r="E528" s="21">
        <f>IFERROR(__xludf.DUMMYFUNCTION("""COMPUTED_VALUE"""),145359.0)</f>
        <v>145359</v>
      </c>
      <c r="F528" s="21" t="str">
        <f>IFERROR(__xludf.DUMMYFUNCTION("""COMPUTED_VALUE"""),"INICIALIZADO")</f>
        <v>INICIALIZADO</v>
      </c>
      <c r="G528" s="23">
        <f>IFERROR(__xludf.DUMMYFUNCTION("""COMPUTED_VALUE"""),45635.53497685185)</f>
        <v>45635.53498</v>
      </c>
      <c r="H528" s="24" t="str">
        <f>IFERROR(VLOOKUP(B528,material!A:D,3,0),"")</f>
        <v>CARD</v>
      </c>
    </row>
    <row r="529" ht="11.25" customHeight="1">
      <c r="A529" s="21" t="str">
        <f>IFERROR(__xludf.DUMMYFUNCTION("""COMPUTED_VALUE"""),"SMART CARD PRETO NAGRA")</f>
        <v>SMART CARD PRETO NAGRA</v>
      </c>
      <c r="B529" s="22">
        <f>IFERROR(__xludf.DUMMYFUNCTION("""COMPUTED_VALUE"""),4.1001234E7)</f>
        <v>41001234</v>
      </c>
      <c r="C529" s="21" t="str">
        <f>IFERROR(__xludf.DUMMYFUNCTION("""COMPUTED_VALUE"""),"226317686788")</f>
        <v>226317686788</v>
      </c>
      <c r="D529" s="21" t="str">
        <f>IFERROR(__xludf.DUMMYFUNCTION("""COMPUTED_VALUE"""),"DIGITEC TECNOLOGIA DIGITAL E REPRES")</f>
        <v>DIGITEC TECNOLOGIA DIGITAL E REPRES</v>
      </c>
      <c r="E529" s="21">
        <f>IFERROR(__xludf.DUMMYFUNCTION("""COMPUTED_VALUE"""),145359.0)</f>
        <v>145359</v>
      </c>
      <c r="F529" s="21" t="str">
        <f>IFERROR(__xludf.DUMMYFUNCTION("""COMPUTED_VALUE"""),"INICIALIZADO")</f>
        <v>INICIALIZADO</v>
      </c>
      <c r="G529" s="23">
        <f>IFERROR(__xludf.DUMMYFUNCTION("""COMPUTED_VALUE"""),45635.53496527778)</f>
        <v>45635.53497</v>
      </c>
      <c r="H529" s="24" t="str">
        <f>IFERROR(VLOOKUP(B529,material!A:D,3,0),"")</f>
        <v>CARD</v>
      </c>
    </row>
    <row r="530" ht="11.25" customHeight="1">
      <c r="A530" s="21" t="str">
        <f>IFERROR(__xludf.DUMMYFUNCTION("""COMPUTED_VALUE"""),"SMART CARD LARANJA NAGRA")</f>
        <v>SMART CARD LARANJA NAGRA</v>
      </c>
      <c r="B530" s="22">
        <f>IFERROR(__xludf.DUMMYFUNCTION("""COMPUTED_VALUE"""),4.1001186E7)</f>
        <v>41001186</v>
      </c>
      <c r="C530" s="21" t="str">
        <f>IFERROR(__xludf.DUMMYFUNCTION("""COMPUTED_VALUE"""),"226614684853")</f>
        <v>226614684853</v>
      </c>
      <c r="D530" s="21" t="str">
        <f>IFERROR(__xludf.DUMMYFUNCTION("""COMPUTED_VALUE"""),"DIGITEC TECNOLOGIA DIGITAL E REPRES")</f>
        <v>DIGITEC TECNOLOGIA DIGITAL E REPRES</v>
      </c>
      <c r="E530" s="21">
        <f>IFERROR(__xludf.DUMMYFUNCTION("""COMPUTED_VALUE"""),145359.0)</f>
        <v>145359</v>
      </c>
      <c r="F530" s="21" t="str">
        <f>IFERROR(__xludf.DUMMYFUNCTION("""COMPUTED_VALUE"""),"SUCATA")</f>
        <v>SUCATA</v>
      </c>
      <c r="G530" s="23">
        <f>IFERROR(__xludf.DUMMYFUNCTION("""COMPUTED_VALUE"""),45075.599131944444)</f>
        <v>45075.59913</v>
      </c>
      <c r="H530" s="24" t="str">
        <f>IFERROR(VLOOKUP(B530,material!A:D,3,0),"")</f>
        <v>CARD</v>
      </c>
    </row>
    <row r="531" ht="11.25" customHeight="1">
      <c r="A531" s="21" t="str">
        <f>IFERROR(__xludf.DUMMYFUNCTION("""COMPUTED_VALUE"""),"SMART CARD PRETO NAGRA")</f>
        <v>SMART CARD PRETO NAGRA</v>
      </c>
      <c r="B531" s="22">
        <f>IFERROR(__xludf.DUMMYFUNCTION("""COMPUTED_VALUE"""),4.1001234E7)</f>
        <v>41001234</v>
      </c>
      <c r="C531" s="21" t="str">
        <f>IFERROR(__xludf.DUMMYFUNCTION("""COMPUTED_VALUE"""),"246090500420")</f>
        <v>246090500420</v>
      </c>
      <c r="D531" s="21" t="str">
        <f>IFERROR(__xludf.DUMMYFUNCTION("""COMPUTED_VALUE"""),"DIGITEC TECNOLOGIA DIGITAL E REPRES")</f>
        <v>DIGITEC TECNOLOGIA DIGITAL E REPRES</v>
      </c>
      <c r="E531" s="21">
        <f>IFERROR(__xludf.DUMMYFUNCTION("""COMPUTED_VALUE"""),145359.0)</f>
        <v>145359</v>
      </c>
      <c r="F531" s="21" t="str">
        <f>IFERROR(__xludf.DUMMYFUNCTION("""COMPUTED_VALUE"""),"INICIALIZADO")</f>
        <v>INICIALIZADO</v>
      </c>
      <c r="G531" s="23">
        <f>IFERROR(__xludf.DUMMYFUNCTION("""COMPUTED_VALUE"""),45642.524097222224)</f>
        <v>45642.5241</v>
      </c>
      <c r="H531" s="24" t="str">
        <f>IFERROR(VLOOKUP(B531,material!A:D,3,0),"")</f>
        <v>CARD</v>
      </c>
    </row>
    <row r="532" ht="11.25" customHeight="1">
      <c r="A532" s="21" t="str">
        <f>IFERROR(__xludf.DUMMYFUNCTION("""COMPUTED_VALUE"""),"SMART CARD PRETO NAGRA")</f>
        <v>SMART CARD PRETO NAGRA</v>
      </c>
      <c r="B532" s="22">
        <f>IFERROR(__xludf.DUMMYFUNCTION("""COMPUTED_VALUE"""),4.1001234E7)</f>
        <v>41001234</v>
      </c>
      <c r="C532" s="21" t="str">
        <f>IFERROR(__xludf.DUMMYFUNCTION("""COMPUTED_VALUE"""),"246227083042")</f>
        <v>246227083042</v>
      </c>
      <c r="D532" s="21" t="str">
        <f>IFERROR(__xludf.DUMMYFUNCTION("""COMPUTED_VALUE"""),"DIGITEC TECNOLOGIA DIGITAL E REPRES")</f>
        <v>DIGITEC TECNOLOGIA DIGITAL E REPRES</v>
      </c>
      <c r="E532" s="21">
        <f>IFERROR(__xludf.DUMMYFUNCTION("""COMPUTED_VALUE"""),145359.0)</f>
        <v>145359</v>
      </c>
      <c r="F532" s="21" t="str">
        <f>IFERROR(__xludf.DUMMYFUNCTION("""COMPUTED_VALUE"""),"INICIALIZADO")</f>
        <v>INICIALIZADO</v>
      </c>
      <c r="G532" s="23">
        <f>IFERROR(__xludf.DUMMYFUNCTION("""COMPUTED_VALUE"""),45642.52410879629)</f>
        <v>45642.52411</v>
      </c>
      <c r="H532" s="24" t="str">
        <f>IFERROR(VLOOKUP(B532,material!A:D,3,0),"")</f>
        <v>CARD</v>
      </c>
    </row>
    <row r="533" ht="11.25" customHeight="1">
      <c r="A533" s="21" t="str">
        <f>IFERROR(__xludf.DUMMYFUNCTION("""COMPUTED_VALUE"""),"SMART CARD PRETO NAGRA")</f>
        <v>SMART CARD PRETO NAGRA</v>
      </c>
      <c r="B533" s="22">
        <f>IFERROR(__xludf.DUMMYFUNCTION("""COMPUTED_VALUE"""),4.1001234E7)</f>
        <v>41001234</v>
      </c>
      <c r="C533" s="21" t="str">
        <f>IFERROR(__xludf.DUMMYFUNCTION("""COMPUTED_VALUE"""),"246256866868")</f>
        <v>246256866868</v>
      </c>
      <c r="D533" s="21" t="str">
        <f>IFERROR(__xludf.DUMMYFUNCTION("""COMPUTED_VALUE"""),"DIGITEC TECNOLOGIA DIGITAL E REPRES")</f>
        <v>DIGITEC TECNOLOGIA DIGITAL E REPRES</v>
      </c>
      <c r="E533" s="21">
        <f>IFERROR(__xludf.DUMMYFUNCTION("""COMPUTED_VALUE"""),145359.0)</f>
        <v>145359</v>
      </c>
      <c r="F533" s="21" t="str">
        <f>IFERROR(__xludf.DUMMYFUNCTION("""COMPUTED_VALUE"""),"INICIALIZADO")</f>
        <v>INICIALIZADO</v>
      </c>
      <c r="G533" s="23">
        <f>IFERROR(__xludf.DUMMYFUNCTION("""COMPUTED_VALUE"""),45635.53493055556)</f>
        <v>45635.53493</v>
      </c>
      <c r="H533" s="24" t="str">
        <f>IFERROR(VLOOKUP(B533,material!A:D,3,0),"")</f>
        <v>CARD</v>
      </c>
    </row>
    <row r="534" ht="11.25" customHeight="1">
      <c r="A534" s="21" t="str">
        <f>IFERROR(__xludf.DUMMYFUNCTION("""COMPUTED_VALUE"""),"SMART CARD PRETO NAGRA")</f>
        <v>SMART CARD PRETO NAGRA</v>
      </c>
      <c r="B534" s="22">
        <f>IFERROR(__xludf.DUMMYFUNCTION("""COMPUTED_VALUE"""),4.1001234E7)</f>
        <v>41001234</v>
      </c>
      <c r="C534" s="21" t="str">
        <f>IFERROR(__xludf.DUMMYFUNCTION("""COMPUTED_VALUE"""),"226402316080")</f>
        <v>226402316080</v>
      </c>
      <c r="D534" s="21" t="str">
        <f>IFERROR(__xludf.DUMMYFUNCTION("""COMPUTED_VALUE"""),"DIGITEC TECNOLOGIA DIGITAL E REPRES")</f>
        <v>DIGITEC TECNOLOGIA DIGITAL E REPRES</v>
      </c>
      <c r="E534" s="21">
        <f>IFERROR(__xludf.DUMMYFUNCTION("""COMPUTED_VALUE"""),145359.0)</f>
        <v>145359</v>
      </c>
      <c r="F534" s="21" t="str">
        <f>IFERROR(__xludf.DUMMYFUNCTION("""COMPUTED_VALUE"""),"INICIALIZADO")</f>
        <v>INICIALIZADO</v>
      </c>
      <c r="G534" s="23">
        <f>IFERROR(__xludf.DUMMYFUNCTION("""COMPUTED_VALUE"""),45642.52410879629)</f>
        <v>45642.52411</v>
      </c>
      <c r="H534" s="24" t="str">
        <f>IFERROR(VLOOKUP(B534,material!A:D,3,0),"")</f>
        <v>CARD</v>
      </c>
    </row>
    <row r="535" ht="11.25" customHeight="1">
      <c r="A535" s="21" t="str">
        <f>IFERROR(__xludf.DUMMYFUNCTION("""COMPUTED_VALUE"""),"SMART CARD PRETO NAGRA")</f>
        <v>SMART CARD PRETO NAGRA</v>
      </c>
      <c r="B535" s="22">
        <f>IFERROR(__xludf.DUMMYFUNCTION("""COMPUTED_VALUE"""),4.1001234E7)</f>
        <v>41001234</v>
      </c>
      <c r="C535" s="21" t="str">
        <f>IFERROR(__xludf.DUMMYFUNCTION("""COMPUTED_VALUE"""),"246035378989")</f>
        <v>246035378989</v>
      </c>
      <c r="D535" s="21" t="str">
        <f>IFERROR(__xludf.DUMMYFUNCTION("""COMPUTED_VALUE"""),"DIGITEC TECNOLOGIA DIGITAL E REPRES")</f>
        <v>DIGITEC TECNOLOGIA DIGITAL E REPRES</v>
      </c>
      <c r="E535" s="21">
        <f>IFERROR(__xludf.DUMMYFUNCTION("""COMPUTED_VALUE"""),145359.0)</f>
        <v>145359</v>
      </c>
      <c r="F535" s="21" t="str">
        <f>IFERROR(__xludf.DUMMYFUNCTION("""COMPUTED_VALUE"""),"INICIALIZADO")</f>
        <v>INICIALIZADO</v>
      </c>
      <c r="G535" s="23">
        <f>IFERROR(__xludf.DUMMYFUNCTION("""COMPUTED_VALUE"""),45642.524097222224)</f>
        <v>45642.5241</v>
      </c>
      <c r="H535" s="24" t="str">
        <f>IFERROR(VLOOKUP(B535,material!A:D,3,0),"")</f>
        <v>CARD</v>
      </c>
    </row>
    <row r="536" ht="11.25" customHeight="1">
      <c r="A536" s="21" t="str">
        <f>IFERROR(__xludf.DUMMYFUNCTION("""COMPUTED_VALUE"""),"SMART CARD PRETO NAGRA")</f>
        <v>SMART CARD PRETO NAGRA</v>
      </c>
      <c r="B536" s="22">
        <f>IFERROR(__xludf.DUMMYFUNCTION("""COMPUTED_VALUE"""),4.1001234E7)</f>
        <v>41001234</v>
      </c>
      <c r="C536" s="21" t="str">
        <f>IFERROR(__xludf.DUMMYFUNCTION("""COMPUTED_VALUE"""),"246033907589")</f>
        <v>246033907589</v>
      </c>
      <c r="D536" s="21" t="str">
        <f>IFERROR(__xludf.DUMMYFUNCTION("""COMPUTED_VALUE"""),"DIGITEC TECNOLOGIA DIGITAL E REPRES")</f>
        <v>DIGITEC TECNOLOGIA DIGITAL E REPRES</v>
      </c>
      <c r="E536" s="21">
        <f>IFERROR(__xludf.DUMMYFUNCTION("""COMPUTED_VALUE"""),145359.0)</f>
        <v>145359</v>
      </c>
      <c r="F536" s="21" t="str">
        <f>IFERROR(__xludf.DUMMYFUNCTION("""COMPUTED_VALUE"""),"INICIALIZADO")</f>
        <v>INICIALIZADO</v>
      </c>
      <c r="G536" s="23">
        <f>IFERROR(__xludf.DUMMYFUNCTION("""COMPUTED_VALUE"""),45642.52410879629)</f>
        <v>45642.52411</v>
      </c>
      <c r="H536" s="24" t="str">
        <f>IFERROR(VLOOKUP(B536,material!A:D,3,0),"")</f>
        <v>CARD</v>
      </c>
    </row>
    <row r="537" ht="11.25" customHeight="1">
      <c r="A537" s="21" t="str">
        <f>IFERROR(__xludf.DUMMYFUNCTION("""COMPUTED_VALUE"""),"SMART CARD PRETO NAGRA")</f>
        <v>SMART CARD PRETO NAGRA</v>
      </c>
      <c r="B537" s="22">
        <f>IFERROR(__xludf.DUMMYFUNCTION("""COMPUTED_VALUE"""),4.1001234E7)</f>
        <v>41001234</v>
      </c>
      <c r="C537" s="21" t="str">
        <f>IFERROR(__xludf.DUMMYFUNCTION("""COMPUTED_VALUE"""),"246276610525")</f>
        <v>246276610525</v>
      </c>
      <c r="D537" s="21" t="str">
        <f>IFERROR(__xludf.DUMMYFUNCTION("""COMPUTED_VALUE"""),"DIGITEC TECNOLOGIA DIGITAL E REPRES")</f>
        <v>DIGITEC TECNOLOGIA DIGITAL E REPRES</v>
      </c>
      <c r="E537" s="21">
        <f>IFERROR(__xludf.DUMMYFUNCTION("""COMPUTED_VALUE"""),145359.0)</f>
        <v>145359</v>
      </c>
      <c r="F537" s="21" t="str">
        <f>IFERROR(__xludf.DUMMYFUNCTION("""COMPUTED_VALUE"""),"INICIALIZADO")</f>
        <v>INICIALIZADO</v>
      </c>
      <c r="G537" s="23">
        <f>IFERROR(__xludf.DUMMYFUNCTION("""COMPUTED_VALUE"""),45635.53491898148)</f>
        <v>45635.53492</v>
      </c>
      <c r="H537" s="24" t="str">
        <f>IFERROR(VLOOKUP(B537,material!A:D,3,0),"")</f>
        <v>CARD</v>
      </c>
    </row>
    <row r="538" ht="11.25" customHeight="1">
      <c r="A538" s="21" t="str">
        <f>IFERROR(__xludf.DUMMYFUNCTION("""COMPUTED_VALUE"""),"SMART CARD PRETO NAGRA")</f>
        <v>SMART CARD PRETO NAGRA</v>
      </c>
      <c r="B538" s="22">
        <f>IFERROR(__xludf.DUMMYFUNCTION("""COMPUTED_VALUE"""),4.1001234E7)</f>
        <v>41001234</v>
      </c>
      <c r="C538" s="21" t="str">
        <f>IFERROR(__xludf.DUMMYFUNCTION("""COMPUTED_VALUE"""),"246136666574")</f>
        <v>246136666574</v>
      </c>
      <c r="D538" s="21" t="str">
        <f>IFERROR(__xludf.DUMMYFUNCTION("""COMPUTED_VALUE"""),"DIGITEC TECNOLOGIA DIGITAL E REPRES")</f>
        <v>DIGITEC TECNOLOGIA DIGITAL E REPRES</v>
      </c>
      <c r="E538" s="21">
        <f>IFERROR(__xludf.DUMMYFUNCTION("""COMPUTED_VALUE"""),145359.0)</f>
        <v>145359</v>
      </c>
      <c r="F538" s="21" t="str">
        <f>IFERROR(__xludf.DUMMYFUNCTION("""COMPUTED_VALUE"""),"INICIALIZADO")</f>
        <v>INICIALIZADO</v>
      </c>
      <c r="G538" s="23">
        <f>IFERROR(__xludf.DUMMYFUNCTION("""COMPUTED_VALUE"""),45635.534895833334)</f>
        <v>45635.5349</v>
      </c>
      <c r="H538" s="24" t="str">
        <f>IFERROR(VLOOKUP(B538,material!A:D,3,0),"")</f>
        <v>CARD</v>
      </c>
    </row>
    <row r="539" ht="11.25" customHeight="1">
      <c r="A539" s="21" t="str">
        <f>IFERROR(__xludf.DUMMYFUNCTION("""COMPUTED_VALUE"""),"SMART CARD PRETO NAGRA")</f>
        <v>SMART CARD PRETO NAGRA</v>
      </c>
      <c r="B539" s="22">
        <f>IFERROR(__xludf.DUMMYFUNCTION("""COMPUTED_VALUE"""),4.1001234E7)</f>
        <v>41001234</v>
      </c>
      <c r="C539" s="21" t="str">
        <f>IFERROR(__xludf.DUMMYFUNCTION("""COMPUTED_VALUE"""),"246072238490")</f>
        <v>246072238490</v>
      </c>
      <c r="D539" s="21" t="str">
        <f>IFERROR(__xludf.DUMMYFUNCTION("""COMPUTED_VALUE"""),"DIGITEC TECNOLOGIA DIGITAL E REPRES")</f>
        <v>DIGITEC TECNOLOGIA DIGITAL E REPRES</v>
      </c>
      <c r="E539" s="21">
        <f>IFERROR(__xludf.DUMMYFUNCTION("""COMPUTED_VALUE"""),145359.0)</f>
        <v>145359</v>
      </c>
      <c r="F539" s="21" t="str">
        <f>IFERROR(__xludf.DUMMYFUNCTION("""COMPUTED_VALUE"""),"INICIALIZADO")</f>
        <v>INICIALIZADO</v>
      </c>
      <c r="G539" s="23">
        <f>IFERROR(__xludf.DUMMYFUNCTION("""COMPUTED_VALUE"""),45635.534895833334)</f>
        <v>45635.5349</v>
      </c>
      <c r="H539" s="24" t="str">
        <f>IFERROR(VLOOKUP(B539,material!A:D,3,0),"")</f>
        <v>CARD</v>
      </c>
    </row>
    <row r="540" ht="11.25" customHeight="1">
      <c r="A540" s="21" t="str">
        <f>IFERROR(__xludf.DUMMYFUNCTION("""COMPUTED_VALUE"""),"SMART CARD PRETO NAGRA")</f>
        <v>SMART CARD PRETO NAGRA</v>
      </c>
      <c r="B540" s="22">
        <f>IFERROR(__xludf.DUMMYFUNCTION("""COMPUTED_VALUE"""),4.1001234E7)</f>
        <v>41001234</v>
      </c>
      <c r="C540" s="21" t="str">
        <f>IFERROR(__xludf.DUMMYFUNCTION("""COMPUTED_VALUE"""),"246102964464")</f>
        <v>246102964464</v>
      </c>
      <c r="D540" s="21" t="str">
        <f>IFERROR(__xludf.DUMMYFUNCTION("""COMPUTED_VALUE"""),"DIGITEC TECNOLOGIA DIGITAL E REPRES")</f>
        <v>DIGITEC TECNOLOGIA DIGITAL E REPRES</v>
      </c>
      <c r="E540" s="21">
        <f>IFERROR(__xludf.DUMMYFUNCTION("""COMPUTED_VALUE"""),145359.0)</f>
        <v>145359</v>
      </c>
      <c r="F540" s="21" t="str">
        <f>IFERROR(__xludf.DUMMYFUNCTION("""COMPUTED_VALUE"""),"INICIALIZADO")</f>
        <v>INICIALIZADO</v>
      </c>
      <c r="G540" s="23">
        <f>IFERROR(__xludf.DUMMYFUNCTION("""COMPUTED_VALUE"""),45642.524097222224)</f>
        <v>45642.5241</v>
      </c>
      <c r="H540" s="24" t="str">
        <f>IFERROR(VLOOKUP(B540,material!A:D,3,0),"")</f>
        <v>CARD</v>
      </c>
    </row>
    <row r="541" ht="11.25" customHeight="1">
      <c r="A541" s="21" t="str">
        <f>IFERROR(__xludf.DUMMYFUNCTION("""COMPUTED_VALUE"""),"SMART CARD PRETO NAGRA")</f>
        <v>SMART CARD PRETO NAGRA</v>
      </c>
      <c r="B541" s="22">
        <f>IFERROR(__xludf.DUMMYFUNCTION("""COMPUTED_VALUE"""),4.1001234E7)</f>
        <v>41001234</v>
      </c>
      <c r="C541" s="21" t="str">
        <f>IFERROR(__xludf.DUMMYFUNCTION("""COMPUTED_VALUE"""),"226204589701")</f>
        <v>226204589701</v>
      </c>
      <c r="D541" s="21" t="str">
        <f>IFERROR(__xludf.DUMMYFUNCTION("""COMPUTED_VALUE"""),"DIGITEC TECNOLOGIA DIGITAL E REPRES")</f>
        <v>DIGITEC TECNOLOGIA DIGITAL E REPRES</v>
      </c>
      <c r="E541" s="21">
        <f>IFERROR(__xludf.DUMMYFUNCTION("""COMPUTED_VALUE"""),145359.0)</f>
        <v>145359</v>
      </c>
      <c r="F541" s="21" t="str">
        <f>IFERROR(__xludf.DUMMYFUNCTION("""COMPUTED_VALUE"""),"INICIALIZADO")</f>
        <v>INICIALIZADO</v>
      </c>
      <c r="G541" s="23">
        <f>IFERROR(__xludf.DUMMYFUNCTION("""COMPUTED_VALUE"""),45642.52410879629)</f>
        <v>45642.52411</v>
      </c>
      <c r="H541" s="24" t="str">
        <f>IFERROR(VLOOKUP(B541,material!A:D,3,0),"")</f>
        <v>CARD</v>
      </c>
    </row>
    <row r="542" ht="11.25" customHeight="1">
      <c r="A542" s="21" t="str">
        <f>IFERROR(__xludf.DUMMYFUNCTION("""COMPUTED_VALUE"""),"SMART CARD PRETO NAGRA")</f>
        <v>SMART CARD PRETO NAGRA</v>
      </c>
      <c r="B542" s="22">
        <f>IFERROR(__xludf.DUMMYFUNCTION("""COMPUTED_VALUE"""),4.1001234E7)</f>
        <v>41001234</v>
      </c>
      <c r="C542" s="21" t="str">
        <f>IFERROR(__xludf.DUMMYFUNCTION("""COMPUTED_VALUE"""),"226341517789")</f>
        <v>226341517789</v>
      </c>
      <c r="D542" s="21" t="str">
        <f>IFERROR(__xludf.DUMMYFUNCTION("""COMPUTED_VALUE"""),"DIGITEC TECNOLOGIA DIGITAL E REPRES")</f>
        <v>DIGITEC TECNOLOGIA DIGITAL E REPRES</v>
      </c>
      <c r="E542" s="21">
        <f>IFERROR(__xludf.DUMMYFUNCTION("""COMPUTED_VALUE"""),145359.0)</f>
        <v>145359</v>
      </c>
      <c r="F542" s="21" t="str">
        <f>IFERROR(__xludf.DUMMYFUNCTION("""COMPUTED_VALUE"""),"INICIALIZADO")</f>
        <v>INICIALIZADO</v>
      </c>
      <c r="G542" s="23">
        <f>IFERROR(__xludf.DUMMYFUNCTION("""COMPUTED_VALUE"""),45642.52412037037)</f>
        <v>45642.52412</v>
      </c>
      <c r="H542" s="24" t="str">
        <f>IFERROR(VLOOKUP(B542,material!A:D,3,0),"")</f>
        <v>CARD</v>
      </c>
    </row>
    <row r="543" ht="11.25" customHeight="1">
      <c r="A543" s="21" t="str">
        <f>IFERROR(__xludf.DUMMYFUNCTION("""COMPUTED_VALUE"""),"SMART CARD PRETO NAGRA")</f>
        <v>SMART CARD PRETO NAGRA</v>
      </c>
      <c r="B543" s="22">
        <f>IFERROR(__xludf.DUMMYFUNCTION("""COMPUTED_VALUE"""),4.1001234E7)</f>
        <v>41001234</v>
      </c>
      <c r="C543" s="21" t="str">
        <f>IFERROR(__xludf.DUMMYFUNCTION("""COMPUTED_VALUE"""),"246007739817")</f>
        <v>246007739817</v>
      </c>
      <c r="D543" s="21" t="str">
        <f>IFERROR(__xludf.DUMMYFUNCTION("""COMPUTED_VALUE"""),"DIGITEC TECNOLOGIA DIGITAL E REPRES")</f>
        <v>DIGITEC TECNOLOGIA DIGITAL E REPRES</v>
      </c>
      <c r="E543" s="21">
        <f>IFERROR(__xludf.DUMMYFUNCTION("""COMPUTED_VALUE"""),145359.0)</f>
        <v>145359</v>
      </c>
      <c r="F543" s="21" t="str">
        <f>IFERROR(__xludf.DUMMYFUNCTION("""COMPUTED_VALUE"""),"INICIALIZADO")</f>
        <v>INICIALIZADO</v>
      </c>
      <c r="G543" s="23">
        <f>IFERROR(__xludf.DUMMYFUNCTION("""COMPUTED_VALUE"""),45642.52410879629)</f>
        <v>45642.52411</v>
      </c>
      <c r="H543" s="24" t="str">
        <f>IFERROR(VLOOKUP(B543,material!A:D,3,0),"")</f>
        <v>CARD</v>
      </c>
    </row>
    <row r="544" ht="11.25" customHeight="1">
      <c r="A544" s="21" t="str">
        <f>IFERROR(__xludf.DUMMYFUNCTION("""COMPUTED_VALUE"""),"DECODER DIGITAL HD HNB100 2T")</f>
        <v>DECODER DIGITAL HD HNB100 2T</v>
      </c>
      <c r="B544" s="22">
        <f>IFERROR(__xludf.DUMMYFUNCTION("""COMPUTED_VALUE"""),4.1001276E7)</f>
        <v>41001276</v>
      </c>
      <c r="C544" s="21" t="str">
        <f>IFERROR(__xludf.DUMMYFUNCTION("""COMPUTED_VALUE"""),"216555768705")</f>
        <v>216555768705</v>
      </c>
      <c r="D544" s="21" t="str">
        <f>IFERROR(__xludf.DUMMYFUNCTION("""COMPUTED_VALUE"""),"DIGITEC TECNOLOGIA DIGITAL E REPRES")</f>
        <v>DIGITEC TECNOLOGIA DIGITAL E REPRES</v>
      </c>
      <c r="E544" s="21">
        <f>IFERROR(__xludf.DUMMYFUNCTION("""COMPUTED_VALUE"""),145359.0)</f>
        <v>145359</v>
      </c>
      <c r="F544" s="21" t="str">
        <f>IFERROR(__xludf.DUMMYFUNCTION("""COMPUTED_VALUE"""),"INICIALIZADO")</f>
        <v>INICIALIZADO</v>
      </c>
      <c r="G544" s="23">
        <f>IFERROR(__xludf.DUMMYFUNCTION("""COMPUTED_VALUE"""),45635.53508101852)</f>
        <v>45635.53508</v>
      </c>
      <c r="H544" s="24" t="str">
        <f>IFERROR(VLOOKUP(B544,material!A:D,3,0),"")</f>
        <v>TOP MIX</v>
      </c>
    </row>
    <row r="545" ht="11.25" customHeight="1">
      <c r="A545" s="21" t="str">
        <f>IFERROR(__xludf.DUMMYFUNCTION("""COMPUTED_VALUE"""),"SMART CARD PRETO NAGRA")</f>
        <v>SMART CARD PRETO NAGRA</v>
      </c>
      <c r="B545" s="22">
        <f>IFERROR(__xludf.DUMMYFUNCTION("""COMPUTED_VALUE"""),4.1001234E7)</f>
        <v>41001234</v>
      </c>
      <c r="C545" s="21" t="str">
        <f>IFERROR(__xludf.DUMMYFUNCTION("""COMPUTED_VALUE"""),"226319081313")</f>
        <v>226319081313</v>
      </c>
      <c r="D545" s="21" t="str">
        <f>IFERROR(__xludf.DUMMYFUNCTION("""COMPUTED_VALUE"""),"DIGITEC TECNOLOGIA DIGITAL E REPRES")</f>
        <v>DIGITEC TECNOLOGIA DIGITAL E REPRES</v>
      </c>
      <c r="E545" s="21">
        <f>IFERROR(__xludf.DUMMYFUNCTION("""COMPUTED_VALUE"""),145359.0)</f>
        <v>145359</v>
      </c>
      <c r="F545" s="21" t="str">
        <f>IFERROR(__xludf.DUMMYFUNCTION("""COMPUTED_VALUE"""),"INICIALIZADO")</f>
        <v>INICIALIZADO</v>
      </c>
      <c r="G545" s="23">
        <f>IFERROR(__xludf.DUMMYFUNCTION("""COMPUTED_VALUE"""),45635.53497685185)</f>
        <v>45635.53498</v>
      </c>
      <c r="H545" s="24" t="str">
        <f>IFERROR(VLOOKUP(B545,material!A:D,3,0),"")</f>
        <v>CARD</v>
      </c>
    </row>
    <row r="546" ht="11.25" customHeight="1">
      <c r="A546" s="21" t="str">
        <f>IFERROR(__xludf.DUMMYFUNCTION("""COMPUTED_VALUE"""),"SMART CARD PRETO NAGRA")</f>
        <v>SMART CARD PRETO NAGRA</v>
      </c>
      <c r="B546" s="22">
        <f>IFERROR(__xludf.DUMMYFUNCTION("""COMPUTED_VALUE"""),4.1001234E7)</f>
        <v>41001234</v>
      </c>
      <c r="C546" s="21" t="str">
        <f>IFERROR(__xludf.DUMMYFUNCTION("""COMPUTED_VALUE"""),"246251455768")</f>
        <v>246251455768</v>
      </c>
      <c r="D546" s="21" t="str">
        <f>IFERROR(__xludf.DUMMYFUNCTION("""COMPUTED_VALUE"""),"DIGITEC TECNOLOGIA DIGITAL E REPRES")</f>
        <v>DIGITEC TECNOLOGIA DIGITAL E REPRES</v>
      </c>
      <c r="E546" s="21">
        <f>IFERROR(__xludf.DUMMYFUNCTION("""COMPUTED_VALUE"""),145359.0)</f>
        <v>145359</v>
      </c>
      <c r="F546" s="21" t="str">
        <f>IFERROR(__xludf.DUMMYFUNCTION("""COMPUTED_VALUE"""),"INICIALIZADO")</f>
        <v>INICIALIZADO</v>
      </c>
      <c r="G546" s="23">
        <f>IFERROR(__xludf.DUMMYFUNCTION("""COMPUTED_VALUE"""),45635.53493055556)</f>
        <v>45635.53493</v>
      </c>
      <c r="H546" s="24" t="str">
        <f>IFERROR(VLOOKUP(B546,material!A:D,3,0),"")</f>
        <v>CARD</v>
      </c>
    </row>
    <row r="547" ht="11.25" customHeight="1">
      <c r="A547" s="21" t="str">
        <f>IFERROR(__xludf.DUMMYFUNCTION("""COMPUTED_VALUE"""),"SMART CARD PRETO NAGRA")</f>
        <v>SMART CARD PRETO NAGRA</v>
      </c>
      <c r="B547" s="22">
        <f>IFERROR(__xludf.DUMMYFUNCTION("""COMPUTED_VALUE"""),4.1001234E7)</f>
        <v>41001234</v>
      </c>
      <c r="C547" s="21" t="str">
        <f>IFERROR(__xludf.DUMMYFUNCTION("""COMPUTED_VALUE"""),"246197850414")</f>
        <v>246197850414</v>
      </c>
      <c r="D547" s="21" t="str">
        <f>IFERROR(__xludf.DUMMYFUNCTION("""COMPUTED_VALUE"""),"DIGITEC TECNOLOGIA DIGITAL E REPRES")</f>
        <v>DIGITEC TECNOLOGIA DIGITAL E REPRES</v>
      </c>
      <c r="E547" s="21">
        <f>IFERROR(__xludf.DUMMYFUNCTION("""COMPUTED_VALUE"""),145359.0)</f>
        <v>145359</v>
      </c>
      <c r="F547" s="21" t="str">
        <f>IFERROR(__xludf.DUMMYFUNCTION("""COMPUTED_VALUE"""),"INICIALIZADO")</f>
        <v>INICIALIZADO</v>
      </c>
      <c r="G547" s="23">
        <f>IFERROR(__xludf.DUMMYFUNCTION("""COMPUTED_VALUE"""),45635.534895833334)</f>
        <v>45635.5349</v>
      </c>
      <c r="H547" s="24" t="str">
        <f>IFERROR(VLOOKUP(B547,material!A:D,3,0),"")</f>
        <v>CARD</v>
      </c>
    </row>
    <row r="548" ht="11.25" customHeight="1">
      <c r="A548" s="21" t="str">
        <f>IFERROR(__xludf.DUMMYFUNCTION("""COMPUTED_VALUE"""),"SMART CARD AVULSO MINI")</f>
        <v>SMART CARD AVULSO MINI</v>
      </c>
      <c r="B548" s="22">
        <f>IFERROR(__xludf.DUMMYFUNCTION("""COMPUTED_VALUE"""),4.1001508E7)</f>
        <v>41001508</v>
      </c>
      <c r="C548" s="21" t="str">
        <f>IFERROR(__xludf.DUMMYFUNCTION("""COMPUTED_VALUE"""),"226352629817")</f>
        <v>226352629817</v>
      </c>
      <c r="D548" s="21" t="str">
        <f>IFERROR(__xludf.DUMMYFUNCTION("""COMPUTED_VALUE"""),"DIGITEC TECNOLOGIA DIGITAL E REPRES")</f>
        <v>DIGITEC TECNOLOGIA DIGITAL E REPRES</v>
      </c>
      <c r="E548" s="21">
        <f>IFERROR(__xludf.DUMMYFUNCTION("""COMPUTED_VALUE"""),145359.0)</f>
        <v>145359</v>
      </c>
      <c r="F548" s="21" t="str">
        <f>IFERROR(__xludf.DUMMYFUNCTION("""COMPUTED_VALUE"""),"TRANSITO REVERSA")</f>
        <v>TRANSITO REVERSA</v>
      </c>
      <c r="G548" s="23">
        <f>IFERROR(__xludf.DUMMYFUNCTION("""COMPUTED_VALUE"""),45638.520636574074)</f>
        <v>45638.52064</v>
      </c>
      <c r="H548" s="24" t="str">
        <f>IFERROR(VLOOKUP(B548,material!A:D,3,0),"")</f>
        <v>SIM CARD</v>
      </c>
    </row>
    <row r="549" ht="11.25" customHeight="1">
      <c r="A549" s="21" t="str">
        <f>IFERROR(__xludf.DUMMYFUNCTION("""COMPUTED_VALUE"""),"SMART CARD LARANJA NAGRA")</f>
        <v>SMART CARD LARANJA NAGRA</v>
      </c>
      <c r="B549" s="22">
        <f>IFERROR(__xludf.DUMMYFUNCTION("""COMPUTED_VALUE"""),4.1001186E7)</f>
        <v>41001186</v>
      </c>
      <c r="C549" s="21" t="str">
        <f>IFERROR(__xludf.DUMMYFUNCTION("""COMPUTED_VALUE"""),"215777123241")</f>
        <v>215777123241</v>
      </c>
      <c r="D549" s="21" t="str">
        <f>IFERROR(__xludf.DUMMYFUNCTION("""COMPUTED_VALUE"""),"DIGITEC TECNOLOGIA DIGITAL E REPRES")</f>
        <v>DIGITEC TECNOLOGIA DIGITAL E REPRES</v>
      </c>
      <c r="E549" s="21">
        <f>IFERROR(__xludf.DUMMYFUNCTION("""COMPUTED_VALUE"""),145359.0)</f>
        <v>145359</v>
      </c>
      <c r="F549" s="21" t="str">
        <f>IFERROR(__xludf.DUMMYFUNCTION("""COMPUTED_VALUE"""),"SUCATA")</f>
        <v>SUCATA</v>
      </c>
      <c r="G549" s="23">
        <f>IFERROR(__xludf.DUMMYFUNCTION("""COMPUTED_VALUE"""),45076.62069444444)</f>
        <v>45076.62069</v>
      </c>
      <c r="H549" s="24" t="str">
        <f>IFERROR(VLOOKUP(B549,material!A:D,3,0),"")</f>
        <v>CARD</v>
      </c>
    </row>
    <row r="550" ht="11.25" customHeight="1">
      <c r="A550" s="21" t="str">
        <f>IFERROR(__xludf.DUMMYFUNCTION("""COMPUTED_VALUE"""),"SMART CARD LARANJA NAGRA")</f>
        <v>SMART CARD LARANJA NAGRA</v>
      </c>
      <c r="B550" s="22">
        <f>IFERROR(__xludf.DUMMYFUNCTION("""COMPUTED_VALUE"""),4.1001186E7)</f>
        <v>41001186</v>
      </c>
      <c r="C550" s="21" t="str">
        <f>IFERROR(__xludf.DUMMYFUNCTION("""COMPUTED_VALUE"""),"215725324953")</f>
        <v>215725324953</v>
      </c>
      <c r="D550" s="21" t="str">
        <f>IFERROR(__xludf.DUMMYFUNCTION("""COMPUTED_VALUE"""),"DIGITEC TECNOLOGIA DIGITAL E REPRES")</f>
        <v>DIGITEC TECNOLOGIA DIGITAL E REPRES</v>
      </c>
      <c r="E550" s="21">
        <f>IFERROR(__xludf.DUMMYFUNCTION("""COMPUTED_VALUE"""),145359.0)</f>
        <v>145359</v>
      </c>
      <c r="F550" s="21" t="str">
        <f>IFERROR(__xludf.DUMMYFUNCTION("""COMPUTED_VALUE"""),"SUCATA")</f>
        <v>SUCATA</v>
      </c>
      <c r="G550" s="23">
        <f>IFERROR(__xludf.DUMMYFUNCTION("""COMPUTED_VALUE"""),45076.73168981481)</f>
        <v>45076.73169</v>
      </c>
      <c r="H550" s="24" t="str">
        <f>IFERROR(VLOOKUP(B550,material!A:D,3,0),"")</f>
        <v>CARD</v>
      </c>
    </row>
    <row r="551" ht="11.25" customHeight="1">
      <c r="A551" s="21" t="str">
        <f>IFERROR(__xludf.DUMMYFUNCTION("""COMPUTED_VALUE"""),"TECHNICOLOR TC7337NET")</f>
        <v>TECHNICOLOR TC7337NET</v>
      </c>
      <c r="B551" s="22">
        <f>IFERROR(__xludf.DUMMYFUNCTION("""COMPUTED_VALUE"""),4.1001294E7)</f>
        <v>41001294</v>
      </c>
      <c r="C551" s="21" t="str">
        <f>IFERROR(__xludf.DUMMYFUNCTION("""COMPUTED_VALUE"""),"B42A0E1B67C9")</f>
        <v>B42A0E1B67C9</v>
      </c>
      <c r="D551" s="21" t="str">
        <f>IFERROR(__xludf.DUMMYFUNCTION("""COMPUTED_VALUE"""),"DIGITEC TECNOLOGIA DIGITAL E REPRES")</f>
        <v>DIGITEC TECNOLOGIA DIGITAL E REPRES</v>
      </c>
      <c r="E551" s="21">
        <f>IFERROR(__xludf.DUMMYFUNCTION("""COMPUTED_VALUE"""),145359.0)</f>
        <v>145359</v>
      </c>
      <c r="F551" s="21" t="str">
        <f>IFERROR(__xludf.DUMMYFUNCTION("""COMPUTED_VALUE"""),"INICIALIZADO")</f>
        <v>INICIALIZADO</v>
      </c>
      <c r="G551" s="23">
        <f>IFERROR(__xludf.DUMMYFUNCTION("""COMPUTED_VALUE"""),45618.74476851852)</f>
        <v>45618.74477</v>
      </c>
      <c r="H551" s="24" t="str">
        <f>IFERROR(VLOOKUP(B551,material!A:D,3,0),"")</f>
        <v>DUAL</v>
      </c>
    </row>
    <row r="552" ht="11.25" customHeight="1">
      <c r="A552" s="21" t="str">
        <f>IFERROR(__xludf.DUMMYFUNCTION("""COMPUTED_VALUE"""),"DECODER DIGITAL HD HNB100 2T")</f>
        <v>DECODER DIGITAL HD HNB100 2T</v>
      </c>
      <c r="B552" s="22">
        <f>IFERROR(__xludf.DUMMYFUNCTION("""COMPUTED_VALUE"""),4.1001276E7)</f>
        <v>41001276</v>
      </c>
      <c r="C552" s="21" t="str">
        <f>IFERROR(__xludf.DUMMYFUNCTION("""COMPUTED_VALUE"""),"216609987183")</f>
        <v>216609987183</v>
      </c>
      <c r="D552" s="21" t="str">
        <f>IFERROR(__xludf.DUMMYFUNCTION("""COMPUTED_VALUE"""),"DIGITEC TECNOLOGIA DIGITAL E REPRES")</f>
        <v>DIGITEC TECNOLOGIA DIGITAL E REPRES</v>
      </c>
      <c r="E552" s="21">
        <f>IFERROR(__xludf.DUMMYFUNCTION("""COMPUTED_VALUE"""),145359.0)</f>
        <v>145359</v>
      </c>
      <c r="F552" s="21" t="str">
        <f>IFERROR(__xludf.DUMMYFUNCTION("""COMPUTED_VALUE"""),"INICIALIZADO")</f>
        <v>INICIALIZADO</v>
      </c>
      <c r="G552" s="23">
        <f>IFERROR(__xludf.DUMMYFUNCTION("""COMPUTED_VALUE"""),45635.535057870366)</f>
        <v>45635.53506</v>
      </c>
      <c r="H552" s="24" t="str">
        <f>IFERROR(VLOOKUP(B552,material!A:D,3,0),"")</f>
        <v>TOP MIX</v>
      </c>
    </row>
    <row r="553" ht="11.25" customHeight="1">
      <c r="A553" s="21" t="str">
        <f>IFERROR(__xludf.DUMMYFUNCTION("""COMPUTED_VALUE"""),"SMART CARD PRETO NAGRA")</f>
        <v>SMART CARD PRETO NAGRA</v>
      </c>
      <c r="B553" s="22">
        <f>IFERROR(__xludf.DUMMYFUNCTION("""COMPUTED_VALUE"""),4.1001234E7)</f>
        <v>41001234</v>
      </c>
      <c r="C553" s="21" t="str">
        <f>IFERROR(__xludf.DUMMYFUNCTION("""COMPUTED_VALUE"""),"226076531020")</f>
        <v>226076531020</v>
      </c>
      <c r="D553" s="21" t="str">
        <f>IFERROR(__xludf.DUMMYFUNCTION("""COMPUTED_VALUE"""),"DIGITEC TECNOLOGIA DIGITAL E REPRES")</f>
        <v>DIGITEC TECNOLOGIA DIGITAL E REPRES</v>
      </c>
      <c r="E553" s="21">
        <f>IFERROR(__xludf.DUMMYFUNCTION("""COMPUTED_VALUE"""),145359.0)</f>
        <v>145359</v>
      </c>
      <c r="F553" s="21" t="str">
        <f>IFERROR(__xludf.DUMMYFUNCTION("""COMPUTED_VALUE"""),"INICIALIZADO")</f>
        <v>INICIALIZADO</v>
      </c>
      <c r="G553" s="23">
        <f>IFERROR(__xludf.DUMMYFUNCTION("""COMPUTED_VALUE"""),45635.534953703704)</f>
        <v>45635.53495</v>
      </c>
      <c r="H553" s="24" t="str">
        <f>IFERROR(VLOOKUP(B553,material!A:D,3,0),"")</f>
        <v>CARD</v>
      </c>
    </row>
    <row r="554" ht="11.25" customHeight="1">
      <c r="A554" s="21" t="str">
        <f>IFERROR(__xludf.DUMMYFUNCTION("""COMPUTED_VALUE"""),"SMART CARD PRETO NAGRA")</f>
        <v>SMART CARD PRETO NAGRA</v>
      </c>
      <c r="B554" s="22">
        <f>IFERROR(__xludf.DUMMYFUNCTION("""COMPUTED_VALUE"""),4.1001234E7)</f>
        <v>41001234</v>
      </c>
      <c r="C554" s="21" t="str">
        <f>IFERROR(__xludf.DUMMYFUNCTION("""COMPUTED_VALUE"""),"226392633250")</f>
        <v>226392633250</v>
      </c>
      <c r="D554" s="21" t="str">
        <f>IFERROR(__xludf.DUMMYFUNCTION("""COMPUTED_VALUE"""),"DIGITEC TECNOLOGIA DIGITAL E REPRES")</f>
        <v>DIGITEC TECNOLOGIA DIGITAL E REPRES</v>
      </c>
      <c r="E554" s="21">
        <f>IFERROR(__xludf.DUMMYFUNCTION("""COMPUTED_VALUE"""),145359.0)</f>
        <v>145359</v>
      </c>
      <c r="F554" s="21" t="str">
        <f>IFERROR(__xludf.DUMMYFUNCTION("""COMPUTED_VALUE"""),"INICIALIZADO")</f>
        <v>INICIALIZADO</v>
      </c>
      <c r="G554" s="23">
        <f>IFERROR(__xludf.DUMMYFUNCTION("""COMPUTED_VALUE"""),45635.534953703704)</f>
        <v>45635.53495</v>
      </c>
      <c r="H554" s="24" t="str">
        <f>IFERROR(VLOOKUP(B554,material!A:D,3,0),"")</f>
        <v>CARD</v>
      </c>
    </row>
    <row r="555" ht="11.25" customHeight="1">
      <c r="A555" s="21" t="str">
        <f>IFERROR(__xludf.DUMMYFUNCTION("""COMPUTED_VALUE"""),"SMART CARD PRETO NAGRA")</f>
        <v>SMART CARD PRETO NAGRA</v>
      </c>
      <c r="B555" s="22">
        <f>IFERROR(__xludf.DUMMYFUNCTION("""COMPUTED_VALUE"""),4.1001234E7)</f>
        <v>41001234</v>
      </c>
      <c r="C555" s="21" t="str">
        <f>IFERROR(__xludf.DUMMYFUNCTION("""COMPUTED_VALUE"""),"246227327790")</f>
        <v>246227327790</v>
      </c>
      <c r="D555" s="21" t="str">
        <f>IFERROR(__xludf.DUMMYFUNCTION("""COMPUTED_VALUE"""),"DIGITEC TECNOLOGIA DIGITAL E REPRES")</f>
        <v>DIGITEC TECNOLOGIA DIGITAL E REPRES</v>
      </c>
      <c r="E555" s="21">
        <f>IFERROR(__xludf.DUMMYFUNCTION("""COMPUTED_VALUE"""),145359.0)</f>
        <v>145359</v>
      </c>
      <c r="F555" s="21" t="str">
        <f>IFERROR(__xludf.DUMMYFUNCTION("""COMPUTED_VALUE"""),"INICIALIZADO")</f>
        <v>INICIALIZADO</v>
      </c>
      <c r="G555" s="23">
        <f>IFERROR(__xludf.DUMMYFUNCTION("""COMPUTED_VALUE"""),45635.53493055556)</f>
        <v>45635.53493</v>
      </c>
      <c r="H555" s="24" t="str">
        <f>IFERROR(VLOOKUP(B555,material!A:D,3,0),"")</f>
        <v>CARD</v>
      </c>
    </row>
    <row r="556" ht="11.25" customHeight="1">
      <c r="A556" s="21" t="str">
        <f>IFERROR(__xludf.DUMMYFUNCTION("""COMPUTED_VALUE"""),"SMART CARD PRETO NAGRA")</f>
        <v>SMART CARD PRETO NAGRA</v>
      </c>
      <c r="B556" s="22">
        <f>IFERROR(__xludf.DUMMYFUNCTION("""COMPUTED_VALUE"""),4.1001234E7)</f>
        <v>41001234</v>
      </c>
      <c r="C556" s="21" t="str">
        <f>IFERROR(__xludf.DUMMYFUNCTION("""COMPUTED_VALUE"""),"246163500709")</f>
        <v>246163500709</v>
      </c>
      <c r="D556" s="21" t="str">
        <f>IFERROR(__xludf.DUMMYFUNCTION("""COMPUTED_VALUE"""),"DIGITEC TECNOLOGIA DIGITAL E REPRES")</f>
        <v>DIGITEC TECNOLOGIA DIGITAL E REPRES</v>
      </c>
      <c r="E556" s="21">
        <f>IFERROR(__xludf.DUMMYFUNCTION("""COMPUTED_VALUE"""),145359.0)</f>
        <v>145359</v>
      </c>
      <c r="F556" s="21" t="str">
        <f>IFERROR(__xludf.DUMMYFUNCTION("""COMPUTED_VALUE"""),"INICIALIZADO")</f>
        <v>INICIALIZADO</v>
      </c>
      <c r="G556" s="23">
        <f>IFERROR(__xludf.DUMMYFUNCTION("""COMPUTED_VALUE"""),45635.534895833334)</f>
        <v>45635.5349</v>
      </c>
      <c r="H556" s="24" t="str">
        <f>IFERROR(VLOOKUP(B556,material!A:D,3,0),"")</f>
        <v>CARD</v>
      </c>
    </row>
    <row r="557" ht="11.25" customHeight="1">
      <c r="A557" s="21" t="str">
        <f>IFERROR(__xludf.DUMMYFUNCTION("""COMPUTED_VALUE"""),"HUMAX HGB10R-02")</f>
        <v>HUMAX HGB10R-02</v>
      </c>
      <c r="B557" s="22">
        <f>IFERROR(__xludf.DUMMYFUNCTION("""COMPUTED_VALUE"""),4.1001292E7)</f>
        <v>41001292</v>
      </c>
      <c r="C557" s="21" t="str">
        <f>IFERROR(__xludf.DUMMYFUNCTION("""COMPUTED_VALUE"""),"E820E27F03C1")</f>
        <v>E820E27F03C1</v>
      </c>
      <c r="D557" s="21" t="str">
        <f>IFERROR(__xludf.DUMMYFUNCTION("""COMPUTED_VALUE"""),"DIGITEC TECNOLOGIA DIGITAL E REPRES")</f>
        <v>DIGITEC TECNOLOGIA DIGITAL E REPRES</v>
      </c>
      <c r="E557" s="21">
        <f>IFERROR(__xludf.DUMMYFUNCTION("""COMPUTED_VALUE"""),145359.0)</f>
        <v>145359</v>
      </c>
      <c r="F557" s="21" t="str">
        <f>IFERROR(__xludf.DUMMYFUNCTION("""COMPUTED_VALUE"""),"TRANSITO REVERSA")</f>
        <v>TRANSITO REVERSA</v>
      </c>
      <c r="G557" s="23">
        <f>IFERROR(__xludf.DUMMYFUNCTION("""COMPUTED_VALUE"""),45626.29924768519)</f>
        <v>45626.29925</v>
      </c>
      <c r="H557" s="24" t="str">
        <f>IFERROR(VLOOKUP(B557,material!A:D,3,0),"")</f>
        <v>DUAL</v>
      </c>
    </row>
    <row r="558" ht="11.25" customHeight="1">
      <c r="A558" s="21" t="str">
        <f>IFERROR(__xludf.DUMMYFUNCTION("""COMPUTED_VALUE"""),"SMART CARD PRETO NAGRA")</f>
        <v>SMART CARD PRETO NAGRA</v>
      </c>
      <c r="B558" s="22">
        <f>IFERROR(__xludf.DUMMYFUNCTION("""COMPUTED_VALUE"""),4.1001234E7)</f>
        <v>41001234</v>
      </c>
      <c r="C558" s="21" t="str">
        <f>IFERROR(__xludf.DUMMYFUNCTION("""COMPUTED_VALUE"""),"246309554648")</f>
        <v>246309554648</v>
      </c>
      <c r="D558" s="21" t="str">
        <f>IFERROR(__xludf.DUMMYFUNCTION("""COMPUTED_VALUE"""),"DIGITEC TECNOLOGIA DIGITAL E REPRES")</f>
        <v>DIGITEC TECNOLOGIA DIGITAL E REPRES</v>
      </c>
      <c r="E558" s="21">
        <f>IFERROR(__xludf.DUMMYFUNCTION("""COMPUTED_VALUE"""),145359.0)</f>
        <v>145359</v>
      </c>
      <c r="F558" s="21" t="str">
        <f>IFERROR(__xludf.DUMMYFUNCTION("""COMPUTED_VALUE"""),"INICIALIZADO")</f>
        <v>INICIALIZADO</v>
      </c>
      <c r="G558" s="23">
        <f>IFERROR(__xludf.DUMMYFUNCTION("""COMPUTED_VALUE"""),45618.65202546296)</f>
        <v>45618.65203</v>
      </c>
      <c r="H558" s="24" t="str">
        <f>IFERROR(VLOOKUP(B558,material!A:D,3,0),"")</f>
        <v>CARD</v>
      </c>
    </row>
    <row r="559" ht="11.25" customHeight="1">
      <c r="A559" s="21" t="str">
        <f>IFERROR(__xludf.DUMMYFUNCTION("""COMPUTED_VALUE"""),"SMART CARD AVULSO MINI")</f>
        <v>SMART CARD AVULSO MINI</v>
      </c>
      <c r="B559" s="22">
        <f>IFERROR(__xludf.DUMMYFUNCTION("""COMPUTED_VALUE"""),4.1001508E7)</f>
        <v>41001508</v>
      </c>
      <c r="C559" s="21" t="str">
        <f>IFERROR(__xludf.DUMMYFUNCTION("""COMPUTED_VALUE"""),"226048008796")</f>
        <v>226048008796</v>
      </c>
      <c r="D559" s="21" t="str">
        <f>IFERROR(__xludf.DUMMYFUNCTION("""COMPUTED_VALUE"""),"DIGITEC TECNOLOGIA DIGITAL E REPRES")</f>
        <v>DIGITEC TECNOLOGIA DIGITAL E REPRES</v>
      </c>
      <c r="E559" s="21">
        <f>IFERROR(__xludf.DUMMYFUNCTION("""COMPUTED_VALUE"""),145359.0)</f>
        <v>145359</v>
      </c>
      <c r="F559" s="21" t="str">
        <f>IFERROR(__xludf.DUMMYFUNCTION("""COMPUTED_VALUE"""),"INICIALIZADO")</f>
        <v>INICIALIZADO</v>
      </c>
      <c r="G559" s="23">
        <f>IFERROR(__xludf.DUMMYFUNCTION("""COMPUTED_VALUE"""),45625.6531712963)</f>
        <v>45625.65317</v>
      </c>
      <c r="H559" s="24" t="str">
        <f>IFERROR(VLOOKUP(B559,material!A:D,3,0),"")</f>
        <v>SIM CARD</v>
      </c>
    </row>
    <row r="560" ht="11.25" customHeight="1">
      <c r="A560" s="21" t="str">
        <f>IFERROR(__xludf.DUMMYFUNCTION("""COMPUTED_VALUE"""),"DECODER DIGITAL HD HNB100 2T")</f>
        <v>DECODER DIGITAL HD HNB100 2T</v>
      </c>
      <c r="B560" s="22">
        <f>IFERROR(__xludf.DUMMYFUNCTION("""COMPUTED_VALUE"""),4.1001276E7)</f>
        <v>41001276</v>
      </c>
      <c r="C560" s="21" t="str">
        <f>IFERROR(__xludf.DUMMYFUNCTION("""COMPUTED_VALUE"""),"216515063352")</f>
        <v>216515063352</v>
      </c>
      <c r="D560" s="21" t="str">
        <f>IFERROR(__xludf.DUMMYFUNCTION("""COMPUTED_VALUE"""),"DIGITEC TECNOLOGIA DIGITAL E REPRES")</f>
        <v>DIGITEC TECNOLOGIA DIGITAL E REPRES</v>
      </c>
      <c r="E560" s="21">
        <f>IFERROR(__xludf.DUMMYFUNCTION("""COMPUTED_VALUE"""),145359.0)</f>
        <v>145359</v>
      </c>
      <c r="F560" s="21" t="str">
        <f>IFERROR(__xludf.DUMMYFUNCTION("""COMPUTED_VALUE"""),"INICIALIZADO")</f>
        <v>INICIALIZADO</v>
      </c>
      <c r="G560" s="23">
        <f>IFERROR(__xludf.DUMMYFUNCTION("""COMPUTED_VALUE"""),45635.53508101852)</f>
        <v>45635.53508</v>
      </c>
      <c r="H560" s="24" t="str">
        <f>IFERROR(VLOOKUP(B560,material!A:D,3,0),"")</f>
        <v>TOP MIX</v>
      </c>
    </row>
    <row r="561" ht="11.25" customHeight="1">
      <c r="A561" s="21" t="str">
        <f>IFERROR(__xludf.DUMMYFUNCTION("""COMPUTED_VALUE"""),"PACE - HIGH DEFINITION DCR7411")</f>
        <v>PACE - HIGH DEFINITION DCR7411</v>
      </c>
      <c r="B561" s="22">
        <f>IFERROR(__xludf.DUMMYFUNCTION("""COMPUTED_VALUE"""),4.1001216E7)</f>
        <v>41001216</v>
      </c>
      <c r="C561" s="21" t="str">
        <f>IFERROR(__xludf.DUMMYFUNCTION("""COMPUTED_VALUE"""),"184274375172")</f>
        <v>184274375172</v>
      </c>
      <c r="D561" s="21" t="str">
        <f>IFERROR(__xludf.DUMMYFUNCTION("""COMPUTED_VALUE"""),"DIGITEC TECNOLOGIA DIGITAL E REPRES")</f>
        <v>DIGITEC TECNOLOGIA DIGITAL E REPRES</v>
      </c>
      <c r="E561" s="21">
        <f>IFERROR(__xludf.DUMMYFUNCTION("""COMPUTED_VALUE"""),145359.0)</f>
        <v>145359</v>
      </c>
      <c r="F561" s="21" t="str">
        <f>IFERROR(__xludf.DUMMYFUNCTION("""COMPUTED_VALUE"""),"TRANSITO REVERSA")</f>
        <v>TRANSITO REVERSA</v>
      </c>
      <c r="G561" s="23">
        <f>IFERROR(__xludf.DUMMYFUNCTION("""COMPUTED_VALUE"""),45633.00336805556)</f>
        <v>45633.00337</v>
      </c>
      <c r="H561" s="24" t="str">
        <f>IFERROR(VLOOKUP(B561,material!A:D,3,0),"")</f>
        <v>LEGADO</v>
      </c>
    </row>
    <row r="562" ht="11.25" customHeight="1">
      <c r="A562" s="21" t="str">
        <f>IFERROR(__xludf.DUMMYFUNCTION("""COMPUTED_VALUE"""),"SMART CARD PRETO NAGRA")</f>
        <v>SMART CARD PRETO NAGRA</v>
      </c>
      <c r="B562" s="22">
        <f>IFERROR(__xludf.DUMMYFUNCTION("""COMPUTED_VALUE"""),4.1001234E7)</f>
        <v>41001234</v>
      </c>
      <c r="C562" s="21" t="str">
        <f>IFERROR(__xludf.DUMMYFUNCTION("""COMPUTED_VALUE"""),"226035374556")</f>
        <v>226035374556</v>
      </c>
      <c r="D562" s="21" t="str">
        <f>IFERROR(__xludf.DUMMYFUNCTION("""COMPUTED_VALUE"""),"DIGITEC TECNOLOGIA DIGITAL E REPRES")</f>
        <v>DIGITEC TECNOLOGIA DIGITAL E REPRES</v>
      </c>
      <c r="E562" s="21">
        <f>IFERROR(__xludf.DUMMYFUNCTION("""COMPUTED_VALUE"""),145359.0)</f>
        <v>145359</v>
      </c>
      <c r="F562" s="21" t="str">
        <f>IFERROR(__xludf.DUMMYFUNCTION("""COMPUTED_VALUE"""),"TRANSITO REVERSA")</f>
        <v>TRANSITO REVERSA</v>
      </c>
      <c r="G562" s="23">
        <f>IFERROR(__xludf.DUMMYFUNCTION("""COMPUTED_VALUE"""),45633.003958333335)</f>
        <v>45633.00396</v>
      </c>
      <c r="H562" s="24" t="str">
        <f>IFERROR(VLOOKUP(B562,material!A:D,3,0),"")</f>
        <v>CARD</v>
      </c>
    </row>
    <row r="563" ht="11.25" customHeight="1">
      <c r="A563" s="21" t="str">
        <f>IFERROR(__xludf.DUMMYFUNCTION("""COMPUTED_VALUE"""),"PACE - HIGH DEFINITION DCR7411")</f>
        <v>PACE - HIGH DEFINITION DCR7411</v>
      </c>
      <c r="B563" s="22">
        <f>IFERROR(__xludf.DUMMYFUNCTION("""COMPUTED_VALUE"""),4.1001216E7)</f>
        <v>41001216</v>
      </c>
      <c r="C563" s="21" t="str">
        <f>IFERROR(__xludf.DUMMYFUNCTION("""COMPUTED_VALUE"""),"184274050921")</f>
        <v>184274050921</v>
      </c>
      <c r="D563" s="21" t="str">
        <f>IFERROR(__xludf.DUMMYFUNCTION("""COMPUTED_VALUE"""),"DIGITEC TECNOLOGIA DIGITAL E REPRES")</f>
        <v>DIGITEC TECNOLOGIA DIGITAL E REPRES</v>
      </c>
      <c r="E563" s="21">
        <f>IFERROR(__xludf.DUMMYFUNCTION("""COMPUTED_VALUE"""),145359.0)</f>
        <v>145359</v>
      </c>
      <c r="F563" s="21" t="str">
        <f>IFERROR(__xludf.DUMMYFUNCTION("""COMPUTED_VALUE"""),"TRANSITO REVERSA")</f>
        <v>TRANSITO REVERSA</v>
      </c>
      <c r="G563" s="23">
        <f>IFERROR(__xludf.DUMMYFUNCTION("""COMPUTED_VALUE"""),45610.730416666665)</f>
        <v>45610.73042</v>
      </c>
      <c r="H563" s="24" t="str">
        <f>IFERROR(VLOOKUP(B563,material!A:D,3,0),"")</f>
        <v>LEGADO</v>
      </c>
    </row>
    <row r="564" ht="11.25" customHeight="1">
      <c r="A564" s="21" t="str">
        <f>IFERROR(__xludf.DUMMYFUNCTION("""COMPUTED_VALUE"""),"DECODER DIGITAL HD HNB100 2T")</f>
        <v>DECODER DIGITAL HD HNB100 2T</v>
      </c>
      <c r="B564" s="22">
        <f>IFERROR(__xludf.DUMMYFUNCTION("""COMPUTED_VALUE"""),4.1001276E7)</f>
        <v>41001276</v>
      </c>
      <c r="C564" s="21" t="str">
        <f>IFERROR(__xludf.DUMMYFUNCTION("""COMPUTED_VALUE"""),"216688675873")</f>
        <v>216688675873</v>
      </c>
      <c r="D564" s="21" t="str">
        <f>IFERROR(__xludf.DUMMYFUNCTION("""COMPUTED_VALUE"""),"DIGITEC TECNOLOGIA DIGITAL E REPRES")</f>
        <v>DIGITEC TECNOLOGIA DIGITAL E REPRES</v>
      </c>
      <c r="E564" s="21">
        <f>IFERROR(__xludf.DUMMYFUNCTION("""COMPUTED_VALUE"""),145359.0)</f>
        <v>145359</v>
      </c>
      <c r="F564" s="21" t="str">
        <f>IFERROR(__xludf.DUMMYFUNCTION("""COMPUTED_VALUE"""),"INICIALIZADO")</f>
        <v>INICIALIZADO</v>
      </c>
      <c r="G564" s="23">
        <f>IFERROR(__xludf.DUMMYFUNCTION("""COMPUTED_VALUE"""),45635.53501157407)</f>
        <v>45635.53501</v>
      </c>
      <c r="H564" s="24" t="str">
        <f>IFERROR(VLOOKUP(B564,material!A:D,3,0),"")</f>
        <v>TOP MIX</v>
      </c>
    </row>
    <row r="565" ht="11.25" customHeight="1">
      <c r="A565" s="21" t="str">
        <f>IFERROR(__xludf.DUMMYFUNCTION("""COMPUTED_VALUE"""),"SMART CARD PRETO NAGRA")</f>
        <v>SMART CARD PRETO NAGRA</v>
      </c>
      <c r="B565" s="22">
        <f>IFERROR(__xludf.DUMMYFUNCTION("""COMPUTED_VALUE"""),4.1001234E7)</f>
        <v>41001234</v>
      </c>
      <c r="C565" s="21" t="str">
        <f>IFERROR(__xludf.DUMMYFUNCTION("""COMPUTED_VALUE"""),"246011186382")</f>
        <v>246011186382</v>
      </c>
      <c r="D565" s="21" t="str">
        <f>IFERROR(__xludf.DUMMYFUNCTION("""COMPUTED_VALUE"""),"DIGITEC TECNOLOGIA DIGITAL E REPRES")</f>
        <v>DIGITEC TECNOLOGIA DIGITAL E REPRES</v>
      </c>
      <c r="E565" s="21">
        <f>IFERROR(__xludf.DUMMYFUNCTION("""COMPUTED_VALUE"""),145359.0)</f>
        <v>145359</v>
      </c>
      <c r="F565" s="21" t="str">
        <f>IFERROR(__xludf.DUMMYFUNCTION("""COMPUTED_VALUE"""),"INICIALIZADO")</f>
        <v>INICIALIZADO</v>
      </c>
      <c r="G565" s="23">
        <f>IFERROR(__xludf.DUMMYFUNCTION("""COMPUTED_VALUE"""),45635.53496527778)</f>
        <v>45635.53497</v>
      </c>
      <c r="H565" s="24" t="str">
        <f>IFERROR(VLOOKUP(B565,material!A:D,3,0),"")</f>
        <v>CARD</v>
      </c>
    </row>
    <row r="566" ht="11.25" customHeight="1">
      <c r="A566" s="21" t="str">
        <f>IFERROR(__xludf.DUMMYFUNCTION("""COMPUTED_VALUE"""),"SMART CARD LARANJA NAGRA")</f>
        <v>SMART CARD LARANJA NAGRA</v>
      </c>
      <c r="B566" s="22">
        <f>IFERROR(__xludf.DUMMYFUNCTION("""COMPUTED_VALUE"""),4.1001186E7)</f>
        <v>41001186</v>
      </c>
      <c r="C566" s="21" t="str">
        <f>IFERROR(__xludf.DUMMYFUNCTION("""COMPUTED_VALUE"""),"225832616081")</f>
        <v>225832616081</v>
      </c>
      <c r="D566" s="21" t="str">
        <f>IFERROR(__xludf.DUMMYFUNCTION("""COMPUTED_VALUE"""),"DIGITEC TECNOLOGIA DIGITAL E REPRES")</f>
        <v>DIGITEC TECNOLOGIA DIGITAL E REPRES</v>
      </c>
      <c r="E566" s="21">
        <f>IFERROR(__xludf.DUMMYFUNCTION("""COMPUTED_VALUE"""),145359.0)</f>
        <v>145359</v>
      </c>
      <c r="F566" s="21" t="str">
        <f>IFERROR(__xludf.DUMMYFUNCTION("""COMPUTED_VALUE"""),"TRANSITO REVERSA")</f>
        <v>TRANSITO REVERSA</v>
      </c>
      <c r="G566" s="23">
        <f>IFERROR(__xludf.DUMMYFUNCTION("""COMPUTED_VALUE"""),45617.87240740741)</f>
        <v>45617.87241</v>
      </c>
      <c r="H566" s="24" t="str">
        <f>IFERROR(VLOOKUP(B566,material!A:D,3,0),"")</f>
        <v>CARD</v>
      </c>
    </row>
    <row r="567" ht="11.25" customHeight="1">
      <c r="A567" s="21" t="str">
        <f>IFERROR(__xludf.DUMMYFUNCTION("""COMPUTED_VALUE"""),"SMART CARD LARANJA NAGRA")</f>
        <v>SMART CARD LARANJA NAGRA</v>
      </c>
      <c r="B567" s="22">
        <f>IFERROR(__xludf.DUMMYFUNCTION("""COMPUTED_VALUE"""),4.1001186E7)</f>
        <v>41001186</v>
      </c>
      <c r="C567" s="21" t="str">
        <f>IFERROR(__xludf.DUMMYFUNCTION("""COMPUTED_VALUE"""),"226630910321")</f>
        <v>226630910321</v>
      </c>
      <c r="D567" s="21" t="str">
        <f>IFERROR(__xludf.DUMMYFUNCTION("""COMPUTED_VALUE"""),"DIGITEC TECNOLOGIA DIGITAL E REPRES")</f>
        <v>DIGITEC TECNOLOGIA DIGITAL E REPRES</v>
      </c>
      <c r="E567" s="21">
        <f>IFERROR(__xludf.DUMMYFUNCTION("""COMPUTED_VALUE"""),145359.0)</f>
        <v>145359</v>
      </c>
      <c r="F567" s="21" t="str">
        <f>IFERROR(__xludf.DUMMYFUNCTION("""COMPUTED_VALUE"""),"SUCATA")</f>
        <v>SUCATA</v>
      </c>
      <c r="G567" s="23">
        <f>IFERROR(__xludf.DUMMYFUNCTION("""COMPUTED_VALUE"""),45075.5991087963)</f>
        <v>45075.59911</v>
      </c>
      <c r="H567" s="24" t="str">
        <f>IFERROR(VLOOKUP(B567,material!A:D,3,0),"")</f>
        <v>CARD</v>
      </c>
    </row>
    <row r="568" ht="11.25" customHeight="1">
      <c r="A568" s="21" t="str">
        <f>IFERROR(__xludf.DUMMYFUNCTION("""COMPUTED_VALUE"""),"DECODER DIGITAL HD HNB100 2T")</f>
        <v>DECODER DIGITAL HD HNB100 2T</v>
      </c>
      <c r="B568" s="22">
        <f>IFERROR(__xludf.DUMMYFUNCTION("""COMPUTED_VALUE"""),4.1001276E7)</f>
        <v>41001276</v>
      </c>
      <c r="C568" s="21" t="str">
        <f>IFERROR(__xludf.DUMMYFUNCTION("""COMPUTED_VALUE"""),"216355273133")</f>
        <v>216355273133</v>
      </c>
      <c r="D568" s="21" t="str">
        <f>IFERROR(__xludf.DUMMYFUNCTION("""COMPUTED_VALUE"""),"DIGITEC TECNOLOGIA DIGITAL E REPRES")</f>
        <v>DIGITEC TECNOLOGIA DIGITAL E REPRES</v>
      </c>
      <c r="E568" s="21">
        <f>IFERROR(__xludf.DUMMYFUNCTION("""COMPUTED_VALUE"""),145359.0)</f>
        <v>145359</v>
      </c>
      <c r="F568" s="21" t="str">
        <f>IFERROR(__xludf.DUMMYFUNCTION("""COMPUTED_VALUE"""),"INICIALIZADO")</f>
        <v>INICIALIZADO</v>
      </c>
      <c r="G568" s="23">
        <f>IFERROR(__xludf.DUMMYFUNCTION("""COMPUTED_VALUE"""),45635.535057870366)</f>
        <v>45635.53506</v>
      </c>
      <c r="H568" s="24" t="str">
        <f>IFERROR(VLOOKUP(B568,material!A:D,3,0),"")</f>
        <v>TOP MIX</v>
      </c>
    </row>
    <row r="569" ht="11.25" customHeight="1">
      <c r="A569" s="21" t="str">
        <f>IFERROR(__xludf.DUMMYFUNCTION("""COMPUTED_VALUE"""),"TECHNICOLOR TC7337NET")</f>
        <v>TECHNICOLOR TC7337NET</v>
      </c>
      <c r="B569" s="22">
        <f>IFERROR(__xludf.DUMMYFUNCTION("""COMPUTED_VALUE"""),4.1001294E7)</f>
        <v>41001294</v>
      </c>
      <c r="C569" s="21" t="str">
        <f>IFERROR(__xludf.DUMMYFUNCTION("""COMPUTED_VALUE"""),"B42A0E1AF633")</f>
        <v>B42A0E1AF633</v>
      </c>
      <c r="D569" s="21" t="str">
        <f>IFERROR(__xludf.DUMMYFUNCTION("""COMPUTED_VALUE"""),"DIGITEC TECNOLOGIA DIGITAL E REPRES")</f>
        <v>DIGITEC TECNOLOGIA DIGITAL E REPRES</v>
      </c>
      <c r="E569" s="21">
        <f>IFERROR(__xludf.DUMMYFUNCTION("""COMPUTED_VALUE"""),145359.0)</f>
        <v>145359</v>
      </c>
      <c r="F569" s="21" t="str">
        <f>IFERROR(__xludf.DUMMYFUNCTION("""COMPUTED_VALUE"""),"TRANSITO REVERSA")</f>
        <v>TRANSITO REVERSA</v>
      </c>
      <c r="G569" s="23">
        <f>IFERROR(__xludf.DUMMYFUNCTION("""COMPUTED_VALUE"""),45626.29871527778)</f>
        <v>45626.29872</v>
      </c>
      <c r="H569" s="24" t="str">
        <f>IFERROR(VLOOKUP(B569,material!A:D,3,0),"")</f>
        <v>DUAL</v>
      </c>
    </row>
    <row r="570" ht="11.25" customHeight="1">
      <c r="A570" s="21" t="str">
        <f>IFERROR(__xludf.DUMMYFUNCTION("""COMPUTED_VALUE"""),"DECODER DIGITAL HD DXC5000 2T")</f>
        <v>DECODER DIGITAL HD DXC5000 2T</v>
      </c>
      <c r="B570" s="22">
        <f>IFERROR(__xludf.DUMMYFUNCTION("""COMPUTED_VALUE"""),4.1001277E7)</f>
        <v>41001277</v>
      </c>
      <c r="C570" s="21" t="str">
        <f>IFERROR(__xludf.DUMMYFUNCTION("""COMPUTED_VALUE"""),"216390058087")</f>
        <v>216390058087</v>
      </c>
      <c r="D570" s="21" t="str">
        <f>IFERROR(__xludf.DUMMYFUNCTION("""COMPUTED_VALUE"""),"DIGITEC TECNOLOGIA DIGITAL E REPRES")</f>
        <v>DIGITEC TECNOLOGIA DIGITAL E REPRES</v>
      </c>
      <c r="E570" s="21">
        <f>IFERROR(__xludf.DUMMYFUNCTION("""COMPUTED_VALUE"""),145359.0)</f>
        <v>145359</v>
      </c>
      <c r="F570" s="21" t="str">
        <f>IFERROR(__xludf.DUMMYFUNCTION("""COMPUTED_VALUE"""),"INICIALIZADO")</f>
        <v>INICIALIZADO</v>
      </c>
      <c r="G570" s="23">
        <f>IFERROR(__xludf.DUMMYFUNCTION("""COMPUTED_VALUE"""),45600.476006944446)</f>
        <v>45600.47601</v>
      </c>
      <c r="H570" s="24" t="str">
        <f>IFERROR(VLOOKUP(B570,material!A:D,3,0),"")</f>
        <v>TOP MIX</v>
      </c>
    </row>
    <row r="571" ht="11.25" customHeight="1">
      <c r="A571" s="21" t="str">
        <f>IFERROR(__xludf.DUMMYFUNCTION("""COMPUTED_VALUE"""),"DECODER DIGITAL HD HNB100 2T")</f>
        <v>DECODER DIGITAL HD HNB100 2T</v>
      </c>
      <c r="B571" s="22">
        <f>IFERROR(__xludf.DUMMYFUNCTION("""COMPUTED_VALUE"""),4.1001276E7)</f>
        <v>41001276</v>
      </c>
      <c r="C571" s="21" t="str">
        <f>IFERROR(__xludf.DUMMYFUNCTION("""COMPUTED_VALUE"""),"216733611011")</f>
        <v>216733611011</v>
      </c>
      <c r="D571" s="21" t="str">
        <f>IFERROR(__xludf.DUMMYFUNCTION("""COMPUTED_VALUE"""),"DIGITEC TECNOLOGIA DIGITAL E REPRES")</f>
        <v>DIGITEC TECNOLOGIA DIGITAL E REPRES</v>
      </c>
      <c r="E571" s="21">
        <f>IFERROR(__xludf.DUMMYFUNCTION("""COMPUTED_VALUE"""),145359.0)</f>
        <v>145359</v>
      </c>
      <c r="F571" s="21" t="str">
        <f>IFERROR(__xludf.DUMMYFUNCTION("""COMPUTED_VALUE"""),"INICIALIZADO")</f>
        <v>INICIALIZADO</v>
      </c>
      <c r="G571" s="23">
        <f>IFERROR(__xludf.DUMMYFUNCTION("""COMPUTED_VALUE"""),45635.535)</f>
        <v>45635.535</v>
      </c>
      <c r="H571" s="24" t="str">
        <f>IFERROR(VLOOKUP(B571,material!A:D,3,0),"")</f>
        <v>TOP MIX</v>
      </c>
    </row>
    <row r="572" ht="11.25" customHeight="1">
      <c r="A572" s="21" t="str">
        <f>IFERROR(__xludf.DUMMYFUNCTION("""COMPUTED_VALUE"""),"DECODER DIGITAL HD HNB100 2T")</f>
        <v>DECODER DIGITAL HD HNB100 2T</v>
      </c>
      <c r="B572" s="22">
        <f>IFERROR(__xludf.DUMMYFUNCTION("""COMPUTED_VALUE"""),4.1001276E7)</f>
        <v>41001276</v>
      </c>
      <c r="C572" s="21" t="str">
        <f>IFERROR(__xludf.DUMMYFUNCTION("""COMPUTED_VALUE"""),"216403540426")</f>
        <v>216403540426</v>
      </c>
      <c r="D572" s="21" t="str">
        <f>IFERROR(__xludf.DUMMYFUNCTION("""COMPUTED_VALUE"""),"DIGITEC TECNOLOGIA DIGITAL E REPRES")</f>
        <v>DIGITEC TECNOLOGIA DIGITAL E REPRES</v>
      </c>
      <c r="E572" s="21">
        <f>IFERROR(__xludf.DUMMYFUNCTION("""COMPUTED_VALUE"""),145359.0)</f>
        <v>145359</v>
      </c>
      <c r="F572" s="21" t="str">
        <f>IFERROR(__xludf.DUMMYFUNCTION("""COMPUTED_VALUE"""),"INICIALIZADO")</f>
        <v>INICIALIZADO</v>
      </c>
      <c r="G572" s="23">
        <f>IFERROR(__xludf.DUMMYFUNCTION("""COMPUTED_VALUE"""),45635.53503472223)</f>
        <v>45635.53503</v>
      </c>
      <c r="H572" s="24" t="str">
        <f>IFERROR(VLOOKUP(B572,material!A:D,3,0),"")</f>
        <v>TOP MIX</v>
      </c>
    </row>
    <row r="573" ht="11.25" customHeight="1">
      <c r="A573" s="21" t="str">
        <f>IFERROR(__xludf.DUMMYFUNCTION("""COMPUTED_VALUE"""),"DECODER DIGITAL HD HNB100 2T")</f>
        <v>DECODER DIGITAL HD HNB100 2T</v>
      </c>
      <c r="B573" s="22">
        <f>IFERROR(__xludf.DUMMYFUNCTION("""COMPUTED_VALUE"""),4.1001276E7)</f>
        <v>41001276</v>
      </c>
      <c r="C573" s="21" t="str">
        <f>IFERROR(__xludf.DUMMYFUNCTION("""COMPUTED_VALUE"""),"216638891419")</f>
        <v>216638891419</v>
      </c>
      <c r="D573" s="21" t="str">
        <f>IFERROR(__xludf.DUMMYFUNCTION("""COMPUTED_VALUE"""),"DIGITEC TECNOLOGIA DIGITAL E REPRES")</f>
        <v>DIGITEC TECNOLOGIA DIGITAL E REPRES</v>
      </c>
      <c r="E573" s="21">
        <f>IFERROR(__xludf.DUMMYFUNCTION("""COMPUTED_VALUE"""),145359.0)</f>
        <v>145359</v>
      </c>
      <c r="F573" s="21" t="str">
        <f>IFERROR(__xludf.DUMMYFUNCTION("""COMPUTED_VALUE"""),"INICIALIZADO")</f>
        <v>INICIALIZADO</v>
      </c>
      <c r="G573" s="23">
        <f>IFERROR(__xludf.DUMMYFUNCTION("""COMPUTED_VALUE"""),45635.53506944445)</f>
        <v>45635.53507</v>
      </c>
      <c r="H573" s="24" t="str">
        <f>IFERROR(VLOOKUP(B573,material!A:D,3,0),"")</f>
        <v>TOP MIX</v>
      </c>
    </row>
    <row r="574" ht="11.25" customHeight="1">
      <c r="A574" s="21" t="str">
        <f>IFERROR(__xludf.DUMMYFUNCTION("""COMPUTED_VALUE"""),"DECODER DIGITAL HD HNB100 2T")</f>
        <v>DECODER DIGITAL HD HNB100 2T</v>
      </c>
      <c r="B574" s="22">
        <f>IFERROR(__xludf.DUMMYFUNCTION("""COMPUTED_VALUE"""),4.1001276E7)</f>
        <v>41001276</v>
      </c>
      <c r="C574" s="21" t="str">
        <f>IFERROR(__xludf.DUMMYFUNCTION("""COMPUTED_VALUE"""),"216636452034")</f>
        <v>216636452034</v>
      </c>
      <c r="D574" s="21" t="str">
        <f>IFERROR(__xludf.DUMMYFUNCTION("""COMPUTED_VALUE"""),"DIGITEC TECNOLOGIA DIGITAL E REPRES")</f>
        <v>DIGITEC TECNOLOGIA DIGITAL E REPRES</v>
      </c>
      <c r="E574" s="21">
        <f>IFERROR(__xludf.DUMMYFUNCTION("""COMPUTED_VALUE"""),145359.0)</f>
        <v>145359</v>
      </c>
      <c r="F574" s="21" t="str">
        <f>IFERROR(__xludf.DUMMYFUNCTION("""COMPUTED_VALUE"""),"INICIALIZADO")</f>
        <v>INICIALIZADO</v>
      </c>
      <c r="G574" s="23">
        <f>IFERROR(__xludf.DUMMYFUNCTION("""COMPUTED_VALUE"""),45635.53506944445)</f>
        <v>45635.53507</v>
      </c>
      <c r="H574" s="24" t="str">
        <f>IFERROR(VLOOKUP(B574,material!A:D,3,0),"")</f>
        <v>TOP MIX</v>
      </c>
    </row>
    <row r="575" ht="11.25" customHeight="1">
      <c r="A575" s="21" t="str">
        <f>IFERROR(__xludf.DUMMYFUNCTION("""COMPUTED_VALUE"""),"DECODER DIGITAL HD HNB100 2T")</f>
        <v>DECODER DIGITAL HD HNB100 2T</v>
      </c>
      <c r="B575" s="22">
        <f>IFERROR(__xludf.DUMMYFUNCTION("""COMPUTED_VALUE"""),4.1001276E7)</f>
        <v>41001276</v>
      </c>
      <c r="C575" s="21" t="str">
        <f>IFERROR(__xludf.DUMMYFUNCTION("""COMPUTED_VALUE"""),"184327301112")</f>
        <v>184327301112</v>
      </c>
      <c r="D575" s="21" t="str">
        <f>IFERROR(__xludf.DUMMYFUNCTION("""COMPUTED_VALUE"""),"DIGITEC TECNOLOGIA DIGITAL E REPRES")</f>
        <v>DIGITEC TECNOLOGIA DIGITAL E REPRES</v>
      </c>
      <c r="E575" s="21">
        <f>IFERROR(__xludf.DUMMYFUNCTION("""COMPUTED_VALUE"""),145359.0)</f>
        <v>145359</v>
      </c>
      <c r="F575" s="21" t="str">
        <f>IFERROR(__xludf.DUMMYFUNCTION("""COMPUTED_VALUE"""),"INICIALIZADO")</f>
        <v>INICIALIZADO</v>
      </c>
      <c r="G575" s="23">
        <f>IFERROR(__xludf.DUMMYFUNCTION("""COMPUTED_VALUE"""),45635.535046296296)</f>
        <v>45635.53505</v>
      </c>
      <c r="H575" s="24" t="str">
        <f>IFERROR(VLOOKUP(B575,material!A:D,3,0),"")</f>
        <v>TOP MIX</v>
      </c>
    </row>
    <row r="576" ht="11.25" customHeight="1">
      <c r="A576" s="21" t="str">
        <f>IFERROR(__xludf.DUMMYFUNCTION("""COMPUTED_VALUE"""),"DECODER DIGITAL HD HNB100 2T")</f>
        <v>DECODER DIGITAL HD HNB100 2T</v>
      </c>
      <c r="B576" s="22">
        <f>IFERROR(__xludf.DUMMYFUNCTION("""COMPUTED_VALUE"""),4.1001276E7)</f>
        <v>41001276</v>
      </c>
      <c r="C576" s="21" t="str">
        <f>IFERROR(__xludf.DUMMYFUNCTION("""COMPUTED_VALUE"""),"216334126265")</f>
        <v>216334126265</v>
      </c>
      <c r="D576" s="21" t="str">
        <f>IFERROR(__xludf.DUMMYFUNCTION("""COMPUTED_VALUE"""),"DIGITEC TECNOLOGIA DIGITAL E REPRES")</f>
        <v>DIGITEC TECNOLOGIA DIGITAL E REPRES</v>
      </c>
      <c r="E576" s="21">
        <f>IFERROR(__xludf.DUMMYFUNCTION("""COMPUTED_VALUE"""),145359.0)</f>
        <v>145359</v>
      </c>
      <c r="F576" s="21" t="str">
        <f>IFERROR(__xludf.DUMMYFUNCTION("""COMPUTED_VALUE"""),"TRANSITO REVERSA")</f>
        <v>TRANSITO REVERSA</v>
      </c>
      <c r="G576" s="23">
        <f>IFERROR(__xludf.DUMMYFUNCTION("""COMPUTED_VALUE"""),45633.00336805556)</f>
        <v>45633.00337</v>
      </c>
      <c r="H576" s="24" t="str">
        <f>IFERROR(VLOOKUP(B576,material!A:D,3,0),"")</f>
        <v>TOP MIX</v>
      </c>
    </row>
    <row r="577" ht="11.25" customHeight="1">
      <c r="A577" s="21" t="str">
        <f>IFERROR(__xludf.DUMMYFUNCTION("""COMPUTED_VALUE"""),"SMART CARD PRETO NAGRA")</f>
        <v>SMART CARD PRETO NAGRA</v>
      </c>
      <c r="B577" s="22">
        <f>IFERROR(__xludf.DUMMYFUNCTION("""COMPUTED_VALUE"""),4.1001234E7)</f>
        <v>41001234</v>
      </c>
      <c r="C577" s="21" t="str">
        <f>IFERROR(__xludf.DUMMYFUNCTION("""COMPUTED_VALUE"""),"226150505152")</f>
        <v>226150505152</v>
      </c>
      <c r="D577" s="21" t="str">
        <f>IFERROR(__xludf.DUMMYFUNCTION("""COMPUTED_VALUE"""),"DIGITEC TECNOLOGIA DIGITAL E REPRES")</f>
        <v>DIGITEC TECNOLOGIA DIGITAL E REPRES</v>
      </c>
      <c r="E577" s="21">
        <f>IFERROR(__xludf.DUMMYFUNCTION("""COMPUTED_VALUE"""),145359.0)</f>
        <v>145359</v>
      </c>
      <c r="F577" s="21" t="str">
        <f>IFERROR(__xludf.DUMMYFUNCTION("""COMPUTED_VALUE"""),"TRANSITO REVERSA")</f>
        <v>TRANSITO REVERSA</v>
      </c>
      <c r="G577" s="23">
        <f>IFERROR(__xludf.DUMMYFUNCTION("""COMPUTED_VALUE"""),45633.003379629634)</f>
        <v>45633.00338</v>
      </c>
      <c r="H577" s="24" t="str">
        <f>IFERROR(VLOOKUP(B577,material!A:D,3,0),"")</f>
        <v>CARD</v>
      </c>
    </row>
    <row r="578" ht="11.25" customHeight="1">
      <c r="A578" s="21" t="str">
        <f>IFERROR(__xludf.DUMMYFUNCTION("""COMPUTED_VALUE"""),"SMART CARD PRETO NAGRA")</f>
        <v>SMART CARD PRETO NAGRA</v>
      </c>
      <c r="B578" s="22">
        <f>IFERROR(__xludf.DUMMYFUNCTION("""COMPUTED_VALUE"""),4.1001234E7)</f>
        <v>41001234</v>
      </c>
      <c r="C578" s="21" t="str">
        <f>IFERROR(__xludf.DUMMYFUNCTION("""COMPUTED_VALUE"""),"226080457889")</f>
        <v>226080457889</v>
      </c>
      <c r="D578" s="21" t="str">
        <f>IFERROR(__xludf.DUMMYFUNCTION("""COMPUTED_VALUE"""),"DIGITEC TECNOLOGIA DIGITAL E REPRES")</f>
        <v>DIGITEC TECNOLOGIA DIGITAL E REPRES</v>
      </c>
      <c r="E578" s="21">
        <f>IFERROR(__xludf.DUMMYFUNCTION("""COMPUTED_VALUE"""),145359.0)</f>
        <v>145359</v>
      </c>
      <c r="F578" s="21" t="str">
        <f>IFERROR(__xludf.DUMMYFUNCTION("""COMPUTED_VALUE"""),"TRANSITO REVERSA")</f>
        <v>TRANSITO REVERSA</v>
      </c>
      <c r="G578" s="23">
        <f>IFERROR(__xludf.DUMMYFUNCTION("""COMPUTED_VALUE"""),45633.00398148148)</f>
        <v>45633.00398</v>
      </c>
      <c r="H578" s="24" t="str">
        <f>IFERROR(VLOOKUP(B578,material!A:D,3,0),"")</f>
        <v>CARD</v>
      </c>
    </row>
    <row r="579" ht="11.25" customHeight="1">
      <c r="A579" s="21" t="str">
        <f>IFERROR(__xludf.DUMMYFUNCTION("""COMPUTED_VALUE"""),"SMART CARD PRETO NAGRA")</f>
        <v>SMART CARD PRETO NAGRA</v>
      </c>
      <c r="B579" s="22">
        <f>IFERROR(__xludf.DUMMYFUNCTION("""COMPUTED_VALUE"""),4.1001234E7)</f>
        <v>41001234</v>
      </c>
      <c r="C579" s="21" t="str">
        <f>IFERROR(__xludf.DUMMYFUNCTION("""COMPUTED_VALUE"""),"226127116674")</f>
        <v>226127116674</v>
      </c>
      <c r="D579" s="21" t="str">
        <f>IFERROR(__xludf.DUMMYFUNCTION("""COMPUTED_VALUE"""),"DIGITEC TECNOLOGIA DIGITAL E REPRES")</f>
        <v>DIGITEC TECNOLOGIA DIGITAL E REPRES</v>
      </c>
      <c r="E579" s="21">
        <f>IFERROR(__xludf.DUMMYFUNCTION("""COMPUTED_VALUE"""),145359.0)</f>
        <v>145359</v>
      </c>
      <c r="F579" s="21" t="str">
        <f>IFERROR(__xludf.DUMMYFUNCTION("""COMPUTED_VALUE"""),"TRANSITO REVERSA")</f>
        <v>TRANSITO REVERSA</v>
      </c>
      <c r="G579" s="23">
        <f>IFERROR(__xludf.DUMMYFUNCTION("""COMPUTED_VALUE"""),45633.003379629634)</f>
        <v>45633.00338</v>
      </c>
      <c r="H579" s="24" t="str">
        <f>IFERROR(VLOOKUP(B579,material!A:D,3,0),"")</f>
        <v>CARD</v>
      </c>
    </row>
    <row r="580" ht="11.25" customHeight="1">
      <c r="A580" s="21" t="str">
        <f>IFERROR(__xludf.DUMMYFUNCTION("""COMPUTED_VALUE"""),"PACE - HIGH DEFINITION DCR7411")</f>
        <v>PACE - HIGH DEFINITION DCR7411</v>
      </c>
      <c r="B580" s="22">
        <f>IFERROR(__xludf.DUMMYFUNCTION("""COMPUTED_VALUE"""),4.1001216E7)</f>
        <v>41001216</v>
      </c>
      <c r="C580" s="21" t="str">
        <f>IFERROR(__xludf.DUMMYFUNCTION("""COMPUTED_VALUE"""),"184209943351")</f>
        <v>184209943351</v>
      </c>
      <c r="D580" s="21" t="str">
        <f>IFERROR(__xludf.DUMMYFUNCTION("""COMPUTED_VALUE"""),"DIGITEC TECNOLOGIA DIGITAL E REPRES")</f>
        <v>DIGITEC TECNOLOGIA DIGITAL E REPRES</v>
      </c>
      <c r="E580" s="21">
        <f>IFERROR(__xludf.DUMMYFUNCTION("""COMPUTED_VALUE"""),145359.0)</f>
        <v>145359</v>
      </c>
      <c r="F580" s="21" t="str">
        <f>IFERROR(__xludf.DUMMYFUNCTION("""COMPUTED_VALUE"""),"TRANSITO REVERSA")</f>
        <v>TRANSITO REVERSA</v>
      </c>
      <c r="G580" s="23">
        <f>IFERROR(__xludf.DUMMYFUNCTION("""COMPUTED_VALUE"""),45633.00399305555)</f>
        <v>45633.00399</v>
      </c>
      <c r="H580" s="24" t="str">
        <f>IFERROR(VLOOKUP(B580,material!A:D,3,0),"")</f>
        <v>LEGADO</v>
      </c>
    </row>
    <row r="581" ht="11.25" customHeight="1">
      <c r="A581" s="21" t="str">
        <f>IFERROR(__xludf.DUMMYFUNCTION("""COMPUTED_VALUE"""),"DECODER DIGITAL HD HNB100 2T")</f>
        <v>DECODER DIGITAL HD HNB100 2T</v>
      </c>
      <c r="B581" s="22">
        <f>IFERROR(__xludf.DUMMYFUNCTION("""COMPUTED_VALUE"""),4.1001276E7)</f>
        <v>41001276</v>
      </c>
      <c r="C581" s="21" t="str">
        <f>IFERROR(__xludf.DUMMYFUNCTION("""COMPUTED_VALUE"""),"184271949098")</f>
        <v>184271949098</v>
      </c>
      <c r="D581" s="21" t="str">
        <f>IFERROR(__xludf.DUMMYFUNCTION("""COMPUTED_VALUE"""),"DIGITEC TECNOLOGIA DIGITAL E REPRES")</f>
        <v>DIGITEC TECNOLOGIA DIGITAL E REPRES</v>
      </c>
      <c r="E581" s="21">
        <f>IFERROR(__xludf.DUMMYFUNCTION("""COMPUTED_VALUE"""),145359.0)</f>
        <v>145359</v>
      </c>
      <c r="F581" s="21" t="str">
        <f>IFERROR(__xludf.DUMMYFUNCTION("""COMPUTED_VALUE"""),"SUSPEITO")</f>
        <v>SUSPEITO</v>
      </c>
      <c r="G581" s="23">
        <f>IFERROR(__xludf.DUMMYFUNCTION("""COMPUTED_VALUE"""),45602.44986111111)</f>
        <v>45602.44986</v>
      </c>
      <c r="H581" s="24" t="str">
        <f>IFERROR(VLOOKUP(B581,material!A:D,3,0),"")</f>
        <v>TOP MIX</v>
      </c>
    </row>
    <row r="582" ht="11.25" customHeight="1">
      <c r="A582" s="21" t="str">
        <f>IFERROR(__xludf.DUMMYFUNCTION("""COMPUTED_VALUE"""),"THOMSON HIGH DEFINITION DCI713")</f>
        <v>THOMSON HIGH DEFINITION DCI713</v>
      </c>
      <c r="B582" s="22">
        <f>IFERROR(__xludf.DUMMYFUNCTION("""COMPUTED_VALUE"""),4.1001273E7)</f>
        <v>41001273</v>
      </c>
      <c r="C582" s="21" t="str">
        <f>IFERROR(__xludf.DUMMYFUNCTION("""COMPUTED_VALUE"""),"184228863031")</f>
        <v>184228863031</v>
      </c>
      <c r="D582" s="21" t="str">
        <f>IFERROR(__xludf.DUMMYFUNCTION("""COMPUTED_VALUE"""),"DIGITEC TECNOLOGIA DIGITAL E REPRES")</f>
        <v>DIGITEC TECNOLOGIA DIGITAL E REPRES</v>
      </c>
      <c r="E582" s="21">
        <f>IFERROR(__xludf.DUMMYFUNCTION("""COMPUTED_VALUE"""),145359.0)</f>
        <v>145359</v>
      </c>
      <c r="F582" s="21" t="str">
        <f>IFERROR(__xludf.DUMMYFUNCTION("""COMPUTED_VALUE"""),"SUSPEITO")</f>
        <v>SUSPEITO</v>
      </c>
      <c r="G582" s="23">
        <f>IFERROR(__xludf.DUMMYFUNCTION("""COMPUTED_VALUE"""),45643.59409722222)</f>
        <v>45643.5941</v>
      </c>
      <c r="H582" s="24" t="str">
        <f>IFERROR(VLOOKUP(B582,material!A:D,3,0),"")</f>
        <v>LEGADO</v>
      </c>
    </row>
    <row r="583" ht="11.25" customHeight="1">
      <c r="A583" s="21" t="str">
        <f>IFERROR(__xludf.DUMMYFUNCTION("""COMPUTED_VALUE"""),"PACE - HIGH DEFINITION DCR7411")</f>
        <v>PACE - HIGH DEFINITION DCR7411</v>
      </c>
      <c r="B583" s="22">
        <f>IFERROR(__xludf.DUMMYFUNCTION("""COMPUTED_VALUE"""),4.1001216E7)</f>
        <v>41001216</v>
      </c>
      <c r="C583" s="21" t="str">
        <f>IFERROR(__xludf.DUMMYFUNCTION("""COMPUTED_VALUE"""),"184209789092")</f>
        <v>184209789092</v>
      </c>
      <c r="D583" s="21" t="str">
        <f>IFERROR(__xludf.DUMMYFUNCTION("""COMPUTED_VALUE"""),"DIGITEC TECNOLOGIA DIGITAL E REPRES")</f>
        <v>DIGITEC TECNOLOGIA DIGITAL E REPRES</v>
      </c>
      <c r="E583" s="21">
        <f>IFERROR(__xludf.DUMMYFUNCTION("""COMPUTED_VALUE"""),145359.0)</f>
        <v>145359</v>
      </c>
      <c r="F583" s="21" t="str">
        <f>IFERROR(__xludf.DUMMYFUNCTION("""COMPUTED_VALUE"""),"SUSPEITO")</f>
        <v>SUSPEITO</v>
      </c>
      <c r="G583" s="23">
        <f>IFERROR(__xludf.DUMMYFUNCTION("""COMPUTED_VALUE"""),45643.42983796296)</f>
        <v>45643.42984</v>
      </c>
      <c r="H583" s="24" t="str">
        <f>IFERROR(VLOOKUP(B583,material!A:D,3,0),"")</f>
        <v>LEGADO</v>
      </c>
    </row>
    <row r="584" ht="11.25" customHeight="1">
      <c r="A584" s="21" t="str">
        <f>IFERROR(__xludf.DUMMYFUNCTION("""COMPUTED_VALUE"""),"SMART CARD LARANJA NAGRA")</f>
        <v>SMART CARD LARANJA NAGRA</v>
      </c>
      <c r="B584" s="22">
        <f>IFERROR(__xludf.DUMMYFUNCTION("""COMPUTED_VALUE"""),4.1001186E7)</f>
        <v>41001186</v>
      </c>
      <c r="C584" s="21" t="str">
        <f>IFERROR(__xludf.DUMMYFUNCTION("""COMPUTED_VALUE"""),"226055766164")</f>
        <v>226055766164</v>
      </c>
      <c r="D584" s="21" t="str">
        <f>IFERROR(__xludf.DUMMYFUNCTION("""COMPUTED_VALUE"""),"DIGITEC TECNOLOGIA DIGITAL E REPRES")</f>
        <v>DIGITEC TECNOLOGIA DIGITAL E REPRES</v>
      </c>
      <c r="E584" s="21">
        <f>IFERROR(__xludf.DUMMYFUNCTION("""COMPUTED_VALUE"""),145359.0)</f>
        <v>145359</v>
      </c>
      <c r="F584" s="21" t="str">
        <f>IFERROR(__xludf.DUMMYFUNCTION("""COMPUTED_VALUE"""),"SUSPEITO")</f>
        <v>SUSPEITO</v>
      </c>
      <c r="G584" s="23">
        <f>IFERROR(__xludf.DUMMYFUNCTION("""COMPUTED_VALUE"""),45643.59409722222)</f>
        <v>45643.5941</v>
      </c>
      <c r="H584" s="24" t="str">
        <f>IFERROR(VLOOKUP(B584,material!A:D,3,0),"")</f>
        <v>CARD</v>
      </c>
    </row>
    <row r="585" ht="11.25" customHeight="1">
      <c r="A585" s="21" t="str">
        <f>IFERROR(__xludf.DUMMYFUNCTION("""COMPUTED_VALUE"""),"EMTA TC7300-B WIFI 3.0")</f>
        <v>EMTA TC7300-B WIFI 3.0</v>
      </c>
      <c r="B585" s="22">
        <f>IFERROR(__xludf.DUMMYFUNCTION("""COMPUTED_VALUE"""),4.1001159E7)</f>
        <v>41001159</v>
      </c>
      <c r="C585" s="21" t="str">
        <f>IFERROR(__xludf.DUMMYFUNCTION("""COMPUTED_VALUE"""),"58238C5B34F5")</f>
        <v>58238C5B34F5</v>
      </c>
      <c r="D585" s="21" t="str">
        <f>IFERROR(__xludf.DUMMYFUNCTION("""COMPUTED_VALUE"""),"DIGITEC TECNOLOGIA DIGITAL E REPRES")</f>
        <v>DIGITEC TECNOLOGIA DIGITAL E REPRES</v>
      </c>
      <c r="E585" s="21">
        <f>IFERROR(__xludf.DUMMYFUNCTION("""COMPUTED_VALUE"""),145359.0)</f>
        <v>145359</v>
      </c>
      <c r="F585" s="21" t="str">
        <f>IFERROR(__xludf.DUMMYFUNCTION("""COMPUTED_VALUE"""),"TRANSITO REVERSA")</f>
        <v>TRANSITO REVERSA</v>
      </c>
      <c r="G585" s="23">
        <f>IFERROR(__xludf.DUMMYFUNCTION("""COMPUTED_VALUE"""),45633.00399305555)</f>
        <v>45633.00399</v>
      </c>
      <c r="H585" s="24" t="str">
        <f>IFERROR(VLOOKUP(B585,material!A:D,3,0),"")</f>
        <v>SINGLE</v>
      </c>
    </row>
    <row r="586" ht="11.25" customHeight="1">
      <c r="A586" s="21" t="str">
        <f>IFERROR(__xludf.DUMMYFUNCTION("""COMPUTED_VALUE"""),"DECODER DIGITAL HD HNB100 2T")</f>
        <v>DECODER DIGITAL HD HNB100 2T</v>
      </c>
      <c r="B586" s="22">
        <f>IFERROR(__xludf.DUMMYFUNCTION("""COMPUTED_VALUE"""),4.1001276E7)</f>
        <v>41001276</v>
      </c>
      <c r="C586" s="21" t="str">
        <f>IFERROR(__xludf.DUMMYFUNCTION("""COMPUTED_VALUE"""),"216508051523")</f>
        <v>216508051523</v>
      </c>
      <c r="D586" s="21" t="str">
        <f>IFERROR(__xludf.DUMMYFUNCTION("""COMPUTED_VALUE"""),"DIGITEC TECNOLOGIA DIGITAL E REPRES")</f>
        <v>DIGITEC TECNOLOGIA DIGITAL E REPRES</v>
      </c>
      <c r="E586" s="21">
        <f>IFERROR(__xludf.DUMMYFUNCTION("""COMPUTED_VALUE"""),145359.0)</f>
        <v>145359</v>
      </c>
      <c r="F586" s="21" t="str">
        <f>IFERROR(__xludf.DUMMYFUNCTION("""COMPUTED_VALUE"""),"TRANSITO REVERSA")</f>
        <v>TRANSITO REVERSA</v>
      </c>
      <c r="G586" s="23">
        <f>IFERROR(__xludf.DUMMYFUNCTION("""COMPUTED_VALUE"""),45633.00399305555)</f>
        <v>45633.00399</v>
      </c>
      <c r="H586" s="24" t="str">
        <f>IFERROR(VLOOKUP(B586,material!A:D,3,0),"")</f>
        <v>TOP MIX</v>
      </c>
    </row>
    <row r="587" ht="11.25" customHeight="1">
      <c r="A587" s="21" t="str">
        <f>IFERROR(__xludf.DUMMYFUNCTION("""COMPUTED_VALUE"""),"DECODER DIGITAL HD HNB100 2T")</f>
        <v>DECODER DIGITAL HD HNB100 2T</v>
      </c>
      <c r="B587" s="22">
        <f>IFERROR(__xludf.DUMMYFUNCTION("""COMPUTED_VALUE"""),4.1001276E7)</f>
        <v>41001276</v>
      </c>
      <c r="C587" s="21" t="str">
        <f>IFERROR(__xludf.DUMMYFUNCTION("""COMPUTED_VALUE"""),"184267264141")</f>
        <v>184267264141</v>
      </c>
      <c r="D587" s="21" t="str">
        <f>IFERROR(__xludf.DUMMYFUNCTION("""COMPUTED_VALUE"""),"DIGITEC TECNOLOGIA DIGITAL E REPRES")</f>
        <v>DIGITEC TECNOLOGIA DIGITAL E REPRES</v>
      </c>
      <c r="E587" s="21">
        <f>IFERROR(__xludf.DUMMYFUNCTION("""COMPUTED_VALUE"""),145359.0)</f>
        <v>145359</v>
      </c>
      <c r="F587" s="21" t="str">
        <f>IFERROR(__xludf.DUMMYFUNCTION("""COMPUTED_VALUE"""),"SUSPEITO")</f>
        <v>SUSPEITO</v>
      </c>
      <c r="G587" s="23">
        <f>IFERROR(__xludf.DUMMYFUNCTION("""COMPUTED_VALUE"""),45639.396469907406)</f>
        <v>45639.39647</v>
      </c>
      <c r="H587" s="24" t="str">
        <f>IFERROR(VLOOKUP(B587,material!A:D,3,0),"")</f>
        <v>TOP MIX</v>
      </c>
    </row>
    <row r="588" ht="11.25" customHeight="1">
      <c r="A588" s="21" t="str">
        <f>IFERROR(__xludf.DUMMYFUNCTION("""COMPUTED_VALUE"""),"SMART CARD PRETO NAGRA")</f>
        <v>SMART CARD PRETO NAGRA</v>
      </c>
      <c r="B588" s="22">
        <f>IFERROR(__xludf.DUMMYFUNCTION("""COMPUTED_VALUE"""),4.1001234E7)</f>
        <v>41001234</v>
      </c>
      <c r="C588" s="21" t="str">
        <f>IFERROR(__xludf.DUMMYFUNCTION("""COMPUTED_VALUE"""),"226080907888")</f>
        <v>226080907888</v>
      </c>
      <c r="D588" s="21" t="str">
        <f>IFERROR(__xludf.DUMMYFUNCTION("""COMPUTED_VALUE"""),"DIGITEC TECNOLOGIA DIGITAL E REPRES")</f>
        <v>DIGITEC TECNOLOGIA DIGITAL E REPRES</v>
      </c>
      <c r="E588" s="21">
        <f>IFERROR(__xludf.DUMMYFUNCTION("""COMPUTED_VALUE"""),145359.0)</f>
        <v>145359</v>
      </c>
      <c r="F588" s="21" t="str">
        <f>IFERROR(__xludf.DUMMYFUNCTION("""COMPUTED_VALUE"""),"SUSPEITO")</f>
        <v>SUSPEITO</v>
      </c>
      <c r="G588" s="23">
        <f>IFERROR(__xludf.DUMMYFUNCTION("""COMPUTED_VALUE"""),45631.68373842593)</f>
        <v>45631.68374</v>
      </c>
      <c r="H588" s="24" t="str">
        <f>IFERROR(VLOOKUP(B588,material!A:D,3,0),"")</f>
        <v>CARD</v>
      </c>
    </row>
    <row r="589" ht="11.25" customHeight="1">
      <c r="A589" s="21" t="str">
        <f>IFERROR(__xludf.DUMMYFUNCTION("""COMPUTED_VALUE"""),"SMART CARD PRETO NAGRA")</f>
        <v>SMART CARD PRETO NAGRA</v>
      </c>
      <c r="B589" s="22">
        <f>IFERROR(__xludf.DUMMYFUNCTION("""COMPUTED_VALUE"""),4.1001234E7)</f>
        <v>41001234</v>
      </c>
      <c r="C589" s="21" t="str">
        <f>IFERROR(__xludf.DUMMYFUNCTION("""COMPUTED_VALUE"""),"226109976786")</f>
        <v>226109976786</v>
      </c>
      <c r="D589" s="21" t="str">
        <f>IFERROR(__xludf.DUMMYFUNCTION("""COMPUTED_VALUE"""),"DIGITEC TECNOLOGIA DIGITAL E REPRES")</f>
        <v>DIGITEC TECNOLOGIA DIGITAL E REPRES</v>
      </c>
      <c r="E589" s="21">
        <f>IFERROR(__xludf.DUMMYFUNCTION("""COMPUTED_VALUE"""),145359.0)</f>
        <v>145359</v>
      </c>
      <c r="F589" s="21" t="str">
        <f>IFERROR(__xludf.DUMMYFUNCTION("""COMPUTED_VALUE"""),"SUSPEITO")</f>
        <v>SUSPEITO</v>
      </c>
      <c r="G589" s="23">
        <f>IFERROR(__xludf.DUMMYFUNCTION("""COMPUTED_VALUE"""),45639.39645833333)</f>
        <v>45639.39646</v>
      </c>
      <c r="H589" s="24" t="str">
        <f>IFERROR(VLOOKUP(B589,material!A:D,3,0),"")</f>
        <v>CARD</v>
      </c>
    </row>
    <row r="590" ht="11.25" customHeight="1">
      <c r="A590" s="21" t="str">
        <f>IFERROR(__xludf.DUMMYFUNCTION("""COMPUTED_VALUE"""),"SMART CARD PRETO NAGRA")</f>
        <v>SMART CARD PRETO NAGRA</v>
      </c>
      <c r="B590" s="22">
        <f>IFERROR(__xludf.DUMMYFUNCTION("""COMPUTED_VALUE"""),4.1001234E7)</f>
        <v>41001234</v>
      </c>
      <c r="C590" s="21" t="str">
        <f>IFERROR(__xludf.DUMMYFUNCTION("""COMPUTED_VALUE"""),"226339411019")</f>
        <v>226339411019</v>
      </c>
      <c r="D590" s="21" t="str">
        <f>IFERROR(__xludf.DUMMYFUNCTION("""COMPUTED_VALUE"""),"DIGITEC TECNOLOGIA DIGITAL E REPRES")</f>
        <v>DIGITEC TECNOLOGIA DIGITAL E REPRES</v>
      </c>
      <c r="E590" s="21">
        <f>IFERROR(__xludf.DUMMYFUNCTION("""COMPUTED_VALUE"""),145359.0)</f>
        <v>145359</v>
      </c>
      <c r="F590" s="21" t="str">
        <f>IFERROR(__xludf.DUMMYFUNCTION("""COMPUTED_VALUE"""),"INICIALIZADO")</f>
        <v>INICIALIZADO</v>
      </c>
      <c r="G590" s="23">
        <f>IFERROR(__xludf.DUMMYFUNCTION("""COMPUTED_VALUE"""),45000.35530092593)</f>
        <v>45000.3553</v>
      </c>
      <c r="H590" s="24" t="str">
        <f>IFERROR(VLOOKUP(B590,material!A:D,3,0),"")</f>
        <v>CARD</v>
      </c>
    </row>
    <row r="591" ht="11.25" customHeight="1">
      <c r="A591" s="21" t="str">
        <f>IFERROR(__xludf.DUMMYFUNCTION("""COMPUTED_VALUE"""),"SMART CARD LARANJA")</f>
        <v>SMART CARD LARANJA</v>
      </c>
      <c r="B591" s="22">
        <f>IFERROR(__xludf.DUMMYFUNCTION("""COMPUTED_VALUE"""),4.1001186E7)</f>
        <v>41001186</v>
      </c>
      <c r="C591" s="21" t="str">
        <f>IFERROR(__xludf.DUMMYFUNCTION("""COMPUTED_VALUE"""),"215971234654")</f>
        <v>215971234654</v>
      </c>
      <c r="D591" s="21" t="str">
        <f>IFERROR(__xludf.DUMMYFUNCTION("""COMPUTED_VALUE"""),"DIGITEC TECNOLOGIA DIGITAL E REPRES")</f>
        <v>DIGITEC TECNOLOGIA DIGITAL E REPRES</v>
      </c>
      <c r="E591" s="21">
        <f>IFERROR(__xludf.DUMMYFUNCTION("""COMPUTED_VALUE"""),145359.0)</f>
        <v>145359</v>
      </c>
      <c r="F591" s="21" t="str">
        <f>IFERROR(__xludf.DUMMYFUNCTION("""COMPUTED_VALUE"""),"SUCATA")</f>
        <v>SUCATA</v>
      </c>
      <c r="G591" s="23">
        <f>IFERROR(__xludf.DUMMYFUNCTION("""COMPUTED_VALUE"""),45075.63359953703)</f>
        <v>45075.6336</v>
      </c>
      <c r="H591" s="24" t="str">
        <f>IFERROR(VLOOKUP(B591,material!A:D,3,0),"")</f>
        <v>CARD</v>
      </c>
    </row>
    <row r="592" ht="11.25" customHeight="1">
      <c r="A592" s="21" t="str">
        <f>IFERROR(__xludf.DUMMYFUNCTION("""COMPUTED_VALUE"""),"SMART CARD LARANJA NAGRA")</f>
        <v>SMART CARD LARANJA NAGRA</v>
      </c>
      <c r="B592" s="22">
        <f>IFERROR(__xludf.DUMMYFUNCTION("""COMPUTED_VALUE"""),4.1001186E7)</f>
        <v>41001186</v>
      </c>
      <c r="C592" s="21" t="str">
        <f>IFERROR(__xludf.DUMMYFUNCTION("""COMPUTED_VALUE"""),"226680808399")</f>
        <v>226680808399</v>
      </c>
      <c r="D592" s="21" t="str">
        <f>IFERROR(__xludf.DUMMYFUNCTION("""COMPUTED_VALUE"""),"DIGITEC TECNOLOGIA DIGITAL E REPRES")</f>
        <v>DIGITEC TECNOLOGIA DIGITAL E REPRES</v>
      </c>
      <c r="E592" s="21">
        <f>IFERROR(__xludf.DUMMYFUNCTION("""COMPUTED_VALUE"""),145359.0)</f>
        <v>145359</v>
      </c>
      <c r="F592" s="21" t="str">
        <f>IFERROR(__xludf.DUMMYFUNCTION("""COMPUTED_VALUE"""),"SUCATA")</f>
        <v>SUCATA</v>
      </c>
      <c r="G592" s="23">
        <f>IFERROR(__xludf.DUMMYFUNCTION("""COMPUTED_VALUE"""),45075.511875)</f>
        <v>45075.51188</v>
      </c>
      <c r="H592" s="24" t="str">
        <f>IFERROR(VLOOKUP(B592,material!A:D,3,0),"")</f>
        <v>CARD</v>
      </c>
    </row>
    <row r="593" ht="11.25" customHeight="1">
      <c r="A593" s="21" t="str">
        <f>IFERROR(__xludf.DUMMYFUNCTION("""COMPUTED_VALUE"""),"SMART CARD LARANJA NAGRA")</f>
        <v>SMART CARD LARANJA NAGRA</v>
      </c>
      <c r="B593" s="22">
        <f>IFERROR(__xludf.DUMMYFUNCTION("""COMPUTED_VALUE"""),4.1001186E7)</f>
        <v>41001186</v>
      </c>
      <c r="C593" s="21" t="str">
        <f>IFERROR(__xludf.DUMMYFUNCTION("""COMPUTED_VALUE"""),"226656532630")</f>
        <v>226656532630</v>
      </c>
      <c r="D593" s="21" t="str">
        <f>IFERROR(__xludf.DUMMYFUNCTION("""COMPUTED_VALUE"""),"DIGITEC TECNOLOGIA DIGITAL E REPRES")</f>
        <v>DIGITEC TECNOLOGIA DIGITAL E REPRES</v>
      </c>
      <c r="E593" s="21">
        <f>IFERROR(__xludf.DUMMYFUNCTION("""COMPUTED_VALUE"""),145359.0)</f>
        <v>145359</v>
      </c>
      <c r="F593" s="21" t="str">
        <f>IFERROR(__xludf.DUMMYFUNCTION("""COMPUTED_VALUE"""),"SUCATA")</f>
        <v>SUCATA</v>
      </c>
      <c r="G593" s="23">
        <f>IFERROR(__xludf.DUMMYFUNCTION("""COMPUTED_VALUE"""),45075.51190972222)</f>
        <v>45075.51191</v>
      </c>
      <c r="H593" s="24" t="str">
        <f>IFERROR(VLOOKUP(B593,material!A:D,3,0),"")</f>
        <v>CARD</v>
      </c>
    </row>
    <row r="594" ht="11.25" customHeight="1">
      <c r="A594" s="21" t="str">
        <f>IFERROR(__xludf.DUMMYFUNCTION("""COMPUTED_VALUE"""),"SMART CARD LARANJA NAGRA")</f>
        <v>SMART CARD LARANJA NAGRA</v>
      </c>
      <c r="B594" s="22">
        <f>IFERROR(__xludf.DUMMYFUNCTION("""COMPUTED_VALUE"""),4.1001186E7)</f>
        <v>41001186</v>
      </c>
      <c r="C594" s="21" t="str">
        <f>IFERROR(__xludf.DUMMYFUNCTION("""COMPUTED_VALUE"""),"226609181320")</f>
        <v>226609181320</v>
      </c>
      <c r="D594" s="21" t="str">
        <f>IFERROR(__xludf.DUMMYFUNCTION("""COMPUTED_VALUE"""),"DIGITEC TECNOLOGIA DIGITAL E REPRES")</f>
        <v>DIGITEC TECNOLOGIA DIGITAL E REPRES</v>
      </c>
      <c r="E594" s="21">
        <f>IFERROR(__xludf.DUMMYFUNCTION("""COMPUTED_VALUE"""),145359.0)</f>
        <v>145359</v>
      </c>
      <c r="F594" s="21" t="str">
        <f>IFERROR(__xludf.DUMMYFUNCTION("""COMPUTED_VALUE"""),"SUCATA")</f>
        <v>SUCATA</v>
      </c>
      <c r="G594" s="23">
        <f>IFERROR(__xludf.DUMMYFUNCTION("""COMPUTED_VALUE"""),45075.59908564815)</f>
        <v>45075.59909</v>
      </c>
      <c r="H594" s="24" t="str">
        <f>IFERROR(VLOOKUP(B594,material!A:D,3,0),"")</f>
        <v>CARD</v>
      </c>
    </row>
    <row r="595" ht="11.25" customHeight="1">
      <c r="A595" s="21" t="str">
        <f>IFERROR(__xludf.DUMMYFUNCTION("""COMPUTED_VALUE"""),"SMART CARD LARANJA NAGRA")</f>
        <v>SMART CARD LARANJA NAGRA</v>
      </c>
      <c r="B595" s="22">
        <f>IFERROR(__xludf.DUMMYFUNCTION("""COMPUTED_VALUE"""),4.1001186E7)</f>
        <v>41001186</v>
      </c>
      <c r="C595" s="21" t="str">
        <f>IFERROR(__xludf.DUMMYFUNCTION("""COMPUTED_VALUE"""),"226603106282")</f>
        <v>226603106282</v>
      </c>
      <c r="D595" s="21" t="str">
        <f>IFERROR(__xludf.DUMMYFUNCTION("""COMPUTED_VALUE"""),"DIGITEC TECNOLOGIA DIGITAL E REPRES")</f>
        <v>DIGITEC TECNOLOGIA DIGITAL E REPRES</v>
      </c>
      <c r="E595" s="21">
        <f>IFERROR(__xludf.DUMMYFUNCTION("""COMPUTED_VALUE"""),145359.0)</f>
        <v>145359</v>
      </c>
      <c r="F595" s="21" t="str">
        <f>IFERROR(__xludf.DUMMYFUNCTION("""COMPUTED_VALUE"""),"SUCATA")</f>
        <v>SUCATA</v>
      </c>
      <c r="G595" s="23">
        <f>IFERROR(__xludf.DUMMYFUNCTION("""COMPUTED_VALUE"""),45075.59909722222)</f>
        <v>45075.5991</v>
      </c>
      <c r="H595" s="24" t="str">
        <f>IFERROR(VLOOKUP(B595,material!A:D,3,0),"")</f>
        <v>CARD</v>
      </c>
    </row>
    <row r="596" ht="11.25" customHeight="1">
      <c r="A596" s="21" t="str">
        <f>IFERROR(__xludf.DUMMYFUNCTION("""COMPUTED_VALUE"""),"SMART CARD PRETO NAGRA")</f>
        <v>SMART CARD PRETO NAGRA</v>
      </c>
      <c r="B596" s="22">
        <f>IFERROR(__xludf.DUMMYFUNCTION("""COMPUTED_VALUE"""),4.1001234E7)</f>
        <v>41001234</v>
      </c>
      <c r="C596" s="21" t="str">
        <f>IFERROR(__xludf.DUMMYFUNCTION("""COMPUTED_VALUE"""),"246204248792")</f>
        <v>246204248792</v>
      </c>
      <c r="D596" s="21" t="str">
        <f>IFERROR(__xludf.DUMMYFUNCTION("""COMPUTED_VALUE"""),"DIGITEC TECNOLOGIA DIGITAL E REPRES")</f>
        <v>DIGITEC TECNOLOGIA DIGITAL E REPRES</v>
      </c>
      <c r="E596" s="21">
        <f>IFERROR(__xludf.DUMMYFUNCTION("""COMPUTED_VALUE"""),145359.0)</f>
        <v>145359</v>
      </c>
      <c r="F596" s="21" t="str">
        <f>IFERROR(__xludf.DUMMYFUNCTION("""COMPUTED_VALUE"""),"INICIALIZADO")</f>
        <v>INICIALIZADO</v>
      </c>
      <c r="G596" s="23">
        <f>IFERROR(__xludf.DUMMYFUNCTION("""COMPUTED_VALUE"""),45635.534895833334)</f>
        <v>45635.5349</v>
      </c>
      <c r="H596" s="24" t="str">
        <f>IFERROR(VLOOKUP(B596,material!A:D,3,0),"")</f>
        <v>CARD</v>
      </c>
    </row>
    <row r="597" ht="11.25" customHeight="1">
      <c r="A597" s="21" t="str">
        <f>IFERROR(__xludf.DUMMYFUNCTION("""COMPUTED_VALUE"""),"SMART CARD PRETO NAGRA")</f>
        <v>SMART CARD PRETO NAGRA</v>
      </c>
      <c r="B597" s="22">
        <f>IFERROR(__xludf.DUMMYFUNCTION("""COMPUTED_VALUE"""),4.1001234E7)</f>
        <v>41001234</v>
      </c>
      <c r="C597" s="21" t="str">
        <f>IFERROR(__xludf.DUMMYFUNCTION("""COMPUTED_VALUE"""),"226026162838")</f>
        <v>226026162838</v>
      </c>
      <c r="D597" s="21" t="str">
        <f>IFERROR(__xludf.DUMMYFUNCTION("""COMPUTED_VALUE"""),"DIGITEC TECNOLOGIA DIGITAL E REPRES")</f>
        <v>DIGITEC TECNOLOGIA DIGITAL E REPRES</v>
      </c>
      <c r="E597" s="21">
        <f>IFERROR(__xludf.DUMMYFUNCTION("""COMPUTED_VALUE"""),145359.0)</f>
        <v>145359</v>
      </c>
      <c r="F597" s="21" t="str">
        <f>IFERROR(__xludf.DUMMYFUNCTION("""COMPUTED_VALUE"""),"INICIALIZADO")</f>
        <v>INICIALIZADO</v>
      </c>
      <c r="G597" s="23">
        <f>IFERROR(__xludf.DUMMYFUNCTION("""COMPUTED_VALUE"""),45635.534953703704)</f>
        <v>45635.53495</v>
      </c>
      <c r="H597" s="24" t="str">
        <f>IFERROR(VLOOKUP(B597,material!A:D,3,0),"")</f>
        <v>CARD</v>
      </c>
    </row>
    <row r="598" ht="11.25" customHeight="1">
      <c r="A598" s="21" t="str">
        <f>IFERROR(__xludf.DUMMYFUNCTION("""COMPUTED_VALUE"""),"SMART CARD PRETO NAGRA")</f>
        <v>SMART CARD PRETO NAGRA</v>
      </c>
      <c r="B598" s="22">
        <f>IFERROR(__xludf.DUMMYFUNCTION("""COMPUTED_VALUE"""),4.1001234E7)</f>
        <v>41001234</v>
      </c>
      <c r="C598" s="21" t="str">
        <f>IFERROR(__xludf.DUMMYFUNCTION("""COMPUTED_VALUE"""),"246098574563")</f>
        <v>246098574563</v>
      </c>
      <c r="D598" s="21" t="str">
        <f>IFERROR(__xludf.DUMMYFUNCTION("""COMPUTED_VALUE"""),"DIGITEC TECNOLOGIA DIGITAL E REPRES")</f>
        <v>DIGITEC TECNOLOGIA DIGITAL E REPRES</v>
      </c>
      <c r="E598" s="21">
        <f>IFERROR(__xludf.DUMMYFUNCTION("""COMPUTED_VALUE"""),145359.0)</f>
        <v>145359</v>
      </c>
      <c r="F598" s="21" t="str">
        <f>IFERROR(__xludf.DUMMYFUNCTION("""COMPUTED_VALUE"""),"INICIALIZADO")</f>
        <v>INICIALIZADO</v>
      </c>
      <c r="G598" s="23">
        <f>IFERROR(__xludf.DUMMYFUNCTION("""COMPUTED_VALUE"""),45642.524097222224)</f>
        <v>45642.5241</v>
      </c>
      <c r="H598" s="24" t="str">
        <f>IFERROR(VLOOKUP(B598,material!A:D,3,0),"")</f>
        <v>CARD</v>
      </c>
    </row>
    <row r="599" ht="11.25" customHeight="1">
      <c r="A599" s="21" t="str">
        <f>IFERROR(__xludf.DUMMYFUNCTION("""COMPUTED_VALUE"""),"DECODER DIGITAL HD HNB100 2T")</f>
        <v>DECODER DIGITAL HD HNB100 2T</v>
      </c>
      <c r="B599" s="22">
        <f>IFERROR(__xludf.DUMMYFUNCTION("""COMPUTED_VALUE"""),4.1001276E7)</f>
        <v>41001276</v>
      </c>
      <c r="C599" s="21" t="str">
        <f>IFERROR(__xludf.DUMMYFUNCTION("""COMPUTED_VALUE"""),"216396821835")</f>
        <v>216396821835</v>
      </c>
      <c r="D599" s="21" t="str">
        <f>IFERROR(__xludf.DUMMYFUNCTION("""COMPUTED_VALUE"""),"DIGITEC TECNOLOGIA DIGITAL E REPRES")</f>
        <v>DIGITEC TECNOLOGIA DIGITAL E REPRES</v>
      </c>
      <c r="E599" s="21">
        <f>IFERROR(__xludf.DUMMYFUNCTION("""COMPUTED_VALUE"""),145359.0)</f>
        <v>145359</v>
      </c>
      <c r="F599" s="21" t="str">
        <f>IFERROR(__xludf.DUMMYFUNCTION("""COMPUTED_VALUE"""),"TRANSITO REVERSA")</f>
        <v>TRANSITO REVERSA</v>
      </c>
      <c r="G599" s="23">
        <f>IFERROR(__xludf.DUMMYFUNCTION("""COMPUTED_VALUE"""),45633.00340277777)</f>
        <v>45633.0034</v>
      </c>
      <c r="H599" s="24" t="str">
        <f>IFERROR(VLOOKUP(B599,material!A:D,3,0),"")</f>
        <v>TOP MIX</v>
      </c>
    </row>
    <row r="600" ht="11.25" customHeight="1">
      <c r="A600" s="21" t="str">
        <f>IFERROR(__xludf.DUMMYFUNCTION("""COMPUTED_VALUE"""),"SMART CARD LARANJA NAGRA")</f>
        <v>SMART CARD LARANJA NAGRA</v>
      </c>
      <c r="B600" s="22">
        <f>IFERROR(__xludf.DUMMYFUNCTION("""COMPUTED_VALUE"""),4.1001186E7)</f>
        <v>41001186</v>
      </c>
      <c r="C600" s="21" t="str">
        <f>IFERROR(__xludf.DUMMYFUNCTION("""COMPUTED_VALUE"""),"226679461838")</f>
        <v>226679461838</v>
      </c>
      <c r="D600" s="21" t="str">
        <f>IFERROR(__xludf.DUMMYFUNCTION("""COMPUTED_VALUE"""),"DIGITEC TECNOLOGIA DIGITAL E REPRES")</f>
        <v>DIGITEC TECNOLOGIA DIGITAL E REPRES</v>
      </c>
      <c r="E600" s="21">
        <f>IFERROR(__xludf.DUMMYFUNCTION("""COMPUTED_VALUE"""),145359.0)</f>
        <v>145359</v>
      </c>
      <c r="F600" s="21" t="str">
        <f>IFERROR(__xludf.DUMMYFUNCTION("""COMPUTED_VALUE"""),"TRANSITO REVERSA")</f>
        <v>TRANSITO REVERSA</v>
      </c>
      <c r="G600" s="23">
        <f>IFERROR(__xludf.DUMMYFUNCTION("""COMPUTED_VALUE"""),45394.80729166667)</f>
        <v>45394.80729</v>
      </c>
      <c r="H600" s="24" t="str">
        <f>IFERROR(VLOOKUP(B600,material!A:D,3,0),"")</f>
        <v>CARD</v>
      </c>
    </row>
    <row r="601" ht="11.25" customHeight="1">
      <c r="A601" s="21" t="str">
        <f>IFERROR(__xludf.DUMMYFUNCTION("""COMPUTED_VALUE"""),"THOMSON HIGH DEFINITION DCI713")</f>
        <v>THOMSON HIGH DEFINITION DCI713</v>
      </c>
      <c r="B601" s="22">
        <f>IFERROR(__xludf.DUMMYFUNCTION("""COMPUTED_VALUE"""),4.1001273E7)</f>
        <v>41001273</v>
      </c>
      <c r="C601" s="21" t="str">
        <f>IFERROR(__xludf.DUMMYFUNCTION("""COMPUTED_VALUE"""),"183972937683")</f>
        <v>183972937683</v>
      </c>
      <c r="D601" s="21" t="str">
        <f>IFERROR(__xludf.DUMMYFUNCTION("""COMPUTED_VALUE"""),"DIGITEC TECNOLOGIA DIGITAL E REPRES")</f>
        <v>DIGITEC TECNOLOGIA DIGITAL E REPRES</v>
      </c>
      <c r="E601" s="21">
        <f>IFERROR(__xludf.DUMMYFUNCTION("""COMPUTED_VALUE"""),145359.0)</f>
        <v>145359</v>
      </c>
      <c r="F601" s="21" t="str">
        <f>IFERROR(__xludf.DUMMYFUNCTION("""COMPUTED_VALUE"""),"INICIALIZADO")</f>
        <v>INICIALIZADO</v>
      </c>
      <c r="G601" s="23">
        <f>IFERROR(__xludf.DUMMYFUNCTION("""COMPUTED_VALUE"""),44999.92954861111)</f>
        <v>44999.92955</v>
      </c>
      <c r="H601" s="24" t="str">
        <f>IFERROR(VLOOKUP(B601,material!A:D,3,0),"")</f>
        <v>LEGADO</v>
      </c>
    </row>
    <row r="602" ht="11.25" customHeight="1">
      <c r="A602" s="21" t="str">
        <f>IFERROR(__xludf.DUMMYFUNCTION("""COMPUTED_VALUE"""),"SMART CARD AVULSO MINI")</f>
        <v>SMART CARD AVULSO MINI</v>
      </c>
      <c r="B602" s="22">
        <f>IFERROR(__xludf.DUMMYFUNCTION("""COMPUTED_VALUE"""),4.1001508E7)</f>
        <v>41001508</v>
      </c>
      <c r="C602" s="21" t="str">
        <f>IFERROR(__xludf.DUMMYFUNCTION("""COMPUTED_VALUE"""),"246300085273")</f>
        <v>246300085273</v>
      </c>
      <c r="D602" s="21" t="str">
        <f>IFERROR(__xludf.DUMMYFUNCTION("""COMPUTED_VALUE"""),"DIGITEC TECNOLOGIA DIGITAL E REPRES")</f>
        <v>DIGITEC TECNOLOGIA DIGITAL E REPRES</v>
      </c>
      <c r="E602" s="21">
        <f>IFERROR(__xludf.DUMMYFUNCTION("""COMPUTED_VALUE"""),145359.0)</f>
        <v>145359</v>
      </c>
      <c r="F602" s="21" t="str">
        <f>IFERROR(__xludf.DUMMYFUNCTION("""COMPUTED_VALUE"""),"TRANSITO REVERSA")</f>
        <v>TRANSITO REVERSA</v>
      </c>
      <c r="G602" s="23">
        <f>IFERROR(__xludf.DUMMYFUNCTION("""COMPUTED_VALUE"""),45626.298692129625)</f>
        <v>45626.29869</v>
      </c>
      <c r="H602" s="24" t="str">
        <f>IFERROR(VLOOKUP(B602,material!A:D,3,0),"")</f>
        <v>SIM CARD</v>
      </c>
    </row>
    <row r="603" ht="11.25" customHeight="1">
      <c r="A603" s="21" t="str">
        <f>IFERROR(__xludf.DUMMYFUNCTION("""COMPUTED_VALUE"""),"DECODER DIGITAL HD HNB100 2T")</f>
        <v>DECODER DIGITAL HD HNB100 2T</v>
      </c>
      <c r="B603" s="22">
        <f>IFERROR(__xludf.DUMMYFUNCTION("""COMPUTED_VALUE"""),4.1001276E7)</f>
        <v>41001276</v>
      </c>
      <c r="C603" s="21" t="str">
        <f>IFERROR(__xludf.DUMMYFUNCTION("""COMPUTED_VALUE"""),"216544028300")</f>
        <v>216544028300</v>
      </c>
      <c r="D603" s="21" t="str">
        <f>IFERROR(__xludf.DUMMYFUNCTION("""COMPUTED_VALUE"""),"DIGITEC TECNOLOGIA DIGITAL E REPRES")</f>
        <v>DIGITEC TECNOLOGIA DIGITAL E REPRES</v>
      </c>
      <c r="E603" s="21">
        <f>IFERROR(__xludf.DUMMYFUNCTION("""COMPUTED_VALUE"""),145359.0)</f>
        <v>145359</v>
      </c>
      <c r="F603" s="21" t="str">
        <f>IFERROR(__xludf.DUMMYFUNCTION("""COMPUTED_VALUE"""),"INICIALIZADO")</f>
        <v>INICIALIZADO</v>
      </c>
      <c r="G603" s="23">
        <f>IFERROR(__xludf.DUMMYFUNCTION("""COMPUTED_VALUE"""),45635.53508101852)</f>
        <v>45635.53508</v>
      </c>
      <c r="H603" s="24" t="str">
        <f>IFERROR(VLOOKUP(B603,material!A:D,3,0),"")</f>
        <v>TOP MIX</v>
      </c>
    </row>
    <row r="604" ht="11.25" customHeight="1">
      <c r="A604" s="21" t="str">
        <f>IFERROR(__xludf.DUMMYFUNCTION("""COMPUTED_VALUE"""),"SMART CARD PRETO NAGRA")</f>
        <v>SMART CARD PRETO NAGRA</v>
      </c>
      <c r="B604" s="22">
        <f>IFERROR(__xludf.DUMMYFUNCTION("""COMPUTED_VALUE"""),4.1001234E7)</f>
        <v>41001234</v>
      </c>
      <c r="C604" s="21" t="str">
        <f>IFERROR(__xludf.DUMMYFUNCTION("""COMPUTED_VALUE"""),"226211145268")</f>
        <v>226211145268</v>
      </c>
      <c r="D604" s="21" t="str">
        <f>IFERROR(__xludf.DUMMYFUNCTION("""COMPUTED_VALUE"""),"DIGITEC TECNOLOGIA DIGITAL E REPRES")</f>
        <v>DIGITEC TECNOLOGIA DIGITAL E REPRES</v>
      </c>
      <c r="E604" s="21">
        <f>IFERROR(__xludf.DUMMYFUNCTION("""COMPUTED_VALUE"""),145359.0)</f>
        <v>145359</v>
      </c>
      <c r="F604" s="21" t="str">
        <f>IFERROR(__xludf.DUMMYFUNCTION("""COMPUTED_VALUE"""),"INICIALIZADO")</f>
        <v>INICIALIZADO</v>
      </c>
      <c r="G604" s="23">
        <f>IFERROR(__xludf.DUMMYFUNCTION("""COMPUTED_VALUE"""),45635.53494212963)</f>
        <v>45635.53494</v>
      </c>
      <c r="H604" s="24" t="str">
        <f>IFERROR(VLOOKUP(B604,material!A:D,3,0),"")</f>
        <v>CARD</v>
      </c>
    </row>
    <row r="605" ht="11.25" customHeight="1">
      <c r="A605" s="21" t="str">
        <f>IFERROR(__xludf.DUMMYFUNCTION("""COMPUTED_VALUE"""),"SMART CARD PRETO NAGRA")</f>
        <v>SMART CARD PRETO NAGRA</v>
      </c>
      <c r="B605" s="22">
        <f>IFERROR(__xludf.DUMMYFUNCTION("""COMPUTED_VALUE"""),4.1001234E7)</f>
        <v>41001234</v>
      </c>
      <c r="C605" s="21" t="str">
        <f>IFERROR(__xludf.DUMMYFUNCTION("""COMPUTED_VALUE"""),"226296335658")</f>
        <v>226296335658</v>
      </c>
      <c r="D605" s="21" t="str">
        <f>IFERROR(__xludf.DUMMYFUNCTION("""COMPUTED_VALUE"""),"DIGITEC TECNOLOGIA DIGITAL E REPRES")</f>
        <v>DIGITEC TECNOLOGIA DIGITAL E REPRES</v>
      </c>
      <c r="E605" s="21">
        <f>IFERROR(__xludf.DUMMYFUNCTION("""COMPUTED_VALUE"""),145359.0)</f>
        <v>145359</v>
      </c>
      <c r="F605" s="21" t="str">
        <f>IFERROR(__xludf.DUMMYFUNCTION("""COMPUTED_VALUE"""),"INICIALIZADO")</f>
        <v>INICIALIZADO</v>
      </c>
      <c r="G605" s="23">
        <f>IFERROR(__xludf.DUMMYFUNCTION("""COMPUTED_VALUE"""),45635.53496527778)</f>
        <v>45635.53497</v>
      </c>
      <c r="H605" s="24" t="str">
        <f>IFERROR(VLOOKUP(B605,material!A:D,3,0),"")</f>
        <v>CARD</v>
      </c>
    </row>
    <row r="606" ht="11.25" customHeight="1">
      <c r="A606" s="21" t="str">
        <f>IFERROR(__xludf.DUMMYFUNCTION("""COMPUTED_VALUE"""),"PACE - DCR HIGH DEFINITION")</f>
        <v>PACE - DCR HIGH DEFINITION</v>
      </c>
      <c r="B606" s="22">
        <f>IFERROR(__xludf.DUMMYFUNCTION("""COMPUTED_VALUE"""),4.1001272E7)</f>
        <v>41001272</v>
      </c>
      <c r="C606" s="21" t="str">
        <f>IFERROR(__xludf.DUMMYFUNCTION("""COMPUTED_VALUE"""),"172426267685")</f>
        <v>172426267685</v>
      </c>
      <c r="D606" s="21" t="str">
        <f>IFERROR(__xludf.DUMMYFUNCTION("""COMPUTED_VALUE"""),"DIGITEC TECNOLOGIA DIGITAL E REPRES")</f>
        <v>DIGITEC TECNOLOGIA DIGITAL E REPRES</v>
      </c>
      <c r="E606" s="21">
        <f>IFERROR(__xludf.DUMMYFUNCTION("""COMPUTED_VALUE"""),145359.0)</f>
        <v>145359</v>
      </c>
      <c r="F606" s="21" t="str">
        <f>IFERROR(__xludf.DUMMYFUNCTION("""COMPUTED_VALUE"""),"TRANSITO REVERSA")</f>
        <v>TRANSITO REVERSA</v>
      </c>
      <c r="G606" s="23">
        <f>IFERROR(__xludf.DUMMYFUNCTION("""COMPUTED_VALUE"""),45638.520625000005)</f>
        <v>45638.52063</v>
      </c>
      <c r="H606" s="24" t="str">
        <f>IFERROR(VLOOKUP(B606,material!A:D,3,0),"")</f>
        <v>LEGADO</v>
      </c>
    </row>
    <row r="607" ht="11.25" customHeight="1">
      <c r="A607" s="21" t="str">
        <f>IFERROR(__xludf.DUMMYFUNCTION("""COMPUTED_VALUE"""),"SMART CARD LARANJA")</f>
        <v>SMART CARD LARANJA</v>
      </c>
      <c r="B607" s="22">
        <f>IFERROR(__xludf.DUMMYFUNCTION("""COMPUTED_VALUE"""),4.1001186E7)</f>
        <v>41001186</v>
      </c>
      <c r="C607" s="21" t="str">
        <f>IFERROR(__xludf.DUMMYFUNCTION("""COMPUTED_VALUE"""),"215627520527")</f>
        <v>215627520527</v>
      </c>
      <c r="D607" s="21" t="str">
        <f>IFERROR(__xludf.DUMMYFUNCTION("""COMPUTED_VALUE"""),"DIGITEC TECNOLOGIA DIGITAL E REPRES")</f>
        <v>DIGITEC TECNOLOGIA DIGITAL E REPRES</v>
      </c>
      <c r="E607" s="21">
        <f>IFERROR(__xludf.DUMMYFUNCTION("""COMPUTED_VALUE"""),145359.0)</f>
        <v>145359</v>
      </c>
      <c r="F607" s="21" t="str">
        <f>IFERROR(__xludf.DUMMYFUNCTION("""COMPUTED_VALUE"""),"SUCATA")</f>
        <v>SUCATA</v>
      </c>
      <c r="G607" s="23">
        <f>IFERROR(__xludf.DUMMYFUNCTION("""COMPUTED_VALUE"""),45075.586851851855)</f>
        <v>45075.58685</v>
      </c>
      <c r="H607" s="24" t="str">
        <f>IFERROR(VLOOKUP(B607,material!A:D,3,0),"")</f>
        <v>CARD</v>
      </c>
    </row>
    <row r="608" ht="11.25" customHeight="1">
      <c r="A608" s="21" t="str">
        <f>IFERROR(__xludf.DUMMYFUNCTION("""COMPUTED_VALUE"""),"TECHNICOLOR TC7337NET")</f>
        <v>TECHNICOLOR TC7337NET</v>
      </c>
      <c r="B608" s="22">
        <f>IFERROR(__xludf.DUMMYFUNCTION("""COMPUTED_VALUE"""),4.1001294E7)</f>
        <v>41001294</v>
      </c>
      <c r="C608" s="21" t="str">
        <f>IFERROR(__xludf.DUMMYFUNCTION("""COMPUTED_VALUE"""),"B42A0E1B2C34")</f>
        <v>B42A0E1B2C34</v>
      </c>
      <c r="D608" s="21" t="str">
        <f>IFERROR(__xludf.DUMMYFUNCTION("""COMPUTED_VALUE"""),"DIGITEC TECNOLOGIA DIGITAL E REPRES")</f>
        <v>DIGITEC TECNOLOGIA DIGITAL E REPRES</v>
      </c>
      <c r="E608" s="21">
        <f>IFERROR(__xludf.DUMMYFUNCTION("""COMPUTED_VALUE"""),145359.0)</f>
        <v>145359</v>
      </c>
      <c r="F608" s="21" t="str">
        <f>IFERROR(__xludf.DUMMYFUNCTION("""COMPUTED_VALUE"""),"INICIALIZADO")</f>
        <v>INICIALIZADO</v>
      </c>
      <c r="G608" s="23">
        <f>IFERROR(__xludf.DUMMYFUNCTION("""COMPUTED_VALUE"""),45618.74476851852)</f>
        <v>45618.74477</v>
      </c>
      <c r="H608" s="24" t="str">
        <f>IFERROR(VLOOKUP(B608,material!A:D,3,0),"")</f>
        <v>DUAL</v>
      </c>
    </row>
    <row r="609" ht="11.25" customHeight="1">
      <c r="A609" s="21" t="str">
        <f>IFERROR(__xludf.DUMMYFUNCTION("""COMPUTED_VALUE"""),"DECODER DIGITAL HD DXC5000 2T")</f>
        <v>DECODER DIGITAL HD DXC5000 2T</v>
      </c>
      <c r="B609" s="22">
        <f>IFERROR(__xludf.DUMMYFUNCTION("""COMPUTED_VALUE"""),4.1001277E7)</f>
        <v>41001277</v>
      </c>
      <c r="C609" s="21" t="str">
        <f>IFERROR(__xludf.DUMMYFUNCTION("""COMPUTED_VALUE"""),"216430723437")</f>
        <v>216430723437</v>
      </c>
      <c r="D609" s="21" t="str">
        <f>IFERROR(__xludf.DUMMYFUNCTION("""COMPUTED_VALUE"""),"DIGITEC TECNOLOGIA DIGITAL E REPRES")</f>
        <v>DIGITEC TECNOLOGIA DIGITAL E REPRES</v>
      </c>
      <c r="E609" s="21">
        <f>IFERROR(__xludf.DUMMYFUNCTION("""COMPUTED_VALUE"""),145359.0)</f>
        <v>145359</v>
      </c>
      <c r="F609" s="21" t="str">
        <f>IFERROR(__xludf.DUMMYFUNCTION("""COMPUTED_VALUE"""),"INICIALIZADO")</f>
        <v>INICIALIZADO</v>
      </c>
      <c r="G609" s="23">
        <f>IFERROR(__xludf.DUMMYFUNCTION("""COMPUTED_VALUE"""),45618.65201388889)</f>
        <v>45618.65201</v>
      </c>
      <c r="H609" s="24" t="str">
        <f>IFERROR(VLOOKUP(B609,material!A:D,3,0),"")</f>
        <v>TOP MIX</v>
      </c>
    </row>
    <row r="610" ht="11.25" customHeight="1">
      <c r="A610" s="21" t="str">
        <f>IFERROR(__xludf.DUMMYFUNCTION("""COMPUTED_VALUE"""),"SMART CARD LARANJA NAGRA")</f>
        <v>SMART CARD LARANJA NAGRA</v>
      </c>
      <c r="B610" s="22">
        <f>IFERROR(__xludf.DUMMYFUNCTION("""COMPUTED_VALUE"""),4.1001186E7)</f>
        <v>41001186</v>
      </c>
      <c r="C610" s="21" t="str">
        <f>IFERROR(__xludf.DUMMYFUNCTION("""COMPUTED_VALUE"""),"225889433557")</f>
        <v>225889433557</v>
      </c>
      <c r="D610" s="21" t="str">
        <f>IFERROR(__xludf.DUMMYFUNCTION("""COMPUTED_VALUE"""),"DIGITEC TECNOLOGIA DIGITAL E REPRES")</f>
        <v>DIGITEC TECNOLOGIA DIGITAL E REPRES</v>
      </c>
      <c r="E610" s="21">
        <f>IFERROR(__xludf.DUMMYFUNCTION("""COMPUTED_VALUE"""),145359.0)</f>
        <v>145359</v>
      </c>
      <c r="F610" s="21" t="str">
        <f>IFERROR(__xludf.DUMMYFUNCTION("""COMPUTED_VALUE"""),"SUCATA")</f>
        <v>SUCATA</v>
      </c>
      <c r="G610" s="23">
        <f>IFERROR(__xludf.DUMMYFUNCTION("""COMPUTED_VALUE"""),45076.50004629629)</f>
        <v>45076.50005</v>
      </c>
      <c r="H610" s="24" t="str">
        <f>IFERROR(VLOOKUP(B610,material!A:D,3,0),"")</f>
        <v>CARD</v>
      </c>
    </row>
    <row r="611" ht="11.25" customHeight="1">
      <c r="A611" s="21" t="str">
        <f>IFERROR(__xludf.DUMMYFUNCTION("""COMPUTED_VALUE"""),"SMART CARD LARANJA")</f>
        <v>SMART CARD LARANJA</v>
      </c>
      <c r="B611" s="22">
        <f>IFERROR(__xludf.DUMMYFUNCTION("""COMPUTED_VALUE"""),4.1001186E7)</f>
        <v>41001186</v>
      </c>
      <c r="C611" s="21" t="str">
        <f>IFERROR(__xludf.DUMMYFUNCTION("""COMPUTED_VALUE"""),"226508907481")</f>
        <v>226508907481</v>
      </c>
      <c r="D611" s="21" t="str">
        <f>IFERROR(__xludf.DUMMYFUNCTION("""COMPUTED_VALUE"""),"DIGITEC TECNOLOGIA DIGITAL E REPRES")</f>
        <v>DIGITEC TECNOLOGIA DIGITAL E REPRES</v>
      </c>
      <c r="E611" s="21">
        <f>IFERROR(__xludf.DUMMYFUNCTION("""COMPUTED_VALUE"""),145359.0)</f>
        <v>145359</v>
      </c>
      <c r="F611" s="21" t="str">
        <f>IFERROR(__xludf.DUMMYFUNCTION("""COMPUTED_VALUE"""),"SUCATA")</f>
        <v>SUCATA</v>
      </c>
      <c r="G611" s="23">
        <f>IFERROR(__xludf.DUMMYFUNCTION("""COMPUTED_VALUE"""),45076.46952546296)</f>
        <v>45076.46953</v>
      </c>
      <c r="H611" s="24" t="str">
        <f>IFERROR(VLOOKUP(B611,material!A:D,3,0),"")</f>
        <v>CARD</v>
      </c>
    </row>
    <row r="612" ht="11.25" customHeight="1">
      <c r="A612" s="21" t="str">
        <f>IFERROR(__xludf.DUMMYFUNCTION("""COMPUTED_VALUE"""),"DECODER DIGITAL HD DXC5000 2T")</f>
        <v>DECODER DIGITAL HD DXC5000 2T</v>
      </c>
      <c r="B612" s="22">
        <f>IFERROR(__xludf.DUMMYFUNCTION("""COMPUTED_VALUE"""),4.1001277E7)</f>
        <v>41001277</v>
      </c>
      <c r="C612" s="21" t="str">
        <f>IFERROR(__xludf.DUMMYFUNCTION("""COMPUTED_VALUE"""),"216482268085")</f>
        <v>216482268085</v>
      </c>
      <c r="D612" s="21" t="str">
        <f>IFERROR(__xludf.DUMMYFUNCTION("""COMPUTED_VALUE"""),"DIGITEC TECNOLOGIA DIGITAL E REPRES")</f>
        <v>DIGITEC TECNOLOGIA DIGITAL E REPRES</v>
      </c>
      <c r="E612" s="21">
        <f>IFERROR(__xludf.DUMMYFUNCTION("""COMPUTED_VALUE"""),145359.0)</f>
        <v>145359</v>
      </c>
      <c r="F612" s="21" t="str">
        <f>IFERROR(__xludf.DUMMYFUNCTION("""COMPUTED_VALUE"""),"SUSPEITO")</f>
        <v>SUSPEITO</v>
      </c>
      <c r="G612" s="23">
        <f>IFERROR(__xludf.DUMMYFUNCTION("""COMPUTED_VALUE"""),45643.4350925926)</f>
        <v>45643.43509</v>
      </c>
      <c r="H612" s="24" t="str">
        <f>IFERROR(VLOOKUP(B612,material!A:D,3,0),"")</f>
        <v>TOP MIX</v>
      </c>
    </row>
    <row r="613" ht="11.25" customHeight="1">
      <c r="A613" s="21" t="str">
        <f>IFERROR(__xludf.DUMMYFUNCTION("""COMPUTED_VALUE"""),"SMART CARD LARANJA NAGRA")</f>
        <v>SMART CARD LARANJA NAGRA</v>
      </c>
      <c r="B613" s="22">
        <f>IFERROR(__xludf.DUMMYFUNCTION("""COMPUTED_VALUE"""),4.1001186E7)</f>
        <v>41001186</v>
      </c>
      <c r="C613" s="21" t="str">
        <f>IFERROR(__xludf.DUMMYFUNCTION("""COMPUTED_VALUE"""),"226531090422")</f>
        <v>226531090422</v>
      </c>
      <c r="D613" s="21" t="str">
        <f>IFERROR(__xludf.DUMMYFUNCTION("""COMPUTED_VALUE"""),"DIGITEC TECNOLOGIA DIGITAL E REPRES")</f>
        <v>DIGITEC TECNOLOGIA DIGITAL E REPRES</v>
      </c>
      <c r="E613" s="21">
        <f>IFERROR(__xludf.DUMMYFUNCTION("""COMPUTED_VALUE"""),145359.0)</f>
        <v>145359</v>
      </c>
      <c r="F613" s="21" t="str">
        <f>IFERROR(__xludf.DUMMYFUNCTION("""COMPUTED_VALUE"""),"INICIALIZADO")</f>
        <v>INICIALIZADO</v>
      </c>
      <c r="G613" s="23">
        <f>IFERROR(__xludf.DUMMYFUNCTION("""COMPUTED_VALUE"""),45000.35914351852)</f>
        <v>45000.35914</v>
      </c>
      <c r="H613" s="24" t="str">
        <f>IFERROR(VLOOKUP(B613,material!A:D,3,0),"")</f>
        <v>CARD</v>
      </c>
    </row>
    <row r="614" ht="11.25" customHeight="1">
      <c r="A614" s="21" t="str">
        <f>IFERROR(__xludf.DUMMYFUNCTION("""COMPUTED_VALUE"""),"SMART CARD LARANJA NAGRA")</f>
        <v>SMART CARD LARANJA NAGRA</v>
      </c>
      <c r="B614" s="22">
        <f>IFERROR(__xludf.DUMMYFUNCTION("""COMPUTED_VALUE"""),4.1001186E7)</f>
        <v>41001186</v>
      </c>
      <c r="C614" s="21" t="str">
        <f>IFERROR(__xludf.DUMMYFUNCTION("""COMPUTED_VALUE"""),"226668138802")</f>
        <v>226668138802</v>
      </c>
      <c r="D614" s="21" t="str">
        <f>IFERROR(__xludf.DUMMYFUNCTION("""COMPUTED_VALUE"""),"DIGITEC TECNOLOGIA DIGITAL E REPRES")</f>
        <v>DIGITEC TECNOLOGIA DIGITAL E REPRES</v>
      </c>
      <c r="E614" s="21">
        <f>IFERROR(__xludf.DUMMYFUNCTION("""COMPUTED_VALUE"""),145359.0)</f>
        <v>145359</v>
      </c>
      <c r="F614" s="21" t="str">
        <f>IFERROR(__xludf.DUMMYFUNCTION("""COMPUTED_VALUE"""),"SUCATA")</f>
        <v>SUCATA</v>
      </c>
      <c r="G614" s="23">
        <f>IFERROR(__xludf.DUMMYFUNCTION("""COMPUTED_VALUE"""),45075.51189814815)</f>
        <v>45075.5119</v>
      </c>
      <c r="H614" s="24" t="str">
        <f>IFERROR(VLOOKUP(B614,material!A:D,3,0),"")</f>
        <v>CARD</v>
      </c>
    </row>
    <row r="615" ht="11.25" customHeight="1">
      <c r="A615" s="21" t="str">
        <f>IFERROR(__xludf.DUMMYFUNCTION("""COMPUTED_VALUE"""),"SMART CARD LARANJA NAGRA")</f>
        <v>SMART CARD LARANJA NAGRA</v>
      </c>
      <c r="B615" s="22">
        <f>IFERROR(__xludf.DUMMYFUNCTION("""COMPUTED_VALUE"""),4.1001186E7)</f>
        <v>41001186</v>
      </c>
      <c r="C615" s="21" t="str">
        <f>IFERROR(__xludf.DUMMYFUNCTION("""COMPUTED_VALUE"""),"226463281032")</f>
        <v>226463281032</v>
      </c>
      <c r="D615" s="21" t="str">
        <f>IFERROR(__xludf.DUMMYFUNCTION("""COMPUTED_VALUE"""),"DIGITEC TECNOLOGIA DIGITAL E REPRES")</f>
        <v>DIGITEC TECNOLOGIA DIGITAL E REPRES</v>
      </c>
      <c r="E615" s="21">
        <f>IFERROR(__xludf.DUMMYFUNCTION("""COMPUTED_VALUE"""),145359.0)</f>
        <v>145359</v>
      </c>
      <c r="F615" s="21" t="str">
        <f>IFERROR(__xludf.DUMMYFUNCTION("""COMPUTED_VALUE"""),"SUCATA")</f>
        <v>SUCATA</v>
      </c>
      <c r="G615" s="23">
        <f>IFERROR(__xludf.DUMMYFUNCTION("""COMPUTED_VALUE"""),45076.51435185185)</f>
        <v>45076.51435</v>
      </c>
      <c r="H615" s="24" t="str">
        <f>IFERROR(VLOOKUP(B615,material!A:D,3,0),"")</f>
        <v>CARD</v>
      </c>
    </row>
    <row r="616" ht="11.25" customHeight="1">
      <c r="A616" s="21" t="str">
        <f>IFERROR(__xludf.DUMMYFUNCTION("""COMPUTED_VALUE"""),"DECODER DIGITAL HD DXC5000 2T")</f>
        <v>DECODER DIGITAL HD DXC5000 2T</v>
      </c>
      <c r="B616" s="22">
        <f>IFERROR(__xludf.DUMMYFUNCTION("""COMPUTED_VALUE"""),4.1001277E7)</f>
        <v>41001277</v>
      </c>
      <c r="C616" s="21" t="str">
        <f>IFERROR(__xludf.DUMMYFUNCTION("""COMPUTED_VALUE"""),"216384323645")</f>
        <v>216384323645</v>
      </c>
      <c r="D616" s="21" t="str">
        <f>IFERROR(__xludf.DUMMYFUNCTION("""COMPUTED_VALUE"""),"DIGITEC TECNOLOGIA DIGITAL E REPRES")</f>
        <v>DIGITEC TECNOLOGIA DIGITAL E REPRES</v>
      </c>
      <c r="E616" s="21">
        <f>IFERROR(__xludf.DUMMYFUNCTION("""COMPUTED_VALUE"""),145359.0)</f>
        <v>145359</v>
      </c>
      <c r="F616" s="21" t="str">
        <f>IFERROR(__xludf.DUMMYFUNCTION("""COMPUTED_VALUE"""),"SUSPEITO")</f>
        <v>SUSPEITO</v>
      </c>
      <c r="G616" s="23">
        <f>IFERROR(__xludf.DUMMYFUNCTION("""COMPUTED_VALUE"""),45637.76150462963)</f>
        <v>45637.7615</v>
      </c>
      <c r="H616" s="24" t="str">
        <f>IFERROR(VLOOKUP(B616,material!A:D,3,0),"")</f>
        <v>TOP MIX</v>
      </c>
    </row>
    <row r="617" ht="11.25" customHeight="1">
      <c r="A617" s="21" t="str">
        <f>IFERROR(__xludf.DUMMYFUNCTION("""COMPUTED_VALUE"""),"SMART CARD PRETO NAGRA")</f>
        <v>SMART CARD PRETO NAGRA</v>
      </c>
      <c r="B617" s="22">
        <f>IFERROR(__xludf.DUMMYFUNCTION("""COMPUTED_VALUE"""),4.1001234E7)</f>
        <v>41001234</v>
      </c>
      <c r="C617" s="21" t="str">
        <f>IFERROR(__xludf.DUMMYFUNCTION("""COMPUTED_VALUE"""),"246198481620")</f>
        <v>246198481620</v>
      </c>
      <c r="D617" s="21" t="str">
        <f>IFERROR(__xludf.DUMMYFUNCTION("""COMPUTED_VALUE"""),"DIGITEC TECNOLOGIA DIGITAL E REPRES")</f>
        <v>DIGITEC TECNOLOGIA DIGITAL E REPRES</v>
      </c>
      <c r="E617" s="21">
        <f>IFERROR(__xludf.DUMMYFUNCTION("""COMPUTED_VALUE"""),145359.0)</f>
        <v>145359</v>
      </c>
      <c r="F617" s="21" t="str">
        <f>IFERROR(__xludf.DUMMYFUNCTION("""COMPUTED_VALUE"""),"INICIALIZADO")</f>
        <v>INICIALIZADO</v>
      </c>
      <c r="G617" s="23">
        <f>IFERROR(__xludf.DUMMYFUNCTION("""COMPUTED_VALUE"""),45642.524097222224)</f>
        <v>45642.5241</v>
      </c>
      <c r="H617" s="24" t="str">
        <f>IFERROR(VLOOKUP(B617,material!A:D,3,0),"")</f>
        <v>CARD</v>
      </c>
    </row>
    <row r="618" ht="11.25" customHeight="1">
      <c r="A618" s="21" t="str">
        <f>IFERROR(__xludf.DUMMYFUNCTION("""COMPUTED_VALUE"""),"SMART CARD PRETO NAGRA")</f>
        <v>SMART CARD PRETO NAGRA</v>
      </c>
      <c r="B618" s="22">
        <f>IFERROR(__xludf.DUMMYFUNCTION("""COMPUTED_VALUE"""),4.1001234E7)</f>
        <v>41001234</v>
      </c>
      <c r="C618" s="21" t="str">
        <f>IFERROR(__xludf.DUMMYFUNCTION("""COMPUTED_VALUE"""),"226299534141")</f>
        <v>226299534141</v>
      </c>
      <c r="D618" s="21" t="str">
        <f>IFERROR(__xludf.DUMMYFUNCTION("""COMPUTED_VALUE"""),"DIGITEC TECNOLOGIA DIGITAL E REPRES")</f>
        <v>DIGITEC TECNOLOGIA DIGITAL E REPRES</v>
      </c>
      <c r="E618" s="21">
        <f>IFERROR(__xludf.DUMMYFUNCTION("""COMPUTED_VALUE"""),145359.0)</f>
        <v>145359</v>
      </c>
      <c r="F618" s="21" t="str">
        <f>IFERROR(__xludf.DUMMYFUNCTION("""COMPUTED_VALUE"""),"INICIALIZADO")</f>
        <v>INICIALIZADO</v>
      </c>
      <c r="G618" s="23">
        <f>IFERROR(__xludf.DUMMYFUNCTION("""COMPUTED_VALUE"""),45642.52412037037)</f>
        <v>45642.52412</v>
      </c>
      <c r="H618" s="24" t="str">
        <f>IFERROR(VLOOKUP(B618,material!A:D,3,0),"")</f>
        <v>CARD</v>
      </c>
    </row>
    <row r="619" ht="11.25" customHeight="1">
      <c r="A619" s="21" t="str">
        <f>IFERROR(__xludf.DUMMYFUNCTION("""COMPUTED_VALUE"""),"DCR2231")</f>
        <v>DCR2231</v>
      </c>
      <c r="B619" s="22">
        <f>IFERROR(__xludf.DUMMYFUNCTION("""COMPUTED_VALUE"""),4.1001343E7)</f>
        <v>41001343</v>
      </c>
      <c r="C619" s="21" t="str">
        <f>IFERROR(__xludf.DUMMYFUNCTION("""COMPUTED_VALUE"""),"181279041633")</f>
        <v>181279041633</v>
      </c>
      <c r="D619" s="21" t="str">
        <f>IFERROR(__xludf.DUMMYFUNCTION("""COMPUTED_VALUE"""),"DIGITEC TECNOLOGIA DIGITAL E REPRES")</f>
        <v>DIGITEC TECNOLOGIA DIGITAL E REPRES</v>
      </c>
      <c r="E619" s="21">
        <f>IFERROR(__xludf.DUMMYFUNCTION("""COMPUTED_VALUE"""),145359.0)</f>
        <v>145359</v>
      </c>
      <c r="F619" s="21" t="str">
        <f>IFERROR(__xludf.DUMMYFUNCTION("""COMPUTED_VALUE"""),"ANALISE DE INVENTARIO")</f>
        <v>ANALISE DE INVENTARIO</v>
      </c>
      <c r="G619" s="23">
        <f>IFERROR(__xludf.DUMMYFUNCTION("""COMPUTED_VALUE"""),45621.9110300926)</f>
        <v>45621.91103</v>
      </c>
      <c r="H619" s="24" t="str">
        <f>IFERROR(VLOOKUP(B619,material!A:D,3,0),"")</f>
        <v>DIGITAL</v>
      </c>
    </row>
    <row r="620" ht="11.25" customHeight="1">
      <c r="A620" s="21" t="str">
        <f>IFERROR(__xludf.DUMMYFUNCTION("""COMPUTED_VALUE"""),"SMART CARD LARANJA NAGRA")</f>
        <v>SMART CARD LARANJA NAGRA</v>
      </c>
      <c r="B620" s="22">
        <f>IFERROR(__xludf.DUMMYFUNCTION("""COMPUTED_VALUE"""),4.1001186E7)</f>
        <v>41001186</v>
      </c>
      <c r="C620" s="21" t="str">
        <f>IFERROR(__xludf.DUMMYFUNCTION("""COMPUTED_VALUE"""),"226688000606")</f>
        <v>226688000606</v>
      </c>
      <c r="D620" s="21" t="str">
        <f>IFERROR(__xludf.DUMMYFUNCTION("""COMPUTED_VALUE"""),"DIGITEC TECNOLOGIA DIGITAL E REPRES")</f>
        <v>DIGITEC TECNOLOGIA DIGITAL E REPRES</v>
      </c>
      <c r="E620" s="21">
        <f>IFERROR(__xludf.DUMMYFUNCTION("""COMPUTED_VALUE"""),145359.0)</f>
        <v>145359</v>
      </c>
      <c r="F620" s="21" t="str">
        <f>IFERROR(__xludf.DUMMYFUNCTION("""COMPUTED_VALUE"""),"SUCATA")</f>
        <v>SUCATA</v>
      </c>
      <c r="G620" s="23">
        <f>IFERROR(__xludf.DUMMYFUNCTION("""COMPUTED_VALUE"""),45075.51188657407)</f>
        <v>45075.51189</v>
      </c>
      <c r="H620" s="24" t="str">
        <f>IFERROR(VLOOKUP(B620,material!A:D,3,0),"")</f>
        <v>CARD</v>
      </c>
    </row>
    <row r="621" ht="11.25" customHeight="1">
      <c r="A621" s="21" t="str">
        <f>IFERROR(__xludf.DUMMYFUNCTION("""COMPUTED_VALUE"""),"SMART CARD LARANJA NAGRA")</f>
        <v>SMART CARD LARANJA NAGRA</v>
      </c>
      <c r="B621" s="22">
        <f>IFERROR(__xludf.DUMMYFUNCTION("""COMPUTED_VALUE"""),4.1001186E7)</f>
        <v>41001186</v>
      </c>
      <c r="C621" s="21" t="str">
        <f>IFERROR(__xludf.DUMMYFUNCTION("""COMPUTED_VALUE"""),"226624537374")</f>
        <v>226624537374</v>
      </c>
      <c r="D621" s="21" t="str">
        <f>IFERROR(__xludf.DUMMYFUNCTION("""COMPUTED_VALUE"""),"DIGITEC TECNOLOGIA DIGITAL E REPRES")</f>
        <v>DIGITEC TECNOLOGIA DIGITAL E REPRES</v>
      </c>
      <c r="E621" s="21">
        <f>IFERROR(__xludf.DUMMYFUNCTION("""COMPUTED_VALUE"""),145359.0)</f>
        <v>145359</v>
      </c>
      <c r="F621" s="21" t="str">
        <f>IFERROR(__xludf.DUMMYFUNCTION("""COMPUTED_VALUE"""),"ANALISE DE INVENTARIO")</f>
        <v>ANALISE DE INVENTARIO</v>
      </c>
      <c r="G621" s="23">
        <f>IFERROR(__xludf.DUMMYFUNCTION("""COMPUTED_VALUE"""),45419.37372685185)</f>
        <v>45419.37373</v>
      </c>
      <c r="H621" s="24" t="str">
        <f>IFERROR(VLOOKUP(B621,material!A:D,3,0),"")</f>
        <v>CARD</v>
      </c>
    </row>
    <row r="622" ht="11.25" customHeight="1">
      <c r="A622" s="21" t="str">
        <f>IFERROR(__xludf.DUMMYFUNCTION("""COMPUTED_VALUE"""),"SMART CARD LARANJA NAGRA")</f>
        <v>SMART CARD LARANJA NAGRA</v>
      </c>
      <c r="B622" s="22">
        <f>IFERROR(__xludf.DUMMYFUNCTION("""COMPUTED_VALUE"""),4.1001186E7)</f>
        <v>41001186</v>
      </c>
      <c r="C622" s="21" t="str">
        <f>IFERROR(__xludf.DUMMYFUNCTION("""COMPUTED_VALUE"""),"226888058503")</f>
        <v>226888058503</v>
      </c>
      <c r="D622" s="21" t="str">
        <f>IFERROR(__xludf.DUMMYFUNCTION("""COMPUTED_VALUE"""),"DIGITEC TECNOLOGIA DIGITAL E REPRES")</f>
        <v>DIGITEC TECNOLOGIA DIGITAL E REPRES</v>
      </c>
      <c r="E622" s="21">
        <f>IFERROR(__xludf.DUMMYFUNCTION("""COMPUTED_VALUE"""),145359.0)</f>
        <v>145359</v>
      </c>
      <c r="F622" s="21" t="str">
        <f>IFERROR(__xludf.DUMMYFUNCTION("""COMPUTED_VALUE"""),"TRANSITO REVERSA")</f>
        <v>TRANSITO REVERSA</v>
      </c>
      <c r="G622" s="23">
        <f>IFERROR(__xludf.DUMMYFUNCTION("""COMPUTED_VALUE"""),45617.87142361111)</f>
        <v>45617.87142</v>
      </c>
      <c r="H622" s="24" t="str">
        <f>IFERROR(VLOOKUP(B622,material!A:D,3,0),"")</f>
        <v>CARD</v>
      </c>
    </row>
    <row r="623" ht="11.25" customHeight="1">
      <c r="A623" s="21" t="str">
        <f>IFERROR(__xludf.DUMMYFUNCTION("""COMPUTED_VALUE"""),"EMTA WIFI 3.0 TC7300-B")</f>
        <v>EMTA WIFI 3.0 TC7300-B</v>
      </c>
      <c r="B623" s="22">
        <f>IFERROR(__xludf.DUMMYFUNCTION("""COMPUTED_VALUE"""),4.1001159E7)</f>
        <v>41001159</v>
      </c>
      <c r="C623" s="21" t="str">
        <f>IFERROR(__xludf.DUMMYFUNCTION("""COMPUTED_VALUE"""),"88F7C7797E98")</f>
        <v>88F7C7797E98</v>
      </c>
      <c r="D623" s="21" t="str">
        <f>IFERROR(__xludf.DUMMYFUNCTION("""COMPUTED_VALUE"""),"DIGITEC TECNOLOGIA DIGITAL E REPRES")</f>
        <v>DIGITEC TECNOLOGIA DIGITAL E REPRES</v>
      </c>
      <c r="E623" s="21">
        <f>IFERROR(__xludf.DUMMYFUNCTION("""COMPUTED_VALUE"""),145359.0)</f>
        <v>145359</v>
      </c>
      <c r="F623" s="21" t="str">
        <f>IFERROR(__xludf.DUMMYFUNCTION("""COMPUTED_VALUE"""),"SUSPEITO")</f>
        <v>SUSPEITO</v>
      </c>
      <c r="G623" s="23">
        <f>IFERROR(__xludf.DUMMYFUNCTION("""COMPUTED_VALUE"""),45610.426898148144)</f>
        <v>45610.4269</v>
      </c>
      <c r="H623" s="24" t="str">
        <f>IFERROR(VLOOKUP(B623,material!A:D,3,0),"")</f>
        <v>SINGLE</v>
      </c>
    </row>
    <row r="624" ht="11.25" customHeight="1">
      <c r="A624" s="21" t="str">
        <f>IFERROR(__xludf.DUMMYFUNCTION("""COMPUTED_VALUE"""),"SMART CARD PRETO NAGRA")</f>
        <v>SMART CARD PRETO NAGRA</v>
      </c>
      <c r="B624" s="22">
        <f>IFERROR(__xludf.DUMMYFUNCTION("""COMPUTED_VALUE"""),4.1001234E7)</f>
        <v>41001234</v>
      </c>
      <c r="C624" s="21" t="str">
        <f>IFERROR(__xludf.DUMMYFUNCTION("""COMPUTED_VALUE"""),"226201837075")</f>
        <v>226201837075</v>
      </c>
      <c r="D624" s="21" t="str">
        <f>IFERROR(__xludf.DUMMYFUNCTION("""COMPUTED_VALUE"""),"DIGITEC TECNOLOGIA DIGITAL E REPRES")</f>
        <v>DIGITEC TECNOLOGIA DIGITAL E REPRES</v>
      </c>
      <c r="E624" s="21">
        <f>IFERROR(__xludf.DUMMYFUNCTION("""COMPUTED_VALUE"""),145359.0)</f>
        <v>145359</v>
      </c>
      <c r="F624" s="21" t="str">
        <f>IFERROR(__xludf.DUMMYFUNCTION("""COMPUTED_VALUE"""),"INICIALIZADO")</f>
        <v>INICIALIZADO</v>
      </c>
      <c r="G624" s="23">
        <f>IFERROR(__xludf.DUMMYFUNCTION("""COMPUTED_VALUE"""),45642.52410879629)</f>
        <v>45642.52411</v>
      </c>
      <c r="H624" s="24" t="str">
        <f>IFERROR(VLOOKUP(B624,material!A:D,3,0),"")</f>
        <v>CARD</v>
      </c>
    </row>
    <row r="625" ht="11.25" customHeight="1">
      <c r="A625" s="21" t="str">
        <f>IFERROR(__xludf.DUMMYFUNCTION("""COMPUTED_VALUE"""),"SMART CARD LARANJA NAGRA")</f>
        <v>SMART CARD LARANJA NAGRA</v>
      </c>
      <c r="B625" s="22">
        <f>IFERROR(__xludf.DUMMYFUNCTION("""COMPUTED_VALUE"""),4.1001186E7)</f>
        <v>41001186</v>
      </c>
      <c r="C625" s="21" t="str">
        <f>IFERROR(__xludf.DUMMYFUNCTION("""COMPUTED_VALUE"""),"226628624867")</f>
        <v>226628624867</v>
      </c>
      <c r="D625" s="21" t="str">
        <f>IFERROR(__xludf.DUMMYFUNCTION("""COMPUTED_VALUE"""),"DIGITEC TECNOLOGIA DIGITAL E REPRES")</f>
        <v>DIGITEC TECNOLOGIA DIGITAL E REPRES</v>
      </c>
      <c r="E625" s="21">
        <f>IFERROR(__xludf.DUMMYFUNCTION("""COMPUTED_VALUE"""),145359.0)</f>
        <v>145359</v>
      </c>
      <c r="F625" s="21" t="str">
        <f>IFERROR(__xludf.DUMMYFUNCTION("""COMPUTED_VALUE"""),"SUCATA")</f>
        <v>SUCATA</v>
      </c>
      <c r="G625" s="23">
        <f>IFERROR(__xludf.DUMMYFUNCTION("""COMPUTED_VALUE"""),45075.599120370374)</f>
        <v>45075.59912</v>
      </c>
      <c r="H625" s="24" t="str">
        <f>IFERROR(VLOOKUP(B625,material!A:D,3,0),"")</f>
        <v>CARD</v>
      </c>
    </row>
    <row r="626" ht="11.25" customHeight="1">
      <c r="A626" s="21" t="str">
        <f>IFERROR(__xludf.DUMMYFUNCTION("""COMPUTED_VALUE"""),"DECODER DIGITAL HD HNB100 2T")</f>
        <v>DECODER DIGITAL HD HNB100 2T</v>
      </c>
      <c r="B626" s="22">
        <f>IFERROR(__xludf.DUMMYFUNCTION("""COMPUTED_VALUE"""),4.1001276E7)</f>
        <v>41001276</v>
      </c>
      <c r="C626" s="21" t="str">
        <f>IFERROR(__xludf.DUMMYFUNCTION("""COMPUTED_VALUE"""),"216561997797")</f>
        <v>216561997797</v>
      </c>
      <c r="D626" s="21" t="str">
        <f>IFERROR(__xludf.DUMMYFUNCTION("""COMPUTED_VALUE"""),"DIGITEC TECNOLOGIA DIGITAL E REPRES")</f>
        <v>DIGITEC TECNOLOGIA DIGITAL E REPRES</v>
      </c>
      <c r="E626" s="21">
        <f>IFERROR(__xludf.DUMMYFUNCTION("""COMPUTED_VALUE"""),145359.0)</f>
        <v>145359</v>
      </c>
      <c r="F626" s="21" t="str">
        <f>IFERROR(__xludf.DUMMYFUNCTION("""COMPUTED_VALUE"""),"INICIALIZADO")</f>
        <v>INICIALIZADO</v>
      </c>
      <c r="G626" s="23">
        <f>IFERROR(__xludf.DUMMYFUNCTION("""COMPUTED_VALUE"""),45635.53506944445)</f>
        <v>45635.53507</v>
      </c>
      <c r="H626" s="24" t="str">
        <f>IFERROR(VLOOKUP(B626,material!A:D,3,0),"")</f>
        <v>TOP MIX</v>
      </c>
    </row>
    <row r="627" ht="11.25" customHeight="1">
      <c r="A627" s="21" t="str">
        <f>IFERROR(__xludf.DUMMYFUNCTION("""COMPUTED_VALUE"""),"DECODER DIGITAL HD HNB100 2T")</f>
        <v>DECODER DIGITAL HD HNB100 2T</v>
      </c>
      <c r="B627" s="22">
        <f>IFERROR(__xludf.DUMMYFUNCTION("""COMPUTED_VALUE"""),4.1001276E7)</f>
        <v>41001276</v>
      </c>
      <c r="C627" s="21" t="str">
        <f>IFERROR(__xludf.DUMMYFUNCTION("""COMPUTED_VALUE"""),"184272376065")</f>
        <v>184272376065</v>
      </c>
      <c r="D627" s="21" t="str">
        <f>IFERROR(__xludf.DUMMYFUNCTION("""COMPUTED_VALUE"""),"DIGITEC TECNOLOGIA DIGITAL E REPRES")</f>
        <v>DIGITEC TECNOLOGIA DIGITAL E REPRES</v>
      </c>
      <c r="E627" s="21">
        <f>IFERROR(__xludf.DUMMYFUNCTION("""COMPUTED_VALUE"""),145359.0)</f>
        <v>145359</v>
      </c>
      <c r="F627" s="21" t="str">
        <f>IFERROR(__xludf.DUMMYFUNCTION("""COMPUTED_VALUE"""),"INICIALIZADO")</f>
        <v>INICIALIZADO</v>
      </c>
      <c r="G627" s="23">
        <f>IFERROR(__xludf.DUMMYFUNCTION("""COMPUTED_VALUE"""),45635.535046296296)</f>
        <v>45635.53505</v>
      </c>
      <c r="H627" s="24" t="str">
        <f>IFERROR(VLOOKUP(B627,material!A:D,3,0),"")</f>
        <v>TOP MIX</v>
      </c>
    </row>
    <row r="628" ht="11.25" customHeight="1">
      <c r="A628" s="21" t="str">
        <f>IFERROR(__xludf.DUMMYFUNCTION("""COMPUTED_VALUE"""),"SMART CARD LARANJA NAGRA")</f>
        <v>SMART CARD LARANJA NAGRA</v>
      </c>
      <c r="B628" s="22">
        <f>IFERROR(__xludf.DUMMYFUNCTION("""COMPUTED_VALUE"""),4.1001186E7)</f>
        <v>41001186</v>
      </c>
      <c r="C628" s="21" t="str">
        <f>IFERROR(__xludf.DUMMYFUNCTION("""COMPUTED_VALUE"""),"215938193854")</f>
        <v>215938193854</v>
      </c>
      <c r="D628" s="21" t="str">
        <f>IFERROR(__xludf.DUMMYFUNCTION("""COMPUTED_VALUE"""),"DIGITEC TECNOLOGIA DIGITAL E REPRES")</f>
        <v>DIGITEC TECNOLOGIA DIGITAL E REPRES</v>
      </c>
      <c r="E628" s="21">
        <f>IFERROR(__xludf.DUMMYFUNCTION("""COMPUTED_VALUE"""),145359.0)</f>
        <v>145359</v>
      </c>
      <c r="F628" s="21" t="str">
        <f>IFERROR(__xludf.DUMMYFUNCTION("""COMPUTED_VALUE"""),"INICIALIZADO")</f>
        <v>INICIALIZADO</v>
      </c>
      <c r="G628" s="23">
        <f>IFERROR(__xludf.DUMMYFUNCTION("""COMPUTED_VALUE"""),45573.66674768519)</f>
        <v>45573.66675</v>
      </c>
      <c r="H628" s="24" t="str">
        <f>IFERROR(VLOOKUP(B628,material!A:D,3,0),"")</f>
        <v>CARD</v>
      </c>
    </row>
    <row r="629" ht="11.25" customHeight="1">
      <c r="A629" s="21" t="str">
        <f>IFERROR(__xludf.DUMMYFUNCTION("""COMPUTED_VALUE"""),"SMART CARD PRETO NAGRA")</f>
        <v>SMART CARD PRETO NAGRA</v>
      </c>
      <c r="B629" s="22">
        <f>IFERROR(__xludf.DUMMYFUNCTION("""COMPUTED_VALUE"""),4.1001234E7)</f>
        <v>41001234</v>
      </c>
      <c r="C629" s="21" t="str">
        <f>IFERROR(__xludf.DUMMYFUNCTION("""COMPUTED_VALUE"""),"246110689808")</f>
        <v>246110689808</v>
      </c>
      <c r="D629" s="21" t="str">
        <f>IFERROR(__xludf.DUMMYFUNCTION("""COMPUTED_VALUE"""),"DIGITEC TECNOLOGIA DIGITAL E REPRES")</f>
        <v>DIGITEC TECNOLOGIA DIGITAL E REPRES</v>
      </c>
      <c r="E629" s="21">
        <f>IFERROR(__xludf.DUMMYFUNCTION("""COMPUTED_VALUE"""),145359.0)</f>
        <v>145359</v>
      </c>
      <c r="F629" s="21" t="str">
        <f>IFERROR(__xludf.DUMMYFUNCTION("""COMPUTED_VALUE"""),"ANALISE DE INVENTARIO")</f>
        <v>ANALISE DE INVENTARIO</v>
      </c>
      <c r="G629" s="23">
        <f>IFERROR(__xludf.DUMMYFUNCTION("""COMPUTED_VALUE"""),45517.70778935185)</f>
        <v>45517.70779</v>
      </c>
      <c r="H629" s="24" t="str">
        <f>IFERROR(VLOOKUP(B629,material!A:D,3,0),"")</f>
        <v>CARD</v>
      </c>
    </row>
    <row r="630" ht="11.25" customHeight="1">
      <c r="A630" s="21" t="str">
        <f>IFERROR(__xludf.DUMMYFUNCTION("""COMPUTED_VALUE"""),"HUMAX HGB10R-02")</f>
        <v>HUMAX HGB10R-02</v>
      </c>
      <c r="B630" s="22">
        <f>IFERROR(__xludf.DUMMYFUNCTION("""COMPUTED_VALUE"""),4.1001292E7)</f>
        <v>41001292</v>
      </c>
      <c r="C630" s="21" t="str">
        <f>IFERROR(__xludf.DUMMYFUNCTION("""COMPUTED_VALUE"""),"E820E244890B")</f>
        <v>E820E244890B</v>
      </c>
      <c r="D630" s="21" t="str">
        <f>IFERROR(__xludf.DUMMYFUNCTION("""COMPUTED_VALUE"""),"DIGITEC TECNOLOGIA DIGITAL E REPRES")</f>
        <v>DIGITEC TECNOLOGIA DIGITAL E REPRES</v>
      </c>
      <c r="E630" s="21">
        <f>IFERROR(__xludf.DUMMYFUNCTION("""COMPUTED_VALUE"""),145359.0)</f>
        <v>145359</v>
      </c>
      <c r="F630" s="21" t="str">
        <f>IFERROR(__xludf.DUMMYFUNCTION("""COMPUTED_VALUE"""),"TRANSITO REVERSA")</f>
        <v>TRANSITO REVERSA</v>
      </c>
      <c r="G630" s="23">
        <f>IFERROR(__xludf.DUMMYFUNCTION("""COMPUTED_VALUE"""),45633.0033912037)</f>
        <v>45633.00339</v>
      </c>
      <c r="H630" s="24" t="str">
        <f>IFERROR(VLOOKUP(B630,material!A:D,3,0),"")</f>
        <v>DUAL</v>
      </c>
    </row>
    <row r="631" ht="11.25" customHeight="1">
      <c r="A631" s="21" t="str">
        <f>IFERROR(__xludf.DUMMYFUNCTION("""COMPUTED_VALUE"""),"SMART CARD PRETO NAGRA")</f>
        <v>SMART CARD PRETO NAGRA</v>
      </c>
      <c r="B631" s="22">
        <f>IFERROR(__xludf.DUMMYFUNCTION("""COMPUTED_VALUE"""),4.1001234E7)</f>
        <v>41001234</v>
      </c>
      <c r="C631" s="21" t="str">
        <f>IFERROR(__xludf.DUMMYFUNCTION("""COMPUTED_VALUE"""),"226185834560")</f>
        <v>226185834560</v>
      </c>
      <c r="D631" s="21" t="str">
        <f>IFERROR(__xludf.DUMMYFUNCTION("""COMPUTED_VALUE"""),"DIGITEC TECNOLOGIA DIGITAL E REPRES")</f>
        <v>DIGITEC TECNOLOGIA DIGITAL E REPRES</v>
      </c>
      <c r="E631" s="21">
        <f>IFERROR(__xludf.DUMMYFUNCTION("""COMPUTED_VALUE"""),145359.0)</f>
        <v>145359</v>
      </c>
      <c r="F631" s="21" t="str">
        <f>IFERROR(__xludf.DUMMYFUNCTION("""COMPUTED_VALUE"""),"TRANSITO REVERSA")</f>
        <v>TRANSITO REVERSA</v>
      </c>
      <c r="G631" s="23">
        <f>IFERROR(__xludf.DUMMYFUNCTION("""COMPUTED_VALUE"""),45633.003958333335)</f>
        <v>45633.00396</v>
      </c>
      <c r="H631" s="24" t="str">
        <f>IFERROR(VLOOKUP(B631,material!A:D,3,0),"")</f>
        <v>CARD</v>
      </c>
    </row>
    <row r="632" ht="11.25" customHeight="1">
      <c r="A632" s="21" t="str">
        <f>IFERROR(__xludf.DUMMYFUNCTION("""COMPUTED_VALUE"""),"EMTA CISCO DPC3925 DOCSIS 3.0")</f>
        <v>EMTA CISCO DPC3925 DOCSIS 3.0</v>
      </c>
      <c r="B632" s="22">
        <f>IFERROR(__xludf.DUMMYFUNCTION("""COMPUTED_VALUE"""),4.100123E7)</f>
        <v>41001230</v>
      </c>
      <c r="C632" s="21" t="str">
        <f>IFERROR(__xludf.DUMMYFUNCTION("""COMPUTED_VALUE"""),"105F49E1B65E")</f>
        <v>105F49E1B65E</v>
      </c>
      <c r="D632" s="21" t="str">
        <f>IFERROR(__xludf.DUMMYFUNCTION("""COMPUTED_VALUE"""),"DIGITEC TECNOLOGIA DIGITAL E REPRES")</f>
        <v>DIGITEC TECNOLOGIA DIGITAL E REPRES</v>
      </c>
      <c r="E632" s="21">
        <f>IFERROR(__xludf.DUMMYFUNCTION("""COMPUTED_VALUE"""),145359.0)</f>
        <v>145359</v>
      </c>
      <c r="F632" s="21" t="str">
        <f>IFERROR(__xludf.DUMMYFUNCTION("""COMPUTED_VALUE"""),"TRANSITO REVERSA")</f>
        <v>TRANSITO REVERSA</v>
      </c>
      <c r="G632" s="23">
        <f>IFERROR(__xludf.DUMMYFUNCTION("""COMPUTED_VALUE"""),45633.00396990741)</f>
        <v>45633.00397</v>
      </c>
      <c r="H632" s="24" t="str">
        <f>IFERROR(VLOOKUP(B632,material!A:D,3,0),"")</f>
        <v>SINGLE</v>
      </c>
    </row>
    <row r="633" ht="11.25" customHeight="1">
      <c r="A633" s="21" t="str">
        <f>IFERROR(__xludf.DUMMYFUNCTION("""COMPUTED_VALUE"""),"PACE - HIGH DEFINITION DCR7411")</f>
        <v>PACE - HIGH DEFINITION DCR7411</v>
      </c>
      <c r="B633" s="22">
        <f>IFERROR(__xludf.DUMMYFUNCTION("""COMPUTED_VALUE"""),4.1001216E7)</f>
        <v>41001216</v>
      </c>
      <c r="C633" s="21" t="str">
        <f>IFERROR(__xludf.DUMMYFUNCTION("""COMPUTED_VALUE"""),"181336659499")</f>
        <v>181336659499</v>
      </c>
      <c r="D633" s="21" t="str">
        <f>IFERROR(__xludf.DUMMYFUNCTION("""COMPUTED_VALUE"""),"DIGITEC TECNOLOGIA DIGITAL E REPRES")</f>
        <v>DIGITEC TECNOLOGIA DIGITAL E REPRES</v>
      </c>
      <c r="E633" s="21">
        <f>IFERROR(__xludf.DUMMYFUNCTION("""COMPUTED_VALUE"""),145359.0)</f>
        <v>145359</v>
      </c>
      <c r="F633" s="21" t="str">
        <f>IFERROR(__xludf.DUMMYFUNCTION("""COMPUTED_VALUE"""),"SUSPEITO")</f>
        <v>SUSPEITO</v>
      </c>
      <c r="G633" s="23">
        <f>IFERROR(__xludf.DUMMYFUNCTION("""COMPUTED_VALUE"""),45638.42325231481)</f>
        <v>45638.42325</v>
      </c>
      <c r="H633" s="24" t="str">
        <f>IFERROR(VLOOKUP(B633,material!A:D,3,0),"")</f>
        <v>LEGADO</v>
      </c>
    </row>
    <row r="634" ht="11.25" customHeight="1">
      <c r="A634" s="21" t="str">
        <f>IFERROR(__xludf.DUMMYFUNCTION("""COMPUTED_VALUE"""),"DECODER DIGITAL HD HNB100 2T")</f>
        <v>DECODER DIGITAL HD HNB100 2T</v>
      </c>
      <c r="B634" s="22">
        <f>IFERROR(__xludf.DUMMYFUNCTION("""COMPUTED_VALUE"""),4.1001276E7)</f>
        <v>41001276</v>
      </c>
      <c r="C634" s="21" t="str">
        <f>IFERROR(__xludf.DUMMYFUNCTION("""COMPUTED_VALUE"""),"216834644552")</f>
        <v>216834644552</v>
      </c>
      <c r="D634" s="21" t="str">
        <f>IFERROR(__xludf.DUMMYFUNCTION("""COMPUTED_VALUE"""),"DIGITEC TECNOLOGIA DIGITAL E REPRES")</f>
        <v>DIGITEC TECNOLOGIA DIGITAL E REPRES</v>
      </c>
      <c r="E634" s="21">
        <f>IFERROR(__xludf.DUMMYFUNCTION("""COMPUTED_VALUE"""),145359.0)</f>
        <v>145359</v>
      </c>
      <c r="F634" s="21" t="str">
        <f>IFERROR(__xludf.DUMMYFUNCTION("""COMPUTED_VALUE"""),"INICIALIZADO")</f>
        <v>INICIALIZADO</v>
      </c>
      <c r="G634" s="23">
        <f>IFERROR(__xludf.DUMMYFUNCTION("""COMPUTED_VALUE"""),45635.53503472223)</f>
        <v>45635.53503</v>
      </c>
      <c r="H634" s="24" t="str">
        <f>IFERROR(VLOOKUP(B634,material!A:D,3,0),"")</f>
        <v>TOP MIX</v>
      </c>
    </row>
    <row r="635" ht="11.25" customHeight="1">
      <c r="A635" s="21" t="str">
        <f>IFERROR(__xludf.DUMMYFUNCTION("""COMPUTED_VALUE"""),"DECODER DIGITAL HD HNB100 2T")</f>
        <v>DECODER DIGITAL HD HNB100 2T</v>
      </c>
      <c r="B635" s="22">
        <f>IFERROR(__xludf.DUMMYFUNCTION("""COMPUTED_VALUE"""),4.1001276E7)</f>
        <v>41001276</v>
      </c>
      <c r="C635" s="21" t="str">
        <f>IFERROR(__xludf.DUMMYFUNCTION("""COMPUTED_VALUE"""),"216413124256")</f>
        <v>216413124256</v>
      </c>
      <c r="D635" s="21" t="str">
        <f>IFERROR(__xludf.DUMMYFUNCTION("""COMPUTED_VALUE"""),"DIGITEC TECNOLOGIA DIGITAL E REPRES")</f>
        <v>DIGITEC TECNOLOGIA DIGITAL E REPRES</v>
      </c>
      <c r="E635" s="21">
        <f>IFERROR(__xludf.DUMMYFUNCTION("""COMPUTED_VALUE"""),145359.0)</f>
        <v>145359</v>
      </c>
      <c r="F635" s="21" t="str">
        <f>IFERROR(__xludf.DUMMYFUNCTION("""COMPUTED_VALUE"""),"INICIALIZADO")</f>
        <v>INICIALIZADO</v>
      </c>
      <c r="G635" s="23">
        <f>IFERROR(__xludf.DUMMYFUNCTION("""COMPUTED_VALUE"""),45635.535046296296)</f>
        <v>45635.53505</v>
      </c>
      <c r="H635" s="24" t="str">
        <f>IFERROR(VLOOKUP(B635,material!A:D,3,0),"")</f>
        <v>TOP MIX</v>
      </c>
    </row>
    <row r="636" ht="11.25" customHeight="1">
      <c r="A636" s="21" t="str">
        <f>IFERROR(__xludf.DUMMYFUNCTION("""COMPUTED_VALUE"""),"SMART CARD PRETO NAGRA")</f>
        <v>SMART CARD PRETO NAGRA</v>
      </c>
      <c r="B636" s="22">
        <f>IFERROR(__xludf.DUMMYFUNCTION("""COMPUTED_VALUE"""),4.1001234E7)</f>
        <v>41001234</v>
      </c>
      <c r="C636" s="21" t="str">
        <f>IFERROR(__xludf.DUMMYFUNCTION("""COMPUTED_VALUE"""),"226298368809")</f>
        <v>226298368809</v>
      </c>
      <c r="D636" s="21" t="str">
        <f>IFERROR(__xludf.DUMMYFUNCTION("""COMPUTED_VALUE"""),"DIGITEC TECNOLOGIA DIGITAL E REPRES")</f>
        <v>DIGITEC TECNOLOGIA DIGITAL E REPRES</v>
      </c>
      <c r="E636" s="21">
        <f>IFERROR(__xludf.DUMMYFUNCTION("""COMPUTED_VALUE"""),145359.0)</f>
        <v>145359</v>
      </c>
      <c r="F636" s="21" t="str">
        <f>IFERROR(__xludf.DUMMYFUNCTION("""COMPUTED_VALUE"""),"INICIALIZADO")</f>
        <v>INICIALIZADO</v>
      </c>
      <c r="G636" s="23">
        <f>IFERROR(__xludf.DUMMYFUNCTION("""COMPUTED_VALUE"""),45615.61853009259)</f>
        <v>45615.61853</v>
      </c>
      <c r="H636" s="24" t="str">
        <f>IFERROR(VLOOKUP(B636,material!A:D,3,0),"")</f>
        <v>CARD</v>
      </c>
    </row>
    <row r="637" ht="11.25" customHeight="1">
      <c r="A637" s="21" t="str">
        <f>IFERROR(__xludf.DUMMYFUNCTION("""COMPUTED_VALUE"""),"SMART CARD LARANJA NAGRA")</f>
        <v>SMART CARD LARANJA NAGRA</v>
      </c>
      <c r="B637" s="22">
        <f>IFERROR(__xludf.DUMMYFUNCTION("""COMPUTED_VALUE"""),4.1001186E7)</f>
        <v>41001186</v>
      </c>
      <c r="C637" s="21" t="str">
        <f>IFERROR(__xludf.DUMMYFUNCTION("""COMPUTED_VALUE"""),"226500931732")</f>
        <v>226500931732</v>
      </c>
      <c r="D637" s="21" t="str">
        <f>IFERROR(__xludf.DUMMYFUNCTION("""COMPUTED_VALUE"""),"DIGITEC TECNOLOGIA DIGITAL E REPRES")</f>
        <v>DIGITEC TECNOLOGIA DIGITAL E REPRES</v>
      </c>
      <c r="E637" s="21">
        <f>IFERROR(__xludf.DUMMYFUNCTION("""COMPUTED_VALUE"""),145359.0)</f>
        <v>145359</v>
      </c>
      <c r="F637" s="21" t="str">
        <f>IFERROR(__xludf.DUMMYFUNCTION("""COMPUTED_VALUE"""),"INICIALIZADO")</f>
        <v>INICIALIZADO</v>
      </c>
      <c r="G637" s="23">
        <f>IFERROR(__xludf.DUMMYFUNCTION("""COMPUTED_VALUE"""),45573.66674768519)</f>
        <v>45573.66675</v>
      </c>
      <c r="H637" s="24" t="str">
        <f>IFERROR(VLOOKUP(B637,material!A:D,3,0),"")</f>
        <v>CARD</v>
      </c>
    </row>
    <row r="638" ht="11.25" customHeight="1">
      <c r="A638" s="21" t="str">
        <f>IFERROR(__xludf.DUMMYFUNCTION("""COMPUTED_VALUE"""),"SMART CARD PRETO NAGRA")</f>
        <v>SMART CARD PRETO NAGRA</v>
      </c>
      <c r="B638" s="22">
        <f>IFERROR(__xludf.DUMMYFUNCTION("""COMPUTED_VALUE"""),4.1001234E7)</f>
        <v>41001234</v>
      </c>
      <c r="C638" s="21" t="str">
        <f>IFERROR(__xludf.DUMMYFUNCTION("""COMPUTED_VALUE"""),"226249360424")</f>
        <v>226249360424</v>
      </c>
      <c r="D638" s="21" t="str">
        <f>IFERROR(__xludf.DUMMYFUNCTION("""COMPUTED_VALUE"""),"DIGITEC TECNOLOGIA DIGITAL E REPRES")</f>
        <v>DIGITEC TECNOLOGIA DIGITAL E REPRES</v>
      </c>
      <c r="E638" s="21">
        <f>IFERROR(__xludf.DUMMYFUNCTION("""COMPUTED_VALUE"""),145359.0)</f>
        <v>145359</v>
      </c>
      <c r="F638" s="21" t="str">
        <f>IFERROR(__xludf.DUMMYFUNCTION("""COMPUTED_VALUE"""),"TRANSITO REVERSA")</f>
        <v>TRANSITO REVERSA</v>
      </c>
      <c r="G638" s="23">
        <f>IFERROR(__xludf.DUMMYFUNCTION("""COMPUTED_VALUE"""),45633.00340277777)</f>
        <v>45633.0034</v>
      </c>
      <c r="H638" s="24" t="str">
        <f>IFERROR(VLOOKUP(B638,material!A:D,3,0),"")</f>
        <v>CARD</v>
      </c>
    </row>
    <row r="639" ht="11.25" customHeight="1">
      <c r="A639" s="21" t="str">
        <f>IFERROR(__xludf.DUMMYFUNCTION("""COMPUTED_VALUE"""),"SMART CARD LARANJA NAGRA")</f>
        <v>SMART CARD LARANJA NAGRA</v>
      </c>
      <c r="B639" s="22">
        <f>IFERROR(__xludf.DUMMYFUNCTION("""COMPUTED_VALUE"""),4.1001186E7)</f>
        <v>41001186</v>
      </c>
      <c r="C639" s="21" t="str">
        <f>IFERROR(__xludf.DUMMYFUNCTION("""COMPUTED_VALUE"""),"215706417395")</f>
        <v>215706417395</v>
      </c>
      <c r="D639" s="21" t="str">
        <f>IFERROR(__xludf.DUMMYFUNCTION("""COMPUTED_VALUE"""),"DIGITEC TECNOLOGIA DIGITAL E REPRES")</f>
        <v>DIGITEC TECNOLOGIA DIGITAL E REPRES</v>
      </c>
      <c r="E639" s="21">
        <f>IFERROR(__xludf.DUMMYFUNCTION("""COMPUTED_VALUE"""),145359.0)</f>
        <v>145359</v>
      </c>
      <c r="F639" s="21" t="str">
        <f>IFERROR(__xludf.DUMMYFUNCTION("""COMPUTED_VALUE"""),"SUCATA")</f>
        <v>SUCATA</v>
      </c>
      <c r="G639" s="23">
        <f>IFERROR(__xludf.DUMMYFUNCTION("""COMPUTED_VALUE"""),45076.62068287037)</f>
        <v>45076.62068</v>
      </c>
      <c r="H639" s="24" t="str">
        <f>IFERROR(VLOOKUP(B639,material!A:D,3,0),"")</f>
        <v>CARD</v>
      </c>
    </row>
    <row r="640" ht="11.25" customHeight="1">
      <c r="A640" s="21" t="str">
        <f>IFERROR(__xludf.DUMMYFUNCTION("""COMPUTED_VALUE"""),"SMART CARD LARANJA")</f>
        <v>SMART CARD LARANJA</v>
      </c>
      <c r="B640" s="22">
        <f>IFERROR(__xludf.DUMMYFUNCTION("""COMPUTED_VALUE"""),4.1001186E7)</f>
        <v>41001186</v>
      </c>
      <c r="C640" s="21" t="str">
        <f>IFERROR(__xludf.DUMMYFUNCTION("""COMPUTED_VALUE"""),"226506302424")</f>
        <v>226506302424</v>
      </c>
      <c r="D640" s="21" t="str">
        <f>IFERROR(__xludf.DUMMYFUNCTION("""COMPUTED_VALUE"""),"DIGITEC TECNOLOGIA DIGITAL E REPRES")</f>
        <v>DIGITEC TECNOLOGIA DIGITAL E REPRES</v>
      </c>
      <c r="E640" s="21">
        <f>IFERROR(__xludf.DUMMYFUNCTION("""COMPUTED_VALUE"""),145359.0)</f>
        <v>145359</v>
      </c>
      <c r="F640" s="21" t="str">
        <f>IFERROR(__xludf.DUMMYFUNCTION("""COMPUTED_VALUE"""),"SUCATA")</f>
        <v>SUCATA</v>
      </c>
      <c r="G640" s="23">
        <f>IFERROR(__xludf.DUMMYFUNCTION("""COMPUTED_VALUE"""),45076.46953703703)</f>
        <v>45076.46954</v>
      </c>
      <c r="H640" s="24" t="str">
        <f>IFERROR(VLOOKUP(B640,material!A:D,3,0),"")</f>
        <v>CARD</v>
      </c>
    </row>
    <row r="641" ht="11.25" customHeight="1">
      <c r="A641" s="21" t="str">
        <f>IFERROR(__xludf.DUMMYFUNCTION("""COMPUTED_VALUE"""),"SMART CARD LARANJA")</f>
        <v>SMART CARD LARANJA</v>
      </c>
      <c r="B641" s="22">
        <f>IFERROR(__xludf.DUMMYFUNCTION("""COMPUTED_VALUE"""),4.1001186E7)</f>
        <v>41001186</v>
      </c>
      <c r="C641" s="21" t="str">
        <f>IFERROR(__xludf.DUMMYFUNCTION("""COMPUTED_VALUE"""),"215629995874")</f>
        <v>215629995874</v>
      </c>
      <c r="D641" s="21" t="str">
        <f>IFERROR(__xludf.DUMMYFUNCTION("""COMPUTED_VALUE"""),"DIGITEC TECNOLOGIA DIGITAL E REPRES")</f>
        <v>DIGITEC TECNOLOGIA DIGITAL E REPRES</v>
      </c>
      <c r="E641" s="21">
        <f>IFERROR(__xludf.DUMMYFUNCTION("""COMPUTED_VALUE"""),145359.0)</f>
        <v>145359</v>
      </c>
      <c r="F641" s="21" t="str">
        <f>IFERROR(__xludf.DUMMYFUNCTION("""COMPUTED_VALUE"""),"SUCATA")</f>
        <v>SUCATA</v>
      </c>
      <c r="G641" s="23">
        <f>IFERROR(__xludf.DUMMYFUNCTION("""COMPUTED_VALUE"""),45075.58684027778)</f>
        <v>45075.58684</v>
      </c>
      <c r="H641" s="24" t="str">
        <f>IFERROR(VLOOKUP(B641,material!A:D,3,0),"")</f>
        <v>CARD</v>
      </c>
    </row>
    <row r="642" ht="11.25" customHeight="1">
      <c r="A642" s="21" t="str">
        <f>IFERROR(__xludf.DUMMYFUNCTION("""COMPUTED_VALUE"""),"DECODER DIGITAL HD HNB100 2T")</f>
        <v>DECODER DIGITAL HD HNB100 2T</v>
      </c>
      <c r="B642" s="22">
        <f>IFERROR(__xludf.DUMMYFUNCTION("""COMPUTED_VALUE"""),4.1001276E7)</f>
        <v>41001276</v>
      </c>
      <c r="C642" s="21" t="str">
        <f>IFERROR(__xludf.DUMMYFUNCTION("""COMPUTED_VALUE"""),"216357227487")</f>
        <v>216357227487</v>
      </c>
      <c r="D642" s="21" t="str">
        <f>IFERROR(__xludf.DUMMYFUNCTION("""COMPUTED_VALUE"""),"DIGITEC TECNOLOGIA DIGITAL E REPRES")</f>
        <v>DIGITEC TECNOLOGIA DIGITAL E REPRES</v>
      </c>
      <c r="E642" s="21">
        <f>IFERROR(__xludf.DUMMYFUNCTION("""COMPUTED_VALUE"""),145359.0)</f>
        <v>145359</v>
      </c>
      <c r="F642" s="21" t="str">
        <f>IFERROR(__xludf.DUMMYFUNCTION("""COMPUTED_VALUE"""),"INICIALIZADO")</f>
        <v>INICIALIZADO</v>
      </c>
      <c r="G642" s="23">
        <f>IFERROR(__xludf.DUMMYFUNCTION("""COMPUTED_VALUE"""),45635.535057870366)</f>
        <v>45635.53506</v>
      </c>
      <c r="H642" s="24" t="str">
        <f>IFERROR(VLOOKUP(B642,material!A:D,3,0),"")</f>
        <v>TOP MIX</v>
      </c>
    </row>
    <row r="643" ht="11.25" customHeight="1">
      <c r="A643" s="21" t="str">
        <f>IFERROR(__xludf.DUMMYFUNCTION("""COMPUTED_VALUE"""),"SMART CARD AVULSO MINI")</f>
        <v>SMART CARD AVULSO MINI</v>
      </c>
      <c r="B643" s="22">
        <f>IFERROR(__xludf.DUMMYFUNCTION("""COMPUTED_VALUE"""),4.1001508E7)</f>
        <v>41001508</v>
      </c>
      <c r="C643" s="21" t="str">
        <f>IFERROR(__xludf.DUMMYFUNCTION("""COMPUTED_VALUE"""),"226077418086")</f>
        <v>226077418086</v>
      </c>
      <c r="D643" s="21" t="str">
        <f>IFERROR(__xludf.DUMMYFUNCTION("""COMPUTED_VALUE"""),"DIGITEC TECNOLOGIA DIGITAL E REPRES")</f>
        <v>DIGITEC TECNOLOGIA DIGITAL E REPRES</v>
      </c>
      <c r="E643" s="21">
        <f>IFERROR(__xludf.DUMMYFUNCTION("""COMPUTED_VALUE"""),145359.0)</f>
        <v>145359</v>
      </c>
      <c r="F643" s="21" t="str">
        <f>IFERROR(__xludf.DUMMYFUNCTION("""COMPUTED_VALUE"""),"TRANSITO REVERSA")</f>
        <v>TRANSITO REVERSA</v>
      </c>
      <c r="G643" s="23">
        <f>IFERROR(__xludf.DUMMYFUNCTION("""COMPUTED_VALUE"""),45633.00398148148)</f>
        <v>45633.00398</v>
      </c>
      <c r="H643" s="24" t="str">
        <f>IFERROR(VLOOKUP(B643,material!A:D,3,0),"")</f>
        <v>SIM CARD</v>
      </c>
    </row>
    <row r="644" ht="11.25" customHeight="1">
      <c r="A644" s="21" t="str">
        <f>IFERROR(__xludf.DUMMYFUNCTION("""COMPUTED_VALUE"""),"SMART CARD LARANJA NAGRA")</f>
        <v>SMART CARD LARANJA NAGRA</v>
      </c>
      <c r="B644" s="22">
        <f>IFERROR(__xludf.DUMMYFUNCTION("""COMPUTED_VALUE"""),4.1001186E7)</f>
        <v>41001186</v>
      </c>
      <c r="C644" s="21" t="str">
        <f>IFERROR(__xludf.DUMMYFUNCTION("""COMPUTED_VALUE"""),"226610535458")</f>
        <v>226610535458</v>
      </c>
      <c r="D644" s="21" t="str">
        <f>IFERROR(__xludf.DUMMYFUNCTION("""COMPUTED_VALUE"""),"DIGITEC TECNOLOGIA DIGITAL E REPRES")</f>
        <v>DIGITEC TECNOLOGIA DIGITAL E REPRES</v>
      </c>
      <c r="E644" s="21">
        <f>IFERROR(__xludf.DUMMYFUNCTION("""COMPUTED_VALUE"""),145359.0)</f>
        <v>145359</v>
      </c>
      <c r="F644" s="21" t="str">
        <f>IFERROR(__xludf.DUMMYFUNCTION("""COMPUTED_VALUE"""),"SUCATA")</f>
        <v>SUCATA</v>
      </c>
      <c r="G644" s="23">
        <f>IFERROR(__xludf.DUMMYFUNCTION("""COMPUTED_VALUE"""),45075.599120370374)</f>
        <v>45075.59912</v>
      </c>
      <c r="H644" s="24" t="str">
        <f>IFERROR(VLOOKUP(B644,material!A:D,3,0),"")</f>
        <v>CARD</v>
      </c>
    </row>
    <row r="645" ht="11.25" customHeight="1">
      <c r="A645" s="21" t="str">
        <f>IFERROR(__xludf.DUMMYFUNCTION("""COMPUTED_VALUE"""),"DECODER DIGITAL HD HNB100 2T")</f>
        <v>DECODER DIGITAL HD HNB100 2T</v>
      </c>
      <c r="B645" s="22">
        <f>IFERROR(__xludf.DUMMYFUNCTION("""COMPUTED_VALUE"""),4.1001276E7)</f>
        <v>41001276</v>
      </c>
      <c r="C645" s="21" t="str">
        <f>IFERROR(__xludf.DUMMYFUNCTION("""COMPUTED_VALUE"""),"216519284650")</f>
        <v>216519284650</v>
      </c>
      <c r="D645" s="21" t="str">
        <f>IFERROR(__xludf.DUMMYFUNCTION("""COMPUTED_VALUE"""),"DIGITEC TECNOLOGIA DIGITAL E REPRES")</f>
        <v>DIGITEC TECNOLOGIA DIGITAL E REPRES</v>
      </c>
      <c r="E645" s="21">
        <f>IFERROR(__xludf.DUMMYFUNCTION("""COMPUTED_VALUE"""),145359.0)</f>
        <v>145359</v>
      </c>
      <c r="F645" s="21" t="str">
        <f>IFERROR(__xludf.DUMMYFUNCTION("""COMPUTED_VALUE"""),"INICIALIZADO")</f>
        <v>INICIALIZADO</v>
      </c>
      <c r="G645" s="23">
        <f>IFERROR(__xludf.DUMMYFUNCTION("""COMPUTED_VALUE"""),45635.53508101852)</f>
        <v>45635.53508</v>
      </c>
      <c r="H645" s="24" t="str">
        <f>IFERROR(VLOOKUP(B645,material!A:D,3,0),"")</f>
        <v>TOP MIX</v>
      </c>
    </row>
    <row r="646" ht="11.25" customHeight="1">
      <c r="A646" s="21" t="str">
        <f>IFERROR(__xludf.DUMMYFUNCTION("""COMPUTED_VALUE"""),"SMART CARD PRETO NAGRA")</f>
        <v>SMART CARD PRETO NAGRA</v>
      </c>
      <c r="B646" s="22">
        <f>IFERROR(__xludf.DUMMYFUNCTION("""COMPUTED_VALUE"""),4.1001234E7)</f>
        <v>41001234</v>
      </c>
      <c r="C646" s="21" t="str">
        <f>IFERROR(__xludf.DUMMYFUNCTION("""COMPUTED_VALUE"""),"246068849911")</f>
        <v>246068849911</v>
      </c>
      <c r="D646" s="21" t="str">
        <f>IFERROR(__xludf.DUMMYFUNCTION("""COMPUTED_VALUE"""),"DIGITEC TECNOLOGIA DIGITAL E REPRES")</f>
        <v>DIGITEC TECNOLOGIA DIGITAL E REPRES</v>
      </c>
      <c r="E646" s="21">
        <f>IFERROR(__xludf.DUMMYFUNCTION("""COMPUTED_VALUE"""),145359.0)</f>
        <v>145359</v>
      </c>
      <c r="F646" s="21" t="str">
        <f>IFERROR(__xludf.DUMMYFUNCTION("""COMPUTED_VALUE"""),"INICIALIZADO")</f>
        <v>INICIALIZADO</v>
      </c>
      <c r="G646" s="23">
        <f>IFERROR(__xludf.DUMMYFUNCTION("""COMPUTED_VALUE"""),45618.65201388889)</f>
        <v>45618.65201</v>
      </c>
      <c r="H646" s="24" t="str">
        <f>IFERROR(VLOOKUP(B646,material!A:D,3,0),"")</f>
        <v>CARD</v>
      </c>
    </row>
    <row r="647" ht="11.25" customHeight="1">
      <c r="A647" s="21" t="str">
        <f>IFERROR(__xludf.DUMMYFUNCTION("""COMPUTED_VALUE"""),"DECODER DIGITAL HD HNB100 2T")</f>
        <v>DECODER DIGITAL HD HNB100 2T</v>
      </c>
      <c r="B647" s="22">
        <f>IFERROR(__xludf.DUMMYFUNCTION("""COMPUTED_VALUE"""),4.1001276E7)</f>
        <v>41001276</v>
      </c>
      <c r="C647" s="21" t="str">
        <f>IFERROR(__xludf.DUMMYFUNCTION("""COMPUTED_VALUE"""),"216832398496")</f>
        <v>216832398496</v>
      </c>
      <c r="D647" s="21" t="str">
        <f>IFERROR(__xludf.DUMMYFUNCTION("""COMPUTED_VALUE"""),"DIGITEC TECNOLOGIA DIGITAL E REPRES")</f>
        <v>DIGITEC TECNOLOGIA DIGITAL E REPRES</v>
      </c>
      <c r="E647" s="21">
        <f>IFERROR(__xludf.DUMMYFUNCTION("""COMPUTED_VALUE"""),145359.0)</f>
        <v>145359</v>
      </c>
      <c r="F647" s="21" t="str">
        <f>IFERROR(__xludf.DUMMYFUNCTION("""COMPUTED_VALUE"""),"INICIALIZADO")</f>
        <v>INICIALIZADO</v>
      </c>
      <c r="G647" s="23">
        <f>IFERROR(__xludf.DUMMYFUNCTION("""COMPUTED_VALUE"""),45635.53503472223)</f>
        <v>45635.53503</v>
      </c>
      <c r="H647" s="24" t="str">
        <f>IFERROR(VLOOKUP(B647,material!A:D,3,0),"")</f>
        <v>TOP MIX</v>
      </c>
    </row>
    <row r="648" ht="11.25" customHeight="1">
      <c r="A648" s="21" t="str">
        <f>IFERROR(__xludf.DUMMYFUNCTION("""COMPUTED_VALUE"""),"SMART CARD LARANJA NAGRA")</f>
        <v>SMART CARD LARANJA NAGRA</v>
      </c>
      <c r="B648" s="22">
        <f>IFERROR(__xludf.DUMMYFUNCTION("""COMPUTED_VALUE"""),4.1001186E7)</f>
        <v>41001186</v>
      </c>
      <c r="C648" s="21" t="str">
        <f>IFERROR(__xludf.DUMMYFUNCTION("""COMPUTED_VALUE"""),"215673839906")</f>
        <v>215673839906</v>
      </c>
      <c r="D648" s="21" t="str">
        <f>IFERROR(__xludf.DUMMYFUNCTION("""COMPUTED_VALUE"""),"DIGITEC TECNOLOGIA DIGITAL E REPRES")</f>
        <v>DIGITEC TECNOLOGIA DIGITAL E REPRES</v>
      </c>
      <c r="E648" s="21">
        <f>IFERROR(__xludf.DUMMYFUNCTION("""COMPUTED_VALUE"""),145359.0)</f>
        <v>145359</v>
      </c>
      <c r="F648" s="21" t="str">
        <f>IFERROR(__xludf.DUMMYFUNCTION("""COMPUTED_VALUE"""),"INICIALIZADO")</f>
        <v>INICIALIZADO</v>
      </c>
      <c r="G648" s="23">
        <f>IFERROR(__xludf.DUMMYFUNCTION("""COMPUTED_VALUE"""),45573.66674768519)</f>
        <v>45573.66675</v>
      </c>
      <c r="H648" s="24" t="str">
        <f>IFERROR(VLOOKUP(B648,material!A:D,3,0),"")</f>
        <v>CARD</v>
      </c>
    </row>
    <row r="649" ht="11.25" customHeight="1">
      <c r="A649" s="21" t="str">
        <f>IFERROR(__xludf.DUMMYFUNCTION("""COMPUTED_VALUE"""),"SMART CARD PRETO NAGRA")</f>
        <v>SMART CARD PRETO NAGRA</v>
      </c>
      <c r="B649" s="22">
        <f>IFERROR(__xludf.DUMMYFUNCTION("""COMPUTED_VALUE"""),4.1001234E7)</f>
        <v>41001234</v>
      </c>
      <c r="C649" s="21" t="str">
        <f>IFERROR(__xludf.DUMMYFUNCTION("""COMPUTED_VALUE"""),"226331538386")</f>
        <v>226331538386</v>
      </c>
      <c r="D649" s="21" t="str">
        <f>IFERROR(__xludf.DUMMYFUNCTION("""COMPUTED_VALUE"""),"DIGITEC TECNOLOGIA DIGITAL E REPRES")</f>
        <v>DIGITEC TECNOLOGIA DIGITAL E REPRES</v>
      </c>
      <c r="E649" s="21">
        <f>IFERROR(__xludf.DUMMYFUNCTION("""COMPUTED_VALUE"""),145359.0)</f>
        <v>145359</v>
      </c>
      <c r="F649" s="21" t="str">
        <f>IFERROR(__xludf.DUMMYFUNCTION("""COMPUTED_VALUE"""),"TRANSITO REVERSA")</f>
        <v>TRANSITO REVERSA</v>
      </c>
      <c r="G649" s="23">
        <f>IFERROR(__xludf.DUMMYFUNCTION("""COMPUTED_VALUE"""),45617.87141203704)</f>
        <v>45617.87141</v>
      </c>
      <c r="H649" s="24" t="str">
        <f>IFERROR(VLOOKUP(B649,material!A:D,3,0),"")</f>
        <v>CARD</v>
      </c>
    </row>
    <row r="650" ht="11.25" customHeight="1">
      <c r="A650" s="21" t="str">
        <f>IFERROR(__xludf.DUMMYFUNCTION("""COMPUTED_VALUE"""),"SMART CARD LARANJA")</f>
        <v>SMART CARD LARANJA</v>
      </c>
      <c r="B650" s="22">
        <f>IFERROR(__xludf.DUMMYFUNCTION("""COMPUTED_VALUE"""),4.1001186E7)</f>
        <v>41001186</v>
      </c>
      <c r="C650" s="21" t="str">
        <f>IFERROR(__xludf.DUMMYFUNCTION("""COMPUTED_VALUE"""),"225993708390")</f>
        <v>225993708390</v>
      </c>
      <c r="D650" s="21" t="str">
        <f>IFERROR(__xludf.DUMMYFUNCTION("""COMPUTED_VALUE"""),"DIGITEC TECNOLOGIA DIGITAL E REPRES")</f>
        <v>DIGITEC TECNOLOGIA DIGITAL E REPRES</v>
      </c>
      <c r="E650" s="21">
        <f>IFERROR(__xludf.DUMMYFUNCTION("""COMPUTED_VALUE"""),145359.0)</f>
        <v>145359</v>
      </c>
      <c r="F650" s="21" t="str">
        <f>IFERROR(__xludf.DUMMYFUNCTION("""COMPUTED_VALUE"""),"PERDA")</f>
        <v>PERDA</v>
      </c>
      <c r="G650" s="23">
        <f>IFERROR(__xludf.DUMMYFUNCTION("""COMPUTED_VALUE"""),45379.48483796296)</f>
        <v>45379.48484</v>
      </c>
      <c r="H650" s="24" t="str">
        <f>IFERROR(VLOOKUP(B650,material!A:D,3,0),"")</f>
        <v>CARD</v>
      </c>
    </row>
    <row r="651" ht="11.25" customHeight="1">
      <c r="A651" s="21" t="str">
        <f>IFERROR(__xludf.DUMMYFUNCTION("""COMPUTED_VALUE"""),"DECODER DIGITAL HD HNB100 2T")</f>
        <v>DECODER DIGITAL HD HNB100 2T</v>
      </c>
      <c r="B651" s="22">
        <f>IFERROR(__xludf.DUMMYFUNCTION("""COMPUTED_VALUE"""),4.1001276E7)</f>
        <v>41001276</v>
      </c>
      <c r="C651" s="21" t="str">
        <f>IFERROR(__xludf.DUMMYFUNCTION("""COMPUTED_VALUE"""),"216512572828")</f>
        <v>216512572828</v>
      </c>
      <c r="D651" s="21" t="str">
        <f>IFERROR(__xludf.DUMMYFUNCTION("""COMPUTED_VALUE"""),"DIGITEC TECNOLOGIA DIGITAL E REPRES")</f>
        <v>DIGITEC TECNOLOGIA DIGITAL E REPRES</v>
      </c>
      <c r="E651" s="21">
        <f>IFERROR(__xludf.DUMMYFUNCTION("""COMPUTED_VALUE"""),145359.0)</f>
        <v>145359</v>
      </c>
      <c r="F651" s="21" t="str">
        <f>IFERROR(__xludf.DUMMYFUNCTION("""COMPUTED_VALUE"""),"SUSPEITO")</f>
        <v>SUSPEITO</v>
      </c>
      <c r="G651" s="23">
        <f>IFERROR(__xludf.DUMMYFUNCTION("""COMPUTED_VALUE"""),45638.64376157407)</f>
        <v>45638.64376</v>
      </c>
      <c r="H651" s="24" t="str">
        <f>IFERROR(VLOOKUP(B651,material!A:D,3,0),"")</f>
        <v>TOP MIX</v>
      </c>
    </row>
    <row r="652" ht="11.25" customHeight="1">
      <c r="A652" s="21" t="str">
        <f>IFERROR(__xludf.DUMMYFUNCTION("""COMPUTED_VALUE"""),"PACE - HIGH DEFINITION DCR7411")</f>
        <v>PACE - HIGH DEFINITION DCR7411</v>
      </c>
      <c r="B652" s="22">
        <f>IFERROR(__xludf.DUMMYFUNCTION("""COMPUTED_VALUE"""),4.1001216E7)</f>
        <v>41001216</v>
      </c>
      <c r="C652" s="21" t="str">
        <f>IFERROR(__xludf.DUMMYFUNCTION("""COMPUTED_VALUE"""),"181250269509")</f>
        <v>181250269509</v>
      </c>
      <c r="D652" s="21" t="str">
        <f>IFERROR(__xludf.DUMMYFUNCTION("""COMPUTED_VALUE"""),"DIGITEC TECNOLOGIA DIGITAL E REPRES")</f>
        <v>DIGITEC TECNOLOGIA DIGITAL E REPRES</v>
      </c>
      <c r="E652" s="21">
        <f>IFERROR(__xludf.DUMMYFUNCTION("""COMPUTED_VALUE"""),145359.0)</f>
        <v>145359</v>
      </c>
      <c r="F652" s="21" t="str">
        <f>IFERROR(__xludf.DUMMYFUNCTION("""COMPUTED_VALUE"""),"SUSPEITO")</f>
        <v>SUSPEITO</v>
      </c>
      <c r="G652" s="23">
        <f>IFERROR(__xludf.DUMMYFUNCTION("""COMPUTED_VALUE"""),45640.63444444444)</f>
        <v>45640.63444</v>
      </c>
      <c r="H652" s="24" t="str">
        <f>IFERROR(VLOOKUP(B652,material!A:D,3,0),"")</f>
        <v>LEGADO</v>
      </c>
    </row>
    <row r="653" ht="11.25" customHeight="1">
      <c r="A653" s="21" t="str">
        <f>IFERROR(__xludf.DUMMYFUNCTION("""COMPUTED_VALUE"""),"DECODER DIGITAL HD HNB100 2T")</f>
        <v>DECODER DIGITAL HD HNB100 2T</v>
      </c>
      <c r="B653" s="22">
        <f>IFERROR(__xludf.DUMMYFUNCTION("""COMPUTED_VALUE"""),4.1001276E7)</f>
        <v>41001276</v>
      </c>
      <c r="C653" s="21" t="str">
        <f>IFERROR(__xludf.DUMMYFUNCTION("""COMPUTED_VALUE"""),"216505455253")</f>
        <v>216505455253</v>
      </c>
      <c r="D653" s="21" t="str">
        <f>IFERROR(__xludf.DUMMYFUNCTION("""COMPUTED_VALUE"""),"DIGITEC TECNOLOGIA DIGITAL E REPRES")</f>
        <v>DIGITEC TECNOLOGIA DIGITAL E REPRES</v>
      </c>
      <c r="E653" s="21">
        <f>IFERROR(__xludf.DUMMYFUNCTION("""COMPUTED_VALUE"""),145359.0)</f>
        <v>145359</v>
      </c>
      <c r="F653" s="21" t="str">
        <f>IFERROR(__xludf.DUMMYFUNCTION("""COMPUTED_VALUE"""),"INICIALIZADO")</f>
        <v>INICIALIZADO</v>
      </c>
      <c r="G653" s="23">
        <f>IFERROR(__xludf.DUMMYFUNCTION("""COMPUTED_VALUE"""),45635.535046296296)</f>
        <v>45635.53505</v>
      </c>
      <c r="H653" s="24" t="str">
        <f>IFERROR(VLOOKUP(B653,material!A:D,3,0),"")</f>
        <v>TOP MIX</v>
      </c>
    </row>
    <row r="654" ht="11.25" customHeight="1">
      <c r="A654" s="21" t="str">
        <f>IFERROR(__xludf.DUMMYFUNCTION("""COMPUTED_VALUE"""),"SMART CARD PRETO NAGRA")</f>
        <v>SMART CARD PRETO NAGRA</v>
      </c>
      <c r="B654" s="22">
        <f>IFERROR(__xludf.DUMMYFUNCTION("""COMPUTED_VALUE"""),4.1001234E7)</f>
        <v>41001234</v>
      </c>
      <c r="C654" s="21" t="str">
        <f>IFERROR(__xludf.DUMMYFUNCTION("""COMPUTED_VALUE"""),"226243115369")</f>
        <v>226243115369</v>
      </c>
      <c r="D654" s="21" t="str">
        <f>IFERROR(__xludf.DUMMYFUNCTION("""COMPUTED_VALUE"""),"DIGITEC TECNOLOGIA DIGITAL E REPRES")</f>
        <v>DIGITEC TECNOLOGIA DIGITAL E REPRES</v>
      </c>
      <c r="E654" s="21">
        <f>IFERROR(__xludf.DUMMYFUNCTION("""COMPUTED_VALUE"""),145359.0)</f>
        <v>145359</v>
      </c>
      <c r="F654" s="21" t="str">
        <f>IFERROR(__xludf.DUMMYFUNCTION("""COMPUTED_VALUE"""),"ANALISE DE INVENTARIO")</f>
        <v>ANALISE DE INVENTARIO</v>
      </c>
      <c r="G654" s="23">
        <f>IFERROR(__xludf.DUMMYFUNCTION("""COMPUTED_VALUE"""),45559.47770833333)</f>
        <v>45559.47771</v>
      </c>
      <c r="H654" s="24" t="str">
        <f>IFERROR(VLOOKUP(B654,material!A:D,3,0),"")</f>
        <v>CARD</v>
      </c>
    </row>
    <row r="655" ht="11.25" customHeight="1">
      <c r="A655" s="21" t="str">
        <f>IFERROR(__xludf.DUMMYFUNCTION("""COMPUTED_VALUE"""),"ARRIS TG1692A")</f>
        <v>ARRIS TG1692A</v>
      </c>
      <c r="B655" s="22">
        <f>IFERROR(__xludf.DUMMYFUNCTION("""COMPUTED_VALUE"""),4.1001293E7)</f>
        <v>41001293</v>
      </c>
      <c r="C655" s="21" t="str">
        <f>IFERROR(__xludf.DUMMYFUNCTION("""COMPUTED_VALUE"""),"B0935BEB6ABF")</f>
        <v>B0935BEB6ABF</v>
      </c>
      <c r="D655" s="21" t="str">
        <f>IFERROR(__xludf.DUMMYFUNCTION("""COMPUTED_VALUE"""),"DIGITEC TECNOLOGIA DIGITAL E REPRES")</f>
        <v>DIGITEC TECNOLOGIA DIGITAL E REPRES</v>
      </c>
      <c r="E655" s="21">
        <f>IFERROR(__xludf.DUMMYFUNCTION("""COMPUTED_VALUE"""),145359.0)</f>
        <v>145359</v>
      </c>
      <c r="F655" s="21" t="str">
        <f>IFERROR(__xludf.DUMMYFUNCTION("""COMPUTED_VALUE"""),"TRANSITO REVERSA")</f>
        <v>TRANSITO REVERSA</v>
      </c>
      <c r="G655" s="23">
        <f>IFERROR(__xludf.DUMMYFUNCTION("""COMPUTED_VALUE"""),45633.003379629634)</f>
        <v>45633.00338</v>
      </c>
      <c r="H655" s="24" t="str">
        <f>IFERROR(VLOOKUP(B655,material!A:D,3,0),"")</f>
        <v>DUAL</v>
      </c>
    </row>
    <row r="656" ht="11.25" customHeight="1">
      <c r="A656" s="21" t="str">
        <f>IFERROR(__xludf.DUMMYFUNCTION("""COMPUTED_VALUE"""),"HUMAX HGB10R-02")</f>
        <v>HUMAX HGB10R-02</v>
      </c>
      <c r="B656" s="22">
        <f>IFERROR(__xludf.DUMMYFUNCTION("""COMPUTED_VALUE"""),4.1001292E7)</f>
        <v>41001292</v>
      </c>
      <c r="C656" s="21" t="str">
        <f>IFERROR(__xludf.DUMMYFUNCTION("""COMPUTED_VALUE"""),"942CB397EEC2")</f>
        <v>942CB397EEC2</v>
      </c>
      <c r="D656" s="21" t="str">
        <f>IFERROR(__xludf.DUMMYFUNCTION("""COMPUTED_VALUE"""),"DIGITEC TECNOLOGIA DIGITAL E REPRES")</f>
        <v>DIGITEC TECNOLOGIA DIGITAL E REPRES</v>
      </c>
      <c r="E656" s="21">
        <f>IFERROR(__xludf.DUMMYFUNCTION("""COMPUTED_VALUE"""),145359.0)</f>
        <v>145359</v>
      </c>
      <c r="F656" s="21" t="str">
        <f>IFERROR(__xludf.DUMMYFUNCTION("""COMPUTED_VALUE"""),"TRANSITO REVERSA")</f>
        <v>TRANSITO REVERSA</v>
      </c>
      <c r="G656" s="23">
        <f>IFERROR(__xludf.DUMMYFUNCTION("""COMPUTED_VALUE"""),45610.730416666665)</f>
        <v>45610.73042</v>
      </c>
      <c r="H656" s="24" t="str">
        <f>IFERROR(VLOOKUP(B656,material!A:D,3,0),"")</f>
        <v>DUAL</v>
      </c>
    </row>
    <row r="657" ht="11.25" customHeight="1">
      <c r="A657" s="21" t="str">
        <f>IFERROR(__xludf.DUMMYFUNCTION("""COMPUTED_VALUE"""),"SMART CARD PRETO NAGRA")</f>
        <v>SMART CARD PRETO NAGRA</v>
      </c>
      <c r="B657" s="22">
        <f>IFERROR(__xludf.DUMMYFUNCTION("""COMPUTED_VALUE"""),4.1001234E7)</f>
        <v>41001234</v>
      </c>
      <c r="C657" s="21" t="str">
        <f>IFERROR(__xludf.DUMMYFUNCTION("""COMPUTED_VALUE"""),"246292643851")</f>
        <v>246292643851</v>
      </c>
      <c r="D657" s="21" t="str">
        <f>IFERROR(__xludf.DUMMYFUNCTION("""COMPUTED_VALUE"""),"DIGITEC TECNOLOGIA DIGITAL E REPRES")</f>
        <v>DIGITEC TECNOLOGIA DIGITAL E REPRES</v>
      </c>
      <c r="E657" s="21">
        <f>IFERROR(__xludf.DUMMYFUNCTION("""COMPUTED_VALUE"""),145359.0)</f>
        <v>145359</v>
      </c>
      <c r="F657" s="21" t="str">
        <f>IFERROR(__xludf.DUMMYFUNCTION("""COMPUTED_VALUE"""),"TRANSITO REVERSA")</f>
        <v>TRANSITO REVERSA</v>
      </c>
      <c r="G657" s="23">
        <f>IFERROR(__xludf.DUMMYFUNCTION("""COMPUTED_VALUE"""),45617.87240740741)</f>
        <v>45617.87241</v>
      </c>
      <c r="H657" s="24" t="str">
        <f>IFERROR(VLOOKUP(B657,material!A:D,3,0),"")</f>
        <v>CARD</v>
      </c>
    </row>
    <row r="658" ht="11.25" customHeight="1">
      <c r="A658" s="21" t="str">
        <f>IFERROR(__xludf.DUMMYFUNCTION("""COMPUTED_VALUE"""),"SMART CARD PRETO NAGRA")</f>
        <v>SMART CARD PRETO NAGRA</v>
      </c>
      <c r="B658" s="22">
        <f>IFERROR(__xludf.DUMMYFUNCTION("""COMPUTED_VALUE"""),4.1001234E7)</f>
        <v>41001234</v>
      </c>
      <c r="C658" s="21" t="str">
        <f>IFERROR(__xludf.DUMMYFUNCTION("""COMPUTED_VALUE"""),"246091423450")</f>
        <v>246091423450</v>
      </c>
      <c r="D658" s="21" t="str">
        <f>IFERROR(__xludf.DUMMYFUNCTION("""COMPUTED_VALUE"""),"DIGITEC TECNOLOGIA DIGITAL E REPRES")</f>
        <v>DIGITEC TECNOLOGIA DIGITAL E REPRES</v>
      </c>
      <c r="E658" s="21">
        <f>IFERROR(__xludf.DUMMYFUNCTION("""COMPUTED_VALUE"""),145359.0)</f>
        <v>145359</v>
      </c>
      <c r="F658" s="21" t="str">
        <f>IFERROR(__xludf.DUMMYFUNCTION("""COMPUTED_VALUE"""),"TRANSITO REVERSA")</f>
        <v>TRANSITO REVERSA</v>
      </c>
      <c r="G658" s="23">
        <f>IFERROR(__xludf.DUMMYFUNCTION("""COMPUTED_VALUE"""),45617.87143518518)</f>
        <v>45617.87144</v>
      </c>
      <c r="H658" s="24" t="str">
        <f>IFERROR(VLOOKUP(B658,material!A:D,3,0),"")</f>
        <v>CARD</v>
      </c>
    </row>
    <row r="659" ht="11.25" customHeight="1">
      <c r="A659" s="21" t="str">
        <f>IFERROR(__xludf.DUMMYFUNCTION("""COMPUTED_VALUE"""),"PACE - HIGH DEFINITION DCR7411")</f>
        <v>PACE - HIGH DEFINITION DCR7411</v>
      </c>
      <c r="B659" s="22">
        <f>IFERROR(__xludf.DUMMYFUNCTION("""COMPUTED_VALUE"""),4.1001216E7)</f>
        <v>41001216</v>
      </c>
      <c r="C659" s="21" t="str">
        <f>IFERROR(__xludf.DUMMYFUNCTION("""COMPUTED_VALUE"""),"216342080017")</f>
        <v>216342080017</v>
      </c>
      <c r="D659" s="21" t="str">
        <f>IFERROR(__xludf.DUMMYFUNCTION("""COMPUTED_VALUE"""),"DIGITEC TECNOLOGIA DIGITAL E REPRES")</f>
        <v>DIGITEC TECNOLOGIA DIGITAL E REPRES</v>
      </c>
      <c r="E659" s="21">
        <f>IFERROR(__xludf.DUMMYFUNCTION("""COMPUTED_VALUE"""),145359.0)</f>
        <v>145359</v>
      </c>
      <c r="F659" s="21" t="str">
        <f>IFERROR(__xludf.DUMMYFUNCTION("""COMPUTED_VALUE"""),"TRANSITO REVERSA")</f>
        <v>TRANSITO REVERSA</v>
      </c>
      <c r="G659" s="23">
        <f>IFERROR(__xludf.DUMMYFUNCTION("""COMPUTED_VALUE"""),45638.520648148144)</f>
        <v>45638.52065</v>
      </c>
      <c r="H659" s="24" t="str">
        <f>IFERROR(VLOOKUP(B659,material!A:D,3,0),"")</f>
        <v>LEGADO</v>
      </c>
    </row>
    <row r="660" ht="11.25" customHeight="1">
      <c r="A660" s="21" t="str">
        <f>IFERROR(__xludf.DUMMYFUNCTION("""COMPUTED_VALUE"""),"SMART CARD PRETO NAGRA")</f>
        <v>SMART CARD PRETO NAGRA</v>
      </c>
      <c r="B660" s="22">
        <f>IFERROR(__xludf.DUMMYFUNCTION("""COMPUTED_VALUE"""),4.1001234E7)</f>
        <v>41001234</v>
      </c>
      <c r="C660" s="21" t="str">
        <f>IFERROR(__xludf.DUMMYFUNCTION("""COMPUTED_VALUE"""),"226114618282")</f>
        <v>226114618282</v>
      </c>
      <c r="D660" s="21" t="str">
        <f>IFERROR(__xludf.DUMMYFUNCTION("""COMPUTED_VALUE"""),"DIGITEC TECNOLOGIA DIGITAL E REPRES")</f>
        <v>DIGITEC TECNOLOGIA DIGITAL E REPRES</v>
      </c>
      <c r="E660" s="21">
        <f>IFERROR(__xludf.DUMMYFUNCTION("""COMPUTED_VALUE"""),145359.0)</f>
        <v>145359</v>
      </c>
      <c r="F660" s="21" t="str">
        <f>IFERROR(__xludf.DUMMYFUNCTION("""COMPUTED_VALUE"""),"SUSPEITO")</f>
        <v>SUSPEITO</v>
      </c>
      <c r="G660" s="23">
        <f>IFERROR(__xludf.DUMMYFUNCTION("""COMPUTED_VALUE"""),45608.5414699074)</f>
        <v>45608.54147</v>
      </c>
      <c r="H660" s="24" t="str">
        <f>IFERROR(VLOOKUP(B660,material!A:D,3,0),"")</f>
        <v>CARD</v>
      </c>
    </row>
    <row r="661" ht="11.25" customHeight="1">
      <c r="A661" s="21" t="str">
        <f>IFERROR(__xludf.DUMMYFUNCTION("""COMPUTED_VALUE"""),"DECODER DIGITAL HD HNB100 2T")</f>
        <v>DECODER DIGITAL HD HNB100 2T</v>
      </c>
      <c r="B661" s="22">
        <f>IFERROR(__xludf.DUMMYFUNCTION("""COMPUTED_VALUE"""),4.1001276E7)</f>
        <v>41001276</v>
      </c>
      <c r="C661" s="21" t="str">
        <f>IFERROR(__xludf.DUMMYFUNCTION("""COMPUTED_VALUE"""),"216815425168")</f>
        <v>216815425168</v>
      </c>
      <c r="D661" s="21" t="str">
        <f>IFERROR(__xludf.DUMMYFUNCTION("""COMPUTED_VALUE"""),"DIGITEC TECNOLOGIA DIGITAL E REPRES")</f>
        <v>DIGITEC TECNOLOGIA DIGITAL E REPRES</v>
      </c>
      <c r="E661" s="21">
        <f>IFERROR(__xludf.DUMMYFUNCTION("""COMPUTED_VALUE"""),145359.0)</f>
        <v>145359</v>
      </c>
      <c r="F661" s="21" t="str">
        <f>IFERROR(__xludf.DUMMYFUNCTION("""COMPUTED_VALUE"""),"INICIALIZADO")</f>
        <v>INICIALIZADO</v>
      </c>
      <c r="G661" s="23">
        <f>IFERROR(__xludf.DUMMYFUNCTION("""COMPUTED_VALUE"""),45635.53502314815)</f>
        <v>45635.53502</v>
      </c>
      <c r="H661" s="24" t="str">
        <f>IFERROR(VLOOKUP(B661,material!A:D,3,0),"")</f>
        <v>TOP MIX</v>
      </c>
    </row>
    <row r="662" ht="11.25" customHeight="1">
      <c r="A662" s="21" t="str">
        <f>IFERROR(__xludf.DUMMYFUNCTION("""COMPUTED_VALUE"""),"SMART CARD PRETO NAGRA")</f>
        <v>SMART CARD PRETO NAGRA</v>
      </c>
      <c r="B662" s="22">
        <f>IFERROR(__xludf.DUMMYFUNCTION("""COMPUTED_VALUE"""),4.1001234E7)</f>
        <v>41001234</v>
      </c>
      <c r="C662" s="21" t="str">
        <f>IFERROR(__xludf.DUMMYFUNCTION("""COMPUTED_VALUE"""),"226394686682")</f>
        <v>226394686682</v>
      </c>
      <c r="D662" s="21" t="str">
        <f>IFERROR(__xludf.DUMMYFUNCTION("""COMPUTED_VALUE"""),"DIGITEC TECNOLOGIA DIGITAL E REPRES")</f>
        <v>DIGITEC TECNOLOGIA DIGITAL E REPRES</v>
      </c>
      <c r="E662" s="21">
        <f>IFERROR(__xludf.DUMMYFUNCTION("""COMPUTED_VALUE"""),145359.0)</f>
        <v>145359</v>
      </c>
      <c r="F662" s="21" t="str">
        <f>IFERROR(__xludf.DUMMYFUNCTION("""COMPUTED_VALUE"""),"INICIALIZADO")</f>
        <v>INICIALIZADO</v>
      </c>
      <c r="G662" s="23">
        <f>IFERROR(__xludf.DUMMYFUNCTION("""COMPUTED_VALUE"""),45000.781805555554)</f>
        <v>45000.78181</v>
      </c>
      <c r="H662" s="24" t="str">
        <f>IFERROR(VLOOKUP(B662,material!A:D,3,0),"")</f>
        <v>CARD</v>
      </c>
    </row>
    <row r="663" ht="11.25" customHeight="1">
      <c r="A663" s="21" t="str">
        <f>IFERROR(__xludf.DUMMYFUNCTION("""COMPUTED_VALUE"""),"SMART CARD PRETO NAGRA")</f>
        <v>SMART CARD PRETO NAGRA</v>
      </c>
      <c r="B663" s="22">
        <f>IFERROR(__xludf.DUMMYFUNCTION("""COMPUTED_VALUE"""),4.1001234E7)</f>
        <v>41001234</v>
      </c>
      <c r="C663" s="21" t="str">
        <f>IFERROR(__xludf.DUMMYFUNCTION("""COMPUTED_VALUE"""),"246058555169")</f>
        <v>246058555169</v>
      </c>
      <c r="D663" s="21" t="str">
        <f>IFERROR(__xludf.DUMMYFUNCTION("""COMPUTED_VALUE"""),"DIGITEC TECNOLOGIA DIGITAL E REPRES")</f>
        <v>DIGITEC TECNOLOGIA DIGITAL E REPRES</v>
      </c>
      <c r="E663" s="21">
        <f>IFERROR(__xludf.DUMMYFUNCTION("""COMPUTED_VALUE"""),145359.0)</f>
        <v>145359</v>
      </c>
      <c r="F663" s="21" t="str">
        <f>IFERROR(__xludf.DUMMYFUNCTION("""COMPUTED_VALUE"""),"INICIALIZADO")</f>
        <v>INICIALIZADO</v>
      </c>
      <c r="G663" s="23">
        <f>IFERROR(__xludf.DUMMYFUNCTION("""COMPUTED_VALUE"""),44999.92952546296)</f>
        <v>44999.92953</v>
      </c>
      <c r="H663" s="24" t="str">
        <f>IFERROR(VLOOKUP(B663,material!A:D,3,0),"")</f>
        <v>CARD</v>
      </c>
    </row>
    <row r="664" ht="11.25" customHeight="1">
      <c r="A664" s="21" t="str">
        <f>IFERROR(__xludf.DUMMYFUNCTION("""COMPUTED_VALUE"""),"SMART CARD LARANJA")</f>
        <v>SMART CARD LARANJA</v>
      </c>
      <c r="B664" s="22">
        <f>IFERROR(__xludf.DUMMYFUNCTION("""COMPUTED_VALUE"""),4.1001186E7)</f>
        <v>41001186</v>
      </c>
      <c r="C664" s="21" t="str">
        <f>IFERROR(__xludf.DUMMYFUNCTION("""COMPUTED_VALUE"""),"225984921114")</f>
        <v>225984921114</v>
      </c>
      <c r="D664" s="21" t="str">
        <f>IFERROR(__xludf.DUMMYFUNCTION("""COMPUTED_VALUE"""),"DIGITEC TECNOLOGIA DIGITAL E REPRES")</f>
        <v>DIGITEC TECNOLOGIA DIGITAL E REPRES</v>
      </c>
      <c r="E664" s="21">
        <f>IFERROR(__xludf.DUMMYFUNCTION("""COMPUTED_VALUE"""),145359.0)</f>
        <v>145359</v>
      </c>
      <c r="F664" s="21" t="str">
        <f>IFERROR(__xludf.DUMMYFUNCTION("""COMPUTED_VALUE"""),"INICIALIZADO")</f>
        <v>INICIALIZADO</v>
      </c>
      <c r="G664" s="23">
        <f>IFERROR(__xludf.DUMMYFUNCTION("""COMPUTED_VALUE"""),45573.66674768519)</f>
        <v>45573.66675</v>
      </c>
      <c r="H664" s="24" t="str">
        <f>IFERROR(VLOOKUP(B664,material!A:D,3,0),"")</f>
        <v>CARD</v>
      </c>
    </row>
    <row r="665" ht="11.25" customHeight="1">
      <c r="A665" s="21" t="str">
        <f>IFERROR(__xludf.DUMMYFUNCTION("""COMPUTED_VALUE"""),"SMART CARD LARANJA NAGRA")</f>
        <v>SMART CARD LARANJA NAGRA</v>
      </c>
      <c r="B665" s="22">
        <f>IFERROR(__xludf.DUMMYFUNCTION("""COMPUTED_VALUE"""),4.1001186E7)</f>
        <v>41001186</v>
      </c>
      <c r="C665" s="21" t="str">
        <f>IFERROR(__xludf.DUMMYFUNCTION("""COMPUTED_VALUE"""),"225789894852")</f>
        <v>225789894852</v>
      </c>
      <c r="D665" s="21" t="str">
        <f>IFERROR(__xludf.DUMMYFUNCTION("""COMPUTED_VALUE"""),"DIGITEC TECNOLOGIA DIGITAL E REPRES")</f>
        <v>DIGITEC TECNOLOGIA DIGITAL E REPRES</v>
      </c>
      <c r="E665" s="21">
        <f>IFERROR(__xludf.DUMMYFUNCTION("""COMPUTED_VALUE"""),145359.0)</f>
        <v>145359</v>
      </c>
      <c r="F665" s="21" t="str">
        <f>IFERROR(__xludf.DUMMYFUNCTION("""COMPUTED_VALUE"""),"INICIALIZADO")</f>
        <v>INICIALIZADO</v>
      </c>
      <c r="G665" s="23">
        <f>IFERROR(__xludf.DUMMYFUNCTION("""COMPUTED_VALUE"""),45000.35914351852)</f>
        <v>45000.35914</v>
      </c>
      <c r="H665" s="24" t="str">
        <f>IFERROR(VLOOKUP(B665,material!A:D,3,0),"")</f>
        <v>CARD</v>
      </c>
    </row>
    <row r="666" ht="11.25" customHeight="1">
      <c r="A666" s="21" t="str">
        <f>IFERROR(__xludf.DUMMYFUNCTION("""COMPUTED_VALUE"""),"SMART CARD PRETO NAGRA")</f>
        <v>SMART CARD PRETO NAGRA</v>
      </c>
      <c r="B666" s="22">
        <f>IFERROR(__xludf.DUMMYFUNCTION("""COMPUTED_VALUE"""),4.1001234E7)</f>
        <v>41001234</v>
      </c>
      <c r="C666" s="21" t="str">
        <f>IFERROR(__xludf.DUMMYFUNCTION("""COMPUTED_VALUE"""),"226178747089")</f>
        <v>226178747089</v>
      </c>
      <c r="D666" s="21" t="str">
        <f>IFERROR(__xludf.DUMMYFUNCTION("""COMPUTED_VALUE"""),"DIGITEC TECNOLOGIA DIGITAL E REPRES")</f>
        <v>DIGITEC TECNOLOGIA DIGITAL E REPRES</v>
      </c>
      <c r="E666" s="21">
        <f>IFERROR(__xludf.DUMMYFUNCTION("""COMPUTED_VALUE"""),145359.0)</f>
        <v>145359</v>
      </c>
      <c r="F666" s="21" t="str">
        <f>IFERROR(__xludf.DUMMYFUNCTION("""COMPUTED_VALUE"""),"TRANSITO REVERSA")</f>
        <v>TRANSITO REVERSA</v>
      </c>
      <c r="G666" s="23">
        <f>IFERROR(__xludf.DUMMYFUNCTION("""COMPUTED_VALUE"""),45633.00398148148)</f>
        <v>45633.00398</v>
      </c>
      <c r="H666" s="24" t="str">
        <f>IFERROR(VLOOKUP(B666,material!A:D,3,0),"")</f>
        <v>CARD</v>
      </c>
    </row>
    <row r="667" ht="11.25" customHeight="1">
      <c r="A667" s="21" t="str">
        <f>IFERROR(__xludf.DUMMYFUNCTION("""COMPUTED_VALUE"""),"DECODER DIGITAL HD HNB100 2T")</f>
        <v>DECODER DIGITAL HD HNB100 2T</v>
      </c>
      <c r="B667" s="22">
        <f>IFERROR(__xludf.DUMMYFUNCTION("""COMPUTED_VALUE"""),4.1001276E7)</f>
        <v>41001276</v>
      </c>
      <c r="C667" s="21" t="str">
        <f>IFERROR(__xludf.DUMMYFUNCTION("""COMPUTED_VALUE"""),"216607507087")</f>
        <v>216607507087</v>
      </c>
      <c r="D667" s="21" t="str">
        <f>IFERROR(__xludf.DUMMYFUNCTION("""COMPUTED_VALUE"""),"DIGITEC TECNOLOGIA DIGITAL E REPRES")</f>
        <v>DIGITEC TECNOLOGIA DIGITAL E REPRES</v>
      </c>
      <c r="E667" s="21">
        <f>IFERROR(__xludf.DUMMYFUNCTION("""COMPUTED_VALUE"""),145359.0)</f>
        <v>145359</v>
      </c>
      <c r="F667" s="21" t="str">
        <f>IFERROR(__xludf.DUMMYFUNCTION("""COMPUTED_VALUE"""),"INICIALIZADO")</f>
        <v>INICIALIZADO</v>
      </c>
      <c r="G667" s="23">
        <f>IFERROR(__xludf.DUMMYFUNCTION("""COMPUTED_VALUE"""),45635.53506944445)</f>
        <v>45635.53507</v>
      </c>
      <c r="H667" s="24" t="str">
        <f>IFERROR(VLOOKUP(B667,material!A:D,3,0),"")</f>
        <v>TOP MIX</v>
      </c>
    </row>
    <row r="668" ht="11.25" customHeight="1">
      <c r="A668" s="21" t="str">
        <f>IFERROR(__xludf.DUMMYFUNCTION("""COMPUTED_VALUE"""),"ARRIS TG1692A")</f>
        <v>ARRIS TG1692A</v>
      </c>
      <c r="B668" s="22">
        <f>IFERROR(__xludf.DUMMYFUNCTION("""COMPUTED_VALUE"""),4.1001293E7)</f>
        <v>41001293</v>
      </c>
      <c r="C668" s="21" t="str">
        <f>IFERROR(__xludf.DUMMYFUNCTION("""COMPUTED_VALUE"""),"BC644BC39757")</f>
        <v>BC644BC39757</v>
      </c>
      <c r="D668" s="21" t="str">
        <f>IFERROR(__xludf.DUMMYFUNCTION("""COMPUTED_VALUE"""),"DIGITEC TECNOLOGIA DIGITAL E REPRES")</f>
        <v>DIGITEC TECNOLOGIA DIGITAL E REPRES</v>
      </c>
      <c r="E668" s="21">
        <f>IFERROR(__xludf.DUMMYFUNCTION("""COMPUTED_VALUE"""),145359.0)</f>
        <v>145359</v>
      </c>
      <c r="F668" s="21" t="str">
        <f>IFERROR(__xludf.DUMMYFUNCTION("""COMPUTED_VALUE"""),"TRANSITO REVERSA")</f>
        <v>TRANSITO REVERSA</v>
      </c>
      <c r="G668" s="23">
        <f>IFERROR(__xludf.DUMMYFUNCTION("""COMPUTED_VALUE"""),45610.73042824074)</f>
        <v>45610.73043</v>
      </c>
      <c r="H668" s="24" t="str">
        <f>IFERROR(VLOOKUP(B668,material!A:D,3,0),"")</f>
        <v>DUAL</v>
      </c>
    </row>
    <row r="669" ht="11.25" customHeight="1">
      <c r="A669" s="21" t="str">
        <f>IFERROR(__xludf.DUMMYFUNCTION("""COMPUTED_VALUE"""),"SMART CARD LARANJA NAGRA")</f>
        <v>SMART CARD LARANJA NAGRA</v>
      </c>
      <c r="B669" s="22">
        <f>IFERROR(__xludf.DUMMYFUNCTION("""COMPUTED_VALUE"""),4.1001186E7)</f>
        <v>41001186</v>
      </c>
      <c r="C669" s="21" t="str">
        <f>IFERROR(__xludf.DUMMYFUNCTION("""COMPUTED_VALUE"""),"226782640011")</f>
        <v>226782640011</v>
      </c>
      <c r="D669" s="21" t="str">
        <f>IFERROR(__xludf.DUMMYFUNCTION("""COMPUTED_VALUE"""),"DIGITEC TECNOLOGIA DIGITAL E REPRES")</f>
        <v>DIGITEC TECNOLOGIA DIGITAL E REPRES</v>
      </c>
      <c r="E669" s="21">
        <f>IFERROR(__xludf.DUMMYFUNCTION("""COMPUTED_VALUE"""),145359.0)</f>
        <v>145359</v>
      </c>
      <c r="F669" s="21" t="str">
        <f>IFERROR(__xludf.DUMMYFUNCTION("""COMPUTED_VALUE"""),"PERDA")</f>
        <v>PERDA</v>
      </c>
      <c r="G669" s="23">
        <f>IFERROR(__xludf.DUMMYFUNCTION("""COMPUTED_VALUE"""),45113.486875)</f>
        <v>45113.48688</v>
      </c>
      <c r="H669" s="24" t="str">
        <f>IFERROR(VLOOKUP(B669,material!A:D,3,0),"")</f>
        <v>CARD</v>
      </c>
    </row>
    <row r="670" ht="11.25" customHeight="1">
      <c r="A670" s="21" t="str">
        <f>IFERROR(__xludf.DUMMYFUNCTION("""COMPUTED_VALUE"""),"SMART CARD PRETO NAGRA")</f>
        <v>SMART CARD PRETO NAGRA</v>
      </c>
      <c r="B670" s="22">
        <f>IFERROR(__xludf.DUMMYFUNCTION("""COMPUTED_VALUE"""),4.1001234E7)</f>
        <v>41001234</v>
      </c>
      <c r="C670" s="21" t="str">
        <f>IFERROR(__xludf.DUMMYFUNCTION("""COMPUTED_VALUE"""),"226400531922")</f>
        <v>226400531922</v>
      </c>
      <c r="D670" s="21" t="str">
        <f>IFERROR(__xludf.DUMMYFUNCTION("""COMPUTED_VALUE"""),"DIGITEC TECNOLOGIA DIGITAL E REPRES")</f>
        <v>DIGITEC TECNOLOGIA DIGITAL E REPRES</v>
      </c>
      <c r="E670" s="21">
        <f>IFERROR(__xludf.DUMMYFUNCTION("""COMPUTED_VALUE"""),145359.0)</f>
        <v>145359</v>
      </c>
      <c r="F670" s="21" t="str">
        <f>IFERROR(__xludf.DUMMYFUNCTION("""COMPUTED_VALUE"""),"INICIALIZADO")</f>
        <v>INICIALIZADO</v>
      </c>
      <c r="G670" s="23">
        <f>IFERROR(__xludf.DUMMYFUNCTION("""COMPUTED_VALUE"""),45635.53496527778)</f>
        <v>45635.53497</v>
      </c>
      <c r="H670" s="24" t="str">
        <f>IFERROR(VLOOKUP(B670,material!A:D,3,0),"")</f>
        <v>CARD</v>
      </c>
    </row>
    <row r="671" ht="11.25" customHeight="1">
      <c r="A671" s="21" t="str">
        <f>IFERROR(__xludf.DUMMYFUNCTION("""COMPUTED_VALUE"""),"DECODER DIGITAL HD HNB100 2T")</f>
        <v>DECODER DIGITAL HD HNB100 2T</v>
      </c>
      <c r="B671" s="22">
        <f>IFERROR(__xludf.DUMMYFUNCTION("""COMPUTED_VALUE"""),4.1001276E7)</f>
        <v>41001276</v>
      </c>
      <c r="C671" s="21" t="str">
        <f>IFERROR(__xludf.DUMMYFUNCTION("""COMPUTED_VALUE"""),"216560007984")</f>
        <v>216560007984</v>
      </c>
      <c r="D671" s="21" t="str">
        <f>IFERROR(__xludf.DUMMYFUNCTION("""COMPUTED_VALUE"""),"DIGITEC TECNOLOGIA DIGITAL E REPRES")</f>
        <v>DIGITEC TECNOLOGIA DIGITAL E REPRES</v>
      </c>
      <c r="E671" s="21">
        <f>IFERROR(__xludf.DUMMYFUNCTION("""COMPUTED_VALUE"""),145359.0)</f>
        <v>145359</v>
      </c>
      <c r="F671" s="21" t="str">
        <f>IFERROR(__xludf.DUMMYFUNCTION("""COMPUTED_VALUE"""),"INICIALIZADO")</f>
        <v>INICIALIZADO</v>
      </c>
      <c r="G671" s="23">
        <f>IFERROR(__xludf.DUMMYFUNCTION("""COMPUTED_VALUE"""),45635.53506944445)</f>
        <v>45635.53507</v>
      </c>
      <c r="H671" s="24" t="str">
        <f>IFERROR(VLOOKUP(B671,material!A:D,3,0),"")</f>
        <v>TOP MIX</v>
      </c>
    </row>
    <row r="672" ht="11.25" customHeight="1">
      <c r="A672" s="21" t="str">
        <f>IFERROR(__xludf.DUMMYFUNCTION("""COMPUTED_VALUE"""),"DECODER DIGITAL HD HNB100 2T")</f>
        <v>DECODER DIGITAL HD HNB100 2T</v>
      </c>
      <c r="B672" s="22">
        <f>IFERROR(__xludf.DUMMYFUNCTION("""COMPUTED_VALUE"""),4.1001276E7)</f>
        <v>41001276</v>
      </c>
      <c r="C672" s="21" t="str">
        <f>IFERROR(__xludf.DUMMYFUNCTION("""COMPUTED_VALUE"""),"216398708304")</f>
        <v>216398708304</v>
      </c>
      <c r="D672" s="21" t="str">
        <f>IFERROR(__xludf.DUMMYFUNCTION("""COMPUTED_VALUE"""),"DIGITEC TECNOLOGIA DIGITAL E REPRES")</f>
        <v>DIGITEC TECNOLOGIA DIGITAL E REPRES</v>
      </c>
      <c r="E672" s="21">
        <f>IFERROR(__xludf.DUMMYFUNCTION("""COMPUTED_VALUE"""),145359.0)</f>
        <v>145359</v>
      </c>
      <c r="F672" s="21" t="str">
        <f>IFERROR(__xludf.DUMMYFUNCTION("""COMPUTED_VALUE"""),"INICIALIZADO")</f>
        <v>INICIALIZADO</v>
      </c>
      <c r="G672" s="23">
        <f>IFERROR(__xludf.DUMMYFUNCTION("""COMPUTED_VALUE"""),45635.53503472223)</f>
        <v>45635.53503</v>
      </c>
      <c r="H672" s="24" t="str">
        <f>IFERROR(VLOOKUP(B672,material!A:D,3,0),"")</f>
        <v>TOP MIX</v>
      </c>
    </row>
    <row r="673" ht="11.25" customHeight="1">
      <c r="A673" s="21" t="str">
        <f>IFERROR(__xludf.DUMMYFUNCTION("""COMPUTED_VALUE"""),"DECODER DIGITAL HD HNB100 2T")</f>
        <v>DECODER DIGITAL HD HNB100 2T</v>
      </c>
      <c r="B673" s="22">
        <f>IFERROR(__xludf.DUMMYFUNCTION("""COMPUTED_VALUE"""),4.1001276E7)</f>
        <v>41001276</v>
      </c>
      <c r="C673" s="21" t="str">
        <f>IFERROR(__xludf.DUMMYFUNCTION("""COMPUTED_VALUE"""),"216401256565")</f>
        <v>216401256565</v>
      </c>
      <c r="D673" s="21" t="str">
        <f>IFERROR(__xludf.DUMMYFUNCTION("""COMPUTED_VALUE"""),"DIGITEC TECNOLOGIA DIGITAL E REPRES")</f>
        <v>DIGITEC TECNOLOGIA DIGITAL E REPRES</v>
      </c>
      <c r="E673" s="21">
        <f>IFERROR(__xludf.DUMMYFUNCTION("""COMPUTED_VALUE"""),145359.0)</f>
        <v>145359</v>
      </c>
      <c r="F673" s="21" t="str">
        <f>IFERROR(__xludf.DUMMYFUNCTION("""COMPUTED_VALUE"""),"INICIALIZADO")</f>
        <v>INICIALIZADO</v>
      </c>
      <c r="G673" s="23">
        <f>IFERROR(__xludf.DUMMYFUNCTION("""COMPUTED_VALUE"""),45635.53503472223)</f>
        <v>45635.53503</v>
      </c>
      <c r="H673" s="24" t="str">
        <f>IFERROR(VLOOKUP(B673,material!A:D,3,0),"")</f>
        <v>TOP MIX</v>
      </c>
    </row>
    <row r="674" ht="11.25" customHeight="1">
      <c r="A674" s="21" t="str">
        <f>IFERROR(__xludf.DUMMYFUNCTION("""COMPUTED_VALUE"""),"DECODER DIGITAL HD HNB100 2T")</f>
        <v>DECODER DIGITAL HD HNB100 2T</v>
      </c>
      <c r="B674" s="22">
        <f>IFERROR(__xludf.DUMMYFUNCTION("""COMPUTED_VALUE"""),4.1001276E7)</f>
        <v>41001276</v>
      </c>
      <c r="C674" s="21" t="str">
        <f>IFERROR(__xludf.DUMMYFUNCTION("""COMPUTED_VALUE"""),"216700125060")</f>
        <v>216700125060</v>
      </c>
      <c r="D674" s="21" t="str">
        <f>IFERROR(__xludf.DUMMYFUNCTION("""COMPUTED_VALUE"""),"DIGITEC TECNOLOGIA DIGITAL E REPRES")</f>
        <v>DIGITEC TECNOLOGIA DIGITAL E REPRES</v>
      </c>
      <c r="E674" s="21">
        <f>IFERROR(__xludf.DUMMYFUNCTION("""COMPUTED_VALUE"""),145359.0)</f>
        <v>145359</v>
      </c>
      <c r="F674" s="21" t="str">
        <f>IFERROR(__xludf.DUMMYFUNCTION("""COMPUTED_VALUE"""),"INICIALIZADO")</f>
        <v>INICIALIZADO</v>
      </c>
      <c r="G674" s="23">
        <f>IFERROR(__xludf.DUMMYFUNCTION("""COMPUTED_VALUE"""),45635.53501157407)</f>
        <v>45635.53501</v>
      </c>
      <c r="H674" s="24" t="str">
        <f>IFERROR(VLOOKUP(B674,material!A:D,3,0),"")</f>
        <v>TOP MIX</v>
      </c>
    </row>
    <row r="675" ht="11.25" customHeight="1">
      <c r="A675" s="21" t="str">
        <f>IFERROR(__xludf.DUMMYFUNCTION("""COMPUTED_VALUE"""),"DECODER DIGITAL HD HNB100 2T")</f>
        <v>DECODER DIGITAL HD HNB100 2T</v>
      </c>
      <c r="B675" s="22">
        <f>IFERROR(__xludf.DUMMYFUNCTION("""COMPUTED_VALUE"""),4.1001276E7)</f>
        <v>41001276</v>
      </c>
      <c r="C675" s="21" t="str">
        <f>IFERROR(__xludf.DUMMYFUNCTION("""COMPUTED_VALUE"""),"216836687175")</f>
        <v>216836687175</v>
      </c>
      <c r="D675" s="21" t="str">
        <f>IFERROR(__xludf.DUMMYFUNCTION("""COMPUTED_VALUE"""),"DIGITEC TECNOLOGIA DIGITAL E REPRES")</f>
        <v>DIGITEC TECNOLOGIA DIGITAL E REPRES</v>
      </c>
      <c r="E675" s="21">
        <f>IFERROR(__xludf.DUMMYFUNCTION("""COMPUTED_VALUE"""),145359.0)</f>
        <v>145359</v>
      </c>
      <c r="F675" s="21" t="str">
        <f>IFERROR(__xludf.DUMMYFUNCTION("""COMPUTED_VALUE"""),"INICIALIZADO")</f>
        <v>INICIALIZADO</v>
      </c>
      <c r="G675" s="23">
        <f>IFERROR(__xludf.DUMMYFUNCTION("""COMPUTED_VALUE"""),45635.53503472223)</f>
        <v>45635.53503</v>
      </c>
      <c r="H675" s="24" t="str">
        <f>IFERROR(VLOOKUP(B675,material!A:D,3,0),"")</f>
        <v>TOP MIX</v>
      </c>
    </row>
    <row r="676" ht="11.25" customHeight="1">
      <c r="A676" s="21" t="str">
        <f>IFERROR(__xludf.DUMMYFUNCTION("""COMPUTED_VALUE"""),"DECODER DIGITAL HD HNB100 2T")</f>
        <v>DECODER DIGITAL HD HNB100 2T</v>
      </c>
      <c r="B676" s="22">
        <f>IFERROR(__xludf.DUMMYFUNCTION("""COMPUTED_VALUE"""),4.1001276E7)</f>
        <v>41001276</v>
      </c>
      <c r="C676" s="21" t="str">
        <f>IFERROR(__xludf.DUMMYFUNCTION("""COMPUTED_VALUE"""),"216347474852")</f>
        <v>216347474852</v>
      </c>
      <c r="D676" s="21" t="str">
        <f>IFERROR(__xludf.DUMMYFUNCTION("""COMPUTED_VALUE"""),"DIGITEC TECNOLOGIA DIGITAL E REPRES")</f>
        <v>DIGITEC TECNOLOGIA DIGITAL E REPRES</v>
      </c>
      <c r="E676" s="21">
        <f>IFERROR(__xludf.DUMMYFUNCTION("""COMPUTED_VALUE"""),145359.0)</f>
        <v>145359</v>
      </c>
      <c r="F676" s="21" t="str">
        <f>IFERROR(__xludf.DUMMYFUNCTION("""COMPUTED_VALUE"""),"INICIALIZADO")</f>
        <v>INICIALIZADO</v>
      </c>
      <c r="G676" s="23">
        <f>IFERROR(__xludf.DUMMYFUNCTION("""COMPUTED_VALUE"""),45635.535057870366)</f>
        <v>45635.53506</v>
      </c>
      <c r="H676" s="24" t="str">
        <f>IFERROR(VLOOKUP(B676,material!A:D,3,0),"")</f>
        <v>TOP MIX</v>
      </c>
    </row>
    <row r="677" ht="11.25" customHeight="1">
      <c r="A677" s="21" t="str">
        <f>IFERROR(__xludf.DUMMYFUNCTION("""COMPUTED_VALUE"""),"DECODER DIGITAL HD HNB100 2T")</f>
        <v>DECODER DIGITAL HD HNB100 2T</v>
      </c>
      <c r="B677" s="22">
        <f>IFERROR(__xludf.DUMMYFUNCTION("""COMPUTED_VALUE"""),4.1001276E7)</f>
        <v>41001276</v>
      </c>
      <c r="C677" s="21" t="str">
        <f>IFERROR(__xludf.DUMMYFUNCTION("""COMPUTED_VALUE"""),"216640696667")</f>
        <v>216640696667</v>
      </c>
      <c r="D677" s="21" t="str">
        <f>IFERROR(__xludf.DUMMYFUNCTION("""COMPUTED_VALUE"""),"DIGITEC TECNOLOGIA DIGITAL E REPRES")</f>
        <v>DIGITEC TECNOLOGIA DIGITAL E REPRES</v>
      </c>
      <c r="E677" s="21">
        <f>IFERROR(__xludf.DUMMYFUNCTION("""COMPUTED_VALUE"""),145359.0)</f>
        <v>145359</v>
      </c>
      <c r="F677" s="21" t="str">
        <f>IFERROR(__xludf.DUMMYFUNCTION("""COMPUTED_VALUE"""),"INICIALIZADO")</f>
        <v>INICIALIZADO</v>
      </c>
      <c r="G677" s="23">
        <f>IFERROR(__xludf.DUMMYFUNCTION("""COMPUTED_VALUE"""),45635.53506944445)</f>
        <v>45635.53507</v>
      </c>
      <c r="H677" s="24" t="str">
        <f>IFERROR(VLOOKUP(B677,material!A:D,3,0),"")</f>
        <v>TOP MIX</v>
      </c>
    </row>
    <row r="678" ht="11.25" customHeight="1">
      <c r="A678" s="21" t="str">
        <f>IFERROR(__xludf.DUMMYFUNCTION("""COMPUTED_VALUE"""),"DECODER DIGITAL HD HNB100 2T")</f>
        <v>DECODER DIGITAL HD HNB100 2T</v>
      </c>
      <c r="B678" s="22">
        <f>IFERROR(__xludf.DUMMYFUNCTION("""COMPUTED_VALUE"""),4.1001276E7)</f>
        <v>41001276</v>
      </c>
      <c r="C678" s="21" t="str">
        <f>IFERROR(__xludf.DUMMYFUNCTION("""COMPUTED_VALUE"""),"216640691819")</f>
        <v>216640691819</v>
      </c>
      <c r="D678" s="21" t="str">
        <f>IFERROR(__xludf.DUMMYFUNCTION("""COMPUTED_VALUE"""),"DIGITEC TECNOLOGIA DIGITAL E REPRES")</f>
        <v>DIGITEC TECNOLOGIA DIGITAL E REPRES</v>
      </c>
      <c r="E678" s="21">
        <f>IFERROR(__xludf.DUMMYFUNCTION("""COMPUTED_VALUE"""),145359.0)</f>
        <v>145359</v>
      </c>
      <c r="F678" s="21" t="str">
        <f>IFERROR(__xludf.DUMMYFUNCTION("""COMPUTED_VALUE"""),"INICIALIZADO")</f>
        <v>INICIALIZADO</v>
      </c>
      <c r="G678" s="23">
        <f>IFERROR(__xludf.DUMMYFUNCTION("""COMPUTED_VALUE"""),45635.53506944445)</f>
        <v>45635.53507</v>
      </c>
      <c r="H678" s="24" t="str">
        <f>IFERROR(VLOOKUP(B678,material!A:D,3,0),"")</f>
        <v>TOP MIX</v>
      </c>
    </row>
    <row r="679" ht="11.25" customHeight="1">
      <c r="A679" s="21" t="str">
        <f>IFERROR(__xludf.DUMMYFUNCTION("""COMPUTED_VALUE"""),"DECODER DIGITAL HD HNB100 2T")</f>
        <v>DECODER DIGITAL HD HNB100 2T</v>
      </c>
      <c r="B679" s="22">
        <f>IFERROR(__xludf.DUMMYFUNCTION("""COMPUTED_VALUE"""),4.1001276E7)</f>
        <v>41001276</v>
      </c>
      <c r="C679" s="21" t="str">
        <f>IFERROR(__xludf.DUMMYFUNCTION("""COMPUTED_VALUE"""),"216640668910")</f>
        <v>216640668910</v>
      </c>
      <c r="D679" s="21" t="str">
        <f>IFERROR(__xludf.DUMMYFUNCTION("""COMPUTED_VALUE"""),"DIGITEC TECNOLOGIA DIGITAL E REPRES")</f>
        <v>DIGITEC TECNOLOGIA DIGITAL E REPRES</v>
      </c>
      <c r="E679" s="21">
        <f>IFERROR(__xludf.DUMMYFUNCTION("""COMPUTED_VALUE"""),145359.0)</f>
        <v>145359</v>
      </c>
      <c r="F679" s="21" t="str">
        <f>IFERROR(__xludf.DUMMYFUNCTION("""COMPUTED_VALUE"""),"INICIALIZADO")</f>
        <v>INICIALIZADO</v>
      </c>
      <c r="G679" s="23">
        <f>IFERROR(__xludf.DUMMYFUNCTION("""COMPUTED_VALUE"""),45635.53506944445)</f>
        <v>45635.53507</v>
      </c>
      <c r="H679" s="24" t="str">
        <f>IFERROR(VLOOKUP(B679,material!A:D,3,0),"")</f>
        <v>TOP MIX</v>
      </c>
    </row>
    <row r="680" ht="11.25" customHeight="1">
      <c r="A680" s="21" t="str">
        <f>IFERROR(__xludf.DUMMYFUNCTION("""COMPUTED_VALUE"""),"DECODER DIGITAL HD HNB100 2T")</f>
        <v>DECODER DIGITAL HD HNB100 2T</v>
      </c>
      <c r="B680" s="22">
        <f>IFERROR(__xludf.DUMMYFUNCTION("""COMPUTED_VALUE"""),4.1001276E7)</f>
        <v>41001276</v>
      </c>
      <c r="C680" s="21" t="str">
        <f>IFERROR(__xludf.DUMMYFUNCTION("""COMPUTED_VALUE"""),"216633944157")</f>
        <v>216633944157</v>
      </c>
      <c r="D680" s="21" t="str">
        <f>IFERROR(__xludf.DUMMYFUNCTION("""COMPUTED_VALUE"""),"DIGITEC TECNOLOGIA DIGITAL E REPRES")</f>
        <v>DIGITEC TECNOLOGIA DIGITAL E REPRES</v>
      </c>
      <c r="E680" s="21">
        <f>IFERROR(__xludf.DUMMYFUNCTION("""COMPUTED_VALUE"""),145359.0)</f>
        <v>145359</v>
      </c>
      <c r="F680" s="21" t="str">
        <f>IFERROR(__xludf.DUMMYFUNCTION("""COMPUTED_VALUE"""),"INICIALIZADO")</f>
        <v>INICIALIZADO</v>
      </c>
      <c r="G680" s="23">
        <f>IFERROR(__xludf.DUMMYFUNCTION("""COMPUTED_VALUE"""),45635.53506944445)</f>
        <v>45635.53507</v>
      </c>
      <c r="H680" s="24" t="str">
        <f>IFERROR(VLOOKUP(B680,material!A:D,3,0),"")</f>
        <v>TOP MIX</v>
      </c>
    </row>
    <row r="681" ht="11.25" customHeight="1">
      <c r="A681" s="21" t="str">
        <f>IFERROR(__xludf.DUMMYFUNCTION("""COMPUTED_VALUE"""),"DECODER DIGITAL HD HNB100 2T")</f>
        <v>DECODER DIGITAL HD HNB100 2T</v>
      </c>
      <c r="B681" s="22">
        <f>IFERROR(__xludf.DUMMYFUNCTION("""COMPUTED_VALUE"""),4.1001276E7)</f>
        <v>41001276</v>
      </c>
      <c r="C681" s="21" t="str">
        <f>IFERROR(__xludf.DUMMYFUNCTION("""COMPUTED_VALUE"""),"216633890617")</f>
        <v>216633890617</v>
      </c>
      <c r="D681" s="21" t="str">
        <f>IFERROR(__xludf.DUMMYFUNCTION("""COMPUTED_VALUE"""),"DIGITEC TECNOLOGIA DIGITAL E REPRES")</f>
        <v>DIGITEC TECNOLOGIA DIGITAL E REPRES</v>
      </c>
      <c r="E681" s="21">
        <f>IFERROR(__xludf.DUMMYFUNCTION("""COMPUTED_VALUE"""),145359.0)</f>
        <v>145359</v>
      </c>
      <c r="F681" s="21" t="str">
        <f>IFERROR(__xludf.DUMMYFUNCTION("""COMPUTED_VALUE"""),"INICIALIZADO")</f>
        <v>INICIALIZADO</v>
      </c>
      <c r="G681" s="23">
        <f>IFERROR(__xludf.DUMMYFUNCTION("""COMPUTED_VALUE"""),45642.52412037037)</f>
        <v>45642.52412</v>
      </c>
      <c r="H681" s="24" t="str">
        <f>IFERROR(VLOOKUP(B681,material!A:D,3,0),"")</f>
        <v>TOP MIX</v>
      </c>
    </row>
    <row r="682" ht="11.25" customHeight="1">
      <c r="A682" s="21" t="str">
        <f>IFERROR(__xludf.DUMMYFUNCTION("""COMPUTED_VALUE"""),"DECODER DIGITAL HD HNB100 2T")</f>
        <v>DECODER DIGITAL HD HNB100 2T</v>
      </c>
      <c r="B682" s="22">
        <f>IFERROR(__xludf.DUMMYFUNCTION("""COMPUTED_VALUE"""),4.1001276E7)</f>
        <v>41001276</v>
      </c>
      <c r="C682" s="21" t="str">
        <f>IFERROR(__xludf.DUMMYFUNCTION("""COMPUTED_VALUE"""),"216504005370")</f>
        <v>216504005370</v>
      </c>
      <c r="D682" s="21" t="str">
        <f>IFERROR(__xludf.DUMMYFUNCTION("""COMPUTED_VALUE"""),"DIGITEC TECNOLOGIA DIGITAL E REPRES")</f>
        <v>DIGITEC TECNOLOGIA DIGITAL E REPRES</v>
      </c>
      <c r="E682" s="21">
        <f>IFERROR(__xludf.DUMMYFUNCTION("""COMPUTED_VALUE"""),145359.0)</f>
        <v>145359</v>
      </c>
      <c r="F682" s="21" t="str">
        <f>IFERROR(__xludf.DUMMYFUNCTION("""COMPUTED_VALUE"""),"INICIALIZADO")</f>
        <v>INICIALIZADO</v>
      </c>
      <c r="G682" s="23">
        <f>IFERROR(__xludf.DUMMYFUNCTION("""COMPUTED_VALUE"""),45635.535046296296)</f>
        <v>45635.53505</v>
      </c>
      <c r="H682" s="24" t="str">
        <f>IFERROR(VLOOKUP(B682,material!A:D,3,0),"")</f>
        <v>TOP MIX</v>
      </c>
    </row>
    <row r="683" ht="11.25" customHeight="1">
      <c r="A683" s="21" t="str">
        <f>IFERROR(__xludf.DUMMYFUNCTION("""COMPUTED_VALUE"""),"DECODER DIGITAL HD HNB100 2T")</f>
        <v>DECODER DIGITAL HD HNB100 2T</v>
      </c>
      <c r="B683" s="22">
        <f>IFERROR(__xludf.DUMMYFUNCTION("""COMPUTED_VALUE"""),4.1001276E7)</f>
        <v>41001276</v>
      </c>
      <c r="C683" s="21" t="str">
        <f>IFERROR(__xludf.DUMMYFUNCTION("""COMPUTED_VALUE"""),"216503574868")</f>
        <v>216503574868</v>
      </c>
      <c r="D683" s="21" t="str">
        <f>IFERROR(__xludf.DUMMYFUNCTION("""COMPUTED_VALUE"""),"DIGITEC TECNOLOGIA DIGITAL E REPRES")</f>
        <v>DIGITEC TECNOLOGIA DIGITAL E REPRES</v>
      </c>
      <c r="E683" s="21">
        <f>IFERROR(__xludf.DUMMYFUNCTION("""COMPUTED_VALUE"""),145359.0)</f>
        <v>145359</v>
      </c>
      <c r="F683" s="21" t="str">
        <f>IFERROR(__xludf.DUMMYFUNCTION("""COMPUTED_VALUE"""),"INICIALIZADO")</f>
        <v>INICIALIZADO</v>
      </c>
      <c r="G683" s="23">
        <f>IFERROR(__xludf.DUMMYFUNCTION("""COMPUTED_VALUE"""),45635.535046296296)</f>
        <v>45635.53505</v>
      </c>
      <c r="H683" s="24" t="str">
        <f>IFERROR(VLOOKUP(B683,material!A:D,3,0),"")</f>
        <v>TOP MIX</v>
      </c>
    </row>
    <row r="684" ht="11.25" customHeight="1">
      <c r="A684" s="21" t="str">
        <f>IFERROR(__xludf.DUMMYFUNCTION("""COMPUTED_VALUE"""),"HUMAX HG100R-L4")</f>
        <v>HUMAX HG100R-L4</v>
      </c>
      <c r="B684" s="22">
        <f>IFERROR(__xludf.DUMMYFUNCTION("""COMPUTED_VALUE"""),4.1001288E7)</f>
        <v>41001288</v>
      </c>
      <c r="C684" s="21" t="str">
        <f>IFERROR(__xludf.DUMMYFUNCTION("""COMPUTED_VALUE"""),"4CD08A699026")</f>
        <v>4CD08A699026</v>
      </c>
      <c r="D684" s="21" t="str">
        <f>IFERROR(__xludf.DUMMYFUNCTION("""COMPUTED_VALUE"""),"DIGITEC TECNOLOGIA DIGITAL E REPRES")</f>
        <v>DIGITEC TECNOLOGIA DIGITAL E REPRES</v>
      </c>
      <c r="E684" s="21">
        <f>IFERROR(__xludf.DUMMYFUNCTION("""COMPUTED_VALUE"""),145359.0)</f>
        <v>145359</v>
      </c>
      <c r="F684" s="21" t="str">
        <f>IFERROR(__xludf.DUMMYFUNCTION("""COMPUTED_VALUE"""),"TRANSITO REVERSA")</f>
        <v>TRANSITO REVERSA</v>
      </c>
      <c r="G684" s="23">
        <f>IFERROR(__xludf.DUMMYFUNCTION("""COMPUTED_VALUE"""),45633.0033912037)</f>
        <v>45633.00339</v>
      </c>
      <c r="H684" s="24" t="str">
        <f>IFERROR(VLOOKUP(B684,material!A:D,3,0),"")</f>
        <v>SINGLE</v>
      </c>
    </row>
    <row r="685" ht="11.25" customHeight="1">
      <c r="A685" s="21" t="str">
        <f>IFERROR(__xludf.DUMMYFUNCTION("""COMPUTED_VALUE"""),"HUMAX HG100R-L4")</f>
        <v>HUMAX HG100R-L4</v>
      </c>
      <c r="B685" s="22">
        <f>IFERROR(__xludf.DUMMYFUNCTION("""COMPUTED_VALUE"""),4.1001288E7)</f>
        <v>41001288</v>
      </c>
      <c r="C685" s="21" t="str">
        <f>IFERROR(__xludf.DUMMYFUNCTION("""COMPUTED_VALUE"""),"4CD08AAA417E")</f>
        <v>4CD08AAA417E</v>
      </c>
      <c r="D685" s="21" t="str">
        <f>IFERROR(__xludf.DUMMYFUNCTION("""COMPUTED_VALUE"""),"DIGITEC TECNOLOGIA DIGITAL E REPRES")</f>
        <v>DIGITEC TECNOLOGIA DIGITAL E REPRES</v>
      </c>
      <c r="E685" s="21">
        <f>IFERROR(__xludf.DUMMYFUNCTION("""COMPUTED_VALUE"""),145359.0)</f>
        <v>145359</v>
      </c>
      <c r="F685" s="21" t="str">
        <f>IFERROR(__xludf.DUMMYFUNCTION("""COMPUTED_VALUE"""),"TRANSITO REVERSA")</f>
        <v>TRANSITO REVERSA</v>
      </c>
      <c r="G685" s="23">
        <f>IFERROR(__xludf.DUMMYFUNCTION("""COMPUTED_VALUE"""),45633.00396990741)</f>
        <v>45633.00397</v>
      </c>
      <c r="H685" s="24" t="str">
        <f>IFERROR(VLOOKUP(B685,material!A:D,3,0),"")</f>
        <v>SINGLE</v>
      </c>
    </row>
    <row r="686" ht="11.25" customHeight="1">
      <c r="A686" s="21" t="str">
        <f>IFERROR(__xludf.DUMMYFUNCTION("""COMPUTED_VALUE"""),"DECODER DIGITAL HD HNB100 2T")</f>
        <v>DECODER DIGITAL HD HNB100 2T</v>
      </c>
      <c r="B686" s="22">
        <f>IFERROR(__xludf.DUMMYFUNCTION("""COMPUTED_VALUE"""),4.1001276E7)</f>
        <v>41001276</v>
      </c>
      <c r="C686" s="21" t="str">
        <f>IFERROR(__xludf.DUMMYFUNCTION("""COMPUTED_VALUE"""),"216756336887")</f>
        <v>216756336887</v>
      </c>
      <c r="D686" s="21" t="str">
        <f>IFERROR(__xludf.DUMMYFUNCTION("""COMPUTED_VALUE"""),"DIGITEC TECNOLOGIA DIGITAL E REPRES")</f>
        <v>DIGITEC TECNOLOGIA DIGITAL E REPRES</v>
      </c>
      <c r="E686" s="21">
        <f>IFERROR(__xludf.DUMMYFUNCTION("""COMPUTED_VALUE"""),145359.0)</f>
        <v>145359</v>
      </c>
      <c r="F686" s="21" t="str">
        <f>IFERROR(__xludf.DUMMYFUNCTION("""COMPUTED_VALUE"""),"INICIALIZADO")</f>
        <v>INICIALIZADO</v>
      </c>
      <c r="G686" s="23">
        <f>IFERROR(__xludf.DUMMYFUNCTION("""COMPUTED_VALUE"""),45635.535)</f>
        <v>45635.535</v>
      </c>
      <c r="H686" s="24" t="str">
        <f>IFERROR(VLOOKUP(B686,material!A:D,3,0),"")</f>
        <v>TOP MIX</v>
      </c>
    </row>
    <row r="687" ht="11.25" customHeight="1">
      <c r="A687" s="21" t="str">
        <f>IFERROR(__xludf.DUMMYFUNCTION("""COMPUTED_VALUE"""),"DECODER DIGITAL HD HNB100 2T")</f>
        <v>DECODER DIGITAL HD HNB100 2T</v>
      </c>
      <c r="B687" s="22">
        <f>IFERROR(__xludf.DUMMYFUNCTION("""COMPUTED_VALUE"""),4.1001276E7)</f>
        <v>41001276</v>
      </c>
      <c r="C687" s="21" t="str">
        <f>IFERROR(__xludf.DUMMYFUNCTION("""COMPUTED_VALUE"""),"216756620103")</f>
        <v>216756620103</v>
      </c>
      <c r="D687" s="21" t="str">
        <f>IFERROR(__xludf.DUMMYFUNCTION("""COMPUTED_VALUE"""),"DIGITEC TECNOLOGIA DIGITAL E REPRES")</f>
        <v>DIGITEC TECNOLOGIA DIGITAL E REPRES</v>
      </c>
      <c r="E687" s="21">
        <f>IFERROR(__xludf.DUMMYFUNCTION("""COMPUTED_VALUE"""),145359.0)</f>
        <v>145359</v>
      </c>
      <c r="F687" s="21" t="str">
        <f>IFERROR(__xludf.DUMMYFUNCTION("""COMPUTED_VALUE"""),"INICIALIZADO")</f>
        <v>INICIALIZADO</v>
      </c>
      <c r="G687" s="23">
        <f>IFERROR(__xludf.DUMMYFUNCTION("""COMPUTED_VALUE"""),45635.53501157407)</f>
        <v>45635.53501</v>
      </c>
      <c r="H687" s="24" t="str">
        <f>IFERROR(VLOOKUP(B687,material!A:D,3,0),"")</f>
        <v>TOP MIX</v>
      </c>
    </row>
    <row r="688" ht="11.25" customHeight="1">
      <c r="A688" s="21" t="str">
        <f>IFERROR(__xludf.DUMMYFUNCTION("""COMPUTED_VALUE"""),"DECODER DIGITAL HD HNB100 2T")</f>
        <v>DECODER DIGITAL HD HNB100 2T</v>
      </c>
      <c r="B688" s="22">
        <f>IFERROR(__xludf.DUMMYFUNCTION("""COMPUTED_VALUE"""),4.1001276E7)</f>
        <v>41001276</v>
      </c>
      <c r="C688" s="21" t="str">
        <f>IFERROR(__xludf.DUMMYFUNCTION("""COMPUTED_VALUE"""),"216563039807")</f>
        <v>216563039807</v>
      </c>
      <c r="D688" s="21" t="str">
        <f>IFERROR(__xludf.DUMMYFUNCTION("""COMPUTED_VALUE"""),"DIGITEC TECNOLOGIA DIGITAL E REPRES")</f>
        <v>DIGITEC TECNOLOGIA DIGITAL E REPRES</v>
      </c>
      <c r="E688" s="21">
        <f>IFERROR(__xludf.DUMMYFUNCTION("""COMPUTED_VALUE"""),145359.0)</f>
        <v>145359</v>
      </c>
      <c r="F688" s="21" t="str">
        <f>IFERROR(__xludf.DUMMYFUNCTION("""COMPUTED_VALUE"""),"INICIALIZADO")</f>
        <v>INICIALIZADO</v>
      </c>
      <c r="G688" s="23">
        <f>IFERROR(__xludf.DUMMYFUNCTION("""COMPUTED_VALUE"""),45635.53506944445)</f>
        <v>45635.53507</v>
      </c>
      <c r="H688" s="24" t="str">
        <f>IFERROR(VLOOKUP(B688,material!A:D,3,0),"")</f>
        <v>TOP MIX</v>
      </c>
    </row>
    <row r="689" ht="11.25" customHeight="1">
      <c r="A689" s="21" t="str">
        <f>IFERROR(__xludf.DUMMYFUNCTION("""COMPUTED_VALUE"""),"DECODER DIGITAL HD HNB100 2T")</f>
        <v>DECODER DIGITAL HD HNB100 2T</v>
      </c>
      <c r="B689" s="22">
        <f>IFERROR(__xludf.DUMMYFUNCTION("""COMPUTED_VALUE"""),4.1001276E7)</f>
        <v>41001276</v>
      </c>
      <c r="C689" s="21" t="str">
        <f>IFERROR(__xludf.DUMMYFUNCTION("""COMPUTED_VALUE"""),"216554059604")</f>
        <v>216554059604</v>
      </c>
      <c r="D689" s="21" t="str">
        <f>IFERROR(__xludf.DUMMYFUNCTION("""COMPUTED_VALUE"""),"DIGITEC TECNOLOGIA DIGITAL E REPRES")</f>
        <v>DIGITEC TECNOLOGIA DIGITAL E REPRES</v>
      </c>
      <c r="E689" s="21">
        <f>IFERROR(__xludf.DUMMYFUNCTION("""COMPUTED_VALUE"""),145359.0)</f>
        <v>145359</v>
      </c>
      <c r="F689" s="21" t="str">
        <f>IFERROR(__xludf.DUMMYFUNCTION("""COMPUTED_VALUE"""),"INICIALIZADO")</f>
        <v>INICIALIZADO</v>
      </c>
      <c r="G689" s="23">
        <f>IFERROR(__xludf.DUMMYFUNCTION("""COMPUTED_VALUE"""),45635.53508101852)</f>
        <v>45635.53508</v>
      </c>
      <c r="H689" s="24" t="str">
        <f>IFERROR(VLOOKUP(B689,material!A:D,3,0),"")</f>
        <v>TOP MIX</v>
      </c>
    </row>
    <row r="690" ht="11.25" customHeight="1">
      <c r="A690" s="21" t="str">
        <f>IFERROR(__xludf.DUMMYFUNCTION("""COMPUTED_VALUE"""),"DECODER DIGITAL HD HNB100 2T")</f>
        <v>DECODER DIGITAL HD HNB100 2T</v>
      </c>
      <c r="B690" s="22">
        <f>IFERROR(__xludf.DUMMYFUNCTION("""COMPUTED_VALUE"""),4.1001276E7)</f>
        <v>41001276</v>
      </c>
      <c r="C690" s="21" t="str">
        <f>IFERROR(__xludf.DUMMYFUNCTION("""COMPUTED_VALUE"""),"216549133759")</f>
        <v>216549133759</v>
      </c>
      <c r="D690" s="21" t="str">
        <f>IFERROR(__xludf.DUMMYFUNCTION("""COMPUTED_VALUE"""),"DIGITEC TECNOLOGIA DIGITAL E REPRES")</f>
        <v>DIGITEC TECNOLOGIA DIGITAL E REPRES</v>
      </c>
      <c r="E690" s="21">
        <f>IFERROR(__xludf.DUMMYFUNCTION("""COMPUTED_VALUE"""),145359.0)</f>
        <v>145359</v>
      </c>
      <c r="F690" s="21" t="str">
        <f>IFERROR(__xludf.DUMMYFUNCTION("""COMPUTED_VALUE"""),"INICIALIZADO")</f>
        <v>INICIALIZADO</v>
      </c>
      <c r="G690" s="23">
        <f>IFERROR(__xludf.DUMMYFUNCTION("""COMPUTED_VALUE"""),45635.53506944445)</f>
        <v>45635.53507</v>
      </c>
      <c r="H690" s="24" t="str">
        <f>IFERROR(VLOOKUP(B690,material!A:D,3,0),"")</f>
        <v>TOP MIX</v>
      </c>
    </row>
    <row r="691" ht="11.25" customHeight="1">
      <c r="A691" s="21" t="str">
        <f>IFERROR(__xludf.DUMMYFUNCTION("""COMPUTED_VALUE"""),"DECODER DIGITAL HD HNB100 2T")</f>
        <v>DECODER DIGITAL HD HNB100 2T</v>
      </c>
      <c r="B691" s="22">
        <f>IFERROR(__xludf.DUMMYFUNCTION("""COMPUTED_VALUE"""),4.1001276E7)</f>
        <v>41001276</v>
      </c>
      <c r="C691" s="21" t="str">
        <f>IFERROR(__xludf.DUMMYFUNCTION("""COMPUTED_VALUE"""),"216687641620")</f>
        <v>216687641620</v>
      </c>
      <c r="D691" s="21" t="str">
        <f>IFERROR(__xludf.DUMMYFUNCTION("""COMPUTED_VALUE"""),"DIGITEC TECNOLOGIA DIGITAL E REPRES")</f>
        <v>DIGITEC TECNOLOGIA DIGITAL E REPRES</v>
      </c>
      <c r="E691" s="21">
        <f>IFERROR(__xludf.DUMMYFUNCTION("""COMPUTED_VALUE"""),145359.0)</f>
        <v>145359</v>
      </c>
      <c r="F691" s="21" t="str">
        <f>IFERROR(__xludf.DUMMYFUNCTION("""COMPUTED_VALUE"""),"INICIALIZADO")</f>
        <v>INICIALIZADO</v>
      </c>
      <c r="G691" s="23">
        <f>IFERROR(__xludf.DUMMYFUNCTION("""COMPUTED_VALUE"""),45635.53501157407)</f>
        <v>45635.53501</v>
      </c>
      <c r="H691" s="24" t="str">
        <f>IFERROR(VLOOKUP(B691,material!A:D,3,0),"")</f>
        <v>TOP MIX</v>
      </c>
    </row>
    <row r="692" ht="11.25" customHeight="1">
      <c r="A692" s="21" t="str">
        <f>IFERROR(__xludf.DUMMYFUNCTION("""COMPUTED_VALUE"""),"DECODER DIGITAL HD HNB100 2T")</f>
        <v>DECODER DIGITAL HD HNB100 2T</v>
      </c>
      <c r="B692" s="22">
        <f>IFERROR(__xludf.DUMMYFUNCTION("""COMPUTED_VALUE"""),4.1001276E7)</f>
        <v>41001276</v>
      </c>
      <c r="C692" s="21" t="str">
        <f>IFERROR(__xludf.DUMMYFUNCTION("""COMPUTED_VALUE"""),"216699589901")</f>
        <v>216699589901</v>
      </c>
      <c r="D692" s="21" t="str">
        <f>IFERROR(__xludf.DUMMYFUNCTION("""COMPUTED_VALUE"""),"DIGITEC TECNOLOGIA DIGITAL E REPRES")</f>
        <v>DIGITEC TECNOLOGIA DIGITAL E REPRES</v>
      </c>
      <c r="E692" s="21">
        <f>IFERROR(__xludf.DUMMYFUNCTION("""COMPUTED_VALUE"""),145359.0)</f>
        <v>145359</v>
      </c>
      <c r="F692" s="21" t="str">
        <f>IFERROR(__xludf.DUMMYFUNCTION("""COMPUTED_VALUE"""),"INICIALIZADO")</f>
        <v>INICIALIZADO</v>
      </c>
      <c r="G692" s="23">
        <f>IFERROR(__xludf.DUMMYFUNCTION("""COMPUTED_VALUE"""),45635.53501157407)</f>
        <v>45635.53501</v>
      </c>
      <c r="H692" s="24" t="str">
        <f>IFERROR(VLOOKUP(B692,material!A:D,3,0),"")</f>
        <v>TOP MIX</v>
      </c>
    </row>
    <row r="693" ht="11.25" customHeight="1">
      <c r="A693" s="21" t="str">
        <f>IFERROR(__xludf.DUMMYFUNCTION("""COMPUTED_VALUE"""),"DECODER DIGITAL HD HNB100 2T")</f>
        <v>DECODER DIGITAL HD HNB100 2T</v>
      </c>
      <c r="B693" s="22">
        <f>IFERROR(__xludf.DUMMYFUNCTION("""COMPUTED_VALUE"""),4.1001276E7)</f>
        <v>41001276</v>
      </c>
      <c r="C693" s="21" t="str">
        <f>IFERROR(__xludf.DUMMYFUNCTION("""COMPUTED_VALUE"""),"184269547596")</f>
        <v>184269547596</v>
      </c>
      <c r="D693" s="21" t="str">
        <f>IFERROR(__xludf.DUMMYFUNCTION("""COMPUTED_VALUE"""),"DIGITEC TECNOLOGIA DIGITAL E REPRES")</f>
        <v>DIGITEC TECNOLOGIA DIGITAL E REPRES</v>
      </c>
      <c r="E693" s="21">
        <f>IFERROR(__xludf.DUMMYFUNCTION("""COMPUTED_VALUE"""),145359.0)</f>
        <v>145359</v>
      </c>
      <c r="F693" s="21" t="str">
        <f>IFERROR(__xludf.DUMMYFUNCTION("""COMPUTED_VALUE"""),"INICIALIZADO")</f>
        <v>INICIALIZADO</v>
      </c>
      <c r="G693" s="23">
        <f>IFERROR(__xludf.DUMMYFUNCTION("""COMPUTED_VALUE"""),45642.52413194445)</f>
        <v>45642.52413</v>
      </c>
      <c r="H693" s="24" t="str">
        <f>IFERROR(VLOOKUP(B693,material!A:D,3,0),"")</f>
        <v>TOP MIX</v>
      </c>
    </row>
    <row r="694" ht="11.25" customHeight="1">
      <c r="A694" s="21" t="str">
        <f>IFERROR(__xludf.DUMMYFUNCTION("""COMPUTED_VALUE"""),"DECODER DIGITAL HD HNB100 2T")</f>
        <v>DECODER DIGITAL HD HNB100 2T</v>
      </c>
      <c r="B694" s="22">
        <f>IFERROR(__xludf.DUMMYFUNCTION("""COMPUTED_VALUE"""),4.1001276E7)</f>
        <v>41001276</v>
      </c>
      <c r="C694" s="21" t="str">
        <f>IFERROR(__xludf.DUMMYFUNCTION("""COMPUTED_VALUE"""),"216697448098")</f>
        <v>216697448098</v>
      </c>
      <c r="D694" s="21" t="str">
        <f>IFERROR(__xludf.DUMMYFUNCTION("""COMPUTED_VALUE"""),"DIGITEC TECNOLOGIA DIGITAL E REPRES")</f>
        <v>DIGITEC TECNOLOGIA DIGITAL E REPRES</v>
      </c>
      <c r="E694" s="21">
        <f>IFERROR(__xludf.DUMMYFUNCTION("""COMPUTED_VALUE"""),145359.0)</f>
        <v>145359</v>
      </c>
      <c r="F694" s="21" t="str">
        <f>IFERROR(__xludf.DUMMYFUNCTION("""COMPUTED_VALUE"""),"INICIALIZADO")</f>
        <v>INICIALIZADO</v>
      </c>
      <c r="G694" s="23">
        <f>IFERROR(__xludf.DUMMYFUNCTION("""COMPUTED_VALUE"""),45635.53501157407)</f>
        <v>45635.53501</v>
      </c>
      <c r="H694" s="24" t="str">
        <f>IFERROR(VLOOKUP(B694,material!A:D,3,0),"")</f>
        <v>TOP MIX</v>
      </c>
    </row>
    <row r="695" ht="11.25" customHeight="1">
      <c r="A695" s="21" t="str">
        <f>IFERROR(__xludf.DUMMYFUNCTION("""COMPUTED_VALUE"""),"DECODER DIGITAL HD HNB100 2T")</f>
        <v>DECODER DIGITAL HD HNB100 2T</v>
      </c>
      <c r="B695" s="22">
        <f>IFERROR(__xludf.DUMMYFUNCTION("""COMPUTED_VALUE"""),4.1001276E7)</f>
        <v>41001276</v>
      </c>
      <c r="C695" s="21" t="str">
        <f>IFERROR(__xludf.DUMMYFUNCTION("""COMPUTED_VALUE"""),"216627919304")</f>
        <v>216627919304</v>
      </c>
      <c r="D695" s="21" t="str">
        <f>IFERROR(__xludf.DUMMYFUNCTION("""COMPUTED_VALUE"""),"DIGITEC TECNOLOGIA DIGITAL E REPRES")</f>
        <v>DIGITEC TECNOLOGIA DIGITAL E REPRES</v>
      </c>
      <c r="E695" s="21">
        <f>IFERROR(__xludf.DUMMYFUNCTION("""COMPUTED_VALUE"""),145359.0)</f>
        <v>145359</v>
      </c>
      <c r="F695" s="21" t="str">
        <f>IFERROR(__xludf.DUMMYFUNCTION("""COMPUTED_VALUE"""),"INICIALIZADO")</f>
        <v>INICIALIZADO</v>
      </c>
      <c r="G695" s="23">
        <f>IFERROR(__xludf.DUMMYFUNCTION("""COMPUTED_VALUE"""),45635.53506944445)</f>
        <v>45635.53507</v>
      </c>
      <c r="H695" s="24" t="str">
        <f>IFERROR(VLOOKUP(B695,material!A:D,3,0),"")</f>
        <v>TOP MIX</v>
      </c>
    </row>
    <row r="696" ht="11.25" customHeight="1">
      <c r="A696" s="21" t="str">
        <f>IFERROR(__xludf.DUMMYFUNCTION("""COMPUTED_VALUE"""),"DECODER DIGITAL HD HNB100 2T")</f>
        <v>DECODER DIGITAL HD HNB100 2T</v>
      </c>
      <c r="B696" s="22">
        <f>IFERROR(__xludf.DUMMYFUNCTION("""COMPUTED_VALUE"""),4.1001276E7)</f>
        <v>41001276</v>
      </c>
      <c r="C696" s="21" t="str">
        <f>IFERROR(__xludf.DUMMYFUNCTION("""COMPUTED_VALUE"""),"184330027898")</f>
        <v>184330027898</v>
      </c>
      <c r="D696" s="21" t="str">
        <f>IFERROR(__xludf.DUMMYFUNCTION("""COMPUTED_VALUE"""),"DIGITEC TECNOLOGIA DIGITAL E REPRES")</f>
        <v>DIGITEC TECNOLOGIA DIGITAL E REPRES</v>
      </c>
      <c r="E696" s="21">
        <f>IFERROR(__xludf.DUMMYFUNCTION("""COMPUTED_VALUE"""),145359.0)</f>
        <v>145359</v>
      </c>
      <c r="F696" s="21" t="str">
        <f>IFERROR(__xludf.DUMMYFUNCTION("""COMPUTED_VALUE"""),"INICIALIZADO")</f>
        <v>INICIALIZADO</v>
      </c>
      <c r="G696" s="23">
        <f>IFERROR(__xludf.DUMMYFUNCTION("""COMPUTED_VALUE"""),45635.535046296296)</f>
        <v>45635.53505</v>
      </c>
      <c r="H696" s="24" t="str">
        <f>IFERROR(VLOOKUP(B696,material!A:D,3,0),"")</f>
        <v>TOP MIX</v>
      </c>
    </row>
    <row r="697" ht="11.25" customHeight="1">
      <c r="A697" s="21" t="str">
        <f>IFERROR(__xludf.DUMMYFUNCTION("""COMPUTED_VALUE"""),"DECODER DIGITAL HD HNB100 2T")</f>
        <v>DECODER DIGITAL HD HNB100 2T</v>
      </c>
      <c r="B697" s="22">
        <f>IFERROR(__xludf.DUMMYFUNCTION("""COMPUTED_VALUE"""),4.1001276E7)</f>
        <v>41001276</v>
      </c>
      <c r="C697" s="21" t="str">
        <f>IFERROR(__xludf.DUMMYFUNCTION("""COMPUTED_VALUE"""),"216551391028")</f>
        <v>216551391028</v>
      </c>
      <c r="D697" s="21" t="str">
        <f>IFERROR(__xludf.DUMMYFUNCTION("""COMPUTED_VALUE"""),"DIGITEC TECNOLOGIA DIGITAL E REPRES")</f>
        <v>DIGITEC TECNOLOGIA DIGITAL E REPRES</v>
      </c>
      <c r="E697" s="21">
        <f>IFERROR(__xludf.DUMMYFUNCTION("""COMPUTED_VALUE"""),145359.0)</f>
        <v>145359</v>
      </c>
      <c r="F697" s="21" t="str">
        <f>IFERROR(__xludf.DUMMYFUNCTION("""COMPUTED_VALUE"""),"INICIALIZADO")</f>
        <v>INICIALIZADO</v>
      </c>
      <c r="G697" s="23">
        <f>IFERROR(__xludf.DUMMYFUNCTION("""COMPUTED_VALUE"""),45635.53508101852)</f>
        <v>45635.53508</v>
      </c>
      <c r="H697" s="24" t="str">
        <f>IFERROR(VLOOKUP(B697,material!A:D,3,0),"")</f>
        <v>TOP MIX</v>
      </c>
    </row>
    <row r="698" ht="11.25" customHeight="1">
      <c r="A698" s="21" t="str">
        <f>IFERROR(__xludf.DUMMYFUNCTION("""COMPUTED_VALUE"""),"DECODER DIGITAL HD HNB100 2T")</f>
        <v>DECODER DIGITAL HD HNB100 2T</v>
      </c>
      <c r="B698" s="22">
        <f>IFERROR(__xludf.DUMMYFUNCTION("""COMPUTED_VALUE"""),4.1001276E7)</f>
        <v>41001276</v>
      </c>
      <c r="C698" s="21" t="str">
        <f>IFERROR(__xludf.DUMMYFUNCTION("""COMPUTED_VALUE"""),"216514100722")</f>
        <v>216514100722</v>
      </c>
      <c r="D698" s="21" t="str">
        <f>IFERROR(__xludf.DUMMYFUNCTION("""COMPUTED_VALUE"""),"DIGITEC TECNOLOGIA DIGITAL E REPRES")</f>
        <v>DIGITEC TECNOLOGIA DIGITAL E REPRES</v>
      </c>
      <c r="E698" s="21">
        <f>IFERROR(__xludf.DUMMYFUNCTION("""COMPUTED_VALUE"""),145359.0)</f>
        <v>145359</v>
      </c>
      <c r="F698" s="21" t="str">
        <f>IFERROR(__xludf.DUMMYFUNCTION("""COMPUTED_VALUE"""),"INICIALIZADO")</f>
        <v>INICIALIZADO</v>
      </c>
      <c r="G698" s="23">
        <f>IFERROR(__xludf.DUMMYFUNCTION("""COMPUTED_VALUE"""),45635.53508101852)</f>
        <v>45635.53508</v>
      </c>
      <c r="H698" s="24" t="str">
        <f>IFERROR(VLOOKUP(B698,material!A:D,3,0),"")</f>
        <v>TOP MIX</v>
      </c>
    </row>
    <row r="699" ht="11.25" customHeight="1">
      <c r="A699" s="21" t="str">
        <f>IFERROR(__xludf.DUMMYFUNCTION("""COMPUTED_VALUE"""),"DECODER DIGITAL HD HNB100 2T")</f>
        <v>DECODER DIGITAL HD HNB100 2T</v>
      </c>
      <c r="B699" s="22">
        <f>IFERROR(__xludf.DUMMYFUNCTION("""COMPUTED_VALUE"""),4.1001276E7)</f>
        <v>41001276</v>
      </c>
      <c r="C699" s="21" t="str">
        <f>IFERROR(__xludf.DUMMYFUNCTION("""COMPUTED_VALUE"""),"216863188897")</f>
        <v>216863188897</v>
      </c>
      <c r="D699" s="21" t="str">
        <f>IFERROR(__xludf.DUMMYFUNCTION("""COMPUTED_VALUE"""),"DIGITEC TECNOLOGIA DIGITAL E REPRES")</f>
        <v>DIGITEC TECNOLOGIA DIGITAL E REPRES</v>
      </c>
      <c r="E699" s="21">
        <f>IFERROR(__xludf.DUMMYFUNCTION("""COMPUTED_VALUE"""),145359.0)</f>
        <v>145359</v>
      </c>
      <c r="F699" s="21" t="str">
        <f>IFERROR(__xludf.DUMMYFUNCTION("""COMPUTED_VALUE"""),"INICIALIZADO")</f>
        <v>INICIALIZADO</v>
      </c>
      <c r="G699" s="23">
        <f>IFERROR(__xludf.DUMMYFUNCTION("""COMPUTED_VALUE"""),45642.52413194445)</f>
        <v>45642.52413</v>
      </c>
      <c r="H699" s="24" t="str">
        <f>IFERROR(VLOOKUP(B699,material!A:D,3,0),"")</f>
        <v>TOP MIX</v>
      </c>
    </row>
    <row r="700" ht="11.25" customHeight="1">
      <c r="A700" s="21" t="str">
        <f>IFERROR(__xludf.DUMMYFUNCTION("""COMPUTED_VALUE"""),"DECODER DIGITAL HD HNB100 2T")</f>
        <v>DECODER DIGITAL HD HNB100 2T</v>
      </c>
      <c r="B700" s="22">
        <f>IFERROR(__xludf.DUMMYFUNCTION("""COMPUTED_VALUE"""),4.1001276E7)</f>
        <v>41001276</v>
      </c>
      <c r="C700" s="21" t="str">
        <f>IFERROR(__xludf.DUMMYFUNCTION("""COMPUTED_VALUE"""),"216860447182")</f>
        <v>216860447182</v>
      </c>
      <c r="D700" s="21" t="str">
        <f>IFERROR(__xludf.DUMMYFUNCTION("""COMPUTED_VALUE"""),"DIGITEC TECNOLOGIA DIGITAL E REPRES")</f>
        <v>DIGITEC TECNOLOGIA DIGITAL E REPRES</v>
      </c>
      <c r="E700" s="21">
        <f>IFERROR(__xludf.DUMMYFUNCTION("""COMPUTED_VALUE"""),145359.0)</f>
        <v>145359</v>
      </c>
      <c r="F700" s="21" t="str">
        <f>IFERROR(__xludf.DUMMYFUNCTION("""COMPUTED_VALUE"""),"INICIALIZADO")</f>
        <v>INICIALIZADO</v>
      </c>
      <c r="G700" s="23">
        <f>IFERROR(__xludf.DUMMYFUNCTION("""COMPUTED_VALUE"""),45635.53503472223)</f>
        <v>45635.53503</v>
      </c>
      <c r="H700" s="24" t="str">
        <f>IFERROR(VLOOKUP(B700,material!A:D,3,0),"")</f>
        <v>TOP MIX</v>
      </c>
    </row>
    <row r="701" ht="11.25" customHeight="1">
      <c r="A701" s="21" t="str">
        <f>IFERROR(__xludf.DUMMYFUNCTION("""COMPUTED_VALUE"""),"DECODER DIGITAL HD HNB100 2T")</f>
        <v>DECODER DIGITAL HD HNB100 2T</v>
      </c>
      <c r="B701" s="22">
        <f>IFERROR(__xludf.DUMMYFUNCTION("""COMPUTED_VALUE"""),4.1001276E7)</f>
        <v>41001276</v>
      </c>
      <c r="C701" s="21" t="str">
        <f>IFERROR(__xludf.DUMMYFUNCTION("""COMPUTED_VALUE"""),"216863482440")</f>
        <v>216863482440</v>
      </c>
      <c r="D701" s="21" t="str">
        <f>IFERROR(__xludf.DUMMYFUNCTION("""COMPUTED_VALUE"""),"DIGITEC TECNOLOGIA DIGITAL E REPRES")</f>
        <v>DIGITEC TECNOLOGIA DIGITAL E REPRES</v>
      </c>
      <c r="E701" s="21">
        <f>IFERROR(__xludf.DUMMYFUNCTION("""COMPUTED_VALUE"""),145359.0)</f>
        <v>145359</v>
      </c>
      <c r="F701" s="21" t="str">
        <f>IFERROR(__xludf.DUMMYFUNCTION("""COMPUTED_VALUE"""),"INICIALIZADO")</f>
        <v>INICIALIZADO</v>
      </c>
      <c r="G701" s="23">
        <f>IFERROR(__xludf.DUMMYFUNCTION("""COMPUTED_VALUE"""),45635.53502314815)</f>
        <v>45635.53502</v>
      </c>
      <c r="H701" s="24" t="str">
        <f>IFERROR(VLOOKUP(B701,material!A:D,3,0),"")</f>
        <v>TOP MIX</v>
      </c>
    </row>
    <row r="702" ht="11.25" customHeight="1">
      <c r="A702" s="21" t="str">
        <f>IFERROR(__xludf.DUMMYFUNCTION("""COMPUTED_VALUE"""),"DECODER DIGITAL HD HNB100 2T")</f>
        <v>DECODER DIGITAL HD HNB100 2T</v>
      </c>
      <c r="B702" s="22">
        <f>IFERROR(__xludf.DUMMYFUNCTION("""COMPUTED_VALUE"""),4.1001276E7)</f>
        <v>41001276</v>
      </c>
      <c r="C702" s="21" t="str">
        <f>IFERROR(__xludf.DUMMYFUNCTION("""COMPUTED_VALUE"""),"216504636071")</f>
        <v>216504636071</v>
      </c>
      <c r="D702" s="21" t="str">
        <f>IFERROR(__xludf.DUMMYFUNCTION("""COMPUTED_VALUE"""),"DIGITEC TECNOLOGIA DIGITAL E REPRES")</f>
        <v>DIGITEC TECNOLOGIA DIGITAL E REPRES</v>
      </c>
      <c r="E702" s="21">
        <f>IFERROR(__xludf.DUMMYFUNCTION("""COMPUTED_VALUE"""),145359.0)</f>
        <v>145359</v>
      </c>
      <c r="F702" s="21" t="str">
        <f>IFERROR(__xludf.DUMMYFUNCTION("""COMPUTED_VALUE"""),"INICIALIZADO")</f>
        <v>INICIALIZADO</v>
      </c>
      <c r="G702" s="23">
        <f>IFERROR(__xludf.DUMMYFUNCTION("""COMPUTED_VALUE"""),45635.535046296296)</f>
        <v>45635.53505</v>
      </c>
      <c r="H702" s="24" t="str">
        <f>IFERROR(VLOOKUP(B702,material!A:D,3,0),"")</f>
        <v>TOP MIX</v>
      </c>
    </row>
    <row r="703" ht="11.25" customHeight="1">
      <c r="A703" s="21" t="str">
        <f>IFERROR(__xludf.DUMMYFUNCTION("""COMPUTED_VALUE"""),"DECODER DIGITAL HD HNB100 2T")</f>
        <v>DECODER DIGITAL HD HNB100 2T</v>
      </c>
      <c r="B703" s="22">
        <f>IFERROR(__xludf.DUMMYFUNCTION("""COMPUTED_VALUE"""),4.1001276E7)</f>
        <v>41001276</v>
      </c>
      <c r="C703" s="21" t="str">
        <f>IFERROR(__xludf.DUMMYFUNCTION("""COMPUTED_VALUE"""),"184267974951")</f>
        <v>184267974951</v>
      </c>
      <c r="D703" s="21" t="str">
        <f>IFERROR(__xludf.DUMMYFUNCTION("""COMPUTED_VALUE"""),"DIGITEC TECNOLOGIA DIGITAL E REPRES")</f>
        <v>DIGITEC TECNOLOGIA DIGITAL E REPRES</v>
      </c>
      <c r="E703" s="21">
        <f>IFERROR(__xludf.DUMMYFUNCTION("""COMPUTED_VALUE"""),145359.0)</f>
        <v>145359</v>
      </c>
      <c r="F703" s="21" t="str">
        <f>IFERROR(__xludf.DUMMYFUNCTION("""COMPUTED_VALUE"""),"INICIALIZADO")</f>
        <v>INICIALIZADO</v>
      </c>
      <c r="G703" s="23">
        <f>IFERROR(__xludf.DUMMYFUNCTION("""COMPUTED_VALUE"""),45635.535057870366)</f>
        <v>45635.53506</v>
      </c>
      <c r="H703" s="24" t="str">
        <f>IFERROR(VLOOKUP(B703,material!A:D,3,0),"")</f>
        <v>TOP MIX</v>
      </c>
    </row>
    <row r="704" ht="11.25" customHeight="1">
      <c r="A704" s="21" t="str">
        <f>IFERROR(__xludf.DUMMYFUNCTION("""COMPUTED_VALUE"""),"DECODER DIGITAL HD HNB100 2T")</f>
        <v>DECODER DIGITAL HD HNB100 2T</v>
      </c>
      <c r="B704" s="22">
        <f>IFERROR(__xludf.DUMMYFUNCTION("""COMPUTED_VALUE"""),4.1001276E7)</f>
        <v>41001276</v>
      </c>
      <c r="C704" s="21" t="str">
        <f>IFERROR(__xludf.DUMMYFUNCTION("""COMPUTED_VALUE"""),"216408377193")</f>
        <v>216408377193</v>
      </c>
      <c r="D704" s="21" t="str">
        <f>IFERROR(__xludf.DUMMYFUNCTION("""COMPUTED_VALUE"""),"DIGITEC TECNOLOGIA DIGITAL E REPRES")</f>
        <v>DIGITEC TECNOLOGIA DIGITAL E REPRES</v>
      </c>
      <c r="E704" s="21">
        <f>IFERROR(__xludf.DUMMYFUNCTION("""COMPUTED_VALUE"""),145359.0)</f>
        <v>145359</v>
      </c>
      <c r="F704" s="21" t="str">
        <f>IFERROR(__xludf.DUMMYFUNCTION("""COMPUTED_VALUE"""),"INICIALIZADO")</f>
        <v>INICIALIZADO</v>
      </c>
      <c r="G704" s="23">
        <f>IFERROR(__xludf.DUMMYFUNCTION("""COMPUTED_VALUE"""),45635.535046296296)</f>
        <v>45635.53505</v>
      </c>
      <c r="H704" s="24" t="str">
        <f>IFERROR(VLOOKUP(B704,material!A:D,3,0),"")</f>
        <v>TOP MIX</v>
      </c>
    </row>
    <row r="705" ht="11.25" customHeight="1">
      <c r="A705" s="21" t="str">
        <f>IFERROR(__xludf.DUMMYFUNCTION("""COMPUTED_VALUE"""),"SMART CARD LARANJA NAGRA")</f>
        <v>SMART CARD LARANJA NAGRA</v>
      </c>
      <c r="B705" s="22">
        <f>IFERROR(__xludf.DUMMYFUNCTION("""COMPUTED_VALUE"""),4.1001186E7)</f>
        <v>41001186</v>
      </c>
      <c r="C705" s="21" t="str">
        <f>IFERROR(__xludf.DUMMYFUNCTION("""COMPUTED_VALUE"""),"226642702728")</f>
        <v>226642702728</v>
      </c>
      <c r="D705" s="21" t="str">
        <f>IFERROR(__xludf.DUMMYFUNCTION("""COMPUTED_VALUE"""),"DIGITEC TECNOLOGIA DIGITAL E REPRES")</f>
        <v>DIGITEC TECNOLOGIA DIGITAL E REPRES</v>
      </c>
      <c r="E705" s="21">
        <f>IFERROR(__xludf.DUMMYFUNCTION("""COMPUTED_VALUE"""),145359.0)</f>
        <v>145359</v>
      </c>
      <c r="F705" s="21" t="str">
        <f>IFERROR(__xludf.DUMMYFUNCTION("""COMPUTED_VALUE"""),"SUCATA")</f>
        <v>SUCATA</v>
      </c>
      <c r="G705" s="23">
        <f>IFERROR(__xludf.DUMMYFUNCTION("""COMPUTED_VALUE"""),45075.5991087963)</f>
        <v>45075.59911</v>
      </c>
      <c r="H705" s="24" t="str">
        <f>IFERROR(VLOOKUP(B705,material!A:D,3,0),"")</f>
        <v>CARD</v>
      </c>
    </row>
    <row r="706" ht="11.25" customHeight="1">
      <c r="A706" s="21" t="str">
        <f>IFERROR(__xludf.DUMMYFUNCTION("""COMPUTED_VALUE"""),"SMART CARD LARANJA")</f>
        <v>SMART CARD LARANJA</v>
      </c>
      <c r="B706" s="22">
        <f>IFERROR(__xludf.DUMMYFUNCTION("""COMPUTED_VALUE"""),4.1001186E7)</f>
        <v>41001186</v>
      </c>
      <c r="C706" s="21" t="str">
        <f>IFERROR(__xludf.DUMMYFUNCTION("""COMPUTED_VALUE"""),"226522464248")</f>
        <v>226522464248</v>
      </c>
      <c r="D706" s="21" t="str">
        <f>IFERROR(__xludf.DUMMYFUNCTION("""COMPUTED_VALUE"""),"DIGITEC TECNOLOGIA DIGITAL E REPRES")</f>
        <v>DIGITEC TECNOLOGIA DIGITAL E REPRES</v>
      </c>
      <c r="E706" s="21">
        <f>IFERROR(__xludf.DUMMYFUNCTION("""COMPUTED_VALUE"""),145359.0)</f>
        <v>145359</v>
      </c>
      <c r="F706" s="21" t="str">
        <f>IFERROR(__xludf.DUMMYFUNCTION("""COMPUTED_VALUE"""),"SUCATA")</f>
        <v>SUCATA</v>
      </c>
      <c r="G706" s="23">
        <f>IFERROR(__xludf.DUMMYFUNCTION("""COMPUTED_VALUE"""),45076.47196759259)</f>
        <v>45076.47197</v>
      </c>
      <c r="H706" s="24" t="str">
        <f>IFERROR(VLOOKUP(B706,material!A:D,3,0),"")</f>
        <v>CARD</v>
      </c>
    </row>
    <row r="707" ht="11.25" customHeight="1">
      <c r="A707" s="21" t="str">
        <f>IFERROR(__xludf.DUMMYFUNCTION("""COMPUTED_VALUE"""),"ARRIS TG1692A")</f>
        <v>ARRIS TG1692A</v>
      </c>
      <c r="B707" s="22">
        <f>IFERROR(__xludf.DUMMYFUNCTION("""COMPUTED_VALUE"""),4.1001293E7)</f>
        <v>41001293</v>
      </c>
      <c r="C707" s="21" t="str">
        <f>IFERROR(__xludf.DUMMYFUNCTION("""COMPUTED_VALUE"""),"BC644BD55DF2")</f>
        <v>BC644BD55DF2</v>
      </c>
      <c r="D707" s="21" t="str">
        <f>IFERROR(__xludf.DUMMYFUNCTION("""COMPUTED_VALUE"""),"DIGITEC TECNOLOGIA DIGITAL E REPRES")</f>
        <v>DIGITEC TECNOLOGIA DIGITAL E REPRES</v>
      </c>
      <c r="E707" s="21">
        <f>IFERROR(__xludf.DUMMYFUNCTION("""COMPUTED_VALUE"""),145359.0)</f>
        <v>145359</v>
      </c>
      <c r="F707" s="21" t="str">
        <f>IFERROR(__xludf.DUMMYFUNCTION("""COMPUTED_VALUE"""),"TRANSITO REVERSA")</f>
        <v>TRANSITO REVERSA</v>
      </c>
      <c r="G707" s="23">
        <f>IFERROR(__xludf.DUMMYFUNCTION("""COMPUTED_VALUE"""),45617.87140046296)</f>
        <v>45617.8714</v>
      </c>
      <c r="H707" s="24" t="str">
        <f>IFERROR(VLOOKUP(B707,material!A:D,3,0),"")</f>
        <v>DUAL</v>
      </c>
    </row>
    <row r="708" ht="11.25" customHeight="1">
      <c r="A708" s="21" t="str">
        <f>IFERROR(__xludf.DUMMYFUNCTION("""COMPUTED_VALUE"""),"DECODER DIGITAL HD DXC5000 2T")</f>
        <v>DECODER DIGITAL HD DXC5000 2T</v>
      </c>
      <c r="B708" s="22">
        <f>IFERROR(__xludf.DUMMYFUNCTION("""COMPUTED_VALUE"""),4.1001277E7)</f>
        <v>41001277</v>
      </c>
      <c r="C708" s="21" t="str">
        <f>IFERROR(__xludf.DUMMYFUNCTION("""COMPUTED_VALUE"""),"216659841421")</f>
        <v>216659841421</v>
      </c>
      <c r="D708" s="21" t="str">
        <f>IFERROR(__xludf.DUMMYFUNCTION("""COMPUTED_VALUE"""),"DIGITEC TECNOLOGIA DIGITAL E REPRES")</f>
        <v>DIGITEC TECNOLOGIA DIGITAL E REPRES</v>
      </c>
      <c r="E708" s="21">
        <f>IFERROR(__xludf.DUMMYFUNCTION("""COMPUTED_VALUE"""),145359.0)</f>
        <v>145359</v>
      </c>
      <c r="F708" s="21" t="str">
        <f>IFERROR(__xludf.DUMMYFUNCTION("""COMPUTED_VALUE"""),"TRANSITO REVERSA")</f>
        <v>TRANSITO REVERSA</v>
      </c>
      <c r="G708" s="23">
        <f>IFERROR(__xludf.DUMMYFUNCTION("""COMPUTED_VALUE"""),45638.52113425926)</f>
        <v>45638.52113</v>
      </c>
      <c r="H708" s="24" t="str">
        <f>IFERROR(VLOOKUP(B708,material!A:D,3,0),"")</f>
        <v>TOP MIX</v>
      </c>
    </row>
    <row r="709" ht="11.25" customHeight="1">
      <c r="A709" s="21" t="str">
        <f>IFERROR(__xludf.DUMMYFUNCTION("""COMPUTED_VALUE"""),"CISCO MODEM WIFI 3.0 DPC392")</f>
        <v>CISCO MODEM WIFI 3.0 DPC392</v>
      </c>
      <c r="B709" s="22">
        <f>IFERROR(__xludf.DUMMYFUNCTION("""COMPUTED_VALUE"""),4.100123E7)</f>
        <v>41001230</v>
      </c>
      <c r="C709" s="21" t="str">
        <f>IFERROR(__xludf.DUMMYFUNCTION("""COMPUTED_VALUE"""),"24767DCA0DBA")</f>
        <v>24767DCA0DBA</v>
      </c>
      <c r="D709" s="21" t="str">
        <f>IFERROR(__xludf.DUMMYFUNCTION("""COMPUTED_VALUE"""),"DIGITEC TECNOLOGIA DIGITAL E REPRES")</f>
        <v>DIGITEC TECNOLOGIA DIGITAL E REPRES</v>
      </c>
      <c r="E709" s="21">
        <f>IFERROR(__xludf.DUMMYFUNCTION("""COMPUTED_VALUE"""),145359.0)</f>
        <v>145359</v>
      </c>
      <c r="F709" s="21" t="str">
        <f>IFERROR(__xludf.DUMMYFUNCTION("""COMPUTED_VALUE"""),"TRANSITO REVERSA")</f>
        <v>TRANSITO REVERSA</v>
      </c>
      <c r="G709" s="23">
        <f>IFERROR(__xludf.DUMMYFUNCTION("""COMPUTED_VALUE"""),45633.003958333335)</f>
        <v>45633.00396</v>
      </c>
      <c r="H709" s="24" t="str">
        <f>IFERROR(VLOOKUP(B709,material!A:D,3,0),"")</f>
        <v>SINGLE</v>
      </c>
    </row>
    <row r="710" ht="11.25" customHeight="1">
      <c r="A710" s="21" t="str">
        <f>IFERROR(__xludf.DUMMYFUNCTION("""COMPUTED_VALUE"""),"SMART CARD LARANJA")</f>
        <v>SMART CARD LARANJA</v>
      </c>
      <c r="B710" s="22">
        <f>IFERROR(__xludf.DUMMYFUNCTION("""COMPUTED_VALUE"""),4.1001186E7)</f>
        <v>41001186</v>
      </c>
      <c r="C710" s="21" t="str">
        <f>IFERROR(__xludf.DUMMYFUNCTION("""COMPUTED_VALUE"""),"215646510618")</f>
        <v>215646510618</v>
      </c>
      <c r="D710" s="21" t="str">
        <f>IFERROR(__xludf.DUMMYFUNCTION("""COMPUTED_VALUE"""),"DIGITEC TECNOLOGIA DIGITAL E REPRES")</f>
        <v>DIGITEC TECNOLOGIA DIGITAL E REPRES</v>
      </c>
      <c r="E710" s="21">
        <f>IFERROR(__xludf.DUMMYFUNCTION("""COMPUTED_VALUE"""),145359.0)</f>
        <v>145359</v>
      </c>
      <c r="F710" s="21" t="str">
        <f>IFERROR(__xludf.DUMMYFUNCTION("""COMPUTED_VALUE"""),"SUCATA")</f>
        <v>SUCATA</v>
      </c>
      <c r="G710" s="23">
        <f>IFERROR(__xludf.DUMMYFUNCTION("""COMPUTED_VALUE"""),45075.586851851855)</f>
        <v>45075.58685</v>
      </c>
      <c r="H710" s="24" t="str">
        <f>IFERROR(VLOOKUP(B710,material!A:D,3,0),"")</f>
        <v>CARD</v>
      </c>
    </row>
    <row r="711" ht="11.25" customHeight="1">
      <c r="A711" s="21" t="str">
        <f>IFERROR(__xludf.DUMMYFUNCTION("""COMPUTED_VALUE"""),"SMART CARD LARANJA NAGRA")</f>
        <v>SMART CARD LARANJA NAGRA</v>
      </c>
      <c r="B711" s="22">
        <f>IFERROR(__xludf.DUMMYFUNCTION("""COMPUTED_VALUE"""),4.1001186E7)</f>
        <v>41001186</v>
      </c>
      <c r="C711" s="21" t="str">
        <f>IFERROR(__xludf.DUMMYFUNCTION("""COMPUTED_VALUE"""),"225961844765")</f>
        <v>225961844765</v>
      </c>
      <c r="D711" s="21" t="str">
        <f>IFERROR(__xludf.DUMMYFUNCTION("""COMPUTED_VALUE"""),"DIGITEC TECNOLOGIA DIGITAL E REPRES")</f>
        <v>DIGITEC TECNOLOGIA DIGITAL E REPRES</v>
      </c>
      <c r="E711" s="21">
        <f>IFERROR(__xludf.DUMMYFUNCTION("""COMPUTED_VALUE"""),145359.0)</f>
        <v>145359</v>
      </c>
      <c r="F711" s="21" t="str">
        <f>IFERROR(__xludf.DUMMYFUNCTION("""COMPUTED_VALUE"""),"SUCATA")</f>
        <v>SUCATA</v>
      </c>
      <c r="G711" s="23">
        <f>IFERROR(__xludf.DUMMYFUNCTION("""COMPUTED_VALUE"""),45076.50159722222)</f>
        <v>45076.5016</v>
      </c>
      <c r="H711" s="24" t="str">
        <f>IFERROR(VLOOKUP(B711,material!A:D,3,0),"")</f>
        <v>CARD</v>
      </c>
    </row>
    <row r="712" ht="11.25" customHeight="1">
      <c r="A712" s="21" t="str">
        <f>IFERROR(__xludf.DUMMYFUNCTION("""COMPUTED_VALUE"""),"SMART CARD LARANJA NAGRA")</f>
        <v>SMART CARD LARANJA NAGRA</v>
      </c>
      <c r="B712" s="22">
        <f>IFERROR(__xludf.DUMMYFUNCTION("""COMPUTED_VALUE"""),4.1001186E7)</f>
        <v>41001186</v>
      </c>
      <c r="C712" s="21" t="str">
        <f>IFERROR(__xludf.DUMMYFUNCTION("""COMPUTED_VALUE"""),"226605160221")</f>
        <v>226605160221</v>
      </c>
      <c r="D712" s="21" t="str">
        <f>IFERROR(__xludf.DUMMYFUNCTION("""COMPUTED_VALUE"""),"DIGITEC TECNOLOGIA DIGITAL E REPRES")</f>
        <v>DIGITEC TECNOLOGIA DIGITAL E REPRES</v>
      </c>
      <c r="E712" s="21">
        <f>IFERROR(__xludf.DUMMYFUNCTION("""COMPUTED_VALUE"""),145359.0)</f>
        <v>145359</v>
      </c>
      <c r="F712" s="21" t="str">
        <f>IFERROR(__xludf.DUMMYFUNCTION("""COMPUTED_VALUE"""),"SUCATA")</f>
        <v>SUCATA</v>
      </c>
      <c r="G712" s="23">
        <f>IFERROR(__xludf.DUMMYFUNCTION("""COMPUTED_VALUE"""),45075.59909722222)</f>
        <v>45075.5991</v>
      </c>
      <c r="H712" s="24" t="str">
        <f>IFERROR(VLOOKUP(B712,material!A:D,3,0),"")</f>
        <v>CARD</v>
      </c>
    </row>
    <row r="713" ht="11.25" customHeight="1">
      <c r="A713" s="21" t="str">
        <f>IFERROR(__xludf.DUMMYFUNCTION("""COMPUTED_VALUE"""),"SMART CARD LARANJA NAGRA")</f>
        <v>SMART CARD LARANJA NAGRA</v>
      </c>
      <c r="B713" s="22">
        <f>IFERROR(__xludf.DUMMYFUNCTION("""COMPUTED_VALUE"""),4.1001186E7)</f>
        <v>41001186</v>
      </c>
      <c r="C713" s="21" t="str">
        <f>IFERROR(__xludf.DUMMYFUNCTION("""COMPUTED_VALUE"""),"226448514865")</f>
        <v>226448514865</v>
      </c>
      <c r="D713" s="21" t="str">
        <f>IFERROR(__xludf.DUMMYFUNCTION("""COMPUTED_VALUE"""),"DIGITEC TECNOLOGIA DIGITAL E REPRES")</f>
        <v>DIGITEC TECNOLOGIA DIGITAL E REPRES</v>
      </c>
      <c r="E713" s="21">
        <f>IFERROR(__xludf.DUMMYFUNCTION("""COMPUTED_VALUE"""),145359.0)</f>
        <v>145359</v>
      </c>
      <c r="F713" s="21" t="str">
        <f>IFERROR(__xludf.DUMMYFUNCTION("""COMPUTED_VALUE"""),"SUCATA")</f>
        <v>SUCATA</v>
      </c>
      <c r="G713" s="23">
        <f>IFERROR(__xludf.DUMMYFUNCTION("""COMPUTED_VALUE"""),45076.51435185185)</f>
        <v>45076.51435</v>
      </c>
      <c r="H713" s="24" t="str">
        <f>IFERROR(VLOOKUP(B713,material!A:D,3,0),"")</f>
        <v>CARD</v>
      </c>
    </row>
    <row r="714" ht="11.25" customHeight="1">
      <c r="A714" s="21" t="str">
        <f>IFERROR(__xludf.DUMMYFUNCTION("""COMPUTED_VALUE"""),"SMART CARD LARANJA NAGRA")</f>
        <v>SMART CARD LARANJA NAGRA</v>
      </c>
      <c r="B714" s="22">
        <f>IFERROR(__xludf.DUMMYFUNCTION("""COMPUTED_VALUE"""),4.1001186E7)</f>
        <v>41001186</v>
      </c>
      <c r="C714" s="21" t="str">
        <f>IFERROR(__xludf.DUMMYFUNCTION("""COMPUTED_VALUE"""),"215748356168")</f>
        <v>215748356168</v>
      </c>
      <c r="D714" s="21" t="str">
        <f>IFERROR(__xludf.DUMMYFUNCTION("""COMPUTED_VALUE"""),"DIGITEC TECNOLOGIA DIGITAL E REPRES")</f>
        <v>DIGITEC TECNOLOGIA DIGITAL E REPRES</v>
      </c>
      <c r="E714" s="21">
        <f>IFERROR(__xludf.DUMMYFUNCTION("""COMPUTED_VALUE"""),145359.0)</f>
        <v>145359</v>
      </c>
      <c r="F714" s="21" t="str">
        <f>IFERROR(__xludf.DUMMYFUNCTION("""COMPUTED_VALUE"""),"SUCATA")</f>
        <v>SUCATA</v>
      </c>
      <c r="G714" s="23">
        <f>IFERROR(__xludf.DUMMYFUNCTION("""COMPUTED_VALUE"""),45075.62226851852)</f>
        <v>45075.62227</v>
      </c>
      <c r="H714" s="24" t="str">
        <f>IFERROR(VLOOKUP(B714,material!A:D,3,0),"")</f>
        <v>CARD</v>
      </c>
    </row>
    <row r="715" ht="11.25" customHeight="1">
      <c r="A715" s="21" t="str">
        <f>IFERROR(__xludf.DUMMYFUNCTION("""COMPUTED_VALUE"""),"SMART CARD LARANJA NAGRA")</f>
        <v>SMART CARD LARANJA NAGRA</v>
      </c>
      <c r="B715" s="22">
        <f>IFERROR(__xludf.DUMMYFUNCTION("""COMPUTED_VALUE"""),4.1001186E7)</f>
        <v>41001186</v>
      </c>
      <c r="C715" s="21" t="str">
        <f>IFERROR(__xludf.DUMMYFUNCTION("""COMPUTED_VALUE"""),"215785446982")</f>
        <v>215785446982</v>
      </c>
      <c r="D715" s="21" t="str">
        <f>IFERROR(__xludf.DUMMYFUNCTION("""COMPUTED_VALUE"""),"DIGITEC TECNOLOGIA DIGITAL E REPRES")</f>
        <v>DIGITEC TECNOLOGIA DIGITAL E REPRES</v>
      </c>
      <c r="E715" s="21">
        <f>IFERROR(__xludf.DUMMYFUNCTION("""COMPUTED_VALUE"""),145359.0)</f>
        <v>145359</v>
      </c>
      <c r="F715" s="21" t="str">
        <f>IFERROR(__xludf.DUMMYFUNCTION("""COMPUTED_VALUE"""),"SUCATA")</f>
        <v>SUCATA</v>
      </c>
      <c r="G715" s="23">
        <f>IFERROR(__xludf.DUMMYFUNCTION("""COMPUTED_VALUE"""),45075.62224537037)</f>
        <v>45075.62225</v>
      </c>
      <c r="H715" s="24" t="str">
        <f>IFERROR(VLOOKUP(B715,material!A:D,3,0),"")</f>
        <v>CARD</v>
      </c>
    </row>
    <row r="716" ht="11.25" customHeight="1">
      <c r="A716" s="21" t="str">
        <f>IFERROR(__xludf.DUMMYFUNCTION("""COMPUTED_VALUE"""),"SMART CARD LARANJA NAGRA")</f>
        <v>SMART CARD LARANJA NAGRA</v>
      </c>
      <c r="B716" s="22">
        <f>IFERROR(__xludf.DUMMYFUNCTION("""COMPUTED_VALUE"""),4.1001186E7)</f>
        <v>41001186</v>
      </c>
      <c r="C716" s="21" t="str">
        <f>IFERROR(__xludf.DUMMYFUNCTION("""COMPUTED_VALUE"""),"215672336078")</f>
        <v>215672336078</v>
      </c>
      <c r="D716" s="21" t="str">
        <f>IFERROR(__xludf.DUMMYFUNCTION("""COMPUTED_VALUE"""),"DIGITEC TECNOLOGIA DIGITAL E REPRES")</f>
        <v>DIGITEC TECNOLOGIA DIGITAL E REPRES</v>
      </c>
      <c r="E716" s="21">
        <f>IFERROR(__xludf.DUMMYFUNCTION("""COMPUTED_VALUE"""),145359.0)</f>
        <v>145359</v>
      </c>
      <c r="F716" s="21" t="str">
        <f>IFERROR(__xludf.DUMMYFUNCTION("""COMPUTED_VALUE"""),"SUCATA")</f>
        <v>SUCATA</v>
      </c>
      <c r="G716" s="23">
        <f>IFERROR(__xludf.DUMMYFUNCTION("""COMPUTED_VALUE"""),45075.58660879629)</f>
        <v>45075.58661</v>
      </c>
      <c r="H716" s="24" t="str">
        <f>IFERROR(VLOOKUP(B716,material!A:D,3,0),"")</f>
        <v>CARD</v>
      </c>
    </row>
    <row r="717" ht="11.25" customHeight="1">
      <c r="A717" s="21" t="str">
        <f>IFERROR(__xludf.DUMMYFUNCTION("""COMPUTED_VALUE"""),"SMART CARD AVULSO MINI")</f>
        <v>SMART CARD AVULSO MINI</v>
      </c>
      <c r="B717" s="22">
        <f>IFERROR(__xludf.DUMMYFUNCTION("""COMPUTED_VALUE"""),4.1001508E7)</f>
        <v>41001508</v>
      </c>
      <c r="C717" s="21" t="str">
        <f>IFERROR(__xludf.DUMMYFUNCTION("""COMPUTED_VALUE"""),"246229085964")</f>
        <v>246229085964</v>
      </c>
      <c r="D717" s="21" t="str">
        <f>IFERROR(__xludf.DUMMYFUNCTION("""COMPUTED_VALUE"""),"DIGITEC TECNOLOGIA DIGITAL E REPRES")</f>
        <v>DIGITEC TECNOLOGIA DIGITAL E REPRES</v>
      </c>
      <c r="E717" s="21">
        <f>IFERROR(__xludf.DUMMYFUNCTION("""COMPUTED_VALUE"""),145359.0)</f>
        <v>145359</v>
      </c>
      <c r="F717" s="21" t="str">
        <f>IFERROR(__xludf.DUMMYFUNCTION("""COMPUTED_VALUE"""),"SUSPEITO")</f>
        <v>SUSPEITO</v>
      </c>
      <c r="G717" s="23">
        <f>IFERROR(__xludf.DUMMYFUNCTION("""COMPUTED_VALUE"""),45639.727581018524)</f>
        <v>45639.72758</v>
      </c>
      <c r="H717" s="24" t="str">
        <f>IFERROR(VLOOKUP(B717,material!A:D,3,0),"")</f>
        <v>SIM CARD</v>
      </c>
    </row>
    <row r="718" ht="11.25" customHeight="1">
      <c r="A718" s="21" t="str">
        <f>IFERROR(__xludf.DUMMYFUNCTION("""COMPUTED_VALUE"""),"SMART CARD LARANJA NAGRA")</f>
        <v>SMART CARD LARANJA NAGRA</v>
      </c>
      <c r="B718" s="22">
        <f>IFERROR(__xludf.DUMMYFUNCTION("""COMPUTED_VALUE"""),4.1001186E7)</f>
        <v>41001186</v>
      </c>
      <c r="C718" s="21" t="str">
        <f>IFERROR(__xludf.DUMMYFUNCTION("""COMPUTED_VALUE"""),"226684596973")</f>
        <v>226684596973</v>
      </c>
      <c r="D718" s="21" t="str">
        <f>IFERROR(__xludf.DUMMYFUNCTION("""COMPUTED_VALUE"""),"DIGITEC TECNOLOGIA DIGITAL E REPRES")</f>
        <v>DIGITEC TECNOLOGIA DIGITAL E REPRES</v>
      </c>
      <c r="E718" s="21">
        <f>IFERROR(__xludf.DUMMYFUNCTION("""COMPUTED_VALUE"""),145359.0)</f>
        <v>145359</v>
      </c>
      <c r="F718" s="21" t="str">
        <f>IFERROR(__xludf.DUMMYFUNCTION("""COMPUTED_VALUE"""),"SUSPEITO")</f>
        <v>SUSPEITO</v>
      </c>
      <c r="G718" s="23">
        <f>IFERROR(__xludf.DUMMYFUNCTION("""COMPUTED_VALUE"""),45643.39576388889)</f>
        <v>45643.39576</v>
      </c>
      <c r="H718" s="24" t="str">
        <f>IFERROR(VLOOKUP(B718,material!A:D,3,0),"")</f>
        <v>CARD</v>
      </c>
    </row>
    <row r="719" ht="11.25" customHeight="1">
      <c r="A719" s="21" t="str">
        <f>IFERROR(__xludf.DUMMYFUNCTION("""COMPUTED_VALUE"""),"DECODER DIGITAL HD HNB100 2T")</f>
        <v>DECODER DIGITAL HD HNB100 2T</v>
      </c>
      <c r="B719" s="22">
        <f>IFERROR(__xludf.DUMMYFUNCTION("""COMPUTED_VALUE"""),4.1001276E7)</f>
        <v>41001276</v>
      </c>
      <c r="C719" s="21" t="str">
        <f>IFERROR(__xludf.DUMMYFUNCTION("""COMPUTED_VALUE"""),"216634162641")</f>
        <v>216634162641</v>
      </c>
      <c r="D719" s="21" t="str">
        <f>IFERROR(__xludf.DUMMYFUNCTION("""COMPUTED_VALUE"""),"DIGITEC TECNOLOGIA DIGITAL E REPRES")</f>
        <v>DIGITEC TECNOLOGIA DIGITAL E REPRES</v>
      </c>
      <c r="E719" s="21">
        <f>IFERROR(__xludf.DUMMYFUNCTION("""COMPUTED_VALUE"""),145359.0)</f>
        <v>145359</v>
      </c>
      <c r="F719" s="21" t="str">
        <f>IFERROR(__xludf.DUMMYFUNCTION("""COMPUTED_VALUE"""),"INICIALIZADO")</f>
        <v>INICIALIZADO</v>
      </c>
      <c r="G719" s="23">
        <f>IFERROR(__xludf.DUMMYFUNCTION("""COMPUTED_VALUE"""),45635.53506944445)</f>
        <v>45635.53507</v>
      </c>
      <c r="H719" s="24" t="str">
        <f>IFERROR(VLOOKUP(B719,material!A:D,3,0),"")</f>
        <v>TOP MIX</v>
      </c>
    </row>
    <row r="720" ht="11.25" customHeight="1">
      <c r="A720" s="21" t="str">
        <f>IFERROR(__xludf.DUMMYFUNCTION("""COMPUTED_VALUE"""),"SMART CARD PRETO NAGRA")</f>
        <v>SMART CARD PRETO NAGRA</v>
      </c>
      <c r="B720" s="22">
        <f>IFERROR(__xludf.DUMMYFUNCTION("""COMPUTED_VALUE"""),4.1001234E7)</f>
        <v>41001234</v>
      </c>
      <c r="C720" s="21" t="str">
        <f>IFERROR(__xludf.DUMMYFUNCTION("""COMPUTED_VALUE"""),"246261963842")</f>
        <v>246261963842</v>
      </c>
      <c r="D720" s="21" t="str">
        <f>IFERROR(__xludf.DUMMYFUNCTION("""COMPUTED_VALUE"""),"DIGITEC TECNOLOGIA DIGITAL E REPRES")</f>
        <v>DIGITEC TECNOLOGIA DIGITAL E REPRES</v>
      </c>
      <c r="E720" s="21">
        <f>IFERROR(__xludf.DUMMYFUNCTION("""COMPUTED_VALUE"""),145359.0)</f>
        <v>145359</v>
      </c>
      <c r="F720" s="21" t="str">
        <f>IFERROR(__xludf.DUMMYFUNCTION("""COMPUTED_VALUE"""),"INICIALIZADO")</f>
        <v>INICIALIZADO</v>
      </c>
      <c r="G720" s="23">
        <f>IFERROR(__xludf.DUMMYFUNCTION("""COMPUTED_VALUE"""),45635.53493055556)</f>
        <v>45635.53493</v>
      </c>
      <c r="H720" s="24" t="str">
        <f>IFERROR(VLOOKUP(B720,material!A:D,3,0),"")</f>
        <v>CARD</v>
      </c>
    </row>
    <row r="721" ht="11.25" customHeight="1">
      <c r="A721" s="21" t="str">
        <f>IFERROR(__xludf.DUMMYFUNCTION("""COMPUTED_VALUE"""),"SMART CARD PRETO NAGRA")</f>
        <v>SMART CARD PRETO NAGRA</v>
      </c>
      <c r="B721" s="22">
        <f>IFERROR(__xludf.DUMMYFUNCTION("""COMPUTED_VALUE"""),4.1001234E7)</f>
        <v>41001234</v>
      </c>
      <c r="C721" s="21" t="str">
        <f>IFERROR(__xludf.DUMMYFUNCTION("""COMPUTED_VALUE"""),"246261146478")</f>
        <v>246261146478</v>
      </c>
      <c r="D721" s="21" t="str">
        <f>IFERROR(__xludf.DUMMYFUNCTION("""COMPUTED_VALUE"""),"DIGITEC TECNOLOGIA DIGITAL E REPRES")</f>
        <v>DIGITEC TECNOLOGIA DIGITAL E REPRES</v>
      </c>
      <c r="E721" s="21">
        <f>IFERROR(__xludf.DUMMYFUNCTION("""COMPUTED_VALUE"""),145359.0)</f>
        <v>145359</v>
      </c>
      <c r="F721" s="21" t="str">
        <f>IFERROR(__xludf.DUMMYFUNCTION("""COMPUTED_VALUE"""),"INICIALIZADO")</f>
        <v>INICIALIZADO</v>
      </c>
      <c r="G721" s="23">
        <f>IFERROR(__xludf.DUMMYFUNCTION("""COMPUTED_VALUE"""),45642.52410879629)</f>
        <v>45642.52411</v>
      </c>
      <c r="H721" s="24" t="str">
        <f>IFERROR(VLOOKUP(B721,material!A:D,3,0),"")</f>
        <v>CARD</v>
      </c>
    </row>
    <row r="722" ht="11.25" customHeight="1">
      <c r="A722" s="21" t="str">
        <f>IFERROR(__xludf.DUMMYFUNCTION("""COMPUTED_VALUE"""),"SMART CARD PRETO NAGRA")</f>
        <v>SMART CARD PRETO NAGRA</v>
      </c>
      <c r="B722" s="22">
        <f>IFERROR(__xludf.DUMMYFUNCTION("""COMPUTED_VALUE"""),4.1001234E7)</f>
        <v>41001234</v>
      </c>
      <c r="C722" s="21" t="str">
        <f>IFERROR(__xludf.DUMMYFUNCTION("""COMPUTED_VALUE"""),"226384859113")</f>
        <v>226384859113</v>
      </c>
      <c r="D722" s="21" t="str">
        <f>IFERROR(__xludf.DUMMYFUNCTION("""COMPUTED_VALUE"""),"DIGITEC TECNOLOGIA DIGITAL E REPRES")</f>
        <v>DIGITEC TECNOLOGIA DIGITAL E REPRES</v>
      </c>
      <c r="E722" s="21">
        <f>IFERROR(__xludf.DUMMYFUNCTION("""COMPUTED_VALUE"""),145359.0)</f>
        <v>145359</v>
      </c>
      <c r="F722" s="21" t="str">
        <f>IFERROR(__xludf.DUMMYFUNCTION("""COMPUTED_VALUE"""),"INICIALIZADO")</f>
        <v>INICIALIZADO</v>
      </c>
      <c r="G722" s="23">
        <f>IFERROR(__xludf.DUMMYFUNCTION("""COMPUTED_VALUE"""),45635.534953703704)</f>
        <v>45635.53495</v>
      </c>
      <c r="H722" s="24" t="str">
        <f>IFERROR(VLOOKUP(B722,material!A:D,3,0),"")</f>
        <v>CARD</v>
      </c>
    </row>
    <row r="723" ht="11.25" customHeight="1">
      <c r="A723" s="21" t="str">
        <f>IFERROR(__xludf.DUMMYFUNCTION("""COMPUTED_VALUE"""),"SMART CARD PRETO NAGRA")</f>
        <v>SMART CARD PRETO NAGRA</v>
      </c>
      <c r="B723" s="22">
        <f>IFERROR(__xludf.DUMMYFUNCTION("""COMPUTED_VALUE"""),4.1001234E7)</f>
        <v>41001234</v>
      </c>
      <c r="C723" s="21" t="str">
        <f>IFERROR(__xludf.DUMMYFUNCTION("""COMPUTED_VALUE"""),"226308674461")</f>
        <v>226308674461</v>
      </c>
      <c r="D723" s="21" t="str">
        <f>IFERROR(__xludf.DUMMYFUNCTION("""COMPUTED_VALUE"""),"DIGITEC TECNOLOGIA DIGITAL E REPRES")</f>
        <v>DIGITEC TECNOLOGIA DIGITAL E REPRES</v>
      </c>
      <c r="E723" s="21">
        <f>IFERROR(__xludf.DUMMYFUNCTION("""COMPUTED_VALUE"""),145359.0)</f>
        <v>145359</v>
      </c>
      <c r="F723" s="21" t="str">
        <f>IFERROR(__xludf.DUMMYFUNCTION("""COMPUTED_VALUE"""),"INICIALIZADO")</f>
        <v>INICIALIZADO</v>
      </c>
      <c r="G723" s="23">
        <f>IFERROR(__xludf.DUMMYFUNCTION("""COMPUTED_VALUE"""),45635.53496527778)</f>
        <v>45635.53497</v>
      </c>
      <c r="H723" s="24" t="str">
        <f>IFERROR(VLOOKUP(B723,material!A:D,3,0),"")</f>
        <v>CARD</v>
      </c>
    </row>
    <row r="724" ht="11.25" customHeight="1">
      <c r="A724" s="21" t="str">
        <f>IFERROR(__xludf.DUMMYFUNCTION("""COMPUTED_VALUE"""),"SMART CARD PRETO NAGRA")</f>
        <v>SMART CARD PRETO NAGRA</v>
      </c>
      <c r="B724" s="22">
        <f>IFERROR(__xludf.DUMMYFUNCTION("""COMPUTED_VALUE"""),4.1001234E7)</f>
        <v>41001234</v>
      </c>
      <c r="C724" s="21" t="str">
        <f>IFERROR(__xludf.DUMMYFUNCTION("""COMPUTED_VALUE"""),"246107585779")</f>
        <v>246107585779</v>
      </c>
      <c r="D724" s="21" t="str">
        <f>IFERROR(__xludf.DUMMYFUNCTION("""COMPUTED_VALUE"""),"DIGITEC TECNOLOGIA DIGITAL E REPRES")</f>
        <v>DIGITEC TECNOLOGIA DIGITAL E REPRES</v>
      </c>
      <c r="E724" s="21">
        <f>IFERROR(__xludf.DUMMYFUNCTION("""COMPUTED_VALUE"""),145359.0)</f>
        <v>145359</v>
      </c>
      <c r="F724" s="21" t="str">
        <f>IFERROR(__xludf.DUMMYFUNCTION("""COMPUTED_VALUE"""),"INICIALIZADO")</f>
        <v>INICIALIZADO</v>
      </c>
      <c r="G724" s="23">
        <f>IFERROR(__xludf.DUMMYFUNCTION("""COMPUTED_VALUE"""),45635.534907407404)</f>
        <v>45635.53491</v>
      </c>
      <c r="H724" s="24" t="str">
        <f>IFERROR(VLOOKUP(B724,material!A:D,3,0),"")</f>
        <v>CARD</v>
      </c>
    </row>
    <row r="725" ht="11.25" customHeight="1">
      <c r="A725" s="21" t="str">
        <f>IFERROR(__xludf.DUMMYFUNCTION("""COMPUTED_VALUE"""),"SMART CARD PRETO NAGRA")</f>
        <v>SMART CARD PRETO NAGRA</v>
      </c>
      <c r="B725" s="22">
        <f>IFERROR(__xludf.DUMMYFUNCTION("""COMPUTED_VALUE"""),4.1001234E7)</f>
        <v>41001234</v>
      </c>
      <c r="C725" s="21" t="str">
        <f>IFERROR(__xludf.DUMMYFUNCTION("""COMPUTED_VALUE"""),"246306025269")</f>
        <v>246306025269</v>
      </c>
      <c r="D725" s="21" t="str">
        <f>IFERROR(__xludf.DUMMYFUNCTION("""COMPUTED_VALUE"""),"DIGITEC TECNOLOGIA DIGITAL E REPRES")</f>
        <v>DIGITEC TECNOLOGIA DIGITAL E REPRES</v>
      </c>
      <c r="E725" s="21">
        <f>IFERROR(__xludf.DUMMYFUNCTION("""COMPUTED_VALUE"""),145359.0)</f>
        <v>145359</v>
      </c>
      <c r="F725" s="21" t="str">
        <f>IFERROR(__xludf.DUMMYFUNCTION("""COMPUTED_VALUE"""),"INICIALIZADO")</f>
        <v>INICIALIZADO</v>
      </c>
      <c r="G725" s="23">
        <f>IFERROR(__xludf.DUMMYFUNCTION("""COMPUTED_VALUE"""),45573.66677083333)</f>
        <v>45573.66677</v>
      </c>
      <c r="H725" s="24" t="str">
        <f>IFERROR(VLOOKUP(B725,material!A:D,3,0),"")</f>
        <v>CARD</v>
      </c>
    </row>
    <row r="726" ht="11.25" customHeight="1">
      <c r="A726" s="21" t="str">
        <f>IFERROR(__xludf.DUMMYFUNCTION("""COMPUTED_VALUE"""),"SMART CARD PRETO NAGRA")</f>
        <v>SMART CARD PRETO NAGRA</v>
      </c>
      <c r="B726" s="22">
        <f>IFERROR(__xludf.DUMMYFUNCTION("""COMPUTED_VALUE"""),4.1001234E7)</f>
        <v>41001234</v>
      </c>
      <c r="C726" s="21" t="str">
        <f>IFERROR(__xludf.DUMMYFUNCTION("""COMPUTED_VALUE"""),"226317130113")</f>
        <v>226317130113</v>
      </c>
      <c r="D726" s="21" t="str">
        <f>IFERROR(__xludf.DUMMYFUNCTION("""COMPUTED_VALUE"""),"DIGITEC TECNOLOGIA DIGITAL E REPRES")</f>
        <v>DIGITEC TECNOLOGIA DIGITAL E REPRES</v>
      </c>
      <c r="E726" s="21">
        <f>IFERROR(__xludf.DUMMYFUNCTION("""COMPUTED_VALUE"""),145359.0)</f>
        <v>145359</v>
      </c>
      <c r="F726" s="21" t="str">
        <f>IFERROR(__xludf.DUMMYFUNCTION("""COMPUTED_VALUE"""),"INICIALIZADO")</f>
        <v>INICIALIZADO</v>
      </c>
      <c r="G726" s="23">
        <f>IFERROR(__xludf.DUMMYFUNCTION("""COMPUTED_VALUE"""),45635.53496527778)</f>
        <v>45635.53497</v>
      </c>
      <c r="H726" s="24" t="str">
        <f>IFERROR(VLOOKUP(B726,material!A:D,3,0),"")</f>
        <v>CARD</v>
      </c>
    </row>
    <row r="727" ht="11.25" customHeight="1">
      <c r="A727" s="21" t="str">
        <f>IFERROR(__xludf.DUMMYFUNCTION("""COMPUTED_VALUE"""),"SMART CARD PRETO NAGRA")</f>
        <v>SMART CARD PRETO NAGRA</v>
      </c>
      <c r="B727" s="22">
        <f>IFERROR(__xludf.DUMMYFUNCTION("""COMPUTED_VALUE"""),4.1001234E7)</f>
        <v>41001234</v>
      </c>
      <c r="C727" s="21" t="str">
        <f>IFERROR(__xludf.DUMMYFUNCTION("""COMPUTED_VALUE"""),"226111659699")</f>
        <v>226111659699</v>
      </c>
      <c r="D727" s="21" t="str">
        <f>IFERROR(__xludf.DUMMYFUNCTION("""COMPUTED_VALUE"""),"DIGITEC TECNOLOGIA DIGITAL E REPRES")</f>
        <v>DIGITEC TECNOLOGIA DIGITAL E REPRES</v>
      </c>
      <c r="E727" s="21">
        <f>IFERROR(__xludf.DUMMYFUNCTION("""COMPUTED_VALUE"""),145359.0)</f>
        <v>145359</v>
      </c>
      <c r="F727" s="21" t="str">
        <f>IFERROR(__xludf.DUMMYFUNCTION("""COMPUTED_VALUE"""),"INICIALIZADO")</f>
        <v>INICIALIZADO</v>
      </c>
      <c r="G727" s="23">
        <f>IFERROR(__xludf.DUMMYFUNCTION("""COMPUTED_VALUE"""),45635.534953703704)</f>
        <v>45635.53495</v>
      </c>
      <c r="H727" s="24" t="str">
        <f>IFERROR(VLOOKUP(B727,material!A:D,3,0),"")</f>
        <v>CARD</v>
      </c>
    </row>
    <row r="728" ht="11.25" customHeight="1">
      <c r="A728" s="21" t="str">
        <f>IFERROR(__xludf.DUMMYFUNCTION("""COMPUTED_VALUE"""),"SMART CARD AVULSO MINI")</f>
        <v>SMART CARD AVULSO MINI</v>
      </c>
      <c r="B728" s="22">
        <f>IFERROR(__xludf.DUMMYFUNCTION("""COMPUTED_VALUE"""),4.1001508E7)</f>
        <v>41001508</v>
      </c>
      <c r="C728" s="21" t="str">
        <f>IFERROR(__xludf.DUMMYFUNCTION("""COMPUTED_VALUE"""),"226250130207")</f>
        <v>226250130207</v>
      </c>
      <c r="D728" s="21" t="str">
        <f>IFERROR(__xludf.DUMMYFUNCTION("""COMPUTED_VALUE"""),"DIGITEC TECNOLOGIA DIGITAL E REPRES")</f>
        <v>DIGITEC TECNOLOGIA DIGITAL E REPRES</v>
      </c>
      <c r="E728" s="21">
        <f>IFERROR(__xludf.DUMMYFUNCTION("""COMPUTED_VALUE"""),145359.0)</f>
        <v>145359</v>
      </c>
      <c r="F728" s="21" t="str">
        <f>IFERROR(__xludf.DUMMYFUNCTION("""COMPUTED_VALUE"""),"TRANSITO REVERSA")</f>
        <v>TRANSITO REVERSA</v>
      </c>
      <c r="G728" s="23">
        <f>IFERROR(__xludf.DUMMYFUNCTION("""COMPUTED_VALUE"""),45626.29871527778)</f>
        <v>45626.29872</v>
      </c>
      <c r="H728" s="24" t="str">
        <f>IFERROR(VLOOKUP(B728,material!A:D,3,0),"")</f>
        <v>SIM CARD</v>
      </c>
    </row>
    <row r="729" ht="11.25" customHeight="1">
      <c r="A729" s="21" t="str">
        <f>IFERROR(__xludf.DUMMYFUNCTION("""COMPUTED_VALUE"""),"TECHNICOLOR TC7337NET")</f>
        <v>TECHNICOLOR TC7337NET</v>
      </c>
      <c r="B729" s="22">
        <f>IFERROR(__xludf.DUMMYFUNCTION("""COMPUTED_VALUE"""),4.1001294E7)</f>
        <v>41001294</v>
      </c>
      <c r="C729" s="21" t="str">
        <f>IFERROR(__xludf.DUMMYFUNCTION("""COMPUTED_VALUE"""),"B42A0E19CA67")</f>
        <v>B42A0E19CA67</v>
      </c>
      <c r="D729" s="21" t="str">
        <f>IFERROR(__xludf.DUMMYFUNCTION("""COMPUTED_VALUE"""),"DIGITEC TECNOLOGIA DIGITAL E REPRES")</f>
        <v>DIGITEC TECNOLOGIA DIGITAL E REPRES</v>
      </c>
      <c r="E729" s="21">
        <f>IFERROR(__xludf.DUMMYFUNCTION("""COMPUTED_VALUE"""),145359.0)</f>
        <v>145359</v>
      </c>
      <c r="F729" s="21" t="str">
        <f>IFERROR(__xludf.DUMMYFUNCTION("""COMPUTED_VALUE"""),"TRANSITO REVERSA")</f>
        <v>TRANSITO REVERSA</v>
      </c>
      <c r="G729" s="23">
        <f>IFERROR(__xludf.DUMMYFUNCTION("""COMPUTED_VALUE"""),45638.52061342592)</f>
        <v>45638.52061</v>
      </c>
      <c r="H729" s="24" t="str">
        <f>IFERROR(VLOOKUP(B729,material!A:D,3,0),"")</f>
        <v>DUAL</v>
      </c>
    </row>
    <row r="730" ht="11.25" customHeight="1">
      <c r="A730" s="21" t="str">
        <f>IFERROR(__xludf.DUMMYFUNCTION("""COMPUTED_VALUE"""),"ARRIS TG1692A")</f>
        <v>ARRIS TG1692A</v>
      </c>
      <c r="B730" s="22">
        <f>IFERROR(__xludf.DUMMYFUNCTION("""COMPUTED_VALUE"""),4.1001293E7)</f>
        <v>41001293</v>
      </c>
      <c r="C730" s="21" t="str">
        <f>IFERROR(__xludf.DUMMYFUNCTION("""COMPUTED_VALUE"""),"BC644BE18DE8")</f>
        <v>BC644BE18DE8</v>
      </c>
      <c r="D730" s="21" t="str">
        <f>IFERROR(__xludf.DUMMYFUNCTION("""COMPUTED_VALUE"""),"DIGITEC TECNOLOGIA DIGITAL E REPRES")</f>
        <v>DIGITEC TECNOLOGIA DIGITAL E REPRES</v>
      </c>
      <c r="E730" s="21">
        <f>IFERROR(__xludf.DUMMYFUNCTION("""COMPUTED_VALUE"""),145359.0)</f>
        <v>145359</v>
      </c>
      <c r="F730" s="21" t="str">
        <f>IFERROR(__xludf.DUMMYFUNCTION("""COMPUTED_VALUE"""),"TRANSITO REVERSA")</f>
        <v>TRANSITO REVERSA</v>
      </c>
      <c r="G730" s="23">
        <f>IFERROR(__xludf.DUMMYFUNCTION("""COMPUTED_VALUE"""),45633.003958333335)</f>
        <v>45633.00396</v>
      </c>
      <c r="H730" s="24" t="str">
        <f>IFERROR(VLOOKUP(B730,material!A:D,3,0),"")</f>
        <v>DUAL</v>
      </c>
    </row>
    <row r="731" ht="11.25" customHeight="1">
      <c r="A731" s="21" t="str">
        <f>IFERROR(__xludf.DUMMYFUNCTION("""COMPUTED_VALUE"""),"SMART CARD LARANJA NAGRA")</f>
        <v>SMART CARD LARANJA NAGRA</v>
      </c>
      <c r="B731" s="22">
        <f>IFERROR(__xludf.DUMMYFUNCTION("""COMPUTED_VALUE"""),4.1001186E7)</f>
        <v>41001186</v>
      </c>
      <c r="C731" s="21" t="str">
        <f>IFERROR(__xludf.DUMMYFUNCTION("""COMPUTED_VALUE"""),"226649373738")</f>
        <v>226649373738</v>
      </c>
      <c r="D731" s="21" t="str">
        <f>IFERROR(__xludf.DUMMYFUNCTION("""COMPUTED_VALUE"""),"DIGITEC TECNOLOGIA DIGITAL E REPRES")</f>
        <v>DIGITEC TECNOLOGIA DIGITAL E REPRES</v>
      </c>
      <c r="E731" s="21">
        <f>IFERROR(__xludf.DUMMYFUNCTION("""COMPUTED_VALUE"""),145359.0)</f>
        <v>145359</v>
      </c>
      <c r="F731" s="21" t="str">
        <f>IFERROR(__xludf.DUMMYFUNCTION("""COMPUTED_VALUE"""),"SUCATA")</f>
        <v>SUCATA</v>
      </c>
      <c r="G731" s="23">
        <f>IFERROR(__xludf.DUMMYFUNCTION("""COMPUTED_VALUE"""),45075.599131944444)</f>
        <v>45075.59913</v>
      </c>
      <c r="H731" s="24" t="str">
        <f>IFERROR(VLOOKUP(B731,material!A:D,3,0),"")</f>
        <v>CARD</v>
      </c>
    </row>
    <row r="732" ht="11.25" customHeight="1">
      <c r="A732" s="21" t="str">
        <f>IFERROR(__xludf.DUMMYFUNCTION("""COMPUTED_VALUE"""),"SMART CARD LARANJA NAGRA")</f>
        <v>SMART CARD LARANJA NAGRA</v>
      </c>
      <c r="B732" s="22">
        <f>IFERROR(__xludf.DUMMYFUNCTION("""COMPUTED_VALUE"""),4.1001186E7)</f>
        <v>41001186</v>
      </c>
      <c r="C732" s="21" t="str">
        <f>IFERROR(__xludf.DUMMYFUNCTION("""COMPUTED_VALUE"""),"226588496573")</f>
        <v>226588496573</v>
      </c>
      <c r="D732" s="21" t="str">
        <f>IFERROR(__xludf.DUMMYFUNCTION("""COMPUTED_VALUE"""),"DIGITEC TECNOLOGIA DIGITAL E REPRES")</f>
        <v>DIGITEC TECNOLOGIA DIGITAL E REPRES</v>
      </c>
      <c r="E732" s="21">
        <f>IFERROR(__xludf.DUMMYFUNCTION("""COMPUTED_VALUE"""),145359.0)</f>
        <v>145359</v>
      </c>
      <c r="F732" s="21" t="str">
        <f>IFERROR(__xludf.DUMMYFUNCTION("""COMPUTED_VALUE"""),"SUCATA")</f>
        <v>SUCATA</v>
      </c>
      <c r="G732" s="23">
        <f>IFERROR(__xludf.DUMMYFUNCTION("""COMPUTED_VALUE"""),45075.59908564815)</f>
        <v>45075.59909</v>
      </c>
      <c r="H732" s="24" t="str">
        <f>IFERROR(VLOOKUP(B732,material!A:D,3,0),"")</f>
        <v>CARD</v>
      </c>
    </row>
    <row r="733" ht="11.25" customHeight="1">
      <c r="A733" s="21" t="str">
        <f>IFERROR(__xludf.DUMMYFUNCTION("""COMPUTED_VALUE"""),"SMART CARD LARANJA NAGRA")</f>
        <v>SMART CARD LARANJA NAGRA</v>
      </c>
      <c r="B733" s="22">
        <f>IFERROR(__xludf.DUMMYFUNCTION("""COMPUTED_VALUE"""),4.1001186E7)</f>
        <v>41001186</v>
      </c>
      <c r="C733" s="21" t="str">
        <f>IFERROR(__xludf.DUMMYFUNCTION("""COMPUTED_VALUE"""),"215742101114")</f>
        <v>215742101114</v>
      </c>
      <c r="D733" s="21" t="str">
        <f>IFERROR(__xludf.DUMMYFUNCTION("""COMPUTED_VALUE"""),"DIGITEC TECNOLOGIA DIGITAL E REPRES")</f>
        <v>DIGITEC TECNOLOGIA DIGITAL E REPRES</v>
      </c>
      <c r="E733" s="21">
        <f>IFERROR(__xludf.DUMMYFUNCTION("""COMPUTED_VALUE"""),145359.0)</f>
        <v>145359</v>
      </c>
      <c r="F733" s="21" t="str">
        <f>IFERROR(__xludf.DUMMYFUNCTION("""COMPUTED_VALUE"""),"SUCATA")</f>
        <v>SUCATA</v>
      </c>
      <c r="G733" s="23">
        <f>IFERROR(__xludf.DUMMYFUNCTION("""COMPUTED_VALUE"""),45075.62226851852)</f>
        <v>45075.62227</v>
      </c>
      <c r="H733" s="24" t="str">
        <f>IFERROR(VLOOKUP(B733,material!A:D,3,0),"")</f>
        <v>CARD</v>
      </c>
    </row>
    <row r="734" ht="11.25" customHeight="1">
      <c r="A734" s="21" t="str">
        <f>IFERROR(__xludf.DUMMYFUNCTION("""COMPUTED_VALUE"""),"SMART CARD LARANJA NAGRA")</f>
        <v>SMART CARD LARANJA NAGRA</v>
      </c>
      <c r="B734" s="22">
        <f>IFERROR(__xludf.DUMMYFUNCTION("""COMPUTED_VALUE"""),4.1001186E7)</f>
        <v>41001186</v>
      </c>
      <c r="C734" s="21" t="str">
        <f>IFERROR(__xludf.DUMMYFUNCTION("""COMPUTED_VALUE"""),"226707738098")</f>
        <v>226707738098</v>
      </c>
      <c r="D734" s="21" t="str">
        <f>IFERROR(__xludf.DUMMYFUNCTION("""COMPUTED_VALUE"""),"DIGITEC TECNOLOGIA DIGITAL E REPRES")</f>
        <v>DIGITEC TECNOLOGIA DIGITAL E REPRES</v>
      </c>
      <c r="E734" s="21">
        <f>IFERROR(__xludf.DUMMYFUNCTION("""COMPUTED_VALUE"""),145359.0)</f>
        <v>145359</v>
      </c>
      <c r="F734" s="21" t="str">
        <f>IFERROR(__xludf.DUMMYFUNCTION("""COMPUTED_VALUE"""),"SUCATA")</f>
        <v>SUCATA</v>
      </c>
      <c r="G734" s="23">
        <f>IFERROR(__xludf.DUMMYFUNCTION("""COMPUTED_VALUE"""),45075.51188657407)</f>
        <v>45075.51189</v>
      </c>
      <c r="H734" s="24" t="str">
        <f>IFERROR(VLOOKUP(B734,material!A:D,3,0),"")</f>
        <v>CARD</v>
      </c>
    </row>
    <row r="735" ht="11.25" customHeight="1">
      <c r="A735" s="21" t="str">
        <f>IFERROR(__xludf.DUMMYFUNCTION("""COMPUTED_VALUE"""),"DECODER HD DCI738 2T")</f>
        <v>DECODER HD DCI738 2T</v>
      </c>
      <c r="B735" s="22">
        <f>IFERROR(__xludf.DUMMYFUNCTION("""COMPUTED_VALUE"""),4.1001275E7)</f>
        <v>41001275</v>
      </c>
      <c r="C735" s="21" t="str">
        <f>IFERROR(__xludf.DUMMYFUNCTION("""COMPUTED_VALUE"""),"216784296372")</f>
        <v>216784296372</v>
      </c>
      <c r="D735" s="21" t="str">
        <f>IFERROR(__xludf.DUMMYFUNCTION("""COMPUTED_VALUE"""),"DIGITEC TECNOLOGIA DIGITAL E REPRES")</f>
        <v>DIGITEC TECNOLOGIA DIGITAL E REPRES</v>
      </c>
      <c r="E735" s="21">
        <f>IFERROR(__xludf.DUMMYFUNCTION("""COMPUTED_VALUE"""),145359.0)</f>
        <v>145359</v>
      </c>
      <c r="F735" s="21" t="str">
        <f>IFERROR(__xludf.DUMMYFUNCTION("""COMPUTED_VALUE"""),"INICIALIZADO")</f>
        <v>INICIALIZADO</v>
      </c>
      <c r="G735" s="23">
        <f>IFERROR(__xludf.DUMMYFUNCTION("""COMPUTED_VALUE"""),45602.64471064815)</f>
        <v>45602.64471</v>
      </c>
      <c r="H735" s="24" t="str">
        <f>IFERROR(VLOOKUP(B735,material!A:D,3,0),"")</f>
        <v>TOP MIX</v>
      </c>
    </row>
    <row r="736" ht="11.25" customHeight="1">
      <c r="A736" s="21" t="str">
        <f>IFERROR(__xludf.DUMMYFUNCTION("""COMPUTED_VALUE"""),"DECODER DIGITAL HD DXC5000 2T")</f>
        <v>DECODER DIGITAL HD DXC5000 2T</v>
      </c>
      <c r="B736" s="22">
        <f>IFERROR(__xludf.DUMMYFUNCTION("""COMPUTED_VALUE"""),4.1001277E7)</f>
        <v>41001277</v>
      </c>
      <c r="C736" s="21" t="str">
        <f>IFERROR(__xludf.DUMMYFUNCTION("""COMPUTED_VALUE"""),"216652411111")</f>
        <v>216652411111</v>
      </c>
      <c r="D736" s="21" t="str">
        <f>IFERROR(__xludf.DUMMYFUNCTION("""COMPUTED_VALUE"""),"DIGITEC TECNOLOGIA DIGITAL E REPRES")</f>
        <v>DIGITEC TECNOLOGIA DIGITAL E REPRES</v>
      </c>
      <c r="E736" s="21">
        <f>IFERROR(__xludf.DUMMYFUNCTION("""COMPUTED_VALUE"""),145359.0)</f>
        <v>145359</v>
      </c>
      <c r="F736" s="21" t="str">
        <f>IFERROR(__xludf.DUMMYFUNCTION("""COMPUTED_VALUE"""),"INICIALIZADO")</f>
        <v>INICIALIZADO</v>
      </c>
      <c r="G736" s="23">
        <f>IFERROR(__xludf.DUMMYFUNCTION("""COMPUTED_VALUE"""),45600.476006944446)</f>
        <v>45600.47601</v>
      </c>
      <c r="H736" s="24" t="str">
        <f>IFERROR(VLOOKUP(B736,material!A:D,3,0),"")</f>
        <v>TOP MIX</v>
      </c>
    </row>
    <row r="737" ht="11.25" customHeight="1">
      <c r="A737" s="21" t="str">
        <f>IFERROR(__xludf.DUMMYFUNCTION("""COMPUTED_VALUE"""),"DECODER DIGITAL HD DXC5000 2T")</f>
        <v>DECODER DIGITAL HD DXC5000 2T</v>
      </c>
      <c r="B737" s="22">
        <f>IFERROR(__xludf.DUMMYFUNCTION("""COMPUTED_VALUE"""),4.1001277E7)</f>
        <v>41001277</v>
      </c>
      <c r="C737" s="21" t="str">
        <f>IFERROR(__xludf.DUMMYFUNCTION("""COMPUTED_VALUE"""),"216332839911")</f>
        <v>216332839911</v>
      </c>
      <c r="D737" s="21" t="str">
        <f>IFERROR(__xludf.DUMMYFUNCTION("""COMPUTED_VALUE"""),"DIGITEC TECNOLOGIA DIGITAL E REPRES")</f>
        <v>DIGITEC TECNOLOGIA DIGITAL E REPRES</v>
      </c>
      <c r="E737" s="21">
        <f>IFERROR(__xludf.DUMMYFUNCTION("""COMPUTED_VALUE"""),145359.0)</f>
        <v>145359</v>
      </c>
      <c r="F737" s="21" t="str">
        <f>IFERROR(__xludf.DUMMYFUNCTION("""COMPUTED_VALUE"""),"INICIALIZADO")</f>
        <v>INICIALIZADO</v>
      </c>
      <c r="G737" s="23">
        <f>IFERROR(__xludf.DUMMYFUNCTION("""COMPUTED_VALUE"""),45618.65201388889)</f>
        <v>45618.65201</v>
      </c>
      <c r="H737" s="24" t="str">
        <f>IFERROR(VLOOKUP(B737,material!A:D,3,0),"")</f>
        <v>TOP MIX</v>
      </c>
    </row>
    <row r="738" ht="11.25" customHeight="1">
      <c r="A738" s="21" t="str">
        <f>IFERROR(__xludf.DUMMYFUNCTION("""COMPUTED_VALUE"""),"DECODER DIGITAL HD HNB100 2T")</f>
        <v>DECODER DIGITAL HD HNB100 2T</v>
      </c>
      <c r="B738" s="22">
        <f>IFERROR(__xludf.DUMMYFUNCTION("""COMPUTED_VALUE"""),4.1001276E7)</f>
        <v>41001276</v>
      </c>
      <c r="C738" s="21" t="str">
        <f>IFERROR(__xludf.DUMMYFUNCTION("""COMPUTED_VALUE"""),"216725589396")</f>
        <v>216725589396</v>
      </c>
      <c r="D738" s="21" t="str">
        <f>IFERROR(__xludf.DUMMYFUNCTION("""COMPUTED_VALUE"""),"DIGITEC TECNOLOGIA DIGITAL E REPRES")</f>
        <v>DIGITEC TECNOLOGIA DIGITAL E REPRES</v>
      </c>
      <c r="E738" s="21">
        <f>IFERROR(__xludf.DUMMYFUNCTION("""COMPUTED_VALUE"""),145359.0)</f>
        <v>145359</v>
      </c>
      <c r="F738" s="21" t="str">
        <f>IFERROR(__xludf.DUMMYFUNCTION("""COMPUTED_VALUE"""),"INICIALIZADO")</f>
        <v>INICIALIZADO</v>
      </c>
      <c r="G738" s="23">
        <f>IFERROR(__xludf.DUMMYFUNCTION("""COMPUTED_VALUE"""),45635.53501157407)</f>
        <v>45635.53501</v>
      </c>
      <c r="H738" s="24" t="str">
        <f>IFERROR(VLOOKUP(B738,material!A:D,3,0),"")</f>
        <v>TOP MIX</v>
      </c>
    </row>
    <row r="739" ht="11.25" customHeight="1">
      <c r="A739" s="21" t="str">
        <f>IFERROR(__xludf.DUMMYFUNCTION("""COMPUTED_VALUE"""),"DECODER DIGITAL HD HNB100 2T")</f>
        <v>DECODER DIGITAL HD HNB100 2T</v>
      </c>
      <c r="B739" s="22">
        <f>IFERROR(__xludf.DUMMYFUNCTION("""COMPUTED_VALUE"""),4.1001276E7)</f>
        <v>41001276</v>
      </c>
      <c r="C739" s="21" t="str">
        <f>IFERROR(__xludf.DUMMYFUNCTION("""COMPUTED_VALUE"""),"216549228593")</f>
        <v>216549228593</v>
      </c>
      <c r="D739" s="21" t="str">
        <f>IFERROR(__xludf.DUMMYFUNCTION("""COMPUTED_VALUE"""),"DIGITEC TECNOLOGIA DIGITAL E REPRES")</f>
        <v>DIGITEC TECNOLOGIA DIGITAL E REPRES</v>
      </c>
      <c r="E739" s="21">
        <f>IFERROR(__xludf.DUMMYFUNCTION("""COMPUTED_VALUE"""),145359.0)</f>
        <v>145359</v>
      </c>
      <c r="F739" s="21" t="str">
        <f>IFERROR(__xludf.DUMMYFUNCTION("""COMPUTED_VALUE"""),"INICIALIZADO")</f>
        <v>INICIALIZADO</v>
      </c>
      <c r="G739" s="23">
        <f>IFERROR(__xludf.DUMMYFUNCTION("""COMPUTED_VALUE"""),45642.524143518516)</f>
        <v>45642.52414</v>
      </c>
      <c r="H739" s="24" t="str">
        <f>IFERROR(VLOOKUP(B739,material!A:D,3,0),"")</f>
        <v>TOP MIX</v>
      </c>
    </row>
    <row r="740" ht="11.25" customHeight="1">
      <c r="A740" s="21" t="str">
        <f>IFERROR(__xludf.DUMMYFUNCTION("""COMPUTED_VALUE"""),"SMART CARD PRETO NAGRA")</f>
        <v>SMART CARD PRETO NAGRA</v>
      </c>
      <c r="B740" s="22">
        <f>IFERROR(__xludf.DUMMYFUNCTION("""COMPUTED_VALUE"""),4.1001234E7)</f>
        <v>41001234</v>
      </c>
      <c r="C740" s="21" t="str">
        <f>IFERROR(__xludf.DUMMYFUNCTION("""COMPUTED_VALUE"""),"246007376268")</f>
        <v>246007376268</v>
      </c>
      <c r="D740" s="21" t="str">
        <f>IFERROR(__xludf.DUMMYFUNCTION("""COMPUTED_VALUE"""),"DIGITEC TECNOLOGIA DIGITAL E REPRES")</f>
        <v>DIGITEC TECNOLOGIA DIGITAL E REPRES</v>
      </c>
      <c r="E740" s="21">
        <f>IFERROR(__xludf.DUMMYFUNCTION("""COMPUTED_VALUE"""),145359.0)</f>
        <v>145359</v>
      </c>
      <c r="F740" s="21" t="str">
        <f>IFERROR(__xludf.DUMMYFUNCTION("""COMPUTED_VALUE"""),"INICIALIZADO")</f>
        <v>INICIALIZADO</v>
      </c>
      <c r="G740" s="23">
        <f>IFERROR(__xludf.DUMMYFUNCTION("""COMPUTED_VALUE"""),45635.53496527778)</f>
        <v>45635.53497</v>
      </c>
      <c r="H740" s="24" t="str">
        <f>IFERROR(VLOOKUP(B740,material!A:D,3,0),"")</f>
        <v>CARD</v>
      </c>
    </row>
    <row r="741" ht="11.25" customHeight="1">
      <c r="A741" s="21" t="str">
        <f>IFERROR(__xludf.DUMMYFUNCTION("""COMPUTED_VALUE"""),"SMART CARD PRETO NAGRA")</f>
        <v>SMART CARD PRETO NAGRA</v>
      </c>
      <c r="B741" s="22">
        <f>IFERROR(__xludf.DUMMYFUNCTION("""COMPUTED_VALUE"""),4.1001234E7)</f>
        <v>41001234</v>
      </c>
      <c r="C741" s="21" t="str">
        <f>IFERROR(__xludf.DUMMYFUNCTION("""COMPUTED_VALUE"""),"246203388798")</f>
        <v>246203388798</v>
      </c>
      <c r="D741" s="21" t="str">
        <f>IFERROR(__xludf.DUMMYFUNCTION("""COMPUTED_VALUE"""),"DIGITEC TECNOLOGIA DIGITAL E REPRES")</f>
        <v>DIGITEC TECNOLOGIA DIGITAL E REPRES</v>
      </c>
      <c r="E741" s="21">
        <f>IFERROR(__xludf.DUMMYFUNCTION("""COMPUTED_VALUE"""),145359.0)</f>
        <v>145359</v>
      </c>
      <c r="F741" s="21" t="str">
        <f>IFERROR(__xludf.DUMMYFUNCTION("""COMPUTED_VALUE"""),"INICIALIZADO")</f>
        <v>INICIALIZADO</v>
      </c>
      <c r="G741" s="23">
        <f>IFERROR(__xludf.DUMMYFUNCTION("""COMPUTED_VALUE"""),45642.524097222224)</f>
        <v>45642.5241</v>
      </c>
      <c r="H741" s="24" t="str">
        <f>IFERROR(VLOOKUP(B741,material!A:D,3,0),"")</f>
        <v>CARD</v>
      </c>
    </row>
    <row r="742" ht="11.25" customHeight="1">
      <c r="A742" s="21" t="str">
        <f>IFERROR(__xludf.DUMMYFUNCTION("""COMPUTED_VALUE"""),"SMART CARD PRETO NAGRA")</f>
        <v>SMART CARD PRETO NAGRA</v>
      </c>
      <c r="B742" s="22">
        <f>IFERROR(__xludf.DUMMYFUNCTION("""COMPUTED_VALUE"""),4.1001234E7)</f>
        <v>41001234</v>
      </c>
      <c r="C742" s="21" t="str">
        <f>IFERROR(__xludf.DUMMYFUNCTION("""COMPUTED_VALUE"""),"246169003737")</f>
        <v>246169003737</v>
      </c>
      <c r="D742" s="21" t="str">
        <f>IFERROR(__xludf.DUMMYFUNCTION("""COMPUTED_VALUE"""),"DIGITEC TECNOLOGIA DIGITAL E REPRES")</f>
        <v>DIGITEC TECNOLOGIA DIGITAL E REPRES</v>
      </c>
      <c r="E742" s="21">
        <f>IFERROR(__xludf.DUMMYFUNCTION("""COMPUTED_VALUE"""),145359.0)</f>
        <v>145359</v>
      </c>
      <c r="F742" s="21" t="str">
        <f>IFERROR(__xludf.DUMMYFUNCTION("""COMPUTED_VALUE"""),"INICIALIZADO")</f>
        <v>INICIALIZADO</v>
      </c>
      <c r="G742" s="23">
        <f>IFERROR(__xludf.DUMMYFUNCTION("""COMPUTED_VALUE"""),45635.534895833334)</f>
        <v>45635.5349</v>
      </c>
      <c r="H742" s="24" t="str">
        <f>IFERROR(VLOOKUP(B742,material!A:D,3,0),"")</f>
        <v>CARD</v>
      </c>
    </row>
    <row r="743" ht="11.25" customHeight="1">
      <c r="A743" s="21" t="str">
        <f>IFERROR(__xludf.DUMMYFUNCTION("""COMPUTED_VALUE"""),"SMART CARD PRETO NAGRA")</f>
        <v>SMART CARD PRETO NAGRA</v>
      </c>
      <c r="B743" s="22">
        <f>IFERROR(__xludf.DUMMYFUNCTION("""COMPUTED_VALUE"""),4.1001234E7)</f>
        <v>41001234</v>
      </c>
      <c r="C743" s="21" t="str">
        <f>IFERROR(__xludf.DUMMYFUNCTION("""COMPUTED_VALUE"""),"246187093853")</f>
        <v>246187093853</v>
      </c>
      <c r="D743" s="21" t="str">
        <f>IFERROR(__xludf.DUMMYFUNCTION("""COMPUTED_VALUE"""),"DIGITEC TECNOLOGIA DIGITAL E REPRES")</f>
        <v>DIGITEC TECNOLOGIA DIGITAL E REPRES</v>
      </c>
      <c r="E743" s="21">
        <f>IFERROR(__xludf.DUMMYFUNCTION("""COMPUTED_VALUE"""),145359.0)</f>
        <v>145359</v>
      </c>
      <c r="F743" s="21" t="str">
        <f>IFERROR(__xludf.DUMMYFUNCTION("""COMPUTED_VALUE"""),"INICIALIZADO")</f>
        <v>INICIALIZADO</v>
      </c>
      <c r="G743" s="23">
        <f>IFERROR(__xludf.DUMMYFUNCTION("""COMPUTED_VALUE"""),45635.534895833334)</f>
        <v>45635.5349</v>
      </c>
      <c r="H743" s="24" t="str">
        <f>IFERROR(VLOOKUP(B743,material!A:D,3,0),"")</f>
        <v>CARD</v>
      </c>
    </row>
    <row r="744" ht="11.25" customHeight="1">
      <c r="A744" s="21" t="str">
        <f>IFERROR(__xludf.DUMMYFUNCTION("""COMPUTED_VALUE"""),"SMART CARD PRETO NAGRA")</f>
        <v>SMART CARD PRETO NAGRA</v>
      </c>
      <c r="B744" s="22">
        <f>IFERROR(__xludf.DUMMYFUNCTION("""COMPUTED_VALUE"""),4.1001234E7)</f>
        <v>41001234</v>
      </c>
      <c r="C744" s="21" t="str">
        <f>IFERROR(__xludf.DUMMYFUNCTION("""COMPUTED_VALUE"""),"226280682324")</f>
        <v>226280682324</v>
      </c>
      <c r="D744" s="21" t="str">
        <f>IFERROR(__xludf.DUMMYFUNCTION("""COMPUTED_VALUE"""),"DIGITEC TECNOLOGIA DIGITAL E REPRES")</f>
        <v>DIGITEC TECNOLOGIA DIGITAL E REPRES</v>
      </c>
      <c r="E744" s="21">
        <f>IFERROR(__xludf.DUMMYFUNCTION("""COMPUTED_VALUE"""),145359.0)</f>
        <v>145359</v>
      </c>
      <c r="F744" s="21" t="str">
        <f>IFERROR(__xludf.DUMMYFUNCTION("""COMPUTED_VALUE"""),"INICIALIZADO")</f>
        <v>INICIALIZADO</v>
      </c>
      <c r="G744" s="23">
        <f>IFERROR(__xludf.DUMMYFUNCTION("""COMPUTED_VALUE"""),45635.53497685185)</f>
        <v>45635.53498</v>
      </c>
      <c r="H744" s="24" t="str">
        <f>IFERROR(VLOOKUP(B744,material!A:D,3,0),"")</f>
        <v>CARD</v>
      </c>
    </row>
    <row r="745" ht="11.25" customHeight="1">
      <c r="A745" s="21" t="str">
        <f>IFERROR(__xludf.DUMMYFUNCTION("""COMPUTED_VALUE"""),"SMART CARD PRETO NAGRA")</f>
        <v>SMART CARD PRETO NAGRA</v>
      </c>
      <c r="B745" s="22">
        <f>IFERROR(__xludf.DUMMYFUNCTION("""COMPUTED_VALUE"""),4.1001234E7)</f>
        <v>41001234</v>
      </c>
      <c r="C745" s="21" t="str">
        <f>IFERROR(__xludf.DUMMYFUNCTION("""COMPUTED_VALUE"""),"226098994648")</f>
        <v>226098994648</v>
      </c>
      <c r="D745" s="21" t="str">
        <f>IFERROR(__xludf.DUMMYFUNCTION("""COMPUTED_VALUE"""),"DIGITEC TECNOLOGIA DIGITAL E REPRES")</f>
        <v>DIGITEC TECNOLOGIA DIGITAL E REPRES</v>
      </c>
      <c r="E745" s="21">
        <f>IFERROR(__xludf.DUMMYFUNCTION("""COMPUTED_VALUE"""),145359.0)</f>
        <v>145359</v>
      </c>
      <c r="F745" s="21" t="str">
        <f>IFERROR(__xludf.DUMMYFUNCTION("""COMPUTED_VALUE"""),"INICIALIZADO")</f>
        <v>INICIALIZADO</v>
      </c>
      <c r="G745" s="23">
        <f>IFERROR(__xludf.DUMMYFUNCTION("""COMPUTED_VALUE"""),45635.534953703704)</f>
        <v>45635.53495</v>
      </c>
      <c r="H745" s="24" t="str">
        <f>IFERROR(VLOOKUP(B745,material!A:D,3,0),"")</f>
        <v>CARD</v>
      </c>
    </row>
    <row r="746" ht="11.25" customHeight="1">
      <c r="A746" s="21" t="str">
        <f>IFERROR(__xludf.DUMMYFUNCTION("""COMPUTED_VALUE"""),"SMART CARD PRETO NAGRA")</f>
        <v>SMART CARD PRETO NAGRA</v>
      </c>
      <c r="B746" s="22">
        <f>IFERROR(__xludf.DUMMYFUNCTION("""COMPUTED_VALUE"""),4.1001234E7)</f>
        <v>41001234</v>
      </c>
      <c r="C746" s="21" t="str">
        <f>IFERROR(__xludf.DUMMYFUNCTION("""COMPUTED_VALUE"""),"226388869099")</f>
        <v>226388869099</v>
      </c>
      <c r="D746" s="21" t="str">
        <f>IFERROR(__xludf.DUMMYFUNCTION("""COMPUTED_VALUE"""),"DIGITEC TECNOLOGIA DIGITAL E REPRES")</f>
        <v>DIGITEC TECNOLOGIA DIGITAL E REPRES</v>
      </c>
      <c r="E746" s="21">
        <f>IFERROR(__xludf.DUMMYFUNCTION("""COMPUTED_VALUE"""),145359.0)</f>
        <v>145359</v>
      </c>
      <c r="F746" s="21" t="str">
        <f>IFERROR(__xludf.DUMMYFUNCTION("""COMPUTED_VALUE"""),"INICIALIZADO")</f>
        <v>INICIALIZADO</v>
      </c>
      <c r="G746" s="23">
        <f>IFERROR(__xludf.DUMMYFUNCTION("""COMPUTED_VALUE"""),45635.534953703704)</f>
        <v>45635.53495</v>
      </c>
      <c r="H746" s="24" t="str">
        <f>IFERROR(VLOOKUP(B746,material!A:D,3,0),"")</f>
        <v>CARD</v>
      </c>
    </row>
    <row r="747" ht="11.25" customHeight="1">
      <c r="A747" s="21" t="str">
        <f>IFERROR(__xludf.DUMMYFUNCTION("""COMPUTED_VALUE"""),"SMART CARD AVULSO MINI")</f>
        <v>SMART CARD AVULSO MINI</v>
      </c>
      <c r="B747" s="22">
        <f>IFERROR(__xludf.DUMMYFUNCTION("""COMPUTED_VALUE"""),4.1001508E7)</f>
        <v>41001508</v>
      </c>
      <c r="C747" s="21" t="str">
        <f>IFERROR(__xludf.DUMMYFUNCTION("""COMPUTED_VALUE"""),"226244694659")</f>
        <v>226244694659</v>
      </c>
      <c r="D747" s="21" t="str">
        <f>IFERROR(__xludf.DUMMYFUNCTION("""COMPUTED_VALUE"""),"DIGITEC TECNOLOGIA DIGITAL E REPRES")</f>
        <v>DIGITEC TECNOLOGIA DIGITAL E REPRES</v>
      </c>
      <c r="E747" s="21">
        <f>IFERROR(__xludf.DUMMYFUNCTION("""COMPUTED_VALUE"""),145359.0)</f>
        <v>145359</v>
      </c>
      <c r="F747" s="21" t="str">
        <f>IFERROR(__xludf.DUMMYFUNCTION("""COMPUTED_VALUE"""),"TRANSITO REVERSA")</f>
        <v>TRANSITO REVERSA</v>
      </c>
      <c r="G747" s="23">
        <f>IFERROR(__xludf.DUMMYFUNCTION("""COMPUTED_VALUE"""),45626.298692129625)</f>
        <v>45626.29869</v>
      </c>
      <c r="H747" s="24" t="str">
        <f>IFERROR(VLOOKUP(B747,material!A:D,3,0),"")</f>
        <v>SIM CARD</v>
      </c>
    </row>
    <row r="748" ht="11.25" customHeight="1">
      <c r="A748" s="21" t="str">
        <f>IFERROR(__xludf.DUMMYFUNCTION("""COMPUTED_VALUE"""),"SMART CARD LARANJA")</f>
        <v>SMART CARD LARANJA</v>
      </c>
      <c r="B748" s="22">
        <f>IFERROR(__xludf.DUMMYFUNCTION("""COMPUTED_VALUE"""),4.1001186E7)</f>
        <v>41001186</v>
      </c>
      <c r="C748" s="21" t="str">
        <f>IFERROR(__xludf.DUMMYFUNCTION("""COMPUTED_VALUE"""),"215647864049")</f>
        <v>215647864049</v>
      </c>
      <c r="D748" s="21" t="str">
        <f>IFERROR(__xludf.DUMMYFUNCTION("""COMPUTED_VALUE"""),"DIGITEC TECNOLOGIA DIGITAL E REPRES")</f>
        <v>DIGITEC TECNOLOGIA DIGITAL E REPRES</v>
      </c>
      <c r="E748" s="21">
        <f>IFERROR(__xludf.DUMMYFUNCTION("""COMPUTED_VALUE"""),145359.0)</f>
        <v>145359</v>
      </c>
      <c r="F748" s="21" t="str">
        <f>IFERROR(__xludf.DUMMYFUNCTION("""COMPUTED_VALUE"""),"SUCATA")</f>
        <v>SUCATA</v>
      </c>
      <c r="G748" s="23">
        <f>IFERROR(__xludf.DUMMYFUNCTION("""COMPUTED_VALUE"""),45076.68193287037)</f>
        <v>45076.68193</v>
      </c>
      <c r="H748" s="24" t="str">
        <f>IFERROR(VLOOKUP(B748,material!A:D,3,0),"")</f>
        <v>CARD</v>
      </c>
    </row>
    <row r="749" ht="11.25" customHeight="1">
      <c r="A749" s="21" t="str">
        <f>IFERROR(__xludf.DUMMYFUNCTION("""COMPUTED_VALUE"""),"HUMAX HG100R-L4")</f>
        <v>HUMAX HG100R-L4</v>
      </c>
      <c r="B749" s="22">
        <f>IFERROR(__xludf.DUMMYFUNCTION("""COMPUTED_VALUE"""),4.1001288E7)</f>
        <v>41001288</v>
      </c>
      <c r="C749" s="21" t="str">
        <f>IFERROR(__xludf.DUMMYFUNCTION("""COMPUTED_VALUE"""),"4CD08A5B0824")</f>
        <v>4CD08A5B0824</v>
      </c>
      <c r="D749" s="21" t="str">
        <f>IFERROR(__xludf.DUMMYFUNCTION("""COMPUTED_VALUE"""),"DIGITEC TECNOLOGIA DIGITAL E REPRES")</f>
        <v>DIGITEC TECNOLOGIA DIGITAL E REPRES</v>
      </c>
      <c r="E749" s="21">
        <f>IFERROR(__xludf.DUMMYFUNCTION("""COMPUTED_VALUE"""),145359.0)</f>
        <v>145359</v>
      </c>
      <c r="F749" s="21" t="str">
        <f>IFERROR(__xludf.DUMMYFUNCTION("""COMPUTED_VALUE"""),"INICIALIZADO")</f>
        <v>INICIALIZADO</v>
      </c>
      <c r="G749" s="23">
        <f>IFERROR(__xludf.DUMMYFUNCTION("""COMPUTED_VALUE"""),45000.78157407408)</f>
        <v>45000.78157</v>
      </c>
      <c r="H749" s="24" t="str">
        <f>IFERROR(VLOOKUP(B749,material!A:D,3,0),"")</f>
        <v>SINGLE</v>
      </c>
    </row>
    <row r="750" ht="11.25" customHeight="1">
      <c r="A750" s="21" t="str">
        <f>IFERROR(__xludf.DUMMYFUNCTION("""COMPUTED_VALUE"""),"DCI106")</f>
        <v>DCI106</v>
      </c>
      <c r="B750" s="22">
        <f>IFERROR(__xludf.DUMMYFUNCTION("""COMPUTED_VALUE"""),4.1001263E7)</f>
        <v>41001263</v>
      </c>
      <c r="C750" s="21" t="str">
        <f>IFERROR(__xludf.DUMMYFUNCTION("""COMPUTED_VALUE"""),"176639312828")</f>
        <v>176639312828</v>
      </c>
      <c r="D750" s="21" t="str">
        <f>IFERROR(__xludf.DUMMYFUNCTION("""COMPUTED_VALUE"""),"DIGITEC TECNOLOGIA DIGITAL E REPRES")</f>
        <v>DIGITEC TECNOLOGIA DIGITAL E REPRES</v>
      </c>
      <c r="E750" s="21">
        <f>IFERROR(__xludf.DUMMYFUNCTION("""COMPUTED_VALUE"""),145359.0)</f>
        <v>145359</v>
      </c>
      <c r="F750" s="21" t="str">
        <f>IFERROR(__xludf.DUMMYFUNCTION("""COMPUTED_VALUE"""),"TRANSITO REVERSA")</f>
        <v>TRANSITO REVERSA</v>
      </c>
      <c r="G750" s="23">
        <f>IFERROR(__xludf.DUMMYFUNCTION("""COMPUTED_VALUE"""),45638.52112268518)</f>
        <v>45638.52112</v>
      </c>
      <c r="H750" s="24" t="str">
        <f>IFERROR(VLOOKUP(B750,material!A:D,3,0),"")</f>
        <v>DIGITAL</v>
      </c>
    </row>
    <row r="751" ht="11.25" customHeight="1">
      <c r="A751" s="21" t="str">
        <f>IFERROR(__xludf.DUMMYFUNCTION("""COMPUTED_VALUE"""),"SMART CARD AVULSO MINI")</f>
        <v>SMART CARD AVULSO MINI</v>
      </c>
      <c r="B751" s="22">
        <f>IFERROR(__xludf.DUMMYFUNCTION("""COMPUTED_VALUE"""),4.1001508E7)</f>
        <v>41001508</v>
      </c>
      <c r="C751" s="21" t="str">
        <f>IFERROR(__xludf.DUMMYFUNCTION("""COMPUTED_VALUE"""),"226313686375")</f>
        <v>226313686375</v>
      </c>
      <c r="D751" s="21" t="str">
        <f>IFERROR(__xludf.DUMMYFUNCTION("""COMPUTED_VALUE"""),"DIGITEC TECNOLOGIA DIGITAL E REPRES")</f>
        <v>DIGITEC TECNOLOGIA DIGITAL E REPRES</v>
      </c>
      <c r="E751" s="21">
        <f>IFERROR(__xludf.DUMMYFUNCTION("""COMPUTED_VALUE"""),145359.0)</f>
        <v>145359</v>
      </c>
      <c r="F751" s="21" t="str">
        <f>IFERROR(__xludf.DUMMYFUNCTION("""COMPUTED_VALUE"""),"TRANSITO REVERSA")</f>
        <v>TRANSITO REVERSA</v>
      </c>
      <c r="G751" s="23">
        <f>IFERROR(__xludf.DUMMYFUNCTION("""COMPUTED_VALUE"""),45638.520636574074)</f>
        <v>45638.52064</v>
      </c>
      <c r="H751" s="24" t="str">
        <f>IFERROR(VLOOKUP(B751,material!A:D,3,0),"")</f>
        <v>SIM CARD</v>
      </c>
    </row>
    <row r="752" ht="11.25" customHeight="1">
      <c r="A752" s="21" t="str">
        <f>IFERROR(__xludf.DUMMYFUNCTION("""COMPUTED_VALUE"""),"HUMAX HGB10R-02")</f>
        <v>HUMAX HGB10R-02</v>
      </c>
      <c r="B752" s="22">
        <f>IFERROR(__xludf.DUMMYFUNCTION("""COMPUTED_VALUE"""),4.1001292E7)</f>
        <v>41001292</v>
      </c>
      <c r="C752" s="21" t="str">
        <f>IFERROR(__xludf.DUMMYFUNCTION("""COMPUTED_VALUE"""),"E820E23615D8")</f>
        <v>E820E23615D8</v>
      </c>
      <c r="D752" s="21" t="str">
        <f>IFERROR(__xludf.DUMMYFUNCTION("""COMPUTED_VALUE"""),"DIGITEC TECNOLOGIA DIGITAL E REPRES")</f>
        <v>DIGITEC TECNOLOGIA DIGITAL E REPRES</v>
      </c>
      <c r="E752" s="21">
        <f>IFERROR(__xludf.DUMMYFUNCTION("""COMPUTED_VALUE"""),145359.0)</f>
        <v>145359</v>
      </c>
      <c r="F752" s="21" t="str">
        <f>IFERROR(__xludf.DUMMYFUNCTION("""COMPUTED_VALUE"""),"SUSPEITO")</f>
        <v>SUSPEITO</v>
      </c>
      <c r="G752" s="23">
        <f>IFERROR(__xludf.DUMMYFUNCTION("""COMPUTED_VALUE"""),45639.8624537037)</f>
        <v>45639.86245</v>
      </c>
      <c r="H752" s="24" t="str">
        <f>IFERROR(VLOOKUP(B752,material!A:D,3,0),"")</f>
        <v>DUAL</v>
      </c>
    </row>
    <row r="753" ht="11.25" customHeight="1">
      <c r="A753" s="21" t="str">
        <f>IFERROR(__xludf.DUMMYFUNCTION("""COMPUTED_VALUE"""),"TECHNICOLOR TC7337NET")</f>
        <v>TECHNICOLOR TC7337NET</v>
      </c>
      <c r="B753" s="22">
        <f>IFERROR(__xludf.DUMMYFUNCTION("""COMPUTED_VALUE"""),4.1001294E7)</f>
        <v>41001294</v>
      </c>
      <c r="C753" s="21" t="str">
        <f>IFERROR(__xludf.DUMMYFUNCTION("""COMPUTED_VALUE"""),"1062D09EF379")</f>
        <v>1062D09EF379</v>
      </c>
      <c r="D753" s="21" t="str">
        <f>IFERROR(__xludf.DUMMYFUNCTION("""COMPUTED_VALUE"""),"DIGITEC TECNOLOGIA DIGITAL E REPRES")</f>
        <v>DIGITEC TECNOLOGIA DIGITAL E REPRES</v>
      </c>
      <c r="E753" s="21">
        <f>IFERROR(__xludf.DUMMYFUNCTION("""COMPUTED_VALUE"""),145359.0)</f>
        <v>145359</v>
      </c>
      <c r="F753" s="21" t="str">
        <f>IFERROR(__xludf.DUMMYFUNCTION("""COMPUTED_VALUE"""),"INICIALIZADO")</f>
        <v>INICIALIZADO</v>
      </c>
      <c r="G753" s="23">
        <f>IFERROR(__xludf.DUMMYFUNCTION("""COMPUTED_VALUE"""),45615.61858796296)</f>
        <v>45615.61859</v>
      </c>
      <c r="H753" s="24" t="str">
        <f>IFERROR(VLOOKUP(B753,material!A:D,3,0),"")</f>
        <v>DUAL</v>
      </c>
    </row>
    <row r="754" ht="11.25" customHeight="1">
      <c r="A754" s="21" t="str">
        <f>IFERROR(__xludf.DUMMYFUNCTION("""COMPUTED_VALUE"""),"DECODER DIGITAL HD HNB100 2T")</f>
        <v>DECODER DIGITAL HD HNB100 2T</v>
      </c>
      <c r="B754" s="22">
        <f>IFERROR(__xludf.DUMMYFUNCTION("""COMPUTED_VALUE"""),4.1001276E7)</f>
        <v>41001276</v>
      </c>
      <c r="C754" s="21" t="str">
        <f>IFERROR(__xludf.DUMMYFUNCTION("""COMPUTED_VALUE"""),"216864472626")</f>
        <v>216864472626</v>
      </c>
      <c r="D754" s="21" t="str">
        <f>IFERROR(__xludf.DUMMYFUNCTION("""COMPUTED_VALUE"""),"DIGITEC TECNOLOGIA DIGITAL E REPRES")</f>
        <v>DIGITEC TECNOLOGIA DIGITAL E REPRES</v>
      </c>
      <c r="E754" s="21">
        <f>IFERROR(__xludf.DUMMYFUNCTION("""COMPUTED_VALUE"""),145359.0)</f>
        <v>145359</v>
      </c>
      <c r="F754" s="21" t="str">
        <f>IFERROR(__xludf.DUMMYFUNCTION("""COMPUTED_VALUE"""),"INICIALIZADO")</f>
        <v>INICIALIZADO</v>
      </c>
      <c r="G754" s="23">
        <f>IFERROR(__xludf.DUMMYFUNCTION("""COMPUTED_VALUE"""),45635.53502314815)</f>
        <v>45635.53502</v>
      </c>
      <c r="H754" s="24" t="str">
        <f>IFERROR(VLOOKUP(B754,material!A:D,3,0),"")</f>
        <v>TOP MIX</v>
      </c>
    </row>
    <row r="755" ht="11.25" customHeight="1">
      <c r="A755" s="21" t="str">
        <f>IFERROR(__xludf.DUMMYFUNCTION("""COMPUTED_VALUE"""),"DECODER DIGITAL HD HNB100 2T")</f>
        <v>DECODER DIGITAL HD HNB100 2T</v>
      </c>
      <c r="B755" s="22">
        <f>IFERROR(__xludf.DUMMYFUNCTION("""COMPUTED_VALUE"""),4.1001276E7)</f>
        <v>41001276</v>
      </c>
      <c r="C755" s="21" t="str">
        <f>IFERROR(__xludf.DUMMYFUNCTION("""COMPUTED_VALUE"""),"184269978907")</f>
        <v>184269978907</v>
      </c>
      <c r="D755" s="21" t="str">
        <f>IFERROR(__xludf.DUMMYFUNCTION("""COMPUTED_VALUE"""),"DIGITEC TECNOLOGIA DIGITAL E REPRES")</f>
        <v>DIGITEC TECNOLOGIA DIGITAL E REPRES</v>
      </c>
      <c r="E755" s="21">
        <f>IFERROR(__xludf.DUMMYFUNCTION("""COMPUTED_VALUE"""),145359.0)</f>
        <v>145359</v>
      </c>
      <c r="F755" s="21" t="str">
        <f>IFERROR(__xludf.DUMMYFUNCTION("""COMPUTED_VALUE"""),"INICIALIZADO")</f>
        <v>INICIALIZADO</v>
      </c>
      <c r="G755" s="23">
        <f>IFERROR(__xludf.DUMMYFUNCTION("""COMPUTED_VALUE"""),45635.535057870366)</f>
        <v>45635.53506</v>
      </c>
      <c r="H755" s="24" t="str">
        <f>IFERROR(VLOOKUP(B755,material!A:D,3,0),"")</f>
        <v>TOP MIX</v>
      </c>
    </row>
    <row r="756" ht="11.25" customHeight="1">
      <c r="A756" s="21" t="str">
        <f>IFERROR(__xludf.DUMMYFUNCTION("""COMPUTED_VALUE"""),"NAGRA KIT")</f>
        <v>NAGRA KIT</v>
      </c>
      <c r="B756" s="22">
        <f>IFERROR(__xludf.DUMMYFUNCTION("""COMPUTED_VALUE"""),4.1001186E7)</f>
        <v>41001186</v>
      </c>
      <c r="C756" s="21" t="str">
        <f>IFERROR(__xludf.DUMMYFUNCTION("""COMPUTED_VALUE"""),"215410268290")</f>
        <v>215410268290</v>
      </c>
      <c r="D756" s="21" t="str">
        <f>IFERROR(__xludf.DUMMYFUNCTION("""COMPUTED_VALUE"""),"DIGITEC TECNOLOGIA DIGITAL E REPRES")</f>
        <v>DIGITEC TECNOLOGIA DIGITAL E REPRES</v>
      </c>
      <c r="E756" s="21">
        <f>IFERROR(__xludf.DUMMYFUNCTION("""COMPUTED_VALUE"""),145359.0)</f>
        <v>145359</v>
      </c>
      <c r="F756" s="21" t="str">
        <f>IFERROR(__xludf.DUMMYFUNCTION("""COMPUTED_VALUE"""),"SUCATA")</f>
        <v>SUCATA</v>
      </c>
      <c r="G756" s="23">
        <f>IFERROR(__xludf.DUMMYFUNCTION("""COMPUTED_VALUE"""),45076.46953703703)</f>
        <v>45076.46954</v>
      </c>
      <c r="H756" s="24" t="str">
        <f>IFERROR(VLOOKUP(B756,material!A:D,3,0),"")</f>
        <v>CARD</v>
      </c>
    </row>
    <row r="757" ht="11.25" customHeight="1">
      <c r="A757" s="21" t="str">
        <f>IFERROR(__xludf.DUMMYFUNCTION("""COMPUTED_VALUE"""),"SMART CARD LARANJA NAGRA")</f>
        <v>SMART CARD LARANJA NAGRA</v>
      </c>
      <c r="B757" s="22">
        <f>IFERROR(__xludf.DUMMYFUNCTION("""COMPUTED_VALUE"""),4.1001186E7)</f>
        <v>41001186</v>
      </c>
      <c r="C757" s="21" t="str">
        <f>IFERROR(__xludf.DUMMYFUNCTION("""COMPUTED_VALUE"""),"226707762344")</f>
        <v>226707762344</v>
      </c>
      <c r="D757" s="21" t="str">
        <f>IFERROR(__xludf.DUMMYFUNCTION("""COMPUTED_VALUE"""),"DIGITEC TECNOLOGIA DIGITAL E REPRES")</f>
        <v>DIGITEC TECNOLOGIA DIGITAL E REPRES</v>
      </c>
      <c r="E757" s="21">
        <f>IFERROR(__xludf.DUMMYFUNCTION("""COMPUTED_VALUE"""),145359.0)</f>
        <v>145359</v>
      </c>
      <c r="F757" s="21" t="str">
        <f>IFERROR(__xludf.DUMMYFUNCTION("""COMPUTED_VALUE"""),"SUCATA")</f>
        <v>SUCATA</v>
      </c>
      <c r="G757" s="23">
        <f>IFERROR(__xludf.DUMMYFUNCTION("""COMPUTED_VALUE"""),45075.51190972222)</f>
        <v>45075.51191</v>
      </c>
      <c r="H757" s="24" t="str">
        <f>IFERROR(VLOOKUP(B757,material!A:D,3,0),"")</f>
        <v>CARD</v>
      </c>
    </row>
    <row r="758" ht="11.25" customHeight="1">
      <c r="A758" s="21" t="str">
        <f>IFERROR(__xludf.DUMMYFUNCTION("""COMPUTED_VALUE"""),"SMART CARD LARANJA NAGRA")</f>
        <v>SMART CARD LARANJA NAGRA</v>
      </c>
      <c r="B758" s="22">
        <f>IFERROR(__xludf.DUMMYFUNCTION("""COMPUTED_VALUE"""),4.1001186E7)</f>
        <v>41001186</v>
      </c>
      <c r="C758" s="21" t="str">
        <f>IFERROR(__xludf.DUMMYFUNCTION("""COMPUTED_VALUE"""),"226711451638")</f>
        <v>226711451638</v>
      </c>
      <c r="D758" s="21" t="str">
        <f>IFERROR(__xludf.DUMMYFUNCTION("""COMPUTED_VALUE"""),"DIGITEC TECNOLOGIA DIGITAL E REPRES")</f>
        <v>DIGITEC TECNOLOGIA DIGITAL E REPRES</v>
      </c>
      <c r="E758" s="21">
        <f>IFERROR(__xludf.DUMMYFUNCTION("""COMPUTED_VALUE"""),145359.0)</f>
        <v>145359</v>
      </c>
      <c r="F758" s="21" t="str">
        <f>IFERROR(__xludf.DUMMYFUNCTION("""COMPUTED_VALUE"""),"SUCATA")</f>
        <v>SUCATA</v>
      </c>
      <c r="G758" s="23">
        <f>IFERROR(__xludf.DUMMYFUNCTION("""COMPUTED_VALUE"""),45075.51190972222)</f>
        <v>45075.51191</v>
      </c>
      <c r="H758" s="24" t="str">
        <f>IFERROR(VLOOKUP(B758,material!A:D,3,0),"")</f>
        <v>CARD</v>
      </c>
    </row>
    <row r="759" ht="11.25" customHeight="1">
      <c r="A759" s="21" t="str">
        <f>IFERROR(__xludf.DUMMYFUNCTION("""COMPUTED_VALUE"""),"SMART CARD LARANJA NAGRA")</f>
        <v>SMART CARD LARANJA NAGRA</v>
      </c>
      <c r="B759" s="22">
        <f>IFERROR(__xludf.DUMMYFUNCTION("""COMPUTED_VALUE"""),4.1001186E7)</f>
        <v>41001186</v>
      </c>
      <c r="C759" s="21" t="str">
        <f>IFERROR(__xludf.DUMMYFUNCTION("""COMPUTED_VALUE"""),"226528205560")</f>
        <v>226528205560</v>
      </c>
      <c r="D759" s="21" t="str">
        <f>IFERROR(__xludf.DUMMYFUNCTION("""COMPUTED_VALUE"""),"DIGITEC TECNOLOGIA DIGITAL E REPRES")</f>
        <v>DIGITEC TECNOLOGIA DIGITAL E REPRES</v>
      </c>
      <c r="E759" s="21">
        <f>IFERROR(__xludf.DUMMYFUNCTION("""COMPUTED_VALUE"""),145359.0)</f>
        <v>145359</v>
      </c>
      <c r="F759" s="21" t="str">
        <f>IFERROR(__xludf.DUMMYFUNCTION("""COMPUTED_VALUE"""),"SUCATA")</f>
        <v>SUCATA</v>
      </c>
      <c r="G759" s="23">
        <f>IFERROR(__xludf.DUMMYFUNCTION("""COMPUTED_VALUE"""),45075.59886574074)</f>
        <v>45075.59887</v>
      </c>
      <c r="H759" s="24" t="str">
        <f>IFERROR(VLOOKUP(B759,material!A:D,3,0),"")</f>
        <v>CARD</v>
      </c>
    </row>
    <row r="760" ht="11.25" customHeight="1">
      <c r="A760" s="21" t="str">
        <f>IFERROR(__xludf.DUMMYFUNCTION("""COMPUTED_VALUE"""),"SMART CARD LARANJA NAGRA")</f>
        <v>SMART CARD LARANJA NAGRA</v>
      </c>
      <c r="B760" s="22">
        <f>IFERROR(__xludf.DUMMYFUNCTION("""COMPUTED_VALUE"""),4.1001186E7)</f>
        <v>41001186</v>
      </c>
      <c r="C760" s="21" t="str">
        <f>IFERROR(__xludf.DUMMYFUNCTION("""COMPUTED_VALUE"""),"225793534848")</f>
        <v>225793534848</v>
      </c>
      <c r="D760" s="21" t="str">
        <f>IFERROR(__xludf.DUMMYFUNCTION("""COMPUTED_VALUE"""),"DIGITEC TECNOLOGIA DIGITAL E REPRES")</f>
        <v>DIGITEC TECNOLOGIA DIGITAL E REPRES</v>
      </c>
      <c r="E760" s="21">
        <f>IFERROR(__xludf.DUMMYFUNCTION("""COMPUTED_VALUE"""),145359.0)</f>
        <v>145359</v>
      </c>
      <c r="F760" s="21" t="str">
        <f>IFERROR(__xludf.DUMMYFUNCTION("""COMPUTED_VALUE"""),"SUCATA")</f>
        <v>SUCATA</v>
      </c>
      <c r="G760" s="23">
        <f>IFERROR(__xludf.DUMMYFUNCTION("""COMPUTED_VALUE"""),45076.60255787037)</f>
        <v>45076.60256</v>
      </c>
      <c r="H760" s="24" t="str">
        <f>IFERROR(VLOOKUP(B760,material!A:D,3,0),"")</f>
        <v>CARD</v>
      </c>
    </row>
    <row r="761" ht="11.25" customHeight="1">
      <c r="A761" s="21" t="str">
        <f>IFERROR(__xludf.DUMMYFUNCTION("""COMPUTED_VALUE"""),"SMART CARD PRETO NAGRA")</f>
        <v>SMART CARD PRETO NAGRA</v>
      </c>
      <c r="B761" s="22">
        <f>IFERROR(__xludf.DUMMYFUNCTION("""COMPUTED_VALUE"""),4.1001234E7)</f>
        <v>41001234</v>
      </c>
      <c r="C761" s="21" t="str">
        <f>IFERROR(__xludf.DUMMYFUNCTION("""COMPUTED_VALUE"""),"226306025358")</f>
        <v>226306025358</v>
      </c>
      <c r="D761" s="21" t="str">
        <f>IFERROR(__xludf.DUMMYFUNCTION("""COMPUTED_VALUE"""),"DIGITEC TECNOLOGIA DIGITAL E REPRES")</f>
        <v>DIGITEC TECNOLOGIA DIGITAL E REPRES</v>
      </c>
      <c r="E761" s="21">
        <f>IFERROR(__xludf.DUMMYFUNCTION("""COMPUTED_VALUE"""),145359.0)</f>
        <v>145359</v>
      </c>
      <c r="F761" s="21" t="str">
        <f>IFERROR(__xludf.DUMMYFUNCTION("""COMPUTED_VALUE"""),"INICIALIZADO")</f>
        <v>INICIALIZADO</v>
      </c>
      <c r="G761" s="23">
        <f>IFERROR(__xludf.DUMMYFUNCTION("""COMPUTED_VALUE"""),45600.47594907407)</f>
        <v>45600.47595</v>
      </c>
      <c r="H761" s="24" t="str">
        <f>IFERROR(VLOOKUP(B761,material!A:D,3,0),"")</f>
        <v>CARD</v>
      </c>
    </row>
    <row r="762" ht="11.25" customHeight="1">
      <c r="A762" s="21" t="str">
        <f>IFERROR(__xludf.DUMMYFUNCTION("""COMPUTED_VALUE"""),"SMART CARD LARANJA NAGRA")</f>
        <v>SMART CARD LARANJA NAGRA</v>
      </c>
      <c r="B762" s="22">
        <f>IFERROR(__xludf.DUMMYFUNCTION("""COMPUTED_VALUE"""),4.1001186E7)</f>
        <v>41001186</v>
      </c>
      <c r="C762" s="21" t="str">
        <f>IFERROR(__xludf.DUMMYFUNCTION("""COMPUTED_VALUE"""),"226621922238")</f>
        <v>226621922238</v>
      </c>
      <c r="D762" s="21" t="str">
        <f>IFERROR(__xludf.DUMMYFUNCTION("""COMPUTED_VALUE"""),"DIGITEC TECNOLOGIA DIGITAL E REPRES")</f>
        <v>DIGITEC TECNOLOGIA DIGITAL E REPRES</v>
      </c>
      <c r="E762" s="21">
        <f>IFERROR(__xludf.DUMMYFUNCTION("""COMPUTED_VALUE"""),145359.0)</f>
        <v>145359</v>
      </c>
      <c r="F762" s="21" t="str">
        <f>IFERROR(__xludf.DUMMYFUNCTION("""COMPUTED_VALUE"""),"INICIALIZADO")</f>
        <v>INICIALIZADO</v>
      </c>
      <c r="G762" s="23">
        <f>IFERROR(__xludf.DUMMYFUNCTION("""COMPUTED_VALUE"""),45000.35914351852)</f>
        <v>45000.35914</v>
      </c>
      <c r="H762" s="24" t="str">
        <f>IFERROR(VLOOKUP(B762,material!A:D,3,0),"")</f>
        <v>CARD</v>
      </c>
    </row>
    <row r="763" ht="11.25" customHeight="1">
      <c r="A763" s="21" t="str">
        <f>IFERROR(__xludf.DUMMYFUNCTION("""COMPUTED_VALUE"""),"SMART CARD LARANJA NAGRA")</f>
        <v>SMART CARD LARANJA NAGRA</v>
      </c>
      <c r="B763" s="22">
        <f>IFERROR(__xludf.DUMMYFUNCTION("""COMPUTED_VALUE"""),4.1001186E7)</f>
        <v>41001186</v>
      </c>
      <c r="C763" s="21" t="str">
        <f>IFERROR(__xludf.DUMMYFUNCTION("""COMPUTED_VALUE"""),"226674242933")</f>
        <v>226674242933</v>
      </c>
      <c r="D763" s="21" t="str">
        <f>IFERROR(__xludf.DUMMYFUNCTION("""COMPUTED_VALUE"""),"DIGITEC TECNOLOGIA DIGITAL E REPRES")</f>
        <v>DIGITEC TECNOLOGIA DIGITAL E REPRES</v>
      </c>
      <c r="E763" s="21">
        <f>IFERROR(__xludf.DUMMYFUNCTION("""COMPUTED_VALUE"""),145359.0)</f>
        <v>145359</v>
      </c>
      <c r="F763" s="21" t="str">
        <f>IFERROR(__xludf.DUMMYFUNCTION("""COMPUTED_VALUE"""),"SUCATA")</f>
        <v>SUCATA</v>
      </c>
      <c r="G763" s="23">
        <f>IFERROR(__xludf.DUMMYFUNCTION("""COMPUTED_VALUE"""),45075.51190972222)</f>
        <v>45075.51191</v>
      </c>
      <c r="H763" s="24" t="str">
        <f>IFERROR(VLOOKUP(B763,material!A:D,3,0),"")</f>
        <v>CARD</v>
      </c>
    </row>
    <row r="764" ht="11.25" customHeight="1">
      <c r="A764" s="21" t="str">
        <f>IFERROR(__xludf.DUMMYFUNCTION("""COMPUTED_VALUE"""),"SMART CARD LARANJA NAGRA")</f>
        <v>SMART CARD LARANJA NAGRA</v>
      </c>
      <c r="B764" s="22">
        <f>IFERROR(__xludf.DUMMYFUNCTION("""COMPUTED_VALUE"""),4.1001186E7)</f>
        <v>41001186</v>
      </c>
      <c r="C764" s="21" t="str">
        <f>IFERROR(__xludf.DUMMYFUNCTION("""COMPUTED_VALUE"""),"226648789809")</f>
        <v>226648789809</v>
      </c>
      <c r="D764" s="21" t="str">
        <f>IFERROR(__xludf.DUMMYFUNCTION("""COMPUTED_VALUE"""),"DIGITEC TECNOLOGIA DIGITAL E REPRES")</f>
        <v>DIGITEC TECNOLOGIA DIGITAL E REPRES</v>
      </c>
      <c r="E764" s="21">
        <f>IFERROR(__xludf.DUMMYFUNCTION("""COMPUTED_VALUE"""),145359.0)</f>
        <v>145359</v>
      </c>
      <c r="F764" s="21" t="str">
        <f>IFERROR(__xludf.DUMMYFUNCTION("""COMPUTED_VALUE"""),"SUCATA")</f>
        <v>SUCATA</v>
      </c>
      <c r="G764" s="23">
        <f>IFERROR(__xludf.DUMMYFUNCTION("""COMPUTED_VALUE"""),45075.5991087963)</f>
        <v>45075.59911</v>
      </c>
      <c r="H764" s="24" t="str">
        <f>IFERROR(VLOOKUP(B764,material!A:D,3,0),"")</f>
        <v>CARD</v>
      </c>
    </row>
    <row r="765" ht="11.25" customHeight="1">
      <c r="A765" s="21" t="str">
        <f>IFERROR(__xludf.DUMMYFUNCTION("""COMPUTED_VALUE"""),"SMART CARD LARANJA NAGRA")</f>
        <v>SMART CARD LARANJA NAGRA</v>
      </c>
      <c r="B765" s="22">
        <f>IFERROR(__xludf.DUMMYFUNCTION("""COMPUTED_VALUE"""),4.1001186E7)</f>
        <v>41001186</v>
      </c>
      <c r="C765" s="21" t="str">
        <f>IFERROR(__xludf.DUMMYFUNCTION("""COMPUTED_VALUE"""),"226694475962")</f>
        <v>226694475962</v>
      </c>
      <c r="D765" s="21" t="str">
        <f>IFERROR(__xludf.DUMMYFUNCTION("""COMPUTED_VALUE"""),"DIGITEC TECNOLOGIA DIGITAL E REPRES")</f>
        <v>DIGITEC TECNOLOGIA DIGITAL E REPRES</v>
      </c>
      <c r="E765" s="21">
        <f>IFERROR(__xludf.DUMMYFUNCTION("""COMPUTED_VALUE"""),145359.0)</f>
        <v>145359</v>
      </c>
      <c r="F765" s="21" t="str">
        <f>IFERROR(__xludf.DUMMYFUNCTION("""COMPUTED_VALUE"""),"SUCATA")</f>
        <v>SUCATA</v>
      </c>
      <c r="G765" s="23">
        <f>IFERROR(__xludf.DUMMYFUNCTION("""COMPUTED_VALUE"""),45075.51189814815)</f>
        <v>45075.5119</v>
      </c>
      <c r="H765" s="24" t="str">
        <f>IFERROR(VLOOKUP(B765,material!A:D,3,0),"")</f>
        <v>CARD</v>
      </c>
    </row>
    <row r="766" ht="11.25" customHeight="1">
      <c r="A766" s="21" t="str">
        <f>IFERROR(__xludf.DUMMYFUNCTION("""COMPUTED_VALUE"""),"SMART CARD PRETO NAGRA")</f>
        <v>SMART CARD PRETO NAGRA</v>
      </c>
      <c r="B766" s="22">
        <f>IFERROR(__xludf.DUMMYFUNCTION("""COMPUTED_VALUE"""),4.1001234E7)</f>
        <v>41001234</v>
      </c>
      <c r="C766" s="21" t="str">
        <f>IFERROR(__xludf.DUMMYFUNCTION("""COMPUTED_VALUE"""),"246100820518")</f>
        <v>246100820518</v>
      </c>
      <c r="D766" s="21" t="str">
        <f>IFERROR(__xludf.DUMMYFUNCTION("""COMPUTED_VALUE"""),"DIGITEC TECNOLOGIA DIGITAL E REPRES")</f>
        <v>DIGITEC TECNOLOGIA DIGITAL E REPRES</v>
      </c>
      <c r="E766" s="21">
        <f>IFERROR(__xludf.DUMMYFUNCTION("""COMPUTED_VALUE"""),145359.0)</f>
        <v>145359</v>
      </c>
      <c r="F766" s="21" t="str">
        <f>IFERROR(__xludf.DUMMYFUNCTION("""COMPUTED_VALUE"""),"INICIALIZADO")</f>
        <v>INICIALIZADO</v>
      </c>
      <c r="G766" s="23">
        <f>IFERROR(__xludf.DUMMYFUNCTION("""COMPUTED_VALUE"""),45635.534907407404)</f>
        <v>45635.53491</v>
      </c>
      <c r="H766" s="24" t="str">
        <f>IFERROR(VLOOKUP(B766,material!A:D,3,0),"")</f>
        <v>CARD</v>
      </c>
    </row>
    <row r="767" ht="11.25" customHeight="1">
      <c r="A767" s="21" t="str">
        <f>IFERROR(__xludf.DUMMYFUNCTION("""COMPUTED_VALUE"""),"SMART CARD LARANJA")</f>
        <v>SMART CARD LARANJA</v>
      </c>
      <c r="B767" s="22">
        <f>IFERROR(__xludf.DUMMYFUNCTION("""COMPUTED_VALUE"""),4.1001186E7)</f>
        <v>41001186</v>
      </c>
      <c r="C767" s="21" t="str">
        <f>IFERROR(__xludf.DUMMYFUNCTION("""COMPUTED_VALUE"""),"226516541729")</f>
        <v>226516541729</v>
      </c>
      <c r="D767" s="21" t="str">
        <f>IFERROR(__xludf.DUMMYFUNCTION("""COMPUTED_VALUE"""),"DIGITEC TECNOLOGIA DIGITAL E REPRES")</f>
        <v>DIGITEC TECNOLOGIA DIGITAL E REPRES</v>
      </c>
      <c r="E767" s="21">
        <f>IFERROR(__xludf.DUMMYFUNCTION("""COMPUTED_VALUE"""),145359.0)</f>
        <v>145359</v>
      </c>
      <c r="F767" s="21" t="str">
        <f>IFERROR(__xludf.DUMMYFUNCTION("""COMPUTED_VALUE"""),"INICIALIZADO")</f>
        <v>INICIALIZADO</v>
      </c>
      <c r="G767" s="23">
        <f>IFERROR(__xludf.DUMMYFUNCTION("""COMPUTED_VALUE"""),45000.35914351852)</f>
        <v>45000.35914</v>
      </c>
      <c r="H767" s="24" t="str">
        <f>IFERROR(VLOOKUP(B767,material!A:D,3,0),"")</f>
        <v>CARD</v>
      </c>
    </row>
    <row r="768" ht="11.25" customHeight="1">
      <c r="A768" s="21" t="str">
        <f>IFERROR(__xludf.DUMMYFUNCTION("""COMPUTED_VALUE"""),"SMART CARD LARANJA")</f>
        <v>SMART CARD LARANJA</v>
      </c>
      <c r="B768" s="22">
        <f>IFERROR(__xludf.DUMMYFUNCTION("""COMPUTED_VALUE"""),4.1001186E7)</f>
        <v>41001186</v>
      </c>
      <c r="C768" s="21" t="str">
        <f>IFERROR(__xludf.DUMMYFUNCTION("""COMPUTED_VALUE"""),"215646103855")</f>
        <v>215646103855</v>
      </c>
      <c r="D768" s="21" t="str">
        <f>IFERROR(__xludf.DUMMYFUNCTION("""COMPUTED_VALUE"""),"DIGITEC TECNOLOGIA DIGITAL E REPRES")</f>
        <v>DIGITEC TECNOLOGIA DIGITAL E REPRES</v>
      </c>
      <c r="E768" s="21">
        <f>IFERROR(__xludf.DUMMYFUNCTION("""COMPUTED_VALUE"""),145359.0)</f>
        <v>145359</v>
      </c>
      <c r="F768" s="21" t="str">
        <f>IFERROR(__xludf.DUMMYFUNCTION("""COMPUTED_VALUE"""),"INICIALIZADO")</f>
        <v>INICIALIZADO</v>
      </c>
      <c r="G768" s="23">
        <f>IFERROR(__xludf.DUMMYFUNCTION("""COMPUTED_VALUE"""),45000.35914351852)</f>
        <v>45000.35914</v>
      </c>
      <c r="H768" s="24" t="str">
        <f>IFERROR(VLOOKUP(B768,material!A:D,3,0),"")</f>
        <v>CARD</v>
      </c>
    </row>
    <row r="769" ht="11.25" customHeight="1">
      <c r="A769" s="21" t="str">
        <f>IFERROR(__xludf.DUMMYFUNCTION("""COMPUTED_VALUE"""),"SMART CARD LARANJA NAGRA")</f>
        <v>SMART CARD LARANJA NAGRA</v>
      </c>
      <c r="B769" s="22">
        <f>IFERROR(__xludf.DUMMYFUNCTION("""COMPUTED_VALUE"""),4.1001186E7)</f>
        <v>41001186</v>
      </c>
      <c r="C769" s="21" t="str">
        <f>IFERROR(__xludf.DUMMYFUNCTION("""COMPUTED_VALUE"""),"225770649607")</f>
        <v>225770649607</v>
      </c>
      <c r="D769" s="21" t="str">
        <f>IFERROR(__xludf.DUMMYFUNCTION("""COMPUTED_VALUE"""),"DIGITEC TECNOLOGIA DIGITAL E REPRES")</f>
        <v>DIGITEC TECNOLOGIA DIGITAL E REPRES</v>
      </c>
      <c r="E769" s="21">
        <f>IFERROR(__xludf.DUMMYFUNCTION("""COMPUTED_VALUE"""),145359.0)</f>
        <v>145359</v>
      </c>
      <c r="F769" s="21" t="str">
        <f>IFERROR(__xludf.DUMMYFUNCTION("""COMPUTED_VALUE"""),"INICIALIZADO")</f>
        <v>INICIALIZADO</v>
      </c>
      <c r="G769" s="23">
        <f>IFERROR(__xludf.DUMMYFUNCTION("""COMPUTED_VALUE"""),45000.35914351852)</f>
        <v>45000.35914</v>
      </c>
      <c r="H769" s="24" t="str">
        <f>IFERROR(VLOOKUP(B769,material!A:D,3,0),"")</f>
        <v>CARD</v>
      </c>
    </row>
    <row r="770" ht="11.25" customHeight="1">
      <c r="A770" s="21" t="str">
        <f>IFERROR(__xludf.DUMMYFUNCTION("""COMPUTED_VALUE"""),"SMART CARD PRETO NAGRA")</f>
        <v>SMART CARD PRETO NAGRA</v>
      </c>
      <c r="B770" s="22">
        <f>IFERROR(__xludf.DUMMYFUNCTION("""COMPUTED_VALUE"""),4.1001234E7)</f>
        <v>41001234</v>
      </c>
      <c r="C770" s="21" t="str">
        <f>IFERROR(__xludf.DUMMYFUNCTION("""COMPUTED_VALUE"""),"246066749302")</f>
        <v>246066749302</v>
      </c>
      <c r="D770" s="21" t="str">
        <f>IFERROR(__xludf.DUMMYFUNCTION("""COMPUTED_VALUE"""),"DIGITEC TECNOLOGIA DIGITAL E REPRES")</f>
        <v>DIGITEC TECNOLOGIA DIGITAL E REPRES</v>
      </c>
      <c r="E770" s="21">
        <f>IFERROR(__xludf.DUMMYFUNCTION("""COMPUTED_VALUE"""),145359.0)</f>
        <v>145359</v>
      </c>
      <c r="F770" s="21" t="str">
        <f>IFERROR(__xludf.DUMMYFUNCTION("""COMPUTED_VALUE"""),"SUSPEITO")</f>
        <v>SUSPEITO</v>
      </c>
      <c r="G770" s="23">
        <f>IFERROR(__xludf.DUMMYFUNCTION("""COMPUTED_VALUE"""),45643.3915625)</f>
        <v>45643.39156</v>
      </c>
      <c r="H770" s="24" t="str">
        <f>IFERROR(VLOOKUP(B770,material!A:D,3,0),"")</f>
        <v>CARD</v>
      </c>
    </row>
    <row r="771" ht="11.25" customHeight="1">
      <c r="A771" s="21" t="str">
        <f>IFERROR(__xludf.DUMMYFUNCTION("""COMPUTED_VALUE"""),"SMART CARD LARANJA NAGRA")</f>
        <v>SMART CARD LARANJA NAGRA</v>
      </c>
      <c r="B771" s="22">
        <f>IFERROR(__xludf.DUMMYFUNCTION("""COMPUTED_VALUE"""),4.1001186E7)</f>
        <v>41001186</v>
      </c>
      <c r="C771" s="21" t="str">
        <f>IFERROR(__xludf.DUMMYFUNCTION("""COMPUTED_VALUE"""),"226693343439")</f>
        <v>226693343439</v>
      </c>
      <c r="D771" s="21" t="str">
        <f>IFERROR(__xludf.DUMMYFUNCTION("""COMPUTED_VALUE"""),"DIGITEC TECNOLOGIA DIGITAL E REPRES")</f>
        <v>DIGITEC TECNOLOGIA DIGITAL E REPRES</v>
      </c>
      <c r="E771" s="21">
        <f>IFERROR(__xludf.DUMMYFUNCTION("""COMPUTED_VALUE"""),145359.0)</f>
        <v>145359</v>
      </c>
      <c r="F771" s="21" t="str">
        <f>IFERROR(__xludf.DUMMYFUNCTION("""COMPUTED_VALUE"""),"SUCATA")</f>
        <v>SUCATA</v>
      </c>
      <c r="G771" s="23">
        <f>IFERROR(__xludf.DUMMYFUNCTION("""COMPUTED_VALUE"""),45075.51190972222)</f>
        <v>45075.51191</v>
      </c>
      <c r="H771" s="24" t="str">
        <f>IFERROR(VLOOKUP(B771,material!A:D,3,0),"")</f>
        <v>CARD</v>
      </c>
    </row>
    <row r="772" ht="11.25" customHeight="1">
      <c r="A772" s="21" t="str">
        <f>IFERROR(__xludf.DUMMYFUNCTION("""COMPUTED_VALUE"""),"SMART CARD LARANJA NAGRA")</f>
        <v>SMART CARD LARANJA NAGRA</v>
      </c>
      <c r="B772" s="22">
        <f>IFERROR(__xludf.DUMMYFUNCTION("""COMPUTED_VALUE"""),4.1001186E7)</f>
        <v>41001186</v>
      </c>
      <c r="C772" s="21" t="str">
        <f>IFERROR(__xludf.DUMMYFUNCTION("""COMPUTED_VALUE"""),"215800875065")</f>
        <v>215800875065</v>
      </c>
      <c r="D772" s="21" t="str">
        <f>IFERROR(__xludf.DUMMYFUNCTION("""COMPUTED_VALUE"""),"DIGITEC TECNOLOGIA DIGITAL E REPRES")</f>
        <v>DIGITEC TECNOLOGIA DIGITAL E REPRES</v>
      </c>
      <c r="E772" s="21">
        <f>IFERROR(__xludf.DUMMYFUNCTION("""COMPUTED_VALUE"""),145359.0)</f>
        <v>145359</v>
      </c>
      <c r="F772" s="21" t="str">
        <f>IFERROR(__xludf.DUMMYFUNCTION("""COMPUTED_VALUE"""),"SUCATA")</f>
        <v>SUCATA</v>
      </c>
      <c r="G772" s="23">
        <f>IFERROR(__xludf.DUMMYFUNCTION("""COMPUTED_VALUE"""),45075.62224537037)</f>
        <v>45075.62225</v>
      </c>
      <c r="H772" s="24" t="str">
        <f>IFERROR(VLOOKUP(B772,material!A:D,3,0),"")</f>
        <v>CARD</v>
      </c>
    </row>
    <row r="773" ht="11.25" customHeight="1">
      <c r="A773" s="21" t="str">
        <f>IFERROR(__xludf.DUMMYFUNCTION("""COMPUTED_VALUE"""),"SMART CARD LARANJA")</f>
        <v>SMART CARD LARANJA</v>
      </c>
      <c r="B773" s="22">
        <f>IFERROR(__xludf.DUMMYFUNCTION("""COMPUTED_VALUE"""),4.1001186E7)</f>
        <v>41001186</v>
      </c>
      <c r="C773" s="21" t="str">
        <f>IFERROR(__xludf.DUMMYFUNCTION("""COMPUTED_VALUE"""),"215975075253")</f>
        <v>215975075253</v>
      </c>
      <c r="D773" s="21" t="str">
        <f>IFERROR(__xludf.DUMMYFUNCTION("""COMPUTED_VALUE"""),"DIGITEC TECNOLOGIA DIGITAL E REPRES")</f>
        <v>DIGITEC TECNOLOGIA DIGITAL E REPRES</v>
      </c>
      <c r="E773" s="21">
        <f>IFERROR(__xludf.DUMMYFUNCTION("""COMPUTED_VALUE"""),145359.0)</f>
        <v>145359</v>
      </c>
      <c r="F773" s="21" t="str">
        <f>IFERROR(__xludf.DUMMYFUNCTION("""COMPUTED_VALUE"""),"INICIALIZADO")</f>
        <v>INICIALIZADO</v>
      </c>
      <c r="G773" s="23">
        <f>IFERROR(__xludf.DUMMYFUNCTION("""COMPUTED_VALUE"""),45000.35914351852)</f>
        <v>45000.35914</v>
      </c>
      <c r="H773" s="24" t="str">
        <f>IFERROR(VLOOKUP(B773,material!A:D,3,0),"")</f>
        <v>CARD</v>
      </c>
    </row>
    <row r="774" ht="11.25" customHeight="1">
      <c r="A774" s="21" t="str">
        <f>IFERROR(__xludf.DUMMYFUNCTION("""COMPUTED_VALUE"""),"SMART CARD PRETO NAGRA")</f>
        <v>SMART CARD PRETO NAGRA</v>
      </c>
      <c r="B774" s="22">
        <f>IFERROR(__xludf.DUMMYFUNCTION("""COMPUTED_VALUE"""),4.1001234E7)</f>
        <v>41001234</v>
      </c>
      <c r="C774" s="21" t="str">
        <f>IFERROR(__xludf.DUMMYFUNCTION("""COMPUTED_VALUE"""),"226286448890")</f>
        <v>226286448890</v>
      </c>
      <c r="D774" s="21" t="str">
        <f>IFERROR(__xludf.DUMMYFUNCTION("""COMPUTED_VALUE"""),"DIGITEC TECNOLOGIA DIGITAL E REPRES")</f>
        <v>DIGITEC TECNOLOGIA DIGITAL E REPRES</v>
      </c>
      <c r="E774" s="21">
        <f>IFERROR(__xludf.DUMMYFUNCTION("""COMPUTED_VALUE"""),145359.0)</f>
        <v>145359</v>
      </c>
      <c r="F774" s="21" t="str">
        <f>IFERROR(__xludf.DUMMYFUNCTION("""COMPUTED_VALUE"""),"INICIALIZADO")</f>
        <v>INICIALIZADO</v>
      </c>
      <c r="G774" s="23">
        <f>IFERROR(__xludf.DUMMYFUNCTION("""COMPUTED_VALUE"""),45618.65202546296)</f>
        <v>45618.65203</v>
      </c>
      <c r="H774" s="24" t="str">
        <f>IFERROR(VLOOKUP(B774,material!A:D,3,0),"")</f>
        <v>CARD</v>
      </c>
    </row>
    <row r="775" ht="11.25" customHeight="1">
      <c r="A775" s="21" t="str">
        <f>IFERROR(__xludf.DUMMYFUNCTION("""COMPUTED_VALUE"""),"SMART CARD PRETO NAGRA")</f>
        <v>SMART CARD PRETO NAGRA</v>
      </c>
      <c r="B775" s="22">
        <f>IFERROR(__xludf.DUMMYFUNCTION("""COMPUTED_VALUE"""),4.1001234E7)</f>
        <v>41001234</v>
      </c>
      <c r="C775" s="21" t="str">
        <f>IFERROR(__xludf.DUMMYFUNCTION("""COMPUTED_VALUE"""),"226124564147")</f>
        <v>226124564147</v>
      </c>
      <c r="D775" s="21" t="str">
        <f>IFERROR(__xludf.DUMMYFUNCTION("""COMPUTED_VALUE"""),"DIGITEC TECNOLOGIA DIGITAL E REPRES")</f>
        <v>DIGITEC TECNOLOGIA DIGITAL E REPRES</v>
      </c>
      <c r="E775" s="21">
        <f>IFERROR(__xludf.DUMMYFUNCTION("""COMPUTED_VALUE"""),145359.0)</f>
        <v>145359</v>
      </c>
      <c r="F775" s="21" t="str">
        <f>IFERROR(__xludf.DUMMYFUNCTION("""COMPUTED_VALUE"""),"INICIALIZADO")</f>
        <v>INICIALIZADO</v>
      </c>
      <c r="G775" s="23">
        <f>IFERROR(__xludf.DUMMYFUNCTION("""COMPUTED_VALUE"""),45618.65202546296)</f>
        <v>45618.65203</v>
      </c>
      <c r="H775" s="24" t="str">
        <f>IFERROR(VLOOKUP(B775,material!A:D,3,0),"")</f>
        <v>CARD</v>
      </c>
    </row>
    <row r="776" ht="11.25" customHeight="1">
      <c r="A776" s="21" t="str">
        <f>IFERROR(__xludf.DUMMYFUNCTION("""COMPUTED_VALUE"""),"ARRIS TG1692A")</f>
        <v>ARRIS TG1692A</v>
      </c>
      <c r="B776" s="22">
        <f>IFERROR(__xludf.DUMMYFUNCTION("""COMPUTED_VALUE"""),4.1001293E7)</f>
        <v>41001293</v>
      </c>
      <c r="C776" s="21" t="str">
        <f>IFERROR(__xludf.DUMMYFUNCTION("""COMPUTED_VALUE"""),"BC644BE4EAD8")</f>
        <v>BC644BE4EAD8</v>
      </c>
      <c r="D776" s="21" t="str">
        <f>IFERROR(__xludf.DUMMYFUNCTION("""COMPUTED_VALUE"""),"DIGITEC TECNOLOGIA DIGITAL E REPRES")</f>
        <v>DIGITEC TECNOLOGIA DIGITAL E REPRES</v>
      </c>
      <c r="E776" s="21">
        <f>IFERROR(__xludf.DUMMYFUNCTION("""COMPUTED_VALUE"""),145359.0)</f>
        <v>145359</v>
      </c>
      <c r="F776" s="21" t="str">
        <f>IFERROR(__xludf.DUMMYFUNCTION("""COMPUTED_VALUE"""),"TRANSITO REVERSA")</f>
        <v>TRANSITO REVERSA</v>
      </c>
      <c r="G776" s="23">
        <f>IFERROR(__xludf.DUMMYFUNCTION("""COMPUTED_VALUE"""),45638.520636574074)</f>
        <v>45638.52064</v>
      </c>
      <c r="H776" s="24" t="str">
        <f>IFERROR(VLOOKUP(B776,material!A:D,3,0),"")</f>
        <v>DUAL</v>
      </c>
    </row>
    <row r="777" ht="11.25" customHeight="1">
      <c r="A777" s="21" t="str">
        <f>IFERROR(__xludf.DUMMYFUNCTION("""COMPUTED_VALUE"""),"ARRIS TG1692A")</f>
        <v>ARRIS TG1692A</v>
      </c>
      <c r="B777" s="22">
        <f>IFERROR(__xludf.DUMMYFUNCTION("""COMPUTED_VALUE"""),4.1001293E7)</f>
        <v>41001293</v>
      </c>
      <c r="C777" s="21" t="str">
        <f>IFERROR(__xludf.DUMMYFUNCTION("""COMPUTED_VALUE"""),"B0DAF9614736")</f>
        <v>B0DAF9614736</v>
      </c>
      <c r="D777" s="21" t="str">
        <f>IFERROR(__xludf.DUMMYFUNCTION("""COMPUTED_VALUE"""),"DIGITEC TECNOLOGIA DIGITAL E REPRES")</f>
        <v>DIGITEC TECNOLOGIA DIGITAL E REPRES</v>
      </c>
      <c r="E777" s="21">
        <f>IFERROR(__xludf.DUMMYFUNCTION("""COMPUTED_VALUE"""),145359.0)</f>
        <v>145359</v>
      </c>
      <c r="F777" s="21" t="str">
        <f>IFERROR(__xludf.DUMMYFUNCTION("""COMPUTED_VALUE"""),"TRANSITO REVERSA")</f>
        <v>TRANSITO REVERSA</v>
      </c>
      <c r="G777" s="23">
        <f>IFERROR(__xludf.DUMMYFUNCTION("""COMPUTED_VALUE"""),45617.87180555555)</f>
        <v>45617.87181</v>
      </c>
      <c r="H777" s="24" t="str">
        <f>IFERROR(VLOOKUP(B777,material!A:D,3,0),"")</f>
        <v>DUAL</v>
      </c>
    </row>
    <row r="778" ht="11.25" customHeight="1">
      <c r="A778" s="21" t="str">
        <f>IFERROR(__xludf.DUMMYFUNCTION("""COMPUTED_VALUE"""),"SMART CARD LARANJA NAGRA")</f>
        <v>SMART CARD LARANJA NAGRA</v>
      </c>
      <c r="B778" s="22">
        <f>IFERROR(__xludf.DUMMYFUNCTION("""COMPUTED_VALUE"""),4.1001186E7)</f>
        <v>41001186</v>
      </c>
      <c r="C778" s="21" t="str">
        <f>IFERROR(__xludf.DUMMYFUNCTION("""COMPUTED_VALUE"""),"226623699403")</f>
        <v>226623699403</v>
      </c>
      <c r="D778" s="21" t="str">
        <f>IFERROR(__xludf.DUMMYFUNCTION("""COMPUTED_VALUE"""),"DIGITEC TECNOLOGIA DIGITAL E REPRES")</f>
        <v>DIGITEC TECNOLOGIA DIGITAL E REPRES</v>
      </c>
      <c r="E778" s="21">
        <f>IFERROR(__xludf.DUMMYFUNCTION("""COMPUTED_VALUE"""),145359.0)</f>
        <v>145359</v>
      </c>
      <c r="F778" s="21" t="str">
        <f>IFERROR(__xludf.DUMMYFUNCTION("""COMPUTED_VALUE"""),"SUCATA")</f>
        <v>SUCATA</v>
      </c>
      <c r="G778" s="23">
        <f>IFERROR(__xludf.DUMMYFUNCTION("""COMPUTED_VALUE"""),45076.47319444444)</f>
        <v>45076.47319</v>
      </c>
      <c r="H778" s="24" t="str">
        <f>IFERROR(VLOOKUP(B778,material!A:D,3,0),"")</f>
        <v>CARD</v>
      </c>
    </row>
    <row r="779" ht="11.25" customHeight="1">
      <c r="A779" s="21" t="str">
        <f>IFERROR(__xludf.DUMMYFUNCTION("""COMPUTED_VALUE"""),"SMART CARD LARANJA NAGRA")</f>
        <v>SMART CARD LARANJA NAGRA</v>
      </c>
      <c r="B779" s="22">
        <f>IFERROR(__xludf.DUMMYFUNCTION("""COMPUTED_VALUE"""),4.1001186E7)</f>
        <v>41001186</v>
      </c>
      <c r="C779" s="21" t="str">
        <f>IFERROR(__xludf.DUMMYFUNCTION("""COMPUTED_VALUE"""),"226614038695")</f>
        <v>226614038695</v>
      </c>
      <c r="D779" s="21" t="str">
        <f>IFERROR(__xludf.DUMMYFUNCTION("""COMPUTED_VALUE"""),"DIGITEC TECNOLOGIA DIGITAL E REPRES")</f>
        <v>DIGITEC TECNOLOGIA DIGITAL E REPRES</v>
      </c>
      <c r="E779" s="21">
        <f>IFERROR(__xludf.DUMMYFUNCTION("""COMPUTED_VALUE"""),145359.0)</f>
        <v>145359</v>
      </c>
      <c r="F779" s="21" t="str">
        <f>IFERROR(__xludf.DUMMYFUNCTION("""COMPUTED_VALUE"""),"SUCATA")</f>
        <v>SUCATA</v>
      </c>
      <c r="G779" s="23">
        <f>IFERROR(__xludf.DUMMYFUNCTION("""COMPUTED_VALUE"""),45075.59908564815)</f>
        <v>45075.59909</v>
      </c>
      <c r="H779" s="24" t="str">
        <f>IFERROR(VLOOKUP(B779,material!A:D,3,0),"")</f>
        <v>CARD</v>
      </c>
    </row>
    <row r="780" ht="11.25" customHeight="1">
      <c r="A780" s="21" t="str">
        <f>IFERROR(__xludf.DUMMYFUNCTION("""COMPUTED_VALUE"""),"SMART CARD LARANJA NAGRA")</f>
        <v>SMART CARD LARANJA NAGRA</v>
      </c>
      <c r="B780" s="22">
        <f>IFERROR(__xludf.DUMMYFUNCTION("""COMPUTED_VALUE"""),4.1001186E7)</f>
        <v>41001186</v>
      </c>
      <c r="C780" s="21" t="str">
        <f>IFERROR(__xludf.DUMMYFUNCTION("""COMPUTED_VALUE"""),"215817540508")</f>
        <v>215817540508</v>
      </c>
      <c r="D780" s="21" t="str">
        <f>IFERROR(__xludf.DUMMYFUNCTION("""COMPUTED_VALUE"""),"DIGITEC TECNOLOGIA DIGITAL E REPRES")</f>
        <v>DIGITEC TECNOLOGIA DIGITAL E REPRES</v>
      </c>
      <c r="E780" s="21">
        <f>IFERROR(__xludf.DUMMYFUNCTION("""COMPUTED_VALUE"""),145359.0)</f>
        <v>145359</v>
      </c>
      <c r="F780" s="21" t="str">
        <f>IFERROR(__xludf.DUMMYFUNCTION("""COMPUTED_VALUE"""),"SUCATA")</f>
        <v>SUCATA</v>
      </c>
      <c r="G780" s="23">
        <f>IFERROR(__xludf.DUMMYFUNCTION("""COMPUTED_VALUE"""),45076.62077546296)</f>
        <v>45076.62078</v>
      </c>
      <c r="H780" s="24" t="str">
        <f>IFERROR(VLOOKUP(B780,material!A:D,3,0),"")</f>
        <v>CARD</v>
      </c>
    </row>
    <row r="781" ht="11.25" customHeight="1">
      <c r="A781" s="21" t="str">
        <f>IFERROR(__xludf.DUMMYFUNCTION("""COMPUTED_VALUE"""),"SMART CARD LARANJA NAGRA")</f>
        <v>SMART CARD LARANJA NAGRA</v>
      </c>
      <c r="B781" s="22">
        <f>IFERROR(__xludf.DUMMYFUNCTION("""COMPUTED_VALUE"""),4.1001186E7)</f>
        <v>41001186</v>
      </c>
      <c r="C781" s="21" t="str">
        <f>IFERROR(__xludf.DUMMYFUNCTION("""COMPUTED_VALUE"""),"215776212333")</f>
        <v>215776212333</v>
      </c>
      <c r="D781" s="21" t="str">
        <f>IFERROR(__xludf.DUMMYFUNCTION("""COMPUTED_VALUE"""),"DIGITEC TECNOLOGIA DIGITAL E REPRES")</f>
        <v>DIGITEC TECNOLOGIA DIGITAL E REPRES</v>
      </c>
      <c r="E781" s="21">
        <f>IFERROR(__xludf.DUMMYFUNCTION("""COMPUTED_VALUE"""),145359.0)</f>
        <v>145359</v>
      </c>
      <c r="F781" s="21" t="str">
        <f>IFERROR(__xludf.DUMMYFUNCTION("""COMPUTED_VALUE"""),"SUCATA")</f>
        <v>SUCATA</v>
      </c>
      <c r="G781" s="23">
        <f>IFERROR(__xludf.DUMMYFUNCTION("""COMPUTED_VALUE"""),45075.62225694444)</f>
        <v>45075.62226</v>
      </c>
      <c r="H781" s="24" t="str">
        <f>IFERROR(VLOOKUP(B781,material!A:D,3,0),"")</f>
        <v>CARD</v>
      </c>
    </row>
    <row r="782" ht="11.25" customHeight="1">
      <c r="A782" s="21" t="str">
        <f>IFERROR(__xludf.DUMMYFUNCTION("""COMPUTED_VALUE"""),"SMART CARD LARANJA NAGRA")</f>
        <v>SMART CARD LARANJA NAGRA</v>
      </c>
      <c r="B782" s="22">
        <f>IFERROR(__xludf.DUMMYFUNCTION("""COMPUTED_VALUE"""),4.1001186E7)</f>
        <v>41001186</v>
      </c>
      <c r="C782" s="21" t="str">
        <f>IFERROR(__xludf.DUMMYFUNCTION("""COMPUTED_VALUE"""),"215669202125")</f>
        <v>215669202125</v>
      </c>
      <c r="D782" s="21" t="str">
        <f>IFERROR(__xludf.DUMMYFUNCTION("""COMPUTED_VALUE"""),"DIGITEC TECNOLOGIA DIGITAL E REPRES")</f>
        <v>DIGITEC TECNOLOGIA DIGITAL E REPRES</v>
      </c>
      <c r="E782" s="21">
        <f>IFERROR(__xludf.DUMMYFUNCTION("""COMPUTED_VALUE"""),145359.0)</f>
        <v>145359</v>
      </c>
      <c r="F782" s="21" t="str">
        <f>IFERROR(__xludf.DUMMYFUNCTION("""COMPUTED_VALUE"""),"SUCATA")</f>
        <v>SUCATA</v>
      </c>
      <c r="G782" s="23">
        <f>IFERROR(__xludf.DUMMYFUNCTION("""COMPUTED_VALUE"""),45075.586851851855)</f>
        <v>45075.58685</v>
      </c>
      <c r="H782" s="24" t="str">
        <f>IFERROR(VLOOKUP(B782,material!A:D,3,0),"")</f>
        <v>CARD</v>
      </c>
    </row>
    <row r="783" ht="11.25" customHeight="1">
      <c r="A783" s="21" t="str">
        <f>IFERROR(__xludf.DUMMYFUNCTION("""COMPUTED_VALUE"""),"SMART CARD LARANJA NAGRA")</f>
        <v>SMART CARD LARANJA NAGRA</v>
      </c>
      <c r="B783" s="22">
        <f>IFERROR(__xludf.DUMMYFUNCTION("""COMPUTED_VALUE"""),4.1001186E7)</f>
        <v>41001186</v>
      </c>
      <c r="C783" s="21" t="str">
        <f>IFERROR(__xludf.DUMMYFUNCTION("""COMPUTED_VALUE"""),"215757807786")</f>
        <v>215757807786</v>
      </c>
      <c r="D783" s="21" t="str">
        <f>IFERROR(__xludf.DUMMYFUNCTION("""COMPUTED_VALUE"""),"DIGITEC TECNOLOGIA DIGITAL E REPRES")</f>
        <v>DIGITEC TECNOLOGIA DIGITAL E REPRES</v>
      </c>
      <c r="E783" s="21">
        <f>IFERROR(__xludf.DUMMYFUNCTION("""COMPUTED_VALUE"""),145359.0)</f>
        <v>145359</v>
      </c>
      <c r="F783" s="21" t="str">
        <f>IFERROR(__xludf.DUMMYFUNCTION("""COMPUTED_VALUE"""),"SUCATA")</f>
        <v>SUCATA</v>
      </c>
      <c r="G783" s="23">
        <f>IFERROR(__xludf.DUMMYFUNCTION("""COMPUTED_VALUE"""),45075.62224537037)</f>
        <v>45075.62225</v>
      </c>
      <c r="H783" s="24" t="str">
        <f>IFERROR(VLOOKUP(B783,material!A:D,3,0),"")</f>
        <v>CARD</v>
      </c>
    </row>
    <row r="784" ht="11.25" customHeight="1">
      <c r="A784" s="21" t="str">
        <f>IFERROR(__xludf.DUMMYFUNCTION("""COMPUTED_VALUE"""),"SMART CARD LARANJA NAGRA")</f>
        <v>SMART CARD LARANJA NAGRA</v>
      </c>
      <c r="B784" s="22">
        <f>IFERROR(__xludf.DUMMYFUNCTION("""COMPUTED_VALUE"""),4.1001186E7)</f>
        <v>41001186</v>
      </c>
      <c r="C784" s="21" t="str">
        <f>IFERROR(__xludf.DUMMYFUNCTION("""COMPUTED_VALUE"""),"215654121226")</f>
        <v>215654121226</v>
      </c>
      <c r="D784" s="21" t="str">
        <f>IFERROR(__xludf.DUMMYFUNCTION("""COMPUTED_VALUE"""),"DIGITEC TECNOLOGIA DIGITAL E REPRES")</f>
        <v>DIGITEC TECNOLOGIA DIGITAL E REPRES</v>
      </c>
      <c r="E784" s="21">
        <f>IFERROR(__xludf.DUMMYFUNCTION("""COMPUTED_VALUE"""),145359.0)</f>
        <v>145359</v>
      </c>
      <c r="F784" s="21" t="str">
        <f>IFERROR(__xludf.DUMMYFUNCTION("""COMPUTED_VALUE"""),"SUCATA")</f>
        <v>SUCATA</v>
      </c>
      <c r="G784" s="23">
        <f>IFERROR(__xludf.DUMMYFUNCTION("""COMPUTED_VALUE"""),45075.586851851855)</f>
        <v>45075.58685</v>
      </c>
      <c r="H784" s="24" t="str">
        <f>IFERROR(VLOOKUP(B784,material!A:D,3,0),"")</f>
        <v>CARD</v>
      </c>
    </row>
    <row r="785" ht="11.25" customHeight="1">
      <c r="A785" s="21" t="str">
        <f>IFERROR(__xludf.DUMMYFUNCTION("""COMPUTED_VALUE"""),"NAGRA KIT")</f>
        <v>NAGRA KIT</v>
      </c>
      <c r="B785" s="22">
        <f>IFERROR(__xludf.DUMMYFUNCTION("""COMPUTED_VALUE"""),4.1001186E7)</f>
        <v>41001186</v>
      </c>
      <c r="C785" s="21" t="str">
        <f>IFERROR(__xludf.DUMMYFUNCTION("""COMPUTED_VALUE"""),"215534409597")</f>
        <v>215534409597</v>
      </c>
      <c r="D785" s="21" t="str">
        <f>IFERROR(__xludf.DUMMYFUNCTION("""COMPUTED_VALUE"""),"DIGITEC TECNOLOGIA DIGITAL E REPRES")</f>
        <v>DIGITEC TECNOLOGIA DIGITAL E REPRES</v>
      </c>
      <c r="E785" s="21">
        <f>IFERROR(__xludf.DUMMYFUNCTION("""COMPUTED_VALUE"""),145359.0)</f>
        <v>145359</v>
      </c>
      <c r="F785" s="21" t="str">
        <f>IFERROR(__xludf.DUMMYFUNCTION("""COMPUTED_VALUE"""),"SUCATA")</f>
        <v>SUCATA</v>
      </c>
      <c r="G785" s="23">
        <f>IFERROR(__xludf.DUMMYFUNCTION("""COMPUTED_VALUE"""),45076.681238425925)</f>
        <v>45076.68124</v>
      </c>
      <c r="H785" s="24" t="str">
        <f>IFERROR(VLOOKUP(B785,material!A:D,3,0),"")</f>
        <v>CARD</v>
      </c>
    </row>
    <row r="786" ht="11.25" customHeight="1">
      <c r="A786" s="21" t="str">
        <f>IFERROR(__xludf.DUMMYFUNCTION("""COMPUTED_VALUE"""),"HUMAX HGB10R-02")</f>
        <v>HUMAX HGB10R-02</v>
      </c>
      <c r="B786" s="22">
        <f>IFERROR(__xludf.DUMMYFUNCTION("""COMPUTED_VALUE"""),4.1001292E7)</f>
        <v>41001292</v>
      </c>
      <c r="C786" s="21" t="str">
        <f>IFERROR(__xludf.DUMMYFUNCTION("""COMPUTED_VALUE"""),"942CB3970927")</f>
        <v>942CB3970927</v>
      </c>
      <c r="D786" s="21" t="str">
        <f>IFERROR(__xludf.DUMMYFUNCTION("""COMPUTED_VALUE"""),"DIGITEC TECNOLOGIA DIGITAL E REPRES")</f>
        <v>DIGITEC TECNOLOGIA DIGITAL E REPRES</v>
      </c>
      <c r="E786" s="21">
        <f>IFERROR(__xludf.DUMMYFUNCTION("""COMPUTED_VALUE"""),145359.0)</f>
        <v>145359</v>
      </c>
      <c r="F786" s="21" t="str">
        <f>IFERROR(__xludf.DUMMYFUNCTION("""COMPUTED_VALUE"""),"SUSPEITO")</f>
        <v>SUSPEITO</v>
      </c>
      <c r="G786" s="23">
        <f>IFERROR(__xludf.DUMMYFUNCTION("""COMPUTED_VALUE"""),45639.81619212963)</f>
        <v>45639.81619</v>
      </c>
      <c r="H786" s="24" t="str">
        <f>IFERROR(VLOOKUP(B786,material!A:D,3,0),"")</f>
        <v>DUAL</v>
      </c>
    </row>
    <row r="787" ht="11.25" customHeight="1">
      <c r="A787" s="21" t="str">
        <f>IFERROR(__xludf.DUMMYFUNCTION("""COMPUTED_VALUE"""),"SMART CARD AVULSO MINI")</f>
        <v>SMART CARD AVULSO MINI</v>
      </c>
      <c r="B787" s="22">
        <f>IFERROR(__xludf.DUMMYFUNCTION("""COMPUTED_VALUE"""),4.1001508E7)</f>
        <v>41001508</v>
      </c>
      <c r="C787" s="21" t="str">
        <f>IFERROR(__xludf.DUMMYFUNCTION("""COMPUTED_VALUE"""),"246168767092")</f>
        <v>246168767092</v>
      </c>
      <c r="D787" s="21" t="str">
        <f>IFERROR(__xludf.DUMMYFUNCTION("""COMPUTED_VALUE"""),"DIGITEC TECNOLOGIA DIGITAL E REPRES")</f>
        <v>DIGITEC TECNOLOGIA DIGITAL E REPRES</v>
      </c>
      <c r="E787" s="21">
        <f>IFERROR(__xludf.DUMMYFUNCTION("""COMPUTED_VALUE"""),145359.0)</f>
        <v>145359</v>
      </c>
      <c r="F787" s="21" t="str">
        <f>IFERROR(__xludf.DUMMYFUNCTION("""COMPUTED_VALUE"""),"INICIALIZADO")</f>
        <v>INICIALIZADO</v>
      </c>
      <c r="G787" s="23">
        <f>IFERROR(__xludf.DUMMYFUNCTION("""COMPUTED_VALUE"""),45618.744733796295)</f>
        <v>45618.74473</v>
      </c>
      <c r="H787" s="24" t="str">
        <f>IFERROR(VLOOKUP(B787,material!A:D,3,0),"")</f>
        <v>SIM CARD</v>
      </c>
    </row>
    <row r="788" ht="11.25" customHeight="1">
      <c r="A788" s="21" t="str">
        <f>IFERROR(__xludf.DUMMYFUNCTION("""COMPUTED_VALUE"""),"TECHNICOLOR TC7337NET")</f>
        <v>TECHNICOLOR TC7337NET</v>
      </c>
      <c r="B788" s="22">
        <f>IFERROR(__xludf.DUMMYFUNCTION("""COMPUTED_VALUE"""),4.1001294E7)</f>
        <v>41001294</v>
      </c>
      <c r="C788" s="21" t="str">
        <f>IFERROR(__xludf.DUMMYFUNCTION("""COMPUTED_VALUE"""),"1062D0137AF9")</f>
        <v>1062D0137AF9</v>
      </c>
      <c r="D788" s="21" t="str">
        <f>IFERROR(__xludf.DUMMYFUNCTION("""COMPUTED_VALUE"""),"DIGITEC TECNOLOGIA DIGITAL E REPRES")</f>
        <v>DIGITEC TECNOLOGIA DIGITAL E REPRES</v>
      </c>
      <c r="E788" s="21">
        <f>IFERROR(__xludf.DUMMYFUNCTION("""COMPUTED_VALUE"""),145359.0)</f>
        <v>145359</v>
      </c>
      <c r="F788" s="21" t="str">
        <f>IFERROR(__xludf.DUMMYFUNCTION("""COMPUTED_VALUE"""),"INICIALIZADO")</f>
        <v>INICIALIZADO</v>
      </c>
      <c r="G788" s="23">
        <f>IFERROR(__xludf.DUMMYFUNCTION("""COMPUTED_VALUE"""),45618.74475694445)</f>
        <v>45618.74476</v>
      </c>
      <c r="H788" s="24" t="str">
        <f>IFERROR(VLOOKUP(B788,material!A:D,3,0),"")</f>
        <v>DUAL</v>
      </c>
    </row>
    <row r="789" ht="11.25" customHeight="1">
      <c r="A789" s="21" t="str">
        <f>IFERROR(__xludf.DUMMYFUNCTION("""COMPUTED_VALUE"""),"ARRIS TG1692A")</f>
        <v>ARRIS TG1692A</v>
      </c>
      <c r="B789" s="22">
        <f>IFERROR(__xludf.DUMMYFUNCTION("""COMPUTED_VALUE"""),4.1001293E7)</f>
        <v>41001293</v>
      </c>
      <c r="C789" s="21" t="str">
        <f>IFERROR(__xludf.DUMMYFUNCTION("""COMPUTED_VALUE"""),"BC644BCF1519")</f>
        <v>BC644BCF1519</v>
      </c>
      <c r="D789" s="21" t="str">
        <f>IFERROR(__xludf.DUMMYFUNCTION("""COMPUTED_VALUE"""),"DIGITEC TECNOLOGIA DIGITAL E REPRES")</f>
        <v>DIGITEC TECNOLOGIA DIGITAL E REPRES</v>
      </c>
      <c r="E789" s="21">
        <f>IFERROR(__xludf.DUMMYFUNCTION("""COMPUTED_VALUE"""),145359.0)</f>
        <v>145359</v>
      </c>
      <c r="F789" s="21" t="str">
        <f>IFERROR(__xludf.DUMMYFUNCTION("""COMPUTED_VALUE"""),"INICIALIZADO")</f>
        <v>INICIALIZADO</v>
      </c>
      <c r="G789" s="23">
        <f>IFERROR(__xludf.DUMMYFUNCTION("""COMPUTED_VALUE"""),45201.65947916667)</f>
        <v>45201.65948</v>
      </c>
      <c r="H789" s="24" t="str">
        <f>IFERROR(VLOOKUP(B789,material!A:D,3,0),"")</f>
        <v>DUAL</v>
      </c>
    </row>
    <row r="790" ht="11.25" customHeight="1">
      <c r="A790" s="21" t="str">
        <f>IFERROR(__xludf.DUMMYFUNCTION("""COMPUTED_VALUE"""),"DECODER DIGITAL HD DXC5000 2T")</f>
        <v>DECODER DIGITAL HD DXC5000 2T</v>
      </c>
      <c r="B790" s="22">
        <f>IFERROR(__xludf.DUMMYFUNCTION("""COMPUTED_VALUE"""),4.1001277E7)</f>
        <v>41001277</v>
      </c>
      <c r="C790" s="21" t="str">
        <f>IFERROR(__xludf.DUMMYFUNCTION("""COMPUTED_VALUE"""),"216744804056")</f>
        <v>216744804056</v>
      </c>
      <c r="D790" s="21" t="str">
        <f>IFERROR(__xludf.DUMMYFUNCTION("""COMPUTED_VALUE"""),"DIGITEC TECNOLOGIA DIGITAL E REPRES")</f>
        <v>DIGITEC TECNOLOGIA DIGITAL E REPRES</v>
      </c>
      <c r="E790" s="21">
        <f>IFERROR(__xludf.DUMMYFUNCTION("""COMPUTED_VALUE"""),145359.0)</f>
        <v>145359</v>
      </c>
      <c r="F790" s="21" t="str">
        <f>IFERROR(__xludf.DUMMYFUNCTION("""COMPUTED_VALUE"""),"INICIALIZADO")</f>
        <v>INICIALIZADO</v>
      </c>
      <c r="G790" s="23">
        <f>IFERROR(__xludf.DUMMYFUNCTION("""COMPUTED_VALUE"""),45593.72916666667)</f>
        <v>45593.72917</v>
      </c>
      <c r="H790" s="24" t="str">
        <f>IFERROR(VLOOKUP(B790,material!A:D,3,0),"")</f>
        <v>TOP MIX</v>
      </c>
    </row>
    <row r="791" ht="11.25" customHeight="1">
      <c r="A791" s="21" t="str">
        <f>IFERROR(__xludf.DUMMYFUNCTION("""COMPUTED_VALUE"""),"DECODER DIGITAL HD DXC5000 2T")</f>
        <v>DECODER DIGITAL HD DXC5000 2T</v>
      </c>
      <c r="B791" s="22">
        <f>IFERROR(__xludf.DUMMYFUNCTION("""COMPUTED_VALUE"""),4.1001277E7)</f>
        <v>41001277</v>
      </c>
      <c r="C791" s="21" t="str">
        <f>IFERROR(__xludf.DUMMYFUNCTION("""COMPUTED_VALUE"""),"216745780729")</f>
        <v>216745780729</v>
      </c>
      <c r="D791" s="21" t="str">
        <f>IFERROR(__xludf.DUMMYFUNCTION("""COMPUTED_VALUE"""),"DIGITEC TECNOLOGIA DIGITAL E REPRES")</f>
        <v>DIGITEC TECNOLOGIA DIGITAL E REPRES</v>
      </c>
      <c r="E791" s="21">
        <f>IFERROR(__xludf.DUMMYFUNCTION("""COMPUTED_VALUE"""),145359.0)</f>
        <v>145359</v>
      </c>
      <c r="F791" s="21" t="str">
        <f>IFERROR(__xludf.DUMMYFUNCTION("""COMPUTED_VALUE"""),"INICIALIZADO")</f>
        <v>INICIALIZADO</v>
      </c>
      <c r="G791" s="23">
        <f>IFERROR(__xludf.DUMMYFUNCTION("""COMPUTED_VALUE"""),45615.61856481481)</f>
        <v>45615.61856</v>
      </c>
      <c r="H791" s="24" t="str">
        <f>IFERROR(VLOOKUP(B791,material!A:D,3,0),"")</f>
        <v>TOP MIX</v>
      </c>
    </row>
    <row r="792" ht="11.25" customHeight="1">
      <c r="A792" s="21" t="str">
        <f>IFERROR(__xludf.DUMMYFUNCTION("""COMPUTED_VALUE"""),"DECODER DIGITAL HD DXC5000 2T")</f>
        <v>DECODER DIGITAL HD DXC5000 2T</v>
      </c>
      <c r="B792" s="22">
        <f>IFERROR(__xludf.DUMMYFUNCTION("""COMPUTED_VALUE"""),4.1001277E7)</f>
        <v>41001277</v>
      </c>
      <c r="C792" s="21" t="str">
        <f>IFERROR(__xludf.DUMMYFUNCTION("""COMPUTED_VALUE"""),"216569066882")</f>
        <v>216569066882</v>
      </c>
      <c r="D792" s="21" t="str">
        <f>IFERROR(__xludf.DUMMYFUNCTION("""COMPUTED_VALUE"""),"DIGITEC TECNOLOGIA DIGITAL E REPRES")</f>
        <v>DIGITEC TECNOLOGIA DIGITAL E REPRES</v>
      </c>
      <c r="E792" s="21">
        <f>IFERROR(__xludf.DUMMYFUNCTION("""COMPUTED_VALUE"""),145359.0)</f>
        <v>145359</v>
      </c>
      <c r="F792" s="21" t="str">
        <f>IFERROR(__xludf.DUMMYFUNCTION("""COMPUTED_VALUE"""),"INICIALIZADO")</f>
        <v>INICIALIZADO</v>
      </c>
      <c r="G792" s="23">
        <f>IFERROR(__xludf.DUMMYFUNCTION("""COMPUTED_VALUE"""),45594.64795138889)</f>
        <v>45594.64795</v>
      </c>
      <c r="H792" s="24" t="str">
        <f>IFERROR(VLOOKUP(B792,material!A:D,3,0),"")</f>
        <v>TOP MIX</v>
      </c>
    </row>
    <row r="793" ht="11.25" customHeight="1">
      <c r="A793" s="21" t="str">
        <f>IFERROR(__xludf.DUMMYFUNCTION("""COMPUTED_VALUE"""),"DECODER DIGITAL HD HNB100 2T")</f>
        <v>DECODER DIGITAL HD HNB100 2T</v>
      </c>
      <c r="B793" s="22">
        <f>IFERROR(__xludf.DUMMYFUNCTION("""COMPUTED_VALUE"""),4.1001276E7)</f>
        <v>41001276</v>
      </c>
      <c r="C793" s="21" t="str">
        <f>IFERROR(__xludf.DUMMYFUNCTION("""COMPUTED_VALUE"""),"216858655470")</f>
        <v>216858655470</v>
      </c>
      <c r="D793" s="21" t="str">
        <f>IFERROR(__xludf.DUMMYFUNCTION("""COMPUTED_VALUE"""),"DIGITEC TECNOLOGIA DIGITAL E REPRES")</f>
        <v>DIGITEC TECNOLOGIA DIGITAL E REPRES</v>
      </c>
      <c r="E793" s="21">
        <f>IFERROR(__xludf.DUMMYFUNCTION("""COMPUTED_VALUE"""),145359.0)</f>
        <v>145359</v>
      </c>
      <c r="F793" s="21" t="str">
        <f>IFERROR(__xludf.DUMMYFUNCTION("""COMPUTED_VALUE"""),"INICIALIZADO")</f>
        <v>INICIALIZADO</v>
      </c>
      <c r="G793" s="23">
        <f>IFERROR(__xludf.DUMMYFUNCTION("""COMPUTED_VALUE"""),45635.53503472223)</f>
        <v>45635.53503</v>
      </c>
      <c r="H793" s="24" t="str">
        <f>IFERROR(VLOOKUP(B793,material!A:D,3,0),"")</f>
        <v>TOP MIX</v>
      </c>
    </row>
    <row r="794" ht="11.25" customHeight="1">
      <c r="A794" s="21" t="str">
        <f>IFERROR(__xludf.DUMMYFUNCTION("""COMPUTED_VALUE"""),"SMART CARD PRETO NAGRA")</f>
        <v>SMART CARD PRETO NAGRA</v>
      </c>
      <c r="B794" s="22">
        <f>IFERROR(__xludf.DUMMYFUNCTION("""COMPUTED_VALUE"""),4.1001234E7)</f>
        <v>41001234</v>
      </c>
      <c r="C794" s="21" t="str">
        <f>IFERROR(__xludf.DUMMYFUNCTION("""COMPUTED_VALUE"""),"246041807597")</f>
        <v>246041807597</v>
      </c>
      <c r="D794" s="21" t="str">
        <f>IFERROR(__xludf.DUMMYFUNCTION("""COMPUTED_VALUE"""),"DIGITEC TECNOLOGIA DIGITAL E REPRES")</f>
        <v>DIGITEC TECNOLOGIA DIGITAL E REPRES</v>
      </c>
      <c r="E794" s="21">
        <f>IFERROR(__xludf.DUMMYFUNCTION("""COMPUTED_VALUE"""),145359.0)</f>
        <v>145359</v>
      </c>
      <c r="F794" s="21" t="str">
        <f>IFERROR(__xludf.DUMMYFUNCTION("""COMPUTED_VALUE"""),"INICIALIZADO")</f>
        <v>INICIALIZADO</v>
      </c>
      <c r="G794" s="23">
        <f>IFERROR(__xludf.DUMMYFUNCTION("""COMPUTED_VALUE"""),45635.534907407404)</f>
        <v>45635.53491</v>
      </c>
      <c r="H794" s="24" t="str">
        <f>IFERROR(VLOOKUP(B794,material!A:D,3,0),"")</f>
        <v>CARD</v>
      </c>
    </row>
    <row r="795" ht="11.25" customHeight="1">
      <c r="A795" s="21" t="str">
        <f>IFERROR(__xludf.DUMMYFUNCTION("""COMPUTED_VALUE"""),"SMART CARD PRETO NAGRA")</f>
        <v>SMART CARD PRETO NAGRA</v>
      </c>
      <c r="B795" s="22">
        <f>IFERROR(__xludf.DUMMYFUNCTION("""COMPUTED_VALUE"""),4.1001234E7)</f>
        <v>41001234</v>
      </c>
      <c r="C795" s="21" t="str">
        <f>IFERROR(__xludf.DUMMYFUNCTION("""COMPUTED_VALUE"""),"246227951926")</f>
        <v>246227951926</v>
      </c>
      <c r="D795" s="21" t="str">
        <f>IFERROR(__xludf.DUMMYFUNCTION("""COMPUTED_VALUE"""),"DIGITEC TECNOLOGIA DIGITAL E REPRES")</f>
        <v>DIGITEC TECNOLOGIA DIGITAL E REPRES</v>
      </c>
      <c r="E795" s="21">
        <f>IFERROR(__xludf.DUMMYFUNCTION("""COMPUTED_VALUE"""),145359.0)</f>
        <v>145359</v>
      </c>
      <c r="F795" s="21" t="str">
        <f>IFERROR(__xludf.DUMMYFUNCTION("""COMPUTED_VALUE"""),"INICIALIZADO")</f>
        <v>INICIALIZADO</v>
      </c>
      <c r="G795" s="23">
        <f>IFERROR(__xludf.DUMMYFUNCTION("""COMPUTED_VALUE"""),45635.53493055556)</f>
        <v>45635.53493</v>
      </c>
      <c r="H795" s="24" t="str">
        <f>IFERROR(VLOOKUP(B795,material!A:D,3,0),"")</f>
        <v>CARD</v>
      </c>
    </row>
    <row r="796" ht="11.25" customHeight="1">
      <c r="A796" s="21" t="str">
        <f>IFERROR(__xludf.DUMMYFUNCTION("""COMPUTED_VALUE"""),"SMART CARD PRETO NAGRA")</f>
        <v>SMART CARD PRETO NAGRA</v>
      </c>
      <c r="B796" s="22">
        <f>IFERROR(__xludf.DUMMYFUNCTION("""COMPUTED_VALUE"""),4.1001234E7)</f>
        <v>41001234</v>
      </c>
      <c r="C796" s="21" t="str">
        <f>IFERROR(__xludf.DUMMYFUNCTION("""COMPUTED_VALUE"""),"246215393046")</f>
        <v>246215393046</v>
      </c>
      <c r="D796" s="21" t="str">
        <f>IFERROR(__xludf.DUMMYFUNCTION("""COMPUTED_VALUE"""),"DIGITEC TECNOLOGIA DIGITAL E REPRES")</f>
        <v>DIGITEC TECNOLOGIA DIGITAL E REPRES</v>
      </c>
      <c r="E796" s="21">
        <f>IFERROR(__xludf.DUMMYFUNCTION("""COMPUTED_VALUE"""),145359.0)</f>
        <v>145359</v>
      </c>
      <c r="F796" s="21" t="str">
        <f>IFERROR(__xludf.DUMMYFUNCTION("""COMPUTED_VALUE"""),"INICIALIZADO")</f>
        <v>INICIALIZADO</v>
      </c>
      <c r="G796" s="23">
        <f>IFERROR(__xludf.DUMMYFUNCTION("""COMPUTED_VALUE"""),45600.47596064815)</f>
        <v>45600.47596</v>
      </c>
      <c r="H796" s="24" t="str">
        <f>IFERROR(VLOOKUP(B796,material!A:D,3,0),"")</f>
        <v>CARD</v>
      </c>
    </row>
    <row r="797" ht="11.25" customHeight="1">
      <c r="A797" s="21" t="str">
        <f>IFERROR(__xludf.DUMMYFUNCTION("""COMPUTED_VALUE"""),"SMART CARD PRETO NAGRA")</f>
        <v>SMART CARD PRETO NAGRA</v>
      </c>
      <c r="B797" s="22">
        <f>IFERROR(__xludf.DUMMYFUNCTION("""COMPUTED_VALUE"""),4.1001234E7)</f>
        <v>41001234</v>
      </c>
      <c r="C797" s="21" t="str">
        <f>IFERROR(__xludf.DUMMYFUNCTION("""COMPUTED_VALUE"""),"246130127799")</f>
        <v>246130127799</v>
      </c>
      <c r="D797" s="21" t="str">
        <f>IFERROR(__xludf.DUMMYFUNCTION("""COMPUTED_VALUE"""),"DIGITEC TECNOLOGIA DIGITAL E REPRES")</f>
        <v>DIGITEC TECNOLOGIA DIGITAL E REPRES</v>
      </c>
      <c r="E797" s="21">
        <f>IFERROR(__xludf.DUMMYFUNCTION("""COMPUTED_VALUE"""),145359.0)</f>
        <v>145359</v>
      </c>
      <c r="F797" s="21" t="str">
        <f>IFERROR(__xludf.DUMMYFUNCTION("""COMPUTED_VALUE"""),"INICIALIZADO")</f>
        <v>INICIALIZADO</v>
      </c>
      <c r="G797" s="23">
        <f>IFERROR(__xludf.DUMMYFUNCTION("""COMPUTED_VALUE"""),45635.534895833334)</f>
        <v>45635.5349</v>
      </c>
      <c r="H797" s="24" t="str">
        <f>IFERROR(VLOOKUP(B797,material!A:D,3,0),"")</f>
        <v>CARD</v>
      </c>
    </row>
    <row r="798" ht="11.25" customHeight="1">
      <c r="A798" s="21" t="str">
        <f>IFERROR(__xludf.DUMMYFUNCTION("""COMPUTED_VALUE"""),"SMART CARD PRETO NAGRA")</f>
        <v>SMART CARD PRETO NAGRA</v>
      </c>
      <c r="B798" s="22">
        <f>IFERROR(__xludf.DUMMYFUNCTION("""COMPUTED_VALUE"""),4.1001234E7)</f>
        <v>41001234</v>
      </c>
      <c r="C798" s="21" t="str">
        <f>IFERROR(__xludf.DUMMYFUNCTION("""COMPUTED_VALUE"""),"246125555456")</f>
        <v>246125555456</v>
      </c>
      <c r="D798" s="21" t="str">
        <f>IFERROR(__xludf.DUMMYFUNCTION("""COMPUTED_VALUE"""),"DIGITEC TECNOLOGIA DIGITAL E REPRES")</f>
        <v>DIGITEC TECNOLOGIA DIGITAL E REPRES</v>
      </c>
      <c r="E798" s="21">
        <f>IFERROR(__xludf.DUMMYFUNCTION("""COMPUTED_VALUE"""),145359.0)</f>
        <v>145359</v>
      </c>
      <c r="F798" s="21" t="str">
        <f>IFERROR(__xludf.DUMMYFUNCTION("""COMPUTED_VALUE"""),"INICIALIZADO")</f>
        <v>INICIALIZADO</v>
      </c>
      <c r="G798" s="23">
        <f>IFERROR(__xludf.DUMMYFUNCTION("""COMPUTED_VALUE"""),45635.534895833334)</f>
        <v>45635.5349</v>
      </c>
      <c r="H798" s="24" t="str">
        <f>IFERROR(VLOOKUP(B798,material!A:D,3,0),"")</f>
        <v>CARD</v>
      </c>
    </row>
    <row r="799" ht="11.25" customHeight="1">
      <c r="A799" s="21" t="str">
        <f>IFERROR(__xludf.DUMMYFUNCTION("""COMPUTED_VALUE"""),"SMART CARD PRETO NAGRA")</f>
        <v>SMART CARD PRETO NAGRA</v>
      </c>
      <c r="B799" s="22">
        <f>IFERROR(__xludf.DUMMYFUNCTION("""COMPUTED_VALUE"""),4.1001234E7)</f>
        <v>41001234</v>
      </c>
      <c r="C799" s="21" t="str">
        <f>IFERROR(__xludf.DUMMYFUNCTION("""COMPUTED_VALUE"""),"246270840018")</f>
        <v>246270840018</v>
      </c>
      <c r="D799" s="21" t="str">
        <f>IFERROR(__xludf.DUMMYFUNCTION("""COMPUTED_VALUE"""),"DIGITEC TECNOLOGIA DIGITAL E REPRES")</f>
        <v>DIGITEC TECNOLOGIA DIGITAL E REPRES</v>
      </c>
      <c r="E799" s="21">
        <f>IFERROR(__xludf.DUMMYFUNCTION("""COMPUTED_VALUE"""),145359.0)</f>
        <v>145359</v>
      </c>
      <c r="F799" s="21" t="str">
        <f>IFERROR(__xludf.DUMMYFUNCTION("""COMPUTED_VALUE"""),"INICIALIZADO")</f>
        <v>INICIALIZADO</v>
      </c>
      <c r="G799" s="23">
        <f>IFERROR(__xludf.DUMMYFUNCTION("""COMPUTED_VALUE"""),45642.52410879629)</f>
        <v>45642.52411</v>
      </c>
      <c r="H799" s="24" t="str">
        <f>IFERROR(VLOOKUP(B799,material!A:D,3,0),"")</f>
        <v>CARD</v>
      </c>
    </row>
    <row r="800" ht="11.25" customHeight="1">
      <c r="A800" s="21" t="str">
        <f>IFERROR(__xludf.DUMMYFUNCTION("""COMPUTED_VALUE"""),"SMART CARD AVULSO MINI")</f>
        <v>SMART CARD AVULSO MINI</v>
      </c>
      <c r="B800" s="22">
        <f>IFERROR(__xludf.DUMMYFUNCTION("""COMPUTED_VALUE"""),4.1001508E7)</f>
        <v>41001508</v>
      </c>
      <c r="C800" s="21" t="str">
        <f>IFERROR(__xludf.DUMMYFUNCTION("""COMPUTED_VALUE"""),"226399590607")</f>
        <v>226399590607</v>
      </c>
      <c r="D800" s="21" t="str">
        <f>IFERROR(__xludf.DUMMYFUNCTION("""COMPUTED_VALUE"""),"DIGITEC TECNOLOGIA DIGITAL E REPRES")</f>
        <v>DIGITEC TECNOLOGIA DIGITAL E REPRES</v>
      </c>
      <c r="E800" s="21">
        <f>IFERROR(__xludf.DUMMYFUNCTION("""COMPUTED_VALUE"""),145359.0)</f>
        <v>145359</v>
      </c>
      <c r="F800" s="21" t="str">
        <f>IFERROR(__xludf.DUMMYFUNCTION("""COMPUTED_VALUE"""),"TRANSITO REVERSA")</f>
        <v>TRANSITO REVERSA</v>
      </c>
      <c r="G800" s="23">
        <f>IFERROR(__xludf.DUMMYFUNCTION("""COMPUTED_VALUE"""),45633.00336805556)</f>
        <v>45633.00337</v>
      </c>
      <c r="H800" s="24" t="str">
        <f>IFERROR(VLOOKUP(B800,material!A:D,3,0),"")</f>
        <v>SIM CARD</v>
      </c>
    </row>
    <row r="801" ht="11.25" customHeight="1">
      <c r="A801" s="21" t="str">
        <f>IFERROR(__xludf.DUMMYFUNCTION("""COMPUTED_VALUE"""),"SMART CARD PRETO NAGRA")</f>
        <v>SMART CARD PRETO NAGRA</v>
      </c>
      <c r="B801" s="22">
        <f>IFERROR(__xludf.DUMMYFUNCTION("""COMPUTED_VALUE"""),4.1001234E7)</f>
        <v>41001234</v>
      </c>
      <c r="C801" s="21" t="str">
        <f>IFERROR(__xludf.DUMMYFUNCTION("""COMPUTED_VALUE"""),"226050839208")</f>
        <v>226050839208</v>
      </c>
      <c r="D801" s="21" t="str">
        <f>IFERROR(__xludf.DUMMYFUNCTION("""COMPUTED_VALUE"""),"DIGITEC TECNOLOGIA DIGITAL E REPRES")</f>
        <v>DIGITEC TECNOLOGIA DIGITAL E REPRES</v>
      </c>
      <c r="E801" s="21">
        <f>IFERROR(__xludf.DUMMYFUNCTION("""COMPUTED_VALUE"""),145359.0)</f>
        <v>145359</v>
      </c>
      <c r="F801" s="21" t="str">
        <f>IFERROR(__xludf.DUMMYFUNCTION("""COMPUTED_VALUE"""),"SUSPEITO")</f>
        <v>SUSPEITO</v>
      </c>
      <c r="G801" s="23">
        <f>IFERROR(__xludf.DUMMYFUNCTION("""COMPUTED_VALUE"""),45637.69253472222)</f>
        <v>45637.69253</v>
      </c>
      <c r="H801" s="24" t="str">
        <f>IFERROR(VLOOKUP(B801,material!A:D,3,0),"")</f>
        <v>CARD</v>
      </c>
    </row>
    <row r="802" ht="11.25" customHeight="1">
      <c r="A802" s="21" t="str">
        <f>IFERROR(__xludf.DUMMYFUNCTION("""COMPUTED_VALUE"""),"SMART CARD PRETO NAGRA")</f>
        <v>SMART CARD PRETO NAGRA</v>
      </c>
      <c r="B802" s="22">
        <f>IFERROR(__xludf.DUMMYFUNCTION("""COMPUTED_VALUE"""),4.1001234E7)</f>
        <v>41001234</v>
      </c>
      <c r="C802" s="21" t="str">
        <f>IFERROR(__xludf.DUMMYFUNCTION("""COMPUTED_VALUE"""),"246246634153")</f>
        <v>246246634153</v>
      </c>
      <c r="D802" s="21" t="str">
        <f>IFERROR(__xludf.DUMMYFUNCTION("""COMPUTED_VALUE"""),"DIGITEC TECNOLOGIA DIGITAL E REPRES")</f>
        <v>DIGITEC TECNOLOGIA DIGITAL E REPRES</v>
      </c>
      <c r="E802" s="21">
        <f>IFERROR(__xludf.DUMMYFUNCTION("""COMPUTED_VALUE"""),145359.0)</f>
        <v>145359</v>
      </c>
      <c r="F802" s="21" t="str">
        <f>IFERROR(__xludf.DUMMYFUNCTION("""COMPUTED_VALUE"""),"INICIALIZADO")</f>
        <v>INICIALIZADO</v>
      </c>
      <c r="G802" s="23">
        <f>IFERROR(__xludf.DUMMYFUNCTION("""COMPUTED_VALUE"""),45635.53493055556)</f>
        <v>45635.53493</v>
      </c>
      <c r="H802" s="24" t="str">
        <f>IFERROR(VLOOKUP(B802,material!A:D,3,0),"")</f>
        <v>CARD</v>
      </c>
    </row>
    <row r="803" ht="11.25" customHeight="1">
      <c r="A803" s="21" t="str">
        <f>IFERROR(__xludf.DUMMYFUNCTION("""COMPUTED_VALUE"""),"SMART CARD PRETO NAGRA")</f>
        <v>SMART CARD PRETO NAGRA</v>
      </c>
      <c r="B803" s="22">
        <f>IFERROR(__xludf.DUMMYFUNCTION("""COMPUTED_VALUE"""),4.1001234E7)</f>
        <v>41001234</v>
      </c>
      <c r="C803" s="21" t="str">
        <f>IFERROR(__xludf.DUMMYFUNCTION("""COMPUTED_VALUE"""),"226412772634")</f>
        <v>226412772634</v>
      </c>
      <c r="D803" s="21" t="str">
        <f>IFERROR(__xludf.DUMMYFUNCTION("""COMPUTED_VALUE"""),"DIGITEC TECNOLOGIA DIGITAL E REPRES")</f>
        <v>DIGITEC TECNOLOGIA DIGITAL E REPRES</v>
      </c>
      <c r="E803" s="21">
        <f>IFERROR(__xludf.DUMMYFUNCTION("""COMPUTED_VALUE"""),145359.0)</f>
        <v>145359</v>
      </c>
      <c r="F803" s="21" t="str">
        <f>IFERROR(__xludf.DUMMYFUNCTION("""COMPUTED_VALUE"""),"INICIALIZADO")</f>
        <v>INICIALIZADO</v>
      </c>
      <c r="G803" s="23">
        <f>IFERROR(__xludf.DUMMYFUNCTION("""COMPUTED_VALUE"""),45642.52410879629)</f>
        <v>45642.52411</v>
      </c>
      <c r="H803" s="24" t="str">
        <f>IFERROR(VLOOKUP(B803,material!A:D,3,0),"")</f>
        <v>CARD</v>
      </c>
    </row>
    <row r="804" ht="11.25" customHeight="1">
      <c r="A804" s="21" t="str">
        <f>IFERROR(__xludf.DUMMYFUNCTION("""COMPUTED_VALUE"""),"SMART CARD PRETO NAGRA")</f>
        <v>SMART CARD PRETO NAGRA</v>
      </c>
      <c r="B804" s="22">
        <f>IFERROR(__xludf.DUMMYFUNCTION("""COMPUTED_VALUE"""),4.1001234E7)</f>
        <v>41001234</v>
      </c>
      <c r="C804" s="21" t="str">
        <f>IFERROR(__xludf.DUMMYFUNCTION("""COMPUTED_VALUE"""),"246304955557")</f>
        <v>246304955557</v>
      </c>
      <c r="D804" s="21" t="str">
        <f>IFERROR(__xludf.DUMMYFUNCTION("""COMPUTED_VALUE"""),"DIGITEC TECNOLOGIA DIGITAL E REPRES")</f>
        <v>DIGITEC TECNOLOGIA DIGITAL E REPRES</v>
      </c>
      <c r="E804" s="21">
        <f>IFERROR(__xludf.DUMMYFUNCTION("""COMPUTED_VALUE"""),145359.0)</f>
        <v>145359</v>
      </c>
      <c r="F804" s="21" t="str">
        <f>IFERROR(__xludf.DUMMYFUNCTION("""COMPUTED_VALUE"""),"INICIALIZADO")</f>
        <v>INICIALIZADO</v>
      </c>
      <c r="G804" s="23">
        <f>IFERROR(__xludf.DUMMYFUNCTION("""COMPUTED_VALUE"""),45635.534907407404)</f>
        <v>45635.53491</v>
      </c>
      <c r="H804" s="24" t="str">
        <f>IFERROR(VLOOKUP(B804,material!A:D,3,0),"")</f>
        <v>CARD</v>
      </c>
    </row>
    <row r="805" ht="11.25" customHeight="1">
      <c r="A805" s="21" t="str">
        <f>IFERROR(__xludf.DUMMYFUNCTION("""COMPUTED_VALUE"""),"SMART CARD PRETO NAGRA")</f>
        <v>SMART CARD PRETO NAGRA</v>
      </c>
      <c r="B805" s="22">
        <f>IFERROR(__xludf.DUMMYFUNCTION("""COMPUTED_VALUE"""),4.1001234E7)</f>
        <v>41001234</v>
      </c>
      <c r="C805" s="21" t="str">
        <f>IFERROR(__xludf.DUMMYFUNCTION("""COMPUTED_VALUE"""),"246106067482")</f>
        <v>246106067482</v>
      </c>
      <c r="D805" s="21" t="str">
        <f>IFERROR(__xludf.DUMMYFUNCTION("""COMPUTED_VALUE"""),"DIGITEC TECNOLOGIA DIGITAL E REPRES")</f>
        <v>DIGITEC TECNOLOGIA DIGITAL E REPRES</v>
      </c>
      <c r="E805" s="21">
        <f>IFERROR(__xludf.DUMMYFUNCTION("""COMPUTED_VALUE"""),145359.0)</f>
        <v>145359</v>
      </c>
      <c r="F805" s="21" t="str">
        <f>IFERROR(__xludf.DUMMYFUNCTION("""COMPUTED_VALUE"""),"INICIALIZADO")</f>
        <v>INICIALIZADO</v>
      </c>
      <c r="G805" s="23">
        <f>IFERROR(__xludf.DUMMYFUNCTION("""COMPUTED_VALUE"""),45635.534907407404)</f>
        <v>45635.53491</v>
      </c>
      <c r="H805" s="24" t="str">
        <f>IFERROR(VLOOKUP(B805,material!A:D,3,0),"")</f>
        <v>CARD</v>
      </c>
    </row>
    <row r="806" ht="11.25" customHeight="1">
      <c r="A806" s="21" t="str">
        <f>IFERROR(__xludf.DUMMYFUNCTION("""COMPUTED_VALUE"""),"DECODER DIGITAL HD HNB100 2T")</f>
        <v>DECODER DIGITAL HD HNB100 2T</v>
      </c>
      <c r="B806" s="22">
        <f>IFERROR(__xludf.DUMMYFUNCTION("""COMPUTED_VALUE"""),4.1001276E7)</f>
        <v>41001276</v>
      </c>
      <c r="C806" s="21" t="str">
        <f>IFERROR(__xludf.DUMMYFUNCTION("""COMPUTED_VALUE"""),"216802475464")</f>
        <v>216802475464</v>
      </c>
      <c r="D806" s="21" t="str">
        <f>IFERROR(__xludf.DUMMYFUNCTION("""COMPUTED_VALUE"""),"DIGITEC TECNOLOGIA DIGITAL E REPRES")</f>
        <v>DIGITEC TECNOLOGIA DIGITAL E REPRES</v>
      </c>
      <c r="E806" s="21">
        <f>IFERROR(__xludf.DUMMYFUNCTION("""COMPUTED_VALUE"""),145359.0)</f>
        <v>145359</v>
      </c>
      <c r="F806" s="21" t="str">
        <f>IFERROR(__xludf.DUMMYFUNCTION("""COMPUTED_VALUE"""),"INICIALIZADO")</f>
        <v>INICIALIZADO</v>
      </c>
      <c r="G806" s="23">
        <f>IFERROR(__xludf.DUMMYFUNCTION("""COMPUTED_VALUE"""),45635.53501157407)</f>
        <v>45635.53501</v>
      </c>
      <c r="H806" s="24" t="str">
        <f>IFERROR(VLOOKUP(B806,material!A:D,3,0),"")</f>
        <v>TOP MIX</v>
      </c>
    </row>
    <row r="807" ht="11.25" customHeight="1">
      <c r="A807" s="21" t="str">
        <f>IFERROR(__xludf.DUMMYFUNCTION("""COMPUTED_VALUE"""),"SMART CARD PRETO NAGRA")</f>
        <v>SMART CARD PRETO NAGRA</v>
      </c>
      <c r="B807" s="22">
        <f>IFERROR(__xludf.DUMMYFUNCTION("""COMPUTED_VALUE"""),4.1001234E7)</f>
        <v>41001234</v>
      </c>
      <c r="C807" s="21" t="str">
        <f>IFERROR(__xludf.DUMMYFUNCTION("""COMPUTED_VALUE"""),"246052993549")</f>
        <v>246052993549</v>
      </c>
      <c r="D807" s="21" t="str">
        <f>IFERROR(__xludf.DUMMYFUNCTION("""COMPUTED_VALUE"""),"DIGITEC TECNOLOGIA DIGITAL E REPRES")</f>
        <v>DIGITEC TECNOLOGIA DIGITAL E REPRES</v>
      </c>
      <c r="E807" s="21">
        <f>IFERROR(__xludf.DUMMYFUNCTION("""COMPUTED_VALUE"""),145359.0)</f>
        <v>145359</v>
      </c>
      <c r="F807" s="21" t="str">
        <f>IFERROR(__xludf.DUMMYFUNCTION("""COMPUTED_VALUE"""),"ANALISE DE INVENTARIO")</f>
        <v>ANALISE DE INVENTARIO</v>
      </c>
      <c r="G807" s="23">
        <f>IFERROR(__xludf.DUMMYFUNCTION("""COMPUTED_VALUE"""),45419.375451388885)</f>
        <v>45419.37545</v>
      </c>
      <c r="H807" s="24" t="str">
        <f>IFERROR(VLOOKUP(B807,material!A:D,3,0),"")</f>
        <v>CARD</v>
      </c>
    </row>
    <row r="808" ht="11.25" customHeight="1">
      <c r="A808" s="21" t="str">
        <f>IFERROR(__xludf.DUMMYFUNCTION("""COMPUTED_VALUE"""),"SMART CARD PRETO NAGRA")</f>
        <v>SMART CARD PRETO NAGRA</v>
      </c>
      <c r="B808" s="22">
        <f>IFERROR(__xludf.DUMMYFUNCTION("""COMPUTED_VALUE"""),4.1001234E7)</f>
        <v>41001234</v>
      </c>
      <c r="C808" s="21" t="str">
        <f>IFERROR(__xludf.DUMMYFUNCTION("""COMPUTED_VALUE"""),"226390701423")</f>
        <v>226390701423</v>
      </c>
      <c r="D808" s="21" t="str">
        <f>IFERROR(__xludf.DUMMYFUNCTION("""COMPUTED_VALUE"""),"DIGITEC TECNOLOGIA DIGITAL E REPRES")</f>
        <v>DIGITEC TECNOLOGIA DIGITAL E REPRES</v>
      </c>
      <c r="E808" s="21">
        <f>IFERROR(__xludf.DUMMYFUNCTION("""COMPUTED_VALUE"""),145359.0)</f>
        <v>145359</v>
      </c>
      <c r="F808" s="21" t="str">
        <f>IFERROR(__xludf.DUMMYFUNCTION("""COMPUTED_VALUE"""),"TRANSITO REVERSA")</f>
        <v>TRANSITO REVERSA</v>
      </c>
      <c r="G808" s="23">
        <f>IFERROR(__xludf.DUMMYFUNCTION("""COMPUTED_VALUE"""),45617.87142361111)</f>
        <v>45617.87142</v>
      </c>
      <c r="H808" s="24" t="str">
        <f>IFERROR(VLOOKUP(B808,material!A:D,3,0),"")</f>
        <v>CARD</v>
      </c>
    </row>
    <row r="809" ht="11.25" customHeight="1">
      <c r="A809" s="21" t="str">
        <f>IFERROR(__xludf.DUMMYFUNCTION("""COMPUTED_VALUE"""),"SMART CARD PRETO NAGRA")</f>
        <v>SMART CARD PRETO NAGRA</v>
      </c>
      <c r="B809" s="22">
        <f>IFERROR(__xludf.DUMMYFUNCTION("""COMPUTED_VALUE"""),4.1001234E7)</f>
        <v>41001234</v>
      </c>
      <c r="C809" s="21" t="str">
        <f>IFERROR(__xludf.DUMMYFUNCTION("""COMPUTED_VALUE"""),"226270870716")</f>
        <v>226270870716</v>
      </c>
      <c r="D809" s="21" t="str">
        <f>IFERROR(__xludf.DUMMYFUNCTION("""COMPUTED_VALUE"""),"DIGITEC TECNOLOGIA DIGITAL E REPRES")</f>
        <v>DIGITEC TECNOLOGIA DIGITAL E REPRES</v>
      </c>
      <c r="E809" s="21">
        <f>IFERROR(__xludf.DUMMYFUNCTION("""COMPUTED_VALUE"""),145359.0)</f>
        <v>145359</v>
      </c>
      <c r="F809" s="21" t="str">
        <f>IFERROR(__xludf.DUMMYFUNCTION("""COMPUTED_VALUE"""),"TRANSITO REVERSA")</f>
        <v>TRANSITO REVERSA</v>
      </c>
      <c r="G809" s="23">
        <f>IFERROR(__xludf.DUMMYFUNCTION("""COMPUTED_VALUE"""),45617.87137731482)</f>
        <v>45617.87138</v>
      </c>
      <c r="H809" s="24" t="str">
        <f>IFERROR(VLOOKUP(B809,material!A:D,3,0),"")</f>
        <v>CARD</v>
      </c>
    </row>
    <row r="810" ht="11.25" customHeight="1">
      <c r="A810" s="21" t="str">
        <f>IFERROR(__xludf.DUMMYFUNCTION("""COMPUTED_VALUE"""),"SMART CARD PRETO NAGRA")</f>
        <v>SMART CARD PRETO NAGRA</v>
      </c>
      <c r="B810" s="22">
        <f>IFERROR(__xludf.DUMMYFUNCTION("""COMPUTED_VALUE"""),4.1001234E7)</f>
        <v>41001234</v>
      </c>
      <c r="C810" s="21" t="str">
        <f>IFERROR(__xludf.DUMMYFUNCTION("""COMPUTED_VALUE"""),"226095409910")</f>
        <v>226095409910</v>
      </c>
      <c r="D810" s="21" t="str">
        <f>IFERROR(__xludf.DUMMYFUNCTION("""COMPUTED_VALUE"""),"DIGITEC TECNOLOGIA DIGITAL E REPRES")</f>
        <v>DIGITEC TECNOLOGIA DIGITAL E REPRES</v>
      </c>
      <c r="E810" s="21">
        <f>IFERROR(__xludf.DUMMYFUNCTION("""COMPUTED_VALUE"""),145359.0)</f>
        <v>145359</v>
      </c>
      <c r="F810" s="21" t="str">
        <f>IFERROR(__xludf.DUMMYFUNCTION("""COMPUTED_VALUE"""),"TRANSITO REVERSA")</f>
        <v>TRANSITO REVERSA</v>
      </c>
      <c r="G810" s="23">
        <f>IFERROR(__xludf.DUMMYFUNCTION("""COMPUTED_VALUE"""),45633.003379629634)</f>
        <v>45633.00338</v>
      </c>
      <c r="H810" s="24" t="str">
        <f>IFERROR(VLOOKUP(B810,material!A:D,3,0),"")</f>
        <v>CARD</v>
      </c>
    </row>
    <row r="811" ht="11.25" customHeight="1">
      <c r="A811" s="21" t="str">
        <f>IFERROR(__xludf.DUMMYFUNCTION("""COMPUTED_VALUE"""),"SMART CARD PRETO NAGRA")</f>
        <v>SMART CARD PRETO NAGRA</v>
      </c>
      <c r="B811" s="22">
        <f>IFERROR(__xludf.DUMMYFUNCTION("""COMPUTED_VALUE"""),4.1001234E7)</f>
        <v>41001234</v>
      </c>
      <c r="C811" s="21" t="str">
        <f>IFERROR(__xludf.DUMMYFUNCTION("""COMPUTED_VALUE"""),"226047099404")</f>
        <v>226047099404</v>
      </c>
      <c r="D811" s="21" t="str">
        <f>IFERROR(__xludf.DUMMYFUNCTION("""COMPUTED_VALUE"""),"DIGITEC TECNOLOGIA DIGITAL E REPRES")</f>
        <v>DIGITEC TECNOLOGIA DIGITAL E REPRES</v>
      </c>
      <c r="E811" s="21">
        <f>IFERROR(__xludf.DUMMYFUNCTION("""COMPUTED_VALUE"""),145359.0)</f>
        <v>145359</v>
      </c>
      <c r="F811" s="21" t="str">
        <f>IFERROR(__xludf.DUMMYFUNCTION("""COMPUTED_VALUE"""),"TRANSITO REVERSA")</f>
        <v>TRANSITO REVERSA</v>
      </c>
      <c r="G811" s="23">
        <f>IFERROR(__xludf.DUMMYFUNCTION("""COMPUTED_VALUE"""),45617.87180555555)</f>
        <v>45617.87181</v>
      </c>
      <c r="H811" s="24" t="str">
        <f>IFERROR(VLOOKUP(B811,material!A:D,3,0),"")</f>
        <v>CARD</v>
      </c>
    </row>
    <row r="812" ht="11.25" customHeight="1">
      <c r="A812" s="21" t="str">
        <f>IFERROR(__xludf.DUMMYFUNCTION("""COMPUTED_VALUE"""),"SMART CARD LARANJA NAGRA")</f>
        <v>SMART CARD LARANJA NAGRA</v>
      </c>
      <c r="B812" s="22">
        <f>IFERROR(__xludf.DUMMYFUNCTION("""COMPUTED_VALUE"""),4.1001186E7)</f>
        <v>41001186</v>
      </c>
      <c r="C812" s="21" t="str">
        <f>IFERROR(__xludf.DUMMYFUNCTION("""COMPUTED_VALUE"""),"226840170721")</f>
        <v>226840170721</v>
      </c>
      <c r="D812" s="21" t="str">
        <f>IFERROR(__xludf.DUMMYFUNCTION("""COMPUTED_VALUE"""),"DIGITEC TECNOLOGIA DIGITAL E REPRES")</f>
        <v>DIGITEC TECNOLOGIA DIGITAL E REPRES</v>
      </c>
      <c r="E812" s="21">
        <f>IFERROR(__xludf.DUMMYFUNCTION("""COMPUTED_VALUE"""),145359.0)</f>
        <v>145359</v>
      </c>
      <c r="F812" s="21" t="str">
        <f>IFERROR(__xludf.DUMMYFUNCTION("""COMPUTED_VALUE"""),"TRANSITO REVERSA")</f>
        <v>TRANSITO REVERSA</v>
      </c>
      <c r="G812" s="23">
        <f>IFERROR(__xludf.DUMMYFUNCTION("""COMPUTED_VALUE"""),45617.87180555555)</f>
        <v>45617.87181</v>
      </c>
      <c r="H812" s="24" t="str">
        <f>IFERROR(VLOOKUP(B812,material!A:D,3,0),"")</f>
        <v>CARD</v>
      </c>
    </row>
    <row r="813" ht="11.25" customHeight="1">
      <c r="A813" s="21" t="str">
        <f>IFERROR(__xludf.DUMMYFUNCTION("""COMPUTED_VALUE"""),"SMART CARD PRETO NAGRA")</f>
        <v>SMART CARD PRETO NAGRA</v>
      </c>
      <c r="B813" s="22">
        <f>IFERROR(__xludf.DUMMYFUNCTION("""COMPUTED_VALUE"""),4.1001234E7)</f>
        <v>41001234</v>
      </c>
      <c r="C813" s="21" t="str">
        <f>IFERROR(__xludf.DUMMYFUNCTION("""COMPUTED_VALUE"""),"226008896977")</f>
        <v>226008896977</v>
      </c>
      <c r="D813" s="21" t="str">
        <f>IFERROR(__xludf.DUMMYFUNCTION("""COMPUTED_VALUE"""),"DIGITEC TECNOLOGIA DIGITAL E REPRES")</f>
        <v>DIGITEC TECNOLOGIA DIGITAL E REPRES</v>
      </c>
      <c r="E813" s="21">
        <f>IFERROR(__xludf.DUMMYFUNCTION("""COMPUTED_VALUE"""),145359.0)</f>
        <v>145359</v>
      </c>
      <c r="F813" s="21" t="str">
        <f>IFERROR(__xludf.DUMMYFUNCTION("""COMPUTED_VALUE"""),"SUSPEITO")</f>
        <v>SUSPEITO</v>
      </c>
      <c r="G813" s="23">
        <f>IFERROR(__xludf.DUMMYFUNCTION("""COMPUTED_VALUE"""),45631.70061342593)</f>
        <v>45631.70061</v>
      </c>
      <c r="H813" s="24" t="str">
        <f>IFERROR(VLOOKUP(B813,material!A:D,3,0),"")</f>
        <v>CARD</v>
      </c>
    </row>
    <row r="814" ht="11.25" customHeight="1">
      <c r="A814" s="21" t="str">
        <f>IFERROR(__xludf.DUMMYFUNCTION("""COMPUTED_VALUE"""),"SMART CARD PRETO NAGRA")</f>
        <v>SMART CARD PRETO NAGRA</v>
      </c>
      <c r="B814" s="22">
        <f>IFERROR(__xludf.DUMMYFUNCTION("""COMPUTED_VALUE"""),4.1001234E7)</f>
        <v>41001234</v>
      </c>
      <c r="C814" s="21" t="str">
        <f>IFERROR(__xludf.DUMMYFUNCTION("""COMPUTED_VALUE"""),"226091508294")</f>
        <v>226091508294</v>
      </c>
      <c r="D814" s="21" t="str">
        <f>IFERROR(__xludf.DUMMYFUNCTION("""COMPUTED_VALUE"""),"DIGITEC TECNOLOGIA DIGITAL E REPRES")</f>
        <v>DIGITEC TECNOLOGIA DIGITAL E REPRES</v>
      </c>
      <c r="E814" s="21">
        <f>IFERROR(__xludf.DUMMYFUNCTION("""COMPUTED_VALUE"""),145359.0)</f>
        <v>145359</v>
      </c>
      <c r="F814" s="21" t="str">
        <f>IFERROR(__xludf.DUMMYFUNCTION("""COMPUTED_VALUE"""),"COM DEFEITO")</f>
        <v>COM DEFEITO</v>
      </c>
      <c r="G814" s="23">
        <f>IFERROR(__xludf.DUMMYFUNCTION("""COMPUTED_VALUE"""),45617.71435185186)</f>
        <v>45617.71435</v>
      </c>
      <c r="H814" s="24" t="str">
        <f>IFERROR(VLOOKUP(B814,material!A:D,3,0),"")</f>
        <v>CARD</v>
      </c>
    </row>
    <row r="815" ht="11.25" customHeight="1">
      <c r="A815" s="21" t="str">
        <f>IFERROR(__xludf.DUMMYFUNCTION("""COMPUTED_VALUE"""),"SMART CARD PRETO NAGRA")</f>
        <v>SMART CARD PRETO NAGRA</v>
      </c>
      <c r="B815" s="22">
        <f>IFERROR(__xludf.DUMMYFUNCTION("""COMPUTED_VALUE"""),4.1001234E7)</f>
        <v>41001234</v>
      </c>
      <c r="C815" s="21" t="str">
        <f>IFERROR(__xludf.DUMMYFUNCTION("""COMPUTED_VALUE"""),"226288237494")</f>
        <v>226288237494</v>
      </c>
      <c r="D815" s="21" t="str">
        <f>IFERROR(__xludf.DUMMYFUNCTION("""COMPUTED_VALUE"""),"DIGITEC TECNOLOGIA DIGITAL E REPRES")</f>
        <v>DIGITEC TECNOLOGIA DIGITAL E REPRES</v>
      </c>
      <c r="E815" s="21">
        <f>IFERROR(__xludf.DUMMYFUNCTION("""COMPUTED_VALUE"""),145359.0)</f>
        <v>145359</v>
      </c>
      <c r="F815" s="21" t="str">
        <f>IFERROR(__xludf.DUMMYFUNCTION("""COMPUTED_VALUE"""),"INICIALIZADO")</f>
        <v>INICIALIZADO</v>
      </c>
      <c r="G815" s="23">
        <f>IFERROR(__xludf.DUMMYFUNCTION("""COMPUTED_VALUE"""),45618.65202546296)</f>
        <v>45618.65203</v>
      </c>
      <c r="H815" s="24" t="str">
        <f>IFERROR(VLOOKUP(B815,material!A:D,3,0),"")</f>
        <v>CARD</v>
      </c>
    </row>
    <row r="816" ht="11.25" customHeight="1">
      <c r="A816" s="21" t="str">
        <f>IFERROR(__xludf.DUMMYFUNCTION("""COMPUTED_VALUE"""),"SMART CARD PRETO NAGRA")</f>
        <v>SMART CARD PRETO NAGRA</v>
      </c>
      <c r="B816" s="22">
        <f>IFERROR(__xludf.DUMMYFUNCTION("""COMPUTED_VALUE"""),4.1001234E7)</f>
        <v>41001234</v>
      </c>
      <c r="C816" s="21" t="str">
        <f>IFERROR(__xludf.DUMMYFUNCTION("""COMPUTED_VALUE"""),"226332088193")</f>
        <v>226332088193</v>
      </c>
      <c r="D816" s="21" t="str">
        <f>IFERROR(__xludf.DUMMYFUNCTION("""COMPUTED_VALUE"""),"DIGITEC TECNOLOGIA DIGITAL E REPRES")</f>
        <v>DIGITEC TECNOLOGIA DIGITAL E REPRES</v>
      </c>
      <c r="E816" s="21">
        <f>IFERROR(__xludf.DUMMYFUNCTION("""COMPUTED_VALUE"""),145359.0)</f>
        <v>145359</v>
      </c>
      <c r="F816" s="21" t="str">
        <f>IFERROR(__xludf.DUMMYFUNCTION("""COMPUTED_VALUE"""),"INICIALIZADO")</f>
        <v>INICIALIZADO</v>
      </c>
      <c r="G816" s="23">
        <f>IFERROR(__xludf.DUMMYFUNCTION("""COMPUTED_VALUE"""),45454.55347222222)</f>
        <v>45454.55347</v>
      </c>
      <c r="H816" s="24" t="str">
        <f>IFERROR(VLOOKUP(B816,material!A:D,3,0),"")</f>
        <v>CARD</v>
      </c>
    </row>
    <row r="817" ht="11.25" customHeight="1">
      <c r="A817" s="21" t="str">
        <f>IFERROR(__xludf.DUMMYFUNCTION("""COMPUTED_VALUE"""),"SMART CARD PRETO NAGRA")</f>
        <v>SMART CARD PRETO NAGRA</v>
      </c>
      <c r="B817" s="22">
        <f>IFERROR(__xludf.DUMMYFUNCTION("""COMPUTED_VALUE"""),4.1001234E7)</f>
        <v>41001234</v>
      </c>
      <c r="C817" s="21" t="str">
        <f>IFERROR(__xludf.DUMMYFUNCTION("""COMPUTED_VALUE"""),"226062248996")</f>
        <v>226062248996</v>
      </c>
      <c r="D817" s="21" t="str">
        <f>IFERROR(__xludf.DUMMYFUNCTION("""COMPUTED_VALUE"""),"DIGITEC TECNOLOGIA DIGITAL E REPRES")</f>
        <v>DIGITEC TECNOLOGIA DIGITAL E REPRES</v>
      </c>
      <c r="E817" s="21">
        <f>IFERROR(__xludf.DUMMYFUNCTION("""COMPUTED_VALUE"""),145359.0)</f>
        <v>145359</v>
      </c>
      <c r="F817" s="21" t="str">
        <f>IFERROR(__xludf.DUMMYFUNCTION("""COMPUTED_VALUE"""),"INICIALIZADO")</f>
        <v>INICIALIZADO</v>
      </c>
      <c r="G817" s="23">
        <f>IFERROR(__xludf.DUMMYFUNCTION("""COMPUTED_VALUE"""),45635.534953703704)</f>
        <v>45635.53495</v>
      </c>
      <c r="H817" s="24" t="str">
        <f>IFERROR(VLOOKUP(B817,material!A:D,3,0),"")</f>
        <v>CARD</v>
      </c>
    </row>
    <row r="818" ht="11.25" customHeight="1">
      <c r="A818" s="21" t="str">
        <f>IFERROR(__xludf.DUMMYFUNCTION("""COMPUTED_VALUE"""),"SMART CARD PRETO NAGRA")</f>
        <v>SMART CARD PRETO NAGRA</v>
      </c>
      <c r="B818" s="22">
        <f>IFERROR(__xludf.DUMMYFUNCTION("""COMPUTED_VALUE"""),4.1001234E7)</f>
        <v>41001234</v>
      </c>
      <c r="C818" s="21" t="str">
        <f>IFERROR(__xludf.DUMMYFUNCTION("""COMPUTED_VALUE"""),"226301682533")</f>
        <v>226301682533</v>
      </c>
      <c r="D818" s="21" t="str">
        <f>IFERROR(__xludf.DUMMYFUNCTION("""COMPUTED_VALUE"""),"DIGITEC TECNOLOGIA DIGITAL E REPRES")</f>
        <v>DIGITEC TECNOLOGIA DIGITAL E REPRES</v>
      </c>
      <c r="E818" s="21">
        <f>IFERROR(__xludf.DUMMYFUNCTION("""COMPUTED_VALUE"""),145359.0)</f>
        <v>145359</v>
      </c>
      <c r="F818" s="21" t="str">
        <f>IFERROR(__xludf.DUMMYFUNCTION("""COMPUTED_VALUE"""),"INICIALIZADO")</f>
        <v>INICIALIZADO</v>
      </c>
      <c r="G818" s="23">
        <f>IFERROR(__xludf.DUMMYFUNCTION("""COMPUTED_VALUE"""),45454.55348379629)</f>
        <v>45454.55348</v>
      </c>
      <c r="H818" s="24" t="str">
        <f>IFERROR(VLOOKUP(B818,material!A:D,3,0),"")</f>
        <v>CARD</v>
      </c>
    </row>
    <row r="819" ht="11.25" customHeight="1">
      <c r="A819" s="21" t="str">
        <f>IFERROR(__xludf.DUMMYFUNCTION("""COMPUTED_VALUE"""),"SMART CARD LARANJA NAGRA")</f>
        <v>SMART CARD LARANJA NAGRA</v>
      </c>
      <c r="B819" s="22">
        <f>IFERROR(__xludf.DUMMYFUNCTION("""COMPUTED_VALUE"""),4.1001186E7)</f>
        <v>41001186</v>
      </c>
      <c r="C819" s="21" t="str">
        <f>IFERROR(__xludf.DUMMYFUNCTION("""COMPUTED_VALUE"""),"226709867980")</f>
        <v>226709867980</v>
      </c>
      <c r="D819" s="21" t="str">
        <f>IFERROR(__xludf.DUMMYFUNCTION("""COMPUTED_VALUE"""),"DIGITEC TECNOLOGIA DIGITAL E REPRES")</f>
        <v>DIGITEC TECNOLOGIA DIGITAL E REPRES</v>
      </c>
      <c r="E819" s="21">
        <f>IFERROR(__xludf.DUMMYFUNCTION("""COMPUTED_VALUE"""),145359.0)</f>
        <v>145359</v>
      </c>
      <c r="F819" s="21" t="str">
        <f>IFERROR(__xludf.DUMMYFUNCTION("""COMPUTED_VALUE"""),"SUCATA")</f>
        <v>SUCATA</v>
      </c>
      <c r="G819" s="23">
        <f>IFERROR(__xludf.DUMMYFUNCTION("""COMPUTED_VALUE"""),45075.51188657407)</f>
        <v>45075.51189</v>
      </c>
      <c r="H819" s="24" t="str">
        <f>IFERROR(VLOOKUP(B819,material!A:D,3,0),"")</f>
        <v>CARD</v>
      </c>
    </row>
    <row r="820" ht="11.25" customHeight="1">
      <c r="A820" s="21" t="str">
        <f>IFERROR(__xludf.DUMMYFUNCTION("""COMPUTED_VALUE"""),"SMART CARD PRETO NAGRA")</f>
        <v>SMART CARD PRETO NAGRA</v>
      </c>
      <c r="B820" s="22">
        <f>IFERROR(__xludf.DUMMYFUNCTION("""COMPUTED_VALUE"""),4.1001234E7)</f>
        <v>41001234</v>
      </c>
      <c r="C820" s="21" t="str">
        <f>IFERROR(__xludf.DUMMYFUNCTION("""COMPUTED_VALUE"""),"226332356581")</f>
        <v>226332356581</v>
      </c>
      <c r="D820" s="21" t="str">
        <f>IFERROR(__xludf.DUMMYFUNCTION("""COMPUTED_VALUE"""),"DIGITEC TECNOLOGIA DIGITAL E REPRES")</f>
        <v>DIGITEC TECNOLOGIA DIGITAL E REPRES</v>
      </c>
      <c r="E820" s="21">
        <f>IFERROR(__xludf.DUMMYFUNCTION("""COMPUTED_VALUE"""),145359.0)</f>
        <v>145359</v>
      </c>
      <c r="F820" s="21" t="str">
        <f>IFERROR(__xludf.DUMMYFUNCTION("""COMPUTED_VALUE"""),"INICIALIZADO")</f>
        <v>INICIALIZADO</v>
      </c>
      <c r="G820" s="23">
        <f>IFERROR(__xludf.DUMMYFUNCTION("""COMPUTED_VALUE"""),45642.52412037037)</f>
        <v>45642.52412</v>
      </c>
      <c r="H820" s="24" t="str">
        <f>IFERROR(VLOOKUP(B820,material!A:D,3,0),"")</f>
        <v>CARD</v>
      </c>
    </row>
    <row r="821" ht="11.25" customHeight="1">
      <c r="A821" s="21" t="str">
        <f>IFERROR(__xludf.DUMMYFUNCTION("""COMPUTED_VALUE"""),"SMART CARD LARANJA NAGRA")</f>
        <v>SMART CARD LARANJA NAGRA</v>
      </c>
      <c r="B821" s="22">
        <f>IFERROR(__xludf.DUMMYFUNCTION("""COMPUTED_VALUE"""),4.1001186E7)</f>
        <v>41001186</v>
      </c>
      <c r="C821" s="21" t="str">
        <f>IFERROR(__xludf.DUMMYFUNCTION("""COMPUTED_VALUE"""),"226597680714")</f>
        <v>226597680714</v>
      </c>
      <c r="D821" s="21" t="str">
        <f>IFERROR(__xludf.DUMMYFUNCTION("""COMPUTED_VALUE"""),"DIGITEC TECNOLOGIA DIGITAL E REPRES")</f>
        <v>DIGITEC TECNOLOGIA DIGITAL E REPRES</v>
      </c>
      <c r="E821" s="21">
        <f>IFERROR(__xludf.DUMMYFUNCTION("""COMPUTED_VALUE"""),145359.0)</f>
        <v>145359</v>
      </c>
      <c r="F821" s="21" t="str">
        <f>IFERROR(__xludf.DUMMYFUNCTION("""COMPUTED_VALUE"""),"SUCATA")</f>
        <v>SUCATA</v>
      </c>
      <c r="G821" s="23">
        <f>IFERROR(__xludf.DUMMYFUNCTION("""COMPUTED_VALUE"""),45076.47319444444)</f>
        <v>45076.47319</v>
      </c>
      <c r="H821" s="24" t="str">
        <f>IFERROR(VLOOKUP(B821,material!A:D,3,0),"")</f>
        <v>CARD</v>
      </c>
    </row>
    <row r="822" ht="11.25" customHeight="1">
      <c r="A822" s="21" t="str">
        <f>IFERROR(__xludf.DUMMYFUNCTION("""COMPUTED_VALUE"""),"SMART CARD LARANJA NAGRA")</f>
        <v>SMART CARD LARANJA NAGRA</v>
      </c>
      <c r="B822" s="22">
        <f>IFERROR(__xludf.DUMMYFUNCTION("""COMPUTED_VALUE"""),4.1001186E7)</f>
        <v>41001186</v>
      </c>
      <c r="C822" s="21" t="str">
        <f>IFERROR(__xludf.DUMMYFUNCTION("""COMPUTED_VALUE"""),"226858480106")</f>
        <v>226858480106</v>
      </c>
      <c r="D822" s="21" t="str">
        <f>IFERROR(__xludf.DUMMYFUNCTION("""COMPUTED_VALUE"""),"DIGITEC TECNOLOGIA DIGITAL E REPRES")</f>
        <v>DIGITEC TECNOLOGIA DIGITAL E REPRES</v>
      </c>
      <c r="E822" s="21">
        <f>IFERROR(__xludf.DUMMYFUNCTION("""COMPUTED_VALUE"""),145359.0)</f>
        <v>145359</v>
      </c>
      <c r="F822" s="21" t="str">
        <f>IFERROR(__xludf.DUMMYFUNCTION("""COMPUTED_VALUE"""),"SUCATA")</f>
        <v>SUCATA</v>
      </c>
      <c r="G822" s="23">
        <f>IFERROR(__xludf.DUMMYFUNCTION("""COMPUTED_VALUE"""),45076.44642361111)</f>
        <v>45076.44642</v>
      </c>
      <c r="H822" s="24" t="str">
        <f>IFERROR(VLOOKUP(B822,material!A:D,3,0),"")</f>
        <v>CARD</v>
      </c>
    </row>
    <row r="823" ht="11.25" customHeight="1">
      <c r="A823" s="21" t="str">
        <f>IFERROR(__xludf.DUMMYFUNCTION("""COMPUTED_VALUE"""),"DECODER DIGITAL HD DXC5000 2T")</f>
        <v>DECODER DIGITAL HD DXC5000 2T</v>
      </c>
      <c r="B823" s="22">
        <f>IFERROR(__xludf.DUMMYFUNCTION("""COMPUTED_VALUE"""),4.1001277E7)</f>
        <v>41001277</v>
      </c>
      <c r="C823" s="21" t="str">
        <f>IFERROR(__xludf.DUMMYFUNCTION("""COMPUTED_VALUE"""),"216462182243")</f>
        <v>216462182243</v>
      </c>
      <c r="D823" s="21" t="str">
        <f>IFERROR(__xludf.DUMMYFUNCTION("""COMPUTED_VALUE"""),"DIGITEC TECNOLOGIA DIGITAL E REPRES")</f>
        <v>DIGITEC TECNOLOGIA DIGITAL E REPRES</v>
      </c>
      <c r="E823" s="21">
        <f>IFERROR(__xludf.DUMMYFUNCTION("""COMPUTED_VALUE"""),145359.0)</f>
        <v>145359</v>
      </c>
      <c r="F823" s="21" t="str">
        <f>IFERROR(__xludf.DUMMYFUNCTION("""COMPUTED_VALUE"""),"INICIALIZADO")</f>
        <v>INICIALIZADO</v>
      </c>
      <c r="G823" s="23">
        <f>IFERROR(__xludf.DUMMYFUNCTION("""COMPUTED_VALUE"""),45618.65201388889)</f>
        <v>45618.65201</v>
      </c>
      <c r="H823" s="24" t="str">
        <f>IFERROR(VLOOKUP(B823,material!A:D,3,0),"")</f>
        <v>TOP MIX</v>
      </c>
    </row>
    <row r="824" ht="11.25" customHeight="1">
      <c r="A824" s="21" t="str">
        <f>IFERROR(__xludf.DUMMYFUNCTION("""COMPUTED_VALUE"""),"DECODER DIGITAL HD HNB100 2T")</f>
        <v>DECODER DIGITAL HD HNB100 2T</v>
      </c>
      <c r="B824" s="22">
        <f>IFERROR(__xludf.DUMMYFUNCTION("""COMPUTED_VALUE"""),4.1001276E7)</f>
        <v>41001276</v>
      </c>
      <c r="C824" s="21" t="str">
        <f>IFERROR(__xludf.DUMMYFUNCTION("""COMPUTED_VALUE"""),"216630099214")</f>
        <v>216630099214</v>
      </c>
      <c r="D824" s="21" t="str">
        <f>IFERROR(__xludf.DUMMYFUNCTION("""COMPUTED_VALUE"""),"DIGITEC TECNOLOGIA DIGITAL E REPRES")</f>
        <v>DIGITEC TECNOLOGIA DIGITAL E REPRES</v>
      </c>
      <c r="E824" s="21">
        <f>IFERROR(__xludf.DUMMYFUNCTION("""COMPUTED_VALUE"""),145359.0)</f>
        <v>145359</v>
      </c>
      <c r="F824" s="21" t="str">
        <f>IFERROR(__xludf.DUMMYFUNCTION("""COMPUTED_VALUE"""),"INICIALIZADO")</f>
        <v>INICIALIZADO</v>
      </c>
      <c r="G824" s="23">
        <f>IFERROR(__xludf.DUMMYFUNCTION("""COMPUTED_VALUE"""),45635.53506944445)</f>
        <v>45635.53507</v>
      </c>
      <c r="H824" s="24" t="str">
        <f>IFERROR(VLOOKUP(B824,material!A:D,3,0),"")</f>
        <v>TOP MIX</v>
      </c>
    </row>
    <row r="825" ht="11.25" customHeight="1">
      <c r="A825" s="21" t="str">
        <f>IFERROR(__xludf.DUMMYFUNCTION("""COMPUTED_VALUE"""),"SMART CARD PRETO NAGRA")</f>
        <v>SMART CARD PRETO NAGRA</v>
      </c>
      <c r="B825" s="22">
        <f>IFERROR(__xludf.DUMMYFUNCTION("""COMPUTED_VALUE"""),4.1001234E7)</f>
        <v>41001234</v>
      </c>
      <c r="C825" s="21" t="str">
        <f>IFERROR(__xludf.DUMMYFUNCTION("""COMPUTED_VALUE"""),"226303950914")</f>
        <v>226303950914</v>
      </c>
      <c r="D825" s="21" t="str">
        <f>IFERROR(__xludf.DUMMYFUNCTION("""COMPUTED_VALUE"""),"DIGITEC TECNOLOGIA DIGITAL E REPRES")</f>
        <v>DIGITEC TECNOLOGIA DIGITAL E REPRES</v>
      </c>
      <c r="E825" s="21">
        <f>IFERROR(__xludf.DUMMYFUNCTION("""COMPUTED_VALUE"""),145359.0)</f>
        <v>145359</v>
      </c>
      <c r="F825" s="21" t="str">
        <f>IFERROR(__xludf.DUMMYFUNCTION("""COMPUTED_VALUE"""),"INICIALIZADO")</f>
        <v>INICIALIZADO</v>
      </c>
      <c r="G825" s="23">
        <f>IFERROR(__xludf.DUMMYFUNCTION("""COMPUTED_VALUE"""),45642.52412037037)</f>
        <v>45642.52412</v>
      </c>
      <c r="H825" s="24" t="str">
        <f>IFERROR(VLOOKUP(B825,material!A:D,3,0),"")</f>
        <v>CARD</v>
      </c>
    </row>
    <row r="826" ht="11.25" customHeight="1">
      <c r="A826" s="21" t="str">
        <f>IFERROR(__xludf.DUMMYFUNCTION("""COMPUTED_VALUE"""),"SMART CARD LARANJA NAGRA")</f>
        <v>SMART CARD LARANJA NAGRA</v>
      </c>
      <c r="B826" s="22">
        <f>IFERROR(__xludf.DUMMYFUNCTION("""COMPUTED_VALUE"""),4.1001186E7)</f>
        <v>41001186</v>
      </c>
      <c r="C826" s="21" t="str">
        <f>IFERROR(__xludf.DUMMYFUNCTION("""COMPUTED_VALUE"""),"226496698085")</f>
        <v>226496698085</v>
      </c>
      <c r="D826" s="21" t="str">
        <f>IFERROR(__xludf.DUMMYFUNCTION("""COMPUTED_VALUE"""),"DIGITEC TECNOLOGIA DIGITAL E REPRES")</f>
        <v>DIGITEC TECNOLOGIA DIGITAL E REPRES</v>
      </c>
      <c r="E826" s="21">
        <f>IFERROR(__xludf.DUMMYFUNCTION("""COMPUTED_VALUE"""),145359.0)</f>
        <v>145359</v>
      </c>
      <c r="F826" s="21" t="str">
        <f>IFERROR(__xludf.DUMMYFUNCTION("""COMPUTED_VALUE"""),"INICIALIZADO")</f>
        <v>INICIALIZADO</v>
      </c>
      <c r="G826" s="23">
        <f>IFERROR(__xludf.DUMMYFUNCTION("""COMPUTED_VALUE"""),45573.66674768519)</f>
        <v>45573.66675</v>
      </c>
      <c r="H826" s="24" t="str">
        <f>IFERROR(VLOOKUP(B826,material!A:D,3,0),"")</f>
        <v>CARD</v>
      </c>
    </row>
    <row r="827" ht="11.25" customHeight="1">
      <c r="A827" s="21" t="str">
        <f>IFERROR(__xludf.DUMMYFUNCTION("""COMPUTED_VALUE"""),"DECODER DIGITAL HD HNB100 2T")</f>
        <v>DECODER DIGITAL HD HNB100 2T</v>
      </c>
      <c r="B827" s="22">
        <f>IFERROR(__xludf.DUMMYFUNCTION("""COMPUTED_VALUE"""),4.1001276E7)</f>
        <v>41001276</v>
      </c>
      <c r="C827" s="21" t="str">
        <f>IFERROR(__xludf.DUMMYFUNCTION("""COMPUTED_VALUE"""),"216547065173")</f>
        <v>216547065173</v>
      </c>
      <c r="D827" s="21" t="str">
        <f>IFERROR(__xludf.DUMMYFUNCTION("""COMPUTED_VALUE"""),"DIGITEC TECNOLOGIA DIGITAL E REPRES")</f>
        <v>DIGITEC TECNOLOGIA DIGITAL E REPRES</v>
      </c>
      <c r="E827" s="21">
        <f>IFERROR(__xludf.DUMMYFUNCTION("""COMPUTED_VALUE"""),145359.0)</f>
        <v>145359</v>
      </c>
      <c r="F827" s="21" t="str">
        <f>IFERROR(__xludf.DUMMYFUNCTION("""COMPUTED_VALUE"""),"SUSPEITO")</f>
        <v>SUSPEITO</v>
      </c>
      <c r="G827" s="23">
        <f>IFERROR(__xludf.DUMMYFUNCTION("""COMPUTED_VALUE"""),45637.69253472222)</f>
        <v>45637.69253</v>
      </c>
      <c r="H827" s="24" t="str">
        <f>IFERROR(VLOOKUP(B827,material!A:D,3,0),"")</f>
        <v>TOP MIX</v>
      </c>
    </row>
    <row r="828" ht="11.25" customHeight="1">
      <c r="A828" s="21" t="str">
        <f>IFERROR(__xludf.DUMMYFUNCTION("""COMPUTED_VALUE"""),"DECODER DIGITAL HD HNB100 2T")</f>
        <v>DECODER DIGITAL HD HNB100 2T</v>
      </c>
      <c r="B828" s="22">
        <f>IFERROR(__xludf.DUMMYFUNCTION("""COMPUTED_VALUE"""),4.1001276E7)</f>
        <v>41001276</v>
      </c>
      <c r="C828" s="21" t="str">
        <f>IFERROR(__xludf.DUMMYFUNCTION("""COMPUTED_VALUE"""),"216553571824")</f>
        <v>216553571824</v>
      </c>
      <c r="D828" s="21" t="str">
        <f>IFERROR(__xludf.DUMMYFUNCTION("""COMPUTED_VALUE"""),"DIGITEC TECNOLOGIA DIGITAL E REPRES")</f>
        <v>DIGITEC TECNOLOGIA DIGITAL E REPRES</v>
      </c>
      <c r="E828" s="21">
        <f>IFERROR(__xludf.DUMMYFUNCTION("""COMPUTED_VALUE"""),145359.0)</f>
        <v>145359</v>
      </c>
      <c r="F828" s="21" t="str">
        <f>IFERROR(__xludf.DUMMYFUNCTION("""COMPUTED_VALUE"""),"INICIALIZADO")</f>
        <v>INICIALIZADO</v>
      </c>
      <c r="G828" s="23">
        <f>IFERROR(__xludf.DUMMYFUNCTION("""COMPUTED_VALUE"""),45635.53508101852)</f>
        <v>45635.53508</v>
      </c>
      <c r="H828" s="24" t="str">
        <f>IFERROR(VLOOKUP(B828,material!A:D,3,0),"")</f>
        <v>TOP MIX</v>
      </c>
    </row>
    <row r="829" ht="11.25" customHeight="1">
      <c r="A829" s="21" t="str">
        <f>IFERROR(__xludf.DUMMYFUNCTION("""COMPUTED_VALUE"""),"DECODER DIGITAL HD HNB100 2T")</f>
        <v>DECODER DIGITAL HD HNB100 2T</v>
      </c>
      <c r="B829" s="22">
        <f>IFERROR(__xludf.DUMMYFUNCTION("""COMPUTED_VALUE"""),4.1001276E7)</f>
        <v>41001276</v>
      </c>
      <c r="C829" s="21" t="str">
        <f>IFERROR(__xludf.DUMMYFUNCTION("""COMPUTED_VALUE"""),"216406428293")</f>
        <v>216406428293</v>
      </c>
      <c r="D829" s="21" t="str">
        <f>IFERROR(__xludf.DUMMYFUNCTION("""COMPUTED_VALUE"""),"DIGITEC TECNOLOGIA DIGITAL E REPRES")</f>
        <v>DIGITEC TECNOLOGIA DIGITAL E REPRES</v>
      </c>
      <c r="E829" s="21">
        <f>IFERROR(__xludf.DUMMYFUNCTION("""COMPUTED_VALUE"""),145359.0)</f>
        <v>145359</v>
      </c>
      <c r="F829" s="21" t="str">
        <f>IFERROR(__xludf.DUMMYFUNCTION("""COMPUTED_VALUE"""),"TRANSITO REVERSA")</f>
        <v>TRANSITO REVERSA</v>
      </c>
      <c r="G829" s="23">
        <f>IFERROR(__xludf.DUMMYFUNCTION("""COMPUTED_VALUE"""),45617.87240740741)</f>
        <v>45617.87241</v>
      </c>
      <c r="H829" s="24" t="str">
        <f>IFERROR(VLOOKUP(B829,material!A:D,3,0),"")</f>
        <v>TOP MIX</v>
      </c>
    </row>
    <row r="830" ht="11.25" customHeight="1">
      <c r="A830" s="21" t="str">
        <f>IFERROR(__xludf.DUMMYFUNCTION("""COMPUTED_VALUE"""),"SMART CARD PRETO NAGRA")</f>
        <v>SMART CARD PRETO NAGRA</v>
      </c>
      <c r="B830" s="22">
        <f>IFERROR(__xludf.DUMMYFUNCTION("""COMPUTED_VALUE"""),4.1001234E7)</f>
        <v>41001234</v>
      </c>
      <c r="C830" s="21" t="str">
        <f>IFERROR(__xludf.DUMMYFUNCTION("""COMPUTED_VALUE"""),"226300118193")</f>
        <v>226300118193</v>
      </c>
      <c r="D830" s="21" t="str">
        <f>IFERROR(__xludf.DUMMYFUNCTION("""COMPUTED_VALUE"""),"DIGITEC TECNOLOGIA DIGITAL E REPRES")</f>
        <v>DIGITEC TECNOLOGIA DIGITAL E REPRES</v>
      </c>
      <c r="E830" s="21">
        <f>IFERROR(__xludf.DUMMYFUNCTION("""COMPUTED_VALUE"""),145359.0)</f>
        <v>145359</v>
      </c>
      <c r="F830" s="21" t="str">
        <f>IFERROR(__xludf.DUMMYFUNCTION("""COMPUTED_VALUE"""),"INICIALIZADO")</f>
        <v>INICIALIZADO</v>
      </c>
      <c r="G830" s="23">
        <f>IFERROR(__xludf.DUMMYFUNCTION("""COMPUTED_VALUE"""),45635.53496527778)</f>
        <v>45635.53497</v>
      </c>
      <c r="H830" s="24" t="str">
        <f>IFERROR(VLOOKUP(B830,material!A:D,3,0),"")</f>
        <v>CARD</v>
      </c>
    </row>
    <row r="831" ht="11.25" customHeight="1">
      <c r="A831" s="21" t="str">
        <f>IFERROR(__xludf.DUMMYFUNCTION("""COMPUTED_VALUE"""),"SMART CARD LARANJA NAGRA")</f>
        <v>SMART CARD LARANJA NAGRA</v>
      </c>
      <c r="B831" s="22">
        <f>IFERROR(__xludf.DUMMYFUNCTION("""COMPUTED_VALUE"""),4.1001186E7)</f>
        <v>41001186</v>
      </c>
      <c r="C831" s="21" t="str">
        <f>IFERROR(__xludf.DUMMYFUNCTION("""COMPUTED_VALUE"""),"226626232737")</f>
        <v>226626232737</v>
      </c>
      <c r="D831" s="21" t="str">
        <f>IFERROR(__xludf.DUMMYFUNCTION("""COMPUTED_VALUE"""),"DIGITEC TECNOLOGIA DIGITAL E REPRES")</f>
        <v>DIGITEC TECNOLOGIA DIGITAL E REPRES</v>
      </c>
      <c r="E831" s="21">
        <f>IFERROR(__xludf.DUMMYFUNCTION("""COMPUTED_VALUE"""),145359.0)</f>
        <v>145359</v>
      </c>
      <c r="F831" s="21" t="str">
        <f>IFERROR(__xludf.DUMMYFUNCTION("""COMPUTED_VALUE"""),"SUCATA")</f>
        <v>SUCATA</v>
      </c>
      <c r="G831" s="23">
        <f>IFERROR(__xludf.DUMMYFUNCTION("""COMPUTED_VALUE"""),45075.5991087963)</f>
        <v>45075.59911</v>
      </c>
      <c r="H831" s="24" t="str">
        <f>IFERROR(VLOOKUP(B831,material!A:D,3,0),"")</f>
        <v>CARD</v>
      </c>
    </row>
    <row r="832" ht="11.25" customHeight="1">
      <c r="A832" s="21" t="str">
        <f>IFERROR(__xludf.DUMMYFUNCTION("""COMPUTED_VALUE"""),"TECHNICOLOR TC7337NET")</f>
        <v>TECHNICOLOR TC7337NET</v>
      </c>
      <c r="B832" s="22">
        <f>IFERROR(__xludf.DUMMYFUNCTION("""COMPUTED_VALUE"""),4.1001294E7)</f>
        <v>41001294</v>
      </c>
      <c r="C832" s="21" t="str">
        <f>IFERROR(__xludf.DUMMYFUNCTION("""COMPUTED_VALUE"""),"1062D099965A")</f>
        <v>1062D099965A</v>
      </c>
      <c r="D832" s="21" t="str">
        <f>IFERROR(__xludf.DUMMYFUNCTION("""COMPUTED_VALUE"""),"DIGITEC TECNOLOGIA DIGITAL E REPRES")</f>
        <v>DIGITEC TECNOLOGIA DIGITAL E REPRES</v>
      </c>
      <c r="E832" s="21">
        <f>IFERROR(__xludf.DUMMYFUNCTION("""COMPUTED_VALUE"""),145359.0)</f>
        <v>145359</v>
      </c>
      <c r="F832" s="21" t="str">
        <f>IFERROR(__xludf.DUMMYFUNCTION("""COMPUTED_VALUE"""),"SUSPEITO")</f>
        <v>SUSPEITO</v>
      </c>
      <c r="G832" s="23">
        <f>IFERROR(__xludf.DUMMYFUNCTION("""COMPUTED_VALUE"""),45642.81571759259)</f>
        <v>45642.81572</v>
      </c>
      <c r="H832" s="24" t="str">
        <f>IFERROR(VLOOKUP(B832,material!A:D,3,0),"")</f>
        <v>DUAL</v>
      </c>
    </row>
    <row r="833" ht="11.25" customHeight="1">
      <c r="A833" s="21" t="str">
        <f>IFERROR(__xludf.DUMMYFUNCTION("""COMPUTED_VALUE"""),"ARRIS TG1692A")</f>
        <v>ARRIS TG1692A</v>
      </c>
      <c r="B833" s="22">
        <f>IFERROR(__xludf.DUMMYFUNCTION("""COMPUTED_VALUE"""),4.1001293E7)</f>
        <v>41001293</v>
      </c>
      <c r="C833" s="21" t="str">
        <f>IFERROR(__xludf.DUMMYFUNCTION("""COMPUTED_VALUE"""),"B0935BED6874")</f>
        <v>B0935BED6874</v>
      </c>
      <c r="D833" s="21" t="str">
        <f>IFERROR(__xludf.DUMMYFUNCTION("""COMPUTED_VALUE"""),"DIGITEC TECNOLOGIA DIGITAL E REPRES")</f>
        <v>DIGITEC TECNOLOGIA DIGITAL E REPRES</v>
      </c>
      <c r="E833" s="21">
        <f>IFERROR(__xludf.DUMMYFUNCTION("""COMPUTED_VALUE"""),145359.0)</f>
        <v>145359</v>
      </c>
      <c r="F833" s="21" t="str">
        <f>IFERROR(__xludf.DUMMYFUNCTION("""COMPUTED_VALUE"""),"SUSPEITO")</f>
        <v>SUSPEITO</v>
      </c>
      <c r="G833" s="23">
        <f>IFERROR(__xludf.DUMMYFUNCTION("""COMPUTED_VALUE"""),45636.60690972222)</f>
        <v>45636.60691</v>
      </c>
      <c r="H833" s="24" t="str">
        <f>IFERROR(VLOOKUP(B833,material!A:D,3,0),"")</f>
        <v>DUAL</v>
      </c>
    </row>
    <row r="834" ht="11.25" customHeight="1">
      <c r="A834" s="21" t="str">
        <f>IFERROR(__xludf.DUMMYFUNCTION("""COMPUTED_VALUE"""),"HUMAX HGB10R-02")</f>
        <v>HUMAX HGB10R-02</v>
      </c>
      <c r="B834" s="22">
        <f>IFERROR(__xludf.DUMMYFUNCTION("""COMPUTED_VALUE"""),4.1001292E7)</f>
        <v>41001292</v>
      </c>
      <c r="C834" s="21" t="str">
        <f>IFERROR(__xludf.DUMMYFUNCTION("""COMPUTED_VALUE"""),"E820E24F6188")</f>
        <v>E820E24F6188</v>
      </c>
      <c r="D834" s="21" t="str">
        <f>IFERROR(__xludf.DUMMYFUNCTION("""COMPUTED_VALUE"""),"DIGITEC TECNOLOGIA DIGITAL E REPRES")</f>
        <v>DIGITEC TECNOLOGIA DIGITAL E REPRES</v>
      </c>
      <c r="E834" s="21">
        <f>IFERROR(__xludf.DUMMYFUNCTION("""COMPUTED_VALUE"""),145359.0)</f>
        <v>145359</v>
      </c>
      <c r="F834" s="21" t="str">
        <f>IFERROR(__xludf.DUMMYFUNCTION("""COMPUTED_VALUE"""),"SUSPEITO")</f>
        <v>SUSPEITO</v>
      </c>
      <c r="G834" s="23">
        <f>IFERROR(__xludf.DUMMYFUNCTION("""COMPUTED_VALUE"""),45642.69563657408)</f>
        <v>45642.69564</v>
      </c>
      <c r="H834" s="24" t="str">
        <f>IFERROR(VLOOKUP(B834,material!A:D,3,0),"")</f>
        <v>DUAL</v>
      </c>
    </row>
    <row r="835" ht="11.25" customHeight="1">
      <c r="A835" s="21" t="str">
        <f>IFERROR(__xludf.DUMMYFUNCTION("""COMPUTED_VALUE"""),"TECHNICOLOR TC7337NET")</f>
        <v>TECHNICOLOR TC7337NET</v>
      </c>
      <c r="B835" s="22">
        <f>IFERROR(__xludf.DUMMYFUNCTION("""COMPUTED_VALUE"""),4.1001294E7)</f>
        <v>41001294</v>
      </c>
      <c r="C835" s="21" t="str">
        <f>IFERROR(__xludf.DUMMYFUNCTION("""COMPUTED_VALUE"""),"10C25A10D1D1")</f>
        <v>10C25A10D1D1</v>
      </c>
      <c r="D835" s="21" t="str">
        <f>IFERROR(__xludf.DUMMYFUNCTION("""COMPUTED_VALUE"""),"DIGITEC TECNOLOGIA DIGITAL E REPRES")</f>
        <v>DIGITEC TECNOLOGIA DIGITAL E REPRES</v>
      </c>
      <c r="E835" s="21">
        <f>IFERROR(__xludf.DUMMYFUNCTION("""COMPUTED_VALUE"""),145359.0)</f>
        <v>145359</v>
      </c>
      <c r="F835" s="21" t="str">
        <f>IFERROR(__xludf.DUMMYFUNCTION("""COMPUTED_VALUE"""),"INICIALIZADO")</f>
        <v>INICIALIZADO</v>
      </c>
      <c r="G835" s="23">
        <f>IFERROR(__xludf.DUMMYFUNCTION("""COMPUTED_VALUE"""),45618.74476851852)</f>
        <v>45618.74477</v>
      </c>
      <c r="H835" s="24" t="str">
        <f>IFERROR(VLOOKUP(B835,material!A:D,3,0),"")</f>
        <v>DUAL</v>
      </c>
    </row>
    <row r="836" ht="11.25" customHeight="1">
      <c r="A836" s="21" t="str">
        <f>IFERROR(__xludf.DUMMYFUNCTION("""COMPUTED_VALUE"""),"DECODER DIGITAL HD HNB100 2T")</f>
        <v>DECODER DIGITAL HD HNB100 2T</v>
      </c>
      <c r="B836" s="22">
        <f>IFERROR(__xludf.DUMMYFUNCTION("""COMPUTED_VALUE"""),4.1001276E7)</f>
        <v>41001276</v>
      </c>
      <c r="C836" s="21" t="str">
        <f>IFERROR(__xludf.DUMMYFUNCTION("""COMPUTED_VALUE"""),"216607336868")</f>
        <v>216607336868</v>
      </c>
      <c r="D836" s="21" t="str">
        <f>IFERROR(__xludf.DUMMYFUNCTION("""COMPUTED_VALUE"""),"DIGITEC TECNOLOGIA DIGITAL E REPRES")</f>
        <v>DIGITEC TECNOLOGIA DIGITAL E REPRES</v>
      </c>
      <c r="E836" s="21">
        <f>IFERROR(__xludf.DUMMYFUNCTION("""COMPUTED_VALUE"""),145359.0)</f>
        <v>145359</v>
      </c>
      <c r="F836" s="21" t="str">
        <f>IFERROR(__xludf.DUMMYFUNCTION("""COMPUTED_VALUE"""),"INICIALIZADO")</f>
        <v>INICIALIZADO</v>
      </c>
      <c r="G836" s="23">
        <f>IFERROR(__xludf.DUMMYFUNCTION("""COMPUTED_VALUE"""),45642.524143518516)</f>
        <v>45642.52414</v>
      </c>
      <c r="H836" s="24" t="str">
        <f>IFERROR(VLOOKUP(B836,material!A:D,3,0),"")</f>
        <v>TOP MIX</v>
      </c>
    </row>
    <row r="837" ht="11.25" customHeight="1">
      <c r="A837" s="21" t="str">
        <f>IFERROR(__xludf.DUMMYFUNCTION("""COMPUTED_VALUE"""),"SMART CARD PRETO NAGRA")</f>
        <v>SMART CARD PRETO NAGRA</v>
      </c>
      <c r="B837" s="22">
        <f>IFERROR(__xludf.DUMMYFUNCTION("""COMPUTED_VALUE"""),4.1001234E7)</f>
        <v>41001234</v>
      </c>
      <c r="C837" s="21" t="str">
        <f>IFERROR(__xludf.DUMMYFUNCTION("""COMPUTED_VALUE"""),"246050436475")</f>
        <v>246050436475</v>
      </c>
      <c r="D837" s="21" t="str">
        <f>IFERROR(__xludf.DUMMYFUNCTION("""COMPUTED_VALUE"""),"DIGITEC TECNOLOGIA DIGITAL E REPRES")</f>
        <v>DIGITEC TECNOLOGIA DIGITAL E REPRES</v>
      </c>
      <c r="E837" s="21">
        <f>IFERROR(__xludf.DUMMYFUNCTION("""COMPUTED_VALUE"""),145359.0)</f>
        <v>145359</v>
      </c>
      <c r="F837" s="21" t="str">
        <f>IFERROR(__xludf.DUMMYFUNCTION("""COMPUTED_VALUE"""),"INICIALIZADO")</f>
        <v>INICIALIZADO</v>
      </c>
      <c r="G837" s="23">
        <f>IFERROR(__xludf.DUMMYFUNCTION("""COMPUTED_VALUE"""),45635.534907407404)</f>
        <v>45635.53491</v>
      </c>
      <c r="H837" s="24" t="str">
        <f>IFERROR(VLOOKUP(B837,material!A:D,3,0),"")</f>
        <v>CARD</v>
      </c>
    </row>
    <row r="838" ht="11.25" customHeight="1">
      <c r="A838" s="21" t="str">
        <f>IFERROR(__xludf.DUMMYFUNCTION("""COMPUTED_VALUE"""),"SMART CARD PRETO NAGRA")</f>
        <v>SMART CARD PRETO NAGRA</v>
      </c>
      <c r="B838" s="22">
        <f>IFERROR(__xludf.DUMMYFUNCTION("""COMPUTED_VALUE"""),4.1001234E7)</f>
        <v>41001234</v>
      </c>
      <c r="C838" s="21" t="str">
        <f>IFERROR(__xludf.DUMMYFUNCTION("""COMPUTED_VALUE"""),"246254114142")</f>
        <v>246254114142</v>
      </c>
      <c r="D838" s="21" t="str">
        <f>IFERROR(__xludf.DUMMYFUNCTION("""COMPUTED_VALUE"""),"DIGITEC TECNOLOGIA DIGITAL E REPRES")</f>
        <v>DIGITEC TECNOLOGIA DIGITAL E REPRES</v>
      </c>
      <c r="E838" s="21">
        <f>IFERROR(__xludf.DUMMYFUNCTION("""COMPUTED_VALUE"""),145359.0)</f>
        <v>145359</v>
      </c>
      <c r="F838" s="21" t="str">
        <f>IFERROR(__xludf.DUMMYFUNCTION("""COMPUTED_VALUE"""),"INICIALIZADO")</f>
        <v>INICIALIZADO</v>
      </c>
      <c r="G838" s="23">
        <f>IFERROR(__xludf.DUMMYFUNCTION("""COMPUTED_VALUE"""),45635.53493055556)</f>
        <v>45635.53493</v>
      </c>
      <c r="H838" s="24" t="str">
        <f>IFERROR(VLOOKUP(B838,material!A:D,3,0),"")</f>
        <v>CARD</v>
      </c>
    </row>
    <row r="839" ht="11.25" customHeight="1">
      <c r="A839" s="21" t="str">
        <f>IFERROR(__xludf.DUMMYFUNCTION("""COMPUTED_VALUE"""),"SMART CARD PRETO NAGRA")</f>
        <v>SMART CARD PRETO NAGRA</v>
      </c>
      <c r="B839" s="22">
        <f>IFERROR(__xludf.DUMMYFUNCTION("""COMPUTED_VALUE"""),4.1001234E7)</f>
        <v>41001234</v>
      </c>
      <c r="C839" s="21" t="str">
        <f>IFERROR(__xludf.DUMMYFUNCTION("""COMPUTED_VALUE"""),"246021344040")</f>
        <v>246021344040</v>
      </c>
      <c r="D839" s="21" t="str">
        <f>IFERROR(__xludf.DUMMYFUNCTION("""COMPUTED_VALUE"""),"DIGITEC TECNOLOGIA DIGITAL E REPRES")</f>
        <v>DIGITEC TECNOLOGIA DIGITAL E REPRES</v>
      </c>
      <c r="E839" s="21">
        <f>IFERROR(__xludf.DUMMYFUNCTION("""COMPUTED_VALUE"""),145359.0)</f>
        <v>145359</v>
      </c>
      <c r="F839" s="21" t="str">
        <f>IFERROR(__xludf.DUMMYFUNCTION("""COMPUTED_VALUE"""),"INICIALIZADO")</f>
        <v>INICIALIZADO</v>
      </c>
      <c r="G839" s="23">
        <f>IFERROR(__xludf.DUMMYFUNCTION("""COMPUTED_VALUE"""),45635.534907407404)</f>
        <v>45635.53491</v>
      </c>
      <c r="H839" s="24" t="str">
        <f>IFERROR(VLOOKUP(B839,material!A:D,3,0),"")</f>
        <v>CARD</v>
      </c>
    </row>
    <row r="840" ht="11.25" customHeight="1">
      <c r="A840" s="21" t="str">
        <f>IFERROR(__xludf.DUMMYFUNCTION("""COMPUTED_VALUE"""),"SMART CARD PRETO NAGRA")</f>
        <v>SMART CARD PRETO NAGRA</v>
      </c>
      <c r="B840" s="22">
        <f>IFERROR(__xludf.DUMMYFUNCTION("""COMPUTED_VALUE"""),4.1001234E7)</f>
        <v>41001234</v>
      </c>
      <c r="C840" s="21" t="str">
        <f>IFERROR(__xludf.DUMMYFUNCTION("""COMPUTED_VALUE"""),"246258809808")</f>
        <v>246258809808</v>
      </c>
      <c r="D840" s="21" t="str">
        <f>IFERROR(__xludf.DUMMYFUNCTION("""COMPUTED_VALUE"""),"DIGITEC TECNOLOGIA DIGITAL E REPRES")</f>
        <v>DIGITEC TECNOLOGIA DIGITAL E REPRES</v>
      </c>
      <c r="E840" s="21">
        <f>IFERROR(__xludf.DUMMYFUNCTION("""COMPUTED_VALUE"""),145359.0)</f>
        <v>145359</v>
      </c>
      <c r="F840" s="21" t="str">
        <f>IFERROR(__xludf.DUMMYFUNCTION("""COMPUTED_VALUE"""),"INICIALIZADO")</f>
        <v>INICIALIZADO</v>
      </c>
      <c r="G840" s="23">
        <f>IFERROR(__xludf.DUMMYFUNCTION("""COMPUTED_VALUE"""),45635.53493055556)</f>
        <v>45635.53493</v>
      </c>
      <c r="H840" s="24" t="str">
        <f>IFERROR(VLOOKUP(B840,material!A:D,3,0),"")</f>
        <v>CARD</v>
      </c>
    </row>
    <row r="841" ht="11.25" customHeight="1">
      <c r="A841" s="21" t="str">
        <f>IFERROR(__xludf.DUMMYFUNCTION("""COMPUTED_VALUE"""),"SMART CARD PRETO NAGRA")</f>
        <v>SMART CARD PRETO NAGRA</v>
      </c>
      <c r="B841" s="22">
        <f>IFERROR(__xludf.DUMMYFUNCTION("""COMPUTED_VALUE"""),4.1001234E7)</f>
        <v>41001234</v>
      </c>
      <c r="C841" s="21" t="str">
        <f>IFERROR(__xludf.DUMMYFUNCTION("""COMPUTED_VALUE"""),"246149730409")</f>
        <v>246149730409</v>
      </c>
      <c r="D841" s="21" t="str">
        <f>IFERROR(__xludf.DUMMYFUNCTION("""COMPUTED_VALUE"""),"DIGITEC TECNOLOGIA DIGITAL E REPRES")</f>
        <v>DIGITEC TECNOLOGIA DIGITAL E REPRES</v>
      </c>
      <c r="E841" s="21">
        <f>IFERROR(__xludf.DUMMYFUNCTION("""COMPUTED_VALUE"""),145359.0)</f>
        <v>145359</v>
      </c>
      <c r="F841" s="21" t="str">
        <f>IFERROR(__xludf.DUMMYFUNCTION("""COMPUTED_VALUE"""),"INICIALIZADO")</f>
        <v>INICIALIZADO</v>
      </c>
      <c r="G841" s="23">
        <f>IFERROR(__xludf.DUMMYFUNCTION("""COMPUTED_VALUE"""),45635.534895833334)</f>
        <v>45635.5349</v>
      </c>
      <c r="H841" s="24" t="str">
        <f>IFERROR(VLOOKUP(B841,material!A:D,3,0),"")</f>
        <v>CARD</v>
      </c>
    </row>
    <row r="842" ht="11.25" customHeight="1">
      <c r="A842" s="21" t="str">
        <f>IFERROR(__xludf.DUMMYFUNCTION("""COMPUTED_VALUE"""),"SMART CARD PRETO NAGRA")</f>
        <v>SMART CARD PRETO NAGRA</v>
      </c>
      <c r="B842" s="22">
        <f>IFERROR(__xludf.DUMMYFUNCTION("""COMPUTED_VALUE"""),4.1001234E7)</f>
        <v>41001234</v>
      </c>
      <c r="C842" s="21" t="str">
        <f>IFERROR(__xludf.DUMMYFUNCTION("""COMPUTED_VALUE"""),"226025291833")</f>
        <v>226025291833</v>
      </c>
      <c r="D842" s="21" t="str">
        <f>IFERROR(__xludf.DUMMYFUNCTION("""COMPUTED_VALUE"""),"DIGITEC TECNOLOGIA DIGITAL E REPRES")</f>
        <v>DIGITEC TECNOLOGIA DIGITAL E REPRES</v>
      </c>
      <c r="E842" s="21">
        <f>IFERROR(__xludf.DUMMYFUNCTION("""COMPUTED_VALUE"""),145359.0)</f>
        <v>145359</v>
      </c>
      <c r="F842" s="21" t="str">
        <f>IFERROR(__xludf.DUMMYFUNCTION("""COMPUTED_VALUE"""),"INICIALIZADO")</f>
        <v>INICIALIZADO</v>
      </c>
      <c r="G842" s="23">
        <f>IFERROR(__xludf.DUMMYFUNCTION("""COMPUTED_VALUE"""),45635.534953703704)</f>
        <v>45635.53495</v>
      </c>
      <c r="H842" s="24" t="str">
        <f>IFERROR(VLOOKUP(B842,material!A:D,3,0),"")</f>
        <v>CARD</v>
      </c>
    </row>
    <row r="843" ht="11.25" customHeight="1">
      <c r="A843" s="21" t="str">
        <f>IFERROR(__xludf.DUMMYFUNCTION("""COMPUTED_VALUE"""),"SMART CARD PRETO NAGRA")</f>
        <v>SMART CARD PRETO NAGRA</v>
      </c>
      <c r="B843" s="22">
        <f>IFERROR(__xludf.DUMMYFUNCTION("""COMPUTED_VALUE"""),4.1001234E7)</f>
        <v>41001234</v>
      </c>
      <c r="C843" s="21" t="str">
        <f>IFERROR(__xludf.DUMMYFUNCTION("""COMPUTED_VALUE"""),"246221027074")</f>
        <v>246221027074</v>
      </c>
      <c r="D843" s="21" t="str">
        <f>IFERROR(__xludf.DUMMYFUNCTION("""COMPUTED_VALUE"""),"DIGITEC TECNOLOGIA DIGITAL E REPRES")</f>
        <v>DIGITEC TECNOLOGIA DIGITAL E REPRES</v>
      </c>
      <c r="E843" s="21">
        <f>IFERROR(__xludf.DUMMYFUNCTION("""COMPUTED_VALUE"""),145359.0)</f>
        <v>145359</v>
      </c>
      <c r="F843" s="21" t="str">
        <f>IFERROR(__xludf.DUMMYFUNCTION("""COMPUTED_VALUE"""),"INICIALIZADO")</f>
        <v>INICIALIZADO</v>
      </c>
      <c r="G843" s="23">
        <f>IFERROR(__xludf.DUMMYFUNCTION("""COMPUTED_VALUE"""),45635.53493055556)</f>
        <v>45635.53493</v>
      </c>
      <c r="H843" s="24" t="str">
        <f>IFERROR(VLOOKUP(B843,material!A:D,3,0),"")</f>
        <v>CARD</v>
      </c>
    </row>
    <row r="844" ht="11.25" customHeight="1">
      <c r="A844" s="21" t="str">
        <f>IFERROR(__xludf.DUMMYFUNCTION("""COMPUTED_VALUE"""),"SMART CARD PRETO NAGRA")</f>
        <v>SMART CARD PRETO NAGRA</v>
      </c>
      <c r="B844" s="22">
        <f>IFERROR(__xludf.DUMMYFUNCTION("""COMPUTED_VALUE"""),4.1001234E7)</f>
        <v>41001234</v>
      </c>
      <c r="C844" s="21" t="str">
        <f>IFERROR(__xludf.DUMMYFUNCTION("""COMPUTED_VALUE"""),"246197772527")</f>
        <v>246197772527</v>
      </c>
      <c r="D844" s="21" t="str">
        <f>IFERROR(__xludf.DUMMYFUNCTION("""COMPUTED_VALUE"""),"DIGITEC TECNOLOGIA DIGITAL E REPRES")</f>
        <v>DIGITEC TECNOLOGIA DIGITAL E REPRES</v>
      </c>
      <c r="E844" s="21">
        <f>IFERROR(__xludf.DUMMYFUNCTION("""COMPUTED_VALUE"""),145359.0)</f>
        <v>145359</v>
      </c>
      <c r="F844" s="21" t="str">
        <f>IFERROR(__xludf.DUMMYFUNCTION("""COMPUTED_VALUE"""),"TRANSITO REVERSA")</f>
        <v>TRANSITO REVERSA</v>
      </c>
      <c r="G844" s="23">
        <f>IFERROR(__xludf.DUMMYFUNCTION("""COMPUTED_VALUE"""),45633.003958333335)</f>
        <v>45633.00396</v>
      </c>
      <c r="H844" s="24" t="str">
        <f>IFERROR(VLOOKUP(B844,material!A:D,3,0),"")</f>
        <v>CARD</v>
      </c>
    </row>
    <row r="845" ht="11.25" customHeight="1">
      <c r="A845" s="21" t="str">
        <f>IFERROR(__xludf.DUMMYFUNCTION("""COMPUTED_VALUE"""),"DECODER DIGITAL HD HNB100 2T")</f>
        <v>DECODER DIGITAL HD HNB100 2T</v>
      </c>
      <c r="B845" s="22">
        <f>IFERROR(__xludf.DUMMYFUNCTION("""COMPUTED_VALUE"""),4.1001276E7)</f>
        <v>41001276</v>
      </c>
      <c r="C845" s="21" t="str">
        <f>IFERROR(__xludf.DUMMYFUNCTION("""COMPUTED_VALUE"""),"216412144957")</f>
        <v>216412144957</v>
      </c>
      <c r="D845" s="21" t="str">
        <f>IFERROR(__xludf.DUMMYFUNCTION("""COMPUTED_VALUE"""),"DIGITEC TECNOLOGIA DIGITAL E REPRES")</f>
        <v>DIGITEC TECNOLOGIA DIGITAL E REPRES</v>
      </c>
      <c r="E845" s="21">
        <f>IFERROR(__xludf.DUMMYFUNCTION("""COMPUTED_VALUE"""),145359.0)</f>
        <v>145359</v>
      </c>
      <c r="F845" s="21" t="str">
        <f>IFERROR(__xludf.DUMMYFUNCTION("""COMPUTED_VALUE"""),"INICIALIZADO")</f>
        <v>INICIALIZADO</v>
      </c>
      <c r="G845" s="23">
        <f>IFERROR(__xludf.DUMMYFUNCTION("""COMPUTED_VALUE"""),45642.52413194445)</f>
        <v>45642.52413</v>
      </c>
      <c r="H845" s="24" t="str">
        <f>IFERROR(VLOOKUP(B845,material!A:D,3,0),"")</f>
        <v>TOP MIX</v>
      </c>
    </row>
    <row r="846" ht="11.25" customHeight="1">
      <c r="A846" s="21" t="str">
        <f>IFERROR(__xludf.DUMMYFUNCTION("""COMPUTED_VALUE"""),"SMART CARD LARANJA NAGRA")</f>
        <v>SMART CARD LARANJA NAGRA</v>
      </c>
      <c r="B846" s="22">
        <f>IFERROR(__xludf.DUMMYFUNCTION("""COMPUTED_VALUE"""),4.1001186E7)</f>
        <v>41001186</v>
      </c>
      <c r="C846" s="21" t="str">
        <f>IFERROR(__xludf.DUMMYFUNCTION("""COMPUTED_VALUE"""),"226671489296")</f>
        <v>226671489296</v>
      </c>
      <c r="D846" s="21" t="str">
        <f>IFERROR(__xludf.DUMMYFUNCTION("""COMPUTED_VALUE"""),"DIGITEC TECNOLOGIA DIGITAL E REPRES")</f>
        <v>DIGITEC TECNOLOGIA DIGITAL E REPRES</v>
      </c>
      <c r="E846" s="21">
        <f>IFERROR(__xludf.DUMMYFUNCTION("""COMPUTED_VALUE"""),145359.0)</f>
        <v>145359</v>
      </c>
      <c r="F846" s="21" t="str">
        <f>IFERROR(__xludf.DUMMYFUNCTION("""COMPUTED_VALUE"""),"SUCATA")</f>
        <v>SUCATA</v>
      </c>
      <c r="G846" s="23">
        <f>IFERROR(__xludf.DUMMYFUNCTION("""COMPUTED_VALUE"""),45075.51189814815)</f>
        <v>45075.5119</v>
      </c>
      <c r="H846" s="24" t="str">
        <f>IFERROR(VLOOKUP(B846,material!A:D,3,0),"")</f>
        <v>CARD</v>
      </c>
    </row>
    <row r="847" ht="11.25" customHeight="1">
      <c r="A847" s="21" t="str">
        <f>IFERROR(__xludf.DUMMYFUNCTION("""COMPUTED_VALUE"""),"SMART CARD PRETO NAGRA")</f>
        <v>SMART CARD PRETO NAGRA</v>
      </c>
      <c r="B847" s="22">
        <f>IFERROR(__xludf.DUMMYFUNCTION("""COMPUTED_VALUE"""),4.1001234E7)</f>
        <v>41001234</v>
      </c>
      <c r="C847" s="21" t="str">
        <f>IFERROR(__xludf.DUMMYFUNCTION("""COMPUTED_VALUE"""),"226287498196")</f>
        <v>226287498196</v>
      </c>
      <c r="D847" s="21" t="str">
        <f>IFERROR(__xludf.DUMMYFUNCTION("""COMPUTED_VALUE"""),"DIGITEC TECNOLOGIA DIGITAL E REPRES")</f>
        <v>DIGITEC TECNOLOGIA DIGITAL E REPRES</v>
      </c>
      <c r="E847" s="21">
        <f>IFERROR(__xludf.DUMMYFUNCTION("""COMPUTED_VALUE"""),145359.0)</f>
        <v>145359</v>
      </c>
      <c r="F847" s="21" t="str">
        <f>IFERROR(__xludf.DUMMYFUNCTION("""COMPUTED_VALUE"""),"INICIALIZADO")</f>
        <v>INICIALIZADO</v>
      </c>
      <c r="G847" s="23">
        <f>IFERROR(__xludf.DUMMYFUNCTION("""COMPUTED_VALUE"""),45635.53496527778)</f>
        <v>45635.53497</v>
      </c>
      <c r="H847" s="24" t="str">
        <f>IFERROR(VLOOKUP(B847,material!A:D,3,0),"")</f>
        <v>CARD</v>
      </c>
    </row>
    <row r="848" ht="11.25" customHeight="1">
      <c r="A848" s="21" t="str">
        <f>IFERROR(__xludf.DUMMYFUNCTION("""COMPUTED_VALUE"""),"SMART CARD PRETO NAGRA")</f>
        <v>SMART CARD PRETO NAGRA</v>
      </c>
      <c r="B848" s="22">
        <f>IFERROR(__xludf.DUMMYFUNCTION("""COMPUTED_VALUE"""),4.1001234E7)</f>
        <v>41001234</v>
      </c>
      <c r="C848" s="21" t="str">
        <f>IFERROR(__xludf.DUMMYFUNCTION("""COMPUTED_VALUE"""),"226326975663")</f>
        <v>226326975663</v>
      </c>
      <c r="D848" s="21" t="str">
        <f>IFERROR(__xludf.DUMMYFUNCTION("""COMPUTED_VALUE"""),"DIGITEC TECNOLOGIA DIGITAL E REPRES")</f>
        <v>DIGITEC TECNOLOGIA DIGITAL E REPRES</v>
      </c>
      <c r="E848" s="21">
        <f>IFERROR(__xludf.DUMMYFUNCTION("""COMPUTED_VALUE"""),145359.0)</f>
        <v>145359</v>
      </c>
      <c r="F848" s="21" t="str">
        <f>IFERROR(__xludf.DUMMYFUNCTION("""COMPUTED_VALUE"""),"TRANSITO REVERSA")</f>
        <v>TRANSITO REVERSA</v>
      </c>
      <c r="G848" s="23">
        <f>IFERROR(__xludf.DUMMYFUNCTION("""COMPUTED_VALUE"""),45633.00342592593)</f>
        <v>45633.00343</v>
      </c>
      <c r="H848" s="24" t="str">
        <f>IFERROR(VLOOKUP(B848,material!A:D,3,0),"")</f>
        <v>CARD</v>
      </c>
    </row>
    <row r="849" ht="11.25" customHeight="1">
      <c r="A849" s="21" t="str">
        <f>IFERROR(__xludf.DUMMYFUNCTION("""COMPUTED_VALUE"""),"SMART CARD LARANJA NAGRA")</f>
        <v>SMART CARD LARANJA NAGRA</v>
      </c>
      <c r="B849" s="22">
        <f>IFERROR(__xludf.DUMMYFUNCTION("""COMPUTED_VALUE"""),4.1001186E7)</f>
        <v>41001186</v>
      </c>
      <c r="C849" s="21" t="str">
        <f>IFERROR(__xludf.DUMMYFUNCTION("""COMPUTED_VALUE"""),"226624327881")</f>
        <v>226624327881</v>
      </c>
      <c r="D849" s="21" t="str">
        <f>IFERROR(__xludf.DUMMYFUNCTION("""COMPUTED_VALUE"""),"DIGITEC TECNOLOGIA DIGITAL E REPRES")</f>
        <v>DIGITEC TECNOLOGIA DIGITAL E REPRES</v>
      </c>
      <c r="E849" s="21">
        <f>IFERROR(__xludf.DUMMYFUNCTION("""COMPUTED_VALUE"""),145359.0)</f>
        <v>145359</v>
      </c>
      <c r="F849" s="21" t="str">
        <f>IFERROR(__xludf.DUMMYFUNCTION("""COMPUTED_VALUE"""),"SUCATA")</f>
        <v>SUCATA</v>
      </c>
      <c r="G849" s="23">
        <f>IFERROR(__xludf.DUMMYFUNCTION("""COMPUTED_VALUE"""),45075.599120370374)</f>
        <v>45075.59912</v>
      </c>
      <c r="H849" s="24" t="str">
        <f>IFERROR(VLOOKUP(B849,material!A:D,3,0),"")</f>
        <v>CARD</v>
      </c>
    </row>
    <row r="850" ht="11.25" customHeight="1">
      <c r="A850" s="21" t="str">
        <f>IFERROR(__xludf.DUMMYFUNCTION("""COMPUTED_VALUE"""),"SMART CARD PRETO NAGRA")</f>
        <v>SMART CARD PRETO NAGRA</v>
      </c>
      <c r="B850" s="22">
        <f>IFERROR(__xludf.DUMMYFUNCTION("""COMPUTED_VALUE"""),4.1001234E7)</f>
        <v>41001234</v>
      </c>
      <c r="C850" s="21" t="str">
        <f>IFERROR(__xludf.DUMMYFUNCTION("""COMPUTED_VALUE"""),"246137630519")</f>
        <v>246137630519</v>
      </c>
      <c r="D850" s="21" t="str">
        <f>IFERROR(__xludf.DUMMYFUNCTION("""COMPUTED_VALUE"""),"DIGITEC TECNOLOGIA DIGITAL E REPRES")</f>
        <v>DIGITEC TECNOLOGIA DIGITAL E REPRES</v>
      </c>
      <c r="E850" s="21">
        <f>IFERROR(__xludf.DUMMYFUNCTION("""COMPUTED_VALUE"""),145359.0)</f>
        <v>145359</v>
      </c>
      <c r="F850" s="21" t="str">
        <f>IFERROR(__xludf.DUMMYFUNCTION("""COMPUTED_VALUE"""),"INICIALIZADO")</f>
        <v>INICIALIZADO</v>
      </c>
      <c r="G850" s="23">
        <f>IFERROR(__xludf.DUMMYFUNCTION("""COMPUTED_VALUE"""),45635.534895833334)</f>
        <v>45635.5349</v>
      </c>
      <c r="H850" s="24" t="str">
        <f>IFERROR(VLOOKUP(B850,material!A:D,3,0),"")</f>
        <v>CARD</v>
      </c>
    </row>
    <row r="851" ht="11.25" customHeight="1">
      <c r="A851" s="21" t="str">
        <f>IFERROR(__xludf.DUMMYFUNCTION("""COMPUTED_VALUE"""),"TECHNICOLOR TC7337NET")</f>
        <v>TECHNICOLOR TC7337NET</v>
      </c>
      <c r="B851" s="22">
        <f>IFERROR(__xludf.DUMMYFUNCTION("""COMPUTED_VALUE"""),4.1001294E7)</f>
        <v>41001294</v>
      </c>
      <c r="C851" s="21" t="str">
        <f>IFERROR(__xludf.DUMMYFUNCTION("""COMPUTED_VALUE"""),"1062D09BB15A")</f>
        <v>1062D09BB15A</v>
      </c>
      <c r="D851" s="21" t="str">
        <f>IFERROR(__xludf.DUMMYFUNCTION("""COMPUTED_VALUE"""),"DIGITEC TECNOLOGIA DIGITAL E REPRES")</f>
        <v>DIGITEC TECNOLOGIA DIGITAL E REPRES</v>
      </c>
      <c r="E851" s="21">
        <f>IFERROR(__xludf.DUMMYFUNCTION("""COMPUTED_VALUE"""),145359.0)</f>
        <v>145359</v>
      </c>
      <c r="F851" s="21" t="str">
        <f>IFERROR(__xludf.DUMMYFUNCTION("""COMPUTED_VALUE"""),"ANALISE DE INVENTARIO")</f>
        <v>ANALISE DE INVENTARIO</v>
      </c>
      <c r="G851" s="23">
        <f>IFERROR(__xludf.DUMMYFUNCTION("""COMPUTED_VALUE"""),45432.607256944444)</f>
        <v>45432.60726</v>
      </c>
      <c r="H851" s="24" t="str">
        <f>IFERROR(VLOOKUP(B851,material!A:D,3,0),"")</f>
        <v>DUAL</v>
      </c>
    </row>
    <row r="852" ht="11.25" customHeight="1">
      <c r="A852" s="21" t="str">
        <f>IFERROR(__xludf.DUMMYFUNCTION("""COMPUTED_VALUE"""),"SMART CARD LARANJA")</f>
        <v>SMART CARD LARANJA</v>
      </c>
      <c r="B852" s="22">
        <f>IFERROR(__xludf.DUMMYFUNCTION("""COMPUTED_VALUE"""),4.1001186E7)</f>
        <v>41001186</v>
      </c>
      <c r="C852" s="21" t="str">
        <f>IFERROR(__xludf.DUMMYFUNCTION("""COMPUTED_VALUE"""),"215653084345")</f>
        <v>215653084345</v>
      </c>
      <c r="D852" s="21" t="str">
        <f>IFERROR(__xludf.DUMMYFUNCTION("""COMPUTED_VALUE"""),"DIGITEC TECNOLOGIA DIGITAL E REPRES")</f>
        <v>DIGITEC TECNOLOGIA DIGITAL E REPRES</v>
      </c>
      <c r="E852" s="21">
        <f>IFERROR(__xludf.DUMMYFUNCTION("""COMPUTED_VALUE"""),145359.0)</f>
        <v>145359</v>
      </c>
      <c r="F852" s="21" t="str">
        <f>IFERROR(__xludf.DUMMYFUNCTION("""COMPUTED_VALUE"""),"SUCATA")</f>
        <v>SUCATA</v>
      </c>
      <c r="G852" s="23">
        <f>IFERROR(__xludf.DUMMYFUNCTION("""COMPUTED_VALUE"""),45075.586851851855)</f>
        <v>45075.58685</v>
      </c>
      <c r="H852" s="24" t="str">
        <f>IFERROR(VLOOKUP(B852,material!A:D,3,0),"")</f>
        <v>CARD</v>
      </c>
    </row>
    <row r="853" ht="11.25" customHeight="1">
      <c r="A853" s="21" t="str">
        <f>IFERROR(__xludf.DUMMYFUNCTION("""COMPUTED_VALUE"""),"SMART CARD LARANJA NAGRA")</f>
        <v>SMART CARD LARANJA NAGRA</v>
      </c>
      <c r="B853" s="22">
        <f>IFERROR(__xludf.DUMMYFUNCTION("""COMPUTED_VALUE"""),4.1001186E7)</f>
        <v>41001186</v>
      </c>
      <c r="C853" s="21" t="str">
        <f>IFERROR(__xludf.DUMMYFUNCTION("""COMPUTED_VALUE"""),"226624146371")</f>
        <v>226624146371</v>
      </c>
      <c r="D853" s="21" t="str">
        <f>IFERROR(__xludf.DUMMYFUNCTION("""COMPUTED_VALUE"""),"DIGITEC TECNOLOGIA DIGITAL E REPRES")</f>
        <v>DIGITEC TECNOLOGIA DIGITAL E REPRES</v>
      </c>
      <c r="E853" s="21">
        <f>IFERROR(__xludf.DUMMYFUNCTION("""COMPUTED_VALUE"""),145359.0)</f>
        <v>145359</v>
      </c>
      <c r="F853" s="21" t="str">
        <f>IFERROR(__xludf.DUMMYFUNCTION("""COMPUTED_VALUE"""),"SUCATA")</f>
        <v>SUCATA</v>
      </c>
      <c r="G853" s="23">
        <f>IFERROR(__xludf.DUMMYFUNCTION("""COMPUTED_VALUE"""),45075.599120370374)</f>
        <v>45075.59912</v>
      </c>
      <c r="H853" s="24" t="str">
        <f>IFERROR(VLOOKUP(B853,material!A:D,3,0),"")</f>
        <v>CARD</v>
      </c>
    </row>
    <row r="854" ht="11.25" customHeight="1">
      <c r="A854" s="21" t="str">
        <f>IFERROR(__xludf.DUMMYFUNCTION("""COMPUTED_VALUE"""),"SMART CARD LARANJA NAGRA")</f>
        <v>SMART CARD LARANJA NAGRA</v>
      </c>
      <c r="B854" s="22">
        <f>IFERROR(__xludf.DUMMYFUNCTION("""COMPUTED_VALUE"""),4.1001186E7)</f>
        <v>41001186</v>
      </c>
      <c r="C854" s="21" t="str">
        <f>IFERROR(__xludf.DUMMYFUNCTION("""COMPUTED_VALUE"""),"226699001029")</f>
        <v>226699001029</v>
      </c>
      <c r="D854" s="21" t="str">
        <f>IFERROR(__xludf.DUMMYFUNCTION("""COMPUTED_VALUE"""),"DIGITEC TECNOLOGIA DIGITAL E REPRES")</f>
        <v>DIGITEC TECNOLOGIA DIGITAL E REPRES</v>
      </c>
      <c r="E854" s="21">
        <f>IFERROR(__xludf.DUMMYFUNCTION("""COMPUTED_VALUE"""),145359.0)</f>
        <v>145359</v>
      </c>
      <c r="F854" s="21" t="str">
        <f>IFERROR(__xludf.DUMMYFUNCTION("""COMPUTED_VALUE"""),"SUCATA")</f>
        <v>SUCATA</v>
      </c>
      <c r="G854" s="23">
        <f>IFERROR(__xludf.DUMMYFUNCTION("""COMPUTED_VALUE"""),45075.51190972222)</f>
        <v>45075.51191</v>
      </c>
      <c r="H854" s="24" t="str">
        <f>IFERROR(VLOOKUP(B854,material!A:D,3,0),"")</f>
        <v>CARD</v>
      </c>
    </row>
    <row r="855" ht="11.25" customHeight="1">
      <c r="A855" s="21" t="str">
        <f>IFERROR(__xludf.DUMMYFUNCTION("""COMPUTED_VALUE"""),"SMART CARD LARANJA NAGRA")</f>
        <v>SMART CARD LARANJA NAGRA</v>
      </c>
      <c r="B855" s="22">
        <f>IFERROR(__xludf.DUMMYFUNCTION("""COMPUTED_VALUE"""),4.1001186E7)</f>
        <v>41001186</v>
      </c>
      <c r="C855" s="21" t="str">
        <f>IFERROR(__xludf.DUMMYFUNCTION("""COMPUTED_VALUE"""),"226696533234")</f>
        <v>226696533234</v>
      </c>
      <c r="D855" s="21" t="str">
        <f>IFERROR(__xludf.DUMMYFUNCTION("""COMPUTED_VALUE"""),"DIGITEC TECNOLOGIA DIGITAL E REPRES")</f>
        <v>DIGITEC TECNOLOGIA DIGITAL E REPRES</v>
      </c>
      <c r="E855" s="21">
        <f>IFERROR(__xludf.DUMMYFUNCTION("""COMPUTED_VALUE"""),145359.0)</f>
        <v>145359</v>
      </c>
      <c r="F855" s="21" t="str">
        <f>IFERROR(__xludf.DUMMYFUNCTION("""COMPUTED_VALUE"""),"SUCATA")</f>
        <v>SUCATA</v>
      </c>
      <c r="G855" s="23">
        <f>IFERROR(__xludf.DUMMYFUNCTION("""COMPUTED_VALUE"""),45075.51190972222)</f>
        <v>45075.51191</v>
      </c>
      <c r="H855" s="24" t="str">
        <f>IFERROR(VLOOKUP(B855,material!A:D,3,0),"")</f>
        <v>CARD</v>
      </c>
    </row>
    <row r="856" ht="11.25" customHeight="1">
      <c r="A856" s="21" t="str">
        <f>IFERROR(__xludf.DUMMYFUNCTION("""COMPUTED_VALUE"""),"TECHNICOLOR TC7337NET")</f>
        <v>TECHNICOLOR TC7337NET</v>
      </c>
      <c r="B856" s="22">
        <f>IFERROR(__xludf.DUMMYFUNCTION("""COMPUTED_VALUE"""),4.1001294E7)</f>
        <v>41001294</v>
      </c>
      <c r="C856" s="21" t="str">
        <f>IFERROR(__xludf.DUMMYFUNCTION("""COMPUTED_VALUE"""),"14B7F8E146C7")</f>
        <v>14B7F8E146C7</v>
      </c>
      <c r="D856" s="21" t="str">
        <f>IFERROR(__xludf.DUMMYFUNCTION("""COMPUTED_VALUE"""),"DIGITEC TECNOLOGIA DIGITAL E REPRES")</f>
        <v>DIGITEC TECNOLOGIA DIGITAL E REPRES</v>
      </c>
      <c r="E856" s="21">
        <f>IFERROR(__xludf.DUMMYFUNCTION("""COMPUTED_VALUE"""),145359.0)</f>
        <v>145359</v>
      </c>
      <c r="F856" s="21" t="str">
        <f>IFERROR(__xludf.DUMMYFUNCTION("""COMPUTED_VALUE"""),"TRANSITO REVERSA")</f>
        <v>TRANSITO REVERSA</v>
      </c>
      <c r="G856" s="23">
        <f>IFERROR(__xludf.DUMMYFUNCTION("""COMPUTED_VALUE"""),45633.00336805556)</f>
        <v>45633.00337</v>
      </c>
      <c r="H856" s="24" t="str">
        <f>IFERROR(VLOOKUP(B856,material!A:D,3,0),"")</f>
        <v>DUAL</v>
      </c>
    </row>
    <row r="857" ht="11.25" customHeight="1">
      <c r="A857" s="21" t="str">
        <f>IFERROR(__xludf.DUMMYFUNCTION("""COMPUTED_VALUE"""),"HUMAX HGB10R-02")</f>
        <v>HUMAX HGB10R-02</v>
      </c>
      <c r="B857" s="22">
        <f>IFERROR(__xludf.DUMMYFUNCTION("""COMPUTED_VALUE"""),4.1001292E7)</f>
        <v>41001292</v>
      </c>
      <c r="C857" s="21" t="str">
        <f>IFERROR(__xludf.DUMMYFUNCTION("""COMPUTED_VALUE"""),"942CB3DD8AB0")</f>
        <v>942CB3DD8AB0</v>
      </c>
      <c r="D857" s="21" t="str">
        <f>IFERROR(__xludf.DUMMYFUNCTION("""COMPUTED_VALUE"""),"DIGITEC TECNOLOGIA DIGITAL E REPRES")</f>
        <v>DIGITEC TECNOLOGIA DIGITAL E REPRES</v>
      </c>
      <c r="E857" s="21">
        <f>IFERROR(__xludf.DUMMYFUNCTION("""COMPUTED_VALUE"""),145359.0)</f>
        <v>145359</v>
      </c>
      <c r="F857" s="21" t="str">
        <f>IFERROR(__xludf.DUMMYFUNCTION("""COMPUTED_VALUE"""),"TRANSITO REVERSA")</f>
        <v>TRANSITO REVERSA</v>
      </c>
      <c r="G857" s="23">
        <f>IFERROR(__xludf.DUMMYFUNCTION("""COMPUTED_VALUE"""),45617.87138888889)</f>
        <v>45617.87139</v>
      </c>
      <c r="H857" s="24" t="str">
        <f>IFERROR(VLOOKUP(B857,material!A:D,3,0),"")</f>
        <v>DUAL</v>
      </c>
    </row>
    <row r="858" ht="11.25" customHeight="1">
      <c r="A858" s="21" t="str">
        <f>IFERROR(__xludf.DUMMYFUNCTION("""COMPUTED_VALUE"""),"DECODER DIGITAL HD DXC5000 2T")</f>
        <v>DECODER DIGITAL HD DXC5000 2T</v>
      </c>
      <c r="B858" s="22">
        <f>IFERROR(__xludf.DUMMYFUNCTION("""COMPUTED_VALUE"""),4.1001277E7)</f>
        <v>41001277</v>
      </c>
      <c r="C858" s="21" t="str">
        <f>IFERROR(__xludf.DUMMYFUNCTION("""COMPUTED_VALUE"""),"216589684854")</f>
        <v>216589684854</v>
      </c>
      <c r="D858" s="21" t="str">
        <f>IFERROR(__xludf.DUMMYFUNCTION("""COMPUTED_VALUE"""),"DIGITEC TECNOLOGIA DIGITAL E REPRES")</f>
        <v>DIGITEC TECNOLOGIA DIGITAL E REPRES</v>
      </c>
      <c r="E858" s="21">
        <f>IFERROR(__xludf.DUMMYFUNCTION("""COMPUTED_VALUE"""),145359.0)</f>
        <v>145359</v>
      </c>
      <c r="F858" s="21" t="str">
        <f>IFERROR(__xludf.DUMMYFUNCTION("""COMPUTED_VALUE"""),"TRANSITO REVERSA")</f>
        <v>TRANSITO REVERSA</v>
      </c>
      <c r="G858" s="23">
        <f>IFERROR(__xludf.DUMMYFUNCTION("""COMPUTED_VALUE"""),45633.0033912037)</f>
        <v>45633.00339</v>
      </c>
      <c r="H858" s="24" t="str">
        <f>IFERROR(VLOOKUP(B858,material!A:D,3,0),"")</f>
        <v>TOP MIX</v>
      </c>
    </row>
    <row r="859" ht="11.25" customHeight="1">
      <c r="A859" s="21" t="str">
        <f>IFERROR(__xludf.DUMMYFUNCTION("""COMPUTED_VALUE"""),"DECODER DIGITAL HD DXC5000 2T")</f>
        <v>DECODER DIGITAL HD DXC5000 2T</v>
      </c>
      <c r="B859" s="22">
        <f>IFERROR(__xludf.DUMMYFUNCTION("""COMPUTED_VALUE"""),4.1001277E7)</f>
        <v>41001277</v>
      </c>
      <c r="C859" s="21" t="str">
        <f>IFERROR(__xludf.DUMMYFUNCTION("""COMPUTED_VALUE"""),"216388138002")</f>
        <v>216388138002</v>
      </c>
      <c r="D859" s="21" t="str">
        <f>IFERROR(__xludf.DUMMYFUNCTION("""COMPUTED_VALUE"""),"DIGITEC TECNOLOGIA DIGITAL E REPRES")</f>
        <v>DIGITEC TECNOLOGIA DIGITAL E REPRES</v>
      </c>
      <c r="E859" s="21">
        <f>IFERROR(__xludf.DUMMYFUNCTION("""COMPUTED_VALUE"""),145359.0)</f>
        <v>145359</v>
      </c>
      <c r="F859" s="21" t="str">
        <f>IFERROR(__xludf.DUMMYFUNCTION("""COMPUTED_VALUE"""),"TRANSITO REVERSA")</f>
        <v>TRANSITO REVERSA</v>
      </c>
      <c r="G859" s="23">
        <f>IFERROR(__xludf.DUMMYFUNCTION("""COMPUTED_VALUE"""),45633.003958333335)</f>
        <v>45633.00396</v>
      </c>
      <c r="H859" s="24" t="str">
        <f>IFERROR(VLOOKUP(B859,material!A:D,3,0),"")</f>
        <v>TOP MIX</v>
      </c>
    </row>
    <row r="860" ht="11.25" customHeight="1">
      <c r="A860" s="21" t="str">
        <f>IFERROR(__xludf.DUMMYFUNCTION("""COMPUTED_VALUE"""),"DECODER DIGITAL HD HNB100 2T")</f>
        <v>DECODER DIGITAL HD HNB100 2T</v>
      </c>
      <c r="B860" s="22">
        <f>IFERROR(__xludf.DUMMYFUNCTION("""COMPUTED_VALUE"""),4.1001276E7)</f>
        <v>41001276</v>
      </c>
      <c r="C860" s="21" t="str">
        <f>IFERROR(__xludf.DUMMYFUNCTION("""COMPUTED_VALUE"""),"216738953440")</f>
        <v>216738953440</v>
      </c>
      <c r="D860" s="21" t="str">
        <f>IFERROR(__xludf.DUMMYFUNCTION("""COMPUTED_VALUE"""),"DIGITEC TECNOLOGIA DIGITAL E REPRES")</f>
        <v>DIGITEC TECNOLOGIA DIGITAL E REPRES</v>
      </c>
      <c r="E860" s="21">
        <f>IFERROR(__xludf.DUMMYFUNCTION("""COMPUTED_VALUE"""),145359.0)</f>
        <v>145359</v>
      </c>
      <c r="F860" s="21" t="str">
        <f>IFERROR(__xludf.DUMMYFUNCTION("""COMPUTED_VALUE"""),"TRANSITO REVERSA")</f>
        <v>TRANSITO REVERSA</v>
      </c>
      <c r="G860" s="23">
        <f>IFERROR(__xludf.DUMMYFUNCTION("""COMPUTED_VALUE"""),45633.00399305555)</f>
        <v>45633.00399</v>
      </c>
      <c r="H860" s="24" t="str">
        <f>IFERROR(VLOOKUP(B860,material!A:D,3,0),"")</f>
        <v>TOP MIX</v>
      </c>
    </row>
    <row r="861" ht="11.25" customHeight="1">
      <c r="A861" s="21" t="str">
        <f>IFERROR(__xludf.DUMMYFUNCTION("""COMPUTED_VALUE"""),"EMTA 3.0 HG100R-L2 HUMAX")</f>
        <v>EMTA 3.0 HG100R-L2 HUMAX</v>
      </c>
      <c r="B861" s="22">
        <f>IFERROR(__xludf.DUMMYFUNCTION("""COMPUTED_VALUE"""),4.1001286E7)</f>
        <v>41001286</v>
      </c>
      <c r="C861" s="21" t="str">
        <f>IFERROR(__xludf.DUMMYFUNCTION("""COMPUTED_VALUE"""),"4CD08A6E8E7A")</f>
        <v>4CD08A6E8E7A</v>
      </c>
      <c r="D861" s="21" t="str">
        <f>IFERROR(__xludf.DUMMYFUNCTION("""COMPUTED_VALUE"""),"DIGITEC TECNOLOGIA DIGITAL E REPRES")</f>
        <v>DIGITEC TECNOLOGIA DIGITAL E REPRES</v>
      </c>
      <c r="E861" s="21">
        <f>IFERROR(__xludf.DUMMYFUNCTION("""COMPUTED_VALUE"""),145359.0)</f>
        <v>145359</v>
      </c>
      <c r="F861" s="21" t="str">
        <f>IFERROR(__xludf.DUMMYFUNCTION("""COMPUTED_VALUE"""),"TRANSITO REVERSA")</f>
        <v>TRANSITO REVERSA</v>
      </c>
      <c r="G861" s="23">
        <f>IFERROR(__xludf.DUMMYFUNCTION("""COMPUTED_VALUE"""),45633.00533564815)</f>
        <v>45633.00534</v>
      </c>
      <c r="H861" s="24" t="str">
        <f>IFERROR(VLOOKUP(B861,material!A:D,3,0),"")</f>
        <v>SINGLE</v>
      </c>
    </row>
    <row r="862" ht="11.25" customHeight="1">
      <c r="A862" s="21" t="str">
        <f>IFERROR(__xludf.DUMMYFUNCTION("""COMPUTED_VALUE"""),"SMART CARD PRETO NAGRA")</f>
        <v>SMART CARD PRETO NAGRA</v>
      </c>
      <c r="B862" s="22">
        <f>IFERROR(__xludf.DUMMYFUNCTION("""COMPUTED_VALUE"""),4.1001234E7)</f>
        <v>41001234</v>
      </c>
      <c r="C862" s="21" t="str">
        <f>IFERROR(__xludf.DUMMYFUNCTION("""COMPUTED_VALUE"""),"226335794762")</f>
        <v>226335794762</v>
      </c>
      <c r="D862" s="21" t="str">
        <f>IFERROR(__xludf.DUMMYFUNCTION("""COMPUTED_VALUE"""),"DIGITEC TECNOLOGIA DIGITAL E REPRES")</f>
        <v>DIGITEC TECNOLOGIA DIGITAL E REPRES</v>
      </c>
      <c r="E862" s="21">
        <f>IFERROR(__xludf.DUMMYFUNCTION("""COMPUTED_VALUE"""),145359.0)</f>
        <v>145359</v>
      </c>
      <c r="F862" s="21" t="str">
        <f>IFERROR(__xludf.DUMMYFUNCTION("""COMPUTED_VALUE"""),"TRANSITO REVERSA")</f>
        <v>TRANSITO REVERSA</v>
      </c>
      <c r="G862" s="23">
        <f>IFERROR(__xludf.DUMMYFUNCTION("""COMPUTED_VALUE"""),45633.00398148148)</f>
        <v>45633.00398</v>
      </c>
      <c r="H862" s="24" t="str">
        <f>IFERROR(VLOOKUP(B862,material!A:D,3,0),"")</f>
        <v>CARD</v>
      </c>
    </row>
    <row r="863" ht="11.25" customHeight="1">
      <c r="A863" s="21" t="str">
        <f>IFERROR(__xludf.DUMMYFUNCTION("""COMPUTED_VALUE"""),"PACE - HIGH DEFINITION DCR7411")</f>
        <v>PACE - HIGH DEFINITION DCR7411</v>
      </c>
      <c r="B863" s="22">
        <f>IFERROR(__xludf.DUMMYFUNCTION("""COMPUTED_VALUE"""),4.1001216E7)</f>
        <v>41001216</v>
      </c>
      <c r="C863" s="21" t="str">
        <f>IFERROR(__xludf.DUMMYFUNCTION("""COMPUTED_VALUE"""),"177195999907")</f>
        <v>177195999907</v>
      </c>
      <c r="D863" s="21" t="str">
        <f>IFERROR(__xludf.DUMMYFUNCTION("""COMPUTED_VALUE"""),"DIGITEC TECNOLOGIA DIGITAL E REPRES")</f>
        <v>DIGITEC TECNOLOGIA DIGITAL E REPRES</v>
      </c>
      <c r="E863" s="21">
        <f>IFERROR(__xludf.DUMMYFUNCTION("""COMPUTED_VALUE"""),145359.0)</f>
        <v>145359</v>
      </c>
      <c r="F863" s="21" t="str">
        <f>IFERROR(__xludf.DUMMYFUNCTION("""COMPUTED_VALUE"""),"TRANSITO REVERSA")</f>
        <v>TRANSITO REVERSA</v>
      </c>
      <c r="G863" s="23">
        <f>IFERROR(__xludf.DUMMYFUNCTION("""COMPUTED_VALUE"""),45626.298692129625)</f>
        <v>45626.29869</v>
      </c>
      <c r="H863" s="24" t="str">
        <f>IFERROR(VLOOKUP(B863,material!A:D,3,0),"")</f>
        <v>LEGADO</v>
      </c>
    </row>
    <row r="864" ht="11.25" customHeight="1">
      <c r="A864" s="21" t="str">
        <f>IFERROR(__xludf.DUMMYFUNCTION("""COMPUTED_VALUE"""),"ARRIS TG1692A")</f>
        <v>ARRIS TG1692A</v>
      </c>
      <c r="B864" s="22">
        <f>IFERROR(__xludf.DUMMYFUNCTION("""COMPUTED_VALUE"""),4.1001293E7)</f>
        <v>41001293</v>
      </c>
      <c r="C864" s="21" t="str">
        <f>IFERROR(__xludf.DUMMYFUNCTION("""COMPUTED_VALUE"""),"A89FECC13755")</f>
        <v>A89FECC13755</v>
      </c>
      <c r="D864" s="21" t="str">
        <f>IFERROR(__xludf.DUMMYFUNCTION("""COMPUTED_VALUE"""),"DIGITEC TECNOLOGIA DIGITAL E REPRES")</f>
        <v>DIGITEC TECNOLOGIA DIGITAL E REPRES</v>
      </c>
      <c r="E864" s="21">
        <f>IFERROR(__xludf.DUMMYFUNCTION("""COMPUTED_VALUE"""),145359.0)</f>
        <v>145359</v>
      </c>
      <c r="F864" s="21" t="str">
        <f>IFERROR(__xludf.DUMMYFUNCTION("""COMPUTED_VALUE"""),"SUSPEITO")</f>
        <v>SUSPEITO</v>
      </c>
      <c r="G864" s="23">
        <f>IFERROR(__xludf.DUMMYFUNCTION("""COMPUTED_VALUE"""),45637.424791666665)</f>
        <v>45637.42479</v>
      </c>
      <c r="H864" s="24" t="str">
        <f>IFERROR(VLOOKUP(B864,material!A:D,3,0),"")</f>
        <v>DUAL</v>
      </c>
    </row>
    <row r="865" ht="11.25" customHeight="1">
      <c r="A865" s="21" t="str">
        <f>IFERROR(__xludf.DUMMYFUNCTION("""COMPUTED_VALUE"""),"SMART CARD PRETO NAGRA")</f>
        <v>SMART CARD PRETO NAGRA</v>
      </c>
      <c r="B865" s="22">
        <f>IFERROR(__xludf.DUMMYFUNCTION("""COMPUTED_VALUE"""),4.1001234E7)</f>
        <v>41001234</v>
      </c>
      <c r="C865" s="21" t="str">
        <f>IFERROR(__xludf.DUMMYFUNCTION("""COMPUTED_VALUE"""),"246044175056")</f>
        <v>246044175056</v>
      </c>
      <c r="D865" s="21" t="str">
        <f>IFERROR(__xludf.DUMMYFUNCTION("""COMPUTED_VALUE"""),"DIGITEC TECNOLOGIA DIGITAL E REPRES")</f>
        <v>DIGITEC TECNOLOGIA DIGITAL E REPRES</v>
      </c>
      <c r="E865" s="21">
        <f>IFERROR(__xludf.DUMMYFUNCTION("""COMPUTED_VALUE"""),145359.0)</f>
        <v>145359</v>
      </c>
      <c r="F865" s="21" t="str">
        <f>IFERROR(__xludf.DUMMYFUNCTION("""COMPUTED_VALUE"""),"SUSPEITO")</f>
        <v>SUSPEITO</v>
      </c>
      <c r="G865" s="23">
        <f>IFERROR(__xludf.DUMMYFUNCTION("""COMPUTED_VALUE"""),45642.44609953703)</f>
        <v>45642.4461</v>
      </c>
      <c r="H865" s="24" t="str">
        <f>IFERROR(VLOOKUP(B865,material!A:D,3,0),"")</f>
        <v>CARD</v>
      </c>
    </row>
    <row r="866" ht="11.25" customHeight="1">
      <c r="A866" s="21" t="str">
        <f>IFERROR(__xludf.DUMMYFUNCTION("""COMPUTED_VALUE"""),"DECODER DIGITAL HD HNB100 2T")</f>
        <v>DECODER DIGITAL HD HNB100 2T</v>
      </c>
      <c r="B866" s="22">
        <f>IFERROR(__xludf.DUMMYFUNCTION("""COMPUTED_VALUE"""),4.1001276E7)</f>
        <v>41001276</v>
      </c>
      <c r="C866" s="21" t="str">
        <f>IFERROR(__xludf.DUMMYFUNCTION("""COMPUTED_VALUE"""),"216831674655")</f>
        <v>216831674655</v>
      </c>
      <c r="D866" s="21" t="str">
        <f>IFERROR(__xludf.DUMMYFUNCTION("""COMPUTED_VALUE"""),"DIGITEC TECNOLOGIA DIGITAL E REPRES")</f>
        <v>DIGITEC TECNOLOGIA DIGITAL E REPRES</v>
      </c>
      <c r="E866" s="21">
        <f>IFERROR(__xludf.DUMMYFUNCTION("""COMPUTED_VALUE"""),145359.0)</f>
        <v>145359</v>
      </c>
      <c r="F866" s="21" t="str">
        <f>IFERROR(__xludf.DUMMYFUNCTION("""COMPUTED_VALUE"""),"INICIALIZADO")</f>
        <v>INICIALIZADO</v>
      </c>
      <c r="G866" s="23">
        <f>IFERROR(__xludf.DUMMYFUNCTION("""COMPUTED_VALUE"""),45642.52413194445)</f>
        <v>45642.52413</v>
      </c>
      <c r="H866" s="24" t="str">
        <f>IFERROR(VLOOKUP(B866,material!A:D,3,0),"")</f>
        <v>TOP MIX</v>
      </c>
    </row>
    <row r="867" ht="11.25" customHeight="1">
      <c r="A867" s="21" t="str">
        <f>IFERROR(__xludf.DUMMYFUNCTION("""COMPUTED_VALUE"""),"SMART CARD PRETO NAGRA")</f>
        <v>SMART CARD PRETO NAGRA</v>
      </c>
      <c r="B867" s="22">
        <f>IFERROR(__xludf.DUMMYFUNCTION("""COMPUTED_VALUE"""),4.1001234E7)</f>
        <v>41001234</v>
      </c>
      <c r="C867" s="21" t="str">
        <f>IFERROR(__xludf.DUMMYFUNCTION("""COMPUTED_VALUE"""),"246181184466")</f>
        <v>246181184466</v>
      </c>
      <c r="D867" s="21" t="str">
        <f>IFERROR(__xludf.DUMMYFUNCTION("""COMPUTED_VALUE"""),"DIGITEC TECNOLOGIA DIGITAL E REPRES")</f>
        <v>DIGITEC TECNOLOGIA DIGITAL E REPRES</v>
      </c>
      <c r="E867" s="21">
        <f>IFERROR(__xludf.DUMMYFUNCTION("""COMPUTED_VALUE"""),145359.0)</f>
        <v>145359</v>
      </c>
      <c r="F867" s="21" t="str">
        <f>IFERROR(__xludf.DUMMYFUNCTION("""COMPUTED_VALUE"""),"INICIALIZADO")</f>
        <v>INICIALIZADO</v>
      </c>
      <c r="G867" s="23">
        <f>IFERROR(__xludf.DUMMYFUNCTION("""COMPUTED_VALUE"""),45635.534895833334)</f>
        <v>45635.5349</v>
      </c>
      <c r="H867" s="24" t="str">
        <f>IFERROR(VLOOKUP(B867,material!A:D,3,0),"")</f>
        <v>CARD</v>
      </c>
    </row>
    <row r="868" ht="11.25" customHeight="1">
      <c r="A868" s="21" t="str">
        <f>IFERROR(__xludf.DUMMYFUNCTION("""COMPUTED_VALUE"""),"SMART CARD PRETO NAGRA")</f>
        <v>SMART CARD PRETO NAGRA</v>
      </c>
      <c r="B868" s="22">
        <f>IFERROR(__xludf.DUMMYFUNCTION("""COMPUTED_VALUE"""),4.1001234E7)</f>
        <v>41001234</v>
      </c>
      <c r="C868" s="21" t="str">
        <f>IFERROR(__xludf.DUMMYFUNCTION("""COMPUTED_VALUE"""),"226277616278")</f>
        <v>226277616278</v>
      </c>
      <c r="D868" s="21" t="str">
        <f>IFERROR(__xludf.DUMMYFUNCTION("""COMPUTED_VALUE"""),"DIGITEC TECNOLOGIA DIGITAL E REPRES")</f>
        <v>DIGITEC TECNOLOGIA DIGITAL E REPRES</v>
      </c>
      <c r="E868" s="21">
        <f>IFERROR(__xludf.DUMMYFUNCTION("""COMPUTED_VALUE"""),145359.0)</f>
        <v>145359</v>
      </c>
      <c r="F868" s="21" t="str">
        <f>IFERROR(__xludf.DUMMYFUNCTION("""COMPUTED_VALUE"""),"INICIALIZADO")</f>
        <v>INICIALIZADO</v>
      </c>
      <c r="G868" s="23">
        <f>IFERROR(__xludf.DUMMYFUNCTION("""COMPUTED_VALUE"""),45516.41978009259)</f>
        <v>45516.41978</v>
      </c>
      <c r="H868" s="24" t="str">
        <f>IFERROR(VLOOKUP(B868,material!A:D,3,0),"")</f>
        <v>CARD</v>
      </c>
    </row>
    <row r="869" ht="11.25" customHeight="1">
      <c r="A869" s="21" t="str">
        <f>IFERROR(__xludf.DUMMYFUNCTION("""COMPUTED_VALUE"""),"SMART CARD PRETO NAGRA")</f>
        <v>SMART CARD PRETO NAGRA</v>
      </c>
      <c r="B869" s="22">
        <f>IFERROR(__xludf.DUMMYFUNCTION("""COMPUTED_VALUE"""),4.1001234E7)</f>
        <v>41001234</v>
      </c>
      <c r="C869" s="21" t="str">
        <f>IFERROR(__xludf.DUMMYFUNCTION("""COMPUTED_VALUE"""),"246166899312")</f>
        <v>246166899312</v>
      </c>
      <c r="D869" s="21" t="str">
        <f>IFERROR(__xludf.DUMMYFUNCTION("""COMPUTED_VALUE"""),"DIGITEC TECNOLOGIA DIGITAL E REPRES")</f>
        <v>DIGITEC TECNOLOGIA DIGITAL E REPRES</v>
      </c>
      <c r="E869" s="21">
        <f>IFERROR(__xludf.DUMMYFUNCTION("""COMPUTED_VALUE"""),145359.0)</f>
        <v>145359</v>
      </c>
      <c r="F869" s="21" t="str">
        <f>IFERROR(__xludf.DUMMYFUNCTION("""COMPUTED_VALUE"""),"INICIALIZADO")</f>
        <v>INICIALIZADO</v>
      </c>
      <c r="G869" s="23">
        <f>IFERROR(__xludf.DUMMYFUNCTION("""COMPUTED_VALUE"""),45635.534895833334)</f>
        <v>45635.5349</v>
      </c>
      <c r="H869" s="24" t="str">
        <f>IFERROR(VLOOKUP(B869,material!A:D,3,0),"")</f>
        <v>CARD</v>
      </c>
    </row>
    <row r="870" ht="11.25" customHeight="1">
      <c r="A870" s="21" t="str">
        <f>IFERROR(__xludf.DUMMYFUNCTION("""COMPUTED_VALUE"""),"SMART CARD PRETO NAGRA")</f>
        <v>SMART CARD PRETO NAGRA</v>
      </c>
      <c r="B870" s="22">
        <f>IFERROR(__xludf.DUMMYFUNCTION("""COMPUTED_VALUE"""),4.1001234E7)</f>
        <v>41001234</v>
      </c>
      <c r="C870" s="21" t="str">
        <f>IFERROR(__xludf.DUMMYFUNCTION("""COMPUTED_VALUE"""),"246026805471")</f>
        <v>246026805471</v>
      </c>
      <c r="D870" s="21" t="str">
        <f>IFERROR(__xludf.DUMMYFUNCTION("""COMPUTED_VALUE"""),"DIGITEC TECNOLOGIA DIGITAL E REPRES")</f>
        <v>DIGITEC TECNOLOGIA DIGITAL E REPRES</v>
      </c>
      <c r="E870" s="21">
        <f>IFERROR(__xludf.DUMMYFUNCTION("""COMPUTED_VALUE"""),145359.0)</f>
        <v>145359</v>
      </c>
      <c r="F870" s="21" t="str">
        <f>IFERROR(__xludf.DUMMYFUNCTION("""COMPUTED_VALUE"""),"INICIALIZADO")</f>
        <v>INICIALIZADO</v>
      </c>
      <c r="G870" s="23">
        <f>IFERROR(__xludf.DUMMYFUNCTION("""COMPUTED_VALUE"""),45635.534907407404)</f>
        <v>45635.53491</v>
      </c>
      <c r="H870" s="24" t="str">
        <f>IFERROR(VLOOKUP(B870,material!A:D,3,0),"")</f>
        <v>CARD</v>
      </c>
    </row>
    <row r="871" ht="11.25" customHeight="1">
      <c r="A871" s="21" t="str">
        <f>IFERROR(__xludf.DUMMYFUNCTION("""COMPUTED_VALUE"""),"SMART CARD PRETO NAGRA")</f>
        <v>SMART CARD PRETO NAGRA</v>
      </c>
      <c r="B871" s="22">
        <f>IFERROR(__xludf.DUMMYFUNCTION("""COMPUTED_VALUE"""),4.1001234E7)</f>
        <v>41001234</v>
      </c>
      <c r="C871" s="21" t="str">
        <f>IFERROR(__xludf.DUMMYFUNCTION("""COMPUTED_VALUE"""),"226037902031")</f>
        <v>226037902031</v>
      </c>
      <c r="D871" s="21" t="str">
        <f>IFERROR(__xludf.DUMMYFUNCTION("""COMPUTED_VALUE"""),"DIGITEC TECNOLOGIA DIGITAL E REPRES")</f>
        <v>DIGITEC TECNOLOGIA DIGITAL E REPRES</v>
      </c>
      <c r="E871" s="21">
        <f>IFERROR(__xludf.DUMMYFUNCTION("""COMPUTED_VALUE"""),145359.0)</f>
        <v>145359</v>
      </c>
      <c r="F871" s="21" t="str">
        <f>IFERROR(__xludf.DUMMYFUNCTION("""COMPUTED_VALUE"""),"INICIALIZADO")</f>
        <v>INICIALIZADO</v>
      </c>
      <c r="G871" s="23">
        <f>IFERROR(__xludf.DUMMYFUNCTION("""COMPUTED_VALUE"""),45635.53494212963)</f>
        <v>45635.53494</v>
      </c>
      <c r="H871" s="24" t="str">
        <f>IFERROR(VLOOKUP(B871,material!A:D,3,0),"")</f>
        <v>CARD</v>
      </c>
    </row>
    <row r="872" ht="11.25" customHeight="1">
      <c r="A872" s="21" t="str">
        <f>IFERROR(__xludf.DUMMYFUNCTION("""COMPUTED_VALUE"""),"SMART CARD PRETO NAGRA")</f>
        <v>SMART CARD PRETO NAGRA</v>
      </c>
      <c r="B872" s="22">
        <f>IFERROR(__xludf.DUMMYFUNCTION("""COMPUTED_VALUE"""),4.1001234E7)</f>
        <v>41001234</v>
      </c>
      <c r="C872" s="21" t="str">
        <f>IFERROR(__xludf.DUMMYFUNCTION("""COMPUTED_VALUE"""),"226301233948")</f>
        <v>226301233948</v>
      </c>
      <c r="D872" s="21" t="str">
        <f>IFERROR(__xludf.DUMMYFUNCTION("""COMPUTED_VALUE"""),"DIGITEC TECNOLOGIA DIGITAL E REPRES")</f>
        <v>DIGITEC TECNOLOGIA DIGITAL E REPRES</v>
      </c>
      <c r="E872" s="21">
        <f>IFERROR(__xludf.DUMMYFUNCTION("""COMPUTED_VALUE"""),145359.0)</f>
        <v>145359</v>
      </c>
      <c r="F872" s="21" t="str">
        <f>IFERROR(__xludf.DUMMYFUNCTION("""COMPUTED_VALUE"""),"INICIALIZADO")</f>
        <v>INICIALIZADO</v>
      </c>
      <c r="G872" s="23">
        <f>IFERROR(__xludf.DUMMYFUNCTION("""COMPUTED_VALUE"""),45593.72917824074)</f>
        <v>45593.72918</v>
      </c>
      <c r="H872" s="24" t="str">
        <f>IFERROR(VLOOKUP(B872,material!A:D,3,0),"")</f>
        <v>CARD</v>
      </c>
    </row>
    <row r="873" ht="11.25" customHeight="1">
      <c r="A873" s="21" t="str">
        <f>IFERROR(__xludf.DUMMYFUNCTION("""COMPUTED_VALUE"""),"SMART CARD PRETO NAGRA")</f>
        <v>SMART CARD PRETO NAGRA</v>
      </c>
      <c r="B873" s="22">
        <f>IFERROR(__xludf.DUMMYFUNCTION("""COMPUTED_VALUE"""),4.1001234E7)</f>
        <v>41001234</v>
      </c>
      <c r="C873" s="21" t="str">
        <f>IFERROR(__xludf.DUMMYFUNCTION("""COMPUTED_VALUE"""),"226119901212")</f>
        <v>226119901212</v>
      </c>
      <c r="D873" s="21" t="str">
        <f>IFERROR(__xludf.DUMMYFUNCTION("""COMPUTED_VALUE"""),"DIGITEC TECNOLOGIA DIGITAL E REPRES")</f>
        <v>DIGITEC TECNOLOGIA DIGITAL E REPRES</v>
      </c>
      <c r="E873" s="21">
        <f>IFERROR(__xludf.DUMMYFUNCTION("""COMPUTED_VALUE"""),145359.0)</f>
        <v>145359</v>
      </c>
      <c r="F873" s="21" t="str">
        <f>IFERROR(__xludf.DUMMYFUNCTION("""COMPUTED_VALUE"""),"INICIALIZADO")</f>
        <v>INICIALIZADO</v>
      </c>
      <c r="G873" s="23">
        <f>IFERROR(__xludf.DUMMYFUNCTION("""COMPUTED_VALUE"""),45000.78181712963)</f>
        <v>45000.78182</v>
      </c>
      <c r="H873" s="24" t="str">
        <f>IFERROR(VLOOKUP(B873,material!A:D,3,0),"")</f>
        <v>CARD</v>
      </c>
    </row>
    <row r="874" ht="11.25" customHeight="1">
      <c r="A874" s="21" t="str">
        <f>IFERROR(__xludf.DUMMYFUNCTION("""COMPUTED_VALUE"""),"DECODER DIGITAL HD HNB100 2T")</f>
        <v>DECODER DIGITAL HD HNB100 2T</v>
      </c>
      <c r="B874" s="22">
        <f>IFERROR(__xludf.DUMMYFUNCTION("""COMPUTED_VALUE"""),4.1001276E7)</f>
        <v>41001276</v>
      </c>
      <c r="C874" s="21" t="str">
        <f>IFERROR(__xludf.DUMMYFUNCTION("""COMPUTED_VALUE"""),"216724329914")</f>
        <v>216724329914</v>
      </c>
      <c r="D874" s="21" t="str">
        <f>IFERROR(__xludf.DUMMYFUNCTION("""COMPUTED_VALUE"""),"DIGITEC TECNOLOGIA DIGITAL E REPRES")</f>
        <v>DIGITEC TECNOLOGIA DIGITAL E REPRES</v>
      </c>
      <c r="E874" s="21">
        <f>IFERROR(__xludf.DUMMYFUNCTION("""COMPUTED_VALUE"""),145359.0)</f>
        <v>145359</v>
      </c>
      <c r="F874" s="21" t="str">
        <f>IFERROR(__xludf.DUMMYFUNCTION("""COMPUTED_VALUE"""),"INICIALIZADO")</f>
        <v>INICIALIZADO</v>
      </c>
      <c r="G874" s="23">
        <f>IFERROR(__xludf.DUMMYFUNCTION("""COMPUTED_VALUE"""),45635.53501157407)</f>
        <v>45635.53501</v>
      </c>
      <c r="H874" s="24" t="str">
        <f>IFERROR(VLOOKUP(B874,material!A:D,3,0),"")</f>
        <v>TOP MIX</v>
      </c>
    </row>
    <row r="875" ht="11.25" customHeight="1">
      <c r="A875" s="21" t="str">
        <f>IFERROR(__xludf.DUMMYFUNCTION("""COMPUTED_VALUE"""),"SMART CARD PRETO NAGRA")</f>
        <v>SMART CARD PRETO NAGRA</v>
      </c>
      <c r="B875" s="22">
        <f>IFERROR(__xludf.DUMMYFUNCTION("""COMPUTED_VALUE"""),4.1001234E7)</f>
        <v>41001234</v>
      </c>
      <c r="C875" s="21" t="str">
        <f>IFERROR(__xludf.DUMMYFUNCTION("""COMPUTED_VALUE"""),"226016566884")</f>
        <v>226016566884</v>
      </c>
      <c r="D875" s="21" t="str">
        <f>IFERROR(__xludf.DUMMYFUNCTION("""COMPUTED_VALUE"""),"DIGITEC TECNOLOGIA DIGITAL E REPRES")</f>
        <v>DIGITEC TECNOLOGIA DIGITAL E REPRES</v>
      </c>
      <c r="E875" s="21">
        <f>IFERROR(__xludf.DUMMYFUNCTION("""COMPUTED_VALUE"""),145359.0)</f>
        <v>145359</v>
      </c>
      <c r="F875" s="21" t="str">
        <f>IFERROR(__xludf.DUMMYFUNCTION("""COMPUTED_VALUE"""),"INICIALIZADO")</f>
        <v>INICIALIZADO</v>
      </c>
      <c r="G875" s="23">
        <f>IFERROR(__xludf.DUMMYFUNCTION("""COMPUTED_VALUE"""),45635.534953703704)</f>
        <v>45635.53495</v>
      </c>
      <c r="H875" s="24" t="str">
        <f>IFERROR(VLOOKUP(B875,material!A:D,3,0),"")</f>
        <v>CARD</v>
      </c>
    </row>
    <row r="876" ht="11.25" customHeight="1">
      <c r="A876" s="21" t="str">
        <f>IFERROR(__xludf.DUMMYFUNCTION("""COMPUTED_VALUE"""),"SMART CARD PRETO NAGRA")</f>
        <v>SMART CARD PRETO NAGRA</v>
      </c>
      <c r="B876" s="22">
        <f>IFERROR(__xludf.DUMMYFUNCTION("""COMPUTED_VALUE"""),4.1001234E7)</f>
        <v>41001234</v>
      </c>
      <c r="C876" s="21" t="str">
        <f>IFERROR(__xludf.DUMMYFUNCTION("""COMPUTED_VALUE"""),"226399958498")</f>
        <v>226399958498</v>
      </c>
      <c r="D876" s="21" t="str">
        <f>IFERROR(__xludf.DUMMYFUNCTION("""COMPUTED_VALUE"""),"DIGITEC TECNOLOGIA DIGITAL E REPRES")</f>
        <v>DIGITEC TECNOLOGIA DIGITAL E REPRES</v>
      </c>
      <c r="E876" s="21">
        <f>IFERROR(__xludf.DUMMYFUNCTION("""COMPUTED_VALUE"""),145359.0)</f>
        <v>145359</v>
      </c>
      <c r="F876" s="21" t="str">
        <f>IFERROR(__xludf.DUMMYFUNCTION("""COMPUTED_VALUE"""),"TRANSITO REVERSA")</f>
        <v>TRANSITO REVERSA</v>
      </c>
      <c r="G876" s="23">
        <f>IFERROR(__xludf.DUMMYFUNCTION("""COMPUTED_VALUE"""),45633.00394675926)</f>
        <v>45633.00395</v>
      </c>
      <c r="H876" s="24" t="str">
        <f>IFERROR(VLOOKUP(B876,material!A:D,3,0),"")</f>
        <v>CARD</v>
      </c>
    </row>
    <row r="877" ht="11.25" customHeight="1">
      <c r="A877" s="21" t="str">
        <f>IFERROR(__xludf.DUMMYFUNCTION("""COMPUTED_VALUE"""),"DECODER DIGITAL HD DXC5000 2T")</f>
        <v>DECODER DIGITAL HD DXC5000 2T</v>
      </c>
      <c r="B877" s="22">
        <f>IFERROR(__xludf.DUMMYFUNCTION("""COMPUTED_VALUE"""),4.1001277E7)</f>
        <v>41001277</v>
      </c>
      <c r="C877" s="21" t="str">
        <f>IFERROR(__xludf.DUMMYFUNCTION("""COMPUTED_VALUE"""),"216464230322")</f>
        <v>216464230322</v>
      </c>
      <c r="D877" s="21" t="str">
        <f>IFERROR(__xludf.DUMMYFUNCTION("""COMPUTED_VALUE"""),"DIGITEC TECNOLOGIA DIGITAL E REPRES")</f>
        <v>DIGITEC TECNOLOGIA DIGITAL E REPRES</v>
      </c>
      <c r="E877" s="21">
        <f>IFERROR(__xludf.DUMMYFUNCTION("""COMPUTED_VALUE"""),145359.0)</f>
        <v>145359</v>
      </c>
      <c r="F877" s="21" t="str">
        <f>IFERROR(__xludf.DUMMYFUNCTION("""COMPUTED_VALUE"""),"INICIALIZADO")</f>
        <v>INICIALIZADO</v>
      </c>
      <c r="G877" s="23">
        <f>IFERROR(__xludf.DUMMYFUNCTION("""COMPUTED_VALUE"""),45594.64795138889)</f>
        <v>45594.64795</v>
      </c>
      <c r="H877" s="24" t="str">
        <f>IFERROR(VLOOKUP(B877,material!A:D,3,0),"")</f>
        <v>TOP MIX</v>
      </c>
    </row>
    <row r="878" ht="11.25" customHeight="1">
      <c r="A878" s="21" t="str">
        <f>IFERROR(__xludf.DUMMYFUNCTION("""COMPUTED_VALUE"""),"DECODER DIGITAL HD HNB100 2T")</f>
        <v>DECODER DIGITAL HD HNB100 2T</v>
      </c>
      <c r="B878" s="22">
        <f>IFERROR(__xludf.DUMMYFUNCTION("""COMPUTED_VALUE"""),4.1001276E7)</f>
        <v>41001276</v>
      </c>
      <c r="C878" s="21" t="str">
        <f>IFERROR(__xludf.DUMMYFUNCTION("""COMPUTED_VALUE"""),"216614991320")</f>
        <v>216614991320</v>
      </c>
      <c r="D878" s="21" t="str">
        <f>IFERROR(__xludf.DUMMYFUNCTION("""COMPUTED_VALUE"""),"DIGITEC TECNOLOGIA DIGITAL E REPRES")</f>
        <v>DIGITEC TECNOLOGIA DIGITAL E REPRES</v>
      </c>
      <c r="E878" s="21">
        <f>IFERROR(__xludf.DUMMYFUNCTION("""COMPUTED_VALUE"""),145359.0)</f>
        <v>145359</v>
      </c>
      <c r="F878" s="21" t="str">
        <f>IFERROR(__xludf.DUMMYFUNCTION("""COMPUTED_VALUE"""),"INICIALIZADO")</f>
        <v>INICIALIZADO</v>
      </c>
      <c r="G878" s="23">
        <f>IFERROR(__xludf.DUMMYFUNCTION("""COMPUTED_VALUE"""),45635.535057870366)</f>
        <v>45635.53506</v>
      </c>
      <c r="H878" s="24" t="str">
        <f>IFERROR(VLOOKUP(B878,material!A:D,3,0),"")</f>
        <v>TOP MIX</v>
      </c>
    </row>
    <row r="879" ht="11.25" customHeight="1">
      <c r="A879" s="21" t="str">
        <f>IFERROR(__xludf.DUMMYFUNCTION("""COMPUTED_VALUE"""),"DECODER DIGITAL HD HNB100 2T")</f>
        <v>DECODER DIGITAL HD HNB100 2T</v>
      </c>
      <c r="B879" s="22">
        <f>IFERROR(__xludf.DUMMYFUNCTION("""COMPUTED_VALUE"""),4.1001276E7)</f>
        <v>41001276</v>
      </c>
      <c r="C879" s="21" t="str">
        <f>IFERROR(__xludf.DUMMYFUNCTION("""COMPUTED_VALUE"""),"184267580514")</f>
        <v>184267580514</v>
      </c>
      <c r="D879" s="21" t="str">
        <f>IFERROR(__xludf.DUMMYFUNCTION("""COMPUTED_VALUE"""),"DIGITEC TECNOLOGIA DIGITAL E REPRES")</f>
        <v>DIGITEC TECNOLOGIA DIGITAL E REPRES</v>
      </c>
      <c r="E879" s="21">
        <f>IFERROR(__xludf.DUMMYFUNCTION("""COMPUTED_VALUE"""),145359.0)</f>
        <v>145359</v>
      </c>
      <c r="F879" s="21" t="str">
        <f>IFERROR(__xludf.DUMMYFUNCTION("""COMPUTED_VALUE"""),"INICIALIZADO")</f>
        <v>INICIALIZADO</v>
      </c>
      <c r="G879" s="23">
        <f>IFERROR(__xludf.DUMMYFUNCTION("""COMPUTED_VALUE"""),45642.52413194445)</f>
        <v>45642.52413</v>
      </c>
      <c r="H879" s="24" t="str">
        <f>IFERROR(VLOOKUP(B879,material!A:D,3,0),"")</f>
        <v>TOP MIX</v>
      </c>
    </row>
    <row r="880" ht="11.25" customHeight="1">
      <c r="A880" s="21" t="str">
        <f>IFERROR(__xludf.DUMMYFUNCTION("""COMPUTED_VALUE"""),"DECODER DIGITAL HD DXC5000 2T")</f>
        <v>DECODER DIGITAL HD DXC5000 2T</v>
      </c>
      <c r="B880" s="22">
        <f>IFERROR(__xludf.DUMMYFUNCTION("""COMPUTED_VALUE"""),4.1001277E7)</f>
        <v>41001277</v>
      </c>
      <c r="C880" s="21" t="str">
        <f>IFERROR(__xludf.DUMMYFUNCTION("""COMPUTED_VALUE"""),"216592519104")</f>
        <v>216592519104</v>
      </c>
      <c r="D880" s="21" t="str">
        <f>IFERROR(__xludf.DUMMYFUNCTION("""COMPUTED_VALUE"""),"DIGITEC TECNOLOGIA DIGITAL E REPRES")</f>
        <v>DIGITEC TECNOLOGIA DIGITAL E REPRES</v>
      </c>
      <c r="E880" s="21">
        <f>IFERROR(__xludf.DUMMYFUNCTION("""COMPUTED_VALUE"""),145359.0)</f>
        <v>145359</v>
      </c>
      <c r="F880" s="21" t="str">
        <f>IFERROR(__xludf.DUMMYFUNCTION("""COMPUTED_VALUE"""),"INICIALIZADO")</f>
        <v>INICIALIZADO</v>
      </c>
      <c r="G880" s="23">
        <f>IFERROR(__xludf.DUMMYFUNCTION("""COMPUTED_VALUE"""),45600.476006944446)</f>
        <v>45600.47601</v>
      </c>
      <c r="H880" s="24" t="str">
        <f>IFERROR(VLOOKUP(B880,material!A:D,3,0),"")</f>
        <v>TOP MIX</v>
      </c>
    </row>
    <row r="881" ht="11.25" customHeight="1">
      <c r="A881" s="21" t="str">
        <f>IFERROR(__xludf.DUMMYFUNCTION("""COMPUTED_VALUE"""),"DECODER DIGITAL HD DXC5000 2T")</f>
        <v>DECODER DIGITAL HD DXC5000 2T</v>
      </c>
      <c r="B881" s="22">
        <f>IFERROR(__xludf.DUMMYFUNCTION("""COMPUTED_VALUE"""),4.1001277E7)</f>
        <v>41001277</v>
      </c>
      <c r="C881" s="21" t="str">
        <f>IFERROR(__xludf.DUMMYFUNCTION("""COMPUTED_VALUE"""),"216660385974")</f>
        <v>216660385974</v>
      </c>
      <c r="D881" s="21" t="str">
        <f>IFERROR(__xludf.DUMMYFUNCTION("""COMPUTED_VALUE"""),"DIGITEC TECNOLOGIA DIGITAL E REPRES")</f>
        <v>DIGITEC TECNOLOGIA DIGITAL E REPRES</v>
      </c>
      <c r="E881" s="21">
        <f>IFERROR(__xludf.DUMMYFUNCTION("""COMPUTED_VALUE"""),145359.0)</f>
        <v>145359</v>
      </c>
      <c r="F881" s="21" t="str">
        <f>IFERROR(__xludf.DUMMYFUNCTION("""COMPUTED_VALUE"""),"INICIALIZADO")</f>
        <v>INICIALIZADO</v>
      </c>
      <c r="G881" s="23">
        <f>IFERROR(__xludf.DUMMYFUNCTION("""COMPUTED_VALUE"""),45600.47599537037)</f>
        <v>45600.476</v>
      </c>
      <c r="H881" s="24" t="str">
        <f>IFERROR(VLOOKUP(B881,material!A:D,3,0),"")</f>
        <v>TOP MIX</v>
      </c>
    </row>
    <row r="882" ht="11.25" customHeight="1">
      <c r="A882" s="21" t="str">
        <f>IFERROR(__xludf.DUMMYFUNCTION("""COMPUTED_VALUE"""),"DECODER DIGITAL HD HNB100 2T")</f>
        <v>DECODER DIGITAL HD HNB100 2T</v>
      </c>
      <c r="B882" s="22">
        <f>IFERROR(__xludf.DUMMYFUNCTION("""COMPUTED_VALUE"""),4.1001276E7)</f>
        <v>41001276</v>
      </c>
      <c r="C882" s="21" t="str">
        <f>IFERROR(__xludf.DUMMYFUNCTION("""COMPUTED_VALUE"""),"216546445359")</f>
        <v>216546445359</v>
      </c>
      <c r="D882" s="21" t="str">
        <f>IFERROR(__xludf.DUMMYFUNCTION("""COMPUTED_VALUE"""),"DIGITEC TECNOLOGIA DIGITAL E REPRES")</f>
        <v>DIGITEC TECNOLOGIA DIGITAL E REPRES</v>
      </c>
      <c r="E882" s="21">
        <f>IFERROR(__xludf.DUMMYFUNCTION("""COMPUTED_VALUE"""),145359.0)</f>
        <v>145359</v>
      </c>
      <c r="F882" s="21" t="str">
        <f>IFERROR(__xludf.DUMMYFUNCTION("""COMPUTED_VALUE"""),"INICIALIZADO")</f>
        <v>INICIALIZADO</v>
      </c>
      <c r="G882" s="23">
        <f>IFERROR(__xludf.DUMMYFUNCTION("""COMPUTED_VALUE"""),45635.53508101852)</f>
        <v>45635.53508</v>
      </c>
      <c r="H882" s="24" t="str">
        <f>IFERROR(VLOOKUP(B882,material!A:D,3,0),"")</f>
        <v>TOP MIX</v>
      </c>
    </row>
    <row r="883" ht="11.25" customHeight="1">
      <c r="A883" s="21" t="str">
        <f>IFERROR(__xludf.DUMMYFUNCTION("""COMPUTED_VALUE"""),"SMART CARD PRETO NAGRA")</f>
        <v>SMART CARD PRETO NAGRA</v>
      </c>
      <c r="B883" s="22">
        <f>IFERROR(__xludf.DUMMYFUNCTION("""COMPUTED_VALUE"""),4.1001234E7)</f>
        <v>41001234</v>
      </c>
      <c r="C883" s="21" t="str">
        <f>IFERROR(__xludf.DUMMYFUNCTION("""COMPUTED_VALUE"""),"246036167282")</f>
        <v>246036167282</v>
      </c>
      <c r="D883" s="21" t="str">
        <f>IFERROR(__xludf.DUMMYFUNCTION("""COMPUTED_VALUE"""),"DIGITEC TECNOLOGIA DIGITAL E REPRES")</f>
        <v>DIGITEC TECNOLOGIA DIGITAL E REPRES</v>
      </c>
      <c r="E883" s="21">
        <f>IFERROR(__xludf.DUMMYFUNCTION("""COMPUTED_VALUE"""),145359.0)</f>
        <v>145359</v>
      </c>
      <c r="F883" s="21" t="str">
        <f>IFERROR(__xludf.DUMMYFUNCTION("""COMPUTED_VALUE"""),"INICIALIZADO")</f>
        <v>INICIALIZADO</v>
      </c>
      <c r="G883" s="23">
        <f>IFERROR(__xludf.DUMMYFUNCTION("""COMPUTED_VALUE"""),45635.534907407404)</f>
        <v>45635.53491</v>
      </c>
      <c r="H883" s="24" t="str">
        <f>IFERROR(VLOOKUP(B883,material!A:D,3,0),"")</f>
        <v>CARD</v>
      </c>
    </row>
    <row r="884" ht="11.25" customHeight="1">
      <c r="A884" s="21" t="str">
        <f>IFERROR(__xludf.DUMMYFUNCTION("""COMPUTED_VALUE"""),"DECODER DIGITAL HD HNB100 2T")</f>
        <v>DECODER DIGITAL HD HNB100 2T</v>
      </c>
      <c r="B884" s="22">
        <f>IFERROR(__xludf.DUMMYFUNCTION("""COMPUTED_VALUE"""),4.1001276E7)</f>
        <v>41001276</v>
      </c>
      <c r="C884" s="21" t="str">
        <f>IFERROR(__xludf.DUMMYFUNCTION("""COMPUTED_VALUE"""),"216679077596")</f>
        <v>216679077596</v>
      </c>
      <c r="D884" s="21" t="str">
        <f>IFERROR(__xludf.DUMMYFUNCTION("""COMPUTED_VALUE"""),"DIGITEC TECNOLOGIA DIGITAL E REPRES")</f>
        <v>DIGITEC TECNOLOGIA DIGITAL E REPRES</v>
      </c>
      <c r="E884" s="21">
        <f>IFERROR(__xludf.DUMMYFUNCTION("""COMPUTED_VALUE"""),145359.0)</f>
        <v>145359</v>
      </c>
      <c r="F884" s="21" t="str">
        <f>IFERROR(__xludf.DUMMYFUNCTION("""COMPUTED_VALUE"""),"INICIALIZADO")</f>
        <v>INICIALIZADO</v>
      </c>
      <c r="G884" s="23">
        <f>IFERROR(__xludf.DUMMYFUNCTION("""COMPUTED_VALUE"""),45642.52412037037)</f>
        <v>45642.52412</v>
      </c>
      <c r="H884" s="24" t="str">
        <f>IFERROR(VLOOKUP(B884,material!A:D,3,0),"")</f>
        <v>TOP MIX</v>
      </c>
    </row>
    <row r="885" ht="11.25" customHeight="1">
      <c r="A885" s="21" t="str">
        <f>IFERROR(__xludf.DUMMYFUNCTION("""COMPUTED_VALUE"""),"SMART CARD PRETO NAGRA")</f>
        <v>SMART CARD PRETO NAGRA</v>
      </c>
      <c r="B885" s="22">
        <f>IFERROR(__xludf.DUMMYFUNCTION("""COMPUTED_VALUE"""),4.1001234E7)</f>
        <v>41001234</v>
      </c>
      <c r="C885" s="21" t="str">
        <f>IFERROR(__xludf.DUMMYFUNCTION("""COMPUTED_VALUE"""),"246076277695")</f>
        <v>246076277695</v>
      </c>
      <c r="D885" s="21" t="str">
        <f>IFERROR(__xludf.DUMMYFUNCTION("""COMPUTED_VALUE"""),"DIGITEC TECNOLOGIA DIGITAL E REPRES")</f>
        <v>DIGITEC TECNOLOGIA DIGITAL E REPRES</v>
      </c>
      <c r="E885" s="21">
        <f>IFERROR(__xludf.DUMMYFUNCTION("""COMPUTED_VALUE"""),145359.0)</f>
        <v>145359</v>
      </c>
      <c r="F885" s="21" t="str">
        <f>IFERROR(__xludf.DUMMYFUNCTION("""COMPUTED_VALUE"""),"INICIALIZADO")</f>
        <v>INICIALIZADO</v>
      </c>
      <c r="G885" s="23">
        <f>IFERROR(__xludf.DUMMYFUNCTION("""COMPUTED_VALUE"""),45000.35530092593)</f>
        <v>45000.3553</v>
      </c>
      <c r="H885" s="24" t="str">
        <f>IFERROR(VLOOKUP(B885,material!A:D,3,0),"")</f>
        <v>CARD</v>
      </c>
    </row>
    <row r="886" ht="11.25" customHeight="1">
      <c r="A886" s="21" t="str">
        <f>IFERROR(__xludf.DUMMYFUNCTION("""COMPUTED_VALUE"""),"DECODER DIGITAL HD DXC5000 2T")</f>
        <v>DECODER DIGITAL HD DXC5000 2T</v>
      </c>
      <c r="B886" s="22">
        <f>IFERROR(__xludf.DUMMYFUNCTION("""COMPUTED_VALUE"""),4.1001277E7)</f>
        <v>41001277</v>
      </c>
      <c r="C886" s="21" t="str">
        <f>IFERROR(__xludf.DUMMYFUNCTION("""COMPUTED_VALUE"""),"216439129005")</f>
        <v>216439129005</v>
      </c>
      <c r="D886" s="21" t="str">
        <f>IFERROR(__xludf.DUMMYFUNCTION("""COMPUTED_VALUE"""),"DIGITEC TECNOLOGIA DIGITAL E REPRES")</f>
        <v>DIGITEC TECNOLOGIA DIGITAL E REPRES</v>
      </c>
      <c r="E886" s="21">
        <f>IFERROR(__xludf.DUMMYFUNCTION("""COMPUTED_VALUE"""),145359.0)</f>
        <v>145359</v>
      </c>
      <c r="F886" s="21" t="str">
        <f>IFERROR(__xludf.DUMMYFUNCTION("""COMPUTED_VALUE"""),"TRANSITO REVERSA")</f>
        <v>TRANSITO REVERSA</v>
      </c>
      <c r="G886" s="23">
        <f>IFERROR(__xludf.DUMMYFUNCTION("""COMPUTED_VALUE"""),45633.00398148148)</f>
        <v>45633.00398</v>
      </c>
      <c r="H886" s="24" t="str">
        <f>IFERROR(VLOOKUP(B886,material!A:D,3,0),"")</f>
        <v>TOP MIX</v>
      </c>
    </row>
    <row r="887" ht="11.25" customHeight="1">
      <c r="A887" s="21" t="str">
        <f>IFERROR(__xludf.DUMMYFUNCTION("""COMPUTED_VALUE"""),"HUMAX HGB10R-02")</f>
        <v>HUMAX HGB10R-02</v>
      </c>
      <c r="B887" s="22">
        <f>IFERROR(__xludf.DUMMYFUNCTION("""COMPUTED_VALUE"""),4.1001292E7)</f>
        <v>41001292</v>
      </c>
      <c r="C887" s="21" t="str">
        <f>IFERROR(__xludf.DUMMYFUNCTION("""COMPUTED_VALUE"""),"E820E204BF70")</f>
        <v>E820E204BF70</v>
      </c>
      <c r="D887" s="21" t="str">
        <f>IFERROR(__xludf.DUMMYFUNCTION("""COMPUTED_VALUE"""),"DIGITEC TECNOLOGIA DIGITAL E REPRES")</f>
        <v>DIGITEC TECNOLOGIA DIGITAL E REPRES</v>
      </c>
      <c r="E887" s="21">
        <f>IFERROR(__xludf.DUMMYFUNCTION("""COMPUTED_VALUE"""),145359.0)</f>
        <v>145359</v>
      </c>
      <c r="F887" s="21" t="str">
        <f>IFERROR(__xludf.DUMMYFUNCTION("""COMPUTED_VALUE"""),"SUSPEITO")</f>
        <v>SUSPEITO</v>
      </c>
      <c r="G887" s="23">
        <f>IFERROR(__xludf.DUMMYFUNCTION("""COMPUTED_VALUE"""),45643.45127314815)</f>
        <v>45643.45127</v>
      </c>
      <c r="H887" s="24" t="str">
        <f>IFERROR(VLOOKUP(B887,material!A:D,3,0),"")</f>
        <v>DUAL</v>
      </c>
    </row>
    <row r="888" ht="11.25" customHeight="1">
      <c r="A888" s="21" t="str">
        <f>IFERROR(__xludf.DUMMYFUNCTION("""COMPUTED_VALUE"""),"ARRIS TG1692A")</f>
        <v>ARRIS TG1692A</v>
      </c>
      <c r="B888" s="22">
        <f>IFERROR(__xludf.DUMMYFUNCTION("""COMPUTED_VALUE"""),4.1001293E7)</f>
        <v>41001293</v>
      </c>
      <c r="C888" s="21" t="str">
        <f>IFERROR(__xludf.DUMMYFUNCTION("""COMPUTED_VALUE"""),"BC644BE552A7")</f>
        <v>BC644BE552A7</v>
      </c>
      <c r="D888" s="21" t="str">
        <f>IFERROR(__xludf.DUMMYFUNCTION("""COMPUTED_VALUE"""),"DIGITEC TECNOLOGIA DIGITAL E REPRES")</f>
        <v>DIGITEC TECNOLOGIA DIGITAL E REPRES</v>
      </c>
      <c r="E888" s="21">
        <f>IFERROR(__xludf.DUMMYFUNCTION("""COMPUTED_VALUE"""),145359.0)</f>
        <v>145359</v>
      </c>
      <c r="F888" s="21" t="str">
        <f>IFERROR(__xludf.DUMMYFUNCTION("""COMPUTED_VALUE"""),"INICIALIZADO")</f>
        <v>INICIALIZADO</v>
      </c>
      <c r="G888" s="23">
        <f>IFERROR(__xludf.DUMMYFUNCTION("""COMPUTED_VALUE"""),45602.64471064815)</f>
        <v>45602.64471</v>
      </c>
      <c r="H888" s="24" t="str">
        <f>IFERROR(VLOOKUP(B888,material!A:D,3,0),"")</f>
        <v>DUAL</v>
      </c>
    </row>
    <row r="889" ht="11.25" customHeight="1">
      <c r="A889" s="21" t="str">
        <f>IFERROR(__xludf.DUMMYFUNCTION("""COMPUTED_VALUE"""),"DECODER DIGITAL HD DXC5000 2T")</f>
        <v>DECODER DIGITAL HD DXC5000 2T</v>
      </c>
      <c r="B889" s="22">
        <f>IFERROR(__xludf.DUMMYFUNCTION("""COMPUTED_VALUE"""),4.1001277E7)</f>
        <v>41001277</v>
      </c>
      <c r="C889" s="21" t="str">
        <f>IFERROR(__xludf.DUMMYFUNCTION("""COMPUTED_VALUE"""),"216390602339")</f>
        <v>216390602339</v>
      </c>
      <c r="D889" s="21" t="str">
        <f>IFERROR(__xludf.DUMMYFUNCTION("""COMPUTED_VALUE"""),"DIGITEC TECNOLOGIA DIGITAL E REPRES")</f>
        <v>DIGITEC TECNOLOGIA DIGITAL E REPRES</v>
      </c>
      <c r="E889" s="21">
        <f>IFERROR(__xludf.DUMMYFUNCTION("""COMPUTED_VALUE"""),145359.0)</f>
        <v>145359</v>
      </c>
      <c r="F889" s="21" t="str">
        <f>IFERROR(__xludf.DUMMYFUNCTION("""COMPUTED_VALUE"""),"INICIALIZADO")</f>
        <v>INICIALIZADO</v>
      </c>
      <c r="G889" s="23">
        <f>IFERROR(__xludf.DUMMYFUNCTION("""COMPUTED_VALUE"""),45600.476006944446)</f>
        <v>45600.47601</v>
      </c>
      <c r="H889" s="24" t="str">
        <f>IFERROR(VLOOKUP(B889,material!A:D,3,0),"")</f>
        <v>TOP MIX</v>
      </c>
    </row>
    <row r="890" ht="11.25" customHeight="1">
      <c r="A890" s="21" t="str">
        <f>IFERROR(__xludf.DUMMYFUNCTION("""COMPUTED_VALUE"""),"DECODER DIGITAL HD DXC5000 2T")</f>
        <v>DECODER DIGITAL HD DXC5000 2T</v>
      </c>
      <c r="B890" s="22">
        <f>IFERROR(__xludf.DUMMYFUNCTION("""COMPUTED_VALUE"""),4.1001277E7)</f>
        <v>41001277</v>
      </c>
      <c r="C890" s="21" t="str">
        <f>IFERROR(__xludf.DUMMYFUNCTION("""COMPUTED_VALUE"""),"216691786670")</f>
        <v>216691786670</v>
      </c>
      <c r="D890" s="21" t="str">
        <f>IFERROR(__xludf.DUMMYFUNCTION("""COMPUTED_VALUE"""),"DIGITEC TECNOLOGIA DIGITAL E REPRES")</f>
        <v>DIGITEC TECNOLOGIA DIGITAL E REPRES</v>
      </c>
      <c r="E890" s="21">
        <f>IFERROR(__xludf.DUMMYFUNCTION("""COMPUTED_VALUE"""),145359.0)</f>
        <v>145359</v>
      </c>
      <c r="F890" s="21" t="str">
        <f>IFERROR(__xludf.DUMMYFUNCTION("""COMPUTED_VALUE"""),"INICIALIZADO")</f>
        <v>INICIALIZADO</v>
      </c>
      <c r="G890" s="23">
        <f>IFERROR(__xludf.DUMMYFUNCTION("""COMPUTED_VALUE"""),45600.476018518515)</f>
        <v>45600.47602</v>
      </c>
      <c r="H890" s="24" t="str">
        <f>IFERROR(VLOOKUP(B890,material!A:D,3,0),"")</f>
        <v>TOP MIX</v>
      </c>
    </row>
    <row r="891" ht="11.25" customHeight="1">
      <c r="A891" s="21" t="str">
        <f>IFERROR(__xludf.DUMMYFUNCTION("""COMPUTED_VALUE"""),"SMART CARD PRETO NAGRA")</f>
        <v>SMART CARD PRETO NAGRA</v>
      </c>
      <c r="B891" s="22">
        <f>IFERROR(__xludf.DUMMYFUNCTION("""COMPUTED_VALUE"""),4.1001234E7)</f>
        <v>41001234</v>
      </c>
      <c r="C891" s="21" t="str">
        <f>IFERROR(__xludf.DUMMYFUNCTION("""COMPUTED_VALUE"""),"226385276179")</f>
        <v>226385276179</v>
      </c>
      <c r="D891" s="21" t="str">
        <f>IFERROR(__xludf.DUMMYFUNCTION("""COMPUTED_VALUE"""),"DIGITEC TECNOLOGIA DIGITAL E REPRES")</f>
        <v>DIGITEC TECNOLOGIA DIGITAL E REPRES</v>
      </c>
      <c r="E891" s="21">
        <f>IFERROR(__xludf.DUMMYFUNCTION("""COMPUTED_VALUE"""),145359.0)</f>
        <v>145359</v>
      </c>
      <c r="F891" s="21" t="str">
        <f>IFERROR(__xludf.DUMMYFUNCTION("""COMPUTED_VALUE"""),"INICIALIZADO")</f>
        <v>INICIALIZADO</v>
      </c>
      <c r="G891" s="23">
        <f>IFERROR(__xludf.DUMMYFUNCTION("""COMPUTED_VALUE"""),45635.534953703704)</f>
        <v>45635.53495</v>
      </c>
      <c r="H891" s="24" t="str">
        <f>IFERROR(VLOOKUP(B891,material!A:D,3,0),"")</f>
        <v>CARD</v>
      </c>
    </row>
    <row r="892" ht="11.25" customHeight="1">
      <c r="A892" s="21" t="str">
        <f>IFERROR(__xludf.DUMMYFUNCTION("""COMPUTED_VALUE"""),"SMART CARD PRETO NAGRA")</f>
        <v>SMART CARD PRETO NAGRA</v>
      </c>
      <c r="B892" s="22">
        <f>IFERROR(__xludf.DUMMYFUNCTION("""COMPUTED_VALUE"""),4.1001234E7)</f>
        <v>41001234</v>
      </c>
      <c r="C892" s="21" t="str">
        <f>IFERROR(__xludf.DUMMYFUNCTION("""COMPUTED_VALUE"""),"246211226073")</f>
        <v>246211226073</v>
      </c>
      <c r="D892" s="21" t="str">
        <f>IFERROR(__xludf.DUMMYFUNCTION("""COMPUTED_VALUE"""),"DIGITEC TECNOLOGIA DIGITAL E REPRES")</f>
        <v>DIGITEC TECNOLOGIA DIGITAL E REPRES</v>
      </c>
      <c r="E892" s="21">
        <f>IFERROR(__xludf.DUMMYFUNCTION("""COMPUTED_VALUE"""),145359.0)</f>
        <v>145359</v>
      </c>
      <c r="F892" s="21" t="str">
        <f>IFERROR(__xludf.DUMMYFUNCTION("""COMPUTED_VALUE"""),"INICIALIZADO")</f>
        <v>INICIALIZADO</v>
      </c>
      <c r="G892" s="23">
        <f>IFERROR(__xludf.DUMMYFUNCTION("""COMPUTED_VALUE"""),45635.53493055556)</f>
        <v>45635.53493</v>
      </c>
      <c r="H892" s="24" t="str">
        <f>IFERROR(VLOOKUP(B892,material!A:D,3,0),"")</f>
        <v>CARD</v>
      </c>
    </row>
    <row r="893" ht="11.25" customHeight="1">
      <c r="A893" s="21" t="str">
        <f>IFERROR(__xludf.DUMMYFUNCTION("""COMPUTED_VALUE"""),"SMART CARD PRETO NAGRA")</f>
        <v>SMART CARD PRETO NAGRA</v>
      </c>
      <c r="B893" s="22">
        <f>IFERROR(__xludf.DUMMYFUNCTION("""COMPUTED_VALUE"""),4.1001234E7)</f>
        <v>41001234</v>
      </c>
      <c r="C893" s="21" t="str">
        <f>IFERROR(__xludf.DUMMYFUNCTION("""COMPUTED_VALUE"""),"246255759397")</f>
        <v>246255759397</v>
      </c>
      <c r="D893" s="21" t="str">
        <f>IFERROR(__xludf.DUMMYFUNCTION("""COMPUTED_VALUE"""),"DIGITEC TECNOLOGIA DIGITAL E REPRES")</f>
        <v>DIGITEC TECNOLOGIA DIGITAL E REPRES</v>
      </c>
      <c r="E893" s="21">
        <f>IFERROR(__xludf.DUMMYFUNCTION("""COMPUTED_VALUE"""),145359.0)</f>
        <v>145359</v>
      </c>
      <c r="F893" s="21" t="str">
        <f>IFERROR(__xludf.DUMMYFUNCTION("""COMPUTED_VALUE"""),"INICIALIZADO")</f>
        <v>INICIALIZADO</v>
      </c>
      <c r="G893" s="23">
        <f>IFERROR(__xludf.DUMMYFUNCTION("""COMPUTED_VALUE"""),45635.53493055556)</f>
        <v>45635.53493</v>
      </c>
      <c r="H893" s="24" t="str">
        <f>IFERROR(VLOOKUP(B893,material!A:D,3,0),"")</f>
        <v>CARD</v>
      </c>
    </row>
    <row r="894" ht="11.25" customHeight="1">
      <c r="A894" s="21" t="str">
        <f>IFERROR(__xludf.DUMMYFUNCTION("""COMPUTED_VALUE"""),"NAGRA KIT")</f>
        <v>NAGRA KIT</v>
      </c>
      <c r="B894" s="22">
        <f>IFERROR(__xludf.DUMMYFUNCTION("""COMPUTED_VALUE"""),4.1001186E7)</f>
        <v>41001186</v>
      </c>
      <c r="C894" s="21" t="str">
        <f>IFERROR(__xludf.DUMMYFUNCTION("""COMPUTED_VALUE"""),"215531066982")</f>
        <v>215531066982</v>
      </c>
      <c r="D894" s="21" t="str">
        <f>IFERROR(__xludf.DUMMYFUNCTION("""COMPUTED_VALUE"""),"DIGITEC TECNOLOGIA DIGITAL E REPRES")</f>
        <v>DIGITEC TECNOLOGIA DIGITAL E REPRES</v>
      </c>
      <c r="E894" s="21">
        <f>IFERROR(__xludf.DUMMYFUNCTION("""COMPUTED_VALUE"""),145359.0)</f>
        <v>145359</v>
      </c>
      <c r="F894" s="21" t="str">
        <f>IFERROR(__xludf.DUMMYFUNCTION("""COMPUTED_VALUE"""),"INICIALIZADO")</f>
        <v>INICIALIZADO</v>
      </c>
      <c r="G894" s="23">
        <f>IFERROR(__xludf.DUMMYFUNCTION("""COMPUTED_VALUE"""),45022.68950231481)</f>
        <v>45022.6895</v>
      </c>
      <c r="H894" s="24" t="str">
        <f>IFERROR(VLOOKUP(B894,material!A:D,3,0),"")</f>
        <v>CARD</v>
      </c>
    </row>
    <row r="895" ht="11.25" customHeight="1">
      <c r="A895" s="21" t="str">
        <f>IFERROR(__xludf.DUMMYFUNCTION("""COMPUTED_VALUE"""),"PACE - HIGH DEFINITION DCR7411")</f>
        <v>PACE - HIGH DEFINITION DCR7411</v>
      </c>
      <c r="B895" s="22">
        <f>IFERROR(__xludf.DUMMYFUNCTION("""COMPUTED_VALUE"""),4.1001216E7)</f>
        <v>41001216</v>
      </c>
      <c r="C895" s="21" t="str">
        <f>IFERROR(__xludf.DUMMYFUNCTION("""COMPUTED_VALUE"""),"184087820726")</f>
        <v>184087820726</v>
      </c>
      <c r="D895" s="21" t="str">
        <f>IFERROR(__xludf.DUMMYFUNCTION("""COMPUTED_VALUE"""),"DIGITEC TECNOLOGIA DIGITAL E REPRES")</f>
        <v>DIGITEC TECNOLOGIA DIGITAL E REPRES</v>
      </c>
      <c r="E895" s="21">
        <f>IFERROR(__xludf.DUMMYFUNCTION("""COMPUTED_VALUE"""),145359.0)</f>
        <v>145359</v>
      </c>
      <c r="F895" s="21" t="str">
        <f>IFERROR(__xludf.DUMMYFUNCTION("""COMPUTED_VALUE"""),"TRANSITO REVERSA")</f>
        <v>TRANSITO REVERSA</v>
      </c>
      <c r="G895" s="23">
        <f>IFERROR(__xludf.DUMMYFUNCTION("""COMPUTED_VALUE"""),45638.520625000005)</f>
        <v>45638.52063</v>
      </c>
      <c r="H895" s="24" t="str">
        <f>IFERROR(VLOOKUP(B895,material!A:D,3,0),"")</f>
        <v>LEGADO</v>
      </c>
    </row>
    <row r="896" ht="11.25" customHeight="1">
      <c r="A896" s="21" t="str">
        <f>IFERROR(__xludf.DUMMYFUNCTION("""COMPUTED_VALUE"""),"SMART CARD LARANJA NAGRA")</f>
        <v>SMART CARD LARANJA NAGRA</v>
      </c>
      <c r="B896" s="22">
        <f>IFERROR(__xludf.DUMMYFUNCTION("""COMPUTED_VALUE"""),4.1001186E7)</f>
        <v>41001186</v>
      </c>
      <c r="C896" s="21" t="str">
        <f>IFERROR(__xludf.DUMMYFUNCTION("""COMPUTED_VALUE"""),"226643788906")</f>
        <v>226643788906</v>
      </c>
      <c r="D896" s="21" t="str">
        <f>IFERROR(__xludf.DUMMYFUNCTION("""COMPUTED_VALUE"""),"DIGITEC TECNOLOGIA DIGITAL E REPRES")</f>
        <v>DIGITEC TECNOLOGIA DIGITAL E REPRES</v>
      </c>
      <c r="E896" s="21">
        <f>IFERROR(__xludf.DUMMYFUNCTION("""COMPUTED_VALUE"""),145359.0)</f>
        <v>145359</v>
      </c>
      <c r="F896" s="21" t="str">
        <f>IFERROR(__xludf.DUMMYFUNCTION("""COMPUTED_VALUE"""),"SUCATA")</f>
        <v>SUCATA</v>
      </c>
      <c r="G896" s="23">
        <f>IFERROR(__xludf.DUMMYFUNCTION("""COMPUTED_VALUE"""),45075.5991087963)</f>
        <v>45075.59911</v>
      </c>
      <c r="H896" s="24" t="str">
        <f>IFERROR(VLOOKUP(B896,material!A:D,3,0),"")</f>
        <v>CARD</v>
      </c>
    </row>
    <row r="897" ht="11.25" customHeight="1">
      <c r="A897" s="21" t="str">
        <f>IFERROR(__xludf.DUMMYFUNCTION("""COMPUTED_VALUE"""),"DECODER DIGITAL HD DXC5000 2T")</f>
        <v>DECODER DIGITAL HD DXC5000 2T</v>
      </c>
      <c r="B897" s="22">
        <f>IFERROR(__xludf.DUMMYFUNCTION("""COMPUTED_VALUE"""),4.1001277E7)</f>
        <v>41001277</v>
      </c>
      <c r="C897" s="21" t="str">
        <f>IFERROR(__xludf.DUMMYFUNCTION("""COMPUTED_VALUE"""),"184292828184")</f>
        <v>184292828184</v>
      </c>
      <c r="D897" s="21" t="str">
        <f>IFERROR(__xludf.DUMMYFUNCTION("""COMPUTED_VALUE"""),"DIGITEC TECNOLOGIA DIGITAL E REPRES")</f>
        <v>DIGITEC TECNOLOGIA DIGITAL E REPRES</v>
      </c>
      <c r="E897" s="21">
        <f>IFERROR(__xludf.DUMMYFUNCTION("""COMPUTED_VALUE"""),145359.0)</f>
        <v>145359</v>
      </c>
      <c r="F897" s="21" t="str">
        <f>IFERROR(__xludf.DUMMYFUNCTION("""COMPUTED_VALUE"""),"INICIALIZADO")</f>
        <v>INICIALIZADO</v>
      </c>
      <c r="G897" s="23">
        <f>IFERROR(__xludf.DUMMYFUNCTION("""COMPUTED_VALUE"""),45600.476006944446)</f>
        <v>45600.47601</v>
      </c>
      <c r="H897" s="24" t="str">
        <f>IFERROR(VLOOKUP(B897,material!A:D,3,0),"")</f>
        <v>TOP MIX</v>
      </c>
    </row>
    <row r="898" ht="11.25" customHeight="1">
      <c r="A898" s="21" t="str">
        <f>IFERROR(__xludf.DUMMYFUNCTION("""COMPUTED_VALUE"""),"DECODER DIGITAL HD HNB100 2T")</f>
        <v>DECODER DIGITAL HD HNB100 2T</v>
      </c>
      <c r="B898" s="22">
        <f>IFERROR(__xludf.DUMMYFUNCTION("""COMPUTED_VALUE"""),4.1001276E7)</f>
        <v>41001276</v>
      </c>
      <c r="C898" s="21" t="str">
        <f>IFERROR(__xludf.DUMMYFUNCTION("""COMPUTED_VALUE"""),"216501630313")</f>
        <v>216501630313</v>
      </c>
      <c r="D898" s="21" t="str">
        <f>IFERROR(__xludf.DUMMYFUNCTION("""COMPUTED_VALUE"""),"DIGITEC TECNOLOGIA DIGITAL E REPRES")</f>
        <v>DIGITEC TECNOLOGIA DIGITAL E REPRES</v>
      </c>
      <c r="E898" s="21">
        <f>IFERROR(__xludf.DUMMYFUNCTION("""COMPUTED_VALUE"""),145359.0)</f>
        <v>145359</v>
      </c>
      <c r="F898" s="21" t="str">
        <f>IFERROR(__xludf.DUMMYFUNCTION("""COMPUTED_VALUE"""),"INICIALIZADO")</f>
        <v>INICIALIZADO</v>
      </c>
      <c r="G898" s="23">
        <f>IFERROR(__xludf.DUMMYFUNCTION("""COMPUTED_VALUE"""),45642.52413194445)</f>
        <v>45642.52413</v>
      </c>
      <c r="H898" s="24" t="str">
        <f>IFERROR(VLOOKUP(B898,material!A:D,3,0),"")</f>
        <v>TOP MIX</v>
      </c>
    </row>
    <row r="899" ht="11.25" customHeight="1">
      <c r="A899" s="21" t="str">
        <f>IFERROR(__xludf.DUMMYFUNCTION("""COMPUTED_VALUE"""),"SMART CARD PRETO NAGRA")</f>
        <v>SMART CARD PRETO NAGRA</v>
      </c>
      <c r="B899" s="22">
        <f>IFERROR(__xludf.DUMMYFUNCTION("""COMPUTED_VALUE"""),4.1001234E7)</f>
        <v>41001234</v>
      </c>
      <c r="C899" s="21" t="str">
        <f>IFERROR(__xludf.DUMMYFUNCTION("""COMPUTED_VALUE"""),"226404989910")</f>
        <v>226404989910</v>
      </c>
      <c r="D899" s="21" t="str">
        <f>IFERROR(__xludf.DUMMYFUNCTION("""COMPUTED_VALUE"""),"DIGITEC TECNOLOGIA DIGITAL E REPRES")</f>
        <v>DIGITEC TECNOLOGIA DIGITAL E REPRES</v>
      </c>
      <c r="E899" s="21">
        <f>IFERROR(__xludf.DUMMYFUNCTION("""COMPUTED_VALUE"""),145359.0)</f>
        <v>145359</v>
      </c>
      <c r="F899" s="21" t="str">
        <f>IFERROR(__xludf.DUMMYFUNCTION("""COMPUTED_VALUE"""),"INICIALIZADO")</f>
        <v>INICIALIZADO</v>
      </c>
      <c r="G899" s="23">
        <f>IFERROR(__xludf.DUMMYFUNCTION("""COMPUTED_VALUE"""),45635.53496527778)</f>
        <v>45635.53497</v>
      </c>
      <c r="H899" s="24" t="str">
        <f>IFERROR(VLOOKUP(B899,material!A:D,3,0),"")</f>
        <v>CARD</v>
      </c>
    </row>
    <row r="900" ht="11.25" customHeight="1">
      <c r="A900" s="21" t="str">
        <f>IFERROR(__xludf.DUMMYFUNCTION("""COMPUTED_VALUE"""),"SMART CARD PRETO NAGRA")</f>
        <v>SMART CARD PRETO NAGRA</v>
      </c>
      <c r="B900" s="22">
        <f>IFERROR(__xludf.DUMMYFUNCTION("""COMPUTED_VALUE"""),4.1001234E7)</f>
        <v>41001234</v>
      </c>
      <c r="C900" s="21" t="str">
        <f>IFERROR(__xludf.DUMMYFUNCTION("""COMPUTED_VALUE"""),"226399805880")</f>
        <v>226399805880</v>
      </c>
      <c r="D900" s="21" t="str">
        <f>IFERROR(__xludf.DUMMYFUNCTION("""COMPUTED_VALUE"""),"DIGITEC TECNOLOGIA DIGITAL E REPRES")</f>
        <v>DIGITEC TECNOLOGIA DIGITAL E REPRES</v>
      </c>
      <c r="E900" s="21">
        <f>IFERROR(__xludf.DUMMYFUNCTION("""COMPUTED_VALUE"""),145359.0)</f>
        <v>145359</v>
      </c>
      <c r="F900" s="21" t="str">
        <f>IFERROR(__xludf.DUMMYFUNCTION("""COMPUTED_VALUE"""),"INICIALIZADO")</f>
        <v>INICIALIZADO</v>
      </c>
      <c r="G900" s="23">
        <f>IFERROR(__xludf.DUMMYFUNCTION("""COMPUTED_VALUE"""),45642.52412037037)</f>
        <v>45642.52412</v>
      </c>
      <c r="H900" s="24" t="str">
        <f>IFERROR(VLOOKUP(B900,material!A:D,3,0),"")</f>
        <v>CARD</v>
      </c>
    </row>
    <row r="901" ht="11.25" customHeight="1">
      <c r="A901" s="21" t="str">
        <f>IFERROR(__xludf.DUMMYFUNCTION("""COMPUTED_VALUE"""),"PACE - HIGH DEFINITION DCR7411")</f>
        <v>PACE - HIGH DEFINITION DCR7411</v>
      </c>
      <c r="B901" s="22">
        <f>IFERROR(__xludf.DUMMYFUNCTION("""COMPUTED_VALUE"""),4.1001216E7)</f>
        <v>41001216</v>
      </c>
      <c r="C901" s="21" t="str">
        <f>IFERROR(__xludf.DUMMYFUNCTION("""COMPUTED_VALUE"""),"181259770426")</f>
        <v>181259770426</v>
      </c>
      <c r="D901" s="21" t="str">
        <f>IFERROR(__xludf.DUMMYFUNCTION("""COMPUTED_VALUE"""),"DIGITEC TECNOLOGIA DIGITAL E REPRES")</f>
        <v>DIGITEC TECNOLOGIA DIGITAL E REPRES</v>
      </c>
      <c r="E901" s="21">
        <f>IFERROR(__xludf.DUMMYFUNCTION("""COMPUTED_VALUE"""),145359.0)</f>
        <v>145359</v>
      </c>
      <c r="F901" s="21" t="str">
        <f>IFERROR(__xludf.DUMMYFUNCTION("""COMPUTED_VALUE"""),"TRANSITO REVERSA")</f>
        <v>TRANSITO REVERSA</v>
      </c>
      <c r="G901" s="23">
        <f>IFERROR(__xludf.DUMMYFUNCTION("""COMPUTED_VALUE"""),45638.520648148144)</f>
        <v>45638.52065</v>
      </c>
      <c r="H901" s="24" t="str">
        <f>IFERROR(VLOOKUP(B901,material!A:D,3,0),"")</f>
        <v>LEGADO</v>
      </c>
    </row>
    <row r="902" ht="11.25" customHeight="1">
      <c r="A902" s="21" t="str">
        <f>IFERROR(__xludf.DUMMYFUNCTION("""COMPUTED_VALUE"""),"SMART CARD LARANJA NAGRA")</f>
        <v>SMART CARD LARANJA NAGRA</v>
      </c>
      <c r="B902" s="22">
        <f>IFERROR(__xludf.DUMMYFUNCTION("""COMPUTED_VALUE"""),4.1001186E7)</f>
        <v>41001186</v>
      </c>
      <c r="C902" s="21" t="str">
        <f>IFERROR(__xludf.DUMMYFUNCTION("""COMPUTED_VALUE"""),"225831333543")</f>
        <v>225831333543</v>
      </c>
      <c r="D902" s="21" t="str">
        <f>IFERROR(__xludf.DUMMYFUNCTION("""COMPUTED_VALUE"""),"DIGITEC TECNOLOGIA DIGITAL E REPRES")</f>
        <v>DIGITEC TECNOLOGIA DIGITAL E REPRES</v>
      </c>
      <c r="E902" s="21">
        <f>IFERROR(__xludf.DUMMYFUNCTION("""COMPUTED_VALUE"""),145359.0)</f>
        <v>145359</v>
      </c>
      <c r="F902" s="21" t="str">
        <f>IFERROR(__xludf.DUMMYFUNCTION("""COMPUTED_VALUE"""),"PERDA")</f>
        <v>PERDA</v>
      </c>
      <c r="G902" s="23">
        <f>IFERROR(__xludf.DUMMYFUNCTION("""COMPUTED_VALUE"""),45113.486875)</f>
        <v>45113.48688</v>
      </c>
      <c r="H902" s="24" t="str">
        <f>IFERROR(VLOOKUP(B902,material!A:D,3,0),"")</f>
        <v>CARD</v>
      </c>
    </row>
    <row r="903" ht="11.25" customHeight="1">
      <c r="A903" s="21" t="str">
        <f>IFERROR(__xludf.DUMMYFUNCTION("""COMPUTED_VALUE"""),"DECODER DIGITAL HD DXC5000 2T")</f>
        <v>DECODER DIGITAL HD DXC5000 2T</v>
      </c>
      <c r="B903" s="22">
        <f>IFERROR(__xludf.DUMMYFUNCTION("""COMPUTED_VALUE"""),4.1001277E7)</f>
        <v>41001277</v>
      </c>
      <c r="C903" s="21" t="str">
        <f>IFERROR(__xludf.DUMMYFUNCTION("""COMPUTED_VALUE"""),"216578563455")</f>
        <v>216578563455</v>
      </c>
      <c r="D903" s="21" t="str">
        <f>IFERROR(__xludf.DUMMYFUNCTION("""COMPUTED_VALUE"""),"DIGITEC TECNOLOGIA DIGITAL E REPRES")</f>
        <v>DIGITEC TECNOLOGIA DIGITAL E REPRES</v>
      </c>
      <c r="E903" s="21">
        <f>IFERROR(__xludf.DUMMYFUNCTION("""COMPUTED_VALUE"""),145359.0)</f>
        <v>145359</v>
      </c>
      <c r="F903" s="21" t="str">
        <f>IFERROR(__xludf.DUMMYFUNCTION("""COMPUTED_VALUE"""),"INICIALIZADO")</f>
        <v>INICIALIZADO</v>
      </c>
      <c r="G903" s="23">
        <f>IFERROR(__xludf.DUMMYFUNCTION("""COMPUTED_VALUE"""),45533.34297453704)</f>
        <v>45533.34297</v>
      </c>
      <c r="H903" s="24" t="str">
        <f>IFERROR(VLOOKUP(B903,material!A:D,3,0),"")</f>
        <v>TOP MIX</v>
      </c>
    </row>
    <row r="904" ht="11.25" customHeight="1">
      <c r="A904" s="21" t="str">
        <f>IFERROR(__xludf.DUMMYFUNCTION("""COMPUTED_VALUE"""),"DECODER DIGITAL HD HNB100 2T")</f>
        <v>DECODER DIGITAL HD HNB100 2T</v>
      </c>
      <c r="B904" s="22">
        <f>IFERROR(__xludf.DUMMYFUNCTION("""COMPUTED_VALUE"""),4.1001276E7)</f>
        <v>41001276</v>
      </c>
      <c r="C904" s="21" t="str">
        <f>IFERROR(__xludf.DUMMYFUNCTION("""COMPUTED_VALUE"""),"216836833453")</f>
        <v>216836833453</v>
      </c>
      <c r="D904" s="21" t="str">
        <f>IFERROR(__xludf.DUMMYFUNCTION("""COMPUTED_VALUE"""),"DIGITEC TECNOLOGIA DIGITAL E REPRES")</f>
        <v>DIGITEC TECNOLOGIA DIGITAL E REPRES</v>
      </c>
      <c r="E904" s="21">
        <f>IFERROR(__xludf.DUMMYFUNCTION("""COMPUTED_VALUE"""),145359.0)</f>
        <v>145359</v>
      </c>
      <c r="F904" s="21" t="str">
        <f>IFERROR(__xludf.DUMMYFUNCTION("""COMPUTED_VALUE"""),"INICIALIZADO")</f>
        <v>INICIALIZADO</v>
      </c>
      <c r="G904" s="23">
        <f>IFERROR(__xludf.DUMMYFUNCTION("""COMPUTED_VALUE"""),45642.52413194445)</f>
        <v>45642.52413</v>
      </c>
      <c r="H904" s="24" t="str">
        <f>IFERROR(VLOOKUP(B904,material!A:D,3,0),"")</f>
        <v>TOP MIX</v>
      </c>
    </row>
    <row r="905" ht="11.25" customHeight="1">
      <c r="A905" s="21" t="str">
        <f>IFERROR(__xludf.DUMMYFUNCTION("""COMPUTED_VALUE"""),"DECODER DIGITAL HD HNB100 2T")</f>
        <v>DECODER DIGITAL HD HNB100 2T</v>
      </c>
      <c r="B905" s="22">
        <f>IFERROR(__xludf.DUMMYFUNCTION("""COMPUTED_VALUE"""),4.1001276E7)</f>
        <v>41001276</v>
      </c>
      <c r="C905" s="21" t="str">
        <f>IFERROR(__xludf.DUMMYFUNCTION("""COMPUTED_VALUE"""),"216405062336")</f>
        <v>216405062336</v>
      </c>
      <c r="D905" s="21" t="str">
        <f>IFERROR(__xludf.DUMMYFUNCTION("""COMPUTED_VALUE"""),"DIGITEC TECNOLOGIA DIGITAL E REPRES")</f>
        <v>DIGITEC TECNOLOGIA DIGITAL E REPRES</v>
      </c>
      <c r="E905" s="21">
        <f>IFERROR(__xludf.DUMMYFUNCTION("""COMPUTED_VALUE"""),145359.0)</f>
        <v>145359</v>
      </c>
      <c r="F905" s="21" t="str">
        <f>IFERROR(__xludf.DUMMYFUNCTION("""COMPUTED_VALUE"""),"INICIALIZADO")</f>
        <v>INICIALIZADO</v>
      </c>
      <c r="G905" s="23">
        <f>IFERROR(__xludf.DUMMYFUNCTION("""COMPUTED_VALUE"""),45635.535046296296)</f>
        <v>45635.53505</v>
      </c>
      <c r="H905" s="24" t="str">
        <f>IFERROR(VLOOKUP(B905,material!A:D,3,0),"")</f>
        <v>TOP MIX</v>
      </c>
    </row>
    <row r="906" ht="11.25" customHeight="1">
      <c r="A906" s="21" t="str">
        <f>IFERROR(__xludf.DUMMYFUNCTION("""COMPUTED_VALUE"""),"DECODER DIGITAL HD HNB100 2T")</f>
        <v>DECODER DIGITAL HD HNB100 2T</v>
      </c>
      <c r="B906" s="22">
        <f>IFERROR(__xludf.DUMMYFUNCTION("""COMPUTED_VALUE"""),4.1001276E7)</f>
        <v>41001276</v>
      </c>
      <c r="C906" s="21" t="str">
        <f>IFERROR(__xludf.DUMMYFUNCTION("""COMPUTED_VALUE"""),"216551386279")</f>
        <v>216551386279</v>
      </c>
      <c r="D906" s="21" t="str">
        <f>IFERROR(__xludf.DUMMYFUNCTION("""COMPUTED_VALUE"""),"DIGITEC TECNOLOGIA DIGITAL E REPRES")</f>
        <v>DIGITEC TECNOLOGIA DIGITAL E REPRES</v>
      </c>
      <c r="E906" s="21">
        <f>IFERROR(__xludf.DUMMYFUNCTION("""COMPUTED_VALUE"""),145359.0)</f>
        <v>145359</v>
      </c>
      <c r="F906" s="21" t="str">
        <f>IFERROR(__xludf.DUMMYFUNCTION("""COMPUTED_VALUE"""),"INICIALIZADO")</f>
        <v>INICIALIZADO</v>
      </c>
      <c r="G906" s="23">
        <f>IFERROR(__xludf.DUMMYFUNCTION("""COMPUTED_VALUE"""),45635.53508101852)</f>
        <v>45635.53508</v>
      </c>
      <c r="H906" s="24" t="str">
        <f>IFERROR(VLOOKUP(B906,material!A:D,3,0),"")</f>
        <v>TOP MIX</v>
      </c>
    </row>
    <row r="907" ht="11.25" customHeight="1">
      <c r="A907" s="21" t="str">
        <f>IFERROR(__xludf.DUMMYFUNCTION("""COMPUTED_VALUE"""),"DECODER DIGITAL HD DXC5000 2T")</f>
        <v>DECODER DIGITAL HD DXC5000 2T</v>
      </c>
      <c r="B907" s="22">
        <f>IFERROR(__xludf.DUMMYFUNCTION("""COMPUTED_VALUE"""),4.1001277E7)</f>
        <v>41001277</v>
      </c>
      <c r="C907" s="21" t="str">
        <f>IFERROR(__xludf.DUMMYFUNCTION("""COMPUTED_VALUE"""),"216323982122")</f>
        <v>216323982122</v>
      </c>
      <c r="D907" s="21" t="str">
        <f>IFERROR(__xludf.DUMMYFUNCTION("""COMPUTED_VALUE"""),"DIGITEC TECNOLOGIA DIGITAL E REPRES")</f>
        <v>DIGITEC TECNOLOGIA DIGITAL E REPRES</v>
      </c>
      <c r="E907" s="21">
        <f>IFERROR(__xludf.DUMMYFUNCTION("""COMPUTED_VALUE"""),145359.0)</f>
        <v>145359</v>
      </c>
      <c r="F907" s="21" t="str">
        <f>IFERROR(__xludf.DUMMYFUNCTION("""COMPUTED_VALUE"""),"INICIALIZADO")</f>
        <v>INICIALIZADO</v>
      </c>
      <c r="G907" s="23">
        <f>IFERROR(__xludf.DUMMYFUNCTION("""COMPUTED_VALUE"""),45600.47599537037)</f>
        <v>45600.476</v>
      </c>
      <c r="H907" s="24" t="str">
        <f>IFERROR(VLOOKUP(B907,material!A:D,3,0),"")</f>
        <v>TOP MIX</v>
      </c>
    </row>
    <row r="908" ht="11.25" customHeight="1">
      <c r="A908" s="21" t="str">
        <f>IFERROR(__xludf.DUMMYFUNCTION("""COMPUTED_VALUE"""),"DECODER DIGITAL HD HNB100 2T")</f>
        <v>DECODER DIGITAL HD HNB100 2T</v>
      </c>
      <c r="B908" s="22">
        <f>IFERROR(__xludf.DUMMYFUNCTION("""COMPUTED_VALUE"""),4.1001276E7)</f>
        <v>41001276</v>
      </c>
      <c r="C908" s="21" t="str">
        <f>IFERROR(__xludf.DUMMYFUNCTION("""COMPUTED_VALUE"""),"216679512948")</f>
        <v>216679512948</v>
      </c>
      <c r="D908" s="21" t="str">
        <f>IFERROR(__xludf.DUMMYFUNCTION("""COMPUTED_VALUE"""),"DIGITEC TECNOLOGIA DIGITAL E REPRES")</f>
        <v>DIGITEC TECNOLOGIA DIGITAL E REPRES</v>
      </c>
      <c r="E908" s="21">
        <f>IFERROR(__xludf.DUMMYFUNCTION("""COMPUTED_VALUE"""),145359.0)</f>
        <v>145359</v>
      </c>
      <c r="F908" s="21" t="str">
        <f>IFERROR(__xludf.DUMMYFUNCTION("""COMPUTED_VALUE"""),"INICIALIZADO")</f>
        <v>INICIALIZADO</v>
      </c>
      <c r="G908" s="23">
        <f>IFERROR(__xludf.DUMMYFUNCTION("""COMPUTED_VALUE"""),45635.53501157407)</f>
        <v>45635.53501</v>
      </c>
      <c r="H908" s="24" t="str">
        <f>IFERROR(VLOOKUP(B908,material!A:D,3,0),"")</f>
        <v>TOP MIX</v>
      </c>
    </row>
    <row r="909" ht="11.25" customHeight="1">
      <c r="A909" s="21" t="str">
        <f>IFERROR(__xludf.DUMMYFUNCTION("""COMPUTED_VALUE"""),"DECODER DIGITAL HD DXC5000 2T")</f>
        <v>DECODER DIGITAL HD DXC5000 2T</v>
      </c>
      <c r="B909" s="22">
        <f>IFERROR(__xludf.DUMMYFUNCTION("""COMPUTED_VALUE"""),4.1001277E7)</f>
        <v>41001277</v>
      </c>
      <c r="C909" s="21" t="str">
        <f>IFERROR(__xludf.DUMMYFUNCTION("""COMPUTED_VALUE"""),"216598002636")</f>
        <v>216598002636</v>
      </c>
      <c r="D909" s="21" t="str">
        <f>IFERROR(__xludf.DUMMYFUNCTION("""COMPUTED_VALUE"""),"DIGITEC TECNOLOGIA DIGITAL E REPRES")</f>
        <v>DIGITEC TECNOLOGIA DIGITAL E REPRES</v>
      </c>
      <c r="E909" s="21">
        <f>IFERROR(__xludf.DUMMYFUNCTION("""COMPUTED_VALUE"""),145359.0)</f>
        <v>145359</v>
      </c>
      <c r="F909" s="21" t="str">
        <f>IFERROR(__xludf.DUMMYFUNCTION("""COMPUTED_VALUE"""),"INICIALIZADO")</f>
        <v>INICIALIZADO</v>
      </c>
      <c r="G909" s="23">
        <f>IFERROR(__xludf.DUMMYFUNCTION("""COMPUTED_VALUE"""),45635.30666666667)</f>
        <v>45635.30667</v>
      </c>
      <c r="H909" s="24" t="str">
        <f>IFERROR(VLOOKUP(B909,material!A:D,3,0),"")</f>
        <v>TOP MIX</v>
      </c>
    </row>
    <row r="910" ht="11.25" customHeight="1">
      <c r="A910" s="21" t="str">
        <f>IFERROR(__xludf.DUMMYFUNCTION("""COMPUTED_VALUE"""),"DECODER DIGITAL HD HNB100 2T")</f>
        <v>DECODER DIGITAL HD HNB100 2T</v>
      </c>
      <c r="B910" s="22">
        <f>IFERROR(__xludf.DUMMYFUNCTION("""COMPUTED_VALUE"""),4.1001276E7)</f>
        <v>41001276</v>
      </c>
      <c r="C910" s="21" t="str">
        <f>IFERROR(__xludf.DUMMYFUNCTION("""COMPUTED_VALUE"""),"216512989715")</f>
        <v>216512989715</v>
      </c>
      <c r="D910" s="21" t="str">
        <f>IFERROR(__xludf.DUMMYFUNCTION("""COMPUTED_VALUE"""),"DIGITEC TECNOLOGIA DIGITAL E REPRES")</f>
        <v>DIGITEC TECNOLOGIA DIGITAL E REPRES</v>
      </c>
      <c r="E910" s="21">
        <f>IFERROR(__xludf.DUMMYFUNCTION("""COMPUTED_VALUE"""),145359.0)</f>
        <v>145359</v>
      </c>
      <c r="F910" s="21" t="str">
        <f>IFERROR(__xludf.DUMMYFUNCTION("""COMPUTED_VALUE"""),"INICIALIZADO")</f>
        <v>INICIALIZADO</v>
      </c>
      <c r="G910" s="23">
        <f>IFERROR(__xludf.DUMMYFUNCTION("""COMPUTED_VALUE"""),45635.53508101852)</f>
        <v>45635.53508</v>
      </c>
      <c r="H910" s="24" t="str">
        <f>IFERROR(VLOOKUP(B910,material!A:D,3,0),"")</f>
        <v>TOP MIX</v>
      </c>
    </row>
    <row r="911" ht="11.25" customHeight="1">
      <c r="A911" s="21" t="str">
        <f>IFERROR(__xludf.DUMMYFUNCTION("""COMPUTED_VALUE"""),"SMART CARD LARANJA NAGRA")</f>
        <v>SMART CARD LARANJA NAGRA</v>
      </c>
      <c r="B911" s="22">
        <f>IFERROR(__xludf.DUMMYFUNCTION("""COMPUTED_VALUE"""),4.1001186E7)</f>
        <v>41001186</v>
      </c>
      <c r="C911" s="21" t="str">
        <f>IFERROR(__xludf.DUMMYFUNCTION("""COMPUTED_VALUE"""),"215653830917")</f>
        <v>215653830917</v>
      </c>
      <c r="D911" s="21" t="str">
        <f>IFERROR(__xludf.DUMMYFUNCTION("""COMPUTED_VALUE"""),"DIGITEC TECNOLOGIA DIGITAL E REPRES")</f>
        <v>DIGITEC TECNOLOGIA DIGITAL E REPRES</v>
      </c>
      <c r="E911" s="21">
        <f>IFERROR(__xludf.DUMMYFUNCTION("""COMPUTED_VALUE"""),145359.0)</f>
        <v>145359</v>
      </c>
      <c r="F911" s="21" t="str">
        <f>IFERROR(__xludf.DUMMYFUNCTION("""COMPUTED_VALUE"""),"SUCATA")</f>
        <v>SUCATA</v>
      </c>
      <c r="G911" s="23">
        <f>IFERROR(__xludf.DUMMYFUNCTION("""COMPUTED_VALUE"""),45075.586851851855)</f>
        <v>45075.58685</v>
      </c>
      <c r="H911" s="24" t="str">
        <f>IFERROR(VLOOKUP(B911,material!A:D,3,0),"")</f>
        <v>CARD</v>
      </c>
    </row>
    <row r="912" ht="11.25" customHeight="1">
      <c r="A912" s="21" t="str">
        <f>IFERROR(__xludf.DUMMYFUNCTION("""COMPUTED_VALUE"""),"THOMSON HIGH DEFINITION DCI713")</f>
        <v>THOMSON HIGH DEFINITION DCI713</v>
      </c>
      <c r="B912" s="22">
        <f>IFERROR(__xludf.DUMMYFUNCTION("""COMPUTED_VALUE"""),4.1001273E7)</f>
        <v>41001273</v>
      </c>
      <c r="C912" s="21" t="str">
        <f>IFERROR(__xludf.DUMMYFUNCTION("""COMPUTED_VALUE"""),"181432260122")</f>
        <v>181432260122</v>
      </c>
      <c r="D912" s="21" t="str">
        <f>IFERROR(__xludf.DUMMYFUNCTION("""COMPUTED_VALUE"""),"DIGITEC TECNOLOGIA DIGITAL E REPRES")</f>
        <v>DIGITEC TECNOLOGIA DIGITAL E REPRES</v>
      </c>
      <c r="E912" s="21">
        <f>IFERROR(__xludf.DUMMYFUNCTION("""COMPUTED_VALUE"""),145359.0)</f>
        <v>145359</v>
      </c>
      <c r="F912" s="21" t="str">
        <f>IFERROR(__xludf.DUMMYFUNCTION("""COMPUTED_VALUE"""),"TRANSITO REVERSA")</f>
        <v>TRANSITO REVERSA</v>
      </c>
      <c r="G912" s="23">
        <f>IFERROR(__xludf.DUMMYFUNCTION("""COMPUTED_VALUE"""),45633.00396990741)</f>
        <v>45633.00397</v>
      </c>
      <c r="H912" s="24" t="str">
        <f>IFERROR(VLOOKUP(B912,material!A:D,3,0),"")</f>
        <v>LEGADO</v>
      </c>
    </row>
    <row r="913" ht="11.25" customHeight="1">
      <c r="A913" s="21" t="str">
        <f>IFERROR(__xludf.DUMMYFUNCTION("""COMPUTED_VALUE"""),"SMART CARD PRETO NAGRA")</f>
        <v>SMART CARD PRETO NAGRA</v>
      </c>
      <c r="B913" s="22">
        <f>IFERROR(__xludf.DUMMYFUNCTION("""COMPUTED_VALUE"""),4.1001234E7)</f>
        <v>41001234</v>
      </c>
      <c r="C913" s="21" t="str">
        <f>IFERROR(__xludf.DUMMYFUNCTION("""COMPUTED_VALUE"""),"246143685879")</f>
        <v>246143685879</v>
      </c>
      <c r="D913" s="21" t="str">
        <f>IFERROR(__xludf.DUMMYFUNCTION("""COMPUTED_VALUE"""),"DIGITEC TECNOLOGIA DIGITAL E REPRES")</f>
        <v>DIGITEC TECNOLOGIA DIGITAL E REPRES</v>
      </c>
      <c r="E913" s="21">
        <f>IFERROR(__xludf.DUMMYFUNCTION("""COMPUTED_VALUE"""),145359.0)</f>
        <v>145359</v>
      </c>
      <c r="F913" s="21" t="str">
        <f>IFERROR(__xludf.DUMMYFUNCTION("""COMPUTED_VALUE"""),"INICIALIZADO")</f>
        <v>INICIALIZADO</v>
      </c>
      <c r="G913" s="23">
        <f>IFERROR(__xludf.DUMMYFUNCTION("""COMPUTED_VALUE"""),45594.64796296296)</f>
        <v>45594.64796</v>
      </c>
      <c r="H913" s="24" t="str">
        <f>IFERROR(VLOOKUP(B913,material!A:D,3,0),"")</f>
        <v>CARD</v>
      </c>
    </row>
    <row r="914" ht="11.25" customHeight="1">
      <c r="A914" s="21" t="str">
        <f>IFERROR(__xludf.DUMMYFUNCTION("""COMPUTED_VALUE"""),"DECODER DIGITAL HD DXC5000 2T")</f>
        <v>DECODER DIGITAL HD DXC5000 2T</v>
      </c>
      <c r="B914" s="22">
        <f>IFERROR(__xludf.DUMMYFUNCTION("""COMPUTED_VALUE"""),4.1001277E7)</f>
        <v>41001277</v>
      </c>
      <c r="C914" s="21" t="str">
        <f>IFERROR(__xludf.DUMMYFUNCTION("""COMPUTED_VALUE"""),"216330786579")</f>
        <v>216330786579</v>
      </c>
      <c r="D914" s="21" t="str">
        <f>IFERROR(__xludf.DUMMYFUNCTION("""COMPUTED_VALUE"""),"DIGITEC TECNOLOGIA DIGITAL E REPRES")</f>
        <v>DIGITEC TECNOLOGIA DIGITAL E REPRES</v>
      </c>
      <c r="E914" s="21">
        <f>IFERROR(__xludf.DUMMYFUNCTION("""COMPUTED_VALUE"""),145359.0)</f>
        <v>145359</v>
      </c>
      <c r="F914" s="21" t="str">
        <f>IFERROR(__xludf.DUMMYFUNCTION("""COMPUTED_VALUE"""),"TRANSITO REVERSA")</f>
        <v>TRANSITO REVERSA</v>
      </c>
      <c r="G914" s="23">
        <f>IFERROR(__xludf.DUMMYFUNCTION("""COMPUTED_VALUE"""),45610.730416666665)</f>
        <v>45610.73042</v>
      </c>
      <c r="H914" s="24" t="str">
        <f>IFERROR(VLOOKUP(B914,material!A:D,3,0),"")</f>
        <v>TOP MIX</v>
      </c>
    </row>
    <row r="915" ht="11.25" customHeight="1">
      <c r="A915" s="21" t="str">
        <f>IFERROR(__xludf.DUMMYFUNCTION("""COMPUTED_VALUE"""),"TECHNICOLOR TC7337NET")</f>
        <v>TECHNICOLOR TC7337NET</v>
      </c>
      <c r="B915" s="22">
        <f>IFERROR(__xludf.DUMMYFUNCTION("""COMPUTED_VALUE"""),4.1001294E7)</f>
        <v>41001294</v>
      </c>
      <c r="C915" s="21" t="str">
        <f>IFERROR(__xludf.DUMMYFUNCTION("""COMPUTED_VALUE"""),"54A65C9026D5")</f>
        <v>54A65C9026D5</v>
      </c>
      <c r="D915" s="21" t="str">
        <f>IFERROR(__xludf.DUMMYFUNCTION("""COMPUTED_VALUE"""),"DIGITEC TECNOLOGIA DIGITAL E REPRES")</f>
        <v>DIGITEC TECNOLOGIA DIGITAL E REPRES</v>
      </c>
      <c r="E915" s="21">
        <f>IFERROR(__xludf.DUMMYFUNCTION("""COMPUTED_VALUE"""),145359.0)</f>
        <v>145359</v>
      </c>
      <c r="F915" s="21" t="str">
        <f>IFERROR(__xludf.DUMMYFUNCTION("""COMPUTED_VALUE"""),"TRANSITO REVERSA")</f>
        <v>TRANSITO REVERSA</v>
      </c>
      <c r="G915" s="23">
        <f>IFERROR(__xludf.DUMMYFUNCTION("""COMPUTED_VALUE"""),45633.00399305555)</f>
        <v>45633.00399</v>
      </c>
      <c r="H915" s="24" t="str">
        <f>IFERROR(VLOOKUP(B915,material!A:D,3,0),"")</f>
        <v>DUAL</v>
      </c>
    </row>
    <row r="916" ht="11.25" customHeight="1">
      <c r="A916" s="21" t="str">
        <f>IFERROR(__xludf.DUMMYFUNCTION("""COMPUTED_VALUE"""),"TECHNICOLOR TC7337NET")</f>
        <v>TECHNICOLOR TC7337NET</v>
      </c>
      <c r="B916" s="22">
        <f>IFERROR(__xludf.DUMMYFUNCTION("""COMPUTED_VALUE"""),4.1001294E7)</f>
        <v>41001294</v>
      </c>
      <c r="C916" s="21" t="str">
        <f>IFERROR(__xludf.DUMMYFUNCTION("""COMPUTED_VALUE"""),"54A65C8FB546")</f>
        <v>54A65C8FB546</v>
      </c>
      <c r="D916" s="21" t="str">
        <f>IFERROR(__xludf.DUMMYFUNCTION("""COMPUTED_VALUE"""),"DIGITEC TECNOLOGIA DIGITAL E REPRES")</f>
        <v>DIGITEC TECNOLOGIA DIGITAL E REPRES</v>
      </c>
      <c r="E916" s="21">
        <f>IFERROR(__xludf.DUMMYFUNCTION("""COMPUTED_VALUE"""),145359.0)</f>
        <v>145359</v>
      </c>
      <c r="F916" s="21" t="str">
        <f>IFERROR(__xludf.DUMMYFUNCTION("""COMPUTED_VALUE"""),"TRANSITO REVERSA")</f>
        <v>TRANSITO REVERSA</v>
      </c>
      <c r="G916" s="23">
        <f>IFERROR(__xludf.DUMMYFUNCTION("""COMPUTED_VALUE"""),45638.52061342592)</f>
        <v>45638.52061</v>
      </c>
      <c r="H916" s="24" t="str">
        <f>IFERROR(VLOOKUP(B916,material!A:D,3,0),"")</f>
        <v>DUAL</v>
      </c>
    </row>
    <row r="917" ht="11.25" customHeight="1">
      <c r="A917" s="21" t="str">
        <f>IFERROR(__xludf.DUMMYFUNCTION("""COMPUTED_VALUE"""),"HUMAX HGB10R-02")</f>
        <v>HUMAX HGB10R-02</v>
      </c>
      <c r="B917" s="22">
        <f>IFERROR(__xludf.DUMMYFUNCTION("""COMPUTED_VALUE"""),4.1001292E7)</f>
        <v>41001292</v>
      </c>
      <c r="C917" s="21" t="str">
        <f>IFERROR(__xludf.DUMMYFUNCTION("""COMPUTED_VALUE"""),"E820E288E602")</f>
        <v>E820E288E602</v>
      </c>
      <c r="D917" s="21" t="str">
        <f>IFERROR(__xludf.DUMMYFUNCTION("""COMPUTED_VALUE"""),"DIGITEC TECNOLOGIA DIGITAL E REPRES")</f>
        <v>DIGITEC TECNOLOGIA DIGITAL E REPRES</v>
      </c>
      <c r="E917" s="21">
        <f>IFERROR(__xludf.DUMMYFUNCTION("""COMPUTED_VALUE"""),145359.0)</f>
        <v>145359</v>
      </c>
      <c r="F917" s="21" t="str">
        <f>IFERROR(__xludf.DUMMYFUNCTION("""COMPUTED_VALUE"""),"TRANSITO REVERSA")</f>
        <v>TRANSITO REVERSA</v>
      </c>
      <c r="G917" s="23">
        <f>IFERROR(__xludf.DUMMYFUNCTION("""COMPUTED_VALUE"""),45610.73042824074)</f>
        <v>45610.73043</v>
      </c>
      <c r="H917" s="24" t="str">
        <f>IFERROR(VLOOKUP(B917,material!A:D,3,0),"")</f>
        <v>DUAL</v>
      </c>
    </row>
    <row r="918" ht="11.25" customHeight="1">
      <c r="A918" s="21" t="str">
        <f>IFERROR(__xludf.DUMMYFUNCTION("""COMPUTED_VALUE"""),"DECODER HD DCI738 2T")</f>
        <v>DECODER HD DCI738 2T</v>
      </c>
      <c r="B918" s="22">
        <f>IFERROR(__xludf.DUMMYFUNCTION("""COMPUTED_VALUE"""),4.1001275E7)</f>
        <v>41001275</v>
      </c>
      <c r="C918" s="21" t="str">
        <f>IFERROR(__xludf.DUMMYFUNCTION("""COMPUTED_VALUE"""),"216884841427")</f>
        <v>216884841427</v>
      </c>
      <c r="D918" s="21" t="str">
        <f>IFERROR(__xludf.DUMMYFUNCTION("""COMPUTED_VALUE"""),"DIGITEC TECNOLOGIA DIGITAL E REPRES")</f>
        <v>DIGITEC TECNOLOGIA DIGITAL E REPRES</v>
      </c>
      <c r="E918" s="21">
        <f>IFERROR(__xludf.DUMMYFUNCTION("""COMPUTED_VALUE"""),145359.0)</f>
        <v>145359</v>
      </c>
      <c r="F918" s="21" t="str">
        <f>IFERROR(__xludf.DUMMYFUNCTION("""COMPUTED_VALUE"""),"TRANSITO REVERSA")</f>
        <v>TRANSITO REVERSA</v>
      </c>
      <c r="G918" s="23">
        <f>IFERROR(__xludf.DUMMYFUNCTION("""COMPUTED_VALUE"""),45617.87140046296)</f>
        <v>45617.8714</v>
      </c>
      <c r="H918" s="24" t="str">
        <f>IFERROR(VLOOKUP(B918,material!A:D,3,0),"")</f>
        <v>TOP MIX</v>
      </c>
    </row>
    <row r="919" ht="11.25" customHeight="1">
      <c r="A919" s="21" t="str">
        <f>IFERROR(__xludf.DUMMYFUNCTION("""COMPUTED_VALUE"""),"HARD DISK 500GB EXTERNO 2.0")</f>
        <v>HARD DISK 500GB EXTERNO 2.0</v>
      </c>
      <c r="B919" s="22">
        <f>IFERROR(__xludf.DUMMYFUNCTION("""COMPUTED_VALUE"""),4.1001376E7)</f>
        <v>41001376</v>
      </c>
      <c r="C919" s="21" t="str">
        <f>IFERROR(__xludf.DUMMYFUNCTION("""COMPUTED_VALUE"""),"408043137284")</f>
        <v>408043137284</v>
      </c>
      <c r="D919" s="21" t="str">
        <f>IFERROR(__xludf.DUMMYFUNCTION("""COMPUTED_VALUE"""),"DIGITEC TECNOLOGIA DIGITAL E REPRES")</f>
        <v>DIGITEC TECNOLOGIA DIGITAL E REPRES</v>
      </c>
      <c r="E919" s="21">
        <f>IFERROR(__xludf.DUMMYFUNCTION("""COMPUTED_VALUE"""),145359.0)</f>
        <v>145359</v>
      </c>
      <c r="F919" s="21" t="str">
        <f>IFERROR(__xludf.DUMMYFUNCTION("""COMPUTED_VALUE"""),"TRANSITO REVERSA")</f>
        <v>TRANSITO REVERSA</v>
      </c>
      <c r="G919" s="23">
        <f>IFERROR(__xludf.DUMMYFUNCTION("""COMPUTED_VALUE"""),45638.52186342592)</f>
        <v>45638.52186</v>
      </c>
      <c r="H919" s="24" t="str">
        <f>IFERROR(VLOOKUP(B919,material!A:D,3,0),"")</f>
        <v>HDD</v>
      </c>
    </row>
    <row r="920" ht="11.25" customHeight="1">
      <c r="A920" s="21" t="str">
        <f>IFERROR(__xludf.DUMMYFUNCTION("""COMPUTED_VALUE"""),"SMART CARD PRETO NAGRA")</f>
        <v>SMART CARD PRETO NAGRA</v>
      </c>
      <c r="B920" s="22">
        <f>IFERROR(__xludf.DUMMYFUNCTION("""COMPUTED_VALUE"""),4.1001234E7)</f>
        <v>41001234</v>
      </c>
      <c r="C920" s="21" t="str">
        <f>IFERROR(__xludf.DUMMYFUNCTION("""COMPUTED_VALUE"""),"246299895355")</f>
        <v>246299895355</v>
      </c>
      <c r="D920" s="21" t="str">
        <f>IFERROR(__xludf.DUMMYFUNCTION("""COMPUTED_VALUE"""),"DIGITEC TECNOLOGIA DIGITAL E REPRES")</f>
        <v>DIGITEC TECNOLOGIA DIGITAL E REPRES</v>
      </c>
      <c r="E920" s="21">
        <f>IFERROR(__xludf.DUMMYFUNCTION("""COMPUTED_VALUE"""),145359.0)</f>
        <v>145359</v>
      </c>
      <c r="F920" s="21" t="str">
        <f>IFERROR(__xludf.DUMMYFUNCTION("""COMPUTED_VALUE"""),"TRANSITO REVERSA")</f>
        <v>TRANSITO REVERSA</v>
      </c>
      <c r="G920" s="23">
        <f>IFERROR(__xludf.DUMMYFUNCTION("""COMPUTED_VALUE"""),45617.87180555555)</f>
        <v>45617.87181</v>
      </c>
      <c r="H920" s="24" t="str">
        <f>IFERROR(VLOOKUP(B920,material!A:D,3,0),"")</f>
        <v>CARD</v>
      </c>
    </row>
    <row r="921" ht="11.25" customHeight="1">
      <c r="A921" s="21" t="str">
        <f>IFERROR(__xludf.DUMMYFUNCTION("""COMPUTED_VALUE"""),"HUMAX HGB10R-02")</f>
        <v>HUMAX HGB10R-02</v>
      </c>
      <c r="B921" s="22">
        <f>IFERROR(__xludf.DUMMYFUNCTION("""COMPUTED_VALUE"""),4.1001292E7)</f>
        <v>41001292</v>
      </c>
      <c r="C921" s="21" t="str">
        <f>IFERROR(__xludf.DUMMYFUNCTION("""COMPUTED_VALUE"""),"E820E285AD05")</f>
        <v>E820E285AD05</v>
      </c>
      <c r="D921" s="21" t="str">
        <f>IFERROR(__xludf.DUMMYFUNCTION("""COMPUTED_VALUE"""),"DIGITEC TECNOLOGIA DIGITAL E REPRES")</f>
        <v>DIGITEC TECNOLOGIA DIGITAL E REPRES</v>
      </c>
      <c r="E921" s="21">
        <f>IFERROR(__xludf.DUMMYFUNCTION("""COMPUTED_VALUE"""),145359.0)</f>
        <v>145359</v>
      </c>
      <c r="F921" s="21" t="str">
        <f>IFERROR(__xludf.DUMMYFUNCTION("""COMPUTED_VALUE"""),"SUSPEITO")</f>
        <v>SUSPEITO</v>
      </c>
      <c r="G921" s="23">
        <f>IFERROR(__xludf.DUMMYFUNCTION("""COMPUTED_VALUE"""),45619.46935185185)</f>
        <v>45619.46935</v>
      </c>
      <c r="H921" s="24" t="str">
        <f>IFERROR(VLOOKUP(B921,material!A:D,3,0),"")</f>
        <v>DUAL</v>
      </c>
    </row>
    <row r="922" ht="11.25" customHeight="1">
      <c r="A922" s="21" t="str">
        <f>IFERROR(__xludf.DUMMYFUNCTION("""COMPUTED_VALUE"""),"DECODER DIGITAL HD HNB100 2T")</f>
        <v>DECODER DIGITAL HD HNB100 2T</v>
      </c>
      <c r="B922" s="22">
        <f>IFERROR(__xludf.DUMMYFUNCTION("""COMPUTED_VALUE"""),4.1001276E7)</f>
        <v>41001276</v>
      </c>
      <c r="C922" s="21" t="str">
        <f>IFERROR(__xludf.DUMMYFUNCTION("""COMPUTED_VALUE"""),"216614011011")</f>
        <v>216614011011</v>
      </c>
      <c r="D922" s="21" t="str">
        <f>IFERROR(__xludf.DUMMYFUNCTION("""COMPUTED_VALUE"""),"DIGITEC TECNOLOGIA DIGITAL E REPRES")</f>
        <v>DIGITEC TECNOLOGIA DIGITAL E REPRES</v>
      </c>
      <c r="E922" s="21">
        <f>IFERROR(__xludf.DUMMYFUNCTION("""COMPUTED_VALUE"""),145359.0)</f>
        <v>145359</v>
      </c>
      <c r="F922" s="21" t="str">
        <f>IFERROR(__xludf.DUMMYFUNCTION("""COMPUTED_VALUE"""),"TRANSITO REVERSA")</f>
        <v>TRANSITO REVERSA</v>
      </c>
      <c r="G922" s="23">
        <f>IFERROR(__xludf.DUMMYFUNCTION("""COMPUTED_VALUE"""),45633.003379629634)</f>
        <v>45633.00338</v>
      </c>
      <c r="H922" s="24" t="str">
        <f>IFERROR(VLOOKUP(B922,material!A:D,3,0),"")</f>
        <v>TOP MIX</v>
      </c>
    </row>
    <row r="923" ht="11.25" customHeight="1">
      <c r="A923" s="21" t="str">
        <f>IFERROR(__xludf.DUMMYFUNCTION("""COMPUTED_VALUE"""),"SMART CARD PRETO NAGRA")</f>
        <v>SMART CARD PRETO NAGRA</v>
      </c>
      <c r="B923" s="22">
        <f>IFERROR(__xludf.DUMMYFUNCTION("""COMPUTED_VALUE"""),4.1001234E7)</f>
        <v>41001234</v>
      </c>
      <c r="C923" s="21" t="str">
        <f>IFERROR(__xludf.DUMMYFUNCTION("""COMPUTED_VALUE"""),"226379466779")</f>
        <v>226379466779</v>
      </c>
      <c r="D923" s="21" t="str">
        <f>IFERROR(__xludf.DUMMYFUNCTION("""COMPUTED_VALUE"""),"DIGITEC TECNOLOGIA DIGITAL E REPRES")</f>
        <v>DIGITEC TECNOLOGIA DIGITAL E REPRES</v>
      </c>
      <c r="E923" s="21">
        <f>IFERROR(__xludf.DUMMYFUNCTION("""COMPUTED_VALUE"""),145359.0)</f>
        <v>145359</v>
      </c>
      <c r="F923" s="21" t="str">
        <f>IFERROR(__xludf.DUMMYFUNCTION("""COMPUTED_VALUE"""),"INICIALIZADO")</f>
        <v>INICIALIZADO</v>
      </c>
      <c r="G923" s="23">
        <f>IFERROR(__xludf.DUMMYFUNCTION("""COMPUTED_VALUE"""),45635.53496527778)</f>
        <v>45635.53497</v>
      </c>
      <c r="H923" s="24" t="str">
        <f>IFERROR(VLOOKUP(B923,material!A:D,3,0),"")</f>
        <v>CARD</v>
      </c>
    </row>
    <row r="924" ht="11.25" customHeight="1">
      <c r="A924" s="21" t="str">
        <f>IFERROR(__xludf.DUMMYFUNCTION("""COMPUTED_VALUE"""),"SMART CARD PRETO NAGRA")</f>
        <v>SMART CARD PRETO NAGRA</v>
      </c>
      <c r="B924" s="22">
        <f>IFERROR(__xludf.DUMMYFUNCTION("""COMPUTED_VALUE"""),4.1001234E7)</f>
        <v>41001234</v>
      </c>
      <c r="C924" s="21" t="str">
        <f>IFERROR(__xludf.DUMMYFUNCTION("""COMPUTED_VALUE"""),"226284502742")</f>
        <v>226284502742</v>
      </c>
      <c r="D924" s="21" t="str">
        <f>IFERROR(__xludf.DUMMYFUNCTION("""COMPUTED_VALUE"""),"DIGITEC TECNOLOGIA DIGITAL E REPRES")</f>
        <v>DIGITEC TECNOLOGIA DIGITAL E REPRES</v>
      </c>
      <c r="E924" s="21">
        <f>IFERROR(__xludf.DUMMYFUNCTION("""COMPUTED_VALUE"""),145359.0)</f>
        <v>145359</v>
      </c>
      <c r="F924" s="21" t="str">
        <f>IFERROR(__xludf.DUMMYFUNCTION("""COMPUTED_VALUE"""),"INICIALIZADO")</f>
        <v>INICIALIZADO</v>
      </c>
      <c r="G924" s="23">
        <f>IFERROR(__xludf.DUMMYFUNCTION("""COMPUTED_VALUE"""),45635.53496527778)</f>
        <v>45635.53497</v>
      </c>
      <c r="H924" s="24" t="str">
        <f>IFERROR(VLOOKUP(B924,material!A:D,3,0),"")</f>
        <v>CARD</v>
      </c>
    </row>
    <row r="925" ht="11.25" customHeight="1">
      <c r="A925" s="21" t="str">
        <f>IFERROR(__xludf.DUMMYFUNCTION("""COMPUTED_VALUE"""),"SMART CARD PRETO NAGRA")</f>
        <v>SMART CARD PRETO NAGRA</v>
      </c>
      <c r="B925" s="22">
        <f>IFERROR(__xludf.DUMMYFUNCTION("""COMPUTED_VALUE"""),4.1001234E7)</f>
        <v>41001234</v>
      </c>
      <c r="C925" s="21" t="str">
        <f>IFERROR(__xludf.DUMMYFUNCTION("""COMPUTED_VALUE"""),"226345856574")</f>
        <v>226345856574</v>
      </c>
      <c r="D925" s="21" t="str">
        <f>IFERROR(__xludf.DUMMYFUNCTION("""COMPUTED_VALUE"""),"DIGITEC TECNOLOGIA DIGITAL E REPRES")</f>
        <v>DIGITEC TECNOLOGIA DIGITAL E REPRES</v>
      </c>
      <c r="E925" s="21">
        <f>IFERROR(__xludf.DUMMYFUNCTION("""COMPUTED_VALUE"""),145359.0)</f>
        <v>145359</v>
      </c>
      <c r="F925" s="21" t="str">
        <f>IFERROR(__xludf.DUMMYFUNCTION("""COMPUTED_VALUE"""),"TRANSITO REVERSA")</f>
        <v>TRANSITO REVERSA</v>
      </c>
      <c r="G925" s="23">
        <f>IFERROR(__xludf.DUMMYFUNCTION("""COMPUTED_VALUE"""),45633.00340277777)</f>
        <v>45633.0034</v>
      </c>
      <c r="H925" s="24" t="str">
        <f>IFERROR(VLOOKUP(B925,material!A:D,3,0),"")</f>
        <v>CARD</v>
      </c>
    </row>
    <row r="926" ht="11.25" customHeight="1">
      <c r="A926" s="21" t="str">
        <f>IFERROR(__xludf.DUMMYFUNCTION("""COMPUTED_VALUE"""),"SMART CARD PRETO NAGRA")</f>
        <v>SMART CARD PRETO NAGRA</v>
      </c>
      <c r="B926" s="22">
        <f>IFERROR(__xludf.DUMMYFUNCTION("""COMPUTED_VALUE"""),4.1001234E7)</f>
        <v>41001234</v>
      </c>
      <c r="C926" s="21" t="str">
        <f>IFERROR(__xludf.DUMMYFUNCTION("""COMPUTED_VALUE"""),"246153343455")</f>
        <v>246153343455</v>
      </c>
      <c r="D926" s="21" t="str">
        <f>IFERROR(__xludf.DUMMYFUNCTION("""COMPUTED_VALUE"""),"DIGITEC TECNOLOGIA DIGITAL E REPRES")</f>
        <v>DIGITEC TECNOLOGIA DIGITAL E REPRES</v>
      </c>
      <c r="E926" s="21">
        <f>IFERROR(__xludf.DUMMYFUNCTION("""COMPUTED_VALUE"""),145359.0)</f>
        <v>145359</v>
      </c>
      <c r="F926" s="21" t="str">
        <f>IFERROR(__xludf.DUMMYFUNCTION("""COMPUTED_VALUE"""),"INICIALIZADO")</f>
        <v>INICIALIZADO</v>
      </c>
      <c r="G926" s="23">
        <f>IFERROR(__xludf.DUMMYFUNCTION("""COMPUTED_VALUE"""),45635.534895833334)</f>
        <v>45635.5349</v>
      </c>
      <c r="H926" s="24" t="str">
        <f>IFERROR(VLOOKUP(B926,material!A:D,3,0),"")</f>
        <v>CARD</v>
      </c>
    </row>
    <row r="927" ht="11.25" customHeight="1">
      <c r="A927" s="21" t="str">
        <f>IFERROR(__xludf.DUMMYFUNCTION("""COMPUTED_VALUE"""),"SMART CARD LARANJA NAGRA")</f>
        <v>SMART CARD LARANJA NAGRA</v>
      </c>
      <c r="B927" s="22">
        <f>IFERROR(__xludf.DUMMYFUNCTION("""COMPUTED_VALUE"""),4.1001186E7)</f>
        <v>41001186</v>
      </c>
      <c r="C927" s="21" t="str">
        <f>IFERROR(__xludf.DUMMYFUNCTION("""COMPUTED_VALUE"""),"226612677283")</f>
        <v>226612677283</v>
      </c>
      <c r="D927" s="21" t="str">
        <f>IFERROR(__xludf.DUMMYFUNCTION("""COMPUTED_VALUE"""),"DIGITEC TECNOLOGIA DIGITAL E REPRES")</f>
        <v>DIGITEC TECNOLOGIA DIGITAL E REPRES</v>
      </c>
      <c r="E927" s="21">
        <f>IFERROR(__xludf.DUMMYFUNCTION("""COMPUTED_VALUE"""),145359.0)</f>
        <v>145359</v>
      </c>
      <c r="F927" s="21" t="str">
        <f>IFERROR(__xludf.DUMMYFUNCTION("""COMPUTED_VALUE"""),"SUCATA")</f>
        <v>SUCATA</v>
      </c>
      <c r="G927" s="23">
        <f>IFERROR(__xludf.DUMMYFUNCTION("""COMPUTED_VALUE"""),45075.59909722222)</f>
        <v>45075.5991</v>
      </c>
      <c r="H927" s="24" t="str">
        <f>IFERROR(VLOOKUP(B927,material!A:D,3,0),"")</f>
        <v>CARD</v>
      </c>
    </row>
    <row r="928" ht="11.25" customHeight="1">
      <c r="A928" s="21" t="str">
        <f>IFERROR(__xludf.DUMMYFUNCTION("""COMPUTED_VALUE"""),"SMART CARD LARANJA NAGRA")</f>
        <v>SMART CARD LARANJA NAGRA</v>
      </c>
      <c r="B928" s="22">
        <f>IFERROR(__xludf.DUMMYFUNCTION("""COMPUTED_VALUE"""),4.1001186E7)</f>
        <v>41001186</v>
      </c>
      <c r="C928" s="21" t="str">
        <f>IFERROR(__xludf.DUMMYFUNCTION("""COMPUTED_VALUE"""),"226641377278")</f>
        <v>226641377278</v>
      </c>
      <c r="D928" s="21" t="str">
        <f>IFERROR(__xludf.DUMMYFUNCTION("""COMPUTED_VALUE"""),"DIGITEC TECNOLOGIA DIGITAL E REPRES")</f>
        <v>DIGITEC TECNOLOGIA DIGITAL E REPRES</v>
      </c>
      <c r="E928" s="21">
        <f>IFERROR(__xludf.DUMMYFUNCTION("""COMPUTED_VALUE"""),145359.0)</f>
        <v>145359</v>
      </c>
      <c r="F928" s="21" t="str">
        <f>IFERROR(__xludf.DUMMYFUNCTION("""COMPUTED_VALUE"""),"SUCATA")</f>
        <v>SUCATA</v>
      </c>
      <c r="G928" s="23">
        <f>IFERROR(__xludf.DUMMYFUNCTION("""COMPUTED_VALUE"""),45075.59909722222)</f>
        <v>45075.5991</v>
      </c>
      <c r="H928" s="24" t="str">
        <f>IFERROR(VLOOKUP(B928,material!A:D,3,0),"")</f>
        <v>CARD</v>
      </c>
    </row>
    <row r="929" ht="11.25" customHeight="1">
      <c r="A929" s="21" t="str">
        <f>IFERROR(__xludf.DUMMYFUNCTION("""COMPUTED_VALUE"""),"HUMAX HGB10R-02")</f>
        <v>HUMAX HGB10R-02</v>
      </c>
      <c r="B929" s="22">
        <f>IFERROR(__xludf.DUMMYFUNCTION("""COMPUTED_VALUE"""),4.1001292E7)</f>
        <v>41001292</v>
      </c>
      <c r="C929" s="21" t="str">
        <f>IFERROR(__xludf.DUMMYFUNCTION("""COMPUTED_VALUE"""),"942CB3B3A026")</f>
        <v>942CB3B3A026</v>
      </c>
      <c r="D929" s="21" t="str">
        <f>IFERROR(__xludf.DUMMYFUNCTION("""COMPUTED_VALUE"""),"DIGITEC TECNOLOGIA DIGITAL E REPRES")</f>
        <v>DIGITEC TECNOLOGIA DIGITAL E REPRES</v>
      </c>
      <c r="E929" s="21">
        <f>IFERROR(__xludf.DUMMYFUNCTION("""COMPUTED_VALUE"""),145359.0)</f>
        <v>145359</v>
      </c>
      <c r="F929" s="21" t="str">
        <f>IFERROR(__xludf.DUMMYFUNCTION("""COMPUTED_VALUE"""),"INICIALIZADO")</f>
        <v>INICIALIZADO</v>
      </c>
      <c r="G929" s="23">
        <f>IFERROR(__xludf.DUMMYFUNCTION("""COMPUTED_VALUE"""),45538.41375)</f>
        <v>45538.41375</v>
      </c>
      <c r="H929" s="24" t="str">
        <f>IFERROR(VLOOKUP(B929,material!A:D,3,0),"")</f>
        <v>DUAL</v>
      </c>
    </row>
    <row r="930" ht="11.25" customHeight="1">
      <c r="A930" s="21" t="str">
        <f>IFERROR(__xludf.DUMMYFUNCTION("""COMPUTED_VALUE"""),"SMART CARD PRETO NAGRA")</f>
        <v>SMART CARD PRETO NAGRA</v>
      </c>
      <c r="B930" s="22">
        <f>IFERROR(__xludf.DUMMYFUNCTION("""COMPUTED_VALUE"""),4.1001234E7)</f>
        <v>41001234</v>
      </c>
      <c r="C930" s="21" t="str">
        <f>IFERROR(__xludf.DUMMYFUNCTION("""COMPUTED_VALUE"""),"226256294141")</f>
        <v>226256294141</v>
      </c>
      <c r="D930" s="21" t="str">
        <f>IFERROR(__xludf.DUMMYFUNCTION("""COMPUTED_VALUE"""),"DIGITEC TECNOLOGIA DIGITAL E REPRES")</f>
        <v>DIGITEC TECNOLOGIA DIGITAL E REPRES</v>
      </c>
      <c r="E930" s="21">
        <f>IFERROR(__xludf.DUMMYFUNCTION("""COMPUTED_VALUE"""),145359.0)</f>
        <v>145359</v>
      </c>
      <c r="F930" s="21" t="str">
        <f>IFERROR(__xludf.DUMMYFUNCTION("""COMPUTED_VALUE"""),"INICIALIZADO")</f>
        <v>INICIALIZADO</v>
      </c>
      <c r="G930" s="23">
        <f>IFERROR(__xludf.DUMMYFUNCTION("""COMPUTED_VALUE"""),45635.53494212963)</f>
        <v>45635.53494</v>
      </c>
      <c r="H930" s="24" t="str">
        <f>IFERROR(VLOOKUP(B930,material!A:D,3,0),"")</f>
        <v>CARD</v>
      </c>
    </row>
    <row r="931" ht="11.25" customHeight="1">
      <c r="A931" s="21" t="str">
        <f>IFERROR(__xludf.DUMMYFUNCTION("""COMPUTED_VALUE"""),"SMART CARD LARANJA")</f>
        <v>SMART CARD LARANJA</v>
      </c>
      <c r="B931" s="22">
        <f>IFERROR(__xludf.DUMMYFUNCTION("""COMPUTED_VALUE"""),4.1001186E7)</f>
        <v>41001186</v>
      </c>
      <c r="C931" s="21" t="str">
        <f>IFERROR(__xludf.DUMMYFUNCTION("""COMPUTED_VALUE"""),"215891488903")</f>
        <v>215891488903</v>
      </c>
      <c r="D931" s="21" t="str">
        <f>IFERROR(__xludf.DUMMYFUNCTION("""COMPUTED_VALUE"""),"DIGITEC TECNOLOGIA DIGITAL E REPRES")</f>
        <v>DIGITEC TECNOLOGIA DIGITAL E REPRES</v>
      </c>
      <c r="E931" s="21">
        <f>IFERROR(__xludf.DUMMYFUNCTION("""COMPUTED_VALUE"""),145359.0)</f>
        <v>145359</v>
      </c>
      <c r="F931" s="21" t="str">
        <f>IFERROR(__xludf.DUMMYFUNCTION("""COMPUTED_VALUE"""),"TRANSITO REVERSA")</f>
        <v>TRANSITO REVERSA</v>
      </c>
      <c r="G931" s="23">
        <f>IFERROR(__xludf.DUMMYFUNCTION("""COMPUTED_VALUE"""),45633.003379629634)</f>
        <v>45633.00338</v>
      </c>
      <c r="H931" s="24" t="str">
        <f>IFERROR(VLOOKUP(B931,material!A:D,3,0),"")</f>
        <v>CARD</v>
      </c>
    </row>
    <row r="932" ht="11.25" customHeight="1">
      <c r="A932" s="21" t="str">
        <f>IFERROR(__xludf.DUMMYFUNCTION("""COMPUTED_VALUE"""),"SMART CARD AVULSO MINI")</f>
        <v>SMART CARD AVULSO MINI</v>
      </c>
      <c r="B932" s="22">
        <f>IFERROR(__xludf.DUMMYFUNCTION("""COMPUTED_VALUE"""),4.1001508E7)</f>
        <v>41001508</v>
      </c>
      <c r="C932" s="21" t="str">
        <f>IFERROR(__xludf.DUMMYFUNCTION("""COMPUTED_VALUE"""),"226327597575")</f>
        <v>226327597575</v>
      </c>
      <c r="D932" s="21" t="str">
        <f>IFERROR(__xludf.DUMMYFUNCTION("""COMPUTED_VALUE"""),"DIGITEC TECNOLOGIA DIGITAL E REPRES")</f>
        <v>DIGITEC TECNOLOGIA DIGITAL E REPRES</v>
      </c>
      <c r="E932" s="21">
        <f>IFERROR(__xludf.DUMMYFUNCTION("""COMPUTED_VALUE"""),145359.0)</f>
        <v>145359</v>
      </c>
      <c r="F932" s="21" t="str">
        <f>IFERROR(__xludf.DUMMYFUNCTION("""COMPUTED_VALUE"""),"INICIALIZADO")</f>
        <v>INICIALIZADO</v>
      </c>
      <c r="G932" s="23">
        <f>IFERROR(__xludf.DUMMYFUNCTION("""COMPUTED_VALUE"""),45005.37087962963)</f>
        <v>45005.37088</v>
      </c>
      <c r="H932" s="24" t="str">
        <f>IFERROR(VLOOKUP(B932,material!A:D,3,0),"")</f>
        <v>SIM CARD</v>
      </c>
    </row>
    <row r="933" ht="11.25" customHeight="1">
      <c r="A933" s="21" t="str">
        <f>IFERROR(__xludf.DUMMYFUNCTION("""COMPUTED_VALUE"""),"HUMAX HGB10R-02")</f>
        <v>HUMAX HGB10R-02</v>
      </c>
      <c r="B933" s="22">
        <f>IFERROR(__xludf.DUMMYFUNCTION("""COMPUTED_VALUE"""),4.1001292E7)</f>
        <v>41001292</v>
      </c>
      <c r="C933" s="21" t="str">
        <f>IFERROR(__xludf.DUMMYFUNCTION("""COMPUTED_VALUE"""),"942CB3F8463A")</f>
        <v>942CB3F8463A</v>
      </c>
      <c r="D933" s="21" t="str">
        <f>IFERROR(__xludf.DUMMYFUNCTION("""COMPUTED_VALUE"""),"DIGITEC TECNOLOGIA DIGITAL E REPRES")</f>
        <v>DIGITEC TECNOLOGIA DIGITAL E REPRES</v>
      </c>
      <c r="E933" s="21">
        <f>IFERROR(__xludf.DUMMYFUNCTION("""COMPUTED_VALUE"""),145359.0)</f>
        <v>145359</v>
      </c>
      <c r="F933" s="21" t="str">
        <f>IFERROR(__xludf.DUMMYFUNCTION("""COMPUTED_VALUE"""),"INICIALIZADO")</f>
        <v>INICIALIZADO</v>
      </c>
      <c r="G933" s="23">
        <f>IFERROR(__xludf.DUMMYFUNCTION("""COMPUTED_VALUE"""),45538.41375)</f>
        <v>45538.41375</v>
      </c>
      <c r="H933" s="24" t="str">
        <f>IFERROR(VLOOKUP(B933,material!A:D,3,0),"")</f>
        <v>DUAL</v>
      </c>
    </row>
    <row r="934" ht="11.25" customHeight="1">
      <c r="A934" s="21" t="str">
        <f>IFERROR(__xludf.DUMMYFUNCTION("""COMPUTED_VALUE"""),"DECODER DIGITAL HD DXC5000 2T")</f>
        <v>DECODER DIGITAL HD DXC5000 2T</v>
      </c>
      <c r="B934" s="22">
        <f>IFERROR(__xludf.DUMMYFUNCTION("""COMPUTED_VALUE"""),4.1001277E7)</f>
        <v>41001277</v>
      </c>
      <c r="C934" s="21" t="str">
        <f>IFERROR(__xludf.DUMMYFUNCTION("""COMPUTED_VALUE"""),"216779079713")</f>
        <v>216779079713</v>
      </c>
      <c r="D934" s="21" t="str">
        <f>IFERROR(__xludf.DUMMYFUNCTION("""COMPUTED_VALUE"""),"DIGITEC TECNOLOGIA DIGITAL E REPRES")</f>
        <v>DIGITEC TECNOLOGIA DIGITAL E REPRES</v>
      </c>
      <c r="E934" s="21">
        <f>IFERROR(__xludf.DUMMYFUNCTION("""COMPUTED_VALUE"""),145359.0)</f>
        <v>145359</v>
      </c>
      <c r="F934" s="21" t="str">
        <f>IFERROR(__xludf.DUMMYFUNCTION("""COMPUTED_VALUE"""),"INICIALIZADO")</f>
        <v>INICIALIZADO</v>
      </c>
      <c r="G934" s="23">
        <f>IFERROR(__xludf.DUMMYFUNCTION("""COMPUTED_VALUE"""),45600.47599537037)</f>
        <v>45600.476</v>
      </c>
      <c r="H934" s="24" t="str">
        <f>IFERROR(VLOOKUP(B934,material!A:D,3,0),"")</f>
        <v>TOP MIX</v>
      </c>
    </row>
    <row r="935" ht="11.25" customHeight="1">
      <c r="A935" s="21" t="str">
        <f>IFERROR(__xludf.DUMMYFUNCTION("""COMPUTED_VALUE"""),"DECODER DIGITAL HD DXC5000 2T")</f>
        <v>DECODER DIGITAL HD DXC5000 2T</v>
      </c>
      <c r="B935" s="22">
        <f>IFERROR(__xludf.DUMMYFUNCTION("""COMPUTED_VALUE"""),4.1001277E7)</f>
        <v>41001277</v>
      </c>
      <c r="C935" s="21" t="str">
        <f>IFERROR(__xludf.DUMMYFUNCTION("""COMPUTED_VALUE"""),"216761137894")</f>
        <v>216761137894</v>
      </c>
      <c r="D935" s="21" t="str">
        <f>IFERROR(__xludf.DUMMYFUNCTION("""COMPUTED_VALUE"""),"DIGITEC TECNOLOGIA DIGITAL E REPRES")</f>
        <v>DIGITEC TECNOLOGIA DIGITAL E REPRES</v>
      </c>
      <c r="E935" s="21">
        <f>IFERROR(__xludf.DUMMYFUNCTION("""COMPUTED_VALUE"""),145359.0)</f>
        <v>145359</v>
      </c>
      <c r="F935" s="21" t="str">
        <f>IFERROR(__xludf.DUMMYFUNCTION("""COMPUTED_VALUE"""),"INICIALIZADO")</f>
        <v>INICIALIZADO</v>
      </c>
      <c r="G935" s="23">
        <f>IFERROR(__xludf.DUMMYFUNCTION("""COMPUTED_VALUE"""),45618.65201388889)</f>
        <v>45618.65201</v>
      </c>
      <c r="H935" s="24" t="str">
        <f>IFERROR(VLOOKUP(B935,material!A:D,3,0),"")</f>
        <v>TOP MIX</v>
      </c>
    </row>
    <row r="936" ht="11.25" customHeight="1">
      <c r="A936" s="21" t="str">
        <f>IFERROR(__xludf.DUMMYFUNCTION("""COMPUTED_VALUE"""),"DECODER DIGITAL HD HNB100 2T")</f>
        <v>DECODER DIGITAL HD HNB100 2T</v>
      </c>
      <c r="B936" s="22">
        <f>IFERROR(__xludf.DUMMYFUNCTION("""COMPUTED_VALUE"""),4.1001276E7)</f>
        <v>41001276</v>
      </c>
      <c r="C936" s="21" t="str">
        <f>IFERROR(__xludf.DUMMYFUNCTION("""COMPUTED_VALUE"""),"216800848189")</f>
        <v>216800848189</v>
      </c>
      <c r="D936" s="21" t="str">
        <f>IFERROR(__xludf.DUMMYFUNCTION("""COMPUTED_VALUE"""),"DIGITEC TECNOLOGIA DIGITAL E REPRES")</f>
        <v>DIGITEC TECNOLOGIA DIGITAL E REPRES</v>
      </c>
      <c r="E936" s="21">
        <f>IFERROR(__xludf.DUMMYFUNCTION("""COMPUTED_VALUE"""),145359.0)</f>
        <v>145359</v>
      </c>
      <c r="F936" s="21" t="str">
        <f>IFERROR(__xludf.DUMMYFUNCTION("""COMPUTED_VALUE"""),"INICIALIZADO")</f>
        <v>INICIALIZADO</v>
      </c>
      <c r="G936" s="23">
        <f>IFERROR(__xludf.DUMMYFUNCTION("""COMPUTED_VALUE"""),45642.52413194445)</f>
        <v>45642.52413</v>
      </c>
      <c r="H936" s="24" t="str">
        <f>IFERROR(VLOOKUP(B936,material!A:D,3,0),"")</f>
        <v>TOP MIX</v>
      </c>
    </row>
    <row r="937" ht="11.25" customHeight="1">
      <c r="A937" s="21" t="str">
        <f>IFERROR(__xludf.DUMMYFUNCTION("""COMPUTED_VALUE"""),"DECODER DIGITAL HD HNB100 2T")</f>
        <v>DECODER DIGITAL HD HNB100 2T</v>
      </c>
      <c r="B937" s="22">
        <f>IFERROR(__xludf.DUMMYFUNCTION("""COMPUTED_VALUE"""),4.1001276E7)</f>
        <v>41001276</v>
      </c>
      <c r="C937" s="21" t="str">
        <f>IFERROR(__xludf.DUMMYFUNCTION("""COMPUTED_VALUE"""),"216737478908")</f>
        <v>216737478908</v>
      </c>
      <c r="D937" s="21" t="str">
        <f>IFERROR(__xludf.DUMMYFUNCTION("""COMPUTED_VALUE"""),"DIGITEC TECNOLOGIA DIGITAL E REPRES")</f>
        <v>DIGITEC TECNOLOGIA DIGITAL E REPRES</v>
      </c>
      <c r="E937" s="21">
        <f>IFERROR(__xludf.DUMMYFUNCTION("""COMPUTED_VALUE"""),145359.0)</f>
        <v>145359</v>
      </c>
      <c r="F937" s="21" t="str">
        <f>IFERROR(__xludf.DUMMYFUNCTION("""COMPUTED_VALUE"""),"INICIALIZADO")</f>
        <v>INICIALIZADO</v>
      </c>
      <c r="G937" s="23">
        <f>IFERROR(__xludf.DUMMYFUNCTION("""COMPUTED_VALUE"""),45635.535)</f>
        <v>45635.535</v>
      </c>
      <c r="H937" s="24" t="str">
        <f>IFERROR(VLOOKUP(B937,material!A:D,3,0),"")</f>
        <v>TOP MIX</v>
      </c>
    </row>
    <row r="938" ht="11.25" customHeight="1">
      <c r="A938" s="21" t="str">
        <f>IFERROR(__xludf.DUMMYFUNCTION("""COMPUTED_VALUE"""),"DECODER DIGITAL HD HNB100 2T")</f>
        <v>DECODER DIGITAL HD HNB100 2T</v>
      </c>
      <c r="B938" s="22">
        <f>IFERROR(__xludf.DUMMYFUNCTION("""COMPUTED_VALUE"""),4.1001276E7)</f>
        <v>41001276</v>
      </c>
      <c r="C938" s="21" t="str">
        <f>IFERROR(__xludf.DUMMYFUNCTION("""COMPUTED_VALUE"""),"216756186064")</f>
        <v>216756186064</v>
      </c>
      <c r="D938" s="21" t="str">
        <f>IFERROR(__xludf.DUMMYFUNCTION("""COMPUTED_VALUE"""),"DIGITEC TECNOLOGIA DIGITAL E REPRES")</f>
        <v>DIGITEC TECNOLOGIA DIGITAL E REPRES</v>
      </c>
      <c r="E938" s="21">
        <f>IFERROR(__xludf.DUMMYFUNCTION("""COMPUTED_VALUE"""),145359.0)</f>
        <v>145359</v>
      </c>
      <c r="F938" s="21" t="str">
        <f>IFERROR(__xludf.DUMMYFUNCTION("""COMPUTED_VALUE"""),"INICIALIZADO")</f>
        <v>INICIALIZADO</v>
      </c>
      <c r="G938" s="23">
        <f>IFERROR(__xludf.DUMMYFUNCTION("""COMPUTED_VALUE"""),45635.535)</f>
        <v>45635.535</v>
      </c>
      <c r="H938" s="24" t="str">
        <f>IFERROR(VLOOKUP(B938,material!A:D,3,0),"")</f>
        <v>TOP MIX</v>
      </c>
    </row>
    <row r="939" ht="11.25" customHeight="1">
      <c r="A939" s="21" t="str">
        <f>IFERROR(__xludf.DUMMYFUNCTION("""COMPUTED_VALUE"""),"SMART CARD PRETO NAGRA")</f>
        <v>SMART CARD PRETO NAGRA</v>
      </c>
      <c r="B939" s="22">
        <f>IFERROR(__xludf.DUMMYFUNCTION("""COMPUTED_VALUE"""),4.1001234E7)</f>
        <v>41001234</v>
      </c>
      <c r="C939" s="21" t="str">
        <f>IFERROR(__xludf.DUMMYFUNCTION("""COMPUTED_VALUE"""),"246178563245")</f>
        <v>246178563245</v>
      </c>
      <c r="D939" s="21" t="str">
        <f>IFERROR(__xludf.DUMMYFUNCTION("""COMPUTED_VALUE"""),"DIGITEC TECNOLOGIA DIGITAL E REPRES")</f>
        <v>DIGITEC TECNOLOGIA DIGITAL E REPRES</v>
      </c>
      <c r="E939" s="21">
        <f>IFERROR(__xludf.DUMMYFUNCTION("""COMPUTED_VALUE"""),145359.0)</f>
        <v>145359</v>
      </c>
      <c r="F939" s="21" t="str">
        <f>IFERROR(__xludf.DUMMYFUNCTION("""COMPUTED_VALUE"""),"INICIALIZADO")</f>
        <v>INICIALIZADO</v>
      </c>
      <c r="G939" s="23">
        <f>IFERROR(__xludf.DUMMYFUNCTION("""COMPUTED_VALUE"""),45635.534895833334)</f>
        <v>45635.5349</v>
      </c>
      <c r="H939" s="24" t="str">
        <f>IFERROR(VLOOKUP(B939,material!A:D,3,0),"")</f>
        <v>CARD</v>
      </c>
    </row>
    <row r="940" ht="11.25" customHeight="1">
      <c r="A940" s="21" t="str">
        <f>IFERROR(__xludf.DUMMYFUNCTION("""COMPUTED_VALUE"""),"SMART CARD PRETO NAGRA")</f>
        <v>SMART CARD PRETO NAGRA</v>
      </c>
      <c r="B940" s="22">
        <f>IFERROR(__xludf.DUMMYFUNCTION("""COMPUTED_VALUE"""),4.1001234E7)</f>
        <v>41001234</v>
      </c>
      <c r="C940" s="21" t="str">
        <f>IFERROR(__xludf.DUMMYFUNCTION("""COMPUTED_VALUE"""),"246247833956")</f>
        <v>246247833956</v>
      </c>
      <c r="D940" s="21" t="str">
        <f>IFERROR(__xludf.DUMMYFUNCTION("""COMPUTED_VALUE"""),"DIGITEC TECNOLOGIA DIGITAL E REPRES")</f>
        <v>DIGITEC TECNOLOGIA DIGITAL E REPRES</v>
      </c>
      <c r="E940" s="21">
        <f>IFERROR(__xludf.DUMMYFUNCTION("""COMPUTED_VALUE"""),145359.0)</f>
        <v>145359</v>
      </c>
      <c r="F940" s="21" t="str">
        <f>IFERROR(__xludf.DUMMYFUNCTION("""COMPUTED_VALUE"""),"INICIALIZADO")</f>
        <v>INICIALIZADO</v>
      </c>
      <c r="G940" s="23">
        <f>IFERROR(__xludf.DUMMYFUNCTION("""COMPUTED_VALUE"""),45635.53493055556)</f>
        <v>45635.53493</v>
      </c>
      <c r="H940" s="24" t="str">
        <f>IFERROR(VLOOKUP(B940,material!A:D,3,0),"")</f>
        <v>CARD</v>
      </c>
    </row>
    <row r="941" ht="11.25" customHeight="1">
      <c r="A941" s="21" t="str">
        <f>IFERROR(__xludf.DUMMYFUNCTION("""COMPUTED_VALUE"""),"SMART CARD PRETO NAGRA")</f>
        <v>SMART CARD PRETO NAGRA</v>
      </c>
      <c r="B941" s="22">
        <f>IFERROR(__xludf.DUMMYFUNCTION("""COMPUTED_VALUE"""),4.1001234E7)</f>
        <v>41001234</v>
      </c>
      <c r="C941" s="21" t="str">
        <f>IFERROR(__xludf.DUMMYFUNCTION("""COMPUTED_VALUE"""),"246137515153")</f>
        <v>246137515153</v>
      </c>
      <c r="D941" s="21" t="str">
        <f>IFERROR(__xludf.DUMMYFUNCTION("""COMPUTED_VALUE"""),"DIGITEC TECNOLOGIA DIGITAL E REPRES")</f>
        <v>DIGITEC TECNOLOGIA DIGITAL E REPRES</v>
      </c>
      <c r="E941" s="21">
        <f>IFERROR(__xludf.DUMMYFUNCTION("""COMPUTED_VALUE"""),145359.0)</f>
        <v>145359</v>
      </c>
      <c r="F941" s="21" t="str">
        <f>IFERROR(__xludf.DUMMYFUNCTION("""COMPUTED_VALUE"""),"INICIALIZADO")</f>
        <v>INICIALIZADO</v>
      </c>
      <c r="G941" s="23">
        <f>IFERROR(__xludf.DUMMYFUNCTION("""COMPUTED_VALUE"""),45618.65201388889)</f>
        <v>45618.65201</v>
      </c>
      <c r="H941" s="24" t="str">
        <f>IFERROR(VLOOKUP(B941,material!A:D,3,0),"")</f>
        <v>CARD</v>
      </c>
    </row>
    <row r="942" ht="11.25" customHeight="1">
      <c r="A942" s="21" t="str">
        <f>IFERROR(__xludf.DUMMYFUNCTION("""COMPUTED_VALUE"""),"SMART CARD PRETO NAGRA")</f>
        <v>SMART CARD PRETO NAGRA</v>
      </c>
      <c r="B942" s="22">
        <f>IFERROR(__xludf.DUMMYFUNCTION("""COMPUTED_VALUE"""),4.1001234E7)</f>
        <v>41001234</v>
      </c>
      <c r="C942" s="21" t="str">
        <f>IFERROR(__xludf.DUMMYFUNCTION("""COMPUTED_VALUE"""),"226398371027")</f>
        <v>226398371027</v>
      </c>
      <c r="D942" s="21" t="str">
        <f>IFERROR(__xludf.DUMMYFUNCTION("""COMPUTED_VALUE"""),"DIGITEC TECNOLOGIA DIGITAL E REPRES")</f>
        <v>DIGITEC TECNOLOGIA DIGITAL E REPRES</v>
      </c>
      <c r="E942" s="21">
        <f>IFERROR(__xludf.DUMMYFUNCTION("""COMPUTED_VALUE"""),145359.0)</f>
        <v>145359</v>
      </c>
      <c r="F942" s="21" t="str">
        <f>IFERROR(__xludf.DUMMYFUNCTION("""COMPUTED_VALUE"""),"INICIALIZADO")</f>
        <v>INICIALIZADO</v>
      </c>
      <c r="G942" s="23">
        <f>IFERROR(__xludf.DUMMYFUNCTION("""COMPUTED_VALUE"""),45635.534953703704)</f>
        <v>45635.53495</v>
      </c>
      <c r="H942" s="24" t="str">
        <f>IFERROR(VLOOKUP(B942,material!A:D,3,0),"")</f>
        <v>CARD</v>
      </c>
    </row>
    <row r="943" ht="11.25" customHeight="1">
      <c r="A943" s="21" t="str">
        <f>IFERROR(__xludf.DUMMYFUNCTION("""COMPUTED_VALUE"""),"SMART CARD PRETO NAGRA")</f>
        <v>SMART CARD PRETO NAGRA</v>
      </c>
      <c r="B943" s="22">
        <f>IFERROR(__xludf.DUMMYFUNCTION("""COMPUTED_VALUE"""),4.1001234E7)</f>
        <v>41001234</v>
      </c>
      <c r="C943" s="21" t="str">
        <f>IFERROR(__xludf.DUMMYFUNCTION("""COMPUTED_VALUE"""),"226025401417")</f>
        <v>226025401417</v>
      </c>
      <c r="D943" s="21" t="str">
        <f>IFERROR(__xludf.DUMMYFUNCTION("""COMPUTED_VALUE"""),"DIGITEC TECNOLOGIA DIGITAL E REPRES")</f>
        <v>DIGITEC TECNOLOGIA DIGITAL E REPRES</v>
      </c>
      <c r="E943" s="21">
        <f>IFERROR(__xludf.DUMMYFUNCTION("""COMPUTED_VALUE"""),145359.0)</f>
        <v>145359</v>
      </c>
      <c r="F943" s="21" t="str">
        <f>IFERROR(__xludf.DUMMYFUNCTION("""COMPUTED_VALUE"""),"INICIALIZADO")</f>
        <v>INICIALIZADO</v>
      </c>
      <c r="G943" s="23">
        <f>IFERROR(__xludf.DUMMYFUNCTION("""COMPUTED_VALUE"""),45642.52410879629)</f>
        <v>45642.52411</v>
      </c>
      <c r="H943" s="24" t="str">
        <f>IFERROR(VLOOKUP(B943,material!A:D,3,0),"")</f>
        <v>CARD</v>
      </c>
    </row>
    <row r="944" ht="11.25" customHeight="1">
      <c r="A944" s="21" t="str">
        <f>IFERROR(__xludf.DUMMYFUNCTION("""COMPUTED_VALUE"""),"SMART CARD PRETO NAGRA")</f>
        <v>SMART CARD PRETO NAGRA</v>
      </c>
      <c r="B944" s="22">
        <f>IFERROR(__xludf.DUMMYFUNCTION("""COMPUTED_VALUE"""),4.1001234E7)</f>
        <v>41001234</v>
      </c>
      <c r="C944" s="21" t="str">
        <f>IFERROR(__xludf.DUMMYFUNCTION("""COMPUTED_VALUE"""),"226159418604")</f>
        <v>226159418604</v>
      </c>
      <c r="D944" s="21" t="str">
        <f>IFERROR(__xludf.DUMMYFUNCTION("""COMPUTED_VALUE"""),"DIGITEC TECNOLOGIA DIGITAL E REPRES")</f>
        <v>DIGITEC TECNOLOGIA DIGITAL E REPRES</v>
      </c>
      <c r="E944" s="21">
        <f>IFERROR(__xludf.DUMMYFUNCTION("""COMPUTED_VALUE"""),145359.0)</f>
        <v>145359</v>
      </c>
      <c r="F944" s="21" t="str">
        <f>IFERROR(__xludf.DUMMYFUNCTION("""COMPUTED_VALUE"""),"INICIALIZADO")</f>
        <v>INICIALIZADO</v>
      </c>
      <c r="G944" s="23">
        <f>IFERROR(__xludf.DUMMYFUNCTION("""COMPUTED_VALUE"""),45635.53494212963)</f>
        <v>45635.53494</v>
      </c>
      <c r="H944" s="24" t="str">
        <f>IFERROR(VLOOKUP(B944,material!A:D,3,0),"")</f>
        <v>CARD</v>
      </c>
    </row>
    <row r="945" ht="11.25" customHeight="1">
      <c r="A945" s="21" t="str">
        <f>IFERROR(__xludf.DUMMYFUNCTION("""COMPUTED_VALUE"""),"SMART CARD PRETO NAGRA")</f>
        <v>SMART CARD PRETO NAGRA</v>
      </c>
      <c r="B945" s="22">
        <f>IFERROR(__xludf.DUMMYFUNCTION("""COMPUTED_VALUE"""),4.1001234E7)</f>
        <v>41001234</v>
      </c>
      <c r="C945" s="21" t="str">
        <f>IFERROR(__xludf.DUMMYFUNCTION("""COMPUTED_VALUE"""),"226181494361")</f>
        <v>226181494361</v>
      </c>
      <c r="D945" s="21" t="str">
        <f>IFERROR(__xludf.DUMMYFUNCTION("""COMPUTED_VALUE"""),"DIGITEC TECNOLOGIA DIGITAL E REPRES")</f>
        <v>DIGITEC TECNOLOGIA DIGITAL E REPRES</v>
      </c>
      <c r="E945" s="21">
        <f>IFERROR(__xludf.DUMMYFUNCTION("""COMPUTED_VALUE"""),145359.0)</f>
        <v>145359</v>
      </c>
      <c r="F945" s="21" t="str">
        <f>IFERROR(__xludf.DUMMYFUNCTION("""COMPUTED_VALUE"""),"INICIALIZADO")</f>
        <v>INICIALIZADO</v>
      </c>
      <c r="G945" s="23">
        <f>IFERROR(__xludf.DUMMYFUNCTION("""COMPUTED_VALUE"""),45635.53493055556)</f>
        <v>45635.53493</v>
      </c>
      <c r="H945" s="24" t="str">
        <f>IFERROR(VLOOKUP(B945,material!A:D,3,0),"")</f>
        <v>CARD</v>
      </c>
    </row>
    <row r="946" ht="11.25" customHeight="1">
      <c r="A946" s="21" t="str">
        <f>IFERROR(__xludf.DUMMYFUNCTION("""COMPUTED_VALUE"""),"SMART CARD PRETO NAGRA")</f>
        <v>SMART CARD PRETO NAGRA</v>
      </c>
      <c r="B946" s="22">
        <f>IFERROR(__xludf.DUMMYFUNCTION("""COMPUTED_VALUE"""),4.1001234E7)</f>
        <v>41001234</v>
      </c>
      <c r="C946" s="21" t="str">
        <f>IFERROR(__xludf.DUMMYFUNCTION("""COMPUTED_VALUE"""),"226324639801")</f>
        <v>226324639801</v>
      </c>
      <c r="D946" s="21" t="str">
        <f>IFERROR(__xludf.DUMMYFUNCTION("""COMPUTED_VALUE"""),"DIGITEC TECNOLOGIA DIGITAL E REPRES")</f>
        <v>DIGITEC TECNOLOGIA DIGITAL E REPRES</v>
      </c>
      <c r="E946" s="21">
        <f>IFERROR(__xludf.DUMMYFUNCTION("""COMPUTED_VALUE"""),145359.0)</f>
        <v>145359</v>
      </c>
      <c r="F946" s="21" t="str">
        <f>IFERROR(__xludf.DUMMYFUNCTION("""COMPUTED_VALUE"""),"INICIALIZADO")</f>
        <v>INICIALIZADO</v>
      </c>
      <c r="G946" s="23">
        <f>IFERROR(__xludf.DUMMYFUNCTION("""COMPUTED_VALUE"""),45635.53497685185)</f>
        <v>45635.53498</v>
      </c>
      <c r="H946" s="24" t="str">
        <f>IFERROR(VLOOKUP(B946,material!A:D,3,0),"")</f>
        <v>CARD</v>
      </c>
    </row>
    <row r="947" ht="11.25" customHeight="1">
      <c r="A947" s="21" t="str">
        <f>IFERROR(__xludf.DUMMYFUNCTION("""COMPUTED_VALUE"""),"SMART CARD PRETO NAGRA")</f>
        <v>SMART CARD PRETO NAGRA</v>
      </c>
      <c r="B947" s="22">
        <f>IFERROR(__xludf.DUMMYFUNCTION("""COMPUTED_VALUE"""),4.1001234E7)</f>
        <v>41001234</v>
      </c>
      <c r="C947" s="21" t="str">
        <f>IFERROR(__xludf.DUMMYFUNCTION("""COMPUTED_VALUE"""),"226392798495")</f>
        <v>226392798495</v>
      </c>
      <c r="D947" s="21" t="str">
        <f>IFERROR(__xludf.DUMMYFUNCTION("""COMPUTED_VALUE"""),"DIGITEC TECNOLOGIA DIGITAL E REPRES")</f>
        <v>DIGITEC TECNOLOGIA DIGITAL E REPRES</v>
      </c>
      <c r="E947" s="21">
        <f>IFERROR(__xludf.DUMMYFUNCTION("""COMPUTED_VALUE"""),145359.0)</f>
        <v>145359</v>
      </c>
      <c r="F947" s="21" t="str">
        <f>IFERROR(__xludf.DUMMYFUNCTION("""COMPUTED_VALUE"""),"INICIALIZADO")</f>
        <v>INICIALIZADO</v>
      </c>
      <c r="G947" s="23">
        <f>IFERROR(__xludf.DUMMYFUNCTION("""COMPUTED_VALUE"""),45635.534953703704)</f>
        <v>45635.53495</v>
      </c>
      <c r="H947" s="24" t="str">
        <f>IFERROR(VLOOKUP(B947,material!A:D,3,0),"")</f>
        <v>CARD</v>
      </c>
    </row>
    <row r="948" ht="11.25" customHeight="1">
      <c r="A948" s="21" t="str">
        <f>IFERROR(__xludf.DUMMYFUNCTION("""COMPUTED_VALUE"""),"SMART CARD PRETO NAGRA")</f>
        <v>SMART CARD PRETO NAGRA</v>
      </c>
      <c r="B948" s="22">
        <f>IFERROR(__xludf.DUMMYFUNCTION("""COMPUTED_VALUE"""),4.1001234E7)</f>
        <v>41001234</v>
      </c>
      <c r="C948" s="21" t="str">
        <f>IFERROR(__xludf.DUMMYFUNCTION("""COMPUTED_VALUE"""),"226269831232")</f>
        <v>226269831232</v>
      </c>
      <c r="D948" s="21" t="str">
        <f>IFERROR(__xludf.DUMMYFUNCTION("""COMPUTED_VALUE"""),"DIGITEC TECNOLOGIA DIGITAL E REPRES")</f>
        <v>DIGITEC TECNOLOGIA DIGITAL E REPRES</v>
      </c>
      <c r="E948" s="21">
        <f>IFERROR(__xludf.DUMMYFUNCTION("""COMPUTED_VALUE"""),145359.0)</f>
        <v>145359</v>
      </c>
      <c r="F948" s="21" t="str">
        <f>IFERROR(__xludf.DUMMYFUNCTION("""COMPUTED_VALUE"""),"INICIALIZADO")</f>
        <v>INICIALIZADO</v>
      </c>
      <c r="G948" s="23">
        <f>IFERROR(__xludf.DUMMYFUNCTION("""COMPUTED_VALUE"""),45600.47594907407)</f>
        <v>45600.47595</v>
      </c>
      <c r="H948" s="24" t="str">
        <f>IFERROR(VLOOKUP(B948,material!A:D,3,0),"")</f>
        <v>CARD</v>
      </c>
    </row>
    <row r="949" ht="11.25" customHeight="1">
      <c r="A949" s="21" t="str">
        <f>IFERROR(__xludf.DUMMYFUNCTION("""COMPUTED_VALUE"""),"SMART CARD LARANJA NAGRA")</f>
        <v>SMART CARD LARANJA NAGRA</v>
      </c>
      <c r="B949" s="22">
        <f>IFERROR(__xludf.DUMMYFUNCTION("""COMPUTED_VALUE"""),4.1001186E7)</f>
        <v>41001186</v>
      </c>
      <c r="C949" s="21" t="str">
        <f>IFERROR(__xludf.DUMMYFUNCTION("""COMPUTED_VALUE"""),"215775889595")</f>
        <v>215775889595</v>
      </c>
      <c r="D949" s="21" t="str">
        <f>IFERROR(__xludf.DUMMYFUNCTION("""COMPUTED_VALUE"""),"DIGITEC TECNOLOGIA DIGITAL E REPRES")</f>
        <v>DIGITEC TECNOLOGIA DIGITAL E REPRES</v>
      </c>
      <c r="E949" s="21">
        <f>IFERROR(__xludf.DUMMYFUNCTION("""COMPUTED_VALUE"""),145359.0)</f>
        <v>145359</v>
      </c>
      <c r="F949" s="21" t="str">
        <f>IFERROR(__xludf.DUMMYFUNCTION("""COMPUTED_VALUE"""),"SUCATA")</f>
        <v>SUCATA</v>
      </c>
      <c r="G949" s="23">
        <f>IFERROR(__xludf.DUMMYFUNCTION("""COMPUTED_VALUE"""),45075.62225694444)</f>
        <v>45075.62226</v>
      </c>
      <c r="H949" s="24" t="str">
        <f>IFERROR(VLOOKUP(B949,material!A:D,3,0),"")</f>
        <v>CARD</v>
      </c>
    </row>
    <row r="950" ht="11.25" customHeight="1">
      <c r="A950" s="21" t="str">
        <f>IFERROR(__xludf.DUMMYFUNCTION("""COMPUTED_VALUE"""),"DECODER DIGITAL HD HNB100 2T")</f>
        <v>DECODER DIGITAL HD HNB100 2T</v>
      </c>
      <c r="B950" s="22">
        <f>IFERROR(__xludf.DUMMYFUNCTION("""COMPUTED_VALUE"""),4.1001276E7)</f>
        <v>41001276</v>
      </c>
      <c r="C950" s="21" t="str">
        <f>IFERROR(__xludf.DUMMYFUNCTION("""COMPUTED_VALUE"""),"216393007376")</f>
        <v>216393007376</v>
      </c>
      <c r="D950" s="21" t="str">
        <f>IFERROR(__xludf.DUMMYFUNCTION("""COMPUTED_VALUE"""),"DIGITEC TECNOLOGIA DIGITAL E REPRES")</f>
        <v>DIGITEC TECNOLOGIA DIGITAL E REPRES</v>
      </c>
      <c r="E950" s="21">
        <f>IFERROR(__xludf.DUMMYFUNCTION("""COMPUTED_VALUE"""),145359.0)</f>
        <v>145359</v>
      </c>
      <c r="F950" s="21" t="str">
        <f>IFERROR(__xludf.DUMMYFUNCTION("""COMPUTED_VALUE"""),"INICIALIZADO")</f>
        <v>INICIALIZADO</v>
      </c>
      <c r="G950" s="23">
        <f>IFERROR(__xludf.DUMMYFUNCTION("""COMPUTED_VALUE"""),45642.52413194445)</f>
        <v>45642.52413</v>
      </c>
      <c r="H950" s="24" t="str">
        <f>IFERROR(VLOOKUP(B950,material!A:D,3,0),"")</f>
        <v>TOP MIX</v>
      </c>
    </row>
    <row r="951" ht="11.25" customHeight="1">
      <c r="A951" s="21" t="str">
        <f>IFERROR(__xludf.DUMMYFUNCTION("""COMPUTED_VALUE"""),"SMART CARD PRETO NAGRA")</f>
        <v>SMART CARD PRETO NAGRA</v>
      </c>
      <c r="B951" s="22">
        <f>IFERROR(__xludf.DUMMYFUNCTION("""COMPUTED_VALUE"""),4.1001234E7)</f>
        <v>41001234</v>
      </c>
      <c r="C951" s="21" t="str">
        <f>IFERROR(__xludf.DUMMYFUNCTION("""COMPUTED_VALUE"""),"246247479094")</f>
        <v>246247479094</v>
      </c>
      <c r="D951" s="21" t="str">
        <f>IFERROR(__xludf.DUMMYFUNCTION("""COMPUTED_VALUE"""),"DIGITEC TECNOLOGIA DIGITAL E REPRES")</f>
        <v>DIGITEC TECNOLOGIA DIGITAL E REPRES</v>
      </c>
      <c r="E951" s="21">
        <f>IFERROR(__xludf.DUMMYFUNCTION("""COMPUTED_VALUE"""),145359.0)</f>
        <v>145359</v>
      </c>
      <c r="F951" s="21" t="str">
        <f>IFERROR(__xludf.DUMMYFUNCTION("""COMPUTED_VALUE"""),"INICIALIZADO")</f>
        <v>INICIALIZADO</v>
      </c>
      <c r="G951" s="23">
        <f>IFERROR(__xludf.DUMMYFUNCTION("""COMPUTED_VALUE"""),45635.53493055556)</f>
        <v>45635.53493</v>
      </c>
      <c r="H951" s="24" t="str">
        <f>IFERROR(VLOOKUP(B951,material!A:D,3,0),"")</f>
        <v>CARD</v>
      </c>
    </row>
    <row r="952" ht="11.25" customHeight="1">
      <c r="A952" s="21" t="str">
        <f>IFERROR(__xludf.DUMMYFUNCTION("""COMPUTED_VALUE"""),"SMART CARD PRETO NAGRA")</f>
        <v>SMART CARD PRETO NAGRA</v>
      </c>
      <c r="B952" s="22">
        <f>IFERROR(__xludf.DUMMYFUNCTION("""COMPUTED_VALUE"""),4.1001234E7)</f>
        <v>41001234</v>
      </c>
      <c r="C952" s="21" t="str">
        <f>IFERROR(__xludf.DUMMYFUNCTION("""COMPUTED_VALUE"""),"226295759104")</f>
        <v>226295759104</v>
      </c>
      <c r="D952" s="21" t="str">
        <f>IFERROR(__xludf.DUMMYFUNCTION("""COMPUTED_VALUE"""),"DIGITEC TECNOLOGIA DIGITAL E REPRES")</f>
        <v>DIGITEC TECNOLOGIA DIGITAL E REPRES</v>
      </c>
      <c r="E952" s="21">
        <f>IFERROR(__xludf.DUMMYFUNCTION("""COMPUTED_VALUE"""),145359.0)</f>
        <v>145359</v>
      </c>
      <c r="F952" s="21" t="str">
        <f>IFERROR(__xludf.DUMMYFUNCTION("""COMPUTED_VALUE"""),"INICIALIZADO")</f>
        <v>INICIALIZADO</v>
      </c>
      <c r="G952" s="23">
        <f>IFERROR(__xludf.DUMMYFUNCTION("""COMPUTED_VALUE"""),45618.65201388889)</f>
        <v>45618.65201</v>
      </c>
      <c r="H952" s="24" t="str">
        <f>IFERROR(VLOOKUP(B952,material!A:D,3,0),"")</f>
        <v>CARD</v>
      </c>
    </row>
    <row r="953" ht="11.25" customHeight="1">
      <c r="A953" s="21" t="str">
        <f>IFERROR(__xludf.DUMMYFUNCTION("""COMPUTED_VALUE"""),"DECODER DIGITAL HD HNB100 2T")</f>
        <v>DECODER DIGITAL HD HNB100 2T</v>
      </c>
      <c r="B953" s="22">
        <f>IFERROR(__xludf.DUMMYFUNCTION("""COMPUTED_VALUE"""),4.1001276E7)</f>
        <v>41001276</v>
      </c>
      <c r="C953" s="21" t="str">
        <f>IFERROR(__xludf.DUMMYFUNCTION("""COMPUTED_VALUE"""),"216544464459")</f>
        <v>216544464459</v>
      </c>
      <c r="D953" s="21" t="str">
        <f>IFERROR(__xludf.DUMMYFUNCTION("""COMPUTED_VALUE"""),"DIGITEC TECNOLOGIA DIGITAL E REPRES")</f>
        <v>DIGITEC TECNOLOGIA DIGITAL E REPRES</v>
      </c>
      <c r="E953" s="21">
        <f>IFERROR(__xludf.DUMMYFUNCTION("""COMPUTED_VALUE"""),145359.0)</f>
        <v>145359</v>
      </c>
      <c r="F953" s="21" t="str">
        <f>IFERROR(__xludf.DUMMYFUNCTION("""COMPUTED_VALUE"""),"INICIALIZADO")</f>
        <v>INICIALIZADO</v>
      </c>
      <c r="G953" s="23">
        <f>IFERROR(__xludf.DUMMYFUNCTION("""COMPUTED_VALUE"""),45635.53508101852)</f>
        <v>45635.53508</v>
      </c>
      <c r="H953" s="24" t="str">
        <f>IFERROR(VLOOKUP(B953,material!A:D,3,0),"")</f>
        <v>TOP MIX</v>
      </c>
    </row>
    <row r="954" ht="11.25" customHeight="1">
      <c r="A954" s="21" t="str">
        <f>IFERROR(__xludf.DUMMYFUNCTION("""COMPUTED_VALUE"""),"DECODER DIGITAL HD DXC5000 2T")</f>
        <v>DECODER DIGITAL HD DXC5000 2T</v>
      </c>
      <c r="B954" s="22">
        <f>IFERROR(__xludf.DUMMYFUNCTION("""COMPUTED_VALUE"""),4.1001277E7)</f>
        <v>41001277</v>
      </c>
      <c r="C954" s="21" t="str">
        <f>IFERROR(__xludf.DUMMYFUNCTION("""COMPUTED_VALUE"""),"216425096782")</f>
        <v>216425096782</v>
      </c>
      <c r="D954" s="21" t="str">
        <f>IFERROR(__xludf.DUMMYFUNCTION("""COMPUTED_VALUE"""),"DIGITEC TECNOLOGIA DIGITAL E REPRES")</f>
        <v>DIGITEC TECNOLOGIA DIGITAL E REPRES</v>
      </c>
      <c r="E954" s="21">
        <f>IFERROR(__xludf.DUMMYFUNCTION("""COMPUTED_VALUE"""),145359.0)</f>
        <v>145359</v>
      </c>
      <c r="F954" s="21" t="str">
        <f>IFERROR(__xludf.DUMMYFUNCTION("""COMPUTED_VALUE"""),"INICIALIZADO")</f>
        <v>INICIALIZADO</v>
      </c>
      <c r="G954" s="23">
        <f>IFERROR(__xludf.DUMMYFUNCTION("""COMPUTED_VALUE"""),45594.64795138889)</f>
        <v>45594.64795</v>
      </c>
      <c r="H954" s="24" t="str">
        <f>IFERROR(VLOOKUP(B954,material!A:D,3,0),"")</f>
        <v>TOP MIX</v>
      </c>
    </row>
    <row r="955" ht="11.25" customHeight="1">
      <c r="A955" s="21" t="str">
        <f>IFERROR(__xludf.DUMMYFUNCTION("""COMPUTED_VALUE"""),"HUMAX HG100R-L4")</f>
        <v>HUMAX HG100R-L4</v>
      </c>
      <c r="B955" s="22">
        <f>IFERROR(__xludf.DUMMYFUNCTION("""COMPUTED_VALUE"""),4.1001288E7)</f>
        <v>41001288</v>
      </c>
      <c r="C955" s="21" t="str">
        <f>IFERROR(__xludf.DUMMYFUNCTION("""COMPUTED_VALUE"""),"4CD08A6787B0")</f>
        <v>4CD08A6787B0</v>
      </c>
      <c r="D955" s="21" t="str">
        <f>IFERROR(__xludf.DUMMYFUNCTION("""COMPUTED_VALUE"""),"DIGITEC TECNOLOGIA DIGITAL E REPRES")</f>
        <v>DIGITEC TECNOLOGIA DIGITAL E REPRES</v>
      </c>
      <c r="E955" s="21">
        <f>IFERROR(__xludf.DUMMYFUNCTION("""COMPUTED_VALUE"""),145359.0)</f>
        <v>145359</v>
      </c>
      <c r="F955" s="21" t="str">
        <f>IFERROR(__xludf.DUMMYFUNCTION("""COMPUTED_VALUE"""),"INICIALIZADO")</f>
        <v>INICIALIZADO</v>
      </c>
      <c r="G955" s="23">
        <f>IFERROR(__xludf.DUMMYFUNCTION("""COMPUTED_VALUE"""),44999.92971064815)</f>
        <v>44999.92971</v>
      </c>
      <c r="H955" s="24" t="str">
        <f>IFERROR(VLOOKUP(B955,material!A:D,3,0),"")</f>
        <v>SINGLE</v>
      </c>
    </row>
    <row r="956" ht="11.25" customHeight="1">
      <c r="A956" s="21" t="str">
        <f>IFERROR(__xludf.DUMMYFUNCTION("""COMPUTED_VALUE"""),"SMART CARD PRETO NAGRA")</f>
        <v>SMART CARD PRETO NAGRA</v>
      </c>
      <c r="B956" s="22">
        <f>IFERROR(__xludf.DUMMYFUNCTION("""COMPUTED_VALUE"""),4.1001234E7)</f>
        <v>41001234</v>
      </c>
      <c r="C956" s="21" t="str">
        <f>IFERROR(__xludf.DUMMYFUNCTION("""COMPUTED_VALUE"""),"226186164547")</f>
        <v>226186164547</v>
      </c>
      <c r="D956" s="21" t="str">
        <f>IFERROR(__xludf.DUMMYFUNCTION("""COMPUTED_VALUE"""),"DIGITEC TECNOLOGIA DIGITAL E REPRES")</f>
        <v>DIGITEC TECNOLOGIA DIGITAL E REPRES</v>
      </c>
      <c r="E956" s="21">
        <f>IFERROR(__xludf.DUMMYFUNCTION("""COMPUTED_VALUE"""),145359.0)</f>
        <v>145359</v>
      </c>
      <c r="F956" s="21" t="str">
        <f>IFERROR(__xludf.DUMMYFUNCTION("""COMPUTED_VALUE"""),"INICIALIZADO")</f>
        <v>INICIALIZADO</v>
      </c>
      <c r="G956" s="23">
        <f>IFERROR(__xludf.DUMMYFUNCTION("""COMPUTED_VALUE"""),45642.52410879629)</f>
        <v>45642.52411</v>
      </c>
      <c r="H956" s="24" t="str">
        <f>IFERROR(VLOOKUP(B956,material!A:D,3,0),"")</f>
        <v>CARD</v>
      </c>
    </row>
    <row r="957" ht="11.25" customHeight="1">
      <c r="A957" s="21" t="str">
        <f>IFERROR(__xludf.DUMMYFUNCTION("""COMPUTED_VALUE"""),"SMART CARD PRETO NAGRA")</f>
        <v>SMART CARD PRETO NAGRA</v>
      </c>
      <c r="B957" s="22">
        <f>IFERROR(__xludf.DUMMYFUNCTION("""COMPUTED_VALUE"""),4.1001234E7)</f>
        <v>41001234</v>
      </c>
      <c r="C957" s="21" t="str">
        <f>IFERROR(__xludf.DUMMYFUNCTION("""COMPUTED_VALUE"""),"246204312133")</f>
        <v>246204312133</v>
      </c>
      <c r="D957" s="21" t="str">
        <f>IFERROR(__xludf.DUMMYFUNCTION("""COMPUTED_VALUE"""),"DIGITEC TECNOLOGIA DIGITAL E REPRES")</f>
        <v>DIGITEC TECNOLOGIA DIGITAL E REPRES</v>
      </c>
      <c r="E957" s="21">
        <f>IFERROR(__xludf.DUMMYFUNCTION("""COMPUTED_VALUE"""),145359.0)</f>
        <v>145359</v>
      </c>
      <c r="F957" s="21" t="str">
        <f>IFERROR(__xludf.DUMMYFUNCTION("""COMPUTED_VALUE"""),"INICIALIZADO")</f>
        <v>INICIALIZADO</v>
      </c>
      <c r="G957" s="23">
        <f>IFERROR(__xludf.DUMMYFUNCTION("""COMPUTED_VALUE"""),45635.534895833334)</f>
        <v>45635.5349</v>
      </c>
      <c r="H957" s="24" t="str">
        <f>IFERROR(VLOOKUP(B957,material!A:D,3,0),"")</f>
        <v>CARD</v>
      </c>
    </row>
    <row r="958" ht="11.25" customHeight="1">
      <c r="A958" s="21" t="str">
        <f>IFERROR(__xludf.DUMMYFUNCTION("""COMPUTED_VALUE"""),"DECODER DIGITAL HD DXC5000 2T")</f>
        <v>DECODER DIGITAL HD DXC5000 2T</v>
      </c>
      <c r="B958" s="22">
        <f>IFERROR(__xludf.DUMMYFUNCTION("""COMPUTED_VALUE"""),4.1001277E7)</f>
        <v>41001277</v>
      </c>
      <c r="C958" s="21" t="str">
        <f>IFERROR(__xludf.DUMMYFUNCTION("""COMPUTED_VALUE"""),"216787908688")</f>
        <v>216787908688</v>
      </c>
      <c r="D958" s="21" t="str">
        <f>IFERROR(__xludf.DUMMYFUNCTION("""COMPUTED_VALUE"""),"DIGITEC TECNOLOGIA DIGITAL E REPRES")</f>
        <v>DIGITEC TECNOLOGIA DIGITAL E REPRES</v>
      </c>
      <c r="E958" s="21">
        <f>IFERROR(__xludf.DUMMYFUNCTION("""COMPUTED_VALUE"""),145359.0)</f>
        <v>145359</v>
      </c>
      <c r="F958" s="21" t="str">
        <f>IFERROR(__xludf.DUMMYFUNCTION("""COMPUTED_VALUE"""),"TRANSITO REVERSA")</f>
        <v>TRANSITO REVERSA</v>
      </c>
      <c r="G958" s="23">
        <f>IFERROR(__xludf.DUMMYFUNCTION("""COMPUTED_VALUE"""),45638.52060185185)</f>
        <v>45638.5206</v>
      </c>
      <c r="H958" s="24" t="str">
        <f>IFERROR(VLOOKUP(B958,material!A:D,3,0),"")</f>
        <v>TOP MIX</v>
      </c>
    </row>
    <row r="959" ht="11.25" customHeight="1">
      <c r="A959" s="21" t="str">
        <f>IFERROR(__xludf.DUMMYFUNCTION("""COMPUTED_VALUE"""),"HUMAX HG100R-L4")</f>
        <v>HUMAX HG100R-L4</v>
      </c>
      <c r="B959" s="22">
        <f>IFERROR(__xludf.DUMMYFUNCTION("""COMPUTED_VALUE"""),4.1001288E7)</f>
        <v>41001288</v>
      </c>
      <c r="C959" s="21" t="str">
        <f>IFERROR(__xludf.DUMMYFUNCTION("""COMPUTED_VALUE"""),"4CD08A97686A")</f>
        <v>4CD08A97686A</v>
      </c>
      <c r="D959" s="21" t="str">
        <f>IFERROR(__xludf.DUMMYFUNCTION("""COMPUTED_VALUE"""),"DIGITEC TECNOLOGIA DIGITAL E REPRES")</f>
        <v>DIGITEC TECNOLOGIA DIGITAL E REPRES</v>
      </c>
      <c r="E959" s="21">
        <f>IFERROR(__xludf.DUMMYFUNCTION("""COMPUTED_VALUE"""),145359.0)</f>
        <v>145359</v>
      </c>
      <c r="F959" s="21" t="str">
        <f>IFERROR(__xludf.DUMMYFUNCTION("""COMPUTED_VALUE"""),"INICIALIZADO")</f>
        <v>INICIALIZADO</v>
      </c>
      <c r="G959" s="23">
        <f>IFERROR(__xludf.DUMMYFUNCTION("""COMPUTED_VALUE"""),44999.92971064815)</f>
        <v>44999.92971</v>
      </c>
      <c r="H959" s="24" t="str">
        <f>IFERROR(VLOOKUP(B959,material!A:D,3,0),"")</f>
        <v>SINGLE</v>
      </c>
    </row>
    <row r="960" ht="11.25" customHeight="1">
      <c r="A960" s="21" t="str">
        <f>IFERROR(__xludf.DUMMYFUNCTION("""COMPUTED_VALUE"""),"PACE - DCR HIGH DEFINITION")</f>
        <v>PACE - DCR HIGH DEFINITION</v>
      </c>
      <c r="B960" s="22">
        <f>IFERROR(__xludf.DUMMYFUNCTION("""COMPUTED_VALUE"""),4.1001272E7)</f>
        <v>41001272</v>
      </c>
      <c r="C960" s="21" t="str">
        <f>IFERROR(__xludf.DUMMYFUNCTION("""COMPUTED_VALUE"""),"172429141132")</f>
        <v>172429141132</v>
      </c>
      <c r="D960" s="21" t="str">
        <f>IFERROR(__xludf.DUMMYFUNCTION("""COMPUTED_VALUE"""),"DIGITEC TECNOLOGIA DIGITAL E REPRES")</f>
        <v>DIGITEC TECNOLOGIA DIGITAL E REPRES</v>
      </c>
      <c r="E960" s="21">
        <f>IFERROR(__xludf.DUMMYFUNCTION("""COMPUTED_VALUE"""),145359.0)</f>
        <v>145359</v>
      </c>
      <c r="F960" s="21" t="str">
        <f>IFERROR(__xludf.DUMMYFUNCTION("""COMPUTED_VALUE"""),"TRANSITO REVERSA")</f>
        <v>TRANSITO REVERSA</v>
      </c>
      <c r="G960" s="23">
        <f>IFERROR(__xludf.DUMMYFUNCTION("""COMPUTED_VALUE"""),45638.52111111111)</f>
        <v>45638.52111</v>
      </c>
      <c r="H960" s="24" t="str">
        <f>IFERROR(VLOOKUP(B960,material!A:D,3,0),"")</f>
        <v>LEGADO</v>
      </c>
    </row>
    <row r="961" ht="11.25" customHeight="1">
      <c r="A961" s="21" t="str">
        <f>IFERROR(__xludf.DUMMYFUNCTION("""COMPUTED_VALUE"""),"ARRIS TG1692A")</f>
        <v>ARRIS TG1692A</v>
      </c>
      <c r="B961" s="22">
        <f>IFERROR(__xludf.DUMMYFUNCTION("""COMPUTED_VALUE"""),4.1001293E7)</f>
        <v>41001293</v>
      </c>
      <c r="C961" s="21" t="str">
        <f>IFERROR(__xludf.DUMMYFUNCTION("""COMPUTED_VALUE"""),"B0DAF94E2C2B")</f>
        <v>B0DAF94E2C2B</v>
      </c>
      <c r="D961" s="21" t="str">
        <f>IFERROR(__xludf.DUMMYFUNCTION("""COMPUTED_VALUE"""),"DIGITEC TECNOLOGIA DIGITAL E REPRES")</f>
        <v>DIGITEC TECNOLOGIA DIGITAL E REPRES</v>
      </c>
      <c r="E961" s="21">
        <f>IFERROR(__xludf.DUMMYFUNCTION("""COMPUTED_VALUE"""),145359.0)</f>
        <v>145359</v>
      </c>
      <c r="F961" s="21" t="str">
        <f>IFERROR(__xludf.DUMMYFUNCTION("""COMPUTED_VALUE"""),"COM DEFEITO")</f>
        <v>COM DEFEITO</v>
      </c>
      <c r="G961" s="23">
        <f>IFERROR(__xludf.DUMMYFUNCTION("""COMPUTED_VALUE"""),45397.70769675926)</f>
        <v>45397.7077</v>
      </c>
      <c r="H961" s="24" t="str">
        <f>IFERROR(VLOOKUP(B961,material!A:D,3,0),"")</f>
        <v>DUAL</v>
      </c>
    </row>
    <row r="962" ht="11.25" customHeight="1">
      <c r="A962" s="21" t="str">
        <f>IFERROR(__xludf.DUMMYFUNCTION("""COMPUTED_VALUE"""),"SMART CARD PRETO NAGRA")</f>
        <v>SMART CARD PRETO NAGRA</v>
      </c>
      <c r="B962" s="22">
        <f>IFERROR(__xludf.DUMMYFUNCTION("""COMPUTED_VALUE"""),4.1001234E7)</f>
        <v>41001234</v>
      </c>
      <c r="C962" s="21" t="str">
        <f>IFERROR(__xludf.DUMMYFUNCTION("""COMPUTED_VALUE"""),"226056973544")</f>
        <v>226056973544</v>
      </c>
      <c r="D962" s="21" t="str">
        <f>IFERROR(__xludf.DUMMYFUNCTION("""COMPUTED_VALUE"""),"DIGITEC TECNOLOGIA DIGITAL E REPRES")</f>
        <v>DIGITEC TECNOLOGIA DIGITAL E REPRES</v>
      </c>
      <c r="E962" s="21">
        <f>IFERROR(__xludf.DUMMYFUNCTION("""COMPUTED_VALUE"""),145359.0)</f>
        <v>145359</v>
      </c>
      <c r="F962" s="21" t="str">
        <f>IFERROR(__xludf.DUMMYFUNCTION("""COMPUTED_VALUE"""),"INICIALIZADO")</f>
        <v>INICIALIZADO</v>
      </c>
      <c r="G962" s="23">
        <f>IFERROR(__xludf.DUMMYFUNCTION("""COMPUTED_VALUE"""),45635.53494212963)</f>
        <v>45635.53494</v>
      </c>
      <c r="H962" s="24" t="str">
        <f>IFERROR(VLOOKUP(B962,material!A:D,3,0),"")</f>
        <v>CARD</v>
      </c>
    </row>
    <row r="963" ht="11.25" customHeight="1">
      <c r="A963" s="21" t="str">
        <f>IFERROR(__xludf.DUMMYFUNCTION("""COMPUTED_VALUE"""),"TECHNICOLOR TC7337NET")</f>
        <v>TECHNICOLOR TC7337NET</v>
      </c>
      <c r="B963" s="22">
        <f>IFERROR(__xludf.DUMMYFUNCTION("""COMPUTED_VALUE"""),4.1001294E7)</f>
        <v>41001294</v>
      </c>
      <c r="C963" s="21" t="str">
        <f>IFERROR(__xludf.DUMMYFUNCTION("""COMPUTED_VALUE"""),"54A65C9008C1")</f>
        <v>54A65C9008C1</v>
      </c>
      <c r="D963" s="21" t="str">
        <f>IFERROR(__xludf.DUMMYFUNCTION("""COMPUTED_VALUE"""),"DIGITEC TECNOLOGIA DIGITAL E REPRES")</f>
        <v>DIGITEC TECNOLOGIA DIGITAL E REPRES</v>
      </c>
      <c r="E963" s="21">
        <f>IFERROR(__xludf.DUMMYFUNCTION("""COMPUTED_VALUE"""),145359.0)</f>
        <v>145359</v>
      </c>
      <c r="F963" s="21" t="str">
        <f>IFERROR(__xludf.DUMMYFUNCTION("""COMPUTED_VALUE"""),"TRANSITO REVERSA")</f>
        <v>TRANSITO REVERSA</v>
      </c>
      <c r="G963" s="23">
        <f>IFERROR(__xludf.DUMMYFUNCTION("""COMPUTED_VALUE"""),45633.00398148148)</f>
        <v>45633.00398</v>
      </c>
      <c r="H963" s="24" t="str">
        <f>IFERROR(VLOOKUP(B963,material!A:D,3,0),"")</f>
        <v>DUAL</v>
      </c>
    </row>
    <row r="964" ht="11.25" customHeight="1">
      <c r="A964" s="21" t="str">
        <f>IFERROR(__xludf.DUMMYFUNCTION("""COMPUTED_VALUE"""),"TECHNICOLOR TC7337NET")</f>
        <v>TECHNICOLOR TC7337NET</v>
      </c>
      <c r="B964" s="22">
        <f>IFERROR(__xludf.DUMMYFUNCTION("""COMPUTED_VALUE"""),4.1001294E7)</f>
        <v>41001294</v>
      </c>
      <c r="C964" s="21" t="str">
        <f>IFERROR(__xludf.DUMMYFUNCTION("""COMPUTED_VALUE"""),"54A65C901C01")</f>
        <v>54A65C901C01</v>
      </c>
      <c r="D964" s="21" t="str">
        <f>IFERROR(__xludf.DUMMYFUNCTION("""COMPUTED_VALUE"""),"DIGITEC TECNOLOGIA DIGITAL E REPRES")</f>
        <v>DIGITEC TECNOLOGIA DIGITAL E REPRES</v>
      </c>
      <c r="E964" s="21">
        <f>IFERROR(__xludf.DUMMYFUNCTION("""COMPUTED_VALUE"""),145359.0)</f>
        <v>145359</v>
      </c>
      <c r="F964" s="21" t="str">
        <f>IFERROR(__xludf.DUMMYFUNCTION("""COMPUTED_VALUE"""),"TRANSITO REVERSA")</f>
        <v>TRANSITO REVERSA</v>
      </c>
      <c r="G964" s="23">
        <f>IFERROR(__xludf.DUMMYFUNCTION("""COMPUTED_VALUE"""),45638.52060185185)</f>
        <v>45638.5206</v>
      </c>
      <c r="H964" s="24" t="str">
        <f>IFERROR(VLOOKUP(B964,material!A:D,3,0),"")</f>
        <v>DUAL</v>
      </c>
    </row>
    <row r="965" ht="11.25" customHeight="1">
      <c r="A965" s="21" t="str">
        <f>IFERROR(__xludf.DUMMYFUNCTION("""COMPUTED_VALUE"""),"ARRIS TG1692A")</f>
        <v>ARRIS TG1692A</v>
      </c>
      <c r="B965" s="22">
        <f>IFERROR(__xludf.DUMMYFUNCTION("""COMPUTED_VALUE"""),4.1001293E7)</f>
        <v>41001293</v>
      </c>
      <c r="C965" s="21" t="str">
        <f>IFERROR(__xludf.DUMMYFUNCTION("""COMPUTED_VALUE"""),"BC644BE3047A")</f>
        <v>BC644BE3047A</v>
      </c>
      <c r="D965" s="21" t="str">
        <f>IFERROR(__xludf.DUMMYFUNCTION("""COMPUTED_VALUE"""),"DIGITEC TECNOLOGIA DIGITAL E REPRES")</f>
        <v>DIGITEC TECNOLOGIA DIGITAL E REPRES</v>
      </c>
      <c r="E965" s="21">
        <f>IFERROR(__xludf.DUMMYFUNCTION("""COMPUTED_VALUE"""),145359.0)</f>
        <v>145359</v>
      </c>
      <c r="F965" s="21" t="str">
        <f>IFERROR(__xludf.DUMMYFUNCTION("""COMPUTED_VALUE"""),"TRANSITO REVERSA")</f>
        <v>TRANSITO REVERSA</v>
      </c>
      <c r="G965" s="23">
        <f>IFERROR(__xludf.DUMMYFUNCTION("""COMPUTED_VALUE"""),45638.520578703705)</f>
        <v>45638.52058</v>
      </c>
      <c r="H965" s="24" t="str">
        <f>IFERROR(VLOOKUP(B965,material!A:D,3,0),"")</f>
        <v>DUAL</v>
      </c>
    </row>
    <row r="966" ht="11.25" customHeight="1">
      <c r="A966" s="21" t="str">
        <f>IFERROR(__xludf.DUMMYFUNCTION("""COMPUTED_VALUE"""),"DECODER HD DCI738 2T")</f>
        <v>DECODER HD DCI738 2T</v>
      </c>
      <c r="B966" s="22">
        <f>IFERROR(__xludf.DUMMYFUNCTION("""COMPUTED_VALUE"""),4.1001275E7)</f>
        <v>41001275</v>
      </c>
      <c r="C966" s="21" t="str">
        <f>IFERROR(__xludf.DUMMYFUNCTION("""COMPUTED_VALUE"""),"216527243957")</f>
        <v>216527243957</v>
      </c>
      <c r="D966" s="21" t="str">
        <f>IFERROR(__xludf.DUMMYFUNCTION("""COMPUTED_VALUE"""),"DIGITEC TECNOLOGIA DIGITAL E REPRES")</f>
        <v>DIGITEC TECNOLOGIA DIGITAL E REPRES</v>
      </c>
      <c r="E966" s="21">
        <f>IFERROR(__xludf.DUMMYFUNCTION("""COMPUTED_VALUE"""),145359.0)</f>
        <v>145359</v>
      </c>
      <c r="F966" s="21" t="str">
        <f>IFERROR(__xludf.DUMMYFUNCTION("""COMPUTED_VALUE"""),"TRANSITO REVERSA")</f>
        <v>TRANSITO REVERSA</v>
      </c>
      <c r="G966" s="23">
        <f>IFERROR(__xludf.DUMMYFUNCTION("""COMPUTED_VALUE"""),45638.52059027778)</f>
        <v>45638.52059</v>
      </c>
      <c r="H966" s="24" t="str">
        <f>IFERROR(VLOOKUP(B966,material!A:D,3,0),"")</f>
        <v>TOP MIX</v>
      </c>
    </row>
    <row r="967" ht="11.25" customHeight="1">
      <c r="A967" s="21" t="str">
        <f>IFERROR(__xludf.DUMMYFUNCTION("""COMPUTED_VALUE"""),"SMART CARD LARANJA NAGRA")</f>
        <v>SMART CARD LARANJA NAGRA</v>
      </c>
      <c r="B967" s="22">
        <f>IFERROR(__xludf.DUMMYFUNCTION("""COMPUTED_VALUE"""),4.1001186E7)</f>
        <v>41001186</v>
      </c>
      <c r="C967" s="21" t="str">
        <f>IFERROR(__xludf.DUMMYFUNCTION("""COMPUTED_VALUE"""),"226617322036")</f>
        <v>226617322036</v>
      </c>
      <c r="D967" s="21" t="str">
        <f>IFERROR(__xludf.DUMMYFUNCTION("""COMPUTED_VALUE"""),"DIGITEC TECNOLOGIA DIGITAL E REPRES")</f>
        <v>DIGITEC TECNOLOGIA DIGITAL E REPRES</v>
      </c>
      <c r="E967" s="21">
        <f>IFERROR(__xludf.DUMMYFUNCTION("""COMPUTED_VALUE"""),145359.0)</f>
        <v>145359</v>
      </c>
      <c r="F967" s="21" t="str">
        <f>IFERROR(__xludf.DUMMYFUNCTION("""COMPUTED_VALUE"""),"SUCATA")</f>
        <v>SUCATA</v>
      </c>
      <c r="G967" s="23">
        <f>IFERROR(__xludf.DUMMYFUNCTION("""COMPUTED_VALUE"""),45075.599131944444)</f>
        <v>45075.59913</v>
      </c>
      <c r="H967" s="24" t="str">
        <f>IFERROR(VLOOKUP(B967,material!A:D,3,0),"")</f>
        <v>CARD</v>
      </c>
    </row>
    <row r="968" ht="11.25" customHeight="1">
      <c r="A968" s="21" t="str">
        <f>IFERROR(__xludf.DUMMYFUNCTION("""COMPUTED_VALUE"""),"SMART CARD LARANJA NAGRA")</f>
        <v>SMART CARD LARANJA NAGRA</v>
      </c>
      <c r="B968" s="22">
        <f>IFERROR(__xludf.DUMMYFUNCTION("""COMPUTED_VALUE"""),4.1001186E7)</f>
        <v>41001186</v>
      </c>
      <c r="C968" s="21" t="str">
        <f>IFERROR(__xludf.DUMMYFUNCTION("""COMPUTED_VALUE"""),"215752240409")</f>
        <v>215752240409</v>
      </c>
      <c r="D968" s="21" t="str">
        <f>IFERROR(__xludf.DUMMYFUNCTION("""COMPUTED_VALUE"""),"DIGITEC TECNOLOGIA DIGITAL E REPRES")</f>
        <v>DIGITEC TECNOLOGIA DIGITAL E REPRES</v>
      </c>
      <c r="E968" s="21">
        <f>IFERROR(__xludf.DUMMYFUNCTION("""COMPUTED_VALUE"""),145359.0)</f>
        <v>145359</v>
      </c>
      <c r="F968" s="21" t="str">
        <f>IFERROR(__xludf.DUMMYFUNCTION("""COMPUTED_VALUE"""),"SUCATA")</f>
        <v>SUCATA</v>
      </c>
      <c r="G968" s="23">
        <f>IFERROR(__xludf.DUMMYFUNCTION("""COMPUTED_VALUE"""),45076.62069444444)</f>
        <v>45076.62069</v>
      </c>
      <c r="H968" s="24" t="str">
        <f>IFERROR(VLOOKUP(B968,material!A:D,3,0),"")</f>
        <v>CARD</v>
      </c>
    </row>
    <row r="969" ht="11.25" customHeight="1">
      <c r="A969" s="21" t="str">
        <f>IFERROR(__xludf.DUMMYFUNCTION("""COMPUTED_VALUE"""),"SMART CARD PRETO NAGRA")</f>
        <v>SMART CARD PRETO NAGRA</v>
      </c>
      <c r="B969" s="22">
        <f>IFERROR(__xludf.DUMMYFUNCTION("""COMPUTED_VALUE"""),4.1001234E7)</f>
        <v>41001234</v>
      </c>
      <c r="C969" s="21" t="str">
        <f>IFERROR(__xludf.DUMMYFUNCTION("""COMPUTED_VALUE"""),"246287946164")</f>
        <v>246287946164</v>
      </c>
      <c r="D969" s="21" t="str">
        <f>IFERROR(__xludf.DUMMYFUNCTION("""COMPUTED_VALUE"""),"DIGITEC TECNOLOGIA DIGITAL E REPRES")</f>
        <v>DIGITEC TECNOLOGIA DIGITAL E REPRES</v>
      </c>
      <c r="E969" s="21">
        <f>IFERROR(__xludf.DUMMYFUNCTION("""COMPUTED_VALUE"""),145359.0)</f>
        <v>145359</v>
      </c>
      <c r="F969" s="21" t="str">
        <f>IFERROR(__xludf.DUMMYFUNCTION("""COMPUTED_VALUE"""),"SUSPEITO")</f>
        <v>SUSPEITO</v>
      </c>
      <c r="G969" s="23">
        <f>IFERROR(__xludf.DUMMYFUNCTION("""COMPUTED_VALUE"""),45638.469560185185)</f>
        <v>45638.46956</v>
      </c>
      <c r="H969" s="24" t="str">
        <f>IFERROR(VLOOKUP(B969,material!A:D,3,0),"")</f>
        <v>CARD</v>
      </c>
    </row>
    <row r="970" ht="11.25" customHeight="1">
      <c r="A970" s="21" t="str">
        <f>IFERROR(__xludf.DUMMYFUNCTION("""COMPUTED_VALUE"""),"DECODER DIGITAL HD DXC5000 2T")</f>
        <v>DECODER DIGITAL HD DXC5000 2T</v>
      </c>
      <c r="B970" s="22">
        <f>IFERROR(__xludf.DUMMYFUNCTION("""COMPUTED_VALUE"""),4.1001277E7)</f>
        <v>41001277</v>
      </c>
      <c r="C970" s="21" t="str">
        <f>IFERROR(__xludf.DUMMYFUNCTION("""COMPUTED_VALUE"""),"216677553138")</f>
        <v>216677553138</v>
      </c>
      <c r="D970" s="21" t="str">
        <f>IFERROR(__xludf.DUMMYFUNCTION("""COMPUTED_VALUE"""),"DIGITEC TECNOLOGIA DIGITAL E REPRES")</f>
        <v>DIGITEC TECNOLOGIA DIGITAL E REPRES</v>
      </c>
      <c r="E970" s="21">
        <f>IFERROR(__xludf.DUMMYFUNCTION("""COMPUTED_VALUE"""),145359.0)</f>
        <v>145359</v>
      </c>
      <c r="F970" s="21" t="str">
        <f>IFERROR(__xludf.DUMMYFUNCTION("""COMPUTED_VALUE"""),"INICIALIZADO")</f>
        <v>INICIALIZADO</v>
      </c>
      <c r="G970" s="23">
        <f>IFERROR(__xludf.DUMMYFUNCTION("""COMPUTED_VALUE"""),45618.65200231482)</f>
        <v>45618.652</v>
      </c>
      <c r="H970" s="24" t="str">
        <f>IFERROR(VLOOKUP(B970,material!A:D,3,0),"")</f>
        <v>TOP MIX</v>
      </c>
    </row>
    <row r="971" ht="11.25" customHeight="1">
      <c r="A971" s="21" t="str">
        <f>IFERROR(__xludf.DUMMYFUNCTION("""COMPUTED_VALUE"""),"DECODER DIGITAL HD HNB100 2T")</f>
        <v>DECODER DIGITAL HD HNB100 2T</v>
      </c>
      <c r="B971" s="22">
        <f>IFERROR(__xludf.DUMMYFUNCTION("""COMPUTED_VALUE"""),4.1001276E7)</f>
        <v>41001276</v>
      </c>
      <c r="C971" s="21" t="str">
        <f>IFERROR(__xludf.DUMMYFUNCTION("""COMPUTED_VALUE"""),"216396826077")</f>
        <v>216396826077</v>
      </c>
      <c r="D971" s="21" t="str">
        <f>IFERROR(__xludf.DUMMYFUNCTION("""COMPUTED_VALUE"""),"DIGITEC TECNOLOGIA DIGITAL E REPRES")</f>
        <v>DIGITEC TECNOLOGIA DIGITAL E REPRES</v>
      </c>
      <c r="E971" s="21">
        <f>IFERROR(__xludf.DUMMYFUNCTION("""COMPUTED_VALUE"""),145359.0)</f>
        <v>145359</v>
      </c>
      <c r="F971" s="21" t="str">
        <f>IFERROR(__xludf.DUMMYFUNCTION("""COMPUTED_VALUE"""),"INICIALIZADO")</f>
        <v>INICIALIZADO</v>
      </c>
      <c r="G971" s="23">
        <f>IFERROR(__xludf.DUMMYFUNCTION("""COMPUTED_VALUE"""),45635.53503472223)</f>
        <v>45635.53503</v>
      </c>
      <c r="H971" s="24" t="str">
        <f>IFERROR(VLOOKUP(B971,material!A:D,3,0),"")</f>
        <v>TOP MIX</v>
      </c>
    </row>
    <row r="972" ht="11.25" customHeight="1">
      <c r="A972" s="21" t="str">
        <f>IFERROR(__xludf.DUMMYFUNCTION("""COMPUTED_VALUE"""),"DECODER DIGITAL HD HNB100 2T")</f>
        <v>DECODER DIGITAL HD HNB100 2T</v>
      </c>
      <c r="B972" s="22">
        <f>IFERROR(__xludf.DUMMYFUNCTION("""COMPUTED_VALUE"""),4.1001276E7)</f>
        <v>41001276</v>
      </c>
      <c r="C972" s="21" t="str">
        <f>IFERROR(__xludf.DUMMYFUNCTION("""COMPUTED_VALUE"""),"216515840510")</f>
        <v>216515840510</v>
      </c>
      <c r="D972" s="21" t="str">
        <f>IFERROR(__xludf.DUMMYFUNCTION("""COMPUTED_VALUE"""),"DIGITEC TECNOLOGIA DIGITAL E REPRES")</f>
        <v>DIGITEC TECNOLOGIA DIGITAL E REPRES</v>
      </c>
      <c r="E972" s="21">
        <f>IFERROR(__xludf.DUMMYFUNCTION("""COMPUTED_VALUE"""),145359.0)</f>
        <v>145359</v>
      </c>
      <c r="F972" s="21" t="str">
        <f>IFERROR(__xludf.DUMMYFUNCTION("""COMPUTED_VALUE"""),"INICIALIZADO")</f>
        <v>INICIALIZADO</v>
      </c>
      <c r="G972" s="23">
        <f>IFERROR(__xludf.DUMMYFUNCTION("""COMPUTED_VALUE"""),45635.53508101852)</f>
        <v>45635.53508</v>
      </c>
      <c r="H972" s="24" t="str">
        <f>IFERROR(VLOOKUP(B972,material!A:D,3,0),"")</f>
        <v>TOP MIX</v>
      </c>
    </row>
    <row r="973" ht="11.25" customHeight="1">
      <c r="A973" s="21" t="str">
        <f>IFERROR(__xludf.DUMMYFUNCTION("""COMPUTED_VALUE"""),"SMART CARD PRETO NAGRA")</f>
        <v>SMART CARD PRETO NAGRA</v>
      </c>
      <c r="B973" s="22">
        <f>IFERROR(__xludf.DUMMYFUNCTION("""COMPUTED_VALUE"""),4.1001234E7)</f>
        <v>41001234</v>
      </c>
      <c r="C973" s="21" t="str">
        <f>IFERROR(__xludf.DUMMYFUNCTION("""COMPUTED_VALUE"""),"246191763355")</f>
        <v>246191763355</v>
      </c>
      <c r="D973" s="21" t="str">
        <f>IFERROR(__xludf.DUMMYFUNCTION("""COMPUTED_VALUE"""),"DIGITEC TECNOLOGIA DIGITAL E REPRES")</f>
        <v>DIGITEC TECNOLOGIA DIGITAL E REPRES</v>
      </c>
      <c r="E973" s="21">
        <f>IFERROR(__xludf.DUMMYFUNCTION("""COMPUTED_VALUE"""),145359.0)</f>
        <v>145359</v>
      </c>
      <c r="F973" s="21" t="str">
        <f>IFERROR(__xludf.DUMMYFUNCTION("""COMPUTED_VALUE"""),"INICIALIZADO")</f>
        <v>INICIALIZADO</v>
      </c>
      <c r="G973" s="23">
        <f>IFERROR(__xludf.DUMMYFUNCTION("""COMPUTED_VALUE"""),45642.524097222224)</f>
        <v>45642.5241</v>
      </c>
      <c r="H973" s="24" t="str">
        <f>IFERROR(VLOOKUP(B973,material!A:D,3,0),"")</f>
        <v>CARD</v>
      </c>
    </row>
    <row r="974" ht="11.25" customHeight="1">
      <c r="A974" s="21" t="str">
        <f>IFERROR(__xludf.DUMMYFUNCTION("""COMPUTED_VALUE"""),"SMART CARD PRETO NAGRA")</f>
        <v>SMART CARD PRETO NAGRA</v>
      </c>
      <c r="B974" s="22">
        <f>IFERROR(__xludf.DUMMYFUNCTION("""COMPUTED_VALUE"""),4.1001234E7)</f>
        <v>41001234</v>
      </c>
      <c r="C974" s="21" t="str">
        <f>IFERROR(__xludf.DUMMYFUNCTION("""COMPUTED_VALUE"""),"246267091324")</f>
        <v>246267091324</v>
      </c>
      <c r="D974" s="21" t="str">
        <f>IFERROR(__xludf.DUMMYFUNCTION("""COMPUTED_VALUE"""),"DIGITEC TECNOLOGIA DIGITAL E REPRES")</f>
        <v>DIGITEC TECNOLOGIA DIGITAL E REPRES</v>
      </c>
      <c r="E974" s="21">
        <f>IFERROR(__xludf.DUMMYFUNCTION("""COMPUTED_VALUE"""),145359.0)</f>
        <v>145359</v>
      </c>
      <c r="F974" s="21" t="str">
        <f>IFERROR(__xludf.DUMMYFUNCTION("""COMPUTED_VALUE"""),"INICIALIZADO")</f>
        <v>INICIALIZADO</v>
      </c>
      <c r="G974" s="23">
        <f>IFERROR(__xludf.DUMMYFUNCTION("""COMPUTED_VALUE"""),45635.53491898148)</f>
        <v>45635.53492</v>
      </c>
      <c r="H974" s="24" t="str">
        <f>IFERROR(VLOOKUP(B974,material!A:D,3,0),"")</f>
        <v>CARD</v>
      </c>
    </row>
    <row r="975" ht="11.25" customHeight="1">
      <c r="A975" s="21" t="str">
        <f>IFERROR(__xludf.DUMMYFUNCTION("""COMPUTED_VALUE"""),"SMART CARD PRETO NAGRA")</f>
        <v>SMART CARD PRETO NAGRA</v>
      </c>
      <c r="B975" s="22">
        <f>IFERROR(__xludf.DUMMYFUNCTION("""COMPUTED_VALUE"""),4.1001234E7)</f>
        <v>41001234</v>
      </c>
      <c r="C975" s="21" t="str">
        <f>IFERROR(__xludf.DUMMYFUNCTION("""COMPUTED_VALUE"""),"246118444044")</f>
        <v>246118444044</v>
      </c>
      <c r="D975" s="21" t="str">
        <f>IFERROR(__xludf.DUMMYFUNCTION("""COMPUTED_VALUE"""),"DIGITEC TECNOLOGIA DIGITAL E REPRES")</f>
        <v>DIGITEC TECNOLOGIA DIGITAL E REPRES</v>
      </c>
      <c r="E975" s="21">
        <f>IFERROR(__xludf.DUMMYFUNCTION("""COMPUTED_VALUE"""),145359.0)</f>
        <v>145359</v>
      </c>
      <c r="F975" s="21" t="str">
        <f>IFERROR(__xludf.DUMMYFUNCTION("""COMPUTED_VALUE"""),"INICIALIZADO")</f>
        <v>INICIALIZADO</v>
      </c>
      <c r="G975" s="23">
        <f>IFERROR(__xludf.DUMMYFUNCTION("""COMPUTED_VALUE"""),45635.534907407404)</f>
        <v>45635.53491</v>
      </c>
      <c r="H975" s="24" t="str">
        <f>IFERROR(VLOOKUP(B975,material!A:D,3,0),"")</f>
        <v>CARD</v>
      </c>
    </row>
    <row r="976" ht="11.25" customHeight="1">
      <c r="A976" s="21" t="str">
        <f>IFERROR(__xludf.DUMMYFUNCTION("""COMPUTED_VALUE"""),"SMART CARD PRETO NAGRA")</f>
        <v>SMART CARD PRETO NAGRA</v>
      </c>
      <c r="B976" s="22">
        <f>IFERROR(__xludf.DUMMYFUNCTION("""COMPUTED_VALUE"""),4.1001234E7)</f>
        <v>41001234</v>
      </c>
      <c r="C976" s="21" t="str">
        <f>IFERROR(__xludf.DUMMYFUNCTION("""COMPUTED_VALUE"""),"246308330422")</f>
        <v>246308330422</v>
      </c>
      <c r="D976" s="21" t="str">
        <f>IFERROR(__xludf.DUMMYFUNCTION("""COMPUTED_VALUE"""),"DIGITEC TECNOLOGIA DIGITAL E REPRES")</f>
        <v>DIGITEC TECNOLOGIA DIGITAL E REPRES</v>
      </c>
      <c r="E976" s="21">
        <f>IFERROR(__xludf.DUMMYFUNCTION("""COMPUTED_VALUE"""),145359.0)</f>
        <v>145359</v>
      </c>
      <c r="F976" s="21" t="str">
        <f>IFERROR(__xludf.DUMMYFUNCTION("""COMPUTED_VALUE"""),"INICIALIZADO")</f>
        <v>INICIALIZADO</v>
      </c>
      <c r="G976" s="23">
        <f>IFERROR(__xludf.DUMMYFUNCTION("""COMPUTED_VALUE"""),45635.53491898148)</f>
        <v>45635.53492</v>
      </c>
      <c r="H976" s="24" t="str">
        <f>IFERROR(VLOOKUP(B976,material!A:D,3,0),"")</f>
        <v>CARD</v>
      </c>
    </row>
    <row r="977" ht="11.25" customHeight="1">
      <c r="A977" s="21" t="str">
        <f>IFERROR(__xludf.DUMMYFUNCTION("""COMPUTED_VALUE"""),"SMART CARD LARANJA")</f>
        <v>SMART CARD LARANJA</v>
      </c>
      <c r="B977" s="22">
        <f>IFERROR(__xludf.DUMMYFUNCTION("""COMPUTED_VALUE"""),4.1001186E7)</f>
        <v>41001186</v>
      </c>
      <c r="C977" s="21" t="str">
        <f>IFERROR(__xludf.DUMMYFUNCTION("""COMPUTED_VALUE"""),"215415864460")</f>
        <v>215415864460</v>
      </c>
      <c r="D977" s="21" t="str">
        <f>IFERROR(__xludf.DUMMYFUNCTION("""COMPUTED_VALUE"""),"DIGITEC TECNOLOGIA DIGITAL E REPRES")</f>
        <v>DIGITEC TECNOLOGIA DIGITAL E REPRES</v>
      </c>
      <c r="E977" s="21">
        <f>IFERROR(__xludf.DUMMYFUNCTION("""COMPUTED_VALUE"""),145359.0)</f>
        <v>145359</v>
      </c>
      <c r="F977" s="21" t="str">
        <f>IFERROR(__xludf.DUMMYFUNCTION("""COMPUTED_VALUE"""),"SUCATA")</f>
        <v>SUCATA</v>
      </c>
      <c r="G977" s="23">
        <f>IFERROR(__xludf.DUMMYFUNCTION("""COMPUTED_VALUE"""),45254.56527777778)</f>
        <v>45254.56528</v>
      </c>
      <c r="H977" s="24" t="str">
        <f>IFERROR(VLOOKUP(B977,material!A:D,3,0),"")</f>
        <v>CARD</v>
      </c>
    </row>
    <row r="978" ht="11.25" customHeight="1">
      <c r="A978" s="21" t="str">
        <f>IFERROR(__xludf.DUMMYFUNCTION("""COMPUTED_VALUE"""),"DCR2231")</f>
        <v>DCR2231</v>
      </c>
      <c r="B978" s="22">
        <f>IFERROR(__xludf.DUMMYFUNCTION("""COMPUTED_VALUE"""),4.1001343E7)</f>
        <v>41001343</v>
      </c>
      <c r="C978" s="21" t="str">
        <f>IFERROR(__xludf.DUMMYFUNCTION("""COMPUTED_VALUE"""),"175167981132")</f>
        <v>175167981132</v>
      </c>
      <c r="D978" s="21" t="str">
        <f>IFERROR(__xludf.DUMMYFUNCTION("""COMPUTED_VALUE"""),"DIGITEC TECNOLOGIA DIGITAL E REPRES")</f>
        <v>DIGITEC TECNOLOGIA DIGITAL E REPRES</v>
      </c>
      <c r="E978" s="21">
        <f>IFERROR(__xludf.DUMMYFUNCTION("""COMPUTED_VALUE"""),145359.0)</f>
        <v>145359</v>
      </c>
      <c r="F978" s="21" t="str">
        <f>IFERROR(__xludf.DUMMYFUNCTION("""COMPUTED_VALUE"""),"ANALISE DE INVENTARIO")</f>
        <v>ANALISE DE INVENTARIO</v>
      </c>
      <c r="G978" s="23">
        <f>IFERROR(__xludf.DUMMYFUNCTION("""COMPUTED_VALUE"""),45533.554444444446)</f>
        <v>45533.55444</v>
      </c>
      <c r="H978" s="24" t="str">
        <f>IFERROR(VLOOKUP(B978,material!A:D,3,0),"")</f>
        <v>DIGITAL</v>
      </c>
    </row>
    <row r="979" ht="11.25" customHeight="1">
      <c r="A979" s="21" t="str">
        <f>IFERROR(__xludf.DUMMYFUNCTION("""COMPUTED_VALUE"""),"HUMAX HGB10R-02")</f>
        <v>HUMAX HGB10R-02</v>
      </c>
      <c r="B979" s="22">
        <f>IFERROR(__xludf.DUMMYFUNCTION("""COMPUTED_VALUE"""),4.1001292E7)</f>
        <v>41001292</v>
      </c>
      <c r="C979" s="21" t="str">
        <f>IFERROR(__xludf.DUMMYFUNCTION("""COMPUTED_VALUE"""),"942CB3AB935C")</f>
        <v>942CB3AB935C</v>
      </c>
      <c r="D979" s="21" t="str">
        <f>IFERROR(__xludf.DUMMYFUNCTION("""COMPUTED_VALUE"""),"DIGITEC TECNOLOGIA DIGITAL E REPRES")</f>
        <v>DIGITEC TECNOLOGIA DIGITAL E REPRES</v>
      </c>
      <c r="E979" s="21">
        <f>IFERROR(__xludf.DUMMYFUNCTION("""COMPUTED_VALUE"""),145359.0)</f>
        <v>145359</v>
      </c>
      <c r="F979" s="21" t="str">
        <f>IFERROR(__xludf.DUMMYFUNCTION("""COMPUTED_VALUE"""),"SUSPEITO")</f>
        <v>SUSPEITO</v>
      </c>
      <c r="G979" s="23">
        <f>IFERROR(__xludf.DUMMYFUNCTION("""COMPUTED_VALUE"""),45632.64120370371)</f>
        <v>45632.6412</v>
      </c>
      <c r="H979" s="24" t="str">
        <f>IFERROR(VLOOKUP(B979,material!A:D,3,0),"")</f>
        <v>DUAL</v>
      </c>
    </row>
    <row r="980" ht="11.25" customHeight="1">
      <c r="A980" s="21" t="str">
        <f>IFERROR(__xludf.DUMMYFUNCTION("""COMPUTED_VALUE"""),"DECODER DIGITAL HD HNB100 2T")</f>
        <v>DECODER DIGITAL HD HNB100 2T</v>
      </c>
      <c r="B980" s="22">
        <f>IFERROR(__xludf.DUMMYFUNCTION("""COMPUTED_VALUE"""),4.1001276E7)</f>
        <v>41001276</v>
      </c>
      <c r="C980" s="21" t="str">
        <f>IFERROR(__xludf.DUMMYFUNCTION("""COMPUTED_VALUE"""),"216812576169")</f>
        <v>216812576169</v>
      </c>
      <c r="D980" s="21" t="str">
        <f>IFERROR(__xludf.DUMMYFUNCTION("""COMPUTED_VALUE"""),"DIGITEC TECNOLOGIA DIGITAL E REPRES")</f>
        <v>DIGITEC TECNOLOGIA DIGITAL E REPRES</v>
      </c>
      <c r="E980" s="21">
        <f>IFERROR(__xludf.DUMMYFUNCTION("""COMPUTED_VALUE"""),145359.0)</f>
        <v>145359</v>
      </c>
      <c r="F980" s="21" t="str">
        <f>IFERROR(__xludf.DUMMYFUNCTION("""COMPUTED_VALUE"""),"INICIALIZADO")</f>
        <v>INICIALIZADO</v>
      </c>
      <c r="G980" s="23">
        <f>IFERROR(__xludf.DUMMYFUNCTION("""COMPUTED_VALUE"""),45635.53501157407)</f>
        <v>45635.53501</v>
      </c>
      <c r="H980" s="24" t="str">
        <f>IFERROR(VLOOKUP(B980,material!A:D,3,0),"")</f>
        <v>TOP MIX</v>
      </c>
    </row>
    <row r="981" ht="11.25" customHeight="1">
      <c r="A981" s="21" t="str">
        <f>IFERROR(__xludf.DUMMYFUNCTION("""COMPUTED_VALUE"""),"DECODER DIGITAL HD HNB100 2T")</f>
        <v>DECODER DIGITAL HD HNB100 2T</v>
      </c>
      <c r="B981" s="22">
        <f>IFERROR(__xludf.DUMMYFUNCTION("""COMPUTED_VALUE"""),4.1001276E7)</f>
        <v>41001276</v>
      </c>
      <c r="C981" s="21" t="str">
        <f>IFERROR(__xludf.DUMMYFUNCTION("""COMPUTED_VALUE"""),"216858991014")</f>
        <v>216858991014</v>
      </c>
      <c r="D981" s="21" t="str">
        <f>IFERROR(__xludf.DUMMYFUNCTION("""COMPUTED_VALUE"""),"DIGITEC TECNOLOGIA DIGITAL E REPRES")</f>
        <v>DIGITEC TECNOLOGIA DIGITAL E REPRES</v>
      </c>
      <c r="E981" s="21">
        <f>IFERROR(__xludf.DUMMYFUNCTION("""COMPUTED_VALUE"""),145359.0)</f>
        <v>145359</v>
      </c>
      <c r="F981" s="21" t="str">
        <f>IFERROR(__xludf.DUMMYFUNCTION("""COMPUTED_VALUE"""),"INICIALIZADO")</f>
        <v>INICIALIZADO</v>
      </c>
      <c r="G981" s="23">
        <f>IFERROR(__xludf.DUMMYFUNCTION("""COMPUTED_VALUE"""),45635.53503472223)</f>
        <v>45635.53503</v>
      </c>
      <c r="H981" s="24" t="str">
        <f>IFERROR(VLOOKUP(B981,material!A:D,3,0),"")</f>
        <v>TOP MIX</v>
      </c>
    </row>
    <row r="982" ht="11.25" customHeight="1">
      <c r="A982" s="21" t="str">
        <f>IFERROR(__xludf.DUMMYFUNCTION("""COMPUTED_VALUE"""),"SMART CARD PRETO NAGRA")</f>
        <v>SMART CARD PRETO NAGRA</v>
      </c>
      <c r="B982" s="22">
        <f>IFERROR(__xludf.DUMMYFUNCTION("""COMPUTED_VALUE"""),4.1001234E7)</f>
        <v>41001234</v>
      </c>
      <c r="C982" s="21" t="str">
        <f>IFERROR(__xludf.DUMMYFUNCTION("""COMPUTED_VALUE"""),"246159724358")</f>
        <v>246159724358</v>
      </c>
      <c r="D982" s="21" t="str">
        <f>IFERROR(__xludf.DUMMYFUNCTION("""COMPUTED_VALUE"""),"DIGITEC TECNOLOGIA DIGITAL E REPRES")</f>
        <v>DIGITEC TECNOLOGIA DIGITAL E REPRES</v>
      </c>
      <c r="E982" s="21">
        <f>IFERROR(__xludf.DUMMYFUNCTION("""COMPUTED_VALUE"""),145359.0)</f>
        <v>145359</v>
      </c>
      <c r="F982" s="21" t="str">
        <f>IFERROR(__xludf.DUMMYFUNCTION("""COMPUTED_VALUE"""),"SUSPEITO")</f>
        <v>SUSPEITO</v>
      </c>
      <c r="G982" s="23">
        <f>IFERROR(__xludf.DUMMYFUNCTION("""COMPUTED_VALUE"""),45639.60358796296)</f>
        <v>45639.60359</v>
      </c>
      <c r="H982" s="24" t="str">
        <f>IFERROR(VLOOKUP(B982,material!A:D,3,0),"")</f>
        <v>CARD</v>
      </c>
    </row>
    <row r="983" ht="11.25" customHeight="1">
      <c r="A983" s="21" t="str">
        <f>IFERROR(__xludf.DUMMYFUNCTION("""COMPUTED_VALUE"""),"ARRIS TG1692A")</f>
        <v>ARRIS TG1692A</v>
      </c>
      <c r="B983" s="22">
        <f>IFERROR(__xludf.DUMMYFUNCTION("""COMPUTED_VALUE"""),4.1001293E7)</f>
        <v>41001293</v>
      </c>
      <c r="C983" s="21" t="str">
        <f>IFERROR(__xludf.DUMMYFUNCTION("""COMPUTED_VALUE"""),"BC644BCE1B00")</f>
        <v>BC644BCE1B00</v>
      </c>
      <c r="D983" s="21" t="str">
        <f>IFERROR(__xludf.DUMMYFUNCTION("""COMPUTED_VALUE"""),"DIGITEC TECNOLOGIA DIGITAL E REPRES")</f>
        <v>DIGITEC TECNOLOGIA DIGITAL E REPRES</v>
      </c>
      <c r="E983" s="21">
        <f>IFERROR(__xludf.DUMMYFUNCTION("""COMPUTED_VALUE"""),145359.0)</f>
        <v>145359</v>
      </c>
      <c r="F983" s="21" t="str">
        <f>IFERROR(__xludf.DUMMYFUNCTION("""COMPUTED_VALUE"""),"INICIALIZADO")</f>
        <v>INICIALIZADO</v>
      </c>
      <c r="G983" s="23">
        <f>IFERROR(__xludf.DUMMYFUNCTION("""COMPUTED_VALUE"""),45602.64471064815)</f>
        <v>45602.64471</v>
      </c>
      <c r="H983" s="24" t="str">
        <f>IFERROR(VLOOKUP(B983,material!A:D,3,0),"")</f>
        <v>DUAL</v>
      </c>
    </row>
    <row r="984" ht="11.25" customHeight="1">
      <c r="A984" s="21" t="str">
        <f>IFERROR(__xludf.DUMMYFUNCTION("""COMPUTED_VALUE"""),"SMART CARD PRETO NAGRA")</f>
        <v>SMART CARD PRETO NAGRA</v>
      </c>
      <c r="B984" s="22">
        <f>IFERROR(__xludf.DUMMYFUNCTION("""COMPUTED_VALUE"""),4.1001234E7)</f>
        <v>41001234</v>
      </c>
      <c r="C984" s="21" t="str">
        <f>IFERROR(__xludf.DUMMYFUNCTION("""COMPUTED_VALUE"""),"246128810309")</f>
        <v>246128810309</v>
      </c>
      <c r="D984" s="21" t="str">
        <f>IFERROR(__xludf.DUMMYFUNCTION("""COMPUTED_VALUE"""),"DIGITEC TECNOLOGIA DIGITAL E REPRES")</f>
        <v>DIGITEC TECNOLOGIA DIGITAL E REPRES</v>
      </c>
      <c r="E984" s="21">
        <f>IFERROR(__xludf.DUMMYFUNCTION("""COMPUTED_VALUE"""),145359.0)</f>
        <v>145359</v>
      </c>
      <c r="F984" s="21" t="str">
        <f>IFERROR(__xludf.DUMMYFUNCTION("""COMPUTED_VALUE"""),"TRANSITO REVERSA")</f>
        <v>TRANSITO REVERSA</v>
      </c>
      <c r="G984" s="23">
        <f>IFERROR(__xludf.DUMMYFUNCTION("""COMPUTED_VALUE"""),45638.52061342592)</f>
        <v>45638.52061</v>
      </c>
      <c r="H984" s="24" t="str">
        <f>IFERROR(VLOOKUP(B984,material!A:D,3,0),"")</f>
        <v>CARD</v>
      </c>
    </row>
    <row r="985" ht="11.25" customHeight="1">
      <c r="A985" s="21" t="str">
        <f>IFERROR(__xludf.DUMMYFUNCTION("""COMPUTED_VALUE"""),"SMART CARD LARANJA NAGRA")</f>
        <v>SMART CARD LARANJA NAGRA</v>
      </c>
      <c r="B985" s="22">
        <f>IFERROR(__xludf.DUMMYFUNCTION("""COMPUTED_VALUE"""),4.1001186E7)</f>
        <v>41001186</v>
      </c>
      <c r="C985" s="21" t="str">
        <f>IFERROR(__xludf.DUMMYFUNCTION("""COMPUTED_VALUE"""),"215766692324")</f>
        <v>215766692324</v>
      </c>
      <c r="D985" s="21" t="str">
        <f>IFERROR(__xludf.DUMMYFUNCTION("""COMPUTED_VALUE"""),"DIGITEC TECNOLOGIA DIGITAL E REPRES")</f>
        <v>DIGITEC TECNOLOGIA DIGITAL E REPRES</v>
      </c>
      <c r="E985" s="21">
        <f>IFERROR(__xludf.DUMMYFUNCTION("""COMPUTED_VALUE"""),145359.0)</f>
        <v>145359</v>
      </c>
      <c r="F985" s="21" t="str">
        <f>IFERROR(__xludf.DUMMYFUNCTION("""COMPUTED_VALUE"""),"SUCATA")</f>
        <v>SUCATA</v>
      </c>
      <c r="G985" s="23">
        <f>IFERROR(__xludf.DUMMYFUNCTION("""COMPUTED_VALUE"""),45075.62226851852)</f>
        <v>45075.62227</v>
      </c>
      <c r="H985" s="24" t="str">
        <f>IFERROR(VLOOKUP(B985,material!A:D,3,0),"")</f>
        <v>CARD</v>
      </c>
    </row>
    <row r="986" ht="11.25" customHeight="1">
      <c r="A986" s="21" t="str">
        <f>IFERROR(__xludf.DUMMYFUNCTION("""COMPUTED_VALUE"""),"SMART CARD PRETO NAGRA")</f>
        <v>SMART CARD PRETO NAGRA</v>
      </c>
      <c r="B986" s="22">
        <f>IFERROR(__xludf.DUMMYFUNCTION("""COMPUTED_VALUE"""),4.1001234E7)</f>
        <v>41001234</v>
      </c>
      <c r="C986" s="21" t="str">
        <f>IFERROR(__xludf.DUMMYFUNCTION("""COMPUTED_VALUE"""),"246167897276")</f>
        <v>246167897276</v>
      </c>
      <c r="D986" s="21" t="str">
        <f>IFERROR(__xludf.DUMMYFUNCTION("""COMPUTED_VALUE"""),"DIGITEC TECNOLOGIA DIGITAL E REPRES")</f>
        <v>DIGITEC TECNOLOGIA DIGITAL E REPRES</v>
      </c>
      <c r="E986" s="21">
        <f>IFERROR(__xludf.DUMMYFUNCTION("""COMPUTED_VALUE"""),145359.0)</f>
        <v>145359</v>
      </c>
      <c r="F986" s="21" t="str">
        <f>IFERROR(__xludf.DUMMYFUNCTION("""COMPUTED_VALUE"""),"INICIALIZADO")</f>
        <v>INICIALIZADO</v>
      </c>
      <c r="G986" s="23">
        <f>IFERROR(__xludf.DUMMYFUNCTION("""COMPUTED_VALUE"""),45635.534895833334)</f>
        <v>45635.5349</v>
      </c>
      <c r="H986" s="24" t="str">
        <f>IFERROR(VLOOKUP(B986,material!A:D,3,0),"")</f>
        <v>CARD</v>
      </c>
    </row>
    <row r="987" ht="11.25" customHeight="1">
      <c r="A987" s="21" t="str">
        <f>IFERROR(__xludf.DUMMYFUNCTION("""COMPUTED_VALUE"""),"DECODER DIGITAL HD DXC5000 2T")</f>
        <v>DECODER DIGITAL HD DXC5000 2T</v>
      </c>
      <c r="B987" s="22">
        <f>IFERROR(__xludf.DUMMYFUNCTION("""COMPUTED_VALUE"""),4.1001277E7)</f>
        <v>41001277</v>
      </c>
      <c r="C987" s="21" t="str">
        <f>IFERROR(__xludf.DUMMYFUNCTION("""COMPUTED_VALUE"""),"216374647279")</f>
        <v>216374647279</v>
      </c>
      <c r="D987" s="21" t="str">
        <f>IFERROR(__xludf.DUMMYFUNCTION("""COMPUTED_VALUE"""),"DIGITEC TECNOLOGIA DIGITAL E REPRES")</f>
        <v>DIGITEC TECNOLOGIA DIGITAL E REPRES</v>
      </c>
      <c r="E987" s="21">
        <f>IFERROR(__xludf.DUMMYFUNCTION("""COMPUTED_VALUE"""),145359.0)</f>
        <v>145359</v>
      </c>
      <c r="F987" s="21" t="str">
        <f>IFERROR(__xludf.DUMMYFUNCTION("""COMPUTED_VALUE"""),"INICIALIZADO")</f>
        <v>INICIALIZADO</v>
      </c>
      <c r="G987" s="23">
        <f>IFERROR(__xludf.DUMMYFUNCTION("""COMPUTED_VALUE"""),45600.476006944446)</f>
        <v>45600.47601</v>
      </c>
      <c r="H987" s="24" t="str">
        <f>IFERROR(VLOOKUP(B987,material!A:D,3,0),"")</f>
        <v>TOP MIX</v>
      </c>
    </row>
    <row r="988" ht="11.25" customHeight="1">
      <c r="A988" s="21" t="str">
        <f>IFERROR(__xludf.DUMMYFUNCTION("""COMPUTED_VALUE"""),"SMART CARD PRETO NAGRA")</f>
        <v>SMART CARD PRETO NAGRA</v>
      </c>
      <c r="B988" s="22">
        <f>IFERROR(__xludf.DUMMYFUNCTION("""COMPUTED_VALUE"""),4.1001234E7)</f>
        <v>41001234</v>
      </c>
      <c r="C988" s="21" t="str">
        <f>IFERROR(__xludf.DUMMYFUNCTION("""COMPUTED_VALUE"""),"246093513452")</f>
        <v>246093513452</v>
      </c>
      <c r="D988" s="21" t="str">
        <f>IFERROR(__xludf.DUMMYFUNCTION("""COMPUTED_VALUE"""),"DIGITEC TECNOLOGIA DIGITAL E REPRES")</f>
        <v>DIGITEC TECNOLOGIA DIGITAL E REPRES</v>
      </c>
      <c r="E988" s="21">
        <f>IFERROR(__xludf.DUMMYFUNCTION("""COMPUTED_VALUE"""),145359.0)</f>
        <v>145359</v>
      </c>
      <c r="F988" s="21" t="str">
        <f>IFERROR(__xludf.DUMMYFUNCTION("""COMPUTED_VALUE"""),"INICIALIZADO")</f>
        <v>INICIALIZADO</v>
      </c>
      <c r="G988" s="23">
        <f>IFERROR(__xludf.DUMMYFUNCTION("""COMPUTED_VALUE"""),45642.524097222224)</f>
        <v>45642.5241</v>
      </c>
      <c r="H988" s="24" t="str">
        <f>IFERROR(VLOOKUP(B988,material!A:D,3,0),"")</f>
        <v>CARD</v>
      </c>
    </row>
    <row r="989" ht="11.25" customHeight="1">
      <c r="A989" s="21" t="str">
        <f>IFERROR(__xludf.DUMMYFUNCTION("""COMPUTED_VALUE"""),"DECODER DIGITAL HD HNB100 2T")</f>
        <v>DECODER DIGITAL HD HNB100 2T</v>
      </c>
      <c r="B989" s="22">
        <f>IFERROR(__xludf.DUMMYFUNCTION("""COMPUTED_VALUE"""),4.1001276E7)</f>
        <v>41001276</v>
      </c>
      <c r="C989" s="21" t="str">
        <f>IFERROR(__xludf.DUMMYFUNCTION("""COMPUTED_VALUE"""),"216338083644")</f>
        <v>216338083644</v>
      </c>
      <c r="D989" s="21" t="str">
        <f>IFERROR(__xludf.DUMMYFUNCTION("""COMPUTED_VALUE"""),"DIGITEC TECNOLOGIA DIGITAL E REPRES")</f>
        <v>DIGITEC TECNOLOGIA DIGITAL E REPRES</v>
      </c>
      <c r="E989" s="21">
        <f>IFERROR(__xludf.DUMMYFUNCTION("""COMPUTED_VALUE"""),145359.0)</f>
        <v>145359</v>
      </c>
      <c r="F989" s="21" t="str">
        <f>IFERROR(__xludf.DUMMYFUNCTION("""COMPUTED_VALUE"""),"INICIALIZADO")</f>
        <v>INICIALIZADO</v>
      </c>
      <c r="G989" s="23">
        <f>IFERROR(__xludf.DUMMYFUNCTION("""COMPUTED_VALUE"""),45635.535057870366)</f>
        <v>45635.53506</v>
      </c>
      <c r="H989" s="24" t="str">
        <f>IFERROR(VLOOKUP(B989,material!A:D,3,0),"")</f>
        <v>TOP MIX</v>
      </c>
    </row>
    <row r="990" ht="11.25" customHeight="1">
      <c r="A990" s="21" t="str">
        <f>IFERROR(__xludf.DUMMYFUNCTION("""COMPUTED_VALUE"""),"DECODER DIGITAL HD HNB100 2T")</f>
        <v>DECODER DIGITAL HD HNB100 2T</v>
      </c>
      <c r="B990" s="22">
        <f>IFERROR(__xludf.DUMMYFUNCTION("""COMPUTED_VALUE"""),4.1001276E7)</f>
        <v>41001276</v>
      </c>
      <c r="C990" s="21" t="str">
        <f>IFERROR(__xludf.DUMMYFUNCTION("""COMPUTED_VALUE"""),"216611632440")</f>
        <v>216611632440</v>
      </c>
      <c r="D990" s="21" t="str">
        <f>IFERROR(__xludf.DUMMYFUNCTION("""COMPUTED_VALUE"""),"DIGITEC TECNOLOGIA DIGITAL E REPRES")</f>
        <v>DIGITEC TECNOLOGIA DIGITAL E REPRES</v>
      </c>
      <c r="E990" s="21">
        <f>IFERROR(__xludf.DUMMYFUNCTION("""COMPUTED_VALUE"""),145359.0)</f>
        <v>145359</v>
      </c>
      <c r="F990" s="21" t="str">
        <f>IFERROR(__xludf.DUMMYFUNCTION("""COMPUTED_VALUE"""),"INICIALIZADO")</f>
        <v>INICIALIZADO</v>
      </c>
      <c r="G990" s="23">
        <f>IFERROR(__xludf.DUMMYFUNCTION("""COMPUTED_VALUE"""),45635.535057870366)</f>
        <v>45635.53506</v>
      </c>
      <c r="H990" s="24" t="str">
        <f>IFERROR(VLOOKUP(B990,material!A:D,3,0),"")</f>
        <v>TOP MIX</v>
      </c>
    </row>
    <row r="991" ht="11.25" customHeight="1">
      <c r="A991" s="21" t="str">
        <f>IFERROR(__xludf.DUMMYFUNCTION("""COMPUTED_VALUE"""),"DECODER DIGITAL HD HNB100 2T")</f>
        <v>DECODER DIGITAL HD HNB100 2T</v>
      </c>
      <c r="B991" s="22">
        <f>IFERROR(__xludf.DUMMYFUNCTION("""COMPUTED_VALUE"""),4.1001276E7)</f>
        <v>41001276</v>
      </c>
      <c r="C991" s="21" t="str">
        <f>IFERROR(__xludf.DUMMYFUNCTION("""COMPUTED_VALUE"""),"216513673250")</f>
        <v>216513673250</v>
      </c>
      <c r="D991" s="21" t="str">
        <f>IFERROR(__xludf.DUMMYFUNCTION("""COMPUTED_VALUE"""),"DIGITEC TECNOLOGIA DIGITAL E REPRES")</f>
        <v>DIGITEC TECNOLOGIA DIGITAL E REPRES</v>
      </c>
      <c r="E991" s="21">
        <f>IFERROR(__xludf.DUMMYFUNCTION("""COMPUTED_VALUE"""),145359.0)</f>
        <v>145359</v>
      </c>
      <c r="F991" s="21" t="str">
        <f>IFERROR(__xludf.DUMMYFUNCTION("""COMPUTED_VALUE"""),"INICIALIZADO")</f>
        <v>INICIALIZADO</v>
      </c>
      <c r="G991" s="23">
        <f>IFERROR(__xludf.DUMMYFUNCTION("""COMPUTED_VALUE"""),45635.53508101852)</f>
        <v>45635.53508</v>
      </c>
      <c r="H991" s="24" t="str">
        <f>IFERROR(VLOOKUP(B991,material!A:D,3,0),"")</f>
        <v>TOP MIX</v>
      </c>
    </row>
    <row r="992" ht="11.25" customHeight="1">
      <c r="A992" s="21" t="str">
        <f>IFERROR(__xludf.DUMMYFUNCTION("""COMPUTED_VALUE"""),"SMART CARD PRETO NAGRA")</f>
        <v>SMART CARD PRETO NAGRA</v>
      </c>
      <c r="B992" s="22">
        <f>IFERROR(__xludf.DUMMYFUNCTION("""COMPUTED_VALUE"""),4.1001234E7)</f>
        <v>41001234</v>
      </c>
      <c r="C992" s="21" t="str">
        <f>IFERROR(__xludf.DUMMYFUNCTION("""COMPUTED_VALUE"""),"246059942443")</f>
        <v>246059942443</v>
      </c>
      <c r="D992" s="21" t="str">
        <f>IFERROR(__xludf.DUMMYFUNCTION("""COMPUTED_VALUE"""),"DIGITEC TECNOLOGIA DIGITAL E REPRES")</f>
        <v>DIGITEC TECNOLOGIA DIGITAL E REPRES</v>
      </c>
      <c r="E992" s="21">
        <f>IFERROR(__xludf.DUMMYFUNCTION("""COMPUTED_VALUE"""),145359.0)</f>
        <v>145359</v>
      </c>
      <c r="F992" s="21" t="str">
        <f>IFERROR(__xludf.DUMMYFUNCTION("""COMPUTED_VALUE"""),"INICIALIZADO")</f>
        <v>INICIALIZADO</v>
      </c>
      <c r="G992" s="23">
        <f>IFERROR(__xludf.DUMMYFUNCTION("""COMPUTED_VALUE"""),45618.65201388889)</f>
        <v>45618.65201</v>
      </c>
      <c r="H992" s="24" t="str">
        <f>IFERROR(VLOOKUP(B992,material!A:D,3,0),"")</f>
        <v>CARD</v>
      </c>
    </row>
    <row r="993" ht="11.25" customHeight="1">
      <c r="A993" s="21" t="str">
        <f>IFERROR(__xludf.DUMMYFUNCTION("""COMPUTED_VALUE"""),"SMART CARD PRETO NAGRA")</f>
        <v>SMART CARD PRETO NAGRA</v>
      </c>
      <c r="B993" s="22">
        <f>IFERROR(__xludf.DUMMYFUNCTION("""COMPUTED_VALUE"""),4.1001234E7)</f>
        <v>41001234</v>
      </c>
      <c r="C993" s="21" t="str">
        <f>IFERROR(__xludf.DUMMYFUNCTION("""COMPUTED_VALUE"""),"226170361221")</f>
        <v>226170361221</v>
      </c>
      <c r="D993" s="21" t="str">
        <f>IFERROR(__xludf.DUMMYFUNCTION("""COMPUTED_VALUE"""),"DIGITEC TECNOLOGIA DIGITAL E REPRES")</f>
        <v>DIGITEC TECNOLOGIA DIGITAL E REPRES</v>
      </c>
      <c r="E993" s="21">
        <f>IFERROR(__xludf.DUMMYFUNCTION("""COMPUTED_VALUE"""),145359.0)</f>
        <v>145359</v>
      </c>
      <c r="F993" s="21" t="str">
        <f>IFERROR(__xludf.DUMMYFUNCTION("""COMPUTED_VALUE"""),"INICIALIZADO")</f>
        <v>INICIALIZADO</v>
      </c>
      <c r="G993" s="23">
        <f>IFERROR(__xludf.DUMMYFUNCTION("""COMPUTED_VALUE"""),45635.53493055556)</f>
        <v>45635.53493</v>
      </c>
      <c r="H993" s="24" t="str">
        <f>IFERROR(VLOOKUP(B993,material!A:D,3,0),"")</f>
        <v>CARD</v>
      </c>
    </row>
    <row r="994" ht="11.25" customHeight="1">
      <c r="A994" s="21" t="str">
        <f>IFERROR(__xludf.DUMMYFUNCTION("""COMPUTED_VALUE"""),"THOMSON HIGH DEFINITION DCI713")</f>
        <v>THOMSON HIGH DEFINITION DCI713</v>
      </c>
      <c r="B994" s="22">
        <f>IFERROR(__xludf.DUMMYFUNCTION("""COMPUTED_VALUE"""),4.1001273E7)</f>
        <v>41001273</v>
      </c>
      <c r="C994" s="21" t="str">
        <f>IFERROR(__xludf.DUMMYFUNCTION("""COMPUTED_VALUE"""),"181270075976")</f>
        <v>181270075976</v>
      </c>
      <c r="D994" s="21" t="str">
        <f>IFERROR(__xludf.DUMMYFUNCTION("""COMPUTED_VALUE"""),"DIGITEC TECNOLOGIA DIGITAL E REPRES")</f>
        <v>DIGITEC TECNOLOGIA DIGITAL E REPRES</v>
      </c>
      <c r="E994" s="21">
        <f>IFERROR(__xludf.DUMMYFUNCTION("""COMPUTED_VALUE"""),145359.0)</f>
        <v>145359</v>
      </c>
      <c r="F994" s="21" t="str">
        <f>IFERROR(__xludf.DUMMYFUNCTION("""COMPUTED_VALUE"""),"INICIALIZADO")</f>
        <v>INICIALIZADO</v>
      </c>
      <c r="G994" s="23">
        <f>IFERROR(__xludf.DUMMYFUNCTION("""COMPUTED_VALUE"""),44999.92954861111)</f>
        <v>44999.92955</v>
      </c>
      <c r="H994" s="24" t="str">
        <f>IFERROR(VLOOKUP(B994,material!A:D,3,0),"")</f>
        <v>LEGADO</v>
      </c>
    </row>
    <row r="995" ht="11.25" customHeight="1">
      <c r="A995" s="21" t="str">
        <f>IFERROR(__xludf.DUMMYFUNCTION("""COMPUTED_VALUE"""),"TECHNICOLOR TC7337NET")</f>
        <v>TECHNICOLOR TC7337NET</v>
      </c>
      <c r="B995" s="22">
        <f>IFERROR(__xludf.DUMMYFUNCTION("""COMPUTED_VALUE"""),4.1001294E7)</f>
        <v>41001294</v>
      </c>
      <c r="C995" s="21" t="str">
        <f>IFERROR(__xludf.DUMMYFUNCTION("""COMPUTED_VALUE"""),"10C25A112F1D")</f>
        <v>10C25A112F1D</v>
      </c>
      <c r="D995" s="21" t="str">
        <f>IFERROR(__xludf.DUMMYFUNCTION("""COMPUTED_VALUE"""),"DIGITEC TECNOLOGIA DIGITAL E REPRES")</f>
        <v>DIGITEC TECNOLOGIA DIGITAL E REPRES</v>
      </c>
      <c r="E995" s="21">
        <f>IFERROR(__xludf.DUMMYFUNCTION("""COMPUTED_VALUE"""),145359.0)</f>
        <v>145359</v>
      </c>
      <c r="F995" s="21" t="str">
        <f>IFERROR(__xludf.DUMMYFUNCTION("""COMPUTED_VALUE"""),"INICIALIZADO")</f>
        <v>INICIALIZADO</v>
      </c>
      <c r="G995" s="23">
        <f>IFERROR(__xludf.DUMMYFUNCTION("""COMPUTED_VALUE"""),45618.74476851852)</f>
        <v>45618.74477</v>
      </c>
      <c r="H995" s="24" t="str">
        <f>IFERROR(VLOOKUP(B995,material!A:D,3,0),"")</f>
        <v>DUAL</v>
      </c>
    </row>
    <row r="996" ht="11.25" customHeight="1">
      <c r="A996" s="21" t="str">
        <f>IFERROR(__xludf.DUMMYFUNCTION("""COMPUTED_VALUE"""),"DECODER DIGITAL HD DXC5000 2T")</f>
        <v>DECODER DIGITAL HD DXC5000 2T</v>
      </c>
      <c r="B996" s="22">
        <f>IFERROR(__xludf.DUMMYFUNCTION("""COMPUTED_VALUE"""),4.1001277E7)</f>
        <v>41001277</v>
      </c>
      <c r="C996" s="21" t="str">
        <f>IFERROR(__xludf.DUMMYFUNCTION("""COMPUTED_VALUE"""),"216391012536")</f>
        <v>216391012536</v>
      </c>
      <c r="D996" s="21" t="str">
        <f>IFERROR(__xludf.DUMMYFUNCTION("""COMPUTED_VALUE"""),"DIGITEC TECNOLOGIA DIGITAL E REPRES")</f>
        <v>DIGITEC TECNOLOGIA DIGITAL E REPRES</v>
      </c>
      <c r="E996" s="21">
        <f>IFERROR(__xludf.DUMMYFUNCTION("""COMPUTED_VALUE"""),145359.0)</f>
        <v>145359</v>
      </c>
      <c r="F996" s="21" t="str">
        <f>IFERROR(__xludf.DUMMYFUNCTION("""COMPUTED_VALUE"""),"INICIALIZADO")</f>
        <v>INICIALIZADO</v>
      </c>
      <c r="G996" s="23">
        <f>IFERROR(__xludf.DUMMYFUNCTION("""COMPUTED_VALUE"""),45600.476006944446)</f>
        <v>45600.47601</v>
      </c>
      <c r="H996" s="24" t="str">
        <f>IFERROR(VLOOKUP(B996,material!A:D,3,0),"")</f>
        <v>TOP MIX</v>
      </c>
    </row>
    <row r="997" ht="11.25" customHeight="1">
      <c r="A997" s="21" t="str">
        <f>IFERROR(__xludf.DUMMYFUNCTION("""COMPUTED_VALUE"""),"DECODER DIGITAL HD HNB100 2T")</f>
        <v>DECODER DIGITAL HD HNB100 2T</v>
      </c>
      <c r="B997" s="22">
        <f>IFERROR(__xludf.DUMMYFUNCTION("""COMPUTED_VALUE"""),4.1001276E7)</f>
        <v>41001276</v>
      </c>
      <c r="C997" s="21" t="str">
        <f>IFERROR(__xludf.DUMMYFUNCTION("""COMPUTED_VALUE"""),"216636839804")</f>
        <v>216636839804</v>
      </c>
      <c r="D997" s="21" t="str">
        <f>IFERROR(__xludf.DUMMYFUNCTION("""COMPUTED_VALUE"""),"DIGITEC TECNOLOGIA DIGITAL E REPRES")</f>
        <v>DIGITEC TECNOLOGIA DIGITAL E REPRES</v>
      </c>
      <c r="E997" s="21">
        <f>IFERROR(__xludf.DUMMYFUNCTION("""COMPUTED_VALUE"""),145359.0)</f>
        <v>145359</v>
      </c>
      <c r="F997" s="21" t="str">
        <f>IFERROR(__xludf.DUMMYFUNCTION("""COMPUTED_VALUE"""),"INICIALIZADO")</f>
        <v>INICIALIZADO</v>
      </c>
      <c r="G997" s="23">
        <f>IFERROR(__xludf.DUMMYFUNCTION("""COMPUTED_VALUE"""),45635.53506944445)</f>
        <v>45635.53507</v>
      </c>
      <c r="H997" s="24" t="str">
        <f>IFERROR(VLOOKUP(B997,material!A:D,3,0),"")</f>
        <v>TOP MIX</v>
      </c>
    </row>
    <row r="998" ht="11.25" customHeight="1">
      <c r="A998" s="21" t="str">
        <f>IFERROR(__xludf.DUMMYFUNCTION("""COMPUTED_VALUE"""),"SMART CARD PRETO NAGRA")</f>
        <v>SMART CARD PRETO NAGRA</v>
      </c>
      <c r="B998" s="22">
        <f>IFERROR(__xludf.DUMMYFUNCTION("""COMPUTED_VALUE"""),4.1001234E7)</f>
        <v>41001234</v>
      </c>
      <c r="C998" s="21" t="str">
        <f>IFERROR(__xludf.DUMMYFUNCTION("""COMPUTED_VALUE"""),"246239035162")</f>
        <v>246239035162</v>
      </c>
      <c r="D998" s="21" t="str">
        <f>IFERROR(__xludf.DUMMYFUNCTION("""COMPUTED_VALUE"""),"DIGITEC TECNOLOGIA DIGITAL E REPRES")</f>
        <v>DIGITEC TECNOLOGIA DIGITAL E REPRES</v>
      </c>
      <c r="E998" s="21">
        <f>IFERROR(__xludf.DUMMYFUNCTION("""COMPUTED_VALUE"""),145359.0)</f>
        <v>145359</v>
      </c>
      <c r="F998" s="21" t="str">
        <f>IFERROR(__xludf.DUMMYFUNCTION("""COMPUTED_VALUE"""),"TRANSITO REVERSA")</f>
        <v>TRANSITO REVERSA</v>
      </c>
      <c r="G998" s="23">
        <f>IFERROR(__xludf.DUMMYFUNCTION("""COMPUTED_VALUE"""),45633.00336805556)</f>
        <v>45633.00337</v>
      </c>
      <c r="H998" s="24" t="str">
        <f>IFERROR(VLOOKUP(B998,material!A:D,3,0),"")</f>
        <v>CARD</v>
      </c>
    </row>
    <row r="999" ht="11.25" customHeight="1">
      <c r="A999" s="21" t="str">
        <f>IFERROR(__xludf.DUMMYFUNCTION("""COMPUTED_VALUE"""),"SMART CARD PRETO NAGRA")</f>
        <v>SMART CARD PRETO NAGRA</v>
      </c>
      <c r="B999" s="22">
        <f>IFERROR(__xludf.DUMMYFUNCTION("""COMPUTED_VALUE"""),4.1001234E7)</f>
        <v>41001234</v>
      </c>
      <c r="C999" s="21" t="str">
        <f>IFERROR(__xludf.DUMMYFUNCTION("""COMPUTED_VALUE"""),"246189795059")</f>
        <v>246189795059</v>
      </c>
      <c r="D999" s="21" t="str">
        <f>IFERROR(__xludf.DUMMYFUNCTION("""COMPUTED_VALUE"""),"DIGITEC TECNOLOGIA DIGITAL E REPRES")</f>
        <v>DIGITEC TECNOLOGIA DIGITAL E REPRES</v>
      </c>
      <c r="E999" s="21">
        <f>IFERROR(__xludf.DUMMYFUNCTION("""COMPUTED_VALUE"""),145359.0)</f>
        <v>145359</v>
      </c>
      <c r="F999" s="21" t="str">
        <f>IFERROR(__xludf.DUMMYFUNCTION("""COMPUTED_VALUE"""),"TRANSITO REVERSA")</f>
        <v>TRANSITO REVERSA</v>
      </c>
      <c r="G999" s="23">
        <f>IFERROR(__xludf.DUMMYFUNCTION("""COMPUTED_VALUE"""),45617.87137731482)</f>
        <v>45617.87138</v>
      </c>
      <c r="H999" s="24" t="str">
        <f>IFERROR(VLOOKUP(B999,material!A:D,3,0),"")</f>
        <v>CARD</v>
      </c>
    </row>
    <row r="1000" ht="11.25" customHeight="1">
      <c r="A1000" s="21" t="str">
        <f>IFERROR(__xludf.DUMMYFUNCTION("""COMPUTED_VALUE"""),"HUMAX HGB10R-02")</f>
        <v>HUMAX HGB10R-02</v>
      </c>
      <c r="B1000" s="22">
        <f>IFERROR(__xludf.DUMMYFUNCTION("""COMPUTED_VALUE"""),4.1001292E7)</f>
        <v>41001292</v>
      </c>
      <c r="C1000" s="21" t="str">
        <f>IFERROR(__xludf.DUMMYFUNCTION("""COMPUTED_VALUE"""),"90F305555ECC")</f>
        <v>90F305555ECC</v>
      </c>
      <c r="D1000" s="21" t="str">
        <f>IFERROR(__xludf.DUMMYFUNCTION("""COMPUTED_VALUE"""),"DIGITEC TECNOLOGIA DIGITAL E REPRES")</f>
        <v>DIGITEC TECNOLOGIA DIGITAL E REPRES</v>
      </c>
      <c r="E1000" s="21">
        <f>IFERROR(__xludf.DUMMYFUNCTION("""COMPUTED_VALUE"""),145359.0)</f>
        <v>145359</v>
      </c>
      <c r="F1000" s="21" t="str">
        <f>IFERROR(__xludf.DUMMYFUNCTION("""COMPUTED_VALUE"""),"SUSPEITO")</f>
        <v>SUSPEITO</v>
      </c>
      <c r="G1000" s="23">
        <f>IFERROR(__xludf.DUMMYFUNCTION("""COMPUTED_VALUE"""),45640.368356481486)</f>
        <v>45640.36836</v>
      </c>
      <c r="H1000" s="24" t="str">
        <f>IFERROR(VLOOKUP(B1000,material!A:D,3,0),"")</f>
        <v>DUAL</v>
      </c>
    </row>
    <row r="1001" ht="11.25" customHeight="1">
      <c r="A1001" s="21" t="str">
        <f>IFERROR(__xludf.DUMMYFUNCTION("""COMPUTED_VALUE"""),"SMART CARD LARANJA NAGRA")</f>
        <v>SMART CARD LARANJA NAGRA</v>
      </c>
      <c r="B1001" s="22">
        <f>IFERROR(__xludf.DUMMYFUNCTION("""COMPUTED_VALUE"""),4.1001186E7)</f>
        <v>41001186</v>
      </c>
      <c r="C1001" s="21" t="str">
        <f>IFERROR(__xludf.DUMMYFUNCTION("""COMPUTED_VALUE"""),"226706165880")</f>
        <v>226706165880</v>
      </c>
      <c r="D1001" s="21" t="str">
        <f>IFERROR(__xludf.DUMMYFUNCTION("""COMPUTED_VALUE"""),"DIGITEC TECNOLOGIA DIGITAL E REPRES")</f>
        <v>DIGITEC TECNOLOGIA DIGITAL E REPRES</v>
      </c>
      <c r="E1001" s="21">
        <f>IFERROR(__xludf.DUMMYFUNCTION("""COMPUTED_VALUE"""),145359.0)</f>
        <v>145359</v>
      </c>
      <c r="F1001" s="21" t="str">
        <f>IFERROR(__xludf.DUMMYFUNCTION("""COMPUTED_VALUE"""),"SUCATA")</f>
        <v>SUCATA</v>
      </c>
      <c r="G1001" s="23">
        <f>IFERROR(__xludf.DUMMYFUNCTION("""COMPUTED_VALUE"""),45075.51190972222)</f>
        <v>45075.51191</v>
      </c>
      <c r="H1001" s="24" t="str">
        <f>IFERROR(VLOOKUP(B1001,material!A:D,3,0),"")</f>
        <v>CARD</v>
      </c>
    </row>
    <row r="1002" ht="11.25" customHeight="1">
      <c r="A1002" s="21" t="str">
        <f>IFERROR(__xludf.DUMMYFUNCTION("""COMPUTED_VALUE"""),"DECODER DIGITAL HD HNB100 2T")</f>
        <v>DECODER DIGITAL HD HNB100 2T</v>
      </c>
      <c r="B1002" s="22">
        <f>IFERROR(__xludf.DUMMYFUNCTION("""COMPUTED_VALUE"""),4.1001276E7)</f>
        <v>41001276</v>
      </c>
      <c r="C1002" s="21" t="str">
        <f>IFERROR(__xludf.DUMMYFUNCTION("""COMPUTED_VALUE"""),"184333614556")</f>
        <v>184333614556</v>
      </c>
      <c r="D1002" s="21" t="str">
        <f>IFERROR(__xludf.DUMMYFUNCTION("""COMPUTED_VALUE"""),"DIGITEC TECNOLOGIA DIGITAL E REPRES")</f>
        <v>DIGITEC TECNOLOGIA DIGITAL E REPRES</v>
      </c>
      <c r="E1002" s="21">
        <f>IFERROR(__xludf.DUMMYFUNCTION("""COMPUTED_VALUE"""),145359.0)</f>
        <v>145359</v>
      </c>
      <c r="F1002" s="21" t="str">
        <f>IFERROR(__xludf.DUMMYFUNCTION("""COMPUTED_VALUE"""),"INICIALIZADO")</f>
        <v>INICIALIZADO</v>
      </c>
      <c r="G1002" s="23">
        <f>IFERROR(__xludf.DUMMYFUNCTION("""COMPUTED_VALUE"""),45635.535046296296)</f>
        <v>45635.53505</v>
      </c>
      <c r="H1002" s="24" t="str">
        <f>IFERROR(VLOOKUP(B1002,material!A:D,3,0),"")</f>
        <v>TOP MIX</v>
      </c>
    </row>
    <row r="1003" ht="11.25" customHeight="1">
      <c r="A1003" s="21" t="str">
        <f>IFERROR(__xludf.DUMMYFUNCTION("""COMPUTED_VALUE"""),"SMART CARD PRETO NAGRA")</f>
        <v>SMART CARD PRETO NAGRA</v>
      </c>
      <c r="B1003" s="22">
        <f>IFERROR(__xludf.DUMMYFUNCTION("""COMPUTED_VALUE"""),4.1001234E7)</f>
        <v>41001234</v>
      </c>
      <c r="C1003" s="21" t="str">
        <f>IFERROR(__xludf.DUMMYFUNCTION("""COMPUTED_VALUE"""),"246279375373")</f>
        <v>246279375373</v>
      </c>
      <c r="D1003" s="21" t="str">
        <f>IFERROR(__xludf.DUMMYFUNCTION("""COMPUTED_VALUE"""),"DIGITEC TECNOLOGIA DIGITAL E REPRES")</f>
        <v>DIGITEC TECNOLOGIA DIGITAL E REPRES</v>
      </c>
      <c r="E1003" s="21">
        <f>IFERROR(__xludf.DUMMYFUNCTION("""COMPUTED_VALUE"""),145359.0)</f>
        <v>145359</v>
      </c>
      <c r="F1003" s="21" t="str">
        <f>IFERROR(__xludf.DUMMYFUNCTION("""COMPUTED_VALUE"""),"INICIALIZADO")</f>
        <v>INICIALIZADO</v>
      </c>
      <c r="G1003" s="23">
        <f>IFERROR(__xludf.DUMMYFUNCTION("""COMPUTED_VALUE"""),45635.53491898148)</f>
        <v>45635.53492</v>
      </c>
      <c r="H1003" s="24" t="str">
        <f>IFERROR(VLOOKUP(B1003,material!A:D,3,0),"")</f>
        <v>CARD</v>
      </c>
    </row>
    <row r="1004" ht="11.25" customHeight="1">
      <c r="A1004" s="21" t="str">
        <f>IFERROR(__xludf.DUMMYFUNCTION("""COMPUTED_VALUE"""),"SMART CARD PRETO NAGRA")</f>
        <v>SMART CARD PRETO NAGRA</v>
      </c>
      <c r="B1004" s="22">
        <f>IFERROR(__xludf.DUMMYFUNCTION("""COMPUTED_VALUE"""),4.1001234E7)</f>
        <v>41001234</v>
      </c>
      <c r="C1004" s="21" t="str">
        <f>IFERROR(__xludf.DUMMYFUNCTION("""COMPUTED_VALUE"""),"226241842731")</f>
        <v>226241842731</v>
      </c>
      <c r="D1004" s="21" t="str">
        <f>IFERROR(__xludf.DUMMYFUNCTION("""COMPUTED_VALUE"""),"DIGITEC TECNOLOGIA DIGITAL E REPRES")</f>
        <v>DIGITEC TECNOLOGIA DIGITAL E REPRES</v>
      </c>
      <c r="E1004" s="21">
        <f>IFERROR(__xludf.DUMMYFUNCTION("""COMPUTED_VALUE"""),145359.0)</f>
        <v>145359</v>
      </c>
      <c r="F1004" s="21" t="str">
        <f>IFERROR(__xludf.DUMMYFUNCTION("""COMPUTED_VALUE"""),"INICIALIZADO")</f>
        <v>INICIALIZADO</v>
      </c>
      <c r="G1004" s="23">
        <f>IFERROR(__xludf.DUMMYFUNCTION("""COMPUTED_VALUE"""),45642.52410879629)</f>
        <v>45642.52411</v>
      </c>
      <c r="H1004" s="24" t="str">
        <f>IFERROR(VLOOKUP(B1004,material!A:D,3,0),"")</f>
        <v>CARD</v>
      </c>
    </row>
    <row r="1005" ht="11.25" customHeight="1">
      <c r="A1005" s="21" t="str">
        <f>IFERROR(__xludf.DUMMYFUNCTION("""COMPUTED_VALUE"""),"TECHNICOLOR TC7337NET")</f>
        <v>TECHNICOLOR TC7337NET</v>
      </c>
      <c r="B1005" s="22">
        <f>IFERROR(__xludf.DUMMYFUNCTION("""COMPUTED_VALUE"""),4.1001294E7)</f>
        <v>41001294</v>
      </c>
      <c r="C1005" s="21" t="str">
        <f>IFERROR(__xludf.DUMMYFUNCTION("""COMPUTED_VALUE"""),"54A65C0FDC80")</f>
        <v>54A65C0FDC80</v>
      </c>
      <c r="D1005" s="21" t="str">
        <f>IFERROR(__xludf.DUMMYFUNCTION("""COMPUTED_VALUE"""),"DIGITEC TECNOLOGIA DIGITAL E REPRES")</f>
        <v>DIGITEC TECNOLOGIA DIGITAL E REPRES</v>
      </c>
      <c r="E1005" s="21">
        <f>IFERROR(__xludf.DUMMYFUNCTION("""COMPUTED_VALUE"""),145359.0)</f>
        <v>145359</v>
      </c>
      <c r="F1005" s="21" t="str">
        <f>IFERROR(__xludf.DUMMYFUNCTION("""COMPUTED_VALUE"""),"INICIALIZADO")</f>
        <v>INICIALIZADO</v>
      </c>
      <c r="G1005" s="23">
        <f>IFERROR(__xludf.DUMMYFUNCTION("""COMPUTED_VALUE"""),45618.74476851852)</f>
        <v>45618.74477</v>
      </c>
      <c r="H1005" s="24" t="str">
        <f>IFERROR(VLOOKUP(B1005,material!A:D,3,0),"")</f>
        <v>DUAL</v>
      </c>
    </row>
    <row r="1006" ht="11.25" customHeight="1">
      <c r="A1006" s="21" t="str">
        <f>IFERROR(__xludf.DUMMYFUNCTION("""COMPUTED_VALUE"""),"SMART CARD PRETO NAGRA")</f>
        <v>SMART CARD PRETO NAGRA</v>
      </c>
      <c r="B1006" s="22">
        <f>IFERROR(__xludf.DUMMYFUNCTION("""COMPUTED_VALUE"""),4.1001234E7)</f>
        <v>41001234</v>
      </c>
      <c r="C1006" s="21" t="str">
        <f>IFERROR(__xludf.DUMMYFUNCTION("""COMPUTED_VALUE"""),"246190466572")</f>
        <v>246190466572</v>
      </c>
      <c r="D1006" s="21" t="str">
        <f>IFERROR(__xludf.DUMMYFUNCTION("""COMPUTED_VALUE"""),"DIGITEC TECNOLOGIA DIGITAL E REPRES")</f>
        <v>DIGITEC TECNOLOGIA DIGITAL E REPRES</v>
      </c>
      <c r="E1006" s="21">
        <f>IFERROR(__xludf.DUMMYFUNCTION("""COMPUTED_VALUE"""),145359.0)</f>
        <v>145359</v>
      </c>
      <c r="F1006" s="21" t="str">
        <f>IFERROR(__xludf.DUMMYFUNCTION("""COMPUTED_VALUE"""),"INICIALIZADO")</f>
        <v>INICIALIZADO</v>
      </c>
      <c r="G1006" s="23">
        <f>IFERROR(__xludf.DUMMYFUNCTION("""COMPUTED_VALUE"""),45635.534895833334)</f>
        <v>45635.5349</v>
      </c>
      <c r="H1006" s="24" t="str">
        <f>IFERROR(VLOOKUP(B1006,material!A:D,3,0),"")</f>
        <v>CARD</v>
      </c>
    </row>
    <row r="1007" ht="11.25" customHeight="1">
      <c r="A1007" s="21" t="str">
        <f>IFERROR(__xludf.DUMMYFUNCTION("""COMPUTED_VALUE"""),"DECODER DIGITAL HD HNB100 2T")</f>
        <v>DECODER DIGITAL HD HNB100 2T</v>
      </c>
      <c r="B1007" s="22">
        <f>IFERROR(__xludf.DUMMYFUNCTION("""COMPUTED_VALUE"""),4.1001276E7)</f>
        <v>41001276</v>
      </c>
      <c r="C1007" s="21" t="str">
        <f>IFERROR(__xludf.DUMMYFUNCTION("""COMPUTED_VALUE"""),"216335613852")</f>
        <v>216335613852</v>
      </c>
      <c r="D1007" s="21" t="str">
        <f>IFERROR(__xludf.DUMMYFUNCTION("""COMPUTED_VALUE"""),"DIGITEC TECNOLOGIA DIGITAL E REPRES")</f>
        <v>DIGITEC TECNOLOGIA DIGITAL E REPRES</v>
      </c>
      <c r="E1007" s="21">
        <f>IFERROR(__xludf.DUMMYFUNCTION("""COMPUTED_VALUE"""),145359.0)</f>
        <v>145359</v>
      </c>
      <c r="F1007" s="21" t="str">
        <f>IFERROR(__xludf.DUMMYFUNCTION("""COMPUTED_VALUE"""),"INICIALIZADO")</f>
        <v>INICIALIZADO</v>
      </c>
      <c r="G1007" s="23">
        <f>IFERROR(__xludf.DUMMYFUNCTION("""COMPUTED_VALUE"""),45635.535046296296)</f>
        <v>45635.53505</v>
      </c>
      <c r="H1007" s="24" t="str">
        <f>IFERROR(VLOOKUP(B1007,material!A:D,3,0),"")</f>
        <v>TOP MIX</v>
      </c>
    </row>
    <row r="1008" ht="11.25" customHeight="1">
      <c r="A1008" s="21" t="str">
        <f>IFERROR(__xludf.DUMMYFUNCTION("""COMPUTED_VALUE"""),"SMART CARD PRETO NAGRA")</f>
        <v>SMART CARD PRETO NAGRA</v>
      </c>
      <c r="B1008" s="22">
        <f>IFERROR(__xludf.DUMMYFUNCTION("""COMPUTED_VALUE"""),4.1001234E7)</f>
        <v>41001234</v>
      </c>
      <c r="C1008" s="21" t="str">
        <f>IFERROR(__xludf.DUMMYFUNCTION("""COMPUTED_VALUE"""),"226039461016")</f>
        <v>226039461016</v>
      </c>
      <c r="D1008" s="21" t="str">
        <f>IFERROR(__xludf.DUMMYFUNCTION("""COMPUTED_VALUE"""),"DIGITEC TECNOLOGIA DIGITAL E REPRES")</f>
        <v>DIGITEC TECNOLOGIA DIGITAL E REPRES</v>
      </c>
      <c r="E1008" s="21">
        <f>IFERROR(__xludf.DUMMYFUNCTION("""COMPUTED_VALUE"""),145359.0)</f>
        <v>145359</v>
      </c>
      <c r="F1008" s="21" t="str">
        <f>IFERROR(__xludf.DUMMYFUNCTION("""COMPUTED_VALUE"""),"INICIALIZADO")</f>
        <v>INICIALIZADO</v>
      </c>
      <c r="G1008" s="23">
        <f>IFERROR(__xludf.DUMMYFUNCTION("""COMPUTED_VALUE"""),45635.53494212963)</f>
        <v>45635.53494</v>
      </c>
      <c r="H1008" s="24" t="str">
        <f>IFERROR(VLOOKUP(B1008,material!A:D,3,0),"")</f>
        <v>CARD</v>
      </c>
    </row>
    <row r="1009" ht="11.25" customHeight="1">
      <c r="A1009" s="21" t="str">
        <f>IFERROR(__xludf.DUMMYFUNCTION("""COMPUTED_VALUE"""),"SMART CARD AVULSO MINI")</f>
        <v>SMART CARD AVULSO MINI</v>
      </c>
      <c r="B1009" s="22">
        <f>IFERROR(__xludf.DUMMYFUNCTION("""COMPUTED_VALUE"""),4.1001508E7)</f>
        <v>41001508</v>
      </c>
      <c r="C1009" s="21" t="str">
        <f>IFERROR(__xludf.DUMMYFUNCTION("""COMPUTED_VALUE"""),"246210928288")</f>
        <v>246210928288</v>
      </c>
      <c r="D1009" s="21" t="str">
        <f>IFERROR(__xludf.DUMMYFUNCTION("""COMPUTED_VALUE"""),"DIGITEC TECNOLOGIA DIGITAL E REPRES")</f>
        <v>DIGITEC TECNOLOGIA DIGITAL E REPRES</v>
      </c>
      <c r="E1009" s="21">
        <f>IFERROR(__xludf.DUMMYFUNCTION("""COMPUTED_VALUE"""),145359.0)</f>
        <v>145359</v>
      </c>
      <c r="F1009" s="21" t="str">
        <f>IFERROR(__xludf.DUMMYFUNCTION("""COMPUTED_VALUE"""),"TRANSITO REVERSA")</f>
        <v>TRANSITO REVERSA</v>
      </c>
      <c r="G1009" s="23">
        <f>IFERROR(__xludf.DUMMYFUNCTION("""COMPUTED_VALUE"""),45638.520578703705)</f>
        <v>45638.52058</v>
      </c>
      <c r="H1009" s="24" t="str">
        <f>IFERROR(VLOOKUP(B1009,material!A:D,3,0),"")</f>
        <v>SIM CARD</v>
      </c>
    </row>
    <row r="1010" ht="11.25" customHeight="1">
      <c r="A1010" s="21" t="str">
        <f>IFERROR(__xludf.DUMMYFUNCTION("""COMPUTED_VALUE"""),"TECHNICOLOR TC7337NET")</f>
        <v>TECHNICOLOR TC7337NET</v>
      </c>
      <c r="B1010" s="22">
        <f>IFERROR(__xludf.DUMMYFUNCTION("""COMPUTED_VALUE"""),4.1001294E7)</f>
        <v>41001294</v>
      </c>
      <c r="C1010" s="21" t="str">
        <f>IFERROR(__xludf.DUMMYFUNCTION("""COMPUTED_VALUE"""),"603D265DA1B2")</f>
        <v>603D265DA1B2</v>
      </c>
      <c r="D1010" s="21" t="str">
        <f>IFERROR(__xludf.DUMMYFUNCTION("""COMPUTED_VALUE"""),"DIGITEC TECNOLOGIA DIGITAL E REPRES")</f>
        <v>DIGITEC TECNOLOGIA DIGITAL E REPRES</v>
      </c>
      <c r="E1010" s="21">
        <f>IFERROR(__xludf.DUMMYFUNCTION("""COMPUTED_VALUE"""),145359.0)</f>
        <v>145359</v>
      </c>
      <c r="F1010" s="21" t="str">
        <f>IFERROR(__xludf.DUMMYFUNCTION("""COMPUTED_VALUE"""),"INICIALIZADO")</f>
        <v>INICIALIZADO</v>
      </c>
      <c r="G1010" s="23">
        <f>IFERROR(__xludf.DUMMYFUNCTION("""COMPUTED_VALUE"""),45618.74478009259)</f>
        <v>45618.74478</v>
      </c>
      <c r="H1010" s="24" t="str">
        <f>IFERROR(VLOOKUP(B1010,material!A:D,3,0),"")</f>
        <v>DUAL</v>
      </c>
    </row>
    <row r="1011" ht="11.25" customHeight="1">
      <c r="A1011" s="21" t="str">
        <f>IFERROR(__xludf.DUMMYFUNCTION("""COMPUTED_VALUE"""),"SMART CARD PRETO NAGRA")</f>
        <v>SMART CARD PRETO NAGRA</v>
      </c>
      <c r="B1011" s="22">
        <f>IFERROR(__xludf.DUMMYFUNCTION("""COMPUTED_VALUE"""),4.1001234E7)</f>
        <v>41001234</v>
      </c>
      <c r="C1011" s="21" t="str">
        <f>IFERROR(__xludf.DUMMYFUNCTION("""COMPUTED_VALUE"""),"246063386078")</f>
        <v>246063386078</v>
      </c>
      <c r="D1011" s="21" t="str">
        <f>IFERROR(__xludf.DUMMYFUNCTION("""COMPUTED_VALUE"""),"DIGITEC TECNOLOGIA DIGITAL E REPRES")</f>
        <v>DIGITEC TECNOLOGIA DIGITAL E REPRES</v>
      </c>
      <c r="E1011" s="21">
        <f>IFERROR(__xludf.DUMMYFUNCTION("""COMPUTED_VALUE"""),145359.0)</f>
        <v>145359</v>
      </c>
      <c r="F1011" s="21" t="str">
        <f>IFERROR(__xludf.DUMMYFUNCTION("""COMPUTED_VALUE"""),"INICIALIZADO")</f>
        <v>INICIALIZADO</v>
      </c>
      <c r="G1011" s="23">
        <f>IFERROR(__xludf.DUMMYFUNCTION("""COMPUTED_VALUE"""),45635.534907407404)</f>
        <v>45635.53491</v>
      </c>
      <c r="H1011" s="24" t="str">
        <f>IFERROR(VLOOKUP(B1011,material!A:D,3,0),"")</f>
        <v>CARD</v>
      </c>
    </row>
    <row r="1012" ht="11.25" customHeight="1">
      <c r="A1012" s="21" t="str">
        <f>IFERROR(__xludf.DUMMYFUNCTION("""COMPUTED_VALUE"""),"SMART CARD PRETO NAGRA")</f>
        <v>SMART CARD PRETO NAGRA</v>
      </c>
      <c r="B1012" s="22">
        <f>IFERROR(__xludf.DUMMYFUNCTION("""COMPUTED_VALUE"""),4.1001234E7)</f>
        <v>41001234</v>
      </c>
      <c r="C1012" s="21" t="str">
        <f>IFERROR(__xludf.DUMMYFUNCTION("""COMPUTED_VALUE"""),"226370118101")</f>
        <v>226370118101</v>
      </c>
      <c r="D1012" s="21" t="str">
        <f>IFERROR(__xludf.DUMMYFUNCTION("""COMPUTED_VALUE"""),"DIGITEC TECNOLOGIA DIGITAL E REPRES")</f>
        <v>DIGITEC TECNOLOGIA DIGITAL E REPRES</v>
      </c>
      <c r="E1012" s="21">
        <f>IFERROR(__xludf.DUMMYFUNCTION("""COMPUTED_VALUE"""),145359.0)</f>
        <v>145359</v>
      </c>
      <c r="F1012" s="21" t="str">
        <f>IFERROR(__xludf.DUMMYFUNCTION("""COMPUTED_VALUE"""),"INICIALIZADO")</f>
        <v>INICIALIZADO</v>
      </c>
      <c r="G1012" s="23">
        <f>IFERROR(__xludf.DUMMYFUNCTION("""COMPUTED_VALUE"""),45635.53496527778)</f>
        <v>45635.53497</v>
      </c>
      <c r="H1012" s="24" t="str">
        <f>IFERROR(VLOOKUP(B1012,material!A:D,3,0),"")</f>
        <v>CARD</v>
      </c>
    </row>
    <row r="1013" ht="11.25" customHeight="1">
      <c r="A1013" s="21" t="str">
        <f>IFERROR(__xludf.DUMMYFUNCTION("""COMPUTED_VALUE"""),"SMART CARD PRETO NAGRA")</f>
        <v>SMART CARD PRETO NAGRA</v>
      </c>
      <c r="B1013" s="22">
        <f>IFERROR(__xludf.DUMMYFUNCTION("""COMPUTED_VALUE"""),4.1001234E7)</f>
        <v>41001234</v>
      </c>
      <c r="C1013" s="21" t="str">
        <f>IFERROR(__xludf.DUMMYFUNCTION("""COMPUTED_VALUE"""),"246106470205")</f>
        <v>246106470205</v>
      </c>
      <c r="D1013" s="21" t="str">
        <f>IFERROR(__xludf.DUMMYFUNCTION("""COMPUTED_VALUE"""),"DIGITEC TECNOLOGIA DIGITAL E REPRES")</f>
        <v>DIGITEC TECNOLOGIA DIGITAL E REPRES</v>
      </c>
      <c r="E1013" s="21">
        <f>IFERROR(__xludf.DUMMYFUNCTION("""COMPUTED_VALUE"""),145359.0)</f>
        <v>145359</v>
      </c>
      <c r="F1013" s="21" t="str">
        <f>IFERROR(__xludf.DUMMYFUNCTION("""COMPUTED_VALUE"""),"INICIALIZADO")</f>
        <v>INICIALIZADO</v>
      </c>
      <c r="G1013" s="23">
        <f>IFERROR(__xludf.DUMMYFUNCTION("""COMPUTED_VALUE"""),45635.534907407404)</f>
        <v>45635.53491</v>
      </c>
      <c r="H1013" s="24" t="str">
        <f>IFERROR(VLOOKUP(B1013,material!A:D,3,0),"")</f>
        <v>CARD</v>
      </c>
    </row>
    <row r="1014" ht="11.25" customHeight="1">
      <c r="A1014" s="21" t="str">
        <f>IFERROR(__xludf.DUMMYFUNCTION("""COMPUTED_VALUE"""),"SMART CARD PRETO NAGRA")</f>
        <v>SMART CARD PRETO NAGRA</v>
      </c>
      <c r="B1014" s="22">
        <f>IFERROR(__xludf.DUMMYFUNCTION("""COMPUTED_VALUE"""),4.1001234E7)</f>
        <v>41001234</v>
      </c>
      <c r="C1014" s="21" t="str">
        <f>IFERROR(__xludf.DUMMYFUNCTION("""COMPUTED_VALUE"""),"226335653536")</f>
        <v>226335653536</v>
      </c>
      <c r="D1014" s="21" t="str">
        <f>IFERROR(__xludf.DUMMYFUNCTION("""COMPUTED_VALUE"""),"DIGITEC TECNOLOGIA DIGITAL E REPRES")</f>
        <v>DIGITEC TECNOLOGIA DIGITAL E REPRES</v>
      </c>
      <c r="E1014" s="21">
        <f>IFERROR(__xludf.DUMMYFUNCTION("""COMPUTED_VALUE"""),145359.0)</f>
        <v>145359</v>
      </c>
      <c r="F1014" s="21" t="str">
        <f>IFERROR(__xludf.DUMMYFUNCTION("""COMPUTED_VALUE"""),"INICIALIZADO")</f>
        <v>INICIALIZADO</v>
      </c>
      <c r="G1014" s="23">
        <f>IFERROR(__xludf.DUMMYFUNCTION("""COMPUTED_VALUE"""),45635.53497685185)</f>
        <v>45635.53498</v>
      </c>
      <c r="H1014" s="24" t="str">
        <f>IFERROR(VLOOKUP(B1014,material!A:D,3,0),"")</f>
        <v>CARD</v>
      </c>
    </row>
    <row r="1015" ht="11.25" customHeight="1">
      <c r="A1015" s="21" t="str">
        <f>IFERROR(__xludf.DUMMYFUNCTION("""COMPUTED_VALUE"""),"SMART CARD PRETO NAGRA")</f>
        <v>SMART CARD PRETO NAGRA</v>
      </c>
      <c r="B1015" s="22">
        <f>IFERROR(__xludf.DUMMYFUNCTION("""COMPUTED_VALUE"""),4.1001234E7)</f>
        <v>41001234</v>
      </c>
      <c r="C1015" s="21" t="str">
        <f>IFERROR(__xludf.DUMMYFUNCTION("""COMPUTED_VALUE"""),"226172216676")</f>
        <v>226172216676</v>
      </c>
      <c r="D1015" s="21" t="str">
        <f>IFERROR(__xludf.DUMMYFUNCTION("""COMPUTED_VALUE"""),"DIGITEC TECNOLOGIA DIGITAL E REPRES")</f>
        <v>DIGITEC TECNOLOGIA DIGITAL E REPRES</v>
      </c>
      <c r="E1015" s="21">
        <f>IFERROR(__xludf.DUMMYFUNCTION("""COMPUTED_VALUE"""),145359.0)</f>
        <v>145359</v>
      </c>
      <c r="F1015" s="21" t="str">
        <f>IFERROR(__xludf.DUMMYFUNCTION("""COMPUTED_VALUE"""),"INICIALIZADO")</f>
        <v>INICIALIZADO</v>
      </c>
      <c r="G1015" s="23">
        <f>IFERROR(__xludf.DUMMYFUNCTION("""COMPUTED_VALUE"""),45635.53493055556)</f>
        <v>45635.53493</v>
      </c>
      <c r="H1015" s="24" t="str">
        <f>IFERROR(VLOOKUP(B1015,material!A:D,3,0),"")</f>
        <v>CARD</v>
      </c>
    </row>
    <row r="1016" ht="11.25" customHeight="1">
      <c r="A1016" s="21" t="str">
        <f>IFERROR(__xludf.DUMMYFUNCTION("""COMPUTED_VALUE"""),"SMART CARD PRETO NAGRA")</f>
        <v>SMART CARD PRETO NAGRA</v>
      </c>
      <c r="B1016" s="22">
        <f>IFERROR(__xludf.DUMMYFUNCTION("""COMPUTED_VALUE"""),4.1001234E7)</f>
        <v>41001234</v>
      </c>
      <c r="C1016" s="21" t="str">
        <f>IFERROR(__xludf.DUMMYFUNCTION("""COMPUTED_VALUE"""),"226322664760")</f>
        <v>226322664760</v>
      </c>
      <c r="D1016" s="21" t="str">
        <f>IFERROR(__xludf.DUMMYFUNCTION("""COMPUTED_VALUE"""),"DIGITEC TECNOLOGIA DIGITAL E REPRES")</f>
        <v>DIGITEC TECNOLOGIA DIGITAL E REPRES</v>
      </c>
      <c r="E1016" s="21">
        <f>IFERROR(__xludf.DUMMYFUNCTION("""COMPUTED_VALUE"""),145359.0)</f>
        <v>145359</v>
      </c>
      <c r="F1016" s="21" t="str">
        <f>IFERROR(__xludf.DUMMYFUNCTION("""COMPUTED_VALUE"""),"INICIALIZADO")</f>
        <v>INICIALIZADO</v>
      </c>
      <c r="G1016" s="23">
        <f>IFERROR(__xludf.DUMMYFUNCTION("""COMPUTED_VALUE"""),45642.52412037037)</f>
        <v>45642.52412</v>
      </c>
      <c r="H1016" s="24" t="str">
        <f>IFERROR(VLOOKUP(B1016,material!A:D,3,0),"")</f>
        <v>CARD</v>
      </c>
    </row>
    <row r="1017" ht="11.25" customHeight="1">
      <c r="A1017" s="21" t="str">
        <f>IFERROR(__xludf.DUMMYFUNCTION("""COMPUTED_VALUE"""),"DECODER DIGITAL HD HNB100 2T")</f>
        <v>DECODER DIGITAL HD HNB100 2T</v>
      </c>
      <c r="B1017" s="22">
        <f>IFERROR(__xludf.DUMMYFUNCTION("""COMPUTED_VALUE"""),4.1001276E7)</f>
        <v>41001276</v>
      </c>
      <c r="C1017" s="21" t="str">
        <f>IFERROR(__xludf.DUMMYFUNCTION("""COMPUTED_VALUE"""),"216739400914")</f>
        <v>216739400914</v>
      </c>
      <c r="D1017" s="21" t="str">
        <f>IFERROR(__xludf.DUMMYFUNCTION("""COMPUTED_VALUE"""),"DIGITEC TECNOLOGIA DIGITAL E REPRES")</f>
        <v>DIGITEC TECNOLOGIA DIGITAL E REPRES</v>
      </c>
      <c r="E1017" s="21">
        <f>IFERROR(__xludf.DUMMYFUNCTION("""COMPUTED_VALUE"""),145359.0)</f>
        <v>145359</v>
      </c>
      <c r="F1017" s="21" t="str">
        <f>IFERROR(__xludf.DUMMYFUNCTION("""COMPUTED_VALUE"""),"INICIALIZADO")</f>
        <v>INICIALIZADO</v>
      </c>
      <c r="G1017" s="23">
        <f>IFERROR(__xludf.DUMMYFUNCTION("""COMPUTED_VALUE"""),45635.535)</f>
        <v>45635.535</v>
      </c>
      <c r="H1017" s="24" t="str">
        <f>IFERROR(VLOOKUP(B1017,material!A:D,3,0),"")</f>
        <v>TOP MIX</v>
      </c>
    </row>
    <row r="1018" ht="11.25" customHeight="1">
      <c r="A1018" s="21" t="str">
        <f>IFERROR(__xludf.DUMMYFUNCTION("""COMPUTED_VALUE"""),"DECODER DIGITAL HD HNB100 2T")</f>
        <v>DECODER DIGITAL HD HNB100 2T</v>
      </c>
      <c r="B1018" s="22">
        <f>IFERROR(__xludf.DUMMYFUNCTION("""COMPUTED_VALUE"""),4.1001276E7)</f>
        <v>41001276</v>
      </c>
      <c r="C1018" s="21" t="str">
        <f>IFERROR(__xludf.DUMMYFUNCTION("""COMPUTED_VALUE"""),"184328164967")</f>
        <v>184328164967</v>
      </c>
      <c r="D1018" s="21" t="str">
        <f>IFERROR(__xludf.DUMMYFUNCTION("""COMPUTED_VALUE"""),"DIGITEC TECNOLOGIA DIGITAL E REPRES")</f>
        <v>DIGITEC TECNOLOGIA DIGITAL E REPRES</v>
      </c>
      <c r="E1018" s="21">
        <f>IFERROR(__xludf.DUMMYFUNCTION("""COMPUTED_VALUE"""),145359.0)</f>
        <v>145359</v>
      </c>
      <c r="F1018" s="21" t="str">
        <f>IFERROR(__xludf.DUMMYFUNCTION("""COMPUTED_VALUE"""),"INICIALIZADO")</f>
        <v>INICIALIZADO</v>
      </c>
      <c r="G1018" s="23">
        <f>IFERROR(__xludf.DUMMYFUNCTION("""COMPUTED_VALUE"""),45635.535046296296)</f>
        <v>45635.53505</v>
      </c>
      <c r="H1018" s="24" t="str">
        <f>IFERROR(VLOOKUP(B1018,material!A:D,3,0),"")</f>
        <v>TOP MIX</v>
      </c>
    </row>
    <row r="1019" ht="11.25" customHeight="1">
      <c r="A1019" s="21" t="str">
        <f>IFERROR(__xludf.DUMMYFUNCTION("""COMPUTED_VALUE"""),"SMART CARD PRETO NAGRA")</f>
        <v>SMART CARD PRETO NAGRA</v>
      </c>
      <c r="B1019" s="22">
        <f>IFERROR(__xludf.DUMMYFUNCTION("""COMPUTED_VALUE"""),4.1001234E7)</f>
        <v>41001234</v>
      </c>
      <c r="C1019" s="21" t="str">
        <f>IFERROR(__xludf.DUMMYFUNCTION("""COMPUTED_VALUE"""),"246143163449")</f>
        <v>246143163449</v>
      </c>
      <c r="D1019" s="21" t="str">
        <f>IFERROR(__xludf.DUMMYFUNCTION("""COMPUTED_VALUE"""),"DIGITEC TECNOLOGIA DIGITAL E REPRES")</f>
        <v>DIGITEC TECNOLOGIA DIGITAL E REPRES</v>
      </c>
      <c r="E1019" s="21">
        <f>IFERROR(__xludf.DUMMYFUNCTION("""COMPUTED_VALUE"""),145359.0)</f>
        <v>145359</v>
      </c>
      <c r="F1019" s="21" t="str">
        <f>IFERROR(__xludf.DUMMYFUNCTION("""COMPUTED_VALUE"""),"INICIALIZADO")</f>
        <v>INICIALIZADO</v>
      </c>
      <c r="G1019" s="23">
        <f>IFERROR(__xludf.DUMMYFUNCTION("""COMPUTED_VALUE"""),45642.524097222224)</f>
        <v>45642.5241</v>
      </c>
      <c r="H1019" s="24" t="str">
        <f>IFERROR(VLOOKUP(B1019,material!A:D,3,0),"")</f>
        <v>CARD</v>
      </c>
    </row>
    <row r="1020" ht="11.25" customHeight="1">
      <c r="A1020" s="21" t="str">
        <f>IFERROR(__xludf.DUMMYFUNCTION("""COMPUTED_VALUE"""),"TECHNICOLOR TC7337NET")</f>
        <v>TECHNICOLOR TC7337NET</v>
      </c>
      <c r="B1020" s="22">
        <f>IFERROR(__xludf.DUMMYFUNCTION("""COMPUTED_VALUE"""),4.1001294E7)</f>
        <v>41001294</v>
      </c>
      <c r="C1020" s="21" t="str">
        <f>IFERROR(__xludf.DUMMYFUNCTION("""COMPUTED_VALUE"""),"54A65C10209D")</f>
        <v>54A65C10209D</v>
      </c>
      <c r="D1020" s="21" t="str">
        <f>IFERROR(__xludf.DUMMYFUNCTION("""COMPUTED_VALUE"""),"DIGITEC TECNOLOGIA DIGITAL E REPRES")</f>
        <v>DIGITEC TECNOLOGIA DIGITAL E REPRES</v>
      </c>
      <c r="E1020" s="21">
        <f>IFERROR(__xludf.DUMMYFUNCTION("""COMPUTED_VALUE"""),145359.0)</f>
        <v>145359</v>
      </c>
      <c r="F1020" s="21" t="str">
        <f>IFERROR(__xludf.DUMMYFUNCTION("""COMPUTED_VALUE"""),"INICIALIZADO")</f>
        <v>INICIALIZADO</v>
      </c>
      <c r="G1020" s="23">
        <f>IFERROR(__xludf.DUMMYFUNCTION("""COMPUTED_VALUE"""),45618.74476851852)</f>
        <v>45618.74477</v>
      </c>
      <c r="H1020" s="24" t="str">
        <f>IFERROR(VLOOKUP(B1020,material!A:D,3,0),"")</f>
        <v>DUAL</v>
      </c>
    </row>
    <row r="1021" ht="11.25" customHeight="1">
      <c r="A1021" s="21" t="str">
        <f>IFERROR(__xludf.DUMMYFUNCTION("""COMPUTED_VALUE"""),"DECODER DIGITAL HD HNB100 2T")</f>
        <v>DECODER DIGITAL HD HNB100 2T</v>
      </c>
      <c r="B1021" s="22">
        <f>IFERROR(__xludf.DUMMYFUNCTION("""COMPUTED_VALUE"""),4.1001276E7)</f>
        <v>41001276</v>
      </c>
      <c r="C1021" s="21" t="str">
        <f>IFERROR(__xludf.DUMMYFUNCTION("""COMPUTED_VALUE"""),"216817545476")</f>
        <v>216817545476</v>
      </c>
      <c r="D1021" s="21" t="str">
        <f>IFERROR(__xludf.DUMMYFUNCTION("""COMPUTED_VALUE"""),"DIGITEC TECNOLOGIA DIGITAL E REPRES")</f>
        <v>DIGITEC TECNOLOGIA DIGITAL E REPRES</v>
      </c>
      <c r="E1021" s="21">
        <f>IFERROR(__xludf.DUMMYFUNCTION("""COMPUTED_VALUE"""),145359.0)</f>
        <v>145359</v>
      </c>
      <c r="F1021" s="21" t="str">
        <f>IFERROR(__xludf.DUMMYFUNCTION("""COMPUTED_VALUE"""),"INICIALIZADO")</f>
        <v>INICIALIZADO</v>
      </c>
      <c r="G1021" s="23">
        <f>IFERROR(__xludf.DUMMYFUNCTION("""COMPUTED_VALUE"""),45642.52413194445)</f>
        <v>45642.52413</v>
      </c>
      <c r="H1021" s="24" t="str">
        <f>IFERROR(VLOOKUP(B1021,material!A:D,3,0),"")</f>
        <v>TOP MIX</v>
      </c>
    </row>
    <row r="1022" ht="11.25" customHeight="1">
      <c r="A1022" s="21" t="str">
        <f>IFERROR(__xludf.DUMMYFUNCTION("""COMPUTED_VALUE"""),"DECODER DIGITAL HD HNB100 2T")</f>
        <v>DECODER DIGITAL HD HNB100 2T</v>
      </c>
      <c r="B1022" s="22">
        <f>IFERROR(__xludf.DUMMYFUNCTION("""COMPUTED_VALUE"""),4.1001276E7)</f>
        <v>41001276</v>
      </c>
      <c r="C1022" s="21" t="str">
        <f>IFERROR(__xludf.DUMMYFUNCTION("""COMPUTED_VALUE"""),"216679260320")</f>
        <v>216679260320</v>
      </c>
      <c r="D1022" s="21" t="str">
        <f>IFERROR(__xludf.DUMMYFUNCTION("""COMPUTED_VALUE"""),"DIGITEC TECNOLOGIA DIGITAL E REPRES")</f>
        <v>DIGITEC TECNOLOGIA DIGITAL E REPRES</v>
      </c>
      <c r="E1022" s="21">
        <f>IFERROR(__xludf.DUMMYFUNCTION("""COMPUTED_VALUE"""),145359.0)</f>
        <v>145359</v>
      </c>
      <c r="F1022" s="21" t="str">
        <f>IFERROR(__xludf.DUMMYFUNCTION("""COMPUTED_VALUE"""),"INICIALIZADO")</f>
        <v>INICIALIZADO</v>
      </c>
      <c r="G1022" s="23">
        <f>IFERROR(__xludf.DUMMYFUNCTION("""COMPUTED_VALUE"""),45642.52412037037)</f>
        <v>45642.52412</v>
      </c>
      <c r="H1022" s="24" t="str">
        <f>IFERROR(VLOOKUP(B1022,material!A:D,3,0),"")</f>
        <v>TOP MIX</v>
      </c>
    </row>
    <row r="1023" ht="11.25" customHeight="1">
      <c r="A1023" s="21" t="str">
        <f>IFERROR(__xludf.DUMMYFUNCTION("""COMPUTED_VALUE"""),"SMART CARD AVULSO MINI")</f>
        <v>SMART CARD AVULSO MINI</v>
      </c>
      <c r="B1023" s="22">
        <f>IFERROR(__xludf.DUMMYFUNCTION("""COMPUTED_VALUE"""),4.1001508E7)</f>
        <v>41001508</v>
      </c>
      <c r="C1023" s="21" t="str">
        <f>IFERROR(__xludf.DUMMYFUNCTION("""COMPUTED_VALUE"""),"246099377177")</f>
        <v>246099377177</v>
      </c>
      <c r="D1023" s="21" t="str">
        <f>IFERROR(__xludf.DUMMYFUNCTION("""COMPUTED_VALUE"""),"DIGITEC TECNOLOGIA DIGITAL E REPRES")</f>
        <v>DIGITEC TECNOLOGIA DIGITAL E REPRES</v>
      </c>
      <c r="E1023" s="21">
        <f>IFERROR(__xludf.DUMMYFUNCTION("""COMPUTED_VALUE"""),145359.0)</f>
        <v>145359</v>
      </c>
      <c r="F1023" s="21" t="str">
        <f>IFERROR(__xludf.DUMMYFUNCTION("""COMPUTED_VALUE"""),"INICIALIZADO")</f>
        <v>INICIALIZADO</v>
      </c>
      <c r="G1023" s="23">
        <f>IFERROR(__xludf.DUMMYFUNCTION("""COMPUTED_VALUE"""),45618.744733796295)</f>
        <v>45618.74473</v>
      </c>
      <c r="H1023" s="24" t="str">
        <f>IFERROR(VLOOKUP(B1023,material!A:D,3,0),"")</f>
        <v>SIM CARD</v>
      </c>
    </row>
    <row r="1024" ht="11.25" customHeight="1">
      <c r="A1024" s="21" t="str">
        <f>IFERROR(__xludf.DUMMYFUNCTION("""COMPUTED_VALUE"""),"SMART CARD PRETO NAGRA")</f>
        <v>SMART CARD PRETO NAGRA</v>
      </c>
      <c r="B1024" s="22">
        <f>IFERROR(__xludf.DUMMYFUNCTION("""COMPUTED_VALUE"""),4.1001234E7)</f>
        <v>41001234</v>
      </c>
      <c r="C1024" s="21" t="str">
        <f>IFERROR(__xludf.DUMMYFUNCTION("""COMPUTED_VALUE"""),"246217405767")</f>
        <v>246217405767</v>
      </c>
      <c r="D1024" s="21" t="str">
        <f>IFERROR(__xludf.DUMMYFUNCTION("""COMPUTED_VALUE"""),"DIGITEC TECNOLOGIA DIGITAL E REPRES")</f>
        <v>DIGITEC TECNOLOGIA DIGITAL E REPRES</v>
      </c>
      <c r="E1024" s="21">
        <f>IFERROR(__xludf.DUMMYFUNCTION("""COMPUTED_VALUE"""),145359.0)</f>
        <v>145359</v>
      </c>
      <c r="F1024" s="21" t="str">
        <f>IFERROR(__xludf.DUMMYFUNCTION("""COMPUTED_VALUE"""),"INICIALIZADO")</f>
        <v>INICIALIZADO</v>
      </c>
      <c r="G1024" s="23">
        <f>IFERROR(__xludf.DUMMYFUNCTION("""COMPUTED_VALUE"""),45642.524097222224)</f>
        <v>45642.5241</v>
      </c>
      <c r="H1024" s="24" t="str">
        <f>IFERROR(VLOOKUP(B1024,material!A:D,3,0),"")</f>
        <v>CARD</v>
      </c>
    </row>
    <row r="1025" ht="11.25" customHeight="1">
      <c r="A1025" s="21" t="str">
        <f>IFERROR(__xludf.DUMMYFUNCTION("""COMPUTED_VALUE"""),"SMART CARD PRETO NAGRA")</f>
        <v>SMART CARD PRETO NAGRA</v>
      </c>
      <c r="B1025" s="22">
        <f>IFERROR(__xludf.DUMMYFUNCTION("""COMPUTED_VALUE"""),4.1001234E7)</f>
        <v>41001234</v>
      </c>
      <c r="C1025" s="21" t="str">
        <f>IFERROR(__xludf.DUMMYFUNCTION("""COMPUTED_VALUE"""),"226360407792")</f>
        <v>226360407792</v>
      </c>
      <c r="D1025" s="21" t="str">
        <f>IFERROR(__xludf.DUMMYFUNCTION("""COMPUTED_VALUE"""),"DIGITEC TECNOLOGIA DIGITAL E REPRES")</f>
        <v>DIGITEC TECNOLOGIA DIGITAL E REPRES</v>
      </c>
      <c r="E1025" s="21">
        <f>IFERROR(__xludf.DUMMYFUNCTION("""COMPUTED_VALUE"""),145359.0)</f>
        <v>145359</v>
      </c>
      <c r="F1025" s="21" t="str">
        <f>IFERROR(__xludf.DUMMYFUNCTION("""COMPUTED_VALUE"""),"INICIALIZADO")</f>
        <v>INICIALIZADO</v>
      </c>
      <c r="G1025" s="23">
        <f>IFERROR(__xludf.DUMMYFUNCTION("""COMPUTED_VALUE"""),45635.53497685185)</f>
        <v>45635.53498</v>
      </c>
      <c r="H1025" s="24" t="str">
        <f>IFERROR(VLOOKUP(B1025,material!A:D,3,0),"")</f>
        <v>CARD</v>
      </c>
    </row>
    <row r="1026" ht="11.25" customHeight="1">
      <c r="A1026" s="21" t="str">
        <f>IFERROR(__xludf.DUMMYFUNCTION("""COMPUTED_VALUE"""),"DECODER DIGITAL HD DXC5000 2T")</f>
        <v>DECODER DIGITAL HD DXC5000 2T</v>
      </c>
      <c r="B1026" s="22">
        <f>IFERROR(__xludf.DUMMYFUNCTION("""COMPUTED_VALUE"""),4.1001277E7)</f>
        <v>41001277</v>
      </c>
      <c r="C1026" s="21" t="str">
        <f>IFERROR(__xludf.DUMMYFUNCTION("""COMPUTED_VALUE"""),"216656539314")</f>
        <v>216656539314</v>
      </c>
      <c r="D1026" s="21" t="str">
        <f>IFERROR(__xludf.DUMMYFUNCTION("""COMPUTED_VALUE"""),"DIGITEC TECNOLOGIA DIGITAL E REPRES")</f>
        <v>DIGITEC TECNOLOGIA DIGITAL E REPRES</v>
      </c>
      <c r="E1026" s="21">
        <f>IFERROR(__xludf.DUMMYFUNCTION("""COMPUTED_VALUE"""),145359.0)</f>
        <v>145359</v>
      </c>
      <c r="F1026" s="21" t="str">
        <f>IFERROR(__xludf.DUMMYFUNCTION("""COMPUTED_VALUE"""),"INICIALIZADO")</f>
        <v>INICIALIZADO</v>
      </c>
      <c r="G1026" s="23">
        <f>IFERROR(__xludf.DUMMYFUNCTION("""COMPUTED_VALUE"""),45594.647939814815)</f>
        <v>45594.64794</v>
      </c>
      <c r="H1026" s="24" t="str">
        <f>IFERROR(VLOOKUP(B1026,material!A:D,3,0),"")</f>
        <v>TOP MIX</v>
      </c>
    </row>
    <row r="1027" ht="11.25" customHeight="1">
      <c r="A1027" s="21" t="str">
        <f>IFERROR(__xludf.DUMMYFUNCTION("""COMPUTED_VALUE"""),"DECODER DIGITAL HD HNB100 2T")</f>
        <v>DECODER DIGITAL HD HNB100 2T</v>
      </c>
      <c r="B1027" s="22">
        <f>IFERROR(__xludf.DUMMYFUNCTION("""COMPUTED_VALUE"""),4.1001276E7)</f>
        <v>41001276</v>
      </c>
      <c r="C1027" s="21" t="str">
        <f>IFERROR(__xludf.DUMMYFUNCTION("""COMPUTED_VALUE"""),"216627639905")</f>
        <v>216627639905</v>
      </c>
      <c r="D1027" s="21" t="str">
        <f>IFERROR(__xludf.DUMMYFUNCTION("""COMPUTED_VALUE"""),"DIGITEC TECNOLOGIA DIGITAL E REPRES")</f>
        <v>DIGITEC TECNOLOGIA DIGITAL E REPRES</v>
      </c>
      <c r="E1027" s="21">
        <f>IFERROR(__xludf.DUMMYFUNCTION("""COMPUTED_VALUE"""),145359.0)</f>
        <v>145359</v>
      </c>
      <c r="F1027" s="21" t="str">
        <f>IFERROR(__xludf.DUMMYFUNCTION("""COMPUTED_VALUE"""),"INICIALIZADO")</f>
        <v>INICIALIZADO</v>
      </c>
      <c r="G1027" s="23">
        <f>IFERROR(__xludf.DUMMYFUNCTION("""COMPUTED_VALUE"""),45635.53506944445)</f>
        <v>45635.53507</v>
      </c>
      <c r="H1027" s="24" t="str">
        <f>IFERROR(VLOOKUP(B1027,material!A:D,3,0),"")</f>
        <v>TOP MIX</v>
      </c>
    </row>
    <row r="1028" ht="11.25" customHeight="1">
      <c r="A1028" s="21" t="str">
        <f>IFERROR(__xludf.DUMMYFUNCTION("""COMPUTED_VALUE"""),"DECODER DIGITAL HD DXC5000 2T")</f>
        <v>DECODER DIGITAL HD DXC5000 2T</v>
      </c>
      <c r="B1028" s="22">
        <f>IFERROR(__xludf.DUMMYFUNCTION("""COMPUTED_VALUE"""),4.1001277E7)</f>
        <v>41001277</v>
      </c>
      <c r="C1028" s="21" t="str">
        <f>IFERROR(__xludf.DUMMYFUNCTION("""COMPUTED_VALUE"""),"216592033243")</f>
        <v>216592033243</v>
      </c>
      <c r="D1028" s="21" t="str">
        <f>IFERROR(__xludf.DUMMYFUNCTION("""COMPUTED_VALUE"""),"DIGITEC TECNOLOGIA DIGITAL E REPRES")</f>
        <v>DIGITEC TECNOLOGIA DIGITAL E REPRES</v>
      </c>
      <c r="E1028" s="21">
        <f>IFERROR(__xludf.DUMMYFUNCTION("""COMPUTED_VALUE"""),145359.0)</f>
        <v>145359</v>
      </c>
      <c r="F1028" s="21" t="str">
        <f>IFERROR(__xludf.DUMMYFUNCTION("""COMPUTED_VALUE"""),"INICIALIZADO")</f>
        <v>INICIALIZADO</v>
      </c>
      <c r="G1028" s="23">
        <f>IFERROR(__xludf.DUMMYFUNCTION("""COMPUTED_VALUE"""),45454.553518518514)</f>
        <v>45454.55352</v>
      </c>
      <c r="H1028" s="24" t="str">
        <f>IFERROR(VLOOKUP(B1028,material!A:D,3,0),"")</f>
        <v>TOP MIX</v>
      </c>
    </row>
    <row r="1029" ht="11.25" customHeight="1">
      <c r="A1029" s="21" t="str">
        <f>IFERROR(__xludf.DUMMYFUNCTION("""COMPUTED_VALUE"""),"ARRIS TG1692A")</f>
        <v>ARRIS TG1692A</v>
      </c>
      <c r="B1029" s="22">
        <f>IFERROR(__xludf.DUMMYFUNCTION("""COMPUTED_VALUE"""),4.1001293E7)</f>
        <v>41001293</v>
      </c>
      <c r="C1029" s="21" t="str">
        <f>IFERROR(__xludf.DUMMYFUNCTION("""COMPUTED_VALUE"""),"BC644BC02E69")</f>
        <v>BC644BC02E69</v>
      </c>
      <c r="D1029" s="21" t="str">
        <f>IFERROR(__xludf.DUMMYFUNCTION("""COMPUTED_VALUE"""),"DIGITEC TECNOLOGIA DIGITAL E REPRES")</f>
        <v>DIGITEC TECNOLOGIA DIGITAL E REPRES</v>
      </c>
      <c r="E1029" s="21">
        <f>IFERROR(__xludf.DUMMYFUNCTION("""COMPUTED_VALUE"""),145359.0)</f>
        <v>145359</v>
      </c>
      <c r="F1029" s="21" t="str">
        <f>IFERROR(__xludf.DUMMYFUNCTION("""COMPUTED_VALUE"""),"COM DEFEITO")</f>
        <v>COM DEFEITO</v>
      </c>
      <c r="G1029" s="23">
        <f>IFERROR(__xludf.DUMMYFUNCTION("""COMPUTED_VALUE"""),45397.70769675926)</f>
        <v>45397.7077</v>
      </c>
      <c r="H1029" s="24" t="str">
        <f>IFERROR(VLOOKUP(B1029,material!A:D,3,0),"")</f>
        <v>DUAL</v>
      </c>
    </row>
    <row r="1030" ht="11.25" customHeight="1">
      <c r="A1030" s="21" t="str">
        <f>IFERROR(__xludf.DUMMYFUNCTION("""COMPUTED_VALUE"""),"TECHNICOLOR TC7337NET")</f>
        <v>TECHNICOLOR TC7337NET</v>
      </c>
      <c r="B1030" s="22">
        <f>IFERROR(__xludf.DUMMYFUNCTION("""COMPUTED_VALUE"""),4.1001294E7)</f>
        <v>41001294</v>
      </c>
      <c r="C1030" s="21" t="str">
        <f>IFERROR(__xludf.DUMMYFUNCTION("""COMPUTED_VALUE"""),"1062D0123293")</f>
        <v>1062D0123293</v>
      </c>
      <c r="D1030" s="21" t="str">
        <f>IFERROR(__xludf.DUMMYFUNCTION("""COMPUTED_VALUE"""),"DIGITEC TECNOLOGIA DIGITAL E REPRES")</f>
        <v>DIGITEC TECNOLOGIA DIGITAL E REPRES</v>
      </c>
      <c r="E1030" s="21">
        <f>IFERROR(__xludf.DUMMYFUNCTION("""COMPUTED_VALUE"""),145359.0)</f>
        <v>145359</v>
      </c>
      <c r="F1030" s="21" t="str">
        <f>IFERROR(__xludf.DUMMYFUNCTION("""COMPUTED_VALUE"""),"INICIALIZADO")</f>
        <v>INICIALIZADO</v>
      </c>
      <c r="G1030" s="23">
        <f>IFERROR(__xludf.DUMMYFUNCTION("""COMPUTED_VALUE"""),45615.61858796296)</f>
        <v>45615.61859</v>
      </c>
      <c r="H1030" s="24" t="str">
        <f>IFERROR(VLOOKUP(B1030,material!A:D,3,0),"")</f>
        <v>DUAL</v>
      </c>
    </row>
    <row r="1031" ht="11.25" customHeight="1">
      <c r="A1031" s="21" t="str">
        <f>IFERROR(__xludf.DUMMYFUNCTION("""COMPUTED_VALUE"""),"SMART CARD PRETO NAGRA")</f>
        <v>SMART CARD PRETO NAGRA</v>
      </c>
      <c r="B1031" s="22">
        <f>IFERROR(__xludf.DUMMYFUNCTION("""COMPUTED_VALUE"""),4.1001234E7)</f>
        <v>41001234</v>
      </c>
      <c r="C1031" s="21" t="str">
        <f>IFERROR(__xludf.DUMMYFUNCTION("""COMPUTED_VALUE"""),"226159649917")</f>
        <v>226159649917</v>
      </c>
      <c r="D1031" s="21" t="str">
        <f>IFERROR(__xludf.DUMMYFUNCTION("""COMPUTED_VALUE"""),"DIGITEC TECNOLOGIA DIGITAL E REPRES")</f>
        <v>DIGITEC TECNOLOGIA DIGITAL E REPRES</v>
      </c>
      <c r="E1031" s="21">
        <f>IFERROR(__xludf.DUMMYFUNCTION("""COMPUTED_VALUE"""),145359.0)</f>
        <v>145359</v>
      </c>
      <c r="F1031" s="21" t="str">
        <f>IFERROR(__xludf.DUMMYFUNCTION("""COMPUTED_VALUE"""),"INICIALIZADO")</f>
        <v>INICIALIZADO</v>
      </c>
      <c r="G1031" s="23">
        <f>IFERROR(__xludf.DUMMYFUNCTION("""COMPUTED_VALUE"""),45635.53494212963)</f>
        <v>45635.53494</v>
      </c>
      <c r="H1031" s="24" t="str">
        <f>IFERROR(VLOOKUP(B1031,material!A:D,3,0),"")</f>
        <v>CARD</v>
      </c>
    </row>
    <row r="1032" ht="11.25" customHeight="1">
      <c r="A1032" s="21" t="str">
        <f>IFERROR(__xludf.DUMMYFUNCTION("""COMPUTED_VALUE"""),"SMART CARD PRETO NAGRA")</f>
        <v>SMART CARD PRETO NAGRA</v>
      </c>
      <c r="B1032" s="22">
        <f>IFERROR(__xludf.DUMMYFUNCTION("""COMPUTED_VALUE"""),4.1001234E7)</f>
        <v>41001234</v>
      </c>
      <c r="C1032" s="21" t="str">
        <f>IFERROR(__xludf.DUMMYFUNCTION("""COMPUTED_VALUE"""),"246022730910")</f>
        <v>246022730910</v>
      </c>
      <c r="D1032" s="21" t="str">
        <f>IFERROR(__xludf.DUMMYFUNCTION("""COMPUTED_VALUE"""),"DIGITEC TECNOLOGIA DIGITAL E REPRES")</f>
        <v>DIGITEC TECNOLOGIA DIGITAL E REPRES</v>
      </c>
      <c r="E1032" s="21">
        <f>IFERROR(__xludf.DUMMYFUNCTION("""COMPUTED_VALUE"""),145359.0)</f>
        <v>145359</v>
      </c>
      <c r="F1032" s="21" t="str">
        <f>IFERROR(__xludf.DUMMYFUNCTION("""COMPUTED_VALUE"""),"INICIALIZADO")</f>
        <v>INICIALIZADO</v>
      </c>
      <c r="G1032" s="23">
        <f>IFERROR(__xludf.DUMMYFUNCTION("""COMPUTED_VALUE"""),45618.65201388889)</f>
        <v>45618.65201</v>
      </c>
      <c r="H1032" s="24" t="str">
        <f>IFERROR(VLOOKUP(B1032,material!A:D,3,0),"")</f>
        <v>CARD</v>
      </c>
    </row>
    <row r="1033" ht="11.25" customHeight="1">
      <c r="A1033" s="21" t="str">
        <f>IFERROR(__xludf.DUMMYFUNCTION("""COMPUTED_VALUE"""),"SMART CARD PRETO NAGRA")</f>
        <v>SMART CARD PRETO NAGRA</v>
      </c>
      <c r="B1033" s="22">
        <f>IFERROR(__xludf.DUMMYFUNCTION("""COMPUTED_VALUE"""),4.1001234E7)</f>
        <v>41001234</v>
      </c>
      <c r="C1033" s="21" t="str">
        <f>IFERROR(__xludf.DUMMYFUNCTION("""COMPUTED_VALUE"""),"226298864951")</f>
        <v>226298864951</v>
      </c>
      <c r="D1033" s="21" t="str">
        <f>IFERROR(__xludf.DUMMYFUNCTION("""COMPUTED_VALUE"""),"DIGITEC TECNOLOGIA DIGITAL E REPRES")</f>
        <v>DIGITEC TECNOLOGIA DIGITAL E REPRES</v>
      </c>
      <c r="E1033" s="21">
        <f>IFERROR(__xludf.DUMMYFUNCTION("""COMPUTED_VALUE"""),145359.0)</f>
        <v>145359</v>
      </c>
      <c r="F1033" s="21" t="str">
        <f>IFERROR(__xludf.DUMMYFUNCTION("""COMPUTED_VALUE"""),"INICIALIZADO")</f>
        <v>INICIALIZADO</v>
      </c>
      <c r="G1033" s="23">
        <f>IFERROR(__xludf.DUMMYFUNCTION("""COMPUTED_VALUE"""),45635.53496527778)</f>
        <v>45635.53497</v>
      </c>
      <c r="H1033" s="24" t="str">
        <f>IFERROR(VLOOKUP(B1033,material!A:D,3,0),"")</f>
        <v>CARD</v>
      </c>
    </row>
    <row r="1034" ht="11.25" customHeight="1">
      <c r="A1034" s="21" t="str">
        <f>IFERROR(__xludf.DUMMYFUNCTION("""COMPUTED_VALUE"""),"SMART CARD PRETO NAGRA")</f>
        <v>SMART CARD PRETO NAGRA</v>
      </c>
      <c r="B1034" s="22">
        <f>IFERROR(__xludf.DUMMYFUNCTION("""COMPUTED_VALUE"""),4.1001234E7)</f>
        <v>41001234</v>
      </c>
      <c r="C1034" s="21" t="str">
        <f>IFERROR(__xludf.DUMMYFUNCTION("""COMPUTED_VALUE"""),"226261101233")</f>
        <v>226261101233</v>
      </c>
      <c r="D1034" s="21" t="str">
        <f>IFERROR(__xludf.DUMMYFUNCTION("""COMPUTED_VALUE"""),"DIGITEC TECNOLOGIA DIGITAL E REPRES")</f>
        <v>DIGITEC TECNOLOGIA DIGITAL E REPRES</v>
      </c>
      <c r="E1034" s="21">
        <f>IFERROR(__xludf.DUMMYFUNCTION("""COMPUTED_VALUE"""),145359.0)</f>
        <v>145359</v>
      </c>
      <c r="F1034" s="21" t="str">
        <f>IFERROR(__xludf.DUMMYFUNCTION("""COMPUTED_VALUE"""),"INICIALIZADO")</f>
        <v>INICIALIZADO</v>
      </c>
      <c r="G1034" s="23">
        <f>IFERROR(__xludf.DUMMYFUNCTION("""COMPUTED_VALUE"""),45635.53494212963)</f>
        <v>45635.53494</v>
      </c>
      <c r="H1034" s="24" t="str">
        <f>IFERROR(VLOOKUP(B1034,material!A:D,3,0),"")</f>
        <v>CARD</v>
      </c>
    </row>
    <row r="1035" ht="11.25" customHeight="1">
      <c r="A1035" s="21" t="str">
        <f>IFERROR(__xludf.DUMMYFUNCTION("""COMPUTED_VALUE"""),"SMART CARD PRETO NAGRA")</f>
        <v>SMART CARD PRETO NAGRA</v>
      </c>
      <c r="B1035" s="22">
        <f>IFERROR(__xludf.DUMMYFUNCTION("""COMPUTED_VALUE"""),4.1001234E7)</f>
        <v>41001234</v>
      </c>
      <c r="C1035" s="21" t="str">
        <f>IFERROR(__xludf.DUMMYFUNCTION("""COMPUTED_VALUE"""),"226051487183")</f>
        <v>226051487183</v>
      </c>
      <c r="D1035" s="21" t="str">
        <f>IFERROR(__xludf.DUMMYFUNCTION("""COMPUTED_VALUE"""),"DIGITEC TECNOLOGIA DIGITAL E REPRES")</f>
        <v>DIGITEC TECNOLOGIA DIGITAL E REPRES</v>
      </c>
      <c r="E1035" s="21">
        <f>IFERROR(__xludf.DUMMYFUNCTION("""COMPUTED_VALUE"""),145359.0)</f>
        <v>145359</v>
      </c>
      <c r="F1035" s="21" t="str">
        <f>IFERROR(__xludf.DUMMYFUNCTION("""COMPUTED_VALUE"""),"INICIALIZADO")</f>
        <v>INICIALIZADO</v>
      </c>
      <c r="G1035" s="23">
        <f>IFERROR(__xludf.DUMMYFUNCTION("""COMPUTED_VALUE"""),45618.65202546296)</f>
        <v>45618.65203</v>
      </c>
      <c r="H1035" s="24" t="str">
        <f>IFERROR(VLOOKUP(B1035,material!A:D,3,0),"")</f>
        <v>CARD</v>
      </c>
    </row>
    <row r="1036" ht="11.25" customHeight="1">
      <c r="A1036" s="21" t="str">
        <f>IFERROR(__xludf.DUMMYFUNCTION("""COMPUTED_VALUE"""),"DECODER DIGITAL HD HNB100 2T")</f>
        <v>DECODER DIGITAL HD HNB100 2T</v>
      </c>
      <c r="B1036" s="22">
        <f>IFERROR(__xludf.DUMMYFUNCTION("""COMPUTED_VALUE"""),4.1001276E7)</f>
        <v>41001276</v>
      </c>
      <c r="C1036" s="21" t="str">
        <f>IFERROR(__xludf.DUMMYFUNCTION("""COMPUTED_VALUE"""),"216558929911")</f>
        <v>216558929911</v>
      </c>
      <c r="D1036" s="21" t="str">
        <f>IFERROR(__xludf.DUMMYFUNCTION("""COMPUTED_VALUE"""),"DIGITEC TECNOLOGIA DIGITAL E REPRES")</f>
        <v>DIGITEC TECNOLOGIA DIGITAL E REPRES</v>
      </c>
      <c r="E1036" s="21">
        <f>IFERROR(__xludf.DUMMYFUNCTION("""COMPUTED_VALUE"""),145359.0)</f>
        <v>145359</v>
      </c>
      <c r="F1036" s="21" t="str">
        <f>IFERROR(__xludf.DUMMYFUNCTION("""COMPUTED_VALUE"""),"INICIALIZADO")</f>
        <v>INICIALIZADO</v>
      </c>
      <c r="G1036" s="23">
        <f>IFERROR(__xludf.DUMMYFUNCTION("""COMPUTED_VALUE"""),45642.524143518516)</f>
        <v>45642.52414</v>
      </c>
      <c r="H1036" s="24" t="str">
        <f>IFERROR(VLOOKUP(B1036,material!A:D,3,0),"")</f>
        <v>TOP MIX</v>
      </c>
    </row>
    <row r="1037" ht="11.25" customHeight="1">
      <c r="A1037" s="21" t="str">
        <f>IFERROR(__xludf.DUMMYFUNCTION("""COMPUTED_VALUE"""),"SMART CARD PRETO NAGRA")</f>
        <v>SMART CARD PRETO NAGRA</v>
      </c>
      <c r="B1037" s="22">
        <f>IFERROR(__xludf.DUMMYFUNCTION("""COMPUTED_VALUE"""),4.1001234E7)</f>
        <v>41001234</v>
      </c>
      <c r="C1037" s="21" t="str">
        <f>IFERROR(__xludf.DUMMYFUNCTION("""COMPUTED_VALUE"""),"246240441226")</f>
        <v>246240441226</v>
      </c>
      <c r="D1037" s="21" t="str">
        <f>IFERROR(__xludf.DUMMYFUNCTION("""COMPUTED_VALUE"""),"DIGITEC TECNOLOGIA DIGITAL E REPRES")</f>
        <v>DIGITEC TECNOLOGIA DIGITAL E REPRES</v>
      </c>
      <c r="E1037" s="21">
        <f>IFERROR(__xludf.DUMMYFUNCTION("""COMPUTED_VALUE"""),145359.0)</f>
        <v>145359</v>
      </c>
      <c r="F1037" s="21" t="str">
        <f>IFERROR(__xludf.DUMMYFUNCTION("""COMPUTED_VALUE"""),"INICIALIZADO")</f>
        <v>INICIALIZADO</v>
      </c>
      <c r="G1037" s="23">
        <f>IFERROR(__xludf.DUMMYFUNCTION("""COMPUTED_VALUE"""),45635.53491898148)</f>
        <v>45635.53492</v>
      </c>
      <c r="H1037" s="24" t="str">
        <f>IFERROR(VLOOKUP(B1037,material!A:D,3,0),"")</f>
        <v>CARD</v>
      </c>
    </row>
    <row r="1038" ht="11.25" customHeight="1">
      <c r="A1038" s="21" t="str">
        <f>IFERROR(__xludf.DUMMYFUNCTION("""COMPUTED_VALUE"""),"SMART CARD LARANJA NAGRA")</f>
        <v>SMART CARD LARANJA NAGRA</v>
      </c>
      <c r="B1038" s="22">
        <f>IFERROR(__xludf.DUMMYFUNCTION("""COMPUTED_VALUE"""),4.1001186E7)</f>
        <v>41001186</v>
      </c>
      <c r="C1038" s="21" t="str">
        <f>IFERROR(__xludf.DUMMYFUNCTION("""COMPUTED_VALUE"""),"226658082748")</f>
        <v>226658082748</v>
      </c>
      <c r="D1038" s="21" t="str">
        <f>IFERROR(__xludf.DUMMYFUNCTION("""COMPUTED_VALUE"""),"DIGITEC TECNOLOGIA DIGITAL E REPRES")</f>
        <v>DIGITEC TECNOLOGIA DIGITAL E REPRES</v>
      </c>
      <c r="E1038" s="21">
        <f>IFERROR(__xludf.DUMMYFUNCTION("""COMPUTED_VALUE"""),145359.0)</f>
        <v>145359</v>
      </c>
      <c r="F1038" s="21" t="str">
        <f>IFERROR(__xludf.DUMMYFUNCTION("""COMPUTED_VALUE"""),"SUCATA")</f>
        <v>SUCATA</v>
      </c>
      <c r="G1038" s="23">
        <f>IFERROR(__xludf.DUMMYFUNCTION("""COMPUTED_VALUE"""),45076.47457175926)</f>
        <v>45076.47457</v>
      </c>
      <c r="H1038" s="24" t="str">
        <f>IFERROR(VLOOKUP(B1038,material!A:D,3,0),"")</f>
        <v>CARD</v>
      </c>
    </row>
    <row r="1039" ht="11.25" customHeight="1">
      <c r="A1039" s="21" t="str">
        <f>IFERROR(__xludf.DUMMYFUNCTION("""COMPUTED_VALUE"""),"SMART CARD PRETO NAGRA")</f>
        <v>SMART CARD PRETO NAGRA</v>
      </c>
      <c r="B1039" s="22">
        <f>IFERROR(__xludf.DUMMYFUNCTION("""COMPUTED_VALUE"""),4.1001234E7)</f>
        <v>41001234</v>
      </c>
      <c r="C1039" s="21" t="str">
        <f>IFERROR(__xludf.DUMMYFUNCTION("""COMPUTED_VALUE"""),"226394759191")</f>
        <v>226394759191</v>
      </c>
      <c r="D1039" s="21" t="str">
        <f>IFERROR(__xludf.DUMMYFUNCTION("""COMPUTED_VALUE"""),"DIGITEC TECNOLOGIA DIGITAL E REPRES")</f>
        <v>DIGITEC TECNOLOGIA DIGITAL E REPRES</v>
      </c>
      <c r="E1039" s="21">
        <f>IFERROR(__xludf.DUMMYFUNCTION("""COMPUTED_VALUE"""),145359.0)</f>
        <v>145359</v>
      </c>
      <c r="F1039" s="21" t="str">
        <f>IFERROR(__xludf.DUMMYFUNCTION("""COMPUTED_VALUE"""),"INICIALIZADO")</f>
        <v>INICIALIZADO</v>
      </c>
      <c r="G1039" s="23">
        <f>IFERROR(__xludf.DUMMYFUNCTION("""COMPUTED_VALUE"""),45618.65201388889)</f>
        <v>45618.65201</v>
      </c>
      <c r="H1039" s="24" t="str">
        <f>IFERROR(VLOOKUP(B1039,material!A:D,3,0),"")</f>
        <v>CARD</v>
      </c>
    </row>
    <row r="1040" ht="11.25" customHeight="1">
      <c r="A1040" s="21" t="str">
        <f>IFERROR(__xludf.DUMMYFUNCTION("""COMPUTED_VALUE"""),"SMART CARD PRETO NAGRA")</f>
        <v>SMART CARD PRETO NAGRA</v>
      </c>
      <c r="B1040" s="22">
        <f>IFERROR(__xludf.DUMMYFUNCTION("""COMPUTED_VALUE"""),4.1001234E7)</f>
        <v>41001234</v>
      </c>
      <c r="C1040" s="21" t="str">
        <f>IFERROR(__xludf.DUMMYFUNCTION("""COMPUTED_VALUE"""),"226089607177")</f>
        <v>226089607177</v>
      </c>
      <c r="D1040" s="21" t="str">
        <f>IFERROR(__xludf.DUMMYFUNCTION("""COMPUTED_VALUE"""),"DIGITEC TECNOLOGIA DIGITAL E REPRES")</f>
        <v>DIGITEC TECNOLOGIA DIGITAL E REPRES</v>
      </c>
      <c r="E1040" s="21">
        <f>IFERROR(__xludf.DUMMYFUNCTION("""COMPUTED_VALUE"""),145359.0)</f>
        <v>145359</v>
      </c>
      <c r="F1040" s="21" t="str">
        <f>IFERROR(__xludf.DUMMYFUNCTION("""COMPUTED_VALUE"""),"INICIALIZADO")</f>
        <v>INICIALIZADO</v>
      </c>
      <c r="G1040" s="23">
        <f>IFERROR(__xludf.DUMMYFUNCTION("""COMPUTED_VALUE"""),45635.534953703704)</f>
        <v>45635.53495</v>
      </c>
      <c r="H1040" s="24" t="str">
        <f>IFERROR(VLOOKUP(B1040,material!A:D,3,0),"")</f>
        <v>CARD</v>
      </c>
    </row>
    <row r="1041" ht="11.25" customHeight="1">
      <c r="A1041" s="21" t="str">
        <f>IFERROR(__xludf.DUMMYFUNCTION("""COMPUTED_VALUE"""),"SMART CARD PRETO NAGRA")</f>
        <v>SMART CARD PRETO NAGRA</v>
      </c>
      <c r="B1041" s="22">
        <f>IFERROR(__xludf.DUMMYFUNCTION("""COMPUTED_VALUE"""),4.1001234E7)</f>
        <v>41001234</v>
      </c>
      <c r="C1041" s="21" t="str">
        <f>IFERROR(__xludf.DUMMYFUNCTION("""COMPUTED_VALUE"""),"246245555473")</f>
        <v>246245555473</v>
      </c>
      <c r="D1041" s="21" t="str">
        <f>IFERROR(__xludf.DUMMYFUNCTION("""COMPUTED_VALUE"""),"DIGITEC TECNOLOGIA DIGITAL E REPRES")</f>
        <v>DIGITEC TECNOLOGIA DIGITAL E REPRES</v>
      </c>
      <c r="E1041" s="21">
        <f>IFERROR(__xludf.DUMMYFUNCTION("""COMPUTED_VALUE"""),145359.0)</f>
        <v>145359</v>
      </c>
      <c r="F1041" s="21" t="str">
        <f>IFERROR(__xludf.DUMMYFUNCTION("""COMPUTED_VALUE"""),"INICIALIZADO")</f>
        <v>INICIALIZADO</v>
      </c>
      <c r="G1041" s="23">
        <f>IFERROR(__xludf.DUMMYFUNCTION("""COMPUTED_VALUE"""),45635.53493055556)</f>
        <v>45635.53493</v>
      </c>
      <c r="H1041" s="24" t="str">
        <f>IFERROR(VLOOKUP(B1041,material!A:D,3,0),"")</f>
        <v>CARD</v>
      </c>
    </row>
    <row r="1042" ht="11.25" customHeight="1">
      <c r="A1042" s="21" t="str">
        <f>IFERROR(__xludf.DUMMYFUNCTION("""COMPUTED_VALUE"""),"SMART CARD PRETO NAGRA")</f>
        <v>SMART CARD PRETO NAGRA</v>
      </c>
      <c r="B1042" s="22">
        <f>IFERROR(__xludf.DUMMYFUNCTION("""COMPUTED_VALUE"""),4.1001234E7)</f>
        <v>41001234</v>
      </c>
      <c r="C1042" s="21" t="str">
        <f>IFERROR(__xludf.DUMMYFUNCTION("""COMPUTED_VALUE"""),"246149599105")</f>
        <v>246149599105</v>
      </c>
      <c r="D1042" s="21" t="str">
        <f>IFERROR(__xludf.DUMMYFUNCTION("""COMPUTED_VALUE"""),"DIGITEC TECNOLOGIA DIGITAL E REPRES")</f>
        <v>DIGITEC TECNOLOGIA DIGITAL E REPRES</v>
      </c>
      <c r="E1042" s="21">
        <f>IFERROR(__xludf.DUMMYFUNCTION("""COMPUTED_VALUE"""),145359.0)</f>
        <v>145359</v>
      </c>
      <c r="F1042" s="21" t="str">
        <f>IFERROR(__xludf.DUMMYFUNCTION("""COMPUTED_VALUE"""),"INICIALIZADO")</f>
        <v>INICIALIZADO</v>
      </c>
      <c r="G1042" s="23">
        <f>IFERROR(__xludf.DUMMYFUNCTION("""COMPUTED_VALUE"""),45635.534895833334)</f>
        <v>45635.5349</v>
      </c>
      <c r="H1042" s="24" t="str">
        <f>IFERROR(VLOOKUP(B1042,material!A:D,3,0),"")</f>
        <v>CARD</v>
      </c>
    </row>
    <row r="1043" ht="11.25" customHeight="1">
      <c r="A1043" s="21" t="str">
        <f>IFERROR(__xludf.DUMMYFUNCTION("""COMPUTED_VALUE"""),"SMART CARD PRETO NAGRA")</f>
        <v>SMART CARD PRETO NAGRA</v>
      </c>
      <c r="B1043" s="22">
        <f>IFERROR(__xludf.DUMMYFUNCTION("""COMPUTED_VALUE"""),4.1001234E7)</f>
        <v>41001234</v>
      </c>
      <c r="C1043" s="21" t="str">
        <f>IFERROR(__xludf.DUMMYFUNCTION("""COMPUTED_VALUE"""),"226034771737")</f>
        <v>226034771737</v>
      </c>
      <c r="D1043" s="21" t="str">
        <f>IFERROR(__xludf.DUMMYFUNCTION("""COMPUTED_VALUE"""),"DIGITEC TECNOLOGIA DIGITAL E REPRES")</f>
        <v>DIGITEC TECNOLOGIA DIGITAL E REPRES</v>
      </c>
      <c r="E1043" s="21">
        <f>IFERROR(__xludf.DUMMYFUNCTION("""COMPUTED_VALUE"""),145359.0)</f>
        <v>145359</v>
      </c>
      <c r="F1043" s="21" t="str">
        <f>IFERROR(__xludf.DUMMYFUNCTION("""COMPUTED_VALUE"""),"COM DEFEITO")</f>
        <v>COM DEFEITO</v>
      </c>
      <c r="G1043" s="23">
        <f>IFERROR(__xludf.DUMMYFUNCTION("""COMPUTED_VALUE"""),45617.71434027777)</f>
        <v>45617.71434</v>
      </c>
      <c r="H1043" s="24" t="str">
        <f>IFERROR(VLOOKUP(B1043,material!A:D,3,0),"")</f>
        <v>CARD</v>
      </c>
    </row>
    <row r="1044" ht="11.25" customHeight="1">
      <c r="A1044" s="21" t="str">
        <f>IFERROR(__xludf.DUMMYFUNCTION("""COMPUTED_VALUE"""),"ARRIS TG1692A")</f>
        <v>ARRIS TG1692A</v>
      </c>
      <c r="B1044" s="22">
        <f>IFERROR(__xludf.DUMMYFUNCTION("""COMPUTED_VALUE"""),4.1001293E7)</f>
        <v>41001293</v>
      </c>
      <c r="C1044" s="21" t="str">
        <f>IFERROR(__xludf.DUMMYFUNCTION("""COMPUTED_VALUE"""),"B0DAF96729C1")</f>
        <v>B0DAF96729C1</v>
      </c>
      <c r="D1044" s="21" t="str">
        <f>IFERROR(__xludf.DUMMYFUNCTION("""COMPUTED_VALUE"""),"DIGITEC TECNOLOGIA DIGITAL E REPRES")</f>
        <v>DIGITEC TECNOLOGIA DIGITAL E REPRES</v>
      </c>
      <c r="E1044" s="21">
        <f>IFERROR(__xludf.DUMMYFUNCTION("""COMPUTED_VALUE"""),145359.0)</f>
        <v>145359</v>
      </c>
      <c r="F1044" s="21" t="str">
        <f>IFERROR(__xludf.DUMMYFUNCTION("""COMPUTED_VALUE"""),"COM DEFEITO")</f>
        <v>COM DEFEITO</v>
      </c>
      <c r="G1044" s="23">
        <f>IFERROR(__xludf.DUMMYFUNCTION("""COMPUTED_VALUE"""),45397.70768518519)</f>
        <v>45397.70769</v>
      </c>
      <c r="H1044" s="24" t="str">
        <f>IFERROR(VLOOKUP(B1044,material!A:D,3,0),"")</f>
        <v>DUAL</v>
      </c>
    </row>
    <row r="1045" ht="11.25" customHeight="1">
      <c r="A1045" s="21" t="str">
        <f>IFERROR(__xludf.DUMMYFUNCTION("""COMPUTED_VALUE"""),"TECHNICOLOR TC7337NET")</f>
        <v>TECHNICOLOR TC7337NET</v>
      </c>
      <c r="B1045" s="22">
        <f>IFERROR(__xludf.DUMMYFUNCTION("""COMPUTED_VALUE"""),4.1001294E7)</f>
        <v>41001294</v>
      </c>
      <c r="C1045" s="21" t="str">
        <f>IFERROR(__xludf.DUMMYFUNCTION("""COMPUTED_VALUE"""),"54A65C890F12")</f>
        <v>54A65C890F12</v>
      </c>
      <c r="D1045" s="21" t="str">
        <f>IFERROR(__xludf.DUMMYFUNCTION("""COMPUTED_VALUE"""),"DIGITEC TECNOLOGIA DIGITAL E REPRES")</f>
        <v>DIGITEC TECNOLOGIA DIGITAL E REPRES</v>
      </c>
      <c r="E1045" s="21">
        <f>IFERROR(__xludf.DUMMYFUNCTION("""COMPUTED_VALUE"""),145359.0)</f>
        <v>145359</v>
      </c>
      <c r="F1045" s="21" t="str">
        <f>IFERROR(__xludf.DUMMYFUNCTION("""COMPUTED_VALUE"""),"ANALISE DE INVENTARIO")</f>
        <v>ANALISE DE INVENTARIO</v>
      </c>
      <c r="G1045" s="23">
        <f>IFERROR(__xludf.DUMMYFUNCTION("""COMPUTED_VALUE"""),45517.85638888889)</f>
        <v>45517.85639</v>
      </c>
      <c r="H1045" s="24" t="str">
        <f>IFERROR(VLOOKUP(B1045,material!A:D,3,0),"")</f>
        <v>DUAL</v>
      </c>
    </row>
    <row r="1046" ht="11.25" customHeight="1">
      <c r="A1046" s="21" t="str">
        <f>IFERROR(__xludf.DUMMYFUNCTION("""COMPUTED_VALUE"""),"SMART CARD PRETO NAGRA")</f>
        <v>SMART CARD PRETO NAGRA</v>
      </c>
      <c r="B1046" s="22">
        <f>IFERROR(__xludf.DUMMYFUNCTION("""COMPUTED_VALUE"""),4.1001234E7)</f>
        <v>41001234</v>
      </c>
      <c r="C1046" s="21" t="str">
        <f>IFERROR(__xludf.DUMMYFUNCTION("""COMPUTED_VALUE"""),"226383324754")</f>
        <v>226383324754</v>
      </c>
      <c r="D1046" s="21" t="str">
        <f>IFERROR(__xludf.DUMMYFUNCTION("""COMPUTED_VALUE"""),"DIGITEC TECNOLOGIA DIGITAL E REPRES")</f>
        <v>DIGITEC TECNOLOGIA DIGITAL E REPRES</v>
      </c>
      <c r="E1046" s="21">
        <f>IFERROR(__xludf.DUMMYFUNCTION("""COMPUTED_VALUE"""),145359.0)</f>
        <v>145359</v>
      </c>
      <c r="F1046" s="21" t="str">
        <f>IFERROR(__xludf.DUMMYFUNCTION("""COMPUTED_VALUE"""),"ANALISE DE INVENTARIO")</f>
        <v>ANALISE DE INVENTARIO</v>
      </c>
      <c r="G1046" s="23">
        <f>IFERROR(__xludf.DUMMYFUNCTION("""COMPUTED_VALUE"""),45629.673043981486)</f>
        <v>45629.67304</v>
      </c>
      <c r="H1046" s="24" t="str">
        <f>IFERROR(VLOOKUP(B1046,material!A:D,3,0),"")</f>
        <v>CARD</v>
      </c>
    </row>
    <row r="1047" ht="11.25" customHeight="1">
      <c r="A1047" s="21" t="str">
        <f>IFERROR(__xludf.DUMMYFUNCTION("""COMPUTED_VALUE"""),"SMART CARD PRETO NAGRA")</f>
        <v>SMART CARD PRETO NAGRA</v>
      </c>
      <c r="B1047" s="22">
        <f>IFERROR(__xludf.DUMMYFUNCTION("""COMPUTED_VALUE"""),4.1001234E7)</f>
        <v>41001234</v>
      </c>
      <c r="C1047" s="21" t="str">
        <f>IFERROR(__xludf.DUMMYFUNCTION("""COMPUTED_VALUE"""),"226244915264")</f>
        <v>226244915264</v>
      </c>
      <c r="D1047" s="21" t="str">
        <f>IFERROR(__xludf.DUMMYFUNCTION("""COMPUTED_VALUE"""),"DIGITEC TECNOLOGIA DIGITAL E REPRES")</f>
        <v>DIGITEC TECNOLOGIA DIGITAL E REPRES</v>
      </c>
      <c r="E1047" s="21">
        <f>IFERROR(__xludf.DUMMYFUNCTION("""COMPUTED_VALUE"""),145359.0)</f>
        <v>145359</v>
      </c>
      <c r="F1047" s="21" t="str">
        <f>IFERROR(__xludf.DUMMYFUNCTION("""COMPUTED_VALUE"""),"ANALISE DE INVENTARIO")</f>
        <v>ANALISE DE INVENTARIO</v>
      </c>
      <c r="G1047" s="23">
        <f>IFERROR(__xludf.DUMMYFUNCTION("""COMPUTED_VALUE"""),45419.375451388885)</f>
        <v>45419.37545</v>
      </c>
      <c r="H1047" s="24" t="str">
        <f>IFERROR(VLOOKUP(B1047,material!A:D,3,0),"")</f>
        <v>CARD</v>
      </c>
    </row>
    <row r="1048" ht="11.25" customHeight="1">
      <c r="A1048" s="21" t="str">
        <f>IFERROR(__xludf.DUMMYFUNCTION("""COMPUTED_VALUE"""),"THOMSON HIGH DEFINITION DCI713")</f>
        <v>THOMSON HIGH DEFINITION DCI713</v>
      </c>
      <c r="B1048" s="22">
        <f>IFERROR(__xludf.DUMMYFUNCTION("""COMPUTED_VALUE"""),4.1001273E7)</f>
        <v>41001273</v>
      </c>
      <c r="C1048" s="21" t="str">
        <f>IFERROR(__xludf.DUMMYFUNCTION("""COMPUTED_VALUE"""),"184006536574")</f>
        <v>184006536574</v>
      </c>
      <c r="D1048" s="21" t="str">
        <f>IFERROR(__xludf.DUMMYFUNCTION("""COMPUTED_VALUE"""),"DIGITEC TECNOLOGIA DIGITAL E REPRES")</f>
        <v>DIGITEC TECNOLOGIA DIGITAL E REPRES</v>
      </c>
      <c r="E1048" s="21">
        <f>IFERROR(__xludf.DUMMYFUNCTION("""COMPUTED_VALUE"""),145359.0)</f>
        <v>145359</v>
      </c>
      <c r="F1048" s="21" t="str">
        <f>IFERROR(__xludf.DUMMYFUNCTION("""COMPUTED_VALUE"""),"ANALISE DE INVENTARIO")</f>
        <v>ANALISE DE INVENTARIO</v>
      </c>
      <c r="G1048" s="23">
        <f>IFERROR(__xludf.DUMMYFUNCTION("""COMPUTED_VALUE"""),45537.612395833334)</f>
        <v>45537.6124</v>
      </c>
      <c r="H1048" s="24" t="str">
        <f>IFERROR(VLOOKUP(B1048,material!A:D,3,0),"")</f>
        <v>LEGADO</v>
      </c>
    </row>
    <row r="1049" ht="11.25" customHeight="1">
      <c r="A1049" s="21" t="str">
        <f>IFERROR(__xludf.DUMMYFUNCTION("""COMPUTED_VALUE"""),"DCI106")</f>
        <v>DCI106</v>
      </c>
      <c r="B1049" s="22">
        <f>IFERROR(__xludf.DUMMYFUNCTION("""COMPUTED_VALUE"""),4.1001263E7)</f>
        <v>41001263</v>
      </c>
      <c r="C1049" s="21" t="str">
        <f>IFERROR(__xludf.DUMMYFUNCTION("""COMPUTED_VALUE"""),"175112320627")</f>
        <v>175112320627</v>
      </c>
      <c r="D1049" s="21" t="str">
        <f>IFERROR(__xludf.DUMMYFUNCTION("""COMPUTED_VALUE"""),"DIGITEC TECNOLOGIA DIGITAL E REPRES")</f>
        <v>DIGITEC TECNOLOGIA DIGITAL E REPRES</v>
      </c>
      <c r="E1049" s="21">
        <f>IFERROR(__xludf.DUMMYFUNCTION("""COMPUTED_VALUE"""),145359.0)</f>
        <v>145359</v>
      </c>
      <c r="F1049" s="21" t="str">
        <f>IFERROR(__xludf.DUMMYFUNCTION("""COMPUTED_VALUE"""),"ANALISE DE INVENTARIO")</f>
        <v>ANALISE DE INVENTARIO</v>
      </c>
      <c r="G1049" s="23">
        <f>IFERROR(__xludf.DUMMYFUNCTION("""COMPUTED_VALUE"""),45600.656053240746)</f>
        <v>45600.65605</v>
      </c>
      <c r="H1049" s="24" t="str">
        <f>IFERROR(VLOOKUP(B1049,material!A:D,3,0),"")</f>
        <v>DIGITAL</v>
      </c>
    </row>
    <row r="1050" ht="11.25" customHeight="1">
      <c r="A1050" s="21" t="str">
        <f>IFERROR(__xludf.DUMMYFUNCTION("""COMPUTED_VALUE"""),"SMART CARD LARANJA NAGRA")</f>
        <v>SMART CARD LARANJA NAGRA</v>
      </c>
      <c r="B1050" s="22">
        <f>IFERROR(__xludf.DUMMYFUNCTION("""COMPUTED_VALUE"""),4.1001186E7)</f>
        <v>41001186</v>
      </c>
      <c r="C1050" s="21" t="str">
        <f>IFERROR(__xludf.DUMMYFUNCTION("""COMPUTED_VALUE"""),"226425623540")</f>
        <v>226425623540</v>
      </c>
      <c r="D1050" s="21" t="str">
        <f>IFERROR(__xludf.DUMMYFUNCTION("""COMPUTED_VALUE"""),"DIGITEC TECNOLOGIA DIGITAL E REPRES")</f>
        <v>DIGITEC TECNOLOGIA DIGITAL E REPRES</v>
      </c>
      <c r="E1050" s="21">
        <f>IFERROR(__xludf.DUMMYFUNCTION("""COMPUTED_VALUE"""),145359.0)</f>
        <v>145359</v>
      </c>
      <c r="F1050" s="21" t="str">
        <f>IFERROR(__xludf.DUMMYFUNCTION("""COMPUTED_VALUE"""),"ANALISE DE INVENTARIO")</f>
        <v>ANALISE DE INVENTARIO</v>
      </c>
      <c r="G1050" s="23">
        <f>IFERROR(__xludf.DUMMYFUNCTION("""COMPUTED_VALUE"""),45600.64778935185)</f>
        <v>45600.64779</v>
      </c>
      <c r="H1050" s="24" t="str">
        <f>IFERROR(VLOOKUP(B1050,material!A:D,3,0),"")</f>
        <v>CARD</v>
      </c>
    </row>
    <row r="1051" ht="11.25" customHeight="1">
      <c r="A1051" s="21" t="str">
        <f>IFERROR(__xludf.DUMMYFUNCTION("""COMPUTED_VALUE"""),"TECHNICOLOR TC7337NET")</f>
        <v>TECHNICOLOR TC7337NET</v>
      </c>
      <c r="B1051" s="22">
        <f>IFERROR(__xludf.DUMMYFUNCTION("""COMPUTED_VALUE"""),4.1001294E7)</f>
        <v>41001294</v>
      </c>
      <c r="C1051" s="21" t="str">
        <f>IFERROR(__xludf.DUMMYFUNCTION("""COMPUTED_VALUE"""),"54A65C8C2785")</f>
        <v>54A65C8C2785</v>
      </c>
      <c r="D1051" s="21" t="str">
        <f>IFERROR(__xludf.DUMMYFUNCTION("""COMPUTED_VALUE"""),"DIGITEC TECNOLOGIA DIGITAL E REPRES")</f>
        <v>DIGITEC TECNOLOGIA DIGITAL E REPRES</v>
      </c>
      <c r="E1051" s="21">
        <f>IFERROR(__xludf.DUMMYFUNCTION("""COMPUTED_VALUE"""),145359.0)</f>
        <v>145359</v>
      </c>
      <c r="F1051" s="21" t="str">
        <f>IFERROR(__xludf.DUMMYFUNCTION("""COMPUTED_VALUE"""),"TRANSITO REVERSA")</f>
        <v>TRANSITO REVERSA</v>
      </c>
      <c r="G1051" s="23">
        <f>IFERROR(__xludf.DUMMYFUNCTION("""COMPUTED_VALUE"""),45626.29872685185)</f>
        <v>45626.29873</v>
      </c>
      <c r="H1051" s="24" t="str">
        <f>IFERROR(VLOOKUP(B1051,material!A:D,3,0),"")</f>
        <v>DUAL</v>
      </c>
    </row>
    <row r="1052" ht="11.25" customHeight="1">
      <c r="A1052" s="21" t="str">
        <f>IFERROR(__xludf.DUMMYFUNCTION("""COMPUTED_VALUE"""),"ARRIS TG1692A")</f>
        <v>ARRIS TG1692A</v>
      </c>
      <c r="B1052" s="22">
        <f>IFERROR(__xludf.DUMMYFUNCTION("""COMPUTED_VALUE"""),4.1001293E7)</f>
        <v>41001293</v>
      </c>
      <c r="C1052" s="21" t="str">
        <f>IFERROR(__xludf.DUMMYFUNCTION("""COMPUTED_VALUE"""),"B0DAF94B8151")</f>
        <v>B0DAF94B8151</v>
      </c>
      <c r="D1052" s="21" t="str">
        <f>IFERROR(__xludf.DUMMYFUNCTION("""COMPUTED_VALUE"""),"DIGITEC TECNOLOGIA DIGITAL E REPRES")</f>
        <v>DIGITEC TECNOLOGIA DIGITAL E REPRES</v>
      </c>
      <c r="E1052" s="21">
        <f>IFERROR(__xludf.DUMMYFUNCTION("""COMPUTED_VALUE"""),145359.0)</f>
        <v>145359</v>
      </c>
      <c r="F1052" s="21" t="str">
        <f>IFERROR(__xludf.DUMMYFUNCTION("""COMPUTED_VALUE"""),"TRANSITO REVERSA")</f>
        <v>TRANSITO REVERSA</v>
      </c>
      <c r="G1052" s="23">
        <f>IFERROR(__xludf.DUMMYFUNCTION("""COMPUTED_VALUE"""),45633.00341435186)</f>
        <v>45633.00341</v>
      </c>
      <c r="H1052" s="24" t="str">
        <f>IFERROR(VLOOKUP(B1052,material!A:D,3,0),"")</f>
        <v>DUAL</v>
      </c>
    </row>
    <row r="1053" ht="11.25" customHeight="1">
      <c r="A1053" s="21" t="str">
        <f>IFERROR(__xludf.DUMMYFUNCTION("""COMPUTED_VALUE"""),"HUMAX HGB10R-02")</f>
        <v>HUMAX HGB10R-02</v>
      </c>
      <c r="B1053" s="22">
        <f>IFERROR(__xludf.DUMMYFUNCTION("""COMPUTED_VALUE"""),4.1001292E7)</f>
        <v>41001292</v>
      </c>
      <c r="C1053" s="21" t="str">
        <f>IFERROR(__xludf.DUMMYFUNCTION("""COMPUTED_VALUE"""),"90F30556D62C")</f>
        <v>90F30556D62C</v>
      </c>
      <c r="D1053" s="21" t="str">
        <f>IFERROR(__xludf.DUMMYFUNCTION("""COMPUTED_VALUE"""),"DIGITEC TECNOLOGIA DIGITAL E REPRES")</f>
        <v>DIGITEC TECNOLOGIA DIGITAL E REPRES</v>
      </c>
      <c r="E1053" s="21">
        <f>IFERROR(__xludf.DUMMYFUNCTION("""COMPUTED_VALUE"""),145359.0)</f>
        <v>145359</v>
      </c>
      <c r="F1053" s="21" t="str">
        <f>IFERROR(__xludf.DUMMYFUNCTION("""COMPUTED_VALUE"""),"TRANSITO REVERSA")</f>
        <v>TRANSITO REVERSA</v>
      </c>
      <c r="G1053" s="23">
        <f>IFERROR(__xludf.DUMMYFUNCTION("""COMPUTED_VALUE"""),45626.298692129625)</f>
        <v>45626.29869</v>
      </c>
      <c r="H1053" s="24" t="str">
        <f>IFERROR(VLOOKUP(B1053,material!A:D,3,0),"")</f>
        <v>DUAL</v>
      </c>
    </row>
    <row r="1054" ht="11.25" customHeight="1">
      <c r="A1054" s="21" t="str">
        <f>IFERROR(__xludf.DUMMYFUNCTION("""COMPUTED_VALUE"""),"HUMAX HGB10R-02")</f>
        <v>HUMAX HGB10R-02</v>
      </c>
      <c r="B1054" s="22">
        <f>IFERROR(__xludf.DUMMYFUNCTION("""COMPUTED_VALUE"""),4.1001292E7)</f>
        <v>41001292</v>
      </c>
      <c r="C1054" s="21" t="str">
        <f>IFERROR(__xludf.DUMMYFUNCTION("""COMPUTED_VALUE"""),"942CB3D24F1B")</f>
        <v>942CB3D24F1B</v>
      </c>
      <c r="D1054" s="21" t="str">
        <f>IFERROR(__xludf.DUMMYFUNCTION("""COMPUTED_VALUE"""),"DIGITEC TECNOLOGIA DIGITAL E REPRES")</f>
        <v>DIGITEC TECNOLOGIA DIGITAL E REPRES</v>
      </c>
      <c r="E1054" s="21">
        <f>IFERROR(__xludf.DUMMYFUNCTION("""COMPUTED_VALUE"""),145359.0)</f>
        <v>145359</v>
      </c>
      <c r="F1054" s="21" t="str">
        <f>IFERROR(__xludf.DUMMYFUNCTION("""COMPUTED_VALUE"""),"TRANSITO REVERSA")</f>
        <v>TRANSITO REVERSA</v>
      </c>
      <c r="G1054" s="23">
        <f>IFERROR(__xludf.DUMMYFUNCTION("""COMPUTED_VALUE"""),45633.00341435186)</f>
        <v>45633.00341</v>
      </c>
      <c r="H1054" s="24" t="str">
        <f>IFERROR(VLOOKUP(B1054,material!A:D,3,0),"")</f>
        <v>DUAL</v>
      </c>
    </row>
    <row r="1055" ht="11.25" customHeight="1">
      <c r="A1055" s="21" t="str">
        <f>IFERROR(__xludf.DUMMYFUNCTION("""COMPUTED_VALUE"""),"HUMAX HGB10R-02")</f>
        <v>HUMAX HGB10R-02</v>
      </c>
      <c r="B1055" s="22">
        <f>IFERROR(__xludf.DUMMYFUNCTION("""COMPUTED_VALUE"""),4.1001292E7)</f>
        <v>41001292</v>
      </c>
      <c r="C1055" s="21" t="str">
        <f>IFERROR(__xludf.DUMMYFUNCTION("""COMPUTED_VALUE"""),"90F30555D738")</f>
        <v>90F30555D738</v>
      </c>
      <c r="D1055" s="21" t="str">
        <f>IFERROR(__xludf.DUMMYFUNCTION("""COMPUTED_VALUE"""),"DIGITEC TECNOLOGIA DIGITAL E REPRES")</f>
        <v>DIGITEC TECNOLOGIA DIGITAL E REPRES</v>
      </c>
      <c r="E1055" s="21">
        <f>IFERROR(__xludf.DUMMYFUNCTION("""COMPUTED_VALUE"""),145359.0)</f>
        <v>145359</v>
      </c>
      <c r="F1055" s="21" t="str">
        <f>IFERROR(__xludf.DUMMYFUNCTION("""COMPUTED_VALUE"""),"TRANSITO REVERSA")</f>
        <v>TRANSITO REVERSA</v>
      </c>
      <c r="G1055" s="23">
        <f>IFERROR(__xludf.DUMMYFUNCTION("""COMPUTED_VALUE"""),45633.00340277777)</f>
        <v>45633.0034</v>
      </c>
      <c r="H1055" s="24" t="str">
        <f>IFERROR(VLOOKUP(B1055,material!A:D,3,0),"")</f>
        <v>DUAL</v>
      </c>
    </row>
    <row r="1056" ht="11.25" customHeight="1">
      <c r="A1056" s="21" t="str">
        <f>IFERROR(__xludf.DUMMYFUNCTION("""COMPUTED_VALUE"""),"HUMAX HGB10R-02")</f>
        <v>HUMAX HGB10R-02</v>
      </c>
      <c r="B1056" s="22">
        <f>IFERROR(__xludf.DUMMYFUNCTION("""COMPUTED_VALUE"""),4.1001292E7)</f>
        <v>41001292</v>
      </c>
      <c r="C1056" s="21" t="str">
        <f>IFERROR(__xludf.DUMMYFUNCTION("""COMPUTED_VALUE"""),"E820E256EAD3")</f>
        <v>E820E256EAD3</v>
      </c>
      <c r="D1056" s="21" t="str">
        <f>IFERROR(__xludf.DUMMYFUNCTION("""COMPUTED_VALUE"""),"DIGITEC TECNOLOGIA DIGITAL E REPRES")</f>
        <v>DIGITEC TECNOLOGIA DIGITAL E REPRES</v>
      </c>
      <c r="E1056" s="21">
        <f>IFERROR(__xludf.DUMMYFUNCTION("""COMPUTED_VALUE"""),145359.0)</f>
        <v>145359</v>
      </c>
      <c r="F1056" s="21" t="str">
        <f>IFERROR(__xludf.DUMMYFUNCTION("""COMPUTED_VALUE"""),"TRANSITO REVERSA")</f>
        <v>TRANSITO REVERSA</v>
      </c>
      <c r="G1056" s="23">
        <f>IFERROR(__xludf.DUMMYFUNCTION("""COMPUTED_VALUE"""),45633.003379629634)</f>
        <v>45633.00338</v>
      </c>
      <c r="H1056" s="24" t="str">
        <f>IFERROR(VLOOKUP(B1056,material!A:D,3,0),"")</f>
        <v>DUAL</v>
      </c>
    </row>
    <row r="1057" ht="11.25" customHeight="1">
      <c r="A1057" s="21" t="str">
        <f>IFERROR(__xludf.DUMMYFUNCTION("""COMPUTED_VALUE"""),"HUMAX HGB10R-02")</f>
        <v>HUMAX HGB10R-02</v>
      </c>
      <c r="B1057" s="22">
        <f>IFERROR(__xludf.DUMMYFUNCTION("""COMPUTED_VALUE"""),4.1001292E7)</f>
        <v>41001292</v>
      </c>
      <c r="C1057" s="21" t="str">
        <f>IFERROR(__xludf.DUMMYFUNCTION("""COMPUTED_VALUE"""),"E820E2797FF1")</f>
        <v>E820E2797FF1</v>
      </c>
      <c r="D1057" s="21" t="str">
        <f>IFERROR(__xludf.DUMMYFUNCTION("""COMPUTED_VALUE"""),"DIGITEC TECNOLOGIA DIGITAL E REPRES")</f>
        <v>DIGITEC TECNOLOGIA DIGITAL E REPRES</v>
      </c>
      <c r="E1057" s="21">
        <f>IFERROR(__xludf.DUMMYFUNCTION("""COMPUTED_VALUE"""),145359.0)</f>
        <v>145359</v>
      </c>
      <c r="F1057" s="21" t="str">
        <f>IFERROR(__xludf.DUMMYFUNCTION("""COMPUTED_VALUE"""),"TRANSITO REVERSA")</f>
        <v>TRANSITO REVERSA</v>
      </c>
      <c r="G1057" s="23">
        <f>IFERROR(__xludf.DUMMYFUNCTION("""COMPUTED_VALUE"""),45617.87143518518)</f>
        <v>45617.87144</v>
      </c>
      <c r="H1057" s="24" t="str">
        <f>IFERROR(VLOOKUP(B1057,material!A:D,3,0),"")</f>
        <v>DUAL</v>
      </c>
    </row>
    <row r="1058" ht="11.25" customHeight="1">
      <c r="A1058" s="21" t="str">
        <f>IFERROR(__xludf.DUMMYFUNCTION("""COMPUTED_VALUE"""),"DECODER HD DCI738 2T")</f>
        <v>DECODER HD DCI738 2T</v>
      </c>
      <c r="B1058" s="22">
        <f>IFERROR(__xludf.DUMMYFUNCTION("""COMPUTED_VALUE"""),4.1001275E7)</f>
        <v>41001275</v>
      </c>
      <c r="C1058" s="21" t="str">
        <f>IFERROR(__xludf.DUMMYFUNCTION("""COMPUTED_VALUE"""),"216820635463")</f>
        <v>216820635463</v>
      </c>
      <c r="D1058" s="21" t="str">
        <f>IFERROR(__xludf.DUMMYFUNCTION("""COMPUTED_VALUE"""),"DIGITEC TECNOLOGIA DIGITAL E REPRES")</f>
        <v>DIGITEC TECNOLOGIA DIGITAL E REPRES</v>
      </c>
      <c r="E1058" s="21">
        <f>IFERROR(__xludf.DUMMYFUNCTION("""COMPUTED_VALUE"""),145359.0)</f>
        <v>145359</v>
      </c>
      <c r="F1058" s="21" t="str">
        <f>IFERROR(__xludf.DUMMYFUNCTION("""COMPUTED_VALUE"""),"TRANSITO REVERSA")</f>
        <v>TRANSITO REVERSA</v>
      </c>
      <c r="G1058" s="23">
        <f>IFERROR(__xludf.DUMMYFUNCTION("""COMPUTED_VALUE"""),45633.00399305555)</f>
        <v>45633.00399</v>
      </c>
      <c r="H1058" s="24" t="str">
        <f>IFERROR(VLOOKUP(B1058,material!A:D,3,0),"")</f>
        <v>TOP MIX</v>
      </c>
    </row>
    <row r="1059" ht="11.25" customHeight="1">
      <c r="A1059" s="21" t="str">
        <f>IFERROR(__xludf.DUMMYFUNCTION("""COMPUTED_VALUE"""),"HARD DISK 500GB EXTERNO 2.0")</f>
        <v>HARD DISK 500GB EXTERNO 2.0</v>
      </c>
      <c r="B1059" s="22">
        <f>IFERROR(__xludf.DUMMYFUNCTION("""COMPUTED_VALUE"""),4.1001376E7)</f>
        <v>41001376</v>
      </c>
      <c r="C1059" s="21" t="str">
        <f>IFERROR(__xludf.DUMMYFUNCTION("""COMPUTED_VALUE"""),"407144145968")</f>
        <v>407144145968</v>
      </c>
      <c r="D1059" s="21" t="str">
        <f>IFERROR(__xludf.DUMMYFUNCTION("""COMPUTED_VALUE"""),"DIGITEC TECNOLOGIA DIGITAL E REPRES")</f>
        <v>DIGITEC TECNOLOGIA DIGITAL E REPRES</v>
      </c>
      <c r="E1059" s="21">
        <f>IFERROR(__xludf.DUMMYFUNCTION("""COMPUTED_VALUE"""),145359.0)</f>
        <v>145359</v>
      </c>
      <c r="F1059" s="21" t="str">
        <f>IFERROR(__xludf.DUMMYFUNCTION("""COMPUTED_VALUE"""),"TRANSITO REVERSA")</f>
        <v>TRANSITO REVERSA</v>
      </c>
      <c r="G1059" s="23">
        <f>IFERROR(__xludf.DUMMYFUNCTION("""COMPUTED_VALUE"""),45638.52059027778)</f>
        <v>45638.52059</v>
      </c>
      <c r="H1059" s="24" t="str">
        <f>IFERROR(VLOOKUP(B1059,material!A:D,3,0),"")</f>
        <v>HDD</v>
      </c>
    </row>
    <row r="1060" ht="11.25" customHeight="1">
      <c r="A1060" s="21" t="str">
        <f>IFERROR(__xludf.DUMMYFUNCTION("""COMPUTED_VALUE"""),"DECODER DIGITAL HD DXC5000 2T")</f>
        <v>DECODER DIGITAL HD DXC5000 2T</v>
      </c>
      <c r="B1060" s="22">
        <f>IFERROR(__xludf.DUMMYFUNCTION("""COMPUTED_VALUE"""),4.1001277E7)</f>
        <v>41001277</v>
      </c>
      <c r="C1060" s="21" t="str">
        <f>IFERROR(__xludf.DUMMYFUNCTION("""COMPUTED_VALUE"""),"216786348895")</f>
        <v>216786348895</v>
      </c>
      <c r="D1060" s="21" t="str">
        <f>IFERROR(__xludf.DUMMYFUNCTION("""COMPUTED_VALUE"""),"DIGITEC TECNOLOGIA DIGITAL E REPRES")</f>
        <v>DIGITEC TECNOLOGIA DIGITAL E REPRES</v>
      </c>
      <c r="E1060" s="21">
        <f>IFERROR(__xludf.DUMMYFUNCTION("""COMPUTED_VALUE"""),145359.0)</f>
        <v>145359</v>
      </c>
      <c r="F1060" s="21" t="str">
        <f>IFERROR(__xludf.DUMMYFUNCTION("""COMPUTED_VALUE"""),"TRANSITO REVERSA")</f>
        <v>TRANSITO REVERSA</v>
      </c>
      <c r="G1060" s="23">
        <f>IFERROR(__xludf.DUMMYFUNCTION("""COMPUTED_VALUE"""),45626.2987037037)</f>
        <v>45626.2987</v>
      </c>
      <c r="H1060" s="24" t="str">
        <f>IFERROR(VLOOKUP(B1060,material!A:D,3,0),"")</f>
        <v>TOP MIX</v>
      </c>
    </row>
    <row r="1061" ht="11.25" customHeight="1">
      <c r="A1061" s="21" t="str">
        <f>IFERROR(__xludf.DUMMYFUNCTION("""COMPUTED_VALUE"""),"DECODER DIGITAL HD DXC5000 2T")</f>
        <v>DECODER DIGITAL HD DXC5000 2T</v>
      </c>
      <c r="B1061" s="22">
        <f>IFERROR(__xludf.DUMMYFUNCTION("""COMPUTED_VALUE"""),4.1001277E7)</f>
        <v>41001277</v>
      </c>
      <c r="C1061" s="21" t="str">
        <f>IFERROR(__xludf.DUMMYFUNCTION("""COMPUTED_VALUE"""),"216785328101")</f>
        <v>216785328101</v>
      </c>
      <c r="D1061" s="21" t="str">
        <f>IFERROR(__xludf.DUMMYFUNCTION("""COMPUTED_VALUE"""),"DIGITEC TECNOLOGIA DIGITAL E REPRES")</f>
        <v>DIGITEC TECNOLOGIA DIGITAL E REPRES</v>
      </c>
      <c r="E1061" s="21">
        <f>IFERROR(__xludf.DUMMYFUNCTION("""COMPUTED_VALUE"""),145359.0)</f>
        <v>145359</v>
      </c>
      <c r="F1061" s="21" t="str">
        <f>IFERROR(__xludf.DUMMYFUNCTION("""COMPUTED_VALUE"""),"TRANSITO REVERSA")</f>
        <v>TRANSITO REVERSA</v>
      </c>
      <c r="G1061" s="23">
        <f>IFERROR(__xludf.DUMMYFUNCTION("""COMPUTED_VALUE"""),45626.29924768519)</f>
        <v>45626.29925</v>
      </c>
      <c r="H1061" s="24" t="str">
        <f>IFERROR(VLOOKUP(B1061,material!A:D,3,0),"")</f>
        <v>TOP MIX</v>
      </c>
    </row>
    <row r="1062" ht="11.25" customHeight="1">
      <c r="A1062" s="21" t="str">
        <f>IFERROR(__xludf.DUMMYFUNCTION("""COMPUTED_VALUE"""),"DECODER DIGITAL HD DXC5000 2T")</f>
        <v>DECODER DIGITAL HD DXC5000 2T</v>
      </c>
      <c r="B1062" s="22">
        <f>IFERROR(__xludf.DUMMYFUNCTION("""COMPUTED_VALUE"""),4.1001277E7)</f>
        <v>41001277</v>
      </c>
      <c r="C1062" s="21" t="str">
        <f>IFERROR(__xludf.DUMMYFUNCTION("""COMPUTED_VALUE"""),"216487406477")</f>
        <v>216487406477</v>
      </c>
      <c r="D1062" s="21" t="str">
        <f>IFERROR(__xludf.DUMMYFUNCTION("""COMPUTED_VALUE"""),"DIGITEC TECNOLOGIA DIGITAL E REPRES")</f>
        <v>DIGITEC TECNOLOGIA DIGITAL E REPRES</v>
      </c>
      <c r="E1062" s="21">
        <f>IFERROR(__xludf.DUMMYFUNCTION("""COMPUTED_VALUE"""),145359.0)</f>
        <v>145359</v>
      </c>
      <c r="F1062" s="21" t="str">
        <f>IFERROR(__xludf.DUMMYFUNCTION("""COMPUTED_VALUE"""),"TRANSITO REVERSA")</f>
        <v>TRANSITO REVERSA</v>
      </c>
      <c r="G1062" s="23">
        <f>IFERROR(__xludf.DUMMYFUNCTION("""COMPUTED_VALUE"""),45638.52185185185)</f>
        <v>45638.52185</v>
      </c>
      <c r="H1062" s="24" t="str">
        <f>IFERROR(VLOOKUP(B1062,material!A:D,3,0),"")</f>
        <v>TOP MIX</v>
      </c>
    </row>
    <row r="1063" ht="11.25" customHeight="1">
      <c r="A1063" s="21" t="str">
        <f>IFERROR(__xludf.DUMMYFUNCTION("""COMPUTED_VALUE"""),"DECODER DIGITAL HD DXC5000 2T")</f>
        <v>DECODER DIGITAL HD DXC5000 2T</v>
      </c>
      <c r="B1063" s="22">
        <f>IFERROR(__xludf.DUMMYFUNCTION("""COMPUTED_VALUE"""),4.1001277E7)</f>
        <v>41001277</v>
      </c>
      <c r="C1063" s="21" t="str">
        <f>IFERROR(__xludf.DUMMYFUNCTION("""COMPUTED_VALUE"""),"216424682949")</f>
        <v>216424682949</v>
      </c>
      <c r="D1063" s="21" t="str">
        <f>IFERROR(__xludf.DUMMYFUNCTION("""COMPUTED_VALUE"""),"DIGITEC TECNOLOGIA DIGITAL E REPRES")</f>
        <v>DIGITEC TECNOLOGIA DIGITAL E REPRES</v>
      </c>
      <c r="E1063" s="21">
        <f>IFERROR(__xludf.DUMMYFUNCTION("""COMPUTED_VALUE"""),145359.0)</f>
        <v>145359</v>
      </c>
      <c r="F1063" s="21" t="str">
        <f>IFERROR(__xludf.DUMMYFUNCTION("""COMPUTED_VALUE"""),"TRANSITO REVERSA")</f>
        <v>TRANSITO REVERSA</v>
      </c>
      <c r="G1063" s="23">
        <f>IFERROR(__xludf.DUMMYFUNCTION("""COMPUTED_VALUE"""),45617.87140046296)</f>
        <v>45617.8714</v>
      </c>
      <c r="H1063" s="24" t="str">
        <f>IFERROR(VLOOKUP(B1063,material!A:D,3,0),"")</f>
        <v>TOP MIX</v>
      </c>
    </row>
    <row r="1064" ht="11.25" customHeight="1">
      <c r="A1064" s="21" t="str">
        <f>IFERROR(__xludf.DUMMYFUNCTION("""COMPUTED_VALUE"""),"DECODER DIGITAL HD DXC5000 2T")</f>
        <v>DECODER DIGITAL HD DXC5000 2T</v>
      </c>
      <c r="B1064" s="22">
        <f>IFERROR(__xludf.DUMMYFUNCTION("""COMPUTED_VALUE"""),4.1001277E7)</f>
        <v>41001277</v>
      </c>
      <c r="C1064" s="21" t="str">
        <f>IFERROR(__xludf.DUMMYFUNCTION("""COMPUTED_VALUE"""),"216421590414")</f>
        <v>216421590414</v>
      </c>
      <c r="D1064" s="21" t="str">
        <f>IFERROR(__xludf.DUMMYFUNCTION("""COMPUTED_VALUE"""),"DIGITEC TECNOLOGIA DIGITAL E REPRES")</f>
        <v>DIGITEC TECNOLOGIA DIGITAL E REPRES</v>
      </c>
      <c r="E1064" s="21">
        <f>IFERROR(__xludf.DUMMYFUNCTION("""COMPUTED_VALUE"""),145359.0)</f>
        <v>145359</v>
      </c>
      <c r="F1064" s="21" t="str">
        <f>IFERROR(__xludf.DUMMYFUNCTION("""COMPUTED_VALUE"""),"TRANSITO REVERSA")</f>
        <v>TRANSITO REVERSA</v>
      </c>
      <c r="G1064" s="23">
        <f>IFERROR(__xludf.DUMMYFUNCTION("""COMPUTED_VALUE"""),45617.87142361111)</f>
        <v>45617.87142</v>
      </c>
      <c r="H1064" s="24" t="str">
        <f>IFERROR(VLOOKUP(B1064,material!A:D,3,0),"")</f>
        <v>TOP MIX</v>
      </c>
    </row>
    <row r="1065" ht="11.25" customHeight="1">
      <c r="A1065" s="21" t="str">
        <f>IFERROR(__xludf.DUMMYFUNCTION("""COMPUTED_VALUE"""),"DECODER DIGITAL HD DXC5000 2T")</f>
        <v>DECODER DIGITAL HD DXC5000 2T</v>
      </c>
      <c r="B1065" s="22">
        <f>IFERROR(__xludf.DUMMYFUNCTION("""COMPUTED_VALUE"""),4.1001277E7)</f>
        <v>41001277</v>
      </c>
      <c r="C1065" s="21" t="str">
        <f>IFERROR(__xludf.DUMMYFUNCTION("""COMPUTED_VALUE"""),"216391526985")</f>
        <v>216391526985</v>
      </c>
      <c r="D1065" s="21" t="str">
        <f>IFERROR(__xludf.DUMMYFUNCTION("""COMPUTED_VALUE"""),"DIGITEC TECNOLOGIA DIGITAL E REPRES")</f>
        <v>DIGITEC TECNOLOGIA DIGITAL E REPRES</v>
      </c>
      <c r="E1065" s="21">
        <f>IFERROR(__xludf.DUMMYFUNCTION("""COMPUTED_VALUE"""),145359.0)</f>
        <v>145359</v>
      </c>
      <c r="F1065" s="21" t="str">
        <f>IFERROR(__xludf.DUMMYFUNCTION("""COMPUTED_VALUE"""),"TRANSITO REVERSA")</f>
        <v>TRANSITO REVERSA</v>
      </c>
      <c r="G1065" s="23">
        <f>IFERROR(__xludf.DUMMYFUNCTION("""COMPUTED_VALUE"""),45633.00396990741)</f>
        <v>45633.00397</v>
      </c>
      <c r="H1065" s="24" t="str">
        <f>IFERROR(VLOOKUP(B1065,material!A:D,3,0),"")</f>
        <v>TOP MIX</v>
      </c>
    </row>
    <row r="1066" ht="11.25" customHeight="1">
      <c r="A1066" s="21" t="str">
        <f>IFERROR(__xludf.DUMMYFUNCTION("""COMPUTED_VALUE"""),"DECODER DIGITAL HD DXC5000 2T")</f>
        <v>DECODER DIGITAL HD DXC5000 2T</v>
      </c>
      <c r="B1066" s="22">
        <f>IFERROR(__xludf.DUMMYFUNCTION("""COMPUTED_VALUE"""),4.1001277E7)</f>
        <v>41001277</v>
      </c>
      <c r="C1066" s="21" t="str">
        <f>IFERROR(__xludf.DUMMYFUNCTION("""COMPUTED_VALUE"""),"216476070411")</f>
        <v>216476070411</v>
      </c>
      <c r="D1066" s="21" t="str">
        <f>IFERROR(__xludf.DUMMYFUNCTION("""COMPUTED_VALUE"""),"DIGITEC TECNOLOGIA DIGITAL E REPRES")</f>
        <v>DIGITEC TECNOLOGIA DIGITAL E REPRES</v>
      </c>
      <c r="E1066" s="21">
        <f>IFERROR(__xludf.DUMMYFUNCTION("""COMPUTED_VALUE"""),145359.0)</f>
        <v>145359</v>
      </c>
      <c r="F1066" s="21" t="str">
        <f>IFERROR(__xludf.DUMMYFUNCTION("""COMPUTED_VALUE"""),"TRANSITO REVERSA")</f>
        <v>TRANSITO REVERSA</v>
      </c>
      <c r="G1066" s="23">
        <f>IFERROR(__xludf.DUMMYFUNCTION("""COMPUTED_VALUE"""),45626.29872685185)</f>
        <v>45626.29873</v>
      </c>
      <c r="H1066" s="24" t="str">
        <f>IFERROR(VLOOKUP(B1066,material!A:D,3,0),"")</f>
        <v>TOP MIX</v>
      </c>
    </row>
    <row r="1067" ht="11.25" customHeight="1">
      <c r="A1067" s="21" t="str">
        <f>IFERROR(__xludf.DUMMYFUNCTION("""COMPUTED_VALUE"""),"DECODER DIGITAL HD DXC5000 2T")</f>
        <v>DECODER DIGITAL HD DXC5000 2T</v>
      </c>
      <c r="B1067" s="22">
        <f>IFERROR(__xludf.DUMMYFUNCTION("""COMPUTED_VALUE"""),4.1001277E7)</f>
        <v>41001277</v>
      </c>
      <c r="C1067" s="21" t="str">
        <f>IFERROR(__xludf.DUMMYFUNCTION("""COMPUTED_VALUE"""),"216465972029")</f>
        <v>216465972029</v>
      </c>
      <c r="D1067" s="21" t="str">
        <f>IFERROR(__xludf.DUMMYFUNCTION("""COMPUTED_VALUE"""),"DIGITEC TECNOLOGIA DIGITAL E REPRES")</f>
        <v>DIGITEC TECNOLOGIA DIGITAL E REPRES</v>
      </c>
      <c r="E1067" s="21">
        <f>IFERROR(__xludf.DUMMYFUNCTION("""COMPUTED_VALUE"""),145359.0)</f>
        <v>145359</v>
      </c>
      <c r="F1067" s="21" t="str">
        <f>IFERROR(__xludf.DUMMYFUNCTION("""COMPUTED_VALUE"""),"TRANSITO REVERSA")</f>
        <v>TRANSITO REVERSA</v>
      </c>
      <c r="G1067" s="23">
        <f>IFERROR(__xludf.DUMMYFUNCTION("""COMPUTED_VALUE"""),45610.730416666665)</f>
        <v>45610.73042</v>
      </c>
      <c r="H1067" s="24" t="str">
        <f>IFERROR(VLOOKUP(B1067,material!A:D,3,0),"")</f>
        <v>TOP MIX</v>
      </c>
    </row>
    <row r="1068" ht="11.25" customHeight="1">
      <c r="A1068" s="21" t="str">
        <f>IFERROR(__xludf.DUMMYFUNCTION("""COMPUTED_VALUE"""),"DECODER DIGITAL HD HNB100 2T")</f>
        <v>DECODER DIGITAL HD HNB100 2T</v>
      </c>
      <c r="B1068" s="22">
        <f>IFERROR(__xludf.DUMMYFUNCTION("""COMPUTED_VALUE"""),4.1001276E7)</f>
        <v>41001276</v>
      </c>
      <c r="C1068" s="21" t="str">
        <f>IFERROR(__xludf.DUMMYFUNCTION("""COMPUTED_VALUE"""),"216737549699")</f>
        <v>216737549699</v>
      </c>
      <c r="D1068" s="21" t="str">
        <f>IFERROR(__xludf.DUMMYFUNCTION("""COMPUTED_VALUE"""),"DIGITEC TECNOLOGIA DIGITAL E REPRES")</f>
        <v>DIGITEC TECNOLOGIA DIGITAL E REPRES</v>
      </c>
      <c r="E1068" s="21">
        <f>IFERROR(__xludf.DUMMYFUNCTION("""COMPUTED_VALUE"""),145359.0)</f>
        <v>145359</v>
      </c>
      <c r="F1068" s="21" t="str">
        <f>IFERROR(__xludf.DUMMYFUNCTION("""COMPUTED_VALUE"""),"TRANSITO REVERSA")</f>
        <v>TRANSITO REVERSA</v>
      </c>
      <c r="G1068" s="23">
        <f>IFERROR(__xludf.DUMMYFUNCTION("""COMPUTED_VALUE"""),45638.52111111111)</f>
        <v>45638.52111</v>
      </c>
      <c r="H1068" s="24" t="str">
        <f>IFERROR(VLOOKUP(B1068,material!A:D,3,0),"")</f>
        <v>TOP MIX</v>
      </c>
    </row>
    <row r="1069" ht="11.25" customHeight="1">
      <c r="A1069" s="21" t="str">
        <f>IFERROR(__xludf.DUMMYFUNCTION("""COMPUTED_VALUE"""),"DECODER DIGITAL HD HNB100 2T")</f>
        <v>DECODER DIGITAL HD HNB100 2T</v>
      </c>
      <c r="B1069" s="22">
        <f>IFERROR(__xludf.DUMMYFUNCTION("""COMPUTED_VALUE"""),4.1001276E7)</f>
        <v>41001276</v>
      </c>
      <c r="C1069" s="21" t="str">
        <f>IFERROR(__xludf.DUMMYFUNCTION("""COMPUTED_VALUE"""),"216737879811")</f>
        <v>216737879811</v>
      </c>
      <c r="D1069" s="21" t="str">
        <f>IFERROR(__xludf.DUMMYFUNCTION("""COMPUTED_VALUE"""),"DIGITEC TECNOLOGIA DIGITAL E REPRES")</f>
        <v>DIGITEC TECNOLOGIA DIGITAL E REPRES</v>
      </c>
      <c r="E1069" s="21">
        <f>IFERROR(__xludf.DUMMYFUNCTION("""COMPUTED_VALUE"""),145359.0)</f>
        <v>145359</v>
      </c>
      <c r="F1069" s="21" t="str">
        <f>IFERROR(__xludf.DUMMYFUNCTION("""COMPUTED_VALUE"""),"TRANSITO REVERSA")</f>
        <v>TRANSITO REVERSA</v>
      </c>
      <c r="G1069" s="23">
        <f>IFERROR(__xludf.DUMMYFUNCTION("""COMPUTED_VALUE"""),45617.87142361111)</f>
        <v>45617.87142</v>
      </c>
      <c r="H1069" s="24" t="str">
        <f>IFERROR(VLOOKUP(B1069,material!A:D,3,0),"")</f>
        <v>TOP MIX</v>
      </c>
    </row>
    <row r="1070" ht="11.25" customHeight="1">
      <c r="A1070" s="21" t="str">
        <f>IFERROR(__xludf.DUMMYFUNCTION("""COMPUTED_VALUE"""),"EMTA 3.0 HG100R-L2 HUMAX")</f>
        <v>EMTA 3.0 HG100R-L2 HUMAX</v>
      </c>
      <c r="B1070" s="22">
        <f>IFERROR(__xludf.DUMMYFUNCTION("""COMPUTED_VALUE"""),4.1001286E7)</f>
        <v>41001286</v>
      </c>
      <c r="C1070" s="21" t="str">
        <f>IFERROR(__xludf.DUMMYFUNCTION("""COMPUTED_VALUE"""),"08EB74E9F9EF")</f>
        <v>08EB74E9F9EF</v>
      </c>
      <c r="D1070" s="21" t="str">
        <f>IFERROR(__xludf.DUMMYFUNCTION("""COMPUTED_VALUE"""),"DIGITEC TECNOLOGIA DIGITAL E REPRES")</f>
        <v>DIGITEC TECNOLOGIA DIGITAL E REPRES</v>
      </c>
      <c r="E1070" s="21">
        <f>IFERROR(__xludf.DUMMYFUNCTION("""COMPUTED_VALUE"""),145359.0)</f>
        <v>145359</v>
      </c>
      <c r="F1070" s="21" t="str">
        <f>IFERROR(__xludf.DUMMYFUNCTION("""COMPUTED_VALUE"""),"TRANSITO REVERSA")</f>
        <v>TRANSITO REVERSA</v>
      </c>
      <c r="G1070" s="23">
        <f>IFERROR(__xludf.DUMMYFUNCTION("""COMPUTED_VALUE"""),45633.00336805556)</f>
        <v>45633.00337</v>
      </c>
      <c r="H1070" s="24" t="str">
        <f>IFERROR(VLOOKUP(B1070,material!A:D,3,0),"")</f>
        <v>SINGLE</v>
      </c>
    </row>
    <row r="1071" ht="11.25" customHeight="1">
      <c r="A1071" s="21" t="str">
        <f>IFERROR(__xludf.DUMMYFUNCTION("""COMPUTED_VALUE"""),"SMART CARD PRETO NAGRA")</f>
        <v>SMART CARD PRETO NAGRA</v>
      </c>
      <c r="B1071" s="22">
        <f>IFERROR(__xludf.DUMMYFUNCTION("""COMPUTED_VALUE"""),4.1001234E7)</f>
        <v>41001234</v>
      </c>
      <c r="C1071" s="21" t="str">
        <f>IFERROR(__xludf.DUMMYFUNCTION("""COMPUTED_VALUE"""),"246239049103")</f>
        <v>246239049103</v>
      </c>
      <c r="D1071" s="21" t="str">
        <f>IFERROR(__xludf.DUMMYFUNCTION("""COMPUTED_VALUE"""),"DIGITEC TECNOLOGIA DIGITAL E REPRES")</f>
        <v>DIGITEC TECNOLOGIA DIGITAL E REPRES</v>
      </c>
      <c r="E1071" s="21">
        <f>IFERROR(__xludf.DUMMYFUNCTION("""COMPUTED_VALUE"""),145359.0)</f>
        <v>145359</v>
      </c>
      <c r="F1071" s="21" t="str">
        <f>IFERROR(__xludf.DUMMYFUNCTION("""COMPUTED_VALUE"""),"TRANSITO REVERSA")</f>
        <v>TRANSITO REVERSA</v>
      </c>
      <c r="G1071" s="23">
        <f>IFERROR(__xludf.DUMMYFUNCTION("""COMPUTED_VALUE"""),45617.87180555555)</f>
        <v>45617.87181</v>
      </c>
      <c r="H1071" s="24" t="str">
        <f>IFERROR(VLOOKUP(B1071,material!A:D,3,0),"")</f>
        <v>CARD</v>
      </c>
    </row>
    <row r="1072" ht="11.25" customHeight="1">
      <c r="A1072" s="21" t="str">
        <f>IFERROR(__xludf.DUMMYFUNCTION("""COMPUTED_VALUE"""),"SMART CARD PRETO NAGRA")</f>
        <v>SMART CARD PRETO NAGRA</v>
      </c>
      <c r="B1072" s="22">
        <f>IFERROR(__xludf.DUMMYFUNCTION("""COMPUTED_VALUE"""),4.1001234E7)</f>
        <v>41001234</v>
      </c>
      <c r="C1072" s="21" t="str">
        <f>IFERROR(__xludf.DUMMYFUNCTION("""COMPUTED_VALUE"""),"246267897294")</f>
        <v>246267897294</v>
      </c>
      <c r="D1072" s="21" t="str">
        <f>IFERROR(__xludf.DUMMYFUNCTION("""COMPUTED_VALUE"""),"DIGITEC TECNOLOGIA DIGITAL E REPRES")</f>
        <v>DIGITEC TECNOLOGIA DIGITAL E REPRES</v>
      </c>
      <c r="E1072" s="21">
        <f>IFERROR(__xludf.DUMMYFUNCTION("""COMPUTED_VALUE"""),145359.0)</f>
        <v>145359</v>
      </c>
      <c r="F1072" s="21" t="str">
        <f>IFERROR(__xludf.DUMMYFUNCTION("""COMPUTED_VALUE"""),"TRANSITO REVERSA")</f>
        <v>TRANSITO REVERSA</v>
      </c>
      <c r="G1072" s="23">
        <f>IFERROR(__xludf.DUMMYFUNCTION("""COMPUTED_VALUE"""),45633.00396990741)</f>
        <v>45633.00397</v>
      </c>
      <c r="H1072" s="24" t="str">
        <f>IFERROR(VLOOKUP(B1072,material!A:D,3,0),"")</f>
        <v>CARD</v>
      </c>
    </row>
    <row r="1073" ht="11.25" customHeight="1">
      <c r="A1073" s="21" t="str">
        <f>IFERROR(__xludf.DUMMYFUNCTION("""COMPUTED_VALUE"""),"SMART CARD PRETO NAGRA")</f>
        <v>SMART CARD PRETO NAGRA</v>
      </c>
      <c r="B1073" s="22">
        <f>IFERROR(__xludf.DUMMYFUNCTION("""COMPUTED_VALUE"""),4.1001234E7)</f>
        <v>41001234</v>
      </c>
      <c r="C1073" s="21" t="str">
        <f>IFERROR(__xludf.DUMMYFUNCTION("""COMPUTED_VALUE"""),"246175392038")</f>
        <v>246175392038</v>
      </c>
      <c r="D1073" s="21" t="str">
        <f>IFERROR(__xludf.DUMMYFUNCTION("""COMPUTED_VALUE"""),"DIGITEC TECNOLOGIA DIGITAL E REPRES")</f>
        <v>DIGITEC TECNOLOGIA DIGITAL E REPRES</v>
      </c>
      <c r="E1073" s="21">
        <f>IFERROR(__xludf.DUMMYFUNCTION("""COMPUTED_VALUE"""),145359.0)</f>
        <v>145359</v>
      </c>
      <c r="F1073" s="21" t="str">
        <f>IFERROR(__xludf.DUMMYFUNCTION("""COMPUTED_VALUE"""),"TRANSITO REVERSA")</f>
        <v>TRANSITO REVERSA</v>
      </c>
      <c r="G1073" s="23">
        <f>IFERROR(__xludf.DUMMYFUNCTION("""COMPUTED_VALUE"""),45617.87142361111)</f>
        <v>45617.87142</v>
      </c>
      <c r="H1073" s="24" t="str">
        <f>IFERROR(VLOOKUP(B1073,material!A:D,3,0),"")</f>
        <v>CARD</v>
      </c>
    </row>
    <row r="1074" ht="11.25" customHeight="1">
      <c r="A1074" s="21" t="str">
        <f>IFERROR(__xludf.DUMMYFUNCTION("""COMPUTED_VALUE"""),"SMART CARD PRETO NAGRA")</f>
        <v>SMART CARD PRETO NAGRA</v>
      </c>
      <c r="B1074" s="22">
        <f>IFERROR(__xludf.DUMMYFUNCTION("""COMPUTED_VALUE"""),4.1001234E7)</f>
        <v>41001234</v>
      </c>
      <c r="C1074" s="21" t="str">
        <f>IFERROR(__xludf.DUMMYFUNCTION("""COMPUTED_VALUE"""),"246175976774")</f>
        <v>246175976774</v>
      </c>
      <c r="D1074" s="21" t="str">
        <f>IFERROR(__xludf.DUMMYFUNCTION("""COMPUTED_VALUE"""),"DIGITEC TECNOLOGIA DIGITAL E REPRES")</f>
        <v>DIGITEC TECNOLOGIA DIGITAL E REPRES</v>
      </c>
      <c r="E1074" s="21">
        <f>IFERROR(__xludf.DUMMYFUNCTION("""COMPUTED_VALUE"""),145359.0)</f>
        <v>145359</v>
      </c>
      <c r="F1074" s="21" t="str">
        <f>IFERROR(__xludf.DUMMYFUNCTION("""COMPUTED_VALUE"""),"TRANSITO REVERSA")</f>
        <v>TRANSITO REVERSA</v>
      </c>
      <c r="G1074" s="23">
        <f>IFERROR(__xludf.DUMMYFUNCTION("""COMPUTED_VALUE"""),45638.520625000005)</f>
        <v>45638.52063</v>
      </c>
      <c r="H1074" s="24" t="str">
        <f>IFERROR(VLOOKUP(B1074,material!A:D,3,0),"")</f>
        <v>CARD</v>
      </c>
    </row>
    <row r="1075" ht="11.25" customHeight="1">
      <c r="A1075" s="21" t="str">
        <f>IFERROR(__xludf.DUMMYFUNCTION("""COMPUTED_VALUE"""),"SMART CARD PRETO NAGRA")</f>
        <v>SMART CARD PRETO NAGRA</v>
      </c>
      <c r="B1075" s="22">
        <f>IFERROR(__xludf.DUMMYFUNCTION("""COMPUTED_VALUE"""),4.1001234E7)</f>
        <v>41001234</v>
      </c>
      <c r="C1075" s="21" t="str">
        <f>IFERROR(__xludf.DUMMYFUNCTION("""COMPUTED_VALUE"""),"226368708603")</f>
        <v>226368708603</v>
      </c>
      <c r="D1075" s="21" t="str">
        <f>IFERROR(__xludf.DUMMYFUNCTION("""COMPUTED_VALUE"""),"DIGITEC TECNOLOGIA DIGITAL E REPRES")</f>
        <v>DIGITEC TECNOLOGIA DIGITAL E REPRES</v>
      </c>
      <c r="E1075" s="21">
        <f>IFERROR(__xludf.DUMMYFUNCTION("""COMPUTED_VALUE"""),145359.0)</f>
        <v>145359</v>
      </c>
      <c r="F1075" s="21" t="str">
        <f>IFERROR(__xludf.DUMMYFUNCTION("""COMPUTED_VALUE"""),"TRANSITO REVERSA")</f>
        <v>TRANSITO REVERSA</v>
      </c>
      <c r="G1075" s="23">
        <f>IFERROR(__xludf.DUMMYFUNCTION("""COMPUTED_VALUE"""),45633.00398148148)</f>
        <v>45633.00398</v>
      </c>
      <c r="H1075" s="24" t="str">
        <f>IFERROR(VLOOKUP(B1075,material!A:D,3,0),"")</f>
        <v>CARD</v>
      </c>
    </row>
    <row r="1076" ht="11.25" customHeight="1">
      <c r="A1076" s="21" t="str">
        <f>IFERROR(__xludf.DUMMYFUNCTION("""COMPUTED_VALUE"""),"SMART CARD PRETO NAGRA")</f>
        <v>SMART CARD PRETO NAGRA</v>
      </c>
      <c r="B1076" s="22">
        <f>IFERROR(__xludf.DUMMYFUNCTION("""COMPUTED_VALUE"""),4.1001234E7)</f>
        <v>41001234</v>
      </c>
      <c r="C1076" s="21" t="str">
        <f>IFERROR(__xludf.DUMMYFUNCTION("""COMPUTED_VALUE"""),"226023434457")</f>
        <v>226023434457</v>
      </c>
      <c r="D1076" s="21" t="str">
        <f>IFERROR(__xludf.DUMMYFUNCTION("""COMPUTED_VALUE"""),"DIGITEC TECNOLOGIA DIGITAL E REPRES")</f>
        <v>DIGITEC TECNOLOGIA DIGITAL E REPRES</v>
      </c>
      <c r="E1076" s="21">
        <f>IFERROR(__xludf.DUMMYFUNCTION("""COMPUTED_VALUE"""),145359.0)</f>
        <v>145359</v>
      </c>
      <c r="F1076" s="21" t="str">
        <f>IFERROR(__xludf.DUMMYFUNCTION("""COMPUTED_VALUE"""),"TRANSITO REVERSA")</f>
        <v>TRANSITO REVERSA</v>
      </c>
      <c r="G1076" s="23">
        <f>IFERROR(__xludf.DUMMYFUNCTION("""COMPUTED_VALUE"""),45617.87142361111)</f>
        <v>45617.87142</v>
      </c>
      <c r="H1076" s="24" t="str">
        <f>IFERROR(VLOOKUP(B1076,material!A:D,3,0),"")</f>
        <v>CARD</v>
      </c>
    </row>
    <row r="1077" ht="11.25" customHeight="1">
      <c r="A1077" s="21" t="str">
        <f>IFERROR(__xludf.DUMMYFUNCTION("""COMPUTED_VALUE"""),"SMART CARD PRETO NAGRA")</f>
        <v>SMART CARD PRETO NAGRA</v>
      </c>
      <c r="B1077" s="22">
        <f>IFERROR(__xludf.DUMMYFUNCTION("""COMPUTED_VALUE"""),4.1001234E7)</f>
        <v>41001234</v>
      </c>
      <c r="C1077" s="21" t="str">
        <f>IFERROR(__xludf.DUMMYFUNCTION("""COMPUTED_VALUE"""),"226251076572")</f>
        <v>226251076572</v>
      </c>
      <c r="D1077" s="21" t="str">
        <f>IFERROR(__xludf.DUMMYFUNCTION("""COMPUTED_VALUE"""),"DIGITEC TECNOLOGIA DIGITAL E REPRES")</f>
        <v>DIGITEC TECNOLOGIA DIGITAL E REPRES</v>
      </c>
      <c r="E1077" s="21">
        <f>IFERROR(__xludf.DUMMYFUNCTION("""COMPUTED_VALUE"""),145359.0)</f>
        <v>145359</v>
      </c>
      <c r="F1077" s="21" t="str">
        <f>IFERROR(__xludf.DUMMYFUNCTION("""COMPUTED_VALUE"""),"TRANSITO REVERSA")</f>
        <v>TRANSITO REVERSA</v>
      </c>
      <c r="G1077" s="23">
        <f>IFERROR(__xludf.DUMMYFUNCTION("""COMPUTED_VALUE"""),45617.87140046296)</f>
        <v>45617.8714</v>
      </c>
      <c r="H1077" s="24" t="str">
        <f>IFERROR(VLOOKUP(B1077,material!A:D,3,0),"")</f>
        <v>CARD</v>
      </c>
    </row>
    <row r="1078" ht="11.25" customHeight="1">
      <c r="A1078" s="21" t="str">
        <f>IFERROR(__xludf.DUMMYFUNCTION("""COMPUTED_VALUE"""),"SMART CARD PRETO NAGRA")</f>
        <v>SMART CARD PRETO NAGRA</v>
      </c>
      <c r="B1078" s="22">
        <f>IFERROR(__xludf.DUMMYFUNCTION("""COMPUTED_VALUE"""),4.1001234E7)</f>
        <v>41001234</v>
      </c>
      <c r="C1078" s="21" t="str">
        <f>IFERROR(__xludf.DUMMYFUNCTION("""COMPUTED_VALUE"""),"226160674147")</f>
        <v>226160674147</v>
      </c>
      <c r="D1078" s="21" t="str">
        <f>IFERROR(__xludf.DUMMYFUNCTION("""COMPUTED_VALUE"""),"DIGITEC TECNOLOGIA DIGITAL E REPRES")</f>
        <v>DIGITEC TECNOLOGIA DIGITAL E REPRES</v>
      </c>
      <c r="E1078" s="21">
        <f>IFERROR(__xludf.DUMMYFUNCTION("""COMPUTED_VALUE"""),145359.0)</f>
        <v>145359</v>
      </c>
      <c r="F1078" s="21" t="str">
        <f>IFERROR(__xludf.DUMMYFUNCTION("""COMPUTED_VALUE"""),"TRANSITO REVERSA")</f>
        <v>TRANSITO REVERSA</v>
      </c>
      <c r="G1078" s="23">
        <f>IFERROR(__xludf.DUMMYFUNCTION("""COMPUTED_VALUE"""),45617.87138888889)</f>
        <v>45617.87139</v>
      </c>
      <c r="H1078" s="24" t="str">
        <f>IFERROR(VLOOKUP(B1078,material!A:D,3,0),"")</f>
        <v>CARD</v>
      </c>
    </row>
    <row r="1079" ht="11.25" customHeight="1">
      <c r="A1079" s="21" t="str">
        <f>IFERROR(__xludf.DUMMYFUNCTION("""COMPUTED_VALUE"""),"SMART CARD PRETO NAGRA")</f>
        <v>SMART CARD PRETO NAGRA</v>
      </c>
      <c r="B1079" s="22">
        <f>IFERROR(__xludf.DUMMYFUNCTION("""COMPUTED_VALUE"""),4.1001234E7)</f>
        <v>41001234</v>
      </c>
      <c r="C1079" s="21" t="str">
        <f>IFERROR(__xludf.DUMMYFUNCTION("""COMPUTED_VALUE"""),"226213425367")</f>
        <v>226213425367</v>
      </c>
      <c r="D1079" s="21" t="str">
        <f>IFERROR(__xludf.DUMMYFUNCTION("""COMPUTED_VALUE"""),"DIGITEC TECNOLOGIA DIGITAL E REPRES")</f>
        <v>DIGITEC TECNOLOGIA DIGITAL E REPRES</v>
      </c>
      <c r="E1079" s="21">
        <f>IFERROR(__xludf.DUMMYFUNCTION("""COMPUTED_VALUE"""),145359.0)</f>
        <v>145359</v>
      </c>
      <c r="F1079" s="21" t="str">
        <f>IFERROR(__xludf.DUMMYFUNCTION("""COMPUTED_VALUE"""),"TRANSITO REVERSA")</f>
        <v>TRANSITO REVERSA</v>
      </c>
      <c r="G1079" s="23">
        <f>IFERROR(__xludf.DUMMYFUNCTION("""COMPUTED_VALUE"""),45617.87137731482)</f>
        <v>45617.87138</v>
      </c>
      <c r="H1079" s="24" t="str">
        <f>IFERROR(VLOOKUP(B1079,material!A:D,3,0),"")</f>
        <v>CARD</v>
      </c>
    </row>
    <row r="1080" ht="11.25" customHeight="1">
      <c r="A1080" s="21" t="str">
        <f>IFERROR(__xludf.DUMMYFUNCTION("""COMPUTED_VALUE"""),"SMART CARD PRETO NAGRA")</f>
        <v>SMART CARD PRETO NAGRA</v>
      </c>
      <c r="B1080" s="22">
        <f>IFERROR(__xludf.DUMMYFUNCTION("""COMPUTED_VALUE"""),4.1001234E7)</f>
        <v>41001234</v>
      </c>
      <c r="C1080" s="21" t="str">
        <f>IFERROR(__xludf.DUMMYFUNCTION("""COMPUTED_VALUE"""),"226203286880")</f>
        <v>226203286880</v>
      </c>
      <c r="D1080" s="21" t="str">
        <f>IFERROR(__xludf.DUMMYFUNCTION("""COMPUTED_VALUE"""),"DIGITEC TECNOLOGIA DIGITAL E REPRES")</f>
        <v>DIGITEC TECNOLOGIA DIGITAL E REPRES</v>
      </c>
      <c r="E1080" s="21">
        <f>IFERROR(__xludf.DUMMYFUNCTION("""COMPUTED_VALUE"""),145359.0)</f>
        <v>145359</v>
      </c>
      <c r="F1080" s="21" t="str">
        <f>IFERROR(__xludf.DUMMYFUNCTION("""COMPUTED_VALUE"""),"TRANSITO REVERSA")</f>
        <v>TRANSITO REVERSA</v>
      </c>
      <c r="G1080" s="23">
        <f>IFERROR(__xludf.DUMMYFUNCTION("""COMPUTED_VALUE"""),45633.003379629634)</f>
        <v>45633.00338</v>
      </c>
      <c r="H1080" s="24" t="str">
        <f>IFERROR(VLOOKUP(B1080,material!A:D,3,0),"")</f>
        <v>CARD</v>
      </c>
    </row>
    <row r="1081" ht="11.25" customHeight="1">
      <c r="A1081" s="21" t="str">
        <f>IFERROR(__xludf.DUMMYFUNCTION("""COMPUTED_VALUE"""),"SMART CARD PRETO NAGRA")</f>
        <v>SMART CARD PRETO NAGRA</v>
      </c>
      <c r="B1081" s="22">
        <f>IFERROR(__xludf.DUMMYFUNCTION("""COMPUTED_VALUE"""),4.1001234E7)</f>
        <v>41001234</v>
      </c>
      <c r="C1081" s="21" t="str">
        <f>IFERROR(__xludf.DUMMYFUNCTION("""COMPUTED_VALUE"""),"226364803957")</f>
        <v>226364803957</v>
      </c>
      <c r="D1081" s="21" t="str">
        <f>IFERROR(__xludf.DUMMYFUNCTION("""COMPUTED_VALUE"""),"DIGITEC TECNOLOGIA DIGITAL E REPRES")</f>
        <v>DIGITEC TECNOLOGIA DIGITAL E REPRES</v>
      </c>
      <c r="E1081" s="21">
        <f>IFERROR(__xludf.DUMMYFUNCTION("""COMPUTED_VALUE"""),145359.0)</f>
        <v>145359</v>
      </c>
      <c r="F1081" s="21" t="str">
        <f>IFERROR(__xludf.DUMMYFUNCTION("""COMPUTED_VALUE"""),"TRANSITO REVERSA")</f>
        <v>TRANSITO REVERSA</v>
      </c>
      <c r="G1081" s="23">
        <f>IFERROR(__xludf.DUMMYFUNCTION("""COMPUTED_VALUE"""),45617.87180555555)</f>
        <v>45617.87181</v>
      </c>
      <c r="H1081" s="24" t="str">
        <f>IFERROR(VLOOKUP(B1081,material!A:D,3,0),"")</f>
        <v>CARD</v>
      </c>
    </row>
    <row r="1082" ht="11.25" customHeight="1">
      <c r="A1082" s="21" t="str">
        <f>IFERROR(__xludf.DUMMYFUNCTION("""COMPUTED_VALUE"""),"SMART CARD PRETO NAGRA")</f>
        <v>SMART CARD PRETO NAGRA</v>
      </c>
      <c r="B1082" s="22">
        <f>IFERROR(__xludf.DUMMYFUNCTION("""COMPUTED_VALUE"""),4.1001234E7)</f>
        <v>41001234</v>
      </c>
      <c r="C1082" s="21" t="str">
        <f>IFERROR(__xludf.DUMMYFUNCTION("""COMPUTED_VALUE"""),"226364804058")</f>
        <v>226364804058</v>
      </c>
      <c r="D1082" s="21" t="str">
        <f>IFERROR(__xludf.DUMMYFUNCTION("""COMPUTED_VALUE"""),"DIGITEC TECNOLOGIA DIGITAL E REPRES")</f>
        <v>DIGITEC TECNOLOGIA DIGITAL E REPRES</v>
      </c>
      <c r="E1082" s="21">
        <f>IFERROR(__xludf.DUMMYFUNCTION("""COMPUTED_VALUE"""),145359.0)</f>
        <v>145359</v>
      </c>
      <c r="F1082" s="21" t="str">
        <f>IFERROR(__xludf.DUMMYFUNCTION("""COMPUTED_VALUE"""),"TRANSITO REVERSA")</f>
        <v>TRANSITO REVERSA</v>
      </c>
      <c r="G1082" s="23">
        <f>IFERROR(__xludf.DUMMYFUNCTION("""COMPUTED_VALUE"""),45617.87140046296)</f>
        <v>45617.8714</v>
      </c>
      <c r="H1082" s="24" t="str">
        <f>IFERROR(VLOOKUP(B1082,material!A:D,3,0),"")</f>
        <v>CARD</v>
      </c>
    </row>
    <row r="1083" ht="11.25" customHeight="1">
      <c r="A1083" s="21" t="str">
        <f>IFERROR(__xludf.DUMMYFUNCTION("""COMPUTED_VALUE"""),"SMART CARD PRETO NAGRA")</f>
        <v>SMART CARD PRETO NAGRA</v>
      </c>
      <c r="B1083" s="22">
        <f>IFERROR(__xludf.DUMMYFUNCTION("""COMPUTED_VALUE"""),4.1001234E7)</f>
        <v>41001234</v>
      </c>
      <c r="C1083" s="21" t="str">
        <f>IFERROR(__xludf.DUMMYFUNCTION("""COMPUTED_VALUE"""),"226038678302")</f>
        <v>226038678302</v>
      </c>
      <c r="D1083" s="21" t="str">
        <f>IFERROR(__xludf.DUMMYFUNCTION("""COMPUTED_VALUE"""),"DIGITEC TECNOLOGIA DIGITAL E REPRES")</f>
        <v>DIGITEC TECNOLOGIA DIGITAL E REPRES</v>
      </c>
      <c r="E1083" s="21">
        <f>IFERROR(__xludf.DUMMYFUNCTION("""COMPUTED_VALUE"""),145359.0)</f>
        <v>145359</v>
      </c>
      <c r="F1083" s="21" t="str">
        <f>IFERROR(__xludf.DUMMYFUNCTION("""COMPUTED_VALUE"""),"TRANSITO REVERSA")</f>
        <v>TRANSITO REVERSA</v>
      </c>
      <c r="G1083" s="23">
        <f>IFERROR(__xludf.DUMMYFUNCTION("""COMPUTED_VALUE"""),45633.00340277777)</f>
        <v>45633.0034</v>
      </c>
      <c r="H1083" s="24" t="str">
        <f>IFERROR(VLOOKUP(B1083,material!A:D,3,0),"")</f>
        <v>CARD</v>
      </c>
    </row>
    <row r="1084" ht="11.25" customHeight="1">
      <c r="A1084" s="21" t="str">
        <f>IFERROR(__xludf.DUMMYFUNCTION("""COMPUTED_VALUE"""),"SMART CARD PRETO NAGRA")</f>
        <v>SMART CARD PRETO NAGRA</v>
      </c>
      <c r="B1084" s="22">
        <f>IFERROR(__xludf.DUMMYFUNCTION("""COMPUTED_VALUE"""),4.1001234E7)</f>
        <v>41001234</v>
      </c>
      <c r="C1084" s="21" t="str">
        <f>IFERROR(__xludf.DUMMYFUNCTION("""COMPUTED_VALUE"""),"226299657991")</f>
        <v>226299657991</v>
      </c>
      <c r="D1084" s="21" t="str">
        <f>IFERROR(__xludf.DUMMYFUNCTION("""COMPUTED_VALUE"""),"DIGITEC TECNOLOGIA DIGITAL E REPRES")</f>
        <v>DIGITEC TECNOLOGIA DIGITAL E REPRES</v>
      </c>
      <c r="E1084" s="21">
        <f>IFERROR(__xludf.DUMMYFUNCTION("""COMPUTED_VALUE"""),145359.0)</f>
        <v>145359</v>
      </c>
      <c r="F1084" s="21" t="str">
        <f>IFERROR(__xludf.DUMMYFUNCTION("""COMPUTED_VALUE"""),"TRANSITO REVERSA")</f>
        <v>TRANSITO REVERSA</v>
      </c>
      <c r="G1084" s="23">
        <f>IFERROR(__xludf.DUMMYFUNCTION("""COMPUTED_VALUE"""),45617.87138888889)</f>
        <v>45617.87139</v>
      </c>
      <c r="H1084" s="24" t="str">
        <f>IFERROR(VLOOKUP(B1084,material!A:D,3,0),"")</f>
        <v>CARD</v>
      </c>
    </row>
    <row r="1085" ht="11.25" customHeight="1">
      <c r="A1085" s="21" t="str">
        <f>IFERROR(__xludf.DUMMYFUNCTION("""COMPUTED_VALUE"""),"EMTA WI-FI 3.0 TG862A ARRIS")</f>
        <v>EMTA WI-FI 3.0 TG862A ARRIS</v>
      </c>
      <c r="B1085" s="22">
        <f>IFERROR(__xludf.DUMMYFUNCTION("""COMPUTED_VALUE"""),4.1001155E7)</f>
        <v>41001155</v>
      </c>
      <c r="C1085" s="21" t="str">
        <f>IFERROR(__xludf.DUMMYFUNCTION("""COMPUTED_VALUE"""),"901ACA87BD02")</f>
        <v>901ACA87BD02</v>
      </c>
      <c r="D1085" s="21" t="str">
        <f>IFERROR(__xludf.DUMMYFUNCTION("""COMPUTED_VALUE"""),"DIGITEC TECNOLOGIA DIGITAL E REPRES")</f>
        <v>DIGITEC TECNOLOGIA DIGITAL E REPRES</v>
      </c>
      <c r="E1085" s="21">
        <f>IFERROR(__xludf.DUMMYFUNCTION("""COMPUTED_VALUE"""),145359.0)</f>
        <v>145359</v>
      </c>
      <c r="F1085" s="21" t="str">
        <f>IFERROR(__xludf.DUMMYFUNCTION("""COMPUTED_VALUE"""),"TRANSITO REVERSA")</f>
        <v>TRANSITO REVERSA</v>
      </c>
      <c r="G1085" s="23">
        <f>IFERROR(__xludf.DUMMYFUNCTION("""COMPUTED_VALUE"""),45638.521099537036)</f>
        <v>45638.5211</v>
      </c>
      <c r="H1085" s="24" t="str">
        <f>IFERROR(VLOOKUP(B1085,material!A:D,3,0),"")</f>
        <v>SINGLE</v>
      </c>
    </row>
    <row r="1086" ht="11.25" customHeight="1">
      <c r="A1086" s="21" t="str">
        <f>IFERROR(__xludf.DUMMYFUNCTION("""COMPUTED_VALUE"""),"PACE - HIGH DEFINITION DCR7411")</f>
        <v>PACE - HIGH DEFINITION DCR7411</v>
      </c>
      <c r="B1086" s="22">
        <f>IFERROR(__xludf.DUMMYFUNCTION("""COMPUTED_VALUE"""),4.1001216E7)</f>
        <v>41001216</v>
      </c>
      <c r="C1086" s="21" t="str">
        <f>IFERROR(__xludf.DUMMYFUNCTION("""COMPUTED_VALUE"""),"184028759898")</f>
        <v>184028759898</v>
      </c>
      <c r="D1086" s="21" t="str">
        <f>IFERROR(__xludf.DUMMYFUNCTION("""COMPUTED_VALUE"""),"DIGITEC TECNOLOGIA DIGITAL E REPRES")</f>
        <v>DIGITEC TECNOLOGIA DIGITAL E REPRES</v>
      </c>
      <c r="E1086" s="21">
        <f>IFERROR(__xludf.DUMMYFUNCTION("""COMPUTED_VALUE"""),145359.0)</f>
        <v>145359</v>
      </c>
      <c r="F1086" s="21" t="str">
        <f>IFERROR(__xludf.DUMMYFUNCTION("""COMPUTED_VALUE"""),"TRANSITO REVERSA")</f>
        <v>TRANSITO REVERSA</v>
      </c>
      <c r="G1086" s="23">
        <f>IFERROR(__xludf.DUMMYFUNCTION("""COMPUTED_VALUE"""),45610.730416666665)</f>
        <v>45610.73042</v>
      </c>
      <c r="H1086" s="24" t="str">
        <f>IFERROR(VLOOKUP(B1086,material!A:D,3,0),"")</f>
        <v>LEGADO</v>
      </c>
    </row>
    <row r="1087" ht="11.25" customHeight="1">
      <c r="A1087" s="21" t="str">
        <f>IFERROR(__xludf.DUMMYFUNCTION("""COMPUTED_VALUE"""),"PACE - HIGH DEFINITION DCR7411")</f>
        <v>PACE - HIGH DEFINITION DCR7411</v>
      </c>
      <c r="B1087" s="22">
        <f>IFERROR(__xludf.DUMMYFUNCTION("""COMPUTED_VALUE"""),4.1001216E7)</f>
        <v>41001216</v>
      </c>
      <c r="C1087" s="21" t="str">
        <f>IFERROR(__xludf.DUMMYFUNCTION("""COMPUTED_VALUE"""),"184030915261")</f>
        <v>184030915261</v>
      </c>
      <c r="D1087" s="21" t="str">
        <f>IFERROR(__xludf.DUMMYFUNCTION("""COMPUTED_VALUE"""),"DIGITEC TECNOLOGIA DIGITAL E REPRES")</f>
        <v>DIGITEC TECNOLOGIA DIGITAL E REPRES</v>
      </c>
      <c r="E1087" s="21">
        <f>IFERROR(__xludf.DUMMYFUNCTION("""COMPUTED_VALUE"""),145359.0)</f>
        <v>145359</v>
      </c>
      <c r="F1087" s="21" t="str">
        <f>IFERROR(__xludf.DUMMYFUNCTION("""COMPUTED_VALUE"""),"TRANSITO REVERSA")</f>
        <v>TRANSITO REVERSA</v>
      </c>
      <c r="G1087" s="23">
        <f>IFERROR(__xludf.DUMMYFUNCTION("""COMPUTED_VALUE"""),45617.87137731482)</f>
        <v>45617.87138</v>
      </c>
      <c r="H1087" s="24" t="str">
        <f>IFERROR(VLOOKUP(B1087,material!A:D,3,0),"")</f>
        <v>LEGADO</v>
      </c>
    </row>
    <row r="1088" ht="11.25" customHeight="1">
      <c r="A1088" s="21" t="str">
        <f>IFERROR(__xludf.DUMMYFUNCTION("""COMPUTED_VALUE"""),"PACE - HIGH DEFINITION DCR7411")</f>
        <v>PACE - HIGH DEFINITION DCR7411</v>
      </c>
      <c r="B1088" s="22">
        <f>IFERROR(__xludf.DUMMYFUNCTION("""COMPUTED_VALUE"""),4.1001216E7)</f>
        <v>41001216</v>
      </c>
      <c r="C1088" s="21" t="str">
        <f>IFERROR(__xludf.DUMMYFUNCTION("""COMPUTED_VALUE"""),"183923151939")</f>
        <v>183923151939</v>
      </c>
      <c r="D1088" s="21" t="str">
        <f>IFERROR(__xludf.DUMMYFUNCTION("""COMPUTED_VALUE"""),"DIGITEC TECNOLOGIA DIGITAL E REPRES")</f>
        <v>DIGITEC TECNOLOGIA DIGITAL E REPRES</v>
      </c>
      <c r="E1088" s="21">
        <f>IFERROR(__xludf.DUMMYFUNCTION("""COMPUTED_VALUE"""),145359.0)</f>
        <v>145359</v>
      </c>
      <c r="F1088" s="21" t="str">
        <f>IFERROR(__xludf.DUMMYFUNCTION("""COMPUTED_VALUE"""),"TRANSITO REVERSA")</f>
        <v>TRANSITO REVERSA</v>
      </c>
      <c r="G1088" s="23">
        <f>IFERROR(__xludf.DUMMYFUNCTION("""COMPUTED_VALUE"""),45610.730416666665)</f>
        <v>45610.73042</v>
      </c>
      <c r="H1088" s="24" t="str">
        <f>IFERROR(VLOOKUP(B1088,material!A:D,3,0),"")</f>
        <v>LEGADO</v>
      </c>
    </row>
    <row r="1089" ht="11.25" customHeight="1">
      <c r="A1089" s="21" t="str">
        <f>IFERROR(__xludf.DUMMYFUNCTION("""COMPUTED_VALUE"""),"PACE - HIGH DEFINITION DCR7411")</f>
        <v>PACE - HIGH DEFINITION DCR7411</v>
      </c>
      <c r="B1089" s="22">
        <f>IFERROR(__xludf.DUMMYFUNCTION("""COMPUTED_VALUE"""),4.1001216E7)</f>
        <v>41001216</v>
      </c>
      <c r="C1089" s="21" t="str">
        <f>IFERROR(__xludf.DUMMYFUNCTION("""COMPUTED_VALUE"""),"181310395455")</f>
        <v>181310395455</v>
      </c>
      <c r="D1089" s="21" t="str">
        <f>IFERROR(__xludf.DUMMYFUNCTION("""COMPUTED_VALUE"""),"DIGITEC TECNOLOGIA DIGITAL E REPRES")</f>
        <v>DIGITEC TECNOLOGIA DIGITAL E REPRES</v>
      </c>
      <c r="E1089" s="21">
        <f>IFERROR(__xludf.DUMMYFUNCTION("""COMPUTED_VALUE"""),145359.0)</f>
        <v>145359</v>
      </c>
      <c r="F1089" s="21" t="str">
        <f>IFERROR(__xludf.DUMMYFUNCTION("""COMPUTED_VALUE"""),"TRANSITO REVERSA")</f>
        <v>TRANSITO REVERSA</v>
      </c>
      <c r="G1089" s="23">
        <f>IFERROR(__xludf.DUMMYFUNCTION("""COMPUTED_VALUE"""),45638.52111111111)</f>
        <v>45638.52111</v>
      </c>
      <c r="H1089" s="24" t="str">
        <f>IFERROR(VLOOKUP(B1089,material!A:D,3,0),"")</f>
        <v>LEGADO</v>
      </c>
    </row>
    <row r="1090" ht="11.25" customHeight="1">
      <c r="A1090" s="21" t="str">
        <f>IFERROR(__xludf.DUMMYFUNCTION("""COMPUTED_VALUE"""),"PACE - HIGH DEFINITION DCR7411")</f>
        <v>PACE - HIGH DEFINITION DCR7411</v>
      </c>
      <c r="B1090" s="22">
        <f>IFERROR(__xludf.DUMMYFUNCTION("""COMPUTED_VALUE"""),4.1001216E7)</f>
        <v>41001216</v>
      </c>
      <c r="C1090" s="21" t="str">
        <f>IFERROR(__xludf.DUMMYFUNCTION("""COMPUTED_VALUE"""),"181248538688")</f>
        <v>181248538688</v>
      </c>
      <c r="D1090" s="21" t="str">
        <f>IFERROR(__xludf.DUMMYFUNCTION("""COMPUTED_VALUE"""),"DIGITEC TECNOLOGIA DIGITAL E REPRES")</f>
        <v>DIGITEC TECNOLOGIA DIGITAL E REPRES</v>
      </c>
      <c r="E1090" s="21">
        <f>IFERROR(__xludf.DUMMYFUNCTION("""COMPUTED_VALUE"""),145359.0)</f>
        <v>145359</v>
      </c>
      <c r="F1090" s="21" t="str">
        <f>IFERROR(__xludf.DUMMYFUNCTION("""COMPUTED_VALUE"""),"TRANSITO REVERSA")</f>
        <v>TRANSITO REVERSA</v>
      </c>
      <c r="G1090" s="23">
        <f>IFERROR(__xludf.DUMMYFUNCTION("""COMPUTED_VALUE"""),45638.52111111111)</f>
        <v>45638.52111</v>
      </c>
      <c r="H1090" s="24" t="str">
        <f>IFERROR(VLOOKUP(B1090,material!A:D,3,0),"")</f>
        <v>LEGADO</v>
      </c>
    </row>
    <row r="1091" ht="11.25" customHeight="1">
      <c r="A1091" s="21" t="str">
        <f>IFERROR(__xludf.DUMMYFUNCTION("""COMPUTED_VALUE"""),"PACE - HIGH DEFINITION DCR7411")</f>
        <v>PACE - HIGH DEFINITION DCR7411</v>
      </c>
      <c r="B1091" s="22">
        <f>IFERROR(__xludf.DUMMYFUNCTION("""COMPUTED_VALUE"""),4.1001216E7)</f>
        <v>41001216</v>
      </c>
      <c r="C1091" s="21" t="str">
        <f>IFERROR(__xludf.DUMMYFUNCTION("""COMPUTED_VALUE"""),"176610421726")</f>
        <v>176610421726</v>
      </c>
      <c r="D1091" s="21" t="str">
        <f>IFERROR(__xludf.DUMMYFUNCTION("""COMPUTED_VALUE"""),"DIGITEC TECNOLOGIA DIGITAL E REPRES")</f>
        <v>DIGITEC TECNOLOGIA DIGITAL E REPRES</v>
      </c>
      <c r="E1091" s="21">
        <f>IFERROR(__xludf.DUMMYFUNCTION("""COMPUTED_VALUE"""),145359.0)</f>
        <v>145359</v>
      </c>
      <c r="F1091" s="21" t="str">
        <f>IFERROR(__xludf.DUMMYFUNCTION("""COMPUTED_VALUE"""),"TRANSITO REVERSA")</f>
        <v>TRANSITO REVERSA</v>
      </c>
      <c r="G1091" s="23">
        <f>IFERROR(__xludf.DUMMYFUNCTION("""COMPUTED_VALUE"""),45617.87143518518)</f>
        <v>45617.87144</v>
      </c>
      <c r="H1091" s="24" t="str">
        <f>IFERROR(VLOOKUP(B1091,material!A:D,3,0),"")</f>
        <v>LEGADO</v>
      </c>
    </row>
    <row r="1092" ht="11.25" customHeight="1">
      <c r="A1092" s="21" t="str">
        <f>IFERROR(__xludf.DUMMYFUNCTION("""COMPUTED_VALUE"""),"PACE - HIGH DEFINITION DCR7411")</f>
        <v>PACE - HIGH DEFINITION DCR7411</v>
      </c>
      <c r="B1092" s="22">
        <f>IFERROR(__xludf.DUMMYFUNCTION("""COMPUTED_VALUE"""),4.1001216E7)</f>
        <v>41001216</v>
      </c>
      <c r="C1092" s="21" t="str">
        <f>IFERROR(__xludf.DUMMYFUNCTION("""COMPUTED_VALUE"""),"184089479898")</f>
        <v>184089479898</v>
      </c>
      <c r="D1092" s="21" t="str">
        <f>IFERROR(__xludf.DUMMYFUNCTION("""COMPUTED_VALUE"""),"DIGITEC TECNOLOGIA DIGITAL E REPRES")</f>
        <v>DIGITEC TECNOLOGIA DIGITAL E REPRES</v>
      </c>
      <c r="E1092" s="21">
        <f>IFERROR(__xludf.DUMMYFUNCTION("""COMPUTED_VALUE"""),145359.0)</f>
        <v>145359</v>
      </c>
      <c r="F1092" s="21" t="str">
        <f>IFERROR(__xludf.DUMMYFUNCTION("""COMPUTED_VALUE"""),"TRANSITO REVERSA")</f>
        <v>TRANSITO REVERSA</v>
      </c>
      <c r="G1092" s="23">
        <f>IFERROR(__xludf.DUMMYFUNCTION("""COMPUTED_VALUE"""),45638.521099537036)</f>
        <v>45638.5211</v>
      </c>
      <c r="H1092" s="24" t="str">
        <f>IFERROR(VLOOKUP(B1092,material!A:D,3,0),"")</f>
        <v>LEGADO</v>
      </c>
    </row>
    <row r="1093" ht="11.25" customHeight="1">
      <c r="A1093" s="21" t="str">
        <f>IFERROR(__xludf.DUMMYFUNCTION("""COMPUTED_VALUE"""),"PACE - HIGH DEFINITION DCR7411")</f>
        <v>PACE - HIGH DEFINITION DCR7411</v>
      </c>
      <c r="B1093" s="22">
        <f>IFERROR(__xludf.DUMMYFUNCTION("""COMPUTED_VALUE"""),4.1001216E7)</f>
        <v>41001216</v>
      </c>
      <c r="C1093" s="21" t="str">
        <f>IFERROR(__xludf.DUMMYFUNCTION("""COMPUTED_VALUE"""),"175185615366")</f>
        <v>175185615366</v>
      </c>
      <c r="D1093" s="21" t="str">
        <f>IFERROR(__xludf.DUMMYFUNCTION("""COMPUTED_VALUE"""),"DIGITEC TECNOLOGIA DIGITAL E REPRES")</f>
        <v>DIGITEC TECNOLOGIA DIGITAL E REPRES</v>
      </c>
      <c r="E1093" s="21">
        <f>IFERROR(__xludf.DUMMYFUNCTION("""COMPUTED_VALUE"""),145359.0)</f>
        <v>145359</v>
      </c>
      <c r="F1093" s="21" t="str">
        <f>IFERROR(__xludf.DUMMYFUNCTION("""COMPUTED_VALUE"""),"TRANSITO REVERSA")</f>
        <v>TRANSITO REVERSA</v>
      </c>
      <c r="G1093" s="23">
        <f>IFERROR(__xludf.DUMMYFUNCTION("""COMPUTED_VALUE"""),45633.003958333335)</f>
        <v>45633.00396</v>
      </c>
      <c r="H1093" s="24" t="str">
        <f>IFERROR(VLOOKUP(B1093,material!A:D,3,0),"")</f>
        <v>LEGADO</v>
      </c>
    </row>
    <row r="1094" ht="11.25" customHeight="1">
      <c r="A1094" s="21" t="str">
        <f>IFERROR(__xludf.DUMMYFUNCTION("""COMPUTED_VALUE"""),"DCI106")</f>
        <v>DCI106</v>
      </c>
      <c r="B1094" s="22">
        <f>IFERROR(__xludf.DUMMYFUNCTION("""COMPUTED_VALUE"""),4.1001263E7)</f>
        <v>41001263</v>
      </c>
      <c r="C1094" s="21" t="str">
        <f>IFERROR(__xludf.DUMMYFUNCTION("""COMPUTED_VALUE"""),"175201931325")</f>
        <v>175201931325</v>
      </c>
      <c r="D1094" s="21" t="str">
        <f>IFERROR(__xludf.DUMMYFUNCTION("""COMPUTED_VALUE"""),"DIGITEC TECNOLOGIA DIGITAL E REPRES")</f>
        <v>DIGITEC TECNOLOGIA DIGITAL E REPRES</v>
      </c>
      <c r="E1094" s="21">
        <f>IFERROR(__xludf.DUMMYFUNCTION("""COMPUTED_VALUE"""),145359.0)</f>
        <v>145359</v>
      </c>
      <c r="F1094" s="21" t="str">
        <f>IFERROR(__xludf.DUMMYFUNCTION("""COMPUTED_VALUE"""),"TRANSITO REVERSA")</f>
        <v>TRANSITO REVERSA</v>
      </c>
      <c r="G1094" s="23">
        <f>IFERROR(__xludf.DUMMYFUNCTION("""COMPUTED_VALUE"""),45638.52186342592)</f>
        <v>45638.52186</v>
      </c>
      <c r="H1094" s="24" t="str">
        <f>IFERROR(VLOOKUP(B1094,material!A:D,3,0),"")</f>
        <v>DIGITAL</v>
      </c>
    </row>
    <row r="1095" ht="11.25" customHeight="1">
      <c r="A1095" s="21" t="str">
        <f>IFERROR(__xludf.DUMMYFUNCTION("""COMPUTED_VALUE"""),"SMART CARD LARANJA")</f>
        <v>SMART CARD LARANJA</v>
      </c>
      <c r="B1095" s="22">
        <f>IFERROR(__xludf.DUMMYFUNCTION("""COMPUTED_VALUE"""),4.1001186E7)</f>
        <v>41001186</v>
      </c>
      <c r="C1095" s="21" t="str">
        <f>IFERROR(__xludf.DUMMYFUNCTION("""COMPUTED_VALUE"""),"226514227686")</f>
        <v>226514227686</v>
      </c>
      <c r="D1095" s="21" t="str">
        <f>IFERROR(__xludf.DUMMYFUNCTION("""COMPUTED_VALUE"""),"DIGITEC TECNOLOGIA DIGITAL E REPRES")</f>
        <v>DIGITEC TECNOLOGIA DIGITAL E REPRES</v>
      </c>
      <c r="E1095" s="21">
        <f>IFERROR(__xludf.DUMMYFUNCTION("""COMPUTED_VALUE"""),145359.0)</f>
        <v>145359</v>
      </c>
      <c r="F1095" s="21" t="str">
        <f>IFERROR(__xludf.DUMMYFUNCTION("""COMPUTED_VALUE"""),"TRANSITO REVERSA")</f>
        <v>TRANSITO REVERSA</v>
      </c>
      <c r="G1095" s="23">
        <f>IFERROR(__xludf.DUMMYFUNCTION("""COMPUTED_VALUE"""),45617.87142361111)</f>
        <v>45617.87142</v>
      </c>
      <c r="H1095" s="24" t="str">
        <f>IFERROR(VLOOKUP(B1095,material!A:D,3,0),"")</f>
        <v>CARD</v>
      </c>
    </row>
    <row r="1096" ht="11.25" customHeight="1">
      <c r="A1096" s="21" t="str">
        <f>IFERROR(__xludf.DUMMYFUNCTION("""COMPUTED_VALUE"""),"SMART CARD LARANJA NAGRA")</f>
        <v>SMART CARD LARANJA NAGRA</v>
      </c>
      <c r="B1096" s="22">
        <f>IFERROR(__xludf.DUMMYFUNCTION("""COMPUTED_VALUE"""),4.1001186E7)</f>
        <v>41001186</v>
      </c>
      <c r="C1096" s="21" t="str">
        <f>IFERROR(__xludf.DUMMYFUNCTION("""COMPUTED_VALUE"""),"226651010307")</f>
        <v>226651010307</v>
      </c>
      <c r="D1096" s="21" t="str">
        <f>IFERROR(__xludf.DUMMYFUNCTION("""COMPUTED_VALUE"""),"DIGITEC TECNOLOGIA DIGITAL E REPRES")</f>
        <v>DIGITEC TECNOLOGIA DIGITAL E REPRES</v>
      </c>
      <c r="E1096" s="21">
        <f>IFERROR(__xludf.DUMMYFUNCTION("""COMPUTED_VALUE"""),145359.0)</f>
        <v>145359</v>
      </c>
      <c r="F1096" s="21" t="str">
        <f>IFERROR(__xludf.DUMMYFUNCTION("""COMPUTED_VALUE"""),"TRANSITO REVERSA")</f>
        <v>TRANSITO REVERSA</v>
      </c>
      <c r="G1096" s="23">
        <f>IFERROR(__xludf.DUMMYFUNCTION("""COMPUTED_VALUE"""),45617.87142361111)</f>
        <v>45617.87142</v>
      </c>
      <c r="H1096" s="24" t="str">
        <f>IFERROR(VLOOKUP(B1096,material!A:D,3,0),"")</f>
        <v>CARD</v>
      </c>
    </row>
    <row r="1097" ht="11.25" customHeight="1">
      <c r="A1097" s="21" t="str">
        <f>IFERROR(__xludf.DUMMYFUNCTION("""COMPUTED_VALUE"""),"SMART CARD LARANJA NAGRA")</f>
        <v>SMART CARD LARANJA NAGRA</v>
      </c>
      <c r="B1097" s="22">
        <f>IFERROR(__xludf.DUMMYFUNCTION("""COMPUTED_VALUE"""),4.1001186E7)</f>
        <v>41001186</v>
      </c>
      <c r="C1097" s="21" t="str">
        <f>IFERROR(__xludf.DUMMYFUNCTION("""COMPUTED_VALUE"""),"225945263753")</f>
        <v>225945263753</v>
      </c>
      <c r="D1097" s="21" t="str">
        <f>IFERROR(__xludf.DUMMYFUNCTION("""COMPUTED_VALUE"""),"DIGITEC TECNOLOGIA DIGITAL E REPRES")</f>
        <v>DIGITEC TECNOLOGIA DIGITAL E REPRES</v>
      </c>
      <c r="E1097" s="21">
        <f>IFERROR(__xludf.DUMMYFUNCTION("""COMPUTED_VALUE"""),145359.0)</f>
        <v>145359</v>
      </c>
      <c r="F1097" s="21" t="str">
        <f>IFERROR(__xludf.DUMMYFUNCTION("""COMPUTED_VALUE"""),"TRANSITO REVERSA")</f>
        <v>TRANSITO REVERSA</v>
      </c>
      <c r="G1097" s="23">
        <f>IFERROR(__xludf.DUMMYFUNCTION("""COMPUTED_VALUE"""),45633.00396990741)</f>
        <v>45633.00397</v>
      </c>
      <c r="H1097" s="24" t="str">
        <f>IFERROR(VLOOKUP(B1097,material!A:D,3,0),"")</f>
        <v>CARD</v>
      </c>
    </row>
    <row r="1098" ht="11.25" customHeight="1">
      <c r="A1098" s="21" t="str">
        <f>IFERROR(__xludf.DUMMYFUNCTION("""COMPUTED_VALUE"""),"SMART CARD LARANJA NAGRA")</f>
        <v>SMART CARD LARANJA NAGRA</v>
      </c>
      <c r="B1098" s="22">
        <f>IFERROR(__xludf.DUMMYFUNCTION("""COMPUTED_VALUE"""),4.1001186E7)</f>
        <v>41001186</v>
      </c>
      <c r="C1098" s="21" t="str">
        <f>IFERROR(__xludf.DUMMYFUNCTION("""COMPUTED_VALUE"""),"226695536380")</f>
        <v>226695536380</v>
      </c>
      <c r="D1098" s="21" t="str">
        <f>IFERROR(__xludf.DUMMYFUNCTION("""COMPUTED_VALUE"""),"DIGITEC TECNOLOGIA DIGITAL E REPRES")</f>
        <v>DIGITEC TECNOLOGIA DIGITAL E REPRES</v>
      </c>
      <c r="E1098" s="21">
        <f>IFERROR(__xludf.DUMMYFUNCTION("""COMPUTED_VALUE"""),145359.0)</f>
        <v>145359</v>
      </c>
      <c r="F1098" s="21" t="str">
        <f>IFERROR(__xludf.DUMMYFUNCTION("""COMPUTED_VALUE"""),"TRANSITO REVERSA")</f>
        <v>TRANSITO REVERSA</v>
      </c>
      <c r="G1098" s="23">
        <f>IFERROR(__xludf.DUMMYFUNCTION("""COMPUTED_VALUE"""),45638.52061342592)</f>
        <v>45638.52061</v>
      </c>
      <c r="H1098" s="24" t="str">
        <f>IFERROR(VLOOKUP(B1098,material!A:D,3,0),"")</f>
        <v>CARD</v>
      </c>
    </row>
    <row r="1099" ht="11.25" customHeight="1">
      <c r="A1099" s="21" t="str">
        <f>IFERROR(__xludf.DUMMYFUNCTION("""COMPUTED_VALUE"""),"SMART CARD LARANJA NAGRA")</f>
        <v>SMART CARD LARANJA NAGRA</v>
      </c>
      <c r="B1099" s="22">
        <f>IFERROR(__xludf.DUMMYFUNCTION("""COMPUTED_VALUE"""),4.1001186E7)</f>
        <v>41001186</v>
      </c>
      <c r="C1099" s="21" t="str">
        <f>IFERROR(__xludf.DUMMYFUNCTION("""COMPUTED_VALUE"""),"225875675356")</f>
        <v>225875675356</v>
      </c>
      <c r="D1099" s="21" t="str">
        <f>IFERROR(__xludf.DUMMYFUNCTION("""COMPUTED_VALUE"""),"DIGITEC TECNOLOGIA DIGITAL E REPRES")</f>
        <v>DIGITEC TECNOLOGIA DIGITAL E REPRES</v>
      </c>
      <c r="E1099" s="21">
        <f>IFERROR(__xludf.DUMMYFUNCTION("""COMPUTED_VALUE"""),145359.0)</f>
        <v>145359</v>
      </c>
      <c r="F1099" s="21" t="str">
        <f>IFERROR(__xludf.DUMMYFUNCTION("""COMPUTED_VALUE"""),"TRANSITO REVERSA")</f>
        <v>TRANSITO REVERSA</v>
      </c>
      <c r="G1099" s="23">
        <f>IFERROR(__xludf.DUMMYFUNCTION("""COMPUTED_VALUE"""),45617.87142361111)</f>
        <v>45617.87142</v>
      </c>
      <c r="H1099" s="24" t="str">
        <f>IFERROR(VLOOKUP(B1099,material!A:D,3,0),"")</f>
        <v>CARD</v>
      </c>
    </row>
    <row r="1100" ht="11.25" customHeight="1">
      <c r="A1100" s="21" t="str">
        <f>IFERROR(__xludf.DUMMYFUNCTION("""COMPUTED_VALUE"""),"SMART CARD LARANJA NAGRA")</f>
        <v>SMART CARD LARANJA NAGRA</v>
      </c>
      <c r="B1100" s="22">
        <f>IFERROR(__xludf.DUMMYFUNCTION("""COMPUTED_VALUE"""),4.1001186E7)</f>
        <v>41001186</v>
      </c>
      <c r="C1100" s="21" t="str">
        <f>IFERROR(__xludf.DUMMYFUNCTION("""COMPUTED_VALUE"""),"225872395373")</f>
        <v>225872395373</v>
      </c>
      <c r="D1100" s="21" t="str">
        <f>IFERROR(__xludf.DUMMYFUNCTION("""COMPUTED_VALUE"""),"DIGITEC TECNOLOGIA DIGITAL E REPRES")</f>
        <v>DIGITEC TECNOLOGIA DIGITAL E REPRES</v>
      </c>
      <c r="E1100" s="21">
        <f>IFERROR(__xludf.DUMMYFUNCTION("""COMPUTED_VALUE"""),145359.0)</f>
        <v>145359</v>
      </c>
      <c r="F1100" s="21" t="str">
        <f>IFERROR(__xludf.DUMMYFUNCTION("""COMPUTED_VALUE"""),"TRANSITO REVERSA")</f>
        <v>TRANSITO REVERSA</v>
      </c>
      <c r="G1100" s="23">
        <f>IFERROR(__xludf.DUMMYFUNCTION("""COMPUTED_VALUE"""),45617.87142361111)</f>
        <v>45617.87142</v>
      </c>
      <c r="H1100" s="24" t="str">
        <f>IFERROR(VLOOKUP(B1100,material!A:D,3,0),"")</f>
        <v>CARD</v>
      </c>
    </row>
    <row r="1101" ht="11.25" customHeight="1">
      <c r="A1101" s="21" t="str">
        <f>IFERROR(__xludf.DUMMYFUNCTION("""COMPUTED_VALUE"""),"SMART CARD LARANJA NAGRA")</f>
        <v>SMART CARD LARANJA NAGRA</v>
      </c>
      <c r="B1101" s="22">
        <f>IFERROR(__xludf.DUMMYFUNCTION("""COMPUTED_VALUE"""),4.1001186E7)</f>
        <v>41001186</v>
      </c>
      <c r="C1101" s="21" t="str">
        <f>IFERROR(__xludf.DUMMYFUNCTION("""COMPUTED_VALUE"""),"226571825575")</f>
        <v>226571825575</v>
      </c>
      <c r="D1101" s="21" t="str">
        <f>IFERROR(__xludf.DUMMYFUNCTION("""COMPUTED_VALUE"""),"DIGITEC TECNOLOGIA DIGITAL E REPRES")</f>
        <v>DIGITEC TECNOLOGIA DIGITAL E REPRES</v>
      </c>
      <c r="E1101" s="21">
        <f>IFERROR(__xludf.DUMMYFUNCTION("""COMPUTED_VALUE"""),145359.0)</f>
        <v>145359</v>
      </c>
      <c r="F1101" s="21" t="str">
        <f>IFERROR(__xludf.DUMMYFUNCTION("""COMPUTED_VALUE"""),"TRANSITO REVERSA")</f>
        <v>TRANSITO REVERSA</v>
      </c>
      <c r="G1101" s="23">
        <f>IFERROR(__xludf.DUMMYFUNCTION("""COMPUTED_VALUE"""),45617.87180555555)</f>
        <v>45617.87181</v>
      </c>
      <c r="H1101" s="24" t="str">
        <f>IFERROR(VLOOKUP(B1101,material!A:D,3,0),"")</f>
        <v>CARD</v>
      </c>
    </row>
    <row r="1102" ht="11.25" customHeight="1">
      <c r="A1102" s="21" t="str">
        <f>IFERROR(__xludf.DUMMYFUNCTION("""COMPUTED_VALUE"""),"SMART CARD LARANJA NAGRA")</f>
        <v>SMART CARD LARANJA NAGRA</v>
      </c>
      <c r="B1102" s="22">
        <f>IFERROR(__xludf.DUMMYFUNCTION("""COMPUTED_VALUE"""),4.1001186E7)</f>
        <v>41001186</v>
      </c>
      <c r="C1102" s="21" t="str">
        <f>IFERROR(__xludf.DUMMYFUNCTION("""COMPUTED_VALUE"""),"225856505977")</f>
        <v>225856505977</v>
      </c>
      <c r="D1102" s="21" t="str">
        <f>IFERROR(__xludf.DUMMYFUNCTION("""COMPUTED_VALUE"""),"DIGITEC TECNOLOGIA DIGITAL E REPRES")</f>
        <v>DIGITEC TECNOLOGIA DIGITAL E REPRES</v>
      </c>
      <c r="E1102" s="21">
        <f>IFERROR(__xludf.DUMMYFUNCTION("""COMPUTED_VALUE"""),145359.0)</f>
        <v>145359</v>
      </c>
      <c r="F1102" s="21" t="str">
        <f>IFERROR(__xludf.DUMMYFUNCTION("""COMPUTED_VALUE"""),"TRANSITO REVERSA")</f>
        <v>TRANSITO REVERSA</v>
      </c>
      <c r="G1102" s="23">
        <f>IFERROR(__xludf.DUMMYFUNCTION("""COMPUTED_VALUE"""),45617.87143518518)</f>
        <v>45617.87144</v>
      </c>
      <c r="H1102" s="24" t="str">
        <f>IFERROR(VLOOKUP(B1102,material!A:D,3,0),"")</f>
        <v>CARD</v>
      </c>
    </row>
    <row r="1103" ht="11.25" customHeight="1">
      <c r="A1103" s="21" t="str">
        <f>IFERROR(__xludf.DUMMYFUNCTION("""COMPUTED_VALUE"""),"SMART CARD LARANJA NAGRA")</f>
        <v>SMART CARD LARANJA NAGRA</v>
      </c>
      <c r="B1103" s="22">
        <f>IFERROR(__xludf.DUMMYFUNCTION("""COMPUTED_VALUE"""),4.1001186E7)</f>
        <v>41001186</v>
      </c>
      <c r="C1103" s="21" t="str">
        <f>IFERROR(__xludf.DUMMYFUNCTION("""COMPUTED_VALUE"""),"225955762230")</f>
        <v>225955762230</v>
      </c>
      <c r="D1103" s="21" t="str">
        <f>IFERROR(__xludf.DUMMYFUNCTION("""COMPUTED_VALUE"""),"DIGITEC TECNOLOGIA DIGITAL E REPRES")</f>
        <v>DIGITEC TECNOLOGIA DIGITAL E REPRES</v>
      </c>
      <c r="E1103" s="21">
        <f>IFERROR(__xludf.DUMMYFUNCTION("""COMPUTED_VALUE"""),145359.0)</f>
        <v>145359</v>
      </c>
      <c r="F1103" s="21" t="str">
        <f>IFERROR(__xludf.DUMMYFUNCTION("""COMPUTED_VALUE"""),"TRANSITO REVERSA")</f>
        <v>TRANSITO REVERSA</v>
      </c>
      <c r="G1103" s="23">
        <f>IFERROR(__xludf.DUMMYFUNCTION("""COMPUTED_VALUE"""),45617.87138888889)</f>
        <v>45617.87139</v>
      </c>
      <c r="H1103" s="24" t="str">
        <f>IFERROR(VLOOKUP(B1103,material!A:D,3,0),"")</f>
        <v>CARD</v>
      </c>
    </row>
    <row r="1104" ht="11.25" customHeight="1">
      <c r="A1104" s="21" t="str">
        <f>IFERROR(__xludf.DUMMYFUNCTION("""COMPUTED_VALUE"""),"SMART CARD LARANJA NAGRA")</f>
        <v>SMART CARD LARANJA NAGRA</v>
      </c>
      <c r="B1104" s="22">
        <f>IFERROR(__xludf.DUMMYFUNCTION("""COMPUTED_VALUE"""),4.1001186E7)</f>
        <v>41001186</v>
      </c>
      <c r="C1104" s="21" t="str">
        <f>IFERROR(__xludf.DUMMYFUNCTION("""COMPUTED_VALUE"""),"225940318791")</f>
        <v>225940318791</v>
      </c>
      <c r="D1104" s="21" t="str">
        <f>IFERROR(__xludf.DUMMYFUNCTION("""COMPUTED_VALUE"""),"DIGITEC TECNOLOGIA DIGITAL E REPRES")</f>
        <v>DIGITEC TECNOLOGIA DIGITAL E REPRES</v>
      </c>
      <c r="E1104" s="21">
        <f>IFERROR(__xludf.DUMMYFUNCTION("""COMPUTED_VALUE"""),145359.0)</f>
        <v>145359</v>
      </c>
      <c r="F1104" s="21" t="str">
        <f>IFERROR(__xludf.DUMMYFUNCTION("""COMPUTED_VALUE"""),"TRANSITO REVERSA")</f>
        <v>TRANSITO REVERSA</v>
      </c>
      <c r="G1104" s="23">
        <f>IFERROR(__xludf.DUMMYFUNCTION("""COMPUTED_VALUE"""),45633.00398148148)</f>
        <v>45633.00398</v>
      </c>
      <c r="H1104" s="24" t="str">
        <f>IFERROR(VLOOKUP(B1104,material!A:D,3,0),"")</f>
        <v>CARD</v>
      </c>
    </row>
    <row r="1105" ht="11.25" customHeight="1">
      <c r="A1105" s="21" t="str">
        <f>IFERROR(__xludf.DUMMYFUNCTION("""COMPUTED_VALUE"""),"SMART CARD LARANJA NAGRA")</f>
        <v>SMART CARD LARANJA NAGRA</v>
      </c>
      <c r="B1105" s="22">
        <f>IFERROR(__xludf.DUMMYFUNCTION("""COMPUTED_VALUE"""),4.1001186E7)</f>
        <v>41001186</v>
      </c>
      <c r="C1105" s="21" t="str">
        <f>IFERROR(__xludf.DUMMYFUNCTION("""COMPUTED_VALUE"""),"226885521735")</f>
        <v>226885521735</v>
      </c>
      <c r="D1105" s="21" t="str">
        <f>IFERROR(__xludf.DUMMYFUNCTION("""COMPUTED_VALUE"""),"DIGITEC TECNOLOGIA DIGITAL E REPRES")</f>
        <v>DIGITEC TECNOLOGIA DIGITAL E REPRES</v>
      </c>
      <c r="E1105" s="21">
        <f>IFERROR(__xludf.DUMMYFUNCTION("""COMPUTED_VALUE"""),145359.0)</f>
        <v>145359</v>
      </c>
      <c r="F1105" s="21" t="str">
        <f>IFERROR(__xludf.DUMMYFUNCTION("""COMPUTED_VALUE"""),"TRANSITO REVERSA")</f>
        <v>TRANSITO REVERSA</v>
      </c>
      <c r="G1105" s="23">
        <f>IFERROR(__xludf.DUMMYFUNCTION("""COMPUTED_VALUE"""),45617.87142361111)</f>
        <v>45617.87142</v>
      </c>
      <c r="H1105" s="24" t="str">
        <f>IFERROR(VLOOKUP(B1105,material!A:D,3,0),"")</f>
        <v>CARD</v>
      </c>
    </row>
    <row r="1106" ht="11.25" customHeight="1">
      <c r="A1106" s="21" t="str">
        <f>IFERROR(__xludf.DUMMYFUNCTION("""COMPUTED_VALUE"""),"SMART CARD LARANJA NAGRA")</f>
        <v>SMART CARD LARANJA NAGRA</v>
      </c>
      <c r="B1106" s="22">
        <f>IFERROR(__xludf.DUMMYFUNCTION("""COMPUTED_VALUE"""),4.1001186E7)</f>
        <v>41001186</v>
      </c>
      <c r="C1106" s="21" t="str">
        <f>IFERROR(__xludf.DUMMYFUNCTION("""COMPUTED_VALUE"""),"215744415963")</f>
        <v>215744415963</v>
      </c>
      <c r="D1106" s="21" t="str">
        <f>IFERROR(__xludf.DUMMYFUNCTION("""COMPUTED_VALUE"""),"DIGITEC TECNOLOGIA DIGITAL E REPRES")</f>
        <v>DIGITEC TECNOLOGIA DIGITAL E REPRES</v>
      </c>
      <c r="E1106" s="21">
        <f>IFERROR(__xludf.DUMMYFUNCTION("""COMPUTED_VALUE"""),145359.0)</f>
        <v>145359</v>
      </c>
      <c r="F1106" s="21" t="str">
        <f>IFERROR(__xludf.DUMMYFUNCTION("""COMPUTED_VALUE"""),"TRANSITO REVERSA")</f>
        <v>TRANSITO REVERSA</v>
      </c>
      <c r="G1106" s="23">
        <f>IFERROR(__xludf.DUMMYFUNCTION("""COMPUTED_VALUE"""),45638.520636574074)</f>
        <v>45638.52064</v>
      </c>
      <c r="H1106" s="24" t="str">
        <f>IFERROR(VLOOKUP(B1106,material!A:D,3,0),"")</f>
        <v>CARD</v>
      </c>
    </row>
    <row r="1107" ht="11.25" customHeight="1">
      <c r="A1107" s="21" t="str">
        <f>IFERROR(__xludf.DUMMYFUNCTION("""COMPUTED_VALUE"""),"SMART CARD LARANJA NAGRA")</f>
        <v>SMART CARD LARANJA NAGRA</v>
      </c>
      <c r="B1107" s="22">
        <f>IFERROR(__xludf.DUMMYFUNCTION("""COMPUTED_VALUE"""),4.1001186E7)</f>
        <v>41001186</v>
      </c>
      <c r="C1107" s="21" t="str">
        <f>IFERROR(__xludf.DUMMYFUNCTION("""COMPUTED_VALUE"""),"215743268589")</f>
        <v>215743268589</v>
      </c>
      <c r="D1107" s="21" t="str">
        <f>IFERROR(__xludf.DUMMYFUNCTION("""COMPUTED_VALUE"""),"DIGITEC TECNOLOGIA DIGITAL E REPRES")</f>
        <v>DIGITEC TECNOLOGIA DIGITAL E REPRES</v>
      </c>
      <c r="E1107" s="21">
        <f>IFERROR(__xludf.DUMMYFUNCTION("""COMPUTED_VALUE"""),145359.0)</f>
        <v>145359</v>
      </c>
      <c r="F1107" s="21" t="str">
        <f>IFERROR(__xludf.DUMMYFUNCTION("""COMPUTED_VALUE"""),"TRANSITO REVERSA")</f>
        <v>TRANSITO REVERSA</v>
      </c>
      <c r="G1107" s="23">
        <f>IFERROR(__xludf.DUMMYFUNCTION("""COMPUTED_VALUE"""),45373.628483796296)</f>
        <v>45373.62848</v>
      </c>
      <c r="H1107" s="24" t="str">
        <f>IFERROR(VLOOKUP(B1107,material!A:D,3,0),"")</f>
        <v>CARD</v>
      </c>
    </row>
    <row r="1108" ht="11.25" customHeight="1">
      <c r="A1108" s="21" t="str">
        <f>IFERROR(__xludf.DUMMYFUNCTION("""COMPUTED_VALUE"""),"SMART CARD LARANJA NAGRA")</f>
        <v>SMART CARD LARANJA NAGRA</v>
      </c>
      <c r="B1108" s="22">
        <f>IFERROR(__xludf.DUMMYFUNCTION("""COMPUTED_VALUE"""),4.1001186E7)</f>
        <v>41001186</v>
      </c>
      <c r="C1108" s="21" t="str">
        <f>IFERROR(__xludf.DUMMYFUNCTION("""COMPUTED_VALUE"""),"215617546275")</f>
        <v>215617546275</v>
      </c>
      <c r="D1108" s="21" t="str">
        <f>IFERROR(__xludf.DUMMYFUNCTION("""COMPUTED_VALUE"""),"DIGITEC TECNOLOGIA DIGITAL E REPRES")</f>
        <v>DIGITEC TECNOLOGIA DIGITAL E REPRES</v>
      </c>
      <c r="E1108" s="21">
        <f>IFERROR(__xludf.DUMMYFUNCTION("""COMPUTED_VALUE"""),145359.0)</f>
        <v>145359</v>
      </c>
      <c r="F1108" s="21" t="str">
        <f>IFERROR(__xludf.DUMMYFUNCTION("""COMPUTED_VALUE"""),"TRANSITO REVERSA")</f>
        <v>TRANSITO REVERSA</v>
      </c>
      <c r="G1108" s="23">
        <f>IFERROR(__xludf.DUMMYFUNCTION("""COMPUTED_VALUE"""),45617.87138888889)</f>
        <v>45617.87139</v>
      </c>
      <c r="H1108" s="24" t="str">
        <f>IFERROR(VLOOKUP(B1108,material!A:D,3,0),"")</f>
        <v>CARD</v>
      </c>
    </row>
    <row r="1109" ht="11.25" customHeight="1">
      <c r="A1109" s="21" t="str">
        <f>IFERROR(__xludf.DUMMYFUNCTION("""COMPUTED_VALUE"""),"PACE - DCR HIGH DEFINITION")</f>
        <v>PACE - DCR HIGH DEFINITION</v>
      </c>
      <c r="B1109" s="22">
        <f>IFERROR(__xludf.DUMMYFUNCTION("""COMPUTED_VALUE"""),4.1001272E7)</f>
        <v>41001272</v>
      </c>
      <c r="C1109" s="21" t="str">
        <f>IFERROR(__xludf.DUMMYFUNCTION("""COMPUTED_VALUE"""),"169621586164")</f>
        <v>169621586164</v>
      </c>
      <c r="D1109" s="21" t="str">
        <f>IFERROR(__xludf.DUMMYFUNCTION("""COMPUTED_VALUE"""),"DIGITEC TECNOLOGIA DIGITAL E REPRES")</f>
        <v>DIGITEC TECNOLOGIA DIGITAL E REPRES</v>
      </c>
      <c r="E1109" s="21">
        <f>IFERROR(__xludf.DUMMYFUNCTION("""COMPUTED_VALUE"""),145359.0)</f>
        <v>145359</v>
      </c>
      <c r="F1109" s="21" t="str">
        <f>IFERROR(__xludf.DUMMYFUNCTION("""COMPUTED_VALUE"""),"TRANSITO REVERSA")</f>
        <v>TRANSITO REVERSA</v>
      </c>
      <c r="G1109" s="23">
        <f>IFERROR(__xludf.DUMMYFUNCTION("""COMPUTED_VALUE"""),45638.520625000005)</f>
        <v>45638.52063</v>
      </c>
      <c r="H1109" s="24" t="str">
        <f>IFERROR(VLOOKUP(B1109,material!A:D,3,0),"")</f>
        <v>LEGADO</v>
      </c>
    </row>
    <row r="1110" ht="11.25" customHeight="1">
      <c r="A1110" s="21" t="str">
        <f>IFERROR(__xludf.DUMMYFUNCTION("""COMPUTED_VALUE"""),"NAGRA KIT")</f>
        <v>NAGRA KIT</v>
      </c>
      <c r="B1110" s="22">
        <f>IFERROR(__xludf.DUMMYFUNCTION("""COMPUTED_VALUE"""),4.1001186E7)</f>
        <v>41001186</v>
      </c>
      <c r="C1110" s="21" t="str">
        <f>IFERROR(__xludf.DUMMYFUNCTION("""COMPUTED_VALUE"""),"215483210618")</f>
        <v>215483210618</v>
      </c>
      <c r="D1110" s="21" t="str">
        <f>IFERROR(__xludf.DUMMYFUNCTION("""COMPUTED_VALUE"""),"DIGITEC TECNOLOGIA DIGITAL E REPRES")</f>
        <v>DIGITEC TECNOLOGIA DIGITAL E REPRES</v>
      </c>
      <c r="E1110" s="21">
        <f>IFERROR(__xludf.DUMMYFUNCTION("""COMPUTED_VALUE"""),145359.0)</f>
        <v>145359</v>
      </c>
      <c r="F1110" s="21" t="str">
        <f>IFERROR(__xludf.DUMMYFUNCTION("""COMPUTED_VALUE"""),"SUCATA")</f>
        <v>SUCATA</v>
      </c>
      <c r="G1110" s="23">
        <f>IFERROR(__xludf.DUMMYFUNCTION("""COMPUTED_VALUE"""),45254.56527777778)</f>
        <v>45254.56528</v>
      </c>
      <c r="H1110" s="24" t="str">
        <f>IFERROR(VLOOKUP(B1110,material!A:D,3,0),"")</f>
        <v>CARD</v>
      </c>
    </row>
    <row r="1111" ht="11.25" customHeight="1">
      <c r="A1111" s="21" t="str">
        <f>IFERROR(__xludf.DUMMYFUNCTION("""COMPUTED_VALUE"""),"DECODER DIGITAL HD DXC5000 2T")</f>
        <v>DECODER DIGITAL HD DXC5000 2T</v>
      </c>
      <c r="B1111" s="22">
        <f>IFERROR(__xludf.DUMMYFUNCTION("""COMPUTED_VALUE"""),4.1001277E7)</f>
        <v>41001277</v>
      </c>
      <c r="C1111" s="21" t="str">
        <f>IFERROR(__xludf.DUMMYFUNCTION("""COMPUTED_VALUE"""),"216485544960")</f>
        <v>216485544960</v>
      </c>
      <c r="D1111" s="21" t="str">
        <f>IFERROR(__xludf.DUMMYFUNCTION("""COMPUTED_VALUE"""),"DIGITEC TECNOLOGIA DIGITAL E REPRES")</f>
        <v>DIGITEC TECNOLOGIA DIGITAL E REPRES</v>
      </c>
      <c r="E1111" s="21">
        <f>IFERROR(__xludf.DUMMYFUNCTION("""COMPUTED_VALUE"""),145359.0)</f>
        <v>145359</v>
      </c>
      <c r="F1111" s="21" t="str">
        <f>IFERROR(__xludf.DUMMYFUNCTION("""COMPUTED_VALUE"""),"SUSPEITO")</f>
        <v>SUSPEITO</v>
      </c>
      <c r="G1111" s="23">
        <f>IFERROR(__xludf.DUMMYFUNCTION("""COMPUTED_VALUE"""),45637.74222222222)</f>
        <v>45637.74222</v>
      </c>
      <c r="H1111" s="24" t="str">
        <f>IFERROR(VLOOKUP(B1111,material!A:D,3,0),"")</f>
        <v>TOP MIX</v>
      </c>
    </row>
    <row r="1112" ht="11.25" customHeight="1">
      <c r="A1112" s="21" t="str">
        <f>IFERROR(__xludf.DUMMYFUNCTION("""COMPUTED_VALUE"""),"PACE - HIGH DEFINITION DCR7411")</f>
        <v>PACE - HIGH DEFINITION DCR7411</v>
      </c>
      <c r="B1112" s="22">
        <f>IFERROR(__xludf.DUMMYFUNCTION("""COMPUTED_VALUE"""),4.1001216E7)</f>
        <v>41001216</v>
      </c>
      <c r="C1112" s="21" t="str">
        <f>IFERROR(__xludf.DUMMYFUNCTION("""COMPUTED_VALUE"""),"184029850422")</f>
        <v>184029850422</v>
      </c>
      <c r="D1112" s="21" t="str">
        <f>IFERROR(__xludf.DUMMYFUNCTION("""COMPUTED_VALUE"""),"DIGITEC TECNOLOGIA DIGITAL E REPRES")</f>
        <v>DIGITEC TECNOLOGIA DIGITAL E REPRES</v>
      </c>
      <c r="E1112" s="21">
        <f>IFERROR(__xludf.DUMMYFUNCTION("""COMPUTED_VALUE"""),145359.0)</f>
        <v>145359</v>
      </c>
      <c r="F1112" s="21" t="str">
        <f>IFERROR(__xludf.DUMMYFUNCTION("""COMPUTED_VALUE"""),"SUSPEITO")</f>
        <v>SUSPEITO</v>
      </c>
      <c r="G1112" s="23">
        <f>IFERROR(__xludf.DUMMYFUNCTION("""COMPUTED_VALUE"""),45631.69462962963)</f>
        <v>45631.69463</v>
      </c>
      <c r="H1112" s="24" t="str">
        <f>IFERROR(VLOOKUP(B1112,material!A:D,3,0),"")</f>
        <v>LEGADO</v>
      </c>
    </row>
    <row r="1113" ht="11.25" customHeight="1">
      <c r="A1113" s="21" t="str">
        <f>IFERROR(__xludf.DUMMYFUNCTION("""COMPUTED_VALUE"""),"PACE - HIGH DEFINITION DCR7411")</f>
        <v>PACE - HIGH DEFINITION DCR7411</v>
      </c>
      <c r="B1113" s="22">
        <f>IFERROR(__xludf.DUMMYFUNCTION("""COMPUTED_VALUE"""),4.1001216E7)</f>
        <v>41001216</v>
      </c>
      <c r="C1113" s="21" t="str">
        <f>IFERROR(__xludf.DUMMYFUNCTION("""COMPUTED_VALUE"""),"177310269802")</f>
        <v>177310269802</v>
      </c>
      <c r="D1113" s="21" t="str">
        <f>IFERROR(__xludf.DUMMYFUNCTION("""COMPUTED_VALUE"""),"DIGITEC TECNOLOGIA DIGITAL E REPRES")</f>
        <v>DIGITEC TECNOLOGIA DIGITAL E REPRES</v>
      </c>
      <c r="E1113" s="21">
        <f>IFERROR(__xludf.DUMMYFUNCTION("""COMPUTED_VALUE"""),145359.0)</f>
        <v>145359</v>
      </c>
      <c r="F1113" s="21" t="str">
        <f>IFERROR(__xludf.DUMMYFUNCTION("""COMPUTED_VALUE"""),"SUSPEITO")</f>
        <v>SUSPEITO</v>
      </c>
      <c r="G1113" s="23">
        <f>IFERROR(__xludf.DUMMYFUNCTION("""COMPUTED_VALUE"""),45625.446435185186)</f>
        <v>45625.44644</v>
      </c>
      <c r="H1113" s="24" t="str">
        <f>IFERROR(VLOOKUP(B1113,material!A:D,3,0),"")</f>
        <v>LEGADO</v>
      </c>
    </row>
    <row r="1114" ht="11.25" customHeight="1">
      <c r="A1114" s="21" t="str">
        <f>IFERROR(__xludf.DUMMYFUNCTION("""COMPUTED_VALUE"""),"SMART CARD LARANJA")</f>
        <v>SMART CARD LARANJA</v>
      </c>
      <c r="B1114" s="22">
        <f>IFERROR(__xludf.DUMMYFUNCTION("""COMPUTED_VALUE"""),4.1001186E7)</f>
        <v>41001186</v>
      </c>
      <c r="C1114" s="21" t="str">
        <f>IFERROR(__xludf.DUMMYFUNCTION("""COMPUTED_VALUE"""),"226522004854")</f>
        <v>226522004854</v>
      </c>
      <c r="D1114" s="21" t="str">
        <f>IFERROR(__xludf.DUMMYFUNCTION("""COMPUTED_VALUE"""),"DIGITEC TECNOLOGIA DIGITAL E REPRES")</f>
        <v>DIGITEC TECNOLOGIA DIGITAL E REPRES</v>
      </c>
      <c r="E1114" s="21">
        <f>IFERROR(__xludf.DUMMYFUNCTION("""COMPUTED_VALUE"""),145359.0)</f>
        <v>145359</v>
      </c>
      <c r="F1114" s="21" t="str">
        <f>IFERROR(__xludf.DUMMYFUNCTION("""COMPUTED_VALUE"""),"SUSPEITO")</f>
        <v>SUSPEITO</v>
      </c>
      <c r="G1114" s="23">
        <f>IFERROR(__xludf.DUMMYFUNCTION("""COMPUTED_VALUE"""),45642.40777777778)</f>
        <v>45642.40778</v>
      </c>
      <c r="H1114" s="24" t="str">
        <f>IFERROR(VLOOKUP(B1114,material!A:D,3,0),"")</f>
        <v>CARD</v>
      </c>
    </row>
    <row r="1115" ht="11.25" customHeight="1">
      <c r="A1115" s="21" t="str">
        <f>IFERROR(__xludf.DUMMYFUNCTION("""COMPUTED_VALUE"""),"SMART CARD LARANJA NAGRA")</f>
        <v>SMART CARD LARANJA NAGRA</v>
      </c>
      <c r="B1115" s="22">
        <f>IFERROR(__xludf.DUMMYFUNCTION("""COMPUTED_VALUE"""),4.1001186E7)</f>
        <v>41001186</v>
      </c>
      <c r="C1115" s="21" t="str">
        <f>IFERROR(__xludf.DUMMYFUNCTION("""COMPUTED_VALUE"""),"225756787782")</f>
        <v>225756787782</v>
      </c>
      <c r="D1115" s="21" t="str">
        <f>IFERROR(__xludf.DUMMYFUNCTION("""COMPUTED_VALUE"""),"DIGITEC TECNOLOGIA DIGITAL E REPRES")</f>
        <v>DIGITEC TECNOLOGIA DIGITAL E REPRES</v>
      </c>
      <c r="E1115" s="21">
        <f>IFERROR(__xludf.DUMMYFUNCTION("""COMPUTED_VALUE"""),145359.0)</f>
        <v>145359</v>
      </c>
      <c r="F1115" s="21" t="str">
        <f>IFERROR(__xludf.DUMMYFUNCTION("""COMPUTED_VALUE"""),"SUSPEITO")</f>
        <v>SUSPEITO</v>
      </c>
      <c r="G1115" s="23">
        <f>IFERROR(__xludf.DUMMYFUNCTION("""COMPUTED_VALUE"""),45632.639328703706)</f>
        <v>45632.63933</v>
      </c>
      <c r="H1115" s="24" t="str">
        <f>IFERROR(VLOOKUP(B1115,material!A:D,3,0),"")</f>
        <v>CARD</v>
      </c>
    </row>
    <row r="1116" ht="11.25" customHeight="1">
      <c r="A1116" s="21" t="str">
        <f>IFERROR(__xludf.DUMMYFUNCTION("""COMPUTED_VALUE"""),"SMART CARD LARANJA NAGRA")</f>
        <v>SMART CARD LARANJA NAGRA</v>
      </c>
      <c r="B1116" s="22">
        <f>IFERROR(__xludf.DUMMYFUNCTION("""COMPUTED_VALUE"""),4.1001186E7)</f>
        <v>41001186</v>
      </c>
      <c r="C1116" s="21" t="str">
        <f>IFERROR(__xludf.DUMMYFUNCTION("""COMPUTED_VALUE"""),"215990499901")</f>
        <v>215990499901</v>
      </c>
      <c r="D1116" s="21" t="str">
        <f>IFERROR(__xludf.DUMMYFUNCTION("""COMPUTED_VALUE"""),"DIGITEC TECNOLOGIA DIGITAL E REPRES")</f>
        <v>DIGITEC TECNOLOGIA DIGITAL E REPRES</v>
      </c>
      <c r="E1116" s="21">
        <f>IFERROR(__xludf.DUMMYFUNCTION("""COMPUTED_VALUE"""),145359.0)</f>
        <v>145359</v>
      </c>
      <c r="F1116" s="21" t="str">
        <f>IFERROR(__xludf.DUMMYFUNCTION("""COMPUTED_VALUE"""),"SUSPEITO")</f>
        <v>SUSPEITO</v>
      </c>
      <c r="G1116" s="23">
        <f>IFERROR(__xludf.DUMMYFUNCTION("""COMPUTED_VALUE"""),45631.69462962963)</f>
        <v>45631.69463</v>
      </c>
      <c r="H1116" s="24" t="str">
        <f>IFERROR(VLOOKUP(B1116,material!A:D,3,0),"")</f>
        <v>CARD</v>
      </c>
    </row>
    <row r="1117" ht="11.25" customHeight="1">
      <c r="A1117" s="21" t="str">
        <f>IFERROR(__xludf.DUMMYFUNCTION("""COMPUTED_VALUE"""),"DECODER DIGITAL HD HNB100 2T")</f>
        <v>DECODER DIGITAL HD HNB100 2T</v>
      </c>
      <c r="B1117" s="22">
        <f>IFERROR(__xludf.DUMMYFUNCTION("""COMPUTED_VALUE"""),4.1001276E7)</f>
        <v>41001276</v>
      </c>
      <c r="C1117" s="21" t="str">
        <f>IFERROR(__xludf.DUMMYFUNCTION("""COMPUTED_VALUE"""),"184268619515")</f>
        <v>184268619515</v>
      </c>
      <c r="D1117" s="21" t="str">
        <f>IFERROR(__xludf.DUMMYFUNCTION("""COMPUTED_VALUE"""),"DIGITEC TECNOLOGIA DIGITAL E REPRES")</f>
        <v>DIGITEC TECNOLOGIA DIGITAL E REPRES</v>
      </c>
      <c r="E1117" s="21">
        <f>IFERROR(__xludf.DUMMYFUNCTION("""COMPUTED_VALUE"""),145359.0)</f>
        <v>145359</v>
      </c>
      <c r="F1117" s="21" t="str">
        <f>IFERROR(__xludf.DUMMYFUNCTION("""COMPUTED_VALUE"""),"INICIALIZADO")</f>
        <v>INICIALIZADO</v>
      </c>
      <c r="G1117" s="23">
        <f>IFERROR(__xludf.DUMMYFUNCTION("""COMPUTED_VALUE"""),45635.535057870366)</f>
        <v>45635.53506</v>
      </c>
      <c r="H1117" s="24" t="str">
        <f>IFERROR(VLOOKUP(B1117,material!A:D,3,0),"")</f>
        <v>TOP MIX</v>
      </c>
    </row>
    <row r="1118" ht="11.25" customHeight="1">
      <c r="A1118" s="21" t="str">
        <f>IFERROR(__xludf.DUMMYFUNCTION("""COMPUTED_VALUE"""),"SMART CARD PRETO NAGRA")</f>
        <v>SMART CARD PRETO NAGRA</v>
      </c>
      <c r="B1118" s="22">
        <f>IFERROR(__xludf.DUMMYFUNCTION("""COMPUTED_VALUE"""),4.1001234E7)</f>
        <v>41001234</v>
      </c>
      <c r="C1118" s="21" t="str">
        <f>IFERROR(__xludf.DUMMYFUNCTION("""COMPUTED_VALUE"""),"246226983032")</f>
        <v>246226983032</v>
      </c>
      <c r="D1118" s="21" t="str">
        <f>IFERROR(__xludf.DUMMYFUNCTION("""COMPUTED_VALUE"""),"DIGITEC TECNOLOGIA DIGITAL E REPRES")</f>
        <v>DIGITEC TECNOLOGIA DIGITAL E REPRES</v>
      </c>
      <c r="E1118" s="21">
        <f>IFERROR(__xludf.DUMMYFUNCTION("""COMPUTED_VALUE"""),145359.0)</f>
        <v>145359</v>
      </c>
      <c r="F1118" s="21" t="str">
        <f>IFERROR(__xludf.DUMMYFUNCTION("""COMPUTED_VALUE"""),"INICIALIZADO")</f>
        <v>INICIALIZADO</v>
      </c>
      <c r="G1118" s="23">
        <f>IFERROR(__xludf.DUMMYFUNCTION("""COMPUTED_VALUE"""),45016.68005787037)</f>
        <v>45016.68006</v>
      </c>
      <c r="H1118" s="24" t="str">
        <f>IFERROR(VLOOKUP(B1118,material!A:D,3,0),"")</f>
        <v>CARD</v>
      </c>
    </row>
    <row r="1119" ht="11.25" customHeight="1">
      <c r="A1119" s="21" t="str">
        <f>IFERROR(__xludf.DUMMYFUNCTION("""COMPUTED_VALUE"""),"SMART CARD PRETO NAGRA")</f>
        <v>SMART CARD PRETO NAGRA</v>
      </c>
      <c r="B1119" s="22">
        <f>IFERROR(__xludf.DUMMYFUNCTION("""COMPUTED_VALUE"""),4.1001234E7)</f>
        <v>41001234</v>
      </c>
      <c r="C1119" s="21" t="str">
        <f>IFERROR(__xludf.DUMMYFUNCTION("""COMPUTED_VALUE"""),"246267375369")</f>
        <v>246267375369</v>
      </c>
      <c r="D1119" s="21" t="str">
        <f>IFERROR(__xludf.DUMMYFUNCTION("""COMPUTED_VALUE"""),"DIGITEC TECNOLOGIA DIGITAL E REPRES")</f>
        <v>DIGITEC TECNOLOGIA DIGITAL E REPRES</v>
      </c>
      <c r="E1119" s="21">
        <f>IFERROR(__xludf.DUMMYFUNCTION("""COMPUTED_VALUE"""),145359.0)</f>
        <v>145359</v>
      </c>
      <c r="F1119" s="21" t="str">
        <f>IFERROR(__xludf.DUMMYFUNCTION("""COMPUTED_VALUE"""),"INICIALIZADO")</f>
        <v>INICIALIZADO</v>
      </c>
      <c r="G1119" s="23">
        <f>IFERROR(__xludf.DUMMYFUNCTION("""COMPUTED_VALUE"""),45635.53491898148)</f>
        <v>45635.53492</v>
      </c>
      <c r="H1119" s="24" t="str">
        <f>IFERROR(VLOOKUP(B1119,material!A:D,3,0),"")</f>
        <v>CARD</v>
      </c>
    </row>
    <row r="1120" ht="11.25" customHeight="1">
      <c r="A1120" s="21" t="str">
        <f>IFERROR(__xludf.DUMMYFUNCTION("""COMPUTED_VALUE"""),"SMART CARD PRETO NAGRA")</f>
        <v>SMART CARD PRETO NAGRA</v>
      </c>
      <c r="B1120" s="22">
        <f>IFERROR(__xludf.DUMMYFUNCTION("""COMPUTED_VALUE"""),4.1001234E7)</f>
        <v>41001234</v>
      </c>
      <c r="C1120" s="21" t="str">
        <f>IFERROR(__xludf.DUMMYFUNCTION("""COMPUTED_VALUE"""),"246156369495")</f>
        <v>246156369495</v>
      </c>
      <c r="D1120" s="21" t="str">
        <f>IFERROR(__xludf.DUMMYFUNCTION("""COMPUTED_VALUE"""),"DIGITEC TECNOLOGIA DIGITAL E REPRES")</f>
        <v>DIGITEC TECNOLOGIA DIGITAL E REPRES</v>
      </c>
      <c r="E1120" s="21">
        <f>IFERROR(__xludf.DUMMYFUNCTION("""COMPUTED_VALUE"""),145359.0)</f>
        <v>145359</v>
      </c>
      <c r="F1120" s="21" t="str">
        <f>IFERROR(__xludf.DUMMYFUNCTION("""COMPUTED_VALUE"""),"INICIALIZADO")</f>
        <v>INICIALIZADO</v>
      </c>
      <c r="G1120" s="23">
        <f>IFERROR(__xludf.DUMMYFUNCTION("""COMPUTED_VALUE"""),44999.92952546296)</f>
        <v>44999.92953</v>
      </c>
      <c r="H1120" s="24" t="str">
        <f>IFERROR(VLOOKUP(B1120,material!A:D,3,0),"")</f>
        <v>CARD</v>
      </c>
    </row>
    <row r="1121" ht="11.25" customHeight="1">
      <c r="A1121" s="21" t="str">
        <f>IFERROR(__xludf.DUMMYFUNCTION("""COMPUTED_VALUE"""),"SMART CARD PRETO NAGRA")</f>
        <v>SMART CARD PRETO NAGRA</v>
      </c>
      <c r="B1121" s="22">
        <f>IFERROR(__xludf.DUMMYFUNCTION("""COMPUTED_VALUE"""),4.1001234E7)</f>
        <v>41001234</v>
      </c>
      <c r="C1121" s="21" t="str">
        <f>IFERROR(__xludf.DUMMYFUNCTION("""COMPUTED_VALUE"""),"226296094849")</f>
        <v>226296094849</v>
      </c>
      <c r="D1121" s="21" t="str">
        <f>IFERROR(__xludf.DUMMYFUNCTION("""COMPUTED_VALUE"""),"DIGITEC TECNOLOGIA DIGITAL E REPRES")</f>
        <v>DIGITEC TECNOLOGIA DIGITAL E REPRES</v>
      </c>
      <c r="E1121" s="21">
        <f>IFERROR(__xludf.DUMMYFUNCTION("""COMPUTED_VALUE"""),145359.0)</f>
        <v>145359</v>
      </c>
      <c r="F1121" s="21" t="str">
        <f>IFERROR(__xludf.DUMMYFUNCTION("""COMPUTED_VALUE"""),"INICIALIZADO")</f>
        <v>INICIALIZADO</v>
      </c>
      <c r="G1121" s="23">
        <f>IFERROR(__xludf.DUMMYFUNCTION("""COMPUTED_VALUE"""),45618.65201388889)</f>
        <v>45618.65201</v>
      </c>
      <c r="H1121" s="24" t="str">
        <f>IFERROR(VLOOKUP(B1121,material!A:D,3,0),"")</f>
        <v>CARD</v>
      </c>
    </row>
    <row r="1122" ht="11.25" customHeight="1">
      <c r="A1122" s="21" t="str">
        <f>IFERROR(__xludf.DUMMYFUNCTION("""COMPUTED_VALUE"""),"SMART CARD PRETO NAGRA")</f>
        <v>SMART CARD PRETO NAGRA</v>
      </c>
      <c r="B1122" s="22">
        <f>IFERROR(__xludf.DUMMYFUNCTION("""COMPUTED_VALUE"""),4.1001234E7)</f>
        <v>41001234</v>
      </c>
      <c r="C1122" s="21" t="str">
        <f>IFERROR(__xludf.DUMMYFUNCTION("""COMPUTED_VALUE"""),"226124138998")</f>
        <v>226124138998</v>
      </c>
      <c r="D1122" s="21" t="str">
        <f>IFERROR(__xludf.DUMMYFUNCTION("""COMPUTED_VALUE"""),"DIGITEC TECNOLOGIA DIGITAL E REPRES")</f>
        <v>DIGITEC TECNOLOGIA DIGITAL E REPRES</v>
      </c>
      <c r="E1122" s="21">
        <f>IFERROR(__xludf.DUMMYFUNCTION("""COMPUTED_VALUE"""),145359.0)</f>
        <v>145359</v>
      </c>
      <c r="F1122" s="21" t="str">
        <f>IFERROR(__xludf.DUMMYFUNCTION("""COMPUTED_VALUE"""),"INICIALIZADO")</f>
        <v>INICIALIZADO</v>
      </c>
      <c r="G1122" s="23">
        <f>IFERROR(__xludf.DUMMYFUNCTION("""COMPUTED_VALUE"""),45600.47596064815)</f>
        <v>45600.47596</v>
      </c>
      <c r="H1122" s="24" t="str">
        <f>IFERROR(VLOOKUP(B1122,material!A:D,3,0),"")</f>
        <v>CARD</v>
      </c>
    </row>
    <row r="1123" ht="11.25" customHeight="1">
      <c r="A1123" s="21" t="str">
        <f>IFERROR(__xludf.DUMMYFUNCTION("""COMPUTED_VALUE"""),"DECODER DIGITAL HD DXC5000 2T")</f>
        <v>DECODER DIGITAL HD DXC5000 2T</v>
      </c>
      <c r="B1123" s="22">
        <f>IFERROR(__xludf.DUMMYFUNCTION("""COMPUTED_VALUE"""),4.1001277E7)</f>
        <v>41001277</v>
      </c>
      <c r="C1123" s="21" t="str">
        <f>IFERROR(__xludf.DUMMYFUNCTION("""COMPUTED_VALUE"""),"216717528688")</f>
        <v>216717528688</v>
      </c>
      <c r="D1123" s="21" t="str">
        <f>IFERROR(__xludf.DUMMYFUNCTION("""COMPUTED_VALUE"""),"DIGITEC TECNOLOGIA DIGITAL E REPRES")</f>
        <v>DIGITEC TECNOLOGIA DIGITAL E REPRES</v>
      </c>
      <c r="E1123" s="21">
        <f>IFERROR(__xludf.DUMMYFUNCTION("""COMPUTED_VALUE"""),145359.0)</f>
        <v>145359</v>
      </c>
      <c r="F1123" s="21" t="str">
        <f>IFERROR(__xludf.DUMMYFUNCTION("""COMPUTED_VALUE"""),"TRANSITO REVERSA")</f>
        <v>TRANSITO REVERSA</v>
      </c>
      <c r="G1123" s="23">
        <f>IFERROR(__xludf.DUMMYFUNCTION("""COMPUTED_VALUE"""),45633.00396990741)</f>
        <v>45633.00397</v>
      </c>
      <c r="H1123" s="24" t="str">
        <f>IFERROR(VLOOKUP(B1123,material!A:D,3,0),"")</f>
        <v>TOP MIX</v>
      </c>
    </row>
    <row r="1124" ht="11.25" customHeight="1">
      <c r="A1124" s="21" t="str">
        <f>IFERROR(__xludf.DUMMYFUNCTION("""COMPUTED_VALUE"""),"DECODER DIGITAL HD HNB100 2T")</f>
        <v>DECODER DIGITAL HD HNB100 2T</v>
      </c>
      <c r="B1124" s="22">
        <f>IFERROR(__xludf.DUMMYFUNCTION("""COMPUTED_VALUE"""),4.1001276E7)</f>
        <v>41001276</v>
      </c>
      <c r="C1124" s="21" t="str">
        <f>IFERROR(__xludf.DUMMYFUNCTION("""COMPUTED_VALUE"""),"216835408498")</f>
        <v>216835408498</v>
      </c>
      <c r="D1124" s="21" t="str">
        <f>IFERROR(__xludf.DUMMYFUNCTION("""COMPUTED_VALUE"""),"DIGITEC TECNOLOGIA DIGITAL E REPRES")</f>
        <v>DIGITEC TECNOLOGIA DIGITAL E REPRES</v>
      </c>
      <c r="E1124" s="21">
        <f>IFERROR(__xludf.DUMMYFUNCTION("""COMPUTED_VALUE"""),145359.0)</f>
        <v>145359</v>
      </c>
      <c r="F1124" s="21" t="str">
        <f>IFERROR(__xludf.DUMMYFUNCTION("""COMPUTED_VALUE"""),"INICIALIZADO")</f>
        <v>INICIALIZADO</v>
      </c>
      <c r="G1124" s="23">
        <f>IFERROR(__xludf.DUMMYFUNCTION("""COMPUTED_VALUE"""),45635.53503472223)</f>
        <v>45635.53503</v>
      </c>
      <c r="H1124" s="24" t="str">
        <f>IFERROR(VLOOKUP(B1124,material!A:D,3,0),"")</f>
        <v>TOP MIX</v>
      </c>
    </row>
    <row r="1125" ht="11.25" customHeight="1">
      <c r="A1125" s="21" t="str">
        <f>IFERROR(__xludf.DUMMYFUNCTION("""COMPUTED_VALUE"""),"DECODER DIGITAL HD HNB100 2T")</f>
        <v>DECODER DIGITAL HD HNB100 2T</v>
      </c>
      <c r="B1125" s="22">
        <f>IFERROR(__xludf.DUMMYFUNCTION("""COMPUTED_VALUE"""),4.1001276E7)</f>
        <v>41001276</v>
      </c>
      <c r="C1125" s="21" t="str">
        <f>IFERROR(__xludf.DUMMYFUNCTION("""COMPUTED_VALUE"""),"216356043444")</f>
        <v>216356043444</v>
      </c>
      <c r="D1125" s="21" t="str">
        <f>IFERROR(__xludf.DUMMYFUNCTION("""COMPUTED_VALUE"""),"DIGITEC TECNOLOGIA DIGITAL E REPRES")</f>
        <v>DIGITEC TECNOLOGIA DIGITAL E REPRES</v>
      </c>
      <c r="E1125" s="21">
        <f>IFERROR(__xludf.DUMMYFUNCTION("""COMPUTED_VALUE"""),145359.0)</f>
        <v>145359</v>
      </c>
      <c r="F1125" s="21" t="str">
        <f>IFERROR(__xludf.DUMMYFUNCTION("""COMPUTED_VALUE"""),"INICIALIZADO")</f>
        <v>INICIALIZADO</v>
      </c>
      <c r="G1125" s="23">
        <f>IFERROR(__xludf.DUMMYFUNCTION("""COMPUTED_VALUE"""),45642.52413194445)</f>
        <v>45642.52413</v>
      </c>
      <c r="H1125" s="24" t="str">
        <f>IFERROR(VLOOKUP(B1125,material!A:D,3,0),"")</f>
        <v>TOP MIX</v>
      </c>
    </row>
    <row r="1126" ht="11.25" customHeight="1">
      <c r="A1126" s="21" t="str">
        <f>IFERROR(__xludf.DUMMYFUNCTION("""COMPUTED_VALUE"""),"DECODER DIGITAL HD HNB100 2T")</f>
        <v>DECODER DIGITAL HD HNB100 2T</v>
      </c>
      <c r="B1126" s="22">
        <f>IFERROR(__xludf.DUMMYFUNCTION("""COMPUTED_VALUE"""),4.1001276E7)</f>
        <v>41001276</v>
      </c>
      <c r="C1126" s="21" t="str">
        <f>IFERROR(__xludf.DUMMYFUNCTION("""COMPUTED_VALUE"""),"216628243758")</f>
        <v>216628243758</v>
      </c>
      <c r="D1126" s="21" t="str">
        <f>IFERROR(__xludf.DUMMYFUNCTION("""COMPUTED_VALUE"""),"DIGITEC TECNOLOGIA DIGITAL E REPRES")</f>
        <v>DIGITEC TECNOLOGIA DIGITAL E REPRES</v>
      </c>
      <c r="E1126" s="21">
        <f>IFERROR(__xludf.DUMMYFUNCTION("""COMPUTED_VALUE"""),145359.0)</f>
        <v>145359</v>
      </c>
      <c r="F1126" s="21" t="str">
        <f>IFERROR(__xludf.DUMMYFUNCTION("""COMPUTED_VALUE"""),"INICIALIZADO")</f>
        <v>INICIALIZADO</v>
      </c>
      <c r="G1126" s="23">
        <f>IFERROR(__xludf.DUMMYFUNCTION("""COMPUTED_VALUE"""),45642.52413194445)</f>
        <v>45642.52413</v>
      </c>
      <c r="H1126" s="24" t="str">
        <f>IFERROR(VLOOKUP(B1126,material!A:D,3,0),"")</f>
        <v>TOP MIX</v>
      </c>
    </row>
    <row r="1127" ht="11.25" customHeight="1">
      <c r="A1127" s="21" t="str">
        <f>IFERROR(__xludf.DUMMYFUNCTION("""COMPUTED_VALUE"""),"DECODER DIGITAL HD HNB100 2T")</f>
        <v>DECODER DIGITAL HD HNB100 2T</v>
      </c>
      <c r="B1127" s="22">
        <f>IFERROR(__xludf.DUMMYFUNCTION("""COMPUTED_VALUE"""),4.1001276E7)</f>
        <v>41001276</v>
      </c>
      <c r="C1127" s="21" t="str">
        <f>IFERROR(__xludf.DUMMYFUNCTION("""COMPUTED_VALUE"""),"216611260507")</f>
        <v>216611260507</v>
      </c>
      <c r="D1127" s="21" t="str">
        <f>IFERROR(__xludf.DUMMYFUNCTION("""COMPUTED_VALUE"""),"DIGITEC TECNOLOGIA DIGITAL E REPRES")</f>
        <v>DIGITEC TECNOLOGIA DIGITAL E REPRES</v>
      </c>
      <c r="E1127" s="21">
        <f>IFERROR(__xludf.DUMMYFUNCTION("""COMPUTED_VALUE"""),145359.0)</f>
        <v>145359</v>
      </c>
      <c r="F1127" s="21" t="str">
        <f>IFERROR(__xludf.DUMMYFUNCTION("""COMPUTED_VALUE"""),"INICIALIZADO")</f>
        <v>INICIALIZADO</v>
      </c>
      <c r="G1127" s="23">
        <f>IFERROR(__xludf.DUMMYFUNCTION("""COMPUTED_VALUE"""),45635.535057870366)</f>
        <v>45635.53506</v>
      </c>
      <c r="H1127" s="24" t="str">
        <f>IFERROR(VLOOKUP(B1127,material!A:D,3,0),"")</f>
        <v>TOP MIX</v>
      </c>
    </row>
    <row r="1128" ht="11.25" customHeight="1">
      <c r="A1128" s="21" t="str">
        <f>IFERROR(__xludf.DUMMYFUNCTION("""COMPUTED_VALUE"""),"DECODER DIGITAL HD HNB100 2T")</f>
        <v>DECODER DIGITAL HD HNB100 2T</v>
      </c>
      <c r="B1128" s="22">
        <f>IFERROR(__xludf.DUMMYFUNCTION("""COMPUTED_VALUE"""),4.1001276E7)</f>
        <v>41001276</v>
      </c>
      <c r="C1128" s="21" t="str">
        <f>IFERROR(__xludf.DUMMYFUNCTION("""COMPUTED_VALUE"""),"216543793855")</f>
        <v>216543793855</v>
      </c>
      <c r="D1128" s="21" t="str">
        <f>IFERROR(__xludf.DUMMYFUNCTION("""COMPUTED_VALUE"""),"DIGITEC TECNOLOGIA DIGITAL E REPRES")</f>
        <v>DIGITEC TECNOLOGIA DIGITAL E REPRES</v>
      </c>
      <c r="E1128" s="21">
        <f>IFERROR(__xludf.DUMMYFUNCTION("""COMPUTED_VALUE"""),145359.0)</f>
        <v>145359</v>
      </c>
      <c r="F1128" s="21" t="str">
        <f>IFERROR(__xludf.DUMMYFUNCTION("""COMPUTED_VALUE"""),"INICIALIZADO")</f>
        <v>INICIALIZADO</v>
      </c>
      <c r="G1128" s="23">
        <f>IFERROR(__xludf.DUMMYFUNCTION("""COMPUTED_VALUE"""),45635.53508101852)</f>
        <v>45635.53508</v>
      </c>
      <c r="H1128" s="24" t="str">
        <f>IFERROR(VLOOKUP(B1128,material!A:D,3,0),"")</f>
        <v>TOP MIX</v>
      </c>
    </row>
    <row r="1129" ht="11.25" customHeight="1">
      <c r="A1129" s="21" t="str">
        <f>IFERROR(__xludf.DUMMYFUNCTION("""COMPUTED_VALUE"""),"DECODER DIGITAL HD HNB100 2T")</f>
        <v>DECODER DIGITAL HD HNB100 2T</v>
      </c>
      <c r="B1129" s="22">
        <f>IFERROR(__xludf.DUMMYFUNCTION("""COMPUTED_VALUE"""),4.1001276E7)</f>
        <v>41001276</v>
      </c>
      <c r="C1129" s="21" t="str">
        <f>IFERROR(__xludf.DUMMYFUNCTION("""COMPUTED_VALUE"""),"216862528294")</f>
        <v>216862528294</v>
      </c>
      <c r="D1129" s="21" t="str">
        <f>IFERROR(__xludf.DUMMYFUNCTION("""COMPUTED_VALUE"""),"DIGITEC TECNOLOGIA DIGITAL E REPRES")</f>
        <v>DIGITEC TECNOLOGIA DIGITAL E REPRES</v>
      </c>
      <c r="E1129" s="21">
        <f>IFERROR(__xludf.DUMMYFUNCTION("""COMPUTED_VALUE"""),145359.0)</f>
        <v>145359</v>
      </c>
      <c r="F1129" s="21" t="str">
        <f>IFERROR(__xludf.DUMMYFUNCTION("""COMPUTED_VALUE"""),"INICIALIZADO")</f>
        <v>INICIALIZADO</v>
      </c>
      <c r="G1129" s="23">
        <f>IFERROR(__xludf.DUMMYFUNCTION("""COMPUTED_VALUE"""),45635.53502314815)</f>
        <v>45635.53502</v>
      </c>
      <c r="H1129" s="24" t="str">
        <f>IFERROR(VLOOKUP(B1129,material!A:D,3,0),"")</f>
        <v>TOP MIX</v>
      </c>
    </row>
    <row r="1130" ht="11.25" customHeight="1">
      <c r="A1130" s="21" t="str">
        <f>IFERROR(__xludf.DUMMYFUNCTION("""COMPUTED_VALUE"""),"DECODER DIGITAL HD HNB100 2T")</f>
        <v>DECODER DIGITAL HD HNB100 2T</v>
      </c>
      <c r="B1130" s="22">
        <f>IFERROR(__xludf.DUMMYFUNCTION("""COMPUTED_VALUE"""),4.1001276E7)</f>
        <v>41001276</v>
      </c>
      <c r="C1130" s="21" t="str">
        <f>IFERROR(__xludf.DUMMYFUNCTION("""COMPUTED_VALUE"""),"216834270521")</f>
        <v>216834270521</v>
      </c>
      <c r="D1130" s="21" t="str">
        <f>IFERROR(__xludf.DUMMYFUNCTION("""COMPUTED_VALUE"""),"DIGITEC TECNOLOGIA DIGITAL E REPRES")</f>
        <v>DIGITEC TECNOLOGIA DIGITAL E REPRES</v>
      </c>
      <c r="E1130" s="21">
        <f>IFERROR(__xludf.DUMMYFUNCTION("""COMPUTED_VALUE"""),145359.0)</f>
        <v>145359</v>
      </c>
      <c r="F1130" s="21" t="str">
        <f>IFERROR(__xludf.DUMMYFUNCTION("""COMPUTED_VALUE"""),"INICIALIZADO")</f>
        <v>INICIALIZADO</v>
      </c>
      <c r="G1130" s="23">
        <f>IFERROR(__xludf.DUMMYFUNCTION("""COMPUTED_VALUE"""),45635.53503472223)</f>
        <v>45635.53503</v>
      </c>
      <c r="H1130" s="24" t="str">
        <f>IFERROR(VLOOKUP(B1130,material!A:D,3,0),"")</f>
        <v>TOP MIX</v>
      </c>
    </row>
    <row r="1131" ht="11.25" customHeight="1">
      <c r="A1131" s="21" t="str">
        <f>IFERROR(__xludf.DUMMYFUNCTION("""COMPUTED_VALUE"""),"DECODER DIGITAL HD HNB100 2T")</f>
        <v>DECODER DIGITAL HD HNB100 2T</v>
      </c>
      <c r="B1131" s="22">
        <f>IFERROR(__xludf.DUMMYFUNCTION("""COMPUTED_VALUE"""),4.1001276E7)</f>
        <v>41001276</v>
      </c>
      <c r="C1131" s="21" t="str">
        <f>IFERROR(__xludf.DUMMYFUNCTION("""COMPUTED_VALUE"""),"216404054650")</f>
        <v>216404054650</v>
      </c>
      <c r="D1131" s="21" t="str">
        <f>IFERROR(__xludf.DUMMYFUNCTION("""COMPUTED_VALUE"""),"DIGITEC TECNOLOGIA DIGITAL E REPRES")</f>
        <v>DIGITEC TECNOLOGIA DIGITAL E REPRES</v>
      </c>
      <c r="E1131" s="21">
        <f>IFERROR(__xludf.DUMMYFUNCTION("""COMPUTED_VALUE"""),145359.0)</f>
        <v>145359</v>
      </c>
      <c r="F1131" s="21" t="str">
        <f>IFERROR(__xludf.DUMMYFUNCTION("""COMPUTED_VALUE"""),"INICIALIZADO")</f>
        <v>INICIALIZADO</v>
      </c>
      <c r="G1131" s="23">
        <f>IFERROR(__xludf.DUMMYFUNCTION("""COMPUTED_VALUE"""),45635.53503472223)</f>
        <v>45635.53503</v>
      </c>
      <c r="H1131" s="24" t="str">
        <f>IFERROR(VLOOKUP(B1131,material!A:D,3,0),"")</f>
        <v>TOP MIX</v>
      </c>
    </row>
    <row r="1132" ht="11.25" customHeight="1">
      <c r="A1132" s="21" t="str">
        <f>IFERROR(__xludf.DUMMYFUNCTION("""COMPUTED_VALUE"""),"SMART CARD PRETO NAGRA")</f>
        <v>SMART CARD PRETO NAGRA</v>
      </c>
      <c r="B1132" s="22">
        <f>IFERROR(__xludf.DUMMYFUNCTION("""COMPUTED_VALUE"""),4.1001234E7)</f>
        <v>41001234</v>
      </c>
      <c r="C1132" s="21" t="str">
        <f>IFERROR(__xludf.DUMMYFUNCTION("""COMPUTED_VALUE"""),"246095213640")</f>
        <v>246095213640</v>
      </c>
      <c r="D1132" s="21" t="str">
        <f>IFERROR(__xludf.DUMMYFUNCTION("""COMPUTED_VALUE"""),"DIGITEC TECNOLOGIA DIGITAL E REPRES")</f>
        <v>DIGITEC TECNOLOGIA DIGITAL E REPRES</v>
      </c>
      <c r="E1132" s="21">
        <f>IFERROR(__xludf.DUMMYFUNCTION("""COMPUTED_VALUE"""),145359.0)</f>
        <v>145359</v>
      </c>
      <c r="F1132" s="21" t="str">
        <f>IFERROR(__xludf.DUMMYFUNCTION("""COMPUTED_VALUE"""),"INICIALIZADO")</f>
        <v>INICIALIZADO</v>
      </c>
      <c r="G1132" s="23">
        <f>IFERROR(__xludf.DUMMYFUNCTION("""COMPUTED_VALUE"""),45618.65201388889)</f>
        <v>45618.65201</v>
      </c>
      <c r="H1132" s="24" t="str">
        <f>IFERROR(VLOOKUP(B1132,material!A:D,3,0),"")</f>
        <v>CARD</v>
      </c>
    </row>
    <row r="1133" ht="11.25" customHeight="1">
      <c r="A1133" s="21" t="str">
        <f>IFERROR(__xludf.DUMMYFUNCTION("""COMPUTED_VALUE"""),"SMART CARD PRETO NAGRA")</f>
        <v>SMART CARD PRETO NAGRA</v>
      </c>
      <c r="B1133" s="22">
        <f>IFERROR(__xludf.DUMMYFUNCTION("""COMPUTED_VALUE"""),4.1001234E7)</f>
        <v>41001234</v>
      </c>
      <c r="C1133" s="21" t="str">
        <f>IFERROR(__xludf.DUMMYFUNCTION("""COMPUTED_VALUE"""),"246278362839")</f>
        <v>246278362839</v>
      </c>
      <c r="D1133" s="21" t="str">
        <f>IFERROR(__xludf.DUMMYFUNCTION("""COMPUTED_VALUE"""),"DIGITEC TECNOLOGIA DIGITAL E REPRES")</f>
        <v>DIGITEC TECNOLOGIA DIGITAL E REPRES</v>
      </c>
      <c r="E1133" s="21">
        <f>IFERROR(__xludf.DUMMYFUNCTION("""COMPUTED_VALUE"""),145359.0)</f>
        <v>145359</v>
      </c>
      <c r="F1133" s="21" t="str">
        <f>IFERROR(__xludf.DUMMYFUNCTION("""COMPUTED_VALUE"""),"INICIALIZADO")</f>
        <v>INICIALIZADO</v>
      </c>
      <c r="G1133" s="23">
        <f>IFERROR(__xludf.DUMMYFUNCTION("""COMPUTED_VALUE"""),45594.64796296296)</f>
        <v>45594.64796</v>
      </c>
      <c r="H1133" s="24" t="str">
        <f>IFERROR(VLOOKUP(B1133,material!A:D,3,0),"")</f>
        <v>CARD</v>
      </c>
    </row>
    <row r="1134" ht="11.25" customHeight="1">
      <c r="A1134" s="21" t="str">
        <f>IFERROR(__xludf.DUMMYFUNCTION("""COMPUTED_VALUE"""),"SMART CARD PRETO NAGRA")</f>
        <v>SMART CARD PRETO NAGRA</v>
      </c>
      <c r="B1134" s="22">
        <f>IFERROR(__xludf.DUMMYFUNCTION("""COMPUTED_VALUE"""),4.1001234E7)</f>
        <v>41001234</v>
      </c>
      <c r="C1134" s="21" t="str">
        <f>IFERROR(__xludf.DUMMYFUNCTION("""COMPUTED_VALUE"""),"246291923545")</f>
        <v>246291923545</v>
      </c>
      <c r="D1134" s="21" t="str">
        <f>IFERROR(__xludf.DUMMYFUNCTION("""COMPUTED_VALUE"""),"DIGITEC TECNOLOGIA DIGITAL E REPRES")</f>
        <v>DIGITEC TECNOLOGIA DIGITAL E REPRES</v>
      </c>
      <c r="E1134" s="21">
        <f>IFERROR(__xludf.DUMMYFUNCTION("""COMPUTED_VALUE"""),145359.0)</f>
        <v>145359</v>
      </c>
      <c r="F1134" s="21" t="str">
        <f>IFERROR(__xludf.DUMMYFUNCTION("""COMPUTED_VALUE"""),"INICIALIZADO")</f>
        <v>INICIALIZADO</v>
      </c>
      <c r="G1134" s="23">
        <f>IFERROR(__xludf.DUMMYFUNCTION("""COMPUTED_VALUE"""),45594.64796296296)</f>
        <v>45594.64796</v>
      </c>
      <c r="H1134" s="24" t="str">
        <f>IFERROR(VLOOKUP(B1134,material!A:D,3,0),"")</f>
        <v>CARD</v>
      </c>
    </row>
    <row r="1135" ht="11.25" customHeight="1">
      <c r="A1135" s="21" t="str">
        <f>IFERROR(__xludf.DUMMYFUNCTION("""COMPUTED_VALUE"""),"ARRIS TG1692A")</f>
        <v>ARRIS TG1692A</v>
      </c>
      <c r="B1135" s="22">
        <f>IFERROR(__xludf.DUMMYFUNCTION("""COMPUTED_VALUE"""),4.1001293E7)</f>
        <v>41001293</v>
      </c>
      <c r="C1135" s="21" t="str">
        <f>IFERROR(__xludf.DUMMYFUNCTION("""COMPUTED_VALUE"""),"BC644BDE42A0")</f>
        <v>BC644BDE42A0</v>
      </c>
      <c r="D1135" s="21" t="str">
        <f>IFERROR(__xludf.DUMMYFUNCTION("""COMPUTED_VALUE"""),"DIGITEC TECNOLOGIA DIGITAL E REPRES")</f>
        <v>DIGITEC TECNOLOGIA DIGITAL E REPRES</v>
      </c>
      <c r="E1135" s="21">
        <f>IFERROR(__xludf.DUMMYFUNCTION("""COMPUTED_VALUE"""),145359.0)</f>
        <v>145359</v>
      </c>
      <c r="F1135" s="21" t="str">
        <f>IFERROR(__xludf.DUMMYFUNCTION("""COMPUTED_VALUE"""),"COM DEFEITO")</f>
        <v>COM DEFEITO</v>
      </c>
      <c r="G1135" s="23">
        <f>IFERROR(__xludf.DUMMYFUNCTION("""COMPUTED_VALUE"""),45415.656006944446)</f>
        <v>45415.65601</v>
      </c>
      <c r="H1135" s="24" t="str">
        <f>IFERROR(VLOOKUP(B1135,material!A:D,3,0),"")</f>
        <v>DUAL</v>
      </c>
    </row>
    <row r="1136" ht="11.25" customHeight="1">
      <c r="A1136" s="21" t="str">
        <f>IFERROR(__xludf.DUMMYFUNCTION("""COMPUTED_VALUE"""),"SMART CARD PRETO NAGRA")</f>
        <v>SMART CARD PRETO NAGRA</v>
      </c>
      <c r="B1136" s="22">
        <f>IFERROR(__xludf.DUMMYFUNCTION("""COMPUTED_VALUE"""),4.1001234E7)</f>
        <v>41001234</v>
      </c>
      <c r="C1136" s="21" t="str">
        <f>IFERROR(__xludf.DUMMYFUNCTION("""COMPUTED_VALUE"""),"226385447789")</f>
        <v>226385447789</v>
      </c>
      <c r="D1136" s="21" t="str">
        <f>IFERROR(__xludf.DUMMYFUNCTION("""COMPUTED_VALUE"""),"DIGITEC TECNOLOGIA DIGITAL E REPRES")</f>
        <v>DIGITEC TECNOLOGIA DIGITAL E REPRES</v>
      </c>
      <c r="E1136" s="21">
        <f>IFERROR(__xludf.DUMMYFUNCTION("""COMPUTED_VALUE"""),145359.0)</f>
        <v>145359</v>
      </c>
      <c r="F1136" s="21" t="str">
        <f>IFERROR(__xludf.DUMMYFUNCTION("""COMPUTED_VALUE"""),"INICIALIZADO")</f>
        <v>INICIALIZADO</v>
      </c>
      <c r="G1136" s="23">
        <f>IFERROR(__xludf.DUMMYFUNCTION("""COMPUTED_VALUE"""),45635.534953703704)</f>
        <v>45635.53495</v>
      </c>
      <c r="H1136" s="24" t="str">
        <f>IFERROR(VLOOKUP(B1136,material!A:D,3,0),"")</f>
        <v>CARD</v>
      </c>
    </row>
    <row r="1137" ht="11.25" customHeight="1">
      <c r="A1137" s="21" t="str">
        <f>IFERROR(__xludf.DUMMYFUNCTION("""COMPUTED_VALUE"""),"DECODER DIGITAL HD HNB100 2T")</f>
        <v>DECODER DIGITAL HD HNB100 2T</v>
      </c>
      <c r="B1137" s="22">
        <f>IFERROR(__xludf.DUMMYFUNCTION("""COMPUTED_VALUE"""),4.1001276E7)</f>
        <v>41001276</v>
      </c>
      <c r="C1137" s="21" t="str">
        <f>IFERROR(__xludf.DUMMYFUNCTION("""COMPUTED_VALUE"""),"216353856889")</f>
        <v>216353856889</v>
      </c>
      <c r="D1137" s="21" t="str">
        <f>IFERROR(__xludf.DUMMYFUNCTION("""COMPUTED_VALUE"""),"DIGITEC TECNOLOGIA DIGITAL E REPRES")</f>
        <v>DIGITEC TECNOLOGIA DIGITAL E REPRES</v>
      </c>
      <c r="E1137" s="21">
        <f>IFERROR(__xludf.DUMMYFUNCTION("""COMPUTED_VALUE"""),145359.0)</f>
        <v>145359</v>
      </c>
      <c r="F1137" s="21" t="str">
        <f>IFERROR(__xludf.DUMMYFUNCTION("""COMPUTED_VALUE"""),"TRANSITO REVERSA")</f>
        <v>TRANSITO REVERSA</v>
      </c>
      <c r="G1137" s="23">
        <f>IFERROR(__xludf.DUMMYFUNCTION("""COMPUTED_VALUE"""),45617.87143518518)</f>
        <v>45617.87144</v>
      </c>
      <c r="H1137" s="24" t="str">
        <f>IFERROR(VLOOKUP(B1137,material!A:D,3,0),"")</f>
        <v>TOP MIX</v>
      </c>
    </row>
    <row r="1138" ht="11.25" customHeight="1">
      <c r="A1138" s="21" t="str">
        <f>IFERROR(__xludf.DUMMYFUNCTION("""COMPUTED_VALUE"""),"SMART CARD PRETO NAGRA")</f>
        <v>SMART CARD PRETO NAGRA</v>
      </c>
      <c r="B1138" s="22">
        <f>IFERROR(__xludf.DUMMYFUNCTION("""COMPUTED_VALUE"""),4.1001234E7)</f>
        <v>41001234</v>
      </c>
      <c r="C1138" s="21" t="str">
        <f>IFERROR(__xludf.DUMMYFUNCTION("""COMPUTED_VALUE"""),"226256498404")</f>
        <v>226256498404</v>
      </c>
      <c r="D1138" s="21" t="str">
        <f>IFERROR(__xludf.DUMMYFUNCTION("""COMPUTED_VALUE"""),"DIGITEC TECNOLOGIA DIGITAL E REPRES")</f>
        <v>DIGITEC TECNOLOGIA DIGITAL E REPRES</v>
      </c>
      <c r="E1138" s="21">
        <f>IFERROR(__xludf.DUMMYFUNCTION("""COMPUTED_VALUE"""),145359.0)</f>
        <v>145359</v>
      </c>
      <c r="F1138" s="21" t="str">
        <f>IFERROR(__xludf.DUMMYFUNCTION("""COMPUTED_VALUE"""),"COM DEFEITO")</f>
        <v>COM DEFEITO</v>
      </c>
      <c r="G1138" s="23">
        <f>IFERROR(__xludf.DUMMYFUNCTION("""COMPUTED_VALUE"""),45617.71435185186)</f>
        <v>45617.71435</v>
      </c>
      <c r="H1138" s="24" t="str">
        <f>IFERROR(VLOOKUP(B1138,material!A:D,3,0),"")</f>
        <v>CARD</v>
      </c>
    </row>
    <row r="1139" ht="11.25" customHeight="1">
      <c r="A1139" s="21" t="str">
        <f>IFERROR(__xludf.DUMMYFUNCTION("""COMPUTED_VALUE"""),"DECODER DIGITAL HD HNB100 2T")</f>
        <v>DECODER DIGITAL HD HNB100 2T</v>
      </c>
      <c r="B1139" s="22">
        <f>IFERROR(__xludf.DUMMYFUNCTION("""COMPUTED_VALUE"""),4.1001276E7)</f>
        <v>41001276</v>
      </c>
      <c r="C1139" s="21" t="str">
        <f>IFERROR(__xludf.DUMMYFUNCTION("""COMPUTED_VALUE"""),"216734847382")</f>
        <v>216734847382</v>
      </c>
      <c r="D1139" s="21" t="str">
        <f>IFERROR(__xludf.DUMMYFUNCTION("""COMPUTED_VALUE"""),"DIGITEC TECNOLOGIA DIGITAL E REPRES")</f>
        <v>DIGITEC TECNOLOGIA DIGITAL E REPRES</v>
      </c>
      <c r="E1139" s="21">
        <f>IFERROR(__xludf.DUMMYFUNCTION("""COMPUTED_VALUE"""),145359.0)</f>
        <v>145359</v>
      </c>
      <c r="F1139" s="21" t="str">
        <f>IFERROR(__xludf.DUMMYFUNCTION("""COMPUTED_VALUE"""),"TRANSITO REVERSA")</f>
        <v>TRANSITO REVERSA</v>
      </c>
      <c r="G1139" s="23">
        <f>IFERROR(__xludf.DUMMYFUNCTION("""COMPUTED_VALUE"""),45638.52059027778)</f>
        <v>45638.52059</v>
      </c>
      <c r="H1139" s="24" t="str">
        <f>IFERROR(VLOOKUP(B1139,material!A:D,3,0),"")</f>
        <v>TOP MIX</v>
      </c>
    </row>
    <row r="1140" ht="11.25" customHeight="1">
      <c r="A1140" s="21" t="str">
        <f>IFERROR(__xludf.DUMMYFUNCTION("""COMPUTED_VALUE"""),"DECODER DIGITAL HD DXC5000 2T")</f>
        <v>DECODER DIGITAL HD DXC5000 2T</v>
      </c>
      <c r="B1140" s="22">
        <f>IFERROR(__xludf.DUMMYFUNCTION("""COMPUTED_VALUE"""),4.1001277E7)</f>
        <v>41001277</v>
      </c>
      <c r="C1140" s="21" t="str">
        <f>IFERROR(__xludf.DUMMYFUNCTION("""COMPUTED_VALUE"""),"216693427986")</f>
        <v>216693427986</v>
      </c>
      <c r="D1140" s="21" t="str">
        <f>IFERROR(__xludf.DUMMYFUNCTION("""COMPUTED_VALUE"""),"DIGITEC TECNOLOGIA DIGITAL E REPRES")</f>
        <v>DIGITEC TECNOLOGIA DIGITAL E REPRES</v>
      </c>
      <c r="E1140" s="21">
        <f>IFERROR(__xludf.DUMMYFUNCTION("""COMPUTED_VALUE"""),145359.0)</f>
        <v>145359</v>
      </c>
      <c r="F1140" s="21" t="str">
        <f>IFERROR(__xludf.DUMMYFUNCTION("""COMPUTED_VALUE"""),"INICIALIZADO")</f>
        <v>INICIALIZADO</v>
      </c>
      <c r="G1140" s="23">
        <f>IFERROR(__xludf.DUMMYFUNCTION("""COMPUTED_VALUE"""),45635.30666666667)</f>
        <v>45635.30667</v>
      </c>
      <c r="H1140" s="24" t="str">
        <f>IFERROR(VLOOKUP(B1140,material!A:D,3,0),"")</f>
        <v>TOP MIX</v>
      </c>
    </row>
    <row r="1141" ht="11.25" customHeight="1">
      <c r="A1141" s="21" t="str">
        <f>IFERROR(__xludf.DUMMYFUNCTION("""COMPUTED_VALUE"""),"HUMAX HGB10R-02")</f>
        <v>HUMAX HGB10R-02</v>
      </c>
      <c r="B1141" s="22">
        <f>IFERROR(__xludf.DUMMYFUNCTION("""COMPUTED_VALUE"""),4.1001292E7)</f>
        <v>41001292</v>
      </c>
      <c r="C1141" s="21" t="str">
        <f>IFERROR(__xludf.DUMMYFUNCTION("""COMPUTED_VALUE"""),"942CB395986C")</f>
        <v>942CB395986C</v>
      </c>
      <c r="D1141" s="21" t="str">
        <f>IFERROR(__xludf.DUMMYFUNCTION("""COMPUTED_VALUE"""),"DIGITEC TECNOLOGIA DIGITAL E REPRES")</f>
        <v>DIGITEC TECNOLOGIA DIGITAL E REPRES</v>
      </c>
      <c r="E1141" s="21">
        <f>IFERROR(__xludf.DUMMYFUNCTION("""COMPUTED_VALUE"""),145359.0)</f>
        <v>145359</v>
      </c>
      <c r="F1141" s="21" t="str">
        <f>IFERROR(__xludf.DUMMYFUNCTION("""COMPUTED_VALUE"""),"TRANSITO REVERSA")</f>
        <v>TRANSITO REVERSA</v>
      </c>
      <c r="G1141" s="23">
        <f>IFERROR(__xludf.DUMMYFUNCTION("""COMPUTED_VALUE"""),45610.73042824074)</f>
        <v>45610.73043</v>
      </c>
      <c r="H1141" s="24" t="str">
        <f>IFERROR(VLOOKUP(B1141,material!A:D,3,0),"")</f>
        <v>DUAL</v>
      </c>
    </row>
    <row r="1142" ht="11.25" customHeight="1">
      <c r="A1142" s="21" t="str">
        <f>IFERROR(__xludf.DUMMYFUNCTION("""COMPUTED_VALUE"""),"HUMAX HGB10R-02")</f>
        <v>HUMAX HGB10R-02</v>
      </c>
      <c r="B1142" s="22">
        <f>IFERROR(__xludf.DUMMYFUNCTION("""COMPUTED_VALUE"""),4.1001292E7)</f>
        <v>41001292</v>
      </c>
      <c r="C1142" s="21" t="str">
        <f>IFERROR(__xludf.DUMMYFUNCTION("""COMPUTED_VALUE"""),"E820E24E833A")</f>
        <v>E820E24E833A</v>
      </c>
      <c r="D1142" s="21" t="str">
        <f>IFERROR(__xludf.DUMMYFUNCTION("""COMPUTED_VALUE"""),"DIGITEC TECNOLOGIA DIGITAL E REPRES")</f>
        <v>DIGITEC TECNOLOGIA DIGITAL E REPRES</v>
      </c>
      <c r="E1142" s="21">
        <f>IFERROR(__xludf.DUMMYFUNCTION("""COMPUTED_VALUE"""),145359.0)</f>
        <v>145359</v>
      </c>
      <c r="F1142" s="21" t="str">
        <f>IFERROR(__xludf.DUMMYFUNCTION("""COMPUTED_VALUE"""),"TRANSITO REVERSA")</f>
        <v>TRANSITO REVERSA</v>
      </c>
      <c r="G1142" s="23">
        <f>IFERROR(__xludf.DUMMYFUNCTION("""COMPUTED_VALUE"""),45610.73042824074)</f>
        <v>45610.73043</v>
      </c>
      <c r="H1142" s="24" t="str">
        <f>IFERROR(VLOOKUP(B1142,material!A:D,3,0),"")</f>
        <v>DUAL</v>
      </c>
    </row>
    <row r="1143" ht="11.25" customHeight="1">
      <c r="A1143" s="21" t="str">
        <f>IFERROR(__xludf.DUMMYFUNCTION("""COMPUTED_VALUE"""),"DECODER DIGITAL HD HNB100 2T")</f>
        <v>DECODER DIGITAL HD HNB100 2T</v>
      </c>
      <c r="B1143" s="22">
        <f>IFERROR(__xludf.DUMMYFUNCTION("""COMPUTED_VALUE"""),4.1001276E7)</f>
        <v>41001276</v>
      </c>
      <c r="C1143" s="21" t="str">
        <f>IFERROR(__xludf.DUMMYFUNCTION("""COMPUTED_VALUE"""),"216837176976")</f>
        <v>216837176976</v>
      </c>
      <c r="D1143" s="21" t="str">
        <f>IFERROR(__xludf.DUMMYFUNCTION("""COMPUTED_VALUE"""),"DIGITEC TECNOLOGIA DIGITAL E REPRES")</f>
        <v>DIGITEC TECNOLOGIA DIGITAL E REPRES</v>
      </c>
      <c r="E1143" s="21">
        <f>IFERROR(__xludf.DUMMYFUNCTION("""COMPUTED_VALUE"""),145359.0)</f>
        <v>145359</v>
      </c>
      <c r="F1143" s="21" t="str">
        <f>IFERROR(__xludf.DUMMYFUNCTION("""COMPUTED_VALUE"""),"TRANSITO REVERSA")</f>
        <v>TRANSITO REVERSA</v>
      </c>
      <c r="G1143" s="23">
        <f>IFERROR(__xludf.DUMMYFUNCTION("""COMPUTED_VALUE"""),45626.29871527778)</f>
        <v>45626.29872</v>
      </c>
      <c r="H1143" s="24" t="str">
        <f>IFERROR(VLOOKUP(B1143,material!A:D,3,0),"")</f>
        <v>TOP MIX</v>
      </c>
    </row>
    <row r="1144" ht="11.25" customHeight="1">
      <c r="A1144" s="21" t="str">
        <f>IFERROR(__xludf.DUMMYFUNCTION("""COMPUTED_VALUE"""),"DECODER DIGITAL HD HNB100 2T")</f>
        <v>DECODER DIGITAL HD HNB100 2T</v>
      </c>
      <c r="B1144" s="22">
        <f>IFERROR(__xludf.DUMMYFUNCTION("""COMPUTED_VALUE"""),4.1001276E7)</f>
        <v>41001276</v>
      </c>
      <c r="C1144" s="21" t="str">
        <f>IFERROR(__xludf.DUMMYFUNCTION("""COMPUTED_VALUE"""),"216736489608")</f>
        <v>216736489608</v>
      </c>
      <c r="D1144" s="21" t="str">
        <f>IFERROR(__xludf.DUMMYFUNCTION("""COMPUTED_VALUE"""),"DIGITEC TECNOLOGIA DIGITAL E REPRES")</f>
        <v>DIGITEC TECNOLOGIA DIGITAL E REPRES</v>
      </c>
      <c r="E1144" s="21">
        <f>IFERROR(__xludf.DUMMYFUNCTION("""COMPUTED_VALUE"""),145359.0)</f>
        <v>145359</v>
      </c>
      <c r="F1144" s="21" t="str">
        <f>IFERROR(__xludf.DUMMYFUNCTION("""COMPUTED_VALUE"""),"INICIALIZADO")</f>
        <v>INICIALIZADO</v>
      </c>
      <c r="G1144" s="23">
        <f>IFERROR(__xludf.DUMMYFUNCTION("""COMPUTED_VALUE"""),45635.535)</f>
        <v>45635.535</v>
      </c>
      <c r="H1144" s="24" t="str">
        <f>IFERROR(VLOOKUP(B1144,material!A:D,3,0),"")</f>
        <v>TOP MIX</v>
      </c>
    </row>
    <row r="1145" ht="11.25" customHeight="1">
      <c r="A1145" s="21" t="str">
        <f>IFERROR(__xludf.DUMMYFUNCTION("""COMPUTED_VALUE"""),"DECODER DIGITAL HD HNB100 2T")</f>
        <v>DECODER DIGITAL HD HNB100 2T</v>
      </c>
      <c r="B1145" s="22">
        <f>IFERROR(__xludf.DUMMYFUNCTION("""COMPUTED_VALUE"""),4.1001276E7)</f>
        <v>41001276</v>
      </c>
      <c r="C1145" s="21" t="str">
        <f>IFERROR(__xludf.DUMMYFUNCTION("""COMPUTED_VALUE"""),"216734102024")</f>
        <v>216734102024</v>
      </c>
      <c r="D1145" s="21" t="str">
        <f>IFERROR(__xludf.DUMMYFUNCTION("""COMPUTED_VALUE"""),"DIGITEC TECNOLOGIA DIGITAL E REPRES")</f>
        <v>DIGITEC TECNOLOGIA DIGITAL E REPRES</v>
      </c>
      <c r="E1145" s="21">
        <f>IFERROR(__xludf.DUMMYFUNCTION("""COMPUTED_VALUE"""),145359.0)</f>
        <v>145359</v>
      </c>
      <c r="F1145" s="21" t="str">
        <f>IFERROR(__xludf.DUMMYFUNCTION("""COMPUTED_VALUE"""),"INICIALIZADO")</f>
        <v>INICIALIZADO</v>
      </c>
      <c r="G1145" s="23">
        <f>IFERROR(__xludf.DUMMYFUNCTION("""COMPUTED_VALUE"""),45635.535)</f>
        <v>45635.535</v>
      </c>
      <c r="H1145" s="24" t="str">
        <f>IFERROR(VLOOKUP(B1145,material!A:D,3,0),"")</f>
        <v>TOP MIX</v>
      </c>
    </row>
    <row r="1146" ht="11.25" customHeight="1">
      <c r="A1146" s="21" t="str">
        <f>IFERROR(__xludf.DUMMYFUNCTION("""COMPUTED_VALUE"""),"DECODER DIGITAL HD HNB100 2T")</f>
        <v>DECODER DIGITAL HD HNB100 2T</v>
      </c>
      <c r="B1146" s="22">
        <f>IFERROR(__xludf.DUMMYFUNCTION("""COMPUTED_VALUE"""),4.1001276E7)</f>
        <v>41001276</v>
      </c>
      <c r="C1146" s="21" t="str">
        <f>IFERROR(__xludf.DUMMYFUNCTION("""COMPUTED_VALUE"""),"216403674961")</f>
        <v>216403674961</v>
      </c>
      <c r="D1146" s="21" t="str">
        <f>IFERROR(__xludf.DUMMYFUNCTION("""COMPUTED_VALUE"""),"DIGITEC TECNOLOGIA DIGITAL E REPRES")</f>
        <v>DIGITEC TECNOLOGIA DIGITAL E REPRES</v>
      </c>
      <c r="E1146" s="21">
        <f>IFERROR(__xludf.DUMMYFUNCTION("""COMPUTED_VALUE"""),145359.0)</f>
        <v>145359</v>
      </c>
      <c r="F1146" s="21" t="str">
        <f>IFERROR(__xludf.DUMMYFUNCTION("""COMPUTED_VALUE"""),"INICIALIZADO")</f>
        <v>INICIALIZADO</v>
      </c>
      <c r="G1146" s="23">
        <f>IFERROR(__xludf.DUMMYFUNCTION("""COMPUTED_VALUE"""),45635.53503472223)</f>
        <v>45635.53503</v>
      </c>
      <c r="H1146" s="24" t="str">
        <f>IFERROR(VLOOKUP(B1146,material!A:D,3,0),"")</f>
        <v>TOP MIX</v>
      </c>
    </row>
    <row r="1147" ht="11.25" customHeight="1">
      <c r="A1147" s="21" t="str">
        <f>IFERROR(__xludf.DUMMYFUNCTION("""COMPUTED_VALUE"""),"DECODER DIGITAL HD HNB100 2T")</f>
        <v>DECODER DIGITAL HD HNB100 2T</v>
      </c>
      <c r="B1147" s="22">
        <f>IFERROR(__xludf.DUMMYFUNCTION("""COMPUTED_VALUE"""),4.1001276E7)</f>
        <v>41001276</v>
      </c>
      <c r="C1147" s="21" t="str">
        <f>IFERROR(__xludf.DUMMYFUNCTION("""COMPUTED_VALUE"""),"216836696974")</f>
        <v>216836696974</v>
      </c>
      <c r="D1147" s="21" t="str">
        <f>IFERROR(__xludf.DUMMYFUNCTION("""COMPUTED_VALUE"""),"DIGITEC TECNOLOGIA DIGITAL E REPRES")</f>
        <v>DIGITEC TECNOLOGIA DIGITAL E REPRES</v>
      </c>
      <c r="E1147" s="21">
        <f>IFERROR(__xludf.DUMMYFUNCTION("""COMPUTED_VALUE"""),145359.0)</f>
        <v>145359</v>
      </c>
      <c r="F1147" s="21" t="str">
        <f>IFERROR(__xludf.DUMMYFUNCTION("""COMPUTED_VALUE"""),"INICIALIZADO")</f>
        <v>INICIALIZADO</v>
      </c>
      <c r="G1147" s="23">
        <f>IFERROR(__xludf.DUMMYFUNCTION("""COMPUTED_VALUE"""),45635.53503472223)</f>
        <v>45635.53503</v>
      </c>
      <c r="H1147" s="24" t="str">
        <f>IFERROR(VLOOKUP(B1147,material!A:D,3,0),"")</f>
        <v>TOP MIX</v>
      </c>
    </row>
    <row r="1148" ht="11.25" customHeight="1">
      <c r="A1148" s="21" t="str">
        <f>IFERROR(__xludf.DUMMYFUNCTION("""COMPUTED_VALUE"""),"DECODER DIGITAL HD HNB100 2T")</f>
        <v>DECODER DIGITAL HD HNB100 2T</v>
      </c>
      <c r="B1148" s="22">
        <f>IFERROR(__xludf.DUMMYFUNCTION("""COMPUTED_VALUE"""),4.1001276E7)</f>
        <v>41001276</v>
      </c>
      <c r="C1148" s="21" t="str">
        <f>IFERROR(__xludf.DUMMYFUNCTION("""COMPUTED_VALUE"""),"216358257374")</f>
        <v>216358257374</v>
      </c>
      <c r="D1148" s="21" t="str">
        <f>IFERROR(__xludf.DUMMYFUNCTION("""COMPUTED_VALUE"""),"DIGITEC TECNOLOGIA DIGITAL E REPRES")</f>
        <v>DIGITEC TECNOLOGIA DIGITAL E REPRES</v>
      </c>
      <c r="E1148" s="21">
        <f>IFERROR(__xludf.DUMMYFUNCTION("""COMPUTED_VALUE"""),145359.0)</f>
        <v>145359</v>
      </c>
      <c r="F1148" s="21" t="str">
        <f>IFERROR(__xludf.DUMMYFUNCTION("""COMPUTED_VALUE"""),"INICIALIZADO")</f>
        <v>INICIALIZADO</v>
      </c>
      <c r="G1148" s="23">
        <f>IFERROR(__xludf.DUMMYFUNCTION("""COMPUTED_VALUE"""),45635.535057870366)</f>
        <v>45635.53506</v>
      </c>
      <c r="H1148" s="24" t="str">
        <f>IFERROR(VLOOKUP(B1148,material!A:D,3,0),"")</f>
        <v>TOP MIX</v>
      </c>
    </row>
    <row r="1149" ht="11.25" customHeight="1">
      <c r="A1149" s="21" t="str">
        <f>IFERROR(__xludf.DUMMYFUNCTION("""COMPUTED_VALUE"""),"DECODER DIGITAL HD HNB100 2T")</f>
        <v>DECODER DIGITAL HD HNB100 2T</v>
      </c>
      <c r="B1149" s="22">
        <f>IFERROR(__xludf.DUMMYFUNCTION("""COMPUTED_VALUE"""),4.1001276E7)</f>
        <v>41001276</v>
      </c>
      <c r="C1149" s="21" t="str">
        <f>IFERROR(__xludf.DUMMYFUNCTION("""COMPUTED_VALUE"""),"216629428990")</f>
        <v>216629428990</v>
      </c>
      <c r="D1149" s="21" t="str">
        <f>IFERROR(__xludf.DUMMYFUNCTION("""COMPUTED_VALUE"""),"DIGITEC TECNOLOGIA DIGITAL E REPRES")</f>
        <v>DIGITEC TECNOLOGIA DIGITAL E REPRES</v>
      </c>
      <c r="E1149" s="21">
        <f>IFERROR(__xludf.DUMMYFUNCTION("""COMPUTED_VALUE"""),145359.0)</f>
        <v>145359</v>
      </c>
      <c r="F1149" s="21" t="str">
        <f>IFERROR(__xludf.DUMMYFUNCTION("""COMPUTED_VALUE"""),"INICIALIZADO")</f>
        <v>INICIALIZADO</v>
      </c>
      <c r="G1149" s="23">
        <f>IFERROR(__xludf.DUMMYFUNCTION("""COMPUTED_VALUE"""),45635.53506944445)</f>
        <v>45635.53507</v>
      </c>
      <c r="H1149" s="24" t="str">
        <f>IFERROR(VLOOKUP(B1149,material!A:D,3,0),"")</f>
        <v>TOP MIX</v>
      </c>
    </row>
    <row r="1150" ht="11.25" customHeight="1">
      <c r="A1150" s="21" t="str">
        <f>IFERROR(__xludf.DUMMYFUNCTION("""COMPUTED_VALUE"""),"DECODER DIGITAL HD HNB100 2T")</f>
        <v>DECODER DIGITAL HD HNB100 2T</v>
      </c>
      <c r="B1150" s="22">
        <f>IFERROR(__xludf.DUMMYFUNCTION("""COMPUTED_VALUE"""),4.1001276E7)</f>
        <v>41001276</v>
      </c>
      <c r="C1150" s="21" t="str">
        <f>IFERROR(__xludf.DUMMYFUNCTION("""COMPUTED_VALUE"""),"216834251125")</f>
        <v>216834251125</v>
      </c>
      <c r="D1150" s="21" t="str">
        <f>IFERROR(__xludf.DUMMYFUNCTION("""COMPUTED_VALUE"""),"DIGITEC TECNOLOGIA DIGITAL E REPRES")</f>
        <v>DIGITEC TECNOLOGIA DIGITAL E REPRES</v>
      </c>
      <c r="E1150" s="21">
        <f>IFERROR(__xludf.DUMMYFUNCTION("""COMPUTED_VALUE"""),145359.0)</f>
        <v>145359</v>
      </c>
      <c r="F1150" s="21" t="str">
        <f>IFERROR(__xludf.DUMMYFUNCTION("""COMPUTED_VALUE"""),"INICIALIZADO")</f>
        <v>INICIALIZADO</v>
      </c>
      <c r="G1150" s="23">
        <f>IFERROR(__xludf.DUMMYFUNCTION("""COMPUTED_VALUE"""),45635.53503472223)</f>
        <v>45635.53503</v>
      </c>
      <c r="H1150" s="24" t="str">
        <f>IFERROR(VLOOKUP(B1150,material!A:D,3,0),"")</f>
        <v>TOP MIX</v>
      </c>
    </row>
    <row r="1151" ht="11.25" customHeight="1">
      <c r="A1151" s="21" t="str">
        <f>IFERROR(__xludf.DUMMYFUNCTION("""COMPUTED_VALUE"""),"SMART SIM CARD NAGRA")</f>
        <v>SMART SIM CARD NAGRA</v>
      </c>
      <c r="B1151" s="22">
        <f>IFERROR(__xludf.DUMMYFUNCTION("""COMPUTED_VALUE"""),4.1000805E7)</f>
        <v>41000805</v>
      </c>
      <c r="C1151" s="21" t="str">
        <f>IFERROR(__xludf.DUMMYFUNCTION("""COMPUTED_VALUE"""),"246466906873")</f>
        <v>246466906873</v>
      </c>
      <c r="D1151" s="21" t="str">
        <f>IFERROR(__xludf.DUMMYFUNCTION("""COMPUTED_VALUE"""),"DIGITEC TECNOLOGIA DIGITAL E REPRES")</f>
        <v>DIGITEC TECNOLOGIA DIGITAL E REPRES</v>
      </c>
      <c r="E1151" s="21">
        <f>IFERROR(__xludf.DUMMYFUNCTION("""COMPUTED_VALUE"""),145359.0)</f>
        <v>145359</v>
      </c>
      <c r="F1151" s="21" t="str">
        <f>IFERROR(__xludf.DUMMYFUNCTION("""COMPUTED_VALUE"""),"INICIALIZADO")</f>
        <v>INICIALIZADO</v>
      </c>
      <c r="G1151" s="23">
        <f>IFERROR(__xludf.DUMMYFUNCTION("""COMPUTED_VALUE"""),45000.362905092596)</f>
        <v>45000.36291</v>
      </c>
      <c r="H1151" s="24" t="str">
        <f>IFERROR(VLOOKUP(B1151,material!A:D,3,0),"")</f>
        <v>SIM CARD</v>
      </c>
    </row>
    <row r="1152" ht="11.25" customHeight="1">
      <c r="A1152" s="21" t="str">
        <f>IFERROR(__xludf.DUMMYFUNCTION("""COMPUTED_VALUE"""),"SMART CARD PRETO NAGRA")</f>
        <v>SMART CARD PRETO NAGRA</v>
      </c>
      <c r="B1152" s="22">
        <f>IFERROR(__xludf.DUMMYFUNCTION("""COMPUTED_VALUE"""),4.1001234E7)</f>
        <v>41001234</v>
      </c>
      <c r="C1152" s="21" t="str">
        <f>IFERROR(__xludf.DUMMYFUNCTION("""COMPUTED_VALUE"""),"226309002731")</f>
        <v>226309002731</v>
      </c>
      <c r="D1152" s="21" t="str">
        <f>IFERROR(__xludf.DUMMYFUNCTION("""COMPUTED_VALUE"""),"DIGITEC TECNOLOGIA DIGITAL E REPRES")</f>
        <v>DIGITEC TECNOLOGIA DIGITAL E REPRES</v>
      </c>
      <c r="E1152" s="21">
        <f>IFERROR(__xludf.DUMMYFUNCTION("""COMPUTED_VALUE"""),145359.0)</f>
        <v>145359</v>
      </c>
      <c r="F1152" s="21" t="str">
        <f>IFERROR(__xludf.DUMMYFUNCTION("""COMPUTED_VALUE"""),"TRANSITO REVERSA")</f>
        <v>TRANSITO REVERSA</v>
      </c>
      <c r="G1152" s="23">
        <f>IFERROR(__xludf.DUMMYFUNCTION("""COMPUTED_VALUE"""),45577.86790509259)</f>
        <v>45577.86791</v>
      </c>
      <c r="H1152" s="24" t="str">
        <f>IFERROR(VLOOKUP(B1152,material!A:D,3,0),"")</f>
        <v>CARD</v>
      </c>
    </row>
    <row r="1153" ht="11.25" customHeight="1">
      <c r="A1153" s="21" t="str">
        <f>IFERROR(__xludf.DUMMYFUNCTION("""COMPUTED_VALUE"""),"SMART CARD PRETO NAGRA")</f>
        <v>SMART CARD PRETO NAGRA</v>
      </c>
      <c r="B1153" s="22">
        <f>IFERROR(__xludf.DUMMYFUNCTION("""COMPUTED_VALUE"""),4.1001234E7)</f>
        <v>41001234</v>
      </c>
      <c r="C1153" s="21" t="str">
        <f>IFERROR(__xludf.DUMMYFUNCTION("""COMPUTED_VALUE"""),"246283821217")</f>
        <v>246283821217</v>
      </c>
      <c r="D1153" s="21" t="str">
        <f>IFERROR(__xludf.DUMMYFUNCTION("""COMPUTED_VALUE"""),"DIGITEC TECNOLOGIA DIGITAL E REPRES")</f>
        <v>DIGITEC TECNOLOGIA DIGITAL E REPRES</v>
      </c>
      <c r="E1153" s="21">
        <f>IFERROR(__xludf.DUMMYFUNCTION("""COMPUTED_VALUE"""),145359.0)</f>
        <v>145359</v>
      </c>
      <c r="F1153" s="21" t="str">
        <f>IFERROR(__xludf.DUMMYFUNCTION("""COMPUTED_VALUE"""),"INICIALIZADO")</f>
        <v>INICIALIZADO</v>
      </c>
      <c r="G1153" s="23">
        <f>IFERROR(__xludf.DUMMYFUNCTION("""COMPUTED_VALUE"""),45600.47596064815)</f>
        <v>45600.47596</v>
      </c>
      <c r="H1153" s="24" t="str">
        <f>IFERROR(VLOOKUP(B1153,material!A:D,3,0),"")</f>
        <v>CARD</v>
      </c>
    </row>
    <row r="1154" ht="11.25" customHeight="1">
      <c r="A1154" s="21" t="str">
        <f>IFERROR(__xludf.DUMMYFUNCTION("""COMPUTED_VALUE"""),"ARRIS TG1692A")</f>
        <v>ARRIS TG1692A</v>
      </c>
      <c r="B1154" s="22">
        <f>IFERROR(__xludf.DUMMYFUNCTION("""COMPUTED_VALUE"""),4.1001293E7)</f>
        <v>41001293</v>
      </c>
      <c r="C1154" s="21" t="str">
        <f>IFERROR(__xludf.DUMMYFUNCTION("""COMPUTED_VALUE"""),"B0DAF962E2E9")</f>
        <v>B0DAF962E2E9</v>
      </c>
      <c r="D1154" s="21" t="str">
        <f>IFERROR(__xludf.DUMMYFUNCTION("""COMPUTED_VALUE"""),"DIGITEC TECNOLOGIA DIGITAL E REPRES")</f>
        <v>DIGITEC TECNOLOGIA DIGITAL E REPRES</v>
      </c>
      <c r="E1154" s="21">
        <f>IFERROR(__xludf.DUMMYFUNCTION("""COMPUTED_VALUE"""),145359.0)</f>
        <v>145359</v>
      </c>
      <c r="F1154" s="21" t="str">
        <f>IFERROR(__xludf.DUMMYFUNCTION("""COMPUTED_VALUE"""),"TRANSITO REVERSA")</f>
        <v>TRANSITO REVERSA</v>
      </c>
      <c r="G1154" s="23">
        <f>IFERROR(__xludf.DUMMYFUNCTION("""COMPUTED_VALUE"""),45633.00533564815)</f>
        <v>45633.00534</v>
      </c>
      <c r="H1154" s="24" t="str">
        <f>IFERROR(VLOOKUP(B1154,material!A:D,3,0),"")</f>
        <v>DUAL</v>
      </c>
    </row>
    <row r="1155" ht="11.25" customHeight="1">
      <c r="A1155" s="21" t="str">
        <f>IFERROR(__xludf.DUMMYFUNCTION("""COMPUTED_VALUE"""),"ARRIS TG1692A")</f>
        <v>ARRIS TG1692A</v>
      </c>
      <c r="B1155" s="22">
        <f>IFERROR(__xludf.DUMMYFUNCTION("""COMPUTED_VALUE"""),4.1001293E7)</f>
        <v>41001293</v>
      </c>
      <c r="C1155" s="21" t="str">
        <f>IFERROR(__xludf.DUMMYFUNCTION("""COMPUTED_VALUE"""),"B0DAF94F76A3")</f>
        <v>B0DAF94F76A3</v>
      </c>
      <c r="D1155" s="21" t="str">
        <f>IFERROR(__xludf.DUMMYFUNCTION("""COMPUTED_VALUE"""),"DIGITEC TECNOLOGIA DIGITAL E REPRES")</f>
        <v>DIGITEC TECNOLOGIA DIGITAL E REPRES</v>
      </c>
      <c r="E1155" s="21">
        <f>IFERROR(__xludf.DUMMYFUNCTION("""COMPUTED_VALUE"""),145359.0)</f>
        <v>145359</v>
      </c>
      <c r="F1155" s="21" t="str">
        <f>IFERROR(__xludf.DUMMYFUNCTION("""COMPUTED_VALUE"""),"TRANSITO REVERSA")</f>
        <v>TRANSITO REVERSA</v>
      </c>
      <c r="G1155" s="23">
        <f>IFERROR(__xludf.DUMMYFUNCTION("""COMPUTED_VALUE"""),45626.298692129625)</f>
        <v>45626.29869</v>
      </c>
      <c r="H1155" s="24" t="str">
        <f>IFERROR(VLOOKUP(B1155,material!A:D,3,0),"")</f>
        <v>DUAL</v>
      </c>
    </row>
    <row r="1156" ht="11.25" customHeight="1">
      <c r="A1156" s="21" t="str">
        <f>IFERROR(__xludf.DUMMYFUNCTION("""COMPUTED_VALUE"""),"SMART CARD PRETO NAGRA")</f>
        <v>SMART CARD PRETO NAGRA</v>
      </c>
      <c r="B1156" s="22">
        <f>IFERROR(__xludf.DUMMYFUNCTION("""COMPUTED_VALUE"""),4.1001234E7)</f>
        <v>41001234</v>
      </c>
      <c r="C1156" s="21" t="str">
        <f>IFERROR(__xludf.DUMMYFUNCTION("""COMPUTED_VALUE"""),"246245858487")</f>
        <v>246245858487</v>
      </c>
      <c r="D1156" s="21" t="str">
        <f>IFERROR(__xludf.DUMMYFUNCTION("""COMPUTED_VALUE"""),"DIGITEC TECNOLOGIA DIGITAL E REPRES")</f>
        <v>DIGITEC TECNOLOGIA DIGITAL E REPRES</v>
      </c>
      <c r="E1156" s="21">
        <f>IFERROR(__xludf.DUMMYFUNCTION("""COMPUTED_VALUE"""),145359.0)</f>
        <v>145359</v>
      </c>
      <c r="F1156" s="21" t="str">
        <f>IFERROR(__xludf.DUMMYFUNCTION("""COMPUTED_VALUE"""),"TRANSITO REVERSA")</f>
        <v>TRANSITO REVERSA</v>
      </c>
      <c r="G1156" s="23">
        <f>IFERROR(__xludf.DUMMYFUNCTION("""COMPUTED_VALUE"""),45638.520625000005)</f>
        <v>45638.52063</v>
      </c>
      <c r="H1156" s="24" t="str">
        <f>IFERROR(VLOOKUP(B1156,material!A:D,3,0),"")</f>
        <v>CARD</v>
      </c>
    </row>
    <row r="1157" ht="11.25" customHeight="1">
      <c r="A1157" s="21" t="str">
        <f>IFERROR(__xludf.DUMMYFUNCTION("""COMPUTED_VALUE"""),"SMART CARD PRETO NAGRA")</f>
        <v>SMART CARD PRETO NAGRA</v>
      </c>
      <c r="B1157" s="22">
        <f>IFERROR(__xludf.DUMMYFUNCTION("""COMPUTED_VALUE"""),4.1001234E7)</f>
        <v>41001234</v>
      </c>
      <c r="C1157" s="21" t="str">
        <f>IFERROR(__xludf.DUMMYFUNCTION("""COMPUTED_VALUE"""),"246233214044")</f>
        <v>246233214044</v>
      </c>
      <c r="D1157" s="21" t="str">
        <f>IFERROR(__xludf.DUMMYFUNCTION("""COMPUTED_VALUE"""),"DIGITEC TECNOLOGIA DIGITAL E REPRES")</f>
        <v>DIGITEC TECNOLOGIA DIGITAL E REPRES</v>
      </c>
      <c r="E1157" s="21">
        <f>IFERROR(__xludf.DUMMYFUNCTION("""COMPUTED_VALUE"""),145359.0)</f>
        <v>145359</v>
      </c>
      <c r="F1157" s="21" t="str">
        <f>IFERROR(__xludf.DUMMYFUNCTION("""COMPUTED_VALUE"""),"INICIALIZADO")</f>
        <v>INICIALIZADO</v>
      </c>
      <c r="G1157" s="23">
        <f>IFERROR(__xludf.DUMMYFUNCTION("""COMPUTED_VALUE"""),45635.53493055556)</f>
        <v>45635.53493</v>
      </c>
      <c r="H1157" s="24" t="str">
        <f>IFERROR(VLOOKUP(B1157,material!A:D,3,0),"")</f>
        <v>CARD</v>
      </c>
    </row>
    <row r="1158" ht="11.25" customHeight="1">
      <c r="A1158" s="21" t="str">
        <f>IFERROR(__xludf.DUMMYFUNCTION("""COMPUTED_VALUE"""),"SMART CARD PRETO NAGRA")</f>
        <v>SMART CARD PRETO NAGRA</v>
      </c>
      <c r="B1158" s="22">
        <f>IFERROR(__xludf.DUMMYFUNCTION("""COMPUTED_VALUE"""),4.1001234E7)</f>
        <v>41001234</v>
      </c>
      <c r="C1158" s="21" t="str">
        <f>IFERROR(__xludf.DUMMYFUNCTION("""COMPUTED_VALUE"""),"246215475859")</f>
        <v>246215475859</v>
      </c>
      <c r="D1158" s="21" t="str">
        <f>IFERROR(__xludf.DUMMYFUNCTION("""COMPUTED_VALUE"""),"DIGITEC TECNOLOGIA DIGITAL E REPRES")</f>
        <v>DIGITEC TECNOLOGIA DIGITAL E REPRES</v>
      </c>
      <c r="E1158" s="21">
        <f>IFERROR(__xludf.DUMMYFUNCTION("""COMPUTED_VALUE"""),145359.0)</f>
        <v>145359</v>
      </c>
      <c r="F1158" s="21" t="str">
        <f>IFERROR(__xludf.DUMMYFUNCTION("""COMPUTED_VALUE"""),"INICIALIZADO")</f>
        <v>INICIALIZADO</v>
      </c>
      <c r="G1158" s="23">
        <f>IFERROR(__xludf.DUMMYFUNCTION("""COMPUTED_VALUE"""),45635.53493055556)</f>
        <v>45635.53493</v>
      </c>
      <c r="H1158" s="24" t="str">
        <f>IFERROR(VLOOKUP(B1158,material!A:D,3,0),"")</f>
        <v>CARD</v>
      </c>
    </row>
    <row r="1159" ht="11.25" customHeight="1">
      <c r="A1159" s="21" t="str">
        <f>IFERROR(__xludf.DUMMYFUNCTION("""COMPUTED_VALUE"""),"SMART CARD PRETO NAGRA")</f>
        <v>SMART CARD PRETO NAGRA</v>
      </c>
      <c r="B1159" s="22">
        <f>IFERROR(__xludf.DUMMYFUNCTION("""COMPUTED_VALUE"""),4.1001234E7)</f>
        <v>41001234</v>
      </c>
      <c r="C1159" s="21" t="str">
        <f>IFERROR(__xludf.DUMMYFUNCTION("""COMPUTED_VALUE"""),"246256930916")</f>
        <v>246256930916</v>
      </c>
      <c r="D1159" s="21" t="str">
        <f>IFERROR(__xludf.DUMMYFUNCTION("""COMPUTED_VALUE"""),"DIGITEC TECNOLOGIA DIGITAL E REPRES")</f>
        <v>DIGITEC TECNOLOGIA DIGITAL E REPRES</v>
      </c>
      <c r="E1159" s="21">
        <f>IFERROR(__xludf.DUMMYFUNCTION("""COMPUTED_VALUE"""),145359.0)</f>
        <v>145359</v>
      </c>
      <c r="F1159" s="21" t="str">
        <f>IFERROR(__xludf.DUMMYFUNCTION("""COMPUTED_VALUE"""),"INICIALIZADO")</f>
        <v>INICIALIZADO</v>
      </c>
      <c r="G1159" s="23">
        <f>IFERROR(__xludf.DUMMYFUNCTION("""COMPUTED_VALUE"""),45635.53493055556)</f>
        <v>45635.53493</v>
      </c>
      <c r="H1159" s="24" t="str">
        <f>IFERROR(VLOOKUP(B1159,material!A:D,3,0),"")</f>
        <v>CARD</v>
      </c>
    </row>
    <row r="1160" ht="11.25" customHeight="1">
      <c r="A1160" s="21" t="str">
        <f>IFERROR(__xludf.DUMMYFUNCTION("""COMPUTED_VALUE"""),"DECODER DIGITAL HD DXC5000 2T")</f>
        <v>DECODER DIGITAL HD DXC5000 2T</v>
      </c>
      <c r="B1160" s="22">
        <f>IFERROR(__xludf.DUMMYFUNCTION("""COMPUTED_VALUE"""),4.1001277E7)</f>
        <v>41001277</v>
      </c>
      <c r="C1160" s="21" t="str">
        <f>IFERROR(__xludf.DUMMYFUNCTION("""COMPUTED_VALUE"""),"216777780406")</f>
        <v>216777780406</v>
      </c>
      <c r="D1160" s="21" t="str">
        <f>IFERROR(__xludf.DUMMYFUNCTION("""COMPUTED_VALUE"""),"DIGITEC TECNOLOGIA DIGITAL E REPRES")</f>
        <v>DIGITEC TECNOLOGIA DIGITAL E REPRES</v>
      </c>
      <c r="E1160" s="21">
        <f>IFERROR(__xludf.DUMMYFUNCTION("""COMPUTED_VALUE"""),145359.0)</f>
        <v>145359</v>
      </c>
      <c r="F1160" s="21" t="str">
        <f>IFERROR(__xludf.DUMMYFUNCTION("""COMPUTED_VALUE"""),"INICIALIZADO")</f>
        <v>INICIALIZADO</v>
      </c>
      <c r="G1160" s="23">
        <f>IFERROR(__xludf.DUMMYFUNCTION("""COMPUTED_VALUE"""),45600.476006944446)</f>
        <v>45600.47601</v>
      </c>
      <c r="H1160" s="24" t="str">
        <f>IFERROR(VLOOKUP(B1160,material!A:D,3,0),"")</f>
        <v>TOP MIX</v>
      </c>
    </row>
    <row r="1161" ht="11.25" customHeight="1">
      <c r="A1161" s="21" t="str">
        <f>IFERROR(__xludf.DUMMYFUNCTION("""COMPUTED_VALUE"""),"SMART CARD PRETO NAGRA")</f>
        <v>SMART CARD PRETO NAGRA</v>
      </c>
      <c r="B1161" s="22">
        <f>IFERROR(__xludf.DUMMYFUNCTION("""COMPUTED_VALUE"""),4.1001234E7)</f>
        <v>41001234</v>
      </c>
      <c r="C1161" s="21" t="str">
        <f>IFERROR(__xludf.DUMMYFUNCTION("""COMPUTED_VALUE"""),"246234289312")</f>
        <v>246234289312</v>
      </c>
      <c r="D1161" s="21" t="str">
        <f>IFERROR(__xludf.DUMMYFUNCTION("""COMPUTED_VALUE"""),"DIGITEC TECNOLOGIA DIGITAL E REPRES")</f>
        <v>DIGITEC TECNOLOGIA DIGITAL E REPRES</v>
      </c>
      <c r="E1161" s="21">
        <f>IFERROR(__xludf.DUMMYFUNCTION("""COMPUTED_VALUE"""),145359.0)</f>
        <v>145359</v>
      </c>
      <c r="F1161" s="21" t="str">
        <f>IFERROR(__xludf.DUMMYFUNCTION("""COMPUTED_VALUE"""),"INICIALIZADO")</f>
        <v>INICIALIZADO</v>
      </c>
      <c r="G1161" s="23">
        <f>IFERROR(__xludf.DUMMYFUNCTION("""COMPUTED_VALUE"""),45642.52410879629)</f>
        <v>45642.52411</v>
      </c>
      <c r="H1161" s="24" t="str">
        <f>IFERROR(VLOOKUP(B1161,material!A:D,3,0),"")</f>
        <v>CARD</v>
      </c>
    </row>
    <row r="1162" ht="11.25" customHeight="1">
      <c r="A1162" s="21" t="str">
        <f>IFERROR(__xludf.DUMMYFUNCTION("""COMPUTED_VALUE"""),"DECODER DIGITAL HD HNB100 2T")</f>
        <v>DECODER DIGITAL HD HNB100 2T</v>
      </c>
      <c r="B1162" s="22">
        <f>IFERROR(__xludf.DUMMYFUNCTION("""COMPUTED_VALUE"""),4.1001276E7)</f>
        <v>41001276</v>
      </c>
      <c r="C1162" s="21" t="str">
        <f>IFERROR(__xludf.DUMMYFUNCTION("""COMPUTED_VALUE"""),"216545130417")</f>
        <v>216545130417</v>
      </c>
      <c r="D1162" s="21" t="str">
        <f>IFERROR(__xludf.DUMMYFUNCTION("""COMPUTED_VALUE"""),"DIGITEC TECNOLOGIA DIGITAL E REPRES")</f>
        <v>DIGITEC TECNOLOGIA DIGITAL E REPRES</v>
      </c>
      <c r="E1162" s="21">
        <f>IFERROR(__xludf.DUMMYFUNCTION("""COMPUTED_VALUE"""),145359.0)</f>
        <v>145359</v>
      </c>
      <c r="F1162" s="21" t="str">
        <f>IFERROR(__xludf.DUMMYFUNCTION("""COMPUTED_VALUE"""),"INICIALIZADO")</f>
        <v>INICIALIZADO</v>
      </c>
      <c r="G1162" s="23">
        <f>IFERROR(__xludf.DUMMYFUNCTION("""COMPUTED_VALUE"""),45635.53508101852)</f>
        <v>45635.53508</v>
      </c>
      <c r="H1162" s="24" t="str">
        <f>IFERROR(VLOOKUP(B1162,material!A:D,3,0),"")</f>
        <v>TOP MIX</v>
      </c>
    </row>
    <row r="1163" ht="11.25" customHeight="1">
      <c r="A1163" s="21" t="str">
        <f>IFERROR(__xludf.DUMMYFUNCTION("""COMPUTED_VALUE"""),"TECHNICOLOR TC7337NET")</f>
        <v>TECHNICOLOR TC7337NET</v>
      </c>
      <c r="B1163" s="22">
        <f>IFERROR(__xludf.DUMMYFUNCTION("""COMPUTED_VALUE"""),4.1001294E7)</f>
        <v>41001294</v>
      </c>
      <c r="C1163" s="21" t="str">
        <f>IFERROR(__xludf.DUMMYFUNCTION("""COMPUTED_VALUE"""),"10C25A1532F7")</f>
        <v>10C25A1532F7</v>
      </c>
      <c r="D1163" s="21" t="str">
        <f>IFERROR(__xludf.DUMMYFUNCTION("""COMPUTED_VALUE"""),"DIGITEC TECNOLOGIA DIGITAL E REPRES")</f>
        <v>DIGITEC TECNOLOGIA DIGITAL E REPRES</v>
      </c>
      <c r="E1163" s="21">
        <f>IFERROR(__xludf.DUMMYFUNCTION("""COMPUTED_VALUE"""),145359.0)</f>
        <v>145359</v>
      </c>
      <c r="F1163" s="21" t="str">
        <f>IFERROR(__xludf.DUMMYFUNCTION("""COMPUTED_VALUE"""),"INICIALIZADO")</f>
        <v>INICIALIZADO</v>
      </c>
      <c r="G1163" s="23">
        <f>IFERROR(__xludf.DUMMYFUNCTION("""COMPUTED_VALUE"""),45618.74476851852)</f>
        <v>45618.74477</v>
      </c>
      <c r="H1163" s="24" t="str">
        <f>IFERROR(VLOOKUP(B1163,material!A:D,3,0),"")</f>
        <v>DUAL</v>
      </c>
    </row>
    <row r="1164" ht="11.25" customHeight="1">
      <c r="A1164" s="21" t="str">
        <f>IFERROR(__xludf.DUMMYFUNCTION("""COMPUTED_VALUE"""),"SMART SIM CARD NAGRA")</f>
        <v>SMART SIM CARD NAGRA</v>
      </c>
      <c r="B1164" s="22">
        <f>IFERROR(__xludf.DUMMYFUNCTION("""COMPUTED_VALUE"""),4.1000805E7)</f>
        <v>41000805</v>
      </c>
      <c r="C1164" s="21" t="str">
        <f>IFERROR(__xludf.DUMMYFUNCTION("""COMPUTED_VALUE"""),"246427467390")</f>
        <v>246427467390</v>
      </c>
      <c r="D1164" s="21" t="str">
        <f>IFERROR(__xludf.DUMMYFUNCTION("""COMPUTED_VALUE"""),"DIGITEC TECNOLOGIA DIGITAL E REPRES")</f>
        <v>DIGITEC TECNOLOGIA DIGITAL E REPRES</v>
      </c>
      <c r="E1164" s="21">
        <f>IFERROR(__xludf.DUMMYFUNCTION("""COMPUTED_VALUE"""),145359.0)</f>
        <v>145359</v>
      </c>
      <c r="F1164" s="21" t="str">
        <f>IFERROR(__xludf.DUMMYFUNCTION("""COMPUTED_VALUE"""),"TRANSITO REVERSA")</f>
        <v>TRANSITO REVERSA</v>
      </c>
      <c r="G1164" s="23">
        <f>IFERROR(__xludf.DUMMYFUNCTION("""COMPUTED_VALUE"""),45626.29871527778)</f>
        <v>45626.29872</v>
      </c>
      <c r="H1164" s="24" t="str">
        <f>IFERROR(VLOOKUP(B1164,material!A:D,3,0),"")</f>
        <v>SIM CARD</v>
      </c>
    </row>
    <row r="1165" ht="11.25" customHeight="1">
      <c r="A1165" s="21" t="str">
        <f>IFERROR(__xludf.DUMMYFUNCTION("""COMPUTED_VALUE"""),"SAG4KC362")</f>
        <v>SAG4KC362</v>
      </c>
      <c r="B1165" s="22">
        <f>IFERROR(__xludf.DUMMYFUNCTION("""COMPUTED_VALUE"""),4.1001068E7)</f>
        <v>41001068</v>
      </c>
      <c r="C1165" s="21" t="str">
        <f>IFERROR(__xludf.DUMMYFUNCTION("""COMPUTED_VALUE"""),"216896533544")</f>
        <v>216896533544</v>
      </c>
      <c r="D1165" s="21" t="str">
        <f>IFERROR(__xludf.DUMMYFUNCTION("""COMPUTED_VALUE"""),"DIGITEC TECNOLOGIA DIGITAL E REPRES")</f>
        <v>DIGITEC TECNOLOGIA DIGITAL E REPRES</v>
      </c>
      <c r="E1165" s="21">
        <f>IFERROR(__xludf.DUMMYFUNCTION("""COMPUTED_VALUE"""),145359.0)</f>
        <v>145359</v>
      </c>
      <c r="F1165" s="21" t="str">
        <f>IFERROR(__xludf.DUMMYFUNCTION("""COMPUTED_VALUE"""),"TRANSITO REVERSA")</f>
        <v>TRANSITO REVERSA</v>
      </c>
      <c r="G1165" s="23">
        <f>IFERROR(__xludf.DUMMYFUNCTION("""COMPUTED_VALUE"""),45633.003379629634)</f>
        <v>45633.00338</v>
      </c>
      <c r="H1165" s="24" t="str">
        <f>IFERROR(VLOOKUP(B1165,material!A:D,3,0),"")</f>
        <v>4K</v>
      </c>
    </row>
    <row r="1166" ht="11.25" customHeight="1">
      <c r="A1166" s="21" t="str">
        <f>IFERROR(__xludf.DUMMYFUNCTION("""COMPUTED_VALUE"""),"SMART CARD LARANJA")</f>
        <v>SMART CARD LARANJA</v>
      </c>
      <c r="B1166" s="22">
        <f>IFERROR(__xludf.DUMMYFUNCTION("""COMPUTED_VALUE"""),4.1001186E7)</f>
        <v>41001186</v>
      </c>
      <c r="C1166" s="21" t="str">
        <f>IFERROR(__xludf.DUMMYFUNCTION("""COMPUTED_VALUE"""),"215741392122")</f>
        <v>215741392122</v>
      </c>
      <c r="D1166" s="21" t="str">
        <f>IFERROR(__xludf.DUMMYFUNCTION("""COMPUTED_VALUE"""),"DIGITEC TECNOLOGIA DIGITAL E REPRES")</f>
        <v>DIGITEC TECNOLOGIA DIGITAL E REPRES</v>
      </c>
      <c r="E1166" s="21">
        <f>IFERROR(__xludf.DUMMYFUNCTION("""COMPUTED_VALUE"""),145359.0)</f>
        <v>145359</v>
      </c>
      <c r="F1166" s="21" t="str">
        <f>IFERROR(__xludf.DUMMYFUNCTION("""COMPUTED_VALUE"""),"SUCATA")</f>
        <v>SUCATA</v>
      </c>
      <c r="G1166" s="23">
        <f>IFERROR(__xludf.DUMMYFUNCTION("""COMPUTED_VALUE"""),45076.62069444444)</f>
        <v>45076.62069</v>
      </c>
      <c r="H1166" s="24" t="str">
        <f>IFERROR(VLOOKUP(B1166,material!A:D,3,0),"")</f>
        <v>CARD</v>
      </c>
    </row>
    <row r="1167" ht="11.25" customHeight="1">
      <c r="A1167" s="21" t="str">
        <f>IFERROR(__xludf.DUMMYFUNCTION("""COMPUTED_VALUE"""),"SMART CARD LARANJA")</f>
        <v>SMART CARD LARANJA</v>
      </c>
      <c r="B1167" s="22">
        <f>IFERROR(__xludf.DUMMYFUNCTION("""COMPUTED_VALUE"""),4.1001186E7)</f>
        <v>41001186</v>
      </c>
      <c r="C1167" s="21" t="str">
        <f>IFERROR(__xludf.DUMMYFUNCTION("""COMPUTED_VALUE"""),"226675504964")</f>
        <v>226675504964</v>
      </c>
      <c r="D1167" s="21" t="str">
        <f>IFERROR(__xludf.DUMMYFUNCTION("""COMPUTED_VALUE"""),"DIGITEC TECNOLOGIA DIGITAL E REPRES")</f>
        <v>DIGITEC TECNOLOGIA DIGITAL E REPRES</v>
      </c>
      <c r="E1167" s="21">
        <f>IFERROR(__xludf.DUMMYFUNCTION("""COMPUTED_VALUE"""),145359.0)</f>
        <v>145359</v>
      </c>
      <c r="F1167" s="21" t="str">
        <f>IFERROR(__xludf.DUMMYFUNCTION("""COMPUTED_VALUE"""),"SUCATA")</f>
        <v>SUCATA</v>
      </c>
      <c r="G1167" s="23">
        <f>IFERROR(__xludf.DUMMYFUNCTION("""COMPUTED_VALUE"""),45075.51188657407)</f>
        <v>45075.51189</v>
      </c>
      <c r="H1167" s="24" t="str">
        <f>IFERROR(VLOOKUP(B1167,material!A:D,3,0),"")</f>
        <v>CARD</v>
      </c>
    </row>
    <row r="1168" ht="11.25" customHeight="1">
      <c r="A1168" s="21" t="str">
        <f>IFERROR(__xludf.DUMMYFUNCTION("""COMPUTED_VALUE"""),"SMART CARD LARANJA")</f>
        <v>SMART CARD LARANJA</v>
      </c>
      <c r="B1168" s="22">
        <f>IFERROR(__xludf.DUMMYFUNCTION("""COMPUTED_VALUE"""),4.1001186E7)</f>
        <v>41001186</v>
      </c>
      <c r="C1168" s="21" t="str">
        <f>IFERROR(__xludf.DUMMYFUNCTION("""COMPUTED_VALUE"""),"215892768690")</f>
        <v>215892768690</v>
      </c>
      <c r="D1168" s="21" t="str">
        <f>IFERROR(__xludf.DUMMYFUNCTION("""COMPUTED_VALUE"""),"DIGITEC TECNOLOGIA DIGITAL E REPRES")</f>
        <v>DIGITEC TECNOLOGIA DIGITAL E REPRES</v>
      </c>
      <c r="E1168" s="21">
        <f>IFERROR(__xludf.DUMMYFUNCTION("""COMPUTED_VALUE"""),145359.0)</f>
        <v>145359</v>
      </c>
      <c r="F1168" s="21" t="str">
        <f>IFERROR(__xludf.DUMMYFUNCTION("""COMPUTED_VALUE"""),"SUCATA")</f>
        <v>SUCATA</v>
      </c>
      <c r="G1168" s="23">
        <f>IFERROR(__xludf.DUMMYFUNCTION("""COMPUTED_VALUE"""),45076.620254629626)</f>
        <v>45076.62025</v>
      </c>
      <c r="H1168" s="24" t="str">
        <f>IFERROR(VLOOKUP(B1168,material!A:D,3,0),"")</f>
        <v>CARD</v>
      </c>
    </row>
    <row r="1169" ht="11.25" customHeight="1">
      <c r="A1169" s="21" t="str">
        <f>IFERROR(__xludf.DUMMYFUNCTION("""COMPUTED_VALUE"""),"SMART CARD LARANJA")</f>
        <v>SMART CARD LARANJA</v>
      </c>
      <c r="B1169" s="22">
        <f>IFERROR(__xludf.DUMMYFUNCTION("""COMPUTED_VALUE"""),4.1001186E7)</f>
        <v>41001186</v>
      </c>
      <c r="C1169" s="21" t="str">
        <f>IFERROR(__xludf.DUMMYFUNCTION("""COMPUTED_VALUE"""),"226644670014")</f>
        <v>226644670014</v>
      </c>
      <c r="D1169" s="21" t="str">
        <f>IFERROR(__xludf.DUMMYFUNCTION("""COMPUTED_VALUE"""),"DIGITEC TECNOLOGIA DIGITAL E REPRES")</f>
        <v>DIGITEC TECNOLOGIA DIGITAL E REPRES</v>
      </c>
      <c r="E1169" s="21">
        <f>IFERROR(__xludf.DUMMYFUNCTION("""COMPUTED_VALUE"""),145359.0)</f>
        <v>145359</v>
      </c>
      <c r="F1169" s="21" t="str">
        <f>IFERROR(__xludf.DUMMYFUNCTION("""COMPUTED_VALUE"""),"SUCATA")</f>
        <v>SUCATA</v>
      </c>
      <c r="G1169" s="23">
        <f>IFERROR(__xludf.DUMMYFUNCTION("""COMPUTED_VALUE"""),45075.59908564815)</f>
        <v>45075.59909</v>
      </c>
      <c r="H1169" s="24" t="str">
        <f>IFERROR(VLOOKUP(B1169,material!A:D,3,0),"")</f>
        <v>CARD</v>
      </c>
    </row>
    <row r="1170" ht="11.25" customHeight="1">
      <c r="A1170" s="21" t="str">
        <f>IFERROR(__xludf.DUMMYFUNCTION("""COMPUTED_VALUE"""),"SMART CARD LARANJA NAGRA")</f>
        <v>SMART CARD LARANJA NAGRA</v>
      </c>
      <c r="B1170" s="22">
        <f>IFERROR(__xludf.DUMMYFUNCTION("""COMPUTED_VALUE"""),4.1001186E7)</f>
        <v>41001186</v>
      </c>
      <c r="C1170" s="21" t="str">
        <f>IFERROR(__xludf.DUMMYFUNCTION("""COMPUTED_VALUE"""),"226654268289")</f>
        <v>226654268289</v>
      </c>
      <c r="D1170" s="21" t="str">
        <f>IFERROR(__xludf.DUMMYFUNCTION("""COMPUTED_VALUE"""),"DIGITEC TECNOLOGIA DIGITAL E REPRES")</f>
        <v>DIGITEC TECNOLOGIA DIGITAL E REPRES</v>
      </c>
      <c r="E1170" s="21">
        <f>IFERROR(__xludf.DUMMYFUNCTION("""COMPUTED_VALUE"""),145359.0)</f>
        <v>145359</v>
      </c>
      <c r="F1170" s="21" t="str">
        <f>IFERROR(__xludf.DUMMYFUNCTION("""COMPUTED_VALUE"""),"SUCATA")</f>
        <v>SUCATA</v>
      </c>
      <c r="G1170" s="23">
        <f>IFERROR(__xludf.DUMMYFUNCTION("""COMPUTED_VALUE"""),45075.5991087963)</f>
        <v>45075.59911</v>
      </c>
      <c r="H1170" s="24" t="str">
        <f>IFERROR(VLOOKUP(B1170,material!A:D,3,0),"")</f>
        <v>CARD</v>
      </c>
    </row>
    <row r="1171" ht="11.25" customHeight="1">
      <c r="A1171" s="21" t="str">
        <f>IFERROR(__xludf.DUMMYFUNCTION("""COMPUTED_VALUE"""),"SMART CARD LARANJA NAGRA")</f>
        <v>SMART CARD LARANJA NAGRA</v>
      </c>
      <c r="B1171" s="22">
        <f>IFERROR(__xludf.DUMMYFUNCTION("""COMPUTED_VALUE"""),4.1001186E7)</f>
        <v>41001186</v>
      </c>
      <c r="C1171" s="21" t="str">
        <f>IFERROR(__xludf.DUMMYFUNCTION("""COMPUTED_VALUE"""),"226698025669")</f>
        <v>226698025669</v>
      </c>
      <c r="D1171" s="21" t="str">
        <f>IFERROR(__xludf.DUMMYFUNCTION("""COMPUTED_VALUE"""),"DIGITEC TECNOLOGIA DIGITAL E REPRES")</f>
        <v>DIGITEC TECNOLOGIA DIGITAL E REPRES</v>
      </c>
      <c r="E1171" s="21">
        <f>IFERROR(__xludf.DUMMYFUNCTION("""COMPUTED_VALUE"""),145359.0)</f>
        <v>145359</v>
      </c>
      <c r="F1171" s="21" t="str">
        <f>IFERROR(__xludf.DUMMYFUNCTION("""COMPUTED_VALUE"""),"SUCATA")</f>
        <v>SUCATA</v>
      </c>
      <c r="G1171" s="23">
        <f>IFERROR(__xludf.DUMMYFUNCTION("""COMPUTED_VALUE"""),45075.511875)</f>
        <v>45075.51188</v>
      </c>
      <c r="H1171" s="24" t="str">
        <f>IFERROR(VLOOKUP(B1171,material!A:D,3,0),"")</f>
        <v>CARD</v>
      </c>
    </row>
    <row r="1172" ht="11.25" customHeight="1">
      <c r="A1172" s="21" t="str">
        <f>IFERROR(__xludf.DUMMYFUNCTION("""COMPUTED_VALUE"""),"SMART CARD LARANJA NAGRA")</f>
        <v>SMART CARD LARANJA NAGRA</v>
      </c>
      <c r="B1172" s="22">
        <f>IFERROR(__xludf.DUMMYFUNCTION("""COMPUTED_VALUE"""),4.1001186E7)</f>
        <v>41001186</v>
      </c>
      <c r="C1172" s="21" t="str">
        <f>IFERROR(__xludf.DUMMYFUNCTION("""COMPUTED_VALUE"""),"226694025256")</f>
        <v>226694025256</v>
      </c>
      <c r="D1172" s="21" t="str">
        <f>IFERROR(__xludf.DUMMYFUNCTION("""COMPUTED_VALUE"""),"DIGITEC TECNOLOGIA DIGITAL E REPRES")</f>
        <v>DIGITEC TECNOLOGIA DIGITAL E REPRES</v>
      </c>
      <c r="E1172" s="21">
        <f>IFERROR(__xludf.DUMMYFUNCTION("""COMPUTED_VALUE"""),145359.0)</f>
        <v>145359</v>
      </c>
      <c r="F1172" s="21" t="str">
        <f>IFERROR(__xludf.DUMMYFUNCTION("""COMPUTED_VALUE"""),"SUCATA")</f>
        <v>SUCATA</v>
      </c>
      <c r="G1172" s="23">
        <f>IFERROR(__xludf.DUMMYFUNCTION("""COMPUTED_VALUE"""),45075.51190972222)</f>
        <v>45075.51191</v>
      </c>
      <c r="H1172" s="24" t="str">
        <f>IFERROR(VLOOKUP(B1172,material!A:D,3,0),"")</f>
        <v>CARD</v>
      </c>
    </row>
    <row r="1173" ht="11.25" customHeight="1">
      <c r="A1173" s="21" t="str">
        <f>IFERROR(__xludf.DUMMYFUNCTION("""COMPUTED_VALUE"""),"SMART CARD LARANJA NAGRA")</f>
        <v>SMART CARD LARANJA NAGRA</v>
      </c>
      <c r="B1173" s="22">
        <f>IFERROR(__xludf.DUMMYFUNCTION("""COMPUTED_VALUE"""),4.1001186E7)</f>
        <v>41001186</v>
      </c>
      <c r="C1173" s="21" t="str">
        <f>IFERROR(__xludf.DUMMYFUNCTION("""COMPUTED_VALUE"""),"226620812646")</f>
        <v>226620812646</v>
      </c>
      <c r="D1173" s="21" t="str">
        <f>IFERROR(__xludf.DUMMYFUNCTION("""COMPUTED_VALUE"""),"DIGITEC TECNOLOGIA DIGITAL E REPRES")</f>
        <v>DIGITEC TECNOLOGIA DIGITAL E REPRES</v>
      </c>
      <c r="E1173" s="21">
        <f>IFERROR(__xludf.DUMMYFUNCTION("""COMPUTED_VALUE"""),145359.0)</f>
        <v>145359</v>
      </c>
      <c r="F1173" s="21" t="str">
        <f>IFERROR(__xludf.DUMMYFUNCTION("""COMPUTED_VALUE"""),"SUCATA")</f>
        <v>SUCATA</v>
      </c>
      <c r="G1173" s="23">
        <f>IFERROR(__xludf.DUMMYFUNCTION("""COMPUTED_VALUE"""),45075.599131944444)</f>
        <v>45075.59913</v>
      </c>
      <c r="H1173" s="24" t="str">
        <f>IFERROR(VLOOKUP(B1173,material!A:D,3,0),"")</f>
        <v>CARD</v>
      </c>
    </row>
    <row r="1174" ht="11.25" customHeight="1">
      <c r="A1174" s="21" t="str">
        <f>IFERROR(__xludf.DUMMYFUNCTION("""COMPUTED_VALUE"""),"SMART CARD LARANJA NAGRA")</f>
        <v>SMART CARD LARANJA NAGRA</v>
      </c>
      <c r="B1174" s="22">
        <f>IFERROR(__xludf.DUMMYFUNCTION("""COMPUTED_VALUE"""),4.1001186E7)</f>
        <v>41001186</v>
      </c>
      <c r="C1174" s="21" t="str">
        <f>IFERROR(__xludf.DUMMYFUNCTION("""COMPUTED_VALUE"""),"215755020209")</f>
        <v>215755020209</v>
      </c>
      <c r="D1174" s="21" t="str">
        <f>IFERROR(__xludf.DUMMYFUNCTION("""COMPUTED_VALUE"""),"DIGITEC TECNOLOGIA DIGITAL E REPRES")</f>
        <v>DIGITEC TECNOLOGIA DIGITAL E REPRES</v>
      </c>
      <c r="E1174" s="21">
        <f>IFERROR(__xludf.DUMMYFUNCTION("""COMPUTED_VALUE"""),145359.0)</f>
        <v>145359</v>
      </c>
      <c r="F1174" s="21" t="str">
        <f>IFERROR(__xludf.DUMMYFUNCTION("""COMPUTED_VALUE"""),"SUCATA")</f>
        <v>SUCATA</v>
      </c>
      <c r="G1174" s="23">
        <f>IFERROR(__xludf.DUMMYFUNCTION("""COMPUTED_VALUE"""),45075.62228009259)</f>
        <v>45075.62228</v>
      </c>
      <c r="H1174" s="24" t="str">
        <f>IFERROR(VLOOKUP(B1174,material!A:D,3,0),"")</f>
        <v>CARD</v>
      </c>
    </row>
    <row r="1175" ht="11.25" customHeight="1">
      <c r="A1175" s="21" t="str">
        <f>IFERROR(__xludf.DUMMYFUNCTION("""COMPUTED_VALUE"""),"SMART CARD LARANJA NAGRA")</f>
        <v>SMART CARD LARANJA NAGRA</v>
      </c>
      <c r="B1175" s="22">
        <f>IFERROR(__xludf.DUMMYFUNCTION("""COMPUTED_VALUE"""),4.1001186E7)</f>
        <v>41001186</v>
      </c>
      <c r="C1175" s="21" t="str">
        <f>IFERROR(__xludf.DUMMYFUNCTION("""COMPUTED_VALUE"""),"215749060312")</f>
        <v>215749060312</v>
      </c>
      <c r="D1175" s="21" t="str">
        <f>IFERROR(__xludf.DUMMYFUNCTION("""COMPUTED_VALUE"""),"DIGITEC TECNOLOGIA DIGITAL E REPRES")</f>
        <v>DIGITEC TECNOLOGIA DIGITAL E REPRES</v>
      </c>
      <c r="E1175" s="21">
        <f>IFERROR(__xludf.DUMMYFUNCTION("""COMPUTED_VALUE"""),145359.0)</f>
        <v>145359</v>
      </c>
      <c r="F1175" s="21" t="str">
        <f>IFERROR(__xludf.DUMMYFUNCTION("""COMPUTED_VALUE"""),"SUCATA")</f>
        <v>SUCATA</v>
      </c>
      <c r="G1175" s="23">
        <f>IFERROR(__xludf.DUMMYFUNCTION("""COMPUTED_VALUE"""),45075.62228009259)</f>
        <v>45075.62228</v>
      </c>
      <c r="H1175" s="24" t="str">
        <f>IFERROR(VLOOKUP(B1175,material!A:D,3,0),"")</f>
        <v>CARD</v>
      </c>
    </row>
    <row r="1176" ht="11.25" customHeight="1">
      <c r="A1176" s="21" t="str">
        <f>IFERROR(__xludf.DUMMYFUNCTION("""COMPUTED_VALUE"""),"SMART CARD LARANJA NAGRA")</f>
        <v>SMART CARD LARANJA NAGRA</v>
      </c>
      <c r="B1176" s="22">
        <f>IFERROR(__xludf.DUMMYFUNCTION("""COMPUTED_VALUE"""),4.1001186E7)</f>
        <v>41001186</v>
      </c>
      <c r="C1176" s="21" t="str">
        <f>IFERROR(__xludf.DUMMYFUNCTION("""COMPUTED_VALUE"""),"215667268502")</f>
        <v>215667268502</v>
      </c>
      <c r="D1176" s="21" t="str">
        <f>IFERROR(__xludf.DUMMYFUNCTION("""COMPUTED_VALUE"""),"DIGITEC TECNOLOGIA DIGITAL E REPRES")</f>
        <v>DIGITEC TECNOLOGIA DIGITAL E REPRES</v>
      </c>
      <c r="E1176" s="21">
        <f>IFERROR(__xludf.DUMMYFUNCTION("""COMPUTED_VALUE"""),145359.0)</f>
        <v>145359</v>
      </c>
      <c r="F1176" s="21" t="str">
        <f>IFERROR(__xludf.DUMMYFUNCTION("""COMPUTED_VALUE"""),"SUCATA")</f>
        <v>SUCATA</v>
      </c>
      <c r="G1176" s="23">
        <f>IFERROR(__xludf.DUMMYFUNCTION("""COMPUTED_VALUE"""),45075.58660879629)</f>
        <v>45075.58661</v>
      </c>
      <c r="H1176" s="24" t="str">
        <f>IFERROR(VLOOKUP(B1176,material!A:D,3,0),"")</f>
        <v>CARD</v>
      </c>
    </row>
    <row r="1177" ht="11.25" customHeight="1">
      <c r="A1177" s="21" t="str">
        <f>IFERROR(__xludf.DUMMYFUNCTION("""COMPUTED_VALUE"""),"NAGRA KIT")</f>
        <v>NAGRA KIT</v>
      </c>
      <c r="B1177" s="22">
        <f>IFERROR(__xludf.DUMMYFUNCTION("""COMPUTED_VALUE"""),4.1001186E7)</f>
        <v>41001186</v>
      </c>
      <c r="C1177" s="21" t="str">
        <f>IFERROR(__xludf.DUMMYFUNCTION("""COMPUTED_VALUE"""),"215456227377")</f>
        <v>215456227377</v>
      </c>
      <c r="D1177" s="21" t="str">
        <f>IFERROR(__xludf.DUMMYFUNCTION("""COMPUTED_VALUE"""),"DIGITEC TECNOLOGIA DIGITAL E REPRES")</f>
        <v>DIGITEC TECNOLOGIA DIGITAL E REPRES</v>
      </c>
      <c r="E1177" s="21">
        <f>IFERROR(__xludf.DUMMYFUNCTION("""COMPUTED_VALUE"""),145359.0)</f>
        <v>145359</v>
      </c>
      <c r="F1177" s="21" t="str">
        <f>IFERROR(__xludf.DUMMYFUNCTION("""COMPUTED_VALUE"""),"SUCATA")</f>
        <v>SUCATA</v>
      </c>
      <c r="G1177" s="23">
        <f>IFERROR(__xludf.DUMMYFUNCTION("""COMPUTED_VALUE"""),45076.498935185184)</f>
        <v>45076.49894</v>
      </c>
      <c r="H1177" s="24" t="str">
        <f>IFERROR(VLOOKUP(B1177,material!A:D,3,0),"")</f>
        <v>CARD</v>
      </c>
    </row>
    <row r="1178" ht="11.25" customHeight="1">
      <c r="A1178" s="21" t="str">
        <f>IFERROR(__xludf.DUMMYFUNCTION("""COMPUTED_VALUE"""),"SMART CARD PRETO NAGRA")</f>
        <v>SMART CARD PRETO NAGRA</v>
      </c>
      <c r="B1178" s="22">
        <f>IFERROR(__xludf.DUMMYFUNCTION("""COMPUTED_VALUE"""),4.1001234E7)</f>
        <v>41001234</v>
      </c>
      <c r="C1178" s="21" t="str">
        <f>IFERROR(__xludf.DUMMYFUNCTION("""COMPUTED_VALUE"""),"246227020107")</f>
        <v>246227020107</v>
      </c>
      <c r="D1178" s="21" t="str">
        <f>IFERROR(__xludf.DUMMYFUNCTION("""COMPUTED_VALUE"""),"DIGITEC TECNOLOGIA DIGITAL E REPRES")</f>
        <v>DIGITEC TECNOLOGIA DIGITAL E REPRES</v>
      </c>
      <c r="E1178" s="21">
        <f>IFERROR(__xludf.DUMMYFUNCTION("""COMPUTED_VALUE"""),145359.0)</f>
        <v>145359</v>
      </c>
      <c r="F1178" s="21" t="str">
        <f>IFERROR(__xludf.DUMMYFUNCTION("""COMPUTED_VALUE"""),"INICIALIZADO")</f>
        <v>INICIALIZADO</v>
      </c>
      <c r="G1178" s="23">
        <f>IFERROR(__xludf.DUMMYFUNCTION("""COMPUTED_VALUE"""),45642.524097222224)</f>
        <v>45642.5241</v>
      </c>
      <c r="H1178" s="24" t="str">
        <f>IFERROR(VLOOKUP(B1178,material!A:D,3,0),"")</f>
        <v>CARD</v>
      </c>
    </row>
    <row r="1179" ht="11.25" customHeight="1">
      <c r="A1179" s="21" t="str">
        <f>IFERROR(__xludf.DUMMYFUNCTION("""COMPUTED_VALUE"""),"SMART CARD PRETO NAGRA")</f>
        <v>SMART CARD PRETO NAGRA</v>
      </c>
      <c r="B1179" s="22">
        <f>IFERROR(__xludf.DUMMYFUNCTION("""COMPUTED_VALUE"""),4.1001234E7)</f>
        <v>41001234</v>
      </c>
      <c r="C1179" s="21" t="str">
        <f>IFERROR(__xludf.DUMMYFUNCTION("""COMPUTED_VALUE"""),"246181223134")</f>
        <v>246181223134</v>
      </c>
      <c r="D1179" s="21" t="str">
        <f>IFERROR(__xludf.DUMMYFUNCTION("""COMPUTED_VALUE"""),"DIGITEC TECNOLOGIA DIGITAL E REPRES")</f>
        <v>DIGITEC TECNOLOGIA DIGITAL E REPRES</v>
      </c>
      <c r="E1179" s="21">
        <f>IFERROR(__xludf.DUMMYFUNCTION("""COMPUTED_VALUE"""),145359.0)</f>
        <v>145359</v>
      </c>
      <c r="F1179" s="21" t="str">
        <f>IFERROR(__xludf.DUMMYFUNCTION("""COMPUTED_VALUE"""),"INICIALIZADO")</f>
        <v>INICIALIZADO</v>
      </c>
      <c r="G1179" s="23">
        <f>IFERROR(__xludf.DUMMYFUNCTION("""COMPUTED_VALUE"""),45635.534895833334)</f>
        <v>45635.5349</v>
      </c>
      <c r="H1179" s="24" t="str">
        <f>IFERROR(VLOOKUP(B1179,material!A:D,3,0),"")</f>
        <v>CARD</v>
      </c>
    </row>
    <row r="1180" ht="11.25" customHeight="1">
      <c r="A1180" s="21" t="str">
        <f>IFERROR(__xludf.DUMMYFUNCTION("""COMPUTED_VALUE"""),"SMART CARD PRETO NAGRA")</f>
        <v>SMART CARD PRETO NAGRA</v>
      </c>
      <c r="B1180" s="22">
        <f>IFERROR(__xludf.DUMMYFUNCTION("""COMPUTED_VALUE"""),4.1001234E7)</f>
        <v>41001234</v>
      </c>
      <c r="C1180" s="21" t="str">
        <f>IFERROR(__xludf.DUMMYFUNCTION("""COMPUTED_VALUE"""),"246021452435")</f>
        <v>246021452435</v>
      </c>
      <c r="D1180" s="21" t="str">
        <f>IFERROR(__xludf.DUMMYFUNCTION("""COMPUTED_VALUE"""),"DIGITEC TECNOLOGIA DIGITAL E REPRES")</f>
        <v>DIGITEC TECNOLOGIA DIGITAL E REPRES</v>
      </c>
      <c r="E1180" s="21">
        <f>IFERROR(__xludf.DUMMYFUNCTION("""COMPUTED_VALUE"""),145359.0)</f>
        <v>145359</v>
      </c>
      <c r="F1180" s="21" t="str">
        <f>IFERROR(__xludf.DUMMYFUNCTION("""COMPUTED_VALUE"""),"INICIALIZADO")</f>
        <v>INICIALIZADO</v>
      </c>
      <c r="G1180" s="23">
        <f>IFERROR(__xludf.DUMMYFUNCTION("""COMPUTED_VALUE"""),45635.534907407404)</f>
        <v>45635.53491</v>
      </c>
      <c r="H1180" s="24" t="str">
        <f>IFERROR(VLOOKUP(B1180,material!A:D,3,0),"")</f>
        <v>CARD</v>
      </c>
    </row>
    <row r="1181" ht="11.25" customHeight="1">
      <c r="A1181" s="21" t="str">
        <f>IFERROR(__xludf.DUMMYFUNCTION("""COMPUTED_VALUE"""),"SMART CARD PRETO NAGRA")</f>
        <v>SMART CARD PRETO NAGRA</v>
      </c>
      <c r="B1181" s="22">
        <f>IFERROR(__xludf.DUMMYFUNCTION("""COMPUTED_VALUE"""),4.1001234E7)</f>
        <v>41001234</v>
      </c>
      <c r="C1181" s="21" t="str">
        <f>IFERROR(__xludf.DUMMYFUNCTION("""COMPUTED_VALUE"""),"226394417890")</f>
        <v>226394417890</v>
      </c>
      <c r="D1181" s="21" t="str">
        <f>IFERROR(__xludf.DUMMYFUNCTION("""COMPUTED_VALUE"""),"DIGITEC TECNOLOGIA DIGITAL E REPRES")</f>
        <v>DIGITEC TECNOLOGIA DIGITAL E REPRES</v>
      </c>
      <c r="E1181" s="21">
        <f>IFERROR(__xludf.DUMMYFUNCTION("""COMPUTED_VALUE"""),145359.0)</f>
        <v>145359</v>
      </c>
      <c r="F1181" s="21" t="str">
        <f>IFERROR(__xludf.DUMMYFUNCTION("""COMPUTED_VALUE"""),"INICIALIZADO")</f>
        <v>INICIALIZADO</v>
      </c>
      <c r="G1181" s="23">
        <f>IFERROR(__xludf.DUMMYFUNCTION("""COMPUTED_VALUE"""),45635.534953703704)</f>
        <v>45635.53495</v>
      </c>
      <c r="H1181" s="24" t="str">
        <f>IFERROR(VLOOKUP(B1181,material!A:D,3,0),"")</f>
        <v>CARD</v>
      </c>
    </row>
    <row r="1182" ht="11.25" customHeight="1">
      <c r="A1182" s="21" t="str">
        <f>IFERROR(__xludf.DUMMYFUNCTION("""COMPUTED_VALUE"""),"SMART CARD PRETO NAGRA")</f>
        <v>SMART CARD PRETO NAGRA</v>
      </c>
      <c r="B1182" s="22">
        <f>IFERROR(__xludf.DUMMYFUNCTION("""COMPUTED_VALUE"""),4.1001234E7)</f>
        <v>41001234</v>
      </c>
      <c r="C1182" s="21" t="str">
        <f>IFERROR(__xludf.DUMMYFUNCTION("""COMPUTED_VALUE"""),"226278430006")</f>
        <v>226278430006</v>
      </c>
      <c r="D1182" s="21" t="str">
        <f>IFERROR(__xludf.DUMMYFUNCTION("""COMPUTED_VALUE"""),"DIGITEC TECNOLOGIA DIGITAL E REPRES")</f>
        <v>DIGITEC TECNOLOGIA DIGITAL E REPRES</v>
      </c>
      <c r="E1182" s="21">
        <f>IFERROR(__xludf.DUMMYFUNCTION("""COMPUTED_VALUE"""),145359.0)</f>
        <v>145359</v>
      </c>
      <c r="F1182" s="21" t="str">
        <f>IFERROR(__xludf.DUMMYFUNCTION("""COMPUTED_VALUE"""),"INICIALIZADO")</f>
        <v>INICIALIZADO</v>
      </c>
      <c r="G1182" s="23">
        <f>IFERROR(__xludf.DUMMYFUNCTION("""COMPUTED_VALUE"""),45635.53497685185)</f>
        <v>45635.53498</v>
      </c>
      <c r="H1182" s="24" t="str">
        <f>IFERROR(VLOOKUP(B1182,material!A:D,3,0),"")</f>
        <v>CARD</v>
      </c>
    </row>
    <row r="1183" ht="11.25" customHeight="1">
      <c r="A1183" s="21" t="str">
        <f>IFERROR(__xludf.DUMMYFUNCTION("""COMPUTED_VALUE"""),"SMART CARD PRETO NAGRA")</f>
        <v>SMART CARD PRETO NAGRA</v>
      </c>
      <c r="B1183" s="22">
        <f>IFERROR(__xludf.DUMMYFUNCTION("""COMPUTED_VALUE"""),4.1001234E7)</f>
        <v>41001234</v>
      </c>
      <c r="C1183" s="21" t="str">
        <f>IFERROR(__xludf.DUMMYFUNCTION("""COMPUTED_VALUE"""),"226305110915")</f>
        <v>226305110915</v>
      </c>
      <c r="D1183" s="21" t="str">
        <f>IFERROR(__xludf.DUMMYFUNCTION("""COMPUTED_VALUE"""),"DIGITEC TECNOLOGIA DIGITAL E REPRES")</f>
        <v>DIGITEC TECNOLOGIA DIGITAL E REPRES</v>
      </c>
      <c r="E1183" s="21">
        <f>IFERROR(__xludf.DUMMYFUNCTION("""COMPUTED_VALUE"""),145359.0)</f>
        <v>145359</v>
      </c>
      <c r="F1183" s="21" t="str">
        <f>IFERROR(__xludf.DUMMYFUNCTION("""COMPUTED_VALUE"""),"INICIALIZADO")</f>
        <v>INICIALIZADO</v>
      </c>
      <c r="G1183" s="23">
        <f>IFERROR(__xludf.DUMMYFUNCTION("""COMPUTED_VALUE"""),45635.53496527778)</f>
        <v>45635.53497</v>
      </c>
      <c r="H1183" s="24" t="str">
        <f>IFERROR(VLOOKUP(B1183,material!A:D,3,0),"")</f>
        <v>CARD</v>
      </c>
    </row>
    <row r="1184" ht="11.25" customHeight="1">
      <c r="A1184" s="21" t="str">
        <f>IFERROR(__xludf.DUMMYFUNCTION("""COMPUTED_VALUE"""),"SMART CARD PRETO NAGRA")</f>
        <v>SMART CARD PRETO NAGRA</v>
      </c>
      <c r="B1184" s="22">
        <f>IFERROR(__xludf.DUMMYFUNCTION("""COMPUTED_VALUE"""),4.1001234E7)</f>
        <v>41001234</v>
      </c>
      <c r="C1184" s="21" t="str">
        <f>IFERROR(__xludf.DUMMYFUNCTION("""COMPUTED_VALUE"""),"226254171129")</f>
        <v>226254171129</v>
      </c>
      <c r="D1184" s="21" t="str">
        <f>IFERROR(__xludf.DUMMYFUNCTION("""COMPUTED_VALUE"""),"DIGITEC TECNOLOGIA DIGITAL E REPRES")</f>
        <v>DIGITEC TECNOLOGIA DIGITAL E REPRES</v>
      </c>
      <c r="E1184" s="21">
        <f>IFERROR(__xludf.DUMMYFUNCTION("""COMPUTED_VALUE"""),145359.0)</f>
        <v>145359</v>
      </c>
      <c r="F1184" s="21" t="str">
        <f>IFERROR(__xludf.DUMMYFUNCTION("""COMPUTED_VALUE"""),"INICIALIZADO")</f>
        <v>INICIALIZADO</v>
      </c>
      <c r="G1184" s="23">
        <f>IFERROR(__xludf.DUMMYFUNCTION("""COMPUTED_VALUE"""),45635.53494212963)</f>
        <v>45635.53494</v>
      </c>
      <c r="H1184" s="24" t="str">
        <f>IFERROR(VLOOKUP(B1184,material!A:D,3,0),"")</f>
        <v>CARD</v>
      </c>
    </row>
    <row r="1185" ht="11.25" customHeight="1">
      <c r="A1185" s="21" t="str">
        <f>IFERROR(__xludf.DUMMYFUNCTION("""COMPUTED_VALUE"""),"SMART CARD PRETO NAGRA")</f>
        <v>SMART CARD PRETO NAGRA</v>
      </c>
      <c r="B1185" s="22">
        <f>IFERROR(__xludf.DUMMYFUNCTION("""COMPUTED_VALUE"""),4.1001234E7)</f>
        <v>41001234</v>
      </c>
      <c r="C1185" s="21" t="str">
        <f>IFERROR(__xludf.DUMMYFUNCTION("""COMPUTED_VALUE"""),"246137296669")</f>
        <v>246137296669</v>
      </c>
      <c r="D1185" s="21" t="str">
        <f>IFERROR(__xludf.DUMMYFUNCTION("""COMPUTED_VALUE"""),"DIGITEC TECNOLOGIA DIGITAL E REPRES")</f>
        <v>DIGITEC TECNOLOGIA DIGITAL E REPRES</v>
      </c>
      <c r="E1185" s="21">
        <f>IFERROR(__xludf.DUMMYFUNCTION("""COMPUTED_VALUE"""),145359.0)</f>
        <v>145359</v>
      </c>
      <c r="F1185" s="21" t="str">
        <f>IFERROR(__xludf.DUMMYFUNCTION("""COMPUTED_VALUE"""),"INICIALIZADO")</f>
        <v>INICIALIZADO</v>
      </c>
      <c r="G1185" s="23">
        <f>IFERROR(__xludf.DUMMYFUNCTION("""COMPUTED_VALUE"""),45635.534895833334)</f>
        <v>45635.5349</v>
      </c>
      <c r="H1185" s="24" t="str">
        <f>IFERROR(VLOOKUP(B1185,material!A:D,3,0),"")</f>
        <v>CARD</v>
      </c>
    </row>
    <row r="1186" ht="11.25" customHeight="1">
      <c r="A1186" s="21" t="str">
        <f>IFERROR(__xludf.DUMMYFUNCTION("""COMPUTED_VALUE"""),"SMART CARD PRETO NAGRA")</f>
        <v>SMART CARD PRETO NAGRA</v>
      </c>
      <c r="B1186" s="22">
        <f>IFERROR(__xludf.DUMMYFUNCTION("""COMPUTED_VALUE"""),4.1001234E7)</f>
        <v>41001234</v>
      </c>
      <c r="C1186" s="21" t="str">
        <f>IFERROR(__xludf.DUMMYFUNCTION("""COMPUTED_VALUE"""),"246060106880")</f>
        <v>246060106880</v>
      </c>
      <c r="D1186" s="21" t="str">
        <f>IFERROR(__xludf.DUMMYFUNCTION("""COMPUTED_VALUE"""),"DIGITEC TECNOLOGIA DIGITAL E REPRES")</f>
        <v>DIGITEC TECNOLOGIA DIGITAL E REPRES</v>
      </c>
      <c r="E1186" s="21">
        <f>IFERROR(__xludf.DUMMYFUNCTION("""COMPUTED_VALUE"""),145359.0)</f>
        <v>145359</v>
      </c>
      <c r="F1186" s="21" t="str">
        <f>IFERROR(__xludf.DUMMYFUNCTION("""COMPUTED_VALUE"""),"INICIALIZADO")</f>
        <v>INICIALIZADO</v>
      </c>
      <c r="G1186" s="23">
        <f>IFERROR(__xludf.DUMMYFUNCTION("""COMPUTED_VALUE"""),45642.524097222224)</f>
        <v>45642.5241</v>
      </c>
      <c r="H1186" s="24" t="str">
        <f>IFERROR(VLOOKUP(B1186,material!A:D,3,0),"")</f>
        <v>CARD</v>
      </c>
    </row>
    <row r="1187" ht="11.25" customHeight="1">
      <c r="A1187" s="21" t="str">
        <f>IFERROR(__xludf.DUMMYFUNCTION("""COMPUTED_VALUE"""),"SMART CARD PRETO NAGRA")</f>
        <v>SMART CARD PRETO NAGRA</v>
      </c>
      <c r="B1187" s="22">
        <f>IFERROR(__xludf.DUMMYFUNCTION("""COMPUTED_VALUE"""),4.1001234E7)</f>
        <v>41001234</v>
      </c>
      <c r="C1187" s="21" t="str">
        <f>IFERROR(__xludf.DUMMYFUNCTION("""COMPUTED_VALUE"""),"226196778792")</f>
        <v>226196778792</v>
      </c>
      <c r="D1187" s="21" t="str">
        <f>IFERROR(__xludf.DUMMYFUNCTION("""COMPUTED_VALUE"""),"DIGITEC TECNOLOGIA DIGITAL E REPRES")</f>
        <v>DIGITEC TECNOLOGIA DIGITAL E REPRES</v>
      </c>
      <c r="E1187" s="21">
        <f>IFERROR(__xludf.DUMMYFUNCTION("""COMPUTED_VALUE"""),145359.0)</f>
        <v>145359</v>
      </c>
      <c r="F1187" s="21" t="str">
        <f>IFERROR(__xludf.DUMMYFUNCTION("""COMPUTED_VALUE"""),"INICIALIZADO")</f>
        <v>INICIALIZADO</v>
      </c>
      <c r="G1187" s="23">
        <f>IFERROR(__xludf.DUMMYFUNCTION("""COMPUTED_VALUE"""),45635.53493055556)</f>
        <v>45635.53493</v>
      </c>
      <c r="H1187" s="24" t="str">
        <f>IFERROR(VLOOKUP(B1187,material!A:D,3,0),"")</f>
        <v>CARD</v>
      </c>
    </row>
    <row r="1188" ht="11.25" customHeight="1">
      <c r="A1188" s="21" t="str">
        <f>IFERROR(__xludf.DUMMYFUNCTION("""COMPUTED_VALUE"""),"SMART CARD PRETO NAGRA")</f>
        <v>SMART CARD PRETO NAGRA</v>
      </c>
      <c r="B1188" s="22">
        <f>IFERROR(__xludf.DUMMYFUNCTION("""COMPUTED_VALUE"""),4.1001234E7)</f>
        <v>41001234</v>
      </c>
      <c r="C1188" s="21" t="str">
        <f>IFERROR(__xludf.DUMMYFUNCTION("""COMPUTED_VALUE"""),"226235114869")</f>
        <v>226235114869</v>
      </c>
      <c r="D1188" s="21" t="str">
        <f>IFERROR(__xludf.DUMMYFUNCTION("""COMPUTED_VALUE"""),"DIGITEC TECNOLOGIA DIGITAL E REPRES")</f>
        <v>DIGITEC TECNOLOGIA DIGITAL E REPRES</v>
      </c>
      <c r="E1188" s="21">
        <f>IFERROR(__xludf.DUMMYFUNCTION("""COMPUTED_VALUE"""),145359.0)</f>
        <v>145359</v>
      </c>
      <c r="F1188" s="21" t="str">
        <f>IFERROR(__xludf.DUMMYFUNCTION("""COMPUTED_VALUE"""),"INICIALIZADO")</f>
        <v>INICIALIZADO</v>
      </c>
      <c r="G1188" s="23">
        <f>IFERROR(__xludf.DUMMYFUNCTION("""COMPUTED_VALUE"""),45635.53494212963)</f>
        <v>45635.53494</v>
      </c>
      <c r="H1188" s="24" t="str">
        <f>IFERROR(VLOOKUP(B1188,material!A:D,3,0),"")</f>
        <v>CARD</v>
      </c>
    </row>
    <row r="1189" ht="11.25" customHeight="1">
      <c r="A1189" s="21" t="str">
        <f>IFERROR(__xludf.DUMMYFUNCTION("""COMPUTED_VALUE"""),"SMART CARD PRETO NAGRA")</f>
        <v>SMART CARD PRETO NAGRA</v>
      </c>
      <c r="B1189" s="22">
        <f>IFERROR(__xludf.DUMMYFUNCTION("""COMPUTED_VALUE"""),4.1001234E7)</f>
        <v>41001234</v>
      </c>
      <c r="C1189" s="21" t="str">
        <f>IFERROR(__xludf.DUMMYFUNCTION("""COMPUTED_VALUE"""),"226026888194")</f>
        <v>226026888194</v>
      </c>
      <c r="D1189" s="21" t="str">
        <f>IFERROR(__xludf.DUMMYFUNCTION("""COMPUTED_VALUE"""),"DIGITEC TECNOLOGIA DIGITAL E REPRES")</f>
        <v>DIGITEC TECNOLOGIA DIGITAL E REPRES</v>
      </c>
      <c r="E1189" s="21">
        <f>IFERROR(__xludf.DUMMYFUNCTION("""COMPUTED_VALUE"""),145359.0)</f>
        <v>145359</v>
      </c>
      <c r="F1189" s="21" t="str">
        <f>IFERROR(__xludf.DUMMYFUNCTION("""COMPUTED_VALUE"""),"INICIALIZADO")</f>
        <v>INICIALIZADO</v>
      </c>
      <c r="G1189" s="23">
        <f>IFERROR(__xludf.DUMMYFUNCTION("""COMPUTED_VALUE"""),45635.534953703704)</f>
        <v>45635.53495</v>
      </c>
      <c r="H1189" s="24" t="str">
        <f>IFERROR(VLOOKUP(B1189,material!A:D,3,0),"")</f>
        <v>CARD</v>
      </c>
    </row>
    <row r="1190" ht="11.25" customHeight="1">
      <c r="A1190" s="21" t="str">
        <f>IFERROR(__xludf.DUMMYFUNCTION("""COMPUTED_VALUE"""),"SMART CARD PRETO NAGRA")</f>
        <v>SMART CARD PRETO NAGRA</v>
      </c>
      <c r="B1190" s="22">
        <f>IFERROR(__xludf.DUMMYFUNCTION("""COMPUTED_VALUE"""),4.1001234E7)</f>
        <v>41001234</v>
      </c>
      <c r="C1190" s="21" t="str">
        <f>IFERROR(__xludf.DUMMYFUNCTION("""COMPUTED_VALUE"""),"226163188185")</f>
        <v>226163188185</v>
      </c>
      <c r="D1190" s="21" t="str">
        <f>IFERROR(__xludf.DUMMYFUNCTION("""COMPUTED_VALUE"""),"DIGITEC TECNOLOGIA DIGITAL E REPRES")</f>
        <v>DIGITEC TECNOLOGIA DIGITAL E REPRES</v>
      </c>
      <c r="E1190" s="21">
        <f>IFERROR(__xludf.DUMMYFUNCTION("""COMPUTED_VALUE"""),145359.0)</f>
        <v>145359</v>
      </c>
      <c r="F1190" s="21" t="str">
        <f>IFERROR(__xludf.DUMMYFUNCTION("""COMPUTED_VALUE"""),"INICIALIZADO")</f>
        <v>INICIALIZADO</v>
      </c>
      <c r="G1190" s="23">
        <f>IFERROR(__xludf.DUMMYFUNCTION("""COMPUTED_VALUE"""),45642.52410879629)</f>
        <v>45642.52411</v>
      </c>
      <c r="H1190" s="24" t="str">
        <f>IFERROR(VLOOKUP(B1190,material!A:D,3,0),"")</f>
        <v>CARD</v>
      </c>
    </row>
    <row r="1191" ht="11.25" customHeight="1">
      <c r="A1191" s="21" t="str">
        <f>IFERROR(__xludf.DUMMYFUNCTION("""COMPUTED_VALUE"""),"SMART CARD PRETO NAGRA")</f>
        <v>SMART CARD PRETO NAGRA</v>
      </c>
      <c r="B1191" s="22">
        <f>IFERROR(__xludf.DUMMYFUNCTION("""COMPUTED_VALUE"""),4.1001234E7)</f>
        <v>41001234</v>
      </c>
      <c r="C1191" s="21" t="str">
        <f>IFERROR(__xludf.DUMMYFUNCTION("""COMPUTED_VALUE"""),"226102332438")</f>
        <v>226102332438</v>
      </c>
      <c r="D1191" s="21" t="str">
        <f>IFERROR(__xludf.DUMMYFUNCTION("""COMPUTED_VALUE"""),"DIGITEC TECNOLOGIA DIGITAL E REPRES")</f>
        <v>DIGITEC TECNOLOGIA DIGITAL E REPRES</v>
      </c>
      <c r="E1191" s="21">
        <f>IFERROR(__xludf.DUMMYFUNCTION("""COMPUTED_VALUE"""),145359.0)</f>
        <v>145359</v>
      </c>
      <c r="F1191" s="21" t="str">
        <f>IFERROR(__xludf.DUMMYFUNCTION("""COMPUTED_VALUE"""),"INICIALIZADO")</f>
        <v>INICIALIZADO</v>
      </c>
      <c r="G1191" s="23">
        <f>IFERROR(__xludf.DUMMYFUNCTION("""COMPUTED_VALUE"""),45635.534953703704)</f>
        <v>45635.53495</v>
      </c>
      <c r="H1191" s="24" t="str">
        <f>IFERROR(VLOOKUP(B1191,material!A:D,3,0),"")</f>
        <v>CARD</v>
      </c>
    </row>
    <row r="1192" ht="11.25" customHeight="1">
      <c r="A1192" s="21" t="str">
        <f>IFERROR(__xludf.DUMMYFUNCTION("""COMPUTED_VALUE"""),"SMART CARD PRETO NAGRA")</f>
        <v>SMART CARD PRETO NAGRA</v>
      </c>
      <c r="B1192" s="22">
        <f>IFERROR(__xludf.DUMMYFUNCTION("""COMPUTED_VALUE"""),4.1001234E7)</f>
        <v>41001234</v>
      </c>
      <c r="C1192" s="21" t="str">
        <f>IFERROR(__xludf.DUMMYFUNCTION("""COMPUTED_VALUE"""),"246083148399")</f>
        <v>246083148399</v>
      </c>
      <c r="D1192" s="21" t="str">
        <f>IFERROR(__xludf.DUMMYFUNCTION("""COMPUTED_VALUE"""),"DIGITEC TECNOLOGIA DIGITAL E REPRES")</f>
        <v>DIGITEC TECNOLOGIA DIGITAL E REPRES</v>
      </c>
      <c r="E1192" s="21">
        <f>IFERROR(__xludf.DUMMYFUNCTION("""COMPUTED_VALUE"""),145359.0)</f>
        <v>145359</v>
      </c>
      <c r="F1192" s="21" t="str">
        <f>IFERROR(__xludf.DUMMYFUNCTION("""COMPUTED_VALUE"""),"INICIALIZADO")</f>
        <v>INICIALIZADO</v>
      </c>
      <c r="G1192" s="23">
        <f>IFERROR(__xludf.DUMMYFUNCTION("""COMPUTED_VALUE"""),45635.534907407404)</f>
        <v>45635.53491</v>
      </c>
      <c r="H1192" s="24" t="str">
        <f>IFERROR(VLOOKUP(B1192,material!A:D,3,0),"")</f>
        <v>CARD</v>
      </c>
    </row>
    <row r="1193" ht="11.25" customHeight="1">
      <c r="A1193" s="21" t="str">
        <f>IFERROR(__xludf.DUMMYFUNCTION("""COMPUTED_VALUE"""),"SMART CARD PRETO NAGRA")</f>
        <v>SMART CARD PRETO NAGRA</v>
      </c>
      <c r="B1193" s="22">
        <f>IFERROR(__xludf.DUMMYFUNCTION("""COMPUTED_VALUE"""),4.1001234E7)</f>
        <v>41001234</v>
      </c>
      <c r="C1193" s="21" t="str">
        <f>IFERROR(__xludf.DUMMYFUNCTION("""COMPUTED_VALUE"""),"226075660419")</f>
        <v>226075660419</v>
      </c>
      <c r="D1193" s="21" t="str">
        <f>IFERROR(__xludf.DUMMYFUNCTION("""COMPUTED_VALUE"""),"DIGITEC TECNOLOGIA DIGITAL E REPRES")</f>
        <v>DIGITEC TECNOLOGIA DIGITAL E REPRES</v>
      </c>
      <c r="E1193" s="21">
        <f>IFERROR(__xludf.DUMMYFUNCTION("""COMPUTED_VALUE"""),145359.0)</f>
        <v>145359</v>
      </c>
      <c r="F1193" s="21" t="str">
        <f>IFERROR(__xludf.DUMMYFUNCTION("""COMPUTED_VALUE"""),"INICIALIZADO")</f>
        <v>INICIALIZADO</v>
      </c>
      <c r="G1193" s="23">
        <f>IFERROR(__xludf.DUMMYFUNCTION("""COMPUTED_VALUE"""),45642.52410879629)</f>
        <v>45642.52411</v>
      </c>
      <c r="H1193" s="24" t="str">
        <f>IFERROR(VLOOKUP(B1193,material!A:D,3,0),"")</f>
        <v>CARD</v>
      </c>
    </row>
    <row r="1194" ht="11.25" customHeight="1">
      <c r="A1194" s="21" t="str">
        <f>IFERROR(__xludf.DUMMYFUNCTION("""COMPUTED_VALUE"""),"SMART CARD PRETO NAGRA")</f>
        <v>SMART CARD PRETO NAGRA</v>
      </c>
      <c r="B1194" s="22">
        <f>IFERROR(__xludf.DUMMYFUNCTION("""COMPUTED_VALUE"""),4.1001234E7)</f>
        <v>41001234</v>
      </c>
      <c r="C1194" s="21" t="str">
        <f>IFERROR(__xludf.DUMMYFUNCTION("""COMPUTED_VALUE"""),"226078458098")</f>
        <v>226078458098</v>
      </c>
      <c r="D1194" s="21" t="str">
        <f>IFERROR(__xludf.DUMMYFUNCTION("""COMPUTED_VALUE"""),"DIGITEC TECNOLOGIA DIGITAL E REPRES")</f>
        <v>DIGITEC TECNOLOGIA DIGITAL E REPRES</v>
      </c>
      <c r="E1194" s="21">
        <f>IFERROR(__xludf.DUMMYFUNCTION("""COMPUTED_VALUE"""),145359.0)</f>
        <v>145359</v>
      </c>
      <c r="F1194" s="21" t="str">
        <f>IFERROR(__xludf.DUMMYFUNCTION("""COMPUTED_VALUE"""),"INICIALIZADO")</f>
        <v>INICIALIZADO</v>
      </c>
      <c r="G1194" s="23">
        <f>IFERROR(__xludf.DUMMYFUNCTION("""COMPUTED_VALUE"""),45635.534953703704)</f>
        <v>45635.53495</v>
      </c>
      <c r="H1194" s="24" t="str">
        <f>IFERROR(VLOOKUP(B1194,material!A:D,3,0),"")</f>
        <v>CARD</v>
      </c>
    </row>
    <row r="1195" ht="11.25" customHeight="1">
      <c r="A1195" s="21" t="str">
        <f>IFERROR(__xludf.DUMMYFUNCTION("""COMPUTED_VALUE"""),"SMART CARD PRETO NAGRA")</f>
        <v>SMART CARD PRETO NAGRA</v>
      </c>
      <c r="B1195" s="22">
        <f>IFERROR(__xludf.DUMMYFUNCTION("""COMPUTED_VALUE"""),4.1001234E7)</f>
        <v>41001234</v>
      </c>
      <c r="C1195" s="21" t="str">
        <f>IFERROR(__xludf.DUMMYFUNCTION("""COMPUTED_VALUE"""),"226408019005")</f>
        <v>226408019005</v>
      </c>
      <c r="D1195" s="21" t="str">
        <f>IFERROR(__xludf.DUMMYFUNCTION("""COMPUTED_VALUE"""),"DIGITEC TECNOLOGIA DIGITAL E REPRES")</f>
        <v>DIGITEC TECNOLOGIA DIGITAL E REPRES</v>
      </c>
      <c r="E1195" s="21">
        <f>IFERROR(__xludf.DUMMYFUNCTION("""COMPUTED_VALUE"""),145359.0)</f>
        <v>145359</v>
      </c>
      <c r="F1195" s="21" t="str">
        <f>IFERROR(__xludf.DUMMYFUNCTION("""COMPUTED_VALUE"""),"INICIALIZADO")</f>
        <v>INICIALIZADO</v>
      </c>
      <c r="G1195" s="23">
        <f>IFERROR(__xludf.DUMMYFUNCTION("""COMPUTED_VALUE"""),45635.53496527778)</f>
        <v>45635.53497</v>
      </c>
      <c r="H1195" s="24" t="str">
        <f>IFERROR(VLOOKUP(B1195,material!A:D,3,0),"")</f>
        <v>CARD</v>
      </c>
    </row>
    <row r="1196" ht="11.25" customHeight="1">
      <c r="A1196" s="21" t="str">
        <f>IFERROR(__xludf.DUMMYFUNCTION("""COMPUTED_VALUE"""),"SMART CARD PRETO NAGRA")</f>
        <v>SMART CARD PRETO NAGRA</v>
      </c>
      <c r="B1196" s="22">
        <f>IFERROR(__xludf.DUMMYFUNCTION("""COMPUTED_VALUE"""),4.1001234E7)</f>
        <v>41001234</v>
      </c>
      <c r="C1196" s="21" t="str">
        <f>IFERROR(__xludf.DUMMYFUNCTION("""COMPUTED_VALUE"""),"226368718705")</f>
        <v>226368718705</v>
      </c>
      <c r="D1196" s="21" t="str">
        <f>IFERROR(__xludf.DUMMYFUNCTION("""COMPUTED_VALUE"""),"DIGITEC TECNOLOGIA DIGITAL E REPRES")</f>
        <v>DIGITEC TECNOLOGIA DIGITAL E REPRES</v>
      </c>
      <c r="E1196" s="21">
        <f>IFERROR(__xludf.DUMMYFUNCTION("""COMPUTED_VALUE"""),145359.0)</f>
        <v>145359</v>
      </c>
      <c r="F1196" s="21" t="str">
        <f>IFERROR(__xludf.DUMMYFUNCTION("""COMPUTED_VALUE"""),"INICIALIZADO")</f>
        <v>INICIALIZADO</v>
      </c>
      <c r="G1196" s="23">
        <f>IFERROR(__xludf.DUMMYFUNCTION("""COMPUTED_VALUE"""),45635.53496527778)</f>
        <v>45635.53497</v>
      </c>
      <c r="H1196" s="24" t="str">
        <f>IFERROR(VLOOKUP(B1196,material!A:D,3,0),"")</f>
        <v>CARD</v>
      </c>
    </row>
    <row r="1197" ht="11.25" customHeight="1">
      <c r="A1197" s="21" t="str">
        <f>IFERROR(__xludf.DUMMYFUNCTION("""COMPUTED_VALUE"""),"SMART CARD PRETO NAGRA")</f>
        <v>SMART CARD PRETO NAGRA</v>
      </c>
      <c r="B1197" s="22">
        <f>IFERROR(__xludf.DUMMYFUNCTION("""COMPUTED_VALUE"""),4.1001234E7)</f>
        <v>41001234</v>
      </c>
      <c r="C1197" s="21" t="str">
        <f>IFERROR(__xludf.DUMMYFUNCTION("""COMPUTED_VALUE"""),"226313320325")</f>
        <v>226313320325</v>
      </c>
      <c r="D1197" s="21" t="str">
        <f>IFERROR(__xludf.DUMMYFUNCTION("""COMPUTED_VALUE"""),"DIGITEC TECNOLOGIA DIGITAL E REPRES")</f>
        <v>DIGITEC TECNOLOGIA DIGITAL E REPRES</v>
      </c>
      <c r="E1197" s="21">
        <f>IFERROR(__xludf.DUMMYFUNCTION("""COMPUTED_VALUE"""),145359.0)</f>
        <v>145359</v>
      </c>
      <c r="F1197" s="21" t="str">
        <f>IFERROR(__xludf.DUMMYFUNCTION("""COMPUTED_VALUE"""),"INICIALIZADO")</f>
        <v>INICIALIZADO</v>
      </c>
      <c r="G1197" s="23">
        <f>IFERROR(__xludf.DUMMYFUNCTION("""COMPUTED_VALUE"""),45635.53496527778)</f>
        <v>45635.53497</v>
      </c>
      <c r="H1197" s="24" t="str">
        <f>IFERROR(VLOOKUP(B1197,material!A:D,3,0),"")</f>
        <v>CARD</v>
      </c>
    </row>
    <row r="1198" ht="11.25" customHeight="1">
      <c r="A1198" s="21" t="str">
        <f>IFERROR(__xludf.DUMMYFUNCTION("""COMPUTED_VALUE"""),"SMART CARD PRETO NAGRA")</f>
        <v>SMART CARD PRETO NAGRA</v>
      </c>
      <c r="B1198" s="22">
        <f>IFERROR(__xludf.DUMMYFUNCTION("""COMPUTED_VALUE"""),4.1001234E7)</f>
        <v>41001234</v>
      </c>
      <c r="C1198" s="21" t="str">
        <f>IFERROR(__xludf.DUMMYFUNCTION("""COMPUTED_VALUE"""),"246214394452")</f>
        <v>246214394452</v>
      </c>
      <c r="D1198" s="21" t="str">
        <f>IFERROR(__xludf.DUMMYFUNCTION("""COMPUTED_VALUE"""),"DIGITEC TECNOLOGIA DIGITAL E REPRES")</f>
        <v>DIGITEC TECNOLOGIA DIGITAL E REPRES</v>
      </c>
      <c r="E1198" s="21">
        <f>IFERROR(__xludf.DUMMYFUNCTION("""COMPUTED_VALUE"""),145359.0)</f>
        <v>145359</v>
      </c>
      <c r="F1198" s="21" t="str">
        <f>IFERROR(__xludf.DUMMYFUNCTION("""COMPUTED_VALUE"""),"INICIALIZADO")</f>
        <v>INICIALIZADO</v>
      </c>
      <c r="G1198" s="23">
        <f>IFERROR(__xludf.DUMMYFUNCTION("""COMPUTED_VALUE"""),45635.53493055556)</f>
        <v>45635.53493</v>
      </c>
      <c r="H1198" s="24" t="str">
        <f>IFERROR(VLOOKUP(B1198,material!A:D,3,0),"")</f>
        <v>CARD</v>
      </c>
    </row>
    <row r="1199" ht="11.25" customHeight="1">
      <c r="A1199" s="21" t="str">
        <f>IFERROR(__xludf.DUMMYFUNCTION("""COMPUTED_VALUE"""),"SMART CARD PRETO NAGRA")</f>
        <v>SMART CARD PRETO NAGRA</v>
      </c>
      <c r="B1199" s="22">
        <f>IFERROR(__xludf.DUMMYFUNCTION("""COMPUTED_VALUE"""),4.1001234E7)</f>
        <v>41001234</v>
      </c>
      <c r="C1199" s="21" t="str">
        <f>IFERROR(__xludf.DUMMYFUNCTION("""COMPUTED_VALUE"""),"246236314459")</f>
        <v>246236314459</v>
      </c>
      <c r="D1199" s="21" t="str">
        <f>IFERROR(__xludf.DUMMYFUNCTION("""COMPUTED_VALUE"""),"DIGITEC TECNOLOGIA DIGITAL E REPRES")</f>
        <v>DIGITEC TECNOLOGIA DIGITAL E REPRES</v>
      </c>
      <c r="E1199" s="21">
        <f>IFERROR(__xludf.DUMMYFUNCTION("""COMPUTED_VALUE"""),145359.0)</f>
        <v>145359</v>
      </c>
      <c r="F1199" s="21" t="str">
        <f>IFERROR(__xludf.DUMMYFUNCTION("""COMPUTED_VALUE"""),"INICIALIZADO")</f>
        <v>INICIALIZADO</v>
      </c>
      <c r="G1199" s="23">
        <f>IFERROR(__xludf.DUMMYFUNCTION("""COMPUTED_VALUE"""),45635.53493055556)</f>
        <v>45635.53493</v>
      </c>
      <c r="H1199" s="24" t="str">
        <f>IFERROR(VLOOKUP(B1199,material!A:D,3,0),"")</f>
        <v>CARD</v>
      </c>
    </row>
    <row r="1200" ht="11.25" customHeight="1">
      <c r="A1200" s="21" t="str">
        <f>IFERROR(__xludf.DUMMYFUNCTION("""COMPUTED_VALUE"""),"SMART CARD PRETO NAGRA")</f>
        <v>SMART CARD PRETO NAGRA</v>
      </c>
      <c r="B1200" s="22">
        <f>IFERROR(__xludf.DUMMYFUNCTION("""COMPUTED_VALUE"""),4.1001234E7)</f>
        <v>41001234</v>
      </c>
      <c r="C1200" s="21" t="str">
        <f>IFERROR(__xludf.DUMMYFUNCTION("""COMPUTED_VALUE"""),"246230375372")</f>
        <v>246230375372</v>
      </c>
      <c r="D1200" s="21" t="str">
        <f>IFERROR(__xludf.DUMMYFUNCTION("""COMPUTED_VALUE"""),"DIGITEC TECNOLOGIA DIGITAL E REPRES")</f>
        <v>DIGITEC TECNOLOGIA DIGITAL E REPRES</v>
      </c>
      <c r="E1200" s="21">
        <f>IFERROR(__xludf.DUMMYFUNCTION("""COMPUTED_VALUE"""),145359.0)</f>
        <v>145359</v>
      </c>
      <c r="F1200" s="21" t="str">
        <f>IFERROR(__xludf.DUMMYFUNCTION("""COMPUTED_VALUE"""),"INICIALIZADO")</f>
        <v>INICIALIZADO</v>
      </c>
      <c r="G1200" s="23">
        <f>IFERROR(__xludf.DUMMYFUNCTION("""COMPUTED_VALUE"""),45642.52410879629)</f>
        <v>45642.52411</v>
      </c>
      <c r="H1200" s="24" t="str">
        <f>IFERROR(VLOOKUP(B1200,material!A:D,3,0),"")</f>
        <v>CARD</v>
      </c>
    </row>
    <row r="1201" ht="11.25" customHeight="1">
      <c r="A1201" s="21" t="str">
        <f>IFERROR(__xludf.DUMMYFUNCTION("""COMPUTED_VALUE"""),"SMART CARD LARANJA")</f>
        <v>SMART CARD LARANJA</v>
      </c>
      <c r="B1201" s="22">
        <f>IFERROR(__xludf.DUMMYFUNCTION("""COMPUTED_VALUE"""),4.1001186E7)</f>
        <v>41001186</v>
      </c>
      <c r="C1201" s="21" t="str">
        <f>IFERROR(__xludf.DUMMYFUNCTION("""COMPUTED_VALUE"""),"215652290722")</f>
        <v>215652290722</v>
      </c>
      <c r="D1201" s="21" t="str">
        <f>IFERROR(__xludf.DUMMYFUNCTION("""COMPUTED_VALUE"""),"DIGITEC TECNOLOGIA DIGITAL E REPRES")</f>
        <v>DIGITEC TECNOLOGIA DIGITAL E REPRES</v>
      </c>
      <c r="E1201" s="21">
        <f>IFERROR(__xludf.DUMMYFUNCTION("""COMPUTED_VALUE"""),145359.0)</f>
        <v>145359</v>
      </c>
      <c r="F1201" s="21" t="str">
        <f>IFERROR(__xludf.DUMMYFUNCTION("""COMPUTED_VALUE"""),"INICIALIZADO")</f>
        <v>INICIALIZADO</v>
      </c>
      <c r="G1201" s="23">
        <f>IFERROR(__xludf.DUMMYFUNCTION("""COMPUTED_VALUE"""),45000.35914351852)</f>
        <v>45000.35914</v>
      </c>
      <c r="H1201" s="24" t="str">
        <f>IFERROR(VLOOKUP(B1201,material!A:D,3,0),"")</f>
        <v>CARD</v>
      </c>
    </row>
    <row r="1202" ht="11.25" customHeight="1">
      <c r="A1202" s="21" t="str">
        <f>IFERROR(__xludf.DUMMYFUNCTION("""COMPUTED_VALUE"""),"DECODER DIGITAL HD DXC5000 2T")</f>
        <v>DECODER DIGITAL HD DXC5000 2T</v>
      </c>
      <c r="B1202" s="22">
        <f>IFERROR(__xludf.DUMMYFUNCTION("""COMPUTED_VALUE"""),4.1001277E7)</f>
        <v>41001277</v>
      </c>
      <c r="C1202" s="21" t="str">
        <f>IFERROR(__xludf.DUMMYFUNCTION("""COMPUTED_VALUE"""),"216786480122")</f>
        <v>216786480122</v>
      </c>
      <c r="D1202" s="21" t="str">
        <f>IFERROR(__xludf.DUMMYFUNCTION("""COMPUTED_VALUE"""),"DIGITEC TECNOLOGIA DIGITAL E REPRES")</f>
        <v>DIGITEC TECNOLOGIA DIGITAL E REPRES</v>
      </c>
      <c r="E1202" s="21">
        <f>IFERROR(__xludf.DUMMYFUNCTION("""COMPUTED_VALUE"""),145359.0)</f>
        <v>145359</v>
      </c>
      <c r="F1202" s="21" t="str">
        <f>IFERROR(__xludf.DUMMYFUNCTION("""COMPUTED_VALUE"""),"TRANSITO REVERSA")</f>
        <v>TRANSITO REVERSA</v>
      </c>
      <c r="G1202" s="23">
        <f>IFERROR(__xludf.DUMMYFUNCTION("""COMPUTED_VALUE"""),45610.730416666665)</f>
        <v>45610.73042</v>
      </c>
      <c r="H1202" s="24" t="str">
        <f>IFERROR(VLOOKUP(B1202,material!A:D,3,0),"")</f>
        <v>TOP MIX</v>
      </c>
    </row>
    <row r="1203" ht="11.25" customHeight="1">
      <c r="A1203" s="21" t="str">
        <f>IFERROR(__xludf.DUMMYFUNCTION("""COMPUTED_VALUE"""),"SMART CARD PRETO NAGRA")</f>
        <v>SMART CARD PRETO NAGRA</v>
      </c>
      <c r="B1203" s="22">
        <f>IFERROR(__xludf.DUMMYFUNCTION("""COMPUTED_VALUE"""),4.1001234E7)</f>
        <v>41001234</v>
      </c>
      <c r="C1203" s="21" t="str">
        <f>IFERROR(__xludf.DUMMYFUNCTION("""COMPUTED_VALUE"""),"246135707378")</f>
        <v>246135707378</v>
      </c>
      <c r="D1203" s="21" t="str">
        <f>IFERROR(__xludf.DUMMYFUNCTION("""COMPUTED_VALUE"""),"DIGITEC TECNOLOGIA DIGITAL E REPRES")</f>
        <v>DIGITEC TECNOLOGIA DIGITAL E REPRES</v>
      </c>
      <c r="E1203" s="21">
        <f>IFERROR(__xludf.DUMMYFUNCTION("""COMPUTED_VALUE"""),145359.0)</f>
        <v>145359</v>
      </c>
      <c r="F1203" s="21" t="str">
        <f>IFERROR(__xludf.DUMMYFUNCTION("""COMPUTED_VALUE"""),"TRANSITO REVERSA")</f>
        <v>TRANSITO REVERSA</v>
      </c>
      <c r="G1203" s="23">
        <f>IFERROR(__xludf.DUMMYFUNCTION("""COMPUTED_VALUE"""),45633.00396990741)</f>
        <v>45633.00397</v>
      </c>
      <c r="H1203" s="24" t="str">
        <f>IFERROR(VLOOKUP(B1203,material!A:D,3,0),"")</f>
        <v>CARD</v>
      </c>
    </row>
    <row r="1204" ht="11.25" customHeight="1">
      <c r="A1204" s="21" t="str">
        <f>IFERROR(__xludf.DUMMYFUNCTION("""COMPUTED_VALUE"""),"SMART CARD LARANJA NAGRA")</f>
        <v>SMART CARD LARANJA NAGRA</v>
      </c>
      <c r="B1204" s="22">
        <f>IFERROR(__xludf.DUMMYFUNCTION("""COMPUTED_VALUE"""),4.1001186E7)</f>
        <v>41001186</v>
      </c>
      <c r="C1204" s="21" t="str">
        <f>IFERROR(__xludf.DUMMYFUNCTION("""COMPUTED_VALUE"""),"215686162243")</f>
        <v>215686162243</v>
      </c>
      <c r="D1204" s="21" t="str">
        <f>IFERROR(__xludf.DUMMYFUNCTION("""COMPUTED_VALUE"""),"DIGITEC TECNOLOGIA DIGITAL E REPRES")</f>
        <v>DIGITEC TECNOLOGIA DIGITAL E REPRES</v>
      </c>
      <c r="E1204" s="21">
        <f>IFERROR(__xludf.DUMMYFUNCTION("""COMPUTED_VALUE"""),145359.0)</f>
        <v>145359</v>
      </c>
      <c r="F1204" s="21" t="str">
        <f>IFERROR(__xludf.DUMMYFUNCTION("""COMPUTED_VALUE"""),"TRANSITO REVERSA")</f>
        <v>TRANSITO REVERSA</v>
      </c>
      <c r="G1204" s="23">
        <f>IFERROR(__xludf.DUMMYFUNCTION("""COMPUTED_VALUE"""),45633.003379629634)</f>
        <v>45633.00338</v>
      </c>
      <c r="H1204" s="24" t="str">
        <f>IFERROR(VLOOKUP(B1204,material!A:D,3,0),"")</f>
        <v>CARD</v>
      </c>
    </row>
    <row r="1205" ht="11.25" customHeight="1">
      <c r="A1205" s="21" t="str">
        <f>IFERROR(__xludf.DUMMYFUNCTION("""COMPUTED_VALUE"""),"DECODER DIGITAL HD DXC5000 2T")</f>
        <v>DECODER DIGITAL HD DXC5000 2T</v>
      </c>
      <c r="B1205" s="22">
        <f>IFERROR(__xludf.DUMMYFUNCTION("""COMPUTED_VALUE"""),4.1001277E7)</f>
        <v>41001277</v>
      </c>
      <c r="C1205" s="21" t="str">
        <f>IFERROR(__xludf.DUMMYFUNCTION("""COMPUTED_VALUE"""),"216381694971")</f>
        <v>216381694971</v>
      </c>
      <c r="D1205" s="21" t="str">
        <f>IFERROR(__xludf.DUMMYFUNCTION("""COMPUTED_VALUE"""),"DIGITEC TECNOLOGIA DIGITAL E REPRES")</f>
        <v>DIGITEC TECNOLOGIA DIGITAL E REPRES</v>
      </c>
      <c r="E1205" s="21">
        <f>IFERROR(__xludf.DUMMYFUNCTION("""COMPUTED_VALUE"""),145359.0)</f>
        <v>145359</v>
      </c>
      <c r="F1205" s="21" t="str">
        <f>IFERROR(__xludf.DUMMYFUNCTION("""COMPUTED_VALUE"""),"INICIALIZADO")</f>
        <v>INICIALIZADO</v>
      </c>
      <c r="G1205" s="23">
        <f>IFERROR(__xludf.DUMMYFUNCTION("""COMPUTED_VALUE"""),45600.476006944446)</f>
        <v>45600.47601</v>
      </c>
      <c r="H1205" s="24" t="str">
        <f>IFERROR(VLOOKUP(B1205,material!A:D,3,0),"")</f>
        <v>TOP MIX</v>
      </c>
    </row>
    <row r="1206" ht="11.25" customHeight="1">
      <c r="A1206" s="21" t="str">
        <f>IFERROR(__xludf.DUMMYFUNCTION("""COMPUTED_VALUE"""),"DECODER DIGITAL HD HNB100 2T")</f>
        <v>DECODER DIGITAL HD HNB100 2T</v>
      </c>
      <c r="B1206" s="22">
        <f>IFERROR(__xludf.DUMMYFUNCTION("""COMPUTED_VALUE"""),4.1001276E7)</f>
        <v>41001276</v>
      </c>
      <c r="C1206" s="21" t="str">
        <f>IFERROR(__xludf.DUMMYFUNCTION("""COMPUTED_VALUE"""),"216687724557")</f>
        <v>216687724557</v>
      </c>
      <c r="D1206" s="21" t="str">
        <f>IFERROR(__xludf.DUMMYFUNCTION("""COMPUTED_VALUE"""),"DIGITEC TECNOLOGIA DIGITAL E REPRES")</f>
        <v>DIGITEC TECNOLOGIA DIGITAL E REPRES</v>
      </c>
      <c r="E1206" s="21">
        <f>IFERROR(__xludf.DUMMYFUNCTION("""COMPUTED_VALUE"""),145359.0)</f>
        <v>145359</v>
      </c>
      <c r="F1206" s="21" t="str">
        <f>IFERROR(__xludf.DUMMYFUNCTION("""COMPUTED_VALUE"""),"INICIALIZADO")</f>
        <v>INICIALIZADO</v>
      </c>
      <c r="G1206" s="23">
        <f>IFERROR(__xludf.DUMMYFUNCTION("""COMPUTED_VALUE"""),45635.53501157407)</f>
        <v>45635.53501</v>
      </c>
      <c r="H1206" s="24" t="str">
        <f>IFERROR(VLOOKUP(B1206,material!A:D,3,0),"")</f>
        <v>TOP MIX</v>
      </c>
    </row>
    <row r="1207" ht="11.25" customHeight="1">
      <c r="A1207" s="21" t="str">
        <f>IFERROR(__xludf.DUMMYFUNCTION("""COMPUTED_VALUE"""),"DECODER DIGITAL HD HNB100 2T")</f>
        <v>DECODER DIGITAL HD HNB100 2T</v>
      </c>
      <c r="B1207" s="22">
        <f>IFERROR(__xludf.DUMMYFUNCTION("""COMPUTED_VALUE"""),4.1001276E7)</f>
        <v>41001276</v>
      </c>
      <c r="C1207" s="21" t="str">
        <f>IFERROR(__xludf.DUMMYFUNCTION("""COMPUTED_VALUE"""),"216635587493")</f>
        <v>216635587493</v>
      </c>
      <c r="D1207" s="21" t="str">
        <f>IFERROR(__xludf.DUMMYFUNCTION("""COMPUTED_VALUE"""),"DIGITEC TECNOLOGIA DIGITAL E REPRES")</f>
        <v>DIGITEC TECNOLOGIA DIGITAL E REPRES</v>
      </c>
      <c r="E1207" s="21">
        <f>IFERROR(__xludf.DUMMYFUNCTION("""COMPUTED_VALUE"""),145359.0)</f>
        <v>145359</v>
      </c>
      <c r="F1207" s="21" t="str">
        <f>IFERROR(__xludf.DUMMYFUNCTION("""COMPUTED_VALUE"""),"INICIALIZADO")</f>
        <v>INICIALIZADO</v>
      </c>
      <c r="G1207" s="23">
        <f>IFERROR(__xludf.DUMMYFUNCTION("""COMPUTED_VALUE"""),45635.53506944445)</f>
        <v>45635.53507</v>
      </c>
      <c r="H1207" s="24" t="str">
        <f>IFERROR(VLOOKUP(B1207,material!A:D,3,0),"")</f>
        <v>TOP MIX</v>
      </c>
    </row>
    <row r="1208" ht="11.25" customHeight="1">
      <c r="A1208" s="21" t="str">
        <f>IFERROR(__xludf.DUMMYFUNCTION("""COMPUTED_VALUE"""),"SMART CARD LARANJA NAGRA")</f>
        <v>SMART CARD LARANJA NAGRA</v>
      </c>
      <c r="B1208" s="22">
        <f>IFERROR(__xludf.DUMMYFUNCTION("""COMPUTED_VALUE"""),4.1001186E7)</f>
        <v>41001186</v>
      </c>
      <c r="C1208" s="21" t="str">
        <f>IFERROR(__xludf.DUMMYFUNCTION("""COMPUTED_VALUE"""),"226805218195")</f>
        <v>226805218195</v>
      </c>
      <c r="D1208" s="21" t="str">
        <f>IFERROR(__xludf.DUMMYFUNCTION("""COMPUTED_VALUE"""),"DIGITEC TECNOLOGIA DIGITAL E REPRES")</f>
        <v>DIGITEC TECNOLOGIA DIGITAL E REPRES</v>
      </c>
      <c r="E1208" s="21">
        <f>IFERROR(__xludf.DUMMYFUNCTION("""COMPUTED_VALUE"""),145359.0)</f>
        <v>145359</v>
      </c>
      <c r="F1208" s="21" t="str">
        <f>IFERROR(__xludf.DUMMYFUNCTION("""COMPUTED_VALUE"""),"SUCATA")</f>
        <v>SUCATA</v>
      </c>
      <c r="G1208" s="23">
        <f>IFERROR(__xludf.DUMMYFUNCTION("""COMPUTED_VALUE"""),45076.68158564815)</f>
        <v>45076.68159</v>
      </c>
      <c r="H1208" s="24" t="str">
        <f>IFERROR(VLOOKUP(B1208,material!A:D,3,0),"")</f>
        <v>CARD</v>
      </c>
    </row>
    <row r="1209" ht="11.25" customHeight="1">
      <c r="A1209" s="21" t="str">
        <f>IFERROR(__xludf.DUMMYFUNCTION("""COMPUTED_VALUE"""),"HUMAX HG100R-L4")</f>
        <v>HUMAX HG100R-L4</v>
      </c>
      <c r="B1209" s="22">
        <f>IFERROR(__xludf.DUMMYFUNCTION("""COMPUTED_VALUE"""),4.1001288E7)</f>
        <v>41001288</v>
      </c>
      <c r="C1209" s="21" t="str">
        <f>IFERROR(__xludf.DUMMYFUNCTION("""COMPUTED_VALUE"""),"942CB300AB74")</f>
        <v>942CB300AB74</v>
      </c>
      <c r="D1209" s="21" t="str">
        <f>IFERROR(__xludf.DUMMYFUNCTION("""COMPUTED_VALUE"""),"DIGITEC TECNOLOGIA DIGITAL E REPRES")</f>
        <v>DIGITEC TECNOLOGIA DIGITAL E REPRES</v>
      </c>
      <c r="E1209" s="21">
        <f>IFERROR(__xludf.DUMMYFUNCTION("""COMPUTED_VALUE"""),145359.0)</f>
        <v>145359</v>
      </c>
      <c r="F1209" s="21" t="str">
        <f>IFERROR(__xludf.DUMMYFUNCTION("""COMPUTED_VALUE"""),"INICIALIZADO")</f>
        <v>INICIALIZADO</v>
      </c>
      <c r="G1209" s="23">
        <f>IFERROR(__xludf.DUMMYFUNCTION("""COMPUTED_VALUE"""),44999.92971064815)</f>
        <v>44999.92971</v>
      </c>
      <c r="H1209" s="24" t="str">
        <f>IFERROR(VLOOKUP(B1209,material!A:D,3,0),"")</f>
        <v>SINGLE</v>
      </c>
    </row>
    <row r="1210" ht="11.25" customHeight="1">
      <c r="A1210" s="21" t="str">
        <f>IFERROR(__xludf.DUMMYFUNCTION("""COMPUTED_VALUE"""),"TECHNICOLOR TC7337NET")</f>
        <v>TECHNICOLOR TC7337NET</v>
      </c>
      <c r="B1210" s="22">
        <f>IFERROR(__xludf.DUMMYFUNCTION("""COMPUTED_VALUE"""),4.1001294E7)</f>
        <v>41001294</v>
      </c>
      <c r="C1210" s="21" t="str">
        <f>IFERROR(__xludf.DUMMYFUNCTION("""COMPUTED_VALUE"""),"B42A0EDC0246")</f>
        <v>B42A0EDC0246</v>
      </c>
      <c r="D1210" s="21" t="str">
        <f>IFERROR(__xludf.DUMMYFUNCTION("""COMPUTED_VALUE"""),"DIGITEC TECNOLOGIA DIGITAL E REPRES")</f>
        <v>DIGITEC TECNOLOGIA DIGITAL E REPRES</v>
      </c>
      <c r="E1210" s="21">
        <f>IFERROR(__xludf.DUMMYFUNCTION("""COMPUTED_VALUE"""),145359.0)</f>
        <v>145359</v>
      </c>
      <c r="F1210" s="21" t="str">
        <f>IFERROR(__xludf.DUMMYFUNCTION("""COMPUTED_VALUE"""),"INICIALIZADO")</f>
        <v>INICIALIZADO</v>
      </c>
      <c r="G1210" s="23">
        <f>IFERROR(__xludf.DUMMYFUNCTION("""COMPUTED_VALUE"""),45615.61858796296)</f>
        <v>45615.61859</v>
      </c>
      <c r="H1210" s="24" t="str">
        <f>IFERROR(VLOOKUP(B1210,material!A:D,3,0),"")</f>
        <v>DUAL</v>
      </c>
    </row>
    <row r="1211" ht="11.25" customHeight="1">
      <c r="A1211" s="21" t="str">
        <f>IFERROR(__xludf.DUMMYFUNCTION("""COMPUTED_VALUE"""),"DECODER DIGITAL HD HNB100 2T")</f>
        <v>DECODER DIGITAL HD HNB100 2T</v>
      </c>
      <c r="B1211" s="22">
        <f>IFERROR(__xludf.DUMMYFUNCTION("""COMPUTED_VALUE"""),4.1001276E7)</f>
        <v>41001276</v>
      </c>
      <c r="C1211" s="21" t="str">
        <f>IFERROR(__xludf.DUMMYFUNCTION("""COMPUTED_VALUE"""),"216410950610")</f>
        <v>216410950610</v>
      </c>
      <c r="D1211" s="21" t="str">
        <f>IFERROR(__xludf.DUMMYFUNCTION("""COMPUTED_VALUE"""),"DIGITEC TECNOLOGIA DIGITAL E REPRES")</f>
        <v>DIGITEC TECNOLOGIA DIGITAL E REPRES</v>
      </c>
      <c r="E1211" s="21">
        <f>IFERROR(__xludf.DUMMYFUNCTION("""COMPUTED_VALUE"""),145359.0)</f>
        <v>145359</v>
      </c>
      <c r="F1211" s="21" t="str">
        <f>IFERROR(__xludf.DUMMYFUNCTION("""COMPUTED_VALUE"""),"INICIALIZADO")</f>
        <v>INICIALIZADO</v>
      </c>
      <c r="G1211" s="23">
        <f>IFERROR(__xludf.DUMMYFUNCTION("""COMPUTED_VALUE"""),45642.52413194445)</f>
        <v>45642.52413</v>
      </c>
      <c r="H1211" s="24" t="str">
        <f>IFERROR(VLOOKUP(B1211,material!A:D,3,0),"")</f>
        <v>TOP MIX</v>
      </c>
    </row>
    <row r="1212" ht="11.25" customHeight="1">
      <c r="A1212" s="21" t="str">
        <f>IFERROR(__xludf.DUMMYFUNCTION("""COMPUTED_VALUE"""),"ARRIS TG1692A")</f>
        <v>ARRIS TG1692A</v>
      </c>
      <c r="B1212" s="22">
        <f>IFERROR(__xludf.DUMMYFUNCTION("""COMPUTED_VALUE"""),4.1001293E7)</f>
        <v>41001293</v>
      </c>
      <c r="C1212" s="21" t="str">
        <f>IFERROR(__xludf.DUMMYFUNCTION("""COMPUTED_VALUE"""),"A89FECC3B71E")</f>
        <v>A89FECC3B71E</v>
      </c>
      <c r="D1212" s="21" t="str">
        <f>IFERROR(__xludf.DUMMYFUNCTION("""COMPUTED_VALUE"""),"DIGITEC TECNOLOGIA DIGITAL E REPRES")</f>
        <v>DIGITEC TECNOLOGIA DIGITAL E REPRES</v>
      </c>
      <c r="E1212" s="21">
        <f>IFERROR(__xludf.DUMMYFUNCTION("""COMPUTED_VALUE"""),145359.0)</f>
        <v>145359</v>
      </c>
      <c r="F1212" s="21" t="str">
        <f>IFERROR(__xludf.DUMMYFUNCTION("""COMPUTED_VALUE"""),"COM DEFEITO")</f>
        <v>COM DEFEITO</v>
      </c>
      <c r="G1212" s="23">
        <f>IFERROR(__xludf.DUMMYFUNCTION("""COMPUTED_VALUE"""),45595.63983796297)</f>
        <v>45595.63984</v>
      </c>
      <c r="H1212" s="24" t="str">
        <f>IFERROR(VLOOKUP(B1212,material!A:D,3,0),"")</f>
        <v>DUAL</v>
      </c>
    </row>
    <row r="1213" ht="11.25" customHeight="1">
      <c r="A1213" s="21" t="str">
        <f>IFERROR(__xludf.DUMMYFUNCTION("""COMPUTED_VALUE"""),"DECODER DIGITAL HD DXC5000 2T")</f>
        <v>DECODER DIGITAL HD DXC5000 2T</v>
      </c>
      <c r="B1213" s="22">
        <f>IFERROR(__xludf.DUMMYFUNCTION("""COMPUTED_VALUE"""),4.1001277E7)</f>
        <v>41001277</v>
      </c>
      <c r="C1213" s="21" t="str">
        <f>IFERROR(__xludf.DUMMYFUNCTION("""COMPUTED_VALUE"""),"216673937790")</f>
        <v>216673937790</v>
      </c>
      <c r="D1213" s="21" t="str">
        <f>IFERROR(__xludf.DUMMYFUNCTION("""COMPUTED_VALUE"""),"DIGITEC TECNOLOGIA DIGITAL E REPRES")</f>
        <v>DIGITEC TECNOLOGIA DIGITAL E REPRES</v>
      </c>
      <c r="E1213" s="21">
        <f>IFERROR(__xludf.DUMMYFUNCTION("""COMPUTED_VALUE"""),145359.0)</f>
        <v>145359</v>
      </c>
      <c r="F1213" s="21" t="str">
        <f>IFERROR(__xludf.DUMMYFUNCTION("""COMPUTED_VALUE"""),"INICIALIZADO")</f>
        <v>INICIALIZADO</v>
      </c>
      <c r="G1213" s="23">
        <f>IFERROR(__xludf.DUMMYFUNCTION("""COMPUTED_VALUE"""),45618.65200231482)</f>
        <v>45618.652</v>
      </c>
      <c r="H1213" s="24" t="str">
        <f>IFERROR(VLOOKUP(B1213,material!A:D,3,0),"")</f>
        <v>TOP MIX</v>
      </c>
    </row>
    <row r="1214" ht="11.25" customHeight="1">
      <c r="A1214" s="21" t="str">
        <f>IFERROR(__xludf.DUMMYFUNCTION("""COMPUTED_VALUE"""),"SMART CARD PRETO NAGRA")</f>
        <v>SMART CARD PRETO NAGRA</v>
      </c>
      <c r="B1214" s="22">
        <f>IFERROR(__xludf.DUMMYFUNCTION("""COMPUTED_VALUE"""),4.1001234E7)</f>
        <v>41001234</v>
      </c>
      <c r="C1214" s="21" t="str">
        <f>IFERROR(__xludf.DUMMYFUNCTION("""COMPUTED_VALUE"""),"246209202543")</f>
        <v>246209202543</v>
      </c>
      <c r="D1214" s="21" t="str">
        <f>IFERROR(__xludf.DUMMYFUNCTION("""COMPUTED_VALUE"""),"DIGITEC TECNOLOGIA DIGITAL E REPRES")</f>
        <v>DIGITEC TECNOLOGIA DIGITAL E REPRES</v>
      </c>
      <c r="E1214" s="21">
        <f>IFERROR(__xludf.DUMMYFUNCTION("""COMPUTED_VALUE"""),145359.0)</f>
        <v>145359</v>
      </c>
      <c r="F1214" s="21" t="str">
        <f>IFERROR(__xludf.DUMMYFUNCTION("""COMPUTED_VALUE"""),"INICIALIZADO")</f>
        <v>INICIALIZADO</v>
      </c>
      <c r="G1214" s="23">
        <f>IFERROR(__xludf.DUMMYFUNCTION("""COMPUTED_VALUE"""),45635.53493055556)</f>
        <v>45635.53493</v>
      </c>
      <c r="H1214" s="24" t="str">
        <f>IFERROR(VLOOKUP(B1214,material!A:D,3,0),"")</f>
        <v>CARD</v>
      </c>
    </row>
    <row r="1215" ht="11.25" customHeight="1">
      <c r="A1215" s="21" t="str">
        <f>IFERROR(__xludf.DUMMYFUNCTION("""COMPUTED_VALUE"""),"ARRIS TG1692A")</f>
        <v>ARRIS TG1692A</v>
      </c>
      <c r="B1215" s="22">
        <f>IFERROR(__xludf.DUMMYFUNCTION("""COMPUTED_VALUE"""),4.1001293E7)</f>
        <v>41001293</v>
      </c>
      <c r="C1215" s="21" t="str">
        <f>IFERROR(__xludf.DUMMYFUNCTION("""COMPUTED_VALUE"""),"BC644BD836BC")</f>
        <v>BC644BD836BC</v>
      </c>
      <c r="D1215" s="21" t="str">
        <f>IFERROR(__xludf.DUMMYFUNCTION("""COMPUTED_VALUE"""),"DIGITEC TECNOLOGIA DIGITAL E REPRES")</f>
        <v>DIGITEC TECNOLOGIA DIGITAL E REPRES</v>
      </c>
      <c r="E1215" s="21">
        <f>IFERROR(__xludf.DUMMYFUNCTION("""COMPUTED_VALUE"""),145359.0)</f>
        <v>145359</v>
      </c>
      <c r="F1215" s="21" t="str">
        <f>IFERROR(__xludf.DUMMYFUNCTION("""COMPUTED_VALUE"""),"TRANSITO REVERSA")</f>
        <v>TRANSITO REVERSA</v>
      </c>
      <c r="G1215" s="23">
        <f>IFERROR(__xludf.DUMMYFUNCTION("""COMPUTED_VALUE"""),45633.00398148148)</f>
        <v>45633.00398</v>
      </c>
      <c r="H1215" s="24" t="str">
        <f>IFERROR(VLOOKUP(B1215,material!A:D,3,0),"")</f>
        <v>DUAL</v>
      </c>
    </row>
    <row r="1216" ht="11.25" customHeight="1">
      <c r="A1216" s="21" t="str">
        <f>IFERROR(__xludf.DUMMYFUNCTION("""COMPUTED_VALUE"""),"PACE - HIGH DEFINITION DCR7411")</f>
        <v>PACE - HIGH DEFINITION DCR7411</v>
      </c>
      <c r="B1216" s="22">
        <f>IFERROR(__xludf.DUMMYFUNCTION("""COMPUTED_VALUE"""),4.1001216E7)</f>
        <v>41001216</v>
      </c>
      <c r="C1216" s="21" t="str">
        <f>IFERROR(__xludf.DUMMYFUNCTION("""COMPUTED_VALUE"""),"184302978288")</f>
        <v>184302978288</v>
      </c>
      <c r="D1216" s="21" t="str">
        <f>IFERROR(__xludf.DUMMYFUNCTION("""COMPUTED_VALUE"""),"DIGITEC TECNOLOGIA DIGITAL E REPRES")</f>
        <v>DIGITEC TECNOLOGIA DIGITAL E REPRES</v>
      </c>
      <c r="E1216" s="21">
        <f>IFERROR(__xludf.DUMMYFUNCTION("""COMPUTED_VALUE"""),145359.0)</f>
        <v>145359</v>
      </c>
      <c r="F1216" s="21" t="str">
        <f>IFERROR(__xludf.DUMMYFUNCTION("""COMPUTED_VALUE"""),"TRANSITO REVERSA")</f>
        <v>TRANSITO REVERSA</v>
      </c>
      <c r="G1216" s="23">
        <f>IFERROR(__xludf.DUMMYFUNCTION("""COMPUTED_VALUE"""),45626.298680555556)</f>
        <v>45626.29868</v>
      </c>
      <c r="H1216" s="24" t="str">
        <f>IFERROR(VLOOKUP(B1216,material!A:D,3,0),"")</f>
        <v>LEGADO</v>
      </c>
    </row>
    <row r="1217" ht="11.25" customHeight="1">
      <c r="A1217" s="21" t="str">
        <f>IFERROR(__xludf.DUMMYFUNCTION("""COMPUTED_VALUE"""),"NAGRA KIT")</f>
        <v>NAGRA KIT</v>
      </c>
      <c r="B1217" s="22">
        <f>IFERROR(__xludf.DUMMYFUNCTION("""COMPUTED_VALUE"""),4.1001186E7)</f>
        <v>41001186</v>
      </c>
      <c r="C1217" s="21" t="str">
        <f>IFERROR(__xludf.DUMMYFUNCTION("""COMPUTED_VALUE"""),"215553828597")</f>
        <v>215553828597</v>
      </c>
      <c r="D1217" s="21" t="str">
        <f>IFERROR(__xludf.DUMMYFUNCTION("""COMPUTED_VALUE"""),"DIGITEC TECNOLOGIA DIGITAL E REPRES")</f>
        <v>DIGITEC TECNOLOGIA DIGITAL E REPRES</v>
      </c>
      <c r="E1217" s="21">
        <f>IFERROR(__xludf.DUMMYFUNCTION("""COMPUTED_VALUE"""),145359.0)</f>
        <v>145359</v>
      </c>
      <c r="F1217" s="21" t="str">
        <f>IFERROR(__xludf.DUMMYFUNCTION("""COMPUTED_VALUE"""),"SUSPEITO")</f>
        <v>SUSPEITO</v>
      </c>
      <c r="G1217" s="23">
        <f>IFERROR(__xludf.DUMMYFUNCTION("""COMPUTED_VALUE"""),45640.63444444444)</f>
        <v>45640.63444</v>
      </c>
      <c r="H1217" s="24" t="str">
        <f>IFERROR(VLOOKUP(B1217,material!A:D,3,0),"")</f>
        <v>CARD</v>
      </c>
    </row>
    <row r="1218" ht="11.25" customHeight="1">
      <c r="A1218" s="21" t="str">
        <f>IFERROR(__xludf.DUMMYFUNCTION("""COMPUTED_VALUE"""),"EMTA 3.0 HG100R-L2 HUMAX")</f>
        <v>EMTA 3.0 HG100R-L2 HUMAX</v>
      </c>
      <c r="B1218" s="22">
        <f>IFERROR(__xludf.DUMMYFUNCTION("""COMPUTED_VALUE"""),4.1001286E7)</f>
        <v>41001286</v>
      </c>
      <c r="C1218" s="21" t="str">
        <f>IFERROR(__xludf.DUMMYFUNCTION("""COMPUTED_VALUE"""),"6CB56BB35ED0")</f>
        <v>6CB56BB35ED0</v>
      </c>
      <c r="D1218" s="21" t="str">
        <f>IFERROR(__xludf.DUMMYFUNCTION("""COMPUTED_VALUE"""),"DIGITEC TECNOLOGIA DIGITAL E REPRES")</f>
        <v>DIGITEC TECNOLOGIA DIGITAL E REPRES</v>
      </c>
      <c r="E1218" s="21">
        <f>IFERROR(__xludf.DUMMYFUNCTION("""COMPUTED_VALUE"""),145359.0)</f>
        <v>145359</v>
      </c>
      <c r="F1218" s="21" t="str">
        <f>IFERROR(__xludf.DUMMYFUNCTION("""COMPUTED_VALUE"""),"INICIALIZADO")</f>
        <v>INICIALIZADO</v>
      </c>
      <c r="G1218" s="23">
        <f>IFERROR(__xludf.DUMMYFUNCTION("""COMPUTED_VALUE"""),44999.92971064815)</f>
        <v>44999.92971</v>
      </c>
      <c r="H1218" s="24" t="str">
        <f>IFERROR(VLOOKUP(B1218,material!A:D,3,0),"")</f>
        <v>SINGLE</v>
      </c>
    </row>
    <row r="1219" ht="11.25" customHeight="1">
      <c r="A1219" s="21" t="str">
        <f>IFERROR(__xludf.DUMMYFUNCTION("""COMPUTED_VALUE"""),"SMART CARD PRETO NAGRA")</f>
        <v>SMART CARD PRETO NAGRA</v>
      </c>
      <c r="B1219" s="22">
        <f>IFERROR(__xludf.DUMMYFUNCTION("""COMPUTED_VALUE"""),4.1001234E7)</f>
        <v>41001234</v>
      </c>
      <c r="C1219" s="21" t="str">
        <f>IFERROR(__xludf.DUMMYFUNCTION("""COMPUTED_VALUE"""),"226005780019")</f>
        <v>226005780019</v>
      </c>
      <c r="D1219" s="21" t="str">
        <f>IFERROR(__xludf.DUMMYFUNCTION("""COMPUTED_VALUE"""),"DIGITEC TECNOLOGIA DIGITAL E REPRES")</f>
        <v>DIGITEC TECNOLOGIA DIGITAL E REPRES</v>
      </c>
      <c r="E1219" s="21">
        <f>IFERROR(__xludf.DUMMYFUNCTION("""COMPUTED_VALUE"""),145359.0)</f>
        <v>145359</v>
      </c>
      <c r="F1219" s="21" t="str">
        <f>IFERROR(__xludf.DUMMYFUNCTION("""COMPUTED_VALUE"""),"INICIALIZADO")</f>
        <v>INICIALIZADO</v>
      </c>
      <c r="G1219" s="23">
        <f>IFERROR(__xludf.DUMMYFUNCTION("""COMPUTED_VALUE"""),45635.534953703704)</f>
        <v>45635.53495</v>
      </c>
      <c r="H1219" s="24" t="str">
        <f>IFERROR(VLOOKUP(B1219,material!A:D,3,0),"")</f>
        <v>CARD</v>
      </c>
    </row>
    <row r="1220" ht="11.25" customHeight="1">
      <c r="A1220" s="21" t="str">
        <f>IFERROR(__xludf.DUMMYFUNCTION("""COMPUTED_VALUE"""),"SMART CARD PRETO NAGRA")</f>
        <v>SMART CARD PRETO NAGRA</v>
      </c>
      <c r="B1220" s="22">
        <f>IFERROR(__xludf.DUMMYFUNCTION("""COMPUTED_VALUE"""),4.1001234E7)</f>
        <v>41001234</v>
      </c>
      <c r="C1220" s="21" t="str">
        <f>IFERROR(__xludf.DUMMYFUNCTION("""COMPUTED_VALUE"""),"226415367185")</f>
        <v>226415367185</v>
      </c>
      <c r="D1220" s="21" t="str">
        <f>IFERROR(__xludf.DUMMYFUNCTION("""COMPUTED_VALUE"""),"DIGITEC TECNOLOGIA DIGITAL E REPRES")</f>
        <v>DIGITEC TECNOLOGIA DIGITAL E REPRES</v>
      </c>
      <c r="E1220" s="21">
        <f>IFERROR(__xludf.DUMMYFUNCTION("""COMPUTED_VALUE"""),145359.0)</f>
        <v>145359</v>
      </c>
      <c r="F1220" s="21" t="str">
        <f>IFERROR(__xludf.DUMMYFUNCTION("""COMPUTED_VALUE"""),"SUSPEITO")</f>
        <v>SUSPEITO</v>
      </c>
      <c r="G1220" s="23">
        <f>IFERROR(__xludf.DUMMYFUNCTION("""COMPUTED_VALUE"""),45637.760717592595)</f>
        <v>45637.76072</v>
      </c>
      <c r="H1220" s="24" t="str">
        <f>IFERROR(VLOOKUP(B1220,material!A:D,3,0),"")</f>
        <v>CARD</v>
      </c>
    </row>
    <row r="1221" ht="11.25" customHeight="1">
      <c r="A1221" s="21" t="str">
        <f>IFERROR(__xludf.DUMMYFUNCTION("""COMPUTED_VALUE"""),"DECODER DIGITAL HD HNB100 2T")</f>
        <v>DECODER DIGITAL HD HNB100 2T</v>
      </c>
      <c r="B1221" s="22">
        <f>IFERROR(__xludf.DUMMYFUNCTION("""COMPUTED_VALUE"""),4.1001276E7)</f>
        <v>41001276</v>
      </c>
      <c r="C1221" s="21" t="str">
        <f>IFERROR(__xludf.DUMMYFUNCTION("""COMPUTED_VALUE"""),"216815455575")</f>
        <v>216815455575</v>
      </c>
      <c r="D1221" s="21" t="str">
        <f>IFERROR(__xludf.DUMMYFUNCTION("""COMPUTED_VALUE"""),"DIGITEC TECNOLOGIA DIGITAL E REPRES")</f>
        <v>DIGITEC TECNOLOGIA DIGITAL E REPRES</v>
      </c>
      <c r="E1221" s="21">
        <f>IFERROR(__xludf.DUMMYFUNCTION("""COMPUTED_VALUE"""),145359.0)</f>
        <v>145359</v>
      </c>
      <c r="F1221" s="21" t="str">
        <f>IFERROR(__xludf.DUMMYFUNCTION("""COMPUTED_VALUE"""),"INICIALIZADO")</f>
        <v>INICIALIZADO</v>
      </c>
      <c r="G1221" s="23">
        <f>IFERROR(__xludf.DUMMYFUNCTION("""COMPUTED_VALUE"""),45635.53502314815)</f>
        <v>45635.53502</v>
      </c>
      <c r="H1221" s="24" t="str">
        <f>IFERROR(VLOOKUP(B1221,material!A:D,3,0),"")</f>
        <v>TOP MIX</v>
      </c>
    </row>
    <row r="1222" ht="11.25" customHeight="1">
      <c r="A1222" s="21" t="str">
        <f>IFERROR(__xludf.DUMMYFUNCTION("""COMPUTED_VALUE"""),"DECODER DIGITAL HD HNB100 2T")</f>
        <v>DECODER DIGITAL HD HNB100 2T</v>
      </c>
      <c r="B1222" s="22">
        <f>IFERROR(__xludf.DUMMYFUNCTION("""COMPUTED_VALUE"""),4.1001276E7)</f>
        <v>41001276</v>
      </c>
      <c r="C1222" s="21" t="str">
        <f>IFERROR(__xludf.DUMMYFUNCTION("""COMPUTED_VALUE"""),"216815305156")</f>
        <v>216815305156</v>
      </c>
      <c r="D1222" s="21" t="str">
        <f>IFERROR(__xludf.DUMMYFUNCTION("""COMPUTED_VALUE"""),"DIGITEC TECNOLOGIA DIGITAL E REPRES")</f>
        <v>DIGITEC TECNOLOGIA DIGITAL E REPRES</v>
      </c>
      <c r="E1222" s="21">
        <f>IFERROR(__xludf.DUMMYFUNCTION("""COMPUTED_VALUE"""),145359.0)</f>
        <v>145359</v>
      </c>
      <c r="F1222" s="21" t="str">
        <f>IFERROR(__xludf.DUMMYFUNCTION("""COMPUTED_VALUE"""),"INICIALIZADO")</f>
        <v>INICIALIZADO</v>
      </c>
      <c r="G1222" s="23">
        <f>IFERROR(__xludf.DUMMYFUNCTION("""COMPUTED_VALUE"""),45635.53502314815)</f>
        <v>45635.53502</v>
      </c>
      <c r="H1222" s="24" t="str">
        <f>IFERROR(VLOOKUP(B1222,material!A:D,3,0),"")</f>
        <v>TOP MIX</v>
      </c>
    </row>
    <row r="1223" ht="11.25" customHeight="1">
      <c r="A1223" s="21" t="str">
        <f>IFERROR(__xludf.DUMMYFUNCTION("""COMPUTED_VALUE"""),"DECODER DIGITAL HD HNB100 2T")</f>
        <v>DECODER DIGITAL HD HNB100 2T</v>
      </c>
      <c r="B1223" s="22">
        <f>IFERROR(__xludf.DUMMYFUNCTION("""COMPUTED_VALUE"""),4.1001276E7)</f>
        <v>41001276</v>
      </c>
      <c r="C1223" s="21" t="str">
        <f>IFERROR(__xludf.DUMMYFUNCTION("""COMPUTED_VALUE"""),"216397414350")</f>
        <v>216397414350</v>
      </c>
      <c r="D1223" s="21" t="str">
        <f>IFERROR(__xludf.DUMMYFUNCTION("""COMPUTED_VALUE"""),"DIGITEC TECNOLOGIA DIGITAL E REPRES")</f>
        <v>DIGITEC TECNOLOGIA DIGITAL E REPRES</v>
      </c>
      <c r="E1223" s="21">
        <f>IFERROR(__xludf.DUMMYFUNCTION("""COMPUTED_VALUE"""),145359.0)</f>
        <v>145359</v>
      </c>
      <c r="F1223" s="21" t="str">
        <f>IFERROR(__xludf.DUMMYFUNCTION("""COMPUTED_VALUE"""),"INICIALIZADO")</f>
        <v>INICIALIZADO</v>
      </c>
      <c r="G1223" s="23">
        <f>IFERROR(__xludf.DUMMYFUNCTION("""COMPUTED_VALUE"""),45642.52413194445)</f>
        <v>45642.52413</v>
      </c>
      <c r="H1223" s="24" t="str">
        <f>IFERROR(VLOOKUP(B1223,material!A:D,3,0),"")</f>
        <v>TOP MIX</v>
      </c>
    </row>
    <row r="1224" ht="11.25" customHeight="1">
      <c r="A1224" s="21" t="str">
        <f>IFERROR(__xludf.DUMMYFUNCTION("""COMPUTED_VALUE"""),"SMART CARD LARANJA NAGRA")</f>
        <v>SMART CARD LARANJA NAGRA</v>
      </c>
      <c r="B1224" s="22">
        <f>IFERROR(__xludf.DUMMYFUNCTION("""COMPUTED_VALUE"""),4.1001186E7)</f>
        <v>41001186</v>
      </c>
      <c r="C1224" s="21" t="str">
        <f>IFERROR(__xludf.DUMMYFUNCTION("""COMPUTED_VALUE"""),"226702842638")</f>
        <v>226702842638</v>
      </c>
      <c r="D1224" s="21" t="str">
        <f>IFERROR(__xludf.DUMMYFUNCTION("""COMPUTED_VALUE"""),"DIGITEC TECNOLOGIA DIGITAL E REPRES")</f>
        <v>DIGITEC TECNOLOGIA DIGITAL E REPRES</v>
      </c>
      <c r="E1224" s="21">
        <f>IFERROR(__xludf.DUMMYFUNCTION("""COMPUTED_VALUE"""),145359.0)</f>
        <v>145359</v>
      </c>
      <c r="F1224" s="21" t="str">
        <f>IFERROR(__xludf.DUMMYFUNCTION("""COMPUTED_VALUE"""),"SUCATA")</f>
        <v>SUCATA</v>
      </c>
      <c r="G1224" s="23">
        <f>IFERROR(__xludf.DUMMYFUNCTION("""COMPUTED_VALUE"""),45075.51190972222)</f>
        <v>45075.51191</v>
      </c>
      <c r="H1224" s="24" t="str">
        <f>IFERROR(VLOOKUP(B1224,material!A:D,3,0),"")</f>
        <v>CARD</v>
      </c>
    </row>
    <row r="1225" ht="11.25" customHeight="1">
      <c r="A1225" s="21" t="str">
        <f>IFERROR(__xludf.DUMMYFUNCTION("""COMPUTED_VALUE"""),"DECODER DIGITAL HD HNB100 2T")</f>
        <v>DECODER DIGITAL HD HNB100 2T</v>
      </c>
      <c r="B1225" s="22">
        <f>IFERROR(__xludf.DUMMYFUNCTION("""COMPUTED_VALUE"""),4.1001276E7)</f>
        <v>41001276</v>
      </c>
      <c r="C1225" s="21" t="str">
        <f>IFERROR(__xludf.DUMMYFUNCTION("""COMPUTED_VALUE"""),"216831676372")</f>
        <v>216831676372</v>
      </c>
      <c r="D1225" s="21" t="str">
        <f>IFERROR(__xludf.DUMMYFUNCTION("""COMPUTED_VALUE"""),"DIGITEC TECNOLOGIA DIGITAL E REPRES")</f>
        <v>DIGITEC TECNOLOGIA DIGITAL E REPRES</v>
      </c>
      <c r="E1225" s="21">
        <f>IFERROR(__xludf.DUMMYFUNCTION("""COMPUTED_VALUE"""),145359.0)</f>
        <v>145359</v>
      </c>
      <c r="F1225" s="21" t="str">
        <f>IFERROR(__xludf.DUMMYFUNCTION("""COMPUTED_VALUE"""),"TRANSITO REVERSA")</f>
        <v>TRANSITO REVERSA</v>
      </c>
      <c r="G1225" s="23">
        <f>IFERROR(__xludf.DUMMYFUNCTION("""COMPUTED_VALUE"""),45633.00396990741)</f>
        <v>45633.00397</v>
      </c>
      <c r="H1225" s="24" t="str">
        <f>IFERROR(VLOOKUP(B1225,material!A:D,3,0),"")</f>
        <v>TOP MIX</v>
      </c>
    </row>
    <row r="1226" ht="11.25" customHeight="1">
      <c r="A1226" s="21" t="str">
        <f>IFERROR(__xludf.DUMMYFUNCTION("""COMPUTED_VALUE"""),"ARRIS TG1692A")</f>
        <v>ARRIS TG1692A</v>
      </c>
      <c r="B1226" s="22">
        <f>IFERROR(__xludf.DUMMYFUNCTION("""COMPUTED_VALUE"""),4.1001293E7)</f>
        <v>41001293</v>
      </c>
      <c r="C1226" s="21" t="str">
        <f>IFERROR(__xludf.DUMMYFUNCTION("""COMPUTED_VALUE"""),"B0DAF94BB58B")</f>
        <v>B0DAF94BB58B</v>
      </c>
      <c r="D1226" s="21" t="str">
        <f>IFERROR(__xludf.DUMMYFUNCTION("""COMPUTED_VALUE"""),"DIGITEC TECNOLOGIA DIGITAL E REPRES")</f>
        <v>DIGITEC TECNOLOGIA DIGITAL E REPRES</v>
      </c>
      <c r="E1226" s="21">
        <f>IFERROR(__xludf.DUMMYFUNCTION("""COMPUTED_VALUE"""),145359.0)</f>
        <v>145359</v>
      </c>
      <c r="F1226" s="21" t="str">
        <f>IFERROR(__xludf.DUMMYFUNCTION("""COMPUTED_VALUE"""),"TRANSITO REVERSA")</f>
        <v>TRANSITO REVERSA</v>
      </c>
      <c r="G1226" s="23">
        <f>IFERROR(__xludf.DUMMYFUNCTION("""COMPUTED_VALUE"""),45633.00341435186)</f>
        <v>45633.00341</v>
      </c>
      <c r="H1226" s="24" t="str">
        <f>IFERROR(VLOOKUP(B1226,material!A:D,3,0),"")</f>
        <v>DUAL</v>
      </c>
    </row>
    <row r="1227" ht="11.25" customHeight="1">
      <c r="A1227" s="21" t="str">
        <f>IFERROR(__xludf.DUMMYFUNCTION("""COMPUTED_VALUE"""),"DECODER DIGITAL HD DXC5000 2T")</f>
        <v>DECODER DIGITAL HD DXC5000 2T</v>
      </c>
      <c r="B1227" s="22">
        <f>IFERROR(__xludf.DUMMYFUNCTION("""COMPUTED_VALUE"""),4.1001277E7)</f>
        <v>41001277</v>
      </c>
      <c r="C1227" s="21" t="str">
        <f>IFERROR(__xludf.DUMMYFUNCTION("""COMPUTED_VALUE"""),"216709359205")</f>
        <v>216709359205</v>
      </c>
      <c r="D1227" s="21" t="str">
        <f>IFERROR(__xludf.DUMMYFUNCTION("""COMPUTED_VALUE"""),"DIGITEC TECNOLOGIA DIGITAL E REPRES")</f>
        <v>DIGITEC TECNOLOGIA DIGITAL E REPRES</v>
      </c>
      <c r="E1227" s="21">
        <f>IFERROR(__xludf.DUMMYFUNCTION("""COMPUTED_VALUE"""),145359.0)</f>
        <v>145359</v>
      </c>
      <c r="F1227" s="21" t="str">
        <f>IFERROR(__xludf.DUMMYFUNCTION("""COMPUTED_VALUE"""),"TRANSITO REVERSA")</f>
        <v>TRANSITO REVERSA</v>
      </c>
      <c r="G1227" s="23">
        <f>IFERROR(__xludf.DUMMYFUNCTION("""COMPUTED_VALUE"""),45633.003958333335)</f>
        <v>45633.00396</v>
      </c>
      <c r="H1227" s="24" t="str">
        <f>IFERROR(VLOOKUP(B1227,material!A:D,3,0),"")</f>
        <v>TOP MIX</v>
      </c>
    </row>
    <row r="1228" ht="11.25" customHeight="1">
      <c r="A1228" s="21" t="str">
        <f>IFERROR(__xludf.DUMMYFUNCTION("""COMPUTED_VALUE"""),"SMART CARD LARANJA NAGRA")</f>
        <v>SMART CARD LARANJA NAGRA</v>
      </c>
      <c r="B1228" s="22">
        <f>IFERROR(__xludf.DUMMYFUNCTION("""COMPUTED_VALUE"""),4.1001186E7)</f>
        <v>41001186</v>
      </c>
      <c r="C1228" s="21" t="str">
        <f>IFERROR(__xludf.DUMMYFUNCTION("""COMPUTED_VALUE"""),"226710120509")</f>
        <v>226710120509</v>
      </c>
      <c r="D1228" s="21" t="str">
        <f>IFERROR(__xludf.DUMMYFUNCTION("""COMPUTED_VALUE"""),"DIGITEC TECNOLOGIA DIGITAL E REPRES")</f>
        <v>DIGITEC TECNOLOGIA DIGITAL E REPRES</v>
      </c>
      <c r="E1228" s="21">
        <f>IFERROR(__xludf.DUMMYFUNCTION("""COMPUTED_VALUE"""),145359.0)</f>
        <v>145359</v>
      </c>
      <c r="F1228" s="21" t="str">
        <f>IFERROR(__xludf.DUMMYFUNCTION("""COMPUTED_VALUE"""),"SUCATA")</f>
        <v>SUCATA</v>
      </c>
      <c r="G1228" s="23">
        <f>IFERROR(__xludf.DUMMYFUNCTION("""COMPUTED_VALUE"""),45075.51190972222)</f>
        <v>45075.51191</v>
      </c>
      <c r="H1228" s="24" t="str">
        <f>IFERROR(VLOOKUP(B1228,material!A:D,3,0),"")</f>
        <v>CARD</v>
      </c>
    </row>
    <row r="1229" ht="11.25" customHeight="1">
      <c r="A1229" s="21" t="str">
        <f>IFERROR(__xludf.DUMMYFUNCTION("""COMPUTED_VALUE"""),"HUMAX HG100R-L4")</f>
        <v>HUMAX HG100R-L4</v>
      </c>
      <c r="B1229" s="22">
        <f>IFERROR(__xludf.DUMMYFUNCTION("""COMPUTED_VALUE"""),4.1001288E7)</f>
        <v>41001288</v>
      </c>
      <c r="C1229" s="21" t="str">
        <f>IFERROR(__xludf.DUMMYFUNCTION("""COMPUTED_VALUE"""),"942CB323DE80")</f>
        <v>942CB323DE80</v>
      </c>
      <c r="D1229" s="21" t="str">
        <f>IFERROR(__xludf.DUMMYFUNCTION("""COMPUTED_VALUE"""),"DIGITEC TECNOLOGIA DIGITAL E REPRES")</f>
        <v>DIGITEC TECNOLOGIA DIGITAL E REPRES</v>
      </c>
      <c r="E1229" s="21">
        <f>IFERROR(__xludf.DUMMYFUNCTION("""COMPUTED_VALUE"""),145359.0)</f>
        <v>145359</v>
      </c>
      <c r="F1229" s="21" t="str">
        <f>IFERROR(__xludf.DUMMYFUNCTION("""COMPUTED_VALUE"""),"INICIALIZADO")</f>
        <v>INICIALIZADO</v>
      </c>
      <c r="G1229" s="23">
        <f>IFERROR(__xludf.DUMMYFUNCTION("""COMPUTED_VALUE"""),45000.78157407408)</f>
        <v>45000.78157</v>
      </c>
      <c r="H1229" s="24" t="str">
        <f>IFERROR(VLOOKUP(B1229,material!A:D,3,0),"")</f>
        <v>SINGLE</v>
      </c>
    </row>
    <row r="1230" ht="11.25" customHeight="1">
      <c r="A1230" s="21" t="str">
        <f>IFERROR(__xludf.DUMMYFUNCTION("""COMPUTED_VALUE"""),"SMART CARD LARANJA")</f>
        <v>SMART CARD LARANJA</v>
      </c>
      <c r="B1230" s="22">
        <f>IFERROR(__xludf.DUMMYFUNCTION("""COMPUTED_VALUE"""),4.1001186E7)</f>
        <v>41001186</v>
      </c>
      <c r="C1230" s="21" t="str">
        <f>IFERROR(__xludf.DUMMYFUNCTION("""COMPUTED_VALUE"""),"215651486770")</f>
        <v>215651486770</v>
      </c>
      <c r="D1230" s="21" t="str">
        <f>IFERROR(__xludf.DUMMYFUNCTION("""COMPUTED_VALUE"""),"DIGITEC TECNOLOGIA DIGITAL E REPRES")</f>
        <v>DIGITEC TECNOLOGIA DIGITAL E REPRES</v>
      </c>
      <c r="E1230" s="21">
        <f>IFERROR(__xludf.DUMMYFUNCTION("""COMPUTED_VALUE"""),145359.0)</f>
        <v>145359</v>
      </c>
      <c r="F1230" s="21" t="str">
        <f>IFERROR(__xludf.DUMMYFUNCTION("""COMPUTED_VALUE"""),"SUCATA")</f>
        <v>SUCATA</v>
      </c>
      <c r="G1230" s="23">
        <f>IFERROR(__xludf.DUMMYFUNCTION("""COMPUTED_VALUE"""),45075.58684027778)</f>
        <v>45075.58684</v>
      </c>
      <c r="H1230" s="24" t="str">
        <f>IFERROR(VLOOKUP(B1230,material!A:D,3,0),"")</f>
        <v>CARD</v>
      </c>
    </row>
    <row r="1231" ht="11.25" customHeight="1">
      <c r="A1231" s="21" t="str">
        <f>IFERROR(__xludf.DUMMYFUNCTION("""COMPUTED_VALUE"""),"SMART CARD LARANJA NAGRA")</f>
        <v>SMART CARD LARANJA NAGRA</v>
      </c>
      <c r="B1231" s="22">
        <f>IFERROR(__xludf.DUMMYFUNCTION("""COMPUTED_VALUE"""),4.1001186E7)</f>
        <v>41001186</v>
      </c>
      <c r="C1231" s="21" t="str">
        <f>IFERROR(__xludf.DUMMYFUNCTION("""COMPUTED_VALUE"""),"226496505261")</f>
        <v>226496505261</v>
      </c>
      <c r="D1231" s="21" t="str">
        <f>IFERROR(__xludf.DUMMYFUNCTION("""COMPUTED_VALUE"""),"DIGITEC TECNOLOGIA DIGITAL E REPRES")</f>
        <v>DIGITEC TECNOLOGIA DIGITAL E REPRES</v>
      </c>
      <c r="E1231" s="21">
        <f>IFERROR(__xludf.DUMMYFUNCTION("""COMPUTED_VALUE"""),145359.0)</f>
        <v>145359</v>
      </c>
      <c r="F1231" s="21" t="str">
        <f>IFERROR(__xludf.DUMMYFUNCTION("""COMPUTED_VALUE"""),"SUCATA")</f>
        <v>SUCATA</v>
      </c>
      <c r="G1231" s="23">
        <f>IFERROR(__xludf.DUMMYFUNCTION("""COMPUTED_VALUE"""),45076.46953703703)</f>
        <v>45076.46954</v>
      </c>
      <c r="H1231" s="24" t="str">
        <f>IFERROR(VLOOKUP(B1231,material!A:D,3,0),"")</f>
        <v>CARD</v>
      </c>
    </row>
    <row r="1232" ht="11.25" customHeight="1">
      <c r="A1232" s="21" t="str">
        <f>IFERROR(__xludf.DUMMYFUNCTION("""COMPUTED_VALUE"""),"SMART CARD LARANJA NAGRA")</f>
        <v>SMART CARD LARANJA NAGRA</v>
      </c>
      <c r="B1232" s="22">
        <f>IFERROR(__xludf.DUMMYFUNCTION("""COMPUTED_VALUE"""),4.1001186E7)</f>
        <v>41001186</v>
      </c>
      <c r="C1232" s="21" t="str">
        <f>IFERROR(__xludf.DUMMYFUNCTION("""COMPUTED_VALUE"""),"215729954047")</f>
        <v>215729954047</v>
      </c>
      <c r="D1232" s="21" t="str">
        <f>IFERROR(__xludf.DUMMYFUNCTION("""COMPUTED_VALUE"""),"DIGITEC TECNOLOGIA DIGITAL E REPRES")</f>
        <v>DIGITEC TECNOLOGIA DIGITAL E REPRES</v>
      </c>
      <c r="E1232" s="21">
        <f>IFERROR(__xludf.DUMMYFUNCTION("""COMPUTED_VALUE"""),145359.0)</f>
        <v>145359</v>
      </c>
      <c r="F1232" s="21" t="str">
        <f>IFERROR(__xludf.DUMMYFUNCTION("""COMPUTED_VALUE"""),"SUCATA")</f>
        <v>SUCATA</v>
      </c>
      <c r="G1232" s="23">
        <f>IFERROR(__xludf.DUMMYFUNCTION("""COMPUTED_VALUE"""),45075.62225694444)</f>
        <v>45075.62226</v>
      </c>
      <c r="H1232" s="24" t="str">
        <f>IFERROR(VLOOKUP(B1232,material!A:D,3,0),"")</f>
        <v>CARD</v>
      </c>
    </row>
    <row r="1233" ht="11.25" customHeight="1">
      <c r="A1233" s="21" t="str">
        <f>IFERROR(__xludf.DUMMYFUNCTION("""COMPUTED_VALUE"""),"SMART CARD AVULSO MINI")</f>
        <v>SMART CARD AVULSO MINI</v>
      </c>
      <c r="B1233" s="22">
        <f>IFERROR(__xludf.DUMMYFUNCTION("""COMPUTED_VALUE"""),4.1001508E7)</f>
        <v>41001508</v>
      </c>
      <c r="C1233" s="21" t="str">
        <f>IFERROR(__xludf.DUMMYFUNCTION("""COMPUTED_VALUE"""),"246099600814")</f>
        <v>246099600814</v>
      </c>
      <c r="D1233" s="21" t="str">
        <f>IFERROR(__xludf.DUMMYFUNCTION("""COMPUTED_VALUE"""),"DIGITEC TECNOLOGIA DIGITAL E REPRES")</f>
        <v>DIGITEC TECNOLOGIA DIGITAL E REPRES</v>
      </c>
      <c r="E1233" s="21">
        <f>IFERROR(__xludf.DUMMYFUNCTION("""COMPUTED_VALUE"""),145359.0)</f>
        <v>145359</v>
      </c>
      <c r="F1233" s="21" t="str">
        <f>IFERROR(__xludf.DUMMYFUNCTION("""COMPUTED_VALUE"""),"INICIALIZADO")</f>
        <v>INICIALIZADO</v>
      </c>
      <c r="G1233" s="23">
        <f>IFERROR(__xludf.DUMMYFUNCTION("""COMPUTED_VALUE"""),45618.744733796295)</f>
        <v>45618.74473</v>
      </c>
      <c r="H1233" s="24" t="str">
        <f>IFERROR(VLOOKUP(B1233,material!A:D,3,0),"")</f>
        <v>SIM CARD</v>
      </c>
    </row>
    <row r="1234" ht="11.25" customHeight="1">
      <c r="A1234" s="21" t="str">
        <f>IFERROR(__xludf.DUMMYFUNCTION("""COMPUTED_VALUE"""),"SMART CARD PRETO NAGRA")</f>
        <v>SMART CARD PRETO NAGRA</v>
      </c>
      <c r="B1234" s="22">
        <f>IFERROR(__xludf.DUMMYFUNCTION("""COMPUTED_VALUE"""),4.1001234E7)</f>
        <v>41001234</v>
      </c>
      <c r="C1234" s="21" t="str">
        <f>IFERROR(__xludf.DUMMYFUNCTION("""COMPUTED_VALUE"""),"246051058892")</f>
        <v>246051058892</v>
      </c>
      <c r="D1234" s="21" t="str">
        <f>IFERROR(__xludf.DUMMYFUNCTION("""COMPUTED_VALUE"""),"DIGITEC TECNOLOGIA DIGITAL E REPRES")</f>
        <v>DIGITEC TECNOLOGIA DIGITAL E REPRES</v>
      </c>
      <c r="E1234" s="21">
        <f>IFERROR(__xludf.DUMMYFUNCTION("""COMPUTED_VALUE"""),145359.0)</f>
        <v>145359</v>
      </c>
      <c r="F1234" s="21" t="str">
        <f>IFERROR(__xludf.DUMMYFUNCTION("""COMPUTED_VALUE"""),"INICIALIZADO")</f>
        <v>INICIALIZADO</v>
      </c>
      <c r="G1234" s="23">
        <f>IFERROR(__xludf.DUMMYFUNCTION("""COMPUTED_VALUE"""),45642.524097222224)</f>
        <v>45642.5241</v>
      </c>
      <c r="H1234" s="24" t="str">
        <f>IFERROR(VLOOKUP(B1234,material!A:D,3,0),"")</f>
        <v>CARD</v>
      </c>
    </row>
    <row r="1235" ht="11.25" customHeight="1">
      <c r="A1235" s="21" t="str">
        <f>IFERROR(__xludf.DUMMYFUNCTION("""COMPUTED_VALUE"""),"SMART CARD PRETO NAGRA")</f>
        <v>SMART CARD PRETO NAGRA</v>
      </c>
      <c r="B1235" s="22">
        <f>IFERROR(__xludf.DUMMYFUNCTION("""COMPUTED_VALUE"""),4.1001234E7)</f>
        <v>41001234</v>
      </c>
      <c r="C1235" s="21" t="str">
        <f>IFERROR(__xludf.DUMMYFUNCTION("""COMPUTED_VALUE"""),"246241139206")</f>
        <v>246241139206</v>
      </c>
      <c r="D1235" s="21" t="str">
        <f>IFERROR(__xludf.DUMMYFUNCTION("""COMPUTED_VALUE"""),"DIGITEC TECNOLOGIA DIGITAL E REPRES")</f>
        <v>DIGITEC TECNOLOGIA DIGITAL E REPRES</v>
      </c>
      <c r="E1235" s="21">
        <f>IFERROR(__xludf.DUMMYFUNCTION("""COMPUTED_VALUE"""),145359.0)</f>
        <v>145359</v>
      </c>
      <c r="F1235" s="21" t="str">
        <f>IFERROR(__xludf.DUMMYFUNCTION("""COMPUTED_VALUE"""),"INICIALIZADO")</f>
        <v>INICIALIZADO</v>
      </c>
      <c r="G1235" s="23">
        <f>IFERROR(__xludf.DUMMYFUNCTION("""COMPUTED_VALUE"""),45635.53491898148)</f>
        <v>45635.53492</v>
      </c>
      <c r="H1235" s="24" t="str">
        <f>IFERROR(VLOOKUP(B1235,material!A:D,3,0),"")</f>
        <v>CARD</v>
      </c>
    </row>
    <row r="1236" ht="11.25" customHeight="1">
      <c r="A1236" s="21" t="str">
        <f>IFERROR(__xludf.DUMMYFUNCTION("""COMPUTED_VALUE"""),"SMART CARD PRETO NAGRA")</f>
        <v>SMART CARD PRETO NAGRA</v>
      </c>
      <c r="B1236" s="22">
        <f>IFERROR(__xludf.DUMMYFUNCTION("""COMPUTED_VALUE"""),4.1001234E7)</f>
        <v>41001234</v>
      </c>
      <c r="C1236" s="21" t="str">
        <f>IFERROR(__xludf.DUMMYFUNCTION("""COMPUTED_VALUE"""),"246255272325")</f>
        <v>246255272325</v>
      </c>
      <c r="D1236" s="21" t="str">
        <f>IFERROR(__xludf.DUMMYFUNCTION("""COMPUTED_VALUE"""),"DIGITEC TECNOLOGIA DIGITAL E REPRES")</f>
        <v>DIGITEC TECNOLOGIA DIGITAL E REPRES</v>
      </c>
      <c r="E1236" s="21">
        <f>IFERROR(__xludf.DUMMYFUNCTION("""COMPUTED_VALUE"""),145359.0)</f>
        <v>145359</v>
      </c>
      <c r="F1236" s="21" t="str">
        <f>IFERROR(__xludf.DUMMYFUNCTION("""COMPUTED_VALUE"""),"INICIALIZADO")</f>
        <v>INICIALIZADO</v>
      </c>
      <c r="G1236" s="23">
        <f>IFERROR(__xludf.DUMMYFUNCTION("""COMPUTED_VALUE"""),45635.53493055556)</f>
        <v>45635.53493</v>
      </c>
      <c r="H1236" s="24" t="str">
        <f>IFERROR(VLOOKUP(B1236,material!A:D,3,0),"")</f>
        <v>CARD</v>
      </c>
    </row>
    <row r="1237" ht="11.25" customHeight="1">
      <c r="A1237" s="21" t="str">
        <f>IFERROR(__xludf.DUMMYFUNCTION("""COMPUTED_VALUE"""),"HUMAX HG100R-L4")</f>
        <v>HUMAX HG100R-L4</v>
      </c>
      <c r="B1237" s="22">
        <f>IFERROR(__xludf.DUMMYFUNCTION("""COMPUTED_VALUE"""),4.1001288E7)</f>
        <v>41001288</v>
      </c>
      <c r="C1237" s="21" t="str">
        <f>IFERROR(__xludf.DUMMYFUNCTION("""COMPUTED_VALUE"""),"4CD08ABC8F72")</f>
        <v>4CD08ABC8F72</v>
      </c>
      <c r="D1237" s="21" t="str">
        <f>IFERROR(__xludf.DUMMYFUNCTION("""COMPUTED_VALUE"""),"DIGITEC TECNOLOGIA DIGITAL E REPRES")</f>
        <v>DIGITEC TECNOLOGIA DIGITAL E REPRES</v>
      </c>
      <c r="E1237" s="21">
        <f>IFERROR(__xludf.DUMMYFUNCTION("""COMPUTED_VALUE"""),145359.0)</f>
        <v>145359</v>
      </c>
      <c r="F1237" s="21" t="str">
        <f>IFERROR(__xludf.DUMMYFUNCTION("""COMPUTED_VALUE"""),"INICIALIZADO")</f>
        <v>INICIALIZADO</v>
      </c>
      <c r="G1237" s="23">
        <f>IFERROR(__xludf.DUMMYFUNCTION("""COMPUTED_VALUE"""),45000.78157407408)</f>
        <v>45000.78157</v>
      </c>
      <c r="H1237" s="24" t="str">
        <f>IFERROR(VLOOKUP(B1237,material!A:D,3,0),"")</f>
        <v>SINGLE</v>
      </c>
    </row>
    <row r="1238" ht="11.25" customHeight="1">
      <c r="A1238" s="21" t="str">
        <f>IFERROR(__xludf.DUMMYFUNCTION("""COMPUTED_VALUE"""),"HUMAX HGB10R-02")</f>
        <v>HUMAX HGB10R-02</v>
      </c>
      <c r="B1238" s="22">
        <f>IFERROR(__xludf.DUMMYFUNCTION("""COMPUTED_VALUE"""),4.1001292E7)</f>
        <v>41001292</v>
      </c>
      <c r="C1238" s="21" t="str">
        <f>IFERROR(__xludf.DUMMYFUNCTION("""COMPUTED_VALUE"""),"E820E20025B7")</f>
        <v>E820E20025B7</v>
      </c>
      <c r="D1238" s="21" t="str">
        <f>IFERROR(__xludf.DUMMYFUNCTION("""COMPUTED_VALUE"""),"DIGITEC TECNOLOGIA DIGITAL E REPRES")</f>
        <v>DIGITEC TECNOLOGIA DIGITAL E REPRES</v>
      </c>
      <c r="E1238" s="21">
        <f>IFERROR(__xludf.DUMMYFUNCTION("""COMPUTED_VALUE"""),145359.0)</f>
        <v>145359</v>
      </c>
      <c r="F1238" s="21" t="str">
        <f>IFERROR(__xludf.DUMMYFUNCTION("""COMPUTED_VALUE"""),"SUSPEITO")</f>
        <v>SUSPEITO</v>
      </c>
      <c r="G1238" s="23">
        <f>IFERROR(__xludf.DUMMYFUNCTION("""COMPUTED_VALUE"""),45629.38523148149)</f>
        <v>45629.38523</v>
      </c>
      <c r="H1238" s="24" t="str">
        <f>IFERROR(VLOOKUP(B1238,material!A:D,3,0),"")</f>
        <v>DUAL</v>
      </c>
    </row>
    <row r="1239" ht="11.25" customHeight="1">
      <c r="A1239" s="21" t="str">
        <f>IFERROR(__xludf.DUMMYFUNCTION("""COMPUTED_VALUE"""),"DECODER DIGITAL HD DXC5000 2T")</f>
        <v>DECODER DIGITAL HD DXC5000 2T</v>
      </c>
      <c r="B1239" s="22">
        <f>IFERROR(__xludf.DUMMYFUNCTION("""COMPUTED_VALUE"""),4.1001277E7)</f>
        <v>41001277</v>
      </c>
      <c r="C1239" s="21" t="str">
        <f>IFERROR(__xludf.DUMMYFUNCTION("""COMPUTED_VALUE"""),"216461338489")</f>
        <v>216461338489</v>
      </c>
      <c r="D1239" s="21" t="str">
        <f>IFERROR(__xludf.DUMMYFUNCTION("""COMPUTED_VALUE"""),"DIGITEC TECNOLOGIA DIGITAL E REPRES")</f>
        <v>DIGITEC TECNOLOGIA DIGITAL E REPRES</v>
      </c>
      <c r="E1239" s="21">
        <f>IFERROR(__xludf.DUMMYFUNCTION("""COMPUTED_VALUE"""),145359.0)</f>
        <v>145359</v>
      </c>
      <c r="F1239" s="21" t="str">
        <f>IFERROR(__xludf.DUMMYFUNCTION("""COMPUTED_VALUE"""),"INICIALIZADO")</f>
        <v>INICIALIZADO</v>
      </c>
      <c r="G1239" s="23">
        <f>IFERROR(__xludf.DUMMYFUNCTION("""COMPUTED_VALUE"""),45615.61857638889)</f>
        <v>45615.61858</v>
      </c>
      <c r="H1239" s="24" t="str">
        <f>IFERROR(VLOOKUP(B1239,material!A:D,3,0),"")</f>
        <v>TOP MIX</v>
      </c>
    </row>
    <row r="1240" ht="11.25" customHeight="1">
      <c r="A1240" s="21" t="str">
        <f>IFERROR(__xludf.DUMMYFUNCTION("""COMPUTED_VALUE"""),"SMART CARD PRETO NAGRA")</f>
        <v>SMART CARD PRETO NAGRA</v>
      </c>
      <c r="B1240" s="22">
        <f>IFERROR(__xludf.DUMMYFUNCTION("""COMPUTED_VALUE"""),4.1001234E7)</f>
        <v>41001234</v>
      </c>
      <c r="C1240" s="21" t="str">
        <f>IFERROR(__xludf.DUMMYFUNCTION("""COMPUTED_VALUE"""),"246261296470")</f>
        <v>246261296470</v>
      </c>
      <c r="D1240" s="21" t="str">
        <f>IFERROR(__xludf.DUMMYFUNCTION("""COMPUTED_VALUE"""),"DIGITEC TECNOLOGIA DIGITAL E REPRES")</f>
        <v>DIGITEC TECNOLOGIA DIGITAL E REPRES</v>
      </c>
      <c r="E1240" s="21">
        <f>IFERROR(__xludf.DUMMYFUNCTION("""COMPUTED_VALUE"""),145359.0)</f>
        <v>145359</v>
      </c>
      <c r="F1240" s="21" t="str">
        <f>IFERROR(__xludf.DUMMYFUNCTION("""COMPUTED_VALUE"""),"INICIALIZADO")</f>
        <v>INICIALIZADO</v>
      </c>
      <c r="G1240" s="23">
        <f>IFERROR(__xludf.DUMMYFUNCTION("""COMPUTED_VALUE"""),45642.52410879629)</f>
        <v>45642.52411</v>
      </c>
      <c r="H1240" s="24" t="str">
        <f>IFERROR(VLOOKUP(B1240,material!A:D,3,0),"")</f>
        <v>CARD</v>
      </c>
    </row>
    <row r="1241" ht="11.25" customHeight="1">
      <c r="A1241" s="21" t="str">
        <f>IFERROR(__xludf.DUMMYFUNCTION("""COMPUTED_VALUE"""),"DECODER DIGITAL HD DXC5000 2T")</f>
        <v>DECODER DIGITAL HD DXC5000 2T</v>
      </c>
      <c r="B1241" s="22">
        <f>IFERROR(__xludf.DUMMYFUNCTION("""COMPUTED_VALUE"""),4.1001277E7)</f>
        <v>41001277</v>
      </c>
      <c r="C1241" s="21" t="str">
        <f>IFERROR(__xludf.DUMMYFUNCTION("""COMPUTED_VALUE"""),"216474987386")</f>
        <v>216474987386</v>
      </c>
      <c r="D1241" s="21" t="str">
        <f>IFERROR(__xludf.DUMMYFUNCTION("""COMPUTED_VALUE"""),"DIGITEC TECNOLOGIA DIGITAL E REPRES")</f>
        <v>DIGITEC TECNOLOGIA DIGITAL E REPRES</v>
      </c>
      <c r="E1241" s="21">
        <f>IFERROR(__xludf.DUMMYFUNCTION("""COMPUTED_VALUE"""),145359.0)</f>
        <v>145359</v>
      </c>
      <c r="F1241" s="21" t="str">
        <f>IFERROR(__xludf.DUMMYFUNCTION("""COMPUTED_VALUE"""),"INICIALIZADO")</f>
        <v>INICIALIZADO</v>
      </c>
      <c r="G1241" s="23">
        <f>IFERROR(__xludf.DUMMYFUNCTION("""COMPUTED_VALUE"""),45635.306655092594)</f>
        <v>45635.30666</v>
      </c>
      <c r="H1241" s="24" t="str">
        <f>IFERROR(VLOOKUP(B1241,material!A:D,3,0),"")</f>
        <v>TOP MIX</v>
      </c>
    </row>
    <row r="1242" ht="11.25" customHeight="1">
      <c r="A1242" s="21" t="str">
        <f>IFERROR(__xludf.DUMMYFUNCTION("""COMPUTED_VALUE"""),"SMART CARD PRETO NAGRA")</f>
        <v>SMART CARD PRETO NAGRA</v>
      </c>
      <c r="B1242" s="22">
        <f>IFERROR(__xludf.DUMMYFUNCTION("""COMPUTED_VALUE"""),4.1001234E7)</f>
        <v>41001234</v>
      </c>
      <c r="C1242" s="21" t="str">
        <f>IFERROR(__xludf.DUMMYFUNCTION("""COMPUTED_VALUE"""),"246191104648")</f>
        <v>246191104648</v>
      </c>
      <c r="D1242" s="21" t="str">
        <f>IFERROR(__xludf.DUMMYFUNCTION("""COMPUTED_VALUE"""),"DIGITEC TECNOLOGIA DIGITAL E REPRES")</f>
        <v>DIGITEC TECNOLOGIA DIGITAL E REPRES</v>
      </c>
      <c r="E1242" s="21">
        <f>IFERROR(__xludf.DUMMYFUNCTION("""COMPUTED_VALUE"""),145359.0)</f>
        <v>145359</v>
      </c>
      <c r="F1242" s="21" t="str">
        <f>IFERROR(__xludf.DUMMYFUNCTION("""COMPUTED_VALUE"""),"INICIALIZADO")</f>
        <v>INICIALIZADO</v>
      </c>
      <c r="G1242" s="23">
        <f>IFERROR(__xludf.DUMMYFUNCTION("""COMPUTED_VALUE"""),45635.534895833334)</f>
        <v>45635.5349</v>
      </c>
      <c r="H1242" s="24" t="str">
        <f>IFERROR(VLOOKUP(B1242,material!A:D,3,0),"")</f>
        <v>CARD</v>
      </c>
    </row>
    <row r="1243" ht="11.25" customHeight="1">
      <c r="A1243" s="21" t="str">
        <f>IFERROR(__xludf.DUMMYFUNCTION("""COMPUTED_VALUE"""),"SMART CARD PRETO NAGRA")</f>
        <v>SMART CARD PRETO NAGRA</v>
      </c>
      <c r="B1243" s="22">
        <f>IFERROR(__xludf.DUMMYFUNCTION("""COMPUTED_VALUE"""),4.1001234E7)</f>
        <v>41001234</v>
      </c>
      <c r="C1243" s="21" t="str">
        <f>IFERROR(__xludf.DUMMYFUNCTION("""COMPUTED_VALUE"""),"226329617492")</f>
        <v>226329617492</v>
      </c>
      <c r="D1243" s="21" t="str">
        <f>IFERROR(__xludf.DUMMYFUNCTION("""COMPUTED_VALUE"""),"DIGITEC TECNOLOGIA DIGITAL E REPRES")</f>
        <v>DIGITEC TECNOLOGIA DIGITAL E REPRES</v>
      </c>
      <c r="E1243" s="21">
        <f>IFERROR(__xludf.DUMMYFUNCTION("""COMPUTED_VALUE"""),145359.0)</f>
        <v>145359</v>
      </c>
      <c r="F1243" s="21" t="str">
        <f>IFERROR(__xludf.DUMMYFUNCTION("""COMPUTED_VALUE"""),"INICIALIZADO")</f>
        <v>INICIALIZADO</v>
      </c>
      <c r="G1243" s="23">
        <f>IFERROR(__xludf.DUMMYFUNCTION("""COMPUTED_VALUE"""),45635.53497685185)</f>
        <v>45635.53498</v>
      </c>
      <c r="H1243" s="24" t="str">
        <f>IFERROR(VLOOKUP(B1243,material!A:D,3,0),"")</f>
        <v>CARD</v>
      </c>
    </row>
    <row r="1244" ht="11.25" customHeight="1">
      <c r="A1244" s="21" t="str">
        <f>IFERROR(__xludf.DUMMYFUNCTION("""COMPUTED_VALUE"""),"DECODER DIGITAL HD DXC5000 2T")</f>
        <v>DECODER DIGITAL HD DXC5000 2T</v>
      </c>
      <c r="B1244" s="22">
        <f>IFERROR(__xludf.DUMMYFUNCTION("""COMPUTED_VALUE"""),4.1001277E7)</f>
        <v>41001277</v>
      </c>
      <c r="C1244" s="21" t="str">
        <f>IFERROR(__xludf.DUMMYFUNCTION("""COMPUTED_VALUE"""),"184292674859")</f>
        <v>184292674859</v>
      </c>
      <c r="D1244" s="21" t="str">
        <f>IFERROR(__xludf.DUMMYFUNCTION("""COMPUTED_VALUE"""),"DIGITEC TECNOLOGIA DIGITAL E REPRES")</f>
        <v>DIGITEC TECNOLOGIA DIGITAL E REPRES</v>
      </c>
      <c r="E1244" s="21">
        <f>IFERROR(__xludf.DUMMYFUNCTION("""COMPUTED_VALUE"""),145359.0)</f>
        <v>145359</v>
      </c>
      <c r="F1244" s="21" t="str">
        <f>IFERROR(__xludf.DUMMYFUNCTION("""COMPUTED_VALUE"""),"INICIALIZADO")</f>
        <v>INICIALIZADO</v>
      </c>
      <c r="G1244" s="23">
        <f>IFERROR(__xludf.DUMMYFUNCTION("""COMPUTED_VALUE"""),45512.419756944444)</f>
        <v>45512.41976</v>
      </c>
      <c r="H1244" s="24" t="str">
        <f>IFERROR(VLOOKUP(B1244,material!A:D,3,0),"")</f>
        <v>TOP MIX</v>
      </c>
    </row>
    <row r="1245" ht="11.25" customHeight="1">
      <c r="A1245" s="21" t="str">
        <f>IFERROR(__xludf.DUMMYFUNCTION("""COMPUTED_VALUE"""),"DECODER DIGITAL HD HNB100 2T")</f>
        <v>DECODER DIGITAL HD HNB100 2T</v>
      </c>
      <c r="B1245" s="22">
        <f>IFERROR(__xludf.DUMMYFUNCTION("""COMPUTED_VALUE"""),4.1001276E7)</f>
        <v>41001276</v>
      </c>
      <c r="C1245" s="21" t="str">
        <f>IFERROR(__xludf.DUMMYFUNCTION("""COMPUTED_VALUE"""),"216610445466")</f>
        <v>216610445466</v>
      </c>
      <c r="D1245" s="21" t="str">
        <f>IFERROR(__xludf.DUMMYFUNCTION("""COMPUTED_VALUE"""),"DIGITEC TECNOLOGIA DIGITAL E REPRES")</f>
        <v>DIGITEC TECNOLOGIA DIGITAL E REPRES</v>
      </c>
      <c r="E1245" s="21">
        <f>IFERROR(__xludf.DUMMYFUNCTION("""COMPUTED_VALUE"""),145359.0)</f>
        <v>145359</v>
      </c>
      <c r="F1245" s="21" t="str">
        <f>IFERROR(__xludf.DUMMYFUNCTION("""COMPUTED_VALUE"""),"INICIALIZADO")</f>
        <v>INICIALIZADO</v>
      </c>
      <c r="G1245" s="23">
        <f>IFERROR(__xludf.DUMMYFUNCTION("""COMPUTED_VALUE"""),45642.524143518516)</f>
        <v>45642.52414</v>
      </c>
      <c r="H1245" s="24" t="str">
        <f>IFERROR(VLOOKUP(B1245,material!A:D,3,0),"")</f>
        <v>TOP MIX</v>
      </c>
    </row>
    <row r="1246" ht="11.25" customHeight="1">
      <c r="A1246" s="21" t="str">
        <f>IFERROR(__xludf.DUMMYFUNCTION("""COMPUTED_VALUE"""),"SMART CARD PRETO NAGRA")</f>
        <v>SMART CARD PRETO NAGRA</v>
      </c>
      <c r="B1246" s="22">
        <f>IFERROR(__xludf.DUMMYFUNCTION("""COMPUTED_VALUE"""),4.1001234E7)</f>
        <v>41001234</v>
      </c>
      <c r="C1246" s="21" t="str">
        <f>IFERROR(__xludf.DUMMYFUNCTION("""COMPUTED_VALUE"""),"226111147495")</f>
        <v>226111147495</v>
      </c>
      <c r="D1246" s="21" t="str">
        <f>IFERROR(__xludf.DUMMYFUNCTION("""COMPUTED_VALUE"""),"DIGITEC TECNOLOGIA DIGITAL E REPRES")</f>
        <v>DIGITEC TECNOLOGIA DIGITAL E REPRES</v>
      </c>
      <c r="E1246" s="21">
        <f>IFERROR(__xludf.DUMMYFUNCTION("""COMPUTED_VALUE"""),145359.0)</f>
        <v>145359</v>
      </c>
      <c r="F1246" s="21" t="str">
        <f>IFERROR(__xludf.DUMMYFUNCTION("""COMPUTED_VALUE"""),"INICIALIZADO")</f>
        <v>INICIALIZADO</v>
      </c>
      <c r="G1246" s="23">
        <f>IFERROR(__xludf.DUMMYFUNCTION("""COMPUTED_VALUE"""),45635.534953703704)</f>
        <v>45635.53495</v>
      </c>
      <c r="H1246" s="24" t="str">
        <f>IFERROR(VLOOKUP(B1246,material!A:D,3,0),"")</f>
        <v>CARD</v>
      </c>
    </row>
    <row r="1247" ht="11.25" customHeight="1">
      <c r="A1247" s="21" t="str">
        <f>IFERROR(__xludf.DUMMYFUNCTION("""COMPUTED_VALUE"""),"DECODER DIGITAL HD DXC5000 2T")</f>
        <v>DECODER DIGITAL HD DXC5000 2T</v>
      </c>
      <c r="B1247" s="22">
        <f>IFERROR(__xludf.DUMMYFUNCTION("""COMPUTED_VALUE"""),4.1001277E7)</f>
        <v>41001277</v>
      </c>
      <c r="C1247" s="21" t="str">
        <f>IFERROR(__xludf.DUMMYFUNCTION("""COMPUTED_VALUE"""),"216586632828")</f>
        <v>216586632828</v>
      </c>
      <c r="D1247" s="21" t="str">
        <f>IFERROR(__xludf.DUMMYFUNCTION("""COMPUTED_VALUE"""),"DIGITEC TECNOLOGIA DIGITAL E REPRES")</f>
        <v>DIGITEC TECNOLOGIA DIGITAL E REPRES</v>
      </c>
      <c r="E1247" s="21">
        <f>IFERROR(__xludf.DUMMYFUNCTION("""COMPUTED_VALUE"""),145359.0)</f>
        <v>145359</v>
      </c>
      <c r="F1247" s="21" t="str">
        <f>IFERROR(__xludf.DUMMYFUNCTION("""COMPUTED_VALUE"""),"INICIALIZADO")</f>
        <v>INICIALIZADO</v>
      </c>
      <c r="G1247" s="23">
        <f>IFERROR(__xludf.DUMMYFUNCTION("""COMPUTED_VALUE"""),45618.65200231482)</f>
        <v>45618.652</v>
      </c>
      <c r="H1247" s="24" t="str">
        <f>IFERROR(VLOOKUP(B1247,material!A:D,3,0),"")</f>
        <v>TOP MIX</v>
      </c>
    </row>
    <row r="1248" ht="11.25" customHeight="1">
      <c r="A1248" s="21" t="str">
        <f>IFERROR(__xludf.DUMMYFUNCTION("""COMPUTED_VALUE"""),"SMART CARD LARANJA NAGRA")</f>
        <v>SMART CARD LARANJA NAGRA</v>
      </c>
      <c r="B1248" s="22">
        <f>IFERROR(__xludf.DUMMYFUNCTION("""COMPUTED_VALUE"""),4.1001186E7)</f>
        <v>41001186</v>
      </c>
      <c r="C1248" s="21" t="str">
        <f>IFERROR(__xludf.DUMMYFUNCTION("""COMPUTED_VALUE"""),"226611991426")</f>
        <v>226611991426</v>
      </c>
      <c r="D1248" s="21" t="str">
        <f>IFERROR(__xludf.DUMMYFUNCTION("""COMPUTED_VALUE"""),"DIGITEC TECNOLOGIA DIGITAL E REPRES")</f>
        <v>DIGITEC TECNOLOGIA DIGITAL E REPRES</v>
      </c>
      <c r="E1248" s="21">
        <f>IFERROR(__xludf.DUMMYFUNCTION("""COMPUTED_VALUE"""),145359.0)</f>
        <v>145359</v>
      </c>
      <c r="F1248" s="21" t="str">
        <f>IFERROR(__xludf.DUMMYFUNCTION("""COMPUTED_VALUE"""),"SUCATA")</f>
        <v>SUCATA</v>
      </c>
      <c r="G1248" s="23">
        <f>IFERROR(__xludf.DUMMYFUNCTION("""COMPUTED_VALUE"""),45075.59909722222)</f>
        <v>45075.5991</v>
      </c>
      <c r="H1248" s="24" t="str">
        <f>IFERROR(VLOOKUP(B1248,material!A:D,3,0),"")</f>
        <v>CARD</v>
      </c>
    </row>
    <row r="1249" ht="11.25" customHeight="1">
      <c r="A1249" s="21" t="str">
        <f>IFERROR(__xludf.DUMMYFUNCTION("""COMPUTED_VALUE"""),"DECODER DIGITAL HD DXC5000 2T")</f>
        <v>DECODER DIGITAL HD DXC5000 2T</v>
      </c>
      <c r="B1249" s="22">
        <f>IFERROR(__xludf.DUMMYFUNCTION("""COMPUTED_VALUE"""),4.1001277E7)</f>
        <v>41001277</v>
      </c>
      <c r="C1249" s="21" t="str">
        <f>IFERROR(__xludf.DUMMYFUNCTION("""COMPUTED_VALUE"""),"216483715668")</f>
        <v>216483715668</v>
      </c>
      <c r="D1249" s="21" t="str">
        <f>IFERROR(__xludf.DUMMYFUNCTION("""COMPUTED_VALUE"""),"DIGITEC TECNOLOGIA DIGITAL E REPRES")</f>
        <v>DIGITEC TECNOLOGIA DIGITAL E REPRES</v>
      </c>
      <c r="E1249" s="21">
        <f>IFERROR(__xludf.DUMMYFUNCTION("""COMPUTED_VALUE"""),145359.0)</f>
        <v>145359</v>
      </c>
      <c r="F1249" s="21" t="str">
        <f>IFERROR(__xludf.DUMMYFUNCTION("""COMPUTED_VALUE"""),"TRANSITO REVERSA")</f>
        <v>TRANSITO REVERSA</v>
      </c>
      <c r="G1249" s="23">
        <f>IFERROR(__xludf.DUMMYFUNCTION("""COMPUTED_VALUE"""),45638.52059027778)</f>
        <v>45638.52059</v>
      </c>
      <c r="H1249" s="24" t="str">
        <f>IFERROR(VLOOKUP(B1249,material!A:D,3,0),"")</f>
        <v>TOP MIX</v>
      </c>
    </row>
    <row r="1250" ht="11.25" customHeight="1">
      <c r="A1250" s="21" t="str">
        <f>IFERROR(__xludf.DUMMYFUNCTION("""COMPUTED_VALUE"""),"SMART CARD PRETO NAGRA")</f>
        <v>SMART CARD PRETO NAGRA</v>
      </c>
      <c r="B1250" s="22">
        <f>IFERROR(__xludf.DUMMYFUNCTION("""COMPUTED_VALUE"""),4.1001234E7)</f>
        <v>41001234</v>
      </c>
      <c r="C1250" s="21" t="str">
        <f>IFERROR(__xludf.DUMMYFUNCTION("""COMPUTED_VALUE"""),"246039366573")</f>
        <v>246039366573</v>
      </c>
      <c r="D1250" s="21" t="str">
        <f>IFERROR(__xludf.DUMMYFUNCTION("""COMPUTED_VALUE"""),"DIGITEC TECNOLOGIA DIGITAL E REPRES")</f>
        <v>DIGITEC TECNOLOGIA DIGITAL E REPRES</v>
      </c>
      <c r="E1250" s="21">
        <f>IFERROR(__xludf.DUMMYFUNCTION("""COMPUTED_VALUE"""),145359.0)</f>
        <v>145359</v>
      </c>
      <c r="F1250" s="21" t="str">
        <f>IFERROR(__xludf.DUMMYFUNCTION("""COMPUTED_VALUE"""),"INICIALIZADO")</f>
        <v>INICIALIZADO</v>
      </c>
      <c r="G1250" s="23">
        <f>IFERROR(__xludf.DUMMYFUNCTION("""COMPUTED_VALUE"""),45635.534907407404)</f>
        <v>45635.53491</v>
      </c>
      <c r="H1250" s="24" t="str">
        <f>IFERROR(VLOOKUP(B1250,material!A:D,3,0),"")</f>
        <v>CARD</v>
      </c>
    </row>
    <row r="1251" ht="11.25" customHeight="1">
      <c r="A1251" s="21" t="str">
        <f>IFERROR(__xludf.DUMMYFUNCTION("""COMPUTED_VALUE"""),"SMART CARD PRETO NAGRA")</f>
        <v>SMART CARD PRETO NAGRA</v>
      </c>
      <c r="B1251" s="22">
        <f>IFERROR(__xludf.DUMMYFUNCTION("""COMPUTED_VALUE"""),4.1001234E7)</f>
        <v>41001234</v>
      </c>
      <c r="C1251" s="21" t="str">
        <f>IFERROR(__xludf.DUMMYFUNCTION("""COMPUTED_VALUE"""),"226320855470")</f>
        <v>226320855470</v>
      </c>
      <c r="D1251" s="21" t="str">
        <f>IFERROR(__xludf.DUMMYFUNCTION("""COMPUTED_VALUE"""),"DIGITEC TECNOLOGIA DIGITAL E REPRES")</f>
        <v>DIGITEC TECNOLOGIA DIGITAL E REPRES</v>
      </c>
      <c r="E1251" s="21">
        <f>IFERROR(__xludf.DUMMYFUNCTION("""COMPUTED_VALUE"""),145359.0)</f>
        <v>145359</v>
      </c>
      <c r="F1251" s="21" t="str">
        <f>IFERROR(__xludf.DUMMYFUNCTION("""COMPUTED_VALUE"""),"INICIALIZADO")</f>
        <v>INICIALIZADO</v>
      </c>
      <c r="G1251" s="23">
        <f>IFERROR(__xludf.DUMMYFUNCTION("""COMPUTED_VALUE"""),45635.53497685185)</f>
        <v>45635.53498</v>
      </c>
      <c r="H1251" s="24" t="str">
        <f>IFERROR(VLOOKUP(B1251,material!A:D,3,0),"")</f>
        <v>CARD</v>
      </c>
    </row>
    <row r="1252" ht="11.25" customHeight="1">
      <c r="A1252" s="21" t="str">
        <f>IFERROR(__xludf.DUMMYFUNCTION("""COMPUTED_VALUE"""),"DECODER DIGITAL HD HNB100 2T")</f>
        <v>DECODER DIGITAL HD HNB100 2T</v>
      </c>
      <c r="B1252" s="22">
        <f>IFERROR(__xludf.DUMMYFUNCTION("""COMPUTED_VALUE"""),4.1001276E7)</f>
        <v>41001276</v>
      </c>
      <c r="C1252" s="21" t="str">
        <f>IFERROR(__xludf.DUMMYFUNCTION("""COMPUTED_VALUE"""),"216519127384")</f>
        <v>216519127384</v>
      </c>
      <c r="D1252" s="21" t="str">
        <f>IFERROR(__xludf.DUMMYFUNCTION("""COMPUTED_VALUE"""),"DIGITEC TECNOLOGIA DIGITAL E REPRES")</f>
        <v>DIGITEC TECNOLOGIA DIGITAL E REPRES</v>
      </c>
      <c r="E1252" s="21">
        <f>IFERROR(__xludf.DUMMYFUNCTION("""COMPUTED_VALUE"""),145359.0)</f>
        <v>145359</v>
      </c>
      <c r="F1252" s="21" t="str">
        <f>IFERROR(__xludf.DUMMYFUNCTION("""COMPUTED_VALUE"""),"INICIALIZADO")</f>
        <v>INICIALIZADO</v>
      </c>
      <c r="G1252" s="23">
        <f>IFERROR(__xludf.DUMMYFUNCTION("""COMPUTED_VALUE"""),45635.53508101852)</f>
        <v>45635.53508</v>
      </c>
      <c r="H1252" s="24" t="str">
        <f>IFERROR(VLOOKUP(B1252,material!A:D,3,0),"")</f>
        <v>TOP MIX</v>
      </c>
    </row>
    <row r="1253" ht="11.25" customHeight="1">
      <c r="A1253" s="21" t="str">
        <f>IFERROR(__xludf.DUMMYFUNCTION("""COMPUTED_VALUE"""),"ARRIS TG1692A")</f>
        <v>ARRIS TG1692A</v>
      </c>
      <c r="B1253" s="22">
        <f>IFERROR(__xludf.DUMMYFUNCTION("""COMPUTED_VALUE"""),4.1001293E7)</f>
        <v>41001293</v>
      </c>
      <c r="C1253" s="21" t="str">
        <f>IFERROR(__xludf.DUMMYFUNCTION("""COMPUTED_VALUE"""),"B0DAF94AC680")</f>
        <v>B0DAF94AC680</v>
      </c>
      <c r="D1253" s="21" t="str">
        <f>IFERROR(__xludf.DUMMYFUNCTION("""COMPUTED_VALUE"""),"DIGITEC TECNOLOGIA DIGITAL E REPRES")</f>
        <v>DIGITEC TECNOLOGIA DIGITAL E REPRES</v>
      </c>
      <c r="E1253" s="21">
        <f>IFERROR(__xludf.DUMMYFUNCTION("""COMPUTED_VALUE"""),145359.0)</f>
        <v>145359</v>
      </c>
      <c r="F1253" s="21" t="str">
        <f>IFERROR(__xludf.DUMMYFUNCTION("""COMPUTED_VALUE"""),"TRANSITO REVERSA")</f>
        <v>TRANSITO REVERSA</v>
      </c>
      <c r="G1253" s="23">
        <f>IFERROR(__xludf.DUMMYFUNCTION("""COMPUTED_VALUE"""),45633.003958333335)</f>
        <v>45633.00396</v>
      </c>
      <c r="H1253" s="24" t="str">
        <f>IFERROR(VLOOKUP(B1253,material!A:D,3,0),"")</f>
        <v>DUAL</v>
      </c>
    </row>
    <row r="1254" ht="11.25" customHeight="1">
      <c r="A1254" s="21" t="str">
        <f>IFERROR(__xludf.DUMMYFUNCTION("""COMPUTED_VALUE"""),"DECODER DIGITAL HD DXC5000 2T")</f>
        <v>DECODER DIGITAL HD DXC5000 2T</v>
      </c>
      <c r="B1254" s="22">
        <f>IFERROR(__xludf.DUMMYFUNCTION("""COMPUTED_VALUE"""),4.1001277E7)</f>
        <v>41001277</v>
      </c>
      <c r="C1254" s="21" t="str">
        <f>IFERROR(__xludf.DUMMYFUNCTION("""COMPUTED_VALUE"""),"216717031941")</f>
        <v>216717031941</v>
      </c>
      <c r="D1254" s="21" t="str">
        <f>IFERROR(__xludf.DUMMYFUNCTION("""COMPUTED_VALUE"""),"DIGITEC TECNOLOGIA DIGITAL E REPRES")</f>
        <v>DIGITEC TECNOLOGIA DIGITAL E REPRES</v>
      </c>
      <c r="E1254" s="21">
        <f>IFERROR(__xludf.DUMMYFUNCTION("""COMPUTED_VALUE"""),145359.0)</f>
        <v>145359</v>
      </c>
      <c r="F1254" s="21" t="str">
        <f>IFERROR(__xludf.DUMMYFUNCTION("""COMPUTED_VALUE"""),"TRANSITO REVERSA")</f>
        <v>TRANSITO REVERSA</v>
      </c>
      <c r="G1254" s="23">
        <f>IFERROR(__xludf.DUMMYFUNCTION("""COMPUTED_VALUE"""),45633.003958333335)</f>
        <v>45633.00396</v>
      </c>
      <c r="H1254" s="24" t="str">
        <f>IFERROR(VLOOKUP(B1254,material!A:D,3,0),"")</f>
        <v>TOP MIX</v>
      </c>
    </row>
    <row r="1255" ht="11.25" customHeight="1">
      <c r="A1255" s="21" t="str">
        <f>IFERROR(__xludf.DUMMYFUNCTION("""COMPUTED_VALUE"""),"SMART CARD PRETO NAGRA")</f>
        <v>SMART CARD PRETO NAGRA</v>
      </c>
      <c r="B1255" s="22">
        <f>IFERROR(__xludf.DUMMYFUNCTION("""COMPUTED_VALUE"""),4.1001234E7)</f>
        <v>41001234</v>
      </c>
      <c r="C1255" s="21" t="str">
        <f>IFERROR(__xludf.DUMMYFUNCTION("""COMPUTED_VALUE"""),"246164425052")</f>
        <v>246164425052</v>
      </c>
      <c r="D1255" s="21" t="str">
        <f>IFERROR(__xludf.DUMMYFUNCTION("""COMPUTED_VALUE"""),"DIGITEC TECNOLOGIA DIGITAL E REPRES")</f>
        <v>DIGITEC TECNOLOGIA DIGITAL E REPRES</v>
      </c>
      <c r="E1255" s="21">
        <f>IFERROR(__xludf.DUMMYFUNCTION("""COMPUTED_VALUE"""),145359.0)</f>
        <v>145359</v>
      </c>
      <c r="F1255" s="21" t="str">
        <f>IFERROR(__xludf.DUMMYFUNCTION("""COMPUTED_VALUE"""),"TRANSITO REVERSA")</f>
        <v>TRANSITO REVERSA</v>
      </c>
      <c r="G1255" s="23">
        <f>IFERROR(__xludf.DUMMYFUNCTION("""COMPUTED_VALUE"""),45633.003379629634)</f>
        <v>45633.00338</v>
      </c>
      <c r="H1255" s="24" t="str">
        <f>IFERROR(VLOOKUP(B1255,material!A:D,3,0),"")</f>
        <v>CARD</v>
      </c>
    </row>
    <row r="1256" ht="11.25" customHeight="1">
      <c r="A1256" s="21" t="str">
        <f>IFERROR(__xludf.DUMMYFUNCTION("""COMPUTED_VALUE"""),"SMART CARD PRETO NAGRA")</f>
        <v>SMART CARD PRETO NAGRA</v>
      </c>
      <c r="B1256" s="22">
        <f>IFERROR(__xludf.DUMMYFUNCTION("""COMPUTED_VALUE"""),4.1001234E7)</f>
        <v>41001234</v>
      </c>
      <c r="C1256" s="21" t="str">
        <f>IFERROR(__xludf.DUMMYFUNCTION("""COMPUTED_VALUE"""),"246269112733")</f>
        <v>246269112733</v>
      </c>
      <c r="D1256" s="21" t="str">
        <f>IFERROR(__xludf.DUMMYFUNCTION("""COMPUTED_VALUE"""),"DIGITEC TECNOLOGIA DIGITAL E REPRES")</f>
        <v>DIGITEC TECNOLOGIA DIGITAL E REPRES</v>
      </c>
      <c r="E1256" s="21">
        <f>IFERROR(__xludf.DUMMYFUNCTION("""COMPUTED_VALUE"""),145359.0)</f>
        <v>145359</v>
      </c>
      <c r="F1256" s="21" t="str">
        <f>IFERROR(__xludf.DUMMYFUNCTION("""COMPUTED_VALUE"""),"ANALISE DE INVENTARIO")</f>
        <v>ANALISE DE INVENTARIO</v>
      </c>
      <c r="G1256" s="23">
        <f>IFERROR(__xludf.DUMMYFUNCTION("""COMPUTED_VALUE"""),45525.90365740741)</f>
        <v>45525.90366</v>
      </c>
      <c r="H1256" s="24" t="str">
        <f>IFERROR(VLOOKUP(B1256,material!A:D,3,0),"")</f>
        <v>CARD</v>
      </c>
    </row>
    <row r="1257" ht="11.25" customHeight="1">
      <c r="A1257" s="21" t="str">
        <f>IFERROR(__xludf.DUMMYFUNCTION("""COMPUTED_VALUE"""),"SMART CARD PRETO NAGRA")</f>
        <v>SMART CARD PRETO NAGRA</v>
      </c>
      <c r="B1257" s="22">
        <f>IFERROR(__xludf.DUMMYFUNCTION("""COMPUTED_VALUE"""),4.1001234E7)</f>
        <v>41001234</v>
      </c>
      <c r="C1257" s="21" t="str">
        <f>IFERROR(__xludf.DUMMYFUNCTION("""COMPUTED_VALUE"""),"226309156180")</f>
        <v>226309156180</v>
      </c>
      <c r="D1257" s="21" t="str">
        <f>IFERROR(__xludf.DUMMYFUNCTION("""COMPUTED_VALUE"""),"DIGITEC TECNOLOGIA DIGITAL E REPRES")</f>
        <v>DIGITEC TECNOLOGIA DIGITAL E REPRES</v>
      </c>
      <c r="E1257" s="21">
        <f>IFERROR(__xludf.DUMMYFUNCTION("""COMPUTED_VALUE"""),145359.0)</f>
        <v>145359</v>
      </c>
      <c r="F1257" s="21" t="str">
        <f>IFERROR(__xludf.DUMMYFUNCTION("""COMPUTED_VALUE"""),"ANALISE DE INVENTARIO")</f>
        <v>ANALISE DE INVENTARIO</v>
      </c>
      <c r="G1257" s="23">
        <f>IFERROR(__xludf.DUMMYFUNCTION("""COMPUTED_VALUE"""),45453.47723379629)</f>
        <v>45453.47723</v>
      </c>
      <c r="H1257" s="24" t="str">
        <f>IFERROR(VLOOKUP(B1257,material!A:D,3,0),"")</f>
        <v>CARD</v>
      </c>
    </row>
    <row r="1258" ht="11.25" customHeight="1">
      <c r="A1258" s="21" t="str">
        <f>IFERROR(__xludf.DUMMYFUNCTION("""COMPUTED_VALUE"""),"SMART CARD LARANJA NAGRA")</f>
        <v>SMART CARD LARANJA NAGRA</v>
      </c>
      <c r="B1258" s="22">
        <f>IFERROR(__xludf.DUMMYFUNCTION("""COMPUTED_VALUE"""),4.1001186E7)</f>
        <v>41001186</v>
      </c>
      <c r="C1258" s="21" t="str">
        <f>IFERROR(__xludf.DUMMYFUNCTION("""COMPUTED_VALUE"""),"225758341515")</f>
        <v>225758341515</v>
      </c>
      <c r="D1258" s="21" t="str">
        <f>IFERROR(__xludf.DUMMYFUNCTION("""COMPUTED_VALUE"""),"DIGITEC TECNOLOGIA DIGITAL E REPRES")</f>
        <v>DIGITEC TECNOLOGIA DIGITAL E REPRES</v>
      </c>
      <c r="E1258" s="21">
        <f>IFERROR(__xludf.DUMMYFUNCTION("""COMPUTED_VALUE"""),145359.0)</f>
        <v>145359</v>
      </c>
      <c r="F1258" s="21" t="str">
        <f>IFERROR(__xludf.DUMMYFUNCTION("""COMPUTED_VALUE"""),"ANALISE DE INVENTARIO")</f>
        <v>ANALISE DE INVENTARIO</v>
      </c>
      <c r="G1258" s="23">
        <f>IFERROR(__xludf.DUMMYFUNCTION("""COMPUTED_VALUE"""),45517.68634259259)</f>
        <v>45517.68634</v>
      </c>
      <c r="H1258" s="24" t="str">
        <f>IFERROR(VLOOKUP(B1258,material!A:D,3,0),"")</f>
        <v>CARD</v>
      </c>
    </row>
    <row r="1259" ht="11.25" customHeight="1">
      <c r="A1259" s="21" t="str">
        <f>IFERROR(__xludf.DUMMYFUNCTION("""COMPUTED_VALUE"""),"EMTA WIFI 3.0 FST3486 16X4")</f>
        <v>EMTA WIFI 3.0 FST3486 16X4</v>
      </c>
      <c r="B1259" s="22">
        <f>IFERROR(__xludf.DUMMYFUNCTION("""COMPUTED_VALUE"""),4.1001095E7)</f>
        <v>41001095</v>
      </c>
      <c r="C1259" s="21" t="str">
        <f>IFERROR(__xludf.DUMMYFUNCTION("""COMPUTED_VALUE"""),"3093BC4B5C3B")</f>
        <v>3093BC4B5C3B</v>
      </c>
      <c r="D1259" s="21" t="str">
        <f>IFERROR(__xludf.DUMMYFUNCTION("""COMPUTED_VALUE"""),"DIGITEC TECNOLOGIA DIGITAL E REPRES")</f>
        <v>DIGITEC TECNOLOGIA DIGITAL E REPRES</v>
      </c>
      <c r="E1259" s="21">
        <f>IFERROR(__xludf.DUMMYFUNCTION("""COMPUTED_VALUE"""),145359.0)</f>
        <v>145359</v>
      </c>
      <c r="F1259" s="21" t="str">
        <f>IFERROR(__xludf.DUMMYFUNCTION("""COMPUTED_VALUE"""),"TRANSITO REVERSA")</f>
        <v>TRANSITO REVERSA</v>
      </c>
      <c r="G1259" s="23">
        <f>IFERROR(__xludf.DUMMYFUNCTION("""COMPUTED_VALUE"""),45617.87138888889)</f>
        <v>45617.87139</v>
      </c>
      <c r="H1259" s="24" t="str">
        <f>IFERROR(VLOOKUP(B1259,material!A:D,3,0),"")</f>
        <v>DUAL</v>
      </c>
    </row>
    <row r="1260" ht="11.25" customHeight="1">
      <c r="A1260" s="21" t="str">
        <f>IFERROR(__xludf.DUMMYFUNCTION("""COMPUTED_VALUE"""),"SAG4KC362")</f>
        <v>SAG4KC362</v>
      </c>
      <c r="B1260" s="22">
        <f>IFERROR(__xludf.DUMMYFUNCTION("""COMPUTED_VALUE"""),4.1001068E7)</f>
        <v>41001068</v>
      </c>
      <c r="C1260" s="21" t="str">
        <f>IFERROR(__xludf.DUMMYFUNCTION("""COMPUTED_VALUE"""),"216856568094")</f>
        <v>216856568094</v>
      </c>
      <c r="D1260" s="21" t="str">
        <f>IFERROR(__xludf.DUMMYFUNCTION("""COMPUTED_VALUE"""),"DIGITEC TECNOLOGIA DIGITAL E REPRES")</f>
        <v>DIGITEC TECNOLOGIA DIGITAL E REPRES</v>
      </c>
      <c r="E1260" s="21">
        <f>IFERROR(__xludf.DUMMYFUNCTION("""COMPUTED_VALUE"""),145359.0)</f>
        <v>145359</v>
      </c>
      <c r="F1260" s="21" t="str">
        <f>IFERROR(__xludf.DUMMYFUNCTION("""COMPUTED_VALUE"""),"TRANSITO REVERSA")</f>
        <v>TRANSITO REVERSA</v>
      </c>
      <c r="G1260" s="23">
        <f>IFERROR(__xludf.DUMMYFUNCTION("""COMPUTED_VALUE"""),45626.29924768519)</f>
        <v>45626.29925</v>
      </c>
      <c r="H1260" s="24" t="str">
        <f>IFERROR(VLOOKUP(B1260,material!A:D,3,0),"")</f>
        <v>4K</v>
      </c>
    </row>
    <row r="1261" ht="11.25" customHeight="1">
      <c r="A1261" s="21" t="str">
        <f>IFERROR(__xludf.DUMMYFUNCTION("""COMPUTED_VALUE"""),"TECHNICOLOR TC7337NET")</f>
        <v>TECHNICOLOR TC7337NET</v>
      </c>
      <c r="B1261" s="22">
        <f>IFERROR(__xludf.DUMMYFUNCTION("""COMPUTED_VALUE"""),4.1001294E7)</f>
        <v>41001294</v>
      </c>
      <c r="C1261" s="21" t="str">
        <f>IFERROR(__xludf.DUMMYFUNCTION("""COMPUTED_VALUE"""),"80D04AB89EF1")</f>
        <v>80D04AB89EF1</v>
      </c>
      <c r="D1261" s="21" t="str">
        <f>IFERROR(__xludf.DUMMYFUNCTION("""COMPUTED_VALUE"""),"DIGITEC TECNOLOGIA DIGITAL E REPRES")</f>
        <v>DIGITEC TECNOLOGIA DIGITAL E REPRES</v>
      </c>
      <c r="E1261" s="21">
        <f>IFERROR(__xludf.DUMMYFUNCTION("""COMPUTED_VALUE"""),145359.0)</f>
        <v>145359</v>
      </c>
      <c r="F1261" s="21" t="str">
        <f>IFERROR(__xludf.DUMMYFUNCTION("""COMPUTED_VALUE"""),"TRANSITO REVERSA")</f>
        <v>TRANSITO REVERSA</v>
      </c>
      <c r="G1261" s="23">
        <f>IFERROR(__xludf.DUMMYFUNCTION("""COMPUTED_VALUE"""),45626.2987037037)</f>
        <v>45626.2987</v>
      </c>
      <c r="H1261" s="24" t="str">
        <f>IFERROR(VLOOKUP(B1261,material!A:D,3,0),"")</f>
        <v>DUAL</v>
      </c>
    </row>
    <row r="1262" ht="11.25" customHeight="1">
      <c r="A1262" s="21" t="str">
        <f>IFERROR(__xludf.DUMMYFUNCTION("""COMPUTED_VALUE"""),"ARRIS TG1692A")</f>
        <v>ARRIS TG1692A</v>
      </c>
      <c r="B1262" s="22">
        <f>IFERROR(__xludf.DUMMYFUNCTION("""COMPUTED_VALUE"""),4.1001293E7)</f>
        <v>41001293</v>
      </c>
      <c r="C1262" s="21" t="str">
        <f>IFERROR(__xludf.DUMMYFUNCTION("""COMPUTED_VALUE"""),"BC644BD0BB3F")</f>
        <v>BC644BD0BB3F</v>
      </c>
      <c r="D1262" s="21" t="str">
        <f>IFERROR(__xludf.DUMMYFUNCTION("""COMPUTED_VALUE"""),"DIGITEC TECNOLOGIA DIGITAL E REPRES")</f>
        <v>DIGITEC TECNOLOGIA DIGITAL E REPRES</v>
      </c>
      <c r="E1262" s="21">
        <f>IFERROR(__xludf.DUMMYFUNCTION("""COMPUTED_VALUE"""),145359.0)</f>
        <v>145359</v>
      </c>
      <c r="F1262" s="21" t="str">
        <f>IFERROR(__xludf.DUMMYFUNCTION("""COMPUTED_VALUE"""),"TRANSITO REVERSA")</f>
        <v>TRANSITO REVERSA</v>
      </c>
      <c r="G1262" s="23">
        <f>IFERROR(__xludf.DUMMYFUNCTION("""COMPUTED_VALUE"""),45617.87142361111)</f>
        <v>45617.87142</v>
      </c>
      <c r="H1262" s="24" t="str">
        <f>IFERROR(VLOOKUP(B1262,material!A:D,3,0),"")</f>
        <v>DUAL</v>
      </c>
    </row>
    <row r="1263" ht="11.25" customHeight="1">
      <c r="A1263" s="21" t="str">
        <f>IFERROR(__xludf.DUMMYFUNCTION("""COMPUTED_VALUE"""),"ARRIS TG1692A")</f>
        <v>ARRIS TG1692A</v>
      </c>
      <c r="B1263" s="22">
        <f>IFERROR(__xludf.DUMMYFUNCTION("""COMPUTED_VALUE"""),4.1001293E7)</f>
        <v>41001293</v>
      </c>
      <c r="C1263" s="21" t="str">
        <f>IFERROR(__xludf.DUMMYFUNCTION("""COMPUTED_VALUE"""),"4C1265E3E979")</f>
        <v>4C1265E3E979</v>
      </c>
      <c r="D1263" s="21" t="str">
        <f>IFERROR(__xludf.DUMMYFUNCTION("""COMPUTED_VALUE"""),"DIGITEC TECNOLOGIA DIGITAL E REPRES")</f>
        <v>DIGITEC TECNOLOGIA DIGITAL E REPRES</v>
      </c>
      <c r="E1263" s="21">
        <f>IFERROR(__xludf.DUMMYFUNCTION("""COMPUTED_VALUE"""),145359.0)</f>
        <v>145359</v>
      </c>
      <c r="F1263" s="21" t="str">
        <f>IFERROR(__xludf.DUMMYFUNCTION("""COMPUTED_VALUE"""),"TRANSITO REVERSA")</f>
        <v>TRANSITO REVERSA</v>
      </c>
      <c r="G1263" s="23">
        <f>IFERROR(__xludf.DUMMYFUNCTION("""COMPUTED_VALUE"""),45633.00340277777)</f>
        <v>45633.0034</v>
      </c>
      <c r="H1263" s="24" t="str">
        <f>IFERROR(VLOOKUP(B1263,material!A:D,3,0),"")</f>
        <v>DUAL</v>
      </c>
    </row>
    <row r="1264" ht="11.25" customHeight="1">
      <c r="A1264" s="21" t="str">
        <f>IFERROR(__xludf.DUMMYFUNCTION("""COMPUTED_VALUE"""),"DECODER DIGITAL HD DXC5000 2T")</f>
        <v>DECODER DIGITAL HD DXC5000 2T</v>
      </c>
      <c r="B1264" s="22">
        <f>IFERROR(__xludf.DUMMYFUNCTION("""COMPUTED_VALUE"""),4.1001277E7)</f>
        <v>41001277</v>
      </c>
      <c r="C1264" s="21" t="str">
        <f>IFERROR(__xludf.DUMMYFUNCTION("""COMPUTED_VALUE"""),"216573774042")</f>
        <v>216573774042</v>
      </c>
      <c r="D1264" s="21" t="str">
        <f>IFERROR(__xludf.DUMMYFUNCTION("""COMPUTED_VALUE"""),"DIGITEC TECNOLOGIA DIGITAL E REPRES")</f>
        <v>DIGITEC TECNOLOGIA DIGITAL E REPRES</v>
      </c>
      <c r="E1264" s="21">
        <f>IFERROR(__xludf.DUMMYFUNCTION("""COMPUTED_VALUE"""),145359.0)</f>
        <v>145359</v>
      </c>
      <c r="F1264" s="21" t="str">
        <f>IFERROR(__xludf.DUMMYFUNCTION("""COMPUTED_VALUE"""),"TRANSITO REVERSA")</f>
        <v>TRANSITO REVERSA</v>
      </c>
      <c r="G1264" s="23">
        <f>IFERROR(__xludf.DUMMYFUNCTION("""COMPUTED_VALUE"""),45633.00398148148)</f>
        <v>45633.00398</v>
      </c>
      <c r="H1264" s="24" t="str">
        <f>IFERROR(VLOOKUP(B1264,material!A:D,3,0),"")</f>
        <v>TOP MIX</v>
      </c>
    </row>
    <row r="1265" ht="11.25" customHeight="1">
      <c r="A1265" s="21" t="str">
        <f>IFERROR(__xludf.DUMMYFUNCTION("""COMPUTED_VALUE"""),"DECODER DIGITAL HD DXC5000 2T")</f>
        <v>DECODER DIGITAL HD DXC5000 2T</v>
      </c>
      <c r="B1265" s="22">
        <f>IFERROR(__xludf.DUMMYFUNCTION("""COMPUTED_VALUE"""),4.1001277E7)</f>
        <v>41001277</v>
      </c>
      <c r="C1265" s="21" t="str">
        <f>IFERROR(__xludf.DUMMYFUNCTION("""COMPUTED_VALUE"""),"216806181326")</f>
        <v>216806181326</v>
      </c>
      <c r="D1265" s="21" t="str">
        <f>IFERROR(__xludf.DUMMYFUNCTION("""COMPUTED_VALUE"""),"DIGITEC TECNOLOGIA DIGITAL E REPRES")</f>
        <v>DIGITEC TECNOLOGIA DIGITAL E REPRES</v>
      </c>
      <c r="E1265" s="21">
        <f>IFERROR(__xludf.DUMMYFUNCTION("""COMPUTED_VALUE"""),145359.0)</f>
        <v>145359</v>
      </c>
      <c r="F1265" s="21" t="str">
        <f>IFERROR(__xludf.DUMMYFUNCTION("""COMPUTED_VALUE"""),"TRANSITO REVERSA")</f>
        <v>TRANSITO REVERSA</v>
      </c>
      <c r="G1265" s="23">
        <f>IFERROR(__xludf.DUMMYFUNCTION("""COMPUTED_VALUE"""),45638.520648148144)</f>
        <v>45638.52065</v>
      </c>
      <c r="H1265" s="24" t="str">
        <f>IFERROR(VLOOKUP(B1265,material!A:D,3,0),"")</f>
        <v>TOP MIX</v>
      </c>
    </row>
    <row r="1266" ht="11.25" customHeight="1">
      <c r="A1266" s="21" t="str">
        <f>IFERROR(__xludf.DUMMYFUNCTION("""COMPUTED_VALUE"""),"EMTA 3.0 HG100R-L2 HUMAX")</f>
        <v>EMTA 3.0 HG100R-L2 HUMAX</v>
      </c>
      <c r="B1266" s="22">
        <f>IFERROR(__xludf.DUMMYFUNCTION("""COMPUTED_VALUE"""),4.1001286E7)</f>
        <v>41001286</v>
      </c>
      <c r="C1266" s="21" t="str">
        <f>IFERROR(__xludf.DUMMYFUNCTION("""COMPUTED_VALUE"""),"4CD08A45509E")</f>
        <v>4CD08A45509E</v>
      </c>
      <c r="D1266" s="21" t="str">
        <f>IFERROR(__xludf.DUMMYFUNCTION("""COMPUTED_VALUE"""),"DIGITEC TECNOLOGIA DIGITAL E REPRES")</f>
        <v>DIGITEC TECNOLOGIA DIGITAL E REPRES</v>
      </c>
      <c r="E1266" s="21">
        <f>IFERROR(__xludf.DUMMYFUNCTION("""COMPUTED_VALUE"""),145359.0)</f>
        <v>145359</v>
      </c>
      <c r="F1266" s="21" t="str">
        <f>IFERROR(__xludf.DUMMYFUNCTION("""COMPUTED_VALUE"""),"TRANSITO REVERSA")</f>
        <v>TRANSITO REVERSA</v>
      </c>
      <c r="G1266" s="23">
        <f>IFERROR(__xludf.DUMMYFUNCTION("""COMPUTED_VALUE"""),45633.00399305555)</f>
        <v>45633.00399</v>
      </c>
      <c r="H1266" s="24" t="str">
        <f>IFERROR(VLOOKUP(B1266,material!A:D,3,0),"")</f>
        <v>SINGLE</v>
      </c>
    </row>
    <row r="1267" ht="11.25" customHeight="1">
      <c r="A1267" s="21" t="str">
        <f>IFERROR(__xludf.DUMMYFUNCTION("""COMPUTED_VALUE"""),"SMART CARD PRETO NAGRA")</f>
        <v>SMART CARD PRETO NAGRA</v>
      </c>
      <c r="B1267" s="22">
        <f>IFERROR(__xludf.DUMMYFUNCTION("""COMPUTED_VALUE"""),4.1001234E7)</f>
        <v>41001234</v>
      </c>
      <c r="C1267" s="21" t="str">
        <f>IFERROR(__xludf.DUMMYFUNCTION("""COMPUTED_VALUE"""),"246033044767")</f>
        <v>246033044767</v>
      </c>
      <c r="D1267" s="21" t="str">
        <f>IFERROR(__xludf.DUMMYFUNCTION("""COMPUTED_VALUE"""),"DIGITEC TECNOLOGIA DIGITAL E REPRES")</f>
        <v>DIGITEC TECNOLOGIA DIGITAL E REPRES</v>
      </c>
      <c r="E1267" s="21">
        <f>IFERROR(__xludf.DUMMYFUNCTION("""COMPUTED_VALUE"""),145359.0)</f>
        <v>145359</v>
      </c>
      <c r="F1267" s="21" t="str">
        <f>IFERROR(__xludf.DUMMYFUNCTION("""COMPUTED_VALUE"""),"TRANSITO REVERSA")</f>
        <v>TRANSITO REVERSA</v>
      </c>
      <c r="G1267" s="23">
        <f>IFERROR(__xludf.DUMMYFUNCTION("""COMPUTED_VALUE"""),45633.00336805556)</f>
        <v>45633.00337</v>
      </c>
      <c r="H1267" s="24" t="str">
        <f>IFERROR(VLOOKUP(B1267,material!A:D,3,0),"")</f>
        <v>CARD</v>
      </c>
    </row>
    <row r="1268" ht="11.25" customHeight="1">
      <c r="A1268" s="21" t="str">
        <f>IFERROR(__xludf.DUMMYFUNCTION("""COMPUTED_VALUE"""),"SMART CARD PRETO NAGRA")</f>
        <v>SMART CARD PRETO NAGRA</v>
      </c>
      <c r="B1268" s="22">
        <f>IFERROR(__xludf.DUMMYFUNCTION("""COMPUTED_VALUE"""),4.1001234E7)</f>
        <v>41001234</v>
      </c>
      <c r="C1268" s="21" t="str">
        <f>IFERROR(__xludf.DUMMYFUNCTION("""COMPUTED_VALUE"""),"226406899109")</f>
        <v>226406899109</v>
      </c>
      <c r="D1268" s="21" t="str">
        <f>IFERROR(__xludf.DUMMYFUNCTION("""COMPUTED_VALUE"""),"DIGITEC TECNOLOGIA DIGITAL E REPRES")</f>
        <v>DIGITEC TECNOLOGIA DIGITAL E REPRES</v>
      </c>
      <c r="E1268" s="21">
        <f>IFERROR(__xludf.DUMMYFUNCTION("""COMPUTED_VALUE"""),145359.0)</f>
        <v>145359</v>
      </c>
      <c r="F1268" s="21" t="str">
        <f>IFERROR(__xludf.DUMMYFUNCTION("""COMPUTED_VALUE"""),"TRANSITO REVERSA")</f>
        <v>TRANSITO REVERSA</v>
      </c>
      <c r="G1268" s="23">
        <f>IFERROR(__xludf.DUMMYFUNCTION("""COMPUTED_VALUE"""),45617.87141203704)</f>
        <v>45617.87141</v>
      </c>
      <c r="H1268" s="24" t="str">
        <f>IFERROR(VLOOKUP(B1268,material!A:D,3,0),"")</f>
        <v>CARD</v>
      </c>
    </row>
    <row r="1269" ht="11.25" customHeight="1">
      <c r="A1269" s="21" t="str">
        <f>IFERROR(__xludf.DUMMYFUNCTION("""COMPUTED_VALUE"""),"SMART CARD PRETO NAGRA")</f>
        <v>SMART CARD PRETO NAGRA</v>
      </c>
      <c r="B1269" s="22">
        <f>IFERROR(__xludf.DUMMYFUNCTION("""COMPUTED_VALUE"""),4.1001234E7)</f>
        <v>41001234</v>
      </c>
      <c r="C1269" s="21" t="str">
        <f>IFERROR(__xludf.DUMMYFUNCTION("""COMPUTED_VALUE"""),"246143893453")</f>
        <v>246143893453</v>
      </c>
      <c r="D1269" s="21" t="str">
        <f>IFERROR(__xludf.DUMMYFUNCTION("""COMPUTED_VALUE"""),"DIGITEC TECNOLOGIA DIGITAL E REPRES")</f>
        <v>DIGITEC TECNOLOGIA DIGITAL E REPRES</v>
      </c>
      <c r="E1269" s="21">
        <f>IFERROR(__xludf.DUMMYFUNCTION("""COMPUTED_VALUE"""),145359.0)</f>
        <v>145359</v>
      </c>
      <c r="F1269" s="21" t="str">
        <f>IFERROR(__xludf.DUMMYFUNCTION("""COMPUTED_VALUE"""),"TRANSITO REVERSA")</f>
        <v>TRANSITO REVERSA</v>
      </c>
      <c r="G1269" s="23">
        <f>IFERROR(__xludf.DUMMYFUNCTION("""COMPUTED_VALUE"""),45617.87142361111)</f>
        <v>45617.87142</v>
      </c>
      <c r="H1269" s="24" t="str">
        <f>IFERROR(VLOOKUP(B1269,material!A:D,3,0),"")</f>
        <v>CARD</v>
      </c>
    </row>
    <row r="1270" ht="11.25" customHeight="1">
      <c r="A1270" s="21" t="str">
        <f>IFERROR(__xludf.DUMMYFUNCTION("""COMPUTED_VALUE"""),"SMART CARD PRETO NAGRA")</f>
        <v>SMART CARD PRETO NAGRA</v>
      </c>
      <c r="B1270" s="22">
        <f>IFERROR(__xludf.DUMMYFUNCTION("""COMPUTED_VALUE"""),4.1001234E7)</f>
        <v>41001234</v>
      </c>
      <c r="C1270" s="21" t="str">
        <f>IFERROR(__xludf.DUMMYFUNCTION("""COMPUTED_VALUE"""),"226407306780")</f>
        <v>226407306780</v>
      </c>
      <c r="D1270" s="21" t="str">
        <f>IFERROR(__xludf.DUMMYFUNCTION("""COMPUTED_VALUE"""),"DIGITEC TECNOLOGIA DIGITAL E REPRES")</f>
        <v>DIGITEC TECNOLOGIA DIGITAL E REPRES</v>
      </c>
      <c r="E1270" s="21">
        <f>IFERROR(__xludf.DUMMYFUNCTION("""COMPUTED_VALUE"""),145359.0)</f>
        <v>145359</v>
      </c>
      <c r="F1270" s="21" t="str">
        <f>IFERROR(__xludf.DUMMYFUNCTION("""COMPUTED_VALUE"""),"TRANSITO REVERSA")</f>
        <v>TRANSITO REVERSA</v>
      </c>
      <c r="G1270" s="23">
        <f>IFERROR(__xludf.DUMMYFUNCTION("""COMPUTED_VALUE"""),45633.003379629634)</f>
        <v>45633.00338</v>
      </c>
      <c r="H1270" s="24" t="str">
        <f>IFERROR(VLOOKUP(B1270,material!A:D,3,0),"")</f>
        <v>CARD</v>
      </c>
    </row>
    <row r="1271" ht="11.25" customHeight="1">
      <c r="A1271" s="21" t="str">
        <f>IFERROR(__xludf.DUMMYFUNCTION("""COMPUTED_VALUE"""),"SMART CARD PRETO NAGRA")</f>
        <v>SMART CARD PRETO NAGRA</v>
      </c>
      <c r="B1271" s="22">
        <f>IFERROR(__xludf.DUMMYFUNCTION("""COMPUTED_VALUE"""),4.1001234E7)</f>
        <v>41001234</v>
      </c>
      <c r="C1271" s="21" t="str">
        <f>IFERROR(__xludf.DUMMYFUNCTION("""COMPUTED_VALUE"""),"226394449106")</f>
        <v>226394449106</v>
      </c>
      <c r="D1271" s="21" t="str">
        <f>IFERROR(__xludf.DUMMYFUNCTION("""COMPUTED_VALUE"""),"DIGITEC TECNOLOGIA DIGITAL E REPRES")</f>
        <v>DIGITEC TECNOLOGIA DIGITAL E REPRES</v>
      </c>
      <c r="E1271" s="21">
        <f>IFERROR(__xludf.DUMMYFUNCTION("""COMPUTED_VALUE"""),145359.0)</f>
        <v>145359</v>
      </c>
      <c r="F1271" s="21" t="str">
        <f>IFERROR(__xludf.DUMMYFUNCTION("""COMPUTED_VALUE"""),"TRANSITO REVERSA")</f>
        <v>TRANSITO REVERSA</v>
      </c>
      <c r="G1271" s="23">
        <f>IFERROR(__xludf.DUMMYFUNCTION("""COMPUTED_VALUE"""),45633.00341435186)</f>
        <v>45633.00341</v>
      </c>
      <c r="H1271" s="24" t="str">
        <f>IFERROR(VLOOKUP(B1271,material!A:D,3,0),"")</f>
        <v>CARD</v>
      </c>
    </row>
    <row r="1272" ht="11.25" customHeight="1">
      <c r="A1272" s="21" t="str">
        <f>IFERROR(__xludf.DUMMYFUNCTION("""COMPUTED_VALUE"""),"SMART CARD PRETO NAGRA")</f>
        <v>SMART CARD PRETO NAGRA</v>
      </c>
      <c r="B1272" s="22">
        <f>IFERROR(__xludf.DUMMYFUNCTION("""COMPUTED_VALUE"""),4.1001234E7)</f>
        <v>41001234</v>
      </c>
      <c r="C1272" s="21" t="str">
        <f>IFERROR(__xludf.DUMMYFUNCTION("""COMPUTED_VALUE"""),"226001528895")</f>
        <v>226001528895</v>
      </c>
      <c r="D1272" s="21" t="str">
        <f>IFERROR(__xludf.DUMMYFUNCTION("""COMPUTED_VALUE"""),"DIGITEC TECNOLOGIA DIGITAL E REPRES")</f>
        <v>DIGITEC TECNOLOGIA DIGITAL E REPRES</v>
      </c>
      <c r="E1272" s="21">
        <f>IFERROR(__xludf.DUMMYFUNCTION("""COMPUTED_VALUE"""),145359.0)</f>
        <v>145359</v>
      </c>
      <c r="F1272" s="21" t="str">
        <f>IFERROR(__xludf.DUMMYFUNCTION("""COMPUTED_VALUE"""),"TRANSITO REVERSA")</f>
        <v>TRANSITO REVERSA</v>
      </c>
      <c r="G1272" s="23">
        <f>IFERROR(__xludf.DUMMYFUNCTION("""COMPUTED_VALUE"""),45617.87141203704)</f>
        <v>45617.87141</v>
      </c>
      <c r="H1272" s="24" t="str">
        <f>IFERROR(VLOOKUP(B1272,material!A:D,3,0),"")</f>
        <v>CARD</v>
      </c>
    </row>
    <row r="1273" ht="11.25" customHeight="1">
      <c r="A1273" s="21" t="str">
        <f>IFERROR(__xludf.DUMMYFUNCTION("""COMPUTED_VALUE"""),"SMART CARD PRETO NAGRA")</f>
        <v>SMART CARD PRETO NAGRA</v>
      </c>
      <c r="B1273" s="22">
        <f>IFERROR(__xludf.DUMMYFUNCTION("""COMPUTED_VALUE"""),4.1001234E7)</f>
        <v>41001234</v>
      </c>
      <c r="C1273" s="21" t="str">
        <f>IFERROR(__xludf.DUMMYFUNCTION("""COMPUTED_VALUE"""),"246071933759")</f>
        <v>246071933759</v>
      </c>
      <c r="D1273" s="21" t="str">
        <f>IFERROR(__xludf.DUMMYFUNCTION("""COMPUTED_VALUE"""),"DIGITEC TECNOLOGIA DIGITAL E REPRES")</f>
        <v>DIGITEC TECNOLOGIA DIGITAL E REPRES</v>
      </c>
      <c r="E1273" s="21">
        <f>IFERROR(__xludf.DUMMYFUNCTION("""COMPUTED_VALUE"""),145359.0)</f>
        <v>145359</v>
      </c>
      <c r="F1273" s="21" t="str">
        <f>IFERROR(__xludf.DUMMYFUNCTION("""COMPUTED_VALUE"""),"TRANSITO REVERSA")</f>
        <v>TRANSITO REVERSA</v>
      </c>
      <c r="G1273" s="23">
        <f>IFERROR(__xludf.DUMMYFUNCTION("""COMPUTED_VALUE"""),45617.87140046296)</f>
        <v>45617.8714</v>
      </c>
      <c r="H1273" s="24" t="str">
        <f>IFERROR(VLOOKUP(B1273,material!A:D,3,0),"")</f>
        <v>CARD</v>
      </c>
    </row>
    <row r="1274" ht="11.25" customHeight="1">
      <c r="A1274" s="21" t="str">
        <f>IFERROR(__xludf.DUMMYFUNCTION("""COMPUTED_VALUE"""),"SMART CARD PRETO NAGRA")</f>
        <v>SMART CARD PRETO NAGRA</v>
      </c>
      <c r="B1274" s="22">
        <f>IFERROR(__xludf.DUMMYFUNCTION("""COMPUTED_VALUE"""),4.1001234E7)</f>
        <v>41001234</v>
      </c>
      <c r="C1274" s="21" t="str">
        <f>IFERROR(__xludf.DUMMYFUNCTION("""COMPUTED_VALUE"""),"226349021418")</f>
        <v>226349021418</v>
      </c>
      <c r="D1274" s="21" t="str">
        <f>IFERROR(__xludf.DUMMYFUNCTION("""COMPUTED_VALUE"""),"DIGITEC TECNOLOGIA DIGITAL E REPRES")</f>
        <v>DIGITEC TECNOLOGIA DIGITAL E REPRES</v>
      </c>
      <c r="E1274" s="21">
        <f>IFERROR(__xludf.DUMMYFUNCTION("""COMPUTED_VALUE"""),145359.0)</f>
        <v>145359</v>
      </c>
      <c r="F1274" s="21" t="str">
        <f>IFERROR(__xludf.DUMMYFUNCTION("""COMPUTED_VALUE"""),"TRANSITO REVERSA")</f>
        <v>TRANSITO REVERSA</v>
      </c>
      <c r="G1274" s="23">
        <f>IFERROR(__xludf.DUMMYFUNCTION("""COMPUTED_VALUE"""),45638.52061342592)</f>
        <v>45638.52061</v>
      </c>
      <c r="H1274" s="24" t="str">
        <f>IFERROR(VLOOKUP(B1274,material!A:D,3,0),"")</f>
        <v>CARD</v>
      </c>
    </row>
    <row r="1275" ht="11.25" customHeight="1">
      <c r="A1275" s="21" t="str">
        <f>IFERROR(__xludf.DUMMYFUNCTION("""COMPUTED_VALUE"""),"SMART CARD PRETO NAGRA")</f>
        <v>SMART CARD PRETO NAGRA</v>
      </c>
      <c r="B1275" s="22">
        <f>IFERROR(__xludf.DUMMYFUNCTION("""COMPUTED_VALUE"""),4.1001234E7)</f>
        <v>41001234</v>
      </c>
      <c r="C1275" s="21" t="str">
        <f>IFERROR(__xludf.DUMMYFUNCTION("""COMPUTED_VALUE"""),"226111792542")</f>
        <v>226111792542</v>
      </c>
      <c r="D1275" s="21" t="str">
        <f>IFERROR(__xludf.DUMMYFUNCTION("""COMPUTED_VALUE"""),"DIGITEC TECNOLOGIA DIGITAL E REPRES")</f>
        <v>DIGITEC TECNOLOGIA DIGITAL E REPRES</v>
      </c>
      <c r="E1275" s="21">
        <f>IFERROR(__xludf.DUMMYFUNCTION("""COMPUTED_VALUE"""),145359.0)</f>
        <v>145359</v>
      </c>
      <c r="F1275" s="21" t="str">
        <f>IFERROR(__xludf.DUMMYFUNCTION("""COMPUTED_VALUE"""),"TRANSITO REVERSA")</f>
        <v>TRANSITO REVERSA</v>
      </c>
      <c r="G1275" s="23">
        <f>IFERROR(__xludf.DUMMYFUNCTION("""COMPUTED_VALUE"""),45633.00398148148)</f>
        <v>45633.00398</v>
      </c>
      <c r="H1275" s="24" t="str">
        <f>IFERROR(VLOOKUP(B1275,material!A:D,3,0),"")</f>
        <v>CARD</v>
      </c>
    </row>
    <row r="1276" ht="11.25" customHeight="1">
      <c r="A1276" s="21" t="str">
        <f>IFERROR(__xludf.DUMMYFUNCTION("""COMPUTED_VALUE"""),"SMART CARD PRETO NAGRA")</f>
        <v>SMART CARD PRETO NAGRA</v>
      </c>
      <c r="B1276" s="22">
        <f>IFERROR(__xludf.DUMMYFUNCTION("""COMPUTED_VALUE"""),4.1001234E7)</f>
        <v>41001234</v>
      </c>
      <c r="C1276" s="21" t="str">
        <f>IFERROR(__xludf.DUMMYFUNCTION("""COMPUTED_VALUE"""),"226115272444")</f>
        <v>226115272444</v>
      </c>
      <c r="D1276" s="21" t="str">
        <f>IFERROR(__xludf.DUMMYFUNCTION("""COMPUTED_VALUE"""),"DIGITEC TECNOLOGIA DIGITAL E REPRES")</f>
        <v>DIGITEC TECNOLOGIA DIGITAL E REPRES</v>
      </c>
      <c r="E1276" s="21">
        <f>IFERROR(__xludf.DUMMYFUNCTION("""COMPUTED_VALUE"""),145359.0)</f>
        <v>145359</v>
      </c>
      <c r="F1276" s="21" t="str">
        <f>IFERROR(__xludf.DUMMYFUNCTION("""COMPUTED_VALUE"""),"TRANSITO REVERSA")</f>
        <v>TRANSITO REVERSA</v>
      </c>
      <c r="G1276" s="23">
        <f>IFERROR(__xludf.DUMMYFUNCTION("""COMPUTED_VALUE"""),45617.87142361111)</f>
        <v>45617.87142</v>
      </c>
      <c r="H1276" s="24" t="str">
        <f>IFERROR(VLOOKUP(B1276,material!A:D,3,0),"")</f>
        <v>CARD</v>
      </c>
    </row>
    <row r="1277" ht="11.25" customHeight="1">
      <c r="A1277" s="21" t="str">
        <f>IFERROR(__xludf.DUMMYFUNCTION("""COMPUTED_VALUE"""),"PACE - HIGH DEFINITION DCR7411")</f>
        <v>PACE - HIGH DEFINITION DCR7411</v>
      </c>
      <c r="B1277" s="22">
        <f>IFERROR(__xludf.DUMMYFUNCTION("""COMPUTED_VALUE"""),4.1001216E7)</f>
        <v>41001216</v>
      </c>
      <c r="C1277" s="21" t="str">
        <f>IFERROR(__xludf.DUMMYFUNCTION("""COMPUTED_VALUE"""),"183935484758")</f>
        <v>183935484758</v>
      </c>
      <c r="D1277" s="21" t="str">
        <f>IFERROR(__xludf.DUMMYFUNCTION("""COMPUTED_VALUE"""),"DIGITEC TECNOLOGIA DIGITAL E REPRES")</f>
        <v>DIGITEC TECNOLOGIA DIGITAL E REPRES</v>
      </c>
      <c r="E1277" s="21">
        <f>IFERROR(__xludf.DUMMYFUNCTION("""COMPUTED_VALUE"""),145359.0)</f>
        <v>145359</v>
      </c>
      <c r="F1277" s="21" t="str">
        <f>IFERROR(__xludf.DUMMYFUNCTION("""COMPUTED_VALUE"""),"TRANSITO REVERSA")</f>
        <v>TRANSITO REVERSA</v>
      </c>
      <c r="G1277" s="23">
        <f>IFERROR(__xludf.DUMMYFUNCTION("""COMPUTED_VALUE"""),45633.00396990741)</f>
        <v>45633.00397</v>
      </c>
      <c r="H1277" s="24" t="str">
        <f>IFERROR(VLOOKUP(B1277,material!A:D,3,0),"")</f>
        <v>LEGADO</v>
      </c>
    </row>
    <row r="1278" ht="11.25" customHeight="1">
      <c r="A1278" s="21" t="str">
        <f>IFERROR(__xludf.DUMMYFUNCTION("""COMPUTED_VALUE"""),"SMART CARD LARANJA NAGRA")</f>
        <v>SMART CARD LARANJA NAGRA</v>
      </c>
      <c r="B1278" s="22">
        <f>IFERROR(__xludf.DUMMYFUNCTION("""COMPUTED_VALUE"""),4.1001186E7)</f>
        <v>41001186</v>
      </c>
      <c r="C1278" s="21" t="str">
        <f>IFERROR(__xludf.DUMMYFUNCTION("""COMPUTED_VALUE"""),"226583647278")</f>
        <v>226583647278</v>
      </c>
      <c r="D1278" s="21" t="str">
        <f>IFERROR(__xludf.DUMMYFUNCTION("""COMPUTED_VALUE"""),"DIGITEC TECNOLOGIA DIGITAL E REPRES")</f>
        <v>DIGITEC TECNOLOGIA DIGITAL E REPRES</v>
      </c>
      <c r="E1278" s="21">
        <f>IFERROR(__xludf.DUMMYFUNCTION("""COMPUTED_VALUE"""),145359.0)</f>
        <v>145359</v>
      </c>
      <c r="F1278" s="21" t="str">
        <f>IFERROR(__xludf.DUMMYFUNCTION("""COMPUTED_VALUE"""),"TRANSITO REVERSA")</f>
        <v>TRANSITO REVERSA</v>
      </c>
      <c r="G1278" s="23">
        <f>IFERROR(__xludf.DUMMYFUNCTION("""COMPUTED_VALUE"""),45617.87140046296)</f>
        <v>45617.8714</v>
      </c>
      <c r="H1278" s="24" t="str">
        <f>IFERROR(VLOOKUP(B1278,material!A:D,3,0),"")</f>
        <v>CARD</v>
      </c>
    </row>
    <row r="1279" ht="11.25" customHeight="1">
      <c r="A1279" s="21" t="str">
        <f>IFERROR(__xludf.DUMMYFUNCTION("""COMPUTED_VALUE"""),"SMART CARD LARANJA NAGRA")</f>
        <v>SMART CARD LARANJA NAGRA</v>
      </c>
      <c r="B1279" s="22">
        <f>IFERROR(__xludf.DUMMYFUNCTION("""COMPUTED_VALUE"""),4.1001186E7)</f>
        <v>41001186</v>
      </c>
      <c r="C1279" s="21" t="str">
        <f>IFERROR(__xludf.DUMMYFUNCTION("""COMPUTED_VALUE"""),"226705114554")</f>
        <v>226705114554</v>
      </c>
      <c r="D1279" s="21" t="str">
        <f>IFERROR(__xludf.DUMMYFUNCTION("""COMPUTED_VALUE"""),"DIGITEC TECNOLOGIA DIGITAL E REPRES")</f>
        <v>DIGITEC TECNOLOGIA DIGITAL E REPRES</v>
      </c>
      <c r="E1279" s="21">
        <f>IFERROR(__xludf.DUMMYFUNCTION("""COMPUTED_VALUE"""),145359.0)</f>
        <v>145359</v>
      </c>
      <c r="F1279" s="21" t="str">
        <f>IFERROR(__xludf.DUMMYFUNCTION("""COMPUTED_VALUE"""),"TRANSITO REVERSA")</f>
        <v>TRANSITO REVERSA</v>
      </c>
      <c r="G1279" s="23">
        <f>IFERROR(__xludf.DUMMYFUNCTION("""COMPUTED_VALUE"""),45617.87142361111)</f>
        <v>45617.87142</v>
      </c>
      <c r="H1279" s="24" t="str">
        <f>IFERROR(VLOOKUP(B1279,material!A:D,3,0),"")</f>
        <v>CARD</v>
      </c>
    </row>
    <row r="1280" ht="11.25" customHeight="1">
      <c r="A1280" s="21" t="str">
        <f>IFERROR(__xludf.DUMMYFUNCTION("""COMPUTED_VALUE"""),"SMART CARD LARANJA NAGRA")</f>
        <v>SMART CARD LARANJA NAGRA</v>
      </c>
      <c r="B1280" s="22">
        <f>IFERROR(__xludf.DUMMYFUNCTION("""COMPUTED_VALUE"""),4.1001186E7)</f>
        <v>41001186</v>
      </c>
      <c r="C1280" s="21" t="str">
        <f>IFERROR(__xludf.DUMMYFUNCTION("""COMPUTED_VALUE"""),"225949013838")</f>
        <v>225949013838</v>
      </c>
      <c r="D1280" s="21" t="str">
        <f>IFERROR(__xludf.DUMMYFUNCTION("""COMPUTED_VALUE"""),"DIGITEC TECNOLOGIA DIGITAL E REPRES")</f>
        <v>DIGITEC TECNOLOGIA DIGITAL E REPRES</v>
      </c>
      <c r="E1280" s="21">
        <f>IFERROR(__xludf.DUMMYFUNCTION("""COMPUTED_VALUE"""),145359.0)</f>
        <v>145359</v>
      </c>
      <c r="F1280" s="21" t="str">
        <f>IFERROR(__xludf.DUMMYFUNCTION("""COMPUTED_VALUE"""),"TRANSITO REVERSA")</f>
        <v>TRANSITO REVERSA</v>
      </c>
      <c r="G1280" s="23">
        <f>IFERROR(__xludf.DUMMYFUNCTION("""COMPUTED_VALUE"""),45633.0033912037)</f>
        <v>45633.00339</v>
      </c>
      <c r="H1280" s="24" t="str">
        <f>IFERROR(VLOOKUP(B1280,material!A:D,3,0),"")</f>
        <v>CARD</v>
      </c>
    </row>
    <row r="1281" ht="11.25" customHeight="1">
      <c r="A1281" s="21" t="str">
        <f>IFERROR(__xludf.DUMMYFUNCTION("""COMPUTED_VALUE"""),"SMART CARD LARANJA NAGRA")</f>
        <v>SMART CARD LARANJA NAGRA</v>
      </c>
      <c r="B1281" s="22">
        <f>IFERROR(__xludf.DUMMYFUNCTION("""COMPUTED_VALUE"""),4.1001186E7)</f>
        <v>41001186</v>
      </c>
      <c r="C1281" s="21" t="str">
        <f>IFERROR(__xludf.DUMMYFUNCTION("""COMPUTED_VALUE"""),"225870467283")</f>
        <v>225870467283</v>
      </c>
      <c r="D1281" s="21" t="str">
        <f>IFERROR(__xludf.DUMMYFUNCTION("""COMPUTED_VALUE"""),"DIGITEC TECNOLOGIA DIGITAL E REPRES")</f>
        <v>DIGITEC TECNOLOGIA DIGITAL E REPRES</v>
      </c>
      <c r="E1281" s="21">
        <f>IFERROR(__xludf.DUMMYFUNCTION("""COMPUTED_VALUE"""),145359.0)</f>
        <v>145359</v>
      </c>
      <c r="F1281" s="21" t="str">
        <f>IFERROR(__xludf.DUMMYFUNCTION("""COMPUTED_VALUE"""),"TRANSITO REVERSA")</f>
        <v>TRANSITO REVERSA</v>
      </c>
      <c r="G1281" s="23">
        <f>IFERROR(__xludf.DUMMYFUNCTION("""COMPUTED_VALUE"""),45617.87138888889)</f>
        <v>45617.87139</v>
      </c>
      <c r="H1281" s="24" t="str">
        <f>IFERROR(VLOOKUP(B1281,material!A:D,3,0),"")</f>
        <v>CARD</v>
      </c>
    </row>
    <row r="1282" ht="11.25" customHeight="1">
      <c r="A1282" s="21" t="str">
        <f>IFERROR(__xludf.DUMMYFUNCTION("""COMPUTED_VALUE"""),"SMART CARD LARANJA NAGRA")</f>
        <v>SMART CARD LARANJA NAGRA</v>
      </c>
      <c r="B1282" s="22">
        <f>IFERROR(__xludf.DUMMYFUNCTION("""COMPUTED_VALUE"""),4.1001186E7)</f>
        <v>41001186</v>
      </c>
      <c r="C1282" s="21" t="str">
        <f>IFERROR(__xludf.DUMMYFUNCTION("""COMPUTED_VALUE"""),"225818673340")</f>
        <v>225818673340</v>
      </c>
      <c r="D1282" s="21" t="str">
        <f>IFERROR(__xludf.DUMMYFUNCTION("""COMPUTED_VALUE"""),"DIGITEC TECNOLOGIA DIGITAL E REPRES")</f>
        <v>DIGITEC TECNOLOGIA DIGITAL E REPRES</v>
      </c>
      <c r="E1282" s="21">
        <f>IFERROR(__xludf.DUMMYFUNCTION("""COMPUTED_VALUE"""),145359.0)</f>
        <v>145359</v>
      </c>
      <c r="F1282" s="21" t="str">
        <f>IFERROR(__xludf.DUMMYFUNCTION("""COMPUTED_VALUE"""),"TRANSITO REVERSA")</f>
        <v>TRANSITO REVERSA</v>
      </c>
      <c r="G1282" s="23">
        <f>IFERROR(__xludf.DUMMYFUNCTION("""COMPUTED_VALUE"""),45633.0033912037)</f>
        <v>45633.00339</v>
      </c>
      <c r="H1282" s="24" t="str">
        <f>IFERROR(VLOOKUP(B1282,material!A:D,3,0),"")</f>
        <v>CARD</v>
      </c>
    </row>
    <row r="1283" ht="11.25" customHeight="1">
      <c r="A1283" s="21" t="str">
        <f>IFERROR(__xludf.DUMMYFUNCTION("""COMPUTED_VALUE"""),"SMART CARD LARANJA NAGRA")</f>
        <v>SMART CARD LARANJA NAGRA</v>
      </c>
      <c r="B1283" s="22">
        <f>IFERROR(__xludf.DUMMYFUNCTION("""COMPUTED_VALUE"""),4.1001186E7)</f>
        <v>41001186</v>
      </c>
      <c r="C1283" s="21" t="str">
        <f>IFERROR(__xludf.DUMMYFUNCTION("""COMPUTED_VALUE"""),"225816476380")</f>
        <v>225816476380</v>
      </c>
      <c r="D1283" s="21" t="str">
        <f>IFERROR(__xludf.DUMMYFUNCTION("""COMPUTED_VALUE"""),"DIGITEC TECNOLOGIA DIGITAL E REPRES")</f>
        <v>DIGITEC TECNOLOGIA DIGITAL E REPRES</v>
      </c>
      <c r="E1283" s="21">
        <f>IFERROR(__xludf.DUMMYFUNCTION("""COMPUTED_VALUE"""),145359.0)</f>
        <v>145359</v>
      </c>
      <c r="F1283" s="21" t="str">
        <f>IFERROR(__xludf.DUMMYFUNCTION("""COMPUTED_VALUE"""),"TRANSITO REVERSA")</f>
        <v>TRANSITO REVERSA</v>
      </c>
      <c r="G1283" s="23">
        <f>IFERROR(__xludf.DUMMYFUNCTION("""COMPUTED_VALUE"""),45617.87180555555)</f>
        <v>45617.87181</v>
      </c>
      <c r="H1283" s="24" t="str">
        <f>IFERROR(VLOOKUP(B1283,material!A:D,3,0),"")</f>
        <v>CARD</v>
      </c>
    </row>
    <row r="1284" ht="11.25" customHeight="1">
      <c r="A1284" s="21" t="str">
        <f>IFERROR(__xludf.DUMMYFUNCTION("""COMPUTED_VALUE"""),"SMART CARD LARANJA NAGRA")</f>
        <v>SMART CARD LARANJA NAGRA</v>
      </c>
      <c r="B1284" s="22">
        <f>IFERROR(__xludf.DUMMYFUNCTION("""COMPUTED_VALUE"""),4.1001186E7)</f>
        <v>41001186</v>
      </c>
      <c r="C1284" s="21" t="str">
        <f>IFERROR(__xludf.DUMMYFUNCTION("""COMPUTED_VALUE"""),"225808092633")</f>
        <v>225808092633</v>
      </c>
      <c r="D1284" s="21" t="str">
        <f>IFERROR(__xludf.DUMMYFUNCTION("""COMPUTED_VALUE"""),"DIGITEC TECNOLOGIA DIGITAL E REPRES")</f>
        <v>DIGITEC TECNOLOGIA DIGITAL E REPRES</v>
      </c>
      <c r="E1284" s="21">
        <f>IFERROR(__xludf.DUMMYFUNCTION("""COMPUTED_VALUE"""),145359.0)</f>
        <v>145359</v>
      </c>
      <c r="F1284" s="21" t="str">
        <f>IFERROR(__xludf.DUMMYFUNCTION("""COMPUTED_VALUE"""),"TRANSITO REVERSA")</f>
        <v>TRANSITO REVERSA</v>
      </c>
      <c r="G1284" s="23">
        <f>IFERROR(__xludf.DUMMYFUNCTION("""COMPUTED_VALUE"""),45617.87137731482)</f>
        <v>45617.87138</v>
      </c>
      <c r="H1284" s="24" t="str">
        <f>IFERROR(VLOOKUP(B1284,material!A:D,3,0),"")</f>
        <v>CARD</v>
      </c>
    </row>
    <row r="1285" ht="11.25" customHeight="1">
      <c r="A1285" s="21" t="str">
        <f>IFERROR(__xludf.DUMMYFUNCTION("""COMPUTED_VALUE"""),"SMART CARD LARANJA NAGRA")</f>
        <v>SMART CARD LARANJA NAGRA</v>
      </c>
      <c r="B1285" s="22">
        <f>IFERROR(__xludf.DUMMYFUNCTION("""COMPUTED_VALUE"""),4.1001186E7)</f>
        <v>41001186</v>
      </c>
      <c r="C1285" s="21" t="str">
        <f>IFERROR(__xludf.DUMMYFUNCTION("""COMPUTED_VALUE"""),"225717558398")</f>
        <v>225717558398</v>
      </c>
      <c r="D1285" s="21" t="str">
        <f>IFERROR(__xludf.DUMMYFUNCTION("""COMPUTED_VALUE"""),"DIGITEC TECNOLOGIA DIGITAL E REPRES")</f>
        <v>DIGITEC TECNOLOGIA DIGITAL E REPRES</v>
      </c>
      <c r="E1285" s="21">
        <f>IFERROR(__xludf.DUMMYFUNCTION("""COMPUTED_VALUE"""),145359.0)</f>
        <v>145359</v>
      </c>
      <c r="F1285" s="21" t="str">
        <f>IFERROR(__xludf.DUMMYFUNCTION("""COMPUTED_VALUE"""),"TRANSITO REVERSA")</f>
        <v>TRANSITO REVERSA</v>
      </c>
      <c r="G1285" s="23">
        <f>IFERROR(__xludf.DUMMYFUNCTION("""COMPUTED_VALUE"""),45633.003379629634)</f>
        <v>45633.00338</v>
      </c>
      <c r="H1285" s="24" t="str">
        <f>IFERROR(VLOOKUP(B1285,material!A:D,3,0),"")</f>
        <v>CARD</v>
      </c>
    </row>
    <row r="1286" ht="11.25" customHeight="1">
      <c r="A1286" s="21" t="str">
        <f>IFERROR(__xludf.DUMMYFUNCTION("""COMPUTED_VALUE"""),"SMART CARD LARANJA NAGRA")</f>
        <v>SMART CARD LARANJA NAGRA</v>
      </c>
      <c r="B1286" s="22">
        <f>IFERROR(__xludf.DUMMYFUNCTION("""COMPUTED_VALUE"""),4.1001186E7)</f>
        <v>41001186</v>
      </c>
      <c r="C1286" s="21" t="str">
        <f>IFERROR(__xludf.DUMMYFUNCTION("""COMPUTED_VALUE"""),"226754147487")</f>
        <v>226754147487</v>
      </c>
      <c r="D1286" s="21" t="str">
        <f>IFERROR(__xludf.DUMMYFUNCTION("""COMPUTED_VALUE"""),"DIGITEC TECNOLOGIA DIGITAL E REPRES")</f>
        <v>DIGITEC TECNOLOGIA DIGITAL E REPRES</v>
      </c>
      <c r="E1286" s="21">
        <f>IFERROR(__xludf.DUMMYFUNCTION("""COMPUTED_VALUE"""),145359.0)</f>
        <v>145359</v>
      </c>
      <c r="F1286" s="21" t="str">
        <f>IFERROR(__xludf.DUMMYFUNCTION("""COMPUTED_VALUE"""),"TRANSITO REVERSA")</f>
        <v>TRANSITO REVERSA</v>
      </c>
      <c r="G1286" s="23">
        <f>IFERROR(__xludf.DUMMYFUNCTION("""COMPUTED_VALUE"""),45617.87142361111)</f>
        <v>45617.87142</v>
      </c>
      <c r="H1286" s="24" t="str">
        <f>IFERROR(VLOOKUP(B1286,material!A:D,3,0),"")</f>
        <v>CARD</v>
      </c>
    </row>
    <row r="1287" ht="11.25" customHeight="1">
      <c r="A1287" s="21" t="str">
        <f>IFERROR(__xludf.DUMMYFUNCTION("""COMPUTED_VALUE"""),"SMART CARD LARANJA NAGRA")</f>
        <v>SMART CARD LARANJA NAGRA</v>
      </c>
      <c r="B1287" s="22">
        <f>IFERROR(__xludf.DUMMYFUNCTION("""COMPUTED_VALUE"""),4.1001186E7)</f>
        <v>41001186</v>
      </c>
      <c r="C1287" s="21" t="str">
        <f>IFERROR(__xludf.DUMMYFUNCTION("""COMPUTED_VALUE"""),"215770139595")</f>
        <v>215770139595</v>
      </c>
      <c r="D1287" s="21" t="str">
        <f>IFERROR(__xludf.DUMMYFUNCTION("""COMPUTED_VALUE"""),"DIGITEC TECNOLOGIA DIGITAL E REPRES")</f>
        <v>DIGITEC TECNOLOGIA DIGITAL E REPRES</v>
      </c>
      <c r="E1287" s="21">
        <f>IFERROR(__xludf.DUMMYFUNCTION("""COMPUTED_VALUE"""),145359.0)</f>
        <v>145359</v>
      </c>
      <c r="F1287" s="21" t="str">
        <f>IFERROR(__xludf.DUMMYFUNCTION("""COMPUTED_VALUE"""),"TRANSITO REVERSA")</f>
        <v>TRANSITO REVERSA</v>
      </c>
      <c r="G1287" s="23">
        <f>IFERROR(__xludf.DUMMYFUNCTION("""COMPUTED_VALUE"""),45638.520636574074)</f>
        <v>45638.52064</v>
      </c>
      <c r="H1287" s="24" t="str">
        <f>IFERROR(VLOOKUP(B1287,material!A:D,3,0),"")</f>
        <v>CARD</v>
      </c>
    </row>
    <row r="1288" ht="11.25" customHeight="1">
      <c r="A1288" s="21" t="str">
        <f>IFERROR(__xludf.DUMMYFUNCTION("""COMPUTED_VALUE"""),"SMART CARD LARANJA NAGRA")</f>
        <v>SMART CARD LARANJA NAGRA</v>
      </c>
      <c r="B1288" s="22">
        <f>IFERROR(__xludf.DUMMYFUNCTION("""COMPUTED_VALUE"""),4.1001186E7)</f>
        <v>41001186</v>
      </c>
      <c r="C1288" s="21" t="str">
        <f>IFERROR(__xludf.DUMMYFUNCTION("""COMPUTED_VALUE"""),"215732415050")</f>
        <v>215732415050</v>
      </c>
      <c r="D1288" s="21" t="str">
        <f>IFERROR(__xludf.DUMMYFUNCTION("""COMPUTED_VALUE"""),"DIGITEC TECNOLOGIA DIGITAL E REPRES")</f>
        <v>DIGITEC TECNOLOGIA DIGITAL E REPRES</v>
      </c>
      <c r="E1288" s="21">
        <f>IFERROR(__xludf.DUMMYFUNCTION("""COMPUTED_VALUE"""),145359.0)</f>
        <v>145359</v>
      </c>
      <c r="F1288" s="21" t="str">
        <f>IFERROR(__xludf.DUMMYFUNCTION("""COMPUTED_VALUE"""),"TRANSITO REVERSA")</f>
        <v>TRANSITO REVERSA</v>
      </c>
      <c r="G1288" s="23">
        <f>IFERROR(__xludf.DUMMYFUNCTION("""COMPUTED_VALUE"""),45617.87140046296)</f>
        <v>45617.8714</v>
      </c>
      <c r="H1288" s="24" t="str">
        <f>IFERROR(VLOOKUP(B1288,material!A:D,3,0),"")</f>
        <v>CARD</v>
      </c>
    </row>
    <row r="1289" ht="11.25" customHeight="1">
      <c r="A1289" s="21" t="str">
        <f>IFERROR(__xludf.DUMMYFUNCTION("""COMPUTED_VALUE"""),"SMART CARD LARANJA NAGRA")</f>
        <v>SMART CARD LARANJA NAGRA</v>
      </c>
      <c r="B1289" s="22">
        <f>IFERROR(__xludf.DUMMYFUNCTION("""COMPUTED_VALUE"""),4.1001186E7)</f>
        <v>41001186</v>
      </c>
      <c r="C1289" s="21" t="str">
        <f>IFERROR(__xludf.DUMMYFUNCTION("""COMPUTED_VALUE"""),"215569128586")</f>
        <v>215569128586</v>
      </c>
      <c r="D1289" s="21" t="str">
        <f>IFERROR(__xludf.DUMMYFUNCTION("""COMPUTED_VALUE"""),"DIGITEC TECNOLOGIA DIGITAL E REPRES")</f>
        <v>DIGITEC TECNOLOGIA DIGITAL E REPRES</v>
      </c>
      <c r="E1289" s="21">
        <f>IFERROR(__xludf.DUMMYFUNCTION("""COMPUTED_VALUE"""),145359.0)</f>
        <v>145359</v>
      </c>
      <c r="F1289" s="21" t="str">
        <f>IFERROR(__xludf.DUMMYFUNCTION("""COMPUTED_VALUE"""),"TRANSITO REVERSA")</f>
        <v>TRANSITO REVERSA</v>
      </c>
      <c r="G1289" s="23">
        <f>IFERROR(__xludf.DUMMYFUNCTION("""COMPUTED_VALUE"""),45633.00398148148)</f>
        <v>45633.00398</v>
      </c>
      <c r="H1289" s="24" t="str">
        <f>IFERROR(VLOOKUP(B1289,material!A:D,3,0),"")</f>
        <v>CARD</v>
      </c>
    </row>
    <row r="1290" ht="11.25" customHeight="1">
      <c r="A1290" s="21" t="str">
        <f>IFERROR(__xludf.DUMMYFUNCTION("""COMPUTED_VALUE"""),"SMART CARD LARANJA NAGRA")</f>
        <v>SMART CARD LARANJA NAGRA</v>
      </c>
      <c r="B1290" s="22">
        <f>IFERROR(__xludf.DUMMYFUNCTION("""COMPUTED_VALUE"""),4.1001186E7)</f>
        <v>41001186</v>
      </c>
      <c r="C1290" s="21" t="str">
        <f>IFERROR(__xludf.DUMMYFUNCTION("""COMPUTED_VALUE"""),"215679683552")</f>
        <v>215679683552</v>
      </c>
      <c r="D1290" s="21" t="str">
        <f>IFERROR(__xludf.DUMMYFUNCTION("""COMPUTED_VALUE"""),"DIGITEC TECNOLOGIA DIGITAL E REPRES")</f>
        <v>DIGITEC TECNOLOGIA DIGITAL E REPRES</v>
      </c>
      <c r="E1290" s="21">
        <f>IFERROR(__xludf.DUMMYFUNCTION("""COMPUTED_VALUE"""),145359.0)</f>
        <v>145359</v>
      </c>
      <c r="F1290" s="21" t="str">
        <f>IFERROR(__xludf.DUMMYFUNCTION("""COMPUTED_VALUE"""),"TRANSITO REVERSA")</f>
        <v>TRANSITO REVERSA</v>
      </c>
      <c r="G1290" s="23">
        <f>IFERROR(__xludf.DUMMYFUNCTION("""COMPUTED_VALUE"""),45617.87138888889)</f>
        <v>45617.87139</v>
      </c>
      <c r="H1290" s="24" t="str">
        <f>IFERROR(VLOOKUP(B1290,material!A:D,3,0),"")</f>
        <v>CARD</v>
      </c>
    </row>
    <row r="1291" ht="11.25" customHeight="1">
      <c r="A1291" s="21" t="str">
        <f>IFERROR(__xludf.DUMMYFUNCTION("""COMPUTED_VALUE"""),"NAGRA KIT")</f>
        <v>NAGRA KIT</v>
      </c>
      <c r="B1291" s="22">
        <f>IFERROR(__xludf.DUMMYFUNCTION("""COMPUTED_VALUE"""),4.1001186E7)</f>
        <v>41001186</v>
      </c>
      <c r="C1291" s="21" t="str">
        <f>IFERROR(__xludf.DUMMYFUNCTION("""COMPUTED_VALUE"""),"215468402932")</f>
        <v>215468402932</v>
      </c>
      <c r="D1291" s="21" t="str">
        <f>IFERROR(__xludf.DUMMYFUNCTION("""COMPUTED_VALUE"""),"DIGITEC TECNOLOGIA DIGITAL E REPRES")</f>
        <v>DIGITEC TECNOLOGIA DIGITAL E REPRES</v>
      </c>
      <c r="E1291" s="21">
        <f>IFERROR(__xludf.DUMMYFUNCTION("""COMPUTED_VALUE"""),145359.0)</f>
        <v>145359</v>
      </c>
      <c r="F1291" s="21" t="str">
        <f>IFERROR(__xludf.DUMMYFUNCTION("""COMPUTED_VALUE"""),"TRANSITO REVERSA")</f>
        <v>TRANSITO REVERSA</v>
      </c>
      <c r="G1291" s="23">
        <f>IFERROR(__xludf.DUMMYFUNCTION("""COMPUTED_VALUE"""),45633.00398148148)</f>
        <v>45633.00398</v>
      </c>
      <c r="H1291" s="24" t="str">
        <f>IFERROR(VLOOKUP(B1291,material!A:D,3,0),"")</f>
        <v>CARD</v>
      </c>
    </row>
    <row r="1292" ht="11.25" customHeight="1">
      <c r="A1292" s="21" t="str">
        <f>IFERROR(__xludf.DUMMYFUNCTION("""COMPUTED_VALUE"""),"NAGRA KIT")</f>
        <v>NAGRA KIT</v>
      </c>
      <c r="B1292" s="22">
        <f>IFERROR(__xludf.DUMMYFUNCTION("""COMPUTED_VALUE"""),4.1001186E7)</f>
        <v>41001186</v>
      </c>
      <c r="C1292" s="21" t="str">
        <f>IFERROR(__xludf.DUMMYFUNCTION("""COMPUTED_VALUE"""),"215554937078")</f>
        <v>215554937078</v>
      </c>
      <c r="D1292" s="21" t="str">
        <f>IFERROR(__xludf.DUMMYFUNCTION("""COMPUTED_VALUE"""),"DIGITEC TECNOLOGIA DIGITAL E REPRES")</f>
        <v>DIGITEC TECNOLOGIA DIGITAL E REPRES</v>
      </c>
      <c r="E1292" s="21">
        <f>IFERROR(__xludf.DUMMYFUNCTION("""COMPUTED_VALUE"""),145359.0)</f>
        <v>145359</v>
      </c>
      <c r="F1292" s="21" t="str">
        <f>IFERROR(__xludf.DUMMYFUNCTION("""COMPUTED_VALUE"""),"TRANSITO REVERSA")</f>
        <v>TRANSITO REVERSA</v>
      </c>
      <c r="G1292" s="23">
        <f>IFERROR(__xludf.DUMMYFUNCTION("""COMPUTED_VALUE"""),45633.003379629634)</f>
        <v>45633.00338</v>
      </c>
      <c r="H1292" s="24" t="str">
        <f>IFERROR(VLOOKUP(B1292,material!A:D,3,0),"")</f>
        <v>CARD</v>
      </c>
    </row>
    <row r="1293" ht="11.25" customHeight="1">
      <c r="A1293" s="21" t="str">
        <f>IFERROR(__xludf.DUMMYFUNCTION("""COMPUTED_VALUE"""),"SMART CARD LARANJA NAGRA")</f>
        <v>SMART CARD LARANJA NAGRA</v>
      </c>
      <c r="B1293" s="22">
        <f>IFERROR(__xludf.DUMMYFUNCTION("""COMPUTED_VALUE"""),4.1001186E7)</f>
        <v>41001186</v>
      </c>
      <c r="C1293" s="21" t="str">
        <f>IFERROR(__xludf.DUMMYFUNCTION("""COMPUTED_VALUE"""),"215931353658")</f>
        <v>215931353658</v>
      </c>
      <c r="D1293" s="21" t="str">
        <f>IFERROR(__xludf.DUMMYFUNCTION("""COMPUTED_VALUE"""),"DIGITEC TECNOLOGIA DIGITAL E REPRES")</f>
        <v>DIGITEC TECNOLOGIA DIGITAL E REPRES</v>
      </c>
      <c r="E1293" s="21">
        <f>IFERROR(__xludf.DUMMYFUNCTION("""COMPUTED_VALUE"""),145359.0)</f>
        <v>145359</v>
      </c>
      <c r="F1293" s="21" t="str">
        <f>IFERROR(__xludf.DUMMYFUNCTION("""COMPUTED_VALUE"""),"PERDA")</f>
        <v>PERDA</v>
      </c>
      <c r="G1293" s="23">
        <f>IFERROR(__xludf.DUMMYFUNCTION("""COMPUTED_VALUE"""),45203.317141203705)</f>
        <v>45203.31714</v>
      </c>
      <c r="H1293" s="24" t="str">
        <f>IFERROR(VLOOKUP(B1293,material!A:D,3,0),"")</f>
        <v>CARD</v>
      </c>
    </row>
    <row r="1294" ht="11.25" customHeight="1">
      <c r="A1294" s="21" t="str">
        <f>IFERROR(__xludf.DUMMYFUNCTION("""COMPUTED_VALUE"""),"DECODER DIGITAL HD HNB100 2T")</f>
        <v>DECODER DIGITAL HD HNB100 2T</v>
      </c>
      <c r="B1294" s="22">
        <f>IFERROR(__xludf.DUMMYFUNCTION("""COMPUTED_VALUE"""),4.1001276E7)</f>
        <v>41001276</v>
      </c>
      <c r="C1294" s="21" t="str">
        <f>IFERROR(__xludf.DUMMYFUNCTION("""COMPUTED_VALUE"""),"216877255467")</f>
        <v>216877255467</v>
      </c>
      <c r="D1294" s="21" t="str">
        <f>IFERROR(__xludf.DUMMYFUNCTION("""COMPUTED_VALUE"""),"DIGITEC TECNOLOGIA DIGITAL E REPRES")</f>
        <v>DIGITEC TECNOLOGIA DIGITAL E REPRES</v>
      </c>
      <c r="E1294" s="21">
        <f>IFERROR(__xludf.DUMMYFUNCTION("""COMPUTED_VALUE"""),145359.0)</f>
        <v>145359</v>
      </c>
      <c r="F1294" s="21" t="str">
        <f>IFERROR(__xludf.DUMMYFUNCTION("""COMPUTED_VALUE"""),"SUSPEITO")</f>
        <v>SUSPEITO</v>
      </c>
      <c r="G1294" s="23">
        <f>IFERROR(__xludf.DUMMYFUNCTION("""COMPUTED_VALUE"""),45643.65069444444)</f>
        <v>45643.65069</v>
      </c>
      <c r="H1294" s="24" t="str">
        <f>IFERROR(VLOOKUP(B1294,material!A:D,3,0),"")</f>
        <v>TOP MIX</v>
      </c>
    </row>
    <row r="1295" ht="11.25" customHeight="1">
      <c r="A1295" s="21" t="str">
        <f>IFERROR(__xludf.DUMMYFUNCTION("""COMPUTED_VALUE"""),"EMTA 3.0 HG100R-L2 HUMAX")</f>
        <v>EMTA 3.0 HG100R-L2 HUMAX</v>
      </c>
      <c r="B1295" s="22">
        <f>IFERROR(__xludf.DUMMYFUNCTION("""COMPUTED_VALUE"""),4.1001286E7)</f>
        <v>41001286</v>
      </c>
      <c r="C1295" s="21" t="str">
        <f>IFERROR(__xludf.DUMMYFUNCTION("""COMPUTED_VALUE"""),"2832C544D75D")</f>
        <v>2832C544D75D</v>
      </c>
      <c r="D1295" s="21" t="str">
        <f>IFERROR(__xludf.DUMMYFUNCTION("""COMPUTED_VALUE"""),"DIGITEC TECNOLOGIA DIGITAL E REPRES")</f>
        <v>DIGITEC TECNOLOGIA DIGITAL E REPRES</v>
      </c>
      <c r="E1295" s="21">
        <f>IFERROR(__xludf.DUMMYFUNCTION("""COMPUTED_VALUE"""),145359.0)</f>
        <v>145359</v>
      </c>
      <c r="F1295" s="21" t="str">
        <f>IFERROR(__xludf.DUMMYFUNCTION("""COMPUTED_VALUE"""),"SUSPEITO")</f>
        <v>SUSPEITO</v>
      </c>
      <c r="G1295" s="23">
        <f>IFERROR(__xludf.DUMMYFUNCTION("""COMPUTED_VALUE"""),45632.51881944445)</f>
        <v>45632.51882</v>
      </c>
      <c r="H1295" s="24" t="str">
        <f>IFERROR(VLOOKUP(B1295,material!A:D,3,0),"")</f>
        <v>SINGLE</v>
      </c>
    </row>
    <row r="1296" ht="11.25" customHeight="1">
      <c r="A1296" s="21" t="str">
        <f>IFERROR(__xludf.DUMMYFUNCTION("""COMPUTED_VALUE"""),"SMART CARD PRETO NAGRA")</f>
        <v>SMART CARD PRETO NAGRA</v>
      </c>
      <c r="B1296" s="22">
        <f>IFERROR(__xludf.DUMMYFUNCTION("""COMPUTED_VALUE"""),4.1001234E7)</f>
        <v>41001234</v>
      </c>
      <c r="C1296" s="21" t="str">
        <f>IFERROR(__xludf.DUMMYFUNCTION("""COMPUTED_VALUE"""),"226342945471")</f>
        <v>226342945471</v>
      </c>
      <c r="D1296" s="21" t="str">
        <f>IFERROR(__xludf.DUMMYFUNCTION("""COMPUTED_VALUE"""),"DIGITEC TECNOLOGIA DIGITAL E REPRES")</f>
        <v>DIGITEC TECNOLOGIA DIGITAL E REPRES</v>
      </c>
      <c r="E1296" s="21">
        <f>IFERROR(__xludf.DUMMYFUNCTION("""COMPUTED_VALUE"""),145359.0)</f>
        <v>145359</v>
      </c>
      <c r="F1296" s="21" t="str">
        <f>IFERROR(__xludf.DUMMYFUNCTION("""COMPUTED_VALUE"""),"SUSPEITO")</f>
        <v>SUSPEITO</v>
      </c>
      <c r="G1296" s="23">
        <f>IFERROR(__xludf.DUMMYFUNCTION("""COMPUTED_VALUE"""),45637.74222222222)</f>
        <v>45637.74222</v>
      </c>
      <c r="H1296" s="24" t="str">
        <f>IFERROR(VLOOKUP(B1296,material!A:D,3,0),"")</f>
        <v>CARD</v>
      </c>
    </row>
    <row r="1297" ht="11.25" customHeight="1">
      <c r="A1297" s="21" t="str">
        <f>IFERROR(__xludf.DUMMYFUNCTION("""COMPUTED_VALUE"""),"SMART CARD PRETO NAGRA")</f>
        <v>SMART CARD PRETO NAGRA</v>
      </c>
      <c r="B1297" s="22">
        <f>IFERROR(__xludf.DUMMYFUNCTION("""COMPUTED_VALUE"""),4.1001234E7)</f>
        <v>41001234</v>
      </c>
      <c r="C1297" s="21" t="str">
        <f>IFERROR(__xludf.DUMMYFUNCTION("""COMPUTED_VALUE"""),"246124210915")</f>
        <v>246124210915</v>
      </c>
      <c r="D1297" s="21" t="str">
        <f>IFERROR(__xludf.DUMMYFUNCTION("""COMPUTED_VALUE"""),"DIGITEC TECNOLOGIA DIGITAL E REPRES")</f>
        <v>DIGITEC TECNOLOGIA DIGITAL E REPRES</v>
      </c>
      <c r="E1297" s="21">
        <f>IFERROR(__xludf.DUMMYFUNCTION("""COMPUTED_VALUE"""),145359.0)</f>
        <v>145359</v>
      </c>
      <c r="F1297" s="21" t="str">
        <f>IFERROR(__xludf.DUMMYFUNCTION("""COMPUTED_VALUE"""),"SUSPEITO")</f>
        <v>SUSPEITO</v>
      </c>
      <c r="G1297" s="23">
        <f>IFERROR(__xludf.DUMMYFUNCTION("""COMPUTED_VALUE"""),45640.60849537037)</f>
        <v>45640.6085</v>
      </c>
      <c r="H1297" s="24" t="str">
        <f>IFERROR(VLOOKUP(B1297,material!A:D,3,0),"")</f>
        <v>CARD</v>
      </c>
    </row>
    <row r="1298" ht="11.25" customHeight="1">
      <c r="A1298" s="21" t="str">
        <f>IFERROR(__xludf.DUMMYFUNCTION("""COMPUTED_VALUE"""),"SMART CARD PRETO NAGRA")</f>
        <v>SMART CARD PRETO NAGRA</v>
      </c>
      <c r="B1298" s="22">
        <f>IFERROR(__xludf.DUMMYFUNCTION("""COMPUTED_VALUE"""),4.1001234E7)</f>
        <v>41001234</v>
      </c>
      <c r="C1298" s="21" t="str">
        <f>IFERROR(__xludf.DUMMYFUNCTION("""COMPUTED_VALUE"""),"246050976685")</f>
        <v>246050976685</v>
      </c>
      <c r="D1298" s="21" t="str">
        <f>IFERROR(__xludf.DUMMYFUNCTION("""COMPUTED_VALUE"""),"DIGITEC TECNOLOGIA DIGITAL E REPRES")</f>
        <v>DIGITEC TECNOLOGIA DIGITAL E REPRES</v>
      </c>
      <c r="E1298" s="21">
        <f>IFERROR(__xludf.DUMMYFUNCTION("""COMPUTED_VALUE"""),145359.0)</f>
        <v>145359</v>
      </c>
      <c r="F1298" s="21" t="str">
        <f>IFERROR(__xludf.DUMMYFUNCTION("""COMPUTED_VALUE"""),"SUSPEITO")</f>
        <v>SUSPEITO</v>
      </c>
      <c r="G1298" s="23">
        <f>IFERROR(__xludf.DUMMYFUNCTION("""COMPUTED_VALUE"""),45637.36615740741)</f>
        <v>45637.36616</v>
      </c>
      <c r="H1298" s="24" t="str">
        <f>IFERROR(VLOOKUP(B1298,material!A:D,3,0),"")</f>
        <v>CARD</v>
      </c>
    </row>
    <row r="1299" ht="11.25" customHeight="1">
      <c r="A1299" s="21" t="str">
        <f>IFERROR(__xludf.DUMMYFUNCTION("""COMPUTED_VALUE"""),"SMART CARD LARANJA NAGRA")</f>
        <v>SMART CARD LARANJA NAGRA</v>
      </c>
      <c r="B1299" s="22">
        <f>IFERROR(__xludf.DUMMYFUNCTION("""COMPUTED_VALUE"""),4.1001186E7)</f>
        <v>41001186</v>
      </c>
      <c r="C1299" s="21" t="str">
        <f>IFERROR(__xludf.DUMMYFUNCTION("""COMPUTED_VALUE"""),"225911594855")</f>
        <v>225911594855</v>
      </c>
      <c r="D1299" s="21" t="str">
        <f>IFERROR(__xludf.DUMMYFUNCTION("""COMPUTED_VALUE"""),"DIGITEC TECNOLOGIA DIGITAL E REPRES")</f>
        <v>DIGITEC TECNOLOGIA DIGITAL E REPRES</v>
      </c>
      <c r="E1299" s="21">
        <f>IFERROR(__xludf.DUMMYFUNCTION("""COMPUTED_VALUE"""),145359.0)</f>
        <v>145359</v>
      </c>
      <c r="F1299" s="21" t="str">
        <f>IFERROR(__xludf.DUMMYFUNCTION("""COMPUTED_VALUE"""),"SUSPEITO")</f>
        <v>SUSPEITO</v>
      </c>
      <c r="G1299" s="23">
        <f>IFERROR(__xludf.DUMMYFUNCTION("""COMPUTED_VALUE"""),45623.56318287037)</f>
        <v>45623.56318</v>
      </c>
      <c r="H1299" s="24" t="str">
        <f>IFERROR(VLOOKUP(B1299,material!A:D,3,0),"")</f>
        <v>CARD</v>
      </c>
    </row>
    <row r="1300" ht="11.25" customHeight="1">
      <c r="A1300" s="21" t="str">
        <f>IFERROR(__xludf.DUMMYFUNCTION("""COMPUTED_VALUE"""),"SMART CARD LARANJA NAGRA")</f>
        <v>SMART CARD LARANJA NAGRA</v>
      </c>
      <c r="B1300" s="22">
        <f>IFERROR(__xludf.DUMMYFUNCTION("""COMPUTED_VALUE"""),4.1001186E7)</f>
        <v>41001186</v>
      </c>
      <c r="C1300" s="21" t="str">
        <f>IFERROR(__xludf.DUMMYFUNCTION("""COMPUTED_VALUE"""),"225988205867")</f>
        <v>225988205867</v>
      </c>
      <c r="D1300" s="21" t="str">
        <f>IFERROR(__xludf.DUMMYFUNCTION("""COMPUTED_VALUE"""),"DIGITEC TECNOLOGIA DIGITAL E REPRES")</f>
        <v>DIGITEC TECNOLOGIA DIGITAL E REPRES</v>
      </c>
      <c r="E1300" s="21">
        <f>IFERROR(__xludf.DUMMYFUNCTION("""COMPUTED_VALUE"""),145359.0)</f>
        <v>145359</v>
      </c>
      <c r="F1300" s="21" t="str">
        <f>IFERROR(__xludf.DUMMYFUNCTION("""COMPUTED_VALUE"""),"SUSPEITO")</f>
        <v>SUSPEITO</v>
      </c>
      <c r="G1300" s="23">
        <f>IFERROR(__xludf.DUMMYFUNCTION("""COMPUTED_VALUE"""),45623.56422453704)</f>
        <v>45623.56422</v>
      </c>
      <c r="H1300" s="24" t="str">
        <f>IFERROR(VLOOKUP(B1300,material!A:D,3,0),"")</f>
        <v>CARD</v>
      </c>
    </row>
    <row r="1301" ht="11.25" customHeight="1">
      <c r="A1301" s="21" t="str">
        <f>IFERROR(__xludf.DUMMYFUNCTION("""COMPUTED_VALUE"""),"SMART CARD LARANJA NAGRA")</f>
        <v>SMART CARD LARANJA NAGRA</v>
      </c>
      <c r="B1301" s="22">
        <f>IFERROR(__xludf.DUMMYFUNCTION("""COMPUTED_VALUE"""),4.1001186E7)</f>
        <v>41001186</v>
      </c>
      <c r="C1301" s="21" t="str">
        <f>IFERROR(__xludf.DUMMYFUNCTION("""COMPUTED_VALUE"""),"225788522429")</f>
        <v>225788522429</v>
      </c>
      <c r="D1301" s="21" t="str">
        <f>IFERROR(__xludf.DUMMYFUNCTION("""COMPUTED_VALUE"""),"DIGITEC TECNOLOGIA DIGITAL E REPRES")</f>
        <v>DIGITEC TECNOLOGIA DIGITAL E REPRES</v>
      </c>
      <c r="E1301" s="21">
        <f>IFERROR(__xludf.DUMMYFUNCTION("""COMPUTED_VALUE"""),145359.0)</f>
        <v>145359</v>
      </c>
      <c r="F1301" s="21" t="str">
        <f>IFERROR(__xludf.DUMMYFUNCTION("""COMPUTED_VALUE"""),"SUSPEITO")</f>
        <v>SUSPEITO</v>
      </c>
      <c r="G1301" s="23">
        <f>IFERROR(__xludf.DUMMYFUNCTION("""COMPUTED_VALUE"""),45638.628645833334)</f>
        <v>45638.62865</v>
      </c>
      <c r="H1301" s="24" t="str">
        <f>IFERROR(VLOOKUP(B1301,material!A:D,3,0),"")</f>
        <v>CARD</v>
      </c>
    </row>
    <row r="1302" ht="11.25" customHeight="1">
      <c r="A1302" s="21" t="str">
        <f>IFERROR(__xludf.DUMMYFUNCTION("""COMPUTED_VALUE"""),"SMART CARD LARANJA NAGRA")</f>
        <v>SMART CARD LARANJA NAGRA</v>
      </c>
      <c r="B1302" s="22">
        <f>IFERROR(__xludf.DUMMYFUNCTION("""COMPUTED_VALUE"""),4.1001186E7)</f>
        <v>41001186</v>
      </c>
      <c r="C1302" s="21" t="str">
        <f>IFERROR(__xludf.DUMMYFUNCTION("""COMPUTED_VALUE"""),"215686616484")</f>
        <v>215686616484</v>
      </c>
      <c r="D1302" s="21" t="str">
        <f>IFERROR(__xludf.DUMMYFUNCTION("""COMPUTED_VALUE"""),"DIGITEC TECNOLOGIA DIGITAL E REPRES")</f>
        <v>DIGITEC TECNOLOGIA DIGITAL E REPRES</v>
      </c>
      <c r="E1302" s="21">
        <f>IFERROR(__xludf.DUMMYFUNCTION("""COMPUTED_VALUE"""),145359.0)</f>
        <v>145359</v>
      </c>
      <c r="F1302" s="21" t="str">
        <f>IFERROR(__xludf.DUMMYFUNCTION("""COMPUTED_VALUE"""),"SUSPEITO")</f>
        <v>SUSPEITO</v>
      </c>
      <c r="G1302" s="23">
        <f>IFERROR(__xludf.DUMMYFUNCTION("""COMPUTED_VALUE"""),45638.42325231481)</f>
        <v>45638.42325</v>
      </c>
      <c r="H1302" s="24" t="str">
        <f>IFERROR(VLOOKUP(B1302,material!A:D,3,0),"")</f>
        <v>CARD</v>
      </c>
    </row>
    <row r="1303" ht="11.25" customHeight="1">
      <c r="A1303" s="21" t="str">
        <f>IFERROR(__xludf.DUMMYFUNCTION("""COMPUTED_VALUE"""),"SMART CARD PRETO NAGRA")</f>
        <v>SMART CARD PRETO NAGRA</v>
      </c>
      <c r="B1303" s="22">
        <f>IFERROR(__xludf.DUMMYFUNCTION("""COMPUTED_VALUE"""),4.1001234E7)</f>
        <v>41001234</v>
      </c>
      <c r="C1303" s="21" t="str">
        <f>IFERROR(__xludf.DUMMYFUNCTION("""COMPUTED_VALUE"""),"226003951636")</f>
        <v>226003951636</v>
      </c>
      <c r="D1303" s="21" t="str">
        <f>IFERROR(__xludf.DUMMYFUNCTION("""COMPUTED_VALUE"""),"DIGITEC TECNOLOGIA DIGITAL E REPRES")</f>
        <v>DIGITEC TECNOLOGIA DIGITAL E REPRES</v>
      </c>
      <c r="E1303" s="21">
        <f>IFERROR(__xludf.DUMMYFUNCTION("""COMPUTED_VALUE"""),145359.0)</f>
        <v>145359</v>
      </c>
      <c r="F1303" s="21" t="str">
        <f>IFERROR(__xludf.DUMMYFUNCTION("""COMPUTED_VALUE"""),"COM DEFEITO")</f>
        <v>COM DEFEITO</v>
      </c>
      <c r="G1303" s="23">
        <f>IFERROR(__xludf.DUMMYFUNCTION("""COMPUTED_VALUE"""),45617.71434027777)</f>
        <v>45617.71434</v>
      </c>
      <c r="H1303" s="24" t="str">
        <f>IFERROR(VLOOKUP(B1303,material!A:D,3,0),"")</f>
        <v>CARD</v>
      </c>
    </row>
    <row r="1304" ht="11.25" customHeight="1">
      <c r="A1304" s="21" t="str">
        <f>IFERROR(__xludf.DUMMYFUNCTION("""COMPUTED_VALUE"""),"SMART CARD PRETO NAGRA")</f>
        <v>SMART CARD PRETO NAGRA</v>
      </c>
      <c r="B1304" s="22">
        <f>IFERROR(__xludf.DUMMYFUNCTION("""COMPUTED_VALUE"""),4.1001234E7)</f>
        <v>41001234</v>
      </c>
      <c r="C1304" s="21" t="str">
        <f>IFERROR(__xludf.DUMMYFUNCTION("""COMPUTED_VALUE"""),"226123439200")</f>
        <v>226123439200</v>
      </c>
      <c r="D1304" s="21" t="str">
        <f>IFERROR(__xludf.DUMMYFUNCTION("""COMPUTED_VALUE"""),"DIGITEC TECNOLOGIA DIGITAL E REPRES")</f>
        <v>DIGITEC TECNOLOGIA DIGITAL E REPRES</v>
      </c>
      <c r="E1304" s="21">
        <f>IFERROR(__xludf.DUMMYFUNCTION("""COMPUTED_VALUE"""),145359.0)</f>
        <v>145359</v>
      </c>
      <c r="F1304" s="21" t="str">
        <f>IFERROR(__xludf.DUMMYFUNCTION("""COMPUTED_VALUE"""),"COM DEFEITO")</f>
        <v>COM DEFEITO</v>
      </c>
      <c r="G1304" s="23">
        <f>IFERROR(__xludf.DUMMYFUNCTION("""COMPUTED_VALUE"""),45617.71435185186)</f>
        <v>45617.71435</v>
      </c>
      <c r="H1304" s="24" t="str">
        <f>IFERROR(VLOOKUP(B1304,material!A:D,3,0),"")</f>
        <v>CARD</v>
      </c>
    </row>
    <row r="1305" ht="11.25" customHeight="1">
      <c r="A1305" s="21" t="str">
        <f>IFERROR(__xludf.DUMMYFUNCTION("""COMPUTED_VALUE"""),"SMART CARD PRETO NAGRA")</f>
        <v>SMART CARD PRETO NAGRA</v>
      </c>
      <c r="B1305" s="22">
        <f>IFERROR(__xludf.DUMMYFUNCTION("""COMPUTED_VALUE"""),4.1001234E7)</f>
        <v>41001234</v>
      </c>
      <c r="C1305" s="21" t="str">
        <f>IFERROR(__xludf.DUMMYFUNCTION("""COMPUTED_VALUE"""),"226212230111")</f>
        <v>226212230111</v>
      </c>
      <c r="D1305" s="21" t="str">
        <f>IFERROR(__xludf.DUMMYFUNCTION("""COMPUTED_VALUE"""),"DIGITEC TECNOLOGIA DIGITAL E REPRES")</f>
        <v>DIGITEC TECNOLOGIA DIGITAL E REPRES</v>
      </c>
      <c r="E1305" s="21">
        <f>IFERROR(__xludf.DUMMYFUNCTION("""COMPUTED_VALUE"""),145359.0)</f>
        <v>145359</v>
      </c>
      <c r="F1305" s="21" t="str">
        <f>IFERROR(__xludf.DUMMYFUNCTION("""COMPUTED_VALUE"""),"COM DEFEITO")</f>
        <v>COM DEFEITO</v>
      </c>
      <c r="G1305" s="23">
        <f>IFERROR(__xludf.DUMMYFUNCTION("""COMPUTED_VALUE"""),45617.71434027777)</f>
        <v>45617.71434</v>
      </c>
      <c r="H1305" s="24" t="str">
        <f>IFERROR(VLOOKUP(B1305,material!A:D,3,0),"")</f>
        <v>CARD</v>
      </c>
    </row>
    <row r="1306" ht="11.25" customHeight="1">
      <c r="A1306" s="21" t="str">
        <f>IFERROR(__xludf.DUMMYFUNCTION("""COMPUTED_VALUE"""),"SMART CARD PRETO NAGRA")</f>
        <v>SMART CARD PRETO NAGRA</v>
      </c>
      <c r="B1306" s="22">
        <f>IFERROR(__xludf.DUMMYFUNCTION("""COMPUTED_VALUE"""),4.1001234E7)</f>
        <v>41001234</v>
      </c>
      <c r="C1306" s="21" t="str">
        <f>IFERROR(__xludf.DUMMYFUNCTION("""COMPUTED_VALUE"""),"226154774054")</f>
        <v>226154774054</v>
      </c>
      <c r="D1306" s="21" t="str">
        <f>IFERROR(__xludf.DUMMYFUNCTION("""COMPUTED_VALUE"""),"DIGITEC TECNOLOGIA DIGITAL E REPRES")</f>
        <v>DIGITEC TECNOLOGIA DIGITAL E REPRES</v>
      </c>
      <c r="E1306" s="21">
        <f>IFERROR(__xludf.DUMMYFUNCTION("""COMPUTED_VALUE"""),145359.0)</f>
        <v>145359</v>
      </c>
      <c r="F1306" s="21" t="str">
        <f>IFERROR(__xludf.DUMMYFUNCTION("""COMPUTED_VALUE"""),"COM DEFEITO")</f>
        <v>COM DEFEITO</v>
      </c>
      <c r="G1306" s="23">
        <f>IFERROR(__xludf.DUMMYFUNCTION("""COMPUTED_VALUE"""),45617.71435185186)</f>
        <v>45617.71435</v>
      </c>
      <c r="H1306" s="24" t="str">
        <f>IFERROR(VLOOKUP(B1306,material!A:D,3,0),"")</f>
        <v>CARD</v>
      </c>
    </row>
    <row r="1307" ht="11.25" customHeight="1">
      <c r="A1307" s="21" t="str">
        <f>IFERROR(__xludf.DUMMYFUNCTION("""COMPUTED_VALUE"""),"SMART SIM CARD NAGRA")</f>
        <v>SMART SIM CARD NAGRA</v>
      </c>
      <c r="B1307" s="22">
        <f>IFERROR(__xludf.DUMMYFUNCTION("""COMPUTED_VALUE"""),4.1000805E7)</f>
        <v>41000805</v>
      </c>
      <c r="C1307" s="21" t="str">
        <f>IFERROR(__xludf.DUMMYFUNCTION("""COMPUTED_VALUE"""),"246448571022")</f>
        <v>246448571022</v>
      </c>
      <c r="D1307" s="21" t="str">
        <f>IFERROR(__xludf.DUMMYFUNCTION("""COMPUTED_VALUE"""),"DIGITEC TECNOLOGIA DIGITAL E REPRES")</f>
        <v>DIGITEC TECNOLOGIA DIGITAL E REPRES</v>
      </c>
      <c r="E1307" s="21">
        <f>IFERROR(__xludf.DUMMYFUNCTION("""COMPUTED_VALUE"""),145359.0)</f>
        <v>145359</v>
      </c>
      <c r="F1307" s="21" t="str">
        <f>IFERROR(__xludf.DUMMYFUNCTION("""COMPUTED_VALUE"""),"INICIALIZADO")</f>
        <v>INICIALIZADO</v>
      </c>
      <c r="G1307" s="23">
        <f>IFERROR(__xludf.DUMMYFUNCTION("""COMPUTED_VALUE"""),45000.35530092593)</f>
        <v>45000.3553</v>
      </c>
      <c r="H1307" s="24" t="str">
        <f>IFERROR(VLOOKUP(B1307,material!A:D,3,0),"")</f>
        <v>SIM CARD</v>
      </c>
    </row>
    <row r="1308" ht="11.25" customHeight="1">
      <c r="A1308" s="21" t="str">
        <f>IFERROR(__xludf.DUMMYFUNCTION("""COMPUTED_VALUE"""),"DECODER DIGITAL HD HNB100 2T")</f>
        <v>DECODER DIGITAL HD HNB100 2T</v>
      </c>
      <c r="B1308" s="22">
        <f>IFERROR(__xludf.DUMMYFUNCTION("""COMPUTED_VALUE"""),4.1001276E7)</f>
        <v>41001276</v>
      </c>
      <c r="C1308" s="21" t="str">
        <f>IFERROR(__xludf.DUMMYFUNCTION("""COMPUTED_VALUE"""),"216410540110")</f>
        <v>216410540110</v>
      </c>
      <c r="D1308" s="21" t="str">
        <f>IFERROR(__xludf.DUMMYFUNCTION("""COMPUTED_VALUE"""),"DIGITEC TECNOLOGIA DIGITAL E REPRES")</f>
        <v>DIGITEC TECNOLOGIA DIGITAL E REPRES</v>
      </c>
      <c r="E1308" s="21">
        <f>IFERROR(__xludf.DUMMYFUNCTION("""COMPUTED_VALUE"""),145359.0)</f>
        <v>145359</v>
      </c>
      <c r="F1308" s="21" t="str">
        <f>IFERROR(__xludf.DUMMYFUNCTION("""COMPUTED_VALUE"""),"INICIALIZADO")</f>
        <v>INICIALIZADO</v>
      </c>
      <c r="G1308" s="23">
        <f>IFERROR(__xludf.DUMMYFUNCTION("""COMPUTED_VALUE"""),45635.535046296296)</f>
        <v>45635.53505</v>
      </c>
      <c r="H1308" s="24" t="str">
        <f>IFERROR(VLOOKUP(B1308,material!A:D,3,0),"")</f>
        <v>TOP MIX</v>
      </c>
    </row>
    <row r="1309" ht="11.25" customHeight="1">
      <c r="A1309" s="21" t="str">
        <f>IFERROR(__xludf.DUMMYFUNCTION("""COMPUTED_VALUE"""),"SMART CARD PRETO NAGRA")</f>
        <v>SMART CARD PRETO NAGRA</v>
      </c>
      <c r="B1309" s="22">
        <f>IFERROR(__xludf.DUMMYFUNCTION("""COMPUTED_VALUE"""),4.1001234E7)</f>
        <v>41001234</v>
      </c>
      <c r="C1309" s="21" t="str">
        <f>IFERROR(__xludf.DUMMYFUNCTION("""COMPUTED_VALUE"""),"246339993646")</f>
        <v>246339993646</v>
      </c>
      <c r="D1309" s="21" t="str">
        <f>IFERROR(__xludf.DUMMYFUNCTION("""COMPUTED_VALUE"""),"DIGITEC TECNOLOGIA DIGITAL E REPRES")</f>
        <v>DIGITEC TECNOLOGIA DIGITAL E REPRES</v>
      </c>
      <c r="E1309" s="21">
        <f>IFERROR(__xludf.DUMMYFUNCTION("""COMPUTED_VALUE"""),145359.0)</f>
        <v>145359</v>
      </c>
      <c r="F1309" s="21" t="str">
        <f>IFERROR(__xludf.DUMMYFUNCTION("""COMPUTED_VALUE"""),"INICIALIZADO")</f>
        <v>INICIALIZADO</v>
      </c>
      <c r="G1309" s="23">
        <f>IFERROR(__xludf.DUMMYFUNCTION("""COMPUTED_VALUE"""),45635.53491898148)</f>
        <v>45635.53492</v>
      </c>
      <c r="H1309" s="24" t="str">
        <f>IFERROR(VLOOKUP(B1309,material!A:D,3,0),"")</f>
        <v>CARD</v>
      </c>
    </row>
    <row r="1310" ht="11.25" customHeight="1">
      <c r="A1310" s="21" t="str">
        <f>IFERROR(__xludf.DUMMYFUNCTION("""COMPUTED_VALUE"""),"SMART CARD PRETO NAGRA")</f>
        <v>SMART CARD PRETO NAGRA</v>
      </c>
      <c r="B1310" s="22">
        <f>IFERROR(__xludf.DUMMYFUNCTION("""COMPUTED_VALUE"""),4.1001234E7)</f>
        <v>41001234</v>
      </c>
      <c r="C1310" s="21" t="str">
        <f>IFERROR(__xludf.DUMMYFUNCTION("""COMPUTED_VALUE"""),"246229897491")</f>
        <v>246229897491</v>
      </c>
      <c r="D1310" s="21" t="str">
        <f>IFERROR(__xludf.DUMMYFUNCTION("""COMPUTED_VALUE"""),"DIGITEC TECNOLOGIA DIGITAL E REPRES")</f>
        <v>DIGITEC TECNOLOGIA DIGITAL E REPRES</v>
      </c>
      <c r="E1310" s="21">
        <f>IFERROR(__xludf.DUMMYFUNCTION("""COMPUTED_VALUE"""),145359.0)</f>
        <v>145359</v>
      </c>
      <c r="F1310" s="21" t="str">
        <f>IFERROR(__xludf.DUMMYFUNCTION("""COMPUTED_VALUE"""),"INICIALIZADO")</f>
        <v>INICIALIZADO</v>
      </c>
      <c r="G1310" s="23">
        <f>IFERROR(__xludf.DUMMYFUNCTION("""COMPUTED_VALUE"""),45600.47596064815)</f>
        <v>45600.47596</v>
      </c>
      <c r="H1310" s="24" t="str">
        <f>IFERROR(VLOOKUP(B1310,material!A:D,3,0),"")</f>
        <v>CARD</v>
      </c>
    </row>
    <row r="1311" ht="11.25" customHeight="1">
      <c r="A1311" s="21" t="str">
        <f>IFERROR(__xludf.DUMMYFUNCTION("""COMPUTED_VALUE"""),"SMART CARD PRETO NAGRA")</f>
        <v>SMART CARD PRETO NAGRA</v>
      </c>
      <c r="B1311" s="22">
        <f>IFERROR(__xludf.DUMMYFUNCTION("""COMPUTED_VALUE"""),4.1001234E7)</f>
        <v>41001234</v>
      </c>
      <c r="C1311" s="21" t="str">
        <f>IFERROR(__xludf.DUMMYFUNCTION("""COMPUTED_VALUE"""),"246259341533")</f>
        <v>246259341533</v>
      </c>
      <c r="D1311" s="21" t="str">
        <f>IFERROR(__xludf.DUMMYFUNCTION("""COMPUTED_VALUE"""),"DIGITEC TECNOLOGIA DIGITAL E REPRES")</f>
        <v>DIGITEC TECNOLOGIA DIGITAL E REPRES</v>
      </c>
      <c r="E1311" s="21">
        <f>IFERROR(__xludf.DUMMYFUNCTION("""COMPUTED_VALUE"""),145359.0)</f>
        <v>145359</v>
      </c>
      <c r="F1311" s="21" t="str">
        <f>IFERROR(__xludf.DUMMYFUNCTION("""COMPUTED_VALUE"""),"INICIALIZADO")</f>
        <v>INICIALIZADO</v>
      </c>
      <c r="G1311" s="23">
        <f>IFERROR(__xludf.DUMMYFUNCTION("""COMPUTED_VALUE"""),45454.553495370375)</f>
        <v>45454.5535</v>
      </c>
      <c r="H1311" s="24" t="str">
        <f>IFERROR(VLOOKUP(B1311,material!A:D,3,0),"")</f>
        <v>CARD</v>
      </c>
    </row>
    <row r="1312" ht="11.25" customHeight="1">
      <c r="A1312" s="21" t="str">
        <f>IFERROR(__xludf.DUMMYFUNCTION("""COMPUTED_VALUE"""),"SMART CARD PRETO NAGRA")</f>
        <v>SMART CARD PRETO NAGRA</v>
      </c>
      <c r="B1312" s="22">
        <f>IFERROR(__xludf.DUMMYFUNCTION("""COMPUTED_VALUE"""),4.1001234E7)</f>
        <v>41001234</v>
      </c>
      <c r="C1312" s="21" t="str">
        <f>IFERROR(__xludf.DUMMYFUNCTION("""COMPUTED_VALUE"""),"226278556381")</f>
        <v>226278556381</v>
      </c>
      <c r="D1312" s="21" t="str">
        <f>IFERROR(__xludf.DUMMYFUNCTION("""COMPUTED_VALUE"""),"DIGITEC TECNOLOGIA DIGITAL E REPRES")</f>
        <v>DIGITEC TECNOLOGIA DIGITAL E REPRES</v>
      </c>
      <c r="E1312" s="21">
        <f>IFERROR(__xludf.DUMMYFUNCTION("""COMPUTED_VALUE"""),145359.0)</f>
        <v>145359</v>
      </c>
      <c r="F1312" s="21" t="str">
        <f>IFERROR(__xludf.DUMMYFUNCTION("""COMPUTED_VALUE"""),"INICIALIZADO")</f>
        <v>INICIALIZADO</v>
      </c>
      <c r="G1312" s="23">
        <f>IFERROR(__xludf.DUMMYFUNCTION("""COMPUTED_VALUE"""),45600.47596064815)</f>
        <v>45600.47596</v>
      </c>
      <c r="H1312" s="24" t="str">
        <f>IFERROR(VLOOKUP(B1312,material!A:D,3,0),"")</f>
        <v>CARD</v>
      </c>
    </row>
    <row r="1313" ht="11.25" customHeight="1">
      <c r="A1313" s="21" t="str">
        <f>IFERROR(__xludf.DUMMYFUNCTION("""COMPUTED_VALUE"""),"SMART CARD PRETO NAGRA")</f>
        <v>SMART CARD PRETO NAGRA</v>
      </c>
      <c r="B1313" s="22">
        <f>IFERROR(__xludf.DUMMYFUNCTION("""COMPUTED_VALUE"""),4.1001234E7)</f>
        <v>41001234</v>
      </c>
      <c r="C1313" s="21" t="str">
        <f>IFERROR(__xludf.DUMMYFUNCTION("""COMPUTED_VALUE"""),"226281516984")</f>
        <v>226281516984</v>
      </c>
      <c r="D1313" s="21" t="str">
        <f>IFERROR(__xludf.DUMMYFUNCTION("""COMPUTED_VALUE"""),"DIGITEC TECNOLOGIA DIGITAL E REPRES")</f>
        <v>DIGITEC TECNOLOGIA DIGITAL E REPRES</v>
      </c>
      <c r="E1313" s="21">
        <f>IFERROR(__xludf.DUMMYFUNCTION("""COMPUTED_VALUE"""),145359.0)</f>
        <v>145359</v>
      </c>
      <c r="F1313" s="21" t="str">
        <f>IFERROR(__xludf.DUMMYFUNCTION("""COMPUTED_VALUE"""),"INICIALIZADO")</f>
        <v>INICIALIZADO</v>
      </c>
      <c r="G1313" s="23">
        <f>IFERROR(__xludf.DUMMYFUNCTION("""COMPUTED_VALUE"""),45000.35914351852)</f>
        <v>45000.35914</v>
      </c>
      <c r="H1313" s="24" t="str">
        <f>IFERROR(VLOOKUP(B1313,material!A:D,3,0),"")</f>
        <v>CARD</v>
      </c>
    </row>
    <row r="1314" ht="11.25" customHeight="1">
      <c r="A1314" s="21" t="str">
        <f>IFERROR(__xludf.DUMMYFUNCTION("""COMPUTED_VALUE"""),"SMART CARD PRETO NAGRA")</f>
        <v>SMART CARD PRETO NAGRA</v>
      </c>
      <c r="B1314" s="22">
        <f>IFERROR(__xludf.DUMMYFUNCTION("""COMPUTED_VALUE"""),4.1001234E7)</f>
        <v>41001234</v>
      </c>
      <c r="C1314" s="21" t="str">
        <f>IFERROR(__xludf.DUMMYFUNCTION("""COMPUTED_VALUE"""),"226167314750")</f>
        <v>226167314750</v>
      </c>
      <c r="D1314" s="21" t="str">
        <f>IFERROR(__xludf.DUMMYFUNCTION("""COMPUTED_VALUE"""),"DIGITEC TECNOLOGIA DIGITAL E REPRES")</f>
        <v>DIGITEC TECNOLOGIA DIGITAL E REPRES</v>
      </c>
      <c r="E1314" s="21">
        <f>IFERROR(__xludf.DUMMYFUNCTION("""COMPUTED_VALUE"""),145359.0)</f>
        <v>145359</v>
      </c>
      <c r="F1314" s="21" t="str">
        <f>IFERROR(__xludf.DUMMYFUNCTION("""COMPUTED_VALUE"""),"INICIALIZADO")</f>
        <v>INICIALIZADO</v>
      </c>
      <c r="G1314" s="23">
        <f>IFERROR(__xludf.DUMMYFUNCTION("""COMPUTED_VALUE"""),45635.53494212963)</f>
        <v>45635.53494</v>
      </c>
      <c r="H1314" s="24" t="str">
        <f>IFERROR(VLOOKUP(B1314,material!A:D,3,0),"")</f>
        <v>CARD</v>
      </c>
    </row>
    <row r="1315" ht="11.25" customHeight="1">
      <c r="A1315" s="21" t="str">
        <f>IFERROR(__xludf.DUMMYFUNCTION("""COMPUTED_VALUE"""),"SMART CARD LARANJA")</f>
        <v>SMART CARD LARANJA</v>
      </c>
      <c r="B1315" s="22">
        <f>IFERROR(__xludf.DUMMYFUNCTION("""COMPUTED_VALUE"""),4.1001186E7)</f>
        <v>41001186</v>
      </c>
      <c r="C1315" s="21" t="str">
        <f>IFERROR(__xludf.DUMMYFUNCTION("""COMPUTED_VALUE"""),"215552578587")</f>
        <v>215552578587</v>
      </c>
      <c r="D1315" s="21" t="str">
        <f>IFERROR(__xludf.DUMMYFUNCTION("""COMPUTED_VALUE"""),"DIGITEC TECNOLOGIA DIGITAL E REPRES")</f>
        <v>DIGITEC TECNOLOGIA DIGITAL E REPRES</v>
      </c>
      <c r="E1315" s="21">
        <f>IFERROR(__xludf.DUMMYFUNCTION("""COMPUTED_VALUE"""),145359.0)</f>
        <v>145359</v>
      </c>
      <c r="F1315" s="21" t="str">
        <f>IFERROR(__xludf.DUMMYFUNCTION("""COMPUTED_VALUE"""),"INICIALIZADO")</f>
        <v>INICIALIZADO</v>
      </c>
      <c r="G1315" s="23">
        <f>IFERROR(__xludf.DUMMYFUNCTION("""COMPUTED_VALUE"""),44999.92979166667)</f>
        <v>44999.92979</v>
      </c>
      <c r="H1315" s="24" t="str">
        <f>IFERROR(VLOOKUP(B1315,material!A:D,3,0),"")</f>
        <v>CARD</v>
      </c>
    </row>
    <row r="1316" ht="11.25" customHeight="1">
      <c r="A1316" s="21" t="str">
        <f>IFERROR(__xludf.DUMMYFUNCTION("""COMPUTED_VALUE"""),"SMART CARD LARANJA NAGRA")</f>
        <v>SMART CARD LARANJA NAGRA</v>
      </c>
      <c r="B1316" s="22">
        <f>IFERROR(__xludf.DUMMYFUNCTION("""COMPUTED_VALUE"""),4.1001186E7)</f>
        <v>41001186</v>
      </c>
      <c r="C1316" s="21" t="str">
        <f>IFERROR(__xludf.DUMMYFUNCTION("""COMPUTED_VALUE"""),"226461229595")</f>
        <v>226461229595</v>
      </c>
      <c r="D1316" s="21" t="str">
        <f>IFERROR(__xludf.DUMMYFUNCTION("""COMPUTED_VALUE"""),"DIGITEC TECNOLOGIA DIGITAL E REPRES")</f>
        <v>DIGITEC TECNOLOGIA DIGITAL E REPRES</v>
      </c>
      <c r="E1316" s="21">
        <f>IFERROR(__xludf.DUMMYFUNCTION("""COMPUTED_VALUE"""),145359.0)</f>
        <v>145359</v>
      </c>
      <c r="F1316" s="21" t="str">
        <f>IFERROR(__xludf.DUMMYFUNCTION("""COMPUTED_VALUE"""),"INICIALIZADO")</f>
        <v>INICIALIZADO</v>
      </c>
      <c r="G1316" s="23">
        <f>IFERROR(__xludf.DUMMYFUNCTION("""COMPUTED_VALUE"""),45573.66674768519)</f>
        <v>45573.66675</v>
      </c>
      <c r="H1316" s="24" t="str">
        <f>IFERROR(VLOOKUP(B1316,material!A:D,3,0),"")</f>
        <v>CARD</v>
      </c>
    </row>
    <row r="1317" ht="11.25" customHeight="1">
      <c r="A1317" s="21" t="str">
        <f>IFERROR(__xludf.DUMMYFUNCTION("""COMPUTED_VALUE"""),"SMART CARD LARANJA NAGRA")</f>
        <v>SMART CARD LARANJA NAGRA</v>
      </c>
      <c r="B1317" s="22">
        <f>IFERROR(__xludf.DUMMYFUNCTION("""COMPUTED_VALUE"""),4.1001186E7)</f>
        <v>41001186</v>
      </c>
      <c r="C1317" s="21" t="str">
        <f>IFERROR(__xludf.DUMMYFUNCTION("""COMPUTED_VALUE"""),"215848868693")</f>
        <v>215848868693</v>
      </c>
      <c r="D1317" s="21" t="str">
        <f>IFERROR(__xludf.DUMMYFUNCTION("""COMPUTED_VALUE"""),"DIGITEC TECNOLOGIA DIGITAL E REPRES")</f>
        <v>DIGITEC TECNOLOGIA DIGITAL E REPRES</v>
      </c>
      <c r="E1317" s="21">
        <f>IFERROR(__xludf.DUMMYFUNCTION("""COMPUTED_VALUE"""),145359.0)</f>
        <v>145359</v>
      </c>
      <c r="F1317" s="21" t="str">
        <f>IFERROR(__xludf.DUMMYFUNCTION("""COMPUTED_VALUE"""),"INICIALIZADO")</f>
        <v>INICIALIZADO</v>
      </c>
      <c r="G1317" s="23">
        <f>IFERROR(__xludf.DUMMYFUNCTION("""COMPUTED_VALUE"""),45573.66674768519)</f>
        <v>45573.66675</v>
      </c>
      <c r="H1317" s="24" t="str">
        <f>IFERROR(VLOOKUP(B1317,material!A:D,3,0),"")</f>
        <v>CARD</v>
      </c>
    </row>
    <row r="1318" ht="11.25" customHeight="1">
      <c r="A1318" s="21" t="str">
        <f>IFERROR(__xludf.DUMMYFUNCTION("""COMPUTED_VALUE"""),"SMART CARD LARANJA NAGRA")</f>
        <v>SMART CARD LARANJA NAGRA</v>
      </c>
      <c r="B1318" s="22">
        <f>IFERROR(__xludf.DUMMYFUNCTION("""COMPUTED_VALUE"""),4.1001186E7)</f>
        <v>41001186</v>
      </c>
      <c r="C1318" s="21" t="str">
        <f>IFERROR(__xludf.DUMMYFUNCTION("""COMPUTED_VALUE"""),"226817353039")</f>
        <v>226817353039</v>
      </c>
      <c r="D1318" s="21" t="str">
        <f>IFERROR(__xludf.DUMMYFUNCTION("""COMPUTED_VALUE"""),"DIGITEC TECNOLOGIA DIGITAL E REPRES")</f>
        <v>DIGITEC TECNOLOGIA DIGITAL E REPRES</v>
      </c>
      <c r="E1318" s="21">
        <f>IFERROR(__xludf.DUMMYFUNCTION("""COMPUTED_VALUE"""),145359.0)</f>
        <v>145359</v>
      </c>
      <c r="F1318" s="21" t="str">
        <f>IFERROR(__xludf.DUMMYFUNCTION("""COMPUTED_VALUE"""),"INICIALIZADO")</f>
        <v>INICIALIZADO</v>
      </c>
      <c r="G1318" s="23">
        <f>IFERROR(__xludf.DUMMYFUNCTION("""COMPUTED_VALUE"""),45573.66674768519)</f>
        <v>45573.66675</v>
      </c>
      <c r="H1318" s="24" t="str">
        <f>IFERROR(VLOOKUP(B1318,material!A:D,3,0),"")</f>
        <v>CARD</v>
      </c>
    </row>
    <row r="1319" ht="11.25" customHeight="1">
      <c r="A1319" s="21" t="str">
        <f>IFERROR(__xludf.DUMMYFUNCTION("""COMPUTED_VALUE"""),"EMTA WI-FI 3.0 TG862A ARRIS")</f>
        <v>EMTA WI-FI 3.0 TG862A ARRIS</v>
      </c>
      <c r="B1319" s="22">
        <f>IFERROR(__xludf.DUMMYFUNCTION("""COMPUTED_VALUE"""),4.1001155E7)</f>
        <v>41001155</v>
      </c>
      <c r="C1319" s="21" t="str">
        <f>IFERROR(__xludf.DUMMYFUNCTION("""COMPUTED_VALUE"""),"083E0C9000A2")</f>
        <v>083E0C9000A2</v>
      </c>
      <c r="D1319" s="21" t="str">
        <f>IFERROR(__xludf.DUMMYFUNCTION("""COMPUTED_VALUE"""),"DIGITEC TECNOLOGIA DIGITAL E REPRES")</f>
        <v>DIGITEC TECNOLOGIA DIGITAL E REPRES</v>
      </c>
      <c r="E1319" s="21">
        <f>IFERROR(__xludf.DUMMYFUNCTION("""COMPUTED_VALUE"""),145359.0)</f>
        <v>145359</v>
      </c>
      <c r="F1319" s="21" t="str">
        <f>IFERROR(__xludf.DUMMYFUNCTION("""COMPUTED_VALUE"""),"TRANSITO REVERSA")</f>
        <v>TRANSITO REVERSA</v>
      </c>
      <c r="G1319" s="23">
        <f>IFERROR(__xludf.DUMMYFUNCTION("""COMPUTED_VALUE"""),45638.520625000005)</f>
        <v>45638.52063</v>
      </c>
      <c r="H1319" s="24" t="str">
        <f>IFERROR(VLOOKUP(B1319,material!A:D,3,0),"")</f>
        <v>SINGLE</v>
      </c>
    </row>
    <row r="1320" ht="11.25" customHeight="1">
      <c r="A1320" s="21" t="str">
        <f>IFERROR(__xludf.DUMMYFUNCTION("""COMPUTED_VALUE"""),"ARRIS TG1692A")</f>
        <v>ARRIS TG1692A</v>
      </c>
      <c r="B1320" s="22">
        <f>IFERROR(__xludf.DUMMYFUNCTION("""COMPUTED_VALUE"""),4.1001293E7)</f>
        <v>41001293</v>
      </c>
      <c r="C1320" s="21" t="str">
        <f>IFERROR(__xludf.DUMMYFUNCTION("""COMPUTED_VALUE"""),"BC644BCC72FF")</f>
        <v>BC644BCC72FF</v>
      </c>
      <c r="D1320" s="21" t="str">
        <f>IFERROR(__xludf.DUMMYFUNCTION("""COMPUTED_VALUE"""),"DIGITEC TECNOLOGIA DIGITAL E REPRES")</f>
        <v>DIGITEC TECNOLOGIA DIGITAL E REPRES</v>
      </c>
      <c r="E1320" s="21">
        <f>IFERROR(__xludf.DUMMYFUNCTION("""COMPUTED_VALUE"""),145359.0)</f>
        <v>145359</v>
      </c>
      <c r="F1320" s="21" t="str">
        <f>IFERROR(__xludf.DUMMYFUNCTION("""COMPUTED_VALUE"""),"TRANSITO REVERSA")</f>
        <v>TRANSITO REVERSA</v>
      </c>
      <c r="G1320" s="23">
        <f>IFERROR(__xludf.DUMMYFUNCTION("""COMPUTED_VALUE"""),45610.73042824074)</f>
        <v>45610.73043</v>
      </c>
      <c r="H1320" s="24" t="str">
        <f>IFERROR(VLOOKUP(B1320,material!A:D,3,0),"")</f>
        <v>DUAL</v>
      </c>
    </row>
    <row r="1321" ht="11.25" customHeight="1">
      <c r="A1321" s="21" t="str">
        <f>IFERROR(__xludf.DUMMYFUNCTION("""COMPUTED_VALUE"""),"DECODER DIGITAL HD HNB100 2T")</f>
        <v>DECODER DIGITAL HD HNB100 2T</v>
      </c>
      <c r="B1321" s="22">
        <f>IFERROR(__xludf.DUMMYFUNCTION("""COMPUTED_VALUE"""),4.1001276E7)</f>
        <v>41001276</v>
      </c>
      <c r="C1321" s="21" t="str">
        <f>IFERROR(__xludf.DUMMYFUNCTION("""COMPUTED_VALUE"""),"216544952139")</f>
        <v>216544952139</v>
      </c>
      <c r="D1321" s="21" t="str">
        <f>IFERROR(__xludf.DUMMYFUNCTION("""COMPUTED_VALUE"""),"DIGITEC TECNOLOGIA DIGITAL E REPRES")</f>
        <v>DIGITEC TECNOLOGIA DIGITAL E REPRES</v>
      </c>
      <c r="E1321" s="21">
        <f>IFERROR(__xludf.DUMMYFUNCTION("""COMPUTED_VALUE"""),145359.0)</f>
        <v>145359</v>
      </c>
      <c r="F1321" s="21" t="str">
        <f>IFERROR(__xludf.DUMMYFUNCTION("""COMPUTED_VALUE"""),"TRANSITO REVERSA")</f>
        <v>TRANSITO REVERSA</v>
      </c>
      <c r="G1321" s="23">
        <f>IFERROR(__xludf.DUMMYFUNCTION("""COMPUTED_VALUE"""),45633.00396990741)</f>
        <v>45633.00397</v>
      </c>
      <c r="H1321" s="24" t="str">
        <f>IFERROR(VLOOKUP(B1321,material!A:D,3,0),"")</f>
        <v>TOP MIX</v>
      </c>
    </row>
    <row r="1322" ht="11.25" customHeight="1">
      <c r="A1322" s="21" t="str">
        <f>IFERROR(__xludf.DUMMYFUNCTION("""COMPUTED_VALUE"""),"SMART CARD PRETO NAGRA")</f>
        <v>SMART CARD PRETO NAGRA</v>
      </c>
      <c r="B1322" s="22">
        <f>IFERROR(__xludf.DUMMYFUNCTION("""COMPUTED_VALUE"""),4.1001234E7)</f>
        <v>41001234</v>
      </c>
      <c r="C1322" s="21" t="str">
        <f>IFERROR(__xludf.DUMMYFUNCTION("""COMPUTED_VALUE"""),"226255565170")</f>
        <v>226255565170</v>
      </c>
      <c r="D1322" s="21" t="str">
        <f>IFERROR(__xludf.DUMMYFUNCTION("""COMPUTED_VALUE"""),"DIGITEC TECNOLOGIA DIGITAL E REPRES")</f>
        <v>DIGITEC TECNOLOGIA DIGITAL E REPRES</v>
      </c>
      <c r="E1322" s="21">
        <f>IFERROR(__xludf.DUMMYFUNCTION("""COMPUTED_VALUE"""),145359.0)</f>
        <v>145359</v>
      </c>
      <c r="F1322" s="21" t="str">
        <f>IFERROR(__xludf.DUMMYFUNCTION("""COMPUTED_VALUE"""),"TRANSITO REVERSA")</f>
        <v>TRANSITO REVERSA</v>
      </c>
      <c r="G1322" s="23">
        <f>IFERROR(__xludf.DUMMYFUNCTION("""COMPUTED_VALUE"""),45617.87137731482)</f>
        <v>45617.87138</v>
      </c>
      <c r="H1322" s="24" t="str">
        <f>IFERROR(VLOOKUP(B1322,material!A:D,3,0),"")</f>
        <v>CARD</v>
      </c>
    </row>
    <row r="1323" ht="11.25" customHeight="1">
      <c r="A1323" s="21" t="str">
        <f>IFERROR(__xludf.DUMMYFUNCTION("""COMPUTED_VALUE"""),"SMART CARD PRETO NAGRA")</f>
        <v>SMART CARD PRETO NAGRA</v>
      </c>
      <c r="B1323" s="22">
        <f>IFERROR(__xludf.DUMMYFUNCTION("""COMPUTED_VALUE"""),4.1001234E7)</f>
        <v>41001234</v>
      </c>
      <c r="C1323" s="21" t="str">
        <f>IFERROR(__xludf.DUMMYFUNCTION("""COMPUTED_VALUE"""),"226127442038")</f>
        <v>226127442038</v>
      </c>
      <c r="D1323" s="21" t="str">
        <f>IFERROR(__xludf.DUMMYFUNCTION("""COMPUTED_VALUE"""),"DIGITEC TECNOLOGIA DIGITAL E REPRES")</f>
        <v>DIGITEC TECNOLOGIA DIGITAL E REPRES</v>
      </c>
      <c r="E1323" s="21">
        <f>IFERROR(__xludf.DUMMYFUNCTION("""COMPUTED_VALUE"""),145359.0)</f>
        <v>145359</v>
      </c>
      <c r="F1323" s="21" t="str">
        <f>IFERROR(__xludf.DUMMYFUNCTION("""COMPUTED_VALUE"""),"TRANSITO REVERSA")</f>
        <v>TRANSITO REVERSA</v>
      </c>
      <c r="G1323" s="23">
        <f>IFERROR(__xludf.DUMMYFUNCTION("""COMPUTED_VALUE"""),45617.87137731482)</f>
        <v>45617.87138</v>
      </c>
      <c r="H1323" s="24" t="str">
        <f>IFERROR(VLOOKUP(B1323,material!A:D,3,0),"")</f>
        <v>CARD</v>
      </c>
    </row>
    <row r="1324" ht="11.25" customHeight="1">
      <c r="A1324" s="21" t="str">
        <f>IFERROR(__xludf.DUMMYFUNCTION("""COMPUTED_VALUE"""),"PACE - HIGH DEFINITION DCR7411")</f>
        <v>PACE - HIGH DEFINITION DCR7411</v>
      </c>
      <c r="B1324" s="22">
        <f>IFERROR(__xludf.DUMMYFUNCTION("""COMPUTED_VALUE"""),4.1001216E7)</f>
        <v>41001216</v>
      </c>
      <c r="C1324" s="21" t="str">
        <f>IFERROR(__xludf.DUMMYFUNCTION("""COMPUTED_VALUE"""),"183979139096")</f>
        <v>183979139096</v>
      </c>
      <c r="D1324" s="21" t="str">
        <f>IFERROR(__xludf.DUMMYFUNCTION("""COMPUTED_VALUE"""),"DIGITEC TECNOLOGIA DIGITAL E REPRES")</f>
        <v>DIGITEC TECNOLOGIA DIGITAL E REPRES</v>
      </c>
      <c r="E1324" s="21">
        <f>IFERROR(__xludf.DUMMYFUNCTION("""COMPUTED_VALUE"""),145359.0)</f>
        <v>145359</v>
      </c>
      <c r="F1324" s="21" t="str">
        <f>IFERROR(__xludf.DUMMYFUNCTION("""COMPUTED_VALUE"""),"TRANSITO REVERSA")</f>
        <v>TRANSITO REVERSA</v>
      </c>
      <c r="G1324" s="23">
        <f>IFERROR(__xludf.DUMMYFUNCTION("""COMPUTED_VALUE"""),45633.00336805556)</f>
        <v>45633.00337</v>
      </c>
      <c r="H1324" s="24" t="str">
        <f>IFERROR(VLOOKUP(B1324,material!A:D,3,0),"")</f>
        <v>LEGADO</v>
      </c>
    </row>
    <row r="1325" ht="11.25" customHeight="1">
      <c r="A1325" s="21" t="str">
        <f>IFERROR(__xludf.DUMMYFUNCTION("""COMPUTED_VALUE"""),"PACE - HIGH DEFINITION DCR7411")</f>
        <v>PACE - HIGH DEFINITION DCR7411</v>
      </c>
      <c r="B1325" s="22">
        <f>IFERROR(__xludf.DUMMYFUNCTION("""COMPUTED_VALUE"""),4.1001216E7)</f>
        <v>41001216</v>
      </c>
      <c r="C1325" s="21" t="str">
        <f>IFERROR(__xludf.DUMMYFUNCTION("""COMPUTED_VALUE"""),"175185197289")</f>
        <v>175185197289</v>
      </c>
      <c r="D1325" s="21" t="str">
        <f>IFERROR(__xludf.DUMMYFUNCTION("""COMPUTED_VALUE"""),"DIGITEC TECNOLOGIA DIGITAL E REPRES")</f>
        <v>DIGITEC TECNOLOGIA DIGITAL E REPRES</v>
      </c>
      <c r="E1325" s="21">
        <f>IFERROR(__xludf.DUMMYFUNCTION("""COMPUTED_VALUE"""),145359.0)</f>
        <v>145359</v>
      </c>
      <c r="F1325" s="21" t="str">
        <f>IFERROR(__xludf.DUMMYFUNCTION("""COMPUTED_VALUE"""),"TRANSITO REVERSA")</f>
        <v>TRANSITO REVERSA</v>
      </c>
      <c r="G1325" s="23">
        <f>IFERROR(__xludf.DUMMYFUNCTION("""COMPUTED_VALUE"""),45617.87143518518)</f>
        <v>45617.87144</v>
      </c>
      <c r="H1325" s="24" t="str">
        <f>IFERROR(VLOOKUP(B1325,material!A:D,3,0),"")</f>
        <v>LEGADO</v>
      </c>
    </row>
    <row r="1326" ht="11.25" customHeight="1">
      <c r="A1326" s="21" t="str">
        <f>IFERROR(__xludf.DUMMYFUNCTION("""COMPUTED_VALUE"""),"SMART CARD LARANJA NAGRA")</f>
        <v>SMART CARD LARANJA NAGRA</v>
      </c>
      <c r="B1326" s="22">
        <f>IFERROR(__xludf.DUMMYFUNCTION("""COMPUTED_VALUE"""),4.1001186E7)</f>
        <v>41001186</v>
      </c>
      <c r="C1326" s="21" t="str">
        <f>IFERROR(__xludf.DUMMYFUNCTION("""COMPUTED_VALUE"""),"226059116076")</f>
        <v>226059116076</v>
      </c>
      <c r="D1326" s="21" t="str">
        <f>IFERROR(__xludf.DUMMYFUNCTION("""COMPUTED_VALUE"""),"DIGITEC TECNOLOGIA DIGITAL E REPRES")</f>
        <v>DIGITEC TECNOLOGIA DIGITAL E REPRES</v>
      </c>
      <c r="E1326" s="21">
        <f>IFERROR(__xludf.DUMMYFUNCTION("""COMPUTED_VALUE"""),145359.0)</f>
        <v>145359</v>
      </c>
      <c r="F1326" s="21" t="str">
        <f>IFERROR(__xludf.DUMMYFUNCTION("""COMPUTED_VALUE"""),"TRANSITO REVERSA")</f>
        <v>TRANSITO REVERSA</v>
      </c>
      <c r="G1326" s="23">
        <f>IFERROR(__xludf.DUMMYFUNCTION("""COMPUTED_VALUE"""),45633.00533564815)</f>
        <v>45633.00534</v>
      </c>
      <c r="H1326" s="24" t="str">
        <f>IFERROR(VLOOKUP(B1326,material!A:D,3,0),"")</f>
        <v>CARD</v>
      </c>
    </row>
    <row r="1327" ht="11.25" customHeight="1">
      <c r="A1327" s="21" t="str">
        <f>IFERROR(__xludf.DUMMYFUNCTION("""COMPUTED_VALUE"""),"SMART CARD PRETO NAGRA")</f>
        <v>SMART CARD PRETO NAGRA</v>
      </c>
      <c r="B1327" s="22">
        <f>IFERROR(__xludf.DUMMYFUNCTION("""COMPUTED_VALUE"""),4.1001234E7)</f>
        <v>41001234</v>
      </c>
      <c r="C1327" s="21" t="str">
        <f>IFERROR(__xludf.DUMMYFUNCTION("""COMPUTED_VALUE"""),"226079187597")</f>
        <v>226079187597</v>
      </c>
      <c r="D1327" s="21" t="str">
        <f>IFERROR(__xludf.DUMMYFUNCTION("""COMPUTED_VALUE"""),"DIGITEC TECNOLOGIA DIGITAL E REPRES")</f>
        <v>DIGITEC TECNOLOGIA DIGITAL E REPRES</v>
      </c>
      <c r="E1327" s="21">
        <f>IFERROR(__xludf.DUMMYFUNCTION("""COMPUTED_VALUE"""),145359.0)</f>
        <v>145359</v>
      </c>
      <c r="F1327" s="21" t="str">
        <f>IFERROR(__xludf.DUMMYFUNCTION("""COMPUTED_VALUE"""),"PERDA")</f>
        <v>PERDA</v>
      </c>
      <c r="G1327" s="23">
        <f>IFERROR(__xludf.DUMMYFUNCTION("""COMPUTED_VALUE"""),45113.48866898148)</f>
        <v>45113.48867</v>
      </c>
      <c r="H1327" s="24" t="str">
        <f>IFERROR(VLOOKUP(B1327,material!A:D,3,0),"")</f>
        <v>CARD</v>
      </c>
    </row>
    <row r="1328" ht="11.25" customHeight="1">
      <c r="A1328" s="21" t="str">
        <f>IFERROR(__xludf.DUMMYFUNCTION("""COMPUTED_VALUE"""),"SMART CARD PRETO NAGRA")</f>
        <v>SMART CARD PRETO NAGRA</v>
      </c>
      <c r="B1328" s="22">
        <f>IFERROR(__xludf.DUMMYFUNCTION("""COMPUTED_VALUE"""),4.1001234E7)</f>
        <v>41001234</v>
      </c>
      <c r="C1328" s="21" t="str">
        <f>IFERROR(__xludf.DUMMYFUNCTION("""COMPUTED_VALUE"""),"246252981518")</f>
        <v>246252981518</v>
      </c>
      <c r="D1328" s="21" t="str">
        <f>IFERROR(__xludf.DUMMYFUNCTION("""COMPUTED_VALUE"""),"DIGITEC TECNOLOGIA DIGITAL E REPRES")</f>
        <v>DIGITEC TECNOLOGIA DIGITAL E REPRES</v>
      </c>
      <c r="E1328" s="21">
        <f>IFERROR(__xludf.DUMMYFUNCTION("""COMPUTED_VALUE"""),145359.0)</f>
        <v>145359</v>
      </c>
      <c r="F1328" s="21" t="str">
        <f>IFERROR(__xludf.DUMMYFUNCTION("""COMPUTED_VALUE"""),"SUSPEITO")</f>
        <v>SUSPEITO</v>
      </c>
      <c r="G1328" s="23">
        <f>IFERROR(__xludf.DUMMYFUNCTION("""COMPUTED_VALUE"""),45621.65701388889)</f>
        <v>45621.65701</v>
      </c>
      <c r="H1328" s="24" t="str">
        <f>IFERROR(VLOOKUP(B1328,material!A:D,3,0),"")</f>
        <v>CARD</v>
      </c>
    </row>
    <row r="1329" ht="11.25" customHeight="1">
      <c r="A1329" s="21" t="str">
        <f>IFERROR(__xludf.DUMMYFUNCTION("""COMPUTED_VALUE"""),"SMART CARD PRETO NAGRA")</f>
        <v>SMART CARD PRETO NAGRA</v>
      </c>
      <c r="B1329" s="22">
        <f>IFERROR(__xludf.DUMMYFUNCTION("""COMPUTED_VALUE"""),4.1001234E7)</f>
        <v>41001234</v>
      </c>
      <c r="C1329" s="21" t="str">
        <f>IFERROR(__xludf.DUMMYFUNCTION("""COMPUTED_VALUE"""),"246151562731")</f>
        <v>246151562731</v>
      </c>
      <c r="D1329" s="21" t="str">
        <f>IFERROR(__xludf.DUMMYFUNCTION("""COMPUTED_VALUE"""),"DIGITEC TECNOLOGIA DIGITAL E REPRES")</f>
        <v>DIGITEC TECNOLOGIA DIGITAL E REPRES</v>
      </c>
      <c r="E1329" s="21">
        <f>IFERROR(__xludf.DUMMYFUNCTION("""COMPUTED_VALUE"""),145359.0)</f>
        <v>145359</v>
      </c>
      <c r="F1329" s="21" t="str">
        <f>IFERROR(__xludf.DUMMYFUNCTION("""COMPUTED_VALUE"""),"INICIALIZADO")</f>
        <v>INICIALIZADO</v>
      </c>
      <c r="G1329" s="23">
        <f>IFERROR(__xludf.DUMMYFUNCTION("""COMPUTED_VALUE"""),45000.35914351852)</f>
        <v>45000.35914</v>
      </c>
      <c r="H1329" s="24" t="str">
        <f>IFERROR(VLOOKUP(B1329,material!A:D,3,0),"")</f>
        <v>CARD</v>
      </c>
    </row>
    <row r="1330" ht="11.25" customHeight="1">
      <c r="A1330" s="21" t="str">
        <f>IFERROR(__xludf.DUMMYFUNCTION("""COMPUTED_VALUE"""),"SMART CARD PRETO NAGRA")</f>
        <v>SMART CARD PRETO NAGRA</v>
      </c>
      <c r="B1330" s="22">
        <f>IFERROR(__xludf.DUMMYFUNCTION("""COMPUTED_VALUE"""),4.1001234E7)</f>
        <v>41001234</v>
      </c>
      <c r="C1330" s="21" t="str">
        <f>IFERROR(__xludf.DUMMYFUNCTION("""COMPUTED_VALUE"""),"246196438591")</f>
        <v>246196438591</v>
      </c>
      <c r="D1330" s="21" t="str">
        <f>IFERROR(__xludf.DUMMYFUNCTION("""COMPUTED_VALUE"""),"DIGITEC TECNOLOGIA DIGITAL E REPRES")</f>
        <v>DIGITEC TECNOLOGIA DIGITAL E REPRES</v>
      </c>
      <c r="E1330" s="21">
        <f>IFERROR(__xludf.DUMMYFUNCTION("""COMPUTED_VALUE"""),145359.0)</f>
        <v>145359</v>
      </c>
      <c r="F1330" s="21" t="str">
        <f>IFERROR(__xludf.DUMMYFUNCTION("""COMPUTED_VALUE"""),"INICIALIZADO")</f>
        <v>INICIALIZADO</v>
      </c>
      <c r="G1330" s="23">
        <f>IFERROR(__xludf.DUMMYFUNCTION("""COMPUTED_VALUE"""),45635.534895833334)</f>
        <v>45635.5349</v>
      </c>
      <c r="H1330" s="24" t="str">
        <f>IFERROR(VLOOKUP(B1330,material!A:D,3,0),"")</f>
        <v>CARD</v>
      </c>
    </row>
    <row r="1331" ht="11.25" customHeight="1">
      <c r="A1331" s="21" t="str">
        <f>IFERROR(__xludf.DUMMYFUNCTION("""COMPUTED_VALUE"""),"SMART CARD PRETO NAGRA")</f>
        <v>SMART CARD PRETO NAGRA</v>
      </c>
      <c r="B1331" s="22">
        <f>IFERROR(__xludf.DUMMYFUNCTION("""COMPUTED_VALUE"""),4.1001234E7)</f>
        <v>41001234</v>
      </c>
      <c r="C1331" s="21" t="str">
        <f>IFERROR(__xludf.DUMMYFUNCTION("""COMPUTED_VALUE"""),"226418711721")</f>
        <v>226418711721</v>
      </c>
      <c r="D1331" s="21" t="str">
        <f>IFERROR(__xludf.DUMMYFUNCTION("""COMPUTED_VALUE"""),"DIGITEC TECNOLOGIA DIGITAL E REPRES")</f>
        <v>DIGITEC TECNOLOGIA DIGITAL E REPRES</v>
      </c>
      <c r="E1331" s="21">
        <f>IFERROR(__xludf.DUMMYFUNCTION("""COMPUTED_VALUE"""),145359.0)</f>
        <v>145359</v>
      </c>
      <c r="F1331" s="21" t="str">
        <f>IFERROR(__xludf.DUMMYFUNCTION("""COMPUTED_VALUE"""),"INICIALIZADO")</f>
        <v>INICIALIZADO</v>
      </c>
      <c r="G1331" s="23">
        <f>IFERROR(__xludf.DUMMYFUNCTION("""COMPUTED_VALUE"""),45635.53496527778)</f>
        <v>45635.53497</v>
      </c>
      <c r="H1331" s="24" t="str">
        <f>IFERROR(VLOOKUP(B1331,material!A:D,3,0),"")</f>
        <v>CARD</v>
      </c>
    </row>
    <row r="1332" ht="11.25" customHeight="1">
      <c r="A1332" s="21" t="str">
        <f>IFERROR(__xludf.DUMMYFUNCTION("""COMPUTED_VALUE"""),"SMART CARD PRETO NAGRA")</f>
        <v>SMART CARD PRETO NAGRA</v>
      </c>
      <c r="B1332" s="22">
        <f>IFERROR(__xludf.DUMMYFUNCTION("""COMPUTED_VALUE"""),4.1001234E7)</f>
        <v>41001234</v>
      </c>
      <c r="C1332" s="21" t="str">
        <f>IFERROR(__xludf.DUMMYFUNCTION("""COMPUTED_VALUE"""),"246159342222")</f>
        <v>246159342222</v>
      </c>
      <c r="D1332" s="21" t="str">
        <f>IFERROR(__xludf.DUMMYFUNCTION("""COMPUTED_VALUE"""),"DIGITEC TECNOLOGIA DIGITAL E REPRES")</f>
        <v>DIGITEC TECNOLOGIA DIGITAL E REPRES</v>
      </c>
      <c r="E1332" s="21">
        <f>IFERROR(__xludf.DUMMYFUNCTION("""COMPUTED_VALUE"""),145359.0)</f>
        <v>145359</v>
      </c>
      <c r="F1332" s="21" t="str">
        <f>IFERROR(__xludf.DUMMYFUNCTION("""COMPUTED_VALUE"""),"INICIALIZADO")</f>
        <v>INICIALIZADO</v>
      </c>
      <c r="G1332" s="23">
        <f>IFERROR(__xludf.DUMMYFUNCTION("""COMPUTED_VALUE"""),45635.534895833334)</f>
        <v>45635.5349</v>
      </c>
      <c r="H1332" s="24" t="str">
        <f>IFERROR(VLOOKUP(B1332,material!A:D,3,0),"")</f>
        <v>CARD</v>
      </c>
    </row>
    <row r="1333" ht="11.25" customHeight="1">
      <c r="A1333" s="21" t="str">
        <f>IFERROR(__xludf.DUMMYFUNCTION("""COMPUTED_VALUE"""),"SMART CARD PRETO NAGRA")</f>
        <v>SMART CARD PRETO NAGRA</v>
      </c>
      <c r="B1333" s="22">
        <f>IFERROR(__xludf.DUMMYFUNCTION("""COMPUTED_VALUE"""),4.1001234E7)</f>
        <v>41001234</v>
      </c>
      <c r="C1333" s="21" t="str">
        <f>IFERROR(__xludf.DUMMYFUNCTION("""COMPUTED_VALUE"""),"226162707678")</f>
        <v>226162707678</v>
      </c>
      <c r="D1333" s="21" t="str">
        <f>IFERROR(__xludf.DUMMYFUNCTION("""COMPUTED_VALUE"""),"DIGITEC TECNOLOGIA DIGITAL E REPRES")</f>
        <v>DIGITEC TECNOLOGIA DIGITAL E REPRES</v>
      </c>
      <c r="E1333" s="21">
        <f>IFERROR(__xludf.DUMMYFUNCTION("""COMPUTED_VALUE"""),145359.0)</f>
        <v>145359</v>
      </c>
      <c r="F1333" s="21" t="str">
        <f>IFERROR(__xludf.DUMMYFUNCTION("""COMPUTED_VALUE"""),"INICIALIZADO")</f>
        <v>INICIALIZADO</v>
      </c>
      <c r="G1333" s="23">
        <f>IFERROR(__xludf.DUMMYFUNCTION("""COMPUTED_VALUE"""),45635.53494212963)</f>
        <v>45635.53494</v>
      </c>
      <c r="H1333" s="24" t="str">
        <f>IFERROR(VLOOKUP(B1333,material!A:D,3,0),"")</f>
        <v>CARD</v>
      </c>
    </row>
    <row r="1334" ht="11.25" customHeight="1">
      <c r="A1334" s="21" t="str">
        <f>IFERROR(__xludf.DUMMYFUNCTION("""COMPUTED_VALUE"""),"SMART CARD PRETO NAGRA")</f>
        <v>SMART CARD PRETO NAGRA</v>
      </c>
      <c r="B1334" s="22">
        <f>IFERROR(__xludf.DUMMYFUNCTION("""COMPUTED_VALUE"""),4.1001234E7)</f>
        <v>41001234</v>
      </c>
      <c r="C1334" s="21" t="str">
        <f>IFERROR(__xludf.DUMMYFUNCTION("""COMPUTED_VALUE"""),"226084927596")</f>
        <v>226084927596</v>
      </c>
      <c r="D1334" s="21" t="str">
        <f>IFERROR(__xludf.DUMMYFUNCTION("""COMPUTED_VALUE"""),"DIGITEC TECNOLOGIA DIGITAL E REPRES")</f>
        <v>DIGITEC TECNOLOGIA DIGITAL E REPRES</v>
      </c>
      <c r="E1334" s="21">
        <f>IFERROR(__xludf.DUMMYFUNCTION("""COMPUTED_VALUE"""),145359.0)</f>
        <v>145359</v>
      </c>
      <c r="F1334" s="21" t="str">
        <f>IFERROR(__xludf.DUMMYFUNCTION("""COMPUTED_VALUE"""),"INICIALIZADO")</f>
        <v>INICIALIZADO</v>
      </c>
      <c r="G1334" s="23">
        <f>IFERROR(__xludf.DUMMYFUNCTION("""COMPUTED_VALUE"""),45454.55348379629)</f>
        <v>45454.55348</v>
      </c>
      <c r="H1334" s="24" t="str">
        <f>IFERROR(VLOOKUP(B1334,material!A:D,3,0),"")</f>
        <v>CARD</v>
      </c>
    </row>
    <row r="1335" ht="11.25" customHeight="1">
      <c r="A1335" s="21" t="str">
        <f>IFERROR(__xludf.DUMMYFUNCTION("""COMPUTED_VALUE"""),"SMART CARD PRETO NAGRA")</f>
        <v>SMART CARD PRETO NAGRA</v>
      </c>
      <c r="B1335" s="22">
        <f>IFERROR(__xludf.DUMMYFUNCTION("""COMPUTED_VALUE"""),4.1001234E7)</f>
        <v>41001234</v>
      </c>
      <c r="C1335" s="21" t="str">
        <f>IFERROR(__xludf.DUMMYFUNCTION("""COMPUTED_VALUE"""),"226149092950")</f>
        <v>226149092950</v>
      </c>
      <c r="D1335" s="21" t="str">
        <f>IFERROR(__xludf.DUMMYFUNCTION("""COMPUTED_VALUE"""),"DIGITEC TECNOLOGIA DIGITAL E REPRES")</f>
        <v>DIGITEC TECNOLOGIA DIGITAL E REPRES</v>
      </c>
      <c r="E1335" s="21">
        <f>IFERROR(__xludf.DUMMYFUNCTION("""COMPUTED_VALUE"""),145359.0)</f>
        <v>145359</v>
      </c>
      <c r="F1335" s="21" t="str">
        <f>IFERROR(__xludf.DUMMYFUNCTION("""COMPUTED_VALUE"""),"INICIALIZADO")</f>
        <v>INICIALIZADO</v>
      </c>
      <c r="G1335" s="23">
        <f>IFERROR(__xludf.DUMMYFUNCTION("""COMPUTED_VALUE"""),45615.61851851852)</f>
        <v>45615.61852</v>
      </c>
      <c r="H1335" s="24" t="str">
        <f>IFERROR(VLOOKUP(B1335,material!A:D,3,0),"")</f>
        <v>CARD</v>
      </c>
    </row>
    <row r="1336" ht="11.25" customHeight="1">
      <c r="A1336" s="21" t="str">
        <f>IFERROR(__xludf.DUMMYFUNCTION("""COMPUTED_VALUE"""),"SMART CARD PRETO NAGRA")</f>
        <v>SMART CARD PRETO NAGRA</v>
      </c>
      <c r="B1336" s="22">
        <f>IFERROR(__xludf.DUMMYFUNCTION("""COMPUTED_VALUE"""),4.1001234E7)</f>
        <v>41001234</v>
      </c>
      <c r="C1336" s="21" t="str">
        <f>IFERROR(__xludf.DUMMYFUNCTION("""COMPUTED_VALUE"""),"226308562834")</f>
        <v>226308562834</v>
      </c>
      <c r="D1336" s="21" t="str">
        <f>IFERROR(__xludf.DUMMYFUNCTION("""COMPUTED_VALUE"""),"DIGITEC TECNOLOGIA DIGITAL E REPRES")</f>
        <v>DIGITEC TECNOLOGIA DIGITAL E REPRES</v>
      </c>
      <c r="E1336" s="21">
        <f>IFERROR(__xludf.DUMMYFUNCTION("""COMPUTED_VALUE"""),145359.0)</f>
        <v>145359</v>
      </c>
      <c r="F1336" s="21" t="str">
        <f>IFERROR(__xludf.DUMMYFUNCTION("""COMPUTED_VALUE"""),"INICIALIZADO")</f>
        <v>INICIALIZADO</v>
      </c>
      <c r="G1336" s="23">
        <f>IFERROR(__xludf.DUMMYFUNCTION("""COMPUTED_VALUE"""),45635.53496527778)</f>
        <v>45635.53497</v>
      </c>
      <c r="H1336" s="24" t="str">
        <f>IFERROR(VLOOKUP(B1336,material!A:D,3,0),"")</f>
        <v>CARD</v>
      </c>
    </row>
    <row r="1337" ht="11.25" customHeight="1">
      <c r="A1337" s="21" t="str">
        <f>IFERROR(__xludf.DUMMYFUNCTION("""COMPUTED_VALUE"""),"SMART CARD PRETO NAGRA")</f>
        <v>SMART CARD PRETO NAGRA</v>
      </c>
      <c r="B1337" s="22">
        <f>IFERROR(__xludf.DUMMYFUNCTION("""COMPUTED_VALUE"""),4.1001234E7)</f>
        <v>41001234</v>
      </c>
      <c r="C1337" s="21" t="str">
        <f>IFERROR(__xludf.DUMMYFUNCTION("""COMPUTED_VALUE"""),"226355439596")</f>
        <v>226355439596</v>
      </c>
      <c r="D1337" s="21" t="str">
        <f>IFERROR(__xludf.DUMMYFUNCTION("""COMPUTED_VALUE"""),"DIGITEC TECNOLOGIA DIGITAL E REPRES")</f>
        <v>DIGITEC TECNOLOGIA DIGITAL E REPRES</v>
      </c>
      <c r="E1337" s="21">
        <f>IFERROR(__xludf.DUMMYFUNCTION("""COMPUTED_VALUE"""),145359.0)</f>
        <v>145359</v>
      </c>
      <c r="F1337" s="21" t="str">
        <f>IFERROR(__xludf.DUMMYFUNCTION("""COMPUTED_VALUE"""),"INICIALIZADO")</f>
        <v>INICIALIZADO</v>
      </c>
      <c r="G1337" s="23">
        <f>IFERROR(__xludf.DUMMYFUNCTION("""COMPUTED_VALUE"""),45615.61851851852)</f>
        <v>45615.61852</v>
      </c>
      <c r="H1337" s="24" t="str">
        <f>IFERROR(VLOOKUP(B1337,material!A:D,3,0),"")</f>
        <v>CARD</v>
      </c>
    </row>
    <row r="1338" ht="11.25" customHeight="1">
      <c r="A1338" s="21" t="str">
        <f>IFERROR(__xludf.DUMMYFUNCTION("""COMPUTED_VALUE"""),"SMART CARD PRETO NAGRA")</f>
        <v>SMART CARD PRETO NAGRA</v>
      </c>
      <c r="B1338" s="22">
        <f>IFERROR(__xludf.DUMMYFUNCTION("""COMPUTED_VALUE"""),4.1001234E7)</f>
        <v>41001234</v>
      </c>
      <c r="C1338" s="21" t="str">
        <f>IFERROR(__xludf.DUMMYFUNCTION("""COMPUTED_VALUE"""),"226137119009")</f>
        <v>226137119009</v>
      </c>
      <c r="D1338" s="21" t="str">
        <f>IFERROR(__xludf.DUMMYFUNCTION("""COMPUTED_VALUE"""),"DIGITEC TECNOLOGIA DIGITAL E REPRES")</f>
        <v>DIGITEC TECNOLOGIA DIGITAL E REPRES</v>
      </c>
      <c r="E1338" s="21">
        <f>IFERROR(__xludf.DUMMYFUNCTION("""COMPUTED_VALUE"""),145359.0)</f>
        <v>145359</v>
      </c>
      <c r="F1338" s="21" t="str">
        <f>IFERROR(__xludf.DUMMYFUNCTION("""COMPUTED_VALUE"""),"INICIALIZADO")</f>
        <v>INICIALIZADO</v>
      </c>
      <c r="G1338" s="23">
        <f>IFERROR(__xludf.DUMMYFUNCTION("""COMPUTED_VALUE"""),45635.53494212963)</f>
        <v>45635.53494</v>
      </c>
      <c r="H1338" s="24" t="str">
        <f>IFERROR(VLOOKUP(B1338,material!A:D,3,0),"")</f>
        <v>CARD</v>
      </c>
    </row>
    <row r="1339" ht="11.25" customHeight="1">
      <c r="A1339" s="21" t="str">
        <f>IFERROR(__xludf.DUMMYFUNCTION("""COMPUTED_VALUE"""),"SMART CARD LARANJA NAGRA")</f>
        <v>SMART CARD LARANJA NAGRA</v>
      </c>
      <c r="B1339" s="22">
        <f>IFERROR(__xludf.DUMMYFUNCTION("""COMPUTED_VALUE"""),4.1001186E7)</f>
        <v>41001186</v>
      </c>
      <c r="C1339" s="21" t="str">
        <f>IFERROR(__xludf.DUMMYFUNCTION("""COMPUTED_VALUE"""),"226059821129")</f>
        <v>226059821129</v>
      </c>
      <c r="D1339" s="21" t="str">
        <f>IFERROR(__xludf.DUMMYFUNCTION("""COMPUTED_VALUE"""),"DIGITEC TECNOLOGIA DIGITAL E REPRES")</f>
        <v>DIGITEC TECNOLOGIA DIGITAL E REPRES</v>
      </c>
      <c r="E1339" s="21">
        <f>IFERROR(__xludf.DUMMYFUNCTION("""COMPUTED_VALUE"""),145359.0)</f>
        <v>145359</v>
      </c>
      <c r="F1339" s="21" t="str">
        <f>IFERROR(__xludf.DUMMYFUNCTION("""COMPUTED_VALUE"""),"INICIALIZADO")</f>
        <v>INICIALIZADO</v>
      </c>
      <c r="G1339" s="23">
        <f>IFERROR(__xludf.DUMMYFUNCTION("""COMPUTED_VALUE"""),45635.53494212963)</f>
        <v>45635.53494</v>
      </c>
      <c r="H1339" s="24" t="str">
        <f>IFERROR(VLOOKUP(B1339,material!A:D,3,0),"")</f>
        <v>CARD</v>
      </c>
    </row>
    <row r="1340" ht="11.25" customHeight="1">
      <c r="A1340" s="21" t="str">
        <f>IFERROR(__xludf.DUMMYFUNCTION("""COMPUTED_VALUE"""),"DECODER DIGITAL HD DXC5000 2T")</f>
        <v>DECODER DIGITAL HD DXC5000 2T</v>
      </c>
      <c r="B1340" s="22">
        <f>IFERROR(__xludf.DUMMYFUNCTION("""COMPUTED_VALUE"""),4.1001277E7)</f>
        <v>41001277</v>
      </c>
      <c r="C1340" s="21" t="str">
        <f>IFERROR(__xludf.DUMMYFUNCTION("""COMPUTED_VALUE"""),"216712754149")</f>
        <v>216712754149</v>
      </c>
      <c r="D1340" s="21" t="str">
        <f>IFERROR(__xludf.DUMMYFUNCTION("""COMPUTED_VALUE"""),"DIGITEC TECNOLOGIA DIGITAL E REPRES")</f>
        <v>DIGITEC TECNOLOGIA DIGITAL E REPRES</v>
      </c>
      <c r="E1340" s="21">
        <f>IFERROR(__xludf.DUMMYFUNCTION("""COMPUTED_VALUE"""),145359.0)</f>
        <v>145359</v>
      </c>
      <c r="F1340" s="21" t="str">
        <f>IFERROR(__xludf.DUMMYFUNCTION("""COMPUTED_VALUE"""),"INICIALIZADO")</f>
        <v>INICIALIZADO</v>
      </c>
      <c r="G1340" s="23">
        <f>IFERROR(__xludf.DUMMYFUNCTION("""COMPUTED_VALUE"""),45618.65200231482)</f>
        <v>45618.652</v>
      </c>
      <c r="H1340" s="24" t="str">
        <f>IFERROR(VLOOKUP(B1340,material!A:D,3,0),"")</f>
        <v>TOP MIX</v>
      </c>
    </row>
    <row r="1341" ht="11.25" customHeight="1">
      <c r="A1341" s="21" t="str">
        <f>IFERROR(__xludf.DUMMYFUNCTION("""COMPUTED_VALUE"""),"TECHNICOLOR - TC7300-B0S")</f>
        <v>TECHNICOLOR - TC7300-B0S</v>
      </c>
      <c r="B1341" s="22">
        <f>IFERROR(__xludf.DUMMYFUNCTION("""COMPUTED_VALUE"""),4.100129E7)</f>
        <v>41001290</v>
      </c>
      <c r="C1341" s="21" t="str">
        <f>IFERROR(__xludf.DUMMYFUNCTION("""COMPUTED_VALUE"""),"08952AA8867C")</f>
        <v>08952AA8867C</v>
      </c>
      <c r="D1341" s="21" t="str">
        <f>IFERROR(__xludf.DUMMYFUNCTION("""COMPUTED_VALUE"""),"DIGITEC TECNOLOGIA DIGITAL E REPRES")</f>
        <v>DIGITEC TECNOLOGIA DIGITAL E REPRES</v>
      </c>
      <c r="E1341" s="21">
        <f>IFERROR(__xludf.DUMMYFUNCTION("""COMPUTED_VALUE"""),145359.0)</f>
        <v>145359</v>
      </c>
      <c r="F1341" s="21" t="str">
        <f>IFERROR(__xludf.DUMMYFUNCTION("""COMPUTED_VALUE"""),"INICIALIZADO")</f>
        <v>INICIALIZADO</v>
      </c>
      <c r="G1341" s="23">
        <f>IFERROR(__xludf.DUMMYFUNCTION("""COMPUTED_VALUE"""),44999.92971064815)</f>
        <v>44999.92971</v>
      </c>
      <c r="H1341" s="24" t="str">
        <f>IFERROR(VLOOKUP(B1341,material!A:D,3,0),"")</f>
        <v>INATIVO</v>
      </c>
    </row>
    <row r="1342" ht="11.25" customHeight="1">
      <c r="A1342" s="21" t="str">
        <f>IFERROR(__xludf.DUMMYFUNCTION("""COMPUTED_VALUE"""),"DECODER HD DCI738 2T")</f>
        <v>DECODER HD DCI738 2T</v>
      </c>
      <c r="B1342" s="22">
        <f>IFERROR(__xludf.DUMMYFUNCTION("""COMPUTED_VALUE"""),4.1001275E7)</f>
        <v>41001275</v>
      </c>
      <c r="C1342" s="21" t="str">
        <f>IFERROR(__xludf.DUMMYFUNCTION("""COMPUTED_VALUE"""),"216726952830")</f>
        <v>216726952830</v>
      </c>
      <c r="D1342" s="21" t="str">
        <f>IFERROR(__xludf.DUMMYFUNCTION("""COMPUTED_VALUE"""),"DIGITEC TECNOLOGIA DIGITAL E REPRES")</f>
        <v>DIGITEC TECNOLOGIA DIGITAL E REPRES</v>
      </c>
      <c r="E1342" s="21">
        <f>IFERROR(__xludf.DUMMYFUNCTION("""COMPUTED_VALUE"""),145359.0)</f>
        <v>145359</v>
      </c>
      <c r="F1342" s="21" t="str">
        <f>IFERROR(__xludf.DUMMYFUNCTION("""COMPUTED_VALUE"""),"INICIALIZADO")</f>
        <v>INICIALIZADO</v>
      </c>
      <c r="G1342" s="23">
        <f>IFERROR(__xludf.DUMMYFUNCTION("""COMPUTED_VALUE"""),45602.64471064815)</f>
        <v>45602.64471</v>
      </c>
      <c r="H1342" s="24" t="str">
        <f>IFERROR(VLOOKUP(B1342,material!A:D,3,0),"")</f>
        <v>TOP MIX</v>
      </c>
    </row>
    <row r="1343" ht="11.25" customHeight="1">
      <c r="A1343" s="21" t="str">
        <f>IFERROR(__xludf.DUMMYFUNCTION("""COMPUTED_VALUE"""),"DECODER HD DCI738 2T")</f>
        <v>DECODER HD DCI738 2T</v>
      </c>
      <c r="B1343" s="22">
        <f>IFERROR(__xludf.DUMMYFUNCTION("""COMPUTED_VALUE"""),4.1001275E7)</f>
        <v>41001275</v>
      </c>
      <c r="C1343" s="21" t="str">
        <f>IFERROR(__xludf.DUMMYFUNCTION("""COMPUTED_VALUE"""),"216661347796")</f>
        <v>216661347796</v>
      </c>
      <c r="D1343" s="21" t="str">
        <f>IFERROR(__xludf.DUMMYFUNCTION("""COMPUTED_VALUE"""),"DIGITEC TECNOLOGIA DIGITAL E REPRES")</f>
        <v>DIGITEC TECNOLOGIA DIGITAL E REPRES</v>
      </c>
      <c r="E1343" s="21">
        <f>IFERROR(__xludf.DUMMYFUNCTION("""COMPUTED_VALUE"""),145359.0)</f>
        <v>145359</v>
      </c>
      <c r="F1343" s="21" t="str">
        <f>IFERROR(__xludf.DUMMYFUNCTION("""COMPUTED_VALUE"""),"INICIALIZADO")</f>
        <v>INICIALIZADO</v>
      </c>
      <c r="G1343" s="23">
        <f>IFERROR(__xludf.DUMMYFUNCTION("""COMPUTED_VALUE"""),45602.64471064815)</f>
        <v>45602.64471</v>
      </c>
      <c r="H1343" s="24" t="str">
        <f>IFERROR(VLOOKUP(B1343,material!A:D,3,0),"")</f>
        <v>TOP MIX</v>
      </c>
    </row>
    <row r="1344" ht="11.25" customHeight="1">
      <c r="A1344" s="21" t="str">
        <f>IFERROR(__xludf.DUMMYFUNCTION("""COMPUTED_VALUE"""),"DECODER HD DCI738 2T")</f>
        <v>DECODER HD DCI738 2T</v>
      </c>
      <c r="B1344" s="22">
        <f>IFERROR(__xludf.DUMMYFUNCTION("""COMPUTED_VALUE"""),4.1001275E7)</f>
        <v>41001275</v>
      </c>
      <c r="C1344" s="21" t="str">
        <f>IFERROR(__xludf.DUMMYFUNCTION("""COMPUTED_VALUE"""),"216527575459")</f>
        <v>216527575459</v>
      </c>
      <c r="D1344" s="21" t="str">
        <f>IFERROR(__xludf.DUMMYFUNCTION("""COMPUTED_VALUE"""),"DIGITEC TECNOLOGIA DIGITAL E REPRES")</f>
        <v>DIGITEC TECNOLOGIA DIGITAL E REPRES</v>
      </c>
      <c r="E1344" s="21">
        <f>IFERROR(__xludf.DUMMYFUNCTION("""COMPUTED_VALUE"""),145359.0)</f>
        <v>145359</v>
      </c>
      <c r="F1344" s="21" t="str">
        <f>IFERROR(__xludf.DUMMYFUNCTION("""COMPUTED_VALUE"""),"INICIALIZADO")</f>
        <v>INICIALIZADO</v>
      </c>
      <c r="G1344" s="23">
        <f>IFERROR(__xludf.DUMMYFUNCTION("""COMPUTED_VALUE"""),45602.64471064815)</f>
        <v>45602.64471</v>
      </c>
      <c r="H1344" s="24" t="str">
        <f>IFERROR(VLOOKUP(B1344,material!A:D,3,0),"")</f>
        <v>TOP MIX</v>
      </c>
    </row>
    <row r="1345" ht="11.25" customHeight="1">
      <c r="A1345" s="21" t="str">
        <f>IFERROR(__xludf.DUMMYFUNCTION("""COMPUTED_VALUE"""),"DECODER DIGITAL HD HNB100 2T")</f>
        <v>DECODER DIGITAL HD HNB100 2T</v>
      </c>
      <c r="B1345" s="22">
        <f>IFERROR(__xludf.DUMMYFUNCTION("""COMPUTED_VALUE"""),4.1001276E7)</f>
        <v>41001276</v>
      </c>
      <c r="C1345" s="21" t="str">
        <f>IFERROR(__xludf.DUMMYFUNCTION("""COMPUTED_VALUE"""),"216347341731")</f>
        <v>216347341731</v>
      </c>
      <c r="D1345" s="21" t="str">
        <f>IFERROR(__xludf.DUMMYFUNCTION("""COMPUTED_VALUE"""),"DIGITEC TECNOLOGIA DIGITAL E REPRES")</f>
        <v>DIGITEC TECNOLOGIA DIGITAL E REPRES</v>
      </c>
      <c r="E1345" s="21">
        <f>IFERROR(__xludf.DUMMYFUNCTION("""COMPUTED_VALUE"""),145359.0)</f>
        <v>145359</v>
      </c>
      <c r="F1345" s="21" t="str">
        <f>IFERROR(__xludf.DUMMYFUNCTION("""COMPUTED_VALUE"""),"INICIALIZADO")</f>
        <v>INICIALIZADO</v>
      </c>
      <c r="G1345" s="23">
        <f>IFERROR(__xludf.DUMMYFUNCTION("""COMPUTED_VALUE"""),45635.535057870366)</f>
        <v>45635.53506</v>
      </c>
      <c r="H1345" s="24" t="str">
        <f>IFERROR(VLOOKUP(B1345,material!A:D,3,0),"")</f>
        <v>TOP MIX</v>
      </c>
    </row>
    <row r="1346" ht="11.25" customHeight="1">
      <c r="A1346" s="21" t="str">
        <f>IFERROR(__xludf.DUMMYFUNCTION("""COMPUTED_VALUE"""),"DECODER DIGITAL HD HNB100 2T")</f>
        <v>DECODER DIGITAL HD HNB100 2T</v>
      </c>
      <c r="B1346" s="22">
        <f>IFERROR(__xludf.DUMMYFUNCTION("""COMPUTED_VALUE"""),4.1001276E7)</f>
        <v>41001276</v>
      </c>
      <c r="C1346" s="21" t="str">
        <f>IFERROR(__xludf.DUMMYFUNCTION("""COMPUTED_VALUE"""),"184327673752")</f>
        <v>184327673752</v>
      </c>
      <c r="D1346" s="21" t="str">
        <f>IFERROR(__xludf.DUMMYFUNCTION("""COMPUTED_VALUE"""),"DIGITEC TECNOLOGIA DIGITAL E REPRES")</f>
        <v>DIGITEC TECNOLOGIA DIGITAL E REPRES</v>
      </c>
      <c r="E1346" s="21">
        <f>IFERROR(__xludf.DUMMYFUNCTION("""COMPUTED_VALUE"""),145359.0)</f>
        <v>145359</v>
      </c>
      <c r="F1346" s="21" t="str">
        <f>IFERROR(__xludf.DUMMYFUNCTION("""COMPUTED_VALUE"""),"INICIALIZADO")</f>
        <v>INICIALIZADO</v>
      </c>
      <c r="G1346" s="23">
        <f>IFERROR(__xludf.DUMMYFUNCTION("""COMPUTED_VALUE"""),45642.52413194445)</f>
        <v>45642.52413</v>
      </c>
      <c r="H1346" s="24" t="str">
        <f>IFERROR(VLOOKUP(B1346,material!A:D,3,0),"")</f>
        <v>TOP MIX</v>
      </c>
    </row>
    <row r="1347" ht="11.25" customHeight="1">
      <c r="A1347" s="21" t="str">
        <f>IFERROR(__xludf.DUMMYFUNCTION("""COMPUTED_VALUE"""),"DECODER DIGITAL HD HNB100 2T")</f>
        <v>DECODER DIGITAL HD HNB100 2T</v>
      </c>
      <c r="B1347" s="22">
        <f>IFERROR(__xludf.DUMMYFUNCTION("""COMPUTED_VALUE"""),4.1001276E7)</f>
        <v>41001276</v>
      </c>
      <c r="C1347" s="21" t="str">
        <f>IFERROR(__xludf.DUMMYFUNCTION("""COMPUTED_VALUE"""),"184332300119")</f>
        <v>184332300119</v>
      </c>
      <c r="D1347" s="21" t="str">
        <f>IFERROR(__xludf.DUMMYFUNCTION("""COMPUTED_VALUE"""),"DIGITEC TECNOLOGIA DIGITAL E REPRES")</f>
        <v>DIGITEC TECNOLOGIA DIGITAL E REPRES</v>
      </c>
      <c r="E1347" s="21">
        <f>IFERROR(__xludf.DUMMYFUNCTION("""COMPUTED_VALUE"""),145359.0)</f>
        <v>145359</v>
      </c>
      <c r="F1347" s="21" t="str">
        <f>IFERROR(__xludf.DUMMYFUNCTION("""COMPUTED_VALUE"""),"INICIALIZADO")</f>
        <v>INICIALIZADO</v>
      </c>
      <c r="G1347" s="23">
        <f>IFERROR(__xludf.DUMMYFUNCTION("""COMPUTED_VALUE"""),45642.52413194445)</f>
        <v>45642.52413</v>
      </c>
      <c r="H1347" s="24" t="str">
        <f>IFERROR(VLOOKUP(B1347,material!A:D,3,0),"")</f>
        <v>TOP MIX</v>
      </c>
    </row>
    <row r="1348" ht="11.25" customHeight="1">
      <c r="A1348" s="21" t="str">
        <f>IFERROR(__xludf.DUMMYFUNCTION("""COMPUTED_VALUE"""),"DECODER DIGITAL HD HNB100 2T")</f>
        <v>DECODER DIGITAL HD HNB100 2T</v>
      </c>
      <c r="B1348" s="22">
        <f>IFERROR(__xludf.DUMMYFUNCTION("""COMPUTED_VALUE"""),4.1001276E7)</f>
        <v>41001276</v>
      </c>
      <c r="C1348" s="21" t="str">
        <f>IFERROR(__xludf.DUMMYFUNCTION("""COMPUTED_VALUE"""),"216756035668")</f>
        <v>216756035668</v>
      </c>
      <c r="D1348" s="21" t="str">
        <f>IFERROR(__xludf.DUMMYFUNCTION("""COMPUTED_VALUE"""),"DIGITEC TECNOLOGIA DIGITAL E REPRES")</f>
        <v>DIGITEC TECNOLOGIA DIGITAL E REPRES</v>
      </c>
      <c r="E1348" s="21">
        <f>IFERROR(__xludf.DUMMYFUNCTION("""COMPUTED_VALUE"""),145359.0)</f>
        <v>145359</v>
      </c>
      <c r="F1348" s="21" t="str">
        <f>IFERROR(__xludf.DUMMYFUNCTION("""COMPUTED_VALUE"""),"INICIALIZADO")</f>
        <v>INICIALIZADO</v>
      </c>
      <c r="G1348" s="23">
        <f>IFERROR(__xludf.DUMMYFUNCTION("""COMPUTED_VALUE"""),45635.535)</f>
        <v>45635.535</v>
      </c>
      <c r="H1348" s="24" t="str">
        <f>IFERROR(VLOOKUP(B1348,material!A:D,3,0),"")</f>
        <v>TOP MIX</v>
      </c>
    </row>
    <row r="1349" ht="11.25" customHeight="1">
      <c r="A1349" s="21" t="str">
        <f>IFERROR(__xludf.DUMMYFUNCTION("""COMPUTED_VALUE"""),"SMART CARD PRETO NAGRA")</f>
        <v>SMART CARD PRETO NAGRA</v>
      </c>
      <c r="B1349" s="22">
        <f>IFERROR(__xludf.DUMMYFUNCTION("""COMPUTED_VALUE"""),4.1001234E7)</f>
        <v>41001234</v>
      </c>
      <c r="C1349" s="21" t="str">
        <f>IFERROR(__xludf.DUMMYFUNCTION("""COMPUTED_VALUE"""),"226383730204")</f>
        <v>226383730204</v>
      </c>
      <c r="D1349" s="21" t="str">
        <f>IFERROR(__xludf.DUMMYFUNCTION("""COMPUTED_VALUE"""),"DIGITEC TECNOLOGIA DIGITAL E REPRES")</f>
        <v>DIGITEC TECNOLOGIA DIGITAL E REPRES</v>
      </c>
      <c r="E1349" s="21">
        <f>IFERROR(__xludf.DUMMYFUNCTION("""COMPUTED_VALUE"""),145359.0)</f>
        <v>145359</v>
      </c>
      <c r="F1349" s="21" t="str">
        <f>IFERROR(__xludf.DUMMYFUNCTION("""COMPUTED_VALUE"""),"INICIALIZADO")</f>
        <v>INICIALIZADO</v>
      </c>
      <c r="G1349" s="23">
        <f>IFERROR(__xludf.DUMMYFUNCTION("""COMPUTED_VALUE"""),45635.534953703704)</f>
        <v>45635.53495</v>
      </c>
      <c r="H1349" s="24" t="str">
        <f>IFERROR(VLOOKUP(B1349,material!A:D,3,0),"")</f>
        <v>CARD</v>
      </c>
    </row>
    <row r="1350" ht="11.25" customHeight="1">
      <c r="A1350" s="21" t="str">
        <f>IFERROR(__xludf.DUMMYFUNCTION("""COMPUTED_VALUE"""),"DECODER DIGITAL HD HNB100 2T")</f>
        <v>DECODER DIGITAL HD HNB100 2T</v>
      </c>
      <c r="B1350" s="22">
        <f>IFERROR(__xludf.DUMMYFUNCTION("""COMPUTED_VALUE"""),4.1001276E7)</f>
        <v>41001276</v>
      </c>
      <c r="C1350" s="21" t="str">
        <f>IFERROR(__xludf.DUMMYFUNCTION("""COMPUTED_VALUE"""),"216701763851")</f>
        <v>216701763851</v>
      </c>
      <c r="D1350" s="21" t="str">
        <f>IFERROR(__xludf.DUMMYFUNCTION("""COMPUTED_VALUE"""),"DIGITEC TECNOLOGIA DIGITAL E REPRES")</f>
        <v>DIGITEC TECNOLOGIA DIGITAL E REPRES</v>
      </c>
      <c r="E1350" s="21">
        <f>IFERROR(__xludf.DUMMYFUNCTION("""COMPUTED_VALUE"""),145359.0)</f>
        <v>145359</v>
      </c>
      <c r="F1350" s="21" t="str">
        <f>IFERROR(__xludf.DUMMYFUNCTION("""COMPUTED_VALUE"""),"INICIALIZADO")</f>
        <v>INICIALIZADO</v>
      </c>
      <c r="G1350" s="23">
        <f>IFERROR(__xludf.DUMMYFUNCTION("""COMPUTED_VALUE"""),45642.52412037037)</f>
        <v>45642.52412</v>
      </c>
      <c r="H1350" s="24" t="str">
        <f>IFERROR(VLOOKUP(B1350,material!A:D,3,0),"")</f>
        <v>TOP MIX</v>
      </c>
    </row>
    <row r="1351" ht="11.25" customHeight="1">
      <c r="A1351" s="21" t="str">
        <f>IFERROR(__xludf.DUMMYFUNCTION("""COMPUTED_VALUE"""),"SMART CARD PRETO NAGRA")</f>
        <v>SMART CARD PRETO NAGRA</v>
      </c>
      <c r="B1351" s="22">
        <f>IFERROR(__xludf.DUMMYFUNCTION("""COMPUTED_VALUE"""),4.1001234E7)</f>
        <v>41001234</v>
      </c>
      <c r="C1351" s="21" t="str">
        <f>IFERROR(__xludf.DUMMYFUNCTION("""COMPUTED_VALUE"""),"226387356685")</f>
        <v>226387356685</v>
      </c>
      <c r="D1351" s="21" t="str">
        <f>IFERROR(__xludf.DUMMYFUNCTION("""COMPUTED_VALUE"""),"DIGITEC TECNOLOGIA DIGITAL E REPRES")</f>
        <v>DIGITEC TECNOLOGIA DIGITAL E REPRES</v>
      </c>
      <c r="E1351" s="21">
        <f>IFERROR(__xludf.DUMMYFUNCTION("""COMPUTED_VALUE"""),145359.0)</f>
        <v>145359</v>
      </c>
      <c r="F1351" s="21" t="str">
        <f>IFERROR(__xludf.DUMMYFUNCTION("""COMPUTED_VALUE"""),"INICIALIZADO")</f>
        <v>INICIALIZADO</v>
      </c>
      <c r="G1351" s="23">
        <f>IFERROR(__xludf.DUMMYFUNCTION("""COMPUTED_VALUE"""),45635.534953703704)</f>
        <v>45635.53495</v>
      </c>
      <c r="H1351" s="24" t="str">
        <f>IFERROR(VLOOKUP(B1351,material!A:D,3,0),"")</f>
        <v>CARD</v>
      </c>
    </row>
    <row r="1352" ht="11.25" customHeight="1">
      <c r="A1352" s="21" t="str">
        <f>IFERROR(__xludf.DUMMYFUNCTION("""COMPUTED_VALUE"""),"SMART CARD LARANJA NAGRA")</f>
        <v>SMART CARD LARANJA NAGRA</v>
      </c>
      <c r="B1352" s="22">
        <f>IFERROR(__xludf.DUMMYFUNCTION("""COMPUTED_VALUE"""),4.1001186E7)</f>
        <v>41001186</v>
      </c>
      <c r="C1352" s="21" t="str">
        <f>IFERROR(__xludf.DUMMYFUNCTION("""COMPUTED_VALUE"""),"226689982034")</f>
        <v>226689982034</v>
      </c>
      <c r="D1352" s="21" t="str">
        <f>IFERROR(__xludf.DUMMYFUNCTION("""COMPUTED_VALUE"""),"DIGITEC TECNOLOGIA DIGITAL E REPRES")</f>
        <v>DIGITEC TECNOLOGIA DIGITAL E REPRES</v>
      </c>
      <c r="E1352" s="21">
        <f>IFERROR(__xludf.DUMMYFUNCTION("""COMPUTED_VALUE"""),145359.0)</f>
        <v>145359</v>
      </c>
      <c r="F1352" s="21" t="str">
        <f>IFERROR(__xludf.DUMMYFUNCTION("""COMPUTED_VALUE"""),"SUCATA")</f>
        <v>SUCATA</v>
      </c>
      <c r="G1352" s="23">
        <f>IFERROR(__xludf.DUMMYFUNCTION("""COMPUTED_VALUE"""),45075.51189814815)</f>
        <v>45075.5119</v>
      </c>
      <c r="H1352" s="24" t="str">
        <f>IFERROR(VLOOKUP(B1352,material!A:D,3,0),"")</f>
        <v>CARD</v>
      </c>
    </row>
    <row r="1353" ht="11.25" customHeight="1">
      <c r="A1353" s="21" t="str">
        <f>IFERROR(__xludf.DUMMYFUNCTION("""COMPUTED_VALUE"""),"SMART CARD PRETO NAGRA")</f>
        <v>SMART CARD PRETO NAGRA</v>
      </c>
      <c r="B1353" s="22">
        <f>IFERROR(__xludf.DUMMYFUNCTION("""COMPUTED_VALUE"""),4.1001234E7)</f>
        <v>41001234</v>
      </c>
      <c r="C1353" s="21" t="str">
        <f>IFERROR(__xludf.DUMMYFUNCTION("""COMPUTED_VALUE"""),"226338724857")</f>
        <v>226338724857</v>
      </c>
      <c r="D1353" s="21" t="str">
        <f>IFERROR(__xludf.DUMMYFUNCTION("""COMPUTED_VALUE"""),"DIGITEC TECNOLOGIA DIGITAL E REPRES")</f>
        <v>DIGITEC TECNOLOGIA DIGITAL E REPRES</v>
      </c>
      <c r="E1353" s="21">
        <f>IFERROR(__xludf.DUMMYFUNCTION("""COMPUTED_VALUE"""),145359.0)</f>
        <v>145359</v>
      </c>
      <c r="F1353" s="21" t="str">
        <f>IFERROR(__xludf.DUMMYFUNCTION("""COMPUTED_VALUE"""),"TRANSITO REVERSA")</f>
        <v>TRANSITO REVERSA</v>
      </c>
      <c r="G1353" s="23">
        <f>IFERROR(__xludf.DUMMYFUNCTION("""COMPUTED_VALUE"""),45633.00341435186)</f>
        <v>45633.00341</v>
      </c>
      <c r="H1353" s="24" t="str">
        <f>IFERROR(VLOOKUP(B1353,material!A:D,3,0),"")</f>
        <v>CARD</v>
      </c>
    </row>
    <row r="1354" ht="11.25" customHeight="1">
      <c r="A1354" s="21" t="str">
        <f>IFERROR(__xludf.DUMMYFUNCTION("""COMPUTED_VALUE"""),"SMART CARD PRETO NAGRA")</f>
        <v>SMART CARD PRETO NAGRA</v>
      </c>
      <c r="B1354" s="22">
        <f>IFERROR(__xludf.DUMMYFUNCTION("""COMPUTED_VALUE"""),4.1001234E7)</f>
        <v>41001234</v>
      </c>
      <c r="C1354" s="21" t="str">
        <f>IFERROR(__xludf.DUMMYFUNCTION("""COMPUTED_VALUE"""),"226339473651")</f>
        <v>226339473651</v>
      </c>
      <c r="D1354" s="21" t="str">
        <f>IFERROR(__xludf.DUMMYFUNCTION("""COMPUTED_VALUE"""),"DIGITEC TECNOLOGIA DIGITAL E REPRES")</f>
        <v>DIGITEC TECNOLOGIA DIGITAL E REPRES</v>
      </c>
      <c r="E1354" s="21">
        <f>IFERROR(__xludf.DUMMYFUNCTION("""COMPUTED_VALUE"""),145359.0)</f>
        <v>145359</v>
      </c>
      <c r="F1354" s="21" t="str">
        <f>IFERROR(__xludf.DUMMYFUNCTION("""COMPUTED_VALUE"""),"SUSPEITO")</f>
        <v>SUSPEITO</v>
      </c>
      <c r="G1354" s="23">
        <f>IFERROR(__xludf.DUMMYFUNCTION("""COMPUTED_VALUE"""),45638.6358912037)</f>
        <v>45638.63589</v>
      </c>
      <c r="H1354" s="24" t="str">
        <f>IFERROR(VLOOKUP(B1354,material!A:D,3,0),"")</f>
        <v>CARD</v>
      </c>
    </row>
    <row r="1355" ht="11.25" customHeight="1">
      <c r="A1355" s="21" t="str">
        <f>IFERROR(__xludf.DUMMYFUNCTION("""COMPUTED_VALUE"""),"SMART CARD AVULSO MINI")</f>
        <v>SMART CARD AVULSO MINI</v>
      </c>
      <c r="B1355" s="22">
        <f>IFERROR(__xludf.DUMMYFUNCTION("""COMPUTED_VALUE"""),4.1001508E7)</f>
        <v>41001508</v>
      </c>
      <c r="C1355" s="21" t="str">
        <f>IFERROR(__xludf.DUMMYFUNCTION("""COMPUTED_VALUE"""),"226144740101")</f>
        <v>226144740101</v>
      </c>
      <c r="D1355" s="21" t="str">
        <f>IFERROR(__xludf.DUMMYFUNCTION("""COMPUTED_VALUE"""),"DIGITEC TECNOLOGIA DIGITAL E REPRES")</f>
        <v>DIGITEC TECNOLOGIA DIGITAL E REPRES</v>
      </c>
      <c r="E1355" s="21">
        <f>IFERROR(__xludf.DUMMYFUNCTION("""COMPUTED_VALUE"""),145359.0)</f>
        <v>145359</v>
      </c>
      <c r="F1355" s="21" t="str">
        <f>IFERROR(__xludf.DUMMYFUNCTION("""COMPUTED_VALUE"""),"INICIALIZADO")</f>
        <v>INICIALIZADO</v>
      </c>
      <c r="G1355" s="23">
        <f>IFERROR(__xludf.DUMMYFUNCTION("""COMPUTED_VALUE"""),45618.744722222225)</f>
        <v>45618.74472</v>
      </c>
      <c r="H1355" s="24" t="str">
        <f>IFERROR(VLOOKUP(B1355,material!A:D,3,0),"")</f>
        <v>SIM CARD</v>
      </c>
    </row>
    <row r="1356" ht="11.25" customHeight="1">
      <c r="A1356" s="21" t="str">
        <f>IFERROR(__xludf.DUMMYFUNCTION("""COMPUTED_VALUE"""),"DECODER DIGITAL HD HNB100 2T")</f>
        <v>DECODER DIGITAL HD HNB100 2T</v>
      </c>
      <c r="B1356" s="22">
        <f>IFERROR(__xludf.DUMMYFUNCTION("""COMPUTED_VALUE"""),4.1001276E7)</f>
        <v>41001276</v>
      </c>
      <c r="C1356" s="21" t="str">
        <f>IFERROR(__xludf.DUMMYFUNCTION("""COMPUTED_VALUE"""),"216800952241")</f>
        <v>216800952241</v>
      </c>
      <c r="D1356" s="21" t="str">
        <f>IFERROR(__xludf.DUMMYFUNCTION("""COMPUTED_VALUE"""),"DIGITEC TECNOLOGIA DIGITAL E REPRES")</f>
        <v>DIGITEC TECNOLOGIA DIGITAL E REPRES</v>
      </c>
      <c r="E1356" s="21">
        <f>IFERROR(__xludf.DUMMYFUNCTION("""COMPUTED_VALUE"""),145359.0)</f>
        <v>145359</v>
      </c>
      <c r="F1356" s="21" t="str">
        <f>IFERROR(__xludf.DUMMYFUNCTION("""COMPUTED_VALUE"""),"INICIALIZADO")</f>
        <v>INICIALIZADO</v>
      </c>
      <c r="G1356" s="23">
        <f>IFERROR(__xludf.DUMMYFUNCTION("""COMPUTED_VALUE"""),45635.53501157407)</f>
        <v>45635.53501</v>
      </c>
      <c r="H1356" s="24" t="str">
        <f>IFERROR(VLOOKUP(B1356,material!A:D,3,0),"")</f>
        <v>TOP MIX</v>
      </c>
    </row>
    <row r="1357" ht="11.25" customHeight="1">
      <c r="A1357" s="21" t="str">
        <f>IFERROR(__xludf.DUMMYFUNCTION("""COMPUTED_VALUE"""),"DECODER DIGITAL HD HNB100 2T")</f>
        <v>DECODER DIGITAL HD HNB100 2T</v>
      </c>
      <c r="B1357" s="22">
        <f>IFERROR(__xludf.DUMMYFUNCTION("""COMPUTED_VALUE"""),4.1001276E7)</f>
        <v>41001276</v>
      </c>
      <c r="C1357" s="21" t="str">
        <f>IFERROR(__xludf.DUMMYFUNCTION("""COMPUTED_VALUE"""),"216737350209")</f>
        <v>216737350209</v>
      </c>
      <c r="D1357" s="21" t="str">
        <f>IFERROR(__xludf.DUMMYFUNCTION("""COMPUTED_VALUE"""),"DIGITEC TECNOLOGIA DIGITAL E REPRES")</f>
        <v>DIGITEC TECNOLOGIA DIGITAL E REPRES</v>
      </c>
      <c r="E1357" s="21">
        <f>IFERROR(__xludf.DUMMYFUNCTION("""COMPUTED_VALUE"""),145359.0)</f>
        <v>145359</v>
      </c>
      <c r="F1357" s="21" t="str">
        <f>IFERROR(__xludf.DUMMYFUNCTION("""COMPUTED_VALUE"""),"INICIALIZADO")</f>
        <v>INICIALIZADO</v>
      </c>
      <c r="G1357" s="23">
        <f>IFERROR(__xludf.DUMMYFUNCTION("""COMPUTED_VALUE"""),45635.535)</f>
        <v>45635.535</v>
      </c>
      <c r="H1357" s="24" t="str">
        <f>IFERROR(VLOOKUP(B1357,material!A:D,3,0),"")</f>
        <v>TOP MIX</v>
      </c>
    </row>
    <row r="1358" ht="11.25" customHeight="1">
      <c r="A1358" s="21" t="str">
        <f>IFERROR(__xludf.DUMMYFUNCTION("""COMPUTED_VALUE"""),"DECODER DIGITAL HD HNB100 2T")</f>
        <v>DECODER DIGITAL HD HNB100 2T</v>
      </c>
      <c r="B1358" s="22">
        <f>IFERROR(__xludf.DUMMYFUNCTION("""COMPUTED_VALUE"""),4.1001276E7)</f>
        <v>41001276</v>
      </c>
      <c r="C1358" s="21" t="str">
        <f>IFERROR(__xludf.DUMMYFUNCTION("""COMPUTED_VALUE"""),"216860511432")</f>
        <v>216860511432</v>
      </c>
      <c r="D1358" s="21" t="str">
        <f>IFERROR(__xludf.DUMMYFUNCTION("""COMPUTED_VALUE"""),"DIGITEC TECNOLOGIA DIGITAL E REPRES")</f>
        <v>DIGITEC TECNOLOGIA DIGITAL E REPRES</v>
      </c>
      <c r="E1358" s="21">
        <f>IFERROR(__xludf.DUMMYFUNCTION("""COMPUTED_VALUE"""),145359.0)</f>
        <v>145359</v>
      </c>
      <c r="F1358" s="21" t="str">
        <f>IFERROR(__xludf.DUMMYFUNCTION("""COMPUTED_VALUE"""),"INICIALIZADO")</f>
        <v>INICIALIZADO</v>
      </c>
      <c r="G1358" s="23">
        <f>IFERROR(__xludf.DUMMYFUNCTION("""COMPUTED_VALUE"""),45635.53503472223)</f>
        <v>45635.53503</v>
      </c>
      <c r="H1358" s="24" t="str">
        <f>IFERROR(VLOOKUP(B1358,material!A:D,3,0),"")</f>
        <v>TOP MIX</v>
      </c>
    </row>
    <row r="1359" ht="11.25" customHeight="1">
      <c r="A1359" s="21" t="str">
        <f>IFERROR(__xludf.DUMMYFUNCTION("""COMPUTED_VALUE"""),"SMART CARD PRETO NAGRA")</f>
        <v>SMART CARD PRETO NAGRA</v>
      </c>
      <c r="B1359" s="22">
        <f>IFERROR(__xludf.DUMMYFUNCTION("""COMPUTED_VALUE"""),4.1001234E7)</f>
        <v>41001234</v>
      </c>
      <c r="C1359" s="21" t="str">
        <f>IFERROR(__xludf.DUMMYFUNCTION("""COMPUTED_VALUE"""),"226001724549")</f>
        <v>226001724549</v>
      </c>
      <c r="D1359" s="21" t="str">
        <f>IFERROR(__xludf.DUMMYFUNCTION("""COMPUTED_VALUE"""),"DIGITEC TECNOLOGIA DIGITAL E REPRES")</f>
        <v>DIGITEC TECNOLOGIA DIGITAL E REPRES</v>
      </c>
      <c r="E1359" s="21">
        <f>IFERROR(__xludf.DUMMYFUNCTION("""COMPUTED_VALUE"""),145359.0)</f>
        <v>145359</v>
      </c>
      <c r="F1359" s="21" t="str">
        <f>IFERROR(__xludf.DUMMYFUNCTION("""COMPUTED_VALUE"""),"INICIALIZADO")</f>
        <v>INICIALIZADO</v>
      </c>
      <c r="G1359" s="23">
        <f>IFERROR(__xludf.DUMMYFUNCTION("""COMPUTED_VALUE"""),45635.534953703704)</f>
        <v>45635.53495</v>
      </c>
      <c r="H1359" s="24" t="str">
        <f>IFERROR(VLOOKUP(B1359,material!A:D,3,0),"")</f>
        <v>CARD</v>
      </c>
    </row>
    <row r="1360" ht="11.25" customHeight="1">
      <c r="A1360" s="21" t="str">
        <f>IFERROR(__xludf.DUMMYFUNCTION("""COMPUTED_VALUE"""),"SMART CARD PRETO NAGRA")</f>
        <v>SMART CARD PRETO NAGRA</v>
      </c>
      <c r="B1360" s="22">
        <f>IFERROR(__xludf.DUMMYFUNCTION("""COMPUTED_VALUE"""),4.1001234E7)</f>
        <v>41001234</v>
      </c>
      <c r="C1360" s="21" t="str">
        <f>IFERROR(__xludf.DUMMYFUNCTION("""COMPUTED_VALUE"""),"226085204750")</f>
        <v>226085204750</v>
      </c>
      <c r="D1360" s="21" t="str">
        <f>IFERROR(__xludf.DUMMYFUNCTION("""COMPUTED_VALUE"""),"DIGITEC TECNOLOGIA DIGITAL E REPRES")</f>
        <v>DIGITEC TECNOLOGIA DIGITAL E REPRES</v>
      </c>
      <c r="E1360" s="21">
        <f>IFERROR(__xludf.DUMMYFUNCTION("""COMPUTED_VALUE"""),145359.0)</f>
        <v>145359</v>
      </c>
      <c r="F1360" s="21" t="str">
        <f>IFERROR(__xludf.DUMMYFUNCTION("""COMPUTED_VALUE"""),"INICIALIZADO")</f>
        <v>INICIALIZADO</v>
      </c>
      <c r="G1360" s="23">
        <f>IFERROR(__xludf.DUMMYFUNCTION("""COMPUTED_VALUE"""),45635.534953703704)</f>
        <v>45635.53495</v>
      </c>
      <c r="H1360" s="24" t="str">
        <f>IFERROR(VLOOKUP(B1360,material!A:D,3,0),"")</f>
        <v>CARD</v>
      </c>
    </row>
    <row r="1361" ht="11.25" customHeight="1">
      <c r="A1361" s="21" t="str">
        <f>IFERROR(__xludf.DUMMYFUNCTION("""COMPUTED_VALUE"""),"SMART CARD PRETO NAGRA")</f>
        <v>SMART CARD PRETO NAGRA</v>
      </c>
      <c r="B1361" s="22">
        <f>IFERROR(__xludf.DUMMYFUNCTION("""COMPUTED_VALUE"""),4.1001234E7)</f>
        <v>41001234</v>
      </c>
      <c r="C1361" s="21" t="str">
        <f>IFERROR(__xludf.DUMMYFUNCTION("""COMPUTED_VALUE"""),"226181921126")</f>
        <v>226181921126</v>
      </c>
      <c r="D1361" s="21" t="str">
        <f>IFERROR(__xludf.DUMMYFUNCTION("""COMPUTED_VALUE"""),"DIGITEC TECNOLOGIA DIGITAL E REPRES")</f>
        <v>DIGITEC TECNOLOGIA DIGITAL E REPRES</v>
      </c>
      <c r="E1361" s="21">
        <f>IFERROR(__xludf.DUMMYFUNCTION("""COMPUTED_VALUE"""),145359.0)</f>
        <v>145359</v>
      </c>
      <c r="F1361" s="21" t="str">
        <f>IFERROR(__xludf.DUMMYFUNCTION("""COMPUTED_VALUE"""),"INICIALIZADO")</f>
        <v>INICIALIZADO</v>
      </c>
      <c r="G1361" s="23">
        <f>IFERROR(__xludf.DUMMYFUNCTION("""COMPUTED_VALUE"""),45635.53493055556)</f>
        <v>45635.53493</v>
      </c>
      <c r="H1361" s="24" t="str">
        <f>IFERROR(VLOOKUP(B1361,material!A:D,3,0),"")</f>
        <v>CARD</v>
      </c>
    </row>
    <row r="1362" ht="11.25" customHeight="1">
      <c r="A1362" s="21" t="str">
        <f>IFERROR(__xludf.DUMMYFUNCTION("""COMPUTED_VALUE"""),"SMART CARD PRETO NAGRA")</f>
        <v>SMART CARD PRETO NAGRA</v>
      </c>
      <c r="B1362" s="22">
        <f>IFERROR(__xludf.DUMMYFUNCTION("""COMPUTED_VALUE"""),4.1001234E7)</f>
        <v>41001234</v>
      </c>
      <c r="C1362" s="21" t="str">
        <f>IFERROR(__xludf.DUMMYFUNCTION("""COMPUTED_VALUE"""),"226100822425")</f>
        <v>226100822425</v>
      </c>
      <c r="D1362" s="21" t="str">
        <f>IFERROR(__xludf.DUMMYFUNCTION("""COMPUTED_VALUE"""),"DIGITEC TECNOLOGIA DIGITAL E REPRES")</f>
        <v>DIGITEC TECNOLOGIA DIGITAL E REPRES</v>
      </c>
      <c r="E1362" s="21">
        <f>IFERROR(__xludf.DUMMYFUNCTION("""COMPUTED_VALUE"""),145359.0)</f>
        <v>145359</v>
      </c>
      <c r="F1362" s="21" t="str">
        <f>IFERROR(__xludf.DUMMYFUNCTION("""COMPUTED_VALUE"""),"INICIALIZADO")</f>
        <v>INICIALIZADO</v>
      </c>
      <c r="G1362" s="23">
        <f>IFERROR(__xludf.DUMMYFUNCTION("""COMPUTED_VALUE"""),45635.534953703704)</f>
        <v>45635.53495</v>
      </c>
      <c r="H1362" s="24" t="str">
        <f>IFERROR(VLOOKUP(B1362,material!A:D,3,0),"")</f>
        <v>CARD</v>
      </c>
    </row>
    <row r="1363" ht="11.25" customHeight="1">
      <c r="A1363" s="21" t="str">
        <f>IFERROR(__xludf.DUMMYFUNCTION("""COMPUTED_VALUE"""),"ARRIS TG1692A")</f>
        <v>ARRIS TG1692A</v>
      </c>
      <c r="B1363" s="22">
        <f>IFERROR(__xludf.DUMMYFUNCTION("""COMPUTED_VALUE"""),4.1001293E7)</f>
        <v>41001293</v>
      </c>
      <c r="C1363" s="21" t="str">
        <f>IFERROR(__xludf.DUMMYFUNCTION("""COMPUTED_VALUE"""),"BC644BD83711")</f>
        <v>BC644BD83711</v>
      </c>
      <c r="D1363" s="21" t="str">
        <f>IFERROR(__xludf.DUMMYFUNCTION("""COMPUTED_VALUE"""),"DIGITEC TECNOLOGIA DIGITAL E REPRES")</f>
        <v>DIGITEC TECNOLOGIA DIGITAL E REPRES</v>
      </c>
      <c r="E1363" s="21">
        <f>IFERROR(__xludf.DUMMYFUNCTION("""COMPUTED_VALUE"""),145359.0)</f>
        <v>145359</v>
      </c>
      <c r="F1363" s="21" t="str">
        <f>IFERROR(__xludf.DUMMYFUNCTION("""COMPUTED_VALUE"""),"TRANSITO REVERSA")</f>
        <v>TRANSITO REVERSA</v>
      </c>
      <c r="G1363" s="23">
        <f>IFERROR(__xludf.DUMMYFUNCTION("""COMPUTED_VALUE"""),45626.2987037037)</f>
        <v>45626.2987</v>
      </c>
      <c r="H1363" s="24" t="str">
        <f>IFERROR(VLOOKUP(B1363,material!A:D,3,0),"")</f>
        <v>DUAL</v>
      </c>
    </row>
    <row r="1364" ht="11.25" customHeight="1">
      <c r="A1364" s="21" t="str">
        <f>IFERROR(__xludf.DUMMYFUNCTION("""COMPUTED_VALUE"""),"DECODER DIGITAL HD HNB100 2T")</f>
        <v>DECODER DIGITAL HD HNB100 2T</v>
      </c>
      <c r="B1364" s="22">
        <f>IFERROR(__xludf.DUMMYFUNCTION("""COMPUTED_VALUE"""),4.1001276E7)</f>
        <v>41001276</v>
      </c>
      <c r="C1364" s="21" t="str">
        <f>IFERROR(__xludf.DUMMYFUNCTION("""COMPUTED_VALUE"""),"216802288599")</f>
        <v>216802288599</v>
      </c>
      <c r="D1364" s="21" t="str">
        <f>IFERROR(__xludf.DUMMYFUNCTION("""COMPUTED_VALUE"""),"DIGITEC TECNOLOGIA DIGITAL E REPRES")</f>
        <v>DIGITEC TECNOLOGIA DIGITAL E REPRES</v>
      </c>
      <c r="E1364" s="21">
        <f>IFERROR(__xludf.DUMMYFUNCTION("""COMPUTED_VALUE"""),145359.0)</f>
        <v>145359</v>
      </c>
      <c r="F1364" s="21" t="str">
        <f>IFERROR(__xludf.DUMMYFUNCTION("""COMPUTED_VALUE"""),"SUSPEITO")</f>
        <v>SUSPEITO</v>
      </c>
      <c r="G1364" s="23">
        <f>IFERROR(__xludf.DUMMYFUNCTION("""COMPUTED_VALUE"""),45632.60326388889)</f>
        <v>45632.60326</v>
      </c>
      <c r="H1364" s="24" t="str">
        <f>IFERROR(VLOOKUP(B1364,material!A:D,3,0),"")</f>
        <v>TOP MIX</v>
      </c>
    </row>
    <row r="1365" ht="11.25" customHeight="1">
      <c r="A1365" s="21" t="str">
        <f>IFERROR(__xludf.DUMMYFUNCTION("""COMPUTED_VALUE"""),"SMART CARD PRETO NAGRA")</f>
        <v>SMART CARD PRETO NAGRA</v>
      </c>
      <c r="B1365" s="22">
        <f>IFERROR(__xludf.DUMMYFUNCTION("""COMPUTED_VALUE"""),4.1001234E7)</f>
        <v>41001234</v>
      </c>
      <c r="C1365" s="21" t="str">
        <f>IFERROR(__xludf.DUMMYFUNCTION("""COMPUTED_VALUE"""),"246150452735")</f>
        <v>246150452735</v>
      </c>
      <c r="D1365" s="21" t="str">
        <f>IFERROR(__xludf.DUMMYFUNCTION("""COMPUTED_VALUE"""),"DIGITEC TECNOLOGIA DIGITAL E REPRES")</f>
        <v>DIGITEC TECNOLOGIA DIGITAL E REPRES</v>
      </c>
      <c r="E1365" s="21">
        <f>IFERROR(__xludf.DUMMYFUNCTION("""COMPUTED_VALUE"""),145359.0)</f>
        <v>145359</v>
      </c>
      <c r="F1365" s="21" t="str">
        <f>IFERROR(__xludf.DUMMYFUNCTION("""COMPUTED_VALUE"""),"INICIALIZADO")</f>
        <v>INICIALIZADO</v>
      </c>
      <c r="G1365" s="23">
        <f>IFERROR(__xludf.DUMMYFUNCTION("""COMPUTED_VALUE"""),45642.524097222224)</f>
        <v>45642.5241</v>
      </c>
      <c r="H1365" s="24" t="str">
        <f>IFERROR(VLOOKUP(B1365,material!A:D,3,0),"")</f>
        <v>CARD</v>
      </c>
    </row>
    <row r="1366" ht="11.25" customHeight="1">
      <c r="A1366" s="21" t="str">
        <f>IFERROR(__xludf.DUMMYFUNCTION("""COMPUTED_VALUE"""),"DECODER HD DCI738 2T")</f>
        <v>DECODER HD DCI738 2T</v>
      </c>
      <c r="B1366" s="22">
        <f>IFERROR(__xludf.DUMMYFUNCTION("""COMPUTED_VALUE"""),4.1001275E7)</f>
        <v>41001275</v>
      </c>
      <c r="C1366" s="21" t="str">
        <f>IFERROR(__xludf.DUMMYFUNCTION("""COMPUTED_VALUE"""),"216416912123")</f>
        <v>216416912123</v>
      </c>
      <c r="D1366" s="21" t="str">
        <f>IFERROR(__xludf.DUMMYFUNCTION("""COMPUTED_VALUE"""),"DIGITEC TECNOLOGIA DIGITAL E REPRES")</f>
        <v>DIGITEC TECNOLOGIA DIGITAL E REPRES</v>
      </c>
      <c r="E1366" s="21">
        <f>IFERROR(__xludf.DUMMYFUNCTION("""COMPUTED_VALUE"""),145359.0)</f>
        <v>145359</v>
      </c>
      <c r="F1366" s="21" t="str">
        <f>IFERROR(__xludf.DUMMYFUNCTION("""COMPUTED_VALUE"""),"COM DEFEITO")</f>
        <v>COM DEFEITO</v>
      </c>
      <c r="G1366" s="23">
        <f>IFERROR(__xludf.DUMMYFUNCTION("""COMPUTED_VALUE"""),45617.71240740741)</f>
        <v>45617.71241</v>
      </c>
      <c r="H1366" s="24" t="str">
        <f>IFERROR(VLOOKUP(B1366,material!A:D,3,0),"")</f>
        <v>TOP MIX</v>
      </c>
    </row>
    <row r="1367" ht="11.25" customHeight="1">
      <c r="A1367" s="21" t="str">
        <f>IFERROR(__xludf.DUMMYFUNCTION("""COMPUTED_VALUE"""),"DECODER DIGITAL HD HNB100 2T")</f>
        <v>DECODER DIGITAL HD HNB100 2T</v>
      </c>
      <c r="B1367" s="22">
        <f>IFERROR(__xludf.DUMMYFUNCTION("""COMPUTED_VALUE"""),4.1001276E7)</f>
        <v>41001276</v>
      </c>
      <c r="C1367" s="21" t="str">
        <f>IFERROR(__xludf.DUMMYFUNCTION("""COMPUTED_VALUE"""),"216505023539")</f>
        <v>216505023539</v>
      </c>
      <c r="D1367" s="21" t="str">
        <f>IFERROR(__xludf.DUMMYFUNCTION("""COMPUTED_VALUE"""),"DIGITEC TECNOLOGIA DIGITAL E REPRES")</f>
        <v>DIGITEC TECNOLOGIA DIGITAL E REPRES</v>
      </c>
      <c r="E1367" s="21">
        <f>IFERROR(__xludf.DUMMYFUNCTION("""COMPUTED_VALUE"""),145359.0)</f>
        <v>145359</v>
      </c>
      <c r="F1367" s="21" t="str">
        <f>IFERROR(__xludf.DUMMYFUNCTION("""COMPUTED_VALUE"""),"INICIALIZADO")</f>
        <v>INICIALIZADO</v>
      </c>
      <c r="G1367" s="23">
        <f>IFERROR(__xludf.DUMMYFUNCTION("""COMPUTED_VALUE"""),45635.535046296296)</f>
        <v>45635.53505</v>
      </c>
      <c r="H1367" s="24" t="str">
        <f>IFERROR(VLOOKUP(B1367,material!A:D,3,0),"")</f>
        <v>TOP MIX</v>
      </c>
    </row>
    <row r="1368" ht="11.25" customHeight="1">
      <c r="A1368" s="21" t="str">
        <f>IFERROR(__xludf.DUMMYFUNCTION("""COMPUTED_VALUE"""),"SMART CARD PRETO NAGRA")</f>
        <v>SMART CARD PRETO NAGRA</v>
      </c>
      <c r="B1368" s="22">
        <f>IFERROR(__xludf.DUMMYFUNCTION("""COMPUTED_VALUE"""),4.1001234E7)</f>
        <v>41001234</v>
      </c>
      <c r="C1368" s="21" t="str">
        <f>IFERROR(__xludf.DUMMYFUNCTION("""COMPUTED_VALUE"""),"246318158192")</f>
        <v>246318158192</v>
      </c>
      <c r="D1368" s="21" t="str">
        <f>IFERROR(__xludf.DUMMYFUNCTION("""COMPUTED_VALUE"""),"DIGITEC TECNOLOGIA DIGITAL E REPRES")</f>
        <v>DIGITEC TECNOLOGIA DIGITAL E REPRES</v>
      </c>
      <c r="E1368" s="21">
        <f>IFERROR(__xludf.DUMMYFUNCTION("""COMPUTED_VALUE"""),145359.0)</f>
        <v>145359</v>
      </c>
      <c r="F1368" s="21" t="str">
        <f>IFERROR(__xludf.DUMMYFUNCTION("""COMPUTED_VALUE"""),"SUSPEITO")</f>
        <v>SUSPEITO</v>
      </c>
      <c r="G1368" s="23">
        <f>IFERROR(__xludf.DUMMYFUNCTION("""COMPUTED_VALUE"""),45638.64674768518)</f>
        <v>45638.64675</v>
      </c>
      <c r="H1368" s="24" t="str">
        <f>IFERROR(VLOOKUP(B1368,material!A:D,3,0),"")</f>
        <v>CARD</v>
      </c>
    </row>
    <row r="1369" ht="11.25" customHeight="1">
      <c r="A1369" s="21" t="str">
        <f>IFERROR(__xludf.DUMMYFUNCTION("""COMPUTED_VALUE"""),"ARRIS TG1692A")</f>
        <v>ARRIS TG1692A</v>
      </c>
      <c r="B1369" s="22">
        <f>IFERROR(__xludf.DUMMYFUNCTION("""COMPUTED_VALUE"""),4.1001293E7)</f>
        <v>41001293</v>
      </c>
      <c r="C1369" s="21" t="str">
        <f>IFERROR(__xludf.DUMMYFUNCTION("""COMPUTED_VALUE"""),"B0935BEC9D1D")</f>
        <v>B0935BEC9D1D</v>
      </c>
      <c r="D1369" s="21" t="str">
        <f>IFERROR(__xludf.DUMMYFUNCTION("""COMPUTED_VALUE"""),"DIGITEC TECNOLOGIA DIGITAL E REPRES")</f>
        <v>DIGITEC TECNOLOGIA DIGITAL E REPRES</v>
      </c>
      <c r="E1369" s="21">
        <f>IFERROR(__xludf.DUMMYFUNCTION("""COMPUTED_VALUE"""),145359.0)</f>
        <v>145359</v>
      </c>
      <c r="F1369" s="21" t="str">
        <f>IFERROR(__xludf.DUMMYFUNCTION("""COMPUTED_VALUE"""),"TRANSITO REVERSA")</f>
        <v>TRANSITO REVERSA</v>
      </c>
      <c r="G1369" s="23">
        <f>IFERROR(__xludf.DUMMYFUNCTION("""COMPUTED_VALUE"""),45617.87138888889)</f>
        <v>45617.87139</v>
      </c>
      <c r="H1369" s="24" t="str">
        <f>IFERROR(VLOOKUP(B1369,material!A:D,3,0),"")</f>
        <v>DUAL</v>
      </c>
    </row>
    <row r="1370" ht="11.25" customHeight="1">
      <c r="A1370" s="21" t="str">
        <f>IFERROR(__xludf.DUMMYFUNCTION("""COMPUTED_VALUE"""),"HUMAX HGB10R-02")</f>
        <v>HUMAX HGB10R-02</v>
      </c>
      <c r="B1370" s="22">
        <f>IFERROR(__xludf.DUMMYFUNCTION("""COMPUTED_VALUE"""),4.1001292E7)</f>
        <v>41001292</v>
      </c>
      <c r="C1370" s="21" t="str">
        <f>IFERROR(__xludf.DUMMYFUNCTION("""COMPUTED_VALUE"""),"942CB3F0C1C6")</f>
        <v>942CB3F0C1C6</v>
      </c>
      <c r="D1370" s="21" t="str">
        <f>IFERROR(__xludf.DUMMYFUNCTION("""COMPUTED_VALUE"""),"DIGITEC TECNOLOGIA DIGITAL E REPRES")</f>
        <v>DIGITEC TECNOLOGIA DIGITAL E REPRES</v>
      </c>
      <c r="E1370" s="21">
        <f>IFERROR(__xludf.DUMMYFUNCTION("""COMPUTED_VALUE"""),145359.0)</f>
        <v>145359</v>
      </c>
      <c r="F1370" s="21" t="str">
        <f>IFERROR(__xludf.DUMMYFUNCTION("""COMPUTED_VALUE"""),"TRANSITO REVERSA")</f>
        <v>TRANSITO REVERSA</v>
      </c>
      <c r="G1370" s="23">
        <f>IFERROR(__xludf.DUMMYFUNCTION("""COMPUTED_VALUE"""),45633.00399305555)</f>
        <v>45633.00399</v>
      </c>
      <c r="H1370" s="24" t="str">
        <f>IFERROR(VLOOKUP(B1370,material!A:D,3,0),"")</f>
        <v>DUAL</v>
      </c>
    </row>
    <row r="1371" ht="11.25" customHeight="1">
      <c r="A1371" s="21" t="str">
        <f>IFERROR(__xludf.DUMMYFUNCTION("""COMPUTED_VALUE"""),"DECODER DIGITAL HD HNB100 2T")</f>
        <v>DECODER DIGITAL HD HNB100 2T</v>
      </c>
      <c r="B1371" s="22">
        <f>IFERROR(__xludf.DUMMYFUNCTION("""COMPUTED_VALUE"""),4.1001276E7)</f>
        <v>41001276</v>
      </c>
      <c r="C1371" s="21" t="str">
        <f>IFERROR(__xludf.DUMMYFUNCTION("""COMPUTED_VALUE"""),"216736095271")</f>
        <v>216736095271</v>
      </c>
      <c r="D1371" s="21" t="str">
        <f>IFERROR(__xludf.DUMMYFUNCTION("""COMPUTED_VALUE"""),"DIGITEC TECNOLOGIA DIGITAL E REPRES")</f>
        <v>DIGITEC TECNOLOGIA DIGITAL E REPRES</v>
      </c>
      <c r="E1371" s="21">
        <f>IFERROR(__xludf.DUMMYFUNCTION("""COMPUTED_VALUE"""),145359.0)</f>
        <v>145359</v>
      </c>
      <c r="F1371" s="21" t="str">
        <f>IFERROR(__xludf.DUMMYFUNCTION("""COMPUTED_VALUE"""),"INICIALIZADO")</f>
        <v>INICIALIZADO</v>
      </c>
      <c r="G1371" s="23">
        <f>IFERROR(__xludf.DUMMYFUNCTION("""COMPUTED_VALUE"""),45635.535)</f>
        <v>45635.535</v>
      </c>
      <c r="H1371" s="24" t="str">
        <f>IFERROR(VLOOKUP(B1371,material!A:D,3,0),"")</f>
        <v>TOP MIX</v>
      </c>
    </row>
    <row r="1372" ht="11.25" customHeight="1">
      <c r="A1372" s="21" t="str">
        <f>IFERROR(__xludf.DUMMYFUNCTION("""COMPUTED_VALUE"""),"DECODER DIGITAL HD HNB100 2T")</f>
        <v>DECODER DIGITAL HD HNB100 2T</v>
      </c>
      <c r="B1372" s="22">
        <f>IFERROR(__xludf.DUMMYFUNCTION("""COMPUTED_VALUE"""),4.1001276E7)</f>
        <v>41001276</v>
      </c>
      <c r="C1372" s="21" t="str">
        <f>IFERROR(__xludf.DUMMYFUNCTION("""COMPUTED_VALUE"""),"216634552129")</f>
        <v>216634552129</v>
      </c>
      <c r="D1372" s="21" t="str">
        <f>IFERROR(__xludf.DUMMYFUNCTION("""COMPUTED_VALUE"""),"DIGITEC TECNOLOGIA DIGITAL E REPRES")</f>
        <v>DIGITEC TECNOLOGIA DIGITAL E REPRES</v>
      </c>
      <c r="E1372" s="21">
        <f>IFERROR(__xludf.DUMMYFUNCTION("""COMPUTED_VALUE"""),145359.0)</f>
        <v>145359</v>
      </c>
      <c r="F1372" s="21" t="str">
        <f>IFERROR(__xludf.DUMMYFUNCTION("""COMPUTED_VALUE"""),"INICIALIZADO")</f>
        <v>INICIALIZADO</v>
      </c>
      <c r="G1372" s="23">
        <f>IFERROR(__xludf.DUMMYFUNCTION("""COMPUTED_VALUE"""),45642.52412037037)</f>
        <v>45642.52412</v>
      </c>
      <c r="H1372" s="24" t="str">
        <f>IFERROR(VLOOKUP(B1372,material!A:D,3,0),"")</f>
        <v>TOP MIX</v>
      </c>
    </row>
    <row r="1373" ht="11.25" customHeight="1">
      <c r="A1373" s="21" t="str">
        <f>IFERROR(__xludf.DUMMYFUNCTION("""COMPUTED_VALUE"""),"DECODER DIGITAL HD HNB100 2T")</f>
        <v>DECODER DIGITAL HD HNB100 2T</v>
      </c>
      <c r="B1373" s="22">
        <f>IFERROR(__xludf.DUMMYFUNCTION("""COMPUTED_VALUE"""),4.1001276E7)</f>
        <v>41001276</v>
      </c>
      <c r="C1373" s="21" t="str">
        <f>IFERROR(__xludf.DUMMYFUNCTION("""COMPUTED_VALUE"""),"216703193553")</f>
        <v>216703193553</v>
      </c>
      <c r="D1373" s="21" t="str">
        <f>IFERROR(__xludf.DUMMYFUNCTION("""COMPUTED_VALUE"""),"DIGITEC TECNOLOGIA DIGITAL E REPRES")</f>
        <v>DIGITEC TECNOLOGIA DIGITAL E REPRES</v>
      </c>
      <c r="E1373" s="21">
        <f>IFERROR(__xludf.DUMMYFUNCTION("""COMPUTED_VALUE"""),145359.0)</f>
        <v>145359</v>
      </c>
      <c r="F1373" s="21" t="str">
        <f>IFERROR(__xludf.DUMMYFUNCTION("""COMPUTED_VALUE"""),"INICIALIZADO")</f>
        <v>INICIALIZADO</v>
      </c>
      <c r="G1373" s="23">
        <f>IFERROR(__xludf.DUMMYFUNCTION("""COMPUTED_VALUE"""),45642.52412037037)</f>
        <v>45642.52412</v>
      </c>
      <c r="H1373" s="24" t="str">
        <f>IFERROR(VLOOKUP(B1373,material!A:D,3,0),"")</f>
        <v>TOP MIX</v>
      </c>
    </row>
    <row r="1374" ht="11.25" customHeight="1">
      <c r="A1374" s="21" t="str">
        <f>IFERROR(__xludf.DUMMYFUNCTION("""COMPUTED_VALUE"""),"SMART CARD PRETO NAGRA")</f>
        <v>SMART CARD PRETO NAGRA</v>
      </c>
      <c r="B1374" s="22">
        <f>IFERROR(__xludf.DUMMYFUNCTION("""COMPUTED_VALUE"""),4.1001234E7)</f>
        <v>41001234</v>
      </c>
      <c r="C1374" s="21" t="str">
        <f>IFERROR(__xludf.DUMMYFUNCTION("""COMPUTED_VALUE"""),"226356361517")</f>
        <v>226356361517</v>
      </c>
      <c r="D1374" s="21" t="str">
        <f>IFERROR(__xludf.DUMMYFUNCTION("""COMPUTED_VALUE"""),"DIGITEC TECNOLOGIA DIGITAL E REPRES")</f>
        <v>DIGITEC TECNOLOGIA DIGITAL E REPRES</v>
      </c>
      <c r="E1374" s="21">
        <f>IFERROR(__xludf.DUMMYFUNCTION("""COMPUTED_VALUE"""),145359.0)</f>
        <v>145359</v>
      </c>
      <c r="F1374" s="21" t="str">
        <f>IFERROR(__xludf.DUMMYFUNCTION("""COMPUTED_VALUE"""),"INICIALIZADO")</f>
        <v>INICIALIZADO</v>
      </c>
      <c r="G1374" s="23">
        <f>IFERROR(__xludf.DUMMYFUNCTION("""COMPUTED_VALUE"""),45635.53497685185)</f>
        <v>45635.53498</v>
      </c>
      <c r="H1374" s="24" t="str">
        <f>IFERROR(VLOOKUP(B1374,material!A:D,3,0),"")</f>
        <v>CARD</v>
      </c>
    </row>
    <row r="1375" ht="11.25" customHeight="1">
      <c r="A1375" s="21" t="str">
        <f>IFERROR(__xludf.DUMMYFUNCTION("""COMPUTED_VALUE"""),"ARRIS TG1692A")</f>
        <v>ARRIS TG1692A</v>
      </c>
      <c r="B1375" s="22">
        <f>IFERROR(__xludf.DUMMYFUNCTION("""COMPUTED_VALUE"""),4.1001293E7)</f>
        <v>41001293</v>
      </c>
      <c r="C1375" s="21" t="str">
        <f>IFERROR(__xludf.DUMMYFUNCTION("""COMPUTED_VALUE"""),"B0DAF961E065")</f>
        <v>B0DAF961E065</v>
      </c>
      <c r="D1375" s="21" t="str">
        <f>IFERROR(__xludf.DUMMYFUNCTION("""COMPUTED_VALUE"""),"DIGITEC TECNOLOGIA DIGITAL E REPRES")</f>
        <v>DIGITEC TECNOLOGIA DIGITAL E REPRES</v>
      </c>
      <c r="E1375" s="21">
        <f>IFERROR(__xludf.DUMMYFUNCTION("""COMPUTED_VALUE"""),145359.0)</f>
        <v>145359</v>
      </c>
      <c r="F1375" s="21" t="str">
        <f>IFERROR(__xludf.DUMMYFUNCTION("""COMPUTED_VALUE"""),"INICIALIZADO")</f>
        <v>INICIALIZADO</v>
      </c>
      <c r="G1375" s="23">
        <f>IFERROR(__xludf.DUMMYFUNCTION("""COMPUTED_VALUE"""),45523.44938657407)</f>
        <v>45523.44939</v>
      </c>
      <c r="H1375" s="24" t="str">
        <f>IFERROR(VLOOKUP(B1375,material!A:D,3,0),"")</f>
        <v>DUAL</v>
      </c>
    </row>
    <row r="1376" ht="11.25" customHeight="1">
      <c r="A1376" s="21" t="str">
        <f>IFERROR(__xludf.DUMMYFUNCTION("""COMPUTED_VALUE"""),"TECHNICOLOR TC7337NET")</f>
        <v>TECHNICOLOR TC7337NET</v>
      </c>
      <c r="B1376" s="22">
        <f>IFERROR(__xludf.DUMMYFUNCTION("""COMPUTED_VALUE"""),4.1001294E7)</f>
        <v>41001294</v>
      </c>
      <c r="C1376" s="21" t="str">
        <f>IFERROR(__xludf.DUMMYFUNCTION("""COMPUTED_VALUE"""),"B42A0E18BCE0")</f>
        <v>B42A0E18BCE0</v>
      </c>
      <c r="D1376" s="21" t="str">
        <f>IFERROR(__xludf.DUMMYFUNCTION("""COMPUTED_VALUE"""),"DIGITEC TECNOLOGIA DIGITAL E REPRES")</f>
        <v>DIGITEC TECNOLOGIA DIGITAL E REPRES</v>
      </c>
      <c r="E1376" s="21">
        <f>IFERROR(__xludf.DUMMYFUNCTION("""COMPUTED_VALUE"""),145359.0)</f>
        <v>145359</v>
      </c>
      <c r="F1376" s="21" t="str">
        <f>IFERROR(__xludf.DUMMYFUNCTION("""COMPUTED_VALUE"""),"INICIALIZADO")</f>
        <v>INICIALIZADO</v>
      </c>
      <c r="G1376" s="23">
        <f>IFERROR(__xludf.DUMMYFUNCTION("""COMPUTED_VALUE"""),45618.74476851852)</f>
        <v>45618.74477</v>
      </c>
      <c r="H1376" s="24" t="str">
        <f>IFERROR(VLOOKUP(B1376,material!A:D,3,0),"")</f>
        <v>DUAL</v>
      </c>
    </row>
    <row r="1377" ht="11.25" customHeight="1">
      <c r="A1377" s="21" t="str">
        <f>IFERROR(__xludf.DUMMYFUNCTION("""COMPUTED_VALUE"""),"DECODER DIGITAL HD HNB100 2T")</f>
        <v>DECODER DIGITAL HD HNB100 2T</v>
      </c>
      <c r="B1377" s="22">
        <f>IFERROR(__xludf.DUMMYFUNCTION("""COMPUTED_VALUE"""),4.1001276E7)</f>
        <v>41001276</v>
      </c>
      <c r="C1377" s="21" t="str">
        <f>IFERROR(__xludf.DUMMYFUNCTION("""COMPUTED_VALUE"""),"184334176586")</f>
        <v>184334176586</v>
      </c>
      <c r="D1377" s="21" t="str">
        <f>IFERROR(__xludf.DUMMYFUNCTION("""COMPUTED_VALUE"""),"DIGITEC TECNOLOGIA DIGITAL E REPRES")</f>
        <v>DIGITEC TECNOLOGIA DIGITAL E REPRES</v>
      </c>
      <c r="E1377" s="21">
        <f>IFERROR(__xludf.DUMMYFUNCTION("""COMPUTED_VALUE"""),145359.0)</f>
        <v>145359</v>
      </c>
      <c r="F1377" s="21" t="str">
        <f>IFERROR(__xludf.DUMMYFUNCTION("""COMPUTED_VALUE"""),"INICIALIZADO")</f>
        <v>INICIALIZADO</v>
      </c>
      <c r="G1377" s="23">
        <f>IFERROR(__xludf.DUMMYFUNCTION("""COMPUTED_VALUE"""),45642.52413194445)</f>
        <v>45642.52413</v>
      </c>
      <c r="H1377" s="24" t="str">
        <f>IFERROR(VLOOKUP(B1377,material!A:D,3,0),"")</f>
        <v>TOP MIX</v>
      </c>
    </row>
    <row r="1378" ht="11.25" customHeight="1">
      <c r="A1378" s="21" t="str">
        <f>IFERROR(__xludf.DUMMYFUNCTION("""COMPUTED_VALUE"""),"DECODER DIGITAL HD DXC5000 2T")</f>
        <v>DECODER DIGITAL HD DXC5000 2T</v>
      </c>
      <c r="B1378" s="22">
        <f>IFERROR(__xludf.DUMMYFUNCTION("""COMPUTED_VALUE"""),4.1001277E7)</f>
        <v>41001277</v>
      </c>
      <c r="C1378" s="21" t="str">
        <f>IFERROR(__xludf.DUMMYFUNCTION("""COMPUTED_VALUE"""),"216326826473")</f>
        <v>216326826473</v>
      </c>
      <c r="D1378" s="21" t="str">
        <f>IFERROR(__xludf.DUMMYFUNCTION("""COMPUTED_VALUE"""),"DIGITEC TECNOLOGIA DIGITAL E REPRES")</f>
        <v>DIGITEC TECNOLOGIA DIGITAL E REPRES</v>
      </c>
      <c r="E1378" s="21">
        <f>IFERROR(__xludf.DUMMYFUNCTION("""COMPUTED_VALUE"""),145359.0)</f>
        <v>145359</v>
      </c>
      <c r="F1378" s="21" t="str">
        <f>IFERROR(__xludf.DUMMYFUNCTION("""COMPUTED_VALUE"""),"TRANSITO REVERSA")</f>
        <v>TRANSITO REVERSA</v>
      </c>
      <c r="G1378" s="23">
        <f>IFERROR(__xludf.DUMMYFUNCTION("""COMPUTED_VALUE"""),45626.29872685185)</f>
        <v>45626.29873</v>
      </c>
      <c r="H1378" s="24" t="str">
        <f>IFERROR(VLOOKUP(B1378,material!A:D,3,0),"")</f>
        <v>TOP MIX</v>
      </c>
    </row>
    <row r="1379" ht="11.25" customHeight="1">
      <c r="A1379" s="21" t="str">
        <f>IFERROR(__xludf.DUMMYFUNCTION("""COMPUTED_VALUE"""),"SMART CARD PRETO NAGRA")</f>
        <v>SMART CARD PRETO NAGRA</v>
      </c>
      <c r="B1379" s="22">
        <f>IFERROR(__xludf.DUMMYFUNCTION("""COMPUTED_VALUE"""),4.1001234E7)</f>
        <v>41001234</v>
      </c>
      <c r="C1379" s="21" t="str">
        <f>IFERROR(__xludf.DUMMYFUNCTION("""COMPUTED_VALUE"""),"226394856777")</f>
        <v>226394856777</v>
      </c>
      <c r="D1379" s="21" t="str">
        <f>IFERROR(__xludf.DUMMYFUNCTION("""COMPUTED_VALUE"""),"DIGITEC TECNOLOGIA DIGITAL E REPRES")</f>
        <v>DIGITEC TECNOLOGIA DIGITAL E REPRES</v>
      </c>
      <c r="E1379" s="21">
        <f>IFERROR(__xludf.DUMMYFUNCTION("""COMPUTED_VALUE"""),145359.0)</f>
        <v>145359</v>
      </c>
      <c r="F1379" s="21" t="str">
        <f>IFERROR(__xludf.DUMMYFUNCTION("""COMPUTED_VALUE"""),"INICIALIZADO")</f>
        <v>INICIALIZADO</v>
      </c>
      <c r="G1379" s="23">
        <f>IFERROR(__xludf.DUMMYFUNCTION("""COMPUTED_VALUE"""),45635.534953703704)</f>
        <v>45635.53495</v>
      </c>
      <c r="H1379" s="24" t="str">
        <f>IFERROR(VLOOKUP(B1379,material!A:D,3,0),"")</f>
        <v>CARD</v>
      </c>
    </row>
    <row r="1380" ht="11.25" customHeight="1">
      <c r="A1380" s="21" t="str">
        <f>IFERROR(__xludf.DUMMYFUNCTION("""COMPUTED_VALUE"""),"DECODER DIGITAL HD HNB100 2T")</f>
        <v>DECODER DIGITAL HD HNB100 2T</v>
      </c>
      <c r="B1380" s="22">
        <f>IFERROR(__xludf.DUMMYFUNCTION("""COMPUTED_VALUE"""),4.1001276E7)</f>
        <v>41001276</v>
      </c>
      <c r="C1380" s="21" t="str">
        <f>IFERROR(__xludf.DUMMYFUNCTION("""COMPUTED_VALUE"""),"216752086169")</f>
        <v>216752086169</v>
      </c>
      <c r="D1380" s="21" t="str">
        <f>IFERROR(__xludf.DUMMYFUNCTION("""COMPUTED_VALUE"""),"DIGITEC TECNOLOGIA DIGITAL E REPRES")</f>
        <v>DIGITEC TECNOLOGIA DIGITAL E REPRES</v>
      </c>
      <c r="E1380" s="21">
        <f>IFERROR(__xludf.DUMMYFUNCTION("""COMPUTED_VALUE"""),145359.0)</f>
        <v>145359</v>
      </c>
      <c r="F1380" s="21" t="str">
        <f>IFERROR(__xludf.DUMMYFUNCTION("""COMPUTED_VALUE"""),"INICIALIZADO")</f>
        <v>INICIALIZADO</v>
      </c>
      <c r="G1380" s="23">
        <f>IFERROR(__xludf.DUMMYFUNCTION("""COMPUTED_VALUE"""),45635.535)</f>
        <v>45635.535</v>
      </c>
      <c r="H1380" s="24" t="str">
        <f>IFERROR(VLOOKUP(B1380,material!A:D,3,0),"")</f>
        <v>TOP MIX</v>
      </c>
    </row>
    <row r="1381" ht="11.25" customHeight="1">
      <c r="A1381" s="21" t="str">
        <f>IFERROR(__xludf.DUMMYFUNCTION("""COMPUTED_VALUE"""),"ARRIS TG1692A")</f>
        <v>ARRIS TG1692A</v>
      </c>
      <c r="B1381" s="22">
        <f>IFERROR(__xludf.DUMMYFUNCTION("""COMPUTED_VALUE"""),4.1001293E7)</f>
        <v>41001293</v>
      </c>
      <c r="C1381" s="21" t="str">
        <f>IFERROR(__xludf.DUMMYFUNCTION("""COMPUTED_VALUE"""),"BC644BC577ED")</f>
        <v>BC644BC577ED</v>
      </c>
      <c r="D1381" s="21" t="str">
        <f>IFERROR(__xludf.DUMMYFUNCTION("""COMPUTED_VALUE"""),"DIGITEC TECNOLOGIA DIGITAL E REPRES")</f>
        <v>DIGITEC TECNOLOGIA DIGITAL E REPRES</v>
      </c>
      <c r="E1381" s="21">
        <f>IFERROR(__xludf.DUMMYFUNCTION("""COMPUTED_VALUE"""),145359.0)</f>
        <v>145359</v>
      </c>
      <c r="F1381" s="21" t="str">
        <f>IFERROR(__xludf.DUMMYFUNCTION("""COMPUTED_VALUE"""),"COM DEFEITO")</f>
        <v>COM DEFEITO</v>
      </c>
      <c r="G1381" s="23">
        <f>IFERROR(__xludf.DUMMYFUNCTION("""COMPUTED_VALUE"""),45617.71240740741)</f>
        <v>45617.71241</v>
      </c>
      <c r="H1381" s="24" t="str">
        <f>IFERROR(VLOOKUP(B1381,material!A:D,3,0),"")</f>
        <v>DUAL</v>
      </c>
    </row>
    <row r="1382" ht="11.25" customHeight="1">
      <c r="A1382" s="21" t="str">
        <f>IFERROR(__xludf.DUMMYFUNCTION("""COMPUTED_VALUE"""),"SMART CARD PRETO NAGRA")</f>
        <v>SMART CARD PRETO NAGRA</v>
      </c>
      <c r="B1382" s="22">
        <f>IFERROR(__xludf.DUMMYFUNCTION("""COMPUTED_VALUE"""),4.1001234E7)</f>
        <v>41001234</v>
      </c>
      <c r="C1382" s="21" t="str">
        <f>IFERROR(__xludf.DUMMYFUNCTION("""COMPUTED_VALUE"""),"246265013242")</f>
        <v>246265013242</v>
      </c>
      <c r="D1382" s="21" t="str">
        <f>IFERROR(__xludf.DUMMYFUNCTION("""COMPUTED_VALUE"""),"DIGITEC TECNOLOGIA DIGITAL E REPRES")</f>
        <v>DIGITEC TECNOLOGIA DIGITAL E REPRES</v>
      </c>
      <c r="E1382" s="21">
        <f>IFERROR(__xludf.DUMMYFUNCTION("""COMPUTED_VALUE"""),145359.0)</f>
        <v>145359</v>
      </c>
      <c r="F1382" s="21" t="str">
        <f>IFERROR(__xludf.DUMMYFUNCTION("""COMPUTED_VALUE"""),"INICIALIZADO")</f>
        <v>INICIALIZADO</v>
      </c>
      <c r="G1382" s="23">
        <f>IFERROR(__xludf.DUMMYFUNCTION("""COMPUTED_VALUE"""),45635.53493055556)</f>
        <v>45635.53493</v>
      </c>
      <c r="H1382" s="24" t="str">
        <f>IFERROR(VLOOKUP(B1382,material!A:D,3,0),"")</f>
        <v>CARD</v>
      </c>
    </row>
    <row r="1383" ht="11.25" customHeight="1">
      <c r="A1383" s="21" t="str">
        <f>IFERROR(__xludf.DUMMYFUNCTION("""COMPUTED_VALUE"""),"SMART CARD PRETO NAGRA")</f>
        <v>SMART CARD PRETO NAGRA</v>
      </c>
      <c r="B1383" s="22">
        <f>IFERROR(__xludf.DUMMYFUNCTION("""COMPUTED_VALUE"""),4.1001234E7)</f>
        <v>41001234</v>
      </c>
      <c r="C1383" s="21" t="str">
        <f>IFERROR(__xludf.DUMMYFUNCTION("""COMPUTED_VALUE"""),"226325089597")</f>
        <v>226325089597</v>
      </c>
      <c r="D1383" s="21" t="str">
        <f>IFERROR(__xludf.DUMMYFUNCTION("""COMPUTED_VALUE"""),"DIGITEC TECNOLOGIA DIGITAL E REPRES")</f>
        <v>DIGITEC TECNOLOGIA DIGITAL E REPRES</v>
      </c>
      <c r="E1383" s="21">
        <f>IFERROR(__xludf.DUMMYFUNCTION("""COMPUTED_VALUE"""),145359.0)</f>
        <v>145359</v>
      </c>
      <c r="F1383" s="21" t="str">
        <f>IFERROR(__xludf.DUMMYFUNCTION("""COMPUTED_VALUE"""),"INICIALIZADO")</f>
        <v>INICIALIZADO</v>
      </c>
      <c r="G1383" s="23">
        <f>IFERROR(__xludf.DUMMYFUNCTION("""COMPUTED_VALUE"""),45635.53497685185)</f>
        <v>45635.53498</v>
      </c>
      <c r="H1383" s="24" t="str">
        <f>IFERROR(VLOOKUP(B1383,material!A:D,3,0),"")</f>
        <v>CARD</v>
      </c>
    </row>
    <row r="1384" ht="11.25" customHeight="1">
      <c r="A1384" s="21" t="str">
        <f>IFERROR(__xludf.DUMMYFUNCTION("""COMPUTED_VALUE"""),"DECODER DIGITAL HD HNB100 2T")</f>
        <v>DECODER DIGITAL HD HNB100 2T</v>
      </c>
      <c r="B1384" s="22">
        <f>IFERROR(__xludf.DUMMYFUNCTION("""COMPUTED_VALUE"""),4.1001276E7)</f>
        <v>41001276</v>
      </c>
      <c r="C1384" s="21" t="str">
        <f>IFERROR(__xludf.DUMMYFUNCTION("""COMPUTED_VALUE"""),"216740055051")</f>
        <v>216740055051</v>
      </c>
      <c r="D1384" s="21" t="str">
        <f>IFERROR(__xludf.DUMMYFUNCTION("""COMPUTED_VALUE"""),"DIGITEC TECNOLOGIA DIGITAL E REPRES")</f>
        <v>DIGITEC TECNOLOGIA DIGITAL E REPRES</v>
      </c>
      <c r="E1384" s="21">
        <f>IFERROR(__xludf.DUMMYFUNCTION("""COMPUTED_VALUE"""),145359.0)</f>
        <v>145359</v>
      </c>
      <c r="F1384" s="21" t="str">
        <f>IFERROR(__xludf.DUMMYFUNCTION("""COMPUTED_VALUE"""),"INICIALIZADO")</f>
        <v>INICIALIZADO</v>
      </c>
      <c r="G1384" s="23">
        <f>IFERROR(__xludf.DUMMYFUNCTION("""COMPUTED_VALUE"""),45635.535)</f>
        <v>45635.535</v>
      </c>
      <c r="H1384" s="24" t="str">
        <f>IFERROR(VLOOKUP(B1384,material!A:D,3,0),"")</f>
        <v>TOP MIX</v>
      </c>
    </row>
    <row r="1385" ht="11.25" customHeight="1">
      <c r="A1385" s="21" t="str">
        <f>IFERROR(__xludf.DUMMYFUNCTION("""COMPUTED_VALUE"""),"DECODER DIGITAL HD HNB100 2T")</f>
        <v>DECODER DIGITAL HD HNB100 2T</v>
      </c>
      <c r="B1385" s="22">
        <f>IFERROR(__xludf.DUMMYFUNCTION("""COMPUTED_VALUE"""),4.1001276E7)</f>
        <v>41001276</v>
      </c>
      <c r="C1385" s="21" t="str">
        <f>IFERROR(__xludf.DUMMYFUNCTION("""COMPUTED_VALUE"""),"216832611425")</f>
        <v>216832611425</v>
      </c>
      <c r="D1385" s="21" t="str">
        <f>IFERROR(__xludf.DUMMYFUNCTION("""COMPUTED_VALUE"""),"DIGITEC TECNOLOGIA DIGITAL E REPRES")</f>
        <v>DIGITEC TECNOLOGIA DIGITAL E REPRES</v>
      </c>
      <c r="E1385" s="21">
        <f>IFERROR(__xludf.DUMMYFUNCTION("""COMPUTED_VALUE"""),145359.0)</f>
        <v>145359</v>
      </c>
      <c r="F1385" s="21" t="str">
        <f>IFERROR(__xludf.DUMMYFUNCTION("""COMPUTED_VALUE"""),"INICIALIZADO")</f>
        <v>INICIALIZADO</v>
      </c>
      <c r="G1385" s="23">
        <f>IFERROR(__xludf.DUMMYFUNCTION("""COMPUTED_VALUE"""),45635.53503472223)</f>
        <v>45635.53503</v>
      </c>
      <c r="H1385" s="24" t="str">
        <f>IFERROR(VLOOKUP(B1385,material!A:D,3,0),"")</f>
        <v>TOP MIX</v>
      </c>
    </row>
    <row r="1386" ht="11.25" customHeight="1">
      <c r="A1386" s="21" t="str">
        <f>IFERROR(__xludf.DUMMYFUNCTION("""COMPUTED_VALUE"""),"DECODER DIGITAL HD HNB100 2T")</f>
        <v>DECODER DIGITAL HD HNB100 2T</v>
      </c>
      <c r="B1386" s="22">
        <f>IFERROR(__xludf.DUMMYFUNCTION("""COMPUTED_VALUE"""),4.1001276E7)</f>
        <v>41001276</v>
      </c>
      <c r="C1386" s="21" t="str">
        <f>IFERROR(__xludf.DUMMYFUNCTION("""COMPUTED_VALUE"""),"216554658406")</f>
        <v>216554658406</v>
      </c>
      <c r="D1386" s="21" t="str">
        <f>IFERROR(__xludf.DUMMYFUNCTION("""COMPUTED_VALUE"""),"DIGITEC TECNOLOGIA DIGITAL E REPRES")</f>
        <v>DIGITEC TECNOLOGIA DIGITAL E REPRES</v>
      </c>
      <c r="E1386" s="21">
        <f>IFERROR(__xludf.DUMMYFUNCTION("""COMPUTED_VALUE"""),145359.0)</f>
        <v>145359</v>
      </c>
      <c r="F1386" s="21" t="str">
        <f>IFERROR(__xludf.DUMMYFUNCTION("""COMPUTED_VALUE"""),"INICIALIZADO")</f>
        <v>INICIALIZADO</v>
      </c>
      <c r="G1386" s="23">
        <f>IFERROR(__xludf.DUMMYFUNCTION("""COMPUTED_VALUE"""),45635.53508101852)</f>
        <v>45635.53508</v>
      </c>
      <c r="H1386" s="24" t="str">
        <f>IFERROR(VLOOKUP(B1386,material!A:D,3,0),"")</f>
        <v>TOP MIX</v>
      </c>
    </row>
    <row r="1387" ht="11.25" customHeight="1">
      <c r="A1387" s="21" t="str">
        <f>IFERROR(__xludf.DUMMYFUNCTION("""COMPUTED_VALUE"""),"DECODER DIGITAL HD HNB100 2T")</f>
        <v>DECODER DIGITAL HD HNB100 2T</v>
      </c>
      <c r="B1387" s="22">
        <f>IFERROR(__xludf.DUMMYFUNCTION("""COMPUTED_VALUE"""),4.1001276E7)</f>
        <v>41001276</v>
      </c>
      <c r="C1387" s="21" t="str">
        <f>IFERROR(__xludf.DUMMYFUNCTION("""COMPUTED_VALUE"""),"216687871620")</f>
        <v>216687871620</v>
      </c>
      <c r="D1387" s="21" t="str">
        <f>IFERROR(__xludf.DUMMYFUNCTION("""COMPUTED_VALUE"""),"DIGITEC TECNOLOGIA DIGITAL E REPRES")</f>
        <v>DIGITEC TECNOLOGIA DIGITAL E REPRES</v>
      </c>
      <c r="E1387" s="21">
        <f>IFERROR(__xludf.DUMMYFUNCTION("""COMPUTED_VALUE"""),145359.0)</f>
        <v>145359</v>
      </c>
      <c r="F1387" s="21" t="str">
        <f>IFERROR(__xludf.DUMMYFUNCTION("""COMPUTED_VALUE"""),"INICIALIZADO")</f>
        <v>INICIALIZADO</v>
      </c>
      <c r="G1387" s="23">
        <f>IFERROR(__xludf.DUMMYFUNCTION("""COMPUTED_VALUE"""),45635.53501157407)</f>
        <v>45635.53501</v>
      </c>
      <c r="H1387" s="24" t="str">
        <f>IFERROR(VLOOKUP(B1387,material!A:D,3,0),"")</f>
        <v>TOP MIX</v>
      </c>
    </row>
    <row r="1388" ht="11.25" customHeight="1">
      <c r="A1388" s="21" t="str">
        <f>IFERROR(__xludf.DUMMYFUNCTION("""COMPUTED_VALUE"""),"DECODER DIGITAL HD HNB100 2T")</f>
        <v>DECODER DIGITAL HD HNB100 2T</v>
      </c>
      <c r="B1388" s="22">
        <f>IFERROR(__xludf.DUMMYFUNCTION("""COMPUTED_VALUE"""),4.1001276E7)</f>
        <v>41001276</v>
      </c>
      <c r="C1388" s="21" t="str">
        <f>IFERROR(__xludf.DUMMYFUNCTION("""COMPUTED_VALUE"""),"216701361029")</f>
        <v>216701361029</v>
      </c>
      <c r="D1388" s="21" t="str">
        <f>IFERROR(__xludf.DUMMYFUNCTION("""COMPUTED_VALUE"""),"DIGITEC TECNOLOGIA DIGITAL E REPRES")</f>
        <v>DIGITEC TECNOLOGIA DIGITAL E REPRES</v>
      </c>
      <c r="E1388" s="21">
        <f>IFERROR(__xludf.DUMMYFUNCTION("""COMPUTED_VALUE"""),145359.0)</f>
        <v>145359</v>
      </c>
      <c r="F1388" s="21" t="str">
        <f>IFERROR(__xludf.DUMMYFUNCTION("""COMPUTED_VALUE"""),"INICIALIZADO")</f>
        <v>INICIALIZADO</v>
      </c>
      <c r="G1388" s="23">
        <f>IFERROR(__xludf.DUMMYFUNCTION("""COMPUTED_VALUE"""),45635.53501157407)</f>
        <v>45635.53501</v>
      </c>
      <c r="H1388" s="24" t="str">
        <f>IFERROR(VLOOKUP(B1388,material!A:D,3,0),"")</f>
        <v>TOP MIX</v>
      </c>
    </row>
    <row r="1389" ht="11.25" customHeight="1">
      <c r="A1389" s="21" t="str">
        <f>IFERROR(__xludf.DUMMYFUNCTION("""COMPUTED_VALUE"""),"DECODER DIGITAL HD HNB100 2T")</f>
        <v>DECODER DIGITAL HD HNB100 2T</v>
      </c>
      <c r="B1389" s="22">
        <f>IFERROR(__xludf.DUMMYFUNCTION("""COMPUTED_VALUE"""),4.1001276E7)</f>
        <v>41001276</v>
      </c>
      <c r="C1389" s="21" t="str">
        <f>IFERROR(__xludf.DUMMYFUNCTION("""COMPUTED_VALUE"""),"216695874971")</f>
        <v>216695874971</v>
      </c>
      <c r="D1389" s="21" t="str">
        <f>IFERROR(__xludf.DUMMYFUNCTION("""COMPUTED_VALUE"""),"DIGITEC TECNOLOGIA DIGITAL E REPRES")</f>
        <v>DIGITEC TECNOLOGIA DIGITAL E REPRES</v>
      </c>
      <c r="E1389" s="21">
        <f>IFERROR(__xludf.DUMMYFUNCTION("""COMPUTED_VALUE"""),145359.0)</f>
        <v>145359</v>
      </c>
      <c r="F1389" s="21" t="str">
        <f>IFERROR(__xludf.DUMMYFUNCTION("""COMPUTED_VALUE"""),"INICIALIZADO")</f>
        <v>INICIALIZADO</v>
      </c>
      <c r="G1389" s="23">
        <f>IFERROR(__xludf.DUMMYFUNCTION("""COMPUTED_VALUE"""),45635.53501157407)</f>
        <v>45635.53501</v>
      </c>
      <c r="H1389" s="24" t="str">
        <f>IFERROR(VLOOKUP(B1389,material!A:D,3,0),"")</f>
        <v>TOP MIX</v>
      </c>
    </row>
    <row r="1390" ht="11.25" customHeight="1">
      <c r="A1390" s="21" t="str">
        <f>IFERROR(__xludf.DUMMYFUNCTION("""COMPUTED_VALUE"""),"DECODER DIGITAL HD HNB100 2T")</f>
        <v>DECODER DIGITAL HD HNB100 2T</v>
      </c>
      <c r="B1390" s="22">
        <f>IFERROR(__xludf.DUMMYFUNCTION("""COMPUTED_VALUE"""),4.1001276E7)</f>
        <v>41001276</v>
      </c>
      <c r="C1390" s="21" t="str">
        <f>IFERROR(__xludf.DUMMYFUNCTION("""COMPUTED_VALUE"""),"216626648810")</f>
        <v>216626648810</v>
      </c>
      <c r="D1390" s="21" t="str">
        <f>IFERROR(__xludf.DUMMYFUNCTION("""COMPUTED_VALUE"""),"DIGITEC TECNOLOGIA DIGITAL E REPRES")</f>
        <v>DIGITEC TECNOLOGIA DIGITAL E REPRES</v>
      </c>
      <c r="E1390" s="21">
        <f>IFERROR(__xludf.DUMMYFUNCTION("""COMPUTED_VALUE"""),145359.0)</f>
        <v>145359</v>
      </c>
      <c r="F1390" s="21" t="str">
        <f>IFERROR(__xludf.DUMMYFUNCTION("""COMPUTED_VALUE"""),"INICIALIZADO")</f>
        <v>INICIALIZADO</v>
      </c>
      <c r="G1390" s="23">
        <f>IFERROR(__xludf.DUMMYFUNCTION("""COMPUTED_VALUE"""),45642.524143518516)</f>
        <v>45642.52414</v>
      </c>
      <c r="H1390" s="24" t="str">
        <f>IFERROR(VLOOKUP(B1390,material!A:D,3,0),"")</f>
        <v>TOP MIX</v>
      </c>
    </row>
    <row r="1391" ht="11.25" customHeight="1">
      <c r="A1391" s="21" t="str">
        <f>IFERROR(__xludf.DUMMYFUNCTION("""COMPUTED_VALUE"""),"DECODER DIGITAL HD DXC5000 2T")</f>
        <v>DECODER DIGITAL HD DXC5000 2T</v>
      </c>
      <c r="B1391" s="22">
        <f>IFERROR(__xludf.DUMMYFUNCTION("""COMPUTED_VALUE"""),4.1001277E7)</f>
        <v>41001277</v>
      </c>
      <c r="C1391" s="21" t="str">
        <f>IFERROR(__xludf.DUMMYFUNCTION("""COMPUTED_VALUE"""),"216569695765")</f>
        <v>216569695765</v>
      </c>
      <c r="D1391" s="21" t="str">
        <f>IFERROR(__xludf.DUMMYFUNCTION("""COMPUTED_VALUE"""),"DIGITEC TECNOLOGIA DIGITAL E REPRES")</f>
        <v>DIGITEC TECNOLOGIA DIGITAL E REPRES</v>
      </c>
      <c r="E1391" s="21">
        <f>IFERROR(__xludf.DUMMYFUNCTION("""COMPUTED_VALUE"""),145359.0)</f>
        <v>145359</v>
      </c>
      <c r="F1391" s="21" t="str">
        <f>IFERROR(__xludf.DUMMYFUNCTION("""COMPUTED_VALUE"""),"TRANSITO REVERSA")</f>
        <v>TRANSITO REVERSA</v>
      </c>
      <c r="G1391" s="23">
        <f>IFERROR(__xludf.DUMMYFUNCTION("""COMPUTED_VALUE"""),45638.520625000005)</f>
        <v>45638.52063</v>
      </c>
      <c r="H1391" s="24" t="str">
        <f>IFERROR(VLOOKUP(B1391,material!A:D,3,0),"")</f>
        <v>TOP MIX</v>
      </c>
    </row>
    <row r="1392" ht="11.25" customHeight="1">
      <c r="A1392" s="21" t="str">
        <f>IFERROR(__xludf.DUMMYFUNCTION("""COMPUTED_VALUE"""),"DECODER DIGITAL HD DXC5000 2T")</f>
        <v>DECODER DIGITAL HD DXC5000 2T</v>
      </c>
      <c r="B1392" s="22">
        <f>IFERROR(__xludf.DUMMYFUNCTION("""COMPUTED_VALUE"""),4.1001277E7)</f>
        <v>41001277</v>
      </c>
      <c r="C1392" s="21" t="str">
        <f>IFERROR(__xludf.DUMMYFUNCTION("""COMPUTED_VALUE"""),"216659688397")</f>
        <v>216659688397</v>
      </c>
      <c r="D1392" s="21" t="str">
        <f>IFERROR(__xludf.DUMMYFUNCTION("""COMPUTED_VALUE"""),"DIGITEC TECNOLOGIA DIGITAL E REPRES")</f>
        <v>DIGITEC TECNOLOGIA DIGITAL E REPRES</v>
      </c>
      <c r="E1392" s="21">
        <f>IFERROR(__xludf.DUMMYFUNCTION("""COMPUTED_VALUE"""),145359.0)</f>
        <v>145359</v>
      </c>
      <c r="F1392" s="21" t="str">
        <f>IFERROR(__xludf.DUMMYFUNCTION("""COMPUTED_VALUE"""),"TRANSITO REVERSA")</f>
        <v>TRANSITO REVERSA</v>
      </c>
      <c r="G1392" s="23">
        <f>IFERROR(__xludf.DUMMYFUNCTION("""COMPUTED_VALUE"""),45610.730416666665)</f>
        <v>45610.73042</v>
      </c>
      <c r="H1392" s="24" t="str">
        <f>IFERROR(VLOOKUP(B1392,material!A:D,3,0),"")</f>
        <v>TOP MIX</v>
      </c>
    </row>
    <row r="1393" ht="11.25" customHeight="1">
      <c r="A1393" s="21" t="str">
        <f>IFERROR(__xludf.DUMMYFUNCTION("""COMPUTED_VALUE"""),"SMART CARD PRETO NAGRA")</f>
        <v>SMART CARD PRETO NAGRA</v>
      </c>
      <c r="B1393" s="22">
        <f>IFERROR(__xludf.DUMMYFUNCTION("""COMPUTED_VALUE"""),4.1001234E7)</f>
        <v>41001234</v>
      </c>
      <c r="C1393" s="21" t="str">
        <f>IFERROR(__xludf.DUMMYFUNCTION("""COMPUTED_VALUE"""),"246195870423")</f>
        <v>246195870423</v>
      </c>
      <c r="D1393" s="21" t="str">
        <f>IFERROR(__xludf.DUMMYFUNCTION("""COMPUTED_VALUE"""),"DIGITEC TECNOLOGIA DIGITAL E REPRES")</f>
        <v>DIGITEC TECNOLOGIA DIGITAL E REPRES</v>
      </c>
      <c r="E1393" s="21">
        <f>IFERROR(__xludf.DUMMYFUNCTION("""COMPUTED_VALUE"""),145359.0)</f>
        <v>145359</v>
      </c>
      <c r="F1393" s="21" t="str">
        <f>IFERROR(__xludf.DUMMYFUNCTION("""COMPUTED_VALUE"""),"TRANSITO REVERSA")</f>
        <v>TRANSITO REVERSA</v>
      </c>
      <c r="G1393" s="23">
        <f>IFERROR(__xludf.DUMMYFUNCTION("""COMPUTED_VALUE"""),45617.87137731482)</f>
        <v>45617.87138</v>
      </c>
      <c r="H1393" s="24" t="str">
        <f>IFERROR(VLOOKUP(B1393,material!A:D,3,0),"")</f>
        <v>CARD</v>
      </c>
    </row>
    <row r="1394" ht="11.25" customHeight="1">
      <c r="A1394" s="21" t="str">
        <f>IFERROR(__xludf.DUMMYFUNCTION("""COMPUTED_VALUE"""),"SMART CARD PRETO NAGRA")</f>
        <v>SMART CARD PRETO NAGRA</v>
      </c>
      <c r="B1394" s="22">
        <f>IFERROR(__xludf.DUMMYFUNCTION("""COMPUTED_VALUE"""),4.1001234E7)</f>
        <v>41001234</v>
      </c>
      <c r="C1394" s="21" t="str">
        <f>IFERROR(__xludf.DUMMYFUNCTION("""COMPUTED_VALUE"""),"246184986071")</f>
        <v>246184986071</v>
      </c>
      <c r="D1394" s="21" t="str">
        <f>IFERROR(__xludf.DUMMYFUNCTION("""COMPUTED_VALUE"""),"DIGITEC TECNOLOGIA DIGITAL E REPRES")</f>
        <v>DIGITEC TECNOLOGIA DIGITAL E REPRES</v>
      </c>
      <c r="E1394" s="21">
        <f>IFERROR(__xludf.DUMMYFUNCTION("""COMPUTED_VALUE"""),145359.0)</f>
        <v>145359</v>
      </c>
      <c r="F1394" s="21" t="str">
        <f>IFERROR(__xludf.DUMMYFUNCTION("""COMPUTED_VALUE"""),"TRANSITO REVERSA")</f>
        <v>TRANSITO REVERSA</v>
      </c>
      <c r="G1394" s="23">
        <f>IFERROR(__xludf.DUMMYFUNCTION("""COMPUTED_VALUE"""),45638.52060185185)</f>
        <v>45638.5206</v>
      </c>
      <c r="H1394" s="24" t="str">
        <f>IFERROR(VLOOKUP(B1394,material!A:D,3,0),"")</f>
        <v>CARD</v>
      </c>
    </row>
    <row r="1395" ht="11.25" customHeight="1">
      <c r="A1395" s="21" t="str">
        <f>IFERROR(__xludf.DUMMYFUNCTION("""COMPUTED_VALUE"""),"SMART CARD PRETO NAGRA")</f>
        <v>SMART CARD PRETO NAGRA</v>
      </c>
      <c r="B1395" s="22">
        <f>IFERROR(__xludf.DUMMYFUNCTION("""COMPUTED_VALUE"""),4.1001234E7)</f>
        <v>41001234</v>
      </c>
      <c r="C1395" s="21" t="str">
        <f>IFERROR(__xludf.DUMMYFUNCTION("""COMPUTED_VALUE"""),"226255512842")</f>
        <v>226255512842</v>
      </c>
      <c r="D1395" s="21" t="str">
        <f>IFERROR(__xludf.DUMMYFUNCTION("""COMPUTED_VALUE"""),"DIGITEC TECNOLOGIA DIGITAL E REPRES")</f>
        <v>DIGITEC TECNOLOGIA DIGITAL E REPRES</v>
      </c>
      <c r="E1395" s="21">
        <f>IFERROR(__xludf.DUMMYFUNCTION("""COMPUTED_VALUE"""),145359.0)</f>
        <v>145359</v>
      </c>
      <c r="F1395" s="21" t="str">
        <f>IFERROR(__xludf.DUMMYFUNCTION("""COMPUTED_VALUE"""),"TRANSITO REVERSA")</f>
        <v>TRANSITO REVERSA</v>
      </c>
      <c r="G1395" s="23">
        <f>IFERROR(__xludf.DUMMYFUNCTION("""COMPUTED_VALUE"""),45617.87140046296)</f>
        <v>45617.8714</v>
      </c>
      <c r="H1395" s="24" t="str">
        <f>IFERROR(VLOOKUP(B1395,material!A:D,3,0),"")</f>
        <v>CARD</v>
      </c>
    </row>
    <row r="1396" ht="11.25" customHeight="1">
      <c r="A1396" s="21" t="str">
        <f>IFERROR(__xludf.DUMMYFUNCTION("""COMPUTED_VALUE"""),"SMART CARD PRETO NAGRA")</f>
        <v>SMART CARD PRETO NAGRA</v>
      </c>
      <c r="B1396" s="22">
        <f>IFERROR(__xludf.DUMMYFUNCTION("""COMPUTED_VALUE"""),4.1001234E7)</f>
        <v>41001234</v>
      </c>
      <c r="C1396" s="21" t="str">
        <f>IFERROR(__xludf.DUMMYFUNCTION("""COMPUTED_VALUE"""),"246081966174")</f>
        <v>246081966174</v>
      </c>
      <c r="D1396" s="21" t="str">
        <f>IFERROR(__xludf.DUMMYFUNCTION("""COMPUTED_VALUE"""),"DIGITEC TECNOLOGIA DIGITAL E REPRES")</f>
        <v>DIGITEC TECNOLOGIA DIGITAL E REPRES</v>
      </c>
      <c r="E1396" s="21">
        <f>IFERROR(__xludf.DUMMYFUNCTION("""COMPUTED_VALUE"""),145359.0)</f>
        <v>145359</v>
      </c>
      <c r="F1396" s="21" t="str">
        <f>IFERROR(__xludf.DUMMYFUNCTION("""COMPUTED_VALUE"""),"INICIALIZADO")</f>
        <v>INICIALIZADO</v>
      </c>
      <c r="G1396" s="23">
        <f>IFERROR(__xludf.DUMMYFUNCTION("""COMPUTED_VALUE"""),45103.66642361111)</f>
        <v>45103.66642</v>
      </c>
      <c r="H1396" s="24" t="str">
        <f>IFERROR(VLOOKUP(B1396,material!A:D,3,0),"")</f>
        <v>CARD</v>
      </c>
    </row>
    <row r="1397" ht="11.25" customHeight="1">
      <c r="A1397" s="21" t="str">
        <f>IFERROR(__xludf.DUMMYFUNCTION("""COMPUTED_VALUE"""),"DECODER DIGITAL HD HNB100 2T")</f>
        <v>DECODER DIGITAL HD HNB100 2T</v>
      </c>
      <c r="B1397" s="22">
        <f>IFERROR(__xludf.DUMMYFUNCTION("""COMPUTED_VALUE"""),4.1001276E7)</f>
        <v>41001276</v>
      </c>
      <c r="C1397" s="21" t="str">
        <f>IFERROR(__xludf.DUMMYFUNCTION("""COMPUTED_VALUE"""),"216562475779")</f>
        <v>216562475779</v>
      </c>
      <c r="D1397" s="21" t="str">
        <f>IFERROR(__xludf.DUMMYFUNCTION("""COMPUTED_VALUE"""),"DIGITEC TECNOLOGIA DIGITAL E REPRES")</f>
        <v>DIGITEC TECNOLOGIA DIGITAL E REPRES</v>
      </c>
      <c r="E1397" s="21">
        <f>IFERROR(__xludf.DUMMYFUNCTION("""COMPUTED_VALUE"""),145359.0)</f>
        <v>145359</v>
      </c>
      <c r="F1397" s="21" t="str">
        <f>IFERROR(__xludf.DUMMYFUNCTION("""COMPUTED_VALUE"""),"INICIALIZADO")</f>
        <v>INICIALIZADO</v>
      </c>
      <c r="G1397" s="23">
        <f>IFERROR(__xludf.DUMMYFUNCTION("""COMPUTED_VALUE"""),45635.53506944445)</f>
        <v>45635.53507</v>
      </c>
      <c r="H1397" s="24" t="str">
        <f>IFERROR(VLOOKUP(B1397,material!A:D,3,0),"")</f>
        <v>TOP MIX</v>
      </c>
    </row>
    <row r="1398" ht="11.25" customHeight="1">
      <c r="A1398" s="21" t="str">
        <f>IFERROR(__xludf.DUMMYFUNCTION("""COMPUTED_VALUE"""),"DECODER DIGITAL HD HNB100 2T")</f>
        <v>DECODER DIGITAL HD HNB100 2T</v>
      </c>
      <c r="B1398" s="22">
        <f>IFERROR(__xludf.DUMMYFUNCTION("""COMPUTED_VALUE"""),4.1001276E7)</f>
        <v>41001276</v>
      </c>
      <c r="C1398" s="21" t="str">
        <f>IFERROR(__xludf.DUMMYFUNCTION("""COMPUTED_VALUE"""),"216636892234")</f>
        <v>216636892234</v>
      </c>
      <c r="D1398" s="21" t="str">
        <f>IFERROR(__xludf.DUMMYFUNCTION("""COMPUTED_VALUE"""),"DIGITEC TECNOLOGIA DIGITAL E REPRES")</f>
        <v>DIGITEC TECNOLOGIA DIGITAL E REPRES</v>
      </c>
      <c r="E1398" s="21">
        <f>IFERROR(__xludf.DUMMYFUNCTION("""COMPUTED_VALUE"""),145359.0)</f>
        <v>145359</v>
      </c>
      <c r="F1398" s="21" t="str">
        <f>IFERROR(__xludf.DUMMYFUNCTION("""COMPUTED_VALUE"""),"INICIALIZADO")</f>
        <v>INICIALIZADO</v>
      </c>
      <c r="G1398" s="23">
        <f>IFERROR(__xludf.DUMMYFUNCTION("""COMPUTED_VALUE"""),45635.53506944445)</f>
        <v>45635.53507</v>
      </c>
      <c r="H1398" s="24" t="str">
        <f>IFERROR(VLOOKUP(B1398,material!A:D,3,0),"")</f>
        <v>TOP MIX</v>
      </c>
    </row>
    <row r="1399" ht="11.25" customHeight="1">
      <c r="A1399" s="21" t="str">
        <f>IFERROR(__xludf.DUMMYFUNCTION("""COMPUTED_VALUE"""),"DECODER DIGITAL HD DXC5000 2T")</f>
        <v>DECODER DIGITAL HD DXC5000 2T</v>
      </c>
      <c r="B1399" s="22">
        <f>IFERROR(__xludf.DUMMYFUNCTION("""COMPUTED_VALUE"""),4.1001277E7)</f>
        <v>41001277</v>
      </c>
      <c r="C1399" s="21" t="str">
        <f>IFERROR(__xludf.DUMMYFUNCTION("""COMPUTED_VALUE"""),"216491029300")</f>
        <v>216491029300</v>
      </c>
      <c r="D1399" s="21" t="str">
        <f>IFERROR(__xludf.DUMMYFUNCTION("""COMPUTED_VALUE"""),"DIGITEC TECNOLOGIA DIGITAL E REPRES")</f>
        <v>DIGITEC TECNOLOGIA DIGITAL E REPRES</v>
      </c>
      <c r="E1399" s="21">
        <f>IFERROR(__xludf.DUMMYFUNCTION("""COMPUTED_VALUE"""),145359.0)</f>
        <v>145359</v>
      </c>
      <c r="F1399" s="21" t="str">
        <f>IFERROR(__xludf.DUMMYFUNCTION("""COMPUTED_VALUE"""),"INICIALIZADO")</f>
        <v>INICIALIZADO</v>
      </c>
      <c r="G1399" s="23">
        <f>IFERROR(__xludf.DUMMYFUNCTION("""COMPUTED_VALUE"""),45615.61856481481)</f>
        <v>45615.61856</v>
      </c>
      <c r="H1399" s="24" t="str">
        <f>IFERROR(VLOOKUP(B1399,material!A:D,3,0),"")</f>
        <v>TOP MIX</v>
      </c>
    </row>
    <row r="1400" ht="11.25" customHeight="1">
      <c r="A1400" s="21" t="str">
        <f>IFERROR(__xludf.DUMMYFUNCTION("""COMPUTED_VALUE"""),"DECODER DIGITAL HD HNB100 2T")</f>
        <v>DECODER DIGITAL HD HNB100 2T</v>
      </c>
      <c r="B1400" s="22">
        <f>IFERROR(__xludf.DUMMYFUNCTION("""COMPUTED_VALUE"""),4.1001276E7)</f>
        <v>41001276</v>
      </c>
      <c r="C1400" s="21" t="str">
        <f>IFERROR(__xludf.DUMMYFUNCTION("""COMPUTED_VALUE"""),"216397771333")</f>
        <v>216397771333</v>
      </c>
      <c r="D1400" s="21" t="str">
        <f>IFERROR(__xludf.DUMMYFUNCTION("""COMPUTED_VALUE"""),"DIGITEC TECNOLOGIA DIGITAL E REPRES")</f>
        <v>DIGITEC TECNOLOGIA DIGITAL E REPRES</v>
      </c>
      <c r="E1400" s="21">
        <f>IFERROR(__xludf.DUMMYFUNCTION("""COMPUTED_VALUE"""),145359.0)</f>
        <v>145359</v>
      </c>
      <c r="F1400" s="21" t="str">
        <f>IFERROR(__xludf.DUMMYFUNCTION("""COMPUTED_VALUE"""),"INICIALIZADO")</f>
        <v>INICIALIZADO</v>
      </c>
      <c r="G1400" s="23">
        <f>IFERROR(__xludf.DUMMYFUNCTION("""COMPUTED_VALUE"""),45635.53503472223)</f>
        <v>45635.53503</v>
      </c>
      <c r="H1400" s="24" t="str">
        <f>IFERROR(VLOOKUP(B1400,material!A:D,3,0),"")</f>
        <v>TOP MIX</v>
      </c>
    </row>
    <row r="1401" ht="11.25" customHeight="1">
      <c r="A1401" s="21" t="str">
        <f>IFERROR(__xludf.DUMMYFUNCTION("""COMPUTED_VALUE"""),"HUMAX HGB10R-02")</f>
        <v>HUMAX HGB10R-02</v>
      </c>
      <c r="B1401" s="22">
        <f>IFERROR(__xludf.DUMMYFUNCTION("""COMPUTED_VALUE"""),4.1001292E7)</f>
        <v>41001292</v>
      </c>
      <c r="C1401" s="21" t="str">
        <f>IFERROR(__xludf.DUMMYFUNCTION("""COMPUTED_VALUE"""),"942CB3F35C9B")</f>
        <v>942CB3F35C9B</v>
      </c>
      <c r="D1401" s="21" t="str">
        <f>IFERROR(__xludf.DUMMYFUNCTION("""COMPUTED_VALUE"""),"DIGITEC TECNOLOGIA DIGITAL E REPRES")</f>
        <v>DIGITEC TECNOLOGIA DIGITAL E REPRES</v>
      </c>
      <c r="E1401" s="21">
        <f>IFERROR(__xludf.DUMMYFUNCTION("""COMPUTED_VALUE"""),145359.0)</f>
        <v>145359</v>
      </c>
      <c r="F1401" s="21" t="str">
        <f>IFERROR(__xludf.DUMMYFUNCTION("""COMPUTED_VALUE"""),"TRANSITO REVERSA")</f>
        <v>TRANSITO REVERSA</v>
      </c>
      <c r="G1401" s="23">
        <f>IFERROR(__xludf.DUMMYFUNCTION("""COMPUTED_VALUE"""),45633.003379629634)</f>
        <v>45633.00338</v>
      </c>
      <c r="H1401" s="24" t="str">
        <f>IFERROR(VLOOKUP(B1401,material!A:D,3,0),"")</f>
        <v>DUAL</v>
      </c>
    </row>
    <row r="1402" ht="11.25" customHeight="1">
      <c r="A1402" s="21" t="str">
        <f>IFERROR(__xludf.DUMMYFUNCTION("""COMPUTED_VALUE"""),"DECODER DIGITAL HD HNB100 2T")</f>
        <v>DECODER DIGITAL HD HNB100 2T</v>
      </c>
      <c r="B1402" s="22">
        <f>IFERROR(__xludf.DUMMYFUNCTION("""COMPUTED_VALUE"""),4.1001276E7)</f>
        <v>41001276</v>
      </c>
      <c r="C1402" s="21" t="str">
        <f>IFERROR(__xludf.DUMMYFUNCTION("""COMPUTED_VALUE"""),"216354056886")</f>
        <v>216354056886</v>
      </c>
      <c r="D1402" s="21" t="str">
        <f>IFERROR(__xludf.DUMMYFUNCTION("""COMPUTED_VALUE"""),"DIGITEC TECNOLOGIA DIGITAL E REPRES")</f>
        <v>DIGITEC TECNOLOGIA DIGITAL E REPRES</v>
      </c>
      <c r="E1402" s="21">
        <f>IFERROR(__xludf.DUMMYFUNCTION("""COMPUTED_VALUE"""),145359.0)</f>
        <v>145359</v>
      </c>
      <c r="F1402" s="21" t="str">
        <f>IFERROR(__xludf.DUMMYFUNCTION("""COMPUTED_VALUE"""),"INICIALIZADO")</f>
        <v>INICIALIZADO</v>
      </c>
      <c r="G1402" s="23">
        <f>IFERROR(__xludf.DUMMYFUNCTION("""COMPUTED_VALUE"""),45635.535057870366)</f>
        <v>45635.53506</v>
      </c>
      <c r="H1402" s="24" t="str">
        <f>IFERROR(VLOOKUP(B1402,material!A:D,3,0),"")</f>
        <v>TOP MIX</v>
      </c>
    </row>
    <row r="1403" ht="11.25" customHeight="1">
      <c r="A1403" s="21" t="str">
        <f>IFERROR(__xludf.DUMMYFUNCTION("""COMPUTED_VALUE"""),"DECODER DIGITAL HD HNB100 2T")</f>
        <v>DECODER DIGITAL HD HNB100 2T</v>
      </c>
      <c r="B1403" s="22">
        <f>IFERROR(__xludf.DUMMYFUNCTION("""COMPUTED_VALUE"""),4.1001276E7)</f>
        <v>41001276</v>
      </c>
      <c r="C1403" s="21" t="str">
        <f>IFERROR(__xludf.DUMMYFUNCTION("""COMPUTED_VALUE"""),"216791004255")</f>
        <v>216791004255</v>
      </c>
      <c r="D1403" s="21" t="str">
        <f>IFERROR(__xludf.DUMMYFUNCTION("""COMPUTED_VALUE"""),"DIGITEC TECNOLOGIA DIGITAL E REPRES")</f>
        <v>DIGITEC TECNOLOGIA DIGITAL E REPRES</v>
      </c>
      <c r="E1403" s="21">
        <f>IFERROR(__xludf.DUMMYFUNCTION("""COMPUTED_VALUE"""),145359.0)</f>
        <v>145359</v>
      </c>
      <c r="F1403" s="21" t="str">
        <f>IFERROR(__xludf.DUMMYFUNCTION("""COMPUTED_VALUE"""),"INICIALIZADO")</f>
        <v>INICIALIZADO</v>
      </c>
      <c r="G1403" s="23">
        <f>IFERROR(__xludf.DUMMYFUNCTION("""COMPUTED_VALUE"""),45635.53501157407)</f>
        <v>45635.53501</v>
      </c>
      <c r="H1403" s="24" t="str">
        <f>IFERROR(VLOOKUP(B1403,material!A:D,3,0),"")</f>
        <v>TOP MIX</v>
      </c>
    </row>
    <row r="1404" ht="11.25" customHeight="1">
      <c r="A1404" s="21" t="str">
        <f>IFERROR(__xludf.DUMMYFUNCTION("""COMPUTED_VALUE"""),"DECODER DIGITAL HD HNB100 2T")</f>
        <v>DECODER DIGITAL HD HNB100 2T</v>
      </c>
      <c r="B1404" s="22">
        <f>IFERROR(__xludf.DUMMYFUNCTION("""COMPUTED_VALUE"""),4.1001276E7)</f>
        <v>41001276</v>
      </c>
      <c r="C1404" s="21" t="str">
        <f>IFERROR(__xludf.DUMMYFUNCTION("""COMPUTED_VALUE"""),"216833144866")</f>
        <v>216833144866</v>
      </c>
      <c r="D1404" s="21" t="str">
        <f>IFERROR(__xludf.DUMMYFUNCTION("""COMPUTED_VALUE"""),"DIGITEC TECNOLOGIA DIGITAL E REPRES")</f>
        <v>DIGITEC TECNOLOGIA DIGITAL E REPRES</v>
      </c>
      <c r="E1404" s="21">
        <f>IFERROR(__xludf.DUMMYFUNCTION("""COMPUTED_VALUE"""),145359.0)</f>
        <v>145359</v>
      </c>
      <c r="F1404" s="21" t="str">
        <f>IFERROR(__xludf.DUMMYFUNCTION("""COMPUTED_VALUE"""),"INICIALIZADO")</f>
        <v>INICIALIZADO</v>
      </c>
      <c r="G1404" s="23">
        <f>IFERROR(__xludf.DUMMYFUNCTION("""COMPUTED_VALUE"""),45642.52413194445)</f>
        <v>45642.52413</v>
      </c>
      <c r="H1404" s="24" t="str">
        <f>IFERROR(VLOOKUP(B1404,material!A:D,3,0),"")</f>
        <v>TOP MIX</v>
      </c>
    </row>
    <row r="1405" ht="11.25" customHeight="1">
      <c r="A1405" s="21" t="str">
        <f>IFERROR(__xludf.DUMMYFUNCTION("""COMPUTED_VALUE"""),"SMART CARD PRETO NAGRA")</f>
        <v>SMART CARD PRETO NAGRA</v>
      </c>
      <c r="B1405" s="22">
        <f>IFERROR(__xludf.DUMMYFUNCTION("""COMPUTED_VALUE"""),4.1001234E7)</f>
        <v>41001234</v>
      </c>
      <c r="C1405" s="21" t="str">
        <f>IFERROR(__xludf.DUMMYFUNCTION("""COMPUTED_VALUE"""),"246294933143")</f>
        <v>246294933143</v>
      </c>
      <c r="D1405" s="21" t="str">
        <f>IFERROR(__xludf.DUMMYFUNCTION("""COMPUTED_VALUE"""),"DIGITEC TECNOLOGIA DIGITAL E REPRES")</f>
        <v>DIGITEC TECNOLOGIA DIGITAL E REPRES</v>
      </c>
      <c r="E1405" s="21">
        <f>IFERROR(__xludf.DUMMYFUNCTION("""COMPUTED_VALUE"""),145359.0)</f>
        <v>145359</v>
      </c>
      <c r="F1405" s="21" t="str">
        <f>IFERROR(__xludf.DUMMYFUNCTION("""COMPUTED_VALUE"""),"INICIALIZADO")</f>
        <v>INICIALIZADO</v>
      </c>
      <c r="G1405" s="23">
        <f>IFERROR(__xludf.DUMMYFUNCTION("""COMPUTED_VALUE"""),45635.53491898148)</f>
        <v>45635.53492</v>
      </c>
      <c r="H1405" s="24" t="str">
        <f>IFERROR(VLOOKUP(B1405,material!A:D,3,0),"")</f>
        <v>CARD</v>
      </c>
    </row>
    <row r="1406" ht="11.25" customHeight="1">
      <c r="A1406" s="21" t="str">
        <f>IFERROR(__xludf.DUMMYFUNCTION("""COMPUTED_VALUE"""),"DECODER DIGITAL HD HNB100 2T")</f>
        <v>DECODER DIGITAL HD HNB100 2T</v>
      </c>
      <c r="B1406" s="22">
        <f>IFERROR(__xludf.DUMMYFUNCTION("""COMPUTED_VALUE"""),4.1001276E7)</f>
        <v>41001276</v>
      </c>
      <c r="C1406" s="21" t="str">
        <f>IFERROR(__xludf.DUMMYFUNCTION("""COMPUTED_VALUE"""),"216818021314")</f>
        <v>216818021314</v>
      </c>
      <c r="D1406" s="21" t="str">
        <f>IFERROR(__xludf.DUMMYFUNCTION("""COMPUTED_VALUE"""),"DIGITEC TECNOLOGIA DIGITAL E REPRES")</f>
        <v>DIGITEC TECNOLOGIA DIGITAL E REPRES</v>
      </c>
      <c r="E1406" s="21">
        <f>IFERROR(__xludf.DUMMYFUNCTION("""COMPUTED_VALUE"""),145359.0)</f>
        <v>145359</v>
      </c>
      <c r="F1406" s="21" t="str">
        <f>IFERROR(__xludf.DUMMYFUNCTION("""COMPUTED_VALUE"""),"INICIALIZADO")</f>
        <v>INICIALIZADO</v>
      </c>
      <c r="G1406" s="23">
        <f>IFERROR(__xludf.DUMMYFUNCTION("""COMPUTED_VALUE"""),45635.53502314815)</f>
        <v>45635.53502</v>
      </c>
      <c r="H1406" s="24" t="str">
        <f>IFERROR(VLOOKUP(B1406,material!A:D,3,0),"")</f>
        <v>TOP MIX</v>
      </c>
    </row>
    <row r="1407" ht="11.25" customHeight="1">
      <c r="A1407" s="21" t="str">
        <f>IFERROR(__xludf.DUMMYFUNCTION("""COMPUTED_VALUE"""),"SMART CARD AVULSO MINI")</f>
        <v>SMART CARD AVULSO MINI</v>
      </c>
      <c r="B1407" s="22">
        <f>IFERROR(__xludf.DUMMYFUNCTION("""COMPUTED_VALUE"""),4.1001508E7)</f>
        <v>41001508</v>
      </c>
      <c r="C1407" s="21" t="str">
        <f>IFERROR(__xludf.DUMMYFUNCTION("""COMPUTED_VALUE"""),"226037909102")</f>
        <v>226037909102</v>
      </c>
      <c r="D1407" s="21" t="str">
        <f>IFERROR(__xludf.DUMMYFUNCTION("""COMPUTED_VALUE"""),"DIGITEC TECNOLOGIA DIGITAL E REPRES")</f>
        <v>DIGITEC TECNOLOGIA DIGITAL E REPRES</v>
      </c>
      <c r="E1407" s="21">
        <f>IFERROR(__xludf.DUMMYFUNCTION("""COMPUTED_VALUE"""),145359.0)</f>
        <v>145359</v>
      </c>
      <c r="F1407" s="21" t="str">
        <f>IFERROR(__xludf.DUMMYFUNCTION("""COMPUTED_VALUE"""),"PERDA")</f>
        <v>PERDA</v>
      </c>
      <c r="G1407" s="23">
        <f>IFERROR(__xludf.DUMMYFUNCTION("""COMPUTED_VALUE"""),45134.41050925926)</f>
        <v>45134.41051</v>
      </c>
      <c r="H1407" s="24" t="str">
        <f>IFERROR(VLOOKUP(B1407,material!A:D,3,0),"")</f>
        <v>SIM CARD</v>
      </c>
    </row>
    <row r="1408" ht="11.25" customHeight="1">
      <c r="A1408" s="21" t="str">
        <f>IFERROR(__xludf.DUMMYFUNCTION("""COMPUTED_VALUE"""),"SMART CARD PRETO NAGRA")</f>
        <v>SMART CARD PRETO NAGRA</v>
      </c>
      <c r="B1408" s="22">
        <f>IFERROR(__xludf.DUMMYFUNCTION("""COMPUTED_VALUE"""),4.1001234E7)</f>
        <v>41001234</v>
      </c>
      <c r="C1408" s="21" t="str">
        <f>IFERROR(__xludf.DUMMYFUNCTION("""COMPUTED_VALUE"""),"226093144661")</f>
        <v>226093144661</v>
      </c>
      <c r="D1408" s="21" t="str">
        <f>IFERROR(__xludf.DUMMYFUNCTION("""COMPUTED_VALUE"""),"DIGITEC TECNOLOGIA DIGITAL E REPRES")</f>
        <v>DIGITEC TECNOLOGIA DIGITAL E REPRES</v>
      </c>
      <c r="E1408" s="21">
        <f>IFERROR(__xludf.DUMMYFUNCTION("""COMPUTED_VALUE"""),145359.0)</f>
        <v>145359</v>
      </c>
      <c r="F1408" s="21" t="str">
        <f>IFERROR(__xludf.DUMMYFUNCTION("""COMPUTED_VALUE"""),"INICIALIZADO")</f>
        <v>INICIALIZADO</v>
      </c>
      <c r="G1408" s="23">
        <f>IFERROR(__xludf.DUMMYFUNCTION("""COMPUTED_VALUE"""),45618.65202546296)</f>
        <v>45618.65203</v>
      </c>
      <c r="H1408" s="24" t="str">
        <f>IFERROR(VLOOKUP(B1408,material!A:D,3,0),"")</f>
        <v>CARD</v>
      </c>
    </row>
    <row r="1409" ht="11.25" customHeight="1">
      <c r="A1409" s="21" t="str">
        <f>IFERROR(__xludf.DUMMYFUNCTION("""COMPUTED_VALUE"""),"DECODER DIGITAL HD HNB100 2T")</f>
        <v>DECODER DIGITAL HD HNB100 2T</v>
      </c>
      <c r="B1409" s="22">
        <f>IFERROR(__xludf.DUMMYFUNCTION("""COMPUTED_VALUE"""),4.1001276E7)</f>
        <v>41001276</v>
      </c>
      <c r="C1409" s="21" t="str">
        <f>IFERROR(__xludf.DUMMYFUNCTION("""COMPUTED_VALUE"""),"216338178502")</f>
        <v>216338178502</v>
      </c>
      <c r="D1409" s="21" t="str">
        <f>IFERROR(__xludf.DUMMYFUNCTION("""COMPUTED_VALUE"""),"DIGITEC TECNOLOGIA DIGITAL E REPRES")</f>
        <v>DIGITEC TECNOLOGIA DIGITAL E REPRES</v>
      </c>
      <c r="E1409" s="21">
        <f>IFERROR(__xludf.DUMMYFUNCTION("""COMPUTED_VALUE"""),145359.0)</f>
        <v>145359</v>
      </c>
      <c r="F1409" s="21" t="str">
        <f>IFERROR(__xludf.DUMMYFUNCTION("""COMPUTED_VALUE"""),"INICIALIZADO")</f>
        <v>INICIALIZADO</v>
      </c>
      <c r="G1409" s="23">
        <f>IFERROR(__xludf.DUMMYFUNCTION("""COMPUTED_VALUE"""),45635.535057870366)</f>
        <v>45635.53506</v>
      </c>
      <c r="H1409" s="24" t="str">
        <f>IFERROR(VLOOKUP(B1409,material!A:D,3,0),"")</f>
        <v>TOP MIX</v>
      </c>
    </row>
    <row r="1410" ht="11.25" customHeight="1">
      <c r="A1410" s="21" t="str">
        <f>IFERROR(__xludf.DUMMYFUNCTION("""COMPUTED_VALUE"""),"DECODER DIGITAL HD HNB100 2T")</f>
        <v>DECODER DIGITAL HD HNB100 2T</v>
      </c>
      <c r="B1410" s="22">
        <f>IFERROR(__xludf.DUMMYFUNCTION("""COMPUTED_VALUE"""),4.1001276E7)</f>
        <v>41001276</v>
      </c>
      <c r="C1410" s="21" t="str">
        <f>IFERROR(__xludf.DUMMYFUNCTION("""COMPUTED_VALUE"""),"216412677489")</f>
        <v>216412677489</v>
      </c>
      <c r="D1410" s="21" t="str">
        <f>IFERROR(__xludf.DUMMYFUNCTION("""COMPUTED_VALUE"""),"DIGITEC TECNOLOGIA DIGITAL E REPRES")</f>
        <v>DIGITEC TECNOLOGIA DIGITAL E REPRES</v>
      </c>
      <c r="E1410" s="21">
        <f>IFERROR(__xludf.DUMMYFUNCTION("""COMPUTED_VALUE"""),145359.0)</f>
        <v>145359</v>
      </c>
      <c r="F1410" s="21" t="str">
        <f>IFERROR(__xludf.DUMMYFUNCTION("""COMPUTED_VALUE"""),"INICIALIZADO")</f>
        <v>INICIALIZADO</v>
      </c>
      <c r="G1410" s="23">
        <f>IFERROR(__xludf.DUMMYFUNCTION("""COMPUTED_VALUE"""),45635.535046296296)</f>
        <v>45635.53505</v>
      </c>
      <c r="H1410" s="24" t="str">
        <f>IFERROR(VLOOKUP(B1410,material!A:D,3,0),"")</f>
        <v>TOP MIX</v>
      </c>
    </row>
    <row r="1411" ht="11.25" customHeight="1">
      <c r="A1411" s="21" t="str">
        <f>IFERROR(__xludf.DUMMYFUNCTION("""COMPUTED_VALUE"""),"SMART CARD AVULSO MINI")</f>
        <v>SMART CARD AVULSO MINI</v>
      </c>
      <c r="B1411" s="22">
        <f>IFERROR(__xludf.DUMMYFUNCTION("""COMPUTED_VALUE"""),4.1001508E7)</f>
        <v>41001508</v>
      </c>
      <c r="C1411" s="21" t="str">
        <f>IFERROR(__xludf.DUMMYFUNCTION("""COMPUTED_VALUE"""),"246185740826")</f>
        <v>246185740826</v>
      </c>
      <c r="D1411" s="21" t="str">
        <f>IFERROR(__xludf.DUMMYFUNCTION("""COMPUTED_VALUE"""),"DIGITEC TECNOLOGIA DIGITAL E REPRES")</f>
        <v>DIGITEC TECNOLOGIA DIGITAL E REPRES</v>
      </c>
      <c r="E1411" s="21">
        <f>IFERROR(__xludf.DUMMYFUNCTION("""COMPUTED_VALUE"""),145359.0)</f>
        <v>145359</v>
      </c>
      <c r="F1411" s="21" t="str">
        <f>IFERROR(__xludf.DUMMYFUNCTION("""COMPUTED_VALUE"""),"INICIALIZADO")</f>
        <v>INICIALIZADO</v>
      </c>
      <c r="G1411" s="23">
        <f>IFERROR(__xludf.DUMMYFUNCTION("""COMPUTED_VALUE"""),45005.37087962963)</f>
        <v>45005.37088</v>
      </c>
      <c r="H1411" s="24" t="str">
        <f>IFERROR(VLOOKUP(B1411,material!A:D,3,0),"")</f>
        <v>SIM CARD</v>
      </c>
    </row>
    <row r="1412" ht="11.25" customHeight="1">
      <c r="A1412" s="21" t="str">
        <f>IFERROR(__xludf.DUMMYFUNCTION("""COMPUTED_VALUE"""),"SMART CARD PRETO NAGRA")</f>
        <v>SMART CARD PRETO NAGRA</v>
      </c>
      <c r="B1412" s="22">
        <f>IFERROR(__xludf.DUMMYFUNCTION("""COMPUTED_VALUE"""),4.1001234E7)</f>
        <v>41001234</v>
      </c>
      <c r="C1412" s="21" t="str">
        <f>IFERROR(__xludf.DUMMYFUNCTION("""COMPUTED_VALUE"""),"246312624757")</f>
        <v>246312624757</v>
      </c>
      <c r="D1412" s="21" t="str">
        <f>IFERROR(__xludf.DUMMYFUNCTION("""COMPUTED_VALUE"""),"DIGITEC TECNOLOGIA DIGITAL E REPRES")</f>
        <v>DIGITEC TECNOLOGIA DIGITAL E REPRES</v>
      </c>
      <c r="E1412" s="21">
        <f>IFERROR(__xludf.DUMMYFUNCTION("""COMPUTED_VALUE"""),145359.0)</f>
        <v>145359</v>
      </c>
      <c r="F1412" s="21" t="str">
        <f>IFERROR(__xludf.DUMMYFUNCTION("""COMPUTED_VALUE"""),"ANALISE DE INVENTARIO")</f>
        <v>ANALISE DE INVENTARIO</v>
      </c>
      <c r="G1412" s="23">
        <f>IFERROR(__xludf.DUMMYFUNCTION("""COMPUTED_VALUE"""),45525.90365740741)</f>
        <v>45525.90366</v>
      </c>
      <c r="H1412" s="24" t="str">
        <f>IFERROR(VLOOKUP(B1412,material!A:D,3,0),"")</f>
        <v>CARD</v>
      </c>
    </row>
    <row r="1413" ht="11.25" customHeight="1">
      <c r="A1413" s="21" t="str">
        <f>IFERROR(__xludf.DUMMYFUNCTION("""COMPUTED_VALUE"""),"DECODER DIGITAL HD HNB100 2T")</f>
        <v>DECODER DIGITAL HD HNB100 2T</v>
      </c>
      <c r="B1413" s="22">
        <f>IFERROR(__xludf.DUMMYFUNCTION("""COMPUTED_VALUE"""),4.1001276E7)</f>
        <v>41001276</v>
      </c>
      <c r="C1413" s="21" t="str">
        <f>IFERROR(__xludf.DUMMYFUNCTION("""COMPUTED_VALUE"""),"216640202647")</f>
        <v>216640202647</v>
      </c>
      <c r="D1413" s="21" t="str">
        <f>IFERROR(__xludf.DUMMYFUNCTION("""COMPUTED_VALUE"""),"DIGITEC TECNOLOGIA DIGITAL E REPRES")</f>
        <v>DIGITEC TECNOLOGIA DIGITAL E REPRES</v>
      </c>
      <c r="E1413" s="21">
        <f>IFERROR(__xludf.DUMMYFUNCTION("""COMPUTED_VALUE"""),145359.0)</f>
        <v>145359</v>
      </c>
      <c r="F1413" s="21" t="str">
        <f>IFERROR(__xludf.DUMMYFUNCTION("""COMPUTED_VALUE"""),"TRANSITO REVERSA")</f>
        <v>TRANSITO REVERSA</v>
      </c>
      <c r="G1413" s="23">
        <f>IFERROR(__xludf.DUMMYFUNCTION("""COMPUTED_VALUE"""),45610.730416666665)</f>
        <v>45610.73042</v>
      </c>
      <c r="H1413" s="24" t="str">
        <f>IFERROR(VLOOKUP(B1413,material!A:D,3,0),"")</f>
        <v>TOP MIX</v>
      </c>
    </row>
    <row r="1414" ht="11.25" customHeight="1">
      <c r="A1414" s="21" t="str">
        <f>IFERROR(__xludf.DUMMYFUNCTION("""COMPUTED_VALUE"""),"SMART CARD PRETO NAGRA")</f>
        <v>SMART CARD PRETO NAGRA</v>
      </c>
      <c r="B1414" s="22">
        <f>IFERROR(__xludf.DUMMYFUNCTION("""COMPUTED_VALUE"""),4.1001234E7)</f>
        <v>41001234</v>
      </c>
      <c r="C1414" s="21" t="str">
        <f>IFERROR(__xludf.DUMMYFUNCTION("""COMPUTED_VALUE"""),"246134751820")</f>
        <v>246134751820</v>
      </c>
      <c r="D1414" s="21" t="str">
        <f>IFERROR(__xludf.DUMMYFUNCTION("""COMPUTED_VALUE"""),"DIGITEC TECNOLOGIA DIGITAL E REPRES")</f>
        <v>DIGITEC TECNOLOGIA DIGITAL E REPRES</v>
      </c>
      <c r="E1414" s="21">
        <f>IFERROR(__xludf.DUMMYFUNCTION("""COMPUTED_VALUE"""),145359.0)</f>
        <v>145359</v>
      </c>
      <c r="F1414" s="21" t="str">
        <f>IFERROR(__xludf.DUMMYFUNCTION("""COMPUTED_VALUE"""),"TRANSITO REVERSA")</f>
        <v>TRANSITO REVERSA</v>
      </c>
      <c r="G1414" s="23">
        <f>IFERROR(__xludf.DUMMYFUNCTION("""COMPUTED_VALUE"""),45633.00336805556)</f>
        <v>45633.00337</v>
      </c>
      <c r="H1414" s="24" t="str">
        <f>IFERROR(VLOOKUP(B1414,material!A:D,3,0),"")</f>
        <v>CARD</v>
      </c>
    </row>
    <row r="1415" ht="11.25" customHeight="1">
      <c r="A1415" s="21" t="str">
        <f>IFERROR(__xludf.DUMMYFUNCTION("""COMPUTED_VALUE"""),"THOMSON HIGH DEFINITION DCI713")</f>
        <v>THOMSON HIGH DEFINITION DCI713</v>
      </c>
      <c r="B1415" s="22">
        <f>IFERROR(__xludf.DUMMYFUNCTION("""COMPUTED_VALUE"""),4.1001273E7)</f>
        <v>41001273</v>
      </c>
      <c r="C1415" s="21" t="str">
        <f>IFERROR(__xludf.DUMMYFUNCTION("""COMPUTED_VALUE"""),"184223416977")</f>
        <v>184223416977</v>
      </c>
      <c r="D1415" s="21" t="str">
        <f>IFERROR(__xludf.DUMMYFUNCTION("""COMPUTED_VALUE"""),"DIGITEC TECNOLOGIA DIGITAL E REPRES")</f>
        <v>DIGITEC TECNOLOGIA DIGITAL E REPRES</v>
      </c>
      <c r="E1415" s="21">
        <f>IFERROR(__xludf.DUMMYFUNCTION("""COMPUTED_VALUE"""),145359.0)</f>
        <v>145359</v>
      </c>
      <c r="F1415" s="21" t="str">
        <f>IFERROR(__xludf.DUMMYFUNCTION("""COMPUTED_VALUE"""),"TRANSITO REVERSA")</f>
        <v>TRANSITO REVERSA</v>
      </c>
      <c r="G1415" s="23">
        <f>IFERROR(__xludf.DUMMYFUNCTION("""COMPUTED_VALUE"""),45617.87142361111)</f>
        <v>45617.87142</v>
      </c>
      <c r="H1415" s="24" t="str">
        <f>IFERROR(VLOOKUP(B1415,material!A:D,3,0),"")</f>
        <v>LEGADO</v>
      </c>
    </row>
    <row r="1416" ht="11.25" customHeight="1">
      <c r="A1416" s="21" t="str">
        <f>IFERROR(__xludf.DUMMYFUNCTION("""COMPUTED_VALUE"""),"SMART CARD LARANJA NAGRA")</f>
        <v>SMART CARD LARANJA NAGRA</v>
      </c>
      <c r="B1416" s="22">
        <f>IFERROR(__xludf.DUMMYFUNCTION("""COMPUTED_VALUE"""),4.1001186E7)</f>
        <v>41001186</v>
      </c>
      <c r="C1416" s="21" t="str">
        <f>IFERROR(__xludf.DUMMYFUNCTION("""COMPUTED_VALUE"""),"215863462341")</f>
        <v>215863462341</v>
      </c>
      <c r="D1416" s="21" t="str">
        <f>IFERROR(__xludf.DUMMYFUNCTION("""COMPUTED_VALUE"""),"DIGITEC TECNOLOGIA DIGITAL E REPRES")</f>
        <v>DIGITEC TECNOLOGIA DIGITAL E REPRES</v>
      </c>
      <c r="E1416" s="21">
        <f>IFERROR(__xludf.DUMMYFUNCTION("""COMPUTED_VALUE"""),145359.0)</f>
        <v>145359</v>
      </c>
      <c r="F1416" s="21" t="str">
        <f>IFERROR(__xludf.DUMMYFUNCTION("""COMPUTED_VALUE"""),"TRANSITO REVERSA")</f>
        <v>TRANSITO REVERSA</v>
      </c>
      <c r="G1416" s="23">
        <f>IFERROR(__xludf.DUMMYFUNCTION("""COMPUTED_VALUE"""),45617.87137731482)</f>
        <v>45617.87138</v>
      </c>
      <c r="H1416" s="24" t="str">
        <f>IFERROR(VLOOKUP(B1416,material!A:D,3,0),"")</f>
        <v>CARD</v>
      </c>
    </row>
    <row r="1417" ht="11.25" customHeight="1">
      <c r="A1417" s="21" t="str">
        <f>IFERROR(__xludf.DUMMYFUNCTION("""COMPUTED_VALUE"""),"DECODER DIGITAL HD DXC5000 2T")</f>
        <v>DECODER DIGITAL HD DXC5000 2T</v>
      </c>
      <c r="B1417" s="22">
        <f>IFERROR(__xludf.DUMMYFUNCTION("""COMPUTED_VALUE"""),4.1001277E7)</f>
        <v>41001277</v>
      </c>
      <c r="C1417" s="21" t="str">
        <f>IFERROR(__xludf.DUMMYFUNCTION("""COMPUTED_VALUE"""),"216782696070")</f>
        <v>216782696070</v>
      </c>
      <c r="D1417" s="21" t="str">
        <f>IFERROR(__xludf.DUMMYFUNCTION("""COMPUTED_VALUE"""),"DIGITEC TECNOLOGIA DIGITAL E REPRES")</f>
        <v>DIGITEC TECNOLOGIA DIGITAL E REPRES</v>
      </c>
      <c r="E1417" s="21">
        <f>IFERROR(__xludf.DUMMYFUNCTION("""COMPUTED_VALUE"""),145359.0)</f>
        <v>145359</v>
      </c>
      <c r="F1417" s="21" t="str">
        <f>IFERROR(__xludf.DUMMYFUNCTION("""COMPUTED_VALUE"""),"SUSPEITO")</f>
        <v>SUSPEITO</v>
      </c>
      <c r="G1417" s="23">
        <f>IFERROR(__xludf.DUMMYFUNCTION("""COMPUTED_VALUE"""),45621.65655092592)</f>
        <v>45621.65655</v>
      </c>
      <c r="H1417" s="24" t="str">
        <f>IFERROR(VLOOKUP(B1417,material!A:D,3,0),"")</f>
        <v>TOP MIX</v>
      </c>
    </row>
    <row r="1418" ht="11.25" customHeight="1">
      <c r="A1418" s="21" t="str">
        <f>IFERROR(__xludf.DUMMYFUNCTION("""COMPUTED_VALUE"""),"ARRIS TG1692A")</f>
        <v>ARRIS TG1692A</v>
      </c>
      <c r="B1418" s="22">
        <f>IFERROR(__xludf.DUMMYFUNCTION("""COMPUTED_VALUE"""),4.1001293E7)</f>
        <v>41001293</v>
      </c>
      <c r="C1418" s="21" t="str">
        <f>IFERROR(__xludf.DUMMYFUNCTION("""COMPUTED_VALUE"""),"A89FECBF2C26")</f>
        <v>A89FECBF2C26</v>
      </c>
      <c r="D1418" s="21" t="str">
        <f>IFERROR(__xludf.DUMMYFUNCTION("""COMPUTED_VALUE"""),"DIGITEC TECNOLOGIA DIGITAL E REPRES")</f>
        <v>DIGITEC TECNOLOGIA DIGITAL E REPRES</v>
      </c>
      <c r="E1418" s="21">
        <f>IFERROR(__xludf.DUMMYFUNCTION("""COMPUTED_VALUE"""),145359.0)</f>
        <v>145359</v>
      </c>
      <c r="F1418" s="21" t="str">
        <f>IFERROR(__xludf.DUMMYFUNCTION("""COMPUTED_VALUE"""),"INICIALIZADO")</f>
        <v>INICIALIZADO</v>
      </c>
      <c r="G1418" s="23">
        <f>IFERROR(__xludf.DUMMYFUNCTION("""COMPUTED_VALUE"""),45565.383726851855)</f>
        <v>45565.38373</v>
      </c>
      <c r="H1418" s="24" t="str">
        <f>IFERROR(VLOOKUP(B1418,material!A:D,3,0),"")</f>
        <v>DUAL</v>
      </c>
    </row>
    <row r="1419" ht="11.25" customHeight="1">
      <c r="A1419" s="21" t="str">
        <f>IFERROR(__xludf.DUMMYFUNCTION("""COMPUTED_VALUE"""),"SMART CARD PRETO NAGRA")</f>
        <v>SMART CARD PRETO NAGRA</v>
      </c>
      <c r="B1419" s="22">
        <f>IFERROR(__xludf.DUMMYFUNCTION("""COMPUTED_VALUE"""),4.1001234E7)</f>
        <v>41001234</v>
      </c>
      <c r="C1419" s="21" t="str">
        <f>IFERROR(__xludf.DUMMYFUNCTION("""COMPUTED_VALUE"""),"246265310825")</f>
        <v>246265310825</v>
      </c>
      <c r="D1419" s="21" t="str">
        <f>IFERROR(__xludf.DUMMYFUNCTION("""COMPUTED_VALUE"""),"DIGITEC TECNOLOGIA DIGITAL E REPRES")</f>
        <v>DIGITEC TECNOLOGIA DIGITAL E REPRES</v>
      </c>
      <c r="E1419" s="21">
        <f>IFERROR(__xludf.DUMMYFUNCTION("""COMPUTED_VALUE"""),145359.0)</f>
        <v>145359</v>
      </c>
      <c r="F1419" s="21" t="str">
        <f>IFERROR(__xludf.DUMMYFUNCTION("""COMPUTED_VALUE"""),"INICIALIZADO")</f>
        <v>INICIALIZADO</v>
      </c>
      <c r="G1419" s="23">
        <f>IFERROR(__xludf.DUMMYFUNCTION("""COMPUTED_VALUE"""),45635.53491898148)</f>
        <v>45635.53492</v>
      </c>
      <c r="H1419" s="24" t="str">
        <f>IFERROR(VLOOKUP(B1419,material!A:D,3,0),"")</f>
        <v>CARD</v>
      </c>
    </row>
    <row r="1420" ht="11.25" customHeight="1">
      <c r="A1420" s="21" t="str">
        <f>IFERROR(__xludf.DUMMYFUNCTION("""COMPUTED_VALUE"""),"NAGRA KIT")</f>
        <v>NAGRA KIT</v>
      </c>
      <c r="B1420" s="22">
        <f>IFERROR(__xludf.DUMMYFUNCTION("""COMPUTED_VALUE"""),4.1001186E7)</f>
        <v>41001186</v>
      </c>
      <c r="C1420" s="21" t="str">
        <f>IFERROR(__xludf.DUMMYFUNCTION("""COMPUTED_VALUE"""),"215549984059")</f>
        <v>215549984059</v>
      </c>
      <c r="D1420" s="21" t="str">
        <f>IFERROR(__xludf.DUMMYFUNCTION("""COMPUTED_VALUE"""),"DIGITEC TECNOLOGIA DIGITAL E REPRES")</f>
        <v>DIGITEC TECNOLOGIA DIGITAL E REPRES</v>
      </c>
      <c r="E1420" s="21">
        <f>IFERROR(__xludf.DUMMYFUNCTION("""COMPUTED_VALUE"""),145359.0)</f>
        <v>145359</v>
      </c>
      <c r="F1420" s="21" t="str">
        <f>IFERROR(__xludf.DUMMYFUNCTION("""COMPUTED_VALUE"""),"INICIALIZADO")</f>
        <v>INICIALIZADO</v>
      </c>
      <c r="G1420" s="23">
        <f>IFERROR(__xludf.DUMMYFUNCTION("""COMPUTED_VALUE"""),45573.66674768519)</f>
        <v>45573.66675</v>
      </c>
      <c r="H1420" s="24" t="str">
        <f>IFERROR(VLOOKUP(B1420,material!A:D,3,0),"")</f>
        <v>CARD</v>
      </c>
    </row>
    <row r="1421" ht="11.25" customHeight="1">
      <c r="A1421" s="21" t="str">
        <f>IFERROR(__xludf.DUMMYFUNCTION("""COMPUTED_VALUE"""),"SMART CARD PRETO NAGRA")</f>
        <v>SMART CARD PRETO NAGRA</v>
      </c>
      <c r="B1421" s="22">
        <f>IFERROR(__xludf.DUMMYFUNCTION("""COMPUTED_VALUE"""),4.1001234E7)</f>
        <v>41001234</v>
      </c>
      <c r="C1421" s="21" t="str">
        <f>IFERROR(__xludf.DUMMYFUNCTION("""COMPUTED_VALUE"""),"226316959916")</f>
        <v>226316959916</v>
      </c>
      <c r="D1421" s="21" t="str">
        <f>IFERROR(__xludf.DUMMYFUNCTION("""COMPUTED_VALUE"""),"DIGITEC TECNOLOGIA DIGITAL E REPRES")</f>
        <v>DIGITEC TECNOLOGIA DIGITAL E REPRES</v>
      </c>
      <c r="E1421" s="21">
        <f>IFERROR(__xludf.DUMMYFUNCTION("""COMPUTED_VALUE"""),145359.0)</f>
        <v>145359</v>
      </c>
      <c r="F1421" s="21" t="str">
        <f>IFERROR(__xludf.DUMMYFUNCTION("""COMPUTED_VALUE"""),"INICIALIZADO")</f>
        <v>INICIALIZADO</v>
      </c>
      <c r="G1421" s="23">
        <f>IFERROR(__xludf.DUMMYFUNCTION("""COMPUTED_VALUE"""),45635.53496527778)</f>
        <v>45635.53497</v>
      </c>
      <c r="H1421" s="24" t="str">
        <f>IFERROR(VLOOKUP(B1421,material!A:D,3,0),"")</f>
        <v>CARD</v>
      </c>
    </row>
    <row r="1422" ht="11.25" customHeight="1">
      <c r="A1422" s="21" t="str">
        <f>IFERROR(__xludf.DUMMYFUNCTION("""COMPUTED_VALUE"""),"DECODER HD DCI738 2T")</f>
        <v>DECODER HD DCI738 2T</v>
      </c>
      <c r="B1422" s="22">
        <f>IFERROR(__xludf.DUMMYFUNCTION("""COMPUTED_VALUE"""),4.1001275E7)</f>
        <v>41001275</v>
      </c>
      <c r="C1422" s="21" t="str">
        <f>IFERROR(__xludf.DUMMYFUNCTION("""COMPUTED_VALUE"""),"216446483954")</f>
        <v>216446483954</v>
      </c>
      <c r="D1422" s="21" t="str">
        <f>IFERROR(__xludf.DUMMYFUNCTION("""COMPUTED_VALUE"""),"DIGITEC TECNOLOGIA DIGITAL E REPRES")</f>
        <v>DIGITEC TECNOLOGIA DIGITAL E REPRES</v>
      </c>
      <c r="E1422" s="21">
        <f>IFERROR(__xludf.DUMMYFUNCTION("""COMPUTED_VALUE"""),145359.0)</f>
        <v>145359</v>
      </c>
      <c r="F1422" s="21" t="str">
        <f>IFERROR(__xludf.DUMMYFUNCTION("""COMPUTED_VALUE"""),"INICIALIZADO")</f>
        <v>INICIALIZADO</v>
      </c>
      <c r="G1422" s="23">
        <f>IFERROR(__xludf.DUMMYFUNCTION("""COMPUTED_VALUE"""),45602.64471064815)</f>
        <v>45602.64471</v>
      </c>
      <c r="H1422" s="24" t="str">
        <f>IFERROR(VLOOKUP(B1422,material!A:D,3,0),"")</f>
        <v>TOP MIX</v>
      </c>
    </row>
    <row r="1423" ht="11.25" customHeight="1">
      <c r="A1423" s="21" t="str">
        <f>IFERROR(__xludf.DUMMYFUNCTION("""COMPUTED_VALUE"""),"DECODER HD DCI738 2T")</f>
        <v>DECODER HD DCI738 2T</v>
      </c>
      <c r="B1423" s="22">
        <f>IFERROR(__xludf.DUMMYFUNCTION("""COMPUTED_VALUE"""),4.1001275E7)</f>
        <v>41001275</v>
      </c>
      <c r="C1423" s="21" t="str">
        <f>IFERROR(__xludf.DUMMYFUNCTION("""COMPUTED_VALUE"""),"216605332229")</f>
        <v>216605332229</v>
      </c>
      <c r="D1423" s="21" t="str">
        <f>IFERROR(__xludf.DUMMYFUNCTION("""COMPUTED_VALUE"""),"DIGITEC TECNOLOGIA DIGITAL E REPRES")</f>
        <v>DIGITEC TECNOLOGIA DIGITAL E REPRES</v>
      </c>
      <c r="E1423" s="21">
        <f>IFERROR(__xludf.DUMMYFUNCTION("""COMPUTED_VALUE"""),145359.0)</f>
        <v>145359</v>
      </c>
      <c r="F1423" s="21" t="str">
        <f>IFERROR(__xludf.DUMMYFUNCTION("""COMPUTED_VALUE"""),"INICIALIZADO")</f>
        <v>INICIALIZADO</v>
      </c>
      <c r="G1423" s="23">
        <f>IFERROR(__xludf.DUMMYFUNCTION("""COMPUTED_VALUE"""),44999.92954861111)</f>
        <v>44999.92955</v>
      </c>
      <c r="H1423" s="24" t="str">
        <f>IFERROR(VLOOKUP(B1423,material!A:D,3,0),"")</f>
        <v>TOP MIX</v>
      </c>
    </row>
    <row r="1424" ht="11.25" customHeight="1">
      <c r="A1424" s="21" t="str">
        <f>IFERROR(__xludf.DUMMYFUNCTION("""COMPUTED_VALUE"""),"SMART CARD LARANJA NAGRA")</f>
        <v>SMART CARD LARANJA NAGRA</v>
      </c>
      <c r="B1424" s="22">
        <f>IFERROR(__xludf.DUMMYFUNCTION("""COMPUTED_VALUE"""),4.1001186E7)</f>
        <v>41001186</v>
      </c>
      <c r="C1424" s="21" t="str">
        <f>IFERROR(__xludf.DUMMYFUNCTION("""COMPUTED_VALUE"""),"215777352837")</f>
        <v>215777352837</v>
      </c>
      <c r="D1424" s="21" t="str">
        <f>IFERROR(__xludf.DUMMYFUNCTION("""COMPUTED_VALUE"""),"DIGITEC TECNOLOGIA DIGITAL E REPRES")</f>
        <v>DIGITEC TECNOLOGIA DIGITAL E REPRES</v>
      </c>
      <c r="E1424" s="21">
        <f>IFERROR(__xludf.DUMMYFUNCTION("""COMPUTED_VALUE"""),145359.0)</f>
        <v>145359</v>
      </c>
      <c r="F1424" s="21" t="str">
        <f>IFERROR(__xludf.DUMMYFUNCTION("""COMPUTED_VALUE"""),"TRANSITO REVERSA")</f>
        <v>TRANSITO REVERSA</v>
      </c>
      <c r="G1424" s="23">
        <f>IFERROR(__xludf.DUMMYFUNCTION("""COMPUTED_VALUE"""),45633.00336805556)</f>
        <v>45633.00337</v>
      </c>
      <c r="H1424" s="24" t="str">
        <f>IFERROR(VLOOKUP(B1424,material!A:D,3,0),"")</f>
        <v>CARD</v>
      </c>
    </row>
    <row r="1425" ht="11.25" customHeight="1">
      <c r="A1425" s="21" t="str">
        <f>IFERROR(__xludf.DUMMYFUNCTION("""COMPUTED_VALUE"""),"SMART CARD PRETO NAGRA")</f>
        <v>SMART CARD PRETO NAGRA</v>
      </c>
      <c r="B1425" s="22">
        <f>IFERROR(__xludf.DUMMYFUNCTION("""COMPUTED_VALUE"""),4.1001234E7)</f>
        <v>41001234</v>
      </c>
      <c r="C1425" s="21" t="str">
        <f>IFERROR(__xludf.DUMMYFUNCTION("""COMPUTED_VALUE"""),"226251004848")</f>
        <v>226251004848</v>
      </c>
      <c r="D1425" s="21" t="str">
        <f>IFERROR(__xludf.DUMMYFUNCTION("""COMPUTED_VALUE"""),"DIGITEC TECNOLOGIA DIGITAL E REPRES")</f>
        <v>DIGITEC TECNOLOGIA DIGITAL E REPRES</v>
      </c>
      <c r="E1425" s="21">
        <f>IFERROR(__xludf.DUMMYFUNCTION("""COMPUTED_VALUE"""),145359.0)</f>
        <v>145359</v>
      </c>
      <c r="F1425" s="21" t="str">
        <f>IFERROR(__xludf.DUMMYFUNCTION("""COMPUTED_VALUE"""),"TRANSITO REVERSA")</f>
        <v>TRANSITO REVERSA</v>
      </c>
      <c r="G1425" s="23">
        <f>IFERROR(__xludf.DUMMYFUNCTION("""COMPUTED_VALUE"""),45638.520636574074)</f>
        <v>45638.52064</v>
      </c>
      <c r="H1425" s="24" t="str">
        <f>IFERROR(VLOOKUP(B1425,material!A:D,3,0),"")</f>
        <v>CARD</v>
      </c>
    </row>
    <row r="1426" ht="11.25" customHeight="1">
      <c r="A1426" s="21" t="str">
        <f>IFERROR(__xludf.DUMMYFUNCTION("""COMPUTED_VALUE"""),"SMART CARD PRETO NAGRA")</f>
        <v>SMART CARD PRETO NAGRA</v>
      </c>
      <c r="B1426" s="22">
        <f>IFERROR(__xludf.DUMMYFUNCTION("""COMPUTED_VALUE"""),4.1001234E7)</f>
        <v>41001234</v>
      </c>
      <c r="C1426" s="21" t="str">
        <f>IFERROR(__xludf.DUMMYFUNCTION("""COMPUTED_VALUE"""),"226095569600")</f>
        <v>226095569600</v>
      </c>
      <c r="D1426" s="21" t="str">
        <f>IFERROR(__xludf.DUMMYFUNCTION("""COMPUTED_VALUE"""),"DIGITEC TECNOLOGIA DIGITAL E REPRES")</f>
        <v>DIGITEC TECNOLOGIA DIGITAL E REPRES</v>
      </c>
      <c r="E1426" s="21">
        <f>IFERROR(__xludf.DUMMYFUNCTION("""COMPUTED_VALUE"""),145359.0)</f>
        <v>145359</v>
      </c>
      <c r="F1426" s="21" t="str">
        <f>IFERROR(__xludf.DUMMYFUNCTION("""COMPUTED_VALUE"""),"INICIALIZADO")</f>
        <v>INICIALIZADO</v>
      </c>
      <c r="G1426" s="23">
        <f>IFERROR(__xludf.DUMMYFUNCTION("""COMPUTED_VALUE"""),45635.534953703704)</f>
        <v>45635.53495</v>
      </c>
      <c r="H1426" s="24" t="str">
        <f>IFERROR(VLOOKUP(B1426,material!A:D,3,0),"")</f>
        <v>CARD</v>
      </c>
    </row>
    <row r="1427" ht="11.25" customHeight="1">
      <c r="A1427" s="21" t="str">
        <f>IFERROR(__xludf.DUMMYFUNCTION("""COMPUTED_VALUE"""),"SMART CARD PRETO NAGRA")</f>
        <v>SMART CARD PRETO NAGRA</v>
      </c>
      <c r="B1427" s="22">
        <f>IFERROR(__xludf.DUMMYFUNCTION("""COMPUTED_VALUE"""),4.1001234E7)</f>
        <v>41001234</v>
      </c>
      <c r="C1427" s="21" t="str">
        <f>IFERROR(__xludf.DUMMYFUNCTION("""COMPUTED_VALUE"""),"226077711326")</f>
        <v>226077711326</v>
      </c>
      <c r="D1427" s="21" t="str">
        <f>IFERROR(__xludf.DUMMYFUNCTION("""COMPUTED_VALUE"""),"DIGITEC TECNOLOGIA DIGITAL E REPRES")</f>
        <v>DIGITEC TECNOLOGIA DIGITAL E REPRES</v>
      </c>
      <c r="E1427" s="21">
        <f>IFERROR(__xludf.DUMMYFUNCTION("""COMPUTED_VALUE"""),145359.0)</f>
        <v>145359</v>
      </c>
      <c r="F1427" s="21" t="str">
        <f>IFERROR(__xludf.DUMMYFUNCTION("""COMPUTED_VALUE"""),"INICIALIZADO")</f>
        <v>INICIALIZADO</v>
      </c>
      <c r="G1427" s="23">
        <f>IFERROR(__xludf.DUMMYFUNCTION("""COMPUTED_VALUE"""),45635.534953703704)</f>
        <v>45635.53495</v>
      </c>
      <c r="H1427" s="24" t="str">
        <f>IFERROR(VLOOKUP(B1427,material!A:D,3,0),"")</f>
        <v>CARD</v>
      </c>
    </row>
    <row r="1428" ht="11.25" customHeight="1">
      <c r="A1428" s="21" t="str">
        <f>IFERROR(__xludf.DUMMYFUNCTION("""COMPUTED_VALUE"""),"HUMAX HGB10R-02")</f>
        <v>HUMAX HGB10R-02</v>
      </c>
      <c r="B1428" s="22">
        <f>IFERROR(__xludf.DUMMYFUNCTION("""COMPUTED_VALUE"""),4.1001292E7)</f>
        <v>41001292</v>
      </c>
      <c r="C1428" s="21" t="str">
        <f>IFERROR(__xludf.DUMMYFUNCTION("""COMPUTED_VALUE"""),"942CB3D49F5F")</f>
        <v>942CB3D49F5F</v>
      </c>
      <c r="D1428" s="21" t="str">
        <f>IFERROR(__xludf.DUMMYFUNCTION("""COMPUTED_VALUE"""),"DIGITEC TECNOLOGIA DIGITAL E REPRES")</f>
        <v>DIGITEC TECNOLOGIA DIGITAL E REPRES</v>
      </c>
      <c r="E1428" s="21">
        <f>IFERROR(__xludf.DUMMYFUNCTION("""COMPUTED_VALUE"""),145359.0)</f>
        <v>145359</v>
      </c>
      <c r="F1428" s="21" t="str">
        <f>IFERROR(__xludf.DUMMYFUNCTION("""COMPUTED_VALUE"""),"TRANSITO REVERSA")</f>
        <v>TRANSITO REVERSA</v>
      </c>
      <c r="G1428" s="23">
        <f>IFERROR(__xludf.DUMMYFUNCTION("""COMPUTED_VALUE"""),45638.520636574074)</f>
        <v>45638.52064</v>
      </c>
      <c r="H1428" s="24" t="str">
        <f>IFERROR(VLOOKUP(B1428,material!A:D,3,0),"")</f>
        <v>DUAL</v>
      </c>
    </row>
    <row r="1429" ht="11.25" customHeight="1">
      <c r="A1429" s="21" t="str">
        <f>IFERROR(__xludf.DUMMYFUNCTION("""COMPUTED_VALUE"""),"SMART CARD PRETO NAGRA")</f>
        <v>SMART CARD PRETO NAGRA</v>
      </c>
      <c r="B1429" s="22">
        <f>IFERROR(__xludf.DUMMYFUNCTION("""COMPUTED_VALUE"""),4.1001234E7)</f>
        <v>41001234</v>
      </c>
      <c r="C1429" s="21" t="str">
        <f>IFERROR(__xludf.DUMMYFUNCTION("""COMPUTED_VALUE"""),"246035811738")</f>
        <v>246035811738</v>
      </c>
      <c r="D1429" s="21" t="str">
        <f>IFERROR(__xludf.DUMMYFUNCTION("""COMPUTED_VALUE"""),"DIGITEC TECNOLOGIA DIGITAL E REPRES")</f>
        <v>DIGITEC TECNOLOGIA DIGITAL E REPRES</v>
      </c>
      <c r="E1429" s="21">
        <f>IFERROR(__xludf.DUMMYFUNCTION("""COMPUTED_VALUE"""),145359.0)</f>
        <v>145359</v>
      </c>
      <c r="F1429" s="21" t="str">
        <f>IFERROR(__xludf.DUMMYFUNCTION("""COMPUTED_VALUE"""),"TRANSITO REVERSA")</f>
        <v>TRANSITO REVERSA</v>
      </c>
      <c r="G1429" s="23">
        <f>IFERROR(__xludf.DUMMYFUNCTION("""COMPUTED_VALUE"""),45617.87140046296)</f>
        <v>45617.8714</v>
      </c>
      <c r="H1429" s="24" t="str">
        <f>IFERROR(VLOOKUP(B1429,material!A:D,3,0),"")</f>
        <v>CARD</v>
      </c>
    </row>
    <row r="1430" ht="11.25" customHeight="1">
      <c r="A1430" s="21" t="str">
        <f>IFERROR(__xludf.DUMMYFUNCTION("""COMPUTED_VALUE"""),"DECODER DIGITAL HD HNB100 2T")</f>
        <v>DECODER DIGITAL HD HNB100 2T</v>
      </c>
      <c r="B1430" s="22">
        <f>IFERROR(__xludf.DUMMYFUNCTION("""COMPUTED_VALUE"""),4.1001276E7)</f>
        <v>41001276</v>
      </c>
      <c r="C1430" s="21" t="str">
        <f>IFERROR(__xludf.DUMMYFUNCTION("""COMPUTED_VALUE"""),"216611000224")</f>
        <v>216611000224</v>
      </c>
      <c r="D1430" s="21" t="str">
        <f>IFERROR(__xludf.DUMMYFUNCTION("""COMPUTED_VALUE"""),"DIGITEC TECNOLOGIA DIGITAL E REPRES")</f>
        <v>DIGITEC TECNOLOGIA DIGITAL E REPRES</v>
      </c>
      <c r="E1430" s="21">
        <f>IFERROR(__xludf.DUMMYFUNCTION("""COMPUTED_VALUE"""),145359.0)</f>
        <v>145359</v>
      </c>
      <c r="F1430" s="21" t="str">
        <f>IFERROR(__xludf.DUMMYFUNCTION("""COMPUTED_VALUE"""),"INICIALIZADO")</f>
        <v>INICIALIZADO</v>
      </c>
      <c r="G1430" s="23">
        <f>IFERROR(__xludf.DUMMYFUNCTION("""COMPUTED_VALUE"""),45642.524143518516)</f>
        <v>45642.52414</v>
      </c>
      <c r="H1430" s="24" t="str">
        <f>IFERROR(VLOOKUP(B1430,material!A:D,3,0),"")</f>
        <v>TOP MIX</v>
      </c>
    </row>
    <row r="1431" ht="11.25" customHeight="1">
      <c r="A1431" s="21" t="str">
        <f>IFERROR(__xludf.DUMMYFUNCTION("""COMPUTED_VALUE"""),"DECODER DIGITAL HD HNB100 2T")</f>
        <v>DECODER DIGITAL HD HNB100 2T</v>
      </c>
      <c r="B1431" s="22">
        <f>IFERROR(__xludf.DUMMYFUNCTION("""COMPUTED_VALUE"""),4.1001276E7)</f>
        <v>41001276</v>
      </c>
      <c r="C1431" s="21" t="str">
        <f>IFERROR(__xludf.DUMMYFUNCTION("""COMPUTED_VALUE"""),"216513675977")</f>
        <v>216513675977</v>
      </c>
      <c r="D1431" s="21" t="str">
        <f>IFERROR(__xludf.DUMMYFUNCTION("""COMPUTED_VALUE"""),"DIGITEC TECNOLOGIA DIGITAL E REPRES")</f>
        <v>DIGITEC TECNOLOGIA DIGITAL E REPRES</v>
      </c>
      <c r="E1431" s="21">
        <f>IFERROR(__xludf.DUMMYFUNCTION("""COMPUTED_VALUE"""),145359.0)</f>
        <v>145359</v>
      </c>
      <c r="F1431" s="21" t="str">
        <f>IFERROR(__xludf.DUMMYFUNCTION("""COMPUTED_VALUE"""),"INICIALIZADO")</f>
        <v>INICIALIZADO</v>
      </c>
      <c r="G1431" s="23">
        <f>IFERROR(__xludf.DUMMYFUNCTION("""COMPUTED_VALUE"""),45635.53508101852)</f>
        <v>45635.53508</v>
      </c>
      <c r="H1431" s="24" t="str">
        <f>IFERROR(VLOOKUP(B1431,material!A:D,3,0),"")</f>
        <v>TOP MIX</v>
      </c>
    </row>
    <row r="1432" ht="11.25" customHeight="1">
      <c r="A1432" s="21" t="str">
        <f>IFERROR(__xludf.DUMMYFUNCTION("""COMPUTED_VALUE"""),"DECODER DIGITAL HD HNB100 2T")</f>
        <v>DECODER DIGITAL HD HNB100 2T</v>
      </c>
      <c r="B1432" s="22">
        <f>IFERROR(__xludf.DUMMYFUNCTION("""COMPUTED_VALUE"""),4.1001276E7)</f>
        <v>41001276</v>
      </c>
      <c r="C1432" s="21" t="str">
        <f>IFERROR(__xludf.DUMMYFUNCTION("""COMPUTED_VALUE"""),"216550486079")</f>
        <v>216550486079</v>
      </c>
      <c r="D1432" s="21" t="str">
        <f>IFERROR(__xludf.DUMMYFUNCTION("""COMPUTED_VALUE"""),"DIGITEC TECNOLOGIA DIGITAL E REPRES")</f>
        <v>DIGITEC TECNOLOGIA DIGITAL E REPRES</v>
      </c>
      <c r="E1432" s="21">
        <f>IFERROR(__xludf.DUMMYFUNCTION("""COMPUTED_VALUE"""),145359.0)</f>
        <v>145359</v>
      </c>
      <c r="F1432" s="21" t="str">
        <f>IFERROR(__xludf.DUMMYFUNCTION("""COMPUTED_VALUE"""),"INICIALIZADO")</f>
        <v>INICIALIZADO</v>
      </c>
      <c r="G1432" s="23">
        <f>IFERROR(__xludf.DUMMYFUNCTION("""COMPUTED_VALUE"""),45635.53506944445)</f>
        <v>45635.53507</v>
      </c>
      <c r="H1432" s="24" t="str">
        <f>IFERROR(VLOOKUP(B1432,material!A:D,3,0),"")</f>
        <v>TOP MIX</v>
      </c>
    </row>
    <row r="1433" ht="11.25" customHeight="1">
      <c r="A1433" s="21" t="str">
        <f>IFERROR(__xludf.DUMMYFUNCTION("""COMPUTED_VALUE"""),"DECODER DIGITAL HD DXC5000 2T")</f>
        <v>DECODER DIGITAL HD DXC5000 2T</v>
      </c>
      <c r="B1433" s="22">
        <f>IFERROR(__xludf.DUMMYFUNCTION("""COMPUTED_VALUE"""),4.1001277E7)</f>
        <v>41001277</v>
      </c>
      <c r="C1433" s="21" t="str">
        <f>IFERROR(__xludf.DUMMYFUNCTION("""COMPUTED_VALUE"""),"216761355974")</f>
        <v>216761355974</v>
      </c>
      <c r="D1433" s="21" t="str">
        <f>IFERROR(__xludf.DUMMYFUNCTION("""COMPUTED_VALUE"""),"DIGITEC TECNOLOGIA DIGITAL E REPRES")</f>
        <v>DIGITEC TECNOLOGIA DIGITAL E REPRES</v>
      </c>
      <c r="E1433" s="21">
        <f>IFERROR(__xludf.DUMMYFUNCTION("""COMPUTED_VALUE"""),145359.0)</f>
        <v>145359</v>
      </c>
      <c r="F1433" s="21" t="str">
        <f>IFERROR(__xludf.DUMMYFUNCTION("""COMPUTED_VALUE"""),"INICIALIZADO")</f>
        <v>INICIALIZADO</v>
      </c>
      <c r="G1433" s="23">
        <f>IFERROR(__xludf.DUMMYFUNCTION("""COMPUTED_VALUE"""),45615.61856481481)</f>
        <v>45615.61856</v>
      </c>
      <c r="H1433" s="24" t="str">
        <f>IFERROR(VLOOKUP(B1433,material!A:D,3,0),"")</f>
        <v>TOP MIX</v>
      </c>
    </row>
    <row r="1434" ht="11.25" customHeight="1">
      <c r="A1434" s="21" t="str">
        <f>IFERROR(__xludf.DUMMYFUNCTION("""COMPUTED_VALUE"""),"SMART CARD PRETO NAGRA")</f>
        <v>SMART CARD PRETO NAGRA</v>
      </c>
      <c r="B1434" s="22">
        <f>IFERROR(__xludf.DUMMYFUNCTION("""COMPUTED_VALUE"""),4.1001234E7)</f>
        <v>41001234</v>
      </c>
      <c r="C1434" s="21" t="str">
        <f>IFERROR(__xludf.DUMMYFUNCTION("""COMPUTED_VALUE"""),"246018914858")</f>
        <v>246018914858</v>
      </c>
      <c r="D1434" s="21" t="str">
        <f>IFERROR(__xludf.DUMMYFUNCTION("""COMPUTED_VALUE"""),"DIGITEC TECNOLOGIA DIGITAL E REPRES")</f>
        <v>DIGITEC TECNOLOGIA DIGITAL E REPRES</v>
      </c>
      <c r="E1434" s="21">
        <f>IFERROR(__xludf.DUMMYFUNCTION("""COMPUTED_VALUE"""),145359.0)</f>
        <v>145359</v>
      </c>
      <c r="F1434" s="21" t="str">
        <f>IFERROR(__xludf.DUMMYFUNCTION("""COMPUTED_VALUE"""),"INICIALIZADO")</f>
        <v>INICIALIZADO</v>
      </c>
      <c r="G1434" s="23">
        <f>IFERROR(__xludf.DUMMYFUNCTION("""COMPUTED_VALUE"""),45635.534907407404)</f>
        <v>45635.53491</v>
      </c>
      <c r="H1434" s="24" t="str">
        <f>IFERROR(VLOOKUP(B1434,material!A:D,3,0),"")</f>
        <v>CARD</v>
      </c>
    </row>
    <row r="1435" ht="11.25" customHeight="1">
      <c r="A1435" s="21" t="str">
        <f>IFERROR(__xludf.DUMMYFUNCTION("""COMPUTED_VALUE"""),"SMART CARD PRETO NAGRA")</f>
        <v>SMART CARD PRETO NAGRA</v>
      </c>
      <c r="B1435" s="22">
        <f>IFERROR(__xludf.DUMMYFUNCTION("""COMPUTED_VALUE"""),4.1001234E7)</f>
        <v>41001234</v>
      </c>
      <c r="C1435" s="21" t="str">
        <f>IFERROR(__xludf.DUMMYFUNCTION("""COMPUTED_VALUE"""),"246175985462")</f>
        <v>246175985462</v>
      </c>
      <c r="D1435" s="21" t="str">
        <f>IFERROR(__xludf.DUMMYFUNCTION("""COMPUTED_VALUE"""),"DIGITEC TECNOLOGIA DIGITAL E REPRES")</f>
        <v>DIGITEC TECNOLOGIA DIGITAL E REPRES</v>
      </c>
      <c r="E1435" s="21">
        <f>IFERROR(__xludf.DUMMYFUNCTION("""COMPUTED_VALUE"""),145359.0)</f>
        <v>145359</v>
      </c>
      <c r="F1435" s="21" t="str">
        <f>IFERROR(__xludf.DUMMYFUNCTION("""COMPUTED_VALUE"""),"INICIALIZADO")</f>
        <v>INICIALIZADO</v>
      </c>
      <c r="G1435" s="23">
        <f>IFERROR(__xludf.DUMMYFUNCTION("""COMPUTED_VALUE"""),45635.534895833334)</f>
        <v>45635.5349</v>
      </c>
      <c r="H1435" s="24" t="str">
        <f>IFERROR(VLOOKUP(B1435,material!A:D,3,0),"")</f>
        <v>CARD</v>
      </c>
    </row>
    <row r="1436" ht="11.25" customHeight="1">
      <c r="A1436" s="21" t="str">
        <f>IFERROR(__xludf.DUMMYFUNCTION("""COMPUTED_VALUE"""),"SMART CARD PRETO NAGRA")</f>
        <v>SMART CARD PRETO NAGRA</v>
      </c>
      <c r="B1436" s="22">
        <f>IFERROR(__xludf.DUMMYFUNCTION("""COMPUTED_VALUE"""),4.1001234E7)</f>
        <v>41001234</v>
      </c>
      <c r="C1436" s="21" t="str">
        <f>IFERROR(__xludf.DUMMYFUNCTION("""COMPUTED_VALUE"""),"246156194249")</f>
        <v>246156194249</v>
      </c>
      <c r="D1436" s="21" t="str">
        <f>IFERROR(__xludf.DUMMYFUNCTION("""COMPUTED_VALUE"""),"DIGITEC TECNOLOGIA DIGITAL E REPRES")</f>
        <v>DIGITEC TECNOLOGIA DIGITAL E REPRES</v>
      </c>
      <c r="E1436" s="21">
        <f>IFERROR(__xludf.DUMMYFUNCTION("""COMPUTED_VALUE"""),145359.0)</f>
        <v>145359</v>
      </c>
      <c r="F1436" s="21" t="str">
        <f>IFERROR(__xludf.DUMMYFUNCTION("""COMPUTED_VALUE"""),"INICIALIZADO")</f>
        <v>INICIALIZADO</v>
      </c>
      <c r="G1436" s="23">
        <f>IFERROR(__xludf.DUMMYFUNCTION("""COMPUTED_VALUE"""),45635.534895833334)</f>
        <v>45635.5349</v>
      </c>
      <c r="H1436" s="24" t="str">
        <f>IFERROR(VLOOKUP(B1436,material!A:D,3,0),"")</f>
        <v>CARD</v>
      </c>
    </row>
    <row r="1437" ht="11.25" customHeight="1">
      <c r="A1437" s="21" t="str">
        <f>IFERROR(__xludf.DUMMYFUNCTION("""COMPUTED_VALUE"""),"DECODER DIGITAL HD HNB100 2T")</f>
        <v>DECODER DIGITAL HD HNB100 2T</v>
      </c>
      <c r="B1437" s="22">
        <f>IFERROR(__xludf.DUMMYFUNCTION("""COMPUTED_VALUE"""),4.1001276E7)</f>
        <v>41001276</v>
      </c>
      <c r="C1437" s="21" t="str">
        <f>IFERROR(__xludf.DUMMYFUNCTION("""COMPUTED_VALUE"""),"216735768089")</f>
        <v>216735768089</v>
      </c>
      <c r="D1437" s="21" t="str">
        <f>IFERROR(__xludf.DUMMYFUNCTION("""COMPUTED_VALUE"""),"DIGITEC TECNOLOGIA DIGITAL E REPRES")</f>
        <v>DIGITEC TECNOLOGIA DIGITAL E REPRES</v>
      </c>
      <c r="E1437" s="21">
        <f>IFERROR(__xludf.DUMMYFUNCTION("""COMPUTED_VALUE"""),145359.0)</f>
        <v>145359</v>
      </c>
      <c r="F1437" s="21" t="str">
        <f>IFERROR(__xludf.DUMMYFUNCTION("""COMPUTED_VALUE"""),"INICIALIZADO")</f>
        <v>INICIALIZADO</v>
      </c>
      <c r="G1437" s="23">
        <f>IFERROR(__xludf.DUMMYFUNCTION("""COMPUTED_VALUE"""),45635.535)</f>
        <v>45635.535</v>
      </c>
      <c r="H1437" s="24" t="str">
        <f>IFERROR(VLOOKUP(B1437,material!A:D,3,0),"")</f>
        <v>TOP MIX</v>
      </c>
    </row>
    <row r="1438" ht="11.25" customHeight="1">
      <c r="A1438" s="21" t="str">
        <f>IFERROR(__xludf.DUMMYFUNCTION("""COMPUTED_VALUE"""),"DCI804 DVR TECHNICOLOR")</f>
        <v>DCI804 DVR TECHNICOLOR</v>
      </c>
      <c r="B1438" s="22">
        <f>IFERROR(__xludf.DUMMYFUNCTION("""COMPUTED_VALUE"""),4.1001295E7)</f>
        <v>41001295</v>
      </c>
      <c r="C1438" s="21" t="str">
        <f>IFERROR(__xludf.DUMMYFUNCTION("""COMPUTED_VALUE"""),"181216548686")</f>
        <v>181216548686</v>
      </c>
      <c r="D1438" s="21" t="str">
        <f>IFERROR(__xludf.DUMMYFUNCTION("""COMPUTED_VALUE"""),"DIGITEC TECNOLOGIA DIGITAL E REPRES")</f>
        <v>DIGITEC TECNOLOGIA DIGITAL E REPRES</v>
      </c>
      <c r="E1438" s="21">
        <f>IFERROR(__xludf.DUMMYFUNCTION("""COMPUTED_VALUE"""),145359.0)</f>
        <v>145359</v>
      </c>
      <c r="F1438" s="21" t="str">
        <f>IFERROR(__xludf.DUMMYFUNCTION("""COMPUTED_VALUE"""),"TRANSITO REVERSA")</f>
        <v>TRANSITO REVERSA</v>
      </c>
      <c r="G1438" s="23">
        <f>IFERROR(__xludf.DUMMYFUNCTION("""COMPUTED_VALUE"""),45638.520625000005)</f>
        <v>45638.52063</v>
      </c>
      <c r="H1438" s="24" t="str">
        <f>IFERROR(VLOOKUP(B1438,material!A:D,3,0),"")</f>
        <v>INATIVO</v>
      </c>
    </row>
    <row r="1439" ht="11.25" customHeight="1">
      <c r="A1439" s="21" t="str">
        <f>IFERROR(__xludf.DUMMYFUNCTION("""COMPUTED_VALUE"""),"HUMAX HGB10R-02")</f>
        <v>HUMAX HGB10R-02</v>
      </c>
      <c r="B1439" s="22">
        <f>IFERROR(__xludf.DUMMYFUNCTION("""COMPUTED_VALUE"""),4.1001292E7)</f>
        <v>41001292</v>
      </c>
      <c r="C1439" s="21" t="str">
        <f>IFERROR(__xludf.DUMMYFUNCTION("""COMPUTED_VALUE"""),"942CB3AEF48B")</f>
        <v>942CB3AEF48B</v>
      </c>
      <c r="D1439" s="21" t="str">
        <f>IFERROR(__xludf.DUMMYFUNCTION("""COMPUTED_VALUE"""),"DIGITEC TECNOLOGIA DIGITAL E REPRES")</f>
        <v>DIGITEC TECNOLOGIA DIGITAL E REPRES</v>
      </c>
      <c r="E1439" s="21">
        <f>IFERROR(__xludf.DUMMYFUNCTION("""COMPUTED_VALUE"""),145359.0)</f>
        <v>145359</v>
      </c>
      <c r="F1439" s="21" t="str">
        <f>IFERROR(__xludf.DUMMYFUNCTION("""COMPUTED_VALUE"""),"SUSPEITO")</f>
        <v>SUSPEITO</v>
      </c>
      <c r="G1439" s="23">
        <f>IFERROR(__xludf.DUMMYFUNCTION("""COMPUTED_VALUE"""),45639.618055555555)</f>
        <v>45639.61806</v>
      </c>
      <c r="H1439" s="24" t="str">
        <f>IFERROR(VLOOKUP(B1439,material!A:D,3,0),"")</f>
        <v>DUAL</v>
      </c>
    </row>
    <row r="1440" ht="11.25" customHeight="1">
      <c r="A1440" s="21" t="str">
        <f>IFERROR(__xludf.DUMMYFUNCTION("""COMPUTED_VALUE"""),"DECODER DIGITAL HD HNB100 2T")</f>
        <v>DECODER DIGITAL HD HNB100 2T</v>
      </c>
      <c r="B1440" s="22">
        <f>IFERROR(__xludf.DUMMYFUNCTION("""COMPUTED_VALUE"""),4.1001276E7)</f>
        <v>41001276</v>
      </c>
      <c r="C1440" s="21" t="str">
        <f>IFERROR(__xludf.DUMMYFUNCTION("""COMPUTED_VALUE"""),"216399288898")</f>
        <v>216399288898</v>
      </c>
      <c r="D1440" s="21" t="str">
        <f>IFERROR(__xludf.DUMMYFUNCTION("""COMPUTED_VALUE"""),"DIGITEC TECNOLOGIA DIGITAL E REPRES")</f>
        <v>DIGITEC TECNOLOGIA DIGITAL E REPRES</v>
      </c>
      <c r="E1440" s="21">
        <f>IFERROR(__xludf.DUMMYFUNCTION("""COMPUTED_VALUE"""),145359.0)</f>
        <v>145359</v>
      </c>
      <c r="F1440" s="21" t="str">
        <f>IFERROR(__xludf.DUMMYFUNCTION("""COMPUTED_VALUE"""),"INICIALIZADO")</f>
        <v>INICIALIZADO</v>
      </c>
      <c r="G1440" s="23">
        <f>IFERROR(__xludf.DUMMYFUNCTION("""COMPUTED_VALUE"""),45635.53503472223)</f>
        <v>45635.53503</v>
      </c>
      <c r="H1440" s="24" t="str">
        <f>IFERROR(VLOOKUP(B1440,material!A:D,3,0),"")</f>
        <v>TOP MIX</v>
      </c>
    </row>
    <row r="1441" ht="11.25" customHeight="1">
      <c r="A1441" s="21" t="str">
        <f>IFERROR(__xludf.DUMMYFUNCTION("""COMPUTED_VALUE"""),"DECODER DIGITAL HD HNB100 2T")</f>
        <v>DECODER DIGITAL HD HNB100 2T</v>
      </c>
      <c r="B1441" s="22">
        <f>IFERROR(__xludf.DUMMYFUNCTION("""COMPUTED_VALUE"""),4.1001276E7)</f>
        <v>41001276</v>
      </c>
      <c r="C1441" s="21" t="str">
        <f>IFERROR(__xludf.DUMMYFUNCTION("""COMPUTED_VALUE"""),"216636345255")</f>
        <v>216636345255</v>
      </c>
      <c r="D1441" s="21" t="str">
        <f>IFERROR(__xludf.DUMMYFUNCTION("""COMPUTED_VALUE"""),"DIGITEC TECNOLOGIA DIGITAL E REPRES")</f>
        <v>DIGITEC TECNOLOGIA DIGITAL E REPRES</v>
      </c>
      <c r="E1441" s="21">
        <f>IFERROR(__xludf.DUMMYFUNCTION("""COMPUTED_VALUE"""),145359.0)</f>
        <v>145359</v>
      </c>
      <c r="F1441" s="21" t="str">
        <f>IFERROR(__xludf.DUMMYFUNCTION("""COMPUTED_VALUE"""),"INICIALIZADO")</f>
        <v>INICIALIZADO</v>
      </c>
      <c r="G1441" s="23">
        <f>IFERROR(__xludf.DUMMYFUNCTION("""COMPUTED_VALUE"""),45635.53506944445)</f>
        <v>45635.53507</v>
      </c>
      <c r="H1441" s="24" t="str">
        <f>IFERROR(VLOOKUP(B1441,material!A:D,3,0),"")</f>
        <v>TOP MIX</v>
      </c>
    </row>
    <row r="1442" ht="11.25" customHeight="1">
      <c r="A1442" s="21" t="str">
        <f>IFERROR(__xludf.DUMMYFUNCTION("""COMPUTED_VALUE"""),"DECODER DIGITAL HD HNB100 2T")</f>
        <v>DECODER DIGITAL HD HNB100 2T</v>
      </c>
      <c r="B1442" s="22">
        <f>IFERROR(__xludf.DUMMYFUNCTION("""COMPUTED_VALUE"""),4.1001276E7)</f>
        <v>41001276</v>
      </c>
      <c r="C1442" s="21" t="str">
        <f>IFERROR(__xludf.DUMMYFUNCTION("""COMPUTED_VALUE"""),"216909832126")</f>
        <v>216909832126</v>
      </c>
      <c r="D1442" s="21" t="str">
        <f>IFERROR(__xludf.DUMMYFUNCTION("""COMPUTED_VALUE"""),"DIGITEC TECNOLOGIA DIGITAL E REPRES")</f>
        <v>DIGITEC TECNOLOGIA DIGITAL E REPRES</v>
      </c>
      <c r="E1442" s="21">
        <f>IFERROR(__xludf.DUMMYFUNCTION("""COMPUTED_VALUE"""),145359.0)</f>
        <v>145359</v>
      </c>
      <c r="F1442" s="21" t="str">
        <f>IFERROR(__xludf.DUMMYFUNCTION("""COMPUTED_VALUE"""),"INICIALIZADO")</f>
        <v>INICIALIZADO</v>
      </c>
      <c r="G1442" s="23">
        <f>IFERROR(__xludf.DUMMYFUNCTION("""COMPUTED_VALUE"""),45635.53502314815)</f>
        <v>45635.53502</v>
      </c>
      <c r="H1442" s="24" t="str">
        <f>IFERROR(VLOOKUP(B1442,material!A:D,3,0),"")</f>
        <v>TOP MIX</v>
      </c>
    </row>
    <row r="1443" ht="11.25" customHeight="1">
      <c r="A1443" s="21" t="str">
        <f>IFERROR(__xludf.DUMMYFUNCTION("""COMPUTED_VALUE"""),"SMART CARD PRETO NAGRA")</f>
        <v>SMART CARD PRETO NAGRA</v>
      </c>
      <c r="B1443" s="22">
        <f>IFERROR(__xludf.DUMMYFUNCTION("""COMPUTED_VALUE"""),4.1001234E7)</f>
        <v>41001234</v>
      </c>
      <c r="C1443" s="21" t="str">
        <f>IFERROR(__xludf.DUMMYFUNCTION("""COMPUTED_VALUE"""),"226413123858")</f>
        <v>226413123858</v>
      </c>
      <c r="D1443" s="21" t="str">
        <f>IFERROR(__xludf.DUMMYFUNCTION("""COMPUTED_VALUE"""),"DIGITEC TECNOLOGIA DIGITAL E REPRES")</f>
        <v>DIGITEC TECNOLOGIA DIGITAL E REPRES</v>
      </c>
      <c r="E1443" s="21">
        <f>IFERROR(__xludf.DUMMYFUNCTION("""COMPUTED_VALUE"""),145359.0)</f>
        <v>145359</v>
      </c>
      <c r="F1443" s="21" t="str">
        <f>IFERROR(__xludf.DUMMYFUNCTION("""COMPUTED_VALUE"""),"INICIALIZADO")</f>
        <v>INICIALIZADO</v>
      </c>
      <c r="G1443" s="23">
        <f>IFERROR(__xludf.DUMMYFUNCTION("""COMPUTED_VALUE"""),45635.53496527778)</f>
        <v>45635.53497</v>
      </c>
      <c r="H1443" s="24" t="str">
        <f>IFERROR(VLOOKUP(B1443,material!A:D,3,0),"")</f>
        <v>CARD</v>
      </c>
    </row>
    <row r="1444" ht="11.25" customHeight="1">
      <c r="A1444" s="21" t="str">
        <f>IFERROR(__xludf.DUMMYFUNCTION("""COMPUTED_VALUE"""),"ARRIS TG1692A")</f>
        <v>ARRIS TG1692A</v>
      </c>
      <c r="B1444" s="22">
        <f>IFERROR(__xludf.DUMMYFUNCTION("""COMPUTED_VALUE"""),4.1001293E7)</f>
        <v>41001293</v>
      </c>
      <c r="C1444" s="21" t="str">
        <f>IFERROR(__xludf.DUMMYFUNCTION("""COMPUTED_VALUE"""),"BC644BCB5852")</f>
        <v>BC644BCB5852</v>
      </c>
      <c r="D1444" s="21" t="str">
        <f>IFERROR(__xludf.DUMMYFUNCTION("""COMPUTED_VALUE"""),"DIGITEC TECNOLOGIA DIGITAL E REPRES")</f>
        <v>DIGITEC TECNOLOGIA DIGITAL E REPRES</v>
      </c>
      <c r="E1444" s="21">
        <f>IFERROR(__xludf.DUMMYFUNCTION("""COMPUTED_VALUE"""),145359.0)</f>
        <v>145359</v>
      </c>
      <c r="F1444" s="21" t="str">
        <f>IFERROR(__xludf.DUMMYFUNCTION("""COMPUTED_VALUE"""),"COM DEFEITO")</f>
        <v>COM DEFEITO</v>
      </c>
      <c r="G1444" s="23">
        <f>IFERROR(__xludf.DUMMYFUNCTION("""COMPUTED_VALUE"""),45397.70768518519)</f>
        <v>45397.70769</v>
      </c>
      <c r="H1444" s="24" t="str">
        <f>IFERROR(VLOOKUP(B1444,material!A:D,3,0),"")</f>
        <v>DUAL</v>
      </c>
    </row>
    <row r="1445" ht="11.25" customHeight="1">
      <c r="A1445" s="21" t="str">
        <f>IFERROR(__xludf.DUMMYFUNCTION("""COMPUTED_VALUE"""),"DECODER DIGITAL HD HNB100 2T")</f>
        <v>DECODER DIGITAL HD HNB100 2T</v>
      </c>
      <c r="B1445" s="22">
        <f>IFERROR(__xludf.DUMMYFUNCTION("""COMPUTED_VALUE"""),4.1001276E7)</f>
        <v>41001276</v>
      </c>
      <c r="C1445" s="21" t="str">
        <f>IFERROR(__xludf.DUMMYFUNCTION("""COMPUTED_VALUE"""),"216756801535")</f>
        <v>216756801535</v>
      </c>
      <c r="D1445" s="21" t="str">
        <f>IFERROR(__xludf.DUMMYFUNCTION("""COMPUTED_VALUE"""),"DIGITEC TECNOLOGIA DIGITAL E REPRES")</f>
        <v>DIGITEC TECNOLOGIA DIGITAL E REPRES</v>
      </c>
      <c r="E1445" s="21">
        <f>IFERROR(__xludf.DUMMYFUNCTION("""COMPUTED_VALUE"""),145359.0)</f>
        <v>145359</v>
      </c>
      <c r="F1445" s="21" t="str">
        <f>IFERROR(__xludf.DUMMYFUNCTION("""COMPUTED_VALUE"""),"INICIALIZADO")</f>
        <v>INICIALIZADO</v>
      </c>
      <c r="G1445" s="23">
        <f>IFERROR(__xludf.DUMMYFUNCTION("""COMPUTED_VALUE"""),45642.52413194445)</f>
        <v>45642.52413</v>
      </c>
      <c r="H1445" s="24" t="str">
        <f>IFERROR(VLOOKUP(B1445,material!A:D,3,0),"")</f>
        <v>TOP MIX</v>
      </c>
    </row>
    <row r="1446" ht="11.25" customHeight="1">
      <c r="A1446" s="21" t="str">
        <f>IFERROR(__xludf.DUMMYFUNCTION("""COMPUTED_VALUE"""),"DECODER DIGITAL HD HNB100 2T")</f>
        <v>DECODER DIGITAL HD HNB100 2T</v>
      </c>
      <c r="B1446" s="22">
        <f>IFERROR(__xludf.DUMMYFUNCTION("""COMPUTED_VALUE"""),4.1001276E7)</f>
        <v>41001276</v>
      </c>
      <c r="C1446" s="21" t="str">
        <f>IFERROR(__xludf.DUMMYFUNCTION("""COMPUTED_VALUE"""),"216818395166")</f>
        <v>216818395166</v>
      </c>
      <c r="D1446" s="21" t="str">
        <f>IFERROR(__xludf.DUMMYFUNCTION("""COMPUTED_VALUE"""),"DIGITEC TECNOLOGIA DIGITAL E REPRES")</f>
        <v>DIGITEC TECNOLOGIA DIGITAL E REPRES</v>
      </c>
      <c r="E1446" s="21">
        <f>IFERROR(__xludf.DUMMYFUNCTION("""COMPUTED_VALUE"""),145359.0)</f>
        <v>145359</v>
      </c>
      <c r="F1446" s="21" t="str">
        <f>IFERROR(__xludf.DUMMYFUNCTION("""COMPUTED_VALUE"""),"TRANSITO REVERSA")</f>
        <v>TRANSITO REVERSA</v>
      </c>
      <c r="G1446" s="23">
        <f>IFERROR(__xludf.DUMMYFUNCTION("""COMPUTED_VALUE"""),45638.52061342592)</f>
        <v>45638.52061</v>
      </c>
      <c r="H1446" s="24" t="str">
        <f>IFERROR(VLOOKUP(B1446,material!A:D,3,0),"")</f>
        <v>TOP MIX</v>
      </c>
    </row>
    <row r="1447" ht="11.25" customHeight="1">
      <c r="A1447" s="21" t="str">
        <f>IFERROR(__xludf.DUMMYFUNCTION("""COMPUTED_VALUE"""),"SMART CARD PRETO NAGRA")</f>
        <v>SMART CARD PRETO NAGRA</v>
      </c>
      <c r="B1447" s="22">
        <f>IFERROR(__xludf.DUMMYFUNCTION("""COMPUTED_VALUE"""),4.1001234E7)</f>
        <v>41001234</v>
      </c>
      <c r="C1447" s="21" t="str">
        <f>IFERROR(__xludf.DUMMYFUNCTION("""COMPUTED_VALUE"""),"246242078197")</f>
        <v>246242078197</v>
      </c>
      <c r="D1447" s="21" t="str">
        <f>IFERROR(__xludf.DUMMYFUNCTION("""COMPUTED_VALUE"""),"DIGITEC TECNOLOGIA DIGITAL E REPRES")</f>
        <v>DIGITEC TECNOLOGIA DIGITAL E REPRES</v>
      </c>
      <c r="E1447" s="21">
        <f>IFERROR(__xludf.DUMMYFUNCTION("""COMPUTED_VALUE"""),145359.0)</f>
        <v>145359</v>
      </c>
      <c r="F1447" s="21" t="str">
        <f>IFERROR(__xludf.DUMMYFUNCTION("""COMPUTED_VALUE"""),"INICIALIZADO")</f>
        <v>INICIALIZADO</v>
      </c>
      <c r="G1447" s="23">
        <f>IFERROR(__xludf.DUMMYFUNCTION("""COMPUTED_VALUE"""),45635.53493055556)</f>
        <v>45635.53493</v>
      </c>
      <c r="H1447" s="24" t="str">
        <f>IFERROR(VLOOKUP(B1447,material!A:D,3,0),"")</f>
        <v>CARD</v>
      </c>
    </row>
    <row r="1448" ht="11.25" customHeight="1">
      <c r="A1448" s="21" t="str">
        <f>IFERROR(__xludf.DUMMYFUNCTION("""COMPUTED_VALUE"""),"ARRIS TG1692A")</f>
        <v>ARRIS TG1692A</v>
      </c>
      <c r="B1448" s="22">
        <f>IFERROR(__xludf.DUMMYFUNCTION("""COMPUTED_VALUE"""),4.1001293E7)</f>
        <v>41001293</v>
      </c>
      <c r="C1448" s="21" t="str">
        <f>IFERROR(__xludf.DUMMYFUNCTION("""COMPUTED_VALUE"""),"B0935BE9F5CC")</f>
        <v>B0935BE9F5CC</v>
      </c>
      <c r="D1448" s="21" t="str">
        <f>IFERROR(__xludf.DUMMYFUNCTION("""COMPUTED_VALUE"""),"DIGITEC TECNOLOGIA DIGITAL E REPRES")</f>
        <v>DIGITEC TECNOLOGIA DIGITAL E REPRES</v>
      </c>
      <c r="E1448" s="21">
        <f>IFERROR(__xludf.DUMMYFUNCTION("""COMPUTED_VALUE"""),145359.0)</f>
        <v>145359</v>
      </c>
      <c r="F1448" s="21" t="str">
        <f>IFERROR(__xludf.DUMMYFUNCTION("""COMPUTED_VALUE"""),"INICIALIZADO")</f>
        <v>INICIALIZADO</v>
      </c>
      <c r="G1448" s="23">
        <f>IFERROR(__xludf.DUMMYFUNCTION("""COMPUTED_VALUE"""),45573.66675925926)</f>
        <v>45573.66676</v>
      </c>
      <c r="H1448" s="24" t="str">
        <f>IFERROR(VLOOKUP(B1448,material!A:D,3,0),"")</f>
        <v>DUAL</v>
      </c>
    </row>
    <row r="1449" ht="11.25" customHeight="1">
      <c r="A1449" s="21" t="str">
        <f>IFERROR(__xludf.DUMMYFUNCTION("""COMPUTED_VALUE"""),"DECODER DIGITAL HD HNB100 2T")</f>
        <v>DECODER DIGITAL HD HNB100 2T</v>
      </c>
      <c r="B1449" s="22">
        <f>IFERROR(__xludf.DUMMYFUNCTION("""COMPUTED_VALUE"""),4.1001276E7)</f>
        <v>41001276</v>
      </c>
      <c r="C1449" s="21" t="str">
        <f>IFERROR(__xludf.DUMMYFUNCTION("""COMPUTED_VALUE"""),"216833679193")</f>
        <v>216833679193</v>
      </c>
      <c r="D1449" s="21" t="str">
        <f>IFERROR(__xludf.DUMMYFUNCTION("""COMPUTED_VALUE"""),"DIGITEC TECNOLOGIA DIGITAL E REPRES")</f>
        <v>DIGITEC TECNOLOGIA DIGITAL E REPRES</v>
      </c>
      <c r="E1449" s="21">
        <f>IFERROR(__xludf.DUMMYFUNCTION("""COMPUTED_VALUE"""),145359.0)</f>
        <v>145359</v>
      </c>
      <c r="F1449" s="21" t="str">
        <f>IFERROR(__xludf.DUMMYFUNCTION("""COMPUTED_VALUE"""),"INICIALIZADO")</f>
        <v>INICIALIZADO</v>
      </c>
      <c r="G1449" s="23">
        <f>IFERROR(__xludf.DUMMYFUNCTION("""COMPUTED_VALUE"""),45642.52413194445)</f>
        <v>45642.52413</v>
      </c>
      <c r="H1449" s="24" t="str">
        <f>IFERROR(VLOOKUP(B1449,material!A:D,3,0),"")</f>
        <v>TOP MIX</v>
      </c>
    </row>
    <row r="1450" ht="11.25" customHeight="1">
      <c r="A1450" s="21" t="str">
        <f>IFERROR(__xludf.DUMMYFUNCTION("""COMPUTED_VALUE"""),"DECODER DIGITAL HD HNB100 2T")</f>
        <v>DECODER DIGITAL HD HNB100 2T</v>
      </c>
      <c r="B1450" s="22">
        <f>IFERROR(__xludf.DUMMYFUNCTION("""COMPUTED_VALUE"""),4.1001276E7)</f>
        <v>41001276</v>
      </c>
      <c r="C1450" s="21" t="str">
        <f>IFERROR(__xludf.DUMMYFUNCTION("""COMPUTED_VALUE"""),"216833806782")</f>
        <v>216833806782</v>
      </c>
      <c r="D1450" s="21" t="str">
        <f>IFERROR(__xludf.DUMMYFUNCTION("""COMPUTED_VALUE"""),"DIGITEC TECNOLOGIA DIGITAL E REPRES")</f>
        <v>DIGITEC TECNOLOGIA DIGITAL E REPRES</v>
      </c>
      <c r="E1450" s="21">
        <f>IFERROR(__xludf.DUMMYFUNCTION("""COMPUTED_VALUE"""),145359.0)</f>
        <v>145359</v>
      </c>
      <c r="F1450" s="21" t="str">
        <f>IFERROR(__xludf.DUMMYFUNCTION("""COMPUTED_VALUE"""),"INICIALIZADO")</f>
        <v>INICIALIZADO</v>
      </c>
      <c r="G1450" s="23">
        <f>IFERROR(__xludf.DUMMYFUNCTION("""COMPUTED_VALUE"""),45635.53503472223)</f>
        <v>45635.53503</v>
      </c>
      <c r="H1450" s="24" t="str">
        <f>IFERROR(VLOOKUP(B1450,material!A:D,3,0),"")</f>
        <v>TOP MIX</v>
      </c>
    </row>
    <row r="1451" ht="11.25" customHeight="1">
      <c r="A1451" s="21" t="str">
        <f>IFERROR(__xludf.DUMMYFUNCTION("""COMPUTED_VALUE"""),"DECODER DIGITAL HD HNB100 2T")</f>
        <v>DECODER DIGITAL HD HNB100 2T</v>
      </c>
      <c r="B1451" s="22">
        <f>IFERROR(__xludf.DUMMYFUNCTION("""COMPUTED_VALUE"""),4.1001276E7)</f>
        <v>41001276</v>
      </c>
      <c r="C1451" s="21" t="str">
        <f>IFERROR(__xludf.DUMMYFUNCTION("""COMPUTED_VALUE"""),"216833793347")</f>
        <v>216833793347</v>
      </c>
      <c r="D1451" s="21" t="str">
        <f>IFERROR(__xludf.DUMMYFUNCTION("""COMPUTED_VALUE"""),"DIGITEC TECNOLOGIA DIGITAL E REPRES")</f>
        <v>DIGITEC TECNOLOGIA DIGITAL E REPRES</v>
      </c>
      <c r="E1451" s="21">
        <f>IFERROR(__xludf.DUMMYFUNCTION("""COMPUTED_VALUE"""),145359.0)</f>
        <v>145359</v>
      </c>
      <c r="F1451" s="21" t="str">
        <f>IFERROR(__xludf.DUMMYFUNCTION("""COMPUTED_VALUE"""),"INICIALIZADO")</f>
        <v>INICIALIZADO</v>
      </c>
      <c r="G1451" s="23">
        <f>IFERROR(__xludf.DUMMYFUNCTION("""COMPUTED_VALUE"""),45635.53503472223)</f>
        <v>45635.53503</v>
      </c>
      <c r="H1451" s="24" t="str">
        <f>IFERROR(VLOOKUP(B1451,material!A:D,3,0),"")</f>
        <v>TOP MIX</v>
      </c>
    </row>
    <row r="1452" ht="11.25" customHeight="1">
      <c r="A1452" s="21" t="str">
        <f>IFERROR(__xludf.DUMMYFUNCTION("""COMPUTED_VALUE"""),"DECODER DIGITAL HD HNB100 2T")</f>
        <v>DECODER DIGITAL HD HNB100 2T</v>
      </c>
      <c r="B1452" s="22">
        <f>IFERROR(__xludf.DUMMYFUNCTION("""COMPUTED_VALUE"""),4.1001276E7)</f>
        <v>41001276</v>
      </c>
      <c r="C1452" s="21" t="str">
        <f>IFERROR(__xludf.DUMMYFUNCTION("""COMPUTED_VALUE"""),"216679537697")</f>
        <v>216679537697</v>
      </c>
      <c r="D1452" s="21" t="str">
        <f>IFERROR(__xludf.DUMMYFUNCTION("""COMPUTED_VALUE"""),"DIGITEC TECNOLOGIA DIGITAL E REPRES")</f>
        <v>DIGITEC TECNOLOGIA DIGITAL E REPRES</v>
      </c>
      <c r="E1452" s="21">
        <f>IFERROR(__xludf.DUMMYFUNCTION("""COMPUTED_VALUE"""),145359.0)</f>
        <v>145359</v>
      </c>
      <c r="F1452" s="21" t="str">
        <f>IFERROR(__xludf.DUMMYFUNCTION("""COMPUTED_VALUE"""),"INICIALIZADO")</f>
        <v>INICIALIZADO</v>
      </c>
      <c r="G1452" s="23">
        <f>IFERROR(__xludf.DUMMYFUNCTION("""COMPUTED_VALUE"""),45635.53501157407)</f>
        <v>45635.53501</v>
      </c>
      <c r="H1452" s="24" t="str">
        <f>IFERROR(VLOOKUP(B1452,material!A:D,3,0),"")</f>
        <v>TOP MIX</v>
      </c>
    </row>
    <row r="1453" ht="11.25" customHeight="1">
      <c r="A1453" s="21" t="str">
        <f>IFERROR(__xludf.DUMMYFUNCTION("""COMPUTED_VALUE"""),"DECODER DIGITAL HD HNB100 2T")</f>
        <v>DECODER DIGITAL HD HNB100 2T</v>
      </c>
      <c r="B1453" s="22">
        <f>IFERROR(__xludf.DUMMYFUNCTION("""COMPUTED_VALUE"""),4.1001276E7)</f>
        <v>41001276</v>
      </c>
      <c r="C1453" s="21" t="str">
        <f>IFERROR(__xludf.DUMMYFUNCTION("""COMPUTED_VALUE"""),"216502374863")</f>
        <v>216502374863</v>
      </c>
      <c r="D1453" s="21" t="str">
        <f>IFERROR(__xludf.DUMMYFUNCTION("""COMPUTED_VALUE"""),"DIGITEC TECNOLOGIA DIGITAL E REPRES")</f>
        <v>DIGITEC TECNOLOGIA DIGITAL E REPRES</v>
      </c>
      <c r="E1453" s="21">
        <f>IFERROR(__xludf.DUMMYFUNCTION("""COMPUTED_VALUE"""),145359.0)</f>
        <v>145359</v>
      </c>
      <c r="F1453" s="21" t="str">
        <f>IFERROR(__xludf.DUMMYFUNCTION("""COMPUTED_VALUE"""),"INICIALIZADO")</f>
        <v>INICIALIZADO</v>
      </c>
      <c r="G1453" s="23">
        <f>IFERROR(__xludf.DUMMYFUNCTION("""COMPUTED_VALUE"""),45635.535046296296)</f>
        <v>45635.53505</v>
      </c>
      <c r="H1453" s="24" t="str">
        <f>IFERROR(VLOOKUP(B1453,material!A:D,3,0),"")</f>
        <v>TOP MIX</v>
      </c>
    </row>
    <row r="1454" ht="11.25" customHeight="1">
      <c r="A1454" s="21" t="str">
        <f>IFERROR(__xludf.DUMMYFUNCTION("""COMPUTED_VALUE"""),"SMART CARD PRETO NAGRA")</f>
        <v>SMART CARD PRETO NAGRA</v>
      </c>
      <c r="B1454" s="22">
        <f>IFERROR(__xludf.DUMMYFUNCTION("""COMPUTED_VALUE"""),4.1001234E7)</f>
        <v>41001234</v>
      </c>
      <c r="C1454" s="21" t="str">
        <f>IFERROR(__xludf.DUMMYFUNCTION("""COMPUTED_VALUE"""),"246131107075")</f>
        <v>246131107075</v>
      </c>
      <c r="D1454" s="21" t="str">
        <f>IFERROR(__xludf.DUMMYFUNCTION("""COMPUTED_VALUE"""),"DIGITEC TECNOLOGIA DIGITAL E REPRES")</f>
        <v>DIGITEC TECNOLOGIA DIGITAL E REPRES</v>
      </c>
      <c r="E1454" s="21">
        <f>IFERROR(__xludf.DUMMYFUNCTION("""COMPUTED_VALUE"""),145359.0)</f>
        <v>145359</v>
      </c>
      <c r="F1454" s="21" t="str">
        <f>IFERROR(__xludf.DUMMYFUNCTION("""COMPUTED_VALUE"""),"SUSPEITO")</f>
        <v>SUSPEITO</v>
      </c>
      <c r="G1454" s="23">
        <f>IFERROR(__xludf.DUMMYFUNCTION("""COMPUTED_VALUE"""),45629.601435185185)</f>
        <v>45629.60144</v>
      </c>
      <c r="H1454" s="24" t="str">
        <f>IFERROR(VLOOKUP(B1454,material!A:D,3,0),"")</f>
        <v>CARD</v>
      </c>
    </row>
    <row r="1455" ht="11.25" customHeight="1">
      <c r="A1455" s="21" t="str">
        <f>IFERROR(__xludf.DUMMYFUNCTION("""COMPUTED_VALUE"""),"ARRIS TG1692A")</f>
        <v>ARRIS TG1692A</v>
      </c>
      <c r="B1455" s="22">
        <f>IFERROR(__xludf.DUMMYFUNCTION("""COMPUTED_VALUE"""),4.1001293E7)</f>
        <v>41001293</v>
      </c>
      <c r="C1455" s="21" t="str">
        <f>IFERROR(__xludf.DUMMYFUNCTION("""COMPUTED_VALUE"""),"5819F8417ECF")</f>
        <v>5819F8417ECF</v>
      </c>
      <c r="D1455" s="21" t="str">
        <f>IFERROR(__xludf.DUMMYFUNCTION("""COMPUTED_VALUE"""),"DIGITEC TECNOLOGIA DIGITAL E REPRES")</f>
        <v>DIGITEC TECNOLOGIA DIGITAL E REPRES</v>
      </c>
      <c r="E1455" s="21">
        <f>IFERROR(__xludf.DUMMYFUNCTION("""COMPUTED_VALUE"""),145359.0)</f>
        <v>145359</v>
      </c>
      <c r="F1455" s="21" t="str">
        <f>IFERROR(__xludf.DUMMYFUNCTION("""COMPUTED_VALUE"""),"ANALISE DE INVENTARIO")</f>
        <v>ANALISE DE INVENTARIO</v>
      </c>
      <c r="G1455" s="23">
        <f>IFERROR(__xludf.DUMMYFUNCTION("""COMPUTED_VALUE"""),45615.63769675926)</f>
        <v>45615.6377</v>
      </c>
      <c r="H1455" s="24" t="str">
        <f>IFERROR(VLOOKUP(B1455,material!A:D,3,0),"")</f>
        <v>DUAL</v>
      </c>
    </row>
    <row r="1456" ht="11.25" customHeight="1">
      <c r="A1456" s="21" t="str">
        <f>IFERROR(__xludf.DUMMYFUNCTION("""COMPUTED_VALUE"""),"DECODER HD DCI738 2T")</f>
        <v>DECODER HD DCI738 2T</v>
      </c>
      <c r="B1456" s="22">
        <f>IFERROR(__xludf.DUMMYFUNCTION("""COMPUTED_VALUE"""),4.1001275E7)</f>
        <v>41001275</v>
      </c>
      <c r="C1456" s="21" t="str">
        <f>IFERROR(__xludf.DUMMYFUNCTION("""COMPUTED_VALUE"""),"216820970323")</f>
        <v>216820970323</v>
      </c>
      <c r="D1456" s="21" t="str">
        <f>IFERROR(__xludf.DUMMYFUNCTION("""COMPUTED_VALUE"""),"DIGITEC TECNOLOGIA DIGITAL E REPRES")</f>
        <v>DIGITEC TECNOLOGIA DIGITAL E REPRES</v>
      </c>
      <c r="E1456" s="21">
        <f>IFERROR(__xludf.DUMMYFUNCTION("""COMPUTED_VALUE"""),145359.0)</f>
        <v>145359</v>
      </c>
      <c r="F1456" s="21" t="str">
        <f>IFERROR(__xludf.DUMMYFUNCTION("""COMPUTED_VALUE"""),"SUSPEITO")</f>
        <v>SUSPEITO</v>
      </c>
      <c r="G1456" s="23">
        <f>IFERROR(__xludf.DUMMYFUNCTION("""COMPUTED_VALUE"""),45630.64892361111)</f>
        <v>45630.64892</v>
      </c>
      <c r="H1456" s="24" t="str">
        <f>IFERROR(VLOOKUP(B1456,material!A:D,3,0),"")</f>
        <v>TOP MIX</v>
      </c>
    </row>
    <row r="1457" ht="11.25" customHeight="1">
      <c r="A1457" s="21" t="str">
        <f>IFERROR(__xludf.DUMMYFUNCTION("""COMPUTED_VALUE"""),"DECODER DIGITAL HD HNB100 2T")</f>
        <v>DECODER DIGITAL HD HNB100 2T</v>
      </c>
      <c r="B1457" s="22">
        <f>IFERROR(__xludf.DUMMYFUNCTION("""COMPUTED_VALUE"""),4.1001276E7)</f>
        <v>41001276</v>
      </c>
      <c r="C1457" s="21" t="str">
        <f>IFERROR(__xludf.DUMMYFUNCTION("""COMPUTED_VALUE"""),"216835412944")</f>
        <v>216835412944</v>
      </c>
      <c r="D1457" s="21" t="str">
        <f>IFERROR(__xludf.DUMMYFUNCTION("""COMPUTED_VALUE"""),"DIGITEC TECNOLOGIA DIGITAL E REPRES")</f>
        <v>DIGITEC TECNOLOGIA DIGITAL E REPRES</v>
      </c>
      <c r="E1457" s="21">
        <f>IFERROR(__xludf.DUMMYFUNCTION("""COMPUTED_VALUE"""),145359.0)</f>
        <v>145359</v>
      </c>
      <c r="F1457" s="21" t="str">
        <f>IFERROR(__xludf.DUMMYFUNCTION("""COMPUTED_VALUE"""),"INICIALIZADO")</f>
        <v>INICIALIZADO</v>
      </c>
      <c r="G1457" s="23">
        <f>IFERROR(__xludf.DUMMYFUNCTION("""COMPUTED_VALUE"""),45635.53503472223)</f>
        <v>45635.53503</v>
      </c>
      <c r="H1457" s="24" t="str">
        <f>IFERROR(VLOOKUP(B1457,material!A:D,3,0),"")</f>
        <v>TOP MIX</v>
      </c>
    </row>
    <row r="1458" ht="11.25" customHeight="1">
      <c r="A1458" s="21" t="str">
        <f>IFERROR(__xludf.DUMMYFUNCTION("""COMPUTED_VALUE"""),"SMART CARD PRETO NAGRA")</f>
        <v>SMART CARD PRETO NAGRA</v>
      </c>
      <c r="B1458" s="22">
        <f>IFERROR(__xludf.DUMMYFUNCTION("""COMPUTED_VALUE"""),4.1001234E7)</f>
        <v>41001234</v>
      </c>
      <c r="C1458" s="21" t="str">
        <f>IFERROR(__xludf.DUMMYFUNCTION("""COMPUTED_VALUE"""),"246308792341")</f>
        <v>246308792341</v>
      </c>
      <c r="D1458" s="21" t="str">
        <f>IFERROR(__xludf.DUMMYFUNCTION("""COMPUTED_VALUE"""),"DIGITEC TECNOLOGIA DIGITAL E REPRES")</f>
        <v>DIGITEC TECNOLOGIA DIGITAL E REPRES</v>
      </c>
      <c r="E1458" s="21">
        <f>IFERROR(__xludf.DUMMYFUNCTION("""COMPUTED_VALUE"""),145359.0)</f>
        <v>145359</v>
      </c>
      <c r="F1458" s="21" t="str">
        <f>IFERROR(__xludf.DUMMYFUNCTION("""COMPUTED_VALUE"""),"INICIALIZADO")</f>
        <v>INICIALIZADO</v>
      </c>
      <c r="G1458" s="23">
        <f>IFERROR(__xludf.DUMMYFUNCTION("""COMPUTED_VALUE"""),45635.53491898148)</f>
        <v>45635.53492</v>
      </c>
      <c r="H1458" s="24" t="str">
        <f>IFERROR(VLOOKUP(B1458,material!A:D,3,0),"")</f>
        <v>CARD</v>
      </c>
    </row>
    <row r="1459" ht="11.25" customHeight="1">
      <c r="A1459" s="21" t="str">
        <f>IFERROR(__xludf.DUMMYFUNCTION("""COMPUTED_VALUE"""),"SMART CARD PRETO NAGRA")</f>
        <v>SMART CARD PRETO NAGRA</v>
      </c>
      <c r="B1459" s="22">
        <f>IFERROR(__xludf.DUMMYFUNCTION("""COMPUTED_VALUE"""),4.1001234E7)</f>
        <v>41001234</v>
      </c>
      <c r="C1459" s="21" t="str">
        <f>IFERROR(__xludf.DUMMYFUNCTION("""COMPUTED_VALUE"""),"246295677895")</f>
        <v>246295677895</v>
      </c>
      <c r="D1459" s="21" t="str">
        <f>IFERROR(__xludf.DUMMYFUNCTION("""COMPUTED_VALUE"""),"DIGITEC TECNOLOGIA DIGITAL E REPRES")</f>
        <v>DIGITEC TECNOLOGIA DIGITAL E REPRES</v>
      </c>
      <c r="E1459" s="21">
        <f>IFERROR(__xludf.DUMMYFUNCTION("""COMPUTED_VALUE"""),145359.0)</f>
        <v>145359</v>
      </c>
      <c r="F1459" s="21" t="str">
        <f>IFERROR(__xludf.DUMMYFUNCTION("""COMPUTED_VALUE"""),"INICIALIZADO")</f>
        <v>INICIALIZADO</v>
      </c>
      <c r="G1459" s="23">
        <f>IFERROR(__xludf.DUMMYFUNCTION("""COMPUTED_VALUE"""),45618.65202546296)</f>
        <v>45618.65203</v>
      </c>
      <c r="H1459" s="24" t="str">
        <f>IFERROR(VLOOKUP(B1459,material!A:D,3,0),"")</f>
        <v>CARD</v>
      </c>
    </row>
    <row r="1460" ht="11.25" customHeight="1">
      <c r="A1460" s="21" t="str">
        <f>IFERROR(__xludf.DUMMYFUNCTION("""COMPUTED_VALUE"""),"SMART CARD LARANJA")</f>
        <v>SMART CARD LARANJA</v>
      </c>
      <c r="B1460" s="22">
        <f>IFERROR(__xludf.DUMMYFUNCTION("""COMPUTED_VALUE"""),4.1001186E7)</f>
        <v>41001186</v>
      </c>
      <c r="C1460" s="21" t="str">
        <f>IFERROR(__xludf.DUMMYFUNCTION("""COMPUTED_VALUE"""),"215640655556")</f>
        <v>215640655556</v>
      </c>
      <c r="D1460" s="21" t="str">
        <f>IFERROR(__xludf.DUMMYFUNCTION("""COMPUTED_VALUE"""),"DIGITEC TECNOLOGIA DIGITAL E REPRES")</f>
        <v>DIGITEC TECNOLOGIA DIGITAL E REPRES</v>
      </c>
      <c r="E1460" s="21">
        <f>IFERROR(__xludf.DUMMYFUNCTION("""COMPUTED_VALUE"""),145359.0)</f>
        <v>145359</v>
      </c>
      <c r="F1460" s="21" t="str">
        <f>IFERROR(__xludf.DUMMYFUNCTION("""COMPUTED_VALUE"""),"SUCATA")</f>
        <v>SUCATA</v>
      </c>
      <c r="G1460" s="23">
        <f>IFERROR(__xludf.DUMMYFUNCTION("""COMPUTED_VALUE"""),45076.68193287037)</f>
        <v>45076.68193</v>
      </c>
      <c r="H1460" s="24" t="str">
        <f>IFERROR(VLOOKUP(B1460,material!A:D,3,0),"")</f>
        <v>CARD</v>
      </c>
    </row>
    <row r="1461" ht="11.25" customHeight="1">
      <c r="A1461" s="21" t="str">
        <f>IFERROR(__xludf.DUMMYFUNCTION("""COMPUTED_VALUE"""),"SMART CARD LARANJA NAGRA")</f>
        <v>SMART CARD LARANJA NAGRA</v>
      </c>
      <c r="B1461" s="22">
        <f>IFERROR(__xludf.DUMMYFUNCTION("""COMPUTED_VALUE"""),4.1001186E7)</f>
        <v>41001186</v>
      </c>
      <c r="C1461" s="21" t="str">
        <f>IFERROR(__xludf.DUMMYFUNCTION("""COMPUTED_VALUE"""),"215769737783")</f>
        <v>215769737783</v>
      </c>
      <c r="D1461" s="21" t="str">
        <f>IFERROR(__xludf.DUMMYFUNCTION("""COMPUTED_VALUE"""),"DIGITEC TECNOLOGIA DIGITAL E REPRES")</f>
        <v>DIGITEC TECNOLOGIA DIGITAL E REPRES</v>
      </c>
      <c r="E1461" s="21">
        <f>IFERROR(__xludf.DUMMYFUNCTION("""COMPUTED_VALUE"""),145359.0)</f>
        <v>145359</v>
      </c>
      <c r="F1461" s="21" t="str">
        <f>IFERROR(__xludf.DUMMYFUNCTION("""COMPUTED_VALUE"""),"SUCATA")</f>
        <v>SUCATA</v>
      </c>
      <c r="G1461" s="23">
        <f>IFERROR(__xludf.DUMMYFUNCTION("""COMPUTED_VALUE"""),45076.73168981481)</f>
        <v>45076.73169</v>
      </c>
      <c r="H1461" s="24" t="str">
        <f>IFERROR(VLOOKUP(B1461,material!A:D,3,0),"")</f>
        <v>CARD</v>
      </c>
    </row>
    <row r="1462" ht="11.25" customHeight="1">
      <c r="A1462" s="21" t="str">
        <f>IFERROR(__xludf.DUMMYFUNCTION("""COMPUTED_VALUE"""),"DECODER DIGITAL HD DXC5000 2T")</f>
        <v>DECODER DIGITAL HD DXC5000 2T</v>
      </c>
      <c r="B1462" s="22">
        <f>IFERROR(__xludf.DUMMYFUNCTION("""COMPUTED_VALUE"""),4.1001277E7)</f>
        <v>41001277</v>
      </c>
      <c r="C1462" s="21" t="str">
        <f>IFERROR(__xludf.DUMMYFUNCTION("""COMPUTED_VALUE"""),"216676449001")</f>
        <v>216676449001</v>
      </c>
      <c r="D1462" s="21" t="str">
        <f>IFERROR(__xludf.DUMMYFUNCTION("""COMPUTED_VALUE"""),"DIGITEC TECNOLOGIA DIGITAL E REPRES")</f>
        <v>DIGITEC TECNOLOGIA DIGITAL E REPRES</v>
      </c>
      <c r="E1462" s="21">
        <f>IFERROR(__xludf.DUMMYFUNCTION("""COMPUTED_VALUE"""),145359.0)</f>
        <v>145359</v>
      </c>
      <c r="F1462" s="21" t="str">
        <f>IFERROR(__xludf.DUMMYFUNCTION("""COMPUTED_VALUE"""),"INICIALIZADO")</f>
        <v>INICIALIZADO</v>
      </c>
      <c r="G1462" s="23">
        <f>IFERROR(__xludf.DUMMYFUNCTION("""COMPUTED_VALUE"""),45600.476006944446)</f>
        <v>45600.47601</v>
      </c>
      <c r="H1462" s="24" t="str">
        <f>IFERROR(VLOOKUP(B1462,material!A:D,3,0),"")</f>
        <v>TOP MIX</v>
      </c>
    </row>
    <row r="1463" ht="11.25" customHeight="1">
      <c r="A1463" s="21" t="str">
        <f>IFERROR(__xludf.DUMMYFUNCTION("""COMPUTED_VALUE"""),"DECODER DIGITAL HD DXC5000 2T")</f>
        <v>DECODER DIGITAL HD DXC5000 2T</v>
      </c>
      <c r="B1463" s="22">
        <f>IFERROR(__xludf.DUMMYFUNCTION("""COMPUTED_VALUE"""),4.1001277E7)</f>
        <v>41001277</v>
      </c>
      <c r="C1463" s="21" t="str">
        <f>IFERROR(__xludf.DUMMYFUNCTION("""COMPUTED_VALUE"""),"216779785775")</f>
        <v>216779785775</v>
      </c>
      <c r="D1463" s="21" t="str">
        <f>IFERROR(__xludf.DUMMYFUNCTION("""COMPUTED_VALUE"""),"DIGITEC TECNOLOGIA DIGITAL E REPRES")</f>
        <v>DIGITEC TECNOLOGIA DIGITAL E REPRES</v>
      </c>
      <c r="E1463" s="21">
        <f>IFERROR(__xludf.DUMMYFUNCTION("""COMPUTED_VALUE"""),145359.0)</f>
        <v>145359</v>
      </c>
      <c r="F1463" s="21" t="str">
        <f>IFERROR(__xludf.DUMMYFUNCTION("""COMPUTED_VALUE"""),"INICIALIZADO")</f>
        <v>INICIALIZADO</v>
      </c>
      <c r="G1463" s="23">
        <f>IFERROR(__xludf.DUMMYFUNCTION("""COMPUTED_VALUE"""),45617.49872685185)</f>
        <v>45617.49873</v>
      </c>
      <c r="H1463" s="24" t="str">
        <f>IFERROR(VLOOKUP(B1463,material!A:D,3,0),"")</f>
        <v>TOP MIX</v>
      </c>
    </row>
    <row r="1464" ht="11.25" customHeight="1">
      <c r="A1464" s="21" t="str">
        <f>IFERROR(__xludf.DUMMYFUNCTION("""COMPUTED_VALUE"""),"SMART CARD PRETO NAGRA")</f>
        <v>SMART CARD PRETO NAGRA</v>
      </c>
      <c r="B1464" s="22">
        <f>IFERROR(__xludf.DUMMYFUNCTION("""COMPUTED_VALUE"""),4.1001234E7)</f>
        <v>41001234</v>
      </c>
      <c r="C1464" s="21" t="str">
        <f>IFERROR(__xludf.DUMMYFUNCTION("""COMPUTED_VALUE"""),"226075459714")</f>
        <v>226075459714</v>
      </c>
      <c r="D1464" s="21" t="str">
        <f>IFERROR(__xludf.DUMMYFUNCTION("""COMPUTED_VALUE"""),"DIGITEC TECNOLOGIA DIGITAL E REPRES")</f>
        <v>DIGITEC TECNOLOGIA DIGITAL E REPRES</v>
      </c>
      <c r="E1464" s="21">
        <f>IFERROR(__xludf.DUMMYFUNCTION("""COMPUTED_VALUE"""),145359.0)</f>
        <v>145359</v>
      </c>
      <c r="F1464" s="21" t="str">
        <f>IFERROR(__xludf.DUMMYFUNCTION("""COMPUTED_VALUE"""),"COM DEFEITO")</f>
        <v>COM DEFEITO</v>
      </c>
      <c r="G1464" s="23">
        <f>IFERROR(__xludf.DUMMYFUNCTION("""COMPUTED_VALUE"""),45617.71435185186)</f>
        <v>45617.71435</v>
      </c>
      <c r="H1464" s="24" t="str">
        <f>IFERROR(VLOOKUP(B1464,material!A:D,3,0),"")</f>
        <v>CARD</v>
      </c>
    </row>
    <row r="1465" ht="11.25" customHeight="1">
      <c r="A1465" s="21" t="str">
        <f>IFERROR(__xludf.DUMMYFUNCTION("""COMPUTED_VALUE"""),"SMART SIM CARD NAGRA")</f>
        <v>SMART SIM CARD NAGRA</v>
      </c>
      <c r="B1465" s="22">
        <f>IFERROR(__xludf.DUMMYFUNCTION("""COMPUTED_VALUE"""),4.1000805E7)</f>
        <v>41000805</v>
      </c>
      <c r="C1465" s="21" t="str">
        <f>IFERROR(__xludf.DUMMYFUNCTION("""COMPUTED_VALUE"""),"246499980809")</f>
        <v>246499980809</v>
      </c>
      <c r="D1465" s="21" t="str">
        <f>IFERROR(__xludf.DUMMYFUNCTION("""COMPUTED_VALUE"""),"DIGITEC TECNOLOGIA DIGITAL E REPRES")</f>
        <v>DIGITEC TECNOLOGIA DIGITAL E REPRES</v>
      </c>
      <c r="E1465" s="21">
        <f>IFERROR(__xludf.DUMMYFUNCTION("""COMPUTED_VALUE"""),145359.0)</f>
        <v>145359</v>
      </c>
      <c r="F1465" s="21" t="str">
        <f>IFERROR(__xludf.DUMMYFUNCTION("""COMPUTED_VALUE"""),"INICIALIZADO")</f>
        <v>INICIALIZADO</v>
      </c>
      <c r="G1465" s="23">
        <f>IFERROR(__xludf.DUMMYFUNCTION("""COMPUTED_VALUE"""),45618.651979166665)</f>
        <v>45618.65198</v>
      </c>
      <c r="H1465" s="24" t="str">
        <f>IFERROR(VLOOKUP(B1465,material!A:D,3,0),"")</f>
        <v>SIM CARD</v>
      </c>
    </row>
    <row r="1466" ht="11.25" customHeight="1">
      <c r="A1466" s="21" t="str">
        <f>IFERROR(__xludf.DUMMYFUNCTION("""COMPUTED_VALUE"""),"DECODER DIGITAL HD HNB100 2T")</f>
        <v>DECODER DIGITAL HD HNB100 2T</v>
      </c>
      <c r="B1466" s="22">
        <f>IFERROR(__xludf.DUMMYFUNCTION("""COMPUTED_VALUE"""),4.1001276E7)</f>
        <v>41001276</v>
      </c>
      <c r="C1466" s="21" t="str">
        <f>IFERROR(__xludf.DUMMYFUNCTION("""COMPUTED_VALUE"""),"216345991734")</f>
        <v>216345991734</v>
      </c>
      <c r="D1466" s="21" t="str">
        <f>IFERROR(__xludf.DUMMYFUNCTION("""COMPUTED_VALUE"""),"DIGITEC TECNOLOGIA DIGITAL E REPRES")</f>
        <v>DIGITEC TECNOLOGIA DIGITAL E REPRES</v>
      </c>
      <c r="E1466" s="21">
        <f>IFERROR(__xludf.DUMMYFUNCTION("""COMPUTED_VALUE"""),145359.0)</f>
        <v>145359</v>
      </c>
      <c r="F1466" s="21" t="str">
        <f>IFERROR(__xludf.DUMMYFUNCTION("""COMPUTED_VALUE"""),"INICIALIZADO")</f>
        <v>INICIALIZADO</v>
      </c>
      <c r="G1466" s="23">
        <f>IFERROR(__xludf.DUMMYFUNCTION("""COMPUTED_VALUE"""),45635.535057870366)</f>
        <v>45635.53506</v>
      </c>
      <c r="H1466" s="24" t="str">
        <f>IFERROR(VLOOKUP(B1466,material!A:D,3,0),"")</f>
        <v>TOP MIX</v>
      </c>
    </row>
    <row r="1467" ht="11.25" customHeight="1">
      <c r="A1467" s="21" t="str">
        <f>IFERROR(__xludf.DUMMYFUNCTION("""COMPUTED_VALUE"""),"SMART CARD LARANJA NAGRA")</f>
        <v>SMART CARD LARANJA NAGRA</v>
      </c>
      <c r="B1467" s="22">
        <f>IFERROR(__xludf.DUMMYFUNCTION("""COMPUTED_VALUE"""),4.1001186E7)</f>
        <v>41001186</v>
      </c>
      <c r="C1467" s="21" t="str">
        <f>IFERROR(__xludf.DUMMYFUNCTION("""COMPUTED_VALUE"""),"215613276666")</f>
        <v>215613276666</v>
      </c>
      <c r="D1467" s="21" t="str">
        <f>IFERROR(__xludf.DUMMYFUNCTION("""COMPUTED_VALUE"""),"DIGITEC TECNOLOGIA DIGITAL E REPRES")</f>
        <v>DIGITEC TECNOLOGIA DIGITAL E REPRES</v>
      </c>
      <c r="E1467" s="21">
        <f>IFERROR(__xludf.DUMMYFUNCTION("""COMPUTED_VALUE"""),145359.0)</f>
        <v>145359</v>
      </c>
      <c r="F1467" s="21" t="str">
        <f>IFERROR(__xludf.DUMMYFUNCTION("""COMPUTED_VALUE"""),"TRANSITO REVERSA")</f>
        <v>TRANSITO REVERSA</v>
      </c>
      <c r="G1467" s="23">
        <f>IFERROR(__xludf.DUMMYFUNCTION("""COMPUTED_VALUE"""),45638.52112268518)</f>
        <v>45638.52112</v>
      </c>
      <c r="H1467" s="24" t="str">
        <f>IFERROR(VLOOKUP(B1467,material!A:D,3,0),"")</f>
        <v>CARD</v>
      </c>
    </row>
    <row r="1468" ht="11.25" customHeight="1">
      <c r="A1468" s="21" t="str">
        <f>IFERROR(__xludf.DUMMYFUNCTION("""COMPUTED_VALUE"""),"SMART CARD LARANJA NAGRA")</f>
        <v>SMART CARD LARANJA NAGRA</v>
      </c>
      <c r="B1468" s="22">
        <f>IFERROR(__xludf.DUMMYFUNCTION("""COMPUTED_VALUE"""),4.1001186E7)</f>
        <v>41001186</v>
      </c>
      <c r="C1468" s="21" t="str">
        <f>IFERROR(__xludf.DUMMYFUNCTION("""COMPUTED_VALUE"""),"215763019900")</f>
        <v>215763019900</v>
      </c>
      <c r="D1468" s="21" t="str">
        <f>IFERROR(__xludf.DUMMYFUNCTION("""COMPUTED_VALUE"""),"DIGITEC TECNOLOGIA DIGITAL E REPRES")</f>
        <v>DIGITEC TECNOLOGIA DIGITAL E REPRES</v>
      </c>
      <c r="E1468" s="21">
        <f>IFERROR(__xludf.DUMMYFUNCTION("""COMPUTED_VALUE"""),145359.0)</f>
        <v>145359</v>
      </c>
      <c r="F1468" s="21" t="str">
        <f>IFERROR(__xludf.DUMMYFUNCTION("""COMPUTED_VALUE"""),"SUCATA")</f>
        <v>SUCATA</v>
      </c>
      <c r="G1468" s="23">
        <f>IFERROR(__xludf.DUMMYFUNCTION("""COMPUTED_VALUE"""),45076.73168981481)</f>
        <v>45076.73169</v>
      </c>
      <c r="H1468" s="24" t="str">
        <f>IFERROR(VLOOKUP(B1468,material!A:D,3,0),"")</f>
        <v>CARD</v>
      </c>
    </row>
    <row r="1469" ht="11.25" customHeight="1">
      <c r="A1469" s="21" t="str">
        <f>IFERROR(__xludf.DUMMYFUNCTION("""COMPUTED_VALUE"""),"HUMAX HGB10R-02")</f>
        <v>HUMAX HGB10R-02</v>
      </c>
      <c r="B1469" s="22">
        <f>IFERROR(__xludf.DUMMYFUNCTION("""COMPUTED_VALUE"""),4.1001292E7)</f>
        <v>41001292</v>
      </c>
      <c r="C1469" s="21" t="str">
        <f>IFERROR(__xludf.DUMMYFUNCTION("""COMPUTED_VALUE"""),"942CB3D1CF38")</f>
        <v>942CB3D1CF38</v>
      </c>
      <c r="D1469" s="21" t="str">
        <f>IFERROR(__xludf.DUMMYFUNCTION("""COMPUTED_VALUE"""),"DIGITEC TECNOLOGIA DIGITAL E REPRES")</f>
        <v>DIGITEC TECNOLOGIA DIGITAL E REPRES</v>
      </c>
      <c r="E1469" s="21">
        <f>IFERROR(__xludf.DUMMYFUNCTION("""COMPUTED_VALUE"""),145359.0)</f>
        <v>145359</v>
      </c>
      <c r="F1469" s="21" t="str">
        <f>IFERROR(__xludf.DUMMYFUNCTION("""COMPUTED_VALUE"""),"TRANSITO REVERSA")</f>
        <v>TRANSITO REVERSA</v>
      </c>
      <c r="G1469" s="23">
        <f>IFERROR(__xludf.DUMMYFUNCTION("""COMPUTED_VALUE"""),45604.4906712963)</f>
        <v>45604.49067</v>
      </c>
      <c r="H1469" s="24" t="str">
        <f>IFERROR(VLOOKUP(B1469,material!A:D,3,0),"")</f>
        <v>DUAL</v>
      </c>
    </row>
    <row r="1470" ht="11.25" customHeight="1">
      <c r="A1470" s="21" t="str">
        <f>IFERROR(__xludf.DUMMYFUNCTION("""COMPUTED_VALUE"""),"DECODER DIGITAL HD DXC5000 2T")</f>
        <v>DECODER DIGITAL HD DXC5000 2T</v>
      </c>
      <c r="B1470" s="22">
        <f>IFERROR(__xludf.DUMMYFUNCTION("""COMPUTED_VALUE"""),4.1001277E7)</f>
        <v>41001277</v>
      </c>
      <c r="C1470" s="21" t="str">
        <f>IFERROR(__xludf.DUMMYFUNCTION("""COMPUTED_VALUE"""),"216785329616")</f>
        <v>216785329616</v>
      </c>
      <c r="D1470" s="21" t="str">
        <f>IFERROR(__xludf.DUMMYFUNCTION("""COMPUTED_VALUE"""),"DIGITEC TECNOLOGIA DIGITAL E REPRES")</f>
        <v>DIGITEC TECNOLOGIA DIGITAL E REPRES</v>
      </c>
      <c r="E1470" s="21">
        <f>IFERROR(__xludf.DUMMYFUNCTION("""COMPUTED_VALUE"""),145359.0)</f>
        <v>145359</v>
      </c>
      <c r="F1470" s="21" t="str">
        <f>IFERROR(__xludf.DUMMYFUNCTION("""COMPUTED_VALUE"""),"TRANSITO REVERSA")</f>
        <v>TRANSITO REVERSA</v>
      </c>
      <c r="G1470" s="23">
        <f>IFERROR(__xludf.DUMMYFUNCTION("""COMPUTED_VALUE"""),45626.29924768519)</f>
        <v>45626.29925</v>
      </c>
      <c r="H1470" s="24" t="str">
        <f>IFERROR(VLOOKUP(B1470,material!A:D,3,0),"")</f>
        <v>TOP MIX</v>
      </c>
    </row>
    <row r="1471" ht="11.25" customHeight="1">
      <c r="A1471" s="21" t="str">
        <f>IFERROR(__xludf.DUMMYFUNCTION("""COMPUTED_VALUE"""),"SMART CARD PRETO NAGRA")</f>
        <v>SMART CARD PRETO NAGRA</v>
      </c>
      <c r="B1471" s="22">
        <f>IFERROR(__xludf.DUMMYFUNCTION("""COMPUTED_VALUE"""),4.1001234E7)</f>
        <v>41001234</v>
      </c>
      <c r="C1471" s="21" t="str">
        <f>IFERROR(__xludf.DUMMYFUNCTION("""COMPUTED_VALUE"""),"246239096380")</f>
        <v>246239096380</v>
      </c>
      <c r="D1471" s="21" t="str">
        <f>IFERROR(__xludf.DUMMYFUNCTION("""COMPUTED_VALUE"""),"DIGITEC TECNOLOGIA DIGITAL E REPRES")</f>
        <v>DIGITEC TECNOLOGIA DIGITAL E REPRES</v>
      </c>
      <c r="E1471" s="21">
        <f>IFERROR(__xludf.DUMMYFUNCTION("""COMPUTED_VALUE"""),145359.0)</f>
        <v>145359</v>
      </c>
      <c r="F1471" s="21" t="str">
        <f>IFERROR(__xludf.DUMMYFUNCTION("""COMPUTED_VALUE"""),"TRANSITO REVERSA")</f>
        <v>TRANSITO REVERSA</v>
      </c>
      <c r="G1471" s="23">
        <f>IFERROR(__xludf.DUMMYFUNCTION("""COMPUTED_VALUE"""),45617.87137731482)</f>
        <v>45617.87138</v>
      </c>
      <c r="H1471" s="24" t="str">
        <f>IFERROR(VLOOKUP(B1471,material!A:D,3,0),"")</f>
        <v>CARD</v>
      </c>
    </row>
    <row r="1472" ht="11.25" customHeight="1">
      <c r="A1472" s="21" t="str">
        <f>IFERROR(__xludf.DUMMYFUNCTION("""COMPUTED_VALUE"""),"SMART CARD PRETO NAGRA")</f>
        <v>SMART CARD PRETO NAGRA</v>
      </c>
      <c r="B1472" s="22">
        <f>IFERROR(__xludf.DUMMYFUNCTION("""COMPUTED_VALUE"""),4.1001234E7)</f>
        <v>41001234</v>
      </c>
      <c r="C1472" s="21" t="str">
        <f>IFERROR(__xludf.DUMMYFUNCTION("""COMPUTED_VALUE"""),"246267364964")</f>
        <v>246267364964</v>
      </c>
      <c r="D1472" s="21" t="str">
        <f>IFERROR(__xludf.DUMMYFUNCTION("""COMPUTED_VALUE"""),"DIGITEC TECNOLOGIA DIGITAL E REPRES")</f>
        <v>DIGITEC TECNOLOGIA DIGITAL E REPRES</v>
      </c>
      <c r="E1472" s="21">
        <f>IFERROR(__xludf.DUMMYFUNCTION("""COMPUTED_VALUE"""),145359.0)</f>
        <v>145359</v>
      </c>
      <c r="F1472" s="21" t="str">
        <f>IFERROR(__xludf.DUMMYFUNCTION("""COMPUTED_VALUE"""),"TRANSITO REVERSA")</f>
        <v>TRANSITO REVERSA</v>
      </c>
      <c r="G1472" s="23">
        <f>IFERROR(__xludf.DUMMYFUNCTION("""COMPUTED_VALUE"""),45373.628483796296)</f>
        <v>45373.62848</v>
      </c>
      <c r="H1472" s="24" t="str">
        <f>IFERROR(VLOOKUP(B1472,material!A:D,3,0),"")</f>
        <v>CARD</v>
      </c>
    </row>
    <row r="1473" ht="11.25" customHeight="1">
      <c r="A1473" s="21" t="str">
        <f>IFERROR(__xludf.DUMMYFUNCTION("""COMPUTED_VALUE"""),"SMART CARD LARANJA NAGRA")</f>
        <v>SMART CARD LARANJA NAGRA</v>
      </c>
      <c r="B1473" s="22">
        <f>IFERROR(__xludf.DUMMYFUNCTION("""COMPUTED_VALUE"""),4.1001186E7)</f>
        <v>41001186</v>
      </c>
      <c r="C1473" s="21" t="str">
        <f>IFERROR(__xludf.DUMMYFUNCTION("""COMPUTED_VALUE"""),"225830902738")</f>
        <v>225830902738</v>
      </c>
      <c r="D1473" s="21" t="str">
        <f>IFERROR(__xludf.DUMMYFUNCTION("""COMPUTED_VALUE"""),"DIGITEC TECNOLOGIA DIGITAL E REPRES")</f>
        <v>DIGITEC TECNOLOGIA DIGITAL E REPRES</v>
      </c>
      <c r="E1473" s="21">
        <f>IFERROR(__xludf.DUMMYFUNCTION("""COMPUTED_VALUE"""),145359.0)</f>
        <v>145359</v>
      </c>
      <c r="F1473" s="21" t="str">
        <f>IFERROR(__xludf.DUMMYFUNCTION("""COMPUTED_VALUE"""),"TRANSITO REVERSA")</f>
        <v>TRANSITO REVERSA</v>
      </c>
      <c r="G1473" s="23">
        <f>IFERROR(__xludf.DUMMYFUNCTION("""COMPUTED_VALUE"""),45394.80664351852)</f>
        <v>45394.80664</v>
      </c>
      <c r="H1473" s="24" t="str">
        <f>IFERROR(VLOOKUP(B1473,material!A:D,3,0),"")</f>
        <v>CARD</v>
      </c>
    </row>
    <row r="1474" ht="11.25" customHeight="1">
      <c r="A1474" s="21" t="str">
        <f>IFERROR(__xludf.DUMMYFUNCTION("""COMPUTED_VALUE"""),"PACE - HD DCR 7411 VIRTUA")</f>
        <v>PACE - HD DCR 7411 VIRTUA</v>
      </c>
      <c r="B1474" s="22">
        <f>IFERROR(__xludf.DUMMYFUNCTION("""COMPUTED_VALUE"""),4.1001216E7)</f>
        <v>41001216</v>
      </c>
      <c r="C1474" s="21" t="str">
        <f>IFERROR(__xludf.DUMMYFUNCTION("""COMPUTED_VALUE"""),"181464539702")</f>
        <v>181464539702</v>
      </c>
      <c r="D1474" s="21" t="str">
        <f>IFERROR(__xludf.DUMMYFUNCTION("""COMPUTED_VALUE"""),"DIGITEC TECNOLOGIA DIGITAL E REPRES")</f>
        <v>DIGITEC TECNOLOGIA DIGITAL E REPRES</v>
      </c>
      <c r="E1474" s="21">
        <f>IFERROR(__xludf.DUMMYFUNCTION("""COMPUTED_VALUE"""),145359.0)</f>
        <v>145359</v>
      </c>
      <c r="F1474" s="21" t="str">
        <f>IFERROR(__xludf.DUMMYFUNCTION("""COMPUTED_VALUE"""),"SUSPEITO")</f>
        <v>SUSPEITO</v>
      </c>
      <c r="G1474" s="23">
        <f>IFERROR(__xludf.DUMMYFUNCTION("""COMPUTED_VALUE"""),45643.621875)</f>
        <v>45643.62188</v>
      </c>
      <c r="H1474" s="24" t="str">
        <f>IFERROR(VLOOKUP(B1474,material!A:D,3,0),"")</f>
        <v>LEGADO</v>
      </c>
    </row>
    <row r="1475" ht="11.25" customHeight="1">
      <c r="A1475" s="21" t="str">
        <f>IFERROR(__xludf.DUMMYFUNCTION("""COMPUTED_VALUE"""),"SMART CARD LARANJA")</f>
        <v>SMART CARD LARANJA</v>
      </c>
      <c r="B1475" s="22">
        <f>IFERROR(__xludf.DUMMYFUNCTION("""COMPUTED_VALUE"""),4.1001186E7)</f>
        <v>41001186</v>
      </c>
      <c r="C1475" s="21" t="str">
        <f>IFERROR(__xludf.DUMMYFUNCTION("""COMPUTED_VALUE"""),"215963874048")</f>
        <v>215963874048</v>
      </c>
      <c r="D1475" s="21" t="str">
        <f>IFERROR(__xludf.DUMMYFUNCTION("""COMPUTED_VALUE"""),"DIGITEC TECNOLOGIA DIGITAL E REPRES")</f>
        <v>DIGITEC TECNOLOGIA DIGITAL E REPRES</v>
      </c>
      <c r="E1475" s="21">
        <f>IFERROR(__xludf.DUMMYFUNCTION("""COMPUTED_VALUE"""),145359.0)</f>
        <v>145359</v>
      </c>
      <c r="F1475" s="21" t="str">
        <f>IFERROR(__xludf.DUMMYFUNCTION("""COMPUTED_VALUE"""),"SUSPEITO")</f>
        <v>SUSPEITO</v>
      </c>
      <c r="G1475" s="23">
        <f>IFERROR(__xludf.DUMMYFUNCTION("""COMPUTED_VALUE"""),45643.621875)</f>
        <v>45643.62188</v>
      </c>
      <c r="H1475" s="24" t="str">
        <f>IFERROR(VLOOKUP(B1475,material!A:D,3,0),"")</f>
        <v>CARD</v>
      </c>
    </row>
    <row r="1476" ht="11.25" customHeight="1">
      <c r="A1476" s="21" t="str">
        <f>IFERROR(__xludf.DUMMYFUNCTION("""COMPUTED_VALUE"""),"DECODER DIGITAL HD HNB100 2T")</f>
        <v>DECODER DIGITAL HD HNB100 2T</v>
      </c>
      <c r="B1476" s="22">
        <f>IFERROR(__xludf.DUMMYFUNCTION("""COMPUTED_VALUE"""),4.1001276E7)</f>
        <v>41001276</v>
      </c>
      <c r="C1476" s="21" t="str">
        <f>IFERROR(__xludf.DUMMYFUNCTION("""COMPUTED_VALUE"""),"216563105369")</f>
        <v>216563105369</v>
      </c>
      <c r="D1476" s="21" t="str">
        <f>IFERROR(__xludf.DUMMYFUNCTION("""COMPUTED_VALUE"""),"DIGITEC TECNOLOGIA DIGITAL E REPRES")</f>
        <v>DIGITEC TECNOLOGIA DIGITAL E REPRES</v>
      </c>
      <c r="E1476" s="21">
        <f>IFERROR(__xludf.DUMMYFUNCTION("""COMPUTED_VALUE"""),145359.0)</f>
        <v>145359</v>
      </c>
      <c r="F1476" s="21" t="str">
        <f>IFERROR(__xludf.DUMMYFUNCTION("""COMPUTED_VALUE"""),"INICIALIZADO")</f>
        <v>INICIALIZADO</v>
      </c>
      <c r="G1476" s="23">
        <f>IFERROR(__xludf.DUMMYFUNCTION("""COMPUTED_VALUE"""),45635.53506944445)</f>
        <v>45635.53507</v>
      </c>
      <c r="H1476" s="24" t="str">
        <f>IFERROR(VLOOKUP(B1476,material!A:D,3,0),"")</f>
        <v>TOP MIX</v>
      </c>
    </row>
    <row r="1477" ht="11.25" customHeight="1">
      <c r="A1477" s="21" t="str">
        <f>IFERROR(__xludf.DUMMYFUNCTION("""COMPUTED_VALUE"""),"ARRIS TG1692A")</f>
        <v>ARRIS TG1692A</v>
      </c>
      <c r="B1477" s="22">
        <f>IFERROR(__xludf.DUMMYFUNCTION("""COMPUTED_VALUE"""),4.1001293E7)</f>
        <v>41001293</v>
      </c>
      <c r="C1477" s="21" t="str">
        <f>IFERROR(__xludf.DUMMYFUNCTION("""COMPUTED_VALUE"""),"5819F8445668")</f>
        <v>5819F8445668</v>
      </c>
      <c r="D1477" s="21" t="str">
        <f>IFERROR(__xludf.DUMMYFUNCTION("""COMPUTED_VALUE"""),"DIGITEC TECNOLOGIA DIGITAL E REPRES")</f>
        <v>DIGITEC TECNOLOGIA DIGITAL E REPRES</v>
      </c>
      <c r="E1477" s="21">
        <f>IFERROR(__xludf.DUMMYFUNCTION("""COMPUTED_VALUE"""),145359.0)</f>
        <v>145359</v>
      </c>
      <c r="F1477" s="21" t="str">
        <f>IFERROR(__xludf.DUMMYFUNCTION("""COMPUTED_VALUE"""),"TRANSITO REVERSA")</f>
        <v>TRANSITO REVERSA</v>
      </c>
      <c r="G1477" s="23">
        <f>IFERROR(__xludf.DUMMYFUNCTION("""COMPUTED_VALUE"""),45633.0033912037)</f>
        <v>45633.00339</v>
      </c>
      <c r="H1477" s="24" t="str">
        <f>IFERROR(VLOOKUP(B1477,material!A:D,3,0),"")</f>
        <v>DUAL</v>
      </c>
    </row>
    <row r="1478" ht="11.25" customHeight="1">
      <c r="A1478" s="21" t="str">
        <f>IFERROR(__xludf.DUMMYFUNCTION("""COMPUTED_VALUE"""),"TECHNICOLOR TC7337NET")</f>
        <v>TECHNICOLOR TC7337NET</v>
      </c>
      <c r="B1478" s="22">
        <f>IFERROR(__xludf.DUMMYFUNCTION("""COMPUTED_VALUE"""),4.1001294E7)</f>
        <v>41001294</v>
      </c>
      <c r="C1478" s="21" t="str">
        <f>IFERROR(__xludf.DUMMYFUNCTION("""COMPUTED_VALUE"""),"480033050452")</f>
        <v>480033050452</v>
      </c>
      <c r="D1478" s="21" t="str">
        <f>IFERROR(__xludf.DUMMYFUNCTION("""COMPUTED_VALUE"""),"DIGITEC TECNOLOGIA DIGITAL E REPRES")</f>
        <v>DIGITEC TECNOLOGIA DIGITAL E REPRES</v>
      </c>
      <c r="E1478" s="21">
        <f>IFERROR(__xludf.DUMMYFUNCTION("""COMPUTED_VALUE"""),145359.0)</f>
        <v>145359</v>
      </c>
      <c r="F1478" s="21" t="str">
        <f>IFERROR(__xludf.DUMMYFUNCTION("""COMPUTED_VALUE"""),"INICIALIZADO")</f>
        <v>INICIALIZADO</v>
      </c>
      <c r="G1478" s="23">
        <f>IFERROR(__xludf.DUMMYFUNCTION("""COMPUTED_VALUE"""),45618.74475694445)</f>
        <v>45618.74476</v>
      </c>
      <c r="H1478" s="24" t="str">
        <f>IFERROR(VLOOKUP(B1478,material!A:D,3,0),"")</f>
        <v>DUAL</v>
      </c>
    </row>
    <row r="1479" ht="11.25" customHeight="1">
      <c r="A1479" s="21" t="str">
        <f>IFERROR(__xludf.DUMMYFUNCTION("""COMPUTED_VALUE"""),"DECODER DIGITAL HD DXC5000 2T")</f>
        <v>DECODER DIGITAL HD DXC5000 2T</v>
      </c>
      <c r="B1479" s="22">
        <f>IFERROR(__xludf.DUMMYFUNCTION("""COMPUTED_VALUE"""),4.1001277E7)</f>
        <v>41001277</v>
      </c>
      <c r="C1479" s="21" t="str">
        <f>IFERROR(__xludf.DUMMYFUNCTION("""COMPUTED_VALUE"""),"216377357375")</f>
        <v>216377357375</v>
      </c>
      <c r="D1479" s="21" t="str">
        <f>IFERROR(__xludf.DUMMYFUNCTION("""COMPUTED_VALUE"""),"DIGITEC TECNOLOGIA DIGITAL E REPRES")</f>
        <v>DIGITEC TECNOLOGIA DIGITAL E REPRES</v>
      </c>
      <c r="E1479" s="21">
        <f>IFERROR(__xludf.DUMMYFUNCTION("""COMPUTED_VALUE"""),145359.0)</f>
        <v>145359</v>
      </c>
      <c r="F1479" s="21" t="str">
        <f>IFERROR(__xludf.DUMMYFUNCTION("""COMPUTED_VALUE"""),"INICIALIZADO")</f>
        <v>INICIALIZADO</v>
      </c>
      <c r="G1479" s="23">
        <f>IFERROR(__xludf.DUMMYFUNCTION("""COMPUTED_VALUE"""),45618.65201388889)</f>
        <v>45618.65201</v>
      </c>
      <c r="H1479" s="24" t="str">
        <f>IFERROR(VLOOKUP(B1479,material!A:D,3,0),"")</f>
        <v>TOP MIX</v>
      </c>
    </row>
    <row r="1480" ht="11.25" customHeight="1">
      <c r="A1480" s="21" t="str">
        <f>IFERROR(__xludf.DUMMYFUNCTION("""COMPUTED_VALUE"""),"DECODER DIGITAL HD HNB100 2T")</f>
        <v>DECODER DIGITAL HD HNB100 2T</v>
      </c>
      <c r="B1480" s="22">
        <f>IFERROR(__xludf.DUMMYFUNCTION("""COMPUTED_VALUE"""),4.1001276E7)</f>
        <v>41001276</v>
      </c>
      <c r="C1480" s="21" t="str">
        <f>IFERROR(__xludf.DUMMYFUNCTION("""COMPUTED_VALUE"""),"216733671219")</f>
        <v>216733671219</v>
      </c>
      <c r="D1480" s="21" t="str">
        <f>IFERROR(__xludf.DUMMYFUNCTION("""COMPUTED_VALUE"""),"DIGITEC TECNOLOGIA DIGITAL E REPRES")</f>
        <v>DIGITEC TECNOLOGIA DIGITAL E REPRES</v>
      </c>
      <c r="E1480" s="21">
        <f>IFERROR(__xludf.DUMMYFUNCTION("""COMPUTED_VALUE"""),145359.0)</f>
        <v>145359</v>
      </c>
      <c r="F1480" s="21" t="str">
        <f>IFERROR(__xludf.DUMMYFUNCTION("""COMPUTED_VALUE"""),"INICIALIZADO")</f>
        <v>INICIALIZADO</v>
      </c>
      <c r="G1480" s="23">
        <f>IFERROR(__xludf.DUMMYFUNCTION("""COMPUTED_VALUE"""),45635.535)</f>
        <v>45635.535</v>
      </c>
      <c r="H1480" s="24" t="str">
        <f>IFERROR(VLOOKUP(B1480,material!A:D,3,0),"")</f>
        <v>TOP MIX</v>
      </c>
    </row>
    <row r="1481" ht="11.25" customHeight="1">
      <c r="A1481" s="21" t="str">
        <f>IFERROR(__xludf.DUMMYFUNCTION("""COMPUTED_VALUE"""),"HUMAX HG100R-L4")</f>
        <v>HUMAX HG100R-L4</v>
      </c>
      <c r="B1481" s="22">
        <f>IFERROR(__xludf.DUMMYFUNCTION("""COMPUTED_VALUE"""),4.1001288E7)</f>
        <v>41001288</v>
      </c>
      <c r="C1481" s="21" t="str">
        <f>IFERROR(__xludf.DUMMYFUNCTION("""COMPUTED_VALUE"""),"4CD08AC2C34C")</f>
        <v>4CD08AC2C34C</v>
      </c>
      <c r="D1481" s="21" t="str">
        <f>IFERROR(__xludf.DUMMYFUNCTION("""COMPUTED_VALUE"""),"DIGITEC TECNOLOGIA DIGITAL E REPRES")</f>
        <v>DIGITEC TECNOLOGIA DIGITAL E REPRES</v>
      </c>
      <c r="E1481" s="21">
        <f>IFERROR(__xludf.DUMMYFUNCTION("""COMPUTED_VALUE"""),145359.0)</f>
        <v>145359</v>
      </c>
      <c r="F1481" s="21" t="str">
        <f>IFERROR(__xludf.DUMMYFUNCTION("""COMPUTED_VALUE"""),"TRANSITO REVERSA")</f>
        <v>TRANSITO REVERSA</v>
      </c>
      <c r="G1481" s="23">
        <f>IFERROR(__xludf.DUMMYFUNCTION("""COMPUTED_VALUE"""),45640.95003472222)</f>
        <v>45640.95003</v>
      </c>
      <c r="H1481" s="24" t="str">
        <f>IFERROR(VLOOKUP(B1481,material!A:D,3,0),"")</f>
        <v>SINGLE</v>
      </c>
    </row>
    <row r="1482" ht="11.25" customHeight="1">
      <c r="A1482" s="21" t="str">
        <f>IFERROR(__xludf.DUMMYFUNCTION("""COMPUTED_VALUE"""),"SMART CARD PRETO NAGRA")</f>
        <v>SMART CARD PRETO NAGRA</v>
      </c>
      <c r="B1482" s="22">
        <f>IFERROR(__xludf.DUMMYFUNCTION("""COMPUTED_VALUE"""),4.1001234E7)</f>
        <v>41001234</v>
      </c>
      <c r="C1482" s="21" t="str">
        <f>IFERROR(__xludf.DUMMYFUNCTION("""COMPUTED_VALUE"""),"246110735166")</f>
        <v>246110735166</v>
      </c>
      <c r="D1482" s="21" t="str">
        <f>IFERROR(__xludf.DUMMYFUNCTION("""COMPUTED_VALUE"""),"DIGITEC TECNOLOGIA DIGITAL E REPRES")</f>
        <v>DIGITEC TECNOLOGIA DIGITAL E REPRES</v>
      </c>
      <c r="E1482" s="21">
        <f>IFERROR(__xludf.DUMMYFUNCTION("""COMPUTED_VALUE"""),145359.0)</f>
        <v>145359</v>
      </c>
      <c r="F1482" s="21" t="str">
        <f>IFERROR(__xludf.DUMMYFUNCTION("""COMPUTED_VALUE"""),"INICIALIZADO")</f>
        <v>INICIALIZADO</v>
      </c>
      <c r="G1482" s="23">
        <f>IFERROR(__xludf.DUMMYFUNCTION("""COMPUTED_VALUE"""),45635.534907407404)</f>
        <v>45635.53491</v>
      </c>
      <c r="H1482" s="24" t="str">
        <f>IFERROR(VLOOKUP(B1482,material!A:D,3,0),"")</f>
        <v>CARD</v>
      </c>
    </row>
    <row r="1483" ht="11.25" customHeight="1">
      <c r="A1483" s="21" t="str">
        <f>IFERROR(__xludf.DUMMYFUNCTION("""COMPUTED_VALUE"""),"SMART CARD PRETO NAGRA")</f>
        <v>SMART CARD PRETO NAGRA</v>
      </c>
      <c r="B1483" s="22">
        <f>IFERROR(__xludf.DUMMYFUNCTION("""COMPUTED_VALUE"""),4.1001234E7)</f>
        <v>41001234</v>
      </c>
      <c r="C1483" s="21" t="str">
        <f>IFERROR(__xludf.DUMMYFUNCTION("""COMPUTED_VALUE"""),"246047380409")</f>
        <v>246047380409</v>
      </c>
      <c r="D1483" s="21" t="str">
        <f>IFERROR(__xludf.DUMMYFUNCTION("""COMPUTED_VALUE"""),"DIGITEC TECNOLOGIA DIGITAL E REPRES")</f>
        <v>DIGITEC TECNOLOGIA DIGITAL E REPRES</v>
      </c>
      <c r="E1483" s="21">
        <f>IFERROR(__xludf.DUMMYFUNCTION("""COMPUTED_VALUE"""),145359.0)</f>
        <v>145359</v>
      </c>
      <c r="F1483" s="21" t="str">
        <f>IFERROR(__xludf.DUMMYFUNCTION("""COMPUTED_VALUE"""),"INICIALIZADO")</f>
        <v>INICIALIZADO</v>
      </c>
      <c r="G1483" s="23">
        <f>IFERROR(__xludf.DUMMYFUNCTION("""COMPUTED_VALUE"""),45615.61854166667)</f>
        <v>45615.61854</v>
      </c>
      <c r="H1483" s="24" t="str">
        <f>IFERROR(VLOOKUP(B1483,material!A:D,3,0),"")</f>
        <v>CARD</v>
      </c>
    </row>
    <row r="1484" ht="11.25" customHeight="1">
      <c r="A1484" s="21" t="str">
        <f>IFERROR(__xludf.DUMMYFUNCTION("""COMPUTED_VALUE"""),"HUMAX HGB10R-02")</f>
        <v>HUMAX HGB10R-02</v>
      </c>
      <c r="B1484" s="22">
        <f>IFERROR(__xludf.DUMMYFUNCTION("""COMPUTED_VALUE"""),4.1001292E7)</f>
        <v>41001292</v>
      </c>
      <c r="C1484" s="21" t="str">
        <f>IFERROR(__xludf.DUMMYFUNCTION("""COMPUTED_VALUE"""),"942CB3EF6F11")</f>
        <v>942CB3EF6F11</v>
      </c>
      <c r="D1484" s="21" t="str">
        <f>IFERROR(__xludf.DUMMYFUNCTION("""COMPUTED_VALUE"""),"DIGITEC TECNOLOGIA DIGITAL E REPRES")</f>
        <v>DIGITEC TECNOLOGIA DIGITAL E REPRES</v>
      </c>
      <c r="E1484" s="21">
        <f>IFERROR(__xludf.DUMMYFUNCTION("""COMPUTED_VALUE"""),145359.0)</f>
        <v>145359</v>
      </c>
      <c r="F1484" s="21" t="str">
        <f>IFERROR(__xludf.DUMMYFUNCTION("""COMPUTED_VALUE"""),"TRANSITO REVERSA")</f>
        <v>TRANSITO REVERSA</v>
      </c>
      <c r="G1484" s="23">
        <f>IFERROR(__xludf.DUMMYFUNCTION("""COMPUTED_VALUE"""),45638.520648148144)</f>
        <v>45638.52065</v>
      </c>
      <c r="H1484" s="24" t="str">
        <f>IFERROR(VLOOKUP(B1484,material!A:D,3,0),"")</f>
        <v>DUAL</v>
      </c>
    </row>
    <row r="1485" ht="11.25" customHeight="1">
      <c r="A1485" s="21" t="str">
        <f>IFERROR(__xludf.DUMMYFUNCTION("""COMPUTED_VALUE"""),"PACE - HIGH DEFINITION DCR7411")</f>
        <v>PACE - HIGH DEFINITION DCR7411</v>
      </c>
      <c r="B1485" s="22">
        <f>IFERROR(__xludf.DUMMYFUNCTION("""COMPUTED_VALUE"""),4.1001216E7)</f>
        <v>41001216</v>
      </c>
      <c r="C1485" s="21" t="str">
        <f>IFERROR(__xludf.DUMMYFUNCTION("""COMPUTED_VALUE"""),"177203963737")</f>
        <v>177203963737</v>
      </c>
      <c r="D1485" s="21" t="str">
        <f>IFERROR(__xludf.DUMMYFUNCTION("""COMPUTED_VALUE"""),"DIGITEC TECNOLOGIA DIGITAL E REPRES")</f>
        <v>DIGITEC TECNOLOGIA DIGITAL E REPRES</v>
      </c>
      <c r="E1485" s="21">
        <f>IFERROR(__xludf.DUMMYFUNCTION("""COMPUTED_VALUE"""),145359.0)</f>
        <v>145359</v>
      </c>
      <c r="F1485" s="21" t="str">
        <f>IFERROR(__xludf.DUMMYFUNCTION("""COMPUTED_VALUE"""),"SUSPEITO")</f>
        <v>SUSPEITO</v>
      </c>
      <c r="G1485" s="23">
        <f>IFERROR(__xludf.DUMMYFUNCTION("""COMPUTED_VALUE"""),45638.628645833334)</f>
        <v>45638.62865</v>
      </c>
      <c r="H1485" s="24" t="str">
        <f>IFERROR(VLOOKUP(B1485,material!A:D,3,0),"")</f>
        <v>LEGADO</v>
      </c>
    </row>
    <row r="1486" ht="11.25" customHeight="1">
      <c r="A1486" s="21" t="str">
        <f>IFERROR(__xludf.DUMMYFUNCTION("""COMPUTED_VALUE"""),"DECODER DIGITAL HD HNB100 2T")</f>
        <v>DECODER DIGITAL HD HNB100 2T</v>
      </c>
      <c r="B1486" s="22">
        <f>IFERROR(__xludf.DUMMYFUNCTION("""COMPUTED_VALUE"""),4.1001276E7)</f>
        <v>41001276</v>
      </c>
      <c r="C1486" s="21" t="str">
        <f>IFERROR(__xludf.DUMMYFUNCTION("""COMPUTED_VALUE"""),"216613777575")</f>
        <v>216613777575</v>
      </c>
      <c r="D1486" s="21" t="str">
        <f>IFERROR(__xludf.DUMMYFUNCTION("""COMPUTED_VALUE"""),"DIGITEC TECNOLOGIA DIGITAL E REPRES")</f>
        <v>DIGITEC TECNOLOGIA DIGITAL E REPRES</v>
      </c>
      <c r="E1486" s="21">
        <f>IFERROR(__xludf.DUMMYFUNCTION("""COMPUTED_VALUE"""),145359.0)</f>
        <v>145359</v>
      </c>
      <c r="F1486" s="21" t="str">
        <f>IFERROR(__xludf.DUMMYFUNCTION("""COMPUTED_VALUE"""),"INICIALIZADO")</f>
        <v>INICIALIZADO</v>
      </c>
      <c r="G1486" s="23">
        <f>IFERROR(__xludf.DUMMYFUNCTION("""COMPUTED_VALUE"""),45635.535057870366)</f>
        <v>45635.53506</v>
      </c>
      <c r="H1486" s="24" t="str">
        <f>IFERROR(VLOOKUP(B1486,material!A:D,3,0),"")</f>
        <v>TOP MIX</v>
      </c>
    </row>
    <row r="1487" ht="11.25" customHeight="1">
      <c r="A1487" s="21" t="str">
        <f>IFERROR(__xludf.DUMMYFUNCTION("""COMPUTED_VALUE"""),"SMART CARD PRETO NAGRA")</f>
        <v>SMART CARD PRETO NAGRA</v>
      </c>
      <c r="B1487" s="22">
        <f>IFERROR(__xludf.DUMMYFUNCTION("""COMPUTED_VALUE"""),4.1001234E7)</f>
        <v>41001234</v>
      </c>
      <c r="C1487" s="21" t="str">
        <f>IFERROR(__xludf.DUMMYFUNCTION("""COMPUTED_VALUE"""),"226045769510")</f>
        <v>226045769510</v>
      </c>
      <c r="D1487" s="21" t="str">
        <f>IFERROR(__xludf.DUMMYFUNCTION("""COMPUTED_VALUE"""),"DIGITEC TECNOLOGIA DIGITAL E REPRES")</f>
        <v>DIGITEC TECNOLOGIA DIGITAL E REPRES</v>
      </c>
      <c r="E1487" s="21">
        <f>IFERROR(__xludf.DUMMYFUNCTION("""COMPUTED_VALUE"""),145359.0)</f>
        <v>145359</v>
      </c>
      <c r="F1487" s="21" t="str">
        <f>IFERROR(__xludf.DUMMYFUNCTION("""COMPUTED_VALUE"""),"INICIALIZADO")</f>
        <v>INICIALIZADO</v>
      </c>
      <c r="G1487" s="23">
        <f>IFERROR(__xludf.DUMMYFUNCTION("""COMPUTED_VALUE"""),45000.35914351852)</f>
        <v>45000.35914</v>
      </c>
      <c r="H1487" s="24" t="str">
        <f>IFERROR(VLOOKUP(B1487,material!A:D,3,0),"")</f>
        <v>CARD</v>
      </c>
    </row>
    <row r="1488" ht="11.25" customHeight="1">
      <c r="A1488" s="21" t="str">
        <f>IFERROR(__xludf.DUMMYFUNCTION("""COMPUTED_VALUE"""),"DECODER DIGITAL HD HNB100 2T")</f>
        <v>DECODER DIGITAL HD HNB100 2T</v>
      </c>
      <c r="B1488" s="22">
        <f>IFERROR(__xludf.DUMMYFUNCTION("""COMPUTED_VALUE"""),4.1001276E7)</f>
        <v>41001276</v>
      </c>
      <c r="C1488" s="21" t="str">
        <f>IFERROR(__xludf.DUMMYFUNCTION("""COMPUTED_VALUE"""),"216552583961")</f>
        <v>216552583961</v>
      </c>
      <c r="D1488" s="21" t="str">
        <f>IFERROR(__xludf.DUMMYFUNCTION("""COMPUTED_VALUE"""),"DIGITEC TECNOLOGIA DIGITAL E REPRES")</f>
        <v>DIGITEC TECNOLOGIA DIGITAL E REPRES</v>
      </c>
      <c r="E1488" s="21">
        <f>IFERROR(__xludf.DUMMYFUNCTION("""COMPUTED_VALUE"""),145359.0)</f>
        <v>145359</v>
      </c>
      <c r="F1488" s="21" t="str">
        <f>IFERROR(__xludf.DUMMYFUNCTION("""COMPUTED_VALUE"""),"INICIALIZADO")</f>
        <v>INICIALIZADO</v>
      </c>
      <c r="G1488" s="23">
        <f>IFERROR(__xludf.DUMMYFUNCTION("""COMPUTED_VALUE"""),45642.524143518516)</f>
        <v>45642.52414</v>
      </c>
      <c r="H1488" s="24" t="str">
        <f>IFERROR(VLOOKUP(B1488,material!A:D,3,0),"")</f>
        <v>TOP MIX</v>
      </c>
    </row>
    <row r="1489" ht="11.25" customHeight="1">
      <c r="A1489" s="21" t="str">
        <f>IFERROR(__xludf.DUMMYFUNCTION("""COMPUTED_VALUE"""),"DECODER DIGITAL HD HNB100 2T")</f>
        <v>DECODER DIGITAL HD HNB100 2T</v>
      </c>
      <c r="B1489" s="22">
        <f>IFERROR(__xludf.DUMMYFUNCTION("""COMPUTED_VALUE"""),4.1001276E7)</f>
        <v>41001276</v>
      </c>
      <c r="C1489" s="21" t="str">
        <f>IFERROR(__xludf.DUMMYFUNCTION("""COMPUTED_VALUE"""),"216859322640")</f>
        <v>216859322640</v>
      </c>
      <c r="D1489" s="21" t="str">
        <f>IFERROR(__xludf.DUMMYFUNCTION("""COMPUTED_VALUE"""),"DIGITEC TECNOLOGIA DIGITAL E REPRES")</f>
        <v>DIGITEC TECNOLOGIA DIGITAL E REPRES</v>
      </c>
      <c r="E1489" s="21">
        <f>IFERROR(__xludf.DUMMYFUNCTION("""COMPUTED_VALUE"""),145359.0)</f>
        <v>145359</v>
      </c>
      <c r="F1489" s="21" t="str">
        <f>IFERROR(__xludf.DUMMYFUNCTION("""COMPUTED_VALUE"""),"INICIALIZADO")</f>
        <v>INICIALIZADO</v>
      </c>
      <c r="G1489" s="23">
        <f>IFERROR(__xludf.DUMMYFUNCTION("""COMPUTED_VALUE"""),45642.52413194445)</f>
        <v>45642.52413</v>
      </c>
      <c r="H1489" s="24" t="str">
        <f>IFERROR(VLOOKUP(B1489,material!A:D,3,0),"")</f>
        <v>TOP MIX</v>
      </c>
    </row>
    <row r="1490" ht="11.25" customHeight="1">
      <c r="A1490" s="21" t="str">
        <f>IFERROR(__xludf.DUMMYFUNCTION("""COMPUTED_VALUE"""),"DECODER DIGITAL HD HNB100 2T")</f>
        <v>DECODER DIGITAL HD HNB100 2T</v>
      </c>
      <c r="B1490" s="22">
        <f>IFERROR(__xludf.DUMMYFUNCTION("""COMPUTED_VALUE"""),4.1001276E7)</f>
        <v>41001276</v>
      </c>
      <c r="C1490" s="21" t="str">
        <f>IFERROR(__xludf.DUMMYFUNCTION("""COMPUTED_VALUE"""),"216867361124")</f>
        <v>216867361124</v>
      </c>
      <c r="D1490" s="21" t="str">
        <f>IFERROR(__xludf.DUMMYFUNCTION("""COMPUTED_VALUE"""),"DIGITEC TECNOLOGIA DIGITAL E REPRES")</f>
        <v>DIGITEC TECNOLOGIA DIGITAL E REPRES</v>
      </c>
      <c r="E1490" s="21">
        <f>IFERROR(__xludf.DUMMYFUNCTION("""COMPUTED_VALUE"""),145359.0)</f>
        <v>145359</v>
      </c>
      <c r="F1490" s="21" t="str">
        <f>IFERROR(__xludf.DUMMYFUNCTION("""COMPUTED_VALUE"""),"INICIALIZADO")</f>
        <v>INICIALIZADO</v>
      </c>
      <c r="G1490" s="23">
        <f>IFERROR(__xludf.DUMMYFUNCTION("""COMPUTED_VALUE"""),45635.53502314815)</f>
        <v>45635.53502</v>
      </c>
      <c r="H1490" s="24" t="str">
        <f>IFERROR(VLOOKUP(B1490,material!A:D,3,0),"")</f>
        <v>TOP MIX</v>
      </c>
    </row>
    <row r="1491" ht="11.25" customHeight="1">
      <c r="A1491" s="21" t="str">
        <f>IFERROR(__xludf.DUMMYFUNCTION("""COMPUTED_VALUE"""),"SMART CARD LARANJA")</f>
        <v>SMART CARD LARANJA</v>
      </c>
      <c r="B1491" s="22">
        <f>IFERROR(__xludf.DUMMYFUNCTION("""COMPUTED_VALUE"""),4.1001186E7)</f>
        <v>41001186</v>
      </c>
      <c r="C1491" s="21" t="str">
        <f>IFERROR(__xludf.DUMMYFUNCTION("""COMPUTED_VALUE"""),"215634105669")</f>
        <v>215634105669</v>
      </c>
      <c r="D1491" s="21" t="str">
        <f>IFERROR(__xludf.DUMMYFUNCTION("""COMPUTED_VALUE"""),"DIGITEC TECNOLOGIA DIGITAL E REPRES")</f>
        <v>DIGITEC TECNOLOGIA DIGITAL E REPRES</v>
      </c>
      <c r="E1491" s="21">
        <f>IFERROR(__xludf.DUMMYFUNCTION("""COMPUTED_VALUE"""),145359.0)</f>
        <v>145359</v>
      </c>
      <c r="F1491" s="21" t="str">
        <f>IFERROR(__xludf.DUMMYFUNCTION("""COMPUTED_VALUE"""),"SUCATA")</f>
        <v>SUCATA</v>
      </c>
      <c r="G1491" s="23">
        <f>IFERROR(__xludf.DUMMYFUNCTION("""COMPUTED_VALUE"""),45075.58684027778)</f>
        <v>45075.58684</v>
      </c>
      <c r="H1491" s="24" t="str">
        <f>IFERROR(VLOOKUP(B1491,material!A:D,3,0),"")</f>
        <v>CARD</v>
      </c>
    </row>
    <row r="1492" ht="11.25" customHeight="1">
      <c r="A1492" s="21" t="str">
        <f>IFERROR(__xludf.DUMMYFUNCTION("""COMPUTED_VALUE"""),"SMART CARD PRETO NAGRA")</f>
        <v>SMART CARD PRETO NAGRA</v>
      </c>
      <c r="B1492" s="22">
        <f>IFERROR(__xludf.DUMMYFUNCTION("""COMPUTED_VALUE"""),4.1001234E7)</f>
        <v>41001234</v>
      </c>
      <c r="C1492" s="21" t="str">
        <f>IFERROR(__xludf.DUMMYFUNCTION("""COMPUTED_VALUE"""),"226327156466")</f>
        <v>226327156466</v>
      </c>
      <c r="D1492" s="21" t="str">
        <f>IFERROR(__xludf.DUMMYFUNCTION("""COMPUTED_VALUE"""),"DIGITEC TECNOLOGIA DIGITAL E REPRES")</f>
        <v>DIGITEC TECNOLOGIA DIGITAL E REPRES</v>
      </c>
      <c r="E1492" s="21">
        <f>IFERROR(__xludf.DUMMYFUNCTION("""COMPUTED_VALUE"""),145359.0)</f>
        <v>145359</v>
      </c>
      <c r="F1492" s="21" t="str">
        <f>IFERROR(__xludf.DUMMYFUNCTION("""COMPUTED_VALUE"""),"INICIALIZADO")</f>
        <v>INICIALIZADO</v>
      </c>
      <c r="G1492" s="23">
        <f>IFERROR(__xludf.DUMMYFUNCTION("""COMPUTED_VALUE"""),45635.53497685185)</f>
        <v>45635.53498</v>
      </c>
      <c r="H1492" s="24" t="str">
        <f>IFERROR(VLOOKUP(B1492,material!A:D,3,0),"")</f>
        <v>CARD</v>
      </c>
    </row>
    <row r="1493" ht="11.25" customHeight="1">
      <c r="A1493" s="21" t="str">
        <f>IFERROR(__xludf.DUMMYFUNCTION("""COMPUTED_VALUE"""),"SMART CARD PRETO NAGRA")</f>
        <v>SMART CARD PRETO NAGRA</v>
      </c>
      <c r="B1493" s="22">
        <f>IFERROR(__xludf.DUMMYFUNCTION("""COMPUTED_VALUE"""),4.1001234E7)</f>
        <v>41001234</v>
      </c>
      <c r="C1493" s="21" t="str">
        <f>IFERROR(__xludf.DUMMYFUNCTION("""COMPUTED_VALUE"""),"246103793950")</f>
        <v>246103793950</v>
      </c>
      <c r="D1493" s="21" t="str">
        <f>IFERROR(__xludf.DUMMYFUNCTION("""COMPUTED_VALUE"""),"DIGITEC TECNOLOGIA DIGITAL E REPRES")</f>
        <v>DIGITEC TECNOLOGIA DIGITAL E REPRES</v>
      </c>
      <c r="E1493" s="21">
        <f>IFERROR(__xludf.DUMMYFUNCTION("""COMPUTED_VALUE"""),145359.0)</f>
        <v>145359</v>
      </c>
      <c r="F1493" s="21" t="str">
        <f>IFERROR(__xludf.DUMMYFUNCTION("""COMPUTED_VALUE"""),"INICIALIZADO")</f>
        <v>INICIALIZADO</v>
      </c>
      <c r="G1493" s="23">
        <f>IFERROR(__xludf.DUMMYFUNCTION("""COMPUTED_VALUE"""),45635.534907407404)</f>
        <v>45635.53491</v>
      </c>
      <c r="H1493" s="24" t="str">
        <f>IFERROR(VLOOKUP(B1493,material!A:D,3,0),"")</f>
        <v>CARD</v>
      </c>
    </row>
    <row r="1494" ht="11.25" customHeight="1">
      <c r="A1494" s="21" t="str">
        <f>IFERROR(__xludf.DUMMYFUNCTION("""COMPUTED_VALUE"""),"SMART CARD PRETO NAGRA")</f>
        <v>SMART CARD PRETO NAGRA</v>
      </c>
      <c r="B1494" s="22">
        <f>IFERROR(__xludf.DUMMYFUNCTION("""COMPUTED_VALUE"""),4.1001234E7)</f>
        <v>41001234</v>
      </c>
      <c r="C1494" s="21" t="str">
        <f>IFERROR(__xludf.DUMMYFUNCTION("""COMPUTED_VALUE"""),"226115950322")</f>
        <v>226115950322</v>
      </c>
      <c r="D1494" s="21" t="str">
        <f>IFERROR(__xludf.DUMMYFUNCTION("""COMPUTED_VALUE"""),"DIGITEC TECNOLOGIA DIGITAL E REPRES")</f>
        <v>DIGITEC TECNOLOGIA DIGITAL E REPRES</v>
      </c>
      <c r="E1494" s="21">
        <f>IFERROR(__xludf.DUMMYFUNCTION("""COMPUTED_VALUE"""),145359.0)</f>
        <v>145359</v>
      </c>
      <c r="F1494" s="21" t="str">
        <f>IFERROR(__xludf.DUMMYFUNCTION("""COMPUTED_VALUE"""),"INICIALIZADO")</f>
        <v>INICIALIZADO</v>
      </c>
      <c r="G1494" s="23">
        <f>IFERROR(__xludf.DUMMYFUNCTION("""COMPUTED_VALUE"""),45635.534953703704)</f>
        <v>45635.53495</v>
      </c>
      <c r="H1494" s="24" t="str">
        <f>IFERROR(VLOOKUP(B1494,material!A:D,3,0),"")</f>
        <v>CARD</v>
      </c>
    </row>
    <row r="1495" ht="11.25" customHeight="1">
      <c r="A1495" s="21" t="str">
        <f>IFERROR(__xludf.DUMMYFUNCTION("""COMPUTED_VALUE"""),"SMART CARD PRETO NAGRA")</f>
        <v>SMART CARD PRETO NAGRA</v>
      </c>
      <c r="B1495" s="22">
        <f>IFERROR(__xludf.DUMMYFUNCTION("""COMPUTED_VALUE"""),4.1001234E7)</f>
        <v>41001234</v>
      </c>
      <c r="C1495" s="21" t="str">
        <f>IFERROR(__xludf.DUMMYFUNCTION("""COMPUTED_VALUE"""),"246014213636")</f>
        <v>246014213636</v>
      </c>
      <c r="D1495" s="21" t="str">
        <f>IFERROR(__xludf.DUMMYFUNCTION("""COMPUTED_VALUE"""),"DIGITEC TECNOLOGIA DIGITAL E REPRES")</f>
        <v>DIGITEC TECNOLOGIA DIGITAL E REPRES</v>
      </c>
      <c r="E1495" s="21">
        <f>IFERROR(__xludf.DUMMYFUNCTION("""COMPUTED_VALUE"""),145359.0)</f>
        <v>145359</v>
      </c>
      <c r="F1495" s="21" t="str">
        <f>IFERROR(__xludf.DUMMYFUNCTION("""COMPUTED_VALUE"""),"INICIALIZADO")</f>
        <v>INICIALIZADO</v>
      </c>
      <c r="G1495" s="23">
        <f>IFERROR(__xludf.DUMMYFUNCTION("""COMPUTED_VALUE"""),45642.52410879629)</f>
        <v>45642.52411</v>
      </c>
      <c r="H1495" s="24" t="str">
        <f>IFERROR(VLOOKUP(B1495,material!A:D,3,0),"")</f>
        <v>CARD</v>
      </c>
    </row>
    <row r="1496" ht="11.25" customHeight="1">
      <c r="A1496" s="21" t="str">
        <f>IFERROR(__xludf.DUMMYFUNCTION("""COMPUTED_VALUE"""),"SMART CARD PRETO NAGRA")</f>
        <v>SMART CARD PRETO NAGRA</v>
      </c>
      <c r="B1496" s="22">
        <f>IFERROR(__xludf.DUMMYFUNCTION("""COMPUTED_VALUE"""),4.1001234E7)</f>
        <v>41001234</v>
      </c>
      <c r="C1496" s="21" t="str">
        <f>IFERROR(__xludf.DUMMYFUNCTION("""COMPUTED_VALUE"""),"246168283050")</f>
        <v>246168283050</v>
      </c>
      <c r="D1496" s="21" t="str">
        <f>IFERROR(__xludf.DUMMYFUNCTION("""COMPUTED_VALUE"""),"DIGITEC TECNOLOGIA DIGITAL E REPRES")</f>
        <v>DIGITEC TECNOLOGIA DIGITAL E REPRES</v>
      </c>
      <c r="E1496" s="21">
        <f>IFERROR(__xludf.DUMMYFUNCTION("""COMPUTED_VALUE"""),145359.0)</f>
        <v>145359</v>
      </c>
      <c r="F1496" s="21" t="str">
        <f>IFERROR(__xludf.DUMMYFUNCTION("""COMPUTED_VALUE"""),"INICIALIZADO")</f>
        <v>INICIALIZADO</v>
      </c>
      <c r="G1496" s="23">
        <f>IFERROR(__xludf.DUMMYFUNCTION("""COMPUTED_VALUE"""),45642.524097222224)</f>
        <v>45642.5241</v>
      </c>
      <c r="H1496" s="24" t="str">
        <f>IFERROR(VLOOKUP(B1496,material!A:D,3,0),"")</f>
        <v>CARD</v>
      </c>
    </row>
    <row r="1497" ht="11.25" customHeight="1">
      <c r="A1497" s="21" t="str">
        <f>IFERROR(__xludf.DUMMYFUNCTION("""COMPUTED_VALUE"""),"HUMAX HGB10R-02")</f>
        <v>HUMAX HGB10R-02</v>
      </c>
      <c r="B1497" s="22">
        <f>IFERROR(__xludf.DUMMYFUNCTION("""COMPUTED_VALUE"""),4.1001292E7)</f>
        <v>41001292</v>
      </c>
      <c r="C1497" s="21" t="str">
        <f>IFERROR(__xludf.DUMMYFUNCTION("""COMPUTED_VALUE"""),"E820E20C00DF")</f>
        <v>E820E20C00DF</v>
      </c>
      <c r="D1497" s="21" t="str">
        <f>IFERROR(__xludf.DUMMYFUNCTION("""COMPUTED_VALUE"""),"DIGITEC TECNOLOGIA DIGITAL E REPRES")</f>
        <v>DIGITEC TECNOLOGIA DIGITAL E REPRES</v>
      </c>
      <c r="E1497" s="21">
        <f>IFERROR(__xludf.DUMMYFUNCTION("""COMPUTED_VALUE"""),145359.0)</f>
        <v>145359</v>
      </c>
      <c r="F1497" s="21" t="str">
        <f>IFERROR(__xludf.DUMMYFUNCTION("""COMPUTED_VALUE"""),"TRANSITO REVERSA")</f>
        <v>TRANSITO REVERSA</v>
      </c>
      <c r="G1497" s="23">
        <f>IFERROR(__xludf.DUMMYFUNCTION("""COMPUTED_VALUE"""),45638.52059027778)</f>
        <v>45638.52059</v>
      </c>
      <c r="H1497" s="24" t="str">
        <f>IFERROR(VLOOKUP(B1497,material!A:D,3,0),"")</f>
        <v>DUAL</v>
      </c>
    </row>
    <row r="1498" ht="11.25" customHeight="1">
      <c r="A1498" s="21" t="str">
        <f>IFERROR(__xludf.DUMMYFUNCTION("""COMPUTED_VALUE"""),"SMART CARD PRETO NAGRA")</f>
        <v>SMART CARD PRETO NAGRA</v>
      </c>
      <c r="B1498" s="22">
        <f>IFERROR(__xludf.DUMMYFUNCTION("""COMPUTED_VALUE"""),4.1001234E7)</f>
        <v>41001234</v>
      </c>
      <c r="C1498" s="21" t="str">
        <f>IFERROR(__xludf.DUMMYFUNCTION("""COMPUTED_VALUE"""),"226033299202")</f>
        <v>226033299202</v>
      </c>
      <c r="D1498" s="21" t="str">
        <f>IFERROR(__xludf.DUMMYFUNCTION("""COMPUTED_VALUE"""),"DIGITEC TECNOLOGIA DIGITAL E REPRES")</f>
        <v>DIGITEC TECNOLOGIA DIGITAL E REPRES</v>
      </c>
      <c r="E1498" s="21">
        <f>IFERROR(__xludf.DUMMYFUNCTION("""COMPUTED_VALUE"""),145359.0)</f>
        <v>145359</v>
      </c>
      <c r="F1498" s="21" t="str">
        <f>IFERROR(__xludf.DUMMYFUNCTION("""COMPUTED_VALUE"""),"INICIALIZADO")</f>
        <v>INICIALIZADO</v>
      </c>
      <c r="G1498" s="23">
        <f>IFERROR(__xludf.DUMMYFUNCTION("""COMPUTED_VALUE"""),45000.35914351852)</f>
        <v>45000.35914</v>
      </c>
      <c r="H1498" s="24" t="str">
        <f>IFERROR(VLOOKUP(B1498,material!A:D,3,0),"")</f>
        <v>CARD</v>
      </c>
    </row>
    <row r="1499" ht="11.25" customHeight="1">
      <c r="A1499" s="21" t="str">
        <f>IFERROR(__xludf.DUMMYFUNCTION("""COMPUTED_VALUE"""),"SMART CARD PRETO NAGRA")</f>
        <v>SMART CARD PRETO NAGRA</v>
      </c>
      <c r="B1499" s="22">
        <f>IFERROR(__xludf.DUMMYFUNCTION("""COMPUTED_VALUE"""),4.1001234E7)</f>
        <v>41001234</v>
      </c>
      <c r="C1499" s="21" t="str">
        <f>IFERROR(__xludf.DUMMYFUNCTION("""COMPUTED_VALUE"""),"246183305862")</f>
        <v>246183305862</v>
      </c>
      <c r="D1499" s="21" t="str">
        <f>IFERROR(__xludf.DUMMYFUNCTION("""COMPUTED_VALUE"""),"DIGITEC TECNOLOGIA DIGITAL E REPRES")</f>
        <v>DIGITEC TECNOLOGIA DIGITAL E REPRES</v>
      </c>
      <c r="E1499" s="21">
        <f>IFERROR(__xludf.DUMMYFUNCTION("""COMPUTED_VALUE"""),145359.0)</f>
        <v>145359</v>
      </c>
      <c r="F1499" s="21" t="str">
        <f>IFERROR(__xludf.DUMMYFUNCTION("""COMPUTED_VALUE"""),"INICIALIZADO")</f>
        <v>INICIALIZADO</v>
      </c>
      <c r="G1499" s="23">
        <f>IFERROR(__xludf.DUMMYFUNCTION("""COMPUTED_VALUE"""),45635.534895833334)</f>
        <v>45635.5349</v>
      </c>
      <c r="H1499" s="24" t="str">
        <f>IFERROR(VLOOKUP(B1499,material!A:D,3,0),"")</f>
        <v>CARD</v>
      </c>
    </row>
    <row r="1500" ht="11.25" customHeight="1">
      <c r="A1500" s="21" t="str">
        <f>IFERROR(__xludf.DUMMYFUNCTION("""COMPUTED_VALUE"""),"TECHNICOLOR TC7337NET")</f>
        <v>TECHNICOLOR TC7337NET</v>
      </c>
      <c r="B1500" s="22">
        <f>IFERROR(__xludf.DUMMYFUNCTION("""COMPUTED_VALUE"""),4.1001294E7)</f>
        <v>41001294</v>
      </c>
      <c r="C1500" s="21" t="str">
        <f>IFERROR(__xludf.DUMMYFUNCTION("""COMPUTED_VALUE"""),"54A65C8922BB")</f>
        <v>54A65C8922BB</v>
      </c>
      <c r="D1500" s="21" t="str">
        <f>IFERROR(__xludf.DUMMYFUNCTION("""COMPUTED_VALUE"""),"DIGITEC TECNOLOGIA DIGITAL E REPRES")</f>
        <v>DIGITEC TECNOLOGIA DIGITAL E REPRES</v>
      </c>
      <c r="E1500" s="21">
        <f>IFERROR(__xludf.DUMMYFUNCTION("""COMPUTED_VALUE"""),145359.0)</f>
        <v>145359</v>
      </c>
      <c r="F1500" s="21" t="str">
        <f>IFERROR(__xludf.DUMMYFUNCTION("""COMPUTED_VALUE"""),"TRANSITO REVERSA")</f>
        <v>TRANSITO REVERSA</v>
      </c>
      <c r="G1500" s="23">
        <f>IFERROR(__xludf.DUMMYFUNCTION("""COMPUTED_VALUE"""),45626.298692129625)</f>
        <v>45626.29869</v>
      </c>
      <c r="H1500" s="24" t="str">
        <f>IFERROR(VLOOKUP(B1500,material!A:D,3,0),"")</f>
        <v>DUAL</v>
      </c>
    </row>
    <row r="1501" ht="11.25" customHeight="1">
      <c r="A1501" s="21" t="str">
        <f>IFERROR(__xludf.DUMMYFUNCTION("""COMPUTED_VALUE"""),"SMART CARD PRETO NAGRA")</f>
        <v>SMART CARD PRETO NAGRA</v>
      </c>
      <c r="B1501" s="22">
        <f>IFERROR(__xludf.DUMMYFUNCTION("""COMPUTED_VALUE"""),4.1001234E7)</f>
        <v>41001234</v>
      </c>
      <c r="C1501" s="21" t="str">
        <f>IFERROR(__xludf.DUMMYFUNCTION("""COMPUTED_VALUE"""),"226292199799")</f>
        <v>226292199799</v>
      </c>
      <c r="D1501" s="21" t="str">
        <f>IFERROR(__xludf.DUMMYFUNCTION("""COMPUTED_VALUE"""),"DIGITEC TECNOLOGIA DIGITAL E REPRES")</f>
        <v>DIGITEC TECNOLOGIA DIGITAL E REPRES</v>
      </c>
      <c r="E1501" s="21">
        <f>IFERROR(__xludf.DUMMYFUNCTION("""COMPUTED_VALUE"""),145359.0)</f>
        <v>145359</v>
      </c>
      <c r="F1501" s="21" t="str">
        <f>IFERROR(__xludf.DUMMYFUNCTION("""COMPUTED_VALUE"""),"TRANSITO REVERSA")</f>
        <v>TRANSITO REVERSA</v>
      </c>
      <c r="G1501" s="23">
        <f>IFERROR(__xludf.DUMMYFUNCTION("""COMPUTED_VALUE"""),45638.520636574074)</f>
        <v>45638.52064</v>
      </c>
      <c r="H1501" s="24" t="str">
        <f>IFERROR(VLOOKUP(B1501,material!A:D,3,0),"")</f>
        <v>CARD</v>
      </c>
    </row>
    <row r="1502" ht="11.25" customHeight="1">
      <c r="A1502" s="21" t="str">
        <f>IFERROR(__xludf.DUMMYFUNCTION("""COMPUTED_VALUE"""),"DECODER DIGITAL HD DXC5000 2T")</f>
        <v>DECODER DIGITAL HD DXC5000 2T</v>
      </c>
      <c r="B1502" s="22">
        <f>IFERROR(__xludf.DUMMYFUNCTION("""COMPUTED_VALUE"""),4.1001277E7)</f>
        <v>41001277</v>
      </c>
      <c r="C1502" s="21" t="str">
        <f>IFERROR(__xludf.DUMMYFUNCTION("""COMPUTED_VALUE"""),"216494120018")</f>
        <v>216494120018</v>
      </c>
      <c r="D1502" s="21" t="str">
        <f>IFERROR(__xludf.DUMMYFUNCTION("""COMPUTED_VALUE"""),"DIGITEC TECNOLOGIA DIGITAL E REPRES")</f>
        <v>DIGITEC TECNOLOGIA DIGITAL E REPRES</v>
      </c>
      <c r="E1502" s="21">
        <f>IFERROR(__xludf.DUMMYFUNCTION("""COMPUTED_VALUE"""),145359.0)</f>
        <v>145359</v>
      </c>
      <c r="F1502" s="21" t="str">
        <f>IFERROR(__xludf.DUMMYFUNCTION("""COMPUTED_VALUE"""),"SUSPEITO")</f>
        <v>SUSPEITO</v>
      </c>
      <c r="G1502" s="23">
        <f>IFERROR(__xludf.DUMMYFUNCTION("""COMPUTED_VALUE"""),45643.3915625)</f>
        <v>45643.39156</v>
      </c>
      <c r="H1502" s="24" t="str">
        <f>IFERROR(VLOOKUP(B1502,material!A:D,3,0),"")</f>
        <v>TOP MIX</v>
      </c>
    </row>
    <row r="1503" ht="11.25" customHeight="1">
      <c r="A1503" s="21" t="str">
        <f>IFERROR(__xludf.DUMMYFUNCTION("""COMPUTED_VALUE"""),"SMART CARD PRETO NAGRA")</f>
        <v>SMART CARD PRETO NAGRA</v>
      </c>
      <c r="B1503" s="22">
        <f>IFERROR(__xludf.DUMMYFUNCTION("""COMPUTED_VALUE"""),4.1001234E7)</f>
        <v>41001234</v>
      </c>
      <c r="C1503" s="21" t="str">
        <f>IFERROR(__xludf.DUMMYFUNCTION("""COMPUTED_VALUE"""),"226384254351")</f>
        <v>226384254351</v>
      </c>
      <c r="D1503" s="21" t="str">
        <f>IFERROR(__xludf.DUMMYFUNCTION("""COMPUTED_VALUE"""),"DIGITEC TECNOLOGIA DIGITAL E REPRES")</f>
        <v>DIGITEC TECNOLOGIA DIGITAL E REPRES</v>
      </c>
      <c r="E1503" s="21">
        <f>IFERROR(__xludf.DUMMYFUNCTION("""COMPUTED_VALUE"""),145359.0)</f>
        <v>145359</v>
      </c>
      <c r="F1503" s="21" t="str">
        <f>IFERROR(__xludf.DUMMYFUNCTION("""COMPUTED_VALUE"""),"INICIALIZADO")</f>
        <v>INICIALIZADO</v>
      </c>
      <c r="G1503" s="23">
        <f>IFERROR(__xludf.DUMMYFUNCTION("""COMPUTED_VALUE"""),45635.53496527778)</f>
        <v>45635.53497</v>
      </c>
      <c r="H1503" s="24" t="str">
        <f>IFERROR(VLOOKUP(B1503,material!A:D,3,0),"")</f>
        <v>CARD</v>
      </c>
    </row>
    <row r="1504" ht="11.25" customHeight="1">
      <c r="A1504" s="21" t="str">
        <f>IFERROR(__xludf.DUMMYFUNCTION("""COMPUTED_VALUE"""),"DECODER DIGITAL HD HNB100 2T")</f>
        <v>DECODER DIGITAL HD HNB100 2T</v>
      </c>
      <c r="B1504" s="22">
        <f>IFERROR(__xludf.DUMMYFUNCTION("""COMPUTED_VALUE"""),4.1001276E7)</f>
        <v>41001276</v>
      </c>
      <c r="C1504" s="21" t="str">
        <f>IFERROR(__xludf.DUMMYFUNCTION("""COMPUTED_VALUE"""),"216548001011")</f>
        <v>216548001011</v>
      </c>
      <c r="D1504" s="21" t="str">
        <f>IFERROR(__xludf.DUMMYFUNCTION("""COMPUTED_VALUE"""),"DIGITEC TECNOLOGIA DIGITAL E REPRES")</f>
        <v>DIGITEC TECNOLOGIA DIGITAL E REPRES</v>
      </c>
      <c r="E1504" s="21">
        <f>IFERROR(__xludf.DUMMYFUNCTION("""COMPUTED_VALUE"""),145359.0)</f>
        <v>145359</v>
      </c>
      <c r="F1504" s="21" t="str">
        <f>IFERROR(__xludf.DUMMYFUNCTION("""COMPUTED_VALUE"""),"INICIALIZADO")</f>
        <v>INICIALIZADO</v>
      </c>
      <c r="G1504" s="23">
        <f>IFERROR(__xludf.DUMMYFUNCTION("""COMPUTED_VALUE"""),45642.524143518516)</f>
        <v>45642.52414</v>
      </c>
      <c r="H1504" s="24" t="str">
        <f>IFERROR(VLOOKUP(B1504,material!A:D,3,0),"")</f>
        <v>TOP MIX</v>
      </c>
    </row>
    <row r="1505" ht="11.25" customHeight="1">
      <c r="A1505" s="21" t="str">
        <f>IFERROR(__xludf.DUMMYFUNCTION("""COMPUTED_VALUE"""),"SMART CARD PRETO NAGRA")</f>
        <v>SMART CARD PRETO NAGRA</v>
      </c>
      <c r="B1505" s="22">
        <f>IFERROR(__xludf.DUMMYFUNCTION("""COMPUTED_VALUE"""),4.1001234E7)</f>
        <v>41001234</v>
      </c>
      <c r="C1505" s="21" t="str">
        <f>IFERROR(__xludf.DUMMYFUNCTION("""COMPUTED_VALUE"""),"226410511729")</f>
        <v>226410511729</v>
      </c>
      <c r="D1505" s="21" t="str">
        <f>IFERROR(__xludf.DUMMYFUNCTION("""COMPUTED_VALUE"""),"DIGITEC TECNOLOGIA DIGITAL E REPRES")</f>
        <v>DIGITEC TECNOLOGIA DIGITAL E REPRES</v>
      </c>
      <c r="E1505" s="21">
        <f>IFERROR(__xludf.DUMMYFUNCTION("""COMPUTED_VALUE"""),145359.0)</f>
        <v>145359</v>
      </c>
      <c r="F1505" s="21" t="str">
        <f>IFERROR(__xludf.DUMMYFUNCTION("""COMPUTED_VALUE"""),"INICIALIZADO")</f>
        <v>INICIALIZADO</v>
      </c>
      <c r="G1505" s="23">
        <f>IFERROR(__xludf.DUMMYFUNCTION("""COMPUTED_VALUE"""),45635.53496527778)</f>
        <v>45635.53497</v>
      </c>
      <c r="H1505" s="24" t="str">
        <f>IFERROR(VLOOKUP(B1505,material!A:D,3,0),"")</f>
        <v>CARD</v>
      </c>
    </row>
    <row r="1506" ht="11.25" customHeight="1">
      <c r="A1506" s="21" t="str">
        <f>IFERROR(__xludf.DUMMYFUNCTION("""COMPUTED_VALUE"""),"DECODER DIGITAL HD DXC5000 2T")</f>
        <v>DECODER DIGITAL HD DXC5000 2T</v>
      </c>
      <c r="B1506" s="22">
        <f>IFERROR(__xludf.DUMMYFUNCTION("""COMPUTED_VALUE"""),4.1001277E7)</f>
        <v>41001277</v>
      </c>
      <c r="C1506" s="21" t="str">
        <f>IFERROR(__xludf.DUMMYFUNCTION("""COMPUTED_VALUE"""),"216476943638")</f>
        <v>216476943638</v>
      </c>
      <c r="D1506" s="21" t="str">
        <f>IFERROR(__xludf.DUMMYFUNCTION("""COMPUTED_VALUE"""),"DIGITEC TECNOLOGIA DIGITAL E REPRES")</f>
        <v>DIGITEC TECNOLOGIA DIGITAL E REPRES</v>
      </c>
      <c r="E1506" s="21">
        <f>IFERROR(__xludf.DUMMYFUNCTION("""COMPUTED_VALUE"""),145359.0)</f>
        <v>145359</v>
      </c>
      <c r="F1506" s="21" t="str">
        <f>IFERROR(__xludf.DUMMYFUNCTION("""COMPUTED_VALUE"""),"INICIALIZADO")</f>
        <v>INICIALIZADO</v>
      </c>
      <c r="G1506" s="23">
        <f>IFERROR(__xludf.DUMMYFUNCTION("""COMPUTED_VALUE"""),45617.498715277776)</f>
        <v>45617.49872</v>
      </c>
      <c r="H1506" s="24" t="str">
        <f>IFERROR(VLOOKUP(B1506,material!A:D,3,0),"")</f>
        <v>TOP MIX</v>
      </c>
    </row>
    <row r="1507" ht="11.25" customHeight="1">
      <c r="A1507" s="21" t="str">
        <f>IFERROR(__xludf.DUMMYFUNCTION("""COMPUTED_VALUE"""),"DECODER DIGITAL HD HNB100 2T")</f>
        <v>DECODER DIGITAL HD HNB100 2T</v>
      </c>
      <c r="B1507" s="22">
        <f>IFERROR(__xludf.DUMMYFUNCTION("""COMPUTED_VALUE"""),4.1001276E7)</f>
        <v>41001276</v>
      </c>
      <c r="C1507" s="21" t="str">
        <f>IFERROR(__xludf.DUMMYFUNCTION("""COMPUTED_VALUE"""),"216836829917")</f>
        <v>216836829917</v>
      </c>
      <c r="D1507" s="21" t="str">
        <f>IFERROR(__xludf.DUMMYFUNCTION("""COMPUTED_VALUE"""),"DIGITEC TECNOLOGIA DIGITAL E REPRES")</f>
        <v>DIGITEC TECNOLOGIA DIGITAL E REPRES</v>
      </c>
      <c r="E1507" s="21">
        <f>IFERROR(__xludf.DUMMYFUNCTION("""COMPUTED_VALUE"""),145359.0)</f>
        <v>145359</v>
      </c>
      <c r="F1507" s="21" t="str">
        <f>IFERROR(__xludf.DUMMYFUNCTION("""COMPUTED_VALUE"""),"INICIALIZADO")</f>
        <v>INICIALIZADO</v>
      </c>
      <c r="G1507" s="23">
        <f>IFERROR(__xludf.DUMMYFUNCTION("""COMPUTED_VALUE"""),45635.53503472223)</f>
        <v>45635.53503</v>
      </c>
      <c r="H1507" s="24" t="str">
        <f>IFERROR(VLOOKUP(B1507,material!A:D,3,0),"")</f>
        <v>TOP MIX</v>
      </c>
    </row>
    <row r="1508" ht="11.25" customHeight="1">
      <c r="A1508" s="21" t="str">
        <f>IFERROR(__xludf.DUMMYFUNCTION("""COMPUTED_VALUE"""),"DECODER HD DCI738 2T")</f>
        <v>DECODER HD DCI738 2T</v>
      </c>
      <c r="B1508" s="22">
        <f>IFERROR(__xludf.DUMMYFUNCTION("""COMPUTED_VALUE"""),4.1001275E7)</f>
        <v>41001275</v>
      </c>
      <c r="C1508" s="21" t="str">
        <f>IFERROR(__xludf.DUMMYFUNCTION("""COMPUTED_VALUE"""),"216729777078")</f>
        <v>216729777078</v>
      </c>
      <c r="D1508" s="21" t="str">
        <f>IFERROR(__xludf.DUMMYFUNCTION("""COMPUTED_VALUE"""),"DIGITEC TECNOLOGIA DIGITAL E REPRES")</f>
        <v>DIGITEC TECNOLOGIA DIGITAL E REPRES</v>
      </c>
      <c r="E1508" s="21">
        <f>IFERROR(__xludf.DUMMYFUNCTION("""COMPUTED_VALUE"""),145359.0)</f>
        <v>145359</v>
      </c>
      <c r="F1508" s="21" t="str">
        <f>IFERROR(__xludf.DUMMYFUNCTION("""COMPUTED_VALUE"""),"INICIALIZADO")</f>
        <v>INICIALIZADO</v>
      </c>
      <c r="G1508" s="23">
        <f>IFERROR(__xludf.DUMMYFUNCTION("""COMPUTED_VALUE"""),45602.64471064815)</f>
        <v>45602.64471</v>
      </c>
      <c r="H1508" s="24" t="str">
        <f>IFERROR(VLOOKUP(B1508,material!A:D,3,0),"")</f>
        <v>TOP MIX</v>
      </c>
    </row>
    <row r="1509" ht="11.25" customHeight="1">
      <c r="A1509" s="21" t="str">
        <f>IFERROR(__xludf.DUMMYFUNCTION("""COMPUTED_VALUE"""),"DECODER DIGITAL HD HNB100 2T")</f>
        <v>DECODER DIGITAL HD HNB100 2T</v>
      </c>
      <c r="B1509" s="22">
        <f>IFERROR(__xludf.DUMMYFUNCTION("""COMPUTED_VALUE"""),4.1001276E7)</f>
        <v>41001276</v>
      </c>
      <c r="C1509" s="21" t="str">
        <f>IFERROR(__xludf.DUMMYFUNCTION("""COMPUTED_VALUE"""),"216836821028")</f>
        <v>216836821028</v>
      </c>
      <c r="D1509" s="21" t="str">
        <f>IFERROR(__xludf.DUMMYFUNCTION("""COMPUTED_VALUE"""),"DIGITEC TECNOLOGIA DIGITAL E REPRES")</f>
        <v>DIGITEC TECNOLOGIA DIGITAL E REPRES</v>
      </c>
      <c r="E1509" s="21">
        <f>IFERROR(__xludf.DUMMYFUNCTION("""COMPUTED_VALUE"""),145359.0)</f>
        <v>145359</v>
      </c>
      <c r="F1509" s="21" t="str">
        <f>IFERROR(__xludf.DUMMYFUNCTION("""COMPUTED_VALUE"""),"INICIALIZADO")</f>
        <v>INICIALIZADO</v>
      </c>
      <c r="G1509" s="23">
        <f>IFERROR(__xludf.DUMMYFUNCTION("""COMPUTED_VALUE"""),45635.53503472223)</f>
        <v>45635.53503</v>
      </c>
      <c r="H1509" s="24" t="str">
        <f>IFERROR(VLOOKUP(B1509,material!A:D,3,0),"")</f>
        <v>TOP MIX</v>
      </c>
    </row>
    <row r="1510" ht="11.25" customHeight="1">
      <c r="A1510" s="21" t="str">
        <f>IFERROR(__xludf.DUMMYFUNCTION("""COMPUTED_VALUE"""),"DECODER DIGITAL HD HNB100 2T")</f>
        <v>DECODER DIGITAL HD HNB100 2T</v>
      </c>
      <c r="B1510" s="22">
        <f>IFERROR(__xludf.DUMMYFUNCTION("""COMPUTED_VALUE"""),4.1001276E7)</f>
        <v>41001276</v>
      </c>
      <c r="C1510" s="21" t="str">
        <f>IFERROR(__xludf.DUMMYFUNCTION("""COMPUTED_VALUE"""),"216832349300")</f>
        <v>216832349300</v>
      </c>
      <c r="D1510" s="21" t="str">
        <f>IFERROR(__xludf.DUMMYFUNCTION("""COMPUTED_VALUE"""),"DIGITEC TECNOLOGIA DIGITAL E REPRES")</f>
        <v>DIGITEC TECNOLOGIA DIGITAL E REPRES</v>
      </c>
      <c r="E1510" s="21">
        <f>IFERROR(__xludf.DUMMYFUNCTION("""COMPUTED_VALUE"""),145359.0)</f>
        <v>145359</v>
      </c>
      <c r="F1510" s="21" t="str">
        <f>IFERROR(__xludf.DUMMYFUNCTION("""COMPUTED_VALUE"""),"INICIALIZADO")</f>
        <v>INICIALIZADO</v>
      </c>
      <c r="G1510" s="23">
        <f>IFERROR(__xludf.DUMMYFUNCTION("""COMPUTED_VALUE"""),45635.53502314815)</f>
        <v>45635.53502</v>
      </c>
      <c r="H1510" s="24" t="str">
        <f>IFERROR(VLOOKUP(B1510,material!A:D,3,0),"")</f>
        <v>TOP MIX</v>
      </c>
    </row>
    <row r="1511" ht="11.25" customHeight="1">
      <c r="A1511" s="21" t="str">
        <f>IFERROR(__xludf.DUMMYFUNCTION("""COMPUTED_VALUE"""),"DECODER DIGITAL HD HNB100 2T")</f>
        <v>DECODER DIGITAL HD HNB100 2T</v>
      </c>
      <c r="B1511" s="22">
        <f>IFERROR(__xludf.DUMMYFUNCTION("""COMPUTED_VALUE"""),4.1001276E7)</f>
        <v>41001276</v>
      </c>
      <c r="C1511" s="21" t="str">
        <f>IFERROR(__xludf.DUMMYFUNCTION("""COMPUTED_VALUE"""),"216696724762")</f>
        <v>216696724762</v>
      </c>
      <c r="D1511" s="21" t="str">
        <f>IFERROR(__xludf.DUMMYFUNCTION("""COMPUTED_VALUE"""),"DIGITEC TECNOLOGIA DIGITAL E REPRES")</f>
        <v>DIGITEC TECNOLOGIA DIGITAL E REPRES</v>
      </c>
      <c r="E1511" s="21">
        <f>IFERROR(__xludf.DUMMYFUNCTION("""COMPUTED_VALUE"""),145359.0)</f>
        <v>145359</v>
      </c>
      <c r="F1511" s="21" t="str">
        <f>IFERROR(__xludf.DUMMYFUNCTION("""COMPUTED_VALUE"""),"INICIALIZADO")</f>
        <v>INICIALIZADO</v>
      </c>
      <c r="G1511" s="23">
        <f>IFERROR(__xludf.DUMMYFUNCTION("""COMPUTED_VALUE"""),45635.53501157407)</f>
        <v>45635.53501</v>
      </c>
      <c r="H1511" s="24" t="str">
        <f>IFERROR(VLOOKUP(B1511,material!A:D,3,0),"")</f>
        <v>TOP MIX</v>
      </c>
    </row>
    <row r="1512" ht="11.25" customHeight="1">
      <c r="A1512" s="21" t="str">
        <f>IFERROR(__xludf.DUMMYFUNCTION("""COMPUTED_VALUE"""),"DECODER DIGITAL HD HNB100 2T")</f>
        <v>DECODER DIGITAL HD HNB100 2T</v>
      </c>
      <c r="B1512" s="22">
        <f>IFERROR(__xludf.DUMMYFUNCTION("""COMPUTED_VALUE"""),4.1001276E7)</f>
        <v>41001276</v>
      </c>
      <c r="C1512" s="21" t="str">
        <f>IFERROR(__xludf.DUMMYFUNCTION("""COMPUTED_VALUE"""),"216836909699")</f>
        <v>216836909699</v>
      </c>
      <c r="D1512" s="21" t="str">
        <f>IFERROR(__xludf.DUMMYFUNCTION("""COMPUTED_VALUE"""),"DIGITEC TECNOLOGIA DIGITAL E REPRES")</f>
        <v>DIGITEC TECNOLOGIA DIGITAL E REPRES</v>
      </c>
      <c r="E1512" s="21">
        <f>IFERROR(__xludf.DUMMYFUNCTION("""COMPUTED_VALUE"""),145359.0)</f>
        <v>145359</v>
      </c>
      <c r="F1512" s="21" t="str">
        <f>IFERROR(__xludf.DUMMYFUNCTION("""COMPUTED_VALUE"""),"INICIALIZADO")</f>
        <v>INICIALIZADO</v>
      </c>
      <c r="G1512" s="23">
        <f>IFERROR(__xludf.DUMMYFUNCTION("""COMPUTED_VALUE"""),45635.53503472223)</f>
        <v>45635.53503</v>
      </c>
      <c r="H1512" s="24" t="str">
        <f>IFERROR(VLOOKUP(B1512,material!A:D,3,0),"")</f>
        <v>TOP MIX</v>
      </c>
    </row>
    <row r="1513" ht="11.25" customHeight="1">
      <c r="A1513" s="21" t="str">
        <f>IFERROR(__xludf.DUMMYFUNCTION("""COMPUTED_VALUE"""),"DECODER DIGITAL HD HNB100 2T")</f>
        <v>DECODER DIGITAL HD HNB100 2T</v>
      </c>
      <c r="B1513" s="22">
        <f>IFERROR(__xludf.DUMMYFUNCTION("""COMPUTED_VALUE"""),4.1001276E7)</f>
        <v>41001276</v>
      </c>
      <c r="C1513" s="21" t="str">
        <f>IFERROR(__xludf.DUMMYFUNCTION("""COMPUTED_VALUE"""),"216549698493")</f>
        <v>216549698493</v>
      </c>
      <c r="D1513" s="21" t="str">
        <f>IFERROR(__xludf.DUMMYFUNCTION("""COMPUTED_VALUE"""),"DIGITEC TECNOLOGIA DIGITAL E REPRES")</f>
        <v>DIGITEC TECNOLOGIA DIGITAL E REPRES</v>
      </c>
      <c r="E1513" s="21">
        <f>IFERROR(__xludf.DUMMYFUNCTION("""COMPUTED_VALUE"""),145359.0)</f>
        <v>145359</v>
      </c>
      <c r="F1513" s="21" t="str">
        <f>IFERROR(__xludf.DUMMYFUNCTION("""COMPUTED_VALUE"""),"INICIALIZADO")</f>
        <v>INICIALIZADO</v>
      </c>
      <c r="G1513" s="23">
        <f>IFERROR(__xludf.DUMMYFUNCTION("""COMPUTED_VALUE"""),45635.53506944445)</f>
        <v>45635.53507</v>
      </c>
      <c r="H1513" s="24" t="str">
        <f>IFERROR(VLOOKUP(B1513,material!A:D,3,0),"")</f>
        <v>TOP MIX</v>
      </c>
    </row>
    <row r="1514" ht="11.25" customHeight="1">
      <c r="A1514" s="21" t="str">
        <f>IFERROR(__xludf.DUMMYFUNCTION("""COMPUTED_VALUE"""),"DECODER DIGITAL HD HNB100 2T")</f>
        <v>DECODER DIGITAL HD HNB100 2T</v>
      </c>
      <c r="B1514" s="22">
        <f>IFERROR(__xludf.DUMMYFUNCTION("""COMPUTED_VALUE"""),4.1001276E7)</f>
        <v>41001276</v>
      </c>
      <c r="C1514" s="21" t="str">
        <f>IFERROR(__xludf.DUMMYFUNCTION("""COMPUTED_VALUE"""),"216688561115")</f>
        <v>216688561115</v>
      </c>
      <c r="D1514" s="21" t="str">
        <f>IFERROR(__xludf.DUMMYFUNCTION("""COMPUTED_VALUE"""),"DIGITEC TECNOLOGIA DIGITAL E REPRES")</f>
        <v>DIGITEC TECNOLOGIA DIGITAL E REPRES</v>
      </c>
      <c r="E1514" s="21">
        <f>IFERROR(__xludf.DUMMYFUNCTION("""COMPUTED_VALUE"""),145359.0)</f>
        <v>145359</v>
      </c>
      <c r="F1514" s="21" t="str">
        <f>IFERROR(__xludf.DUMMYFUNCTION("""COMPUTED_VALUE"""),"INICIALIZADO")</f>
        <v>INICIALIZADO</v>
      </c>
      <c r="G1514" s="23">
        <f>IFERROR(__xludf.DUMMYFUNCTION("""COMPUTED_VALUE"""),45635.53501157407)</f>
        <v>45635.53501</v>
      </c>
      <c r="H1514" s="24" t="str">
        <f>IFERROR(VLOOKUP(B1514,material!A:D,3,0),"")</f>
        <v>TOP MIX</v>
      </c>
    </row>
    <row r="1515" ht="11.25" customHeight="1">
      <c r="A1515" s="21" t="str">
        <f>IFERROR(__xludf.DUMMYFUNCTION("""COMPUTED_VALUE"""),"EMTA MOTOROLA SBV5121")</f>
        <v>EMTA MOTOROLA SBV5121</v>
      </c>
      <c r="B1515" s="22">
        <f>IFERROR(__xludf.DUMMYFUNCTION("""COMPUTED_VALUE"""),4.1001196E7)</f>
        <v>41001196</v>
      </c>
      <c r="C1515" s="21" t="str">
        <f>IFERROR(__xludf.DUMMYFUNCTION("""COMPUTED_VALUE"""),"002180998050")</f>
        <v>002180998050</v>
      </c>
      <c r="D1515" s="21" t="str">
        <f>IFERROR(__xludf.DUMMYFUNCTION("""COMPUTED_VALUE"""),"DIGITEC TECNOLOGIA DIGITAL E REPRES")</f>
        <v>DIGITEC TECNOLOGIA DIGITAL E REPRES</v>
      </c>
      <c r="E1515" s="21">
        <f>IFERROR(__xludf.DUMMYFUNCTION("""COMPUTED_VALUE"""),145359.0)</f>
        <v>145359</v>
      </c>
      <c r="F1515" s="21" t="str">
        <f>IFERROR(__xludf.DUMMYFUNCTION("""COMPUTED_VALUE"""),"PERDA")</f>
        <v>PERDA</v>
      </c>
      <c r="G1515" s="23">
        <f>IFERROR(__xludf.DUMMYFUNCTION("""COMPUTED_VALUE"""),45296.67060185185)</f>
        <v>45296.6706</v>
      </c>
      <c r="H1515" s="24" t="str">
        <f>IFERROR(VLOOKUP(B1515,material!A:D,3,0),"")</f>
        <v>SEM WIFI</v>
      </c>
    </row>
    <row r="1516" ht="11.25" customHeight="1">
      <c r="A1516" s="21" t="str">
        <f>IFERROR(__xludf.DUMMYFUNCTION("""COMPUTED_VALUE"""),"EMTA THOMSON DHG534B")</f>
        <v>EMTA THOMSON DHG534B</v>
      </c>
      <c r="B1516" s="22">
        <f>IFERROR(__xludf.DUMMYFUNCTION("""COMPUTED_VALUE"""),4.1001194E7)</f>
        <v>41001194</v>
      </c>
      <c r="C1516" s="21" t="str">
        <f>IFERROR(__xludf.DUMMYFUNCTION("""COMPUTED_VALUE"""),"80C6ABAADBAA")</f>
        <v>80C6ABAADBAA</v>
      </c>
      <c r="D1516" s="21" t="str">
        <f>IFERROR(__xludf.DUMMYFUNCTION("""COMPUTED_VALUE"""),"DIGITEC TECNOLOGIA DIGITAL E REPRES")</f>
        <v>DIGITEC TECNOLOGIA DIGITAL E REPRES</v>
      </c>
      <c r="E1516" s="21">
        <f>IFERROR(__xludf.DUMMYFUNCTION("""COMPUTED_VALUE"""),145359.0)</f>
        <v>145359</v>
      </c>
      <c r="F1516" s="21" t="str">
        <f>IFERROR(__xludf.DUMMYFUNCTION("""COMPUTED_VALUE"""),"SUSPEITO")</f>
        <v>SUSPEITO</v>
      </c>
      <c r="G1516" s="23">
        <f>IFERROR(__xludf.DUMMYFUNCTION("""COMPUTED_VALUE"""),45608.41391203704)</f>
        <v>45608.41391</v>
      </c>
      <c r="H1516" s="24" t="str">
        <f>IFERROR(VLOOKUP(B1516,material!A:D,3,0),"")</f>
        <v>SEM WIFI</v>
      </c>
    </row>
    <row r="1517" ht="11.25" customHeight="1">
      <c r="A1517" s="21" t="str">
        <f>IFERROR(__xludf.DUMMYFUNCTION("""COMPUTED_VALUE"""),"ARRIS TG1692A")</f>
        <v>ARRIS TG1692A</v>
      </c>
      <c r="B1517" s="22">
        <f>IFERROR(__xludf.DUMMYFUNCTION("""COMPUTED_VALUE"""),4.1001293E7)</f>
        <v>41001293</v>
      </c>
      <c r="C1517" s="21" t="str">
        <f>IFERROR(__xludf.DUMMYFUNCTION("""COMPUTED_VALUE"""),"B0DAF961DA11")</f>
        <v>B0DAF961DA11</v>
      </c>
      <c r="D1517" s="21" t="str">
        <f>IFERROR(__xludf.DUMMYFUNCTION("""COMPUTED_VALUE"""),"DIGITEC TECNOLOGIA DIGITAL E REPRES")</f>
        <v>DIGITEC TECNOLOGIA DIGITAL E REPRES</v>
      </c>
      <c r="E1517" s="21">
        <f>IFERROR(__xludf.DUMMYFUNCTION("""COMPUTED_VALUE"""),145359.0)</f>
        <v>145359</v>
      </c>
      <c r="F1517" s="21" t="str">
        <f>IFERROR(__xludf.DUMMYFUNCTION("""COMPUTED_VALUE"""),"TRANSITO REVERSA")</f>
        <v>TRANSITO REVERSA</v>
      </c>
      <c r="G1517" s="23">
        <f>IFERROR(__xludf.DUMMYFUNCTION("""COMPUTED_VALUE"""),45626.298692129625)</f>
        <v>45626.29869</v>
      </c>
      <c r="H1517" s="24" t="str">
        <f>IFERROR(VLOOKUP(B1517,material!A:D,3,0),"")</f>
        <v>DUAL</v>
      </c>
    </row>
    <row r="1518" ht="11.25" customHeight="1">
      <c r="A1518" s="21" t="str">
        <f>IFERROR(__xludf.DUMMYFUNCTION("""COMPUTED_VALUE"""),"SMART CARD PRETO NAGRA")</f>
        <v>SMART CARD PRETO NAGRA</v>
      </c>
      <c r="B1518" s="22">
        <f>IFERROR(__xludf.DUMMYFUNCTION("""COMPUTED_VALUE"""),4.1001234E7)</f>
        <v>41001234</v>
      </c>
      <c r="C1518" s="21" t="str">
        <f>IFERROR(__xludf.DUMMYFUNCTION("""COMPUTED_VALUE"""),"246088749293")</f>
        <v>246088749293</v>
      </c>
      <c r="D1518" s="21" t="str">
        <f>IFERROR(__xludf.DUMMYFUNCTION("""COMPUTED_VALUE"""),"DIGITEC TECNOLOGIA DIGITAL E REPRES")</f>
        <v>DIGITEC TECNOLOGIA DIGITAL E REPRES</v>
      </c>
      <c r="E1518" s="21">
        <f>IFERROR(__xludf.DUMMYFUNCTION("""COMPUTED_VALUE"""),145359.0)</f>
        <v>145359</v>
      </c>
      <c r="F1518" s="21" t="str">
        <f>IFERROR(__xludf.DUMMYFUNCTION("""COMPUTED_VALUE"""),"INICIALIZADO")</f>
        <v>INICIALIZADO</v>
      </c>
      <c r="G1518" s="23">
        <f>IFERROR(__xludf.DUMMYFUNCTION("""COMPUTED_VALUE"""),45600.47594907407)</f>
        <v>45600.47595</v>
      </c>
      <c r="H1518" s="24" t="str">
        <f>IFERROR(VLOOKUP(B1518,material!A:D,3,0),"")</f>
        <v>CARD</v>
      </c>
    </row>
    <row r="1519" ht="11.25" customHeight="1">
      <c r="A1519" s="21" t="str">
        <f>IFERROR(__xludf.DUMMYFUNCTION("""COMPUTED_VALUE"""),"DECODER DIGITAL HD HNB100 2T")</f>
        <v>DECODER DIGITAL HD HNB100 2T</v>
      </c>
      <c r="B1519" s="22">
        <f>IFERROR(__xludf.DUMMYFUNCTION("""COMPUTED_VALUE"""),4.1001276E7)</f>
        <v>41001276</v>
      </c>
      <c r="C1519" s="21" t="str">
        <f>IFERROR(__xludf.DUMMYFUNCTION("""COMPUTED_VALUE"""),"216404357687")</f>
        <v>216404357687</v>
      </c>
      <c r="D1519" s="21" t="str">
        <f>IFERROR(__xludf.DUMMYFUNCTION("""COMPUTED_VALUE"""),"DIGITEC TECNOLOGIA DIGITAL E REPRES")</f>
        <v>DIGITEC TECNOLOGIA DIGITAL E REPRES</v>
      </c>
      <c r="E1519" s="21">
        <f>IFERROR(__xludf.DUMMYFUNCTION("""COMPUTED_VALUE"""),145359.0)</f>
        <v>145359</v>
      </c>
      <c r="F1519" s="21" t="str">
        <f>IFERROR(__xludf.DUMMYFUNCTION("""COMPUTED_VALUE"""),"INICIALIZADO")</f>
        <v>INICIALIZADO</v>
      </c>
      <c r="G1519" s="23">
        <f>IFERROR(__xludf.DUMMYFUNCTION("""COMPUTED_VALUE"""),45635.53503472223)</f>
        <v>45635.53503</v>
      </c>
      <c r="H1519" s="24" t="str">
        <f>IFERROR(VLOOKUP(B1519,material!A:D,3,0),"")</f>
        <v>TOP MIX</v>
      </c>
    </row>
    <row r="1520" ht="11.25" customHeight="1">
      <c r="A1520" s="21" t="str">
        <f>IFERROR(__xludf.DUMMYFUNCTION("""COMPUTED_VALUE"""),"SMART CARD LARANJA NAGRA")</f>
        <v>SMART CARD LARANJA NAGRA</v>
      </c>
      <c r="B1520" s="22">
        <f>IFERROR(__xludf.DUMMYFUNCTION("""COMPUTED_VALUE"""),4.1001186E7)</f>
        <v>41001186</v>
      </c>
      <c r="C1520" s="21" t="str">
        <f>IFERROR(__xludf.DUMMYFUNCTION("""COMPUTED_VALUE"""),"225963643347")</f>
        <v>225963643347</v>
      </c>
      <c r="D1520" s="21" t="str">
        <f>IFERROR(__xludf.DUMMYFUNCTION("""COMPUTED_VALUE"""),"DIGITEC TECNOLOGIA DIGITAL E REPRES")</f>
        <v>DIGITEC TECNOLOGIA DIGITAL E REPRES</v>
      </c>
      <c r="E1520" s="21">
        <f>IFERROR(__xludf.DUMMYFUNCTION("""COMPUTED_VALUE"""),145359.0)</f>
        <v>145359</v>
      </c>
      <c r="F1520" s="21" t="str">
        <f>IFERROR(__xludf.DUMMYFUNCTION("""COMPUTED_VALUE"""),"ANALISE DE INVENTARIO")</f>
        <v>ANALISE DE INVENTARIO</v>
      </c>
      <c r="G1520" s="23">
        <f>IFERROR(__xludf.DUMMYFUNCTION("""COMPUTED_VALUE"""),45419.373715277776)</f>
        <v>45419.37372</v>
      </c>
      <c r="H1520" s="24" t="str">
        <f>IFERROR(VLOOKUP(B1520,material!A:D,3,0),"")</f>
        <v>CARD</v>
      </c>
    </row>
    <row r="1521" ht="11.25" customHeight="1">
      <c r="A1521" s="21" t="str">
        <f>IFERROR(__xludf.DUMMYFUNCTION("""COMPUTED_VALUE"""),"EMTA TC7300-B WIFI 3.0")</f>
        <v>EMTA TC7300-B WIFI 3.0</v>
      </c>
      <c r="B1521" s="22">
        <f>IFERROR(__xludf.DUMMYFUNCTION("""COMPUTED_VALUE"""),4.1001159E7)</f>
        <v>41001159</v>
      </c>
      <c r="C1521" s="21" t="str">
        <f>IFERROR(__xludf.DUMMYFUNCTION("""COMPUTED_VALUE"""),"58238C5EA865")</f>
        <v>58238C5EA865</v>
      </c>
      <c r="D1521" s="21" t="str">
        <f>IFERROR(__xludf.DUMMYFUNCTION("""COMPUTED_VALUE"""),"DIGITEC TECNOLOGIA DIGITAL E REPRES")</f>
        <v>DIGITEC TECNOLOGIA DIGITAL E REPRES</v>
      </c>
      <c r="E1521" s="21">
        <f>IFERROR(__xludf.DUMMYFUNCTION("""COMPUTED_VALUE"""),145359.0)</f>
        <v>145359</v>
      </c>
      <c r="F1521" s="21" t="str">
        <f>IFERROR(__xludf.DUMMYFUNCTION("""COMPUTED_VALUE"""),"TRANSITO REVERSA")</f>
        <v>TRANSITO REVERSA</v>
      </c>
      <c r="G1521" s="23">
        <f>IFERROR(__xludf.DUMMYFUNCTION("""COMPUTED_VALUE"""),45633.00396990741)</f>
        <v>45633.00397</v>
      </c>
      <c r="H1521" s="24" t="str">
        <f>IFERROR(VLOOKUP(B1521,material!A:D,3,0),"")</f>
        <v>SINGLE</v>
      </c>
    </row>
    <row r="1522" ht="11.25" customHeight="1">
      <c r="A1522" s="21" t="str">
        <f>IFERROR(__xludf.DUMMYFUNCTION("""COMPUTED_VALUE"""),"DECODER HD DCI738 2T")</f>
        <v>DECODER HD DCI738 2T</v>
      </c>
      <c r="B1522" s="22">
        <f>IFERROR(__xludf.DUMMYFUNCTION("""COMPUTED_VALUE"""),4.1001275E7)</f>
        <v>41001275</v>
      </c>
      <c r="C1522" s="21" t="str">
        <f>IFERROR(__xludf.DUMMYFUNCTION("""COMPUTED_VALUE"""),"216565007800")</f>
        <v>216565007800</v>
      </c>
      <c r="D1522" s="21" t="str">
        <f>IFERROR(__xludf.DUMMYFUNCTION("""COMPUTED_VALUE"""),"DIGITEC TECNOLOGIA DIGITAL E REPRES")</f>
        <v>DIGITEC TECNOLOGIA DIGITAL E REPRES</v>
      </c>
      <c r="E1522" s="21">
        <f>IFERROR(__xludf.DUMMYFUNCTION("""COMPUTED_VALUE"""),145359.0)</f>
        <v>145359</v>
      </c>
      <c r="F1522" s="21" t="str">
        <f>IFERROR(__xludf.DUMMYFUNCTION("""COMPUTED_VALUE"""),"TRANSITO REVERSA")</f>
        <v>TRANSITO REVERSA</v>
      </c>
      <c r="G1522" s="23">
        <f>IFERROR(__xludf.DUMMYFUNCTION("""COMPUTED_VALUE"""),45626.29871527778)</f>
        <v>45626.29872</v>
      </c>
      <c r="H1522" s="24" t="str">
        <f>IFERROR(VLOOKUP(B1522,material!A:D,3,0),"")</f>
        <v>TOP MIX</v>
      </c>
    </row>
    <row r="1523" ht="11.25" customHeight="1">
      <c r="A1523" s="21" t="str">
        <f>IFERROR(__xludf.DUMMYFUNCTION("""COMPUTED_VALUE"""),"DECODER DIGITAL HD HNB100 2T")</f>
        <v>DECODER DIGITAL HD HNB100 2T</v>
      </c>
      <c r="B1523" s="22">
        <f>IFERROR(__xludf.DUMMYFUNCTION("""COMPUTED_VALUE"""),4.1001276E7)</f>
        <v>41001276</v>
      </c>
      <c r="C1523" s="21" t="str">
        <f>IFERROR(__xludf.DUMMYFUNCTION("""COMPUTED_VALUE"""),"184267864256")</f>
        <v>184267864256</v>
      </c>
      <c r="D1523" s="21" t="str">
        <f>IFERROR(__xludf.DUMMYFUNCTION("""COMPUTED_VALUE"""),"DIGITEC TECNOLOGIA DIGITAL E REPRES")</f>
        <v>DIGITEC TECNOLOGIA DIGITAL E REPRES</v>
      </c>
      <c r="E1523" s="21">
        <f>IFERROR(__xludf.DUMMYFUNCTION("""COMPUTED_VALUE"""),145359.0)</f>
        <v>145359</v>
      </c>
      <c r="F1523" s="21" t="str">
        <f>IFERROR(__xludf.DUMMYFUNCTION("""COMPUTED_VALUE"""),"TRANSITO REVERSA")</f>
        <v>TRANSITO REVERSA</v>
      </c>
      <c r="G1523" s="23">
        <f>IFERROR(__xludf.DUMMYFUNCTION("""COMPUTED_VALUE"""),45617.87142361111)</f>
        <v>45617.87142</v>
      </c>
      <c r="H1523" s="24" t="str">
        <f>IFERROR(VLOOKUP(B1523,material!A:D,3,0),"")</f>
        <v>TOP MIX</v>
      </c>
    </row>
    <row r="1524" ht="11.25" customHeight="1">
      <c r="A1524" s="21" t="str">
        <f>IFERROR(__xludf.DUMMYFUNCTION("""COMPUTED_VALUE"""),"EMTA 3.0 HG100R-L2 HUMAX")</f>
        <v>EMTA 3.0 HG100R-L2 HUMAX</v>
      </c>
      <c r="B1524" s="22">
        <f>IFERROR(__xludf.DUMMYFUNCTION("""COMPUTED_VALUE"""),4.1001286E7)</f>
        <v>41001286</v>
      </c>
      <c r="C1524" s="21" t="str">
        <f>IFERROR(__xludf.DUMMYFUNCTION("""COMPUTED_VALUE"""),"2832C5BA62A2")</f>
        <v>2832C5BA62A2</v>
      </c>
      <c r="D1524" s="21" t="str">
        <f>IFERROR(__xludf.DUMMYFUNCTION("""COMPUTED_VALUE"""),"DIGITEC TECNOLOGIA DIGITAL E REPRES")</f>
        <v>DIGITEC TECNOLOGIA DIGITAL E REPRES</v>
      </c>
      <c r="E1524" s="21">
        <f>IFERROR(__xludf.DUMMYFUNCTION("""COMPUTED_VALUE"""),145359.0)</f>
        <v>145359</v>
      </c>
      <c r="F1524" s="21" t="str">
        <f>IFERROR(__xludf.DUMMYFUNCTION("""COMPUTED_VALUE"""),"TRANSITO REVERSA")</f>
        <v>TRANSITO REVERSA</v>
      </c>
      <c r="G1524" s="23">
        <f>IFERROR(__xludf.DUMMYFUNCTION("""COMPUTED_VALUE"""),45638.521099537036)</f>
        <v>45638.5211</v>
      </c>
      <c r="H1524" s="24" t="str">
        <f>IFERROR(VLOOKUP(B1524,material!A:D,3,0),"")</f>
        <v>SINGLE</v>
      </c>
    </row>
    <row r="1525" ht="11.25" customHeight="1">
      <c r="A1525" s="21" t="str">
        <f>IFERROR(__xludf.DUMMYFUNCTION("""COMPUTED_VALUE"""),"PACE - HIGH DEFINITION DCR7411")</f>
        <v>PACE - HIGH DEFINITION DCR7411</v>
      </c>
      <c r="B1525" s="22">
        <f>IFERROR(__xludf.DUMMYFUNCTION("""COMPUTED_VALUE"""),4.1001216E7)</f>
        <v>41001216</v>
      </c>
      <c r="C1525" s="21" t="str">
        <f>IFERROR(__xludf.DUMMYFUNCTION("""COMPUTED_VALUE"""),"184037056264")</f>
        <v>184037056264</v>
      </c>
      <c r="D1525" s="21" t="str">
        <f>IFERROR(__xludf.DUMMYFUNCTION("""COMPUTED_VALUE"""),"DIGITEC TECNOLOGIA DIGITAL E REPRES")</f>
        <v>DIGITEC TECNOLOGIA DIGITAL E REPRES</v>
      </c>
      <c r="E1525" s="21">
        <f>IFERROR(__xludf.DUMMYFUNCTION("""COMPUTED_VALUE"""),145359.0)</f>
        <v>145359</v>
      </c>
      <c r="F1525" s="21" t="str">
        <f>IFERROR(__xludf.DUMMYFUNCTION("""COMPUTED_VALUE"""),"TRANSITO REVERSA")</f>
        <v>TRANSITO REVERSA</v>
      </c>
      <c r="G1525" s="23">
        <f>IFERROR(__xludf.DUMMYFUNCTION("""COMPUTED_VALUE"""),45610.730416666665)</f>
        <v>45610.73042</v>
      </c>
      <c r="H1525" s="24" t="str">
        <f>IFERROR(VLOOKUP(B1525,material!A:D,3,0),"")</f>
        <v>LEGADO</v>
      </c>
    </row>
    <row r="1526" ht="11.25" customHeight="1">
      <c r="A1526" s="21" t="str">
        <f>IFERROR(__xludf.DUMMYFUNCTION("""COMPUTED_VALUE"""),"SMART CARD LARANJA NAGRA")</f>
        <v>SMART CARD LARANJA NAGRA</v>
      </c>
      <c r="B1526" s="22">
        <f>IFERROR(__xludf.DUMMYFUNCTION("""COMPUTED_VALUE"""),4.1001186E7)</f>
        <v>41001186</v>
      </c>
      <c r="C1526" s="21" t="str">
        <f>IFERROR(__xludf.DUMMYFUNCTION("""COMPUTED_VALUE"""),"226707314567")</f>
        <v>226707314567</v>
      </c>
      <c r="D1526" s="21" t="str">
        <f>IFERROR(__xludf.DUMMYFUNCTION("""COMPUTED_VALUE"""),"DIGITEC TECNOLOGIA DIGITAL E REPRES")</f>
        <v>DIGITEC TECNOLOGIA DIGITAL E REPRES</v>
      </c>
      <c r="E1526" s="21">
        <f>IFERROR(__xludf.DUMMYFUNCTION("""COMPUTED_VALUE"""),145359.0)</f>
        <v>145359</v>
      </c>
      <c r="F1526" s="21" t="str">
        <f>IFERROR(__xludf.DUMMYFUNCTION("""COMPUTED_VALUE"""),"TRANSITO REVERSA")</f>
        <v>TRANSITO REVERSA</v>
      </c>
      <c r="G1526" s="23">
        <f>IFERROR(__xludf.DUMMYFUNCTION("""COMPUTED_VALUE"""),45633.00340277777)</f>
        <v>45633.0034</v>
      </c>
      <c r="H1526" s="24" t="str">
        <f>IFERROR(VLOOKUP(B1526,material!A:D,3,0),"")</f>
        <v>CARD</v>
      </c>
    </row>
    <row r="1527" ht="11.25" customHeight="1">
      <c r="A1527" s="21" t="str">
        <f>IFERROR(__xludf.DUMMYFUNCTION("""COMPUTED_VALUE"""),"SMART CARD LARANJA NAGRA")</f>
        <v>SMART CARD LARANJA NAGRA</v>
      </c>
      <c r="B1527" s="22">
        <f>IFERROR(__xludf.DUMMYFUNCTION("""COMPUTED_VALUE"""),4.1001186E7)</f>
        <v>41001186</v>
      </c>
      <c r="C1527" s="21" t="str">
        <f>IFERROR(__xludf.DUMMYFUNCTION("""COMPUTED_VALUE"""),"225909683131")</f>
        <v>225909683131</v>
      </c>
      <c r="D1527" s="21" t="str">
        <f>IFERROR(__xludf.DUMMYFUNCTION("""COMPUTED_VALUE"""),"DIGITEC TECNOLOGIA DIGITAL E REPRES")</f>
        <v>DIGITEC TECNOLOGIA DIGITAL E REPRES</v>
      </c>
      <c r="E1527" s="21">
        <f>IFERROR(__xludf.DUMMYFUNCTION("""COMPUTED_VALUE"""),145359.0)</f>
        <v>145359</v>
      </c>
      <c r="F1527" s="21" t="str">
        <f>IFERROR(__xludf.DUMMYFUNCTION("""COMPUTED_VALUE"""),"TRANSITO REVERSA")</f>
        <v>TRANSITO REVERSA</v>
      </c>
      <c r="G1527" s="23">
        <f>IFERROR(__xludf.DUMMYFUNCTION("""COMPUTED_VALUE"""),45617.87180555555)</f>
        <v>45617.87181</v>
      </c>
      <c r="H1527" s="24" t="str">
        <f>IFERROR(VLOOKUP(B1527,material!A:D,3,0),"")</f>
        <v>CARD</v>
      </c>
    </row>
    <row r="1528" ht="11.25" customHeight="1">
      <c r="A1528" s="21" t="str">
        <f>IFERROR(__xludf.DUMMYFUNCTION("""COMPUTED_VALUE"""),"SMART CARD PRETO NAGRA")</f>
        <v>SMART CARD PRETO NAGRA</v>
      </c>
      <c r="B1528" s="22">
        <f>IFERROR(__xludf.DUMMYFUNCTION("""COMPUTED_VALUE"""),4.1001234E7)</f>
        <v>41001234</v>
      </c>
      <c r="C1528" s="21" t="str">
        <f>IFERROR(__xludf.DUMMYFUNCTION("""COMPUTED_VALUE"""),"246052774358")</f>
        <v>246052774358</v>
      </c>
      <c r="D1528" s="21" t="str">
        <f>IFERROR(__xludf.DUMMYFUNCTION("""COMPUTED_VALUE"""),"DIGITEC TECNOLOGIA DIGITAL E REPRES")</f>
        <v>DIGITEC TECNOLOGIA DIGITAL E REPRES</v>
      </c>
      <c r="E1528" s="21">
        <f>IFERROR(__xludf.DUMMYFUNCTION("""COMPUTED_VALUE"""),145359.0)</f>
        <v>145359</v>
      </c>
      <c r="F1528" s="21" t="str">
        <f>IFERROR(__xludf.DUMMYFUNCTION("""COMPUTED_VALUE"""),"PERDA")</f>
        <v>PERDA</v>
      </c>
      <c r="G1528" s="23">
        <f>IFERROR(__xludf.DUMMYFUNCTION("""COMPUTED_VALUE"""),45203.317141203705)</f>
        <v>45203.31714</v>
      </c>
      <c r="H1528" s="24" t="str">
        <f>IFERROR(VLOOKUP(B1528,material!A:D,3,0),"")</f>
        <v>CARD</v>
      </c>
    </row>
    <row r="1529" ht="11.25" customHeight="1">
      <c r="A1529" s="21" t="str">
        <f>IFERROR(__xludf.DUMMYFUNCTION("""COMPUTED_VALUE"""),"THOMSON HIGH DEFINITION DCI713")</f>
        <v>THOMSON HIGH DEFINITION DCI713</v>
      </c>
      <c r="B1529" s="22">
        <f>IFERROR(__xludf.DUMMYFUNCTION("""COMPUTED_VALUE"""),4.1001273E7)</f>
        <v>41001273</v>
      </c>
      <c r="C1529" s="21" t="str">
        <f>IFERROR(__xludf.DUMMYFUNCTION("""COMPUTED_VALUE"""),"184126914462")</f>
        <v>184126914462</v>
      </c>
      <c r="D1529" s="21" t="str">
        <f>IFERROR(__xludf.DUMMYFUNCTION("""COMPUTED_VALUE"""),"DIGITEC TECNOLOGIA DIGITAL E REPRES")</f>
        <v>DIGITEC TECNOLOGIA DIGITAL E REPRES</v>
      </c>
      <c r="E1529" s="21">
        <f>IFERROR(__xludf.DUMMYFUNCTION("""COMPUTED_VALUE"""),145359.0)</f>
        <v>145359</v>
      </c>
      <c r="F1529" s="21" t="str">
        <f>IFERROR(__xludf.DUMMYFUNCTION("""COMPUTED_VALUE"""),"PERDA")</f>
        <v>PERDA</v>
      </c>
      <c r="G1529" s="23">
        <f>IFERROR(__xludf.DUMMYFUNCTION("""COMPUTED_VALUE"""),45379.48483796296)</f>
        <v>45379.48484</v>
      </c>
      <c r="H1529" s="24" t="str">
        <f>IFERROR(VLOOKUP(B1529,material!A:D,3,0),"")</f>
        <v>LEGADO</v>
      </c>
    </row>
    <row r="1530" ht="11.25" customHeight="1">
      <c r="A1530" s="21" t="str">
        <f>IFERROR(__xludf.DUMMYFUNCTION("""COMPUTED_VALUE"""),"SMART CARD LARANJA NAGRA")</f>
        <v>SMART CARD LARANJA NAGRA</v>
      </c>
      <c r="B1530" s="22">
        <f>IFERROR(__xludf.DUMMYFUNCTION("""COMPUTED_VALUE"""),4.1001186E7)</f>
        <v>41001186</v>
      </c>
      <c r="C1530" s="21" t="str">
        <f>IFERROR(__xludf.DUMMYFUNCTION("""COMPUTED_VALUE"""),"226890906670")</f>
        <v>226890906670</v>
      </c>
      <c r="D1530" s="21" t="str">
        <f>IFERROR(__xludf.DUMMYFUNCTION("""COMPUTED_VALUE"""),"DIGITEC TECNOLOGIA DIGITAL E REPRES")</f>
        <v>DIGITEC TECNOLOGIA DIGITAL E REPRES</v>
      </c>
      <c r="E1530" s="21">
        <f>IFERROR(__xludf.DUMMYFUNCTION("""COMPUTED_VALUE"""),145359.0)</f>
        <v>145359</v>
      </c>
      <c r="F1530" s="21" t="str">
        <f>IFERROR(__xludf.DUMMYFUNCTION("""COMPUTED_VALUE"""),"PERDA")</f>
        <v>PERDA</v>
      </c>
      <c r="G1530" s="23">
        <f>IFERROR(__xludf.DUMMYFUNCTION("""COMPUTED_VALUE"""),45379.48483796296)</f>
        <v>45379.48484</v>
      </c>
      <c r="H1530" s="24" t="str">
        <f>IFERROR(VLOOKUP(B1530,material!A:D,3,0),"")</f>
        <v>CARD</v>
      </c>
    </row>
    <row r="1531" ht="11.25" customHeight="1">
      <c r="A1531" s="21" t="str">
        <f>IFERROR(__xludf.DUMMYFUNCTION("""COMPUTED_VALUE"""),"EMTA 3.0 HG100R-L2 HUMAX")</f>
        <v>EMTA 3.0 HG100R-L2 HUMAX</v>
      </c>
      <c r="B1531" s="22">
        <f>IFERROR(__xludf.DUMMYFUNCTION("""COMPUTED_VALUE"""),4.1001286E7)</f>
        <v>41001286</v>
      </c>
      <c r="C1531" s="21" t="str">
        <f>IFERROR(__xludf.DUMMYFUNCTION("""COMPUTED_VALUE"""),"4CD08A44ED3E")</f>
        <v>4CD08A44ED3E</v>
      </c>
      <c r="D1531" s="21" t="str">
        <f>IFERROR(__xludf.DUMMYFUNCTION("""COMPUTED_VALUE"""),"DIGITEC TECNOLOGIA DIGITAL E REPRES")</f>
        <v>DIGITEC TECNOLOGIA DIGITAL E REPRES</v>
      </c>
      <c r="E1531" s="21">
        <f>IFERROR(__xludf.DUMMYFUNCTION("""COMPUTED_VALUE"""),145359.0)</f>
        <v>145359</v>
      </c>
      <c r="F1531" s="21" t="str">
        <f>IFERROR(__xludf.DUMMYFUNCTION("""COMPUTED_VALUE"""),"SUSPEITO")</f>
        <v>SUSPEITO</v>
      </c>
      <c r="G1531" s="23">
        <f>IFERROR(__xludf.DUMMYFUNCTION("""COMPUTED_VALUE"""),45637.766875)</f>
        <v>45637.76688</v>
      </c>
      <c r="H1531" s="24" t="str">
        <f>IFERROR(VLOOKUP(B1531,material!A:D,3,0),"")</f>
        <v>SINGLE</v>
      </c>
    </row>
    <row r="1532" ht="11.25" customHeight="1">
      <c r="A1532" s="21" t="str">
        <f>IFERROR(__xludf.DUMMYFUNCTION("""COMPUTED_VALUE"""),"ARRIS TG1692A")</f>
        <v>ARRIS TG1692A</v>
      </c>
      <c r="B1532" s="22">
        <f>IFERROR(__xludf.DUMMYFUNCTION("""COMPUTED_VALUE"""),4.1001293E7)</f>
        <v>41001293</v>
      </c>
      <c r="C1532" s="21" t="str">
        <f>IFERROR(__xludf.DUMMYFUNCTION("""COMPUTED_VALUE"""),"B0DAF94FEA89")</f>
        <v>B0DAF94FEA89</v>
      </c>
      <c r="D1532" s="21" t="str">
        <f>IFERROR(__xludf.DUMMYFUNCTION("""COMPUTED_VALUE"""),"DIGITEC TECNOLOGIA DIGITAL E REPRES")</f>
        <v>DIGITEC TECNOLOGIA DIGITAL E REPRES</v>
      </c>
      <c r="E1532" s="21">
        <f>IFERROR(__xludf.DUMMYFUNCTION("""COMPUTED_VALUE"""),145359.0)</f>
        <v>145359</v>
      </c>
      <c r="F1532" s="21" t="str">
        <f>IFERROR(__xludf.DUMMYFUNCTION("""COMPUTED_VALUE"""),"TRANSITO REVERSA")</f>
        <v>TRANSITO REVERSA</v>
      </c>
      <c r="G1532" s="23">
        <f>IFERROR(__xludf.DUMMYFUNCTION("""COMPUTED_VALUE"""),45626.2987037037)</f>
        <v>45626.2987</v>
      </c>
      <c r="H1532" s="24" t="str">
        <f>IFERROR(VLOOKUP(B1532,material!A:D,3,0),"")</f>
        <v>DUAL</v>
      </c>
    </row>
    <row r="1533" ht="11.25" customHeight="1">
      <c r="A1533" s="21" t="str">
        <f>IFERROR(__xludf.DUMMYFUNCTION("""COMPUTED_VALUE"""),"ARRIS TG1692A")</f>
        <v>ARRIS TG1692A</v>
      </c>
      <c r="B1533" s="22">
        <f>IFERROR(__xludf.DUMMYFUNCTION("""COMPUTED_VALUE"""),4.1001293E7)</f>
        <v>41001293</v>
      </c>
      <c r="C1533" s="21" t="str">
        <f>IFERROR(__xludf.DUMMYFUNCTION("""COMPUTED_VALUE"""),"B0DAF94D067F")</f>
        <v>B0DAF94D067F</v>
      </c>
      <c r="D1533" s="21" t="str">
        <f>IFERROR(__xludf.DUMMYFUNCTION("""COMPUTED_VALUE"""),"DIGITEC TECNOLOGIA DIGITAL E REPRES")</f>
        <v>DIGITEC TECNOLOGIA DIGITAL E REPRES</v>
      </c>
      <c r="E1533" s="21">
        <f>IFERROR(__xludf.DUMMYFUNCTION("""COMPUTED_VALUE"""),145359.0)</f>
        <v>145359</v>
      </c>
      <c r="F1533" s="21" t="str">
        <f>IFERROR(__xludf.DUMMYFUNCTION("""COMPUTED_VALUE"""),"SUSPEITO")</f>
        <v>SUSPEITO</v>
      </c>
      <c r="G1533" s="23">
        <f>IFERROR(__xludf.DUMMYFUNCTION("""COMPUTED_VALUE"""),45640.43853009259)</f>
        <v>45640.43853</v>
      </c>
      <c r="H1533" s="24" t="str">
        <f>IFERROR(VLOOKUP(B1533,material!A:D,3,0),"")</f>
        <v>DUAL</v>
      </c>
    </row>
    <row r="1534" ht="11.25" customHeight="1">
      <c r="A1534" s="21" t="str">
        <f>IFERROR(__xludf.DUMMYFUNCTION("""COMPUTED_VALUE"""),"SMART CARD AVULSO MINI")</f>
        <v>SMART CARD AVULSO MINI</v>
      </c>
      <c r="B1534" s="22">
        <f>IFERROR(__xludf.DUMMYFUNCTION("""COMPUTED_VALUE"""),4.1001508E7)</f>
        <v>41001508</v>
      </c>
      <c r="C1534" s="21" t="str">
        <f>IFERROR(__xludf.DUMMYFUNCTION("""COMPUTED_VALUE"""),"246253295869")</f>
        <v>246253295869</v>
      </c>
      <c r="D1534" s="21" t="str">
        <f>IFERROR(__xludf.DUMMYFUNCTION("""COMPUTED_VALUE"""),"DIGITEC TECNOLOGIA DIGITAL E REPRES")</f>
        <v>DIGITEC TECNOLOGIA DIGITAL E REPRES</v>
      </c>
      <c r="E1534" s="21">
        <f>IFERROR(__xludf.DUMMYFUNCTION("""COMPUTED_VALUE"""),145359.0)</f>
        <v>145359</v>
      </c>
      <c r="F1534" s="21" t="str">
        <f>IFERROR(__xludf.DUMMYFUNCTION("""COMPUTED_VALUE"""),"INICIALIZADO")</f>
        <v>INICIALIZADO</v>
      </c>
      <c r="G1534" s="23">
        <f>IFERROR(__xludf.DUMMYFUNCTION("""COMPUTED_VALUE"""),45618.744722222225)</f>
        <v>45618.74472</v>
      </c>
      <c r="H1534" s="24" t="str">
        <f>IFERROR(VLOOKUP(B1534,material!A:D,3,0),"")</f>
        <v>SIM CARD</v>
      </c>
    </row>
    <row r="1535" ht="11.25" customHeight="1">
      <c r="A1535" s="21" t="str">
        <f>IFERROR(__xludf.DUMMYFUNCTION("""COMPUTED_VALUE"""),"SMART CARD AVULSO MINI")</f>
        <v>SMART CARD AVULSO MINI</v>
      </c>
      <c r="B1535" s="22">
        <f>IFERROR(__xludf.DUMMYFUNCTION("""COMPUTED_VALUE"""),4.1001508E7)</f>
        <v>41001508</v>
      </c>
      <c r="C1535" s="21" t="str">
        <f>IFERROR(__xludf.DUMMYFUNCTION("""COMPUTED_VALUE"""),"246254454557")</f>
        <v>246254454557</v>
      </c>
      <c r="D1535" s="21" t="str">
        <f>IFERROR(__xludf.DUMMYFUNCTION("""COMPUTED_VALUE"""),"DIGITEC TECNOLOGIA DIGITAL E REPRES")</f>
        <v>DIGITEC TECNOLOGIA DIGITAL E REPRES</v>
      </c>
      <c r="E1535" s="21">
        <f>IFERROR(__xludf.DUMMYFUNCTION("""COMPUTED_VALUE"""),145359.0)</f>
        <v>145359</v>
      </c>
      <c r="F1535" s="21" t="str">
        <f>IFERROR(__xludf.DUMMYFUNCTION("""COMPUTED_VALUE"""),"INICIALIZADO")</f>
        <v>INICIALIZADO</v>
      </c>
      <c r="G1535" s="23">
        <f>IFERROR(__xludf.DUMMYFUNCTION("""COMPUTED_VALUE"""),45618.744722222225)</f>
        <v>45618.74472</v>
      </c>
      <c r="H1535" s="24" t="str">
        <f>IFERROR(VLOOKUP(B1535,material!A:D,3,0),"")</f>
        <v>SIM CARD</v>
      </c>
    </row>
    <row r="1536" ht="11.25" customHeight="1">
      <c r="A1536" s="21" t="str">
        <f>IFERROR(__xludf.DUMMYFUNCTION("""COMPUTED_VALUE"""),"SMART CARD AVULSO MINI")</f>
        <v>SMART CARD AVULSO MINI</v>
      </c>
      <c r="B1536" s="22">
        <f>IFERROR(__xludf.DUMMYFUNCTION("""COMPUTED_VALUE"""),4.1001508E7)</f>
        <v>41001508</v>
      </c>
      <c r="C1536" s="21" t="str">
        <f>IFERROR(__xludf.DUMMYFUNCTION("""COMPUTED_VALUE"""),"246272862942")</f>
        <v>246272862942</v>
      </c>
      <c r="D1536" s="21" t="str">
        <f>IFERROR(__xludf.DUMMYFUNCTION("""COMPUTED_VALUE"""),"DIGITEC TECNOLOGIA DIGITAL E REPRES")</f>
        <v>DIGITEC TECNOLOGIA DIGITAL E REPRES</v>
      </c>
      <c r="E1536" s="21">
        <f>IFERROR(__xludf.DUMMYFUNCTION("""COMPUTED_VALUE"""),145359.0)</f>
        <v>145359</v>
      </c>
      <c r="F1536" s="21" t="str">
        <f>IFERROR(__xludf.DUMMYFUNCTION("""COMPUTED_VALUE"""),"INICIALIZADO")</f>
        <v>INICIALIZADO</v>
      </c>
      <c r="G1536" s="23">
        <f>IFERROR(__xludf.DUMMYFUNCTION("""COMPUTED_VALUE"""),45618.744722222225)</f>
        <v>45618.74472</v>
      </c>
      <c r="H1536" s="24" t="str">
        <f>IFERROR(VLOOKUP(B1536,material!A:D,3,0),"")</f>
        <v>SIM CARD</v>
      </c>
    </row>
    <row r="1537" ht="11.25" customHeight="1">
      <c r="A1537" s="21" t="str">
        <f>IFERROR(__xludf.DUMMYFUNCTION("""COMPUTED_VALUE"""),"SMART CARD AVULSO MINI")</f>
        <v>SMART CARD AVULSO MINI</v>
      </c>
      <c r="B1537" s="22">
        <f>IFERROR(__xludf.DUMMYFUNCTION("""COMPUTED_VALUE"""),4.1001508E7)</f>
        <v>41001508</v>
      </c>
      <c r="C1537" s="21" t="str">
        <f>IFERROR(__xludf.DUMMYFUNCTION("""COMPUTED_VALUE"""),"226010254652")</f>
        <v>226010254652</v>
      </c>
      <c r="D1537" s="21" t="str">
        <f>IFERROR(__xludf.DUMMYFUNCTION("""COMPUTED_VALUE"""),"DIGITEC TECNOLOGIA DIGITAL E REPRES")</f>
        <v>DIGITEC TECNOLOGIA DIGITAL E REPRES</v>
      </c>
      <c r="E1537" s="21">
        <f>IFERROR(__xludf.DUMMYFUNCTION("""COMPUTED_VALUE"""),145359.0)</f>
        <v>145359</v>
      </c>
      <c r="F1537" s="21" t="str">
        <f>IFERROR(__xludf.DUMMYFUNCTION("""COMPUTED_VALUE"""),"INICIALIZADO")</f>
        <v>INICIALIZADO</v>
      </c>
      <c r="G1537" s="23">
        <f>IFERROR(__xludf.DUMMYFUNCTION("""COMPUTED_VALUE"""),45618.744722222225)</f>
        <v>45618.74472</v>
      </c>
      <c r="H1537" s="24" t="str">
        <f>IFERROR(VLOOKUP(B1537,material!A:D,3,0),"")</f>
        <v>SIM CARD</v>
      </c>
    </row>
    <row r="1538" ht="11.25" customHeight="1">
      <c r="A1538" s="21" t="str">
        <f>IFERROR(__xludf.DUMMYFUNCTION("""COMPUTED_VALUE"""),"SMART SIM CARD NAGRA")</f>
        <v>SMART SIM CARD NAGRA</v>
      </c>
      <c r="B1538" s="22">
        <f>IFERROR(__xludf.DUMMYFUNCTION("""COMPUTED_VALUE"""),4.1000805E7)</f>
        <v>41000805</v>
      </c>
      <c r="C1538" s="21" t="str">
        <f>IFERROR(__xludf.DUMMYFUNCTION("""COMPUTED_VALUE"""),"246048863651")</f>
        <v>246048863651</v>
      </c>
      <c r="D1538" s="21" t="str">
        <f>IFERROR(__xludf.DUMMYFUNCTION("""COMPUTED_VALUE"""),"DIGITEC TECNOLOGIA DIGITAL E REPRES")</f>
        <v>DIGITEC TECNOLOGIA DIGITAL E REPRES</v>
      </c>
      <c r="E1538" s="21">
        <f>IFERROR(__xludf.DUMMYFUNCTION("""COMPUTED_VALUE"""),145359.0)</f>
        <v>145359</v>
      </c>
      <c r="F1538" s="21" t="str">
        <f>IFERROR(__xludf.DUMMYFUNCTION("""COMPUTED_VALUE"""),"INICIALIZADO")</f>
        <v>INICIALIZADO</v>
      </c>
      <c r="G1538" s="23">
        <f>IFERROR(__xludf.DUMMYFUNCTION("""COMPUTED_VALUE"""),45625.6531712963)</f>
        <v>45625.65317</v>
      </c>
      <c r="H1538" s="24" t="str">
        <f>IFERROR(VLOOKUP(B1538,material!A:D,3,0),"")</f>
        <v>SIM CARD</v>
      </c>
    </row>
    <row r="1539" ht="11.25" customHeight="1">
      <c r="A1539" s="21" t="str">
        <f>IFERROR(__xludf.DUMMYFUNCTION("""COMPUTED_VALUE"""),"TECHNICOLOR TC7337NET")</f>
        <v>TECHNICOLOR TC7337NET</v>
      </c>
      <c r="B1539" s="22">
        <f>IFERROR(__xludf.DUMMYFUNCTION("""COMPUTED_VALUE"""),4.1001294E7)</f>
        <v>41001294</v>
      </c>
      <c r="C1539" s="21" t="str">
        <f>IFERROR(__xludf.DUMMYFUNCTION("""COMPUTED_VALUE"""),"1062D01132DB")</f>
        <v>1062D01132DB</v>
      </c>
      <c r="D1539" s="21" t="str">
        <f>IFERROR(__xludf.DUMMYFUNCTION("""COMPUTED_VALUE"""),"DIGITEC TECNOLOGIA DIGITAL E REPRES")</f>
        <v>DIGITEC TECNOLOGIA DIGITAL E REPRES</v>
      </c>
      <c r="E1539" s="21">
        <f>IFERROR(__xludf.DUMMYFUNCTION("""COMPUTED_VALUE"""),145359.0)</f>
        <v>145359</v>
      </c>
      <c r="F1539" s="21" t="str">
        <f>IFERROR(__xludf.DUMMYFUNCTION("""COMPUTED_VALUE"""),"INICIALIZADO")</f>
        <v>INICIALIZADO</v>
      </c>
      <c r="G1539" s="23">
        <f>IFERROR(__xludf.DUMMYFUNCTION("""COMPUTED_VALUE"""),45618.74475694445)</f>
        <v>45618.74476</v>
      </c>
      <c r="H1539" s="24" t="str">
        <f>IFERROR(VLOOKUP(B1539,material!A:D,3,0),"")</f>
        <v>DUAL</v>
      </c>
    </row>
    <row r="1540" ht="11.25" customHeight="1">
      <c r="A1540" s="21" t="str">
        <f>IFERROR(__xludf.DUMMYFUNCTION("""COMPUTED_VALUE"""),"TECHNICOLOR TC7337NET")</f>
        <v>TECHNICOLOR TC7337NET</v>
      </c>
      <c r="B1540" s="22">
        <f>IFERROR(__xludf.DUMMYFUNCTION("""COMPUTED_VALUE"""),4.1001294E7)</f>
        <v>41001294</v>
      </c>
      <c r="C1540" s="21" t="str">
        <f>IFERROR(__xludf.DUMMYFUNCTION("""COMPUTED_VALUE"""),"10C25A11ACD7")</f>
        <v>10C25A11ACD7</v>
      </c>
      <c r="D1540" s="21" t="str">
        <f>IFERROR(__xludf.DUMMYFUNCTION("""COMPUTED_VALUE"""),"DIGITEC TECNOLOGIA DIGITAL E REPRES")</f>
        <v>DIGITEC TECNOLOGIA DIGITAL E REPRES</v>
      </c>
      <c r="E1540" s="21">
        <f>IFERROR(__xludf.DUMMYFUNCTION("""COMPUTED_VALUE"""),145359.0)</f>
        <v>145359</v>
      </c>
      <c r="F1540" s="21" t="str">
        <f>IFERROR(__xludf.DUMMYFUNCTION("""COMPUTED_VALUE"""),"INICIALIZADO")</f>
        <v>INICIALIZADO</v>
      </c>
      <c r="G1540" s="23">
        <f>IFERROR(__xludf.DUMMYFUNCTION("""COMPUTED_VALUE"""),45618.74476851852)</f>
        <v>45618.74477</v>
      </c>
      <c r="H1540" s="24" t="str">
        <f>IFERROR(VLOOKUP(B1540,material!A:D,3,0),"")</f>
        <v>DUAL</v>
      </c>
    </row>
    <row r="1541" ht="11.25" customHeight="1">
      <c r="A1541" s="21" t="str">
        <f>IFERROR(__xludf.DUMMYFUNCTION("""COMPUTED_VALUE"""),"TECHNICOLOR TC7337NET")</f>
        <v>TECHNICOLOR TC7337NET</v>
      </c>
      <c r="B1541" s="22">
        <f>IFERROR(__xludf.DUMMYFUNCTION("""COMPUTED_VALUE"""),4.1001294E7)</f>
        <v>41001294</v>
      </c>
      <c r="C1541" s="21" t="str">
        <f>IFERROR(__xludf.DUMMYFUNCTION("""COMPUTED_VALUE"""),"54A65C8F5FA2")</f>
        <v>54A65C8F5FA2</v>
      </c>
      <c r="D1541" s="21" t="str">
        <f>IFERROR(__xludf.DUMMYFUNCTION("""COMPUTED_VALUE"""),"DIGITEC TECNOLOGIA DIGITAL E REPRES")</f>
        <v>DIGITEC TECNOLOGIA DIGITAL E REPRES</v>
      </c>
      <c r="E1541" s="21">
        <f>IFERROR(__xludf.DUMMYFUNCTION("""COMPUTED_VALUE"""),145359.0)</f>
        <v>145359</v>
      </c>
      <c r="F1541" s="21" t="str">
        <f>IFERROR(__xludf.DUMMYFUNCTION("""COMPUTED_VALUE"""),"INICIALIZADO")</f>
        <v>INICIALIZADO</v>
      </c>
      <c r="G1541" s="23">
        <f>IFERROR(__xludf.DUMMYFUNCTION("""COMPUTED_VALUE"""),45593.485555555555)</f>
        <v>45593.48556</v>
      </c>
      <c r="H1541" s="24" t="str">
        <f>IFERROR(VLOOKUP(B1541,material!A:D,3,0),"")</f>
        <v>DUAL</v>
      </c>
    </row>
    <row r="1542" ht="11.25" customHeight="1">
      <c r="A1542" s="21" t="str">
        <f>IFERROR(__xludf.DUMMYFUNCTION("""COMPUTED_VALUE"""),"HUMAX HGB10R-02")</f>
        <v>HUMAX HGB10R-02</v>
      </c>
      <c r="B1542" s="22">
        <f>IFERROR(__xludf.DUMMYFUNCTION("""COMPUTED_VALUE"""),4.1001292E7)</f>
        <v>41001292</v>
      </c>
      <c r="C1542" s="21" t="str">
        <f>IFERROR(__xludf.DUMMYFUNCTION("""COMPUTED_VALUE"""),"942CB3D09F9F")</f>
        <v>942CB3D09F9F</v>
      </c>
      <c r="D1542" s="21" t="str">
        <f>IFERROR(__xludf.DUMMYFUNCTION("""COMPUTED_VALUE"""),"DIGITEC TECNOLOGIA DIGITAL E REPRES")</f>
        <v>DIGITEC TECNOLOGIA DIGITAL E REPRES</v>
      </c>
      <c r="E1542" s="21">
        <f>IFERROR(__xludf.DUMMYFUNCTION("""COMPUTED_VALUE"""),145359.0)</f>
        <v>145359</v>
      </c>
      <c r="F1542" s="21" t="str">
        <f>IFERROR(__xludf.DUMMYFUNCTION("""COMPUTED_VALUE"""),"INICIALIZADO")</f>
        <v>INICIALIZADO</v>
      </c>
      <c r="G1542" s="23">
        <f>IFERROR(__xludf.DUMMYFUNCTION("""COMPUTED_VALUE"""),45538.41375)</f>
        <v>45538.41375</v>
      </c>
      <c r="H1542" s="24" t="str">
        <f>IFERROR(VLOOKUP(B1542,material!A:D,3,0),"")</f>
        <v>DUAL</v>
      </c>
    </row>
    <row r="1543" ht="11.25" customHeight="1">
      <c r="A1543" s="21" t="str">
        <f>IFERROR(__xludf.DUMMYFUNCTION("""COMPUTED_VALUE"""),"HUMAX HGB10R-02")</f>
        <v>HUMAX HGB10R-02</v>
      </c>
      <c r="B1543" s="22">
        <f>IFERROR(__xludf.DUMMYFUNCTION("""COMPUTED_VALUE"""),4.1001292E7)</f>
        <v>41001292</v>
      </c>
      <c r="C1543" s="21" t="str">
        <f>IFERROR(__xludf.DUMMYFUNCTION("""COMPUTED_VALUE"""),"942CB38A3DBF")</f>
        <v>942CB38A3DBF</v>
      </c>
      <c r="D1543" s="21" t="str">
        <f>IFERROR(__xludf.DUMMYFUNCTION("""COMPUTED_VALUE"""),"DIGITEC TECNOLOGIA DIGITAL E REPRES")</f>
        <v>DIGITEC TECNOLOGIA DIGITAL E REPRES</v>
      </c>
      <c r="E1543" s="21">
        <f>IFERROR(__xludf.DUMMYFUNCTION("""COMPUTED_VALUE"""),145359.0)</f>
        <v>145359</v>
      </c>
      <c r="F1543" s="21" t="str">
        <f>IFERROR(__xludf.DUMMYFUNCTION("""COMPUTED_VALUE"""),"INICIALIZADO")</f>
        <v>INICIALIZADO</v>
      </c>
      <c r="G1543" s="23">
        <f>IFERROR(__xludf.DUMMYFUNCTION("""COMPUTED_VALUE"""),45154.745983796296)</f>
        <v>45154.74598</v>
      </c>
      <c r="H1543" s="24" t="str">
        <f>IFERROR(VLOOKUP(B1543,material!A:D,3,0),"")</f>
        <v>DUAL</v>
      </c>
    </row>
    <row r="1544" ht="11.25" customHeight="1">
      <c r="A1544" s="21" t="str">
        <f>IFERROR(__xludf.DUMMYFUNCTION("""COMPUTED_VALUE"""),"DECODER DIGITAL HD DXC5000 2T")</f>
        <v>DECODER DIGITAL HD DXC5000 2T</v>
      </c>
      <c r="B1544" s="22">
        <f>IFERROR(__xludf.DUMMYFUNCTION("""COMPUTED_VALUE"""),4.1001277E7)</f>
        <v>41001277</v>
      </c>
      <c r="C1544" s="21" t="str">
        <f>IFERROR(__xludf.DUMMYFUNCTION("""COMPUTED_VALUE"""),"216773105572")</f>
        <v>216773105572</v>
      </c>
      <c r="D1544" s="21" t="str">
        <f>IFERROR(__xludf.DUMMYFUNCTION("""COMPUTED_VALUE"""),"DIGITEC TECNOLOGIA DIGITAL E REPRES")</f>
        <v>DIGITEC TECNOLOGIA DIGITAL E REPRES</v>
      </c>
      <c r="E1544" s="21">
        <f>IFERROR(__xludf.DUMMYFUNCTION("""COMPUTED_VALUE"""),145359.0)</f>
        <v>145359</v>
      </c>
      <c r="F1544" s="21" t="str">
        <f>IFERROR(__xludf.DUMMYFUNCTION("""COMPUTED_VALUE"""),"INICIALIZADO")</f>
        <v>INICIALIZADO</v>
      </c>
      <c r="G1544" s="23">
        <f>IFERROR(__xludf.DUMMYFUNCTION("""COMPUTED_VALUE"""),45600.47599537037)</f>
        <v>45600.476</v>
      </c>
      <c r="H1544" s="24" t="str">
        <f>IFERROR(VLOOKUP(B1544,material!A:D,3,0),"")</f>
        <v>TOP MIX</v>
      </c>
    </row>
    <row r="1545" ht="11.25" customHeight="1">
      <c r="A1545" s="21" t="str">
        <f>IFERROR(__xludf.DUMMYFUNCTION("""COMPUTED_VALUE"""),"DECODER DIGITAL HD DXC5000 2T")</f>
        <v>DECODER DIGITAL HD DXC5000 2T</v>
      </c>
      <c r="B1545" s="22">
        <f>IFERROR(__xludf.DUMMYFUNCTION("""COMPUTED_VALUE"""),4.1001277E7)</f>
        <v>41001277</v>
      </c>
      <c r="C1545" s="21" t="str">
        <f>IFERROR(__xludf.DUMMYFUNCTION("""COMPUTED_VALUE"""),"216488209192")</f>
        <v>216488209192</v>
      </c>
      <c r="D1545" s="21" t="str">
        <f>IFERROR(__xludf.DUMMYFUNCTION("""COMPUTED_VALUE"""),"DIGITEC TECNOLOGIA DIGITAL E REPRES")</f>
        <v>DIGITEC TECNOLOGIA DIGITAL E REPRES</v>
      </c>
      <c r="E1545" s="21">
        <f>IFERROR(__xludf.DUMMYFUNCTION("""COMPUTED_VALUE"""),145359.0)</f>
        <v>145359</v>
      </c>
      <c r="F1545" s="21" t="str">
        <f>IFERROR(__xludf.DUMMYFUNCTION("""COMPUTED_VALUE"""),"INICIALIZADO")</f>
        <v>INICIALIZADO</v>
      </c>
      <c r="G1545" s="23">
        <f>IFERROR(__xludf.DUMMYFUNCTION("""COMPUTED_VALUE"""),45617.498715277776)</f>
        <v>45617.49872</v>
      </c>
      <c r="H1545" s="24" t="str">
        <f>IFERROR(VLOOKUP(B1545,material!A:D,3,0),"")</f>
        <v>TOP MIX</v>
      </c>
    </row>
    <row r="1546" ht="11.25" customHeight="1">
      <c r="A1546" s="21" t="str">
        <f>IFERROR(__xludf.DUMMYFUNCTION("""COMPUTED_VALUE"""),"DECODER DIGITAL HD DXC5000 2T")</f>
        <v>DECODER DIGITAL HD DXC5000 2T</v>
      </c>
      <c r="B1546" s="22">
        <f>IFERROR(__xludf.DUMMYFUNCTION("""COMPUTED_VALUE"""),4.1001277E7)</f>
        <v>41001277</v>
      </c>
      <c r="C1546" s="21" t="str">
        <f>IFERROR(__xludf.DUMMYFUNCTION("""COMPUTED_VALUE"""),"216760334954")</f>
        <v>216760334954</v>
      </c>
      <c r="D1546" s="21" t="str">
        <f>IFERROR(__xludf.DUMMYFUNCTION("""COMPUTED_VALUE"""),"DIGITEC TECNOLOGIA DIGITAL E REPRES")</f>
        <v>DIGITEC TECNOLOGIA DIGITAL E REPRES</v>
      </c>
      <c r="E1546" s="21">
        <f>IFERROR(__xludf.DUMMYFUNCTION("""COMPUTED_VALUE"""),145359.0)</f>
        <v>145359</v>
      </c>
      <c r="F1546" s="21" t="str">
        <f>IFERROR(__xludf.DUMMYFUNCTION("""COMPUTED_VALUE"""),"INICIALIZADO")</f>
        <v>INICIALIZADO</v>
      </c>
      <c r="G1546" s="23">
        <f>IFERROR(__xludf.DUMMYFUNCTION("""COMPUTED_VALUE"""),45615.61856481481)</f>
        <v>45615.61856</v>
      </c>
      <c r="H1546" s="24" t="str">
        <f>IFERROR(VLOOKUP(B1546,material!A:D,3,0),"")</f>
        <v>TOP MIX</v>
      </c>
    </row>
    <row r="1547" ht="11.25" customHeight="1">
      <c r="A1547" s="21" t="str">
        <f>IFERROR(__xludf.DUMMYFUNCTION("""COMPUTED_VALUE"""),"DECODER DIGITAL HD HNB100 2T")</f>
        <v>DECODER DIGITAL HD HNB100 2T</v>
      </c>
      <c r="B1547" s="22">
        <f>IFERROR(__xludf.DUMMYFUNCTION("""COMPUTED_VALUE"""),4.1001276E7)</f>
        <v>41001276</v>
      </c>
      <c r="C1547" s="21" t="str">
        <f>IFERROR(__xludf.DUMMYFUNCTION("""COMPUTED_VALUE"""),"216628654662")</f>
        <v>216628654662</v>
      </c>
      <c r="D1547" s="21" t="str">
        <f>IFERROR(__xludf.DUMMYFUNCTION("""COMPUTED_VALUE"""),"DIGITEC TECNOLOGIA DIGITAL E REPRES")</f>
        <v>DIGITEC TECNOLOGIA DIGITAL E REPRES</v>
      </c>
      <c r="E1547" s="21">
        <f>IFERROR(__xludf.DUMMYFUNCTION("""COMPUTED_VALUE"""),145359.0)</f>
        <v>145359</v>
      </c>
      <c r="F1547" s="21" t="str">
        <f>IFERROR(__xludf.DUMMYFUNCTION("""COMPUTED_VALUE"""),"INICIALIZADO")</f>
        <v>INICIALIZADO</v>
      </c>
      <c r="G1547" s="23">
        <f>IFERROR(__xludf.DUMMYFUNCTION("""COMPUTED_VALUE"""),45635.53506944445)</f>
        <v>45635.53507</v>
      </c>
      <c r="H1547" s="24" t="str">
        <f>IFERROR(VLOOKUP(B1547,material!A:D,3,0),"")</f>
        <v>TOP MIX</v>
      </c>
    </row>
    <row r="1548" ht="11.25" customHeight="1">
      <c r="A1548" s="21" t="str">
        <f>IFERROR(__xludf.DUMMYFUNCTION("""COMPUTED_VALUE"""),"DECODER DIGITAL HD HNB100 2T")</f>
        <v>DECODER DIGITAL HD HNB100 2T</v>
      </c>
      <c r="B1548" s="22">
        <f>IFERROR(__xludf.DUMMYFUNCTION("""COMPUTED_VALUE"""),4.1001276E7)</f>
        <v>41001276</v>
      </c>
      <c r="C1548" s="21" t="str">
        <f>IFERROR(__xludf.DUMMYFUNCTION("""COMPUTED_VALUE"""),"216633096363")</f>
        <v>216633096363</v>
      </c>
      <c r="D1548" s="21" t="str">
        <f>IFERROR(__xludf.DUMMYFUNCTION("""COMPUTED_VALUE"""),"DIGITEC TECNOLOGIA DIGITAL E REPRES")</f>
        <v>DIGITEC TECNOLOGIA DIGITAL E REPRES</v>
      </c>
      <c r="E1548" s="21">
        <f>IFERROR(__xludf.DUMMYFUNCTION("""COMPUTED_VALUE"""),145359.0)</f>
        <v>145359</v>
      </c>
      <c r="F1548" s="21" t="str">
        <f>IFERROR(__xludf.DUMMYFUNCTION("""COMPUTED_VALUE"""),"INICIALIZADO")</f>
        <v>INICIALIZADO</v>
      </c>
      <c r="G1548" s="23">
        <f>IFERROR(__xludf.DUMMYFUNCTION("""COMPUTED_VALUE"""),45642.52412037037)</f>
        <v>45642.52412</v>
      </c>
      <c r="H1548" s="24" t="str">
        <f>IFERROR(VLOOKUP(B1548,material!A:D,3,0),"")</f>
        <v>TOP MIX</v>
      </c>
    </row>
    <row r="1549" ht="11.25" customHeight="1">
      <c r="A1549" s="21" t="str">
        <f>IFERROR(__xludf.DUMMYFUNCTION("""COMPUTED_VALUE"""),"SMART CARD PRETO NAGRA")</f>
        <v>SMART CARD PRETO NAGRA</v>
      </c>
      <c r="B1549" s="22">
        <f>IFERROR(__xludf.DUMMYFUNCTION("""COMPUTED_VALUE"""),4.1001234E7)</f>
        <v>41001234</v>
      </c>
      <c r="C1549" s="21" t="str">
        <f>IFERROR(__xludf.DUMMYFUNCTION("""COMPUTED_VALUE"""),"246217567174")</f>
        <v>246217567174</v>
      </c>
      <c r="D1549" s="21" t="str">
        <f>IFERROR(__xludf.DUMMYFUNCTION("""COMPUTED_VALUE"""),"DIGITEC TECNOLOGIA DIGITAL E REPRES")</f>
        <v>DIGITEC TECNOLOGIA DIGITAL E REPRES</v>
      </c>
      <c r="E1549" s="21">
        <f>IFERROR(__xludf.DUMMYFUNCTION("""COMPUTED_VALUE"""),145359.0)</f>
        <v>145359</v>
      </c>
      <c r="F1549" s="21" t="str">
        <f>IFERROR(__xludf.DUMMYFUNCTION("""COMPUTED_VALUE"""),"INICIALIZADO")</f>
        <v>INICIALIZADO</v>
      </c>
      <c r="G1549" s="23">
        <f>IFERROR(__xludf.DUMMYFUNCTION("""COMPUTED_VALUE"""),45635.53493055556)</f>
        <v>45635.53493</v>
      </c>
      <c r="H1549" s="24" t="str">
        <f>IFERROR(VLOOKUP(B1549,material!A:D,3,0),"")</f>
        <v>CARD</v>
      </c>
    </row>
    <row r="1550" ht="11.25" customHeight="1">
      <c r="A1550" s="21" t="str">
        <f>IFERROR(__xludf.DUMMYFUNCTION("""COMPUTED_VALUE"""),"SMART CARD PRETO NAGRA")</f>
        <v>SMART CARD PRETO NAGRA</v>
      </c>
      <c r="B1550" s="22">
        <f>IFERROR(__xludf.DUMMYFUNCTION("""COMPUTED_VALUE"""),4.1001234E7)</f>
        <v>41001234</v>
      </c>
      <c r="C1550" s="21" t="str">
        <f>IFERROR(__xludf.DUMMYFUNCTION("""COMPUTED_VALUE"""),"246255413147")</f>
        <v>246255413147</v>
      </c>
      <c r="D1550" s="21" t="str">
        <f>IFERROR(__xludf.DUMMYFUNCTION("""COMPUTED_VALUE"""),"DIGITEC TECNOLOGIA DIGITAL E REPRES")</f>
        <v>DIGITEC TECNOLOGIA DIGITAL E REPRES</v>
      </c>
      <c r="E1550" s="21">
        <f>IFERROR(__xludf.DUMMYFUNCTION("""COMPUTED_VALUE"""),145359.0)</f>
        <v>145359</v>
      </c>
      <c r="F1550" s="21" t="str">
        <f>IFERROR(__xludf.DUMMYFUNCTION("""COMPUTED_VALUE"""),"INICIALIZADO")</f>
        <v>INICIALIZADO</v>
      </c>
      <c r="G1550" s="23">
        <f>IFERROR(__xludf.DUMMYFUNCTION("""COMPUTED_VALUE"""),45635.53493055556)</f>
        <v>45635.53493</v>
      </c>
      <c r="H1550" s="24" t="str">
        <f>IFERROR(VLOOKUP(B1550,material!A:D,3,0),"")</f>
        <v>CARD</v>
      </c>
    </row>
    <row r="1551" ht="11.25" customHeight="1">
      <c r="A1551" s="21" t="str">
        <f>IFERROR(__xludf.DUMMYFUNCTION("""COMPUTED_VALUE"""),"SMART CARD PRETO NAGRA")</f>
        <v>SMART CARD PRETO NAGRA</v>
      </c>
      <c r="B1551" s="22">
        <f>IFERROR(__xludf.DUMMYFUNCTION("""COMPUTED_VALUE"""),4.1001234E7)</f>
        <v>41001234</v>
      </c>
      <c r="C1551" s="21" t="str">
        <f>IFERROR(__xludf.DUMMYFUNCTION("""COMPUTED_VALUE"""),"246252103744")</f>
        <v>246252103744</v>
      </c>
      <c r="D1551" s="21" t="str">
        <f>IFERROR(__xludf.DUMMYFUNCTION("""COMPUTED_VALUE"""),"DIGITEC TECNOLOGIA DIGITAL E REPRES")</f>
        <v>DIGITEC TECNOLOGIA DIGITAL E REPRES</v>
      </c>
      <c r="E1551" s="21">
        <f>IFERROR(__xludf.DUMMYFUNCTION("""COMPUTED_VALUE"""),145359.0)</f>
        <v>145359</v>
      </c>
      <c r="F1551" s="21" t="str">
        <f>IFERROR(__xludf.DUMMYFUNCTION("""COMPUTED_VALUE"""),"INICIALIZADO")</f>
        <v>INICIALIZADO</v>
      </c>
      <c r="G1551" s="23">
        <f>IFERROR(__xludf.DUMMYFUNCTION("""COMPUTED_VALUE"""),45635.53493055556)</f>
        <v>45635.53493</v>
      </c>
      <c r="H1551" s="24" t="str">
        <f>IFERROR(VLOOKUP(B1551,material!A:D,3,0),"")</f>
        <v>CARD</v>
      </c>
    </row>
    <row r="1552" ht="11.25" customHeight="1">
      <c r="A1552" s="21" t="str">
        <f>IFERROR(__xludf.DUMMYFUNCTION("""COMPUTED_VALUE"""),"SMART CARD PRETO NAGRA")</f>
        <v>SMART CARD PRETO NAGRA</v>
      </c>
      <c r="B1552" s="22">
        <f>IFERROR(__xludf.DUMMYFUNCTION("""COMPUTED_VALUE"""),4.1001234E7)</f>
        <v>41001234</v>
      </c>
      <c r="C1552" s="21" t="str">
        <f>IFERROR(__xludf.DUMMYFUNCTION("""COMPUTED_VALUE"""),"226417746284")</f>
        <v>226417746284</v>
      </c>
      <c r="D1552" s="21" t="str">
        <f>IFERROR(__xludf.DUMMYFUNCTION("""COMPUTED_VALUE"""),"DIGITEC TECNOLOGIA DIGITAL E REPRES")</f>
        <v>DIGITEC TECNOLOGIA DIGITAL E REPRES</v>
      </c>
      <c r="E1552" s="21">
        <f>IFERROR(__xludf.DUMMYFUNCTION("""COMPUTED_VALUE"""),145359.0)</f>
        <v>145359</v>
      </c>
      <c r="F1552" s="21" t="str">
        <f>IFERROR(__xludf.DUMMYFUNCTION("""COMPUTED_VALUE"""),"INICIALIZADO")</f>
        <v>INICIALIZADO</v>
      </c>
      <c r="G1552" s="23">
        <f>IFERROR(__xludf.DUMMYFUNCTION("""COMPUTED_VALUE"""),45635.53496527778)</f>
        <v>45635.53497</v>
      </c>
      <c r="H1552" s="24" t="str">
        <f>IFERROR(VLOOKUP(B1552,material!A:D,3,0),"")</f>
        <v>CARD</v>
      </c>
    </row>
    <row r="1553" ht="11.25" customHeight="1">
      <c r="A1553" s="21" t="str">
        <f>IFERROR(__xludf.DUMMYFUNCTION("""COMPUTED_VALUE"""),"SMART CARD PRETO NAGRA")</f>
        <v>SMART CARD PRETO NAGRA</v>
      </c>
      <c r="B1553" s="22">
        <f>IFERROR(__xludf.DUMMYFUNCTION("""COMPUTED_VALUE"""),4.1001234E7)</f>
        <v>41001234</v>
      </c>
      <c r="C1553" s="21" t="str">
        <f>IFERROR(__xludf.DUMMYFUNCTION("""COMPUTED_VALUE"""),"226118694764")</f>
        <v>226118694764</v>
      </c>
      <c r="D1553" s="21" t="str">
        <f>IFERROR(__xludf.DUMMYFUNCTION("""COMPUTED_VALUE"""),"DIGITEC TECNOLOGIA DIGITAL E REPRES")</f>
        <v>DIGITEC TECNOLOGIA DIGITAL E REPRES</v>
      </c>
      <c r="E1553" s="21">
        <f>IFERROR(__xludf.DUMMYFUNCTION("""COMPUTED_VALUE"""),145359.0)</f>
        <v>145359</v>
      </c>
      <c r="F1553" s="21" t="str">
        <f>IFERROR(__xludf.DUMMYFUNCTION("""COMPUTED_VALUE"""),"INICIALIZADO")</f>
        <v>INICIALIZADO</v>
      </c>
      <c r="G1553" s="23">
        <f>IFERROR(__xludf.DUMMYFUNCTION("""COMPUTED_VALUE"""),45635.53494212963)</f>
        <v>45635.53494</v>
      </c>
      <c r="H1553" s="24" t="str">
        <f>IFERROR(VLOOKUP(B1553,material!A:D,3,0),"")</f>
        <v>CARD</v>
      </c>
    </row>
    <row r="1554" ht="11.25" customHeight="1">
      <c r="A1554" s="21" t="str">
        <f>IFERROR(__xludf.DUMMYFUNCTION("""COMPUTED_VALUE"""),"SMART CARD PRETO NAGRA")</f>
        <v>SMART CARD PRETO NAGRA</v>
      </c>
      <c r="B1554" s="22">
        <f>IFERROR(__xludf.DUMMYFUNCTION("""COMPUTED_VALUE"""),4.1001234E7)</f>
        <v>41001234</v>
      </c>
      <c r="C1554" s="21" t="str">
        <f>IFERROR(__xludf.DUMMYFUNCTION("""COMPUTED_VALUE"""),"246110929708")</f>
        <v>246110929708</v>
      </c>
      <c r="D1554" s="21" t="str">
        <f>IFERROR(__xludf.DUMMYFUNCTION("""COMPUTED_VALUE"""),"DIGITEC TECNOLOGIA DIGITAL E REPRES")</f>
        <v>DIGITEC TECNOLOGIA DIGITAL E REPRES</v>
      </c>
      <c r="E1554" s="21">
        <f>IFERROR(__xludf.DUMMYFUNCTION("""COMPUTED_VALUE"""),145359.0)</f>
        <v>145359</v>
      </c>
      <c r="F1554" s="21" t="str">
        <f>IFERROR(__xludf.DUMMYFUNCTION("""COMPUTED_VALUE"""),"INICIALIZADO")</f>
        <v>INICIALIZADO</v>
      </c>
      <c r="G1554" s="23">
        <f>IFERROR(__xludf.DUMMYFUNCTION("""COMPUTED_VALUE"""),45635.534907407404)</f>
        <v>45635.53491</v>
      </c>
      <c r="H1554" s="24" t="str">
        <f>IFERROR(VLOOKUP(B1554,material!A:D,3,0),"")</f>
        <v>CARD</v>
      </c>
    </row>
    <row r="1555" ht="11.25" customHeight="1">
      <c r="A1555" s="21" t="str">
        <f>IFERROR(__xludf.DUMMYFUNCTION("""COMPUTED_VALUE"""),"SMART CARD PRETO NAGRA")</f>
        <v>SMART CARD PRETO NAGRA</v>
      </c>
      <c r="B1555" s="22">
        <f>IFERROR(__xludf.DUMMYFUNCTION("""COMPUTED_VALUE"""),4.1001234E7)</f>
        <v>41001234</v>
      </c>
      <c r="C1555" s="21" t="str">
        <f>IFERROR(__xludf.DUMMYFUNCTION("""COMPUTED_VALUE"""),"226368183546")</f>
        <v>226368183546</v>
      </c>
      <c r="D1555" s="21" t="str">
        <f>IFERROR(__xludf.DUMMYFUNCTION("""COMPUTED_VALUE"""),"DIGITEC TECNOLOGIA DIGITAL E REPRES")</f>
        <v>DIGITEC TECNOLOGIA DIGITAL E REPRES</v>
      </c>
      <c r="E1555" s="21">
        <f>IFERROR(__xludf.DUMMYFUNCTION("""COMPUTED_VALUE"""),145359.0)</f>
        <v>145359</v>
      </c>
      <c r="F1555" s="21" t="str">
        <f>IFERROR(__xludf.DUMMYFUNCTION("""COMPUTED_VALUE"""),"INICIALIZADO")</f>
        <v>INICIALIZADO</v>
      </c>
      <c r="G1555" s="23">
        <f>IFERROR(__xludf.DUMMYFUNCTION("""COMPUTED_VALUE"""),45635.53496527778)</f>
        <v>45635.53497</v>
      </c>
      <c r="H1555" s="24" t="str">
        <f>IFERROR(VLOOKUP(B1555,material!A:D,3,0),"")</f>
        <v>CARD</v>
      </c>
    </row>
    <row r="1556" ht="11.25" customHeight="1">
      <c r="A1556" s="21" t="str">
        <f>IFERROR(__xludf.DUMMYFUNCTION("""COMPUTED_VALUE"""),"SMART CARD PRETO NAGRA")</f>
        <v>SMART CARD PRETO NAGRA</v>
      </c>
      <c r="B1556" s="22">
        <f>IFERROR(__xludf.DUMMYFUNCTION("""COMPUTED_VALUE"""),4.1001234E7)</f>
        <v>41001234</v>
      </c>
      <c r="C1556" s="21" t="str">
        <f>IFERROR(__xludf.DUMMYFUNCTION("""COMPUTED_VALUE"""),"226153134051")</f>
        <v>226153134051</v>
      </c>
      <c r="D1556" s="21" t="str">
        <f>IFERROR(__xludf.DUMMYFUNCTION("""COMPUTED_VALUE"""),"DIGITEC TECNOLOGIA DIGITAL E REPRES")</f>
        <v>DIGITEC TECNOLOGIA DIGITAL E REPRES</v>
      </c>
      <c r="E1556" s="21">
        <f>IFERROR(__xludf.DUMMYFUNCTION("""COMPUTED_VALUE"""),145359.0)</f>
        <v>145359</v>
      </c>
      <c r="F1556" s="21" t="str">
        <f>IFERROR(__xludf.DUMMYFUNCTION("""COMPUTED_VALUE"""),"INICIALIZADO")</f>
        <v>INICIALIZADO</v>
      </c>
      <c r="G1556" s="23">
        <f>IFERROR(__xludf.DUMMYFUNCTION("""COMPUTED_VALUE"""),45635.53494212963)</f>
        <v>45635.53494</v>
      </c>
      <c r="H1556" s="24" t="str">
        <f>IFERROR(VLOOKUP(B1556,material!A:D,3,0),"")</f>
        <v>CARD</v>
      </c>
    </row>
    <row r="1557" ht="11.25" customHeight="1">
      <c r="A1557" s="21" t="str">
        <f>IFERROR(__xludf.DUMMYFUNCTION("""COMPUTED_VALUE"""),"DECODER DIGITAL HD HNB100 2T")</f>
        <v>DECODER DIGITAL HD HNB100 2T</v>
      </c>
      <c r="B1557" s="22">
        <f>IFERROR(__xludf.DUMMYFUNCTION("""COMPUTED_VALUE"""),4.1001276E7)</f>
        <v>41001276</v>
      </c>
      <c r="C1557" s="21" t="str">
        <f>IFERROR(__xludf.DUMMYFUNCTION("""COMPUTED_VALUE"""),"216639868393")</f>
        <v>216639868393</v>
      </c>
      <c r="D1557" s="21" t="str">
        <f>IFERROR(__xludf.DUMMYFUNCTION("""COMPUTED_VALUE"""),"DIGITEC TECNOLOGIA DIGITAL E REPRES")</f>
        <v>DIGITEC TECNOLOGIA DIGITAL E REPRES</v>
      </c>
      <c r="E1557" s="21">
        <f>IFERROR(__xludf.DUMMYFUNCTION("""COMPUTED_VALUE"""),145359.0)</f>
        <v>145359</v>
      </c>
      <c r="F1557" s="21" t="str">
        <f>IFERROR(__xludf.DUMMYFUNCTION("""COMPUTED_VALUE"""),"INICIALIZADO")</f>
        <v>INICIALIZADO</v>
      </c>
      <c r="G1557" s="23">
        <f>IFERROR(__xludf.DUMMYFUNCTION("""COMPUTED_VALUE"""),45635.53506944445)</f>
        <v>45635.53507</v>
      </c>
      <c r="H1557" s="24" t="str">
        <f>IFERROR(VLOOKUP(B1557,material!A:D,3,0),"")</f>
        <v>TOP MIX</v>
      </c>
    </row>
    <row r="1558" ht="11.25" customHeight="1">
      <c r="A1558" s="21" t="str">
        <f>IFERROR(__xludf.DUMMYFUNCTION("""COMPUTED_VALUE"""),"SMART CARD PRETO NAGRA")</f>
        <v>SMART CARD PRETO NAGRA</v>
      </c>
      <c r="B1558" s="22">
        <f>IFERROR(__xludf.DUMMYFUNCTION("""COMPUTED_VALUE"""),4.1001234E7)</f>
        <v>41001234</v>
      </c>
      <c r="C1558" s="21" t="str">
        <f>IFERROR(__xludf.DUMMYFUNCTION("""COMPUTED_VALUE"""),"226035402438")</f>
        <v>226035402438</v>
      </c>
      <c r="D1558" s="21" t="str">
        <f>IFERROR(__xludf.DUMMYFUNCTION("""COMPUTED_VALUE"""),"DIGITEC TECNOLOGIA DIGITAL E REPRES")</f>
        <v>DIGITEC TECNOLOGIA DIGITAL E REPRES</v>
      </c>
      <c r="E1558" s="21">
        <f>IFERROR(__xludf.DUMMYFUNCTION("""COMPUTED_VALUE"""),145359.0)</f>
        <v>145359</v>
      </c>
      <c r="F1558" s="21" t="str">
        <f>IFERROR(__xludf.DUMMYFUNCTION("""COMPUTED_VALUE"""),"INICIALIZADO")</f>
        <v>INICIALIZADO</v>
      </c>
      <c r="G1558" s="23">
        <f>IFERROR(__xludf.DUMMYFUNCTION("""COMPUTED_VALUE"""),45022.753009259264)</f>
        <v>45022.75301</v>
      </c>
      <c r="H1558" s="24" t="str">
        <f>IFERROR(VLOOKUP(B1558,material!A:D,3,0),"")</f>
        <v>CARD</v>
      </c>
    </row>
    <row r="1559" ht="11.25" customHeight="1">
      <c r="A1559" s="21" t="str">
        <f>IFERROR(__xludf.DUMMYFUNCTION("""COMPUTED_VALUE"""),"SMART CARD LARANJA NAGRA")</f>
        <v>SMART CARD LARANJA NAGRA</v>
      </c>
      <c r="B1559" s="22">
        <f>IFERROR(__xludf.DUMMYFUNCTION("""COMPUTED_VALUE"""),4.1001186E7)</f>
        <v>41001186</v>
      </c>
      <c r="C1559" s="21" t="str">
        <f>IFERROR(__xludf.DUMMYFUNCTION("""COMPUTED_VALUE"""),"225796280426")</f>
        <v>225796280426</v>
      </c>
      <c r="D1559" s="21" t="str">
        <f>IFERROR(__xludf.DUMMYFUNCTION("""COMPUTED_VALUE"""),"DIGITEC TECNOLOGIA DIGITAL E REPRES")</f>
        <v>DIGITEC TECNOLOGIA DIGITAL E REPRES</v>
      </c>
      <c r="E1559" s="21">
        <f>IFERROR(__xludf.DUMMYFUNCTION("""COMPUTED_VALUE"""),145359.0)</f>
        <v>145359</v>
      </c>
      <c r="F1559" s="21" t="str">
        <f>IFERROR(__xludf.DUMMYFUNCTION("""COMPUTED_VALUE"""),"INICIALIZADO")</f>
        <v>INICIALIZADO</v>
      </c>
      <c r="G1559" s="23">
        <f>IFERROR(__xludf.DUMMYFUNCTION("""COMPUTED_VALUE"""),45573.66674768519)</f>
        <v>45573.66675</v>
      </c>
      <c r="H1559" s="24" t="str">
        <f>IFERROR(VLOOKUP(B1559,material!A:D,3,0),"")</f>
        <v>CARD</v>
      </c>
    </row>
    <row r="1560" ht="11.25" customHeight="1">
      <c r="A1560" s="21" t="str">
        <f>IFERROR(__xludf.DUMMYFUNCTION("""COMPUTED_VALUE"""),"DECODER DIGITAL HD DXC5000 2T")</f>
        <v>DECODER DIGITAL HD DXC5000 2T</v>
      </c>
      <c r="B1560" s="22">
        <f>IFERROR(__xludf.DUMMYFUNCTION("""COMPUTED_VALUE"""),4.1001277E7)</f>
        <v>41001277</v>
      </c>
      <c r="C1560" s="21" t="str">
        <f>IFERROR(__xludf.DUMMYFUNCTION("""COMPUTED_VALUE"""),"216392148392")</f>
        <v>216392148392</v>
      </c>
      <c r="D1560" s="21" t="str">
        <f>IFERROR(__xludf.DUMMYFUNCTION("""COMPUTED_VALUE"""),"DIGITEC TECNOLOGIA DIGITAL E REPRES")</f>
        <v>DIGITEC TECNOLOGIA DIGITAL E REPRES</v>
      </c>
      <c r="E1560" s="21">
        <f>IFERROR(__xludf.DUMMYFUNCTION("""COMPUTED_VALUE"""),145359.0)</f>
        <v>145359</v>
      </c>
      <c r="F1560" s="21" t="str">
        <f>IFERROR(__xludf.DUMMYFUNCTION("""COMPUTED_VALUE"""),"INICIALIZADO")</f>
        <v>INICIALIZADO</v>
      </c>
      <c r="G1560" s="23">
        <f>IFERROR(__xludf.DUMMYFUNCTION("""COMPUTED_VALUE"""),45618.65201388889)</f>
        <v>45618.65201</v>
      </c>
      <c r="H1560" s="24" t="str">
        <f>IFERROR(VLOOKUP(B1560,material!A:D,3,0),"")</f>
        <v>TOP MIX</v>
      </c>
    </row>
    <row r="1561" ht="11.25" customHeight="1">
      <c r="A1561" s="21" t="str">
        <f>IFERROR(__xludf.DUMMYFUNCTION("""COMPUTED_VALUE"""),"SMART CARD PRETO NAGRA")</f>
        <v>SMART CARD PRETO NAGRA</v>
      </c>
      <c r="B1561" s="22">
        <f>IFERROR(__xludf.DUMMYFUNCTION("""COMPUTED_VALUE"""),4.1001234E7)</f>
        <v>41001234</v>
      </c>
      <c r="C1561" s="21" t="str">
        <f>IFERROR(__xludf.DUMMYFUNCTION("""COMPUTED_VALUE"""),"226030838299")</f>
        <v>226030838299</v>
      </c>
      <c r="D1561" s="21" t="str">
        <f>IFERROR(__xludf.DUMMYFUNCTION("""COMPUTED_VALUE"""),"DIGITEC TECNOLOGIA DIGITAL E REPRES")</f>
        <v>DIGITEC TECNOLOGIA DIGITAL E REPRES</v>
      </c>
      <c r="E1561" s="21">
        <f>IFERROR(__xludf.DUMMYFUNCTION("""COMPUTED_VALUE"""),145359.0)</f>
        <v>145359</v>
      </c>
      <c r="F1561" s="21" t="str">
        <f>IFERROR(__xludf.DUMMYFUNCTION("""COMPUTED_VALUE"""),"INICIALIZADO")</f>
        <v>INICIALIZADO</v>
      </c>
      <c r="G1561" s="23">
        <f>IFERROR(__xludf.DUMMYFUNCTION("""COMPUTED_VALUE"""),45635.53494212963)</f>
        <v>45635.53494</v>
      </c>
      <c r="H1561" s="24" t="str">
        <f>IFERROR(VLOOKUP(B1561,material!A:D,3,0),"")</f>
        <v>CARD</v>
      </c>
    </row>
    <row r="1562" ht="11.25" customHeight="1">
      <c r="A1562" s="21" t="str">
        <f>IFERROR(__xludf.DUMMYFUNCTION("""COMPUTED_VALUE"""),"DECODER DIGITAL HD DXC5000 2T")</f>
        <v>DECODER DIGITAL HD DXC5000 2T</v>
      </c>
      <c r="B1562" s="22">
        <f>IFERROR(__xludf.DUMMYFUNCTION("""COMPUTED_VALUE"""),4.1001277E7)</f>
        <v>41001277</v>
      </c>
      <c r="C1562" s="21" t="str">
        <f>IFERROR(__xludf.DUMMYFUNCTION("""COMPUTED_VALUE"""),"216328286279")</f>
        <v>216328286279</v>
      </c>
      <c r="D1562" s="21" t="str">
        <f>IFERROR(__xludf.DUMMYFUNCTION("""COMPUTED_VALUE"""),"DIGITEC TECNOLOGIA DIGITAL E REPRES")</f>
        <v>DIGITEC TECNOLOGIA DIGITAL E REPRES</v>
      </c>
      <c r="E1562" s="21">
        <f>IFERROR(__xludf.DUMMYFUNCTION("""COMPUTED_VALUE"""),145359.0)</f>
        <v>145359</v>
      </c>
      <c r="F1562" s="21" t="str">
        <f>IFERROR(__xludf.DUMMYFUNCTION("""COMPUTED_VALUE"""),"INICIALIZADO")</f>
        <v>INICIALIZADO</v>
      </c>
      <c r="G1562" s="23">
        <f>IFERROR(__xludf.DUMMYFUNCTION("""COMPUTED_VALUE"""),45615.61856481481)</f>
        <v>45615.61856</v>
      </c>
      <c r="H1562" s="24" t="str">
        <f>IFERROR(VLOOKUP(B1562,material!A:D,3,0),"")</f>
        <v>TOP MIX</v>
      </c>
    </row>
    <row r="1563" ht="11.25" customHeight="1">
      <c r="A1563" s="21" t="str">
        <f>IFERROR(__xludf.DUMMYFUNCTION("""COMPUTED_VALUE"""),"DECODER DIGITAL HD DXC5000 2T")</f>
        <v>DECODER DIGITAL HD DXC5000 2T</v>
      </c>
      <c r="B1563" s="22">
        <f>IFERROR(__xludf.DUMMYFUNCTION("""COMPUTED_VALUE"""),4.1001277E7)</f>
        <v>41001277</v>
      </c>
      <c r="C1563" s="21" t="str">
        <f>IFERROR(__xludf.DUMMYFUNCTION("""COMPUTED_VALUE"""),"216584148690")</f>
        <v>216584148690</v>
      </c>
      <c r="D1563" s="21" t="str">
        <f>IFERROR(__xludf.DUMMYFUNCTION("""COMPUTED_VALUE"""),"DIGITEC TECNOLOGIA DIGITAL E REPRES")</f>
        <v>DIGITEC TECNOLOGIA DIGITAL E REPRES</v>
      </c>
      <c r="E1563" s="21">
        <f>IFERROR(__xludf.DUMMYFUNCTION("""COMPUTED_VALUE"""),145359.0)</f>
        <v>145359</v>
      </c>
      <c r="F1563" s="21" t="str">
        <f>IFERROR(__xludf.DUMMYFUNCTION("""COMPUTED_VALUE"""),"INICIALIZADO")</f>
        <v>INICIALIZADO</v>
      </c>
      <c r="G1563" s="23">
        <f>IFERROR(__xludf.DUMMYFUNCTION("""COMPUTED_VALUE"""),45600.47599537037)</f>
        <v>45600.476</v>
      </c>
      <c r="H1563" s="24" t="str">
        <f>IFERROR(VLOOKUP(B1563,material!A:D,3,0),"")</f>
        <v>TOP MIX</v>
      </c>
    </row>
    <row r="1564" ht="11.25" customHeight="1">
      <c r="A1564" s="21" t="str">
        <f>IFERROR(__xludf.DUMMYFUNCTION("""COMPUTED_VALUE"""),"ARRIS TG1692A")</f>
        <v>ARRIS TG1692A</v>
      </c>
      <c r="B1564" s="22">
        <f>IFERROR(__xludf.DUMMYFUNCTION("""COMPUTED_VALUE"""),4.1001293E7)</f>
        <v>41001293</v>
      </c>
      <c r="C1564" s="21" t="str">
        <f>IFERROR(__xludf.DUMMYFUNCTION("""COMPUTED_VALUE"""),"BC644BCB53D9")</f>
        <v>BC644BCB53D9</v>
      </c>
      <c r="D1564" s="21" t="str">
        <f>IFERROR(__xludf.DUMMYFUNCTION("""COMPUTED_VALUE"""),"DIGITEC TECNOLOGIA DIGITAL E REPRES")</f>
        <v>DIGITEC TECNOLOGIA DIGITAL E REPRES</v>
      </c>
      <c r="E1564" s="21">
        <f>IFERROR(__xludf.DUMMYFUNCTION("""COMPUTED_VALUE"""),145359.0)</f>
        <v>145359</v>
      </c>
      <c r="F1564" s="21" t="str">
        <f>IFERROR(__xludf.DUMMYFUNCTION("""COMPUTED_VALUE"""),"INICIALIZADO")</f>
        <v>INICIALIZADO</v>
      </c>
      <c r="G1564" s="23">
        <f>IFERROR(__xludf.DUMMYFUNCTION("""COMPUTED_VALUE"""),45565.383726851855)</f>
        <v>45565.38373</v>
      </c>
      <c r="H1564" s="24" t="str">
        <f>IFERROR(VLOOKUP(B1564,material!A:D,3,0),"")</f>
        <v>DUAL</v>
      </c>
    </row>
    <row r="1565" ht="11.25" customHeight="1">
      <c r="A1565" s="21" t="str">
        <f>IFERROR(__xludf.DUMMYFUNCTION("""COMPUTED_VALUE"""),"TECHNICOLOR TC7337NET")</f>
        <v>TECHNICOLOR TC7337NET</v>
      </c>
      <c r="B1565" s="22">
        <f>IFERROR(__xludf.DUMMYFUNCTION("""COMPUTED_VALUE"""),4.1001294E7)</f>
        <v>41001294</v>
      </c>
      <c r="C1565" s="21" t="str">
        <f>IFERROR(__xludf.DUMMYFUNCTION("""COMPUTED_VALUE"""),"B42A0ED27291")</f>
        <v>B42A0ED27291</v>
      </c>
      <c r="D1565" s="21" t="str">
        <f>IFERROR(__xludf.DUMMYFUNCTION("""COMPUTED_VALUE"""),"DIGITEC TECNOLOGIA DIGITAL E REPRES")</f>
        <v>DIGITEC TECNOLOGIA DIGITAL E REPRES</v>
      </c>
      <c r="E1565" s="21">
        <f>IFERROR(__xludf.DUMMYFUNCTION("""COMPUTED_VALUE"""),145359.0)</f>
        <v>145359</v>
      </c>
      <c r="F1565" s="21" t="str">
        <f>IFERROR(__xludf.DUMMYFUNCTION("""COMPUTED_VALUE"""),"TRANSITO REVERSA")</f>
        <v>TRANSITO REVERSA</v>
      </c>
      <c r="G1565" s="23">
        <f>IFERROR(__xludf.DUMMYFUNCTION("""COMPUTED_VALUE"""),45633.00399305555)</f>
        <v>45633.00399</v>
      </c>
      <c r="H1565" s="24" t="str">
        <f>IFERROR(VLOOKUP(B1565,material!A:D,3,0),"")</f>
        <v>DUAL</v>
      </c>
    </row>
    <row r="1566" ht="11.25" customHeight="1">
      <c r="A1566" s="21" t="str">
        <f>IFERROR(__xludf.DUMMYFUNCTION("""COMPUTED_VALUE"""),"SMART CARD PRETO NAGRA")</f>
        <v>SMART CARD PRETO NAGRA</v>
      </c>
      <c r="B1566" s="22">
        <f>IFERROR(__xludf.DUMMYFUNCTION("""COMPUTED_VALUE"""),4.1001234E7)</f>
        <v>41001234</v>
      </c>
      <c r="C1566" s="21" t="str">
        <f>IFERROR(__xludf.DUMMYFUNCTION("""COMPUTED_VALUE"""),"246234700116")</f>
        <v>246234700116</v>
      </c>
      <c r="D1566" s="21" t="str">
        <f>IFERROR(__xludf.DUMMYFUNCTION("""COMPUTED_VALUE"""),"DIGITEC TECNOLOGIA DIGITAL E REPRES")</f>
        <v>DIGITEC TECNOLOGIA DIGITAL E REPRES</v>
      </c>
      <c r="E1566" s="21">
        <f>IFERROR(__xludf.DUMMYFUNCTION("""COMPUTED_VALUE"""),145359.0)</f>
        <v>145359</v>
      </c>
      <c r="F1566" s="21" t="str">
        <f>IFERROR(__xludf.DUMMYFUNCTION("""COMPUTED_VALUE"""),"TRANSITO REVERSA")</f>
        <v>TRANSITO REVERSA</v>
      </c>
      <c r="G1566" s="23">
        <f>IFERROR(__xludf.DUMMYFUNCTION("""COMPUTED_VALUE"""),45638.520625000005)</f>
        <v>45638.52063</v>
      </c>
      <c r="H1566" s="24" t="str">
        <f>IFERROR(VLOOKUP(B1566,material!A:D,3,0),"")</f>
        <v>CARD</v>
      </c>
    </row>
    <row r="1567" ht="11.25" customHeight="1">
      <c r="A1567" s="21" t="str">
        <f>IFERROR(__xludf.DUMMYFUNCTION("""COMPUTED_VALUE"""),"SMART CARD PRETO NAGRA")</f>
        <v>SMART CARD PRETO NAGRA</v>
      </c>
      <c r="B1567" s="22">
        <f>IFERROR(__xludf.DUMMYFUNCTION("""COMPUTED_VALUE"""),4.1001234E7)</f>
        <v>41001234</v>
      </c>
      <c r="C1567" s="21" t="str">
        <f>IFERROR(__xludf.DUMMYFUNCTION("""COMPUTED_VALUE"""),"246035111838")</f>
        <v>246035111838</v>
      </c>
      <c r="D1567" s="21" t="str">
        <f>IFERROR(__xludf.DUMMYFUNCTION("""COMPUTED_VALUE"""),"DIGITEC TECNOLOGIA DIGITAL E REPRES")</f>
        <v>DIGITEC TECNOLOGIA DIGITAL E REPRES</v>
      </c>
      <c r="E1567" s="21">
        <f>IFERROR(__xludf.DUMMYFUNCTION("""COMPUTED_VALUE"""),145359.0)</f>
        <v>145359</v>
      </c>
      <c r="F1567" s="21" t="str">
        <f>IFERROR(__xludf.DUMMYFUNCTION("""COMPUTED_VALUE"""),"INICIALIZADO")</f>
        <v>INICIALIZADO</v>
      </c>
      <c r="G1567" s="23">
        <f>IFERROR(__xludf.DUMMYFUNCTION("""COMPUTED_VALUE"""),45642.52410879629)</f>
        <v>45642.52411</v>
      </c>
      <c r="H1567" s="24" t="str">
        <f>IFERROR(VLOOKUP(B1567,material!A:D,3,0),"")</f>
        <v>CARD</v>
      </c>
    </row>
    <row r="1568" ht="11.25" customHeight="1">
      <c r="A1568" s="21" t="str">
        <f>IFERROR(__xludf.DUMMYFUNCTION("""COMPUTED_VALUE"""),"SMART CARD PRETO NAGRA")</f>
        <v>SMART CARD PRETO NAGRA</v>
      </c>
      <c r="B1568" s="22">
        <f>IFERROR(__xludf.DUMMYFUNCTION("""COMPUTED_VALUE"""),4.1001234E7)</f>
        <v>41001234</v>
      </c>
      <c r="C1568" s="21" t="str">
        <f>IFERROR(__xludf.DUMMYFUNCTION("""COMPUTED_VALUE"""),"246057134256")</f>
        <v>246057134256</v>
      </c>
      <c r="D1568" s="21" t="str">
        <f>IFERROR(__xludf.DUMMYFUNCTION("""COMPUTED_VALUE"""),"DIGITEC TECNOLOGIA DIGITAL E REPRES")</f>
        <v>DIGITEC TECNOLOGIA DIGITAL E REPRES</v>
      </c>
      <c r="E1568" s="21">
        <f>IFERROR(__xludf.DUMMYFUNCTION("""COMPUTED_VALUE"""),145359.0)</f>
        <v>145359</v>
      </c>
      <c r="F1568" s="21" t="str">
        <f>IFERROR(__xludf.DUMMYFUNCTION("""COMPUTED_VALUE"""),"INICIALIZADO")</f>
        <v>INICIALIZADO</v>
      </c>
      <c r="G1568" s="23">
        <f>IFERROR(__xludf.DUMMYFUNCTION("""COMPUTED_VALUE"""),45635.534907407404)</f>
        <v>45635.53491</v>
      </c>
      <c r="H1568" s="24" t="str">
        <f>IFERROR(VLOOKUP(B1568,material!A:D,3,0),"")</f>
        <v>CARD</v>
      </c>
    </row>
    <row r="1569" ht="11.25" customHeight="1">
      <c r="A1569" s="21" t="str">
        <f>IFERROR(__xludf.DUMMYFUNCTION("""COMPUTED_VALUE"""),"DECODER DIGITAL HD DXC5000 2T")</f>
        <v>DECODER DIGITAL HD DXC5000 2T</v>
      </c>
      <c r="B1569" s="22">
        <f>IFERROR(__xludf.DUMMYFUNCTION("""COMPUTED_VALUE"""),4.1001277E7)</f>
        <v>41001277</v>
      </c>
      <c r="C1569" s="21" t="str">
        <f>IFERROR(__xludf.DUMMYFUNCTION("""COMPUTED_VALUE"""),"216452164654")</f>
        <v>216452164654</v>
      </c>
      <c r="D1569" s="21" t="str">
        <f>IFERROR(__xludf.DUMMYFUNCTION("""COMPUTED_VALUE"""),"DIGITEC TECNOLOGIA DIGITAL E REPRES")</f>
        <v>DIGITEC TECNOLOGIA DIGITAL E REPRES</v>
      </c>
      <c r="E1569" s="21">
        <f>IFERROR(__xludf.DUMMYFUNCTION("""COMPUTED_VALUE"""),145359.0)</f>
        <v>145359</v>
      </c>
      <c r="F1569" s="21" t="str">
        <f>IFERROR(__xludf.DUMMYFUNCTION("""COMPUTED_VALUE"""),"INICIALIZADO")</f>
        <v>INICIALIZADO</v>
      </c>
      <c r="G1569" s="23">
        <f>IFERROR(__xludf.DUMMYFUNCTION("""COMPUTED_VALUE"""),45623.56427083333)</f>
        <v>45623.56427</v>
      </c>
      <c r="H1569" s="24" t="str">
        <f>IFERROR(VLOOKUP(B1569,material!A:D,3,0),"")</f>
        <v>TOP MIX</v>
      </c>
    </row>
    <row r="1570" ht="11.25" customHeight="1">
      <c r="A1570" s="21" t="str">
        <f>IFERROR(__xludf.DUMMYFUNCTION("""COMPUTED_VALUE"""),"SMART CARD LARANJA NAGRA")</f>
        <v>SMART CARD LARANJA NAGRA</v>
      </c>
      <c r="B1570" s="22">
        <f>IFERROR(__xludf.DUMMYFUNCTION("""COMPUTED_VALUE"""),4.1001186E7)</f>
        <v>41001186</v>
      </c>
      <c r="C1570" s="21" t="str">
        <f>IFERROR(__xludf.DUMMYFUNCTION("""COMPUTED_VALUE"""),"215756762242")</f>
        <v>215756762242</v>
      </c>
      <c r="D1570" s="21" t="str">
        <f>IFERROR(__xludf.DUMMYFUNCTION("""COMPUTED_VALUE"""),"DIGITEC TECNOLOGIA DIGITAL E REPRES")</f>
        <v>DIGITEC TECNOLOGIA DIGITAL E REPRES</v>
      </c>
      <c r="E1570" s="21">
        <f>IFERROR(__xludf.DUMMYFUNCTION("""COMPUTED_VALUE"""),145359.0)</f>
        <v>145359</v>
      </c>
      <c r="F1570" s="21" t="str">
        <f>IFERROR(__xludf.DUMMYFUNCTION("""COMPUTED_VALUE"""),"SUCATA")</f>
        <v>SUCATA</v>
      </c>
      <c r="G1570" s="23">
        <f>IFERROR(__xludf.DUMMYFUNCTION("""COMPUTED_VALUE"""),45075.62225694444)</f>
        <v>45075.62226</v>
      </c>
      <c r="H1570" s="24" t="str">
        <f>IFERROR(VLOOKUP(B1570,material!A:D,3,0),"")</f>
        <v>CARD</v>
      </c>
    </row>
    <row r="1571" ht="11.25" customHeight="1">
      <c r="A1571" s="21" t="str">
        <f>IFERROR(__xludf.DUMMYFUNCTION("""COMPUTED_VALUE"""),"SMART CARD LARANJA NAGRA")</f>
        <v>SMART CARD LARANJA NAGRA</v>
      </c>
      <c r="B1571" s="22">
        <f>IFERROR(__xludf.DUMMYFUNCTION("""COMPUTED_VALUE"""),4.1001186E7)</f>
        <v>41001186</v>
      </c>
      <c r="C1571" s="21" t="str">
        <f>IFERROR(__xludf.DUMMYFUNCTION("""COMPUTED_VALUE"""),"225907671218")</f>
        <v>225907671218</v>
      </c>
      <c r="D1571" s="21" t="str">
        <f>IFERROR(__xludf.DUMMYFUNCTION("""COMPUTED_VALUE"""),"DIGITEC TECNOLOGIA DIGITAL E REPRES")</f>
        <v>DIGITEC TECNOLOGIA DIGITAL E REPRES</v>
      </c>
      <c r="E1571" s="21">
        <f>IFERROR(__xludf.DUMMYFUNCTION("""COMPUTED_VALUE"""),145359.0)</f>
        <v>145359</v>
      </c>
      <c r="F1571" s="21" t="str">
        <f>IFERROR(__xludf.DUMMYFUNCTION("""COMPUTED_VALUE"""),"SUCATA")</f>
        <v>SUCATA</v>
      </c>
      <c r="G1571" s="23">
        <f>IFERROR(__xludf.DUMMYFUNCTION("""COMPUTED_VALUE"""),45076.50004629629)</f>
        <v>45076.50005</v>
      </c>
      <c r="H1571" s="24" t="str">
        <f>IFERROR(VLOOKUP(B1571,material!A:D,3,0),"")</f>
        <v>CARD</v>
      </c>
    </row>
    <row r="1572" ht="11.25" customHeight="1">
      <c r="A1572" s="21" t="str">
        <f>IFERROR(__xludf.DUMMYFUNCTION("""COMPUTED_VALUE"""),"DECODER DIGITAL HD HNB100 2T")</f>
        <v>DECODER DIGITAL HD HNB100 2T</v>
      </c>
      <c r="B1572" s="22">
        <f>IFERROR(__xludf.DUMMYFUNCTION("""COMPUTED_VALUE"""),4.1001276E7)</f>
        <v>41001276</v>
      </c>
      <c r="C1572" s="21" t="str">
        <f>IFERROR(__xludf.DUMMYFUNCTION("""COMPUTED_VALUE"""),"184269915365")</f>
        <v>184269915365</v>
      </c>
      <c r="D1572" s="21" t="str">
        <f>IFERROR(__xludf.DUMMYFUNCTION("""COMPUTED_VALUE"""),"DIGITEC TECNOLOGIA DIGITAL E REPRES")</f>
        <v>DIGITEC TECNOLOGIA DIGITAL E REPRES</v>
      </c>
      <c r="E1572" s="21">
        <f>IFERROR(__xludf.DUMMYFUNCTION("""COMPUTED_VALUE"""),145359.0)</f>
        <v>145359</v>
      </c>
      <c r="F1572" s="21" t="str">
        <f>IFERROR(__xludf.DUMMYFUNCTION("""COMPUTED_VALUE"""),"INICIALIZADO")</f>
        <v>INICIALIZADO</v>
      </c>
      <c r="G1572" s="23">
        <f>IFERROR(__xludf.DUMMYFUNCTION("""COMPUTED_VALUE"""),45635.535057870366)</f>
        <v>45635.53506</v>
      </c>
      <c r="H1572" s="24" t="str">
        <f>IFERROR(VLOOKUP(B1572,material!A:D,3,0),"")</f>
        <v>TOP MIX</v>
      </c>
    </row>
    <row r="1573" ht="11.25" customHeight="1">
      <c r="A1573" s="21" t="str">
        <f>IFERROR(__xludf.DUMMYFUNCTION("""COMPUTED_VALUE"""),"HUMAX HGB10R-02")</f>
        <v>HUMAX HGB10R-02</v>
      </c>
      <c r="B1573" s="22">
        <f>IFERROR(__xludf.DUMMYFUNCTION("""COMPUTED_VALUE"""),4.1001292E7)</f>
        <v>41001292</v>
      </c>
      <c r="C1573" s="21" t="str">
        <f>IFERROR(__xludf.DUMMYFUNCTION("""COMPUTED_VALUE"""),"942CB37620FD")</f>
        <v>942CB37620FD</v>
      </c>
      <c r="D1573" s="21" t="str">
        <f>IFERROR(__xludf.DUMMYFUNCTION("""COMPUTED_VALUE"""),"DIGITEC TECNOLOGIA DIGITAL E REPRES")</f>
        <v>DIGITEC TECNOLOGIA DIGITAL E REPRES</v>
      </c>
      <c r="E1573" s="21">
        <f>IFERROR(__xludf.DUMMYFUNCTION("""COMPUTED_VALUE"""),145359.0)</f>
        <v>145359</v>
      </c>
      <c r="F1573" s="21" t="str">
        <f>IFERROR(__xludf.DUMMYFUNCTION("""COMPUTED_VALUE"""),"ANALISE DE INVENTARIO")</f>
        <v>ANALISE DE INVENTARIO</v>
      </c>
      <c r="G1573" s="23">
        <f>IFERROR(__xludf.DUMMYFUNCTION("""COMPUTED_VALUE"""),45589.84203703704)</f>
        <v>45589.84204</v>
      </c>
      <c r="H1573" s="24" t="str">
        <f>IFERROR(VLOOKUP(B1573,material!A:D,3,0),"")</f>
        <v>DUAL</v>
      </c>
    </row>
    <row r="1574" ht="11.25" customHeight="1">
      <c r="A1574" s="21" t="str">
        <f>IFERROR(__xludf.DUMMYFUNCTION("""COMPUTED_VALUE"""),"DECODER HD DCI738 2T")</f>
        <v>DECODER HD DCI738 2T</v>
      </c>
      <c r="B1574" s="22">
        <f>IFERROR(__xludf.DUMMYFUNCTION("""COMPUTED_VALUE"""),4.1001275E7)</f>
        <v>41001275</v>
      </c>
      <c r="C1574" s="21" t="str">
        <f>IFERROR(__xludf.DUMMYFUNCTION("""COMPUTED_VALUE"""),"216602245070")</f>
        <v>216602245070</v>
      </c>
      <c r="D1574" s="21" t="str">
        <f>IFERROR(__xludf.DUMMYFUNCTION("""COMPUTED_VALUE"""),"DIGITEC TECNOLOGIA DIGITAL E REPRES")</f>
        <v>DIGITEC TECNOLOGIA DIGITAL E REPRES</v>
      </c>
      <c r="E1574" s="21">
        <f>IFERROR(__xludf.DUMMYFUNCTION("""COMPUTED_VALUE"""),145359.0)</f>
        <v>145359</v>
      </c>
      <c r="F1574" s="21" t="str">
        <f>IFERROR(__xludf.DUMMYFUNCTION("""COMPUTED_VALUE"""),"TRANSITO REVERSA")</f>
        <v>TRANSITO REVERSA</v>
      </c>
      <c r="G1574" s="23">
        <f>IFERROR(__xludf.DUMMYFUNCTION("""COMPUTED_VALUE"""),45638.521099537036)</f>
        <v>45638.5211</v>
      </c>
      <c r="H1574" s="24" t="str">
        <f>IFERROR(VLOOKUP(B1574,material!A:D,3,0),"")</f>
        <v>TOP MIX</v>
      </c>
    </row>
    <row r="1575" ht="11.25" customHeight="1">
      <c r="A1575" s="21" t="str">
        <f>IFERROR(__xludf.DUMMYFUNCTION("""COMPUTED_VALUE"""),"SMART CARD PRETO NAGRA")</f>
        <v>SMART CARD PRETO NAGRA</v>
      </c>
      <c r="B1575" s="22">
        <f>IFERROR(__xludf.DUMMYFUNCTION("""COMPUTED_VALUE"""),4.1001234E7)</f>
        <v>41001234</v>
      </c>
      <c r="C1575" s="21" t="str">
        <f>IFERROR(__xludf.DUMMYFUNCTION("""COMPUTED_VALUE"""),"246017758190")</f>
        <v>246017758190</v>
      </c>
      <c r="D1575" s="21" t="str">
        <f>IFERROR(__xludf.DUMMYFUNCTION("""COMPUTED_VALUE"""),"DIGITEC TECNOLOGIA DIGITAL E REPRES")</f>
        <v>DIGITEC TECNOLOGIA DIGITAL E REPRES</v>
      </c>
      <c r="E1575" s="21">
        <f>IFERROR(__xludf.DUMMYFUNCTION("""COMPUTED_VALUE"""),145359.0)</f>
        <v>145359</v>
      </c>
      <c r="F1575" s="21" t="str">
        <f>IFERROR(__xludf.DUMMYFUNCTION("""COMPUTED_VALUE"""),"TRANSITO REVERSA")</f>
        <v>TRANSITO REVERSA</v>
      </c>
      <c r="G1575" s="23">
        <f>IFERROR(__xludf.DUMMYFUNCTION("""COMPUTED_VALUE"""),45633.00398148148)</f>
        <v>45633.00398</v>
      </c>
      <c r="H1575" s="24" t="str">
        <f>IFERROR(VLOOKUP(B1575,material!A:D,3,0),"")</f>
        <v>CARD</v>
      </c>
    </row>
    <row r="1576" ht="11.25" customHeight="1">
      <c r="A1576" s="21" t="str">
        <f>IFERROR(__xludf.DUMMYFUNCTION("""COMPUTED_VALUE"""),"THOMSON HIGH DEFINITION DCI713")</f>
        <v>THOMSON HIGH DEFINITION DCI713</v>
      </c>
      <c r="B1576" s="22">
        <f>IFERROR(__xludf.DUMMYFUNCTION("""COMPUTED_VALUE"""),4.1001273E7)</f>
        <v>41001273</v>
      </c>
      <c r="C1576" s="21" t="str">
        <f>IFERROR(__xludf.DUMMYFUNCTION("""COMPUTED_VALUE"""),"184245135169")</f>
        <v>184245135169</v>
      </c>
      <c r="D1576" s="21" t="str">
        <f>IFERROR(__xludf.DUMMYFUNCTION("""COMPUTED_VALUE"""),"DIGITEC TECNOLOGIA DIGITAL E REPRES")</f>
        <v>DIGITEC TECNOLOGIA DIGITAL E REPRES</v>
      </c>
      <c r="E1576" s="21">
        <f>IFERROR(__xludf.DUMMYFUNCTION("""COMPUTED_VALUE"""),145359.0)</f>
        <v>145359</v>
      </c>
      <c r="F1576" s="21" t="str">
        <f>IFERROR(__xludf.DUMMYFUNCTION("""COMPUTED_VALUE"""),"TRANSITO REVERSA")</f>
        <v>TRANSITO REVERSA</v>
      </c>
      <c r="G1576" s="23">
        <f>IFERROR(__xludf.DUMMYFUNCTION("""COMPUTED_VALUE"""),45633.00336805556)</f>
        <v>45633.00337</v>
      </c>
      <c r="H1576" s="24" t="str">
        <f>IFERROR(VLOOKUP(B1576,material!A:D,3,0),"")</f>
        <v>LEGADO</v>
      </c>
    </row>
    <row r="1577" ht="11.25" customHeight="1">
      <c r="A1577" s="21" t="str">
        <f>IFERROR(__xludf.DUMMYFUNCTION("""COMPUTED_VALUE"""),"SMART CARD LARANJA NAGRA")</f>
        <v>SMART CARD LARANJA NAGRA</v>
      </c>
      <c r="B1577" s="22">
        <f>IFERROR(__xludf.DUMMYFUNCTION("""COMPUTED_VALUE"""),4.1001186E7)</f>
        <v>41001186</v>
      </c>
      <c r="C1577" s="21" t="str">
        <f>IFERROR(__xludf.DUMMYFUNCTION("""COMPUTED_VALUE"""),"215678555170")</f>
        <v>215678555170</v>
      </c>
      <c r="D1577" s="21" t="str">
        <f>IFERROR(__xludf.DUMMYFUNCTION("""COMPUTED_VALUE"""),"DIGITEC TECNOLOGIA DIGITAL E REPRES")</f>
        <v>DIGITEC TECNOLOGIA DIGITAL E REPRES</v>
      </c>
      <c r="E1577" s="21">
        <f>IFERROR(__xludf.DUMMYFUNCTION("""COMPUTED_VALUE"""),145359.0)</f>
        <v>145359</v>
      </c>
      <c r="F1577" s="21" t="str">
        <f>IFERROR(__xludf.DUMMYFUNCTION("""COMPUTED_VALUE"""),"TRANSITO REVERSA")</f>
        <v>TRANSITO REVERSA</v>
      </c>
      <c r="G1577" s="23">
        <f>IFERROR(__xludf.DUMMYFUNCTION("""COMPUTED_VALUE"""),45633.00396990741)</f>
        <v>45633.00397</v>
      </c>
      <c r="H1577" s="24" t="str">
        <f>IFERROR(VLOOKUP(B1577,material!A:D,3,0),"")</f>
        <v>CARD</v>
      </c>
    </row>
    <row r="1578" ht="11.25" customHeight="1">
      <c r="A1578" s="21" t="str">
        <f>IFERROR(__xludf.DUMMYFUNCTION("""COMPUTED_VALUE"""),"DECODER DIGITAL HD HNB100 2T")</f>
        <v>DECODER DIGITAL HD HNB100 2T</v>
      </c>
      <c r="B1578" s="22">
        <f>IFERROR(__xludf.DUMMYFUNCTION("""COMPUTED_VALUE"""),4.1001276E7)</f>
        <v>41001276</v>
      </c>
      <c r="C1578" s="21" t="str">
        <f>IFERROR(__xludf.DUMMYFUNCTION("""COMPUTED_VALUE"""),"216610371924")</f>
        <v>216610371924</v>
      </c>
      <c r="D1578" s="21" t="str">
        <f>IFERROR(__xludf.DUMMYFUNCTION("""COMPUTED_VALUE"""),"DIGITEC TECNOLOGIA DIGITAL E REPRES")</f>
        <v>DIGITEC TECNOLOGIA DIGITAL E REPRES</v>
      </c>
      <c r="E1578" s="21">
        <f>IFERROR(__xludf.DUMMYFUNCTION("""COMPUTED_VALUE"""),145359.0)</f>
        <v>145359</v>
      </c>
      <c r="F1578" s="21" t="str">
        <f>IFERROR(__xludf.DUMMYFUNCTION("""COMPUTED_VALUE"""),"INICIALIZADO")</f>
        <v>INICIALIZADO</v>
      </c>
      <c r="G1578" s="23">
        <f>IFERROR(__xludf.DUMMYFUNCTION("""COMPUTED_VALUE"""),45642.524143518516)</f>
        <v>45642.52414</v>
      </c>
      <c r="H1578" s="24" t="str">
        <f>IFERROR(VLOOKUP(B1578,material!A:D,3,0),"")</f>
        <v>TOP MIX</v>
      </c>
    </row>
    <row r="1579" ht="11.25" customHeight="1">
      <c r="A1579" s="21" t="str">
        <f>IFERROR(__xludf.DUMMYFUNCTION("""COMPUTED_VALUE"""),"ARRIS TG1692A")</f>
        <v>ARRIS TG1692A</v>
      </c>
      <c r="B1579" s="22">
        <f>IFERROR(__xludf.DUMMYFUNCTION("""COMPUTED_VALUE"""),4.1001293E7)</f>
        <v>41001293</v>
      </c>
      <c r="C1579" s="21" t="str">
        <f>IFERROR(__xludf.DUMMYFUNCTION("""COMPUTED_VALUE"""),"BC644BD64398")</f>
        <v>BC644BD64398</v>
      </c>
      <c r="D1579" s="21" t="str">
        <f>IFERROR(__xludf.DUMMYFUNCTION("""COMPUTED_VALUE"""),"DIGITEC TECNOLOGIA DIGITAL E REPRES")</f>
        <v>DIGITEC TECNOLOGIA DIGITAL E REPRES</v>
      </c>
      <c r="E1579" s="21">
        <f>IFERROR(__xludf.DUMMYFUNCTION("""COMPUTED_VALUE"""),145359.0)</f>
        <v>145359</v>
      </c>
      <c r="F1579" s="21" t="str">
        <f>IFERROR(__xludf.DUMMYFUNCTION("""COMPUTED_VALUE"""),"TRANSITO REVERSA")</f>
        <v>TRANSITO REVERSA</v>
      </c>
      <c r="G1579" s="23">
        <f>IFERROR(__xludf.DUMMYFUNCTION("""COMPUTED_VALUE"""),45610.73042824074)</f>
        <v>45610.73043</v>
      </c>
      <c r="H1579" s="24" t="str">
        <f>IFERROR(VLOOKUP(B1579,material!A:D,3,0),"")</f>
        <v>DUAL</v>
      </c>
    </row>
    <row r="1580" ht="11.25" customHeight="1">
      <c r="A1580" s="21" t="str">
        <f>IFERROR(__xludf.DUMMYFUNCTION("""COMPUTED_VALUE"""),"SMART CARD LARANJA NAGRA")</f>
        <v>SMART CARD LARANJA NAGRA</v>
      </c>
      <c r="B1580" s="22">
        <f>IFERROR(__xludf.DUMMYFUNCTION("""COMPUTED_VALUE"""),4.1001186E7)</f>
        <v>41001186</v>
      </c>
      <c r="C1580" s="21" t="str">
        <f>IFERROR(__xludf.DUMMYFUNCTION("""COMPUTED_VALUE"""),"226587970204")</f>
        <v>226587970204</v>
      </c>
      <c r="D1580" s="21" t="str">
        <f>IFERROR(__xludf.DUMMYFUNCTION("""COMPUTED_VALUE"""),"DIGITEC TECNOLOGIA DIGITAL E REPRES")</f>
        <v>DIGITEC TECNOLOGIA DIGITAL E REPRES</v>
      </c>
      <c r="E1580" s="21">
        <f>IFERROR(__xludf.DUMMYFUNCTION("""COMPUTED_VALUE"""),145359.0)</f>
        <v>145359</v>
      </c>
      <c r="F1580" s="21" t="str">
        <f>IFERROR(__xludf.DUMMYFUNCTION("""COMPUTED_VALUE"""),"SUCATA")</f>
        <v>SUCATA</v>
      </c>
      <c r="G1580" s="23">
        <f>IFERROR(__xludf.DUMMYFUNCTION("""COMPUTED_VALUE"""),45075.59908564815)</f>
        <v>45075.59909</v>
      </c>
      <c r="H1580" s="24" t="str">
        <f>IFERROR(VLOOKUP(B1580,material!A:D,3,0),"")</f>
        <v>CARD</v>
      </c>
    </row>
    <row r="1581" ht="11.25" customHeight="1">
      <c r="A1581" s="21" t="str">
        <f>IFERROR(__xludf.DUMMYFUNCTION("""COMPUTED_VALUE"""),"DECODER DIGITAL HD HNB100 2T")</f>
        <v>DECODER DIGITAL HD HNB100 2T</v>
      </c>
      <c r="B1581" s="22">
        <f>IFERROR(__xludf.DUMMYFUNCTION("""COMPUTED_VALUE"""),4.1001276E7)</f>
        <v>41001276</v>
      </c>
      <c r="C1581" s="21" t="str">
        <f>IFERROR(__xludf.DUMMYFUNCTION("""COMPUTED_VALUE"""),"216618507083")</f>
        <v>216618507083</v>
      </c>
      <c r="D1581" s="21" t="str">
        <f>IFERROR(__xludf.DUMMYFUNCTION("""COMPUTED_VALUE"""),"DIGITEC TECNOLOGIA DIGITAL E REPRES")</f>
        <v>DIGITEC TECNOLOGIA DIGITAL E REPRES</v>
      </c>
      <c r="E1581" s="21">
        <f>IFERROR(__xludf.DUMMYFUNCTION("""COMPUTED_VALUE"""),145359.0)</f>
        <v>145359</v>
      </c>
      <c r="F1581" s="21" t="str">
        <f>IFERROR(__xludf.DUMMYFUNCTION("""COMPUTED_VALUE"""),"INICIALIZADO")</f>
        <v>INICIALIZADO</v>
      </c>
      <c r="G1581" s="23">
        <f>IFERROR(__xludf.DUMMYFUNCTION("""COMPUTED_VALUE"""),45635.535057870366)</f>
        <v>45635.53506</v>
      </c>
      <c r="H1581" s="24" t="str">
        <f>IFERROR(VLOOKUP(B1581,material!A:D,3,0),"")</f>
        <v>TOP MIX</v>
      </c>
    </row>
    <row r="1582" ht="11.25" customHeight="1">
      <c r="A1582" s="21" t="str">
        <f>IFERROR(__xludf.DUMMYFUNCTION("""COMPUTED_VALUE"""),"DECODER DIGITAL HD HNB100 2T")</f>
        <v>DECODER DIGITAL HD HNB100 2T</v>
      </c>
      <c r="B1582" s="22">
        <f>IFERROR(__xludf.DUMMYFUNCTION("""COMPUTED_VALUE"""),4.1001276E7)</f>
        <v>41001276</v>
      </c>
      <c r="C1582" s="21" t="str">
        <f>IFERROR(__xludf.DUMMYFUNCTION("""COMPUTED_VALUE"""),"216612494656")</f>
        <v>216612494656</v>
      </c>
      <c r="D1582" s="21" t="str">
        <f>IFERROR(__xludf.DUMMYFUNCTION("""COMPUTED_VALUE"""),"DIGITEC TECNOLOGIA DIGITAL E REPRES")</f>
        <v>DIGITEC TECNOLOGIA DIGITAL E REPRES</v>
      </c>
      <c r="E1582" s="21">
        <f>IFERROR(__xludf.DUMMYFUNCTION("""COMPUTED_VALUE"""),145359.0)</f>
        <v>145359</v>
      </c>
      <c r="F1582" s="21" t="str">
        <f>IFERROR(__xludf.DUMMYFUNCTION("""COMPUTED_VALUE"""),"INICIALIZADO")</f>
        <v>INICIALIZADO</v>
      </c>
      <c r="G1582" s="23">
        <f>IFERROR(__xludf.DUMMYFUNCTION("""COMPUTED_VALUE"""),45635.535057870366)</f>
        <v>45635.53506</v>
      </c>
      <c r="H1582" s="24" t="str">
        <f>IFERROR(VLOOKUP(B1582,material!A:D,3,0),"")</f>
        <v>TOP MIX</v>
      </c>
    </row>
    <row r="1583" ht="11.25" customHeight="1">
      <c r="A1583" s="21" t="str">
        <f>IFERROR(__xludf.DUMMYFUNCTION("""COMPUTED_VALUE"""),"SMART CARD PRETO NAGRA")</f>
        <v>SMART CARD PRETO NAGRA</v>
      </c>
      <c r="B1583" s="22">
        <f>IFERROR(__xludf.DUMMYFUNCTION("""COMPUTED_VALUE"""),4.1001234E7)</f>
        <v>41001234</v>
      </c>
      <c r="C1583" s="21" t="str">
        <f>IFERROR(__xludf.DUMMYFUNCTION("""COMPUTED_VALUE"""),"246299457478")</f>
        <v>246299457478</v>
      </c>
      <c r="D1583" s="21" t="str">
        <f>IFERROR(__xludf.DUMMYFUNCTION("""COMPUTED_VALUE"""),"DIGITEC TECNOLOGIA DIGITAL E REPRES")</f>
        <v>DIGITEC TECNOLOGIA DIGITAL E REPRES</v>
      </c>
      <c r="E1583" s="21">
        <f>IFERROR(__xludf.DUMMYFUNCTION("""COMPUTED_VALUE"""),145359.0)</f>
        <v>145359</v>
      </c>
      <c r="F1583" s="21" t="str">
        <f>IFERROR(__xludf.DUMMYFUNCTION("""COMPUTED_VALUE"""),"INICIALIZADO")</f>
        <v>INICIALIZADO</v>
      </c>
      <c r="G1583" s="23">
        <f>IFERROR(__xludf.DUMMYFUNCTION("""COMPUTED_VALUE"""),45635.534907407404)</f>
        <v>45635.53491</v>
      </c>
      <c r="H1583" s="24" t="str">
        <f>IFERROR(VLOOKUP(B1583,material!A:D,3,0),"")</f>
        <v>CARD</v>
      </c>
    </row>
    <row r="1584" ht="11.25" customHeight="1">
      <c r="A1584" s="21" t="str">
        <f>IFERROR(__xludf.DUMMYFUNCTION("""COMPUTED_VALUE"""),"SMART CARD PRETO NAGRA")</f>
        <v>SMART CARD PRETO NAGRA</v>
      </c>
      <c r="B1584" s="22">
        <f>IFERROR(__xludf.DUMMYFUNCTION("""COMPUTED_VALUE"""),4.1001234E7)</f>
        <v>41001234</v>
      </c>
      <c r="C1584" s="21" t="str">
        <f>IFERROR(__xludf.DUMMYFUNCTION("""COMPUTED_VALUE"""),"246010373441")</f>
        <v>246010373441</v>
      </c>
      <c r="D1584" s="21" t="str">
        <f>IFERROR(__xludf.DUMMYFUNCTION("""COMPUTED_VALUE"""),"DIGITEC TECNOLOGIA DIGITAL E REPRES")</f>
        <v>DIGITEC TECNOLOGIA DIGITAL E REPRES</v>
      </c>
      <c r="E1584" s="21">
        <f>IFERROR(__xludf.DUMMYFUNCTION("""COMPUTED_VALUE"""),145359.0)</f>
        <v>145359</v>
      </c>
      <c r="F1584" s="21" t="str">
        <f>IFERROR(__xludf.DUMMYFUNCTION("""COMPUTED_VALUE"""),"INICIALIZADO")</f>
        <v>INICIALIZADO</v>
      </c>
      <c r="G1584" s="23">
        <f>IFERROR(__xludf.DUMMYFUNCTION("""COMPUTED_VALUE"""),45642.52410879629)</f>
        <v>45642.52411</v>
      </c>
      <c r="H1584" s="24" t="str">
        <f>IFERROR(VLOOKUP(B1584,material!A:D,3,0),"")</f>
        <v>CARD</v>
      </c>
    </row>
    <row r="1585" ht="11.25" customHeight="1">
      <c r="A1585" s="21" t="str">
        <f>IFERROR(__xludf.DUMMYFUNCTION("""COMPUTED_VALUE"""),"SMART CARD PRETO NAGRA")</f>
        <v>SMART CARD PRETO NAGRA</v>
      </c>
      <c r="B1585" s="22">
        <f>IFERROR(__xludf.DUMMYFUNCTION("""COMPUTED_VALUE"""),4.1001234E7)</f>
        <v>41001234</v>
      </c>
      <c r="C1585" s="21" t="str">
        <f>IFERROR(__xludf.DUMMYFUNCTION("""COMPUTED_VALUE"""),"226022521832")</f>
        <v>226022521832</v>
      </c>
      <c r="D1585" s="21" t="str">
        <f>IFERROR(__xludf.DUMMYFUNCTION("""COMPUTED_VALUE"""),"DIGITEC TECNOLOGIA DIGITAL E REPRES")</f>
        <v>DIGITEC TECNOLOGIA DIGITAL E REPRES</v>
      </c>
      <c r="E1585" s="21">
        <f>IFERROR(__xludf.DUMMYFUNCTION("""COMPUTED_VALUE"""),145359.0)</f>
        <v>145359</v>
      </c>
      <c r="F1585" s="21" t="str">
        <f>IFERROR(__xludf.DUMMYFUNCTION("""COMPUTED_VALUE"""),"INICIALIZADO")</f>
        <v>INICIALIZADO</v>
      </c>
      <c r="G1585" s="23">
        <f>IFERROR(__xludf.DUMMYFUNCTION("""COMPUTED_VALUE"""),45635.534953703704)</f>
        <v>45635.53495</v>
      </c>
      <c r="H1585" s="24" t="str">
        <f>IFERROR(VLOOKUP(B1585,material!A:D,3,0),"")</f>
        <v>CARD</v>
      </c>
    </row>
    <row r="1586" ht="11.25" customHeight="1">
      <c r="A1586" s="21" t="str">
        <f>IFERROR(__xludf.DUMMYFUNCTION("""COMPUTED_VALUE"""),"DECODER DIGITAL HD DXC5000 2T")</f>
        <v>DECODER DIGITAL HD DXC5000 2T</v>
      </c>
      <c r="B1586" s="22">
        <f>IFERROR(__xludf.DUMMYFUNCTION("""COMPUTED_VALUE"""),4.1001277E7)</f>
        <v>41001277</v>
      </c>
      <c r="C1586" s="21" t="str">
        <f>IFERROR(__xludf.DUMMYFUNCTION("""COMPUTED_VALUE"""),"216677281619")</f>
        <v>216677281619</v>
      </c>
      <c r="D1586" s="21" t="str">
        <f>IFERROR(__xludf.DUMMYFUNCTION("""COMPUTED_VALUE"""),"DIGITEC TECNOLOGIA DIGITAL E REPRES")</f>
        <v>DIGITEC TECNOLOGIA DIGITAL E REPRES</v>
      </c>
      <c r="E1586" s="21">
        <f>IFERROR(__xludf.DUMMYFUNCTION("""COMPUTED_VALUE"""),145359.0)</f>
        <v>145359</v>
      </c>
      <c r="F1586" s="21" t="str">
        <f>IFERROR(__xludf.DUMMYFUNCTION("""COMPUTED_VALUE"""),"TRANSITO REVERSA")</f>
        <v>TRANSITO REVERSA</v>
      </c>
      <c r="G1586" s="23">
        <f>IFERROR(__xludf.DUMMYFUNCTION("""COMPUTED_VALUE"""),45638.52060185185)</f>
        <v>45638.5206</v>
      </c>
      <c r="H1586" s="24" t="str">
        <f>IFERROR(VLOOKUP(B1586,material!A:D,3,0),"")</f>
        <v>TOP MIX</v>
      </c>
    </row>
    <row r="1587" ht="11.25" customHeight="1">
      <c r="A1587" s="21" t="str">
        <f>IFERROR(__xludf.DUMMYFUNCTION("""COMPUTED_VALUE"""),"DECODER DIGITAL HD DXC5000 2T")</f>
        <v>DECODER DIGITAL HD DXC5000 2T</v>
      </c>
      <c r="B1587" s="22">
        <f>IFERROR(__xludf.DUMMYFUNCTION("""COMPUTED_VALUE"""),4.1001277E7)</f>
        <v>41001277</v>
      </c>
      <c r="C1587" s="21" t="str">
        <f>IFERROR(__xludf.DUMMYFUNCTION("""COMPUTED_VALUE"""),"216572890208")</f>
        <v>216572890208</v>
      </c>
      <c r="D1587" s="21" t="str">
        <f>IFERROR(__xludf.DUMMYFUNCTION("""COMPUTED_VALUE"""),"DIGITEC TECNOLOGIA DIGITAL E REPRES")</f>
        <v>DIGITEC TECNOLOGIA DIGITAL E REPRES</v>
      </c>
      <c r="E1587" s="21">
        <f>IFERROR(__xludf.DUMMYFUNCTION("""COMPUTED_VALUE"""),145359.0)</f>
        <v>145359</v>
      </c>
      <c r="F1587" s="21" t="str">
        <f>IFERROR(__xludf.DUMMYFUNCTION("""COMPUTED_VALUE"""),"INICIALIZADO")</f>
        <v>INICIALIZADO</v>
      </c>
      <c r="G1587" s="23">
        <f>IFERROR(__xludf.DUMMYFUNCTION("""COMPUTED_VALUE"""),45618.65200231482)</f>
        <v>45618.652</v>
      </c>
      <c r="H1587" s="24" t="str">
        <f>IFERROR(VLOOKUP(B1587,material!A:D,3,0),"")</f>
        <v>TOP MIX</v>
      </c>
    </row>
    <row r="1588" ht="11.25" customHeight="1">
      <c r="A1588" s="21" t="str">
        <f>IFERROR(__xludf.DUMMYFUNCTION("""COMPUTED_VALUE"""),"DECODER DIGITAL HD HNB100 2T")</f>
        <v>DECODER DIGITAL HD HNB100 2T</v>
      </c>
      <c r="B1588" s="22">
        <f>IFERROR(__xludf.DUMMYFUNCTION("""COMPUTED_VALUE"""),4.1001276E7)</f>
        <v>41001276</v>
      </c>
      <c r="C1588" s="21" t="str">
        <f>IFERROR(__xludf.DUMMYFUNCTION("""COMPUTED_VALUE"""),"216872331620")</f>
        <v>216872331620</v>
      </c>
      <c r="D1588" s="21" t="str">
        <f>IFERROR(__xludf.DUMMYFUNCTION("""COMPUTED_VALUE"""),"DIGITEC TECNOLOGIA DIGITAL E REPRES")</f>
        <v>DIGITEC TECNOLOGIA DIGITAL E REPRES</v>
      </c>
      <c r="E1588" s="21">
        <f>IFERROR(__xludf.DUMMYFUNCTION("""COMPUTED_VALUE"""),145359.0)</f>
        <v>145359</v>
      </c>
      <c r="F1588" s="21" t="str">
        <f>IFERROR(__xludf.DUMMYFUNCTION("""COMPUTED_VALUE"""),"INICIALIZADO")</f>
        <v>INICIALIZADO</v>
      </c>
      <c r="G1588" s="23">
        <f>IFERROR(__xludf.DUMMYFUNCTION("""COMPUTED_VALUE"""),45635.53502314815)</f>
        <v>45635.53502</v>
      </c>
      <c r="H1588" s="24" t="str">
        <f>IFERROR(VLOOKUP(B1588,material!A:D,3,0),"")</f>
        <v>TOP MIX</v>
      </c>
    </row>
    <row r="1589" ht="11.25" customHeight="1">
      <c r="A1589" s="21" t="str">
        <f>IFERROR(__xludf.DUMMYFUNCTION("""COMPUTED_VALUE"""),"DECODER DIGITAL HD HNB100 2T")</f>
        <v>DECODER DIGITAL HD HNB100 2T</v>
      </c>
      <c r="B1589" s="22">
        <f>IFERROR(__xludf.DUMMYFUNCTION("""COMPUTED_VALUE"""),4.1001276E7)</f>
        <v>41001276</v>
      </c>
      <c r="C1589" s="21" t="str">
        <f>IFERROR(__xludf.DUMMYFUNCTION("""COMPUTED_VALUE"""),"216552597676")</f>
        <v>216552597676</v>
      </c>
      <c r="D1589" s="21" t="str">
        <f>IFERROR(__xludf.DUMMYFUNCTION("""COMPUTED_VALUE"""),"DIGITEC TECNOLOGIA DIGITAL E REPRES")</f>
        <v>DIGITEC TECNOLOGIA DIGITAL E REPRES</v>
      </c>
      <c r="E1589" s="21">
        <f>IFERROR(__xludf.DUMMYFUNCTION("""COMPUTED_VALUE"""),145359.0)</f>
        <v>145359</v>
      </c>
      <c r="F1589" s="21" t="str">
        <f>IFERROR(__xludf.DUMMYFUNCTION("""COMPUTED_VALUE"""),"INICIALIZADO")</f>
        <v>INICIALIZADO</v>
      </c>
      <c r="G1589" s="23">
        <f>IFERROR(__xludf.DUMMYFUNCTION("""COMPUTED_VALUE"""),45635.53508101852)</f>
        <v>45635.53508</v>
      </c>
      <c r="H1589" s="24" t="str">
        <f>IFERROR(VLOOKUP(B1589,material!A:D,3,0),"")</f>
        <v>TOP MIX</v>
      </c>
    </row>
    <row r="1590" ht="11.25" customHeight="1">
      <c r="A1590" s="21" t="str">
        <f>IFERROR(__xludf.DUMMYFUNCTION("""COMPUTED_VALUE"""),"DECODER DIGITAL HD HNB100 2T")</f>
        <v>DECODER DIGITAL HD HNB100 2T</v>
      </c>
      <c r="B1590" s="22">
        <f>IFERROR(__xludf.DUMMYFUNCTION("""COMPUTED_VALUE"""),4.1001276E7)</f>
        <v>41001276</v>
      </c>
      <c r="C1590" s="21" t="str">
        <f>IFERROR(__xludf.DUMMYFUNCTION("""COMPUTED_VALUE"""),"216514202931")</f>
        <v>216514202931</v>
      </c>
      <c r="D1590" s="21" t="str">
        <f>IFERROR(__xludf.DUMMYFUNCTION("""COMPUTED_VALUE"""),"DIGITEC TECNOLOGIA DIGITAL E REPRES")</f>
        <v>DIGITEC TECNOLOGIA DIGITAL E REPRES</v>
      </c>
      <c r="E1590" s="21">
        <f>IFERROR(__xludf.DUMMYFUNCTION("""COMPUTED_VALUE"""),145359.0)</f>
        <v>145359</v>
      </c>
      <c r="F1590" s="21" t="str">
        <f>IFERROR(__xludf.DUMMYFUNCTION("""COMPUTED_VALUE"""),"INICIALIZADO")</f>
        <v>INICIALIZADO</v>
      </c>
      <c r="G1590" s="23">
        <f>IFERROR(__xludf.DUMMYFUNCTION("""COMPUTED_VALUE"""),45635.53508101852)</f>
        <v>45635.53508</v>
      </c>
      <c r="H1590" s="24" t="str">
        <f>IFERROR(VLOOKUP(B1590,material!A:D,3,0),"")</f>
        <v>TOP MIX</v>
      </c>
    </row>
    <row r="1591" ht="11.25" customHeight="1">
      <c r="A1591" s="21" t="str">
        <f>IFERROR(__xludf.DUMMYFUNCTION("""COMPUTED_VALUE"""),"DECODER DIGITAL HD HNB100 2T")</f>
        <v>DECODER DIGITAL HD HNB100 2T</v>
      </c>
      <c r="B1591" s="22">
        <f>IFERROR(__xludf.DUMMYFUNCTION("""COMPUTED_VALUE"""),4.1001276E7)</f>
        <v>41001276</v>
      </c>
      <c r="C1591" s="21" t="str">
        <f>IFERROR(__xludf.DUMMYFUNCTION("""COMPUTED_VALUE"""),"216555282238")</f>
        <v>216555282238</v>
      </c>
      <c r="D1591" s="21" t="str">
        <f>IFERROR(__xludf.DUMMYFUNCTION("""COMPUTED_VALUE"""),"DIGITEC TECNOLOGIA DIGITAL E REPRES")</f>
        <v>DIGITEC TECNOLOGIA DIGITAL E REPRES</v>
      </c>
      <c r="E1591" s="21">
        <f>IFERROR(__xludf.DUMMYFUNCTION("""COMPUTED_VALUE"""),145359.0)</f>
        <v>145359</v>
      </c>
      <c r="F1591" s="21" t="str">
        <f>IFERROR(__xludf.DUMMYFUNCTION("""COMPUTED_VALUE"""),"INICIALIZADO")</f>
        <v>INICIALIZADO</v>
      </c>
      <c r="G1591" s="23">
        <f>IFERROR(__xludf.DUMMYFUNCTION("""COMPUTED_VALUE"""),45635.53508101852)</f>
        <v>45635.53508</v>
      </c>
      <c r="H1591" s="24" t="str">
        <f>IFERROR(VLOOKUP(B1591,material!A:D,3,0),"")</f>
        <v>TOP MIX</v>
      </c>
    </row>
    <row r="1592" ht="11.25" customHeight="1">
      <c r="A1592" s="21" t="str">
        <f>IFERROR(__xludf.DUMMYFUNCTION("""COMPUTED_VALUE"""),"DECODER DIGITAL HD HNB100 2T")</f>
        <v>DECODER DIGITAL HD HNB100 2T</v>
      </c>
      <c r="B1592" s="22">
        <f>IFERROR(__xludf.DUMMYFUNCTION("""COMPUTED_VALUE"""),4.1001276E7)</f>
        <v>41001276</v>
      </c>
      <c r="C1592" s="21" t="str">
        <f>IFERROR(__xludf.DUMMYFUNCTION("""COMPUTED_VALUE"""),"216547171929")</f>
        <v>216547171929</v>
      </c>
      <c r="D1592" s="21" t="str">
        <f>IFERROR(__xludf.DUMMYFUNCTION("""COMPUTED_VALUE"""),"DIGITEC TECNOLOGIA DIGITAL E REPRES")</f>
        <v>DIGITEC TECNOLOGIA DIGITAL E REPRES</v>
      </c>
      <c r="E1592" s="21">
        <f>IFERROR(__xludf.DUMMYFUNCTION("""COMPUTED_VALUE"""),145359.0)</f>
        <v>145359</v>
      </c>
      <c r="F1592" s="21" t="str">
        <f>IFERROR(__xludf.DUMMYFUNCTION("""COMPUTED_VALUE"""),"INICIALIZADO")</f>
        <v>INICIALIZADO</v>
      </c>
      <c r="G1592" s="23">
        <f>IFERROR(__xludf.DUMMYFUNCTION("""COMPUTED_VALUE"""),45635.53506944445)</f>
        <v>45635.53507</v>
      </c>
      <c r="H1592" s="24" t="str">
        <f>IFERROR(VLOOKUP(B1592,material!A:D,3,0),"")</f>
        <v>TOP MIX</v>
      </c>
    </row>
    <row r="1593" ht="11.25" customHeight="1">
      <c r="A1593" s="21" t="str">
        <f>IFERROR(__xludf.DUMMYFUNCTION("""COMPUTED_VALUE"""),"DECODER DIGITAL HD HNB100 2T")</f>
        <v>DECODER DIGITAL HD HNB100 2T</v>
      </c>
      <c r="B1593" s="22">
        <f>IFERROR(__xludf.DUMMYFUNCTION("""COMPUTED_VALUE"""),4.1001276E7)</f>
        <v>41001276</v>
      </c>
      <c r="C1593" s="21" t="str">
        <f>IFERROR(__xludf.DUMMYFUNCTION("""COMPUTED_VALUE"""),"216552742742")</f>
        <v>216552742742</v>
      </c>
      <c r="D1593" s="21" t="str">
        <f>IFERROR(__xludf.DUMMYFUNCTION("""COMPUTED_VALUE"""),"DIGITEC TECNOLOGIA DIGITAL E REPRES")</f>
        <v>DIGITEC TECNOLOGIA DIGITAL E REPRES</v>
      </c>
      <c r="E1593" s="21">
        <f>IFERROR(__xludf.DUMMYFUNCTION("""COMPUTED_VALUE"""),145359.0)</f>
        <v>145359</v>
      </c>
      <c r="F1593" s="21" t="str">
        <f>IFERROR(__xludf.DUMMYFUNCTION("""COMPUTED_VALUE"""),"INICIALIZADO")</f>
        <v>INICIALIZADO</v>
      </c>
      <c r="G1593" s="23">
        <f>IFERROR(__xludf.DUMMYFUNCTION("""COMPUTED_VALUE"""),45635.53508101852)</f>
        <v>45635.53508</v>
      </c>
      <c r="H1593" s="24" t="str">
        <f>IFERROR(VLOOKUP(B1593,material!A:D,3,0),"")</f>
        <v>TOP MIX</v>
      </c>
    </row>
    <row r="1594" ht="11.25" customHeight="1">
      <c r="A1594" s="21" t="str">
        <f>IFERROR(__xludf.DUMMYFUNCTION("""COMPUTED_VALUE"""),"DECODER DIGITAL HD HNB100 2T")</f>
        <v>DECODER DIGITAL HD HNB100 2T</v>
      </c>
      <c r="B1594" s="22">
        <f>IFERROR(__xludf.DUMMYFUNCTION("""COMPUTED_VALUE"""),4.1001276E7)</f>
        <v>41001276</v>
      </c>
      <c r="C1594" s="21" t="str">
        <f>IFERROR(__xludf.DUMMYFUNCTION("""COMPUTED_VALUE"""),"216398002747")</f>
        <v>216398002747</v>
      </c>
      <c r="D1594" s="21" t="str">
        <f>IFERROR(__xludf.DUMMYFUNCTION("""COMPUTED_VALUE"""),"DIGITEC TECNOLOGIA DIGITAL E REPRES")</f>
        <v>DIGITEC TECNOLOGIA DIGITAL E REPRES</v>
      </c>
      <c r="E1594" s="21">
        <f>IFERROR(__xludf.DUMMYFUNCTION("""COMPUTED_VALUE"""),145359.0)</f>
        <v>145359</v>
      </c>
      <c r="F1594" s="21" t="str">
        <f>IFERROR(__xludf.DUMMYFUNCTION("""COMPUTED_VALUE"""),"INICIALIZADO")</f>
        <v>INICIALIZADO</v>
      </c>
      <c r="G1594" s="23">
        <f>IFERROR(__xludf.DUMMYFUNCTION("""COMPUTED_VALUE"""),45642.52413194445)</f>
        <v>45642.52413</v>
      </c>
      <c r="H1594" s="24" t="str">
        <f>IFERROR(VLOOKUP(B1594,material!A:D,3,0),"")</f>
        <v>TOP MIX</v>
      </c>
    </row>
    <row r="1595" ht="11.25" customHeight="1">
      <c r="A1595" s="21" t="str">
        <f>IFERROR(__xludf.DUMMYFUNCTION("""COMPUTED_VALUE"""),"DECODER DIGITAL HD HNB100 2T")</f>
        <v>DECODER DIGITAL HD HNB100 2T</v>
      </c>
      <c r="B1595" s="22">
        <f>IFERROR(__xludf.DUMMYFUNCTION("""COMPUTED_VALUE"""),4.1001276E7)</f>
        <v>41001276</v>
      </c>
      <c r="C1595" s="21" t="str">
        <f>IFERROR(__xludf.DUMMYFUNCTION("""COMPUTED_VALUE"""),"216687719405")</f>
        <v>216687719405</v>
      </c>
      <c r="D1595" s="21" t="str">
        <f>IFERROR(__xludf.DUMMYFUNCTION("""COMPUTED_VALUE"""),"DIGITEC TECNOLOGIA DIGITAL E REPRES")</f>
        <v>DIGITEC TECNOLOGIA DIGITAL E REPRES</v>
      </c>
      <c r="E1595" s="21">
        <f>IFERROR(__xludf.DUMMYFUNCTION("""COMPUTED_VALUE"""),145359.0)</f>
        <v>145359</v>
      </c>
      <c r="F1595" s="21" t="str">
        <f>IFERROR(__xludf.DUMMYFUNCTION("""COMPUTED_VALUE"""),"INICIALIZADO")</f>
        <v>INICIALIZADO</v>
      </c>
      <c r="G1595" s="23">
        <f>IFERROR(__xludf.DUMMYFUNCTION("""COMPUTED_VALUE"""),45635.53501157407)</f>
        <v>45635.53501</v>
      </c>
      <c r="H1595" s="24" t="str">
        <f>IFERROR(VLOOKUP(B1595,material!A:D,3,0),"")</f>
        <v>TOP MIX</v>
      </c>
    </row>
    <row r="1596" ht="11.25" customHeight="1">
      <c r="A1596" s="21" t="str">
        <f>IFERROR(__xludf.DUMMYFUNCTION("""COMPUTED_VALUE"""),"DECODER DIGITAL HD HNB100 2T")</f>
        <v>DECODER DIGITAL HD HNB100 2T</v>
      </c>
      <c r="B1596" s="22">
        <f>IFERROR(__xludf.DUMMYFUNCTION("""COMPUTED_VALUE"""),4.1001276E7)</f>
        <v>41001276</v>
      </c>
      <c r="C1596" s="21" t="str">
        <f>IFERROR(__xludf.DUMMYFUNCTION("""COMPUTED_VALUE"""),"216688596673")</f>
        <v>216688596673</v>
      </c>
      <c r="D1596" s="21" t="str">
        <f>IFERROR(__xludf.DUMMYFUNCTION("""COMPUTED_VALUE"""),"DIGITEC TECNOLOGIA DIGITAL E REPRES")</f>
        <v>DIGITEC TECNOLOGIA DIGITAL E REPRES</v>
      </c>
      <c r="E1596" s="21">
        <f>IFERROR(__xludf.DUMMYFUNCTION("""COMPUTED_VALUE"""),145359.0)</f>
        <v>145359</v>
      </c>
      <c r="F1596" s="21" t="str">
        <f>IFERROR(__xludf.DUMMYFUNCTION("""COMPUTED_VALUE"""),"INICIALIZADO")</f>
        <v>INICIALIZADO</v>
      </c>
      <c r="G1596" s="23">
        <f>IFERROR(__xludf.DUMMYFUNCTION("""COMPUTED_VALUE"""),45635.53501157407)</f>
        <v>45635.53501</v>
      </c>
      <c r="H1596" s="24" t="str">
        <f>IFERROR(VLOOKUP(B1596,material!A:D,3,0),"")</f>
        <v>TOP MIX</v>
      </c>
    </row>
    <row r="1597" ht="11.25" customHeight="1">
      <c r="A1597" s="21" t="str">
        <f>IFERROR(__xludf.DUMMYFUNCTION("""COMPUTED_VALUE"""),"DECODER DIGITAL HD HNB100 2T")</f>
        <v>DECODER DIGITAL HD HNB100 2T</v>
      </c>
      <c r="B1597" s="22">
        <f>IFERROR(__xludf.DUMMYFUNCTION("""COMPUTED_VALUE"""),4.1001276E7)</f>
        <v>41001276</v>
      </c>
      <c r="C1597" s="21" t="str">
        <f>IFERROR(__xludf.DUMMYFUNCTION("""COMPUTED_VALUE"""),"216634633551")</f>
        <v>216634633551</v>
      </c>
      <c r="D1597" s="21" t="str">
        <f>IFERROR(__xludf.DUMMYFUNCTION("""COMPUTED_VALUE"""),"DIGITEC TECNOLOGIA DIGITAL E REPRES")</f>
        <v>DIGITEC TECNOLOGIA DIGITAL E REPRES</v>
      </c>
      <c r="E1597" s="21">
        <f>IFERROR(__xludf.DUMMYFUNCTION("""COMPUTED_VALUE"""),145359.0)</f>
        <v>145359</v>
      </c>
      <c r="F1597" s="21" t="str">
        <f>IFERROR(__xludf.DUMMYFUNCTION("""COMPUTED_VALUE"""),"INICIALIZADO")</f>
        <v>INICIALIZADO</v>
      </c>
      <c r="G1597" s="23">
        <f>IFERROR(__xludf.DUMMYFUNCTION("""COMPUTED_VALUE"""),45635.53506944445)</f>
        <v>45635.53507</v>
      </c>
      <c r="H1597" s="24" t="str">
        <f>IFERROR(VLOOKUP(B1597,material!A:D,3,0),"")</f>
        <v>TOP MIX</v>
      </c>
    </row>
    <row r="1598" ht="11.25" customHeight="1">
      <c r="A1598" s="21" t="str">
        <f>IFERROR(__xludf.DUMMYFUNCTION("""COMPUTED_VALUE"""),"DECODER DIGITAL HD HNB100 2T")</f>
        <v>DECODER DIGITAL HD HNB100 2T</v>
      </c>
      <c r="B1598" s="22">
        <f>IFERROR(__xludf.DUMMYFUNCTION("""COMPUTED_VALUE"""),4.1001276E7)</f>
        <v>41001276</v>
      </c>
      <c r="C1598" s="21" t="str">
        <f>IFERROR(__xludf.DUMMYFUNCTION("""COMPUTED_VALUE"""),"216633595963")</f>
        <v>216633595963</v>
      </c>
      <c r="D1598" s="21" t="str">
        <f>IFERROR(__xludf.DUMMYFUNCTION("""COMPUTED_VALUE"""),"DIGITEC TECNOLOGIA DIGITAL E REPRES")</f>
        <v>DIGITEC TECNOLOGIA DIGITAL E REPRES</v>
      </c>
      <c r="E1598" s="21">
        <f>IFERROR(__xludf.DUMMYFUNCTION("""COMPUTED_VALUE"""),145359.0)</f>
        <v>145359</v>
      </c>
      <c r="F1598" s="21" t="str">
        <f>IFERROR(__xludf.DUMMYFUNCTION("""COMPUTED_VALUE"""),"INICIALIZADO")</f>
        <v>INICIALIZADO</v>
      </c>
      <c r="G1598" s="23">
        <f>IFERROR(__xludf.DUMMYFUNCTION("""COMPUTED_VALUE"""),45635.53506944445)</f>
        <v>45635.53507</v>
      </c>
      <c r="H1598" s="24" t="str">
        <f>IFERROR(VLOOKUP(B1598,material!A:D,3,0),"")</f>
        <v>TOP MIX</v>
      </c>
    </row>
    <row r="1599" ht="11.25" customHeight="1">
      <c r="A1599" s="21" t="str">
        <f>IFERROR(__xludf.DUMMYFUNCTION("""COMPUTED_VALUE"""),"DECODER DIGITAL HD HNB100 2T")</f>
        <v>DECODER DIGITAL HD HNB100 2T</v>
      </c>
      <c r="B1599" s="22">
        <f>IFERROR(__xludf.DUMMYFUNCTION("""COMPUTED_VALUE"""),4.1001276E7)</f>
        <v>41001276</v>
      </c>
      <c r="C1599" s="21" t="str">
        <f>IFERROR(__xludf.DUMMYFUNCTION("""COMPUTED_VALUE"""),"216628080611")</f>
        <v>216628080611</v>
      </c>
      <c r="D1599" s="21" t="str">
        <f>IFERROR(__xludf.DUMMYFUNCTION("""COMPUTED_VALUE"""),"DIGITEC TECNOLOGIA DIGITAL E REPRES")</f>
        <v>DIGITEC TECNOLOGIA DIGITAL E REPRES</v>
      </c>
      <c r="E1599" s="21">
        <f>IFERROR(__xludf.DUMMYFUNCTION("""COMPUTED_VALUE"""),145359.0)</f>
        <v>145359</v>
      </c>
      <c r="F1599" s="21" t="str">
        <f>IFERROR(__xludf.DUMMYFUNCTION("""COMPUTED_VALUE"""),"INICIALIZADO")</f>
        <v>INICIALIZADO</v>
      </c>
      <c r="G1599" s="23">
        <f>IFERROR(__xludf.DUMMYFUNCTION("""COMPUTED_VALUE"""),45635.53506944445)</f>
        <v>45635.53507</v>
      </c>
      <c r="H1599" s="24" t="str">
        <f>IFERROR(VLOOKUP(B1599,material!A:D,3,0),"")</f>
        <v>TOP MIX</v>
      </c>
    </row>
    <row r="1600" ht="11.25" customHeight="1">
      <c r="A1600" s="21" t="str">
        <f>IFERROR(__xludf.DUMMYFUNCTION("""COMPUTED_VALUE"""),"DECODER DIGITAL HD HNB100 2T")</f>
        <v>DECODER DIGITAL HD HNB100 2T</v>
      </c>
      <c r="B1600" s="22">
        <f>IFERROR(__xludf.DUMMYFUNCTION("""COMPUTED_VALUE"""),4.1001276E7)</f>
        <v>41001276</v>
      </c>
      <c r="C1600" s="21" t="str">
        <f>IFERROR(__xludf.DUMMYFUNCTION("""COMPUTED_VALUE"""),"216627809797")</f>
        <v>216627809797</v>
      </c>
      <c r="D1600" s="21" t="str">
        <f>IFERROR(__xludf.DUMMYFUNCTION("""COMPUTED_VALUE"""),"DIGITEC TECNOLOGIA DIGITAL E REPRES")</f>
        <v>DIGITEC TECNOLOGIA DIGITAL E REPRES</v>
      </c>
      <c r="E1600" s="21">
        <f>IFERROR(__xludf.DUMMYFUNCTION("""COMPUTED_VALUE"""),145359.0)</f>
        <v>145359</v>
      </c>
      <c r="F1600" s="21" t="str">
        <f>IFERROR(__xludf.DUMMYFUNCTION("""COMPUTED_VALUE"""),"INICIALIZADO")</f>
        <v>INICIALIZADO</v>
      </c>
      <c r="G1600" s="23">
        <f>IFERROR(__xludf.DUMMYFUNCTION("""COMPUTED_VALUE"""),45635.53506944445)</f>
        <v>45635.53507</v>
      </c>
      <c r="H1600" s="24" t="str">
        <f>IFERROR(VLOOKUP(B1600,material!A:D,3,0),"")</f>
        <v>TOP MIX</v>
      </c>
    </row>
    <row r="1601" ht="11.25" customHeight="1">
      <c r="A1601" s="21" t="str">
        <f>IFERROR(__xludf.DUMMYFUNCTION("""COMPUTED_VALUE"""),"DECODER DIGITAL HD HNB100 2T")</f>
        <v>DECODER DIGITAL HD HNB100 2T</v>
      </c>
      <c r="B1601" s="22">
        <f>IFERROR(__xludf.DUMMYFUNCTION("""COMPUTED_VALUE"""),4.1001276E7)</f>
        <v>41001276</v>
      </c>
      <c r="C1601" s="21" t="str">
        <f>IFERROR(__xludf.DUMMYFUNCTION("""COMPUTED_VALUE"""),"184333748889")</f>
        <v>184333748889</v>
      </c>
      <c r="D1601" s="21" t="str">
        <f>IFERROR(__xludf.DUMMYFUNCTION("""COMPUTED_VALUE"""),"DIGITEC TECNOLOGIA DIGITAL E REPRES")</f>
        <v>DIGITEC TECNOLOGIA DIGITAL E REPRES</v>
      </c>
      <c r="E1601" s="21">
        <f>IFERROR(__xludf.DUMMYFUNCTION("""COMPUTED_VALUE"""),145359.0)</f>
        <v>145359</v>
      </c>
      <c r="F1601" s="21" t="str">
        <f>IFERROR(__xludf.DUMMYFUNCTION("""COMPUTED_VALUE"""),"INICIALIZADO")</f>
        <v>INICIALIZADO</v>
      </c>
      <c r="G1601" s="23">
        <f>IFERROR(__xludf.DUMMYFUNCTION("""COMPUTED_VALUE"""),45635.535046296296)</f>
        <v>45635.53505</v>
      </c>
      <c r="H1601" s="24" t="str">
        <f>IFERROR(VLOOKUP(B1601,material!A:D,3,0),"")</f>
        <v>TOP MIX</v>
      </c>
    </row>
    <row r="1602" ht="11.25" customHeight="1">
      <c r="A1602" s="21" t="str">
        <f>IFERROR(__xludf.DUMMYFUNCTION("""COMPUTED_VALUE"""),"DECODER DIGITAL HD HNB100 2T")</f>
        <v>DECODER DIGITAL HD HNB100 2T</v>
      </c>
      <c r="B1602" s="22">
        <f>IFERROR(__xludf.DUMMYFUNCTION("""COMPUTED_VALUE"""),4.1001276E7)</f>
        <v>41001276</v>
      </c>
      <c r="C1602" s="21" t="str">
        <f>IFERROR(__xludf.DUMMYFUNCTION("""COMPUTED_VALUE"""),"216859506877")</f>
        <v>216859506877</v>
      </c>
      <c r="D1602" s="21" t="str">
        <f>IFERROR(__xludf.DUMMYFUNCTION("""COMPUTED_VALUE"""),"DIGITEC TECNOLOGIA DIGITAL E REPRES")</f>
        <v>DIGITEC TECNOLOGIA DIGITAL E REPRES</v>
      </c>
      <c r="E1602" s="21">
        <f>IFERROR(__xludf.DUMMYFUNCTION("""COMPUTED_VALUE"""),145359.0)</f>
        <v>145359</v>
      </c>
      <c r="F1602" s="21" t="str">
        <f>IFERROR(__xludf.DUMMYFUNCTION("""COMPUTED_VALUE"""),"INICIALIZADO")</f>
        <v>INICIALIZADO</v>
      </c>
      <c r="G1602" s="23">
        <f>IFERROR(__xludf.DUMMYFUNCTION("""COMPUTED_VALUE"""),45635.53503472223)</f>
        <v>45635.53503</v>
      </c>
      <c r="H1602" s="24" t="str">
        <f>IFERROR(VLOOKUP(B1602,material!A:D,3,0),"")</f>
        <v>TOP MIX</v>
      </c>
    </row>
    <row r="1603" ht="11.25" customHeight="1">
      <c r="A1603" s="21" t="str">
        <f>IFERROR(__xludf.DUMMYFUNCTION("""COMPUTED_VALUE"""),"TECHNICOLOR TC7337NET")</f>
        <v>TECHNICOLOR TC7337NET</v>
      </c>
      <c r="B1603" s="22">
        <f>IFERROR(__xludf.DUMMYFUNCTION("""COMPUTED_VALUE"""),4.1001294E7)</f>
        <v>41001294</v>
      </c>
      <c r="C1603" s="21" t="str">
        <f>IFERROR(__xludf.DUMMYFUNCTION("""COMPUTED_VALUE"""),"54A65C90384E")</f>
        <v>54A65C90384E</v>
      </c>
      <c r="D1603" s="21" t="str">
        <f>IFERROR(__xludf.DUMMYFUNCTION("""COMPUTED_VALUE"""),"DIGITEC TECNOLOGIA DIGITAL E REPRES")</f>
        <v>DIGITEC TECNOLOGIA DIGITAL E REPRES</v>
      </c>
      <c r="E1603" s="21">
        <f>IFERROR(__xludf.DUMMYFUNCTION("""COMPUTED_VALUE"""),145359.0)</f>
        <v>145359</v>
      </c>
      <c r="F1603" s="21" t="str">
        <f>IFERROR(__xludf.DUMMYFUNCTION("""COMPUTED_VALUE"""),"TRANSITO REVERSA")</f>
        <v>TRANSITO REVERSA</v>
      </c>
      <c r="G1603" s="23">
        <f>IFERROR(__xludf.DUMMYFUNCTION("""COMPUTED_VALUE"""),45626.298668981486)</f>
        <v>45626.29867</v>
      </c>
      <c r="H1603" s="24" t="str">
        <f>IFERROR(VLOOKUP(B1603,material!A:D,3,0),"")</f>
        <v>DUAL</v>
      </c>
    </row>
    <row r="1604" ht="11.25" customHeight="1">
      <c r="A1604" s="21" t="str">
        <f>IFERROR(__xludf.DUMMYFUNCTION("""COMPUTED_VALUE"""),"TECHNICOLOR TC7337NET")</f>
        <v>TECHNICOLOR TC7337NET</v>
      </c>
      <c r="B1604" s="22">
        <f>IFERROR(__xludf.DUMMYFUNCTION("""COMPUTED_VALUE"""),4.1001294E7)</f>
        <v>41001294</v>
      </c>
      <c r="C1604" s="21" t="str">
        <f>IFERROR(__xludf.DUMMYFUNCTION("""COMPUTED_VALUE"""),"54A65C90361E")</f>
        <v>54A65C90361E</v>
      </c>
      <c r="D1604" s="21" t="str">
        <f>IFERROR(__xludf.DUMMYFUNCTION("""COMPUTED_VALUE"""),"DIGITEC TECNOLOGIA DIGITAL E REPRES")</f>
        <v>DIGITEC TECNOLOGIA DIGITAL E REPRES</v>
      </c>
      <c r="E1604" s="21">
        <f>IFERROR(__xludf.DUMMYFUNCTION("""COMPUTED_VALUE"""),145359.0)</f>
        <v>145359</v>
      </c>
      <c r="F1604" s="21" t="str">
        <f>IFERROR(__xludf.DUMMYFUNCTION("""COMPUTED_VALUE"""),"TRANSITO REVERSA")</f>
        <v>TRANSITO REVERSA</v>
      </c>
      <c r="G1604" s="23">
        <f>IFERROR(__xludf.DUMMYFUNCTION("""COMPUTED_VALUE"""),45638.521099537036)</f>
        <v>45638.5211</v>
      </c>
      <c r="H1604" s="24" t="str">
        <f>IFERROR(VLOOKUP(B1604,material!A:D,3,0),"")</f>
        <v>DUAL</v>
      </c>
    </row>
    <row r="1605" ht="11.25" customHeight="1">
      <c r="A1605" s="21" t="str">
        <f>IFERROR(__xludf.DUMMYFUNCTION("""COMPUTED_VALUE"""),"TECHNICOLOR TC7337NET")</f>
        <v>TECHNICOLOR TC7337NET</v>
      </c>
      <c r="B1605" s="22">
        <f>IFERROR(__xludf.DUMMYFUNCTION("""COMPUTED_VALUE"""),4.1001294E7)</f>
        <v>41001294</v>
      </c>
      <c r="C1605" s="21" t="str">
        <f>IFERROR(__xludf.DUMMYFUNCTION("""COMPUTED_VALUE"""),"54A65C90B11C")</f>
        <v>54A65C90B11C</v>
      </c>
      <c r="D1605" s="21" t="str">
        <f>IFERROR(__xludf.DUMMYFUNCTION("""COMPUTED_VALUE"""),"DIGITEC TECNOLOGIA DIGITAL E REPRES")</f>
        <v>DIGITEC TECNOLOGIA DIGITAL E REPRES</v>
      </c>
      <c r="E1605" s="21">
        <f>IFERROR(__xludf.DUMMYFUNCTION("""COMPUTED_VALUE"""),145359.0)</f>
        <v>145359</v>
      </c>
      <c r="F1605" s="21" t="str">
        <f>IFERROR(__xludf.DUMMYFUNCTION("""COMPUTED_VALUE"""),"INICIALIZADO")</f>
        <v>INICIALIZADO</v>
      </c>
      <c r="G1605" s="23">
        <f>IFERROR(__xludf.DUMMYFUNCTION("""COMPUTED_VALUE"""),45615.61858796296)</f>
        <v>45615.61859</v>
      </c>
      <c r="H1605" s="24" t="str">
        <f>IFERROR(VLOOKUP(B1605,material!A:D,3,0),"")</f>
        <v>DUAL</v>
      </c>
    </row>
    <row r="1606" ht="11.25" customHeight="1">
      <c r="A1606" s="21" t="str">
        <f>IFERROR(__xludf.DUMMYFUNCTION("""COMPUTED_VALUE"""),"SMART CARD LARANJA")</f>
        <v>SMART CARD LARANJA</v>
      </c>
      <c r="B1606" s="22">
        <f>IFERROR(__xludf.DUMMYFUNCTION("""COMPUTED_VALUE"""),4.1001186E7)</f>
        <v>41001186</v>
      </c>
      <c r="C1606" s="21" t="str">
        <f>IFERROR(__xludf.DUMMYFUNCTION("""COMPUTED_VALUE"""),"226650701837")</f>
        <v>226650701837</v>
      </c>
      <c r="D1606" s="21" t="str">
        <f>IFERROR(__xludf.DUMMYFUNCTION("""COMPUTED_VALUE"""),"DIGITEC TECNOLOGIA DIGITAL E REPRES")</f>
        <v>DIGITEC TECNOLOGIA DIGITAL E REPRES</v>
      </c>
      <c r="E1606" s="21">
        <f>IFERROR(__xludf.DUMMYFUNCTION("""COMPUTED_VALUE"""),145359.0)</f>
        <v>145359</v>
      </c>
      <c r="F1606" s="21" t="str">
        <f>IFERROR(__xludf.DUMMYFUNCTION("""COMPUTED_VALUE"""),"ANALISE DE INVENTARIO")</f>
        <v>ANALISE DE INVENTARIO</v>
      </c>
      <c r="G1606" s="23">
        <f>IFERROR(__xludf.DUMMYFUNCTION("""COMPUTED_VALUE"""),45532.91804398148)</f>
        <v>45532.91804</v>
      </c>
      <c r="H1606" s="24" t="str">
        <f>IFERROR(VLOOKUP(B1606,material!A:D,3,0),"")</f>
        <v>CARD</v>
      </c>
    </row>
    <row r="1607" ht="11.25" customHeight="1">
      <c r="A1607" s="21" t="str">
        <f>IFERROR(__xludf.DUMMYFUNCTION("""COMPUTED_VALUE"""),"TECHNICOLOR TC7337NET")</f>
        <v>TECHNICOLOR TC7337NET</v>
      </c>
      <c r="B1607" s="22">
        <f>IFERROR(__xludf.DUMMYFUNCTION("""COMPUTED_VALUE"""),4.1001294E7)</f>
        <v>41001294</v>
      </c>
      <c r="C1607" s="21" t="str">
        <f>IFERROR(__xludf.DUMMYFUNCTION("""COMPUTED_VALUE"""),"54A65C0F8420")</f>
        <v>54A65C0F8420</v>
      </c>
      <c r="D1607" s="21" t="str">
        <f>IFERROR(__xludf.DUMMYFUNCTION("""COMPUTED_VALUE"""),"DIGITEC TECNOLOGIA DIGITAL E REPRES")</f>
        <v>DIGITEC TECNOLOGIA DIGITAL E REPRES</v>
      </c>
      <c r="E1607" s="21">
        <f>IFERROR(__xludf.DUMMYFUNCTION("""COMPUTED_VALUE"""),145359.0)</f>
        <v>145359</v>
      </c>
      <c r="F1607" s="21" t="str">
        <f>IFERROR(__xludf.DUMMYFUNCTION("""COMPUTED_VALUE"""),"TRANSITO REVERSA")</f>
        <v>TRANSITO REVERSA</v>
      </c>
      <c r="G1607" s="23">
        <f>IFERROR(__xludf.DUMMYFUNCTION("""COMPUTED_VALUE"""),45626.29871527778)</f>
        <v>45626.29872</v>
      </c>
      <c r="H1607" s="24" t="str">
        <f>IFERROR(VLOOKUP(B1607,material!A:D,3,0),"")</f>
        <v>DUAL</v>
      </c>
    </row>
    <row r="1608" ht="11.25" customHeight="1">
      <c r="A1608" s="21" t="str">
        <f>IFERROR(__xludf.DUMMYFUNCTION("""COMPUTED_VALUE"""),"DECODER HD DCI738 2T")</f>
        <v>DECODER HD DCI738 2T</v>
      </c>
      <c r="B1608" s="22">
        <f>IFERROR(__xludf.DUMMYFUNCTION("""COMPUTED_VALUE"""),4.1001275E7)</f>
        <v>41001275</v>
      </c>
      <c r="C1608" s="21" t="str">
        <f>IFERROR(__xludf.DUMMYFUNCTION("""COMPUTED_VALUE"""),"216889579396")</f>
        <v>216889579396</v>
      </c>
      <c r="D1608" s="21" t="str">
        <f>IFERROR(__xludf.DUMMYFUNCTION("""COMPUTED_VALUE"""),"DIGITEC TECNOLOGIA DIGITAL E REPRES")</f>
        <v>DIGITEC TECNOLOGIA DIGITAL E REPRES</v>
      </c>
      <c r="E1608" s="21">
        <f>IFERROR(__xludf.DUMMYFUNCTION("""COMPUTED_VALUE"""),145359.0)</f>
        <v>145359</v>
      </c>
      <c r="F1608" s="21" t="str">
        <f>IFERROR(__xludf.DUMMYFUNCTION("""COMPUTED_VALUE"""),"TRANSITO REVERSA")</f>
        <v>TRANSITO REVERSA</v>
      </c>
      <c r="G1608" s="23">
        <f>IFERROR(__xludf.DUMMYFUNCTION("""COMPUTED_VALUE"""),45633.00340277777)</f>
        <v>45633.0034</v>
      </c>
      <c r="H1608" s="24" t="str">
        <f>IFERROR(VLOOKUP(B1608,material!A:D,3,0),"")</f>
        <v>TOP MIX</v>
      </c>
    </row>
    <row r="1609" ht="11.25" customHeight="1">
      <c r="A1609" s="21" t="str">
        <f>IFERROR(__xludf.DUMMYFUNCTION("""COMPUTED_VALUE"""),"PACE - HIGH DEFINITION DCR7411")</f>
        <v>PACE - HIGH DEFINITION DCR7411</v>
      </c>
      <c r="B1609" s="22">
        <f>IFERROR(__xludf.DUMMYFUNCTION("""COMPUTED_VALUE"""),4.1001216E7)</f>
        <v>41001216</v>
      </c>
      <c r="C1609" s="21" t="str">
        <f>IFERROR(__xludf.DUMMYFUNCTION("""COMPUTED_VALUE"""),"184146431530")</f>
        <v>184146431530</v>
      </c>
      <c r="D1609" s="21" t="str">
        <f>IFERROR(__xludf.DUMMYFUNCTION("""COMPUTED_VALUE"""),"DIGITEC TECNOLOGIA DIGITAL E REPRES")</f>
        <v>DIGITEC TECNOLOGIA DIGITAL E REPRES</v>
      </c>
      <c r="E1609" s="21">
        <f>IFERROR(__xludf.DUMMYFUNCTION("""COMPUTED_VALUE"""),145359.0)</f>
        <v>145359</v>
      </c>
      <c r="F1609" s="21" t="str">
        <f>IFERROR(__xludf.DUMMYFUNCTION("""COMPUTED_VALUE"""),"TRANSITO REVERSA")</f>
        <v>TRANSITO REVERSA</v>
      </c>
      <c r="G1609" s="23">
        <f>IFERROR(__xludf.DUMMYFUNCTION("""COMPUTED_VALUE"""),45610.730416666665)</f>
        <v>45610.73042</v>
      </c>
      <c r="H1609" s="24" t="str">
        <f>IFERROR(VLOOKUP(B1609,material!A:D,3,0),"")</f>
        <v>LEGADO</v>
      </c>
    </row>
    <row r="1610" ht="11.25" customHeight="1">
      <c r="A1610" s="21" t="str">
        <f>IFERROR(__xludf.DUMMYFUNCTION("""COMPUTED_VALUE"""),"HUMAX HGB10R-02")</f>
        <v>HUMAX HGB10R-02</v>
      </c>
      <c r="B1610" s="22">
        <f>IFERROR(__xludf.DUMMYFUNCTION("""COMPUTED_VALUE"""),4.1001292E7)</f>
        <v>41001292</v>
      </c>
      <c r="C1610" s="21" t="str">
        <f>IFERROR(__xludf.DUMMYFUNCTION("""COMPUTED_VALUE"""),"E820E28E5C26")</f>
        <v>E820E28E5C26</v>
      </c>
      <c r="D1610" s="21" t="str">
        <f>IFERROR(__xludf.DUMMYFUNCTION("""COMPUTED_VALUE"""),"DIGITEC TECNOLOGIA DIGITAL E REPRES")</f>
        <v>DIGITEC TECNOLOGIA DIGITAL E REPRES</v>
      </c>
      <c r="E1610" s="21">
        <f>IFERROR(__xludf.DUMMYFUNCTION("""COMPUTED_VALUE"""),145359.0)</f>
        <v>145359</v>
      </c>
      <c r="F1610" s="21" t="str">
        <f>IFERROR(__xludf.DUMMYFUNCTION("""COMPUTED_VALUE"""),"TRANSITO REVERSA")</f>
        <v>TRANSITO REVERSA</v>
      </c>
      <c r="G1610" s="23">
        <f>IFERROR(__xludf.DUMMYFUNCTION("""COMPUTED_VALUE"""),45604.4906712963)</f>
        <v>45604.49067</v>
      </c>
      <c r="H1610" s="24" t="str">
        <f>IFERROR(VLOOKUP(B1610,material!A:D,3,0),"")</f>
        <v>DUAL</v>
      </c>
    </row>
    <row r="1611" ht="11.25" customHeight="1">
      <c r="A1611" s="21" t="str">
        <f>IFERROR(__xludf.DUMMYFUNCTION("""COMPUTED_VALUE"""),"DECODER DIGITAL HD HNB100 2T")</f>
        <v>DECODER DIGITAL HD HNB100 2T</v>
      </c>
      <c r="B1611" s="22">
        <f>IFERROR(__xludf.DUMMYFUNCTION("""COMPUTED_VALUE"""),4.1001276E7)</f>
        <v>41001276</v>
      </c>
      <c r="C1611" s="21" t="str">
        <f>IFERROR(__xludf.DUMMYFUNCTION("""COMPUTED_VALUE"""),"216861059700")</f>
        <v>216861059700</v>
      </c>
      <c r="D1611" s="21" t="str">
        <f>IFERROR(__xludf.DUMMYFUNCTION("""COMPUTED_VALUE"""),"DIGITEC TECNOLOGIA DIGITAL E REPRES")</f>
        <v>DIGITEC TECNOLOGIA DIGITAL E REPRES</v>
      </c>
      <c r="E1611" s="21">
        <f>IFERROR(__xludf.DUMMYFUNCTION("""COMPUTED_VALUE"""),145359.0)</f>
        <v>145359</v>
      </c>
      <c r="F1611" s="21" t="str">
        <f>IFERROR(__xludf.DUMMYFUNCTION("""COMPUTED_VALUE"""),"INICIALIZADO")</f>
        <v>INICIALIZADO</v>
      </c>
      <c r="G1611" s="23">
        <f>IFERROR(__xludf.DUMMYFUNCTION("""COMPUTED_VALUE"""),45635.53503472223)</f>
        <v>45635.53503</v>
      </c>
      <c r="H1611" s="24" t="str">
        <f>IFERROR(VLOOKUP(B1611,material!A:D,3,0),"")</f>
        <v>TOP MIX</v>
      </c>
    </row>
    <row r="1612" ht="11.25" customHeight="1">
      <c r="A1612" s="21" t="str">
        <f>IFERROR(__xludf.DUMMYFUNCTION("""COMPUTED_VALUE"""),"DECODER DIGITAL HD HNB100 2T")</f>
        <v>DECODER DIGITAL HD HNB100 2T</v>
      </c>
      <c r="B1612" s="22">
        <f>IFERROR(__xludf.DUMMYFUNCTION("""COMPUTED_VALUE"""),4.1001276E7)</f>
        <v>41001276</v>
      </c>
      <c r="C1612" s="21" t="str">
        <f>IFERROR(__xludf.DUMMYFUNCTION("""COMPUTED_VALUE"""),"216861140315")</f>
        <v>216861140315</v>
      </c>
      <c r="D1612" s="21" t="str">
        <f>IFERROR(__xludf.DUMMYFUNCTION("""COMPUTED_VALUE"""),"DIGITEC TECNOLOGIA DIGITAL E REPRES")</f>
        <v>DIGITEC TECNOLOGIA DIGITAL E REPRES</v>
      </c>
      <c r="E1612" s="21">
        <f>IFERROR(__xludf.DUMMYFUNCTION("""COMPUTED_VALUE"""),145359.0)</f>
        <v>145359</v>
      </c>
      <c r="F1612" s="21" t="str">
        <f>IFERROR(__xludf.DUMMYFUNCTION("""COMPUTED_VALUE"""),"INICIALIZADO")</f>
        <v>INICIALIZADO</v>
      </c>
      <c r="G1612" s="23">
        <f>IFERROR(__xludf.DUMMYFUNCTION("""COMPUTED_VALUE"""),45635.53503472223)</f>
        <v>45635.53503</v>
      </c>
      <c r="H1612" s="24" t="str">
        <f>IFERROR(VLOOKUP(B1612,material!A:D,3,0),"")</f>
        <v>TOP MIX</v>
      </c>
    </row>
    <row r="1613" ht="11.25" customHeight="1">
      <c r="A1613" s="21" t="str">
        <f>IFERROR(__xludf.DUMMYFUNCTION("""COMPUTED_VALUE"""),"SMART CARD PRETO NAGRA")</f>
        <v>SMART CARD PRETO NAGRA</v>
      </c>
      <c r="B1613" s="22">
        <f>IFERROR(__xludf.DUMMYFUNCTION("""COMPUTED_VALUE"""),4.1001234E7)</f>
        <v>41001234</v>
      </c>
      <c r="C1613" s="21" t="str">
        <f>IFERROR(__xludf.DUMMYFUNCTION("""COMPUTED_VALUE"""),"246034908305")</f>
        <v>246034908305</v>
      </c>
      <c r="D1613" s="21" t="str">
        <f>IFERROR(__xludf.DUMMYFUNCTION("""COMPUTED_VALUE"""),"DIGITEC TECNOLOGIA DIGITAL E REPRES")</f>
        <v>DIGITEC TECNOLOGIA DIGITAL E REPRES</v>
      </c>
      <c r="E1613" s="21">
        <f>IFERROR(__xludf.DUMMYFUNCTION("""COMPUTED_VALUE"""),145359.0)</f>
        <v>145359</v>
      </c>
      <c r="F1613" s="21" t="str">
        <f>IFERROR(__xludf.DUMMYFUNCTION("""COMPUTED_VALUE"""),"SUSPEITO")</f>
        <v>SUSPEITO</v>
      </c>
      <c r="G1613" s="23">
        <f>IFERROR(__xludf.DUMMYFUNCTION("""COMPUTED_VALUE"""),45632.78122685185)</f>
        <v>45632.78123</v>
      </c>
      <c r="H1613" s="24" t="str">
        <f>IFERROR(VLOOKUP(B1613,material!A:D,3,0),"")</f>
        <v>CARD</v>
      </c>
    </row>
    <row r="1614" ht="11.25" customHeight="1">
      <c r="A1614" s="21" t="str">
        <f>IFERROR(__xludf.DUMMYFUNCTION("""COMPUTED_VALUE"""),"DECODER DIGITAL HD HNB100 2T")</f>
        <v>DECODER DIGITAL HD HNB100 2T</v>
      </c>
      <c r="B1614" s="22">
        <f>IFERROR(__xludf.DUMMYFUNCTION("""COMPUTED_VALUE"""),4.1001276E7)</f>
        <v>41001276</v>
      </c>
      <c r="C1614" s="21" t="str">
        <f>IFERROR(__xludf.DUMMYFUNCTION("""COMPUTED_VALUE"""),"216702821115")</f>
        <v>216702821115</v>
      </c>
      <c r="D1614" s="21" t="str">
        <f>IFERROR(__xludf.DUMMYFUNCTION("""COMPUTED_VALUE"""),"DIGITEC TECNOLOGIA DIGITAL E REPRES")</f>
        <v>DIGITEC TECNOLOGIA DIGITAL E REPRES</v>
      </c>
      <c r="E1614" s="21">
        <f>IFERROR(__xludf.DUMMYFUNCTION("""COMPUTED_VALUE"""),145359.0)</f>
        <v>145359</v>
      </c>
      <c r="F1614" s="21" t="str">
        <f>IFERROR(__xludf.DUMMYFUNCTION("""COMPUTED_VALUE"""),"INICIALIZADO")</f>
        <v>INICIALIZADO</v>
      </c>
      <c r="G1614" s="23">
        <f>IFERROR(__xludf.DUMMYFUNCTION("""COMPUTED_VALUE"""),45642.52412037037)</f>
        <v>45642.52412</v>
      </c>
      <c r="H1614" s="24" t="str">
        <f>IFERROR(VLOOKUP(B1614,material!A:D,3,0),"")</f>
        <v>TOP MIX</v>
      </c>
    </row>
    <row r="1615" ht="11.25" customHeight="1">
      <c r="A1615" s="21" t="str">
        <f>IFERROR(__xludf.DUMMYFUNCTION("""COMPUTED_VALUE"""),"DECODER DIGITAL HD HNB100 2T")</f>
        <v>DECODER DIGITAL HD HNB100 2T</v>
      </c>
      <c r="B1615" s="22">
        <f>IFERROR(__xludf.DUMMYFUNCTION("""COMPUTED_VALUE"""),4.1001276E7)</f>
        <v>41001276</v>
      </c>
      <c r="C1615" s="21" t="str">
        <f>IFERROR(__xludf.DUMMYFUNCTION("""COMPUTED_VALUE"""),"184268961120")</f>
        <v>184268961120</v>
      </c>
      <c r="D1615" s="21" t="str">
        <f>IFERROR(__xludf.DUMMYFUNCTION("""COMPUTED_VALUE"""),"DIGITEC TECNOLOGIA DIGITAL E REPRES")</f>
        <v>DIGITEC TECNOLOGIA DIGITAL E REPRES</v>
      </c>
      <c r="E1615" s="21">
        <f>IFERROR(__xludf.DUMMYFUNCTION("""COMPUTED_VALUE"""),145359.0)</f>
        <v>145359</v>
      </c>
      <c r="F1615" s="21" t="str">
        <f>IFERROR(__xludf.DUMMYFUNCTION("""COMPUTED_VALUE"""),"INICIALIZADO")</f>
        <v>INICIALIZADO</v>
      </c>
      <c r="G1615" s="23">
        <f>IFERROR(__xludf.DUMMYFUNCTION("""COMPUTED_VALUE"""),45635.535057870366)</f>
        <v>45635.53506</v>
      </c>
      <c r="H1615" s="24" t="str">
        <f>IFERROR(VLOOKUP(B1615,material!A:D,3,0),"")</f>
        <v>TOP MIX</v>
      </c>
    </row>
    <row r="1616" ht="11.25" customHeight="1">
      <c r="A1616" s="21" t="str">
        <f>IFERROR(__xludf.DUMMYFUNCTION("""COMPUTED_VALUE"""),"SMART CARD PRETO NAGRA")</f>
        <v>SMART CARD PRETO NAGRA</v>
      </c>
      <c r="B1616" s="22">
        <f>IFERROR(__xludf.DUMMYFUNCTION("""COMPUTED_VALUE"""),4.1001234E7)</f>
        <v>41001234</v>
      </c>
      <c r="C1616" s="21" t="str">
        <f>IFERROR(__xludf.DUMMYFUNCTION("""COMPUTED_VALUE"""),"226398688789")</f>
        <v>226398688789</v>
      </c>
      <c r="D1616" s="21" t="str">
        <f>IFERROR(__xludf.DUMMYFUNCTION("""COMPUTED_VALUE"""),"DIGITEC TECNOLOGIA DIGITAL E REPRES")</f>
        <v>DIGITEC TECNOLOGIA DIGITAL E REPRES</v>
      </c>
      <c r="E1616" s="21">
        <f>IFERROR(__xludf.DUMMYFUNCTION("""COMPUTED_VALUE"""),145359.0)</f>
        <v>145359</v>
      </c>
      <c r="F1616" s="21" t="str">
        <f>IFERROR(__xludf.DUMMYFUNCTION("""COMPUTED_VALUE"""),"INICIALIZADO")</f>
        <v>INICIALIZADO</v>
      </c>
      <c r="G1616" s="23">
        <f>IFERROR(__xludf.DUMMYFUNCTION("""COMPUTED_VALUE"""),45594.64797453704)</f>
        <v>45594.64797</v>
      </c>
      <c r="H1616" s="24" t="str">
        <f>IFERROR(VLOOKUP(B1616,material!A:D,3,0),"")</f>
        <v>CARD</v>
      </c>
    </row>
    <row r="1617" ht="11.25" customHeight="1">
      <c r="A1617" s="21" t="str">
        <f>IFERROR(__xludf.DUMMYFUNCTION("""COMPUTED_VALUE"""),"DECODER DIGITAL HD HNB100 2T")</f>
        <v>DECODER DIGITAL HD HNB100 2T</v>
      </c>
      <c r="B1617" s="22">
        <f>IFERROR(__xludf.DUMMYFUNCTION("""COMPUTED_VALUE"""),4.1001276E7)</f>
        <v>41001276</v>
      </c>
      <c r="C1617" s="21" t="str">
        <f>IFERROR(__xludf.DUMMYFUNCTION("""COMPUTED_VALUE"""),"216725879100")</f>
        <v>216725879100</v>
      </c>
      <c r="D1617" s="21" t="str">
        <f>IFERROR(__xludf.DUMMYFUNCTION("""COMPUTED_VALUE"""),"DIGITEC TECNOLOGIA DIGITAL E REPRES")</f>
        <v>DIGITEC TECNOLOGIA DIGITAL E REPRES</v>
      </c>
      <c r="E1617" s="21">
        <f>IFERROR(__xludf.DUMMYFUNCTION("""COMPUTED_VALUE"""),145359.0)</f>
        <v>145359</v>
      </c>
      <c r="F1617" s="21" t="str">
        <f>IFERROR(__xludf.DUMMYFUNCTION("""COMPUTED_VALUE"""),"INICIALIZADO")</f>
        <v>INICIALIZADO</v>
      </c>
      <c r="G1617" s="23">
        <f>IFERROR(__xludf.DUMMYFUNCTION("""COMPUTED_VALUE"""),45635.53501157407)</f>
        <v>45635.53501</v>
      </c>
      <c r="H1617" s="24" t="str">
        <f>IFERROR(VLOOKUP(B1617,material!A:D,3,0),"")</f>
        <v>TOP MIX</v>
      </c>
    </row>
    <row r="1618" ht="11.25" customHeight="1">
      <c r="A1618" s="21" t="str">
        <f>IFERROR(__xludf.DUMMYFUNCTION("""COMPUTED_VALUE"""),"DECODER DIGITAL HD HNB100 2T")</f>
        <v>DECODER DIGITAL HD HNB100 2T</v>
      </c>
      <c r="B1618" s="22">
        <f>IFERROR(__xludf.DUMMYFUNCTION("""COMPUTED_VALUE"""),4.1001276E7)</f>
        <v>41001276</v>
      </c>
      <c r="C1618" s="21" t="str">
        <f>IFERROR(__xludf.DUMMYFUNCTION("""COMPUTED_VALUE"""),"216697932041")</f>
        <v>216697932041</v>
      </c>
      <c r="D1618" s="21" t="str">
        <f>IFERROR(__xludf.DUMMYFUNCTION("""COMPUTED_VALUE"""),"DIGITEC TECNOLOGIA DIGITAL E REPRES")</f>
        <v>DIGITEC TECNOLOGIA DIGITAL E REPRES</v>
      </c>
      <c r="E1618" s="21">
        <f>IFERROR(__xludf.DUMMYFUNCTION("""COMPUTED_VALUE"""),145359.0)</f>
        <v>145359</v>
      </c>
      <c r="F1618" s="21" t="str">
        <f>IFERROR(__xludf.DUMMYFUNCTION("""COMPUTED_VALUE"""),"INICIALIZADO")</f>
        <v>INICIALIZADO</v>
      </c>
      <c r="G1618" s="23">
        <f>IFERROR(__xludf.DUMMYFUNCTION("""COMPUTED_VALUE"""),45635.53501157407)</f>
        <v>45635.53501</v>
      </c>
      <c r="H1618" s="24" t="str">
        <f>IFERROR(VLOOKUP(B1618,material!A:D,3,0),"")</f>
        <v>TOP MIX</v>
      </c>
    </row>
    <row r="1619" ht="11.25" customHeight="1">
      <c r="A1619" s="21" t="str">
        <f>IFERROR(__xludf.DUMMYFUNCTION("""COMPUTED_VALUE"""),"DECODER DIGITAL HD HNB100 2T")</f>
        <v>DECODER DIGITAL HD HNB100 2T</v>
      </c>
      <c r="B1619" s="22">
        <f>IFERROR(__xludf.DUMMYFUNCTION("""COMPUTED_VALUE"""),4.1001276E7)</f>
        <v>41001276</v>
      </c>
      <c r="C1619" s="21" t="str">
        <f>IFERROR(__xludf.DUMMYFUNCTION("""COMPUTED_VALUE"""),"216361386984")</f>
        <v>216361386984</v>
      </c>
      <c r="D1619" s="21" t="str">
        <f>IFERROR(__xludf.DUMMYFUNCTION("""COMPUTED_VALUE"""),"DIGITEC TECNOLOGIA DIGITAL E REPRES")</f>
        <v>DIGITEC TECNOLOGIA DIGITAL E REPRES</v>
      </c>
      <c r="E1619" s="21">
        <f>IFERROR(__xludf.DUMMYFUNCTION("""COMPUTED_VALUE"""),145359.0)</f>
        <v>145359</v>
      </c>
      <c r="F1619" s="21" t="str">
        <f>IFERROR(__xludf.DUMMYFUNCTION("""COMPUTED_VALUE"""),"INICIALIZADO")</f>
        <v>INICIALIZADO</v>
      </c>
      <c r="G1619" s="23">
        <f>IFERROR(__xludf.DUMMYFUNCTION("""COMPUTED_VALUE"""),45635.535046296296)</f>
        <v>45635.53505</v>
      </c>
      <c r="H1619" s="24" t="str">
        <f>IFERROR(VLOOKUP(B1619,material!A:D,3,0),"")</f>
        <v>TOP MIX</v>
      </c>
    </row>
    <row r="1620" ht="11.25" customHeight="1">
      <c r="A1620" s="21" t="str">
        <f>IFERROR(__xludf.DUMMYFUNCTION("""COMPUTED_VALUE"""),"DECODER DIGITAL HD HNB100 2T")</f>
        <v>DECODER DIGITAL HD HNB100 2T</v>
      </c>
      <c r="B1620" s="22">
        <f>IFERROR(__xludf.DUMMYFUNCTION("""COMPUTED_VALUE"""),4.1001276E7)</f>
        <v>41001276</v>
      </c>
      <c r="C1620" s="21" t="str">
        <f>IFERROR(__xludf.DUMMYFUNCTION("""COMPUTED_VALUE"""),"216338166783")</f>
        <v>216338166783</v>
      </c>
      <c r="D1620" s="21" t="str">
        <f>IFERROR(__xludf.DUMMYFUNCTION("""COMPUTED_VALUE"""),"DIGITEC TECNOLOGIA DIGITAL E REPRES")</f>
        <v>DIGITEC TECNOLOGIA DIGITAL E REPRES</v>
      </c>
      <c r="E1620" s="21">
        <f>IFERROR(__xludf.DUMMYFUNCTION("""COMPUTED_VALUE"""),145359.0)</f>
        <v>145359</v>
      </c>
      <c r="F1620" s="21" t="str">
        <f>IFERROR(__xludf.DUMMYFUNCTION("""COMPUTED_VALUE"""),"INICIALIZADO")</f>
        <v>INICIALIZADO</v>
      </c>
      <c r="G1620" s="23">
        <f>IFERROR(__xludf.DUMMYFUNCTION("""COMPUTED_VALUE"""),45635.535057870366)</f>
        <v>45635.53506</v>
      </c>
      <c r="H1620" s="24" t="str">
        <f>IFERROR(VLOOKUP(B1620,material!A:D,3,0),"")</f>
        <v>TOP MIX</v>
      </c>
    </row>
    <row r="1621" ht="11.25" customHeight="1">
      <c r="A1621" s="21" t="str">
        <f>IFERROR(__xludf.DUMMYFUNCTION("""COMPUTED_VALUE"""),"DECODER DIGITAL HD HNB100 2T")</f>
        <v>DECODER DIGITAL HD HNB100 2T</v>
      </c>
      <c r="B1621" s="22">
        <f>IFERROR(__xludf.DUMMYFUNCTION("""COMPUTED_VALUE"""),4.1001276E7)</f>
        <v>41001276</v>
      </c>
      <c r="C1621" s="21" t="str">
        <f>IFERROR(__xludf.DUMMYFUNCTION("""COMPUTED_VALUE"""),"216509316887")</f>
        <v>216509316887</v>
      </c>
      <c r="D1621" s="21" t="str">
        <f>IFERROR(__xludf.DUMMYFUNCTION("""COMPUTED_VALUE"""),"DIGITEC TECNOLOGIA DIGITAL E REPRES")</f>
        <v>DIGITEC TECNOLOGIA DIGITAL E REPRES</v>
      </c>
      <c r="E1621" s="21">
        <f>IFERROR(__xludf.DUMMYFUNCTION("""COMPUTED_VALUE"""),145359.0)</f>
        <v>145359</v>
      </c>
      <c r="F1621" s="21" t="str">
        <f>IFERROR(__xludf.DUMMYFUNCTION("""COMPUTED_VALUE"""),"INICIALIZADO")</f>
        <v>INICIALIZADO</v>
      </c>
      <c r="G1621" s="23">
        <f>IFERROR(__xludf.DUMMYFUNCTION("""COMPUTED_VALUE"""),45635.535057870366)</f>
        <v>45635.53506</v>
      </c>
      <c r="H1621" s="24" t="str">
        <f>IFERROR(VLOOKUP(B1621,material!A:D,3,0),"")</f>
        <v>TOP MIX</v>
      </c>
    </row>
    <row r="1622" ht="11.25" customHeight="1">
      <c r="A1622" s="21" t="str">
        <f>IFERROR(__xludf.DUMMYFUNCTION("""COMPUTED_VALUE"""),"SMART CARD PRETO NAGRA")</f>
        <v>SMART CARD PRETO NAGRA</v>
      </c>
      <c r="B1622" s="22">
        <f>IFERROR(__xludf.DUMMYFUNCTION("""COMPUTED_VALUE"""),4.1001234E7)</f>
        <v>41001234</v>
      </c>
      <c r="C1622" s="21" t="str">
        <f>IFERROR(__xludf.DUMMYFUNCTION("""COMPUTED_VALUE"""),"246049861111")</f>
        <v>246049861111</v>
      </c>
      <c r="D1622" s="21" t="str">
        <f>IFERROR(__xludf.DUMMYFUNCTION("""COMPUTED_VALUE"""),"DIGITEC TECNOLOGIA DIGITAL E REPRES")</f>
        <v>DIGITEC TECNOLOGIA DIGITAL E REPRES</v>
      </c>
      <c r="E1622" s="21">
        <f>IFERROR(__xludf.DUMMYFUNCTION("""COMPUTED_VALUE"""),145359.0)</f>
        <v>145359</v>
      </c>
      <c r="F1622" s="21" t="str">
        <f>IFERROR(__xludf.DUMMYFUNCTION("""COMPUTED_VALUE"""),"INICIALIZADO")</f>
        <v>INICIALIZADO</v>
      </c>
      <c r="G1622" s="23">
        <f>IFERROR(__xludf.DUMMYFUNCTION("""COMPUTED_VALUE"""),45594.64797453704)</f>
        <v>45594.64797</v>
      </c>
      <c r="H1622" s="24" t="str">
        <f>IFERROR(VLOOKUP(B1622,material!A:D,3,0),"")</f>
        <v>CARD</v>
      </c>
    </row>
    <row r="1623" ht="11.25" customHeight="1">
      <c r="A1623" s="21" t="str">
        <f>IFERROR(__xludf.DUMMYFUNCTION("""COMPUTED_VALUE"""),"DECODER DIGITAL HD HNB100 2T")</f>
        <v>DECODER DIGITAL HD HNB100 2T</v>
      </c>
      <c r="B1623" s="22">
        <f>IFERROR(__xludf.DUMMYFUNCTION("""COMPUTED_VALUE"""),4.1001276E7)</f>
        <v>41001276</v>
      </c>
      <c r="C1623" s="21" t="str">
        <f>IFERROR(__xludf.DUMMYFUNCTION("""COMPUTED_VALUE"""),"216549326684")</f>
        <v>216549326684</v>
      </c>
      <c r="D1623" s="21" t="str">
        <f>IFERROR(__xludf.DUMMYFUNCTION("""COMPUTED_VALUE"""),"DIGITEC TECNOLOGIA DIGITAL E REPRES")</f>
        <v>DIGITEC TECNOLOGIA DIGITAL E REPRES</v>
      </c>
      <c r="E1623" s="21">
        <f>IFERROR(__xludf.DUMMYFUNCTION("""COMPUTED_VALUE"""),145359.0)</f>
        <v>145359</v>
      </c>
      <c r="F1623" s="21" t="str">
        <f>IFERROR(__xludf.DUMMYFUNCTION("""COMPUTED_VALUE"""),"INICIALIZADO")</f>
        <v>INICIALIZADO</v>
      </c>
      <c r="G1623" s="23">
        <f>IFERROR(__xludf.DUMMYFUNCTION("""COMPUTED_VALUE"""),45642.524143518516)</f>
        <v>45642.52414</v>
      </c>
      <c r="H1623" s="24" t="str">
        <f>IFERROR(VLOOKUP(B1623,material!A:D,3,0),"")</f>
        <v>TOP MIX</v>
      </c>
    </row>
    <row r="1624" ht="11.25" customHeight="1">
      <c r="A1624" s="21" t="str">
        <f>IFERROR(__xludf.DUMMYFUNCTION("""COMPUTED_VALUE"""),"DECODER DIGITAL HD HNB100 2T")</f>
        <v>DECODER DIGITAL HD HNB100 2T</v>
      </c>
      <c r="B1624" s="22">
        <f>IFERROR(__xludf.DUMMYFUNCTION("""COMPUTED_VALUE"""),4.1001276E7)</f>
        <v>41001276</v>
      </c>
      <c r="C1624" s="21" t="str">
        <f>IFERROR(__xludf.DUMMYFUNCTION("""COMPUTED_VALUE"""),"216634982429")</f>
        <v>216634982429</v>
      </c>
      <c r="D1624" s="21" t="str">
        <f>IFERROR(__xludf.DUMMYFUNCTION("""COMPUTED_VALUE"""),"DIGITEC TECNOLOGIA DIGITAL E REPRES")</f>
        <v>DIGITEC TECNOLOGIA DIGITAL E REPRES</v>
      </c>
      <c r="E1624" s="21">
        <f>IFERROR(__xludf.DUMMYFUNCTION("""COMPUTED_VALUE"""),145359.0)</f>
        <v>145359</v>
      </c>
      <c r="F1624" s="21" t="str">
        <f>IFERROR(__xludf.DUMMYFUNCTION("""COMPUTED_VALUE"""),"SUSPEITO")</f>
        <v>SUSPEITO</v>
      </c>
      <c r="G1624" s="23">
        <f>IFERROR(__xludf.DUMMYFUNCTION("""COMPUTED_VALUE"""),45639.60359953703)</f>
        <v>45639.6036</v>
      </c>
      <c r="H1624" s="24" t="str">
        <f>IFERROR(VLOOKUP(B1624,material!A:D,3,0),"")</f>
        <v>TOP MIX</v>
      </c>
    </row>
    <row r="1625" ht="11.25" customHeight="1">
      <c r="A1625" s="21" t="str">
        <f>IFERROR(__xludf.DUMMYFUNCTION("""COMPUTED_VALUE"""),"TECHNICOLOR TC7337NET")</f>
        <v>TECHNICOLOR TC7337NET</v>
      </c>
      <c r="B1625" s="22">
        <f>IFERROR(__xludf.DUMMYFUNCTION("""COMPUTED_VALUE"""),4.1001294E7)</f>
        <v>41001294</v>
      </c>
      <c r="C1625" s="21" t="str">
        <f>IFERROR(__xludf.DUMMYFUNCTION("""COMPUTED_VALUE"""),"1062D0C962D8")</f>
        <v>1062D0C962D8</v>
      </c>
      <c r="D1625" s="21" t="str">
        <f>IFERROR(__xludf.DUMMYFUNCTION("""COMPUTED_VALUE"""),"DIGITEC TECNOLOGIA DIGITAL E REPRES")</f>
        <v>DIGITEC TECNOLOGIA DIGITAL E REPRES</v>
      </c>
      <c r="E1625" s="21">
        <f>IFERROR(__xludf.DUMMYFUNCTION("""COMPUTED_VALUE"""),145359.0)</f>
        <v>145359</v>
      </c>
      <c r="F1625" s="21" t="str">
        <f>IFERROR(__xludf.DUMMYFUNCTION("""COMPUTED_VALUE"""),"INICIALIZADO")</f>
        <v>INICIALIZADO</v>
      </c>
      <c r="G1625" s="23">
        <f>IFERROR(__xludf.DUMMYFUNCTION("""COMPUTED_VALUE"""),45618.74475694445)</f>
        <v>45618.74476</v>
      </c>
      <c r="H1625" s="24" t="str">
        <f>IFERROR(VLOOKUP(B1625,material!A:D,3,0),"")</f>
        <v>DUAL</v>
      </c>
    </row>
    <row r="1626" ht="11.25" customHeight="1">
      <c r="A1626" s="21" t="str">
        <f>IFERROR(__xludf.DUMMYFUNCTION("""COMPUTED_VALUE"""),"DECODER DIGITAL HD HNB100 2T")</f>
        <v>DECODER DIGITAL HD HNB100 2T</v>
      </c>
      <c r="B1626" s="22">
        <f>IFERROR(__xludf.DUMMYFUNCTION("""COMPUTED_VALUE"""),4.1001276E7)</f>
        <v>41001276</v>
      </c>
      <c r="C1626" s="21" t="str">
        <f>IFERROR(__xludf.DUMMYFUNCTION("""COMPUTED_VALUE"""),"216335688102")</f>
        <v>216335688102</v>
      </c>
      <c r="D1626" s="21" t="str">
        <f>IFERROR(__xludf.DUMMYFUNCTION("""COMPUTED_VALUE"""),"DIGITEC TECNOLOGIA DIGITAL E REPRES")</f>
        <v>DIGITEC TECNOLOGIA DIGITAL E REPRES</v>
      </c>
      <c r="E1626" s="21">
        <f>IFERROR(__xludf.DUMMYFUNCTION("""COMPUTED_VALUE"""),145359.0)</f>
        <v>145359</v>
      </c>
      <c r="F1626" s="21" t="str">
        <f>IFERROR(__xludf.DUMMYFUNCTION("""COMPUTED_VALUE"""),"INICIALIZADO")</f>
        <v>INICIALIZADO</v>
      </c>
      <c r="G1626" s="23">
        <f>IFERROR(__xludf.DUMMYFUNCTION("""COMPUTED_VALUE"""),45635.535046296296)</f>
        <v>45635.53505</v>
      </c>
      <c r="H1626" s="24" t="str">
        <f>IFERROR(VLOOKUP(B1626,material!A:D,3,0),"")</f>
        <v>TOP MIX</v>
      </c>
    </row>
    <row r="1627" ht="11.25" customHeight="1">
      <c r="A1627" s="21" t="str">
        <f>IFERROR(__xludf.DUMMYFUNCTION("""COMPUTED_VALUE"""),"DECODER DIGITAL HD HNB100 2T")</f>
        <v>DECODER DIGITAL HD HNB100 2T</v>
      </c>
      <c r="B1627" s="22">
        <f>IFERROR(__xludf.DUMMYFUNCTION("""COMPUTED_VALUE"""),4.1001276E7)</f>
        <v>41001276</v>
      </c>
      <c r="C1627" s="21" t="str">
        <f>IFERROR(__xludf.DUMMYFUNCTION("""COMPUTED_VALUE"""),"216503747286")</f>
        <v>216503747286</v>
      </c>
      <c r="D1627" s="21" t="str">
        <f>IFERROR(__xludf.DUMMYFUNCTION("""COMPUTED_VALUE"""),"DIGITEC TECNOLOGIA DIGITAL E REPRES")</f>
        <v>DIGITEC TECNOLOGIA DIGITAL E REPRES</v>
      </c>
      <c r="E1627" s="21">
        <f>IFERROR(__xludf.DUMMYFUNCTION("""COMPUTED_VALUE"""),145359.0)</f>
        <v>145359</v>
      </c>
      <c r="F1627" s="21" t="str">
        <f>IFERROR(__xludf.DUMMYFUNCTION("""COMPUTED_VALUE"""),"INICIALIZADO")</f>
        <v>INICIALIZADO</v>
      </c>
      <c r="G1627" s="23">
        <f>IFERROR(__xludf.DUMMYFUNCTION("""COMPUTED_VALUE"""),45635.535046296296)</f>
        <v>45635.53505</v>
      </c>
      <c r="H1627" s="24" t="str">
        <f>IFERROR(VLOOKUP(B1627,material!A:D,3,0),"")</f>
        <v>TOP MIX</v>
      </c>
    </row>
    <row r="1628" ht="11.25" customHeight="1">
      <c r="A1628" s="21" t="str">
        <f>IFERROR(__xludf.DUMMYFUNCTION("""COMPUTED_VALUE"""),"ARRIS TG1692A")</f>
        <v>ARRIS TG1692A</v>
      </c>
      <c r="B1628" s="22">
        <f>IFERROR(__xludf.DUMMYFUNCTION("""COMPUTED_VALUE"""),4.1001293E7)</f>
        <v>41001293</v>
      </c>
      <c r="C1628" s="21" t="str">
        <f>IFERROR(__xludf.DUMMYFUNCTION("""COMPUTED_VALUE"""),"BC644BCFE03E")</f>
        <v>BC644BCFE03E</v>
      </c>
      <c r="D1628" s="21" t="str">
        <f>IFERROR(__xludf.DUMMYFUNCTION("""COMPUTED_VALUE"""),"DIGITEC TECNOLOGIA DIGITAL E REPRES")</f>
        <v>DIGITEC TECNOLOGIA DIGITAL E REPRES</v>
      </c>
      <c r="E1628" s="21">
        <f>IFERROR(__xludf.DUMMYFUNCTION("""COMPUTED_VALUE"""),145359.0)</f>
        <v>145359</v>
      </c>
      <c r="F1628" s="21" t="str">
        <f>IFERROR(__xludf.DUMMYFUNCTION("""COMPUTED_VALUE"""),"TRANSITO REVERSA")</f>
        <v>TRANSITO REVERSA</v>
      </c>
      <c r="G1628" s="23">
        <f>IFERROR(__xludf.DUMMYFUNCTION("""COMPUTED_VALUE"""),45626.298692129625)</f>
        <v>45626.29869</v>
      </c>
      <c r="H1628" s="24" t="str">
        <f>IFERROR(VLOOKUP(B1628,material!A:D,3,0),"")</f>
        <v>DUAL</v>
      </c>
    </row>
    <row r="1629" ht="11.25" customHeight="1">
      <c r="A1629" s="21" t="str">
        <f>IFERROR(__xludf.DUMMYFUNCTION("""COMPUTED_VALUE"""),"ARRIS TG1692A")</f>
        <v>ARRIS TG1692A</v>
      </c>
      <c r="B1629" s="22">
        <f>IFERROR(__xludf.DUMMYFUNCTION("""COMPUTED_VALUE"""),4.1001293E7)</f>
        <v>41001293</v>
      </c>
      <c r="C1629" s="21" t="str">
        <f>IFERROR(__xludf.DUMMYFUNCTION("""COMPUTED_VALUE"""),"BC644BC96D8A")</f>
        <v>BC644BC96D8A</v>
      </c>
      <c r="D1629" s="21" t="str">
        <f>IFERROR(__xludf.DUMMYFUNCTION("""COMPUTED_VALUE"""),"DIGITEC TECNOLOGIA DIGITAL E REPRES")</f>
        <v>DIGITEC TECNOLOGIA DIGITAL E REPRES</v>
      </c>
      <c r="E1629" s="21">
        <f>IFERROR(__xludf.DUMMYFUNCTION("""COMPUTED_VALUE"""),145359.0)</f>
        <v>145359</v>
      </c>
      <c r="F1629" s="21" t="str">
        <f>IFERROR(__xludf.DUMMYFUNCTION("""COMPUTED_VALUE"""),"TRANSITO REVERSA")</f>
        <v>TRANSITO REVERSA</v>
      </c>
      <c r="G1629" s="23">
        <f>IFERROR(__xludf.DUMMYFUNCTION("""COMPUTED_VALUE"""),45617.87140046296)</f>
        <v>45617.8714</v>
      </c>
      <c r="H1629" s="24" t="str">
        <f>IFERROR(VLOOKUP(B1629,material!A:D,3,0),"")</f>
        <v>DUAL</v>
      </c>
    </row>
    <row r="1630" ht="11.25" customHeight="1">
      <c r="A1630" s="21" t="str">
        <f>IFERROR(__xludf.DUMMYFUNCTION("""COMPUTED_VALUE"""),"ARRIS TG1692A")</f>
        <v>ARRIS TG1692A</v>
      </c>
      <c r="B1630" s="22">
        <f>IFERROR(__xludf.DUMMYFUNCTION("""COMPUTED_VALUE"""),4.1001293E7)</f>
        <v>41001293</v>
      </c>
      <c r="C1630" s="21" t="str">
        <f>IFERROR(__xludf.DUMMYFUNCTION("""COMPUTED_VALUE"""),"BC644BD9C0F4")</f>
        <v>BC644BD9C0F4</v>
      </c>
      <c r="D1630" s="21" t="str">
        <f>IFERROR(__xludf.DUMMYFUNCTION("""COMPUTED_VALUE"""),"DIGITEC TECNOLOGIA DIGITAL E REPRES")</f>
        <v>DIGITEC TECNOLOGIA DIGITAL E REPRES</v>
      </c>
      <c r="E1630" s="21">
        <f>IFERROR(__xludf.DUMMYFUNCTION("""COMPUTED_VALUE"""),145359.0)</f>
        <v>145359</v>
      </c>
      <c r="F1630" s="21" t="str">
        <f>IFERROR(__xludf.DUMMYFUNCTION("""COMPUTED_VALUE"""),"TRANSITO REVERSA")</f>
        <v>TRANSITO REVERSA</v>
      </c>
      <c r="G1630" s="23">
        <f>IFERROR(__xludf.DUMMYFUNCTION("""COMPUTED_VALUE"""),45633.00398148148)</f>
        <v>45633.00398</v>
      </c>
      <c r="H1630" s="24" t="str">
        <f>IFERROR(VLOOKUP(B1630,material!A:D,3,0),"")</f>
        <v>DUAL</v>
      </c>
    </row>
    <row r="1631" ht="11.25" customHeight="1">
      <c r="A1631" s="21" t="str">
        <f>IFERROR(__xludf.DUMMYFUNCTION("""COMPUTED_VALUE"""),"SMART CARD LARANJA NAGRA")</f>
        <v>SMART CARD LARANJA NAGRA</v>
      </c>
      <c r="B1631" s="22">
        <f>IFERROR(__xludf.DUMMYFUNCTION("""COMPUTED_VALUE"""),4.1001186E7)</f>
        <v>41001186</v>
      </c>
      <c r="C1631" s="21" t="str">
        <f>IFERROR(__xludf.DUMMYFUNCTION("""COMPUTED_VALUE"""),"215751934363")</f>
        <v>215751934363</v>
      </c>
      <c r="D1631" s="21" t="str">
        <f>IFERROR(__xludf.DUMMYFUNCTION("""COMPUTED_VALUE"""),"DIGITEC TECNOLOGIA DIGITAL E REPRES")</f>
        <v>DIGITEC TECNOLOGIA DIGITAL E REPRES</v>
      </c>
      <c r="E1631" s="21">
        <f>IFERROR(__xludf.DUMMYFUNCTION("""COMPUTED_VALUE"""),145359.0)</f>
        <v>145359</v>
      </c>
      <c r="F1631" s="21" t="str">
        <f>IFERROR(__xludf.DUMMYFUNCTION("""COMPUTED_VALUE"""),"SUCATA")</f>
        <v>SUCATA</v>
      </c>
      <c r="G1631" s="23">
        <f>IFERROR(__xludf.DUMMYFUNCTION("""COMPUTED_VALUE"""),45076.62069444444)</f>
        <v>45076.62069</v>
      </c>
      <c r="H1631" s="24" t="str">
        <f>IFERROR(VLOOKUP(B1631,material!A:D,3,0),"")</f>
        <v>CARD</v>
      </c>
    </row>
    <row r="1632" ht="11.25" customHeight="1">
      <c r="A1632" s="21" t="str">
        <f>IFERROR(__xludf.DUMMYFUNCTION("""COMPUTED_VALUE"""),"DECODER DIGITAL HD HNB100 2T")</f>
        <v>DECODER DIGITAL HD HNB100 2T</v>
      </c>
      <c r="B1632" s="22">
        <f>IFERROR(__xludf.DUMMYFUNCTION("""COMPUTED_VALUE"""),4.1001276E7)</f>
        <v>41001276</v>
      </c>
      <c r="C1632" s="21" t="str">
        <f>IFERROR(__xludf.DUMMYFUNCTION("""COMPUTED_VALUE"""),"216798884564")</f>
        <v>216798884564</v>
      </c>
      <c r="D1632" s="21" t="str">
        <f>IFERROR(__xludf.DUMMYFUNCTION("""COMPUTED_VALUE"""),"DIGITEC TECNOLOGIA DIGITAL E REPRES")</f>
        <v>DIGITEC TECNOLOGIA DIGITAL E REPRES</v>
      </c>
      <c r="E1632" s="21">
        <f>IFERROR(__xludf.DUMMYFUNCTION("""COMPUTED_VALUE"""),145359.0)</f>
        <v>145359</v>
      </c>
      <c r="F1632" s="21" t="str">
        <f>IFERROR(__xludf.DUMMYFUNCTION("""COMPUTED_VALUE"""),"INICIALIZADO")</f>
        <v>INICIALIZADO</v>
      </c>
      <c r="G1632" s="23">
        <f>IFERROR(__xludf.DUMMYFUNCTION("""COMPUTED_VALUE"""),45635.53501157407)</f>
        <v>45635.53501</v>
      </c>
      <c r="H1632" s="24" t="str">
        <f>IFERROR(VLOOKUP(B1632,material!A:D,3,0),"")</f>
        <v>TOP MIX</v>
      </c>
    </row>
    <row r="1633" ht="11.25" customHeight="1">
      <c r="A1633" s="21" t="str">
        <f>IFERROR(__xludf.DUMMYFUNCTION("""COMPUTED_VALUE"""),"DECODER DIGITAL HD HNB100 2T")</f>
        <v>DECODER DIGITAL HD HNB100 2T</v>
      </c>
      <c r="B1633" s="22">
        <f>IFERROR(__xludf.DUMMYFUNCTION("""COMPUTED_VALUE"""),4.1001276E7)</f>
        <v>41001276</v>
      </c>
      <c r="C1633" s="21" t="str">
        <f>IFERROR(__xludf.DUMMYFUNCTION("""COMPUTED_VALUE"""),"216791645967")</f>
        <v>216791645967</v>
      </c>
      <c r="D1633" s="21" t="str">
        <f>IFERROR(__xludf.DUMMYFUNCTION("""COMPUTED_VALUE"""),"DIGITEC TECNOLOGIA DIGITAL E REPRES")</f>
        <v>DIGITEC TECNOLOGIA DIGITAL E REPRES</v>
      </c>
      <c r="E1633" s="21">
        <f>IFERROR(__xludf.DUMMYFUNCTION("""COMPUTED_VALUE"""),145359.0)</f>
        <v>145359</v>
      </c>
      <c r="F1633" s="21" t="str">
        <f>IFERROR(__xludf.DUMMYFUNCTION("""COMPUTED_VALUE"""),"INICIALIZADO")</f>
        <v>INICIALIZADO</v>
      </c>
      <c r="G1633" s="23">
        <f>IFERROR(__xludf.DUMMYFUNCTION("""COMPUTED_VALUE"""),45635.53501157407)</f>
        <v>45635.53501</v>
      </c>
      <c r="H1633" s="24" t="str">
        <f>IFERROR(VLOOKUP(B1633,material!A:D,3,0),"")</f>
        <v>TOP MIX</v>
      </c>
    </row>
    <row r="1634" ht="11.25" customHeight="1">
      <c r="A1634" s="21" t="str">
        <f>IFERROR(__xludf.DUMMYFUNCTION("""COMPUTED_VALUE"""),"DECODER DIGITAL HD HNB100 2T")</f>
        <v>DECODER DIGITAL HD HNB100 2T</v>
      </c>
      <c r="B1634" s="22">
        <f>IFERROR(__xludf.DUMMYFUNCTION("""COMPUTED_VALUE"""),4.1001276E7)</f>
        <v>41001276</v>
      </c>
      <c r="C1634" s="21" t="str">
        <f>IFERROR(__xludf.DUMMYFUNCTION("""COMPUTED_VALUE"""),"216735382340")</f>
        <v>216735382340</v>
      </c>
      <c r="D1634" s="21" t="str">
        <f>IFERROR(__xludf.DUMMYFUNCTION("""COMPUTED_VALUE"""),"DIGITEC TECNOLOGIA DIGITAL E REPRES")</f>
        <v>DIGITEC TECNOLOGIA DIGITAL E REPRES</v>
      </c>
      <c r="E1634" s="21">
        <f>IFERROR(__xludf.DUMMYFUNCTION("""COMPUTED_VALUE"""),145359.0)</f>
        <v>145359</v>
      </c>
      <c r="F1634" s="21" t="str">
        <f>IFERROR(__xludf.DUMMYFUNCTION("""COMPUTED_VALUE"""),"INICIALIZADO")</f>
        <v>INICIALIZADO</v>
      </c>
      <c r="G1634" s="23">
        <f>IFERROR(__xludf.DUMMYFUNCTION("""COMPUTED_VALUE"""),45635.535)</f>
        <v>45635.535</v>
      </c>
      <c r="H1634" s="24" t="str">
        <f>IFERROR(VLOOKUP(B1634,material!A:D,3,0),"")</f>
        <v>TOP MIX</v>
      </c>
    </row>
    <row r="1635" ht="11.25" customHeight="1">
      <c r="A1635" s="21" t="str">
        <f>IFERROR(__xludf.DUMMYFUNCTION("""COMPUTED_VALUE"""),"DECODER DIGITAL HD HNB100 2T")</f>
        <v>DECODER DIGITAL HD HNB100 2T</v>
      </c>
      <c r="B1635" s="22">
        <f>IFERROR(__xludf.DUMMYFUNCTION("""COMPUTED_VALUE"""),4.1001276E7)</f>
        <v>41001276</v>
      </c>
      <c r="C1635" s="21" t="str">
        <f>IFERROR(__xludf.DUMMYFUNCTION("""COMPUTED_VALUE"""),"216814577374")</f>
        <v>216814577374</v>
      </c>
      <c r="D1635" s="21" t="str">
        <f>IFERROR(__xludf.DUMMYFUNCTION("""COMPUTED_VALUE"""),"DIGITEC TECNOLOGIA DIGITAL E REPRES")</f>
        <v>DIGITEC TECNOLOGIA DIGITAL E REPRES</v>
      </c>
      <c r="E1635" s="21">
        <f>IFERROR(__xludf.DUMMYFUNCTION("""COMPUTED_VALUE"""),145359.0)</f>
        <v>145359</v>
      </c>
      <c r="F1635" s="21" t="str">
        <f>IFERROR(__xludf.DUMMYFUNCTION("""COMPUTED_VALUE"""),"INICIALIZADO")</f>
        <v>INICIALIZADO</v>
      </c>
      <c r="G1635" s="23">
        <f>IFERROR(__xludf.DUMMYFUNCTION("""COMPUTED_VALUE"""),45635.53501157407)</f>
        <v>45635.53501</v>
      </c>
      <c r="H1635" s="24" t="str">
        <f>IFERROR(VLOOKUP(B1635,material!A:D,3,0),"")</f>
        <v>TOP MIX</v>
      </c>
    </row>
    <row r="1636" ht="11.25" customHeight="1">
      <c r="A1636" s="21" t="str">
        <f>IFERROR(__xludf.DUMMYFUNCTION("""COMPUTED_VALUE"""),"DECODER DIGITAL HD HNB100 2T")</f>
        <v>DECODER DIGITAL HD HNB100 2T</v>
      </c>
      <c r="B1636" s="22">
        <f>IFERROR(__xludf.DUMMYFUNCTION("""COMPUTED_VALUE"""),4.1001276E7)</f>
        <v>41001276</v>
      </c>
      <c r="C1636" s="21" t="str">
        <f>IFERROR(__xludf.DUMMYFUNCTION("""COMPUTED_VALUE"""),"216817985272")</f>
        <v>216817985272</v>
      </c>
      <c r="D1636" s="21" t="str">
        <f>IFERROR(__xludf.DUMMYFUNCTION("""COMPUTED_VALUE"""),"DIGITEC TECNOLOGIA DIGITAL E REPRES")</f>
        <v>DIGITEC TECNOLOGIA DIGITAL E REPRES</v>
      </c>
      <c r="E1636" s="21">
        <f>IFERROR(__xludf.DUMMYFUNCTION("""COMPUTED_VALUE"""),145359.0)</f>
        <v>145359</v>
      </c>
      <c r="F1636" s="21" t="str">
        <f>IFERROR(__xludf.DUMMYFUNCTION("""COMPUTED_VALUE"""),"INICIALIZADO")</f>
        <v>INICIALIZADO</v>
      </c>
      <c r="G1636" s="23">
        <f>IFERROR(__xludf.DUMMYFUNCTION("""COMPUTED_VALUE"""),45635.53502314815)</f>
        <v>45635.53502</v>
      </c>
      <c r="H1636" s="24" t="str">
        <f>IFERROR(VLOOKUP(B1636,material!A:D,3,0),"")</f>
        <v>TOP MIX</v>
      </c>
    </row>
    <row r="1637" ht="11.25" customHeight="1">
      <c r="A1637" s="21" t="str">
        <f>IFERROR(__xludf.DUMMYFUNCTION("""COMPUTED_VALUE"""),"DECODER DIGITAL HD HNB100 2T")</f>
        <v>DECODER DIGITAL HD HNB100 2T</v>
      </c>
      <c r="B1637" s="22">
        <f>IFERROR(__xludf.DUMMYFUNCTION("""COMPUTED_VALUE"""),4.1001276E7)</f>
        <v>41001276</v>
      </c>
      <c r="C1637" s="21" t="str">
        <f>IFERROR(__xludf.DUMMYFUNCTION("""COMPUTED_VALUE"""),"216627304564")</f>
        <v>216627304564</v>
      </c>
      <c r="D1637" s="21" t="str">
        <f>IFERROR(__xludf.DUMMYFUNCTION("""COMPUTED_VALUE"""),"DIGITEC TECNOLOGIA DIGITAL E REPRES")</f>
        <v>DIGITEC TECNOLOGIA DIGITAL E REPRES</v>
      </c>
      <c r="E1637" s="21">
        <f>IFERROR(__xludf.DUMMYFUNCTION("""COMPUTED_VALUE"""),145359.0)</f>
        <v>145359</v>
      </c>
      <c r="F1637" s="21" t="str">
        <f>IFERROR(__xludf.DUMMYFUNCTION("""COMPUTED_VALUE"""),"INICIALIZADO")</f>
        <v>INICIALIZADO</v>
      </c>
      <c r="G1637" s="23">
        <f>IFERROR(__xludf.DUMMYFUNCTION("""COMPUTED_VALUE"""),45642.524143518516)</f>
        <v>45642.52414</v>
      </c>
      <c r="H1637" s="24" t="str">
        <f>IFERROR(VLOOKUP(B1637,material!A:D,3,0),"")</f>
        <v>TOP MIX</v>
      </c>
    </row>
    <row r="1638" ht="11.25" customHeight="1">
      <c r="A1638" s="21" t="str">
        <f>IFERROR(__xludf.DUMMYFUNCTION("""COMPUTED_VALUE"""),"SMART CARD PRETO NAGRA")</f>
        <v>SMART CARD PRETO NAGRA</v>
      </c>
      <c r="B1638" s="22">
        <f>IFERROR(__xludf.DUMMYFUNCTION("""COMPUTED_VALUE"""),4.1001234E7)</f>
        <v>41001234</v>
      </c>
      <c r="C1638" s="21" t="str">
        <f>IFERROR(__xludf.DUMMYFUNCTION("""COMPUTED_VALUE"""),"246292326670")</f>
        <v>246292326670</v>
      </c>
      <c r="D1638" s="21" t="str">
        <f>IFERROR(__xludf.DUMMYFUNCTION("""COMPUTED_VALUE"""),"DIGITEC TECNOLOGIA DIGITAL E REPRES")</f>
        <v>DIGITEC TECNOLOGIA DIGITAL E REPRES</v>
      </c>
      <c r="E1638" s="21">
        <f>IFERROR(__xludf.DUMMYFUNCTION("""COMPUTED_VALUE"""),145359.0)</f>
        <v>145359</v>
      </c>
      <c r="F1638" s="21" t="str">
        <f>IFERROR(__xludf.DUMMYFUNCTION("""COMPUTED_VALUE"""),"INICIALIZADO")</f>
        <v>INICIALIZADO</v>
      </c>
      <c r="G1638" s="23">
        <f>IFERROR(__xludf.DUMMYFUNCTION("""COMPUTED_VALUE"""),45642.52410879629)</f>
        <v>45642.52411</v>
      </c>
      <c r="H1638" s="24" t="str">
        <f>IFERROR(VLOOKUP(B1638,material!A:D,3,0),"")</f>
        <v>CARD</v>
      </c>
    </row>
    <row r="1639" ht="11.25" customHeight="1">
      <c r="A1639" s="21" t="str">
        <f>IFERROR(__xludf.DUMMYFUNCTION("""COMPUTED_VALUE"""),"SMART CARD PRETO NAGRA")</f>
        <v>SMART CARD PRETO NAGRA</v>
      </c>
      <c r="B1639" s="22">
        <f>IFERROR(__xludf.DUMMYFUNCTION("""COMPUTED_VALUE"""),4.1001234E7)</f>
        <v>41001234</v>
      </c>
      <c r="C1639" s="21" t="str">
        <f>IFERROR(__xludf.DUMMYFUNCTION("""COMPUTED_VALUE"""),"226322639303")</f>
        <v>226322639303</v>
      </c>
      <c r="D1639" s="21" t="str">
        <f>IFERROR(__xludf.DUMMYFUNCTION("""COMPUTED_VALUE"""),"DIGITEC TECNOLOGIA DIGITAL E REPRES")</f>
        <v>DIGITEC TECNOLOGIA DIGITAL E REPRES</v>
      </c>
      <c r="E1639" s="21">
        <f>IFERROR(__xludf.DUMMYFUNCTION("""COMPUTED_VALUE"""),145359.0)</f>
        <v>145359</v>
      </c>
      <c r="F1639" s="21" t="str">
        <f>IFERROR(__xludf.DUMMYFUNCTION("""COMPUTED_VALUE"""),"INICIALIZADO")</f>
        <v>INICIALIZADO</v>
      </c>
      <c r="G1639" s="23">
        <f>IFERROR(__xludf.DUMMYFUNCTION("""COMPUTED_VALUE"""),45635.53497685185)</f>
        <v>45635.53498</v>
      </c>
      <c r="H1639" s="24" t="str">
        <f>IFERROR(VLOOKUP(B1639,material!A:D,3,0),"")</f>
        <v>CARD</v>
      </c>
    </row>
    <row r="1640" ht="11.25" customHeight="1">
      <c r="A1640" s="21" t="str">
        <f>IFERROR(__xludf.DUMMYFUNCTION("""COMPUTED_VALUE"""),"DECODER DIGITAL HD HNB100 2T")</f>
        <v>DECODER DIGITAL HD HNB100 2T</v>
      </c>
      <c r="B1640" s="22">
        <f>IFERROR(__xludf.DUMMYFUNCTION("""COMPUTED_VALUE"""),4.1001276E7)</f>
        <v>41001276</v>
      </c>
      <c r="C1640" s="21" t="str">
        <f>IFERROR(__xludf.DUMMYFUNCTION("""COMPUTED_VALUE"""),"216738139915")</f>
        <v>216738139915</v>
      </c>
      <c r="D1640" s="21" t="str">
        <f>IFERROR(__xludf.DUMMYFUNCTION("""COMPUTED_VALUE"""),"DIGITEC TECNOLOGIA DIGITAL E REPRES")</f>
        <v>DIGITEC TECNOLOGIA DIGITAL E REPRES</v>
      </c>
      <c r="E1640" s="21">
        <f>IFERROR(__xludf.DUMMYFUNCTION("""COMPUTED_VALUE"""),145359.0)</f>
        <v>145359</v>
      </c>
      <c r="F1640" s="21" t="str">
        <f>IFERROR(__xludf.DUMMYFUNCTION("""COMPUTED_VALUE"""),"INICIALIZADO")</f>
        <v>INICIALIZADO</v>
      </c>
      <c r="G1640" s="23">
        <f>IFERROR(__xludf.DUMMYFUNCTION("""COMPUTED_VALUE"""),45635.535)</f>
        <v>45635.535</v>
      </c>
      <c r="H1640" s="24" t="str">
        <f>IFERROR(VLOOKUP(B1640,material!A:D,3,0),"")</f>
        <v>TOP MIX</v>
      </c>
    </row>
    <row r="1641" ht="11.25" customHeight="1">
      <c r="A1641" s="21" t="str">
        <f>IFERROR(__xludf.DUMMYFUNCTION("""COMPUTED_VALUE"""),"DECODER DIGITAL HD HNB100 2T")</f>
        <v>DECODER DIGITAL HD HNB100 2T</v>
      </c>
      <c r="B1641" s="22">
        <f>IFERROR(__xludf.DUMMYFUNCTION("""COMPUTED_VALUE"""),4.1001276E7)</f>
        <v>41001276</v>
      </c>
      <c r="C1641" s="21" t="str">
        <f>IFERROR(__xludf.DUMMYFUNCTION("""COMPUTED_VALUE"""),"216861007293")</f>
        <v>216861007293</v>
      </c>
      <c r="D1641" s="21" t="str">
        <f>IFERROR(__xludf.DUMMYFUNCTION("""COMPUTED_VALUE"""),"DIGITEC TECNOLOGIA DIGITAL E REPRES")</f>
        <v>DIGITEC TECNOLOGIA DIGITAL E REPRES</v>
      </c>
      <c r="E1641" s="21">
        <f>IFERROR(__xludf.DUMMYFUNCTION("""COMPUTED_VALUE"""),145359.0)</f>
        <v>145359</v>
      </c>
      <c r="F1641" s="21" t="str">
        <f>IFERROR(__xludf.DUMMYFUNCTION("""COMPUTED_VALUE"""),"INICIALIZADO")</f>
        <v>INICIALIZADO</v>
      </c>
      <c r="G1641" s="23">
        <f>IFERROR(__xludf.DUMMYFUNCTION("""COMPUTED_VALUE"""),45635.53503472223)</f>
        <v>45635.53503</v>
      </c>
      <c r="H1641" s="24" t="str">
        <f>IFERROR(VLOOKUP(B1641,material!A:D,3,0),"")</f>
        <v>TOP MIX</v>
      </c>
    </row>
    <row r="1642" ht="11.25" customHeight="1">
      <c r="A1642" s="21" t="str">
        <f>IFERROR(__xludf.DUMMYFUNCTION("""COMPUTED_VALUE"""),"THOMSON HIGH DEFINITION DCI713")</f>
        <v>THOMSON HIGH DEFINITION DCI713</v>
      </c>
      <c r="B1642" s="22">
        <f>IFERROR(__xludf.DUMMYFUNCTION("""COMPUTED_VALUE"""),4.1001273E7)</f>
        <v>41001273</v>
      </c>
      <c r="C1642" s="21" t="str">
        <f>IFERROR(__xludf.DUMMYFUNCTION("""COMPUTED_VALUE"""),"184309626468")</f>
        <v>184309626468</v>
      </c>
      <c r="D1642" s="21" t="str">
        <f>IFERROR(__xludf.DUMMYFUNCTION("""COMPUTED_VALUE"""),"DIGITEC TECNOLOGIA DIGITAL E REPRES")</f>
        <v>DIGITEC TECNOLOGIA DIGITAL E REPRES</v>
      </c>
      <c r="E1642" s="21">
        <f>IFERROR(__xludf.DUMMYFUNCTION("""COMPUTED_VALUE"""),145359.0)</f>
        <v>145359</v>
      </c>
      <c r="F1642" s="21" t="str">
        <f>IFERROR(__xludf.DUMMYFUNCTION("""COMPUTED_VALUE"""),"ANALISE DE INVENTARIO")</f>
        <v>ANALISE DE INVENTARIO</v>
      </c>
      <c r="G1642" s="23">
        <f>IFERROR(__xludf.DUMMYFUNCTION("""COMPUTED_VALUE"""),45404.46774305556)</f>
        <v>45404.46774</v>
      </c>
      <c r="H1642" s="24" t="str">
        <f>IFERROR(VLOOKUP(B1642,material!A:D,3,0),"")</f>
        <v>LEGADO</v>
      </c>
    </row>
    <row r="1643" ht="11.25" customHeight="1">
      <c r="A1643" s="21" t="str">
        <f>IFERROR(__xludf.DUMMYFUNCTION("""COMPUTED_VALUE"""),"EMTA WIFI 3.0 C6500")</f>
        <v>EMTA WIFI 3.0 C6500</v>
      </c>
      <c r="B1643" s="22">
        <f>IFERROR(__xludf.DUMMYFUNCTION("""COMPUTED_VALUE"""),4.1001289E7)</f>
        <v>41001289</v>
      </c>
      <c r="C1643" s="21" t="str">
        <f>IFERROR(__xludf.DUMMYFUNCTION("""COMPUTED_VALUE"""),"D42C0FF04B84")</f>
        <v>D42C0FF04B84</v>
      </c>
      <c r="D1643" s="21" t="str">
        <f>IFERROR(__xludf.DUMMYFUNCTION("""COMPUTED_VALUE"""),"DIGITEC TECNOLOGIA DIGITAL E REPRES")</f>
        <v>DIGITEC TECNOLOGIA DIGITAL E REPRES</v>
      </c>
      <c r="E1643" s="21">
        <f>IFERROR(__xludf.DUMMYFUNCTION("""COMPUTED_VALUE"""),145359.0)</f>
        <v>145359</v>
      </c>
      <c r="F1643" s="21" t="str">
        <f>IFERROR(__xludf.DUMMYFUNCTION("""COMPUTED_VALUE"""),"TRANSITO REVERSA")</f>
        <v>TRANSITO REVERSA</v>
      </c>
      <c r="G1643" s="23">
        <f>IFERROR(__xludf.DUMMYFUNCTION("""COMPUTED_VALUE"""),45638.52186342592)</f>
        <v>45638.52186</v>
      </c>
      <c r="H1643" s="24" t="str">
        <f>IFERROR(VLOOKUP(B1643,material!A:D,3,0),"")</f>
        <v>SINGLE</v>
      </c>
    </row>
    <row r="1644" ht="11.25" customHeight="1">
      <c r="A1644" s="21" t="str">
        <f>IFERROR(__xludf.DUMMYFUNCTION("""COMPUTED_VALUE"""),"DECODER DIGITAL HD DXC5000 2T")</f>
        <v>DECODER DIGITAL HD DXC5000 2T</v>
      </c>
      <c r="B1644" s="22">
        <f>IFERROR(__xludf.DUMMYFUNCTION("""COMPUTED_VALUE"""),4.1001277E7)</f>
        <v>41001277</v>
      </c>
      <c r="C1644" s="21" t="str">
        <f>IFERROR(__xludf.DUMMYFUNCTION("""COMPUTED_VALUE"""),"216480954355")</f>
        <v>216480954355</v>
      </c>
      <c r="D1644" s="21" t="str">
        <f>IFERROR(__xludf.DUMMYFUNCTION("""COMPUTED_VALUE"""),"DIGITEC TECNOLOGIA DIGITAL E REPRES")</f>
        <v>DIGITEC TECNOLOGIA DIGITAL E REPRES</v>
      </c>
      <c r="E1644" s="21">
        <f>IFERROR(__xludf.DUMMYFUNCTION("""COMPUTED_VALUE"""),145359.0)</f>
        <v>145359</v>
      </c>
      <c r="F1644" s="21" t="str">
        <f>IFERROR(__xludf.DUMMYFUNCTION("""COMPUTED_VALUE"""),"TRANSITO REVERSA")</f>
        <v>TRANSITO REVERSA</v>
      </c>
      <c r="G1644" s="23">
        <f>IFERROR(__xludf.DUMMYFUNCTION("""COMPUTED_VALUE"""),45633.0033912037)</f>
        <v>45633.00339</v>
      </c>
      <c r="H1644" s="24" t="str">
        <f>IFERROR(VLOOKUP(B1644,material!A:D,3,0),"")</f>
        <v>TOP MIX</v>
      </c>
    </row>
    <row r="1645" ht="11.25" customHeight="1">
      <c r="A1645" s="21" t="str">
        <f>IFERROR(__xludf.DUMMYFUNCTION("""COMPUTED_VALUE"""),"DECODER DIGITAL HD HNB100 2T")</f>
        <v>DECODER DIGITAL HD HNB100 2T</v>
      </c>
      <c r="B1645" s="22">
        <f>IFERROR(__xludf.DUMMYFUNCTION("""COMPUTED_VALUE"""),4.1001276E7)</f>
        <v>41001276</v>
      </c>
      <c r="C1645" s="21" t="str">
        <f>IFERROR(__xludf.DUMMYFUNCTION("""COMPUTED_VALUE"""),"216507868496")</f>
        <v>216507868496</v>
      </c>
      <c r="D1645" s="21" t="str">
        <f>IFERROR(__xludf.DUMMYFUNCTION("""COMPUTED_VALUE"""),"DIGITEC TECNOLOGIA DIGITAL E REPRES")</f>
        <v>DIGITEC TECNOLOGIA DIGITAL E REPRES</v>
      </c>
      <c r="E1645" s="21">
        <f>IFERROR(__xludf.DUMMYFUNCTION("""COMPUTED_VALUE"""),145359.0)</f>
        <v>145359</v>
      </c>
      <c r="F1645" s="21" t="str">
        <f>IFERROR(__xludf.DUMMYFUNCTION("""COMPUTED_VALUE"""),"TRANSITO REVERSA")</f>
        <v>TRANSITO REVERSA</v>
      </c>
      <c r="G1645" s="23">
        <f>IFERROR(__xludf.DUMMYFUNCTION("""COMPUTED_VALUE"""),45638.520648148144)</f>
        <v>45638.52065</v>
      </c>
      <c r="H1645" s="24" t="str">
        <f>IFERROR(VLOOKUP(B1645,material!A:D,3,0),"")</f>
        <v>TOP MIX</v>
      </c>
    </row>
    <row r="1646" ht="11.25" customHeight="1">
      <c r="A1646" s="21" t="str">
        <f>IFERROR(__xludf.DUMMYFUNCTION("""COMPUTED_VALUE"""),"SMART CARD PRETO NAGRA")</f>
        <v>SMART CARD PRETO NAGRA</v>
      </c>
      <c r="B1646" s="22">
        <f>IFERROR(__xludf.DUMMYFUNCTION("""COMPUTED_VALUE"""),4.1001234E7)</f>
        <v>41001234</v>
      </c>
      <c r="C1646" s="21" t="str">
        <f>IFERROR(__xludf.DUMMYFUNCTION("""COMPUTED_VALUE"""),"246309815459")</f>
        <v>246309815459</v>
      </c>
      <c r="D1646" s="21" t="str">
        <f>IFERROR(__xludf.DUMMYFUNCTION("""COMPUTED_VALUE"""),"DIGITEC TECNOLOGIA DIGITAL E REPRES")</f>
        <v>DIGITEC TECNOLOGIA DIGITAL E REPRES</v>
      </c>
      <c r="E1646" s="21">
        <f>IFERROR(__xludf.DUMMYFUNCTION("""COMPUTED_VALUE"""),145359.0)</f>
        <v>145359</v>
      </c>
      <c r="F1646" s="21" t="str">
        <f>IFERROR(__xludf.DUMMYFUNCTION("""COMPUTED_VALUE"""),"TRANSITO REVERSA")</f>
        <v>TRANSITO REVERSA</v>
      </c>
      <c r="G1646" s="23">
        <f>IFERROR(__xludf.DUMMYFUNCTION("""COMPUTED_VALUE"""),45633.00336805556)</f>
        <v>45633.00337</v>
      </c>
      <c r="H1646" s="24" t="str">
        <f>IFERROR(VLOOKUP(B1646,material!A:D,3,0),"")</f>
        <v>CARD</v>
      </c>
    </row>
    <row r="1647" ht="11.25" customHeight="1">
      <c r="A1647" s="21" t="str">
        <f>IFERROR(__xludf.DUMMYFUNCTION("""COMPUTED_VALUE"""),"THOMSON HIGH DEFINITION DCI713")</f>
        <v>THOMSON HIGH DEFINITION DCI713</v>
      </c>
      <c r="B1647" s="22">
        <f>IFERROR(__xludf.DUMMYFUNCTION("""COMPUTED_VALUE"""),4.1001273E7)</f>
        <v>41001273</v>
      </c>
      <c r="C1647" s="21" t="str">
        <f>IFERROR(__xludf.DUMMYFUNCTION("""COMPUTED_VALUE"""),"183974873653")</f>
        <v>183974873653</v>
      </c>
      <c r="D1647" s="21" t="str">
        <f>IFERROR(__xludf.DUMMYFUNCTION("""COMPUTED_VALUE"""),"DIGITEC TECNOLOGIA DIGITAL E REPRES")</f>
        <v>DIGITEC TECNOLOGIA DIGITAL E REPRES</v>
      </c>
      <c r="E1647" s="21">
        <f>IFERROR(__xludf.DUMMYFUNCTION("""COMPUTED_VALUE"""),145359.0)</f>
        <v>145359</v>
      </c>
      <c r="F1647" s="21" t="str">
        <f>IFERROR(__xludf.DUMMYFUNCTION("""COMPUTED_VALUE"""),"TRANSITO REVERSA")</f>
        <v>TRANSITO REVERSA</v>
      </c>
      <c r="G1647" s="23">
        <f>IFERROR(__xludf.DUMMYFUNCTION("""COMPUTED_VALUE"""),45638.52059027778)</f>
        <v>45638.52059</v>
      </c>
      <c r="H1647" s="24" t="str">
        <f>IFERROR(VLOOKUP(B1647,material!A:D,3,0),"")</f>
        <v>LEGADO</v>
      </c>
    </row>
    <row r="1648" ht="11.25" customHeight="1">
      <c r="A1648" s="21" t="str">
        <f>IFERROR(__xludf.DUMMYFUNCTION("""COMPUTED_VALUE"""),"PACE - HIGH DEFINITION DCR7411")</f>
        <v>PACE - HIGH DEFINITION DCR7411</v>
      </c>
      <c r="B1648" s="22">
        <f>IFERROR(__xludf.DUMMYFUNCTION("""COMPUTED_VALUE"""),4.1001216E7)</f>
        <v>41001216</v>
      </c>
      <c r="C1648" s="21" t="str">
        <f>IFERROR(__xludf.DUMMYFUNCTION("""COMPUTED_VALUE"""),"181405437177")</f>
        <v>181405437177</v>
      </c>
      <c r="D1648" s="21" t="str">
        <f>IFERROR(__xludf.DUMMYFUNCTION("""COMPUTED_VALUE"""),"DIGITEC TECNOLOGIA DIGITAL E REPRES")</f>
        <v>DIGITEC TECNOLOGIA DIGITAL E REPRES</v>
      </c>
      <c r="E1648" s="21">
        <f>IFERROR(__xludf.DUMMYFUNCTION("""COMPUTED_VALUE"""),145359.0)</f>
        <v>145359</v>
      </c>
      <c r="F1648" s="21" t="str">
        <f>IFERROR(__xludf.DUMMYFUNCTION("""COMPUTED_VALUE"""),"TRANSITO REVERSA")</f>
        <v>TRANSITO REVERSA</v>
      </c>
      <c r="G1648" s="23">
        <f>IFERROR(__xludf.DUMMYFUNCTION("""COMPUTED_VALUE"""),45626.298692129625)</f>
        <v>45626.29869</v>
      </c>
      <c r="H1648" s="24" t="str">
        <f>IFERROR(VLOOKUP(B1648,material!A:D,3,0),"")</f>
        <v>LEGADO</v>
      </c>
    </row>
    <row r="1649" ht="11.25" customHeight="1">
      <c r="A1649" s="21" t="str">
        <f>IFERROR(__xludf.DUMMYFUNCTION("""COMPUTED_VALUE"""),"SMART CARD LARANJA")</f>
        <v>SMART CARD LARANJA</v>
      </c>
      <c r="B1649" s="22">
        <f>IFERROR(__xludf.DUMMYFUNCTION("""COMPUTED_VALUE"""),4.1001186E7)</f>
        <v>41001186</v>
      </c>
      <c r="C1649" s="21" t="str">
        <f>IFERROR(__xludf.DUMMYFUNCTION("""COMPUTED_VALUE"""),"225979027586")</f>
        <v>225979027586</v>
      </c>
      <c r="D1649" s="21" t="str">
        <f>IFERROR(__xludf.DUMMYFUNCTION("""COMPUTED_VALUE"""),"DIGITEC TECNOLOGIA DIGITAL E REPRES")</f>
        <v>DIGITEC TECNOLOGIA DIGITAL E REPRES</v>
      </c>
      <c r="E1649" s="21">
        <f>IFERROR(__xludf.DUMMYFUNCTION("""COMPUTED_VALUE"""),145359.0)</f>
        <v>145359</v>
      </c>
      <c r="F1649" s="21" t="str">
        <f>IFERROR(__xludf.DUMMYFUNCTION("""COMPUTED_VALUE"""),"TRANSITO REVERSA")</f>
        <v>TRANSITO REVERSA</v>
      </c>
      <c r="G1649" s="23">
        <f>IFERROR(__xludf.DUMMYFUNCTION("""COMPUTED_VALUE"""),45617.87140046296)</f>
        <v>45617.8714</v>
      </c>
      <c r="H1649" s="24" t="str">
        <f>IFERROR(VLOOKUP(B1649,material!A:D,3,0),"")</f>
        <v>CARD</v>
      </c>
    </row>
    <row r="1650" ht="11.25" customHeight="1">
      <c r="A1650" s="21" t="str">
        <f>IFERROR(__xludf.DUMMYFUNCTION("""COMPUTED_VALUE"""),"SMART CARD LARANJA NAGRA")</f>
        <v>SMART CARD LARANJA NAGRA</v>
      </c>
      <c r="B1650" s="22">
        <f>IFERROR(__xludf.DUMMYFUNCTION("""COMPUTED_VALUE"""),4.1001186E7)</f>
        <v>41001186</v>
      </c>
      <c r="C1650" s="21" t="str">
        <f>IFERROR(__xludf.DUMMYFUNCTION("""COMPUTED_VALUE"""),"215573078186")</f>
        <v>215573078186</v>
      </c>
      <c r="D1650" s="21" t="str">
        <f>IFERROR(__xludf.DUMMYFUNCTION("""COMPUTED_VALUE"""),"DIGITEC TECNOLOGIA DIGITAL E REPRES")</f>
        <v>DIGITEC TECNOLOGIA DIGITAL E REPRES</v>
      </c>
      <c r="E1650" s="21">
        <f>IFERROR(__xludf.DUMMYFUNCTION("""COMPUTED_VALUE"""),145359.0)</f>
        <v>145359</v>
      </c>
      <c r="F1650" s="21" t="str">
        <f>IFERROR(__xludf.DUMMYFUNCTION("""COMPUTED_VALUE"""),"TRANSITO REVERSA")</f>
        <v>TRANSITO REVERSA</v>
      </c>
      <c r="G1650" s="23">
        <f>IFERROR(__xludf.DUMMYFUNCTION("""COMPUTED_VALUE"""),45633.0033912037)</f>
        <v>45633.00339</v>
      </c>
      <c r="H1650" s="24" t="str">
        <f>IFERROR(VLOOKUP(B1650,material!A:D,3,0),"")</f>
        <v>CARD</v>
      </c>
    </row>
    <row r="1651" ht="11.25" customHeight="1">
      <c r="A1651" s="21" t="str">
        <f>IFERROR(__xludf.DUMMYFUNCTION("""COMPUTED_VALUE"""),"SMART CARD LARANJA NAGRA")</f>
        <v>SMART CARD LARANJA NAGRA</v>
      </c>
      <c r="B1651" s="22">
        <f>IFERROR(__xludf.DUMMYFUNCTION("""COMPUTED_VALUE"""),4.1001186E7)</f>
        <v>41001186</v>
      </c>
      <c r="C1651" s="21" t="str">
        <f>IFERROR(__xludf.DUMMYFUNCTION("""COMPUTED_VALUE"""),"226707695165")</f>
        <v>226707695165</v>
      </c>
      <c r="D1651" s="21" t="str">
        <f>IFERROR(__xludf.DUMMYFUNCTION("""COMPUTED_VALUE"""),"DIGITEC TECNOLOGIA DIGITAL E REPRES")</f>
        <v>DIGITEC TECNOLOGIA DIGITAL E REPRES</v>
      </c>
      <c r="E1651" s="21">
        <f>IFERROR(__xludf.DUMMYFUNCTION("""COMPUTED_VALUE"""),145359.0)</f>
        <v>145359</v>
      </c>
      <c r="F1651" s="21" t="str">
        <f>IFERROR(__xludf.DUMMYFUNCTION("""COMPUTED_VALUE"""),"SUSPEITO")</f>
        <v>SUSPEITO</v>
      </c>
      <c r="G1651" s="23">
        <f>IFERROR(__xludf.DUMMYFUNCTION("""COMPUTED_VALUE"""),45614.62697916667)</f>
        <v>45614.62698</v>
      </c>
      <c r="H1651" s="24" t="str">
        <f>IFERROR(VLOOKUP(B1651,material!A:D,3,0),"")</f>
        <v>CARD</v>
      </c>
    </row>
    <row r="1652" ht="11.25" customHeight="1">
      <c r="A1652" s="21" t="str">
        <f>IFERROR(__xludf.DUMMYFUNCTION("""COMPUTED_VALUE"""),"SMART CARD PRETO NAGRA")</f>
        <v>SMART CARD PRETO NAGRA</v>
      </c>
      <c r="B1652" s="22">
        <f>IFERROR(__xludf.DUMMYFUNCTION("""COMPUTED_VALUE"""),4.1001234E7)</f>
        <v>41001234</v>
      </c>
      <c r="C1652" s="21" t="str">
        <f>IFERROR(__xludf.DUMMYFUNCTION("""COMPUTED_VALUE"""),"226228612439")</f>
        <v>226228612439</v>
      </c>
      <c r="D1652" s="21" t="str">
        <f>IFERROR(__xludf.DUMMYFUNCTION("""COMPUTED_VALUE"""),"DIGITEC TECNOLOGIA DIGITAL E REPRES")</f>
        <v>DIGITEC TECNOLOGIA DIGITAL E REPRES</v>
      </c>
      <c r="E1652" s="21">
        <f>IFERROR(__xludf.DUMMYFUNCTION("""COMPUTED_VALUE"""),145359.0)</f>
        <v>145359</v>
      </c>
      <c r="F1652" s="21" t="str">
        <f>IFERROR(__xludf.DUMMYFUNCTION("""COMPUTED_VALUE"""),"COM DEFEITO")</f>
        <v>COM DEFEITO</v>
      </c>
      <c r="G1652" s="23">
        <f>IFERROR(__xludf.DUMMYFUNCTION("""COMPUTED_VALUE"""),45617.71434027777)</f>
        <v>45617.71434</v>
      </c>
      <c r="H1652" s="24" t="str">
        <f>IFERROR(VLOOKUP(B1652,material!A:D,3,0),"")</f>
        <v>CARD</v>
      </c>
    </row>
    <row r="1653" ht="11.25" customHeight="1">
      <c r="A1653" s="21" t="str">
        <f>IFERROR(__xludf.DUMMYFUNCTION("""COMPUTED_VALUE"""),"DECODER DIGITAL HD HNB100 2T")</f>
        <v>DECODER DIGITAL HD HNB100 2T</v>
      </c>
      <c r="B1653" s="22">
        <f>IFERROR(__xludf.DUMMYFUNCTION("""COMPUTED_VALUE"""),4.1001276E7)</f>
        <v>41001276</v>
      </c>
      <c r="C1653" s="21" t="str">
        <f>IFERROR(__xludf.DUMMYFUNCTION("""COMPUTED_VALUE"""),"216834905161")</f>
        <v>216834905161</v>
      </c>
      <c r="D1653" s="21" t="str">
        <f>IFERROR(__xludf.DUMMYFUNCTION("""COMPUTED_VALUE"""),"DIGITEC TECNOLOGIA DIGITAL E REPRES")</f>
        <v>DIGITEC TECNOLOGIA DIGITAL E REPRES</v>
      </c>
      <c r="E1653" s="21">
        <f>IFERROR(__xludf.DUMMYFUNCTION("""COMPUTED_VALUE"""),145359.0)</f>
        <v>145359</v>
      </c>
      <c r="F1653" s="21" t="str">
        <f>IFERROR(__xludf.DUMMYFUNCTION("""COMPUTED_VALUE"""),"INICIALIZADO")</f>
        <v>INICIALIZADO</v>
      </c>
      <c r="G1653" s="23">
        <f>IFERROR(__xludf.DUMMYFUNCTION("""COMPUTED_VALUE"""),45635.53503472223)</f>
        <v>45635.53503</v>
      </c>
      <c r="H1653" s="24" t="str">
        <f>IFERROR(VLOOKUP(B1653,material!A:D,3,0),"")</f>
        <v>TOP MIX</v>
      </c>
    </row>
    <row r="1654" ht="11.25" customHeight="1">
      <c r="A1654" s="21" t="str">
        <f>IFERROR(__xludf.DUMMYFUNCTION("""COMPUTED_VALUE"""),"DECODER DIGITAL HD HNB100 2T")</f>
        <v>DECODER DIGITAL HD HNB100 2T</v>
      </c>
      <c r="B1654" s="22">
        <f>IFERROR(__xludf.DUMMYFUNCTION("""COMPUTED_VALUE"""),4.1001276E7)</f>
        <v>41001276</v>
      </c>
      <c r="C1654" s="21" t="str">
        <f>IFERROR(__xludf.DUMMYFUNCTION("""COMPUTED_VALUE"""),"216864763945")</f>
        <v>216864763945</v>
      </c>
      <c r="D1654" s="21" t="str">
        <f>IFERROR(__xludf.DUMMYFUNCTION("""COMPUTED_VALUE"""),"DIGITEC TECNOLOGIA DIGITAL E REPRES")</f>
        <v>DIGITEC TECNOLOGIA DIGITAL E REPRES</v>
      </c>
      <c r="E1654" s="21">
        <f>IFERROR(__xludf.DUMMYFUNCTION("""COMPUTED_VALUE"""),145359.0)</f>
        <v>145359</v>
      </c>
      <c r="F1654" s="21" t="str">
        <f>IFERROR(__xludf.DUMMYFUNCTION("""COMPUTED_VALUE"""),"INICIALIZADO")</f>
        <v>INICIALIZADO</v>
      </c>
      <c r="G1654" s="23">
        <f>IFERROR(__xludf.DUMMYFUNCTION("""COMPUTED_VALUE"""),45642.52412037037)</f>
        <v>45642.52412</v>
      </c>
      <c r="H1654" s="24" t="str">
        <f>IFERROR(VLOOKUP(B1654,material!A:D,3,0),"")</f>
        <v>TOP MIX</v>
      </c>
    </row>
    <row r="1655" ht="11.25" customHeight="1">
      <c r="A1655" s="21" t="str">
        <f>IFERROR(__xludf.DUMMYFUNCTION("""COMPUTED_VALUE"""),"SMART CARD PRETO NAGRA")</f>
        <v>SMART CARD PRETO NAGRA</v>
      </c>
      <c r="B1655" s="22">
        <f>IFERROR(__xludf.DUMMYFUNCTION("""COMPUTED_VALUE"""),4.1001234E7)</f>
        <v>41001234</v>
      </c>
      <c r="C1655" s="21" t="str">
        <f>IFERROR(__xludf.DUMMYFUNCTION("""COMPUTED_VALUE"""),"226233014664")</f>
        <v>226233014664</v>
      </c>
      <c r="D1655" s="21" t="str">
        <f>IFERROR(__xludf.DUMMYFUNCTION("""COMPUTED_VALUE"""),"DIGITEC TECNOLOGIA DIGITAL E REPRES")</f>
        <v>DIGITEC TECNOLOGIA DIGITAL E REPRES</v>
      </c>
      <c r="E1655" s="21">
        <f>IFERROR(__xludf.DUMMYFUNCTION("""COMPUTED_VALUE"""),145359.0)</f>
        <v>145359</v>
      </c>
      <c r="F1655" s="21" t="str">
        <f>IFERROR(__xludf.DUMMYFUNCTION("""COMPUTED_VALUE"""),"INICIALIZADO")</f>
        <v>INICIALIZADO</v>
      </c>
      <c r="G1655" s="23">
        <f>IFERROR(__xludf.DUMMYFUNCTION("""COMPUTED_VALUE"""),45635.53494212963)</f>
        <v>45635.53494</v>
      </c>
      <c r="H1655" s="24" t="str">
        <f>IFERROR(VLOOKUP(B1655,material!A:D,3,0),"")</f>
        <v>CARD</v>
      </c>
    </row>
    <row r="1656" ht="11.25" customHeight="1">
      <c r="A1656" s="21" t="str">
        <f>IFERROR(__xludf.DUMMYFUNCTION("""COMPUTED_VALUE"""),"DECODER DIGITAL HD DXC5000 2T")</f>
        <v>DECODER DIGITAL HD DXC5000 2T</v>
      </c>
      <c r="B1656" s="22">
        <f>IFERROR(__xludf.DUMMYFUNCTION("""COMPUTED_VALUE"""),4.1001277E7)</f>
        <v>41001277</v>
      </c>
      <c r="C1656" s="21" t="str">
        <f>IFERROR(__xludf.DUMMYFUNCTION("""COMPUTED_VALUE"""),"216324611129")</f>
        <v>216324611129</v>
      </c>
      <c r="D1656" s="21" t="str">
        <f>IFERROR(__xludf.DUMMYFUNCTION("""COMPUTED_VALUE"""),"DIGITEC TECNOLOGIA DIGITAL E REPRES")</f>
        <v>DIGITEC TECNOLOGIA DIGITAL E REPRES</v>
      </c>
      <c r="E1656" s="21">
        <f>IFERROR(__xludf.DUMMYFUNCTION("""COMPUTED_VALUE"""),145359.0)</f>
        <v>145359</v>
      </c>
      <c r="F1656" s="21" t="str">
        <f>IFERROR(__xludf.DUMMYFUNCTION("""COMPUTED_VALUE"""),"INICIALIZADO")</f>
        <v>INICIALIZADO</v>
      </c>
      <c r="G1656" s="23">
        <f>IFERROR(__xludf.DUMMYFUNCTION("""COMPUTED_VALUE"""),45454.553518518514)</f>
        <v>45454.55352</v>
      </c>
      <c r="H1656" s="24" t="str">
        <f>IFERROR(VLOOKUP(B1656,material!A:D,3,0),"")</f>
        <v>TOP MIX</v>
      </c>
    </row>
    <row r="1657" ht="11.25" customHeight="1">
      <c r="A1657" s="21" t="str">
        <f>IFERROR(__xludf.DUMMYFUNCTION("""COMPUTED_VALUE"""),"SMART CARD PRETO NAGRA")</f>
        <v>SMART CARD PRETO NAGRA</v>
      </c>
      <c r="B1657" s="22">
        <f>IFERROR(__xludf.DUMMYFUNCTION("""COMPUTED_VALUE"""),4.1001234E7)</f>
        <v>41001234</v>
      </c>
      <c r="C1657" s="21" t="str">
        <f>IFERROR(__xludf.DUMMYFUNCTION("""COMPUTED_VALUE"""),"246310586073")</f>
        <v>246310586073</v>
      </c>
      <c r="D1657" s="21" t="str">
        <f>IFERROR(__xludf.DUMMYFUNCTION("""COMPUTED_VALUE"""),"DIGITEC TECNOLOGIA DIGITAL E REPRES")</f>
        <v>DIGITEC TECNOLOGIA DIGITAL E REPRES</v>
      </c>
      <c r="E1657" s="21">
        <f>IFERROR(__xludf.DUMMYFUNCTION("""COMPUTED_VALUE"""),145359.0)</f>
        <v>145359</v>
      </c>
      <c r="F1657" s="21" t="str">
        <f>IFERROR(__xludf.DUMMYFUNCTION("""COMPUTED_VALUE"""),"INICIALIZADO")</f>
        <v>INICIALIZADO</v>
      </c>
      <c r="G1657" s="23">
        <f>IFERROR(__xludf.DUMMYFUNCTION("""COMPUTED_VALUE"""),45635.53491898148)</f>
        <v>45635.53492</v>
      </c>
      <c r="H1657" s="24" t="str">
        <f>IFERROR(VLOOKUP(B1657,material!A:D,3,0),"")</f>
        <v>CARD</v>
      </c>
    </row>
    <row r="1658" ht="11.25" customHeight="1">
      <c r="A1658" s="21" t="str">
        <f>IFERROR(__xludf.DUMMYFUNCTION("""COMPUTED_VALUE"""),"SMART CARD PRETO NAGRA")</f>
        <v>SMART CARD PRETO NAGRA</v>
      </c>
      <c r="B1658" s="22">
        <f>IFERROR(__xludf.DUMMYFUNCTION("""COMPUTED_VALUE"""),4.1001234E7)</f>
        <v>41001234</v>
      </c>
      <c r="C1658" s="21" t="str">
        <f>IFERROR(__xludf.DUMMYFUNCTION("""COMPUTED_VALUE"""),"246275926888")</f>
        <v>246275926888</v>
      </c>
      <c r="D1658" s="21" t="str">
        <f>IFERROR(__xludf.DUMMYFUNCTION("""COMPUTED_VALUE"""),"DIGITEC TECNOLOGIA DIGITAL E REPRES")</f>
        <v>DIGITEC TECNOLOGIA DIGITAL E REPRES</v>
      </c>
      <c r="E1658" s="21">
        <f>IFERROR(__xludf.DUMMYFUNCTION("""COMPUTED_VALUE"""),145359.0)</f>
        <v>145359</v>
      </c>
      <c r="F1658" s="21" t="str">
        <f>IFERROR(__xludf.DUMMYFUNCTION("""COMPUTED_VALUE"""),"INICIALIZADO")</f>
        <v>INICIALIZADO</v>
      </c>
      <c r="G1658" s="23">
        <f>IFERROR(__xludf.DUMMYFUNCTION("""COMPUTED_VALUE"""),45635.53491898148)</f>
        <v>45635.53492</v>
      </c>
      <c r="H1658" s="24" t="str">
        <f>IFERROR(VLOOKUP(B1658,material!A:D,3,0),"")</f>
        <v>CARD</v>
      </c>
    </row>
    <row r="1659" ht="11.25" customHeight="1">
      <c r="A1659" s="21" t="str">
        <f>IFERROR(__xludf.DUMMYFUNCTION("""COMPUTED_VALUE"""),"SMART CARD PRETO NAGRA")</f>
        <v>SMART CARD PRETO NAGRA</v>
      </c>
      <c r="B1659" s="22">
        <f>IFERROR(__xludf.DUMMYFUNCTION("""COMPUTED_VALUE"""),4.1001234E7)</f>
        <v>41001234</v>
      </c>
      <c r="C1659" s="21" t="str">
        <f>IFERROR(__xludf.DUMMYFUNCTION("""COMPUTED_VALUE"""),"226168272128")</f>
        <v>226168272128</v>
      </c>
      <c r="D1659" s="21" t="str">
        <f>IFERROR(__xludf.DUMMYFUNCTION("""COMPUTED_VALUE"""),"DIGITEC TECNOLOGIA DIGITAL E REPRES")</f>
        <v>DIGITEC TECNOLOGIA DIGITAL E REPRES</v>
      </c>
      <c r="E1659" s="21">
        <f>IFERROR(__xludf.DUMMYFUNCTION("""COMPUTED_VALUE"""),145359.0)</f>
        <v>145359</v>
      </c>
      <c r="F1659" s="21" t="str">
        <f>IFERROR(__xludf.DUMMYFUNCTION("""COMPUTED_VALUE"""),"INICIALIZADO")</f>
        <v>INICIALIZADO</v>
      </c>
      <c r="G1659" s="23">
        <f>IFERROR(__xludf.DUMMYFUNCTION("""COMPUTED_VALUE"""),45635.53494212963)</f>
        <v>45635.53494</v>
      </c>
      <c r="H1659" s="24" t="str">
        <f>IFERROR(VLOOKUP(B1659,material!A:D,3,0),"")</f>
        <v>CARD</v>
      </c>
    </row>
    <row r="1660" ht="11.25" customHeight="1">
      <c r="A1660" s="21" t="str">
        <f>IFERROR(__xludf.DUMMYFUNCTION("""COMPUTED_VALUE"""),"SMART CARD PRETO NAGRA")</f>
        <v>SMART CARD PRETO NAGRA</v>
      </c>
      <c r="B1660" s="22">
        <f>IFERROR(__xludf.DUMMYFUNCTION("""COMPUTED_VALUE"""),4.1001234E7)</f>
        <v>41001234</v>
      </c>
      <c r="C1660" s="21" t="str">
        <f>IFERROR(__xludf.DUMMYFUNCTION("""COMPUTED_VALUE"""),"226402688798")</f>
        <v>226402688798</v>
      </c>
      <c r="D1660" s="21" t="str">
        <f>IFERROR(__xludf.DUMMYFUNCTION("""COMPUTED_VALUE"""),"DIGITEC TECNOLOGIA DIGITAL E REPRES")</f>
        <v>DIGITEC TECNOLOGIA DIGITAL E REPRES</v>
      </c>
      <c r="E1660" s="21">
        <f>IFERROR(__xludf.DUMMYFUNCTION("""COMPUTED_VALUE"""),145359.0)</f>
        <v>145359</v>
      </c>
      <c r="F1660" s="21" t="str">
        <f>IFERROR(__xludf.DUMMYFUNCTION("""COMPUTED_VALUE"""),"INICIALIZADO")</f>
        <v>INICIALIZADO</v>
      </c>
      <c r="G1660" s="23">
        <f>IFERROR(__xludf.DUMMYFUNCTION("""COMPUTED_VALUE"""),45635.53496527778)</f>
        <v>45635.53497</v>
      </c>
      <c r="H1660" s="24" t="str">
        <f>IFERROR(VLOOKUP(B1660,material!A:D,3,0),"")</f>
        <v>CARD</v>
      </c>
    </row>
    <row r="1661" ht="11.25" customHeight="1">
      <c r="A1661" s="21" t="str">
        <f>IFERROR(__xludf.DUMMYFUNCTION("""COMPUTED_VALUE"""),"SMART CARD LARANJA NAGRA")</f>
        <v>SMART CARD LARANJA NAGRA</v>
      </c>
      <c r="B1661" s="22">
        <f>IFERROR(__xludf.DUMMYFUNCTION("""COMPUTED_VALUE"""),4.1001186E7)</f>
        <v>41001186</v>
      </c>
      <c r="C1661" s="21" t="str">
        <f>IFERROR(__xludf.DUMMYFUNCTION("""COMPUTED_VALUE"""),"226622260812")</f>
        <v>226622260812</v>
      </c>
      <c r="D1661" s="21" t="str">
        <f>IFERROR(__xludf.DUMMYFUNCTION("""COMPUTED_VALUE"""),"DIGITEC TECNOLOGIA DIGITAL E REPRES")</f>
        <v>DIGITEC TECNOLOGIA DIGITAL E REPRES</v>
      </c>
      <c r="E1661" s="21">
        <f>IFERROR(__xludf.DUMMYFUNCTION("""COMPUTED_VALUE"""),145359.0)</f>
        <v>145359</v>
      </c>
      <c r="F1661" s="21" t="str">
        <f>IFERROR(__xludf.DUMMYFUNCTION("""COMPUTED_VALUE"""),"SUCATA")</f>
        <v>SUCATA</v>
      </c>
      <c r="G1661" s="23">
        <f>IFERROR(__xludf.DUMMYFUNCTION("""COMPUTED_VALUE"""),45075.59909722222)</f>
        <v>45075.5991</v>
      </c>
      <c r="H1661" s="24" t="str">
        <f>IFERROR(VLOOKUP(B1661,material!A:D,3,0),"")</f>
        <v>CARD</v>
      </c>
    </row>
    <row r="1662" ht="11.25" customHeight="1">
      <c r="A1662" s="21" t="str">
        <f>IFERROR(__xludf.DUMMYFUNCTION("""COMPUTED_VALUE"""),"SMART CARD PRETO NAGRA")</f>
        <v>SMART CARD PRETO NAGRA</v>
      </c>
      <c r="B1662" s="22">
        <f>IFERROR(__xludf.DUMMYFUNCTION("""COMPUTED_VALUE"""),4.1001234E7)</f>
        <v>41001234</v>
      </c>
      <c r="C1662" s="21" t="str">
        <f>IFERROR(__xludf.DUMMYFUNCTION("""COMPUTED_VALUE"""),"246239584868")</f>
        <v>246239584868</v>
      </c>
      <c r="D1662" s="21" t="str">
        <f>IFERROR(__xludf.DUMMYFUNCTION("""COMPUTED_VALUE"""),"DIGITEC TECNOLOGIA DIGITAL E REPRES")</f>
        <v>DIGITEC TECNOLOGIA DIGITAL E REPRES</v>
      </c>
      <c r="E1662" s="21">
        <f>IFERROR(__xludf.DUMMYFUNCTION("""COMPUTED_VALUE"""),145359.0)</f>
        <v>145359</v>
      </c>
      <c r="F1662" s="21" t="str">
        <f>IFERROR(__xludf.DUMMYFUNCTION("""COMPUTED_VALUE"""),"INICIALIZADO")</f>
        <v>INICIALIZADO</v>
      </c>
      <c r="G1662" s="23">
        <f>IFERROR(__xludf.DUMMYFUNCTION("""COMPUTED_VALUE"""),45635.53491898148)</f>
        <v>45635.53492</v>
      </c>
      <c r="H1662" s="24" t="str">
        <f>IFERROR(VLOOKUP(B1662,material!A:D,3,0),"")</f>
        <v>CARD</v>
      </c>
    </row>
    <row r="1663" ht="11.25" customHeight="1">
      <c r="A1663" s="21" t="str">
        <f>IFERROR(__xludf.DUMMYFUNCTION("""COMPUTED_VALUE"""),"SMART CARD PRETO NAGRA")</f>
        <v>SMART CARD PRETO NAGRA</v>
      </c>
      <c r="B1663" s="22">
        <f>IFERROR(__xludf.DUMMYFUNCTION("""COMPUTED_VALUE"""),4.1001234E7)</f>
        <v>41001234</v>
      </c>
      <c r="C1663" s="21" t="str">
        <f>IFERROR(__xludf.DUMMYFUNCTION("""COMPUTED_VALUE"""),"246011784151")</f>
        <v>246011784151</v>
      </c>
      <c r="D1663" s="21" t="str">
        <f>IFERROR(__xludf.DUMMYFUNCTION("""COMPUTED_VALUE"""),"DIGITEC TECNOLOGIA DIGITAL E REPRES")</f>
        <v>DIGITEC TECNOLOGIA DIGITAL E REPRES</v>
      </c>
      <c r="E1663" s="21">
        <f>IFERROR(__xludf.DUMMYFUNCTION("""COMPUTED_VALUE"""),145359.0)</f>
        <v>145359</v>
      </c>
      <c r="F1663" s="21" t="str">
        <f>IFERROR(__xludf.DUMMYFUNCTION("""COMPUTED_VALUE"""),"INICIALIZADO")</f>
        <v>INICIALIZADO</v>
      </c>
      <c r="G1663" s="23">
        <f>IFERROR(__xludf.DUMMYFUNCTION("""COMPUTED_VALUE"""),45635.53496527778)</f>
        <v>45635.53497</v>
      </c>
      <c r="H1663" s="24" t="str">
        <f>IFERROR(VLOOKUP(B1663,material!A:D,3,0),"")</f>
        <v>CARD</v>
      </c>
    </row>
    <row r="1664" ht="11.25" customHeight="1">
      <c r="A1664" s="21" t="str">
        <f>IFERROR(__xludf.DUMMYFUNCTION("""COMPUTED_VALUE"""),"SMART CARD PRETO NAGRA")</f>
        <v>SMART CARD PRETO NAGRA</v>
      </c>
      <c r="B1664" s="22">
        <f>IFERROR(__xludf.DUMMYFUNCTION("""COMPUTED_VALUE"""),4.1001234E7)</f>
        <v>41001234</v>
      </c>
      <c r="C1664" s="21" t="str">
        <f>IFERROR(__xludf.DUMMYFUNCTION("""COMPUTED_VALUE"""),"246262458794")</f>
        <v>246262458794</v>
      </c>
      <c r="D1664" s="21" t="str">
        <f>IFERROR(__xludf.DUMMYFUNCTION("""COMPUTED_VALUE"""),"DIGITEC TECNOLOGIA DIGITAL E REPRES")</f>
        <v>DIGITEC TECNOLOGIA DIGITAL E REPRES</v>
      </c>
      <c r="E1664" s="21">
        <f>IFERROR(__xludf.DUMMYFUNCTION("""COMPUTED_VALUE"""),145359.0)</f>
        <v>145359</v>
      </c>
      <c r="F1664" s="21" t="str">
        <f>IFERROR(__xludf.DUMMYFUNCTION("""COMPUTED_VALUE"""),"INICIALIZADO")</f>
        <v>INICIALIZADO</v>
      </c>
      <c r="G1664" s="23">
        <f>IFERROR(__xludf.DUMMYFUNCTION("""COMPUTED_VALUE"""),45635.53493055556)</f>
        <v>45635.53493</v>
      </c>
      <c r="H1664" s="24" t="str">
        <f>IFERROR(VLOOKUP(B1664,material!A:D,3,0),"")</f>
        <v>CARD</v>
      </c>
    </row>
    <row r="1665" ht="11.25" customHeight="1">
      <c r="A1665" s="21" t="str">
        <f>IFERROR(__xludf.DUMMYFUNCTION("""COMPUTED_VALUE"""),"SMART CARD PRETO NAGRA")</f>
        <v>SMART CARD PRETO NAGRA</v>
      </c>
      <c r="B1665" s="22">
        <f>IFERROR(__xludf.DUMMYFUNCTION("""COMPUTED_VALUE"""),4.1001234E7)</f>
        <v>41001234</v>
      </c>
      <c r="C1665" s="21" t="str">
        <f>IFERROR(__xludf.DUMMYFUNCTION("""COMPUTED_VALUE"""),"246281248181")</f>
        <v>246281248181</v>
      </c>
      <c r="D1665" s="21" t="str">
        <f>IFERROR(__xludf.DUMMYFUNCTION("""COMPUTED_VALUE"""),"DIGITEC TECNOLOGIA DIGITAL E REPRES")</f>
        <v>DIGITEC TECNOLOGIA DIGITAL E REPRES</v>
      </c>
      <c r="E1665" s="21">
        <f>IFERROR(__xludf.DUMMYFUNCTION("""COMPUTED_VALUE"""),145359.0)</f>
        <v>145359</v>
      </c>
      <c r="F1665" s="21" t="str">
        <f>IFERROR(__xludf.DUMMYFUNCTION("""COMPUTED_VALUE"""),"INICIALIZADO")</f>
        <v>INICIALIZADO</v>
      </c>
      <c r="G1665" s="23">
        <f>IFERROR(__xludf.DUMMYFUNCTION("""COMPUTED_VALUE"""),45642.52410879629)</f>
        <v>45642.52411</v>
      </c>
      <c r="H1665" s="24" t="str">
        <f>IFERROR(VLOOKUP(B1665,material!A:D,3,0),"")</f>
        <v>CARD</v>
      </c>
    </row>
    <row r="1666" ht="11.25" customHeight="1">
      <c r="A1666" s="21" t="str">
        <f>IFERROR(__xludf.DUMMYFUNCTION("""COMPUTED_VALUE"""),"SMART CARD PRETO NAGRA")</f>
        <v>SMART CARD PRETO NAGRA</v>
      </c>
      <c r="B1666" s="22">
        <f>IFERROR(__xludf.DUMMYFUNCTION("""COMPUTED_VALUE"""),4.1001234E7)</f>
        <v>41001234</v>
      </c>
      <c r="C1666" s="21" t="str">
        <f>IFERROR(__xludf.DUMMYFUNCTION("""COMPUTED_VALUE"""),"246155655476")</f>
        <v>246155655476</v>
      </c>
      <c r="D1666" s="21" t="str">
        <f>IFERROR(__xludf.DUMMYFUNCTION("""COMPUTED_VALUE"""),"DIGITEC TECNOLOGIA DIGITAL E REPRES")</f>
        <v>DIGITEC TECNOLOGIA DIGITAL E REPRES</v>
      </c>
      <c r="E1666" s="21">
        <f>IFERROR(__xludf.DUMMYFUNCTION("""COMPUTED_VALUE"""),145359.0)</f>
        <v>145359</v>
      </c>
      <c r="F1666" s="21" t="str">
        <f>IFERROR(__xludf.DUMMYFUNCTION("""COMPUTED_VALUE"""),"INICIALIZADO")</f>
        <v>INICIALIZADO</v>
      </c>
      <c r="G1666" s="23">
        <f>IFERROR(__xludf.DUMMYFUNCTION("""COMPUTED_VALUE"""),45642.524097222224)</f>
        <v>45642.5241</v>
      </c>
      <c r="H1666" s="24" t="str">
        <f>IFERROR(VLOOKUP(B1666,material!A:D,3,0),"")</f>
        <v>CARD</v>
      </c>
    </row>
    <row r="1667" ht="11.25" customHeight="1">
      <c r="A1667" s="21" t="str">
        <f>IFERROR(__xludf.DUMMYFUNCTION("""COMPUTED_VALUE"""),"SMART CARD PRETO NAGRA")</f>
        <v>SMART CARD PRETO NAGRA</v>
      </c>
      <c r="B1667" s="22">
        <f>IFERROR(__xludf.DUMMYFUNCTION("""COMPUTED_VALUE"""),4.1001234E7)</f>
        <v>41001234</v>
      </c>
      <c r="C1667" s="21" t="str">
        <f>IFERROR(__xludf.DUMMYFUNCTION("""COMPUTED_VALUE"""),"226247878291")</f>
        <v>226247878291</v>
      </c>
      <c r="D1667" s="21" t="str">
        <f>IFERROR(__xludf.DUMMYFUNCTION("""COMPUTED_VALUE"""),"DIGITEC TECNOLOGIA DIGITAL E REPRES")</f>
        <v>DIGITEC TECNOLOGIA DIGITAL E REPRES</v>
      </c>
      <c r="E1667" s="21">
        <f>IFERROR(__xludf.DUMMYFUNCTION("""COMPUTED_VALUE"""),145359.0)</f>
        <v>145359</v>
      </c>
      <c r="F1667" s="21" t="str">
        <f>IFERROR(__xludf.DUMMYFUNCTION("""COMPUTED_VALUE"""),"INICIALIZADO")</f>
        <v>INICIALIZADO</v>
      </c>
      <c r="G1667" s="23">
        <f>IFERROR(__xludf.DUMMYFUNCTION("""COMPUTED_VALUE"""),45642.52410879629)</f>
        <v>45642.52411</v>
      </c>
      <c r="H1667" s="24" t="str">
        <f>IFERROR(VLOOKUP(B1667,material!A:D,3,0),"")</f>
        <v>CARD</v>
      </c>
    </row>
    <row r="1668" ht="11.25" customHeight="1">
      <c r="A1668" s="21" t="str">
        <f>IFERROR(__xludf.DUMMYFUNCTION("""COMPUTED_VALUE"""),"SMART CARD PRETO NAGRA")</f>
        <v>SMART CARD PRETO NAGRA</v>
      </c>
      <c r="B1668" s="22">
        <f>IFERROR(__xludf.DUMMYFUNCTION("""COMPUTED_VALUE"""),4.1001234E7)</f>
        <v>41001234</v>
      </c>
      <c r="C1668" s="21" t="str">
        <f>IFERROR(__xludf.DUMMYFUNCTION("""COMPUTED_VALUE"""),"226056302738")</f>
        <v>226056302738</v>
      </c>
      <c r="D1668" s="21" t="str">
        <f>IFERROR(__xludf.DUMMYFUNCTION("""COMPUTED_VALUE"""),"DIGITEC TECNOLOGIA DIGITAL E REPRES")</f>
        <v>DIGITEC TECNOLOGIA DIGITAL E REPRES</v>
      </c>
      <c r="E1668" s="21">
        <f>IFERROR(__xludf.DUMMYFUNCTION("""COMPUTED_VALUE"""),145359.0)</f>
        <v>145359</v>
      </c>
      <c r="F1668" s="21" t="str">
        <f>IFERROR(__xludf.DUMMYFUNCTION("""COMPUTED_VALUE"""),"INICIALIZADO")</f>
        <v>INICIALIZADO</v>
      </c>
      <c r="G1668" s="23">
        <f>IFERROR(__xludf.DUMMYFUNCTION("""COMPUTED_VALUE"""),45642.52410879629)</f>
        <v>45642.52411</v>
      </c>
      <c r="H1668" s="24" t="str">
        <f>IFERROR(VLOOKUP(B1668,material!A:D,3,0),"")</f>
        <v>CARD</v>
      </c>
    </row>
    <row r="1669" ht="11.25" customHeight="1">
      <c r="A1669" s="21" t="str">
        <f>IFERROR(__xludf.DUMMYFUNCTION("""COMPUTED_VALUE"""),"HUMAX HGB10R-02")</f>
        <v>HUMAX HGB10R-02</v>
      </c>
      <c r="B1669" s="22">
        <f>IFERROR(__xludf.DUMMYFUNCTION("""COMPUTED_VALUE"""),4.1001292E7)</f>
        <v>41001292</v>
      </c>
      <c r="C1669" s="21" t="str">
        <f>IFERROR(__xludf.DUMMYFUNCTION("""COMPUTED_VALUE"""),"942CB3D248F4")</f>
        <v>942CB3D248F4</v>
      </c>
      <c r="D1669" s="21" t="str">
        <f>IFERROR(__xludf.DUMMYFUNCTION("""COMPUTED_VALUE"""),"DIGITEC TECNOLOGIA DIGITAL E REPRES")</f>
        <v>DIGITEC TECNOLOGIA DIGITAL E REPRES</v>
      </c>
      <c r="E1669" s="21">
        <f>IFERROR(__xludf.DUMMYFUNCTION("""COMPUTED_VALUE"""),145359.0)</f>
        <v>145359</v>
      </c>
      <c r="F1669" s="21" t="str">
        <f>IFERROR(__xludf.DUMMYFUNCTION("""COMPUTED_VALUE"""),"TRANSITO REVERSA")</f>
        <v>TRANSITO REVERSA</v>
      </c>
      <c r="G1669" s="23">
        <f>IFERROR(__xludf.DUMMYFUNCTION("""COMPUTED_VALUE"""),45610.73042824074)</f>
        <v>45610.73043</v>
      </c>
      <c r="H1669" s="24" t="str">
        <f>IFERROR(VLOOKUP(B1669,material!A:D,3,0),"")</f>
        <v>DUAL</v>
      </c>
    </row>
    <row r="1670" ht="11.25" customHeight="1">
      <c r="A1670" s="21" t="str">
        <f>IFERROR(__xludf.DUMMYFUNCTION("""COMPUTED_VALUE"""),"ARRIS TG1692A")</f>
        <v>ARRIS TG1692A</v>
      </c>
      <c r="B1670" s="22">
        <f>IFERROR(__xludf.DUMMYFUNCTION("""COMPUTED_VALUE"""),4.1001293E7)</f>
        <v>41001293</v>
      </c>
      <c r="C1670" s="21" t="str">
        <f>IFERROR(__xludf.DUMMYFUNCTION("""COMPUTED_VALUE"""),"BC644BD85D1D")</f>
        <v>BC644BD85D1D</v>
      </c>
      <c r="D1670" s="21" t="str">
        <f>IFERROR(__xludf.DUMMYFUNCTION("""COMPUTED_VALUE"""),"DIGITEC TECNOLOGIA DIGITAL E REPRES")</f>
        <v>DIGITEC TECNOLOGIA DIGITAL E REPRES</v>
      </c>
      <c r="E1670" s="21">
        <f>IFERROR(__xludf.DUMMYFUNCTION("""COMPUTED_VALUE"""),145359.0)</f>
        <v>145359</v>
      </c>
      <c r="F1670" s="21" t="str">
        <f>IFERROR(__xludf.DUMMYFUNCTION("""COMPUTED_VALUE"""),"PERDA")</f>
        <v>PERDA</v>
      </c>
      <c r="G1670" s="23">
        <f>IFERROR(__xludf.DUMMYFUNCTION("""COMPUTED_VALUE"""),45348.62640046296)</f>
        <v>45348.6264</v>
      </c>
      <c r="H1670" s="24" t="str">
        <f>IFERROR(VLOOKUP(B1670,material!A:D,3,0),"")</f>
        <v>DUAL</v>
      </c>
    </row>
    <row r="1671" ht="11.25" customHeight="1">
      <c r="A1671" s="21" t="str">
        <f>IFERROR(__xludf.DUMMYFUNCTION("""COMPUTED_VALUE"""),"SMART CARD LARANJA NAGRA")</f>
        <v>SMART CARD LARANJA NAGRA</v>
      </c>
      <c r="B1671" s="22">
        <f>IFERROR(__xludf.DUMMYFUNCTION("""COMPUTED_VALUE"""),4.1001186E7)</f>
        <v>41001186</v>
      </c>
      <c r="C1671" s="21" t="str">
        <f>IFERROR(__xludf.DUMMYFUNCTION("""COMPUTED_VALUE"""),"226685790918")</f>
        <v>226685790918</v>
      </c>
      <c r="D1671" s="21" t="str">
        <f>IFERROR(__xludf.DUMMYFUNCTION("""COMPUTED_VALUE"""),"DIGITEC TECNOLOGIA DIGITAL E REPRES")</f>
        <v>DIGITEC TECNOLOGIA DIGITAL E REPRES</v>
      </c>
      <c r="E1671" s="21">
        <f>IFERROR(__xludf.DUMMYFUNCTION("""COMPUTED_VALUE"""),145359.0)</f>
        <v>145359</v>
      </c>
      <c r="F1671" s="21" t="str">
        <f>IFERROR(__xludf.DUMMYFUNCTION("""COMPUTED_VALUE"""),"PERDA")</f>
        <v>PERDA</v>
      </c>
      <c r="G1671" s="23">
        <f>IFERROR(__xludf.DUMMYFUNCTION("""COMPUTED_VALUE"""),45113.486875)</f>
        <v>45113.48688</v>
      </c>
      <c r="H1671" s="24" t="str">
        <f>IFERROR(VLOOKUP(B1671,material!A:D,3,0),"")</f>
        <v>CARD</v>
      </c>
    </row>
    <row r="1672" ht="11.25" customHeight="1">
      <c r="A1672" s="21" t="str">
        <f>IFERROR(__xludf.DUMMYFUNCTION("""COMPUTED_VALUE"""),"PACE - HIGH DEFINITION DCR7411")</f>
        <v>PACE - HIGH DEFINITION DCR7411</v>
      </c>
      <c r="B1672" s="22">
        <f>IFERROR(__xludf.DUMMYFUNCTION("""COMPUTED_VALUE"""),4.1001216E7)</f>
        <v>41001216</v>
      </c>
      <c r="C1672" s="21" t="str">
        <f>IFERROR(__xludf.DUMMYFUNCTION("""COMPUTED_VALUE"""),"184159831334")</f>
        <v>184159831334</v>
      </c>
      <c r="D1672" s="21" t="str">
        <f>IFERROR(__xludf.DUMMYFUNCTION("""COMPUTED_VALUE"""),"DIGITEC TECNOLOGIA DIGITAL E REPRES")</f>
        <v>DIGITEC TECNOLOGIA DIGITAL E REPRES</v>
      </c>
      <c r="E1672" s="21">
        <f>IFERROR(__xludf.DUMMYFUNCTION("""COMPUTED_VALUE"""),145359.0)</f>
        <v>145359</v>
      </c>
      <c r="F1672" s="21" t="str">
        <f>IFERROR(__xludf.DUMMYFUNCTION("""COMPUTED_VALUE"""),"SUSPEITO")</f>
        <v>SUSPEITO</v>
      </c>
      <c r="G1672" s="23">
        <f>IFERROR(__xludf.DUMMYFUNCTION("""COMPUTED_VALUE"""),45643.39576388889)</f>
        <v>45643.39576</v>
      </c>
      <c r="H1672" s="24" t="str">
        <f>IFERROR(VLOOKUP(B1672,material!A:D,3,0),"")</f>
        <v>LEGADO</v>
      </c>
    </row>
    <row r="1673" ht="11.25" customHeight="1">
      <c r="A1673" s="21" t="str">
        <f>IFERROR(__xludf.DUMMYFUNCTION("""COMPUTED_VALUE"""),"DECODER DIGITAL HD DXC5000 2T")</f>
        <v>DECODER DIGITAL HD DXC5000 2T</v>
      </c>
      <c r="B1673" s="22">
        <f>IFERROR(__xludf.DUMMYFUNCTION("""COMPUTED_VALUE"""),4.1001277E7)</f>
        <v>41001277</v>
      </c>
      <c r="C1673" s="21" t="str">
        <f>IFERROR(__xludf.DUMMYFUNCTION("""COMPUTED_VALUE"""),"216467595161")</f>
        <v>216467595161</v>
      </c>
      <c r="D1673" s="21" t="str">
        <f>IFERROR(__xludf.DUMMYFUNCTION("""COMPUTED_VALUE"""),"DIGITEC TECNOLOGIA DIGITAL E REPRES")</f>
        <v>DIGITEC TECNOLOGIA DIGITAL E REPRES</v>
      </c>
      <c r="E1673" s="21">
        <f>IFERROR(__xludf.DUMMYFUNCTION("""COMPUTED_VALUE"""),145359.0)</f>
        <v>145359</v>
      </c>
      <c r="F1673" s="21" t="str">
        <f>IFERROR(__xludf.DUMMYFUNCTION("""COMPUTED_VALUE"""),"INICIALIZADO")</f>
        <v>INICIALIZADO</v>
      </c>
      <c r="G1673" s="23">
        <f>IFERROR(__xludf.DUMMYFUNCTION("""COMPUTED_VALUE"""),45439.7709837963)</f>
        <v>45439.77098</v>
      </c>
      <c r="H1673" s="24" t="str">
        <f>IFERROR(VLOOKUP(B1673,material!A:D,3,0),"")</f>
        <v>TOP MIX</v>
      </c>
    </row>
    <row r="1674" ht="11.25" customHeight="1">
      <c r="A1674" s="21" t="str">
        <f>IFERROR(__xludf.DUMMYFUNCTION("""COMPUTED_VALUE"""),"DECODER DIGITAL HD HNB100 2T")</f>
        <v>DECODER DIGITAL HD HNB100 2T</v>
      </c>
      <c r="B1674" s="22">
        <f>IFERROR(__xludf.DUMMYFUNCTION("""COMPUTED_VALUE"""),4.1001276E7)</f>
        <v>41001276</v>
      </c>
      <c r="C1674" s="21" t="str">
        <f>IFERROR(__xludf.DUMMYFUNCTION("""COMPUTED_VALUE"""),"216751504766")</f>
        <v>216751504766</v>
      </c>
      <c r="D1674" s="21" t="str">
        <f>IFERROR(__xludf.DUMMYFUNCTION("""COMPUTED_VALUE"""),"DIGITEC TECNOLOGIA DIGITAL E REPRES")</f>
        <v>DIGITEC TECNOLOGIA DIGITAL E REPRES</v>
      </c>
      <c r="E1674" s="21">
        <f>IFERROR(__xludf.DUMMYFUNCTION("""COMPUTED_VALUE"""),145359.0)</f>
        <v>145359</v>
      </c>
      <c r="F1674" s="21" t="str">
        <f>IFERROR(__xludf.DUMMYFUNCTION("""COMPUTED_VALUE"""),"INICIALIZADO")</f>
        <v>INICIALIZADO</v>
      </c>
      <c r="G1674" s="23">
        <f>IFERROR(__xludf.DUMMYFUNCTION("""COMPUTED_VALUE"""),45635.535)</f>
        <v>45635.535</v>
      </c>
      <c r="H1674" s="24" t="str">
        <f>IFERROR(VLOOKUP(B1674,material!A:D,3,0),"")</f>
        <v>TOP MIX</v>
      </c>
    </row>
    <row r="1675" ht="11.25" customHeight="1">
      <c r="A1675" s="21" t="str">
        <f>IFERROR(__xludf.DUMMYFUNCTION("""COMPUTED_VALUE"""),"DECODER DIGITAL HD HNB100 2T")</f>
        <v>DECODER DIGITAL HD HNB100 2T</v>
      </c>
      <c r="B1675" s="22">
        <f>IFERROR(__xludf.DUMMYFUNCTION("""COMPUTED_VALUE"""),4.1001276E7)</f>
        <v>41001276</v>
      </c>
      <c r="C1675" s="21" t="str">
        <f>IFERROR(__xludf.DUMMYFUNCTION("""COMPUTED_VALUE"""),"184272422636")</f>
        <v>184272422636</v>
      </c>
      <c r="D1675" s="21" t="str">
        <f>IFERROR(__xludf.DUMMYFUNCTION("""COMPUTED_VALUE"""),"DIGITEC TECNOLOGIA DIGITAL E REPRES")</f>
        <v>DIGITEC TECNOLOGIA DIGITAL E REPRES</v>
      </c>
      <c r="E1675" s="21">
        <f>IFERROR(__xludf.DUMMYFUNCTION("""COMPUTED_VALUE"""),145359.0)</f>
        <v>145359</v>
      </c>
      <c r="F1675" s="21" t="str">
        <f>IFERROR(__xludf.DUMMYFUNCTION("""COMPUTED_VALUE"""),"INICIALIZADO")</f>
        <v>INICIALIZADO</v>
      </c>
      <c r="G1675" s="23">
        <f>IFERROR(__xludf.DUMMYFUNCTION("""COMPUTED_VALUE"""),45635.535046296296)</f>
        <v>45635.53505</v>
      </c>
      <c r="H1675" s="24" t="str">
        <f>IFERROR(VLOOKUP(B1675,material!A:D,3,0),"")</f>
        <v>TOP MIX</v>
      </c>
    </row>
    <row r="1676" ht="11.25" customHeight="1">
      <c r="A1676" s="21" t="str">
        <f>IFERROR(__xludf.DUMMYFUNCTION("""COMPUTED_VALUE"""),"SMART CARD PRETO NAGRA")</f>
        <v>SMART CARD PRETO NAGRA</v>
      </c>
      <c r="B1676" s="22">
        <f>IFERROR(__xludf.DUMMYFUNCTION("""COMPUTED_VALUE"""),4.1001234E7)</f>
        <v>41001234</v>
      </c>
      <c r="C1676" s="21" t="str">
        <f>IFERROR(__xludf.DUMMYFUNCTION("""COMPUTED_VALUE"""),"226261155356")</f>
        <v>226261155356</v>
      </c>
      <c r="D1676" s="21" t="str">
        <f>IFERROR(__xludf.DUMMYFUNCTION("""COMPUTED_VALUE"""),"DIGITEC TECNOLOGIA DIGITAL E REPRES")</f>
        <v>DIGITEC TECNOLOGIA DIGITAL E REPRES</v>
      </c>
      <c r="E1676" s="21">
        <f>IFERROR(__xludf.DUMMYFUNCTION("""COMPUTED_VALUE"""),145359.0)</f>
        <v>145359</v>
      </c>
      <c r="F1676" s="21" t="str">
        <f>IFERROR(__xludf.DUMMYFUNCTION("""COMPUTED_VALUE"""),"INICIALIZADO")</f>
        <v>INICIALIZADO</v>
      </c>
      <c r="G1676" s="23">
        <f>IFERROR(__xludf.DUMMYFUNCTION("""COMPUTED_VALUE"""),45635.53494212963)</f>
        <v>45635.53494</v>
      </c>
      <c r="H1676" s="24" t="str">
        <f>IFERROR(VLOOKUP(B1676,material!A:D,3,0),"")</f>
        <v>CARD</v>
      </c>
    </row>
    <row r="1677" ht="11.25" customHeight="1">
      <c r="A1677" s="21" t="str">
        <f>IFERROR(__xludf.DUMMYFUNCTION("""COMPUTED_VALUE"""),"SMART CARD PRETO NAGRA")</f>
        <v>SMART CARD PRETO NAGRA</v>
      </c>
      <c r="B1677" s="22">
        <f>IFERROR(__xludf.DUMMYFUNCTION("""COMPUTED_VALUE"""),4.1001234E7)</f>
        <v>41001234</v>
      </c>
      <c r="C1677" s="21" t="str">
        <f>IFERROR(__xludf.DUMMYFUNCTION("""COMPUTED_VALUE"""),"226166032942")</f>
        <v>226166032942</v>
      </c>
      <c r="D1677" s="21" t="str">
        <f>IFERROR(__xludf.DUMMYFUNCTION("""COMPUTED_VALUE"""),"DIGITEC TECNOLOGIA DIGITAL E REPRES")</f>
        <v>DIGITEC TECNOLOGIA DIGITAL E REPRES</v>
      </c>
      <c r="E1677" s="21">
        <f>IFERROR(__xludf.DUMMYFUNCTION("""COMPUTED_VALUE"""),145359.0)</f>
        <v>145359</v>
      </c>
      <c r="F1677" s="21" t="str">
        <f>IFERROR(__xludf.DUMMYFUNCTION("""COMPUTED_VALUE"""),"INICIALIZADO")</f>
        <v>INICIALIZADO</v>
      </c>
      <c r="G1677" s="23">
        <f>IFERROR(__xludf.DUMMYFUNCTION("""COMPUTED_VALUE"""),45618.65202546296)</f>
        <v>45618.65203</v>
      </c>
      <c r="H1677" s="24" t="str">
        <f>IFERROR(VLOOKUP(B1677,material!A:D,3,0),"")</f>
        <v>CARD</v>
      </c>
    </row>
    <row r="1678" ht="11.25" customHeight="1">
      <c r="A1678" s="21" t="str">
        <f>IFERROR(__xludf.DUMMYFUNCTION("""COMPUTED_VALUE"""),"TECHNICOLOR TC7337NET")</f>
        <v>TECHNICOLOR TC7337NET</v>
      </c>
      <c r="B1678" s="22">
        <f>IFERROR(__xludf.DUMMYFUNCTION("""COMPUTED_VALUE"""),4.1001294E7)</f>
        <v>41001294</v>
      </c>
      <c r="C1678" s="21" t="str">
        <f>IFERROR(__xludf.DUMMYFUNCTION("""COMPUTED_VALUE"""),"54A65C101409")</f>
        <v>54A65C101409</v>
      </c>
      <c r="D1678" s="21" t="str">
        <f>IFERROR(__xludf.DUMMYFUNCTION("""COMPUTED_VALUE"""),"DIGITEC TECNOLOGIA DIGITAL E REPRES")</f>
        <v>DIGITEC TECNOLOGIA DIGITAL E REPRES</v>
      </c>
      <c r="E1678" s="21">
        <f>IFERROR(__xludf.DUMMYFUNCTION("""COMPUTED_VALUE"""),145359.0)</f>
        <v>145359</v>
      </c>
      <c r="F1678" s="21" t="str">
        <f>IFERROR(__xludf.DUMMYFUNCTION("""COMPUTED_VALUE"""),"TRANSITO REVERSA")</f>
        <v>TRANSITO REVERSA</v>
      </c>
      <c r="G1678" s="23">
        <f>IFERROR(__xludf.DUMMYFUNCTION("""COMPUTED_VALUE"""),45626.29924768519)</f>
        <v>45626.29925</v>
      </c>
      <c r="H1678" s="24" t="str">
        <f>IFERROR(VLOOKUP(B1678,material!A:D,3,0),"")</f>
        <v>DUAL</v>
      </c>
    </row>
    <row r="1679" ht="11.25" customHeight="1">
      <c r="A1679" s="21" t="str">
        <f>IFERROR(__xludf.DUMMYFUNCTION("""COMPUTED_VALUE"""),"ARRIS TG1692A")</f>
        <v>ARRIS TG1692A</v>
      </c>
      <c r="B1679" s="22">
        <f>IFERROR(__xludf.DUMMYFUNCTION("""COMPUTED_VALUE"""),4.1001293E7)</f>
        <v>41001293</v>
      </c>
      <c r="C1679" s="21" t="str">
        <f>IFERROR(__xludf.DUMMYFUNCTION("""COMPUTED_VALUE"""),"BC644BD74739")</f>
        <v>BC644BD74739</v>
      </c>
      <c r="D1679" s="21" t="str">
        <f>IFERROR(__xludf.DUMMYFUNCTION("""COMPUTED_VALUE"""),"DIGITEC TECNOLOGIA DIGITAL E REPRES")</f>
        <v>DIGITEC TECNOLOGIA DIGITAL E REPRES</v>
      </c>
      <c r="E1679" s="21">
        <f>IFERROR(__xludf.DUMMYFUNCTION("""COMPUTED_VALUE"""),145359.0)</f>
        <v>145359</v>
      </c>
      <c r="F1679" s="21" t="str">
        <f>IFERROR(__xludf.DUMMYFUNCTION("""COMPUTED_VALUE"""),"TRANSITO REVERSA")</f>
        <v>TRANSITO REVERSA</v>
      </c>
      <c r="G1679" s="23">
        <f>IFERROR(__xludf.DUMMYFUNCTION("""COMPUTED_VALUE"""),45626.2987037037)</f>
        <v>45626.2987</v>
      </c>
      <c r="H1679" s="24" t="str">
        <f>IFERROR(VLOOKUP(B1679,material!A:D,3,0),"")</f>
        <v>DUAL</v>
      </c>
    </row>
    <row r="1680" ht="11.25" customHeight="1">
      <c r="A1680" s="21" t="str">
        <f>IFERROR(__xludf.DUMMYFUNCTION("""COMPUTED_VALUE"""),"DECODER HD DCI738 2T")</f>
        <v>DECODER HD DCI738 2T</v>
      </c>
      <c r="B1680" s="22">
        <f>IFERROR(__xludf.DUMMYFUNCTION("""COMPUTED_VALUE"""),4.1001275E7)</f>
        <v>41001275</v>
      </c>
      <c r="C1680" s="21" t="str">
        <f>IFERROR(__xludf.DUMMYFUNCTION("""COMPUTED_VALUE"""),"216567108890")</f>
        <v>216567108890</v>
      </c>
      <c r="D1680" s="21" t="str">
        <f>IFERROR(__xludf.DUMMYFUNCTION("""COMPUTED_VALUE"""),"DIGITEC TECNOLOGIA DIGITAL E REPRES")</f>
        <v>DIGITEC TECNOLOGIA DIGITAL E REPRES</v>
      </c>
      <c r="E1680" s="21">
        <f>IFERROR(__xludf.DUMMYFUNCTION("""COMPUTED_VALUE"""),145359.0)</f>
        <v>145359</v>
      </c>
      <c r="F1680" s="21" t="str">
        <f>IFERROR(__xludf.DUMMYFUNCTION("""COMPUTED_VALUE"""),"TRANSITO REVERSA")</f>
        <v>TRANSITO REVERSA</v>
      </c>
      <c r="G1680" s="23">
        <f>IFERROR(__xludf.DUMMYFUNCTION("""COMPUTED_VALUE"""),45626.298692129625)</f>
        <v>45626.29869</v>
      </c>
      <c r="H1680" s="24" t="str">
        <f>IFERROR(VLOOKUP(B1680,material!A:D,3,0),"")</f>
        <v>TOP MIX</v>
      </c>
    </row>
    <row r="1681" ht="11.25" customHeight="1">
      <c r="A1681" s="21" t="str">
        <f>IFERROR(__xludf.DUMMYFUNCTION("""COMPUTED_VALUE"""),"DECODER DIGITAL HD DXC5000 2T")</f>
        <v>DECODER DIGITAL HD DXC5000 2T</v>
      </c>
      <c r="B1681" s="22">
        <f>IFERROR(__xludf.DUMMYFUNCTION("""COMPUTED_VALUE"""),4.1001277E7)</f>
        <v>41001277</v>
      </c>
      <c r="C1681" s="21" t="str">
        <f>IFERROR(__xludf.DUMMYFUNCTION("""COMPUTED_VALUE"""),"216781735460")</f>
        <v>216781735460</v>
      </c>
      <c r="D1681" s="21" t="str">
        <f>IFERROR(__xludf.DUMMYFUNCTION("""COMPUTED_VALUE"""),"DIGITEC TECNOLOGIA DIGITAL E REPRES")</f>
        <v>DIGITEC TECNOLOGIA DIGITAL E REPRES</v>
      </c>
      <c r="E1681" s="21">
        <f>IFERROR(__xludf.DUMMYFUNCTION("""COMPUTED_VALUE"""),145359.0)</f>
        <v>145359</v>
      </c>
      <c r="F1681" s="21" t="str">
        <f>IFERROR(__xludf.DUMMYFUNCTION("""COMPUTED_VALUE"""),"TRANSITO REVERSA")</f>
        <v>TRANSITO REVERSA</v>
      </c>
      <c r="G1681" s="23">
        <f>IFERROR(__xludf.DUMMYFUNCTION("""COMPUTED_VALUE"""),45626.298692129625)</f>
        <v>45626.29869</v>
      </c>
      <c r="H1681" s="24" t="str">
        <f>IFERROR(VLOOKUP(B1681,material!A:D,3,0),"")</f>
        <v>TOP MIX</v>
      </c>
    </row>
    <row r="1682" ht="11.25" customHeight="1">
      <c r="A1682" s="21" t="str">
        <f>IFERROR(__xludf.DUMMYFUNCTION("""COMPUTED_VALUE"""),"DECODER DIGITAL HD HNB100 2T")</f>
        <v>DECODER DIGITAL HD HNB100 2T</v>
      </c>
      <c r="B1682" s="22">
        <f>IFERROR(__xludf.DUMMYFUNCTION("""COMPUTED_VALUE"""),4.1001276E7)</f>
        <v>41001276</v>
      </c>
      <c r="C1682" s="21" t="str">
        <f>IFERROR(__xludf.DUMMYFUNCTION("""COMPUTED_VALUE"""),"184334415072")</f>
        <v>184334415072</v>
      </c>
      <c r="D1682" s="21" t="str">
        <f>IFERROR(__xludf.DUMMYFUNCTION("""COMPUTED_VALUE"""),"DIGITEC TECNOLOGIA DIGITAL E REPRES")</f>
        <v>DIGITEC TECNOLOGIA DIGITAL E REPRES</v>
      </c>
      <c r="E1682" s="21">
        <f>IFERROR(__xludf.DUMMYFUNCTION("""COMPUTED_VALUE"""),145359.0)</f>
        <v>145359</v>
      </c>
      <c r="F1682" s="21" t="str">
        <f>IFERROR(__xludf.DUMMYFUNCTION("""COMPUTED_VALUE"""),"TRANSITO REVERSA")</f>
        <v>TRANSITO REVERSA</v>
      </c>
      <c r="G1682" s="23">
        <f>IFERROR(__xludf.DUMMYFUNCTION("""COMPUTED_VALUE"""),45626.29872685185)</f>
        <v>45626.29873</v>
      </c>
      <c r="H1682" s="24" t="str">
        <f>IFERROR(VLOOKUP(B1682,material!A:D,3,0),"")</f>
        <v>TOP MIX</v>
      </c>
    </row>
    <row r="1683" ht="11.25" customHeight="1">
      <c r="A1683" s="21" t="str">
        <f>IFERROR(__xludf.DUMMYFUNCTION("""COMPUTED_VALUE"""),"SMART CARD PRETO NAGRA")</f>
        <v>SMART CARD PRETO NAGRA</v>
      </c>
      <c r="B1683" s="22">
        <f>IFERROR(__xludf.DUMMYFUNCTION("""COMPUTED_VALUE"""),4.1001234E7)</f>
        <v>41001234</v>
      </c>
      <c r="C1683" s="21" t="str">
        <f>IFERROR(__xludf.DUMMYFUNCTION("""COMPUTED_VALUE"""),"226419365252")</f>
        <v>226419365252</v>
      </c>
      <c r="D1683" s="21" t="str">
        <f>IFERROR(__xludf.DUMMYFUNCTION("""COMPUTED_VALUE"""),"DIGITEC TECNOLOGIA DIGITAL E REPRES")</f>
        <v>DIGITEC TECNOLOGIA DIGITAL E REPRES</v>
      </c>
      <c r="E1683" s="21">
        <f>IFERROR(__xludf.DUMMYFUNCTION("""COMPUTED_VALUE"""),145359.0)</f>
        <v>145359</v>
      </c>
      <c r="F1683" s="21" t="str">
        <f>IFERROR(__xludf.DUMMYFUNCTION("""COMPUTED_VALUE"""),"TRANSITO REVERSA")</f>
        <v>TRANSITO REVERSA</v>
      </c>
      <c r="G1683" s="23">
        <f>IFERROR(__xludf.DUMMYFUNCTION("""COMPUTED_VALUE"""),45633.00394675926)</f>
        <v>45633.00395</v>
      </c>
      <c r="H1683" s="24" t="str">
        <f>IFERROR(VLOOKUP(B1683,material!A:D,3,0),"")</f>
        <v>CARD</v>
      </c>
    </row>
    <row r="1684" ht="11.25" customHeight="1">
      <c r="A1684" s="21" t="str">
        <f>IFERROR(__xludf.DUMMYFUNCTION("""COMPUTED_VALUE"""),"SMART CARD PRETO NAGRA")</f>
        <v>SMART CARD PRETO NAGRA</v>
      </c>
      <c r="B1684" s="22">
        <f>IFERROR(__xludf.DUMMYFUNCTION("""COMPUTED_VALUE"""),4.1001234E7)</f>
        <v>41001234</v>
      </c>
      <c r="C1684" s="21" t="str">
        <f>IFERROR(__xludf.DUMMYFUNCTION("""COMPUTED_VALUE"""),"226352098597")</f>
        <v>226352098597</v>
      </c>
      <c r="D1684" s="21" t="str">
        <f>IFERROR(__xludf.DUMMYFUNCTION("""COMPUTED_VALUE"""),"DIGITEC TECNOLOGIA DIGITAL E REPRES")</f>
        <v>DIGITEC TECNOLOGIA DIGITAL E REPRES</v>
      </c>
      <c r="E1684" s="21">
        <f>IFERROR(__xludf.DUMMYFUNCTION("""COMPUTED_VALUE"""),145359.0)</f>
        <v>145359</v>
      </c>
      <c r="F1684" s="21" t="str">
        <f>IFERROR(__xludf.DUMMYFUNCTION("""COMPUTED_VALUE"""),"TRANSITO REVERSA")</f>
        <v>TRANSITO REVERSA</v>
      </c>
      <c r="G1684" s="23">
        <f>IFERROR(__xludf.DUMMYFUNCTION("""COMPUTED_VALUE"""),45617.87240740741)</f>
        <v>45617.87241</v>
      </c>
      <c r="H1684" s="24" t="str">
        <f>IFERROR(VLOOKUP(B1684,material!A:D,3,0),"")</f>
        <v>CARD</v>
      </c>
    </row>
    <row r="1685" ht="11.25" customHeight="1">
      <c r="A1685" s="21" t="str">
        <f>IFERROR(__xludf.DUMMYFUNCTION("""COMPUTED_VALUE"""),"SMART CARD PRETO NAGRA")</f>
        <v>SMART CARD PRETO NAGRA</v>
      </c>
      <c r="B1685" s="22">
        <f>IFERROR(__xludf.DUMMYFUNCTION("""COMPUTED_VALUE"""),4.1001234E7)</f>
        <v>41001234</v>
      </c>
      <c r="C1685" s="21" t="str">
        <f>IFERROR(__xludf.DUMMYFUNCTION("""COMPUTED_VALUE"""),"246294233243")</f>
        <v>246294233243</v>
      </c>
      <c r="D1685" s="21" t="str">
        <f>IFERROR(__xludf.DUMMYFUNCTION("""COMPUTED_VALUE"""),"DIGITEC TECNOLOGIA DIGITAL E REPRES")</f>
        <v>DIGITEC TECNOLOGIA DIGITAL E REPRES</v>
      </c>
      <c r="E1685" s="21">
        <f>IFERROR(__xludf.DUMMYFUNCTION("""COMPUTED_VALUE"""),145359.0)</f>
        <v>145359</v>
      </c>
      <c r="F1685" s="21" t="str">
        <f>IFERROR(__xludf.DUMMYFUNCTION("""COMPUTED_VALUE"""),"TRANSITO REVERSA")</f>
        <v>TRANSITO REVERSA</v>
      </c>
      <c r="G1685" s="23">
        <f>IFERROR(__xludf.DUMMYFUNCTION("""COMPUTED_VALUE"""),45633.00394675926)</f>
        <v>45633.00395</v>
      </c>
      <c r="H1685" s="24" t="str">
        <f>IFERROR(VLOOKUP(B1685,material!A:D,3,0),"")</f>
        <v>CARD</v>
      </c>
    </row>
    <row r="1686" ht="11.25" customHeight="1">
      <c r="A1686" s="21" t="str">
        <f>IFERROR(__xludf.DUMMYFUNCTION("""COMPUTED_VALUE"""),"PACE - HIGH DEFINITION DCR7411")</f>
        <v>PACE - HIGH DEFINITION DCR7411</v>
      </c>
      <c r="B1686" s="22">
        <f>IFERROR(__xludf.DUMMYFUNCTION("""COMPUTED_VALUE"""),4.1001216E7)</f>
        <v>41001216</v>
      </c>
      <c r="C1686" s="21" t="str">
        <f>IFERROR(__xludf.DUMMYFUNCTION("""COMPUTED_VALUE"""),"184160617077")</f>
        <v>184160617077</v>
      </c>
      <c r="D1686" s="21" t="str">
        <f>IFERROR(__xludf.DUMMYFUNCTION("""COMPUTED_VALUE"""),"DIGITEC TECNOLOGIA DIGITAL E REPRES")</f>
        <v>DIGITEC TECNOLOGIA DIGITAL E REPRES</v>
      </c>
      <c r="E1686" s="21">
        <f>IFERROR(__xludf.DUMMYFUNCTION("""COMPUTED_VALUE"""),145359.0)</f>
        <v>145359</v>
      </c>
      <c r="F1686" s="21" t="str">
        <f>IFERROR(__xludf.DUMMYFUNCTION("""COMPUTED_VALUE"""),"TRANSITO REVERSA")</f>
        <v>TRANSITO REVERSA</v>
      </c>
      <c r="G1686" s="23">
        <f>IFERROR(__xludf.DUMMYFUNCTION("""COMPUTED_VALUE"""),45638.520625000005)</f>
        <v>45638.52063</v>
      </c>
      <c r="H1686" s="24" t="str">
        <f>IFERROR(VLOOKUP(B1686,material!A:D,3,0),"")</f>
        <v>LEGADO</v>
      </c>
    </row>
    <row r="1687" ht="11.25" customHeight="1">
      <c r="A1687" s="21" t="str">
        <f>IFERROR(__xludf.DUMMYFUNCTION("""COMPUTED_VALUE"""),"PACE - HIGH DEFINITION DCR7411")</f>
        <v>PACE - HIGH DEFINITION DCR7411</v>
      </c>
      <c r="B1687" s="22">
        <f>IFERROR(__xludf.DUMMYFUNCTION("""COMPUTED_VALUE"""),4.1001216E7)</f>
        <v>41001216</v>
      </c>
      <c r="C1687" s="21" t="str">
        <f>IFERROR(__xludf.DUMMYFUNCTION("""COMPUTED_VALUE"""),"184303262739")</f>
        <v>184303262739</v>
      </c>
      <c r="D1687" s="21" t="str">
        <f>IFERROR(__xludf.DUMMYFUNCTION("""COMPUTED_VALUE"""),"DIGITEC TECNOLOGIA DIGITAL E REPRES")</f>
        <v>DIGITEC TECNOLOGIA DIGITAL E REPRES</v>
      </c>
      <c r="E1687" s="21">
        <f>IFERROR(__xludf.DUMMYFUNCTION("""COMPUTED_VALUE"""),145359.0)</f>
        <v>145359</v>
      </c>
      <c r="F1687" s="21" t="str">
        <f>IFERROR(__xludf.DUMMYFUNCTION("""COMPUTED_VALUE"""),"TRANSITO REVERSA")</f>
        <v>TRANSITO REVERSA</v>
      </c>
      <c r="G1687" s="23">
        <f>IFERROR(__xludf.DUMMYFUNCTION("""COMPUTED_VALUE"""),45638.52060185185)</f>
        <v>45638.5206</v>
      </c>
      <c r="H1687" s="24" t="str">
        <f>IFERROR(VLOOKUP(B1687,material!A:D,3,0),"")</f>
        <v>LEGADO</v>
      </c>
    </row>
    <row r="1688" ht="11.25" customHeight="1">
      <c r="A1688" s="21" t="str">
        <f>IFERROR(__xludf.DUMMYFUNCTION("""COMPUTED_VALUE"""),"DECODER DIGITAL HD HNB100 2T")</f>
        <v>DECODER DIGITAL HD HNB100 2T</v>
      </c>
      <c r="B1688" s="22">
        <f>IFERROR(__xludf.DUMMYFUNCTION("""COMPUTED_VALUE"""),4.1001276E7)</f>
        <v>41001276</v>
      </c>
      <c r="C1688" s="21" t="str">
        <f>IFERROR(__xludf.DUMMYFUNCTION("""COMPUTED_VALUE"""),"184335036277")</f>
        <v>184335036277</v>
      </c>
      <c r="D1688" s="21" t="str">
        <f>IFERROR(__xludf.DUMMYFUNCTION("""COMPUTED_VALUE"""),"DIGITEC TECNOLOGIA DIGITAL E REPRES")</f>
        <v>DIGITEC TECNOLOGIA DIGITAL E REPRES</v>
      </c>
      <c r="E1688" s="21">
        <f>IFERROR(__xludf.DUMMYFUNCTION("""COMPUTED_VALUE"""),145359.0)</f>
        <v>145359</v>
      </c>
      <c r="F1688" s="21" t="str">
        <f>IFERROR(__xludf.DUMMYFUNCTION("""COMPUTED_VALUE"""),"SUSPEITO")</f>
        <v>SUSPEITO</v>
      </c>
      <c r="G1688" s="23">
        <f>IFERROR(__xludf.DUMMYFUNCTION("""COMPUTED_VALUE"""),45630.64892361111)</f>
        <v>45630.64892</v>
      </c>
      <c r="H1688" s="24" t="str">
        <f>IFERROR(VLOOKUP(B1688,material!A:D,3,0),"")</f>
        <v>TOP MIX</v>
      </c>
    </row>
    <row r="1689" ht="11.25" customHeight="1">
      <c r="A1689" s="21" t="str">
        <f>IFERROR(__xludf.DUMMYFUNCTION("""COMPUTED_VALUE"""),"SMART CARD PRETO NAGRA")</f>
        <v>SMART CARD PRETO NAGRA</v>
      </c>
      <c r="B1689" s="22">
        <f>IFERROR(__xludf.DUMMYFUNCTION("""COMPUTED_VALUE"""),4.1001234E7)</f>
        <v>41001234</v>
      </c>
      <c r="C1689" s="21" t="str">
        <f>IFERROR(__xludf.DUMMYFUNCTION("""COMPUTED_VALUE"""),"226398188506")</f>
        <v>226398188506</v>
      </c>
      <c r="D1689" s="21" t="str">
        <f>IFERROR(__xludf.DUMMYFUNCTION("""COMPUTED_VALUE"""),"DIGITEC TECNOLOGIA DIGITAL E REPRES")</f>
        <v>DIGITEC TECNOLOGIA DIGITAL E REPRES</v>
      </c>
      <c r="E1689" s="21">
        <f>IFERROR(__xludf.DUMMYFUNCTION("""COMPUTED_VALUE"""),145359.0)</f>
        <v>145359</v>
      </c>
      <c r="F1689" s="21" t="str">
        <f>IFERROR(__xludf.DUMMYFUNCTION("""COMPUTED_VALUE"""),"SUSPEITO")</f>
        <v>SUSPEITO</v>
      </c>
      <c r="G1689" s="23">
        <f>IFERROR(__xludf.DUMMYFUNCTION("""COMPUTED_VALUE"""),45637.75237268519)</f>
        <v>45637.75237</v>
      </c>
      <c r="H1689" s="24" t="str">
        <f>IFERROR(VLOOKUP(B1689,material!A:D,3,0),"")</f>
        <v>CARD</v>
      </c>
    </row>
    <row r="1690" ht="11.25" customHeight="1">
      <c r="A1690" s="21" t="str">
        <f>IFERROR(__xludf.DUMMYFUNCTION("""COMPUTED_VALUE"""),"SMART CARD PRETO NAGRA")</f>
        <v>SMART CARD PRETO NAGRA</v>
      </c>
      <c r="B1690" s="22">
        <f>IFERROR(__xludf.DUMMYFUNCTION("""COMPUTED_VALUE"""),4.1001234E7)</f>
        <v>41001234</v>
      </c>
      <c r="C1690" s="21" t="str">
        <f>IFERROR(__xludf.DUMMYFUNCTION("""COMPUTED_VALUE"""),"246129676060")</f>
        <v>246129676060</v>
      </c>
      <c r="D1690" s="21" t="str">
        <f>IFERROR(__xludf.DUMMYFUNCTION("""COMPUTED_VALUE"""),"DIGITEC TECNOLOGIA DIGITAL E REPRES")</f>
        <v>DIGITEC TECNOLOGIA DIGITAL E REPRES</v>
      </c>
      <c r="E1690" s="21">
        <f>IFERROR(__xludf.DUMMYFUNCTION("""COMPUTED_VALUE"""),145359.0)</f>
        <v>145359</v>
      </c>
      <c r="F1690" s="21" t="str">
        <f>IFERROR(__xludf.DUMMYFUNCTION("""COMPUTED_VALUE"""),"SUSPEITO")</f>
        <v>SUSPEITO</v>
      </c>
      <c r="G1690" s="23">
        <f>IFERROR(__xludf.DUMMYFUNCTION("""COMPUTED_VALUE"""),45632.60326388889)</f>
        <v>45632.60326</v>
      </c>
      <c r="H1690" s="24" t="str">
        <f>IFERROR(VLOOKUP(B1690,material!A:D,3,0),"")</f>
        <v>CARD</v>
      </c>
    </row>
    <row r="1691" ht="11.25" customHeight="1">
      <c r="A1691" s="21" t="str">
        <f>IFERROR(__xludf.DUMMYFUNCTION("""COMPUTED_VALUE"""),"SMART CARD LARANJA NAGRA")</f>
        <v>SMART CARD LARANJA NAGRA</v>
      </c>
      <c r="B1691" s="22">
        <f>IFERROR(__xludf.DUMMYFUNCTION("""COMPUTED_VALUE"""),4.1001186E7)</f>
        <v>41001186</v>
      </c>
      <c r="C1691" s="21" t="str">
        <f>IFERROR(__xludf.DUMMYFUNCTION("""COMPUTED_VALUE"""),"226695215260")</f>
        <v>226695215260</v>
      </c>
      <c r="D1691" s="21" t="str">
        <f>IFERROR(__xludf.DUMMYFUNCTION("""COMPUTED_VALUE"""),"DIGITEC TECNOLOGIA DIGITAL E REPRES")</f>
        <v>DIGITEC TECNOLOGIA DIGITAL E REPRES</v>
      </c>
      <c r="E1691" s="21">
        <f>IFERROR(__xludf.DUMMYFUNCTION("""COMPUTED_VALUE"""),145359.0)</f>
        <v>145359</v>
      </c>
      <c r="F1691" s="21" t="str">
        <f>IFERROR(__xludf.DUMMYFUNCTION("""COMPUTED_VALUE"""),"SUSPEITO")</f>
        <v>SUSPEITO</v>
      </c>
      <c r="G1691" s="23">
        <f>IFERROR(__xludf.DUMMYFUNCTION("""COMPUTED_VALUE"""),45632.44856481481)</f>
        <v>45632.44856</v>
      </c>
      <c r="H1691" s="24" t="str">
        <f>IFERROR(VLOOKUP(B1691,material!A:D,3,0),"")</f>
        <v>CARD</v>
      </c>
    </row>
    <row r="1692" ht="11.25" customHeight="1">
      <c r="A1692" s="21" t="str">
        <f>IFERROR(__xludf.DUMMYFUNCTION("""COMPUTED_VALUE"""),"DECODER DIGITAL HD HNB100 2T")</f>
        <v>DECODER DIGITAL HD HNB100 2T</v>
      </c>
      <c r="B1692" s="22">
        <f>IFERROR(__xludf.DUMMYFUNCTION("""COMPUTED_VALUE"""),4.1001276E7)</f>
        <v>41001276</v>
      </c>
      <c r="C1692" s="21" t="str">
        <f>IFERROR(__xludf.DUMMYFUNCTION("""COMPUTED_VALUE"""),"216818337887")</f>
        <v>216818337887</v>
      </c>
      <c r="D1692" s="21" t="str">
        <f>IFERROR(__xludf.DUMMYFUNCTION("""COMPUTED_VALUE"""),"DIGITEC TECNOLOGIA DIGITAL E REPRES")</f>
        <v>DIGITEC TECNOLOGIA DIGITAL E REPRES</v>
      </c>
      <c r="E1692" s="21">
        <f>IFERROR(__xludf.DUMMYFUNCTION("""COMPUTED_VALUE"""),145359.0)</f>
        <v>145359</v>
      </c>
      <c r="F1692" s="21" t="str">
        <f>IFERROR(__xludf.DUMMYFUNCTION("""COMPUTED_VALUE"""),"INICIALIZADO")</f>
        <v>INICIALIZADO</v>
      </c>
      <c r="G1692" s="23">
        <f>IFERROR(__xludf.DUMMYFUNCTION("""COMPUTED_VALUE"""),45642.52413194445)</f>
        <v>45642.52413</v>
      </c>
      <c r="H1692" s="24" t="str">
        <f>IFERROR(VLOOKUP(B1692,material!A:D,3,0),"")</f>
        <v>TOP MIX</v>
      </c>
    </row>
    <row r="1693" ht="11.25" customHeight="1">
      <c r="A1693" s="21" t="str">
        <f>IFERROR(__xludf.DUMMYFUNCTION("""COMPUTED_VALUE"""),"DECODER DIGITAL HD HNB100 2T")</f>
        <v>DECODER DIGITAL HD HNB100 2T</v>
      </c>
      <c r="B1693" s="22">
        <f>IFERROR(__xludf.DUMMYFUNCTION("""COMPUTED_VALUE"""),4.1001276E7)</f>
        <v>41001276</v>
      </c>
      <c r="C1693" s="21" t="str">
        <f>IFERROR(__xludf.DUMMYFUNCTION("""COMPUTED_VALUE"""),"216410593246")</f>
        <v>216410593246</v>
      </c>
      <c r="D1693" s="21" t="str">
        <f>IFERROR(__xludf.DUMMYFUNCTION("""COMPUTED_VALUE"""),"DIGITEC TECNOLOGIA DIGITAL E REPRES")</f>
        <v>DIGITEC TECNOLOGIA DIGITAL E REPRES</v>
      </c>
      <c r="E1693" s="21">
        <f>IFERROR(__xludf.DUMMYFUNCTION("""COMPUTED_VALUE"""),145359.0)</f>
        <v>145359</v>
      </c>
      <c r="F1693" s="21" t="str">
        <f>IFERROR(__xludf.DUMMYFUNCTION("""COMPUTED_VALUE"""),"INICIALIZADO")</f>
        <v>INICIALIZADO</v>
      </c>
      <c r="G1693" s="23">
        <f>IFERROR(__xludf.DUMMYFUNCTION("""COMPUTED_VALUE"""),45635.535046296296)</f>
        <v>45635.53505</v>
      </c>
      <c r="H1693" s="24" t="str">
        <f>IFERROR(VLOOKUP(B1693,material!A:D,3,0),"")</f>
        <v>TOP MIX</v>
      </c>
    </row>
    <row r="1694" ht="11.25" customHeight="1">
      <c r="A1694" s="21" t="str">
        <f>IFERROR(__xludf.DUMMYFUNCTION("""COMPUTED_VALUE"""),"SMART CARD PRETO NAGRA")</f>
        <v>SMART CARD PRETO NAGRA</v>
      </c>
      <c r="B1694" s="22">
        <f>IFERROR(__xludf.DUMMYFUNCTION("""COMPUTED_VALUE"""),4.1001234E7)</f>
        <v>41001234</v>
      </c>
      <c r="C1694" s="21" t="str">
        <f>IFERROR(__xludf.DUMMYFUNCTION("""COMPUTED_VALUE"""),"246085049012")</f>
        <v>246085049012</v>
      </c>
      <c r="D1694" s="21" t="str">
        <f>IFERROR(__xludf.DUMMYFUNCTION("""COMPUTED_VALUE"""),"DIGITEC TECNOLOGIA DIGITAL E REPRES")</f>
        <v>DIGITEC TECNOLOGIA DIGITAL E REPRES</v>
      </c>
      <c r="E1694" s="21">
        <f>IFERROR(__xludf.DUMMYFUNCTION("""COMPUTED_VALUE"""),145359.0)</f>
        <v>145359</v>
      </c>
      <c r="F1694" s="21" t="str">
        <f>IFERROR(__xludf.DUMMYFUNCTION("""COMPUTED_VALUE"""),"INICIALIZADO")</f>
        <v>INICIALIZADO</v>
      </c>
      <c r="G1694" s="23">
        <f>IFERROR(__xludf.DUMMYFUNCTION("""COMPUTED_VALUE"""),45000.3553125)</f>
        <v>45000.35531</v>
      </c>
      <c r="H1694" s="24" t="str">
        <f>IFERROR(VLOOKUP(B1694,material!A:D,3,0),"")</f>
        <v>CARD</v>
      </c>
    </row>
    <row r="1695" ht="11.25" customHeight="1">
      <c r="A1695" s="21" t="str">
        <f>IFERROR(__xludf.DUMMYFUNCTION("""COMPUTED_VALUE"""),"SMART CARD PRETO NAGRA")</f>
        <v>SMART CARD PRETO NAGRA</v>
      </c>
      <c r="B1695" s="22">
        <f>IFERROR(__xludf.DUMMYFUNCTION("""COMPUTED_VALUE"""),4.1001234E7)</f>
        <v>41001234</v>
      </c>
      <c r="C1695" s="21" t="str">
        <f>IFERROR(__xludf.DUMMYFUNCTION("""COMPUTED_VALUE"""),"246018701325")</f>
        <v>246018701325</v>
      </c>
      <c r="D1695" s="21" t="str">
        <f>IFERROR(__xludf.DUMMYFUNCTION("""COMPUTED_VALUE"""),"DIGITEC TECNOLOGIA DIGITAL E REPRES")</f>
        <v>DIGITEC TECNOLOGIA DIGITAL E REPRES</v>
      </c>
      <c r="E1695" s="21">
        <f>IFERROR(__xludf.DUMMYFUNCTION("""COMPUTED_VALUE"""),145359.0)</f>
        <v>145359</v>
      </c>
      <c r="F1695" s="21" t="str">
        <f>IFERROR(__xludf.DUMMYFUNCTION("""COMPUTED_VALUE"""),"INICIALIZADO")</f>
        <v>INICIALIZADO</v>
      </c>
      <c r="G1695" s="23">
        <f>IFERROR(__xludf.DUMMYFUNCTION("""COMPUTED_VALUE"""),45573.66674768519)</f>
        <v>45573.66675</v>
      </c>
      <c r="H1695" s="24" t="str">
        <f>IFERROR(VLOOKUP(B1695,material!A:D,3,0),"")</f>
        <v>CARD</v>
      </c>
    </row>
    <row r="1696" ht="11.25" customHeight="1">
      <c r="A1696" s="21" t="str">
        <f>IFERROR(__xludf.DUMMYFUNCTION("""COMPUTED_VALUE"""),"SMART CARD PRETO NAGRA")</f>
        <v>SMART CARD PRETO NAGRA</v>
      </c>
      <c r="B1696" s="22">
        <f>IFERROR(__xludf.DUMMYFUNCTION("""COMPUTED_VALUE"""),4.1001234E7)</f>
        <v>41001234</v>
      </c>
      <c r="C1696" s="21" t="str">
        <f>IFERROR(__xludf.DUMMYFUNCTION("""COMPUTED_VALUE"""),"246265077187")</f>
        <v>246265077187</v>
      </c>
      <c r="D1696" s="21" t="str">
        <f>IFERROR(__xludf.DUMMYFUNCTION("""COMPUTED_VALUE"""),"DIGITEC TECNOLOGIA DIGITAL E REPRES")</f>
        <v>DIGITEC TECNOLOGIA DIGITAL E REPRES</v>
      </c>
      <c r="E1696" s="21">
        <f>IFERROR(__xludf.DUMMYFUNCTION("""COMPUTED_VALUE"""),145359.0)</f>
        <v>145359</v>
      </c>
      <c r="F1696" s="21" t="str">
        <f>IFERROR(__xludf.DUMMYFUNCTION("""COMPUTED_VALUE"""),"INICIALIZADO")</f>
        <v>INICIALIZADO</v>
      </c>
      <c r="G1696" s="23">
        <f>IFERROR(__xludf.DUMMYFUNCTION("""COMPUTED_VALUE"""),45635.53493055556)</f>
        <v>45635.53493</v>
      </c>
      <c r="H1696" s="24" t="str">
        <f>IFERROR(VLOOKUP(B1696,material!A:D,3,0),"")</f>
        <v>CARD</v>
      </c>
    </row>
    <row r="1697" ht="11.25" customHeight="1">
      <c r="A1697" s="21" t="str">
        <f>IFERROR(__xludf.DUMMYFUNCTION("""COMPUTED_VALUE"""),"SMART CARD PRETO NAGRA")</f>
        <v>SMART CARD PRETO NAGRA</v>
      </c>
      <c r="B1697" s="22">
        <f>IFERROR(__xludf.DUMMYFUNCTION("""COMPUTED_VALUE"""),4.1001234E7)</f>
        <v>41001234</v>
      </c>
      <c r="C1697" s="21" t="str">
        <f>IFERROR(__xludf.DUMMYFUNCTION("""COMPUTED_VALUE"""),"246120638905")</f>
        <v>246120638905</v>
      </c>
      <c r="D1697" s="21" t="str">
        <f>IFERROR(__xludf.DUMMYFUNCTION("""COMPUTED_VALUE"""),"DIGITEC TECNOLOGIA DIGITAL E REPRES")</f>
        <v>DIGITEC TECNOLOGIA DIGITAL E REPRES</v>
      </c>
      <c r="E1697" s="21">
        <f>IFERROR(__xludf.DUMMYFUNCTION("""COMPUTED_VALUE"""),145359.0)</f>
        <v>145359</v>
      </c>
      <c r="F1697" s="21" t="str">
        <f>IFERROR(__xludf.DUMMYFUNCTION("""COMPUTED_VALUE"""),"INICIALIZADO")</f>
        <v>INICIALIZADO</v>
      </c>
      <c r="G1697" s="23">
        <f>IFERROR(__xludf.DUMMYFUNCTION("""COMPUTED_VALUE"""),45635.534907407404)</f>
        <v>45635.53491</v>
      </c>
      <c r="H1697" s="24" t="str">
        <f>IFERROR(VLOOKUP(B1697,material!A:D,3,0),"")</f>
        <v>CARD</v>
      </c>
    </row>
    <row r="1698" ht="11.25" customHeight="1">
      <c r="A1698" s="21" t="str">
        <f>IFERROR(__xludf.DUMMYFUNCTION("""COMPUTED_VALUE"""),"SMART CARD PRETO NAGRA")</f>
        <v>SMART CARD PRETO NAGRA</v>
      </c>
      <c r="B1698" s="22">
        <f>IFERROR(__xludf.DUMMYFUNCTION("""COMPUTED_VALUE"""),4.1001234E7)</f>
        <v>41001234</v>
      </c>
      <c r="C1698" s="21" t="str">
        <f>IFERROR(__xludf.DUMMYFUNCTION("""COMPUTED_VALUE"""),"226338500818")</f>
        <v>226338500818</v>
      </c>
      <c r="D1698" s="21" t="str">
        <f>IFERROR(__xludf.DUMMYFUNCTION("""COMPUTED_VALUE"""),"DIGITEC TECNOLOGIA DIGITAL E REPRES")</f>
        <v>DIGITEC TECNOLOGIA DIGITAL E REPRES</v>
      </c>
      <c r="E1698" s="21">
        <f>IFERROR(__xludf.DUMMYFUNCTION("""COMPUTED_VALUE"""),145359.0)</f>
        <v>145359</v>
      </c>
      <c r="F1698" s="21" t="str">
        <f>IFERROR(__xludf.DUMMYFUNCTION("""COMPUTED_VALUE"""),"INICIALIZADO")</f>
        <v>INICIALIZADO</v>
      </c>
      <c r="G1698" s="23">
        <f>IFERROR(__xludf.DUMMYFUNCTION("""COMPUTED_VALUE"""),45000.78181712963)</f>
        <v>45000.78182</v>
      </c>
      <c r="H1698" s="24" t="str">
        <f>IFERROR(VLOOKUP(B1698,material!A:D,3,0),"")</f>
        <v>CARD</v>
      </c>
    </row>
    <row r="1699" ht="11.25" customHeight="1">
      <c r="A1699" s="21" t="str">
        <f>IFERROR(__xludf.DUMMYFUNCTION("""COMPUTED_VALUE"""),"SMART CARD PRETO NAGRA")</f>
        <v>SMART CARD PRETO NAGRA</v>
      </c>
      <c r="B1699" s="22">
        <f>IFERROR(__xludf.DUMMYFUNCTION("""COMPUTED_VALUE"""),4.1001234E7)</f>
        <v>41001234</v>
      </c>
      <c r="C1699" s="21" t="str">
        <f>IFERROR(__xludf.DUMMYFUNCTION("""COMPUTED_VALUE"""),"246133587878")</f>
        <v>246133587878</v>
      </c>
      <c r="D1699" s="21" t="str">
        <f>IFERROR(__xludf.DUMMYFUNCTION("""COMPUTED_VALUE"""),"DIGITEC TECNOLOGIA DIGITAL E REPRES")</f>
        <v>DIGITEC TECNOLOGIA DIGITAL E REPRES</v>
      </c>
      <c r="E1699" s="21">
        <f>IFERROR(__xludf.DUMMYFUNCTION("""COMPUTED_VALUE"""),145359.0)</f>
        <v>145359</v>
      </c>
      <c r="F1699" s="21" t="str">
        <f>IFERROR(__xludf.DUMMYFUNCTION("""COMPUTED_VALUE"""),"INICIALIZADO")</f>
        <v>INICIALIZADO</v>
      </c>
      <c r="G1699" s="23">
        <f>IFERROR(__xludf.DUMMYFUNCTION("""COMPUTED_VALUE"""),45600.47594907407)</f>
        <v>45600.47595</v>
      </c>
      <c r="H1699" s="24" t="str">
        <f>IFERROR(VLOOKUP(B1699,material!A:D,3,0),"")</f>
        <v>CARD</v>
      </c>
    </row>
    <row r="1700" ht="11.25" customHeight="1">
      <c r="A1700" s="21" t="str">
        <f>IFERROR(__xludf.DUMMYFUNCTION("""COMPUTED_VALUE"""),"SMART CARD PRETO NAGRA")</f>
        <v>SMART CARD PRETO NAGRA</v>
      </c>
      <c r="B1700" s="22">
        <f>IFERROR(__xludf.DUMMYFUNCTION("""COMPUTED_VALUE"""),4.1001234E7)</f>
        <v>41001234</v>
      </c>
      <c r="C1700" s="21" t="str">
        <f>IFERROR(__xludf.DUMMYFUNCTION("""COMPUTED_VALUE"""),"226117191823")</f>
        <v>226117191823</v>
      </c>
      <c r="D1700" s="21" t="str">
        <f>IFERROR(__xludf.DUMMYFUNCTION("""COMPUTED_VALUE"""),"DIGITEC TECNOLOGIA DIGITAL E REPRES")</f>
        <v>DIGITEC TECNOLOGIA DIGITAL E REPRES</v>
      </c>
      <c r="E1700" s="21">
        <f>IFERROR(__xludf.DUMMYFUNCTION("""COMPUTED_VALUE"""),145359.0)</f>
        <v>145359</v>
      </c>
      <c r="F1700" s="21" t="str">
        <f>IFERROR(__xludf.DUMMYFUNCTION("""COMPUTED_VALUE"""),"INICIALIZADO")</f>
        <v>INICIALIZADO</v>
      </c>
      <c r="G1700" s="23">
        <f>IFERROR(__xludf.DUMMYFUNCTION("""COMPUTED_VALUE"""),45635.534953703704)</f>
        <v>45635.53495</v>
      </c>
      <c r="H1700" s="24" t="str">
        <f>IFERROR(VLOOKUP(B1700,material!A:D,3,0),"")</f>
        <v>CARD</v>
      </c>
    </row>
    <row r="1701" ht="11.25" customHeight="1">
      <c r="A1701" s="21" t="str">
        <f>IFERROR(__xludf.DUMMYFUNCTION("""COMPUTED_VALUE"""),"ARRIS TG1692A")</f>
        <v>ARRIS TG1692A</v>
      </c>
      <c r="B1701" s="22">
        <f>IFERROR(__xludf.DUMMYFUNCTION("""COMPUTED_VALUE"""),4.1001293E7)</f>
        <v>41001293</v>
      </c>
      <c r="C1701" s="21" t="str">
        <f>IFERROR(__xludf.DUMMYFUNCTION("""COMPUTED_VALUE"""),"A89FECC0C46E")</f>
        <v>A89FECC0C46E</v>
      </c>
      <c r="D1701" s="21" t="str">
        <f>IFERROR(__xludf.DUMMYFUNCTION("""COMPUTED_VALUE"""),"DIGITEC TECNOLOGIA DIGITAL E REPRES")</f>
        <v>DIGITEC TECNOLOGIA DIGITAL E REPRES</v>
      </c>
      <c r="E1701" s="21">
        <f>IFERROR(__xludf.DUMMYFUNCTION("""COMPUTED_VALUE"""),145359.0)</f>
        <v>145359</v>
      </c>
      <c r="F1701" s="21" t="str">
        <f>IFERROR(__xludf.DUMMYFUNCTION("""COMPUTED_VALUE"""),"TRANSITO REVERSA")</f>
        <v>TRANSITO REVERSA</v>
      </c>
      <c r="G1701" s="23">
        <f>IFERROR(__xludf.DUMMYFUNCTION("""COMPUTED_VALUE"""),45610.730416666665)</f>
        <v>45610.73042</v>
      </c>
      <c r="H1701" s="24" t="str">
        <f>IFERROR(VLOOKUP(B1701,material!A:D,3,0),"")</f>
        <v>DUAL</v>
      </c>
    </row>
    <row r="1702" ht="11.25" customHeight="1">
      <c r="A1702" s="21" t="str">
        <f>IFERROR(__xludf.DUMMYFUNCTION("""COMPUTED_VALUE"""),"HUMAX HGB10R-02")</f>
        <v>HUMAX HGB10R-02</v>
      </c>
      <c r="B1702" s="22">
        <f>IFERROR(__xludf.DUMMYFUNCTION("""COMPUTED_VALUE"""),4.1001292E7)</f>
        <v>41001292</v>
      </c>
      <c r="C1702" s="21" t="str">
        <f>IFERROR(__xludf.DUMMYFUNCTION("""COMPUTED_VALUE"""),"942CB3DE4A11")</f>
        <v>942CB3DE4A11</v>
      </c>
      <c r="D1702" s="21" t="str">
        <f>IFERROR(__xludf.DUMMYFUNCTION("""COMPUTED_VALUE"""),"DIGITEC TECNOLOGIA DIGITAL E REPRES")</f>
        <v>DIGITEC TECNOLOGIA DIGITAL E REPRES</v>
      </c>
      <c r="E1702" s="21">
        <f>IFERROR(__xludf.DUMMYFUNCTION("""COMPUTED_VALUE"""),145359.0)</f>
        <v>145359</v>
      </c>
      <c r="F1702" s="21" t="str">
        <f>IFERROR(__xludf.DUMMYFUNCTION("""COMPUTED_VALUE"""),"TRANSITO REVERSA")</f>
        <v>TRANSITO REVERSA</v>
      </c>
      <c r="G1702" s="23">
        <f>IFERROR(__xludf.DUMMYFUNCTION("""COMPUTED_VALUE"""),45626.2987037037)</f>
        <v>45626.2987</v>
      </c>
      <c r="H1702" s="24" t="str">
        <f>IFERROR(VLOOKUP(B1702,material!A:D,3,0),"")</f>
        <v>DUAL</v>
      </c>
    </row>
    <row r="1703" ht="11.25" customHeight="1">
      <c r="A1703" s="21" t="str">
        <f>IFERROR(__xludf.DUMMYFUNCTION("""COMPUTED_VALUE"""),"SMART CARD PRETO NAGRA")</f>
        <v>SMART CARD PRETO NAGRA</v>
      </c>
      <c r="B1703" s="22">
        <f>IFERROR(__xludf.DUMMYFUNCTION("""COMPUTED_VALUE"""),4.1001234E7)</f>
        <v>41001234</v>
      </c>
      <c r="C1703" s="21" t="str">
        <f>IFERROR(__xludf.DUMMYFUNCTION("""COMPUTED_VALUE"""),"246034058591")</f>
        <v>246034058591</v>
      </c>
      <c r="D1703" s="21" t="str">
        <f>IFERROR(__xludf.DUMMYFUNCTION("""COMPUTED_VALUE"""),"DIGITEC TECNOLOGIA DIGITAL E REPRES")</f>
        <v>DIGITEC TECNOLOGIA DIGITAL E REPRES</v>
      </c>
      <c r="E1703" s="21">
        <f>IFERROR(__xludf.DUMMYFUNCTION("""COMPUTED_VALUE"""),145359.0)</f>
        <v>145359</v>
      </c>
      <c r="F1703" s="21" t="str">
        <f>IFERROR(__xludf.DUMMYFUNCTION("""COMPUTED_VALUE"""),"TRANSITO REVERSA")</f>
        <v>TRANSITO REVERSA</v>
      </c>
      <c r="G1703" s="23">
        <f>IFERROR(__xludf.DUMMYFUNCTION("""COMPUTED_VALUE"""),45633.00340277777)</f>
        <v>45633.0034</v>
      </c>
      <c r="H1703" s="24" t="str">
        <f>IFERROR(VLOOKUP(B1703,material!A:D,3,0),"")</f>
        <v>CARD</v>
      </c>
    </row>
    <row r="1704" ht="11.25" customHeight="1">
      <c r="A1704" s="21" t="str">
        <f>IFERROR(__xludf.DUMMYFUNCTION("""COMPUTED_VALUE"""),"SMART CARD PRETO NAGRA")</f>
        <v>SMART CARD PRETO NAGRA</v>
      </c>
      <c r="B1704" s="22">
        <f>IFERROR(__xludf.DUMMYFUNCTION("""COMPUTED_VALUE"""),4.1001234E7)</f>
        <v>41001234</v>
      </c>
      <c r="C1704" s="21" t="str">
        <f>IFERROR(__xludf.DUMMYFUNCTION("""COMPUTED_VALUE"""),"226271153953")</f>
        <v>226271153953</v>
      </c>
      <c r="D1704" s="21" t="str">
        <f>IFERROR(__xludf.DUMMYFUNCTION("""COMPUTED_VALUE"""),"DIGITEC TECNOLOGIA DIGITAL E REPRES")</f>
        <v>DIGITEC TECNOLOGIA DIGITAL E REPRES</v>
      </c>
      <c r="E1704" s="21">
        <f>IFERROR(__xludf.DUMMYFUNCTION("""COMPUTED_VALUE"""),145359.0)</f>
        <v>145359</v>
      </c>
      <c r="F1704" s="21" t="str">
        <f>IFERROR(__xludf.DUMMYFUNCTION("""COMPUTED_VALUE"""),"TRANSITO REVERSA")</f>
        <v>TRANSITO REVERSA</v>
      </c>
      <c r="G1704" s="23">
        <f>IFERROR(__xludf.DUMMYFUNCTION("""COMPUTED_VALUE"""),45617.87141203704)</f>
        <v>45617.87141</v>
      </c>
      <c r="H1704" s="24" t="str">
        <f>IFERROR(VLOOKUP(B1704,material!A:D,3,0),"")</f>
        <v>CARD</v>
      </c>
    </row>
    <row r="1705" ht="11.25" customHeight="1">
      <c r="A1705" s="21" t="str">
        <f>IFERROR(__xludf.DUMMYFUNCTION("""COMPUTED_VALUE"""),"SMART CARD PRETO NAGRA")</f>
        <v>SMART CARD PRETO NAGRA</v>
      </c>
      <c r="B1705" s="22">
        <f>IFERROR(__xludf.DUMMYFUNCTION("""COMPUTED_VALUE"""),4.1001234E7)</f>
        <v>41001234</v>
      </c>
      <c r="C1705" s="21" t="str">
        <f>IFERROR(__xludf.DUMMYFUNCTION("""COMPUTED_VALUE"""),"226318096480")</f>
        <v>226318096480</v>
      </c>
      <c r="D1705" s="21" t="str">
        <f>IFERROR(__xludf.DUMMYFUNCTION("""COMPUTED_VALUE"""),"DIGITEC TECNOLOGIA DIGITAL E REPRES")</f>
        <v>DIGITEC TECNOLOGIA DIGITAL E REPRES</v>
      </c>
      <c r="E1705" s="21">
        <f>IFERROR(__xludf.DUMMYFUNCTION("""COMPUTED_VALUE"""),145359.0)</f>
        <v>145359</v>
      </c>
      <c r="F1705" s="21" t="str">
        <f>IFERROR(__xludf.DUMMYFUNCTION("""COMPUTED_VALUE"""),"TRANSITO REVERSA")</f>
        <v>TRANSITO REVERSA</v>
      </c>
      <c r="G1705" s="23">
        <f>IFERROR(__xludf.DUMMYFUNCTION("""COMPUTED_VALUE"""),45506.70929398148)</f>
        <v>45506.70929</v>
      </c>
      <c r="H1705" s="24" t="str">
        <f>IFERROR(VLOOKUP(B1705,material!A:D,3,0),"")</f>
        <v>CARD</v>
      </c>
    </row>
    <row r="1706" ht="11.25" customHeight="1">
      <c r="A1706" s="21" t="str">
        <f>IFERROR(__xludf.DUMMYFUNCTION("""COMPUTED_VALUE"""),"SMART CARD PRETO NAGRA")</f>
        <v>SMART CARD PRETO NAGRA</v>
      </c>
      <c r="B1706" s="22">
        <f>IFERROR(__xludf.DUMMYFUNCTION("""COMPUTED_VALUE"""),4.1001234E7)</f>
        <v>41001234</v>
      </c>
      <c r="C1706" s="21" t="str">
        <f>IFERROR(__xludf.DUMMYFUNCTION("""COMPUTED_VALUE"""),"226156423149")</f>
        <v>226156423149</v>
      </c>
      <c r="D1706" s="21" t="str">
        <f>IFERROR(__xludf.DUMMYFUNCTION("""COMPUTED_VALUE"""),"DIGITEC TECNOLOGIA DIGITAL E REPRES")</f>
        <v>DIGITEC TECNOLOGIA DIGITAL E REPRES</v>
      </c>
      <c r="E1706" s="21">
        <f>IFERROR(__xludf.DUMMYFUNCTION("""COMPUTED_VALUE"""),145359.0)</f>
        <v>145359</v>
      </c>
      <c r="F1706" s="21" t="str">
        <f>IFERROR(__xludf.DUMMYFUNCTION("""COMPUTED_VALUE"""),"TRANSITO REVERSA")</f>
        <v>TRANSITO REVERSA</v>
      </c>
      <c r="G1706" s="23">
        <f>IFERROR(__xludf.DUMMYFUNCTION("""COMPUTED_VALUE"""),45617.87240740741)</f>
        <v>45617.87241</v>
      </c>
      <c r="H1706" s="24" t="str">
        <f>IFERROR(VLOOKUP(B1706,material!A:D,3,0),"")</f>
        <v>CARD</v>
      </c>
    </row>
    <row r="1707" ht="11.25" customHeight="1">
      <c r="A1707" s="21" t="str">
        <f>IFERROR(__xludf.DUMMYFUNCTION("""COMPUTED_VALUE"""),"PACE - HIGH DEFINITION DCR7411")</f>
        <v>PACE - HIGH DEFINITION DCR7411</v>
      </c>
      <c r="B1707" s="22">
        <f>IFERROR(__xludf.DUMMYFUNCTION("""COMPUTED_VALUE"""),4.1001216E7)</f>
        <v>41001216</v>
      </c>
      <c r="C1707" s="21" t="str">
        <f>IFERROR(__xludf.DUMMYFUNCTION("""COMPUTED_VALUE"""),"184325866179")</f>
        <v>184325866179</v>
      </c>
      <c r="D1707" s="21" t="str">
        <f>IFERROR(__xludf.DUMMYFUNCTION("""COMPUTED_VALUE"""),"DIGITEC TECNOLOGIA DIGITAL E REPRES")</f>
        <v>DIGITEC TECNOLOGIA DIGITAL E REPRES</v>
      </c>
      <c r="E1707" s="21">
        <f>IFERROR(__xludf.DUMMYFUNCTION("""COMPUTED_VALUE"""),145359.0)</f>
        <v>145359</v>
      </c>
      <c r="F1707" s="21" t="str">
        <f>IFERROR(__xludf.DUMMYFUNCTION("""COMPUTED_VALUE"""),"TRANSITO REVERSA")</f>
        <v>TRANSITO REVERSA</v>
      </c>
      <c r="G1707" s="23">
        <f>IFERROR(__xludf.DUMMYFUNCTION("""COMPUTED_VALUE"""),45638.52112268518)</f>
        <v>45638.52112</v>
      </c>
      <c r="H1707" s="24" t="str">
        <f>IFERROR(VLOOKUP(B1707,material!A:D,3,0),"")</f>
        <v>LEGADO</v>
      </c>
    </row>
    <row r="1708" ht="11.25" customHeight="1">
      <c r="A1708" s="21" t="str">
        <f>IFERROR(__xludf.DUMMYFUNCTION("""COMPUTED_VALUE"""),"SMART CARD PRETO NAGRA")</f>
        <v>SMART CARD PRETO NAGRA</v>
      </c>
      <c r="B1708" s="22">
        <f>IFERROR(__xludf.DUMMYFUNCTION("""COMPUTED_VALUE"""),4.1001234E7)</f>
        <v>41001234</v>
      </c>
      <c r="C1708" s="21" t="str">
        <f>IFERROR(__xludf.DUMMYFUNCTION("""COMPUTED_VALUE"""),"226156440323")</f>
        <v>226156440323</v>
      </c>
      <c r="D1708" s="21" t="str">
        <f>IFERROR(__xludf.DUMMYFUNCTION("""COMPUTED_VALUE"""),"DIGITEC TECNOLOGIA DIGITAL E REPRES")</f>
        <v>DIGITEC TECNOLOGIA DIGITAL E REPRES</v>
      </c>
      <c r="E1708" s="21">
        <f>IFERROR(__xludf.DUMMYFUNCTION("""COMPUTED_VALUE"""),145359.0)</f>
        <v>145359</v>
      </c>
      <c r="F1708" s="21" t="str">
        <f>IFERROR(__xludf.DUMMYFUNCTION("""COMPUTED_VALUE"""),"COM DEFEITO")</f>
        <v>COM DEFEITO</v>
      </c>
      <c r="G1708" s="23">
        <f>IFERROR(__xludf.DUMMYFUNCTION("""COMPUTED_VALUE"""),45617.71435185186)</f>
        <v>45617.71435</v>
      </c>
      <c r="H1708" s="24" t="str">
        <f>IFERROR(VLOOKUP(B1708,material!A:D,3,0),"")</f>
        <v>CARD</v>
      </c>
    </row>
    <row r="1709" ht="11.25" customHeight="1">
      <c r="A1709" s="21" t="str">
        <f>IFERROR(__xludf.DUMMYFUNCTION("""COMPUTED_VALUE"""),"DECODER DIGITAL HD HNB100 2T")</f>
        <v>DECODER DIGITAL HD HNB100 2T</v>
      </c>
      <c r="B1709" s="22">
        <f>IFERROR(__xludf.DUMMYFUNCTION("""COMPUTED_VALUE"""),4.1001276E7)</f>
        <v>41001276</v>
      </c>
      <c r="C1709" s="21" t="str">
        <f>IFERROR(__xludf.DUMMYFUNCTION("""COMPUTED_VALUE"""),"184328423253")</f>
        <v>184328423253</v>
      </c>
      <c r="D1709" s="21" t="str">
        <f>IFERROR(__xludf.DUMMYFUNCTION("""COMPUTED_VALUE"""),"DIGITEC TECNOLOGIA DIGITAL E REPRES")</f>
        <v>DIGITEC TECNOLOGIA DIGITAL E REPRES</v>
      </c>
      <c r="E1709" s="21">
        <f>IFERROR(__xludf.DUMMYFUNCTION("""COMPUTED_VALUE"""),145359.0)</f>
        <v>145359</v>
      </c>
      <c r="F1709" s="21" t="str">
        <f>IFERROR(__xludf.DUMMYFUNCTION("""COMPUTED_VALUE"""),"INICIALIZADO")</f>
        <v>INICIALIZADO</v>
      </c>
      <c r="G1709" s="23">
        <f>IFERROR(__xludf.DUMMYFUNCTION("""COMPUTED_VALUE"""),45635.535046296296)</f>
        <v>45635.53505</v>
      </c>
      <c r="H1709" s="24" t="str">
        <f>IFERROR(VLOOKUP(B1709,material!A:D,3,0),"")</f>
        <v>TOP MIX</v>
      </c>
    </row>
    <row r="1710" ht="11.25" customHeight="1">
      <c r="A1710" s="21" t="str">
        <f>IFERROR(__xludf.DUMMYFUNCTION("""COMPUTED_VALUE"""),"SMART CARD PRETO NAGRA")</f>
        <v>SMART CARD PRETO NAGRA</v>
      </c>
      <c r="B1710" s="22">
        <f>IFERROR(__xludf.DUMMYFUNCTION("""COMPUTED_VALUE"""),4.1001234E7)</f>
        <v>41001234</v>
      </c>
      <c r="C1710" s="21" t="str">
        <f>IFERROR(__xludf.DUMMYFUNCTION("""COMPUTED_VALUE"""),"246267339406")</f>
        <v>246267339406</v>
      </c>
      <c r="D1710" s="21" t="str">
        <f>IFERROR(__xludf.DUMMYFUNCTION("""COMPUTED_VALUE"""),"DIGITEC TECNOLOGIA DIGITAL E REPRES")</f>
        <v>DIGITEC TECNOLOGIA DIGITAL E REPRES</v>
      </c>
      <c r="E1710" s="21">
        <f>IFERROR(__xludf.DUMMYFUNCTION("""COMPUTED_VALUE"""),145359.0)</f>
        <v>145359</v>
      </c>
      <c r="F1710" s="21" t="str">
        <f>IFERROR(__xludf.DUMMYFUNCTION("""COMPUTED_VALUE"""),"INICIALIZADO")</f>
        <v>INICIALIZADO</v>
      </c>
      <c r="G1710" s="23">
        <f>IFERROR(__xludf.DUMMYFUNCTION("""COMPUTED_VALUE"""),45000.35914351852)</f>
        <v>45000.35914</v>
      </c>
      <c r="H1710" s="24" t="str">
        <f>IFERROR(VLOOKUP(B1710,material!A:D,3,0),"")</f>
        <v>CARD</v>
      </c>
    </row>
    <row r="1711" ht="11.25" customHeight="1">
      <c r="A1711" s="21" t="str">
        <f>IFERROR(__xludf.DUMMYFUNCTION("""COMPUTED_VALUE"""),"SMART CARD PRETO NAGRA")</f>
        <v>SMART CARD PRETO NAGRA</v>
      </c>
      <c r="B1711" s="22">
        <f>IFERROR(__xludf.DUMMYFUNCTION("""COMPUTED_VALUE"""),4.1001234E7)</f>
        <v>41001234</v>
      </c>
      <c r="C1711" s="21" t="str">
        <f>IFERROR(__xludf.DUMMYFUNCTION("""COMPUTED_VALUE"""),"246252777378")</f>
        <v>246252777378</v>
      </c>
      <c r="D1711" s="21" t="str">
        <f>IFERROR(__xludf.DUMMYFUNCTION("""COMPUTED_VALUE"""),"DIGITEC TECNOLOGIA DIGITAL E REPRES")</f>
        <v>DIGITEC TECNOLOGIA DIGITAL E REPRES</v>
      </c>
      <c r="E1711" s="21">
        <f>IFERROR(__xludf.DUMMYFUNCTION("""COMPUTED_VALUE"""),145359.0)</f>
        <v>145359</v>
      </c>
      <c r="F1711" s="21" t="str">
        <f>IFERROR(__xludf.DUMMYFUNCTION("""COMPUTED_VALUE"""),"INICIALIZADO")</f>
        <v>INICIALIZADO</v>
      </c>
      <c r="G1711" s="23">
        <f>IFERROR(__xludf.DUMMYFUNCTION("""COMPUTED_VALUE"""),45635.53493055556)</f>
        <v>45635.53493</v>
      </c>
      <c r="H1711" s="24" t="str">
        <f>IFERROR(VLOOKUP(B1711,material!A:D,3,0),"")</f>
        <v>CARD</v>
      </c>
    </row>
    <row r="1712" ht="11.25" customHeight="1">
      <c r="A1712" s="21" t="str">
        <f>IFERROR(__xludf.DUMMYFUNCTION("""COMPUTED_VALUE"""),"SMART CARD LARANJA NAGRA")</f>
        <v>SMART CARD LARANJA NAGRA</v>
      </c>
      <c r="B1712" s="22">
        <f>IFERROR(__xludf.DUMMYFUNCTION("""COMPUTED_VALUE"""),4.1001186E7)</f>
        <v>41001186</v>
      </c>
      <c r="C1712" s="21" t="str">
        <f>IFERROR(__xludf.DUMMYFUNCTION("""COMPUTED_VALUE"""),"226677257076")</f>
        <v>226677257076</v>
      </c>
      <c r="D1712" s="21" t="str">
        <f>IFERROR(__xludf.DUMMYFUNCTION("""COMPUTED_VALUE"""),"DIGITEC TECNOLOGIA DIGITAL E REPRES")</f>
        <v>DIGITEC TECNOLOGIA DIGITAL E REPRES</v>
      </c>
      <c r="E1712" s="21">
        <f>IFERROR(__xludf.DUMMYFUNCTION("""COMPUTED_VALUE"""),145359.0)</f>
        <v>145359</v>
      </c>
      <c r="F1712" s="21" t="str">
        <f>IFERROR(__xludf.DUMMYFUNCTION("""COMPUTED_VALUE"""),"INICIALIZADO")</f>
        <v>INICIALIZADO</v>
      </c>
      <c r="G1712" s="23">
        <f>IFERROR(__xludf.DUMMYFUNCTION("""COMPUTED_VALUE"""),45573.66674768519)</f>
        <v>45573.66675</v>
      </c>
      <c r="H1712" s="24" t="str">
        <f>IFERROR(VLOOKUP(B1712,material!A:D,3,0),"")</f>
        <v>CARD</v>
      </c>
    </row>
    <row r="1713" ht="11.25" customHeight="1">
      <c r="A1713" s="21" t="str">
        <f>IFERROR(__xludf.DUMMYFUNCTION("""COMPUTED_VALUE"""),"SMART CARD LARANJA NAGRA")</f>
        <v>SMART CARD LARANJA NAGRA</v>
      </c>
      <c r="B1713" s="22">
        <f>IFERROR(__xludf.DUMMYFUNCTION("""COMPUTED_VALUE"""),4.1001186E7)</f>
        <v>41001186</v>
      </c>
      <c r="C1713" s="21" t="str">
        <f>IFERROR(__xludf.DUMMYFUNCTION("""COMPUTED_VALUE"""),"226583991533")</f>
        <v>226583991533</v>
      </c>
      <c r="D1713" s="21" t="str">
        <f>IFERROR(__xludf.DUMMYFUNCTION("""COMPUTED_VALUE"""),"DIGITEC TECNOLOGIA DIGITAL E REPRES")</f>
        <v>DIGITEC TECNOLOGIA DIGITAL E REPRES</v>
      </c>
      <c r="E1713" s="21">
        <f>IFERROR(__xludf.DUMMYFUNCTION("""COMPUTED_VALUE"""),145359.0)</f>
        <v>145359</v>
      </c>
      <c r="F1713" s="21" t="str">
        <f>IFERROR(__xludf.DUMMYFUNCTION("""COMPUTED_VALUE"""),"INICIALIZADO")</f>
        <v>INICIALIZADO</v>
      </c>
      <c r="G1713" s="23">
        <f>IFERROR(__xludf.DUMMYFUNCTION("""COMPUTED_VALUE"""),45573.66674768519)</f>
        <v>45573.66675</v>
      </c>
      <c r="H1713" s="24" t="str">
        <f>IFERROR(VLOOKUP(B1713,material!A:D,3,0),"")</f>
        <v>CARD</v>
      </c>
    </row>
    <row r="1714" ht="11.25" customHeight="1">
      <c r="A1714" s="21" t="str">
        <f>IFERROR(__xludf.DUMMYFUNCTION("""COMPUTED_VALUE"""),"SMART CARD LARANJA")</f>
        <v>SMART CARD LARANJA</v>
      </c>
      <c r="B1714" s="22">
        <f>IFERROR(__xludf.DUMMYFUNCTION("""COMPUTED_VALUE"""),4.1001186E7)</f>
        <v>41001186</v>
      </c>
      <c r="C1714" s="21" t="str">
        <f>IFERROR(__xludf.DUMMYFUNCTION("""COMPUTED_VALUE"""),"226540820709")</f>
        <v>226540820709</v>
      </c>
      <c r="D1714" s="21" t="str">
        <f>IFERROR(__xludf.DUMMYFUNCTION("""COMPUTED_VALUE"""),"DIGITEC TECNOLOGIA DIGITAL E REPRES")</f>
        <v>DIGITEC TECNOLOGIA DIGITAL E REPRES</v>
      </c>
      <c r="E1714" s="21">
        <f>IFERROR(__xludf.DUMMYFUNCTION("""COMPUTED_VALUE"""),145359.0)</f>
        <v>145359</v>
      </c>
      <c r="F1714" s="21" t="str">
        <f>IFERROR(__xludf.DUMMYFUNCTION("""COMPUTED_VALUE"""),"SUCATA")</f>
        <v>SUCATA</v>
      </c>
      <c r="G1714" s="23">
        <f>IFERROR(__xludf.DUMMYFUNCTION("""COMPUTED_VALUE"""),45076.47195601852)</f>
        <v>45076.47196</v>
      </c>
      <c r="H1714" s="24" t="str">
        <f>IFERROR(VLOOKUP(B1714,material!A:D,3,0),"")</f>
        <v>CARD</v>
      </c>
    </row>
    <row r="1715" ht="11.25" customHeight="1">
      <c r="A1715" s="21" t="str">
        <f>IFERROR(__xludf.DUMMYFUNCTION("""COMPUTED_VALUE"""),"SMART CARD LARANJA NAGRA")</f>
        <v>SMART CARD LARANJA NAGRA</v>
      </c>
      <c r="B1715" s="22">
        <f>IFERROR(__xludf.DUMMYFUNCTION("""COMPUTED_VALUE"""),4.1001186E7)</f>
        <v>41001186</v>
      </c>
      <c r="C1715" s="21" t="str">
        <f>IFERROR(__xludf.DUMMYFUNCTION("""COMPUTED_VALUE"""),"226659082329")</f>
        <v>226659082329</v>
      </c>
      <c r="D1715" s="21" t="str">
        <f>IFERROR(__xludf.DUMMYFUNCTION("""COMPUTED_VALUE"""),"DIGITEC TECNOLOGIA DIGITAL E REPRES")</f>
        <v>DIGITEC TECNOLOGIA DIGITAL E REPRES</v>
      </c>
      <c r="E1715" s="21">
        <f>IFERROR(__xludf.DUMMYFUNCTION("""COMPUTED_VALUE"""),145359.0)</f>
        <v>145359</v>
      </c>
      <c r="F1715" s="21" t="str">
        <f>IFERROR(__xludf.DUMMYFUNCTION("""COMPUTED_VALUE"""),"SUCATA")</f>
        <v>SUCATA</v>
      </c>
      <c r="G1715" s="23">
        <f>IFERROR(__xludf.DUMMYFUNCTION("""COMPUTED_VALUE"""),45075.511875)</f>
        <v>45075.51188</v>
      </c>
      <c r="H1715" s="24" t="str">
        <f>IFERROR(VLOOKUP(B1715,material!A:D,3,0),"")</f>
        <v>CARD</v>
      </c>
    </row>
    <row r="1716" ht="11.25" customHeight="1">
      <c r="A1716" s="21" t="str">
        <f>IFERROR(__xludf.DUMMYFUNCTION("""COMPUTED_VALUE"""),"SMART CARD PRETO NAGRA")</f>
        <v>SMART CARD PRETO NAGRA</v>
      </c>
      <c r="B1716" s="22">
        <f>IFERROR(__xludf.DUMMYFUNCTION("""COMPUTED_VALUE"""),4.1001234E7)</f>
        <v>41001234</v>
      </c>
      <c r="C1716" s="21" t="str">
        <f>IFERROR(__xludf.DUMMYFUNCTION("""COMPUTED_VALUE"""),"246022197793")</f>
        <v>246022197793</v>
      </c>
      <c r="D1716" s="21" t="str">
        <f>IFERROR(__xludf.DUMMYFUNCTION("""COMPUTED_VALUE"""),"DIGITEC TECNOLOGIA DIGITAL E REPRES")</f>
        <v>DIGITEC TECNOLOGIA DIGITAL E REPRES</v>
      </c>
      <c r="E1716" s="21">
        <f>IFERROR(__xludf.DUMMYFUNCTION("""COMPUTED_VALUE"""),145359.0)</f>
        <v>145359</v>
      </c>
      <c r="F1716" s="21" t="str">
        <f>IFERROR(__xludf.DUMMYFUNCTION("""COMPUTED_VALUE"""),"INICIALIZADO")</f>
        <v>INICIALIZADO</v>
      </c>
      <c r="G1716" s="23">
        <f>IFERROR(__xludf.DUMMYFUNCTION("""COMPUTED_VALUE"""),45635.534907407404)</f>
        <v>45635.53491</v>
      </c>
      <c r="H1716" s="24" t="str">
        <f>IFERROR(VLOOKUP(B1716,material!A:D,3,0),"")</f>
        <v>CARD</v>
      </c>
    </row>
    <row r="1717" ht="11.25" customHeight="1">
      <c r="A1717" s="21" t="str">
        <f>IFERROR(__xludf.DUMMYFUNCTION("""COMPUTED_VALUE"""),"SMART CARD LARANJA NAGRA")</f>
        <v>SMART CARD LARANJA NAGRA</v>
      </c>
      <c r="B1717" s="22">
        <f>IFERROR(__xludf.DUMMYFUNCTION("""COMPUTED_VALUE"""),4.1001186E7)</f>
        <v>41001186</v>
      </c>
      <c r="C1717" s="21" t="str">
        <f>IFERROR(__xludf.DUMMYFUNCTION("""COMPUTED_VALUE"""),"225853532242")</f>
        <v>225853532242</v>
      </c>
      <c r="D1717" s="21" t="str">
        <f>IFERROR(__xludf.DUMMYFUNCTION("""COMPUTED_VALUE"""),"DIGITEC TECNOLOGIA DIGITAL E REPRES")</f>
        <v>DIGITEC TECNOLOGIA DIGITAL E REPRES</v>
      </c>
      <c r="E1717" s="21">
        <f>IFERROR(__xludf.DUMMYFUNCTION("""COMPUTED_VALUE"""),145359.0)</f>
        <v>145359</v>
      </c>
      <c r="F1717" s="21" t="str">
        <f>IFERROR(__xludf.DUMMYFUNCTION("""COMPUTED_VALUE"""),"SUCATA")</f>
        <v>SUCATA</v>
      </c>
      <c r="G1717" s="23">
        <f>IFERROR(__xludf.DUMMYFUNCTION("""COMPUTED_VALUE"""),45076.73263888889)</f>
        <v>45076.73264</v>
      </c>
      <c r="H1717" s="24" t="str">
        <f>IFERROR(VLOOKUP(B1717,material!A:D,3,0),"")</f>
        <v>CARD</v>
      </c>
    </row>
    <row r="1718" ht="11.25" customHeight="1">
      <c r="A1718" s="21" t="str">
        <f>IFERROR(__xludf.DUMMYFUNCTION("""COMPUTED_VALUE"""),"SMART CARD LARANJA NAGRA")</f>
        <v>SMART CARD LARANJA NAGRA</v>
      </c>
      <c r="B1718" s="22">
        <f>IFERROR(__xludf.DUMMYFUNCTION("""COMPUTED_VALUE"""),4.1001186E7)</f>
        <v>41001186</v>
      </c>
      <c r="C1718" s="21" t="str">
        <f>IFERROR(__xludf.DUMMYFUNCTION("""COMPUTED_VALUE"""),"225974356165")</f>
        <v>225974356165</v>
      </c>
      <c r="D1718" s="21" t="str">
        <f>IFERROR(__xludf.DUMMYFUNCTION("""COMPUTED_VALUE"""),"DIGITEC TECNOLOGIA DIGITAL E REPRES")</f>
        <v>DIGITEC TECNOLOGIA DIGITAL E REPRES</v>
      </c>
      <c r="E1718" s="21">
        <f>IFERROR(__xludf.DUMMYFUNCTION("""COMPUTED_VALUE"""),145359.0)</f>
        <v>145359</v>
      </c>
      <c r="F1718" s="21" t="str">
        <f>IFERROR(__xludf.DUMMYFUNCTION("""COMPUTED_VALUE"""),"SUCATA")</f>
        <v>SUCATA</v>
      </c>
      <c r="G1718" s="23">
        <f>IFERROR(__xludf.DUMMYFUNCTION("""COMPUTED_VALUE"""),45076.50158564815)</f>
        <v>45076.50159</v>
      </c>
      <c r="H1718" s="24" t="str">
        <f>IFERROR(VLOOKUP(B1718,material!A:D,3,0),"")</f>
        <v>CARD</v>
      </c>
    </row>
    <row r="1719" ht="11.25" customHeight="1">
      <c r="A1719" s="21" t="str">
        <f>IFERROR(__xludf.DUMMYFUNCTION("""COMPUTED_VALUE"""),"SMART CARD PRETO NAGRA")</f>
        <v>SMART CARD PRETO NAGRA</v>
      </c>
      <c r="B1719" s="22">
        <f>IFERROR(__xludf.DUMMYFUNCTION("""COMPUTED_VALUE"""),4.1001234E7)</f>
        <v>41001234</v>
      </c>
      <c r="C1719" s="21" t="str">
        <f>IFERROR(__xludf.DUMMYFUNCTION("""COMPUTED_VALUE"""),"226343956164")</f>
        <v>226343956164</v>
      </c>
      <c r="D1719" s="21" t="str">
        <f>IFERROR(__xludf.DUMMYFUNCTION("""COMPUTED_VALUE"""),"DIGITEC TECNOLOGIA DIGITAL E REPRES")</f>
        <v>DIGITEC TECNOLOGIA DIGITAL E REPRES</v>
      </c>
      <c r="E1719" s="21">
        <f>IFERROR(__xludf.DUMMYFUNCTION("""COMPUTED_VALUE"""),145359.0)</f>
        <v>145359</v>
      </c>
      <c r="F1719" s="21" t="str">
        <f>IFERROR(__xludf.DUMMYFUNCTION("""COMPUTED_VALUE"""),"INICIALIZADO")</f>
        <v>INICIALIZADO</v>
      </c>
      <c r="G1719" s="23">
        <f>IFERROR(__xludf.DUMMYFUNCTION("""COMPUTED_VALUE"""),45635.53497685185)</f>
        <v>45635.53498</v>
      </c>
      <c r="H1719" s="24" t="str">
        <f>IFERROR(VLOOKUP(B1719,material!A:D,3,0),"")</f>
        <v>CARD</v>
      </c>
    </row>
    <row r="1720" ht="11.25" customHeight="1">
      <c r="A1720" s="21" t="str">
        <f>IFERROR(__xludf.DUMMYFUNCTION("""COMPUTED_VALUE"""),"SMART CARD PRETO NAGRA")</f>
        <v>SMART CARD PRETO NAGRA</v>
      </c>
      <c r="B1720" s="22">
        <f>IFERROR(__xludf.DUMMYFUNCTION("""COMPUTED_VALUE"""),4.1001234E7)</f>
        <v>41001234</v>
      </c>
      <c r="C1720" s="21" t="str">
        <f>IFERROR(__xludf.DUMMYFUNCTION("""COMPUTED_VALUE"""),"226182117990")</f>
        <v>226182117990</v>
      </c>
      <c r="D1720" s="21" t="str">
        <f>IFERROR(__xludf.DUMMYFUNCTION("""COMPUTED_VALUE"""),"DIGITEC TECNOLOGIA DIGITAL E REPRES")</f>
        <v>DIGITEC TECNOLOGIA DIGITAL E REPRES</v>
      </c>
      <c r="E1720" s="21">
        <f>IFERROR(__xludf.DUMMYFUNCTION("""COMPUTED_VALUE"""),145359.0)</f>
        <v>145359</v>
      </c>
      <c r="F1720" s="21" t="str">
        <f>IFERROR(__xludf.DUMMYFUNCTION("""COMPUTED_VALUE"""),"COM DEFEITO")</f>
        <v>COM DEFEITO</v>
      </c>
      <c r="G1720" s="23">
        <f>IFERROR(__xludf.DUMMYFUNCTION("""COMPUTED_VALUE"""),45617.71435185186)</f>
        <v>45617.71435</v>
      </c>
      <c r="H1720" s="24" t="str">
        <f>IFERROR(VLOOKUP(B1720,material!A:D,3,0),"")</f>
        <v>CARD</v>
      </c>
    </row>
    <row r="1721" ht="11.25" customHeight="1">
      <c r="A1721" s="21" t="str">
        <f>IFERROR(__xludf.DUMMYFUNCTION("""COMPUTED_VALUE"""),"SMART CARD PRETO NAGRA")</f>
        <v>SMART CARD PRETO NAGRA</v>
      </c>
      <c r="B1721" s="22">
        <f>IFERROR(__xludf.DUMMYFUNCTION("""COMPUTED_VALUE"""),4.1001234E7)</f>
        <v>41001234</v>
      </c>
      <c r="C1721" s="21" t="str">
        <f>IFERROR(__xludf.DUMMYFUNCTION("""COMPUTED_VALUE"""),"226004787384")</f>
        <v>226004787384</v>
      </c>
      <c r="D1721" s="21" t="str">
        <f>IFERROR(__xludf.DUMMYFUNCTION("""COMPUTED_VALUE"""),"DIGITEC TECNOLOGIA DIGITAL E REPRES")</f>
        <v>DIGITEC TECNOLOGIA DIGITAL E REPRES</v>
      </c>
      <c r="E1721" s="21">
        <f>IFERROR(__xludf.DUMMYFUNCTION("""COMPUTED_VALUE"""),145359.0)</f>
        <v>145359</v>
      </c>
      <c r="F1721" s="21" t="str">
        <f>IFERROR(__xludf.DUMMYFUNCTION("""COMPUTED_VALUE"""),"SUSPEITO")</f>
        <v>SUSPEITO</v>
      </c>
      <c r="G1721" s="23">
        <f>IFERROR(__xludf.DUMMYFUNCTION("""COMPUTED_VALUE"""),45643.47690972222)</f>
        <v>45643.47691</v>
      </c>
      <c r="H1721" s="24" t="str">
        <f>IFERROR(VLOOKUP(B1721,material!A:D,3,0),"")</f>
        <v>CARD</v>
      </c>
    </row>
    <row r="1722" ht="11.25" customHeight="1">
      <c r="A1722" s="21" t="str">
        <f>IFERROR(__xludf.DUMMYFUNCTION("""COMPUTED_VALUE"""),"DECODER DIGITAL HD HNB100 2T")</f>
        <v>DECODER DIGITAL HD HNB100 2T</v>
      </c>
      <c r="B1722" s="22">
        <f>IFERROR(__xludf.DUMMYFUNCTION("""COMPUTED_VALUE"""),4.1001276E7)</f>
        <v>41001276</v>
      </c>
      <c r="C1722" s="21" t="str">
        <f>IFERROR(__xludf.DUMMYFUNCTION("""COMPUTED_VALUE"""),"216397223849")</f>
        <v>216397223849</v>
      </c>
      <c r="D1722" s="21" t="str">
        <f>IFERROR(__xludf.DUMMYFUNCTION("""COMPUTED_VALUE"""),"DIGITEC TECNOLOGIA DIGITAL E REPRES")</f>
        <v>DIGITEC TECNOLOGIA DIGITAL E REPRES</v>
      </c>
      <c r="E1722" s="21">
        <f>IFERROR(__xludf.DUMMYFUNCTION("""COMPUTED_VALUE"""),145359.0)</f>
        <v>145359</v>
      </c>
      <c r="F1722" s="21" t="str">
        <f>IFERROR(__xludf.DUMMYFUNCTION("""COMPUTED_VALUE"""),"INICIALIZADO")</f>
        <v>INICIALIZADO</v>
      </c>
      <c r="G1722" s="23">
        <f>IFERROR(__xludf.DUMMYFUNCTION("""COMPUTED_VALUE"""),45642.52413194445)</f>
        <v>45642.52413</v>
      </c>
      <c r="H1722" s="24" t="str">
        <f>IFERROR(VLOOKUP(B1722,material!A:D,3,0),"")</f>
        <v>TOP MIX</v>
      </c>
    </row>
    <row r="1723" ht="11.25" customHeight="1">
      <c r="A1723" s="21" t="str">
        <f>IFERROR(__xludf.DUMMYFUNCTION("""COMPUTED_VALUE"""),"DECODER DIGITAL HD DXC5000 2T")</f>
        <v>DECODER DIGITAL HD DXC5000 2T</v>
      </c>
      <c r="B1723" s="22">
        <f>IFERROR(__xludf.DUMMYFUNCTION("""COMPUTED_VALUE"""),4.1001277E7)</f>
        <v>41001277</v>
      </c>
      <c r="C1723" s="21" t="str">
        <f>IFERROR(__xludf.DUMMYFUNCTION("""COMPUTED_VALUE"""),"216808060320")</f>
        <v>216808060320</v>
      </c>
      <c r="D1723" s="21" t="str">
        <f>IFERROR(__xludf.DUMMYFUNCTION("""COMPUTED_VALUE"""),"DIGITEC TECNOLOGIA DIGITAL E REPRES")</f>
        <v>DIGITEC TECNOLOGIA DIGITAL E REPRES</v>
      </c>
      <c r="E1723" s="21">
        <f>IFERROR(__xludf.DUMMYFUNCTION("""COMPUTED_VALUE"""),145359.0)</f>
        <v>145359</v>
      </c>
      <c r="F1723" s="21" t="str">
        <f>IFERROR(__xludf.DUMMYFUNCTION("""COMPUTED_VALUE"""),"TRANSITO REVERSA")</f>
        <v>TRANSITO REVERSA</v>
      </c>
      <c r="G1723" s="23">
        <f>IFERROR(__xludf.DUMMYFUNCTION("""COMPUTED_VALUE"""),45633.0033912037)</f>
        <v>45633.00339</v>
      </c>
      <c r="H1723" s="24" t="str">
        <f>IFERROR(VLOOKUP(B1723,material!A:D,3,0),"")</f>
        <v>TOP MIX</v>
      </c>
    </row>
    <row r="1724" ht="11.25" customHeight="1">
      <c r="A1724" s="21" t="str">
        <f>IFERROR(__xludf.DUMMYFUNCTION("""COMPUTED_VALUE"""),"DECODER DIGITAL HD HNB100 2T")</f>
        <v>DECODER DIGITAL HD HNB100 2T</v>
      </c>
      <c r="B1724" s="22">
        <f>IFERROR(__xludf.DUMMYFUNCTION("""COMPUTED_VALUE"""),4.1001276E7)</f>
        <v>41001276</v>
      </c>
      <c r="C1724" s="21" t="str">
        <f>IFERROR(__xludf.DUMMYFUNCTION("""COMPUTED_VALUE"""),"216637541220")</f>
        <v>216637541220</v>
      </c>
      <c r="D1724" s="21" t="str">
        <f>IFERROR(__xludf.DUMMYFUNCTION("""COMPUTED_VALUE"""),"DIGITEC TECNOLOGIA DIGITAL E REPRES")</f>
        <v>DIGITEC TECNOLOGIA DIGITAL E REPRES</v>
      </c>
      <c r="E1724" s="21">
        <f>IFERROR(__xludf.DUMMYFUNCTION("""COMPUTED_VALUE"""),145359.0)</f>
        <v>145359</v>
      </c>
      <c r="F1724" s="21" t="str">
        <f>IFERROR(__xludf.DUMMYFUNCTION("""COMPUTED_VALUE"""),"TRANSITO REVERSA")</f>
        <v>TRANSITO REVERSA</v>
      </c>
      <c r="G1724" s="23">
        <f>IFERROR(__xludf.DUMMYFUNCTION("""COMPUTED_VALUE"""),45638.52059027778)</f>
        <v>45638.52059</v>
      </c>
      <c r="H1724" s="24" t="str">
        <f>IFERROR(VLOOKUP(B1724,material!A:D,3,0),"")</f>
        <v>TOP MIX</v>
      </c>
    </row>
    <row r="1725" ht="11.25" customHeight="1">
      <c r="A1725" s="21" t="str">
        <f>IFERROR(__xludf.DUMMYFUNCTION("""COMPUTED_VALUE"""),"DECODER DIGITAL HD HNB100 2T")</f>
        <v>DECODER DIGITAL HD HNB100 2T</v>
      </c>
      <c r="B1725" s="22">
        <f>IFERROR(__xludf.DUMMYFUNCTION("""COMPUTED_VALUE"""),4.1001276E7)</f>
        <v>41001276</v>
      </c>
      <c r="C1725" s="21" t="str">
        <f>IFERROR(__xludf.DUMMYFUNCTION("""COMPUTED_VALUE"""),"216509183844")</f>
        <v>216509183844</v>
      </c>
      <c r="D1725" s="21" t="str">
        <f>IFERROR(__xludf.DUMMYFUNCTION("""COMPUTED_VALUE"""),"DIGITEC TECNOLOGIA DIGITAL E REPRES")</f>
        <v>DIGITEC TECNOLOGIA DIGITAL E REPRES</v>
      </c>
      <c r="E1725" s="21">
        <f>IFERROR(__xludf.DUMMYFUNCTION("""COMPUTED_VALUE"""),145359.0)</f>
        <v>145359</v>
      </c>
      <c r="F1725" s="21" t="str">
        <f>IFERROR(__xludf.DUMMYFUNCTION("""COMPUTED_VALUE"""),"TRANSITO REVERSA")</f>
        <v>TRANSITO REVERSA</v>
      </c>
      <c r="G1725" s="23">
        <f>IFERROR(__xludf.DUMMYFUNCTION("""COMPUTED_VALUE"""),45610.730416666665)</f>
        <v>45610.73042</v>
      </c>
      <c r="H1725" s="24" t="str">
        <f>IFERROR(VLOOKUP(B1725,material!A:D,3,0),"")</f>
        <v>TOP MIX</v>
      </c>
    </row>
    <row r="1726" ht="11.25" customHeight="1">
      <c r="A1726" s="21" t="str">
        <f>IFERROR(__xludf.DUMMYFUNCTION("""COMPUTED_VALUE"""),"SMART CARD PRETO NAGRA")</f>
        <v>SMART CARD PRETO NAGRA</v>
      </c>
      <c r="B1726" s="22">
        <f>IFERROR(__xludf.DUMMYFUNCTION("""COMPUTED_VALUE"""),4.1001234E7)</f>
        <v>41001234</v>
      </c>
      <c r="C1726" s="21" t="str">
        <f>IFERROR(__xludf.DUMMYFUNCTION("""COMPUTED_VALUE"""),"246127930414")</f>
        <v>246127930414</v>
      </c>
      <c r="D1726" s="21" t="str">
        <f>IFERROR(__xludf.DUMMYFUNCTION("""COMPUTED_VALUE"""),"DIGITEC TECNOLOGIA DIGITAL E REPRES")</f>
        <v>DIGITEC TECNOLOGIA DIGITAL E REPRES</v>
      </c>
      <c r="E1726" s="21">
        <f>IFERROR(__xludf.DUMMYFUNCTION("""COMPUTED_VALUE"""),145359.0)</f>
        <v>145359</v>
      </c>
      <c r="F1726" s="21" t="str">
        <f>IFERROR(__xludf.DUMMYFUNCTION("""COMPUTED_VALUE"""),"TRANSITO REVERSA")</f>
        <v>TRANSITO REVERSA</v>
      </c>
      <c r="G1726" s="23">
        <f>IFERROR(__xludf.DUMMYFUNCTION("""COMPUTED_VALUE"""),45633.003379629634)</f>
        <v>45633.00338</v>
      </c>
      <c r="H1726" s="24" t="str">
        <f>IFERROR(VLOOKUP(B1726,material!A:D,3,0),"")</f>
        <v>CARD</v>
      </c>
    </row>
    <row r="1727" ht="11.25" customHeight="1">
      <c r="A1727" s="21" t="str">
        <f>IFERROR(__xludf.DUMMYFUNCTION("""COMPUTED_VALUE"""),"SMART CARD PRETO NAGRA")</f>
        <v>SMART CARD PRETO NAGRA</v>
      </c>
      <c r="B1727" s="22">
        <f>IFERROR(__xludf.DUMMYFUNCTION("""COMPUTED_VALUE"""),4.1001234E7)</f>
        <v>41001234</v>
      </c>
      <c r="C1727" s="21" t="str">
        <f>IFERROR(__xludf.DUMMYFUNCTION("""COMPUTED_VALUE"""),"226157192831")</f>
        <v>226157192831</v>
      </c>
      <c r="D1727" s="21" t="str">
        <f>IFERROR(__xludf.DUMMYFUNCTION("""COMPUTED_VALUE"""),"DIGITEC TECNOLOGIA DIGITAL E REPRES")</f>
        <v>DIGITEC TECNOLOGIA DIGITAL E REPRES</v>
      </c>
      <c r="E1727" s="21">
        <f>IFERROR(__xludf.DUMMYFUNCTION("""COMPUTED_VALUE"""),145359.0)</f>
        <v>145359</v>
      </c>
      <c r="F1727" s="21" t="str">
        <f>IFERROR(__xludf.DUMMYFUNCTION("""COMPUTED_VALUE"""),"TRANSITO REVERSA")</f>
        <v>TRANSITO REVERSA</v>
      </c>
      <c r="G1727" s="23">
        <f>IFERROR(__xludf.DUMMYFUNCTION("""COMPUTED_VALUE"""),45633.00341435186)</f>
        <v>45633.00341</v>
      </c>
      <c r="H1727" s="24" t="str">
        <f>IFERROR(VLOOKUP(B1727,material!A:D,3,0),"")</f>
        <v>CARD</v>
      </c>
    </row>
    <row r="1728" ht="11.25" customHeight="1">
      <c r="A1728" s="21" t="str">
        <f>IFERROR(__xludf.DUMMYFUNCTION("""COMPUTED_VALUE"""),"PACE - HIGH DEFINITION DCR7411")</f>
        <v>PACE - HIGH DEFINITION DCR7411</v>
      </c>
      <c r="B1728" s="22">
        <f>IFERROR(__xludf.DUMMYFUNCTION("""COMPUTED_VALUE"""),4.1001216E7)</f>
        <v>41001216</v>
      </c>
      <c r="C1728" s="21" t="str">
        <f>IFERROR(__xludf.DUMMYFUNCTION("""COMPUTED_VALUE"""),"181449852736")</f>
        <v>181449852736</v>
      </c>
      <c r="D1728" s="21" t="str">
        <f>IFERROR(__xludf.DUMMYFUNCTION("""COMPUTED_VALUE"""),"DIGITEC TECNOLOGIA DIGITAL E REPRES")</f>
        <v>DIGITEC TECNOLOGIA DIGITAL E REPRES</v>
      </c>
      <c r="E1728" s="21">
        <f>IFERROR(__xludf.DUMMYFUNCTION("""COMPUTED_VALUE"""),145359.0)</f>
        <v>145359</v>
      </c>
      <c r="F1728" s="21" t="str">
        <f>IFERROR(__xludf.DUMMYFUNCTION("""COMPUTED_VALUE"""),"TRANSITO REVERSA")</f>
        <v>TRANSITO REVERSA</v>
      </c>
      <c r="G1728" s="23">
        <f>IFERROR(__xludf.DUMMYFUNCTION("""COMPUTED_VALUE"""),45626.298680555556)</f>
        <v>45626.29868</v>
      </c>
      <c r="H1728" s="24" t="str">
        <f>IFERROR(VLOOKUP(B1728,material!A:D,3,0),"")</f>
        <v>LEGADO</v>
      </c>
    </row>
    <row r="1729" ht="11.25" customHeight="1">
      <c r="A1729" s="21" t="str">
        <f>IFERROR(__xludf.DUMMYFUNCTION("""COMPUTED_VALUE"""),"PACE - HIGH DEFINITION DCR7411")</f>
        <v>PACE - HIGH DEFINITION DCR7411</v>
      </c>
      <c r="B1729" s="22">
        <f>IFERROR(__xludf.DUMMYFUNCTION("""COMPUTED_VALUE"""),4.1001216E7)</f>
        <v>41001216</v>
      </c>
      <c r="C1729" s="21" t="str">
        <f>IFERROR(__xludf.DUMMYFUNCTION("""COMPUTED_VALUE"""),"181404792536")</f>
        <v>181404792536</v>
      </c>
      <c r="D1729" s="21" t="str">
        <f>IFERROR(__xludf.DUMMYFUNCTION("""COMPUTED_VALUE"""),"DIGITEC TECNOLOGIA DIGITAL E REPRES")</f>
        <v>DIGITEC TECNOLOGIA DIGITAL E REPRES</v>
      </c>
      <c r="E1729" s="21">
        <f>IFERROR(__xludf.DUMMYFUNCTION("""COMPUTED_VALUE"""),145359.0)</f>
        <v>145359</v>
      </c>
      <c r="F1729" s="21" t="str">
        <f>IFERROR(__xludf.DUMMYFUNCTION("""COMPUTED_VALUE"""),"TRANSITO REVERSA")</f>
        <v>TRANSITO REVERSA</v>
      </c>
      <c r="G1729" s="23">
        <f>IFERROR(__xludf.DUMMYFUNCTION("""COMPUTED_VALUE"""),45638.52112268518)</f>
        <v>45638.52112</v>
      </c>
      <c r="H1729" s="24" t="str">
        <f>IFERROR(VLOOKUP(B1729,material!A:D,3,0),"")</f>
        <v>LEGADO</v>
      </c>
    </row>
    <row r="1730" ht="11.25" customHeight="1">
      <c r="A1730" s="21" t="str">
        <f>IFERROR(__xludf.DUMMYFUNCTION("""COMPUTED_VALUE"""),"SMART CARD PRETO NAGRA")</f>
        <v>SMART CARD PRETO NAGRA</v>
      </c>
      <c r="B1730" s="22">
        <f>IFERROR(__xludf.DUMMYFUNCTION("""COMPUTED_VALUE"""),4.1001234E7)</f>
        <v>41001234</v>
      </c>
      <c r="C1730" s="21" t="str">
        <f>IFERROR(__xludf.DUMMYFUNCTION("""COMPUTED_VALUE"""),"226394422134")</f>
        <v>226394422134</v>
      </c>
      <c r="D1730" s="21" t="str">
        <f>IFERROR(__xludf.DUMMYFUNCTION("""COMPUTED_VALUE"""),"DIGITEC TECNOLOGIA DIGITAL E REPRES")</f>
        <v>DIGITEC TECNOLOGIA DIGITAL E REPRES</v>
      </c>
      <c r="E1730" s="21">
        <f>IFERROR(__xludf.DUMMYFUNCTION("""COMPUTED_VALUE"""),145359.0)</f>
        <v>145359</v>
      </c>
      <c r="F1730" s="21" t="str">
        <f>IFERROR(__xludf.DUMMYFUNCTION("""COMPUTED_VALUE"""),"PERDA")</f>
        <v>PERDA</v>
      </c>
      <c r="G1730" s="23">
        <f>IFERROR(__xludf.DUMMYFUNCTION("""COMPUTED_VALUE"""),45296.600625)</f>
        <v>45296.60063</v>
      </c>
      <c r="H1730" s="24" t="str">
        <f>IFERROR(VLOOKUP(B1730,material!A:D,3,0),"")</f>
        <v>CARD</v>
      </c>
    </row>
    <row r="1731" ht="11.25" customHeight="1">
      <c r="A1731" s="21" t="str">
        <f>IFERROR(__xludf.DUMMYFUNCTION("""COMPUTED_VALUE"""),"PACE - HIGH DEFINITION DCR7411")</f>
        <v>PACE - HIGH DEFINITION DCR7411</v>
      </c>
      <c r="B1731" s="22">
        <f>IFERROR(__xludf.DUMMYFUNCTION("""COMPUTED_VALUE"""),4.1001216E7)</f>
        <v>41001216</v>
      </c>
      <c r="C1731" s="21" t="str">
        <f>IFERROR(__xludf.DUMMYFUNCTION("""COMPUTED_VALUE"""),"184214803152")</f>
        <v>184214803152</v>
      </c>
      <c r="D1731" s="21" t="str">
        <f>IFERROR(__xludf.DUMMYFUNCTION("""COMPUTED_VALUE"""),"DIGITEC TECNOLOGIA DIGITAL E REPRES")</f>
        <v>DIGITEC TECNOLOGIA DIGITAL E REPRES</v>
      </c>
      <c r="E1731" s="21">
        <f>IFERROR(__xludf.DUMMYFUNCTION("""COMPUTED_VALUE"""),145359.0)</f>
        <v>145359</v>
      </c>
      <c r="F1731" s="21" t="str">
        <f>IFERROR(__xludf.DUMMYFUNCTION("""COMPUTED_VALUE"""),"PERDA")</f>
        <v>PERDA</v>
      </c>
      <c r="G1731" s="23">
        <f>IFERROR(__xludf.DUMMYFUNCTION("""COMPUTED_VALUE"""),45348.60190972222)</f>
        <v>45348.60191</v>
      </c>
      <c r="H1731" s="24" t="str">
        <f>IFERROR(VLOOKUP(B1731,material!A:D,3,0),"")</f>
        <v>LEGADO</v>
      </c>
    </row>
    <row r="1732" ht="11.25" customHeight="1">
      <c r="A1732" s="21" t="str">
        <f>IFERROR(__xludf.DUMMYFUNCTION("""COMPUTED_VALUE"""),"ARRIS TG1692A")</f>
        <v>ARRIS TG1692A</v>
      </c>
      <c r="B1732" s="22">
        <f>IFERROR(__xludf.DUMMYFUNCTION("""COMPUTED_VALUE"""),4.1001293E7)</f>
        <v>41001293</v>
      </c>
      <c r="C1732" s="21" t="str">
        <f>IFERROR(__xludf.DUMMYFUNCTION("""COMPUTED_VALUE"""),"B0935BEC00D8")</f>
        <v>B0935BEC00D8</v>
      </c>
      <c r="D1732" s="21" t="str">
        <f>IFERROR(__xludf.DUMMYFUNCTION("""COMPUTED_VALUE"""),"DIGITEC TECNOLOGIA DIGITAL E REPRES")</f>
        <v>DIGITEC TECNOLOGIA DIGITAL E REPRES</v>
      </c>
      <c r="E1732" s="21">
        <f>IFERROR(__xludf.DUMMYFUNCTION("""COMPUTED_VALUE"""),145359.0)</f>
        <v>145359</v>
      </c>
      <c r="F1732" s="21" t="str">
        <f>IFERROR(__xludf.DUMMYFUNCTION("""COMPUTED_VALUE"""),"SUSPEITO")</f>
        <v>SUSPEITO</v>
      </c>
      <c r="G1732" s="23">
        <f>IFERROR(__xludf.DUMMYFUNCTION("""COMPUTED_VALUE"""),45640.508368055554)</f>
        <v>45640.50837</v>
      </c>
      <c r="H1732" s="24" t="str">
        <f>IFERROR(VLOOKUP(B1732,material!A:D,3,0),"")</f>
        <v>DUAL</v>
      </c>
    </row>
    <row r="1733" ht="11.25" customHeight="1">
      <c r="A1733" s="21" t="str">
        <f>IFERROR(__xludf.DUMMYFUNCTION("""COMPUTED_VALUE"""),"SMART CARD PRETO NAGRA")</f>
        <v>SMART CARD PRETO NAGRA</v>
      </c>
      <c r="B1733" s="22">
        <f>IFERROR(__xludf.DUMMYFUNCTION("""COMPUTED_VALUE"""),4.1001234E7)</f>
        <v>41001234</v>
      </c>
      <c r="C1733" s="21" t="str">
        <f>IFERROR(__xludf.DUMMYFUNCTION("""COMPUTED_VALUE"""),"226035363242")</f>
        <v>226035363242</v>
      </c>
      <c r="D1733" s="21" t="str">
        <f>IFERROR(__xludf.DUMMYFUNCTION("""COMPUTED_VALUE"""),"DIGITEC TECNOLOGIA DIGITAL E REPRES")</f>
        <v>DIGITEC TECNOLOGIA DIGITAL E REPRES</v>
      </c>
      <c r="E1733" s="21">
        <f>IFERROR(__xludf.DUMMYFUNCTION("""COMPUTED_VALUE"""),145359.0)</f>
        <v>145359</v>
      </c>
      <c r="F1733" s="21" t="str">
        <f>IFERROR(__xludf.DUMMYFUNCTION("""COMPUTED_VALUE"""),"COM DEFEITO")</f>
        <v>COM DEFEITO</v>
      </c>
      <c r="G1733" s="23">
        <f>IFERROR(__xludf.DUMMYFUNCTION("""COMPUTED_VALUE"""),45617.71434027777)</f>
        <v>45617.71434</v>
      </c>
      <c r="H1733" s="24" t="str">
        <f>IFERROR(VLOOKUP(B1733,material!A:D,3,0),"")</f>
        <v>CARD</v>
      </c>
    </row>
    <row r="1734" ht="11.25" customHeight="1">
      <c r="A1734" s="21" t="str">
        <f>IFERROR(__xludf.DUMMYFUNCTION("""COMPUTED_VALUE"""),"SMART CARD PRETO NAGRA")</f>
        <v>SMART CARD PRETO NAGRA</v>
      </c>
      <c r="B1734" s="22">
        <f>IFERROR(__xludf.DUMMYFUNCTION("""COMPUTED_VALUE"""),4.1001234E7)</f>
        <v>41001234</v>
      </c>
      <c r="C1734" s="21" t="str">
        <f>IFERROR(__xludf.DUMMYFUNCTION("""COMPUTED_VALUE"""),"246111443249")</f>
        <v>246111443249</v>
      </c>
      <c r="D1734" s="21" t="str">
        <f>IFERROR(__xludf.DUMMYFUNCTION("""COMPUTED_VALUE"""),"DIGITEC TECNOLOGIA DIGITAL E REPRES")</f>
        <v>DIGITEC TECNOLOGIA DIGITAL E REPRES</v>
      </c>
      <c r="E1734" s="21">
        <f>IFERROR(__xludf.DUMMYFUNCTION("""COMPUTED_VALUE"""),145359.0)</f>
        <v>145359</v>
      </c>
      <c r="F1734" s="21" t="str">
        <f>IFERROR(__xludf.DUMMYFUNCTION("""COMPUTED_VALUE"""),"INICIALIZADO")</f>
        <v>INICIALIZADO</v>
      </c>
      <c r="G1734" s="23">
        <f>IFERROR(__xludf.DUMMYFUNCTION("""COMPUTED_VALUE"""),45516.41978009259)</f>
        <v>45516.41978</v>
      </c>
      <c r="H1734" s="24" t="str">
        <f>IFERROR(VLOOKUP(B1734,material!A:D,3,0),"")</f>
        <v>CARD</v>
      </c>
    </row>
    <row r="1735" ht="11.25" customHeight="1">
      <c r="A1735" s="21" t="str">
        <f>IFERROR(__xludf.DUMMYFUNCTION("""COMPUTED_VALUE"""),"SMART CARD PRETO NAGRA")</f>
        <v>SMART CARD PRETO NAGRA</v>
      </c>
      <c r="B1735" s="22">
        <f>IFERROR(__xludf.DUMMYFUNCTION("""COMPUTED_VALUE"""),4.1001234E7)</f>
        <v>41001234</v>
      </c>
      <c r="C1735" s="21" t="str">
        <f>IFERROR(__xludf.DUMMYFUNCTION("""COMPUTED_VALUE"""),"246124270214")</f>
        <v>246124270214</v>
      </c>
      <c r="D1735" s="21" t="str">
        <f>IFERROR(__xludf.DUMMYFUNCTION("""COMPUTED_VALUE"""),"DIGITEC TECNOLOGIA DIGITAL E REPRES")</f>
        <v>DIGITEC TECNOLOGIA DIGITAL E REPRES</v>
      </c>
      <c r="E1735" s="21">
        <f>IFERROR(__xludf.DUMMYFUNCTION("""COMPUTED_VALUE"""),145359.0)</f>
        <v>145359</v>
      </c>
      <c r="F1735" s="21" t="str">
        <f>IFERROR(__xludf.DUMMYFUNCTION("""COMPUTED_VALUE"""),"INICIALIZADO")</f>
        <v>INICIALIZADO</v>
      </c>
      <c r="G1735" s="23">
        <f>IFERROR(__xludf.DUMMYFUNCTION("""COMPUTED_VALUE"""),45635.534895833334)</f>
        <v>45635.5349</v>
      </c>
      <c r="H1735" s="24" t="str">
        <f>IFERROR(VLOOKUP(B1735,material!A:D,3,0),"")</f>
        <v>CARD</v>
      </c>
    </row>
    <row r="1736" ht="11.25" customHeight="1">
      <c r="A1736" s="21" t="str">
        <f>IFERROR(__xludf.DUMMYFUNCTION("""COMPUTED_VALUE"""),"SMART CARD PRETO NAGRA")</f>
        <v>SMART CARD PRETO NAGRA</v>
      </c>
      <c r="B1736" s="22">
        <f>IFERROR(__xludf.DUMMYFUNCTION("""COMPUTED_VALUE"""),4.1001234E7)</f>
        <v>41001234</v>
      </c>
      <c r="C1736" s="21" t="str">
        <f>IFERROR(__xludf.DUMMYFUNCTION("""COMPUTED_VALUE"""),"226211005456")</f>
        <v>226211005456</v>
      </c>
      <c r="D1736" s="21" t="str">
        <f>IFERROR(__xludf.DUMMYFUNCTION("""COMPUTED_VALUE"""),"DIGITEC TECNOLOGIA DIGITAL E REPRES")</f>
        <v>DIGITEC TECNOLOGIA DIGITAL E REPRES</v>
      </c>
      <c r="E1736" s="21">
        <f>IFERROR(__xludf.DUMMYFUNCTION("""COMPUTED_VALUE"""),145359.0)</f>
        <v>145359</v>
      </c>
      <c r="F1736" s="21" t="str">
        <f>IFERROR(__xludf.DUMMYFUNCTION("""COMPUTED_VALUE"""),"INICIALIZADO")</f>
        <v>INICIALIZADO</v>
      </c>
      <c r="G1736" s="23">
        <f>IFERROR(__xludf.DUMMYFUNCTION("""COMPUTED_VALUE"""),45635.53494212963)</f>
        <v>45635.53494</v>
      </c>
      <c r="H1736" s="24" t="str">
        <f>IFERROR(VLOOKUP(B1736,material!A:D,3,0),"")</f>
        <v>CARD</v>
      </c>
    </row>
    <row r="1737" ht="11.25" customHeight="1">
      <c r="A1737" s="21" t="str">
        <f>IFERROR(__xludf.DUMMYFUNCTION("""COMPUTED_VALUE"""),"SMART CARD PRETO NAGRA")</f>
        <v>SMART CARD PRETO NAGRA</v>
      </c>
      <c r="B1737" s="22">
        <f>IFERROR(__xludf.DUMMYFUNCTION("""COMPUTED_VALUE"""),4.1001234E7)</f>
        <v>41001234</v>
      </c>
      <c r="C1737" s="21" t="str">
        <f>IFERROR(__xludf.DUMMYFUNCTION("""COMPUTED_VALUE"""),"246294998604")</f>
        <v>246294998604</v>
      </c>
      <c r="D1737" s="21" t="str">
        <f>IFERROR(__xludf.DUMMYFUNCTION("""COMPUTED_VALUE"""),"DIGITEC TECNOLOGIA DIGITAL E REPRES")</f>
        <v>DIGITEC TECNOLOGIA DIGITAL E REPRES</v>
      </c>
      <c r="E1737" s="21">
        <f>IFERROR(__xludf.DUMMYFUNCTION("""COMPUTED_VALUE"""),145359.0)</f>
        <v>145359</v>
      </c>
      <c r="F1737" s="21" t="str">
        <f>IFERROR(__xludf.DUMMYFUNCTION("""COMPUTED_VALUE"""),"INICIALIZADO")</f>
        <v>INICIALIZADO</v>
      </c>
      <c r="G1737" s="23">
        <f>IFERROR(__xludf.DUMMYFUNCTION("""COMPUTED_VALUE"""),45635.53491898148)</f>
        <v>45635.53492</v>
      </c>
      <c r="H1737" s="24" t="str">
        <f>IFERROR(VLOOKUP(B1737,material!A:D,3,0),"")</f>
        <v>CARD</v>
      </c>
    </row>
    <row r="1738" ht="11.25" customHeight="1">
      <c r="A1738" s="21" t="str">
        <f>IFERROR(__xludf.DUMMYFUNCTION("""COMPUTED_VALUE"""),"SMART CARD PRETO NAGRA")</f>
        <v>SMART CARD PRETO NAGRA</v>
      </c>
      <c r="B1738" s="22">
        <f>IFERROR(__xludf.DUMMYFUNCTION("""COMPUTED_VALUE"""),4.1001234E7)</f>
        <v>41001234</v>
      </c>
      <c r="C1738" s="21" t="str">
        <f>IFERROR(__xludf.DUMMYFUNCTION("""COMPUTED_VALUE"""),"246294190815")</f>
        <v>246294190815</v>
      </c>
      <c r="D1738" s="21" t="str">
        <f>IFERROR(__xludf.DUMMYFUNCTION("""COMPUTED_VALUE"""),"DIGITEC TECNOLOGIA DIGITAL E REPRES")</f>
        <v>DIGITEC TECNOLOGIA DIGITAL E REPRES</v>
      </c>
      <c r="E1738" s="21">
        <f>IFERROR(__xludf.DUMMYFUNCTION("""COMPUTED_VALUE"""),145359.0)</f>
        <v>145359</v>
      </c>
      <c r="F1738" s="21" t="str">
        <f>IFERROR(__xludf.DUMMYFUNCTION("""COMPUTED_VALUE"""),"INICIALIZADO")</f>
        <v>INICIALIZADO</v>
      </c>
      <c r="G1738" s="23">
        <f>IFERROR(__xludf.DUMMYFUNCTION("""COMPUTED_VALUE"""),45635.53491898148)</f>
        <v>45635.53492</v>
      </c>
      <c r="H1738" s="24" t="str">
        <f>IFERROR(VLOOKUP(B1738,material!A:D,3,0),"")</f>
        <v>CARD</v>
      </c>
    </row>
    <row r="1739" ht="11.25" customHeight="1">
      <c r="A1739" s="21" t="str">
        <f>IFERROR(__xludf.DUMMYFUNCTION("""COMPUTED_VALUE"""),"SMART CARD LARANJA NAGRA")</f>
        <v>SMART CARD LARANJA NAGRA</v>
      </c>
      <c r="B1739" s="22">
        <f>IFERROR(__xludf.DUMMYFUNCTION("""COMPUTED_VALUE"""),4.1001186E7)</f>
        <v>41001186</v>
      </c>
      <c r="C1739" s="21" t="str">
        <f>IFERROR(__xludf.DUMMYFUNCTION("""COMPUTED_VALUE"""),"226649122749")</f>
        <v>226649122749</v>
      </c>
      <c r="D1739" s="21" t="str">
        <f>IFERROR(__xludf.DUMMYFUNCTION("""COMPUTED_VALUE"""),"DIGITEC TECNOLOGIA DIGITAL E REPRES")</f>
        <v>DIGITEC TECNOLOGIA DIGITAL E REPRES</v>
      </c>
      <c r="E1739" s="21">
        <f>IFERROR(__xludf.DUMMYFUNCTION("""COMPUTED_VALUE"""),145359.0)</f>
        <v>145359</v>
      </c>
      <c r="F1739" s="21" t="str">
        <f>IFERROR(__xludf.DUMMYFUNCTION("""COMPUTED_VALUE"""),"SUCATA")</f>
        <v>SUCATA</v>
      </c>
      <c r="G1739" s="23">
        <f>IFERROR(__xludf.DUMMYFUNCTION("""COMPUTED_VALUE"""),45075.599120370374)</f>
        <v>45075.59912</v>
      </c>
      <c r="H1739" s="24" t="str">
        <f>IFERROR(VLOOKUP(B1739,material!A:D,3,0),"")</f>
        <v>CARD</v>
      </c>
    </row>
    <row r="1740" ht="11.25" customHeight="1">
      <c r="A1740" s="21" t="str">
        <f>IFERROR(__xludf.DUMMYFUNCTION("""COMPUTED_VALUE"""),"DECODER DIGITAL HD HNB100 2T")</f>
        <v>DECODER DIGITAL HD HNB100 2T</v>
      </c>
      <c r="B1740" s="22">
        <f>IFERROR(__xludf.DUMMYFUNCTION("""COMPUTED_VALUE"""),4.1001276E7)</f>
        <v>41001276</v>
      </c>
      <c r="C1740" s="21" t="str">
        <f>IFERROR(__xludf.DUMMYFUNCTION("""COMPUTED_VALUE"""),"216703432948")</f>
        <v>216703432948</v>
      </c>
      <c r="D1740" s="21" t="str">
        <f>IFERROR(__xludf.DUMMYFUNCTION("""COMPUTED_VALUE"""),"DIGITEC TECNOLOGIA DIGITAL E REPRES")</f>
        <v>DIGITEC TECNOLOGIA DIGITAL E REPRES</v>
      </c>
      <c r="E1740" s="21">
        <f>IFERROR(__xludf.DUMMYFUNCTION("""COMPUTED_VALUE"""),145359.0)</f>
        <v>145359</v>
      </c>
      <c r="F1740" s="21" t="str">
        <f>IFERROR(__xludf.DUMMYFUNCTION("""COMPUTED_VALUE"""),"TRANSITO REVERSA")</f>
        <v>TRANSITO REVERSA</v>
      </c>
      <c r="G1740" s="23">
        <f>IFERROR(__xludf.DUMMYFUNCTION("""COMPUTED_VALUE"""),45633.00341435186)</f>
        <v>45633.00341</v>
      </c>
      <c r="H1740" s="24" t="str">
        <f>IFERROR(VLOOKUP(B1740,material!A:D,3,0),"")</f>
        <v>TOP MIX</v>
      </c>
    </row>
    <row r="1741" ht="11.25" customHeight="1">
      <c r="A1741" s="21" t="str">
        <f>IFERROR(__xludf.DUMMYFUNCTION("""COMPUTED_VALUE"""),"DECODER DIGITAL HD DXC5000 2T")</f>
        <v>DECODER DIGITAL HD DXC5000 2T</v>
      </c>
      <c r="B1741" s="22">
        <f>IFERROR(__xludf.DUMMYFUNCTION("""COMPUTED_VALUE"""),4.1001277E7)</f>
        <v>41001277</v>
      </c>
      <c r="C1741" s="21" t="str">
        <f>IFERROR(__xludf.DUMMYFUNCTION("""COMPUTED_VALUE"""),"216760847080")</f>
        <v>216760847080</v>
      </c>
      <c r="D1741" s="21" t="str">
        <f>IFERROR(__xludf.DUMMYFUNCTION("""COMPUTED_VALUE"""),"DIGITEC TECNOLOGIA DIGITAL E REPRES")</f>
        <v>DIGITEC TECNOLOGIA DIGITAL E REPRES</v>
      </c>
      <c r="E1741" s="21">
        <f>IFERROR(__xludf.DUMMYFUNCTION("""COMPUTED_VALUE"""),145359.0)</f>
        <v>145359</v>
      </c>
      <c r="F1741" s="21" t="str">
        <f>IFERROR(__xludf.DUMMYFUNCTION("""COMPUTED_VALUE"""),"INICIALIZADO")</f>
        <v>INICIALIZADO</v>
      </c>
      <c r="G1741" s="23">
        <f>IFERROR(__xludf.DUMMYFUNCTION("""COMPUTED_VALUE"""),45618.65200231482)</f>
        <v>45618.652</v>
      </c>
      <c r="H1741" s="24" t="str">
        <f>IFERROR(VLOOKUP(B1741,material!A:D,3,0),"")</f>
        <v>TOP MIX</v>
      </c>
    </row>
    <row r="1742" ht="11.25" customHeight="1">
      <c r="A1742" s="21" t="str">
        <f>IFERROR(__xludf.DUMMYFUNCTION("""COMPUTED_VALUE"""),"DECODER DIGITAL HD HNB100 2T")</f>
        <v>DECODER DIGITAL HD HNB100 2T</v>
      </c>
      <c r="B1742" s="22">
        <f>IFERROR(__xludf.DUMMYFUNCTION("""COMPUTED_VALUE"""),4.1001276E7)</f>
        <v>41001276</v>
      </c>
      <c r="C1742" s="21" t="str">
        <f>IFERROR(__xludf.DUMMYFUNCTION("""COMPUTED_VALUE"""),"216395140616")</f>
        <v>216395140616</v>
      </c>
      <c r="D1742" s="21" t="str">
        <f>IFERROR(__xludf.DUMMYFUNCTION("""COMPUTED_VALUE"""),"DIGITEC TECNOLOGIA DIGITAL E REPRES")</f>
        <v>DIGITEC TECNOLOGIA DIGITAL E REPRES</v>
      </c>
      <c r="E1742" s="21">
        <f>IFERROR(__xludf.DUMMYFUNCTION("""COMPUTED_VALUE"""),145359.0)</f>
        <v>145359</v>
      </c>
      <c r="F1742" s="21" t="str">
        <f>IFERROR(__xludf.DUMMYFUNCTION("""COMPUTED_VALUE"""),"INICIALIZADO")</f>
        <v>INICIALIZADO</v>
      </c>
      <c r="G1742" s="23">
        <f>IFERROR(__xludf.DUMMYFUNCTION("""COMPUTED_VALUE"""),45642.52413194445)</f>
        <v>45642.52413</v>
      </c>
      <c r="H1742" s="24" t="str">
        <f>IFERROR(VLOOKUP(B1742,material!A:D,3,0),"")</f>
        <v>TOP MIX</v>
      </c>
    </row>
    <row r="1743" ht="11.25" customHeight="1">
      <c r="A1743" s="21" t="str">
        <f>IFERROR(__xludf.DUMMYFUNCTION("""COMPUTED_VALUE"""),"DECODER DIGITAL HD HNB100 2T")</f>
        <v>DECODER DIGITAL HD HNB100 2T</v>
      </c>
      <c r="B1743" s="22">
        <f>IFERROR(__xludf.DUMMYFUNCTION("""COMPUTED_VALUE"""),4.1001276E7)</f>
        <v>41001276</v>
      </c>
      <c r="C1743" s="21" t="str">
        <f>IFERROR(__xludf.DUMMYFUNCTION("""COMPUTED_VALUE"""),"216703157690")</f>
        <v>216703157690</v>
      </c>
      <c r="D1743" s="21" t="str">
        <f>IFERROR(__xludf.DUMMYFUNCTION("""COMPUTED_VALUE"""),"DIGITEC TECNOLOGIA DIGITAL E REPRES")</f>
        <v>DIGITEC TECNOLOGIA DIGITAL E REPRES</v>
      </c>
      <c r="E1743" s="21">
        <f>IFERROR(__xludf.DUMMYFUNCTION("""COMPUTED_VALUE"""),145359.0)</f>
        <v>145359</v>
      </c>
      <c r="F1743" s="21" t="str">
        <f>IFERROR(__xludf.DUMMYFUNCTION("""COMPUTED_VALUE"""),"INICIALIZADO")</f>
        <v>INICIALIZADO</v>
      </c>
      <c r="G1743" s="23">
        <f>IFERROR(__xludf.DUMMYFUNCTION("""COMPUTED_VALUE"""),45635.53501157407)</f>
        <v>45635.53501</v>
      </c>
      <c r="H1743" s="24" t="str">
        <f>IFERROR(VLOOKUP(B1743,material!A:D,3,0),"")</f>
        <v>TOP MIX</v>
      </c>
    </row>
    <row r="1744" ht="11.25" customHeight="1">
      <c r="A1744" s="21" t="str">
        <f>IFERROR(__xludf.DUMMYFUNCTION("""COMPUTED_VALUE"""),"DECODER DIGITAL HD HNB100 2T")</f>
        <v>DECODER DIGITAL HD HNB100 2T</v>
      </c>
      <c r="B1744" s="22">
        <f>IFERROR(__xludf.DUMMYFUNCTION("""COMPUTED_VALUE"""),4.1001276E7)</f>
        <v>41001276</v>
      </c>
      <c r="C1744" s="21" t="str">
        <f>IFERROR(__xludf.DUMMYFUNCTION("""COMPUTED_VALUE"""),"216697819706")</f>
        <v>216697819706</v>
      </c>
      <c r="D1744" s="21" t="str">
        <f>IFERROR(__xludf.DUMMYFUNCTION("""COMPUTED_VALUE"""),"DIGITEC TECNOLOGIA DIGITAL E REPRES")</f>
        <v>DIGITEC TECNOLOGIA DIGITAL E REPRES</v>
      </c>
      <c r="E1744" s="21">
        <f>IFERROR(__xludf.DUMMYFUNCTION("""COMPUTED_VALUE"""),145359.0)</f>
        <v>145359</v>
      </c>
      <c r="F1744" s="21" t="str">
        <f>IFERROR(__xludf.DUMMYFUNCTION("""COMPUTED_VALUE"""),"INICIALIZADO")</f>
        <v>INICIALIZADO</v>
      </c>
      <c r="G1744" s="23">
        <f>IFERROR(__xludf.DUMMYFUNCTION("""COMPUTED_VALUE"""),45635.53501157407)</f>
        <v>45635.53501</v>
      </c>
      <c r="H1744" s="24" t="str">
        <f>IFERROR(VLOOKUP(B1744,material!A:D,3,0),"")</f>
        <v>TOP MIX</v>
      </c>
    </row>
    <row r="1745" ht="11.25" customHeight="1">
      <c r="A1745" s="21" t="str">
        <f>IFERROR(__xludf.DUMMYFUNCTION("""COMPUTED_VALUE"""),"DECODER DIGITAL HD HNB100 2T")</f>
        <v>DECODER DIGITAL HD HNB100 2T</v>
      </c>
      <c r="B1745" s="22">
        <f>IFERROR(__xludf.DUMMYFUNCTION("""COMPUTED_VALUE"""),4.1001276E7)</f>
        <v>41001276</v>
      </c>
      <c r="C1745" s="21" t="str">
        <f>IFERROR(__xludf.DUMMYFUNCTION("""COMPUTED_VALUE"""),"216627318000")</f>
        <v>216627318000</v>
      </c>
      <c r="D1745" s="21" t="str">
        <f>IFERROR(__xludf.DUMMYFUNCTION("""COMPUTED_VALUE"""),"DIGITEC TECNOLOGIA DIGITAL E REPRES")</f>
        <v>DIGITEC TECNOLOGIA DIGITAL E REPRES</v>
      </c>
      <c r="E1745" s="21">
        <f>IFERROR(__xludf.DUMMYFUNCTION("""COMPUTED_VALUE"""),145359.0)</f>
        <v>145359</v>
      </c>
      <c r="F1745" s="21" t="str">
        <f>IFERROR(__xludf.DUMMYFUNCTION("""COMPUTED_VALUE"""),"INICIALIZADO")</f>
        <v>INICIALIZADO</v>
      </c>
      <c r="G1745" s="23">
        <f>IFERROR(__xludf.DUMMYFUNCTION("""COMPUTED_VALUE"""),45635.53506944445)</f>
        <v>45635.53507</v>
      </c>
      <c r="H1745" s="24" t="str">
        <f>IFERROR(VLOOKUP(B1745,material!A:D,3,0),"")</f>
        <v>TOP MIX</v>
      </c>
    </row>
    <row r="1746" ht="11.25" customHeight="1">
      <c r="A1746" s="21" t="str">
        <f>IFERROR(__xludf.DUMMYFUNCTION("""COMPUTED_VALUE"""),"DECODER DIGITAL HD HNB100 2T")</f>
        <v>DECODER DIGITAL HD HNB100 2T</v>
      </c>
      <c r="B1746" s="22">
        <f>IFERROR(__xludf.DUMMYFUNCTION("""COMPUTED_VALUE"""),4.1001276E7)</f>
        <v>41001276</v>
      </c>
      <c r="C1746" s="21" t="str">
        <f>IFERROR(__xludf.DUMMYFUNCTION("""COMPUTED_VALUE"""),"184269116869")</f>
        <v>184269116869</v>
      </c>
      <c r="D1746" s="21" t="str">
        <f>IFERROR(__xludf.DUMMYFUNCTION("""COMPUTED_VALUE"""),"DIGITEC TECNOLOGIA DIGITAL E REPRES")</f>
        <v>DIGITEC TECNOLOGIA DIGITAL E REPRES</v>
      </c>
      <c r="E1746" s="21">
        <f>IFERROR(__xludf.DUMMYFUNCTION("""COMPUTED_VALUE"""),145359.0)</f>
        <v>145359</v>
      </c>
      <c r="F1746" s="21" t="str">
        <f>IFERROR(__xludf.DUMMYFUNCTION("""COMPUTED_VALUE"""),"INICIALIZADO")</f>
        <v>INICIALIZADO</v>
      </c>
      <c r="G1746" s="23">
        <f>IFERROR(__xludf.DUMMYFUNCTION("""COMPUTED_VALUE"""),45642.52413194445)</f>
        <v>45642.52413</v>
      </c>
      <c r="H1746" s="24" t="str">
        <f>IFERROR(VLOOKUP(B1746,material!A:D,3,0),"")</f>
        <v>TOP MIX</v>
      </c>
    </row>
    <row r="1747" ht="11.25" customHeight="1">
      <c r="A1747" s="21" t="str">
        <f>IFERROR(__xludf.DUMMYFUNCTION("""COMPUTED_VALUE"""),"SMART CARD PRETO NAGRA")</f>
        <v>SMART CARD PRETO NAGRA</v>
      </c>
      <c r="B1747" s="22">
        <f>IFERROR(__xludf.DUMMYFUNCTION("""COMPUTED_VALUE"""),4.1001234E7)</f>
        <v>41001234</v>
      </c>
      <c r="C1747" s="21" t="str">
        <f>IFERROR(__xludf.DUMMYFUNCTION("""COMPUTED_VALUE"""),"246045223453")</f>
        <v>246045223453</v>
      </c>
      <c r="D1747" s="21" t="str">
        <f>IFERROR(__xludf.DUMMYFUNCTION("""COMPUTED_VALUE"""),"DIGITEC TECNOLOGIA DIGITAL E REPRES")</f>
        <v>DIGITEC TECNOLOGIA DIGITAL E REPRES</v>
      </c>
      <c r="E1747" s="21">
        <f>IFERROR(__xludf.DUMMYFUNCTION("""COMPUTED_VALUE"""),145359.0)</f>
        <v>145359</v>
      </c>
      <c r="F1747" s="21" t="str">
        <f>IFERROR(__xludf.DUMMYFUNCTION("""COMPUTED_VALUE"""),"INICIALIZADO")</f>
        <v>INICIALIZADO</v>
      </c>
      <c r="G1747" s="23">
        <f>IFERROR(__xludf.DUMMYFUNCTION("""COMPUTED_VALUE"""),45600.47594907407)</f>
        <v>45600.47595</v>
      </c>
      <c r="H1747" s="24" t="str">
        <f>IFERROR(VLOOKUP(B1747,material!A:D,3,0),"")</f>
        <v>CARD</v>
      </c>
    </row>
    <row r="1748" ht="11.25" customHeight="1">
      <c r="A1748" s="21" t="str">
        <f>IFERROR(__xludf.DUMMYFUNCTION("""COMPUTED_VALUE"""),"SMART CARD PRETO NAGRA")</f>
        <v>SMART CARD PRETO NAGRA</v>
      </c>
      <c r="B1748" s="22">
        <f>IFERROR(__xludf.DUMMYFUNCTION("""COMPUTED_VALUE"""),4.1001234E7)</f>
        <v>41001234</v>
      </c>
      <c r="C1748" s="21" t="str">
        <f>IFERROR(__xludf.DUMMYFUNCTION("""COMPUTED_VALUE"""),"246064802345")</f>
        <v>246064802345</v>
      </c>
      <c r="D1748" s="21" t="str">
        <f>IFERROR(__xludf.DUMMYFUNCTION("""COMPUTED_VALUE"""),"DIGITEC TECNOLOGIA DIGITAL E REPRES")</f>
        <v>DIGITEC TECNOLOGIA DIGITAL E REPRES</v>
      </c>
      <c r="E1748" s="21">
        <f>IFERROR(__xludf.DUMMYFUNCTION("""COMPUTED_VALUE"""),145359.0)</f>
        <v>145359</v>
      </c>
      <c r="F1748" s="21" t="str">
        <f>IFERROR(__xludf.DUMMYFUNCTION("""COMPUTED_VALUE"""),"INICIALIZADO")</f>
        <v>INICIALIZADO</v>
      </c>
      <c r="G1748" s="23">
        <f>IFERROR(__xludf.DUMMYFUNCTION("""COMPUTED_VALUE"""),45600.47596064815)</f>
        <v>45600.47596</v>
      </c>
      <c r="H1748" s="24" t="str">
        <f>IFERROR(VLOOKUP(B1748,material!A:D,3,0),"")</f>
        <v>CARD</v>
      </c>
    </row>
    <row r="1749" ht="11.25" customHeight="1">
      <c r="A1749" s="21" t="str">
        <f>IFERROR(__xludf.DUMMYFUNCTION("""COMPUTED_VALUE"""),"SMART CARD PRETO NAGRA")</f>
        <v>SMART CARD PRETO NAGRA</v>
      </c>
      <c r="B1749" s="22">
        <f>IFERROR(__xludf.DUMMYFUNCTION("""COMPUTED_VALUE"""),4.1001234E7)</f>
        <v>41001234</v>
      </c>
      <c r="C1749" s="21" t="str">
        <f>IFERROR(__xludf.DUMMYFUNCTION("""COMPUTED_VALUE"""),"246071447493")</f>
        <v>246071447493</v>
      </c>
      <c r="D1749" s="21" t="str">
        <f>IFERROR(__xludf.DUMMYFUNCTION("""COMPUTED_VALUE"""),"DIGITEC TECNOLOGIA DIGITAL E REPRES")</f>
        <v>DIGITEC TECNOLOGIA DIGITAL E REPRES</v>
      </c>
      <c r="E1749" s="21">
        <f>IFERROR(__xludf.DUMMYFUNCTION("""COMPUTED_VALUE"""),145359.0)</f>
        <v>145359</v>
      </c>
      <c r="F1749" s="21" t="str">
        <f>IFERROR(__xludf.DUMMYFUNCTION("""COMPUTED_VALUE"""),"INICIALIZADO")</f>
        <v>INICIALIZADO</v>
      </c>
      <c r="G1749" s="23">
        <f>IFERROR(__xludf.DUMMYFUNCTION("""COMPUTED_VALUE"""),45594.64796296296)</f>
        <v>45594.64796</v>
      </c>
      <c r="H1749" s="24" t="str">
        <f>IFERROR(VLOOKUP(B1749,material!A:D,3,0),"")</f>
        <v>CARD</v>
      </c>
    </row>
    <row r="1750" ht="11.25" customHeight="1">
      <c r="A1750" s="21" t="str">
        <f>IFERROR(__xludf.DUMMYFUNCTION("""COMPUTED_VALUE"""),"SMART CARD PRETO NAGRA")</f>
        <v>SMART CARD PRETO NAGRA</v>
      </c>
      <c r="B1750" s="22">
        <f>IFERROR(__xludf.DUMMYFUNCTION("""COMPUTED_VALUE"""),4.1001234E7)</f>
        <v>41001234</v>
      </c>
      <c r="C1750" s="21" t="str">
        <f>IFERROR(__xludf.DUMMYFUNCTION("""COMPUTED_VALUE"""),"226263273139")</f>
        <v>226263273139</v>
      </c>
      <c r="D1750" s="21" t="str">
        <f>IFERROR(__xludf.DUMMYFUNCTION("""COMPUTED_VALUE"""),"DIGITEC TECNOLOGIA DIGITAL E REPRES")</f>
        <v>DIGITEC TECNOLOGIA DIGITAL E REPRES</v>
      </c>
      <c r="E1750" s="21">
        <f>IFERROR(__xludf.DUMMYFUNCTION("""COMPUTED_VALUE"""),145359.0)</f>
        <v>145359</v>
      </c>
      <c r="F1750" s="21" t="str">
        <f>IFERROR(__xludf.DUMMYFUNCTION("""COMPUTED_VALUE"""),"INICIALIZADO")</f>
        <v>INICIALIZADO</v>
      </c>
      <c r="G1750" s="23">
        <f>IFERROR(__xludf.DUMMYFUNCTION("""COMPUTED_VALUE"""),45594.64796296296)</f>
        <v>45594.64796</v>
      </c>
      <c r="H1750" s="24" t="str">
        <f>IFERROR(VLOOKUP(B1750,material!A:D,3,0),"")</f>
        <v>CARD</v>
      </c>
    </row>
    <row r="1751" ht="11.25" customHeight="1">
      <c r="A1751" s="21" t="str">
        <f>IFERROR(__xludf.DUMMYFUNCTION("""COMPUTED_VALUE"""),"SMART CARD PRETO NAGRA")</f>
        <v>SMART CARD PRETO NAGRA</v>
      </c>
      <c r="B1751" s="22">
        <f>IFERROR(__xludf.DUMMYFUNCTION("""COMPUTED_VALUE"""),4.1001234E7)</f>
        <v>41001234</v>
      </c>
      <c r="C1751" s="21" t="str">
        <f>IFERROR(__xludf.DUMMYFUNCTION("""COMPUTED_VALUE"""),"246284862744")</f>
        <v>246284862744</v>
      </c>
      <c r="D1751" s="21" t="str">
        <f>IFERROR(__xludf.DUMMYFUNCTION("""COMPUTED_VALUE"""),"DIGITEC TECNOLOGIA DIGITAL E REPRES")</f>
        <v>DIGITEC TECNOLOGIA DIGITAL E REPRES</v>
      </c>
      <c r="E1751" s="21">
        <f>IFERROR(__xludf.DUMMYFUNCTION("""COMPUTED_VALUE"""),145359.0)</f>
        <v>145359</v>
      </c>
      <c r="F1751" s="21" t="str">
        <f>IFERROR(__xludf.DUMMYFUNCTION("""COMPUTED_VALUE"""),"INICIALIZADO")</f>
        <v>INICIALIZADO</v>
      </c>
      <c r="G1751" s="23">
        <f>IFERROR(__xludf.DUMMYFUNCTION("""COMPUTED_VALUE"""),45600.47596064815)</f>
        <v>45600.47596</v>
      </c>
      <c r="H1751" s="24" t="str">
        <f>IFERROR(VLOOKUP(B1751,material!A:D,3,0),"")</f>
        <v>CARD</v>
      </c>
    </row>
    <row r="1752" ht="11.25" customHeight="1">
      <c r="A1752" s="21" t="str">
        <f>IFERROR(__xludf.DUMMYFUNCTION("""COMPUTED_VALUE"""),"SMART CARD PRETO NAGRA")</f>
        <v>SMART CARD PRETO NAGRA</v>
      </c>
      <c r="B1752" s="22">
        <f>IFERROR(__xludf.DUMMYFUNCTION("""COMPUTED_VALUE"""),4.1001234E7)</f>
        <v>41001234</v>
      </c>
      <c r="C1752" s="21" t="str">
        <f>IFERROR(__xludf.DUMMYFUNCTION("""COMPUTED_VALUE"""),"246109989504")</f>
        <v>246109989504</v>
      </c>
      <c r="D1752" s="21" t="str">
        <f>IFERROR(__xludf.DUMMYFUNCTION("""COMPUTED_VALUE"""),"DIGITEC TECNOLOGIA DIGITAL E REPRES")</f>
        <v>DIGITEC TECNOLOGIA DIGITAL E REPRES</v>
      </c>
      <c r="E1752" s="21">
        <f>IFERROR(__xludf.DUMMYFUNCTION("""COMPUTED_VALUE"""),145359.0)</f>
        <v>145359</v>
      </c>
      <c r="F1752" s="21" t="str">
        <f>IFERROR(__xludf.DUMMYFUNCTION("""COMPUTED_VALUE"""),"INICIALIZADO")</f>
        <v>INICIALIZADO</v>
      </c>
      <c r="G1752" s="23">
        <f>IFERROR(__xludf.DUMMYFUNCTION("""COMPUTED_VALUE"""),45600.47594907407)</f>
        <v>45600.47595</v>
      </c>
      <c r="H1752" s="24" t="str">
        <f>IFERROR(VLOOKUP(B1752,material!A:D,3,0),"")</f>
        <v>CARD</v>
      </c>
    </row>
    <row r="1753" ht="11.25" customHeight="1">
      <c r="A1753" s="21" t="str">
        <f>IFERROR(__xludf.DUMMYFUNCTION("""COMPUTED_VALUE"""),"SMART CARD PRETO NAGRA")</f>
        <v>SMART CARD PRETO NAGRA</v>
      </c>
      <c r="B1753" s="22">
        <f>IFERROR(__xludf.DUMMYFUNCTION("""COMPUTED_VALUE"""),4.1001234E7)</f>
        <v>41001234</v>
      </c>
      <c r="C1753" s="21" t="str">
        <f>IFERROR(__xludf.DUMMYFUNCTION("""COMPUTED_VALUE"""),"226184638696")</f>
        <v>226184638696</v>
      </c>
      <c r="D1753" s="21" t="str">
        <f>IFERROR(__xludf.DUMMYFUNCTION("""COMPUTED_VALUE"""),"DIGITEC TECNOLOGIA DIGITAL E REPRES")</f>
        <v>DIGITEC TECNOLOGIA DIGITAL E REPRES</v>
      </c>
      <c r="E1753" s="21">
        <f>IFERROR(__xludf.DUMMYFUNCTION("""COMPUTED_VALUE"""),145359.0)</f>
        <v>145359</v>
      </c>
      <c r="F1753" s="21" t="str">
        <f>IFERROR(__xludf.DUMMYFUNCTION("""COMPUTED_VALUE"""),"INICIALIZADO")</f>
        <v>INICIALIZADO</v>
      </c>
      <c r="G1753" s="23">
        <f>IFERROR(__xludf.DUMMYFUNCTION("""COMPUTED_VALUE"""),45600.47594907407)</f>
        <v>45600.47595</v>
      </c>
      <c r="H1753" s="24" t="str">
        <f>IFERROR(VLOOKUP(B1753,material!A:D,3,0),"")</f>
        <v>CARD</v>
      </c>
    </row>
    <row r="1754" ht="11.25" customHeight="1">
      <c r="A1754" s="21" t="str">
        <f>IFERROR(__xludf.DUMMYFUNCTION("""COMPUTED_VALUE"""),"SMART CARD PRETO NAGRA")</f>
        <v>SMART CARD PRETO NAGRA</v>
      </c>
      <c r="B1754" s="22">
        <f>IFERROR(__xludf.DUMMYFUNCTION("""COMPUTED_VALUE"""),4.1001234E7)</f>
        <v>41001234</v>
      </c>
      <c r="C1754" s="21" t="str">
        <f>IFERROR(__xludf.DUMMYFUNCTION("""COMPUTED_VALUE"""),"226266557286")</f>
        <v>226266557286</v>
      </c>
      <c r="D1754" s="21" t="str">
        <f>IFERROR(__xludf.DUMMYFUNCTION("""COMPUTED_VALUE"""),"DIGITEC TECNOLOGIA DIGITAL E REPRES")</f>
        <v>DIGITEC TECNOLOGIA DIGITAL E REPRES</v>
      </c>
      <c r="E1754" s="21">
        <f>IFERROR(__xludf.DUMMYFUNCTION("""COMPUTED_VALUE"""),145359.0)</f>
        <v>145359</v>
      </c>
      <c r="F1754" s="21" t="str">
        <f>IFERROR(__xludf.DUMMYFUNCTION("""COMPUTED_VALUE"""),"INICIALIZADO")</f>
        <v>INICIALIZADO</v>
      </c>
      <c r="G1754" s="23">
        <f>IFERROR(__xludf.DUMMYFUNCTION("""COMPUTED_VALUE"""),45600.47594907407)</f>
        <v>45600.47595</v>
      </c>
      <c r="H1754" s="24" t="str">
        <f>IFERROR(VLOOKUP(B1754,material!A:D,3,0),"")</f>
        <v>CARD</v>
      </c>
    </row>
    <row r="1755" ht="11.25" customHeight="1">
      <c r="A1755" s="21" t="str">
        <f>IFERROR(__xludf.DUMMYFUNCTION("""COMPUTED_VALUE"""),"PACE - DCR HIGH DEFINITION")</f>
        <v>PACE - DCR HIGH DEFINITION</v>
      </c>
      <c r="B1755" s="22">
        <f>IFERROR(__xludf.DUMMYFUNCTION("""COMPUTED_VALUE"""),4.1001272E7)</f>
        <v>41001272</v>
      </c>
      <c r="C1755" s="21" t="str">
        <f>IFERROR(__xludf.DUMMYFUNCTION("""COMPUTED_VALUE"""),"172393571117")</f>
        <v>172393571117</v>
      </c>
      <c r="D1755" s="21" t="str">
        <f>IFERROR(__xludf.DUMMYFUNCTION("""COMPUTED_VALUE"""),"DIGITEC TECNOLOGIA DIGITAL E REPRES")</f>
        <v>DIGITEC TECNOLOGIA DIGITAL E REPRES</v>
      </c>
      <c r="E1755" s="21">
        <f>IFERROR(__xludf.DUMMYFUNCTION("""COMPUTED_VALUE"""),145359.0)</f>
        <v>145359</v>
      </c>
      <c r="F1755" s="21" t="str">
        <f>IFERROR(__xludf.DUMMYFUNCTION("""COMPUTED_VALUE"""),"ANALISE DE INVENTARIO")</f>
        <v>ANALISE DE INVENTARIO</v>
      </c>
      <c r="G1755" s="23">
        <f>IFERROR(__xludf.DUMMYFUNCTION("""COMPUTED_VALUE"""),45517.834490740745)</f>
        <v>45517.83449</v>
      </c>
      <c r="H1755" s="24" t="str">
        <f>IFERROR(VLOOKUP(B1755,material!A:D,3,0),"")</f>
        <v>LEGADO</v>
      </c>
    </row>
    <row r="1756" ht="11.25" customHeight="1">
      <c r="A1756" s="21" t="str">
        <f>IFERROR(__xludf.DUMMYFUNCTION("""COMPUTED_VALUE"""),"TECHNICOLOR TC7337NET")</f>
        <v>TECHNICOLOR TC7337NET</v>
      </c>
      <c r="B1756" s="22">
        <f>IFERROR(__xludf.DUMMYFUNCTION("""COMPUTED_VALUE"""),4.1001294E7)</f>
        <v>41001294</v>
      </c>
      <c r="C1756" s="21" t="str">
        <f>IFERROR(__xludf.DUMMYFUNCTION("""COMPUTED_VALUE"""),"B42A0E197311")</f>
        <v>B42A0E197311</v>
      </c>
      <c r="D1756" s="21" t="str">
        <f>IFERROR(__xludf.DUMMYFUNCTION("""COMPUTED_VALUE"""),"DIGITEC TECNOLOGIA DIGITAL E REPRES")</f>
        <v>DIGITEC TECNOLOGIA DIGITAL E REPRES</v>
      </c>
      <c r="E1756" s="21">
        <f>IFERROR(__xludf.DUMMYFUNCTION("""COMPUTED_VALUE"""),145359.0)</f>
        <v>145359</v>
      </c>
      <c r="F1756" s="21" t="str">
        <f>IFERROR(__xludf.DUMMYFUNCTION("""COMPUTED_VALUE"""),"TRANSITO REVERSA")</f>
        <v>TRANSITO REVERSA</v>
      </c>
      <c r="G1756" s="23">
        <f>IFERROR(__xludf.DUMMYFUNCTION("""COMPUTED_VALUE"""),45633.0033912037)</f>
        <v>45633.00339</v>
      </c>
      <c r="H1756" s="24" t="str">
        <f>IFERROR(VLOOKUP(B1756,material!A:D,3,0),"")</f>
        <v>DUAL</v>
      </c>
    </row>
    <row r="1757" ht="11.25" customHeight="1">
      <c r="A1757" s="21" t="str">
        <f>IFERROR(__xludf.DUMMYFUNCTION("""COMPUTED_VALUE"""),"ARRIS TG1692A")</f>
        <v>ARRIS TG1692A</v>
      </c>
      <c r="B1757" s="22">
        <f>IFERROR(__xludf.DUMMYFUNCTION("""COMPUTED_VALUE"""),4.1001293E7)</f>
        <v>41001293</v>
      </c>
      <c r="C1757" s="21" t="str">
        <f>IFERROR(__xludf.DUMMYFUNCTION("""COMPUTED_VALUE"""),"B0DAF9624BB3")</f>
        <v>B0DAF9624BB3</v>
      </c>
      <c r="D1757" s="21" t="str">
        <f>IFERROR(__xludf.DUMMYFUNCTION("""COMPUTED_VALUE"""),"DIGITEC TECNOLOGIA DIGITAL E REPRES")</f>
        <v>DIGITEC TECNOLOGIA DIGITAL E REPRES</v>
      </c>
      <c r="E1757" s="21">
        <f>IFERROR(__xludf.DUMMYFUNCTION("""COMPUTED_VALUE"""),145359.0)</f>
        <v>145359</v>
      </c>
      <c r="F1757" s="21" t="str">
        <f>IFERROR(__xludf.DUMMYFUNCTION("""COMPUTED_VALUE"""),"TRANSITO REVERSA")</f>
        <v>TRANSITO REVERSA</v>
      </c>
      <c r="G1757" s="23">
        <f>IFERROR(__xludf.DUMMYFUNCTION("""COMPUTED_VALUE"""),45626.2987037037)</f>
        <v>45626.2987</v>
      </c>
      <c r="H1757" s="24" t="str">
        <f>IFERROR(VLOOKUP(B1757,material!A:D,3,0),"")</f>
        <v>DUAL</v>
      </c>
    </row>
    <row r="1758" ht="11.25" customHeight="1">
      <c r="A1758" s="21" t="str">
        <f>IFERROR(__xludf.DUMMYFUNCTION("""COMPUTED_VALUE"""),"HUMAX HGB10R-02")</f>
        <v>HUMAX HGB10R-02</v>
      </c>
      <c r="B1758" s="22">
        <f>IFERROR(__xludf.DUMMYFUNCTION("""COMPUTED_VALUE"""),4.1001292E7)</f>
        <v>41001292</v>
      </c>
      <c r="C1758" s="21" t="str">
        <f>IFERROR(__xludf.DUMMYFUNCTION("""COMPUTED_VALUE"""),"90F3055C3D38")</f>
        <v>90F3055C3D38</v>
      </c>
      <c r="D1758" s="21" t="str">
        <f>IFERROR(__xludf.DUMMYFUNCTION("""COMPUTED_VALUE"""),"DIGITEC TECNOLOGIA DIGITAL E REPRES")</f>
        <v>DIGITEC TECNOLOGIA DIGITAL E REPRES</v>
      </c>
      <c r="E1758" s="21">
        <f>IFERROR(__xludf.DUMMYFUNCTION("""COMPUTED_VALUE"""),145359.0)</f>
        <v>145359</v>
      </c>
      <c r="F1758" s="21" t="str">
        <f>IFERROR(__xludf.DUMMYFUNCTION("""COMPUTED_VALUE"""),"TRANSITO REVERSA")</f>
        <v>TRANSITO REVERSA</v>
      </c>
      <c r="G1758" s="23">
        <f>IFERROR(__xludf.DUMMYFUNCTION("""COMPUTED_VALUE"""),45617.87140046296)</f>
        <v>45617.8714</v>
      </c>
      <c r="H1758" s="24" t="str">
        <f>IFERROR(VLOOKUP(B1758,material!A:D,3,0),"")</f>
        <v>DUAL</v>
      </c>
    </row>
    <row r="1759" ht="11.25" customHeight="1">
      <c r="A1759" s="21" t="str">
        <f>IFERROR(__xludf.DUMMYFUNCTION("""COMPUTED_VALUE"""),"DECODER DIGITAL HD DXC5000 2T")</f>
        <v>DECODER DIGITAL HD DXC5000 2T</v>
      </c>
      <c r="B1759" s="22">
        <f>IFERROR(__xludf.DUMMYFUNCTION("""COMPUTED_VALUE"""),4.1001277E7)</f>
        <v>41001277</v>
      </c>
      <c r="C1759" s="21" t="str">
        <f>IFERROR(__xludf.DUMMYFUNCTION("""COMPUTED_VALUE"""),"216716883441")</f>
        <v>216716883441</v>
      </c>
      <c r="D1759" s="21" t="str">
        <f>IFERROR(__xludf.DUMMYFUNCTION("""COMPUTED_VALUE"""),"DIGITEC TECNOLOGIA DIGITAL E REPRES")</f>
        <v>DIGITEC TECNOLOGIA DIGITAL E REPRES</v>
      </c>
      <c r="E1759" s="21">
        <f>IFERROR(__xludf.DUMMYFUNCTION("""COMPUTED_VALUE"""),145359.0)</f>
        <v>145359</v>
      </c>
      <c r="F1759" s="21" t="str">
        <f>IFERROR(__xludf.DUMMYFUNCTION("""COMPUTED_VALUE"""),"TRANSITO REVERSA")</f>
        <v>TRANSITO REVERSA</v>
      </c>
      <c r="G1759" s="23">
        <f>IFERROR(__xludf.DUMMYFUNCTION("""COMPUTED_VALUE"""),45610.730416666665)</f>
        <v>45610.73042</v>
      </c>
      <c r="H1759" s="24" t="str">
        <f>IFERROR(VLOOKUP(B1759,material!A:D,3,0),"")</f>
        <v>TOP MIX</v>
      </c>
    </row>
    <row r="1760" ht="11.25" customHeight="1">
      <c r="A1760" s="21" t="str">
        <f>IFERROR(__xludf.DUMMYFUNCTION("""COMPUTED_VALUE"""),"DECODER DIGITAL HD HNB100 2T")</f>
        <v>DECODER DIGITAL HD HNB100 2T</v>
      </c>
      <c r="B1760" s="22">
        <f>IFERROR(__xludf.DUMMYFUNCTION("""COMPUTED_VALUE"""),4.1001276E7)</f>
        <v>41001276</v>
      </c>
      <c r="C1760" s="21" t="str">
        <f>IFERROR(__xludf.DUMMYFUNCTION("""COMPUTED_VALUE"""),"216638920210")</f>
        <v>216638920210</v>
      </c>
      <c r="D1760" s="21" t="str">
        <f>IFERROR(__xludf.DUMMYFUNCTION("""COMPUTED_VALUE"""),"DIGITEC TECNOLOGIA DIGITAL E REPRES")</f>
        <v>DIGITEC TECNOLOGIA DIGITAL E REPRES</v>
      </c>
      <c r="E1760" s="21">
        <f>IFERROR(__xludf.DUMMYFUNCTION("""COMPUTED_VALUE"""),145359.0)</f>
        <v>145359</v>
      </c>
      <c r="F1760" s="21" t="str">
        <f>IFERROR(__xludf.DUMMYFUNCTION("""COMPUTED_VALUE"""),"TRANSITO REVERSA")</f>
        <v>TRANSITO REVERSA</v>
      </c>
      <c r="G1760" s="23">
        <f>IFERROR(__xludf.DUMMYFUNCTION("""COMPUTED_VALUE"""),45633.00396990741)</f>
        <v>45633.00397</v>
      </c>
      <c r="H1760" s="24" t="str">
        <f>IFERROR(VLOOKUP(B1760,material!A:D,3,0),"")</f>
        <v>TOP MIX</v>
      </c>
    </row>
    <row r="1761" ht="11.25" customHeight="1">
      <c r="A1761" s="21" t="str">
        <f>IFERROR(__xludf.DUMMYFUNCTION("""COMPUTED_VALUE"""),"SMART CARD PRETO NAGRA")</f>
        <v>SMART CARD PRETO NAGRA</v>
      </c>
      <c r="B1761" s="22">
        <f>IFERROR(__xludf.DUMMYFUNCTION("""COMPUTED_VALUE"""),4.1001234E7)</f>
        <v>41001234</v>
      </c>
      <c r="C1761" s="21" t="str">
        <f>IFERROR(__xludf.DUMMYFUNCTION("""COMPUTED_VALUE"""),"246171909307")</f>
        <v>246171909307</v>
      </c>
      <c r="D1761" s="21" t="str">
        <f>IFERROR(__xludf.DUMMYFUNCTION("""COMPUTED_VALUE"""),"DIGITEC TECNOLOGIA DIGITAL E REPRES")</f>
        <v>DIGITEC TECNOLOGIA DIGITAL E REPRES</v>
      </c>
      <c r="E1761" s="21">
        <f>IFERROR(__xludf.DUMMYFUNCTION("""COMPUTED_VALUE"""),145359.0)</f>
        <v>145359</v>
      </c>
      <c r="F1761" s="21" t="str">
        <f>IFERROR(__xludf.DUMMYFUNCTION("""COMPUTED_VALUE"""),"TRANSITO REVERSA")</f>
        <v>TRANSITO REVERSA</v>
      </c>
      <c r="G1761" s="23">
        <f>IFERROR(__xludf.DUMMYFUNCTION("""COMPUTED_VALUE"""),45617.87137731482)</f>
        <v>45617.87138</v>
      </c>
      <c r="H1761" s="24" t="str">
        <f>IFERROR(VLOOKUP(B1761,material!A:D,3,0),"")</f>
        <v>CARD</v>
      </c>
    </row>
    <row r="1762" ht="11.25" customHeight="1">
      <c r="A1762" s="21" t="str">
        <f>IFERROR(__xludf.DUMMYFUNCTION("""COMPUTED_VALUE"""),"SMART CARD PRETO NAGRA")</f>
        <v>SMART CARD PRETO NAGRA</v>
      </c>
      <c r="B1762" s="22">
        <f>IFERROR(__xludf.DUMMYFUNCTION("""COMPUTED_VALUE"""),4.1001234E7)</f>
        <v>41001234</v>
      </c>
      <c r="C1762" s="21" t="str">
        <f>IFERROR(__xludf.DUMMYFUNCTION("""COMPUTED_VALUE"""),"246143698204")</f>
        <v>246143698204</v>
      </c>
      <c r="D1762" s="21" t="str">
        <f>IFERROR(__xludf.DUMMYFUNCTION("""COMPUTED_VALUE"""),"DIGITEC TECNOLOGIA DIGITAL E REPRES")</f>
        <v>DIGITEC TECNOLOGIA DIGITAL E REPRES</v>
      </c>
      <c r="E1762" s="21">
        <f>IFERROR(__xludf.DUMMYFUNCTION("""COMPUTED_VALUE"""),145359.0)</f>
        <v>145359</v>
      </c>
      <c r="F1762" s="21" t="str">
        <f>IFERROR(__xludf.DUMMYFUNCTION("""COMPUTED_VALUE"""),"TRANSITO REVERSA")</f>
        <v>TRANSITO REVERSA</v>
      </c>
      <c r="G1762" s="23">
        <f>IFERROR(__xludf.DUMMYFUNCTION("""COMPUTED_VALUE"""),45617.87138888889)</f>
        <v>45617.87139</v>
      </c>
      <c r="H1762" s="24" t="str">
        <f>IFERROR(VLOOKUP(B1762,material!A:D,3,0),"")</f>
        <v>CARD</v>
      </c>
    </row>
    <row r="1763" ht="11.25" customHeight="1">
      <c r="A1763" s="21" t="str">
        <f>IFERROR(__xludf.DUMMYFUNCTION("""COMPUTED_VALUE"""),"SMART CARD PRETO NAGRA")</f>
        <v>SMART CARD PRETO NAGRA</v>
      </c>
      <c r="B1763" s="22">
        <f>IFERROR(__xludf.DUMMYFUNCTION("""COMPUTED_VALUE"""),4.1001234E7)</f>
        <v>41001234</v>
      </c>
      <c r="C1763" s="21" t="str">
        <f>IFERROR(__xludf.DUMMYFUNCTION("""COMPUTED_VALUE"""),"226241693547")</f>
        <v>226241693547</v>
      </c>
      <c r="D1763" s="21" t="str">
        <f>IFERROR(__xludf.DUMMYFUNCTION("""COMPUTED_VALUE"""),"DIGITEC TECNOLOGIA DIGITAL E REPRES")</f>
        <v>DIGITEC TECNOLOGIA DIGITAL E REPRES</v>
      </c>
      <c r="E1763" s="21">
        <f>IFERROR(__xludf.DUMMYFUNCTION("""COMPUTED_VALUE"""),145359.0)</f>
        <v>145359</v>
      </c>
      <c r="F1763" s="21" t="str">
        <f>IFERROR(__xludf.DUMMYFUNCTION("""COMPUTED_VALUE"""),"TRANSITO REVERSA")</f>
        <v>TRANSITO REVERSA</v>
      </c>
      <c r="G1763" s="23">
        <f>IFERROR(__xludf.DUMMYFUNCTION("""COMPUTED_VALUE"""),45633.003958333335)</f>
        <v>45633.00396</v>
      </c>
      <c r="H1763" s="24" t="str">
        <f>IFERROR(VLOOKUP(B1763,material!A:D,3,0),"")</f>
        <v>CARD</v>
      </c>
    </row>
    <row r="1764" ht="11.25" customHeight="1">
      <c r="A1764" s="21" t="str">
        <f>IFERROR(__xludf.DUMMYFUNCTION("""COMPUTED_VALUE"""),"SMART CARD PRETO NAGRA")</f>
        <v>SMART CARD PRETO NAGRA</v>
      </c>
      <c r="B1764" s="22">
        <f>IFERROR(__xludf.DUMMYFUNCTION("""COMPUTED_VALUE"""),4.1001234E7)</f>
        <v>41001234</v>
      </c>
      <c r="C1764" s="21" t="str">
        <f>IFERROR(__xludf.DUMMYFUNCTION("""COMPUTED_VALUE"""),"246024909102")</f>
        <v>246024909102</v>
      </c>
      <c r="D1764" s="21" t="str">
        <f>IFERROR(__xludf.DUMMYFUNCTION("""COMPUTED_VALUE"""),"DIGITEC TECNOLOGIA DIGITAL E REPRES")</f>
        <v>DIGITEC TECNOLOGIA DIGITAL E REPRES</v>
      </c>
      <c r="E1764" s="21">
        <f>IFERROR(__xludf.DUMMYFUNCTION("""COMPUTED_VALUE"""),145359.0)</f>
        <v>145359</v>
      </c>
      <c r="F1764" s="21" t="str">
        <f>IFERROR(__xludf.DUMMYFUNCTION("""COMPUTED_VALUE"""),"TRANSITO REVERSA")</f>
        <v>TRANSITO REVERSA</v>
      </c>
      <c r="G1764" s="23">
        <f>IFERROR(__xludf.DUMMYFUNCTION("""COMPUTED_VALUE"""),45633.00396990741)</f>
        <v>45633.00397</v>
      </c>
      <c r="H1764" s="24" t="str">
        <f>IFERROR(VLOOKUP(B1764,material!A:D,3,0),"")</f>
        <v>CARD</v>
      </c>
    </row>
    <row r="1765" ht="11.25" customHeight="1">
      <c r="A1765" s="21" t="str">
        <f>IFERROR(__xludf.DUMMYFUNCTION("""COMPUTED_VALUE"""),"PACE - HIGH DEFINITION DCR7411")</f>
        <v>PACE - HIGH DEFINITION DCR7411</v>
      </c>
      <c r="B1765" s="22">
        <f>IFERROR(__xludf.DUMMYFUNCTION("""COMPUTED_VALUE"""),4.1001216E7)</f>
        <v>41001216</v>
      </c>
      <c r="C1765" s="21" t="str">
        <f>IFERROR(__xludf.DUMMYFUNCTION("""COMPUTED_VALUE"""),"177208319920")</f>
        <v>177208319920</v>
      </c>
      <c r="D1765" s="21" t="str">
        <f>IFERROR(__xludf.DUMMYFUNCTION("""COMPUTED_VALUE"""),"DIGITEC TECNOLOGIA DIGITAL E REPRES")</f>
        <v>DIGITEC TECNOLOGIA DIGITAL E REPRES</v>
      </c>
      <c r="E1765" s="21">
        <f>IFERROR(__xludf.DUMMYFUNCTION("""COMPUTED_VALUE"""),145359.0)</f>
        <v>145359</v>
      </c>
      <c r="F1765" s="21" t="str">
        <f>IFERROR(__xludf.DUMMYFUNCTION("""COMPUTED_VALUE"""),"TRANSITO REVERSA")</f>
        <v>TRANSITO REVERSA</v>
      </c>
      <c r="G1765" s="23">
        <f>IFERROR(__xludf.DUMMYFUNCTION("""COMPUTED_VALUE"""),45638.52111111111)</f>
        <v>45638.52111</v>
      </c>
      <c r="H1765" s="24" t="str">
        <f>IFERROR(VLOOKUP(B1765,material!A:D,3,0),"")</f>
        <v>LEGADO</v>
      </c>
    </row>
    <row r="1766" ht="11.25" customHeight="1">
      <c r="A1766" s="21" t="str">
        <f>IFERROR(__xludf.DUMMYFUNCTION("""COMPUTED_VALUE"""),"SMART CARD LARANJA NAGRA")</f>
        <v>SMART CARD LARANJA NAGRA</v>
      </c>
      <c r="B1766" s="22">
        <f>IFERROR(__xludf.DUMMYFUNCTION("""COMPUTED_VALUE"""),4.1001186E7)</f>
        <v>41001186</v>
      </c>
      <c r="C1766" s="21" t="str">
        <f>IFERROR(__xludf.DUMMYFUNCTION("""COMPUTED_VALUE"""),"215931571031")</f>
        <v>215931571031</v>
      </c>
      <c r="D1766" s="21" t="str">
        <f>IFERROR(__xludf.DUMMYFUNCTION("""COMPUTED_VALUE"""),"DIGITEC TECNOLOGIA DIGITAL E REPRES")</f>
        <v>DIGITEC TECNOLOGIA DIGITAL E REPRES</v>
      </c>
      <c r="E1766" s="21">
        <f>IFERROR(__xludf.DUMMYFUNCTION("""COMPUTED_VALUE"""),145359.0)</f>
        <v>145359</v>
      </c>
      <c r="F1766" s="21" t="str">
        <f>IFERROR(__xludf.DUMMYFUNCTION("""COMPUTED_VALUE"""),"TRANSITO REVERSA")</f>
        <v>TRANSITO REVERSA</v>
      </c>
      <c r="G1766" s="23">
        <f>IFERROR(__xludf.DUMMYFUNCTION("""COMPUTED_VALUE"""),45638.52059027778)</f>
        <v>45638.52059</v>
      </c>
      <c r="H1766" s="24" t="str">
        <f>IFERROR(VLOOKUP(B1766,material!A:D,3,0),"")</f>
        <v>CARD</v>
      </c>
    </row>
    <row r="1767" ht="11.25" customHeight="1">
      <c r="A1767" s="21" t="str">
        <f>IFERROR(__xludf.DUMMYFUNCTION("""COMPUTED_VALUE"""),"PACE - DCR HIGH DEFINITION")</f>
        <v>PACE - DCR HIGH DEFINITION</v>
      </c>
      <c r="B1767" s="22">
        <f>IFERROR(__xludf.DUMMYFUNCTION("""COMPUTED_VALUE"""),4.1001272E7)</f>
        <v>41001272</v>
      </c>
      <c r="C1767" s="21" t="str">
        <f>IFERROR(__xludf.DUMMYFUNCTION("""COMPUTED_VALUE"""),"172482742143")</f>
        <v>172482742143</v>
      </c>
      <c r="D1767" s="21" t="str">
        <f>IFERROR(__xludf.DUMMYFUNCTION("""COMPUTED_VALUE"""),"DIGITEC TECNOLOGIA DIGITAL E REPRES")</f>
        <v>DIGITEC TECNOLOGIA DIGITAL E REPRES</v>
      </c>
      <c r="E1767" s="21">
        <f>IFERROR(__xludf.DUMMYFUNCTION("""COMPUTED_VALUE"""),145359.0)</f>
        <v>145359</v>
      </c>
      <c r="F1767" s="21" t="str">
        <f>IFERROR(__xludf.DUMMYFUNCTION("""COMPUTED_VALUE"""),"TRANSITO REVERSA")</f>
        <v>TRANSITO REVERSA</v>
      </c>
      <c r="G1767" s="23">
        <f>IFERROR(__xludf.DUMMYFUNCTION("""COMPUTED_VALUE"""),45638.52185185185)</f>
        <v>45638.52185</v>
      </c>
      <c r="H1767" s="24" t="str">
        <f>IFERROR(VLOOKUP(B1767,material!A:D,3,0),"")</f>
        <v>LEGADO</v>
      </c>
    </row>
    <row r="1768" ht="11.25" customHeight="1">
      <c r="A1768" s="21" t="str">
        <f>IFERROR(__xludf.DUMMYFUNCTION("""COMPUTED_VALUE"""),"HUMAX HGB10R-02")</f>
        <v>HUMAX HGB10R-02</v>
      </c>
      <c r="B1768" s="22">
        <f>IFERROR(__xludf.DUMMYFUNCTION("""COMPUTED_VALUE"""),4.1001292E7)</f>
        <v>41001292</v>
      </c>
      <c r="C1768" s="21" t="str">
        <f>IFERROR(__xludf.DUMMYFUNCTION("""COMPUTED_VALUE"""),"942CB3440350")</f>
        <v>942CB3440350</v>
      </c>
      <c r="D1768" s="21" t="str">
        <f>IFERROR(__xludf.DUMMYFUNCTION("""COMPUTED_VALUE"""),"DIGITEC TECNOLOGIA DIGITAL E REPRES")</f>
        <v>DIGITEC TECNOLOGIA DIGITAL E REPRES</v>
      </c>
      <c r="E1768" s="21">
        <f>IFERROR(__xludf.DUMMYFUNCTION("""COMPUTED_VALUE"""),145359.0)</f>
        <v>145359</v>
      </c>
      <c r="F1768" s="21" t="str">
        <f>IFERROR(__xludf.DUMMYFUNCTION("""COMPUTED_VALUE"""),"TRANSITO REVERSA")</f>
        <v>TRANSITO REVERSA</v>
      </c>
      <c r="G1768" s="23">
        <f>IFERROR(__xludf.DUMMYFUNCTION("""COMPUTED_VALUE"""),45610.73042824074)</f>
        <v>45610.73043</v>
      </c>
      <c r="H1768" s="24" t="str">
        <f>IFERROR(VLOOKUP(B1768,material!A:D,3,0),"")</f>
        <v>DUAL</v>
      </c>
    </row>
    <row r="1769" ht="11.25" customHeight="1">
      <c r="A1769" s="21" t="str">
        <f>IFERROR(__xludf.DUMMYFUNCTION("""COMPUTED_VALUE"""),"DECODER DIGITAL HD HNB100 2T")</f>
        <v>DECODER DIGITAL HD HNB100 2T</v>
      </c>
      <c r="B1769" s="22">
        <f>IFERROR(__xludf.DUMMYFUNCTION("""COMPUTED_VALUE"""),4.1001276E7)</f>
        <v>41001276</v>
      </c>
      <c r="C1769" s="21" t="str">
        <f>IFERROR(__xludf.DUMMYFUNCTION("""COMPUTED_VALUE"""),"216611667594")</f>
        <v>216611667594</v>
      </c>
      <c r="D1769" s="21" t="str">
        <f>IFERROR(__xludf.DUMMYFUNCTION("""COMPUTED_VALUE"""),"DIGITEC TECNOLOGIA DIGITAL E REPRES")</f>
        <v>DIGITEC TECNOLOGIA DIGITAL E REPRES</v>
      </c>
      <c r="E1769" s="21">
        <f>IFERROR(__xludf.DUMMYFUNCTION("""COMPUTED_VALUE"""),145359.0)</f>
        <v>145359</v>
      </c>
      <c r="F1769" s="21" t="str">
        <f>IFERROR(__xludf.DUMMYFUNCTION("""COMPUTED_VALUE"""),"INICIALIZADO")</f>
        <v>INICIALIZADO</v>
      </c>
      <c r="G1769" s="23">
        <f>IFERROR(__xludf.DUMMYFUNCTION("""COMPUTED_VALUE"""),45635.535057870366)</f>
        <v>45635.53506</v>
      </c>
      <c r="H1769" s="24" t="str">
        <f>IFERROR(VLOOKUP(B1769,material!A:D,3,0),"")</f>
        <v>TOP MIX</v>
      </c>
    </row>
    <row r="1770" ht="11.25" customHeight="1">
      <c r="A1770" s="21" t="str">
        <f>IFERROR(__xludf.DUMMYFUNCTION("""COMPUTED_VALUE"""),"DECODER DIGITAL HD HNB100 2T")</f>
        <v>DECODER DIGITAL HD HNB100 2T</v>
      </c>
      <c r="B1770" s="22">
        <f>IFERROR(__xludf.DUMMYFUNCTION("""COMPUTED_VALUE"""),4.1001276E7)</f>
        <v>41001276</v>
      </c>
      <c r="C1770" s="21" t="str">
        <f>IFERROR(__xludf.DUMMYFUNCTION("""COMPUTED_VALUE"""),"216361284853")</f>
        <v>216361284853</v>
      </c>
      <c r="D1770" s="21" t="str">
        <f>IFERROR(__xludf.DUMMYFUNCTION("""COMPUTED_VALUE"""),"DIGITEC TECNOLOGIA DIGITAL E REPRES")</f>
        <v>DIGITEC TECNOLOGIA DIGITAL E REPRES</v>
      </c>
      <c r="E1770" s="21">
        <f>IFERROR(__xludf.DUMMYFUNCTION("""COMPUTED_VALUE"""),145359.0)</f>
        <v>145359</v>
      </c>
      <c r="F1770" s="21" t="str">
        <f>IFERROR(__xludf.DUMMYFUNCTION("""COMPUTED_VALUE"""),"INICIALIZADO")</f>
        <v>INICIALIZADO</v>
      </c>
      <c r="G1770" s="23">
        <f>IFERROR(__xludf.DUMMYFUNCTION("""COMPUTED_VALUE"""),45635.535046296296)</f>
        <v>45635.53505</v>
      </c>
      <c r="H1770" s="24" t="str">
        <f>IFERROR(VLOOKUP(B1770,material!A:D,3,0),"")</f>
        <v>TOP MIX</v>
      </c>
    </row>
    <row r="1771" ht="11.25" customHeight="1">
      <c r="A1771" s="21" t="str">
        <f>IFERROR(__xludf.DUMMYFUNCTION("""COMPUTED_VALUE"""),"DECODER DIGITAL HD HNB100 2T")</f>
        <v>DECODER DIGITAL HD HNB100 2T</v>
      </c>
      <c r="B1771" s="22">
        <f>IFERROR(__xludf.DUMMYFUNCTION("""COMPUTED_VALUE"""),4.1001276E7)</f>
        <v>41001276</v>
      </c>
      <c r="C1771" s="21" t="str">
        <f>IFERROR(__xludf.DUMMYFUNCTION("""COMPUTED_VALUE"""),"216520194952")</f>
        <v>216520194952</v>
      </c>
      <c r="D1771" s="21" t="str">
        <f>IFERROR(__xludf.DUMMYFUNCTION("""COMPUTED_VALUE"""),"DIGITEC TECNOLOGIA DIGITAL E REPRES")</f>
        <v>DIGITEC TECNOLOGIA DIGITAL E REPRES</v>
      </c>
      <c r="E1771" s="21">
        <f>IFERROR(__xludf.DUMMYFUNCTION("""COMPUTED_VALUE"""),145359.0)</f>
        <v>145359</v>
      </c>
      <c r="F1771" s="21" t="str">
        <f>IFERROR(__xludf.DUMMYFUNCTION("""COMPUTED_VALUE"""),"INICIALIZADO")</f>
        <v>INICIALIZADO</v>
      </c>
      <c r="G1771" s="23">
        <f>IFERROR(__xludf.DUMMYFUNCTION("""COMPUTED_VALUE"""),45635.53508101852)</f>
        <v>45635.53508</v>
      </c>
      <c r="H1771" s="24" t="str">
        <f>IFERROR(VLOOKUP(B1771,material!A:D,3,0),"")</f>
        <v>TOP MIX</v>
      </c>
    </row>
    <row r="1772" ht="11.25" customHeight="1">
      <c r="A1772" s="21" t="str">
        <f>IFERROR(__xludf.DUMMYFUNCTION("""COMPUTED_VALUE"""),"EMTA WI-FI 3.0 TG862A ARRIS")</f>
        <v>EMTA WI-FI 3.0 TG862A ARRIS</v>
      </c>
      <c r="B1772" s="22">
        <f>IFERROR(__xludf.DUMMYFUNCTION("""COMPUTED_VALUE"""),4.1001155E7)</f>
        <v>41001155</v>
      </c>
      <c r="C1772" s="21" t="str">
        <f>IFERROR(__xludf.DUMMYFUNCTION("""COMPUTED_VALUE"""),"F8EDA502D882")</f>
        <v>F8EDA502D882</v>
      </c>
      <c r="D1772" s="21" t="str">
        <f>IFERROR(__xludf.DUMMYFUNCTION("""COMPUTED_VALUE"""),"DIGITEC TECNOLOGIA DIGITAL E REPRES")</f>
        <v>DIGITEC TECNOLOGIA DIGITAL E REPRES</v>
      </c>
      <c r="E1772" s="21">
        <f>IFERROR(__xludf.DUMMYFUNCTION("""COMPUTED_VALUE"""),145359.0)</f>
        <v>145359</v>
      </c>
      <c r="F1772" s="21" t="str">
        <f>IFERROR(__xludf.DUMMYFUNCTION("""COMPUTED_VALUE"""),"INICIALIZADO")</f>
        <v>INICIALIZADO</v>
      </c>
      <c r="G1772" s="23">
        <f>IFERROR(__xludf.DUMMYFUNCTION("""COMPUTED_VALUE"""),45602.64471064815)</f>
        <v>45602.64471</v>
      </c>
      <c r="H1772" s="24" t="str">
        <f>IFERROR(VLOOKUP(B1772,material!A:D,3,0),"")</f>
        <v>SINGLE</v>
      </c>
    </row>
    <row r="1773" ht="11.25" customHeight="1">
      <c r="A1773" s="21" t="str">
        <f>IFERROR(__xludf.DUMMYFUNCTION("""COMPUTED_VALUE"""),"DECODER DIGITAL HD DXC5000 2T")</f>
        <v>DECODER DIGITAL HD DXC5000 2T</v>
      </c>
      <c r="B1773" s="22">
        <f>IFERROR(__xludf.DUMMYFUNCTION("""COMPUTED_VALUE"""),4.1001277E7)</f>
        <v>41001277</v>
      </c>
      <c r="C1773" s="21" t="str">
        <f>IFERROR(__xludf.DUMMYFUNCTION("""COMPUTED_VALUE"""),"216389292424")</f>
        <v>216389292424</v>
      </c>
      <c r="D1773" s="21" t="str">
        <f>IFERROR(__xludf.DUMMYFUNCTION("""COMPUTED_VALUE"""),"DIGITEC TECNOLOGIA DIGITAL E REPRES")</f>
        <v>DIGITEC TECNOLOGIA DIGITAL E REPRES</v>
      </c>
      <c r="E1773" s="21">
        <f>IFERROR(__xludf.DUMMYFUNCTION("""COMPUTED_VALUE"""),145359.0)</f>
        <v>145359</v>
      </c>
      <c r="F1773" s="21" t="str">
        <f>IFERROR(__xludf.DUMMYFUNCTION("""COMPUTED_VALUE"""),"INICIALIZADO")</f>
        <v>INICIALIZADO</v>
      </c>
      <c r="G1773" s="23">
        <f>IFERROR(__xludf.DUMMYFUNCTION("""COMPUTED_VALUE"""),45600.47599537037)</f>
        <v>45600.476</v>
      </c>
      <c r="H1773" s="24" t="str">
        <f>IFERROR(VLOOKUP(B1773,material!A:D,3,0),"")</f>
        <v>TOP MIX</v>
      </c>
    </row>
    <row r="1774" ht="11.25" customHeight="1">
      <c r="A1774" s="21" t="str">
        <f>IFERROR(__xludf.DUMMYFUNCTION("""COMPUTED_VALUE"""),"SMART CARD PRETO NAGRA")</f>
        <v>SMART CARD PRETO NAGRA</v>
      </c>
      <c r="B1774" s="22">
        <f>IFERROR(__xludf.DUMMYFUNCTION("""COMPUTED_VALUE"""),4.1001234E7)</f>
        <v>41001234</v>
      </c>
      <c r="C1774" s="21" t="str">
        <f>IFERROR(__xludf.DUMMYFUNCTION("""COMPUTED_VALUE"""),"226143349314")</f>
        <v>226143349314</v>
      </c>
      <c r="D1774" s="21" t="str">
        <f>IFERROR(__xludf.DUMMYFUNCTION("""COMPUTED_VALUE"""),"DIGITEC TECNOLOGIA DIGITAL E REPRES")</f>
        <v>DIGITEC TECNOLOGIA DIGITAL E REPRES</v>
      </c>
      <c r="E1774" s="21">
        <f>IFERROR(__xludf.DUMMYFUNCTION("""COMPUTED_VALUE"""),145359.0)</f>
        <v>145359</v>
      </c>
      <c r="F1774" s="21" t="str">
        <f>IFERROR(__xludf.DUMMYFUNCTION("""COMPUTED_VALUE"""),"INICIALIZADO")</f>
        <v>INICIALIZADO</v>
      </c>
      <c r="G1774" s="23">
        <f>IFERROR(__xludf.DUMMYFUNCTION("""COMPUTED_VALUE"""),45635.53494212963)</f>
        <v>45635.53494</v>
      </c>
      <c r="H1774" s="24" t="str">
        <f>IFERROR(VLOOKUP(B1774,material!A:D,3,0),"")</f>
        <v>CARD</v>
      </c>
    </row>
    <row r="1775" ht="11.25" customHeight="1">
      <c r="A1775" s="21" t="str">
        <f>IFERROR(__xludf.DUMMYFUNCTION("""COMPUTED_VALUE"""),"DECODER DIGITAL HD HNB100 2T")</f>
        <v>DECODER DIGITAL HD HNB100 2T</v>
      </c>
      <c r="B1775" s="22">
        <f>IFERROR(__xludf.DUMMYFUNCTION("""COMPUTED_VALUE"""),4.1001276E7)</f>
        <v>41001276</v>
      </c>
      <c r="C1775" s="21" t="str">
        <f>IFERROR(__xludf.DUMMYFUNCTION("""COMPUTED_VALUE"""),"216395871226")</f>
        <v>216395871226</v>
      </c>
      <c r="D1775" s="21" t="str">
        <f>IFERROR(__xludf.DUMMYFUNCTION("""COMPUTED_VALUE"""),"DIGITEC TECNOLOGIA DIGITAL E REPRES")</f>
        <v>DIGITEC TECNOLOGIA DIGITAL E REPRES</v>
      </c>
      <c r="E1775" s="21">
        <f>IFERROR(__xludf.DUMMYFUNCTION("""COMPUTED_VALUE"""),145359.0)</f>
        <v>145359</v>
      </c>
      <c r="F1775" s="21" t="str">
        <f>IFERROR(__xludf.DUMMYFUNCTION("""COMPUTED_VALUE"""),"TRANSITO REVERSA")</f>
        <v>TRANSITO REVERSA</v>
      </c>
      <c r="G1775" s="23">
        <f>IFERROR(__xludf.DUMMYFUNCTION("""COMPUTED_VALUE"""),45633.00398148148)</f>
        <v>45633.00398</v>
      </c>
      <c r="H1775" s="24" t="str">
        <f>IFERROR(VLOOKUP(B1775,material!A:D,3,0),"")</f>
        <v>TOP MIX</v>
      </c>
    </row>
    <row r="1776" ht="11.25" customHeight="1">
      <c r="A1776" s="21" t="str">
        <f>IFERROR(__xludf.DUMMYFUNCTION("""COMPUTED_VALUE"""),"SMART CARD LARANJA NAGRA")</f>
        <v>SMART CARD LARANJA NAGRA</v>
      </c>
      <c r="B1776" s="22">
        <f>IFERROR(__xludf.DUMMYFUNCTION("""COMPUTED_VALUE"""),4.1001186E7)</f>
        <v>41001186</v>
      </c>
      <c r="C1776" s="21" t="str">
        <f>IFERROR(__xludf.DUMMYFUNCTION("""COMPUTED_VALUE"""),"225764583639")</f>
        <v>225764583639</v>
      </c>
      <c r="D1776" s="21" t="str">
        <f>IFERROR(__xludf.DUMMYFUNCTION("""COMPUTED_VALUE"""),"DIGITEC TECNOLOGIA DIGITAL E REPRES")</f>
        <v>DIGITEC TECNOLOGIA DIGITAL E REPRES</v>
      </c>
      <c r="E1776" s="21">
        <f>IFERROR(__xludf.DUMMYFUNCTION("""COMPUTED_VALUE"""),145359.0)</f>
        <v>145359</v>
      </c>
      <c r="F1776" s="21" t="str">
        <f>IFERROR(__xludf.DUMMYFUNCTION("""COMPUTED_VALUE"""),"PERDA")</f>
        <v>PERDA</v>
      </c>
      <c r="G1776" s="23">
        <f>IFERROR(__xludf.DUMMYFUNCTION("""COMPUTED_VALUE"""),45113.486875)</f>
        <v>45113.48688</v>
      </c>
      <c r="H1776" s="24" t="str">
        <f>IFERROR(VLOOKUP(B1776,material!A:D,3,0),"")</f>
        <v>CARD</v>
      </c>
    </row>
    <row r="1777" ht="11.25" customHeight="1">
      <c r="A1777" s="21" t="str">
        <f>IFERROR(__xludf.DUMMYFUNCTION("""COMPUTED_VALUE"""),"TECHNICOLOR TC7337NET")</f>
        <v>TECHNICOLOR TC7337NET</v>
      </c>
      <c r="B1777" s="22">
        <f>IFERROR(__xludf.DUMMYFUNCTION("""COMPUTED_VALUE"""),4.1001294E7)</f>
        <v>41001294</v>
      </c>
      <c r="C1777" s="21" t="str">
        <f>IFERROR(__xludf.DUMMYFUNCTION("""COMPUTED_VALUE"""),"54A65C0FD94D")</f>
        <v>54A65C0FD94D</v>
      </c>
      <c r="D1777" s="21" t="str">
        <f>IFERROR(__xludf.DUMMYFUNCTION("""COMPUTED_VALUE"""),"DIGITEC TECNOLOGIA DIGITAL E REPRES")</f>
        <v>DIGITEC TECNOLOGIA DIGITAL E REPRES</v>
      </c>
      <c r="E1777" s="21">
        <f>IFERROR(__xludf.DUMMYFUNCTION("""COMPUTED_VALUE"""),145359.0)</f>
        <v>145359</v>
      </c>
      <c r="F1777" s="21" t="str">
        <f>IFERROR(__xludf.DUMMYFUNCTION("""COMPUTED_VALUE"""),"INICIALIZADO")</f>
        <v>INICIALIZADO</v>
      </c>
      <c r="G1777" s="23">
        <f>IFERROR(__xludf.DUMMYFUNCTION("""COMPUTED_VALUE"""),45618.74476851852)</f>
        <v>45618.74477</v>
      </c>
      <c r="H1777" s="24" t="str">
        <f>IFERROR(VLOOKUP(B1777,material!A:D,3,0),"")</f>
        <v>DUAL</v>
      </c>
    </row>
    <row r="1778" ht="11.25" customHeight="1">
      <c r="A1778" s="21" t="str">
        <f>IFERROR(__xludf.DUMMYFUNCTION("""COMPUTED_VALUE"""),"SMART CARD PRETO NAGRA")</f>
        <v>SMART CARD PRETO NAGRA</v>
      </c>
      <c r="B1778" s="22">
        <f>IFERROR(__xludf.DUMMYFUNCTION("""COMPUTED_VALUE"""),4.1001234E7)</f>
        <v>41001234</v>
      </c>
      <c r="C1778" s="21" t="str">
        <f>IFERROR(__xludf.DUMMYFUNCTION("""COMPUTED_VALUE"""),"226371613645")</f>
        <v>226371613645</v>
      </c>
      <c r="D1778" s="21" t="str">
        <f>IFERROR(__xludf.DUMMYFUNCTION("""COMPUTED_VALUE"""),"DIGITEC TECNOLOGIA DIGITAL E REPRES")</f>
        <v>DIGITEC TECNOLOGIA DIGITAL E REPRES</v>
      </c>
      <c r="E1778" s="21">
        <f>IFERROR(__xludf.DUMMYFUNCTION("""COMPUTED_VALUE"""),145359.0)</f>
        <v>145359</v>
      </c>
      <c r="F1778" s="21" t="str">
        <f>IFERROR(__xludf.DUMMYFUNCTION("""COMPUTED_VALUE"""),"INICIALIZADO")</f>
        <v>INICIALIZADO</v>
      </c>
      <c r="G1778" s="23">
        <f>IFERROR(__xludf.DUMMYFUNCTION("""COMPUTED_VALUE"""),45642.52412037037)</f>
        <v>45642.52412</v>
      </c>
      <c r="H1778" s="24" t="str">
        <f>IFERROR(VLOOKUP(B1778,material!A:D,3,0),"")</f>
        <v>CARD</v>
      </c>
    </row>
    <row r="1779" ht="11.25" customHeight="1">
      <c r="A1779" s="21" t="str">
        <f>IFERROR(__xludf.DUMMYFUNCTION("""COMPUTED_VALUE"""),"SMART CARD PRETO NAGRA")</f>
        <v>SMART CARD PRETO NAGRA</v>
      </c>
      <c r="B1779" s="22">
        <f>IFERROR(__xludf.DUMMYFUNCTION("""COMPUTED_VALUE"""),4.1001234E7)</f>
        <v>41001234</v>
      </c>
      <c r="C1779" s="21" t="str">
        <f>IFERROR(__xludf.DUMMYFUNCTION("""COMPUTED_VALUE"""),"226348032646")</f>
        <v>226348032646</v>
      </c>
      <c r="D1779" s="21" t="str">
        <f>IFERROR(__xludf.DUMMYFUNCTION("""COMPUTED_VALUE"""),"DIGITEC TECNOLOGIA DIGITAL E REPRES")</f>
        <v>DIGITEC TECNOLOGIA DIGITAL E REPRES</v>
      </c>
      <c r="E1779" s="21">
        <f>IFERROR(__xludf.DUMMYFUNCTION("""COMPUTED_VALUE"""),145359.0)</f>
        <v>145359</v>
      </c>
      <c r="F1779" s="21" t="str">
        <f>IFERROR(__xludf.DUMMYFUNCTION("""COMPUTED_VALUE"""),"INICIALIZADO")</f>
        <v>INICIALIZADO</v>
      </c>
      <c r="G1779" s="23">
        <f>IFERROR(__xludf.DUMMYFUNCTION("""COMPUTED_VALUE"""),45642.52412037037)</f>
        <v>45642.52412</v>
      </c>
      <c r="H1779" s="24" t="str">
        <f>IFERROR(VLOOKUP(B1779,material!A:D,3,0),"")</f>
        <v>CARD</v>
      </c>
    </row>
    <row r="1780" ht="11.25" customHeight="1">
      <c r="A1780" s="21" t="str">
        <f>IFERROR(__xludf.DUMMYFUNCTION("""COMPUTED_VALUE"""),"SMART CARD PRETO NAGRA")</f>
        <v>SMART CARD PRETO NAGRA</v>
      </c>
      <c r="B1780" s="22">
        <f>IFERROR(__xludf.DUMMYFUNCTION("""COMPUTED_VALUE"""),4.1001234E7)</f>
        <v>41001234</v>
      </c>
      <c r="C1780" s="21" t="str">
        <f>IFERROR(__xludf.DUMMYFUNCTION("""COMPUTED_VALUE"""),"226316519817")</f>
        <v>226316519817</v>
      </c>
      <c r="D1780" s="21" t="str">
        <f>IFERROR(__xludf.DUMMYFUNCTION("""COMPUTED_VALUE"""),"DIGITEC TECNOLOGIA DIGITAL E REPRES")</f>
        <v>DIGITEC TECNOLOGIA DIGITAL E REPRES</v>
      </c>
      <c r="E1780" s="21">
        <f>IFERROR(__xludf.DUMMYFUNCTION("""COMPUTED_VALUE"""),145359.0)</f>
        <v>145359</v>
      </c>
      <c r="F1780" s="21" t="str">
        <f>IFERROR(__xludf.DUMMYFUNCTION("""COMPUTED_VALUE"""),"INICIALIZADO")</f>
        <v>INICIALIZADO</v>
      </c>
      <c r="G1780" s="23">
        <f>IFERROR(__xludf.DUMMYFUNCTION("""COMPUTED_VALUE"""),45635.53496527778)</f>
        <v>45635.53497</v>
      </c>
      <c r="H1780" s="24" t="str">
        <f>IFERROR(VLOOKUP(B1780,material!A:D,3,0),"")</f>
        <v>CARD</v>
      </c>
    </row>
    <row r="1781" ht="11.25" customHeight="1">
      <c r="A1781" s="21" t="str">
        <f>IFERROR(__xludf.DUMMYFUNCTION("""COMPUTED_VALUE"""),"DECODER DIGITAL HD HNB100 2T")</f>
        <v>DECODER DIGITAL HD HNB100 2T</v>
      </c>
      <c r="B1781" s="22">
        <f>IFERROR(__xludf.DUMMYFUNCTION("""COMPUTED_VALUE"""),4.1001276E7)</f>
        <v>41001276</v>
      </c>
      <c r="C1781" s="21" t="str">
        <f>IFERROR(__xludf.DUMMYFUNCTION("""COMPUTED_VALUE"""),"216702344951")</f>
        <v>216702344951</v>
      </c>
      <c r="D1781" s="21" t="str">
        <f>IFERROR(__xludf.DUMMYFUNCTION("""COMPUTED_VALUE"""),"DIGITEC TECNOLOGIA DIGITAL E REPRES")</f>
        <v>DIGITEC TECNOLOGIA DIGITAL E REPRES</v>
      </c>
      <c r="E1781" s="21">
        <f>IFERROR(__xludf.DUMMYFUNCTION("""COMPUTED_VALUE"""),145359.0)</f>
        <v>145359</v>
      </c>
      <c r="F1781" s="21" t="str">
        <f>IFERROR(__xludf.DUMMYFUNCTION("""COMPUTED_VALUE"""),"INICIALIZADO")</f>
        <v>INICIALIZADO</v>
      </c>
      <c r="G1781" s="23">
        <f>IFERROR(__xludf.DUMMYFUNCTION("""COMPUTED_VALUE"""),45635.53501157407)</f>
        <v>45635.53501</v>
      </c>
      <c r="H1781" s="24" t="str">
        <f>IFERROR(VLOOKUP(B1781,material!A:D,3,0),"")</f>
        <v>TOP MIX</v>
      </c>
    </row>
    <row r="1782" ht="11.25" customHeight="1">
      <c r="A1782" s="21" t="str">
        <f>IFERROR(__xludf.DUMMYFUNCTION("""COMPUTED_VALUE"""),"DECODER DIGITAL HD HNB100 2T")</f>
        <v>DECODER DIGITAL HD HNB100 2T</v>
      </c>
      <c r="B1782" s="22">
        <f>IFERROR(__xludf.DUMMYFUNCTION("""COMPUTED_VALUE"""),4.1001276E7)</f>
        <v>41001276</v>
      </c>
      <c r="C1782" s="21" t="str">
        <f>IFERROR(__xludf.DUMMYFUNCTION("""COMPUTED_VALUE"""),"216411201925")</f>
        <v>216411201925</v>
      </c>
      <c r="D1782" s="21" t="str">
        <f>IFERROR(__xludf.DUMMYFUNCTION("""COMPUTED_VALUE"""),"DIGITEC TECNOLOGIA DIGITAL E REPRES")</f>
        <v>DIGITEC TECNOLOGIA DIGITAL E REPRES</v>
      </c>
      <c r="E1782" s="21">
        <f>IFERROR(__xludf.DUMMYFUNCTION("""COMPUTED_VALUE"""),145359.0)</f>
        <v>145359</v>
      </c>
      <c r="F1782" s="21" t="str">
        <f>IFERROR(__xludf.DUMMYFUNCTION("""COMPUTED_VALUE"""),"INICIALIZADO")</f>
        <v>INICIALIZADO</v>
      </c>
      <c r="G1782" s="23">
        <f>IFERROR(__xludf.DUMMYFUNCTION("""COMPUTED_VALUE"""),45635.535046296296)</f>
        <v>45635.53505</v>
      </c>
      <c r="H1782" s="24" t="str">
        <f>IFERROR(VLOOKUP(B1782,material!A:D,3,0),"")</f>
        <v>TOP MIX</v>
      </c>
    </row>
    <row r="1783" ht="11.25" customHeight="1">
      <c r="A1783" s="21" t="str">
        <f>IFERROR(__xludf.DUMMYFUNCTION("""COMPUTED_VALUE"""),"SMART CARD PRETO NAGRA")</f>
        <v>SMART CARD PRETO NAGRA</v>
      </c>
      <c r="B1783" s="22">
        <f>IFERROR(__xludf.DUMMYFUNCTION("""COMPUTED_VALUE"""),4.1001234E7)</f>
        <v>41001234</v>
      </c>
      <c r="C1783" s="21" t="str">
        <f>IFERROR(__xludf.DUMMYFUNCTION("""COMPUTED_VALUE"""),"246069313548")</f>
        <v>246069313548</v>
      </c>
      <c r="D1783" s="21" t="str">
        <f>IFERROR(__xludf.DUMMYFUNCTION("""COMPUTED_VALUE"""),"DIGITEC TECNOLOGIA DIGITAL E REPRES")</f>
        <v>DIGITEC TECNOLOGIA DIGITAL E REPRES</v>
      </c>
      <c r="E1783" s="21">
        <f>IFERROR(__xludf.DUMMYFUNCTION("""COMPUTED_VALUE"""),145359.0)</f>
        <v>145359</v>
      </c>
      <c r="F1783" s="21" t="str">
        <f>IFERROR(__xludf.DUMMYFUNCTION("""COMPUTED_VALUE"""),"INICIALIZADO")</f>
        <v>INICIALIZADO</v>
      </c>
      <c r="G1783" s="23">
        <f>IFERROR(__xludf.DUMMYFUNCTION("""COMPUTED_VALUE"""),45594.64796296296)</f>
        <v>45594.64796</v>
      </c>
      <c r="H1783" s="24" t="str">
        <f>IFERROR(VLOOKUP(B1783,material!A:D,3,0),"")</f>
        <v>CARD</v>
      </c>
    </row>
    <row r="1784" ht="11.25" customHeight="1">
      <c r="A1784" s="21" t="str">
        <f>IFERROR(__xludf.DUMMYFUNCTION("""COMPUTED_VALUE"""),"TECHNICOLOR TC7337NET")</f>
        <v>TECHNICOLOR TC7337NET</v>
      </c>
      <c r="B1784" s="22">
        <f>IFERROR(__xludf.DUMMYFUNCTION("""COMPUTED_VALUE"""),4.1001294E7)</f>
        <v>41001294</v>
      </c>
      <c r="C1784" s="21" t="str">
        <f>IFERROR(__xludf.DUMMYFUNCTION("""COMPUTED_VALUE"""),"54A65C1070F3")</f>
        <v>54A65C1070F3</v>
      </c>
      <c r="D1784" s="21" t="str">
        <f>IFERROR(__xludf.DUMMYFUNCTION("""COMPUTED_VALUE"""),"DIGITEC TECNOLOGIA DIGITAL E REPRES")</f>
        <v>DIGITEC TECNOLOGIA DIGITAL E REPRES</v>
      </c>
      <c r="E1784" s="21">
        <f>IFERROR(__xludf.DUMMYFUNCTION("""COMPUTED_VALUE"""),145359.0)</f>
        <v>145359</v>
      </c>
      <c r="F1784" s="21" t="str">
        <f>IFERROR(__xludf.DUMMYFUNCTION("""COMPUTED_VALUE"""),"INICIALIZADO")</f>
        <v>INICIALIZADO</v>
      </c>
      <c r="G1784" s="23">
        <f>IFERROR(__xludf.DUMMYFUNCTION("""COMPUTED_VALUE"""),45615.61858796296)</f>
        <v>45615.61859</v>
      </c>
      <c r="H1784" s="24" t="str">
        <f>IFERROR(VLOOKUP(B1784,material!A:D,3,0),"")</f>
        <v>DUAL</v>
      </c>
    </row>
    <row r="1785" ht="11.25" customHeight="1">
      <c r="A1785" s="21" t="str">
        <f>IFERROR(__xludf.DUMMYFUNCTION("""COMPUTED_VALUE"""),"DECODER DIGITAL HD DXC5000 2T")</f>
        <v>DECODER DIGITAL HD DXC5000 2T</v>
      </c>
      <c r="B1785" s="22">
        <f>IFERROR(__xludf.DUMMYFUNCTION("""COMPUTED_VALUE"""),4.1001277E7)</f>
        <v>41001277</v>
      </c>
      <c r="C1785" s="21" t="str">
        <f>IFERROR(__xludf.DUMMYFUNCTION("""COMPUTED_VALUE"""),"216571832540")</f>
        <v>216571832540</v>
      </c>
      <c r="D1785" s="21" t="str">
        <f>IFERROR(__xludf.DUMMYFUNCTION("""COMPUTED_VALUE"""),"DIGITEC TECNOLOGIA DIGITAL E REPRES")</f>
        <v>DIGITEC TECNOLOGIA DIGITAL E REPRES</v>
      </c>
      <c r="E1785" s="21">
        <f>IFERROR(__xludf.DUMMYFUNCTION("""COMPUTED_VALUE"""),145359.0)</f>
        <v>145359</v>
      </c>
      <c r="F1785" s="21" t="str">
        <f>IFERROR(__xludf.DUMMYFUNCTION("""COMPUTED_VALUE"""),"INICIALIZADO")</f>
        <v>INICIALIZADO</v>
      </c>
      <c r="G1785" s="23">
        <f>IFERROR(__xludf.DUMMYFUNCTION("""COMPUTED_VALUE"""),45618.65200231482)</f>
        <v>45618.652</v>
      </c>
      <c r="H1785" s="24" t="str">
        <f>IFERROR(VLOOKUP(B1785,material!A:D,3,0),"")</f>
        <v>TOP MIX</v>
      </c>
    </row>
    <row r="1786" ht="11.25" customHeight="1">
      <c r="A1786" s="21" t="str">
        <f>IFERROR(__xludf.DUMMYFUNCTION("""COMPUTED_VALUE"""),"DECODER DIGITAL HD HNB100 2T")</f>
        <v>DECODER DIGITAL HD HNB100 2T</v>
      </c>
      <c r="B1786" s="22">
        <f>IFERROR(__xludf.DUMMYFUNCTION("""COMPUTED_VALUE"""),4.1001276E7)</f>
        <v>41001276</v>
      </c>
      <c r="C1786" s="21" t="str">
        <f>IFERROR(__xludf.DUMMYFUNCTION("""COMPUTED_VALUE"""),"216619794852")</f>
        <v>216619794852</v>
      </c>
      <c r="D1786" s="21" t="str">
        <f>IFERROR(__xludf.DUMMYFUNCTION("""COMPUTED_VALUE"""),"DIGITEC TECNOLOGIA DIGITAL E REPRES")</f>
        <v>DIGITEC TECNOLOGIA DIGITAL E REPRES</v>
      </c>
      <c r="E1786" s="21">
        <f>IFERROR(__xludf.DUMMYFUNCTION("""COMPUTED_VALUE"""),145359.0)</f>
        <v>145359</v>
      </c>
      <c r="F1786" s="21" t="str">
        <f>IFERROR(__xludf.DUMMYFUNCTION("""COMPUTED_VALUE"""),"INICIALIZADO")</f>
        <v>INICIALIZADO</v>
      </c>
      <c r="G1786" s="23">
        <f>IFERROR(__xludf.DUMMYFUNCTION("""COMPUTED_VALUE"""),45642.524143518516)</f>
        <v>45642.52414</v>
      </c>
      <c r="H1786" s="24" t="str">
        <f>IFERROR(VLOOKUP(B1786,material!A:D,3,0),"")</f>
        <v>TOP MIX</v>
      </c>
    </row>
    <row r="1787" ht="11.25" customHeight="1">
      <c r="A1787" s="21" t="str">
        <f>IFERROR(__xludf.DUMMYFUNCTION("""COMPUTED_VALUE"""),"DECODER DIGITAL HD HNB100 2T")</f>
        <v>DECODER DIGITAL HD HNB100 2T</v>
      </c>
      <c r="B1787" s="22">
        <f>IFERROR(__xludf.DUMMYFUNCTION("""COMPUTED_VALUE"""),4.1001276E7)</f>
        <v>41001276</v>
      </c>
      <c r="C1787" s="21" t="str">
        <f>IFERROR(__xludf.DUMMYFUNCTION("""COMPUTED_VALUE"""),"216736509105")</f>
        <v>216736509105</v>
      </c>
      <c r="D1787" s="21" t="str">
        <f>IFERROR(__xludf.DUMMYFUNCTION("""COMPUTED_VALUE"""),"DIGITEC TECNOLOGIA DIGITAL E REPRES")</f>
        <v>DIGITEC TECNOLOGIA DIGITAL E REPRES</v>
      </c>
      <c r="E1787" s="21">
        <f>IFERROR(__xludf.DUMMYFUNCTION("""COMPUTED_VALUE"""),145359.0)</f>
        <v>145359</v>
      </c>
      <c r="F1787" s="21" t="str">
        <f>IFERROR(__xludf.DUMMYFUNCTION("""COMPUTED_VALUE"""),"INICIALIZADO")</f>
        <v>INICIALIZADO</v>
      </c>
      <c r="G1787" s="23">
        <f>IFERROR(__xludf.DUMMYFUNCTION("""COMPUTED_VALUE"""),45635.535)</f>
        <v>45635.535</v>
      </c>
      <c r="H1787" s="24" t="str">
        <f>IFERROR(VLOOKUP(B1787,material!A:D,3,0),"")</f>
        <v>TOP MIX</v>
      </c>
    </row>
    <row r="1788" ht="11.25" customHeight="1">
      <c r="A1788" s="21" t="str">
        <f>IFERROR(__xludf.DUMMYFUNCTION("""COMPUTED_VALUE"""),"DECODER DIGITAL HD HNB100 2T")</f>
        <v>DECODER DIGITAL HD HNB100 2T</v>
      </c>
      <c r="B1788" s="22">
        <f>IFERROR(__xludf.DUMMYFUNCTION("""COMPUTED_VALUE"""),4.1001276E7)</f>
        <v>41001276</v>
      </c>
      <c r="C1788" s="21" t="str">
        <f>IFERROR(__xludf.DUMMYFUNCTION("""COMPUTED_VALUE"""),"216739397074")</f>
        <v>216739397074</v>
      </c>
      <c r="D1788" s="21" t="str">
        <f>IFERROR(__xludf.DUMMYFUNCTION("""COMPUTED_VALUE"""),"DIGITEC TECNOLOGIA DIGITAL E REPRES")</f>
        <v>DIGITEC TECNOLOGIA DIGITAL E REPRES</v>
      </c>
      <c r="E1788" s="21">
        <f>IFERROR(__xludf.DUMMYFUNCTION("""COMPUTED_VALUE"""),145359.0)</f>
        <v>145359</v>
      </c>
      <c r="F1788" s="21" t="str">
        <f>IFERROR(__xludf.DUMMYFUNCTION("""COMPUTED_VALUE"""),"INICIALIZADO")</f>
        <v>INICIALIZADO</v>
      </c>
      <c r="G1788" s="23">
        <f>IFERROR(__xludf.DUMMYFUNCTION("""COMPUTED_VALUE"""),45635.535)</f>
        <v>45635.535</v>
      </c>
      <c r="H1788" s="24" t="str">
        <f>IFERROR(VLOOKUP(B1788,material!A:D,3,0),"")</f>
        <v>TOP MIX</v>
      </c>
    </row>
    <row r="1789" ht="11.25" customHeight="1">
      <c r="A1789" s="21" t="str">
        <f>IFERROR(__xludf.DUMMYFUNCTION("""COMPUTED_VALUE"""),"DECODER DIGITAL HD HNB100 2T")</f>
        <v>DECODER DIGITAL HD HNB100 2T</v>
      </c>
      <c r="B1789" s="22">
        <f>IFERROR(__xludf.DUMMYFUNCTION("""COMPUTED_VALUE"""),4.1001276E7)</f>
        <v>41001276</v>
      </c>
      <c r="C1789" s="21" t="str">
        <f>IFERROR(__xludf.DUMMYFUNCTION("""COMPUTED_VALUE"""),"216739376567")</f>
        <v>216739376567</v>
      </c>
      <c r="D1789" s="21" t="str">
        <f>IFERROR(__xludf.DUMMYFUNCTION("""COMPUTED_VALUE"""),"DIGITEC TECNOLOGIA DIGITAL E REPRES")</f>
        <v>DIGITEC TECNOLOGIA DIGITAL E REPRES</v>
      </c>
      <c r="E1789" s="21">
        <f>IFERROR(__xludf.DUMMYFUNCTION("""COMPUTED_VALUE"""),145359.0)</f>
        <v>145359</v>
      </c>
      <c r="F1789" s="21" t="str">
        <f>IFERROR(__xludf.DUMMYFUNCTION("""COMPUTED_VALUE"""),"INICIALIZADO")</f>
        <v>INICIALIZADO</v>
      </c>
      <c r="G1789" s="23">
        <f>IFERROR(__xludf.DUMMYFUNCTION("""COMPUTED_VALUE"""),45635.535)</f>
        <v>45635.535</v>
      </c>
      <c r="H1789" s="24" t="str">
        <f>IFERROR(VLOOKUP(B1789,material!A:D,3,0),"")</f>
        <v>TOP MIX</v>
      </c>
    </row>
    <row r="1790" ht="11.25" customHeight="1">
      <c r="A1790" s="21" t="str">
        <f>IFERROR(__xludf.DUMMYFUNCTION("""COMPUTED_VALUE"""),"DECODER DIGITAL HD HNB100 2T")</f>
        <v>DECODER DIGITAL HD HNB100 2T</v>
      </c>
      <c r="B1790" s="22">
        <f>IFERROR(__xludf.DUMMYFUNCTION("""COMPUTED_VALUE"""),4.1001276E7)</f>
        <v>41001276</v>
      </c>
      <c r="C1790" s="21" t="str">
        <f>IFERROR(__xludf.DUMMYFUNCTION("""COMPUTED_VALUE"""),"216724736676")</f>
        <v>216724736676</v>
      </c>
      <c r="D1790" s="21" t="str">
        <f>IFERROR(__xludf.DUMMYFUNCTION("""COMPUTED_VALUE"""),"DIGITEC TECNOLOGIA DIGITAL E REPRES")</f>
        <v>DIGITEC TECNOLOGIA DIGITAL E REPRES</v>
      </c>
      <c r="E1790" s="21">
        <f>IFERROR(__xludf.DUMMYFUNCTION("""COMPUTED_VALUE"""),145359.0)</f>
        <v>145359</v>
      </c>
      <c r="F1790" s="21" t="str">
        <f>IFERROR(__xludf.DUMMYFUNCTION("""COMPUTED_VALUE"""),"INICIALIZADO")</f>
        <v>INICIALIZADO</v>
      </c>
      <c r="G1790" s="23">
        <f>IFERROR(__xludf.DUMMYFUNCTION("""COMPUTED_VALUE"""),45635.53501157407)</f>
        <v>45635.53501</v>
      </c>
      <c r="H1790" s="24" t="str">
        <f>IFERROR(VLOOKUP(B1790,material!A:D,3,0),"")</f>
        <v>TOP MIX</v>
      </c>
    </row>
    <row r="1791" ht="11.25" customHeight="1">
      <c r="A1791" s="21" t="str">
        <f>IFERROR(__xludf.DUMMYFUNCTION("""COMPUTED_VALUE"""),"DECODER DIGITAL HD HNB100 2T")</f>
        <v>DECODER DIGITAL HD HNB100 2T</v>
      </c>
      <c r="B1791" s="22">
        <f>IFERROR(__xludf.DUMMYFUNCTION("""COMPUTED_VALUE"""),4.1001276E7)</f>
        <v>41001276</v>
      </c>
      <c r="C1791" s="21" t="str">
        <f>IFERROR(__xludf.DUMMYFUNCTION("""COMPUTED_VALUE"""),"216557154968")</f>
        <v>216557154968</v>
      </c>
      <c r="D1791" s="21" t="str">
        <f>IFERROR(__xludf.DUMMYFUNCTION("""COMPUTED_VALUE"""),"DIGITEC TECNOLOGIA DIGITAL E REPRES")</f>
        <v>DIGITEC TECNOLOGIA DIGITAL E REPRES</v>
      </c>
      <c r="E1791" s="21">
        <f>IFERROR(__xludf.DUMMYFUNCTION("""COMPUTED_VALUE"""),145359.0)</f>
        <v>145359</v>
      </c>
      <c r="F1791" s="21" t="str">
        <f>IFERROR(__xludf.DUMMYFUNCTION("""COMPUTED_VALUE"""),"INICIALIZADO")</f>
        <v>INICIALIZADO</v>
      </c>
      <c r="G1791" s="23">
        <f>IFERROR(__xludf.DUMMYFUNCTION("""COMPUTED_VALUE"""),45635.53506944445)</f>
        <v>45635.53507</v>
      </c>
      <c r="H1791" s="24" t="str">
        <f>IFERROR(VLOOKUP(B1791,material!A:D,3,0),"")</f>
        <v>TOP MIX</v>
      </c>
    </row>
    <row r="1792" ht="11.25" customHeight="1">
      <c r="A1792" s="21" t="str">
        <f>IFERROR(__xludf.DUMMYFUNCTION("""COMPUTED_VALUE"""),"DECODER DIGITAL HD HNB100 2T")</f>
        <v>DECODER DIGITAL HD HNB100 2T</v>
      </c>
      <c r="B1792" s="22">
        <f>IFERROR(__xludf.DUMMYFUNCTION("""COMPUTED_VALUE"""),4.1001276E7)</f>
        <v>41001276</v>
      </c>
      <c r="C1792" s="21" t="str">
        <f>IFERROR(__xludf.DUMMYFUNCTION("""COMPUTED_VALUE"""),"216552847880")</f>
        <v>216552847880</v>
      </c>
      <c r="D1792" s="21" t="str">
        <f>IFERROR(__xludf.DUMMYFUNCTION("""COMPUTED_VALUE"""),"DIGITEC TECNOLOGIA DIGITAL E REPRES")</f>
        <v>DIGITEC TECNOLOGIA DIGITAL E REPRES</v>
      </c>
      <c r="E1792" s="21">
        <f>IFERROR(__xludf.DUMMYFUNCTION("""COMPUTED_VALUE"""),145359.0)</f>
        <v>145359</v>
      </c>
      <c r="F1792" s="21" t="str">
        <f>IFERROR(__xludf.DUMMYFUNCTION("""COMPUTED_VALUE"""),"INICIALIZADO")</f>
        <v>INICIALIZADO</v>
      </c>
      <c r="G1792" s="23">
        <f>IFERROR(__xludf.DUMMYFUNCTION("""COMPUTED_VALUE"""),45635.53508101852)</f>
        <v>45635.53508</v>
      </c>
      <c r="H1792" s="24" t="str">
        <f>IFERROR(VLOOKUP(B1792,material!A:D,3,0),"")</f>
        <v>TOP MIX</v>
      </c>
    </row>
    <row r="1793" ht="11.25" customHeight="1">
      <c r="A1793" s="21" t="str">
        <f>IFERROR(__xludf.DUMMYFUNCTION("""COMPUTED_VALUE"""),"DECODER DIGITAL HD HNB100 2T")</f>
        <v>DECODER DIGITAL HD HNB100 2T</v>
      </c>
      <c r="B1793" s="22">
        <f>IFERROR(__xludf.DUMMYFUNCTION("""COMPUTED_VALUE"""),4.1001276E7)</f>
        <v>41001276</v>
      </c>
      <c r="C1793" s="21" t="str">
        <f>IFERROR(__xludf.DUMMYFUNCTION("""COMPUTED_VALUE"""),"216687668692")</f>
        <v>216687668692</v>
      </c>
      <c r="D1793" s="21" t="str">
        <f>IFERROR(__xludf.DUMMYFUNCTION("""COMPUTED_VALUE"""),"DIGITEC TECNOLOGIA DIGITAL E REPRES")</f>
        <v>DIGITEC TECNOLOGIA DIGITAL E REPRES</v>
      </c>
      <c r="E1793" s="21">
        <f>IFERROR(__xludf.DUMMYFUNCTION("""COMPUTED_VALUE"""),145359.0)</f>
        <v>145359</v>
      </c>
      <c r="F1793" s="21" t="str">
        <f>IFERROR(__xludf.DUMMYFUNCTION("""COMPUTED_VALUE"""),"INICIALIZADO")</f>
        <v>INICIALIZADO</v>
      </c>
      <c r="G1793" s="23">
        <f>IFERROR(__xludf.DUMMYFUNCTION("""COMPUTED_VALUE"""),45635.53501157407)</f>
        <v>45635.53501</v>
      </c>
      <c r="H1793" s="24" t="str">
        <f>IFERROR(VLOOKUP(B1793,material!A:D,3,0),"")</f>
        <v>TOP MIX</v>
      </c>
    </row>
    <row r="1794" ht="11.25" customHeight="1">
      <c r="A1794" s="21" t="str">
        <f>IFERROR(__xludf.DUMMYFUNCTION("""COMPUTED_VALUE"""),"DECODER DIGITAL HD HNB100 2T")</f>
        <v>DECODER DIGITAL HD HNB100 2T</v>
      </c>
      <c r="B1794" s="22">
        <f>IFERROR(__xludf.DUMMYFUNCTION("""COMPUTED_VALUE"""),4.1001276E7)</f>
        <v>41001276</v>
      </c>
      <c r="C1794" s="21" t="str">
        <f>IFERROR(__xludf.DUMMYFUNCTION("""COMPUTED_VALUE"""),"216358067075")</f>
        <v>216358067075</v>
      </c>
      <c r="D1794" s="21" t="str">
        <f>IFERROR(__xludf.DUMMYFUNCTION("""COMPUTED_VALUE"""),"DIGITEC TECNOLOGIA DIGITAL E REPRES")</f>
        <v>DIGITEC TECNOLOGIA DIGITAL E REPRES</v>
      </c>
      <c r="E1794" s="21">
        <f>IFERROR(__xludf.DUMMYFUNCTION("""COMPUTED_VALUE"""),145359.0)</f>
        <v>145359</v>
      </c>
      <c r="F1794" s="21" t="str">
        <f>IFERROR(__xludf.DUMMYFUNCTION("""COMPUTED_VALUE"""),"INICIALIZADO")</f>
        <v>INICIALIZADO</v>
      </c>
      <c r="G1794" s="23">
        <f>IFERROR(__xludf.DUMMYFUNCTION("""COMPUTED_VALUE"""),45635.535057870366)</f>
        <v>45635.53506</v>
      </c>
      <c r="H1794" s="24" t="str">
        <f>IFERROR(VLOOKUP(B1794,material!A:D,3,0),"")</f>
        <v>TOP MIX</v>
      </c>
    </row>
    <row r="1795" ht="11.25" customHeight="1">
      <c r="A1795" s="21" t="str">
        <f>IFERROR(__xludf.DUMMYFUNCTION("""COMPUTED_VALUE"""),"DECODER DIGITAL HD HNB100 2T")</f>
        <v>DECODER DIGITAL HD HNB100 2T</v>
      </c>
      <c r="B1795" s="22">
        <f>IFERROR(__xludf.DUMMYFUNCTION("""COMPUTED_VALUE"""),4.1001276E7)</f>
        <v>41001276</v>
      </c>
      <c r="C1795" s="21" t="str">
        <f>IFERROR(__xludf.DUMMYFUNCTION("""COMPUTED_VALUE"""),"216348190512")</f>
        <v>216348190512</v>
      </c>
      <c r="D1795" s="21" t="str">
        <f>IFERROR(__xludf.DUMMYFUNCTION("""COMPUTED_VALUE"""),"DIGITEC TECNOLOGIA DIGITAL E REPRES")</f>
        <v>DIGITEC TECNOLOGIA DIGITAL E REPRES</v>
      </c>
      <c r="E1795" s="21">
        <f>IFERROR(__xludf.DUMMYFUNCTION("""COMPUTED_VALUE"""),145359.0)</f>
        <v>145359</v>
      </c>
      <c r="F1795" s="21" t="str">
        <f>IFERROR(__xludf.DUMMYFUNCTION("""COMPUTED_VALUE"""),"INICIALIZADO")</f>
        <v>INICIALIZADO</v>
      </c>
      <c r="G1795" s="23">
        <f>IFERROR(__xludf.DUMMYFUNCTION("""COMPUTED_VALUE"""),45635.535057870366)</f>
        <v>45635.53506</v>
      </c>
      <c r="H1795" s="24" t="str">
        <f>IFERROR(VLOOKUP(B1795,material!A:D,3,0),"")</f>
        <v>TOP MIX</v>
      </c>
    </row>
    <row r="1796" ht="11.25" customHeight="1">
      <c r="A1796" s="21" t="str">
        <f>IFERROR(__xludf.DUMMYFUNCTION("""COMPUTED_VALUE"""),"DECODER DIGITAL HD HNB100 2T")</f>
        <v>DECODER DIGITAL HD HNB100 2T</v>
      </c>
      <c r="B1796" s="22">
        <f>IFERROR(__xludf.DUMMYFUNCTION("""COMPUTED_VALUE"""),4.1001276E7)</f>
        <v>41001276</v>
      </c>
      <c r="C1796" s="21" t="str">
        <f>IFERROR(__xludf.DUMMYFUNCTION("""COMPUTED_VALUE"""),"216679247893")</f>
        <v>216679247893</v>
      </c>
      <c r="D1796" s="21" t="str">
        <f>IFERROR(__xludf.DUMMYFUNCTION("""COMPUTED_VALUE"""),"DIGITEC TECNOLOGIA DIGITAL E REPRES")</f>
        <v>DIGITEC TECNOLOGIA DIGITAL E REPRES</v>
      </c>
      <c r="E1796" s="21">
        <f>IFERROR(__xludf.DUMMYFUNCTION("""COMPUTED_VALUE"""),145359.0)</f>
        <v>145359</v>
      </c>
      <c r="F1796" s="21" t="str">
        <f>IFERROR(__xludf.DUMMYFUNCTION("""COMPUTED_VALUE"""),"INICIALIZADO")</f>
        <v>INICIALIZADO</v>
      </c>
      <c r="G1796" s="23">
        <f>IFERROR(__xludf.DUMMYFUNCTION("""COMPUTED_VALUE"""),45642.52412037037)</f>
        <v>45642.52412</v>
      </c>
      <c r="H1796" s="24" t="str">
        <f>IFERROR(VLOOKUP(B1796,material!A:D,3,0),"")</f>
        <v>TOP MIX</v>
      </c>
    </row>
    <row r="1797" ht="11.25" customHeight="1">
      <c r="A1797" s="21" t="str">
        <f>IFERROR(__xludf.DUMMYFUNCTION("""COMPUTED_VALUE"""),"DECODER DIGITAL HD HNB100 2T")</f>
        <v>DECODER DIGITAL HD HNB100 2T</v>
      </c>
      <c r="B1797" s="22">
        <f>IFERROR(__xludf.DUMMYFUNCTION("""COMPUTED_VALUE"""),4.1001276E7)</f>
        <v>41001276</v>
      </c>
      <c r="C1797" s="21" t="str">
        <f>IFERROR(__xludf.DUMMYFUNCTION("""COMPUTED_VALUE"""),"184334019500")</f>
        <v>184334019500</v>
      </c>
      <c r="D1797" s="21" t="str">
        <f>IFERROR(__xludf.DUMMYFUNCTION("""COMPUTED_VALUE"""),"DIGITEC TECNOLOGIA DIGITAL E REPRES")</f>
        <v>DIGITEC TECNOLOGIA DIGITAL E REPRES</v>
      </c>
      <c r="E1797" s="21">
        <f>IFERROR(__xludf.DUMMYFUNCTION("""COMPUTED_VALUE"""),145359.0)</f>
        <v>145359</v>
      </c>
      <c r="F1797" s="21" t="str">
        <f>IFERROR(__xludf.DUMMYFUNCTION("""COMPUTED_VALUE"""),"INICIALIZADO")</f>
        <v>INICIALIZADO</v>
      </c>
      <c r="G1797" s="23">
        <f>IFERROR(__xludf.DUMMYFUNCTION("""COMPUTED_VALUE"""),45635.535046296296)</f>
        <v>45635.53505</v>
      </c>
      <c r="H1797" s="24" t="str">
        <f>IFERROR(VLOOKUP(B1797,material!A:D,3,0),"")</f>
        <v>TOP MIX</v>
      </c>
    </row>
    <row r="1798" ht="11.25" customHeight="1">
      <c r="A1798" s="21" t="str">
        <f>IFERROR(__xludf.DUMMYFUNCTION("""COMPUTED_VALUE"""),"DECODER DIGITAL HD HNB100 2T")</f>
        <v>DECODER DIGITAL HD HNB100 2T</v>
      </c>
      <c r="B1798" s="22">
        <f>IFERROR(__xludf.DUMMYFUNCTION("""COMPUTED_VALUE"""),4.1001276E7)</f>
        <v>41001276</v>
      </c>
      <c r="C1798" s="21" t="str">
        <f>IFERROR(__xludf.DUMMYFUNCTION("""COMPUTED_VALUE"""),"184334227780")</f>
        <v>184334227780</v>
      </c>
      <c r="D1798" s="21" t="str">
        <f>IFERROR(__xludf.DUMMYFUNCTION("""COMPUTED_VALUE"""),"DIGITEC TECNOLOGIA DIGITAL E REPRES")</f>
        <v>DIGITEC TECNOLOGIA DIGITAL E REPRES</v>
      </c>
      <c r="E1798" s="21">
        <f>IFERROR(__xludf.DUMMYFUNCTION("""COMPUTED_VALUE"""),145359.0)</f>
        <v>145359</v>
      </c>
      <c r="F1798" s="21" t="str">
        <f>IFERROR(__xludf.DUMMYFUNCTION("""COMPUTED_VALUE"""),"INICIALIZADO")</f>
        <v>INICIALIZADO</v>
      </c>
      <c r="G1798" s="23">
        <f>IFERROR(__xludf.DUMMYFUNCTION("""COMPUTED_VALUE"""),45635.535046296296)</f>
        <v>45635.53505</v>
      </c>
      <c r="H1798" s="24" t="str">
        <f>IFERROR(VLOOKUP(B1798,material!A:D,3,0),"")</f>
        <v>TOP MIX</v>
      </c>
    </row>
    <row r="1799" ht="11.25" customHeight="1">
      <c r="A1799" s="21" t="str">
        <f>IFERROR(__xludf.DUMMYFUNCTION("""COMPUTED_VALUE"""),"DECODER DIGITAL HD HNB100 2T")</f>
        <v>DECODER DIGITAL HD HNB100 2T</v>
      </c>
      <c r="B1799" s="22">
        <f>IFERROR(__xludf.DUMMYFUNCTION("""COMPUTED_VALUE"""),4.1001276E7)</f>
        <v>41001276</v>
      </c>
      <c r="C1799" s="21" t="str">
        <f>IFERROR(__xludf.DUMMYFUNCTION("""COMPUTED_VALUE"""),"216550404253")</f>
        <v>216550404253</v>
      </c>
      <c r="D1799" s="21" t="str">
        <f>IFERROR(__xludf.DUMMYFUNCTION("""COMPUTED_VALUE"""),"DIGITEC TECNOLOGIA DIGITAL E REPRES")</f>
        <v>DIGITEC TECNOLOGIA DIGITAL E REPRES</v>
      </c>
      <c r="E1799" s="21">
        <f>IFERROR(__xludf.DUMMYFUNCTION("""COMPUTED_VALUE"""),145359.0)</f>
        <v>145359</v>
      </c>
      <c r="F1799" s="21" t="str">
        <f>IFERROR(__xludf.DUMMYFUNCTION("""COMPUTED_VALUE"""),"INICIALIZADO")</f>
        <v>INICIALIZADO</v>
      </c>
      <c r="G1799" s="23">
        <f>IFERROR(__xludf.DUMMYFUNCTION("""COMPUTED_VALUE"""),45635.53506944445)</f>
        <v>45635.53507</v>
      </c>
      <c r="H1799" s="24" t="str">
        <f>IFERROR(VLOOKUP(B1799,material!A:D,3,0),"")</f>
        <v>TOP MIX</v>
      </c>
    </row>
    <row r="1800" ht="11.25" customHeight="1">
      <c r="A1800" s="21" t="str">
        <f>IFERROR(__xludf.DUMMYFUNCTION("""COMPUTED_VALUE"""),"DECODER DIGITAL HD HNB100 2T")</f>
        <v>DECODER DIGITAL HD HNB100 2T</v>
      </c>
      <c r="B1800" s="22">
        <f>IFERROR(__xludf.DUMMYFUNCTION("""COMPUTED_VALUE"""),4.1001276E7)</f>
        <v>41001276</v>
      </c>
      <c r="C1800" s="21" t="str">
        <f>IFERROR(__xludf.DUMMYFUNCTION("""COMPUTED_VALUE"""),"216551326677")</f>
        <v>216551326677</v>
      </c>
      <c r="D1800" s="21" t="str">
        <f>IFERROR(__xludf.DUMMYFUNCTION("""COMPUTED_VALUE"""),"DIGITEC TECNOLOGIA DIGITAL E REPRES")</f>
        <v>DIGITEC TECNOLOGIA DIGITAL E REPRES</v>
      </c>
      <c r="E1800" s="21">
        <f>IFERROR(__xludf.DUMMYFUNCTION("""COMPUTED_VALUE"""),145359.0)</f>
        <v>145359</v>
      </c>
      <c r="F1800" s="21" t="str">
        <f>IFERROR(__xludf.DUMMYFUNCTION("""COMPUTED_VALUE"""),"INICIALIZADO")</f>
        <v>INICIALIZADO</v>
      </c>
      <c r="G1800" s="23">
        <f>IFERROR(__xludf.DUMMYFUNCTION("""COMPUTED_VALUE"""),45635.53508101852)</f>
        <v>45635.53508</v>
      </c>
      <c r="H1800" s="24" t="str">
        <f>IFERROR(VLOOKUP(B1800,material!A:D,3,0),"")</f>
        <v>TOP MIX</v>
      </c>
    </row>
    <row r="1801" ht="11.25" customHeight="1">
      <c r="A1801" s="21" t="str">
        <f>IFERROR(__xludf.DUMMYFUNCTION("""COMPUTED_VALUE"""),"DECODER DIGITAL HD HNB100 2T")</f>
        <v>DECODER DIGITAL HD HNB100 2T</v>
      </c>
      <c r="B1801" s="22">
        <f>IFERROR(__xludf.DUMMYFUNCTION("""COMPUTED_VALUE"""),4.1001276E7)</f>
        <v>41001276</v>
      </c>
      <c r="C1801" s="21" t="str">
        <f>IFERROR(__xludf.DUMMYFUNCTION("""COMPUTED_VALUE"""),"216551838501")</f>
        <v>216551838501</v>
      </c>
      <c r="D1801" s="21" t="str">
        <f>IFERROR(__xludf.DUMMYFUNCTION("""COMPUTED_VALUE"""),"DIGITEC TECNOLOGIA DIGITAL E REPRES")</f>
        <v>DIGITEC TECNOLOGIA DIGITAL E REPRES</v>
      </c>
      <c r="E1801" s="21">
        <f>IFERROR(__xludf.DUMMYFUNCTION("""COMPUTED_VALUE"""),145359.0)</f>
        <v>145359</v>
      </c>
      <c r="F1801" s="21" t="str">
        <f>IFERROR(__xludf.DUMMYFUNCTION("""COMPUTED_VALUE"""),"INICIALIZADO")</f>
        <v>INICIALIZADO</v>
      </c>
      <c r="G1801" s="23">
        <f>IFERROR(__xludf.DUMMYFUNCTION("""COMPUTED_VALUE"""),45635.53508101852)</f>
        <v>45635.53508</v>
      </c>
      <c r="H1801" s="24" t="str">
        <f>IFERROR(VLOOKUP(B1801,material!A:D,3,0),"")</f>
        <v>TOP MIX</v>
      </c>
    </row>
    <row r="1802" ht="11.25" customHeight="1">
      <c r="A1802" s="21" t="str">
        <f>IFERROR(__xludf.DUMMYFUNCTION("""COMPUTED_VALUE"""),"DECODER DIGITAL HD HNB100 2T")</f>
        <v>DECODER DIGITAL HD HNB100 2T</v>
      </c>
      <c r="B1802" s="22">
        <f>IFERROR(__xludf.DUMMYFUNCTION("""COMPUTED_VALUE"""),4.1001276E7)</f>
        <v>41001276</v>
      </c>
      <c r="C1802" s="21" t="str">
        <f>IFERROR(__xludf.DUMMYFUNCTION("""COMPUTED_VALUE"""),"216512624247")</f>
        <v>216512624247</v>
      </c>
      <c r="D1802" s="21" t="str">
        <f>IFERROR(__xludf.DUMMYFUNCTION("""COMPUTED_VALUE"""),"DIGITEC TECNOLOGIA DIGITAL E REPRES")</f>
        <v>DIGITEC TECNOLOGIA DIGITAL E REPRES</v>
      </c>
      <c r="E1802" s="21">
        <f>IFERROR(__xludf.DUMMYFUNCTION("""COMPUTED_VALUE"""),145359.0)</f>
        <v>145359</v>
      </c>
      <c r="F1802" s="21" t="str">
        <f>IFERROR(__xludf.DUMMYFUNCTION("""COMPUTED_VALUE"""),"INICIALIZADO")</f>
        <v>INICIALIZADO</v>
      </c>
      <c r="G1802" s="23">
        <f>IFERROR(__xludf.DUMMYFUNCTION("""COMPUTED_VALUE"""),45635.53508101852)</f>
        <v>45635.53508</v>
      </c>
      <c r="H1802" s="24" t="str">
        <f>IFERROR(VLOOKUP(B1802,material!A:D,3,0),"")</f>
        <v>TOP MIX</v>
      </c>
    </row>
    <row r="1803" ht="11.25" customHeight="1">
      <c r="A1803" s="21" t="str">
        <f>IFERROR(__xludf.DUMMYFUNCTION("""COMPUTED_VALUE"""),"DECODER DIGITAL HD HNB100 2T")</f>
        <v>DECODER DIGITAL HD HNB100 2T</v>
      </c>
      <c r="B1803" s="22">
        <f>IFERROR(__xludf.DUMMYFUNCTION("""COMPUTED_VALUE"""),4.1001276E7)</f>
        <v>41001276</v>
      </c>
      <c r="C1803" s="21" t="str">
        <f>IFERROR(__xludf.DUMMYFUNCTION("""COMPUTED_VALUE"""),"216505123751")</f>
        <v>216505123751</v>
      </c>
      <c r="D1803" s="21" t="str">
        <f>IFERROR(__xludf.DUMMYFUNCTION("""COMPUTED_VALUE"""),"DIGITEC TECNOLOGIA DIGITAL E REPRES")</f>
        <v>DIGITEC TECNOLOGIA DIGITAL E REPRES</v>
      </c>
      <c r="E1803" s="21">
        <f>IFERROR(__xludf.DUMMYFUNCTION("""COMPUTED_VALUE"""),145359.0)</f>
        <v>145359</v>
      </c>
      <c r="F1803" s="21" t="str">
        <f>IFERROR(__xludf.DUMMYFUNCTION("""COMPUTED_VALUE"""),"INICIALIZADO")</f>
        <v>INICIALIZADO</v>
      </c>
      <c r="G1803" s="23">
        <f>IFERROR(__xludf.DUMMYFUNCTION("""COMPUTED_VALUE"""),45635.535046296296)</f>
        <v>45635.53505</v>
      </c>
      <c r="H1803" s="24" t="str">
        <f>IFERROR(VLOOKUP(B1803,material!A:D,3,0),"")</f>
        <v>TOP MIX</v>
      </c>
    </row>
    <row r="1804" ht="11.25" customHeight="1">
      <c r="A1804" s="21" t="str">
        <f>IFERROR(__xludf.DUMMYFUNCTION("""COMPUTED_VALUE"""),"DECODER DIGITAL HD HNB100 2T")</f>
        <v>DECODER DIGITAL HD HNB100 2T</v>
      </c>
      <c r="B1804" s="22">
        <f>IFERROR(__xludf.DUMMYFUNCTION("""COMPUTED_VALUE"""),4.1001276E7)</f>
        <v>41001276</v>
      </c>
      <c r="C1804" s="21" t="str">
        <f>IFERROR(__xludf.DUMMYFUNCTION("""COMPUTED_VALUE"""),"216502129710")</f>
        <v>216502129710</v>
      </c>
      <c r="D1804" s="21" t="str">
        <f>IFERROR(__xludf.DUMMYFUNCTION("""COMPUTED_VALUE"""),"DIGITEC TECNOLOGIA DIGITAL E REPRES")</f>
        <v>DIGITEC TECNOLOGIA DIGITAL E REPRES</v>
      </c>
      <c r="E1804" s="21">
        <f>IFERROR(__xludf.DUMMYFUNCTION("""COMPUTED_VALUE"""),145359.0)</f>
        <v>145359</v>
      </c>
      <c r="F1804" s="21" t="str">
        <f>IFERROR(__xludf.DUMMYFUNCTION("""COMPUTED_VALUE"""),"INICIALIZADO")</f>
        <v>INICIALIZADO</v>
      </c>
      <c r="G1804" s="23">
        <f>IFERROR(__xludf.DUMMYFUNCTION("""COMPUTED_VALUE"""),45635.535046296296)</f>
        <v>45635.53505</v>
      </c>
      <c r="H1804" s="24" t="str">
        <f>IFERROR(VLOOKUP(B1804,material!A:D,3,0),"")</f>
        <v>TOP MIX</v>
      </c>
    </row>
    <row r="1805" ht="11.25" customHeight="1">
      <c r="A1805" s="21" t="str">
        <f>IFERROR(__xludf.DUMMYFUNCTION("""COMPUTED_VALUE"""),"DECODER DIGITAL HD HNB100 2T")</f>
        <v>DECODER DIGITAL HD HNB100 2T</v>
      </c>
      <c r="B1805" s="22">
        <f>IFERROR(__xludf.DUMMYFUNCTION("""COMPUTED_VALUE"""),4.1001276E7)</f>
        <v>41001276</v>
      </c>
      <c r="C1805" s="21" t="str">
        <f>IFERROR(__xludf.DUMMYFUNCTION("""COMPUTED_VALUE"""),"184268672124")</f>
        <v>184268672124</v>
      </c>
      <c r="D1805" s="21" t="str">
        <f>IFERROR(__xludf.DUMMYFUNCTION("""COMPUTED_VALUE"""),"DIGITEC TECNOLOGIA DIGITAL E REPRES")</f>
        <v>DIGITEC TECNOLOGIA DIGITAL E REPRES</v>
      </c>
      <c r="E1805" s="21">
        <f>IFERROR(__xludf.DUMMYFUNCTION("""COMPUTED_VALUE"""),145359.0)</f>
        <v>145359</v>
      </c>
      <c r="F1805" s="21" t="str">
        <f>IFERROR(__xludf.DUMMYFUNCTION("""COMPUTED_VALUE"""),"INICIALIZADO")</f>
        <v>INICIALIZADO</v>
      </c>
      <c r="G1805" s="23">
        <f>IFERROR(__xludf.DUMMYFUNCTION("""COMPUTED_VALUE"""),45635.535057870366)</f>
        <v>45635.53506</v>
      </c>
      <c r="H1805" s="24" t="str">
        <f>IFERROR(VLOOKUP(B1805,material!A:D,3,0),"")</f>
        <v>TOP MIX</v>
      </c>
    </row>
    <row r="1806" ht="11.25" customHeight="1">
      <c r="A1806" s="21" t="str">
        <f>IFERROR(__xludf.DUMMYFUNCTION("""COMPUTED_VALUE"""),"DECODER DIGITAL HD HNB100 2T")</f>
        <v>DECODER DIGITAL HD HNB100 2T</v>
      </c>
      <c r="B1806" s="22">
        <f>IFERROR(__xludf.DUMMYFUNCTION("""COMPUTED_VALUE"""),4.1001276E7)</f>
        <v>41001276</v>
      </c>
      <c r="C1806" s="21" t="str">
        <f>IFERROR(__xludf.DUMMYFUNCTION("""COMPUTED_VALUE"""),"216404745862")</f>
        <v>216404745862</v>
      </c>
      <c r="D1806" s="21" t="str">
        <f>IFERROR(__xludf.DUMMYFUNCTION("""COMPUTED_VALUE"""),"DIGITEC TECNOLOGIA DIGITAL E REPRES")</f>
        <v>DIGITEC TECNOLOGIA DIGITAL E REPRES</v>
      </c>
      <c r="E1806" s="21">
        <f>IFERROR(__xludf.DUMMYFUNCTION("""COMPUTED_VALUE"""),145359.0)</f>
        <v>145359</v>
      </c>
      <c r="F1806" s="21" t="str">
        <f>IFERROR(__xludf.DUMMYFUNCTION("""COMPUTED_VALUE"""),"INICIALIZADO")</f>
        <v>INICIALIZADO</v>
      </c>
      <c r="G1806" s="23">
        <f>IFERROR(__xludf.DUMMYFUNCTION("""COMPUTED_VALUE"""),45635.535046296296)</f>
        <v>45635.53505</v>
      </c>
      <c r="H1806" s="24" t="str">
        <f>IFERROR(VLOOKUP(B1806,material!A:D,3,0),"")</f>
        <v>TOP MIX</v>
      </c>
    </row>
    <row r="1807" ht="11.25" customHeight="1">
      <c r="A1807" s="21" t="str">
        <f>IFERROR(__xludf.DUMMYFUNCTION("""COMPUTED_VALUE"""),"HUMAX HGB10R-02")</f>
        <v>HUMAX HGB10R-02</v>
      </c>
      <c r="B1807" s="22">
        <f>IFERROR(__xludf.DUMMYFUNCTION("""COMPUTED_VALUE"""),4.1001292E7)</f>
        <v>41001292</v>
      </c>
      <c r="C1807" s="21" t="str">
        <f>IFERROR(__xludf.DUMMYFUNCTION("""COMPUTED_VALUE"""),"E820E209A813")</f>
        <v>E820E209A813</v>
      </c>
      <c r="D1807" s="21" t="str">
        <f>IFERROR(__xludf.DUMMYFUNCTION("""COMPUTED_VALUE"""),"DIGITEC TECNOLOGIA DIGITAL E REPRES")</f>
        <v>DIGITEC TECNOLOGIA DIGITAL E REPRES</v>
      </c>
      <c r="E1807" s="21">
        <f>IFERROR(__xludf.DUMMYFUNCTION("""COMPUTED_VALUE"""),145359.0)</f>
        <v>145359</v>
      </c>
      <c r="F1807" s="21" t="str">
        <f>IFERROR(__xludf.DUMMYFUNCTION("""COMPUTED_VALUE"""),"TRANSITO REVERSA")</f>
        <v>TRANSITO REVERSA</v>
      </c>
      <c r="G1807" s="23">
        <f>IFERROR(__xludf.DUMMYFUNCTION("""COMPUTED_VALUE"""),45604.49068287037)</f>
        <v>45604.49068</v>
      </c>
      <c r="H1807" s="24" t="str">
        <f>IFERROR(VLOOKUP(B1807,material!A:D,3,0),"")</f>
        <v>DUAL</v>
      </c>
    </row>
    <row r="1808" ht="11.25" customHeight="1">
      <c r="A1808" s="21" t="str">
        <f>IFERROR(__xludf.DUMMYFUNCTION("""COMPUTED_VALUE"""),"DECODER DIGITAL HD HNB100 2T")</f>
        <v>DECODER DIGITAL HD HNB100 2T</v>
      </c>
      <c r="B1808" s="22">
        <f>IFERROR(__xludf.DUMMYFUNCTION("""COMPUTED_VALUE"""),4.1001276E7)</f>
        <v>41001276</v>
      </c>
      <c r="C1808" s="21" t="str">
        <f>IFERROR(__xludf.DUMMYFUNCTION("""COMPUTED_VALUE"""),"216838597182")</f>
        <v>216838597182</v>
      </c>
      <c r="D1808" s="21" t="str">
        <f>IFERROR(__xludf.DUMMYFUNCTION("""COMPUTED_VALUE"""),"DIGITEC TECNOLOGIA DIGITAL E REPRES")</f>
        <v>DIGITEC TECNOLOGIA DIGITAL E REPRES</v>
      </c>
      <c r="E1808" s="21">
        <f>IFERROR(__xludf.DUMMYFUNCTION("""COMPUTED_VALUE"""),145359.0)</f>
        <v>145359</v>
      </c>
      <c r="F1808" s="21" t="str">
        <f>IFERROR(__xludf.DUMMYFUNCTION("""COMPUTED_VALUE"""),"TRANSITO REVERSA")</f>
        <v>TRANSITO REVERSA</v>
      </c>
      <c r="G1808" s="23">
        <f>IFERROR(__xludf.DUMMYFUNCTION("""COMPUTED_VALUE"""),45638.52060185185)</f>
        <v>45638.5206</v>
      </c>
      <c r="H1808" s="24" t="str">
        <f>IFERROR(VLOOKUP(B1808,material!A:D,3,0),"")</f>
        <v>TOP MIX</v>
      </c>
    </row>
    <row r="1809" ht="11.25" customHeight="1">
      <c r="A1809" s="21" t="str">
        <f>IFERROR(__xludf.DUMMYFUNCTION("""COMPUTED_VALUE"""),"SMART CARD PRETO NAGRA")</f>
        <v>SMART CARD PRETO NAGRA</v>
      </c>
      <c r="B1809" s="22">
        <f>IFERROR(__xludf.DUMMYFUNCTION("""COMPUTED_VALUE"""),4.1001234E7)</f>
        <v>41001234</v>
      </c>
      <c r="C1809" s="21" t="str">
        <f>IFERROR(__xludf.DUMMYFUNCTION("""COMPUTED_VALUE"""),"226176071621")</f>
        <v>226176071621</v>
      </c>
      <c r="D1809" s="21" t="str">
        <f>IFERROR(__xludf.DUMMYFUNCTION("""COMPUTED_VALUE"""),"DIGITEC TECNOLOGIA DIGITAL E REPRES")</f>
        <v>DIGITEC TECNOLOGIA DIGITAL E REPRES</v>
      </c>
      <c r="E1809" s="21">
        <f>IFERROR(__xludf.DUMMYFUNCTION("""COMPUTED_VALUE"""),145359.0)</f>
        <v>145359</v>
      </c>
      <c r="F1809" s="21" t="str">
        <f>IFERROR(__xludf.DUMMYFUNCTION("""COMPUTED_VALUE"""),"TRANSITO REVERSA")</f>
        <v>TRANSITO REVERSA</v>
      </c>
      <c r="G1809" s="23">
        <f>IFERROR(__xludf.DUMMYFUNCTION("""COMPUTED_VALUE"""),45638.52111111111)</f>
        <v>45638.52111</v>
      </c>
      <c r="H1809" s="24" t="str">
        <f>IFERROR(VLOOKUP(B1809,material!A:D,3,0),"")</f>
        <v>CARD</v>
      </c>
    </row>
    <row r="1810" ht="11.25" customHeight="1">
      <c r="A1810" s="21" t="str">
        <f>IFERROR(__xludf.DUMMYFUNCTION("""COMPUTED_VALUE"""),"THOMSON HIGH DEFINITION DCI713")</f>
        <v>THOMSON HIGH DEFINITION DCI713</v>
      </c>
      <c r="B1810" s="22">
        <f>IFERROR(__xludf.DUMMYFUNCTION("""COMPUTED_VALUE"""),4.1001273E7)</f>
        <v>41001273</v>
      </c>
      <c r="C1810" s="21" t="str">
        <f>IFERROR(__xludf.DUMMYFUNCTION("""COMPUTED_VALUE"""),"184185637577")</f>
        <v>184185637577</v>
      </c>
      <c r="D1810" s="21" t="str">
        <f>IFERROR(__xludf.DUMMYFUNCTION("""COMPUTED_VALUE"""),"DIGITEC TECNOLOGIA DIGITAL E REPRES")</f>
        <v>DIGITEC TECNOLOGIA DIGITAL E REPRES</v>
      </c>
      <c r="E1810" s="21">
        <f>IFERROR(__xludf.DUMMYFUNCTION("""COMPUTED_VALUE"""),145359.0)</f>
        <v>145359</v>
      </c>
      <c r="F1810" s="21" t="str">
        <f>IFERROR(__xludf.DUMMYFUNCTION("""COMPUTED_VALUE"""),"TRANSITO REVERSA")</f>
        <v>TRANSITO REVERSA</v>
      </c>
      <c r="G1810" s="23">
        <f>IFERROR(__xludf.DUMMYFUNCTION("""COMPUTED_VALUE"""),45633.003958333335)</f>
        <v>45633.00396</v>
      </c>
      <c r="H1810" s="24" t="str">
        <f>IFERROR(VLOOKUP(B1810,material!A:D,3,0),"")</f>
        <v>LEGADO</v>
      </c>
    </row>
    <row r="1811" ht="11.25" customHeight="1">
      <c r="A1811" s="21" t="str">
        <f>IFERROR(__xludf.DUMMYFUNCTION("""COMPUTED_VALUE"""),"SMART CARD LARANJA NAGRA")</f>
        <v>SMART CARD LARANJA NAGRA</v>
      </c>
      <c r="B1811" s="22">
        <f>IFERROR(__xludf.DUMMYFUNCTION("""COMPUTED_VALUE"""),4.1001186E7)</f>
        <v>41001186</v>
      </c>
      <c r="C1811" s="21" t="str">
        <f>IFERROR(__xludf.DUMMYFUNCTION("""COMPUTED_VALUE"""),"215694204060")</f>
        <v>215694204060</v>
      </c>
      <c r="D1811" s="21" t="str">
        <f>IFERROR(__xludf.DUMMYFUNCTION("""COMPUTED_VALUE"""),"DIGITEC TECNOLOGIA DIGITAL E REPRES")</f>
        <v>DIGITEC TECNOLOGIA DIGITAL E REPRES</v>
      </c>
      <c r="E1811" s="21">
        <f>IFERROR(__xludf.DUMMYFUNCTION("""COMPUTED_VALUE"""),145359.0)</f>
        <v>145359</v>
      </c>
      <c r="F1811" s="21" t="str">
        <f>IFERROR(__xludf.DUMMYFUNCTION("""COMPUTED_VALUE"""),"TRANSITO REVERSA")</f>
        <v>TRANSITO REVERSA</v>
      </c>
      <c r="G1811" s="23">
        <f>IFERROR(__xludf.DUMMYFUNCTION("""COMPUTED_VALUE"""),45617.87138888889)</f>
        <v>45617.87139</v>
      </c>
      <c r="H1811" s="24" t="str">
        <f>IFERROR(VLOOKUP(B1811,material!A:D,3,0),"")</f>
        <v>CARD</v>
      </c>
    </row>
    <row r="1812" ht="11.25" customHeight="1">
      <c r="A1812" s="21" t="str">
        <f>IFERROR(__xludf.DUMMYFUNCTION("""COMPUTED_VALUE"""),"SMART CARD PRETO NAGRA")</f>
        <v>SMART CARD PRETO NAGRA</v>
      </c>
      <c r="B1812" s="22">
        <f>IFERROR(__xludf.DUMMYFUNCTION("""COMPUTED_VALUE"""),4.1001234E7)</f>
        <v>41001234</v>
      </c>
      <c r="C1812" s="21" t="str">
        <f>IFERROR(__xludf.DUMMYFUNCTION("""COMPUTED_VALUE"""),"246040308393")</f>
        <v>246040308393</v>
      </c>
      <c r="D1812" s="21" t="str">
        <f>IFERROR(__xludf.DUMMYFUNCTION("""COMPUTED_VALUE"""),"DIGITEC TECNOLOGIA DIGITAL E REPRES")</f>
        <v>DIGITEC TECNOLOGIA DIGITAL E REPRES</v>
      </c>
      <c r="E1812" s="21">
        <f>IFERROR(__xludf.DUMMYFUNCTION("""COMPUTED_VALUE"""),145359.0)</f>
        <v>145359</v>
      </c>
      <c r="F1812" s="21" t="str">
        <f>IFERROR(__xludf.DUMMYFUNCTION("""COMPUTED_VALUE"""),"INICIALIZADO")</f>
        <v>INICIALIZADO</v>
      </c>
      <c r="G1812" s="23">
        <f>IFERROR(__xludf.DUMMYFUNCTION("""COMPUTED_VALUE"""),45642.524097222224)</f>
        <v>45642.5241</v>
      </c>
      <c r="H1812" s="24" t="str">
        <f>IFERROR(VLOOKUP(B1812,material!A:D,3,0),"")</f>
        <v>CARD</v>
      </c>
    </row>
    <row r="1813" ht="11.25" customHeight="1">
      <c r="A1813" s="21" t="str">
        <f>IFERROR(__xludf.DUMMYFUNCTION("""COMPUTED_VALUE"""),"SMART CARD PRETO NAGRA")</f>
        <v>SMART CARD PRETO NAGRA</v>
      </c>
      <c r="B1813" s="22">
        <f>IFERROR(__xludf.DUMMYFUNCTION("""COMPUTED_VALUE"""),4.1001234E7)</f>
        <v>41001234</v>
      </c>
      <c r="C1813" s="21" t="str">
        <f>IFERROR(__xludf.DUMMYFUNCTION("""COMPUTED_VALUE"""),"226417078687")</f>
        <v>226417078687</v>
      </c>
      <c r="D1813" s="21" t="str">
        <f>IFERROR(__xludf.DUMMYFUNCTION("""COMPUTED_VALUE"""),"DIGITEC TECNOLOGIA DIGITAL E REPRES")</f>
        <v>DIGITEC TECNOLOGIA DIGITAL E REPRES</v>
      </c>
      <c r="E1813" s="21">
        <f>IFERROR(__xludf.DUMMYFUNCTION("""COMPUTED_VALUE"""),145359.0)</f>
        <v>145359</v>
      </c>
      <c r="F1813" s="21" t="str">
        <f>IFERROR(__xludf.DUMMYFUNCTION("""COMPUTED_VALUE"""),"INICIALIZADO")</f>
        <v>INICIALIZADO</v>
      </c>
      <c r="G1813" s="23">
        <f>IFERROR(__xludf.DUMMYFUNCTION("""COMPUTED_VALUE"""),45635.53496527778)</f>
        <v>45635.53497</v>
      </c>
      <c r="H1813" s="24" t="str">
        <f>IFERROR(VLOOKUP(B1813,material!A:D,3,0),"")</f>
        <v>CARD</v>
      </c>
    </row>
    <row r="1814" ht="11.25" customHeight="1">
      <c r="A1814" s="21" t="str">
        <f>IFERROR(__xludf.DUMMYFUNCTION("""COMPUTED_VALUE"""),"SMART CARD LARANJA NAGRA")</f>
        <v>SMART CARD LARANJA NAGRA</v>
      </c>
      <c r="B1814" s="22">
        <f>IFERROR(__xludf.DUMMYFUNCTION("""COMPUTED_VALUE"""),4.1001186E7)</f>
        <v>41001186</v>
      </c>
      <c r="C1814" s="21" t="str">
        <f>IFERROR(__xludf.DUMMYFUNCTION("""COMPUTED_VALUE"""),"215681587777")</f>
        <v>215681587777</v>
      </c>
      <c r="D1814" s="21" t="str">
        <f>IFERROR(__xludf.DUMMYFUNCTION("""COMPUTED_VALUE"""),"DIGITEC TECNOLOGIA DIGITAL E REPRES")</f>
        <v>DIGITEC TECNOLOGIA DIGITAL E REPRES</v>
      </c>
      <c r="E1814" s="21">
        <f>IFERROR(__xludf.DUMMYFUNCTION("""COMPUTED_VALUE"""),145359.0)</f>
        <v>145359</v>
      </c>
      <c r="F1814" s="21" t="str">
        <f>IFERROR(__xludf.DUMMYFUNCTION("""COMPUTED_VALUE"""),"SUCATA")</f>
        <v>SUCATA</v>
      </c>
      <c r="G1814" s="23">
        <f>IFERROR(__xludf.DUMMYFUNCTION("""COMPUTED_VALUE"""),45075.58660879629)</f>
        <v>45075.58661</v>
      </c>
      <c r="H1814" s="24" t="str">
        <f>IFERROR(VLOOKUP(B1814,material!A:D,3,0),"")</f>
        <v>CARD</v>
      </c>
    </row>
    <row r="1815" ht="11.25" customHeight="1">
      <c r="A1815" s="21" t="str">
        <f>IFERROR(__xludf.DUMMYFUNCTION("""COMPUTED_VALUE"""),"DECODER DIGITAL HD HNB100 2T")</f>
        <v>DECODER DIGITAL HD HNB100 2T</v>
      </c>
      <c r="B1815" s="22">
        <f>IFERROR(__xludf.DUMMYFUNCTION("""COMPUTED_VALUE"""),4.1001276E7)</f>
        <v>41001276</v>
      </c>
      <c r="C1815" s="21" t="str">
        <f>IFERROR(__xludf.DUMMYFUNCTION("""COMPUTED_VALUE"""),"216609066072")</f>
        <v>216609066072</v>
      </c>
      <c r="D1815" s="21" t="str">
        <f>IFERROR(__xludf.DUMMYFUNCTION("""COMPUTED_VALUE"""),"DIGITEC TECNOLOGIA DIGITAL E REPRES")</f>
        <v>DIGITEC TECNOLOGIA DIGITAL E REPRES</v>
      </c>
      <c r="E1815" s="21">
        <f>IFERROR(__xludf.DUMMYFUNCTION("""COMPUTED_VALUE"""),145359.0)</f>
        <v>145359</v>
      </c>
      <c r="F1815" s="21" t="str">
        <f>IFERROR(__xludf.DUMMYFUNCTION("""COMPUTED_VALUE"""),"TRANSITO REVERSA")</f>
        <v>TRANSITO REVERSA</v>
      </c>
      <c r="G1815" s="23">
        <f>IFERROR(__xludf.DUMMYFUNCTION("""COMPUTED_VALUE"""),45626.2987037037)</f>
        <v>45626.2987</v>
      </c>
      <c r="H1815" s="24" t="str">
        <f>IFERROR(VLOOKUP(B1815,material!A:D,3,0),"")</f>
        <v>TOP MIX</v>
      </c>
    </row>
    <row r="1816" ht="11.25" customHeight="1">
      <c r="A1816" s="21" t="str">
        <f>IFERROR(__xludf.DUMMYFUNCTION("""COMPUTED_VALUE"""),"SMART CARD LARANJA NAGRA")</f>
        <v>SMART CARD LARANJA NAGRA</v>
      </c>
      <c r="B1816" s="22">
        <f>IFERROR(__xludf.DUMMYFUNCTION("""COMPUTED_VALUE"""),4.1001186E7)</f>
        <v>41001186</v>
      </c>
      <c r="C1816" s="21" t="str">
        <f>IFERROR(__xludf.DUMMYFUNCTION("""COMPUTED_VALUE"""),"215693550304")</f>
        <v>215693550304</v>
      </c>
      <c r="D1816" s="21" t="str">
        <f>IFERROR(__xludf.DUMMYFUNCTION("""COMPUTED_VALUE"""),"DIGITEC TECNOLOGIA DIGITAL E REPRES")</f>
        <v>DIGITEC TECNOLOGIA DIGITAL E REPRES</v>
      </c>
      <c r="E1816" s="21">
        <f>IFERROR(__xludf.DUMMYFUNCTION("""COMPUTED_VALUE"""),145359.0)</f>
        <v>145359</v>
      </c>
      <c r="F1816" s="21" t="str">
        <f>IFERROR(__xludf.DUMMYFUNCTION("""COMPUTED_VALUE"""),"SUCATA")</f>
        <v>SUCATA</v>
      </c>
      <c r="G1816" s="23">
        <f>IFERROR(__xludf.DUMMYFUNCTION("""COMPUTED_VALUE"""),45075.58660879629)</f>
        <v>45075.58661</v>
      </c>
      <c r="H1816" s="24" t="str">
        <f>IFERROR(VLOOKUP(B1816,material!A:D,3,0),"")</f>
        <v>CARD</v>
      </c>
    </row>
    <row r="1817" ht="11.25" customHeight="1">
      <c r="A1817" s="21" t="str">
        <f>IFERROR(__xludf.DUMMYFUNCTION("""COMPUTED_VALUE"""),"DECODER DIGITAL HD HNB100 2T")</f>
        <v>DECODER DIGITAL HD HNB100 2T</v>
      </c>
      <c r="B1817" s="22">
        <f>IFERROR(__xludf.DUMMYFUNCTION("""COMPUTED_VALUE"""),4.1001276E7)</f>
        <v>41001276</v>
      </c>
      <c r="C1817" s="21" t="str">
        <f>IFERROR(__xludf.DUMMYFUNCTION("""COMPUTED_VALUE"""),"216358360214")</f>
        <v>216358360214</v>
      </c>
      <c r="D1817" s="21" t="str">
        <f>IFERROR(__xludf.DUMMYFUNCTION("""COMPUTED_VALUE"""),"DIGITEC TECNOLOGIA DIGITAL E REPRES")</f>
        <v>DIGITEC TECNOLOGIA DIGITAL E REPRES</v>
      </c>
      <c r="E1817" s="21">
        <f>IFERROR(__xludf.DUMMYFUNCTION("""COMPUTED_VALUE"""),145359.0)</f>
        <v>145359</v>
      </c>
      <c r="F1817" s="21" t="str">
        <f>IFERROR(__xludf.DUMMYFUNCTION("""COMPUTED_VALUE"""),"INICIALIZADO")</f>
        <v>INICIALIZADO</v>
      </c>
      <c r="G1817" s="23">
        <f>IFERROR(__xludf.DUMMYFUNCTION("""COMPUTED_VALUE"""),45635.535057870366)</f>
        <v>45635.53506</v>
      </c>
      <c r="H1817" s="24" t="str">
        <f>IFERROR(VLOOKUP(B1817,material!A:D,3,0),"")</f>
        <v>TOP MIX</v>
      </c>
    </row>
    <row r="1818" ht="11.25" customHeight="1">
      <c r="A1818" s="21" t="str">
        <f>IFERROR(__xludf.DUMMYFUNCTION("""COMPUTED_VALUE"""),"SMART CARD PRETO NAGRA")</f>
        <v>SMART CARD PRETO NAGRA</v>
      </c>
      <c r="B1818" s="22">
        <f>IFERROR(__xludf.DUMMYFUNCTION("""COMPUTED_VALUE"""),4.1001234E7)</f>
        <v>41001234</v>
      </c>
      <c r="C1818" s="21" t="str">
        <f>IFERROR(__xludf.DUMMYFUNCTION("""COMPUTED_VALUE"""),"226213256484")</f>
        <v>226213256484</v>
      </c>
      <c r="D1818" s="21" t="str">
        <f>IFERROR(__xludf.DUMMYFUNCTION("""COMPUTED_VALUE"""),"DIGITEC TECNOLOGIA DIGITAL E REPRES")</f>
        <v>DIGITEC TECNOLOGIA DIGITAL E REPRES</v>
      </c>
      <c r="E1818" s="21">
        <f>IFERROR(__xludf.DUMMYFUNCTION("""COMPUTED_VALUE"""),145359.0)</f>
        <v>145359</v>
      </c>
      <c r="F1818" s="21" t="str">
        <f>IFERROR(__xludf.DUMMYFUNCTION("""COMPUTED_VALUE"""),"INICIALIZADO")</f>
        <v>INICIALIZADO</v>
      </c>
      <c r="G1818" s="23">
        <f>IFERROR(__xludf.DUMMYFUNCTION("""COMPUTED_VALUE"""),45635.53494212963)</f>
        <v>45635.53494</v>
      </c>
      <c r="H1818" s="24" t="str">
        <f>IFERROR(VLOOKUP(B1818,material!A:D,3,0),"")</f>
        <v>CARD</v>
      </c>
    </row>
    <row r="1819" ht="11.25" customHeight="1">
      <c r="A1819" s="21" t="str">
        <f>IFERROR(__xludf.DUMMYFUNCTION("""COMPUTED_VALUE"""),"DECODER DIGITAL HD HNB100 2T")</f>
        <v>DECODER DIGITAL HD HNB100 2T</v>
      </c>
      <c r="B1819" s="22">
        <f>IFERROR(__xludf.DUMMYFUNCTION("""COMPUTED_VALUE"""),4.1001276E7)</f>
        <v>41001276</v>
      </c>
      <c r="C1819" s="21" t="str">
        <f>IFERROR(__xludf.DUMMYFUNCTION("""COMPUTED_VALUE"""),"216352005474")</f>
        <v>216352005474</v>
      </c>
      <c r="D1819" s="21" t="str">
        <f>IFERROR(__xludf.DUMMYFUNCTION("""COMPUTED_VALUE"""),"DIGITEC TECNOLOGIA DIGITAL E REPRES")</f>
        <v>DIGITEC TECNOLOGIA DIGITAL E REPRES</v>
      </c>
      <c r="E1819" s="21">
        <f>IFERROR(__xludf.DUMMYFUNCTION("""COMPUTED_VALUE"""),145359.0)</f>
        <v>145359</v>
      </c>
      <c r="F1819" s="21" t="str">
        <f>IFERROR(__xludf.DUMMYFUNCTION("""COMPUTED_VALUE"""),"INICIALIZADO")</f>
        <v>INICIALIZADO</v>
      </c>
      <c r="G1819" s="23">
        <f>IFERROR(__xludf.DUMMYFUNCTION("""COMPUTED_VALUE"""),45635.535057870366)</f>
        <v>45635.53506</v>
      </c>
      <c r="H1819" s="24" t="str">
        <f>IFERROR(VLOOKUP(B1819,material!A:D,3,0),"")</f>
        <v>TOP MIX</v>
      </c>
    </row>
    <row r="1820" ht="11.25" customHeight="1">
      <c r="A1820" s="21" t="str">
        <f>IFERROR(__xludf.DUMMYFUNCTION("""COMPUTED_VALUE"""),"SMART CARD PRETO NAGRA")</f>
        <v>SMART CARD PRETO NAGRA</v>
      </c>
      <c r="B1820" s="22">
        <f>IFERROR(__xludf.DUMMYFUNCTION("""COMPUTED_VALUE"""),4.1001234E7)</f>
        <v>41001234</v>
      </c>
      <c r="C1820" s="21" t="str">
        <f>IFERROR(__xludf.DUMMYFUNCTION("""COMPUTED_VALUE"""),"226087130820")</f>
        <v>226087130820</v>
      </c>
      <c r="D1820" s="21" t="str">
        <f>IFERROR(__xludf.DUMMYFUNCTION("""COMPUTED_VALUE"""),"DIGITEC TECNOLOGIA DIGITAL E REPRES")</f>
        <v>DIGITEC TECNOLOGIA DIGITAL E REPRES</v>
      </c>
      <c r="E1820" s="21">
        <f>IFERROR(__xludf.DUMMYFUNCTION("""COMPUTED_VALUE"""),145359.0)</f>
        <v>145359</v>
      </c>
      <c r="F1820" s="21" t="str">
        <f>IFERROR(__xludf.DUMMYFUNCTION("""COMPUTED_VALUE"""),"INICIALIZADO")</f>
        <v>INICIALIZADO</v>
      </c>
      <c r="G1820" s="23">
        <f>IFERROR(__xludf.DUMMYFUNCTION("""COMPUTED_VALUE"""),45635.534953703704)</f>
        <v>45635.53495</v>
      </c>
      <c r="H1820" s="24" t="str">
        <f>IFERROR(VLOOKUP(B1820,material!A:D,3,0),"")</f>
        <v>CARD</v>
      </c>
    </row>
    <row r="1821" ht="11.25" customHeight="1">
      <c r="A1821" s="21" t="str">
        <f>IFERROR(__xludf.DUMMYFUNCTION("""COMPUTED_VALUE"""),"SMART SIM CARD NAGRA")</f>
        <v>SMART SIM CARD NAGRA</v>
      </c>
      <c r="B1821" s="22">
        <f>IFERROR(__xludf.DUMMYFUNCTION("""COMPUTED_VALUE"""),4.1000805E7)</f>
        <v>41000805</v>
      </c>
      <c r="C1821" s="21" t="str">
        <f>IFERROR(__xludf.DUMMYFUNCTION("""COMPUTED_VALUE"""),"246424588893")</f>
        <v>246424588893</v>
      </c>
      <c r="D1821" s="21" t="str">
        <f>IFERROR(__xludf.DUMMYFUNCTION("""COMPUTED_VALUE"""),"DIGITEC TECNOLOGIA DIGITAL E REPRES")</f>
        <v>DIGITEC TECNOLOGIA DIGITAL E REPRES</v>
      </c>
      <c r="E1821" s="21">
        <f>IFERROR(__xludf.DUMMYFUNCTION("""COMPUTED_VALUE"""),145359.0)</f>
        <v>145359</v>
      </c>
      <c r="F1821" s="21" t="str">
        <f>IFERROR(__xludf.DUMMYFUNCTION("""COMPUTED_VALUE"""),"TRANSITO REVERSA")</f>
        <v>TRANSITO REVERSA</v>
      </c>
      <c r="G1821" s="23">
        <f>IFERROR(__xludf.DUMMYFUNCTION("""COMPUTED_VALUE"""),45626.29871527778)</f>
        <v>45626.29872</v>
      </c>
      <c r="H1821" s="24" t="str">
        <f>IFERROR(VLOOKUP(B1821,material!A:D,3,0),"")</f>
        <v>SIM CARD</v>
      </c>
    </row>
    <row r="1822" ht="11.25" customHeight="1">
      <c r="A1822" s="21" t="str">
        <f>IFERROR(__xludf.DUMMYFUNCTION("""COMPUTED_VALUE"""),"SMART SIM CARD NAGRA")</f>
        <v>SMART SIM CARD NAGRA</v>
      </c>
      <c r="B1822" s="22">
        <f>IFERROR(__xludf.DUMMYFUNCTION("""COMPUTED_VALUE"""),4.1000805E7)</f>
        <v>41000805</v>
      </c>
      <c r="C1822" s="21" t="str">
        <f>IFERROR(__xludf.DUMMYFUNCTION("""COMPUTED_VALUE"""),"246423932029")</f>
        <v>246423932029</v>
      </c>
      <c r="D1822" s="21" t="str">
        <f>IFERROR(__xludf.DUMMYFUNCTION("""COMPUTED_VALUE"""),"DIGITEC TECNOLOGIA DIGITAL E REPRES")</f>
        <v>DIGITEC TECNOLOGIA DIGITAL E REPRES</v>
      </c>
      <c r="E1822" s="21">
        <f>IFERROR(__xludf.DUMMYFUNCTION("""COMPUTED_VALUE"""),145359.0)</f>
        <v>145359</v>
      </c>
      <c r="F1822" s="21" t="str">
        <f>IFERROR(__xludf.DUMMYFUNCTION("""COMPUTED_VALUE"""),"TRANSITO REVERSA")</f>
        <v>TRANSITO REVERSA</v>
      </c>
      <c r="G1822" s="23">
        <f>IFERROR(__xludf.DUMMYFUNCTION("""COMPUTED_VALUE"""),45626.29924768519)</f>
        <v>45626.29925</v>
      </c>
      <c r="H1822" s="24" t="str">
        <f>IFERROR(VLOOKUP(B1822,material!A:D,3,0),"")</f>
        <v>SIM CARD</v>
      </c>
    </row>
    <row r="1823" ht="11.25" customHeight="1">
      <c r="A1823" s="21" t="str">
        <f>IFERROR(__xludf.DUMMYFUNCTION("""COMPUTED_VALUE"""),"SMART SIM CARD NAGRA")</f>
        <v>SMART SIM CARD NAGRA</v>
      </c>
      <c r="B1823" s="22">
        <f>IFERROR(__xludf.DUMMYFUNCTION("""COMPUTED_VALUE"""),4.1000805E7)</f>
        <v>41000805</v>
      </c>
      <c r="C1823" s="21" t="str">
        <f>IFERROR(__xludf.DUMMYFUNCTION("""COMPUTED_VALUE"""),"246423915764")</f>
        <v>246423915764</v>
      </c>
      <c r="D1823" s="21" t="str">
        <f>IFERROR(__xludf.DUMMYFUNCTION("""COMPUTED_VALUE"""),"DIGITEC TECNOLOGIA DIGITAL E REPRES")</f>
        <v>DIGITEC TECNOLOGIA DIGITAL E REPRES</v>
      </c>
      <c r="E1823" s="21">
        <f>IFERROR(__xludf.DUMMYFUNCTION("""COMPUTED_VALUE"""),145359.0)</f>
        <v>145359</v>
      </c>
      <c r="F1823" s="21" t="str">
        <f>IFERROR(__xludf.DUMMYFUNCTION("""COMPUTED_VALUE"""),"TRANSITO REVERSA")</f>
        <v>TRANSITO REVERSA</v>
      </c>
      <c r="G1823" s="23">
        <f>IFERROR(__xludf.DUMMYFUNCTION("""COMPUTED_VALUE"""),45626.298692129625)</f>
        <v>45626.29869</v>
      </c>
      <c r="H1823" s="24" t="str">
        <f>IFERROR(VLOOKUP(B1823,material!A:D,3,0),"")</f>
        <v>SIM CARD</v>
      </c>
    </row>
    <row r="1824" ht="11.25" customHeight="1">
      <c r="A1824" s="21" t="str">
        <f>IFERROR(__xludf.DUMMYFUNCTION("""COMPUTED_VALUE"""),"SMART SIM CARD NAGRA")</f>
        <v>SMART SIM CARD NAGRA</v>
      </c>
      <c r="B1824" s="22">
        <f>IFERROR(__xludf.DUMMYFUNCTION("""COMPUTED_VALUE"""),4.1000805E7)</f>
        <v>41000805</v>
      </c>
      <c r="C1824" s="21" t="str">
        <f>IFERROR(__xludf.DUMMYFUNCTION("""COMPUTED_VALUE"""),"246425685454")</f>
        <v>246425685454</v>
      </c>
      <c r="D1824" s="21" t="str">
        <f>IFERROR(__xludf.DUMMYFUNCTION("""COMPUTED_VALUE"""),"DIGITEC TECNOLOGIA DIGITAL E REPRES")</f>
        <v>DIGITEC TECNOLOGIA DIGITAL E REPRES</v>
      </c>
      <c r="E1824" s="21">
        <f>IFERROR(__xludf.DUMMYFUNCTION("""COMPUTED_VALUE"""),145359.0)</f>
        <v>145359</v>
      </c>
      <c r="F1824" s="21" t="str">
        <f>IFERROR(__xludf.DUMMYFUNCTION("""COMPUTED_VALUE"""),"TRANSITO REVERSA")</f>
        <v>TRANSITO REVERSA</v>
      </c>
      <c r="G1824" s="23">
        <f>IFERROR(__xludf.DUMMYFUNCTION("""COMPUTED_VALUE"""),45422.81277777778)</f>
        <v>45422.81278</v>
      </c>
      <c r="H1824" s="24" t="str">
        <f>IFERROR(VLOOKUP(B1824,material!A:D,3,0),"")</f>
        <v>SIM CARD</v>
      </c>
    </row>
    <row r="1825" ht="11.25" customHeight="1">
      <c r="A1825" s="21" t="str">
        <f>IFERROR(__xludf.DUMMYFUNCTION("""COMPUTED_VALUE"""),"SAG4KC362")</f>
        <v>SAG4KC362</v>
      </c>
      <c r="B1825" s="22">
        <f>IFERROR(__xludf.DUMMYFUNCTION("""COMPUTED_VALUE"""),4.1001068E7)</f>
        <v>41001068</v>
      </c>
      <c r="C1825" s="21" t="str">
        <f>IFERROR(__xludf.DUMMYFUNCTION("""COMPUTED_VALUE"""),"216888677782")</f>
        <v>216888677782</v>
      </c>
      <c r="D1825" s="21" t="str">
        <f>IFERROR(__xludf.DUMMYFUNCTION("""COMPUTED_VALUE"""),"DIGITEC TECNOLOGIA DIGITAL E REPRES")</f>
        <v>DIGITEC TECNOLOGIA DIGITAL E REPRES</v>
      </c>
      <c r="E1825" s="21">
        <f>IFERROR(__xludf.DUMMYFUNCTION("""COMPUTED_VALUE"""),145359.0)</f>
        <v>145359</v>
      </c>
      <c r="F1825" s="21" t="str">
        <f>IFERROR(__xludf.DUMMYFUNCTION("""COMPUTED_VALUE"""),"TRANSITO REVERSA")</f>
        <v>TRANSITO REVERSA</v>
      </c>
      <c r="G1825" s="23">
        <f>IFERROR(__xludf.DUMMYFUNCTION("""COMPUTED_VALUE"""),45626.2987037037)</f>
        <v>45626.2987</v>
      </c>
      <c r="H1825" s="24" t="str">
        <f>IFERROR(VLOOKUP(B1825,material!A:D,3,0),"")</f>
        <v>4K</v>
      </c>
    </row>
    <row r="1826" ht="11.25" customHeight="1">
      <c r="A1826" s="21" t="str">
        <f>IFERROR(__xludf.DUMMYFUNCTION("""COMPUTED_VALUE"""),"SAG4KC362")</f>
        <v>SAG4KC362</v>
      </c>
      <c r="B1826" s="22">
        <f>IFERROR(__xludf.DUMMYFUNCTION("""COMPUTED_VALUE"""),4.1001068E7)</f>
        <v>41001068</v>
      </c>
      <c r="C1826" s="21" t="str">
        <f>IFERROR(__xludf.DUMMYFUNCTION("""COMPUTED_VALUE"""),"216856553649")</f>
        <v>216856553649</v>
      </c>
      <c r="D1826" s="21" t="str">
        <f>IFERROR(__xludf.DUMMYFUNCTION("""COMPUTED_VALUE"""),"DIGITEC TECNOLOGIA DIGITAL E REPRES")</f>
        <v>DIGITEC TECNOLOGIA DIGITAL E REPRES</v>
      </c>
      <c r="E1826" s="21">
        <f>IFERROR(__xludf.DUMMYFUNCTION("""COMPUTED_VALUE"""),145359.0)</f>
        <v>145359</v>
      </c>
      <c r="F1826" s="21" t="str">
        <f>IFERROR(__xludf.DUMMYFUNCTION("""COMPUTED_VALUE"""),"TRANSITO REVERSA")</f>
        <v>TRANSITO REVERSA</v>
      </c>
      <c r="G1826" s="23">
        <f>IFERROR(__xludf.DUMMYFUNCTION("""COMPUTED_VALUE"""),45626.2987037037)</f>
        <v>45626.2987</v>
      </c>
      <c r="H1826" s="24" t="str">
        <f>IFERROR(VLOOKUP(B1826,material!A:D,3,0),"")</f>
        <v>4K</v>
      </c>
    </row>
    <row r="1827" ht="11.25" customHeight="1">
      <c r="A1827" s="21" t="str">
        <f>IFERROR(__xludf.DUMMYFUNCTION("""COMPUTED_VALUE"""),"SMART SIM CARD NAGRA")</f>
        <v>SMART SIM CARD NAGRA</v>
      </c>
      <c r="B1827" s="22">
        <f>IFERROR(__xludf.DUMMYFUNCTION("""COMPUTED_VALUE"""),4.1000805E7)</f>
        <v>41000805</v>
      </c>
      <c r="C1827" s="21" t="str">
        <f>IFERROR(__xludf.DUMMYFUNCTION("""COMPUTED_VALUE"""),"246425259093")</f>
        <v>246425259093</v>
      </c>
      <c r="D1827" s="21" t="str">
        <f>IFERROR(__xludf.DUMMYFUNCTION("""COMPUTED_VALUE"""),"DIGITEC TECNOLOGIA DIGITAL E REPRES")</f>
        <v>DIGITEC TECNOLOGIA DIGITAL E REPRES</v>
      </c>
      <c r="E1827" s="21">
        <f>IFERROR(__xludf.DUMMYFUNCTION("""COMPUTED_VALUE"""),145359.0)</f>
        <v>145359</v>
      </c>
      <c r="F1827" s="21" t="str">
        <f>IFERROR(__xludf.DUMMYFUNCTION("""COMPUTED_VALUE"""),"PERDA")</f>
        <v>PERDA</v>
      </c>
      <c r="G1827" s="23">
        <f>IFERROR(__xludf.DUMMYFUNCTION("""COMPUTED_VALUE"""),45296.600625)</f>
        <v>45296.60063</v>
      </c>
      <c r="H1827" s="24" t="str">
        <f>IFERROR(VLOOKUP(B1827,material!A:D,3,0),"")</f>
        <v>SIM CARD</v>
      </c>
    </row>
    <row r="1828" ht="11.25" customHeight="1">
      <c r="A1828" s="21" t="str">
        <f>IFERROR(__xludf.DUMMYFUNCTION("""COMPUTED_VALUE"""),"SMART SIM CARD NAGRA")</f>
        <v>SMART SIM CARD NAGRA</v>
      </c>
      <c r="B1828" s="22">
        <f>IFERROR(__xludf.DUMMYFUNCTION("""COMPUTED_VALUE"""),4.1000805E7)</f>
        <v>41000805</v>
      </c>
      <c r="C1828" s="21" t="str">
        <f>IFERROR(__xludf.DUMMYFUNCTION("""COMPUTED_VALUE"""),"246424322325")</f>
        <v>246424322325</v>
      </c>
      <c r="D1828" s="21" t="str">
        <f>IFERROR(__xludf.DUMMYFUNCTION("""COMPUTED_VALUE"""),"DIGITEC TECNOLOGIA DIGITAL E REPRES")</f>
        <v>DIGITEC TECNOLOGIA DIGITAL E REPRES</v>
      </c>
      <c r="E1828" s="21">
        <f>IFERROR(__xludf.DUMMYFUNCTION("""COMPUTED_VALUE"""),145359.0)</f>
        <v>145359</v>
      </c>
      <c r="F1828" s="21" t="str">
        <f>IFERROR(__xludf.DUMMYFUNCTION("""COMPUTED_VALUE"""),"COM DEFEITO")</f>
        <v>COM DEFEITO</v>
      </c>
      <c r="G1828" s="23">
        <f>IFERROR(__xludf.DUMMYFUNCTION("""COMPUTED_VALUE"""),45642.488807870366)</f>
        <v>45642.48881</v>
      </c>
      <c r="H1828" s="24" t="str">
        <f>IFERROR(VLOOKUP(B1828,material!A:D,3,0),"")</f>
        <v>SIM CARD</v>
      </c>
    </row>
    <row r="1829" ht="11.25" customHeight="1">
      <c r="A1829" s="21" t="str">
        <f>IFERROR(__xludf.DUMMYFUNCTION("""COMPUTED_VALUE"""),"SAG4KC362")</f>
        <v>SAG4KC362</v>
      </c>
      <c r="B1829" s="22">
        <f>IFERROR(__xludf.DUMMYFUNCTION("""COMPUTED_VALUE"""),4.1001068E7)</f>
        <v>41001068</v>
      </c>
      <c r="C1829" s="21" t="str">
        <f>IFERROR(__xludf.DUMMYFUNCTION("""COMPUTED_VALUE"""),"216896701417")</f>
        <v>216896701417</v>
      </c>
      <c r="D1829" s="21" t="str">
        <f>IFERROR(__xludf.DUMMYFUNCTION("""COMPUTED_VALUE"""),"DIGITEC TECNOLOGIA DIGITAL E REPRES")</f>
        <v>DIGITEC TECNOLOGIA DIGITAL E REPRES</v>
      </c>
      <c r="E1829" s="21">
        <f>IFERROR(__xludf.DUMMYFUNCTION("""COMPUTED_VALUE"""),145359.0)</f>
        <v>145359</v>
      </c>
      <c r="F1829" s="21" t="str">
        <f>IFERROR(__xludf.DUMMYFUNCTION("""COMPUTED_VALUE"""),"COM DEFEITO")</f>
        <v>COM DEFEITO</v>
      </c>
      <c r="G1829" s="23">
        <f>IFERROR(__xludf.DUMMYFUNCTION("""COMPUTED_VALUE"""),45617.71434027777)</f>
        <v>45617.71434</v>
      </c>
      <c r="H1829" s="24" t="str">
        <f>IFERROR(VLOOKUP(B1829,material!A:D,3,0),"")</f>
        <v>4K</v>
      </c>
    </row>
    <row r="1830" ht="11.25" customHeight="1">
      <c r="A1830" s="21" t="str">
        <f>IFERROR(__xludf.DUMMYFUNCTION("""COMPUTED_VALUE"""),"SAG4KC362")</f>
        <v>SAG4KC362</v>
      </c>
      <c r="B1830" s="22">
        <f>IFERROR(__xludf.DUMMYFUNCTION("""COMPUTED_VALUE"""),4.1001068E7)</f>
        <v>41001068</v>
      </c>
      <c r="C1830" s="21" t="str">
        <f>IFERROR(__xludf.DUMMYFUNCTION("""COMPUTED_VALUE"""),"216896704548")</f>
        <v>216896704548</v>
      </c>
      <c r="D1830" s="21" t="str">
        <f>IFERROR(__xludf.DUMMYFUNCTION("""COMPUTED_VALUE"""),"DIGITEC TECNOLOGIA DIGITAL E REPRES")</f>
        <v>DIGITEC TECNOLOGIA DIGITAL E REPRES</v>
      </c>
      <c r="E1830" s="21">
        <f>IFERROR(__xludf.DUMMYFUNCTION("""COMPUTED_VALUE"""),145359.0)</f>
        <v>145359</v>
      </c>
      <c r="F1830" s="21" t="str">
        <f>IFERROR(__xludf.DUMMYFUNCTION("""COMPUTED_VALUE"""),"COM DEFEITO")</f>
        <v>COM DEFEITO</v>
      </c>
      <c r="G1830" s="23">
        <f>IFERROR(__xludf.DUMMYFUNCTION("""COMPUTED_VALUE"""),45642.488807870366)</f>
        <v>45642.48881</v>
      </c>
      <c r="H1830" s="24" t="str">
        <f>IFERROR(VLOOKUP(B1830,material!A:D,3,0),"")</f>
        <v>4K</v>
      </c>
    </row>
    <row r="1831" ht="11.25" customHeight="1">
      <c r="A1831" s="21" t="str">
        <f>IFERROR(__xludf.DUMMYFUNCTION("""COMPUTED_VALUE"""),"SAG4KC362")</f>
        <v>SAG4KC362</v>
      </c>
      <c r="B1831" s="22">
        <f>IFERROR(__xludf.DUMMYFUNCTION("""COMPUTED_VALUE"""),4.1001068E7)</f>
        <v>41001068</v>
      </c>
      <c r="C1831" s="21" t="str">
        <f>IFERROR(__xludf.DUMMYFUNCTION("""COMPUTED_VALUE"""),"216896700912")</f>
        <v>216896700912</v>
      </c>
      <c r="D1831" s="21" t="str">
        <f>IFERROR(__xludf.DUMMYFUNCTION("""COMPUTED_VALUE"""),"DIGITEC TECNOLOGIA DIGITAL E REPRES")</f>
        <v>DIGITEC TECNOLOGIA DIGITAL E REPRES</v>
      </c>
      <c r="E1831" s="21">
        <f>IFERROR(__xludf.DUMMYFUNCTION("""COMPUTED_VALUE"""),145359.0)</f>
        <v>145359</v>
      </c>
      <c r="F1831" s="21" t="str">
        <f>IFERROR(__xludf.DUMMYFUNCTION("""COMPUTED_VALUE"""),"INICIALIZADO")</f>
        <v>INICIALIZADO</v>
      </c>
      <c r="G1831" s="23">
        <f>IFERROR(__xludf.DUMMYFUNCTION("""COMPUTED_VALUE"""),45583.5534375)</f>
        <v>45583.55344</v>
      </c>
      <c r="H1831" s="24" t="str">
        <f>IFERROR(VLOOKUP(B1831,material!A:D,3,0),"")</f>
        <v>4K</v>
      </c>
    </row>
    <row r="1832" ht="11.25" customHeight="1">
      <c r="A1832" s="21" t="str">
        <f>IFERROR(__xludf.DUMMYFUNCTION("""COMPUTED_VALUE"""),"NAGRA KIT")</f>
        <v>NAGRA KIT</v>
      </c>
      <c r="B1832" s="22">
        <f>IFERROR(__xludf.DUMMYFUNCTION("""COMPUTED_VALUE"""),4.1001186E7)</f>
        <v>41001186</v>
      </c>
      <c r="C1832" s="21" t="str">
        <f>IFERROR(__xludf.DUMMYFUNCTION("""COMPUTED_VALUE"""),"215418355062")</f>
        <v>215418355062</v>
      </c>
      <c r="D1832" s="21" t="str">
        <f>IFERROR(__xludf.DUMMYFUNCTION("""COMPUTED_VALUE"""),"DIGITEC TECNOLOGIA DIGITAL E REPRES")</f>
        <v>DIGITEC TECNOLOGIA DIGITAL E REPRES</v>
      </c>
      <c r="E1832" s="21">
        <f>IFERROR(__xludf.DUMMYFUNCTION("""COMPUTED_VALUE"""),145359.0)</f>
        <v>145359</v>
      </c>
      <c r="F1832" s="21" t="str">
        <f>IFERROR(__xludf.DUMMYFUNCTION("""COMPUTED_VALUE"""),"TRANSITO REVERSA")</f>
        <v>TRANSITO REVERSA</v>
      </c>
      <c r="G1832" s="23">
        <f>IFERROR(__xludf.DUMMYFUNCTION("""COMPUTED_VALUE"""),45633.00396990741)</f>
        <v>45633.00397</v>
      </c>
      <c r="H1832" s="24" t="str">
        <f>IFERROR(VLOOKUP(B1832,material!A:D,3,0),"")</f>
        <v>CARD</v>
      </c>
    </row>
    <row r="1833" ht="11.25" customHeight="1">
      <c r="A1833" s="21" t="str">
        <f>IFERROR(__xludf.DUMMYFUNCTION("""COMPUTED_VALUE"""),"DECODER IP 4K UHD S4KW2 DDR FAST ETH VOZ")</f>
        <v>DECODER IP 4K UHD S4KW2 DDR FAST ETH VOZ</v>
      </c>
      <c r="B1833" s="22">
        <f>IFERROR(__xludf.DUMMYFUNCTION("""COMPUTED_VALUE"""),4.1001538E7)</f>
        <v>41001538</v>
      </c>
      <c r="C1833" s="21" t="str">
        <f>IFERROR(__xludf.DUMMYFUNCTION("""COMPUTED_VALUE"""),"229900046574")</f>
        <v>229900046574</v>
      </c>
      <c r="D1833" s="21" t="str">
        <f>IFERROR(__xludf.DUMMYFUNCTION("""COMPUTED_VALUE"""),"DIGITEC TECNOLOGIA DIGITAL E REPRES")</f>
        <v>DIGITEC TECNOLOGIA DIGITAL E REPRES</v>
      </c>
      <c r="E1833" s="21">
        <f>IFERROR(__xludf.DUMMYFUNCTION("""COMPUTED_VALUE"""),145359.0)</f>
        <v>145359</v>
      </c>
      <c r="F1833" s="21" t="str">
        <f>IFERROR(__xludf.DUMMYFUNCTION("""COMPUTED_VALUE"""),"INICIALIZADO")</f>
        <v>INICIALIZADO</v>
      </c>
      <c r="G1833" s="23">
        <f>IFERROR(__xludf.DUMMYFUNCTION("""COMPUTED_VALUE"""),45625.653182870374)</f>
        <v>45625.65318</v>
      </c>
      <c r="H1833" s="24" t="str">
        <f>IFERROR(VLOOKUP(B1833,material!A:D,3,0),"")</f>
        <v>BOX</v>
      </c>
    </row>
    <row r="1834" ht="11.25" customHeight="1">
      <c r="A1834" s="21" t="str">
        <f>IFERROR(__xludf.DUMMYFUNCTION("""COMPUTED_VALUE"""),"TECHNICOLOR TC7337NET")</f>
        <v>TECHNICOLOR TC7337NET</v>
      </c>
      <c r="B1834" s="22">
        <f>IFERROR(__xludf.DUMMYFUNCTION("""COMPUTED_VALUE"""),4.1001294E7)</f>
        <v>41001294</v>
      </c>
      <c r="C1834" s="21" t="str">
        <f>IFERROR(__xludf.DUMMYFUNCTION("""COMPUTED_VALUE"""),"80D04AB8AA6D")</f>
        <v>80D04AB8AA6D</v>
      </c>
      <c r="D1834" s="21" t="str">
        <f>IFERROR(__xludf.DUMMYFUNCTION("""COMPUTED_VALUE"""),"DIGITEC TECNOLOGIA DIGITAL E REPRES")</f>
        <v>DIGITEC TECNOLOGIA DIGITAL E REPRES</v>
      </c>
      <c r="E1834" s="21">
        <f>IFERROR(__xludf.DUMMYFUNCTION("""COMPUTED_VALUE"""),145359.0)</f>
        <v>145359</v>
      </c>
      <c r="F1834" s="21" t="str">
        <f>IFERROR(__xludf.DUMMYFUNCTION("""COMPUTED_VALUE"""),"INICIALIZADO")</f>
        <v>INICIALIZADO</v>
      </c>
      <c r="G1834" s="23">
        <f>IFERROR(__xludf.DUMMYFUNCTION("""COMPUTED_VALUE"""),45615.61857638889)</f>
        <v>45615.61858</v>
      </c>
      <c r="H1834" s="24" t="str">
        <f>IFERROR(VLOOKUP(B1834,material!A:D,3,0),"")</f>
        <v>DUAL</v>
      </c>
    </row>
    <row r="1835" ht="11.25" customHeight="1">
      <c r="A1835" s="21" t="str">
        <f>IFERROR(__xludf.DUMMYFUNCTION("""COMPUTED_VALUE"""),"ARRIS TG1692A")</f>
        <v>ARRIS TG1692A</v>
      </c>
      <c r="B1835" s="22">
        <f>IFERROR(__xludf.DUMMYFUNCTION("""COMPUTED_VALUE"""),4.1001293E7)</f>
        <v>41001293</v>
      </c>
      <c r="C1835" s="21" t="str">
        <f>IFERROR(__xludf.DUMMYFUNCTION("""COMPUTED_VALUE"""),"4C12653A65A7")</f>
        <v>4C12653A65A7</v>
      </c>
      <c r="D1835" s="21" t="str">
        <f>IFERROR(__xludf.DUMMYFUNCTION("""COMPUTED_VALUE"""),"DIGITEC TECNOLOGIA DIGITAL E REPRES")</f>
        <v>DIGITEC TECNOLOGIA DIGITAL E REPRES</v>
      </c>
      <c r="E1835" s="21">
        <f>IFERROR(__xludf.DUMMYFUNCTION("""COMPUTED_VALUE"""),145359.0)</f>
        <v>145359</v>
      </c>
      <c r="F1835" s="21" t="str">
        <f>IFERROR(__xludf.DUMMYFUNCTION("""COMPUTED_VALUE"""),"INICIALIZADO")</f>
        <v>INICIALIZADO</v>
      </c>
      <c r="G1835" s="23">
        <f>IFERROR(__xludf.DUMMYFUNCTION("""COMPUTED_VALUE"""),45219.30642361111)</f>
        <v>45219.30642</v>
      </c>
      <c r="H1835" s="24" t="str">
        <f>IFERROR(VLOOKUP(B1835,material!A:D,3,0),"")</f>
        <v>DUAL</v>
      </c>
    </row>
    <row r="1836" ht="11.25" customHeight="1">
      <c r="A1836" s="21" t="str">
        <f>IFERROR(__xludf.DUMMYFUNCTION("""COMPUTED_VALUE"""),"DECODER DIGITAL HD DXC5000 2T")</f>
        <v>DECODER DIGITAL HD DXC5000 2T</v>
      </c>
      <c r="B1836" s="22">
        <f>IFERROR(__xludf.DUMMYFUNCTION("""COMPUTED_VALUE"""),4.1001277E7)</f>
        <v>41001277</v>
      </c>
      <c r="C1836" s="21" t="str">
        <f>IFERROR(__xludf.DUMMYFUNCTION("""COMPUTED_VALUE"""),"216676249913")</f>
        <v>216676249913</v>
      </c>
      <c r="D1836" s="21" t="str">
        <f>IFERROR(__xludf.DUMMYFUNCTION("""COMPUTED_VALUE"""),"DIGITEC TECNOLOGIA DIGITAL E REPRES")</f>
        <v>DIGITEC TECNOLOGIA DIGITAL E REPRES</v>
      </c>
      <c r="E1836" s="21">
        <f>IFERROR(__xludf.DUMMYFUNCTION("""COMPUTED_VALUE"""),145359.0)</f>
        <v>145359</v>
      </c>
      <c r="F1836" s="21" t="str">
        <f>IFERROR(__xludf.DUMMYFUNCTION("""COMPUTED_VALUE"""),"INICIALIZADO")</f>
        <v>INICIALIZADO</v>
      </c>
      <c r="G1836" s="23">
        <f>IFERROR(__xludf.DUMMYFUNCTION("""COMPUTED_VALUE"""),45615.61856481481)</f>
        <v>45615.61856</v>
      </c>
      <c r="H1836" s="24" t="str">
        <f>IFERROR(VLOOKUP(B1836,material!A:D,3,0),"")</f>
        <v>TOP MIX</v>
      </c>
    </row>
    <row r="1837" ht="11.25" customHeight="1">
      <c r="A1837" s="21" t="str">
        <f>IFERROR(__xludf.DUMMYFUNCTION("""COMPUTED_VALUE"""),"DECODER DIGITAL HD HNB100 2T")</f>
        <v>DECODER DIGITAL HD HNB100 2T</v>
      </c>
      <c r="B1837" s="22">
        <f>IFERROR(__xludf.DUMMYFUNCTION("""COMPUTED_VALUE"""),4.1001276E7)</f>
        <v>41001276</v>
      </c>
      <c r="C1837" s="21" t="str">
        <f>IFERROR(__xludf.DUMMYFUNCTION("""COMPUTED_VALUE"""),"184269157883")</f>
        <v>184269157883</v>
      </c>
      <c r="D1837" s="21" t="str">
        <f>IFERROR(__xludf.DUMMYFUNCTION("""COMPUTED_VALUE"""),"DIGITEC TECNOLOGIA DIGITAL E REPRES")</f>
        <v>DIGITEC TECNOLOGIA DIGITAL E REPRES</v>
      </c>
      <c r="E1837" s="21">
        <f>IFERROR(__xludf.DUMMYFUNCTION("""COMPUTED_VALUE"""),145359.0)</f>
        <v>145359</v>
      </c>
      <c r="F1837" s="21" t="str">
        <f>IFERROR(__xludf.DUMMYFUNCTION("""COMPUTED_VALUE"""),"INICIALIZADO")</f>
        <v>INICIALIZADO</v>
      </c>
      <c r="G1837" s="23">
        <f>IFERROR(__xludf.DUMMYFUNCTION("""COMPUTED_VALUE"""),45602.64471064815)</f>
        <v>45602.64471</v>
      </c>
      <c r="H1837" s="24" t="str">
        <f>IFERROR(VLOOKUP(B1837,material!A:D,3,0),"")</f>
        <v>TOP MIX</v>
      </c>
    </row>
    <row r="1838" ht="11.25" customHeight="1">
      <c r="A1838" s="21" t="str">
        <f>IFERROR(__xludf.DUMMYFUNCTION("""COMPUTED_VALUE"""),"SMART CARD PRETO NAGRA")</f>
        <v>SMART CARD PRETO NAGRA</v>
      </c>
      <c r="B1838" s="22">
        <f>IFERROR(__xludf.DUMMYFUNCTION("""COMPUTED_VALUE"""),4.1001234E7)</f>
        <v>41001234</v>
      </c>
      <c r="C1838" s="21" t="str">
        <f>IFERROR(__xludf.DUMMYFUNCTION("""COMPUTED_VALUE"""),"246208308202")</f>
        <v>246208308202</v>
      </c>
      <c r="D1838" s="21" t="str">
        <f>IFERROR(__xludf.DUMMYFUNCTION("""COMPUTED_VALUE"""),"DIGITEC TECNOLOGIA DIGITAL E REPRES")</f>
        <v>DIGITEC TECNOLOGIA DIGITAL E REPRES</v>
      </c>
      <c r="E1838" s="21">
        <f>IFERROR(__xludf.DUMMYFUNCTION("""COMPUTED_VALUE"""),145359.0)</f>
        <v>145359</v>
      </c>
      <c r="F1838" s="21" t="str">
        <f>IFERROR(__xludf.DUMMYFUNCTION("""COMPUTED_VALUE"""),"INICIALIZADO")</f>
        <v>INICIALIZADO</v>
      </c>
      <c r="G1838" s="23">
        <f>IFERROR(__xludf.DUMMYFUNCTION("""COMPUTED_VALUE"""),45635.534907407404)</f>
        <v>45635.53491</v>
      </c>
      <c r="H1838" s="24" t="str">
        <f>IFERROR(VLOOKUP(B1838,material!A:D,3,0),"")</f>
        <v>CARD</v>
      </c>
    </row>
    <row r="1839" ht="11.25" customHeight="1">
      <c r="A1839" s="21" t="str">
        <f>IFERROR(__xludf.DUMMYFUNCTION("""COMPUTED_VALUE"""),"SMART CARD PRETO NAGRA")</f>
        <v>SMART CARD PRETO NAGRA</v>
      </c>
      <c r="B1839" s="22">
        <f>IFERROR(__xludf.DUMMYFUNCTION("""COMPUTED_VALUE"""),4.1001234E7)</f>
        <v>41001234</v>
      </c>
      <c r="C1839" s="21" t="str">
        <f>IFERROR(__xludf.DUMMYFUNCTION("""COMPUTED_VALUE"""),"246018404954")</f>
        <v>246018404954</v>
      </c>
      <c r="D1839" s="21" t="str">
        <f>IFERROR(__xludf.DUMMYFUNCTION("""COMPUTED_VALUE"""),"DIGITEC TECNOLOGIA DIGITAL E REPRES")</f>
        <v>DIGITEC TECNOLOGIA DIGITAL E REPRES</v>
      </c>
      <c r="E1839" s="21">
        <f>IFERROR(__xludf.DUMMYFUNCTION("""COMPUTED_VALUE"""),145359.0)</f>
        <v>145359</v>
      </c>
      <c r="F1839" s="21" t="str">
        <f>IFERROR(__xludf.DUMMYFUNCTION("""COMPUTED_VALUE"""),"INICIALIZADO")</f>
        <v>INICIALIZADO</v>
      </c>
      <c r="G1839" s="23">
        <f>IFERROR(__xludf.DUMMYFUNCTION("""COMPUTED_VALUE"""),45635.53493055556)</f>
        <v>45635.53493</v>
      </c>
      <c r="H1839" s="24" t="str">
        <f>IFERROR(VLOOKUP(B1839,material!A:D,3,0),"")</f>
        <v>CARD</v>
      </c>
    </row>
    <row r="1840" ht="11.25" customHeight="1">
      <c r="A1840" s="21" t="str">
        <f>IFERROR(__xludf.DUMMYFUNCTION("""COMPUTED_VALUE"""),"SMART CARD PRETO NAGRA")</f>
        <v>SMART CARD PRETO NAGRA</v>
      </c>
      <c r="B1840" s="22">
        <f>IFERROR(__xludf.DUMMYFUNCTION("""COMPUTED_VALUE"""),4.1001234E7)</f>
        <v>41001234</v>
      </c>
      <c r="C1840" s="21" t="str">
        <f>IFERROR(__xludf.DUMMYFUNCTION("""COMPUTED_VALUE"""),"246138686468")</f>
        <v>246138686468</v>
      </c>
      <c r="D1840" s="21" t="str">
        <f>IFERROR(__xludf.DUMMYFUNCTION("""COMPUTED_VALUE"""),"DIGITEC TECNOLOGIA DIGITAL E REPRES")</f>
        <v>DIGITEC TECNOLOGIA DIGITAL E REPRES</v>
      </c>
      <c r="E1840" s="21">
        <f>IFERROR(__xludf.DUMMYFUNCTION("""COMPUTED_VALUE"""),145359.0)</f>
        <v>145359</v>
      </c>
      <c r="F1840" s="21" t="str">
        <f>IFERROR(__xludf.DUMMYFUNCTION("""COMPUTED_VALUE"""),"INICIALIZADO")</f>
        <v>INICIALIZADO</v>
      </c>
      <c r="G1840" s="23">
        <f>IFERROR(__xludf.DUMMYFUNCTION("""COMPUTED_VALUE"""),45635.534895833334)</f>
        <v>45635.5349</v>
      </c>
      <c r="H1840" s="24" t="str">
        <f>IFERROR(VLOOKUP(B1840,material!A:D,3,0),"")</f>
        <v>CARD</v>
      </c>
    </row>
    <row r="1841" ht="11.25" customHeight="1">
      <c r="A1841" s="21" t="str">
        <f>IFERROR(__xludf.DUMMYFUNCTION("""COMPUTED_VALUE"""),"SMART CARD PRETO NAGRA")</f>
        <v>SMART CARD PRETO NAGRA</v>
      </c>
      <c r="B1841" s="22">
        <f>IFERROR(__xludf.DUMMYFUNCTION("""COMPUTED_VALUE"""),4.1001234E7)</f>
        <v>41001234</v>
      </c>
      <c r="C1841" s="21" t="str">
        <f>IFERROR(__xludf.DUMMYFUNCTION("""COMPUTED_VALUE"""),"246162696376")</f>
        <v>246162696376</v>
      </c>
      <c r="D1841" s="21" t="str">
        <f>IFERROR(__xludf.DUMMYFUNCTION("""COMPUTED_VALUE"""),"DIGITEC TECNOLOGIA DIGITAL E REPRES")</f>
        <v>DIGITEC TECNOLOGIA DIGITAL E REPRES</v>
      </c>
      <c r="E1841" s="21">
        <f>IFERROR(__xludf.DUMMYFUNCTION("""COMPUTED_VALUE"""),145359.0)</f>
        <v>145359</v>
      </c>
      <c r="F1841" s="21" t="str">
        <f>IFERROR(__xludf.DUMMYFUNCTION("""COMPUTED_VALUE"""),"INICIALIZADO")</f>
        <v>INICIALIZADO</v>
      </c>
      <c r="G1841" s="23">
        <f>IFERROR(__xludf.DUMMYFUNCTION("""COMPUTED_VALUE"""),45642.524097222224)</f>
        <v>45642.5241</v>
      </c>
      <c r="H1841" s="24" t="str">
        <f>IFERROR(VLOOKUP(B1841,material!A:D,3,0),"")</f>
        <v>CARD</v>
      </c>
    </row>
    <row r="1842" ht="11.25" customHeight="1">
      <c r="A1842" s="21" t="str">
        <f>IFERROR(__xludf.DUMMYFUNCTION("""COMPUTED_VALUE"""),"SMART CARD PRETO NAGRA")</f>
        <v>SMART CARD PRETO NAGRA</v>
      </c>
      <c r="B1842" s="22">
        <f>IFERROR(__xludf.DUMMYFUNCTION("""COMPUTED_VALUE"""),4.1001234E7)</f>
        <v>41001234</v>
      </c>
      <c r="C1842" s="21" t="str">
        <f>IFERROR(__xludf.DUMMYFUNCTION("""COMPUTED_VALUE"""),"226252679501")</f>
        <v>226252679501</v>
      </c>
      <c r="D1842" s="21" t="str">
        <f>IFERROR(__xludf.DUMMYFUNCTION("""COMPUTED_VALUE"""),"DIGITEC TECNOLOGIA DIGITAL E REPRES")</f>
        <v>DIGITEC TECNOLOGIA DIGITAL E REPRES</v>
      </c>
      <c r="E1842" s="21">
        <f>IFERROR(__xludf.DUMMYFUNCTION("""COMPUTED_VALUE"""),145359.0)</f>
        <v>145359</v>
      </c>
      <c r="F1842" s="21" t="str">
        <f>IFERROR(__xludf.DUMMYFUNCTION("""COMPUTED_VALUE"""),"INICIALIZADO")</f>
        <v>INICIALIZADO</v>
      </c>
      <c r="G1842" s="23">
        <f>IFERROR(__xludf.DUMMYFUNCTION("""COMPUTED_VALUE"""),45635.53494212963)</f>
        <v>45635.53494</v>
      </c>
      <c r="H1842" s="24" t="str">
        <f>IFERROR(VLOOKUP(B1842,material!A:D,3,0),"")</f>
        <v>CARD</v>
      </c>
    </row>
    <row r="1843" ht="11.25" customHeight="1">
      <c r="A1843" s="21" t="str">
        <f>IFERROR(__xludf.DUMMYFUNCTION("""COMPUTED_VALUE"""),"SMART CARD PRETO NAGRA")</f>
        <v>SMART CARD PRETO NAGRA</v>
      </c>
      <c r="B1843" s="22">
        <f>IFERROR(__xludf.DUMMYFUNCTION("""COMPUTED_VALUE"""),4.1001234E7)</f>
        <v>41001234</v>
      </c>
      <c r="C1843" s="21" t="str">
        <f>IFERROR(__xludf.DUMMYFUNCTION("""COMPUTED_VALUE"""),"246124392324")</f>
        <v>246124392324</v>
      </c>
      <c r="D1843" s="21" t="str">
        <f>IFERROR(__xludf.DUMMYFUNCTION("""COMPUTED_VALUE"""),"DIGITEC TECNOLOGIA DIGITAL E REPRES")</f>
        <v>DIGITEC TECNOLOGIA DIGITAL E REPRES</v>
      </c>
      <c r="E1843" s="21">
        <f>IFERROR(__xludf.DUMMYFUNCTION("""COMPUTED_VALUE"""),145359.0)</f>
        <v>145359</v>
      </c>
      <c r="F1843" s="21" t="str">
        <f>IFERROR(__xludf.DUMMYFUNCTION("""COMPUTED_VALUE"""),"INICIALIZADO")</f>
        <v>INICIALIZADO</v>
      </c>
      <c r="G1843" s="23">
        <f>IFERROR(__xludf.DUMMYFUNCTION("""COMPUTED_VALUE"""),45635.534895833334)</f>
        <v>45635.5349</v>
      </c>
      <c r="H1843" s="24" t="str">
        <f>IFERROR(VLOOKUP(B1843,material!A:D,3,0),"")</f>
        <v>CARD</v>
      </c>
    </row>
    <row r="1844" ht="11.25" customHeight="1">
      <c r="A1844" s="21" t="str">
        <f>IFERROR(__xludf.DUMMYFUNCTION("""COMPUTED_VALUE"""),"SMART CARD PRETO NAGRA")</f>
        <v>SMART CARD PRETO NAGRA</v>
      </c>
      <c r="B1844" s="22">
        <f>IFERROR(__xludf.DUMMYFUNCTION("""COMPUTED_VALUE"""),4.1001234E7)</f>
        <v>41001234</v>
      </c>
      <c r="C1844" s="21" t="str">
        <f>IFERROR(__xludf.DUMMYFUNCTION("""COMPUTED_VALUE"""),"246298412540")</f>
        <v>246298412540</v>
      </c>
      <c r="D1844" s="21" t="str">
        <f>IFERROR(__xludf.DUMMYFUNCTION("""COMPUTED_VALUE"""),"DIGITEC TECNOLOGIA DIGITAL E REPRES")</f>
        <v>DIGITEC TECNOLOGIA DIGITAL E REPRES</v>
      </c>
      <c r="E1844" s="21">
        <f>IFERROR(__xludf.DUMMYFUNCTION("""COMPUTED_VALUE"""),145359.0)</f>
        <v>145359</v>
      </c>
      <c r="F1844" s="21" t="str">
        <f>IFERROR(__xludf.DUMMYFUNCTION("""COMPUTED_VALUE"""),"INICIALIZADO")</f>
        <v>INICIALIZADO</v>
      </c>
      <c r="G1844" s="23">
        <f>IFERROR(__xludf.DUMMYFUNCTION("""COMPUTED_VALUE"""),45642.52410879629)</f>
        <v>45642.52411</v>
      </c>
      <c r="H1844" s="24" t="str">
        <f>IFERROR(VLOOKUP(B1844,material!A:D,3,0),"")</f>
        <v>CARD</v>
      </c>
    </row>
    <row r="1845" ht="11.25" customHeight="1">
      <c r="A1845" s="21" t="str">
        <f>IFERROR(__xludf.DUMMYFUNCTION("""COMPUTED_VALUE"""),"SMART CARD PRETO NAGRA")</f>
        <v>SMART CARD PRETO NAGRA</v>
      </c>
      <c r="B1845" s="22">
        <f>IFERROR(__xludf.DUMMYFUNCTION("""COMPUTED_VALUE"""),4.1001234E7)</f>
        <v>41001234</v>
      </c>
      <c r="C1845" s="21" t="str">
        <f>IFERROR(__xludf.DUMMYFUNCTION("""COMPUTED_VALUE"""),"226038436886")</f>
        <v>226038436886</v>
      </c>
      <c r="D1845" s="21" t="str">
        <f>IFERROR(__xludf.DUMMYFUNCTION("""COMPUTED_VALUE"""),"DIGITEC TECNOLOGIA DIGITAL E REPRES")</f>
        <v>DIGITEC TECNOLOGIA DIGITAL E REPRES</v>
      </c>
      <c r="E1845" s="21">
        <f>IFERROR(__xludf.DUMMYFUNCTION("""COMPUTED_VALUE"""),145359.0)</f>
        <v>145359</v>
      </c>
      <c r="F1845" s="21" t="str">
        <f>IFERROR(__xludf.DUMMYFUNCTION("""COMPUTED_VALUE"""),"INICIALIZADO")</f>
        <v>INICIALIZADO</v>
      </c>
      <c r="G1845" s="23">
        <f>IFERROR(__xludf.DUMMYFUNCTION("""COMPUTED_VALUE"""),45635.53494212963)</f>
        <v>45635.53494</v>
      </c>
      <c r="H1845" s="24" t="str">
        <f>IFERROR(VLOOKUP(B1845,material!A:D,3,0),"")</f>
        <v>CARD</v>
      </c>
    </row>
    <row r="1846" ht="11.25" customHeight="1">
      <c r="A1846" s="21" t="str">
        <f>IFERROR(__xludf.DUMMYFUNCTION("""COMPUTED_VALUE"""),"SMART CARD PRETO NAGRA")</f>
        <v>SMART CARD PRETO NAGRA</v>
      </c>
      <c r="B1846" s="22">
        <f>IFERROR(__xludf.DUMMYFUNCTION("""COMPUTED_VALUE"""),4.1001234E7)</f>
        <v>41001234</v>
      </c>
      <c r="C1846" s="21" t="str">
        <f>IFERROR(__xludf.DUMMYFUNCTION("""COMPUTED_VALUE"""),"246225051430")</f>
        <v>246225051430</v>
      </c>
      <c r="D1846" s="21" t="str">
        <f>IFERROR(__xludf.DUMMYFUNCTION("""COMPUTED_VALUE"""),"DIGITEC TECNOLOGIA DIGITAL E REPRES")</f>
        <v>DIGITEC TECNOLOGIA DIGITAL E REPRES</v>
      </c>
      <c r="E1846" s="21">
        <f>IFERROR(__xludf.DUMMYFUNCTION("""COMPUTED_VALUE"""),145359.0)</f>
        <v>145359</v>
      </c>
      <c r="F1846" s="21" t="str">
        <f>IFERROR(__xludf.DUMMYFUNCTION("""COMPUTED_VALUE"""),"INICIALIZADO")</f>
        <v>INICIALIZADO</v>
      </c>
      <c r="G1846" s="23">
        <f>IFERROR(__xludf.DUMMYFUNCTION("""COMPUTED_VALUE"""),45635.53493055556)</f>
        <v>45635.53493</v>
      </c>
      <c r="H1846" s="24" t="str">
        <f>IFERROR(VLOOKUP(B1846,material!A:D,3,0),"")</f>
        <v>CARD</v>
      </c>
    </row>
    <row r="1847" ht="11.25" customHeight="1">
      <c r="A1847" s="21" t="str">
        <f>IFERROR(__xludf.DUMMYFUNCTION("""COMPUTED_VALUE"""),"SMART CARD PRETO NAGRA")</f>
        <v>SMART CARD PRETO NAGRA</v>
      </c>
      <c r="B1847" s="22">
        <f>IFERROR(__xludf.DUMMYFUNCTION("""COMPUTED_VALUE"""),4.1001234E7)</f>
        <v>41001234</v>
      </c>
      <c r="C1847" s="21" t="str">
        <f>IFERROR(__xludf.DUMMYFUNCTION("""COMPUTED_VALUE"""),"226035474667")</f>
        <v>226035474667</v>
      </c>
      <c r="D1847" s="21" t="str">
        <f>IFERROR(__xludf.DUMMYFUNCTION("""COMPUTED_VALUE"""),"DIGITEC TECNOLOGIA DIGITAL E REPRES")</f>
        <v>DIGITEC TECNOLOGIA DIGITAL E REPRES</v>
      </c>
      <c r="E1847" s="21">
        <f>IFERROR(__xludf.DUMMYFUNCTION("""COMPUTED_VALUE"""),145359.0)</f>
        <v>145359</v>
      </c>
      <c r="F1847" s="21" t="str">
        <f>IFERROR(__xludf.DUMMYFUNCTION("""COMPUTED_VALUE"""),"INICIALIZADO")</f>
        <v>INICIALIZADO</v>
      </c>
      <c r="G1847" s="23">
        <f>IFERROR(__xludf.DUMMYFUNCTION("""COMPUTED_VALUE"""),45642.52410879629)</f>
        <v>45642.52411</v>
      </c>
      <c r="H1847" s="24" t="str">
        <f>IFERROR(VLOOKUP(B1847,material!A:D,3,0),"")</f>
        <v>CARD</v>
      </c>
    </row>
    <row r="1848" ht="11.25" customHeight="1">
      <c r="A1848" s="21" t="str">
        <f>IFERROR(__xludf.DUMMYFUNCTION("""COMPUTED_VALUE"""),"NAGRA KIT")</f>
        <v>NAGRA KIT</v>
      </c>
      <c r="B1848" s="22">
        <f>IFERROR(__xludf.DUMMYFUNCTION("""COMPUTED_VALUE"""),4.1001186E7)</f>
        <v>41001186</v>
      </c>
      <c r="C1848" s="21" t="str">
        <f>IFERROR(__xludf.DUMMYFUNCTION("""COMPUTED_VALUE"""),"215486061132")</f>
        <v>215486061132</v>
      </c>
      <c r="D1848" s="21" t="str">
        <f>IFERROR(__xludf.DUMMYFUNCTION("""COMPUTED_VALUE"""),"DIGITEC TECNOLOGIA DIGITAL E REPRES")</f>
        <v>DIGITEC TECNOLOGIA DIGITAL E REPRES</v>
      </c>
      <c r="E1848" s="21">
        <f>IFERROR(__xludf.DUMMYFUNCTION("""COMPUTED_VALUE"""),145359.0)</f>
        <v>145359</v>
      </c>
      <c r="F1848" s="21" t="str">
        <f>IFERROR(__xludf.DUMMYFUNCTION("""COMPUTED_VALUE"""),"SUCATA")</f>
        <v>SUCATA</v>
      </c>
      <c r="G1848" s="23">
        <f>IFERROR(__xludf.DUMMYFUNCTION("""COMPUTED_VALUE"""),45076.62085648148)</f>
        <v>45076.62086</v>
      </c>
      <c r="H1848" s="24" t="str">
        <f>IFERROR(VLOOKUP(B1848,material!A:D,3,0),"")</f>
        <v>CARD</v>
      </c>
    </row>
    <row r="1849" ht="11.25" customHeight="1">
      <c r="A1849" s="21" t="str">
        <f>IFERROR(__xludf.DUMMYFUNCTION("""COMPUTED_VALUE"""),"SMART CARD PRETO NAGRA")</f>
        <v>SMART CARD PRETO NAGRA</v>
      </c>
      <c r="B1849" s="22">
        <f>IFERROR(__xludf.DUMMYFUNCTION("""COMPUTED_VALUE"""),4.1001234E7)</f>
        <v>41001234</v>
      </c>
      <c r="C1849" s="21" t="str">
        <f>IFERROR(__xludf.DUMMYFUNCTION("""COMPUTED_VALUE"""),"246238284651")</f>
        <v>246238284651</v>
      </c>
      <c r="D1849" s="21" t="str">
        <f>IFERROR(__xludf.DUMMYFUNCTION("""COMPUTED_VALUE"""),"DIGITEC TECNOLOGIA DIGITAL E REPRES")</f>
        <v>DIGITEC TECNOLOGIA DIGITAL E REPRES</v>
      </c>
      <c r="E1849" s="21">
        <f>IFERROR(__xludf.DUMMYFUNCTION("""COMPUTED_VALUE"""),145359.0)</f>
        <v>145359</v>
      </c>
      <c r="F1849" s="21" t="str">
        <f>IFERROR(__xludf.DUMMYFUNCTION("""COMPUTED_VALUE"""),"INICIALIZADO")</f>
        <v>INICIALIZADO</v>
      </c>
      <c r="G1849" s="23">
        <f>IFERROR(__xludf.DUMMYFUNCTION("""COMPUTED_VALUE"""),45635.53491898148)</f>
        <v>45635.53492</v>
      </c>
      <c r="H1849" s="24" t="str">
        <f>IFERROR(VLOOKUP(B1849,material!A:D,3,0),"")</f>
        <v>CARD</v>
      </c>
    </row>
    <row r="1850" ht="11.25" customHeight="1">
      <c r="A1850" s="21" t="str">
        <f>IFERROR(__xludf.DUMMYFUNCTION("""COMPUTED_VALUE"""),"SMART CARD PRETO NAGRA")</f>
        <v>SMART CARD PRETO NAGRA</v>
      </c>
      <c r="B1850" s="22">
        <f>IFERROR(__xludf.DUMMYFUNCTION("""COMPUTED_VALUE"""),4.1001234E7)</f>
        <v>41001234</v>
      </c>
      <c r="C1850" s="21" t="str">
        <f>IFERROR(__xludf.DUMMYFUNCTION("""COMPUTED_VALUE"""),"246145635968")</f>
        <v>246145635968</v>
      </c>
      <c r="D1850" s="21" t="str">
        <f>IFERROR(__xludf.DUMMYFUNCTION("""COMPUTED_VALUE"""),"DIGITEC TECNOLOGIA DIGITAL E REPRES")</f>
        <v>DIGITEC TECNOLOGIA DIGITAL E REPRES</v>
      </c>
      <c r="E1850" s="21">
        <f>IFERROR(__xludf.DUMMYFUNCTION("""COMPUTED_VALUE"""),145359.0)</f>
        <v>145359</v>
      </c>
      <c r="F1850" s="21" t="str">
        <f>IFERROR(__xludf.DUMMYFUNCTION("""COMPUTED_VALUE"""),"INICIALIZADO")</f>
        <v>INICIALIZADO</v>
      </c>
      <c r="G1850" s="23">
        <f>IFERROR(__xludf.DUMMYFUNCTION("""COMPUTED_VALUE"""),45635.534895833334)</f>
        <v>45635.5349</v>
      </c>
      <c r="H1850" s="24" t="str">
        <f>IFERROR(VLOOKUP(B1850,material!A:D,3,0),"")</f>
        <v>CARD</v>
      </c>
    </row>
    <row r="1851" ht="11.25" customHeight="1">
      <c r="A1851" s="21" t="str">
        <f>IFERROR(__xludf.DUMMYFUNCTION("""COMPUTED_VALUE"""),"SMART CARD PRETO NAGRA")</f>
        <v>SMART CARD PRETO NAGRA</v>
      </c>
      <c r="B1851" s="22">
        <f>IFERROR(__xludf.DUMMYFUNCTION("""COMPUTED_VALUE"""),4.1001234E7)</f>
        <v>41001234</v>
      </c>
      <c r="C1851" s="21" t="str">
        <f>IFERROR(__xludf.DUMMYFUNCTION("""COMPUTED_VALUE"""),"246205281936")</f>
        <v>246205281936</v>
      </c>
      <c r="D1851" s="21" t="str">
        <f>IFERROR(__xludf.DUMMYFUNCTION("""COMPUTED_VALUE"""),"DIGITEC TECNOLOGIA DIGITAL E REPRES")</f>
        <v>DIGITEC TECNOLOGIA DIGITAL E REPRES</v>
      </c>
      <c r="E1851" s="21">
        <f>IFERROR(__xludf.DUMMYFUNCTION("""COMPUTED_VALUE"""),145359.0)</f>
        <v>145359</v>
      </c>
      <c r="F1851" s="21" t="str">
        <f>IFERROR(__xludf.DUMMYFUNCTION("""COMPUTED_VALUE"""),"INICIALIZADO")</f>
        <v>INICIALIZADO</v>
      </c>
      <c r="G1851" s="23">
        <f>IFERROR(__xludf.DUMMYFUNCTION("""COMPUTED_VALUE"""),45635.534895833334)</f>
        <v>45635.5349</v>
      </c>
      <c r="H1851" s="24" t="str">
        <f>IFERROR(VLOOKUP(B1851,material!A:D,3,0),"")</f>
        <v>CARD</v>
      </c>
    </row>
    <row r="1852" ht="11.25" customHeight="1">
      <c r="A1852" s="21" t="str">
        <f>IFERROR(__xludf.DUMMYFUNCTION("""COMPUTED_VALUE"""),"SMART CARD PRETO NAGRA")</f>
        <v>SMART CARD PRETO NAGRA</v>
      </c>
      <c r="B1852" s="22">
        <f>IFERROR(__xludf.DUMMYFUNCTION("""COMPUTED_VALUE"""),4.1001234E7)</f>
        <v>41001234</v>
      </c>
      <c r="C1852" s="21" t="str">
        <f>IFERROR(__xludf.DUMMYFUNCTION("""COMPUTED_VALUE"""),"226395868100")</f>
        <v>226395868100</v>
      </c>
      <c r="D1852" s="21" t="str">
        <f>IFERROR(__xludf.DUMMYFUNCTION("""COMPUTED_VALUE"""),"DIGITEC TECNOLOGIA DIGITAL E REPRES")</f>
        <v>DIGITEC TECNOLOGIA DIGITAL E REPRES</v>
      </c>
      <c r="E1852" s="21">
        <f>IFERROR(__xludf.DUMMYFUNCTION("""COMPUTED_VALUE"""),145359.0)</f>
        <v>145359</v>
      </c>
      <c r="F1852" s="21" t="str">
        <f>IFERROR(__xludf.DUMMYFUNCTION("""COMPUTED_VALUE"""),"ANALISE DE INVENTARIO")</f>
        <v>ANALISE DE INVENTARIO</v>
      </c>
      <c r="G1852" s="23">
        <f>IFERROR(__xludf.DUMMYFUNCTION("""COMPUTED_VALUE"""),45419.375451388885)</f>
        <v>45419.37545</v>
      </c>
      <c r="H1852" s="24" t="str">
        <f>IFERROR(VLOOKUP(B1852,material!A:D,3,0),"")</f>
        <v>CARD</v>
      </c>
    </row>
    <row r="1853" ht="11.25" customHeight="1">
      <c r="A1853" s="21" t="str">
        <f>IFERROR(__xludf.DUMMYFUNCTION("""COMPUTED_VALUE"""),"HUMAX HG100R-L4")</f>
        <v>HUMAX HG100R-L4</v>
      </c>
      <c r="B1853" s="22">
        <f>IFERROR(__xludf.DUMMYFUNCTION("""COMPUTED_VALUE"""),4.1001288E7)</f>
        <v>41001288</v>
      </c>
      <c r="C1853" s="21" t="str">
        <f>IFERROR(__xludf.DUMMYFUNCTION("""COMPUTED_VALUE"""),"4CD08A657A24")</f>
        <v>4CD08A657A24</v>
      </c>
      <c r="D1853" s="21" t="str">
        <f>IFERROR(__xludf.DUMMYFUNCTION("""COMPUTED_VALUE"""),"DIGITEC TECNOLOGIA DIGITAL E REPRES")</f>
        <v>DIGITEC TECNOLOGIA DIGITAL E REPRES</v>
      </c>
      <c r="E1853" s="21">
        <f>IFERROR(__xludf.DUMMYFUNCTION("""COMPUTED_VALUE"""),145359.0)</f>
        <v>145359</v>
      </c>
      <c r="F1853" s="21" t="str">
        <f>IFERROR(__xludf.DUMMYFUNCTION("""COMPUTED_VALUE"""),"TRANSITO REVERSA")</f>
        <v>TRANSITO REVERSA</v>
      </c>
      <c r="G1853" s="23">
        <f>IFERROR(__xludf.DUMMYFUNCTION("""COMPUTED_VALUE"""),45633.0033912037)</f>
        <v>45633.00339</v>
      </c>
      <c r="H1853" s="24" t="str">
        <f>IFERROR(VLOOKUP(B1853,material!A:D,3,0),"")</f>
        <v>SINGLE</v>
      </c>
    </row>
    <row r="1854" ht="11.25" customHeight="1">
      <c r="A1854" s="21" t="str">
        <f>IFERROR(__xludf.DUMMYFUNCTION("""COMPUTED_VALUE"""),"SMART CARD PRETO NAGRA")</f>
        <v>SMART CARD PRETO NAGRA</v>
      </c>
      <c r="B1854" s="22">
        <f>IFERROR(__xludf.DUMMYFUNCTION("""COMPUTED_VALUE"""),4.1001234E7)</f>
        <v>41001234</v>
      </c>
      <c r="C1854" s="21" t="str">
        <f>IFERROR(__xludf.DUMMYFUNCTION("""COMPUTED_VALUE"""),"226344122949")</f>
        <v>226344122949</v>
      </c>
      <c r="D1854" s="21" t="str">
        <f>IFERROR(__xludf.DUMMYFUNCTION("""COMPUTED_VALUE"""),"DIGITEC TECNOLOGIA DIGITAL E REPRES")</f>
        <v>DIGITEC TECNOLOGIA DIGITAL E REPRES</v>
      </c>
      <c r="E1854" s="21">
        <f>IFERROR(__xludf.DUMMYFUNCTION("""COMPUTED_VALUE"""),145359.0)</f>
        <v>145359</v>
      </c>
      <c r="F1854" s="21" t="str">
        <f>IFERROR(__xludf.DUMMYFUNCTION("""COMPUTED_VALUE"""),"TRANSITO REVERSA")</f>
        <v>TRANSITO REVERSA</v>
      </c>
      <c r="G1854" s="23">
        <f>IFERROR(__xludf.DUMMYFUNCTION("""COMPUTED_VALUE"""),45638.52112268518)</f>
        <v>45638.52112</v>
      </c>
      <c r="H1854" s="24" t="str">
        <f>IFERROR(VLOOKUP(B1854,material!A:D,3,0),"")</f>
        <v>CARD</v>
      </c>
    </row>
    <row r="1855" ht="11.25" customHeight="1">
      <c r="A1855" s="21" t="str">
        <f>IFERROR(__xludf.DUMMYFUNCTION("""COMPUTED_VALUE"""),"SMART CARD PRETO NAGRA")</f>
        <v>SMART CARD PRETO NAGRA</v>
      </c>
      <c r="B1855" s="22">
        <f>IFERROR(__xludf.DUMMYFUNCTION("""COMPUTED_VALUE"""),4.1001234E7)</f>
        <v>41001234</v>
      </c>
      <c r="C1855" s="21" t="str">
        <f>IFERROR(__xludf.DUMMYFUNCTION("""COMPUTED_VALUE"""),"246171569194")</f>
        <v>246171569194</v>
      </c>
      <c r="D1855" s="21" t="str">
        <f>IFERROR(__xludf.DUMMYFUNCTION("""COMPUTED_VALUE"""),"DIGITEC TECNOLOGIA DIGITAL E REPRES")</f>
        <v>DIGITEC TECNOLOGIA DIGITAL E REPRES</v>
      </c>
      <c r="E1855" s="21">
        <f>IFERROR(__xludf.DUMMYFUNCTION("""COMPUTED_VALUE"""),145359.0)</f>
        <v>145359</v>
      </c>
      <c r="F1855" s="21" t="str">
        <f>IFERROR(__xludf.DUMMYFUNCTION("""COMPUTED_VALUE"""),"INICIALIZADO")</f>
        <v>INICIALIZADO</v>
      </c>
      <c r="G1855" s="23">
        <f>IFERROR(__xludf.DUMMYFUNCTION("""COMPUTED_VALUE"""),45635.534895833334)</f>
        <v>45635.5349</v>
      </c>
      <c r="H1855" s="24" t="str">
        <f>IFERROR(VLOOKUP(B1855,material!A:D,3,0),"")</f>
        <v>CARD</v>
      </c>
    </row>
    <row r="1856" ht="11.25" customHeight="1">
      <c r="A1856" s="21" t="str">
        <f>IFERROR(__xludf.DUMMYFUNCTION("""COMPUTED_VALUE"""),"SMART CARD PRETO NAGRA")</f>
        <v>SMART CARD PRETO NAGRA</v>
      </c>
      <c r="B1856" s="22">
        <f>IFERROR(__xludf.DUMMYFUNCTION("""COMPUTED_VALUE"""),4.1001234E7)</f>
        <v>41001234</v>
      </c>
      <c r="C1856" s="21" t="str">
        <f>IFERROR(__xludf.DUMMYFUNCTION("""COMPUTED_VALUE"""),"246236453238")</f>
        <v>246236453238</v>
      </c>
      <c r="D1856" s="21" t="str">
        <f>IFERROR(__xludf.DUMMYFUNCTION("""COMPUTED_VALUE"""),"DIGITEC TECNOLOGIA DIGITAL E REPRES")</f>
        <v>DIGITEC TECNOLOGIA DIGITAL E REPRES</v>
      </c>
      <c r="E1856" s="21">
        <f>IFERROR(__xludf.DUMMYFUNCTION("""COMPUTED_VALUE"""),145359.0)</f>
        <v>145359</v>
      </c>
      <c r="F1856" s="21" t="str">
        <f>IFERROR(__xludf.DUMMYFUNCTION("""COMPUTED_VALUE"""),"INICIALIZADO")</f>
        <v>INICIALIZADO</v>
      </c>
      <c r="G1856" s="23">
        <f>IFERROR(__xludf.DUMMYFUNCTION("""COMPUTED_VALUE"""),45635.53493055556)</f>
        <v>45635.53493</v>
      </c>
      <c r="H1856" s="24" t="str">
        <f>IFERROR(VLOOKUP(B1856,material!A:D,3,0),"")</f>
        <v>CARD</v>
      </c>
    </row>
    <row r="1857" ht="11.25" customHeight="1">
      <c r="A1857" s="21" t="str">
        <f>IFERROR(__xludf.DUMMYFUNCTION("""COMPUTED_VALUE"""),"SMART CARD PRETO NAGRA")</f>
        <v>SMART CARD PRETO NAGRA</v>
      </c>
      <c r="B1857" s="22">
        <f>IFERROR(__xludf.DUMMYFUNCTION("""COMPUTED_VALUE"""),4.1001234E7)</f>
        <v>41001234</v>
      </c>
      <c r="C1857" s="21" t="str">
        <f>IFERROR(__xludf.DUMMYFUNCTION("""COMPUTED_VALUE"""),"226071743549")</f>
        <v>226071743549</v>
      </c>
      <c r="D1857" s="21" t="str">
        <f>IFERROR(__xludf.DUMMYFUNCTION("""COMPUTED_VALUE"""),"DIGITEC TECNOLOGIA DIGITAL E REPRES")</f>
        <v>DIGITEC TECNOLOGIA DIGITAL E REPRES</v>
      </c>
      <c r="E1857" s="21">
        <f>IFERROR(__xludf.DUMMYFUNCTION("""COMPUTED_VALUE"""),145359.0)</f>
        <v>145359</v>
      </c>
      <c r="F1857" s="21" t="str">
        <f>IFERROR(__xludf.DUMMYFUNCTION("""COMPUTED_VALUE"""),"INICIALIZADO")</f>
        <v>INICIALIZADO</v>
      </c>
      <c r="G1857" s="23">
        <f>IFERROR(__xludf.DUMMYFUNCTION("""COMPUTED_VALUE"""),45635.534953703704)</f>
        <v>45635.53495</v>
      </c>
      <c r="H1857" s="24" t="str">
        <f>IFERROR(VLOOKUP(B1857,material!A:D,3,0),"")</f>
        <v>CARD</v>
      </c>
    </row>
    <row r="1858" ht="11.25" customHeight="1">
      <c r="A1858" s="21" t="str">
        <f>IFERROR(__xludf.DUMMYFUNCTION("""COMPUTED_VALUE"""),"DECODER DIGITAL HD DXC5000 2T")</f>
        <v>DECODER DIGITAL HD DXC5000 2T</v>
      </c>
      <c r="B1858" s="22">
        <f>IFERROR(__xludf.DUMMYFUNCTION("""COMPUTED_VALUE"""),4.1001277E7)</f>
        <v>41001277</v>
      </c>
      <c r="C1858" s="21" t="str">
        <f>IFERROR(__xludf.DUMMYFUNCTION("""COMPUTED_VALUE"""),"216785700113")</f>
        <v>216785700113</v>
      </c>
      <c r="D1858" s="21" t="str">
        <f>IFERROR(__xludf.DUMMYFUNCTION("""COMPUTED_VALUE"""),"DIGITEC TECNOLOGIA DIGITAL E REPRES")</f>
        <v>DIGITEC TECNOLOGIA DIGITAL E REPRES</v>
      </c>
      <c r="E1858" s="21">
        <f>IFERROR(__xludf.DUMMYFUNCTION("""COMPUTED_VALUE"""),145359.0)</f>
        <v>145359</v>
      </c>
      <c r="F1858" s="21" t="str">
        <f>IFERROR(__xludf.DUMMYFUNCTION("""COMPUTED_VALUE"""),"TRANSITO REVERSA")</f>
        <v>TRANSITO REVERSA</v>
      </c>
      <c r="G1858" s="23">
        <f>IFERROR(__xludf.DUMMYFUNCTION("""COMPUTED_VALUE"""),45633.0033912037)</f>
        <v>45633.00339</v>
      </c>
      <c r="H1858" s="24" t="str">
        <f>IFERROR(VLOOKUP(B1858,material!A:D,3,0),"")</f>
        <v>TOP MIX</v>
      </c>
    </row>
    <row r="1859" ht="11.25" customHeight="1">
      <c r="A1859" s="21" t="str">
        <f>IFERROR(__xludf.DUMMYFUNCTION("""COMPUTED_VALUE"""),"DECODER DIGITAL HD HNB100 2T")</f>
        <v>DECODER DIGITAL HD HNB100 2T</v>
      </c>
      <c r="B1859" s="22">
        <f>IFERROR(__xludf.DUMMYFUNCTION("""COMPUTED_VALUE"""),4.1001276E7)</f>
        <v>41001276</v>
      </c>
      <c r="C1859" s="21" t="str">
        <f>IFERROR(__xludf.DUMMYFUNCTION("""COMPUTED_VALUE"""),"216628254870")</f>
        <v>216628254870</v>
      </c>
      <c r="D1859" s="21" t="str">
        <f>IFERROR(__xludf.DUMMYFUNCTION("""COMPUTED_VALUE"""),"DIGITEC TECNOLOGIA DIGITAL E REPRES")</f>
        <v>DIGITEC TECNOLOGIA DIGITAL E REPRES</v>
      </c>
      <c r="E1859" s="21">
        <f>IFERROR(__xludf.DUMMYFUNCTION("""COMPUTED_VALUE"""),145359.0)</f>
        <v>145359</v>
      </c>
      <c r="F1859" s="21" t="str">
        <f>IFERROR(__xludf.DUMMYFUNCTION("""COMPUTED_VALUE"""),"INICIALIZADO")</f>
        <v>INICIALIZADO</v>
      </c>
      <c r="G1859" s="23">
        <f>IFERROR(__xludf.DUMMYFUNCTION("""COMPUTED_VALUE"""),45635.53506944445)</f>
        <v>45635.53507</v>
      </c>
      <c r="H1859" s="24" t="str">
        <f>IFERROR(VLOOKUP(B1859,material!A:D,3,0),"")</f>
        <v>TOP MIX</v>
      </c>
    </row>
    <row r="1860" ht="11.25" customHeight="1">
      <c r="A1860" s="21" t="str">
        <f>IFERROR(__xludf.DUMMYFUNCTION("""COMPUTED_VALUE"""),"SMART CARD PRETO NAGRA")</f>
        <v>SMART CARD PRETO NAGRA</v>
      </c>
      <c r="B1860" s="22">
        <f>IFERROR(__xludf.DUMMYFUNCTION("""COMPUTED_VALUE"""),4.1001234E7)</f>
        <v>41001234</v>
      </c>
      <c r="C1860" s="21" t="str">
        <f>IFERROR(__xludf.DUMMYFUNCTION("""COMPUTED_VALUE"""),"226330613033")</f>
        <v>226330613033</v>
      </c>
      <c r="D1860" s="21" t="str">
        <f>IFERROR(__xludf.DUMMYFUNCTION("""COMPUTED_VALUE"""),"DIGITEC TECNOLOGIA DIGITAL E REPRES")</f>
        <v>DIGITEC TECNOLOGIA DIGITAL E REPRES</v>
      </c>
      <c r="E1860" s="21">
        <f>IFERROR(__xludf.DUMMYFUNCTION("""COMPUTED_VALUE"""),145359.0)</f>
        <v>145359</v>
      </c>
      <c r="F1860" s="21" t="str">
        <f>IFERROR(__xludf.DUMMYFUNCTION("""COMPUTED_VALUE"""),"INICIALIZADO")</f>
        <v>INICIALIZADO</v>
      </c>
      <c r="G1860" s="23">
        <f>IFERROR(__xludf.DUMMYFUNCTION("""COMPUTED_VALUE"""),45635.53497685185)</f>
        <v>45635.53498</v>
      </c>
      <c r="H1860" s="24" t="str">
        <f>IFERROR(VLOOKUP(B1860,material!A:D,3,0),"")</f>
        <v>CARD</v>
      </c>
    </row>
    <row r="1861" ht="11.25" customHeight="1">
      <c r="A1861" s="21" t="str">
        <f>IFERROR(__xludf.DUMMYFUNCTION("""COMPUTED_VALUE"""),"SMART CARD PRETO NAGRA")</f>
        <v>SMART CARD PRETO NAGRA</v>
      </c>
      <c r="B1861" s="22">
        <f>IFERROR(__xludf.DUMMYFUNCTION("""COMPUTED_VALUE"""),4.1001234E7)</f>
        <v>41001234</v>
      </c>
      <c r="C1861" s="21" t="str">
        <f>IFERROR(__xludf.DUMMYFUNCTION("""COMPUTED_VALUE"""),"226257707477")</f>
        <v>226257707477</v>
      </c>
      <c r="D1861" s="21" t="str">
        <f>IFERROR(__xludf.DUMMYFUNCTION("""COMPUTED_VALUE"""),"DIGITEC TECNOLOGIA DIGITAL E REPRES")</f>
        <v>DIGITEC TECNOLOGIA DIGITAL E REPRES</v>
      </c>
      <c r="E1861" s="21">
        <f>IFERROR(__xludf.DUMMYFUNCTION("""COMPUTED_VALUE"""),145359.0)</f>
        <v>145359</v>
      </c>
      <c r="F1861" s="21" t="str">
        <f>IFERROR(__xludf.DUMMYFUNCTION("""COMPUTED_VALUE"""),"INICIALIZADO")</f>
        <v>INICIALIZADO</v>
      </c>
      <c r="G1861" s="23">
        <f>IFERROR(__xludf.DUMMYFUNCTION("""COMPUTED_VALUE"""),45642.52410879629)</f>
        <v>45642.52411</v>
      </c>
      <c r="H1861" s="24" t="str">
        <f>IFERROR(VLOOKUP(B1861,material!A:D,3,0),"")</f>
        <v>CARD</v>
      </c>
    </row>
    <row r="1862" ht="11.25" customHeight="1">
      <c r="A1862" s="21" t="str">
        <f>IFERROR(__xludf.DUMMYFUNCTION("""COMPUTED_VALUE"""),"SMART CARD PRETO NAGRA")</f>
        <v>SMART CARD PRETO NAGRA</v>
      </c>
      <c r="B1862" s="22">
        <f>IFERROR(__xludf.DUMMYFUNCTION("""COMPUTED_VALUE"""),4.1001234E7)</f>
        <v>41001234</v>
      </c>
      <c r="C1862" s="21" t="str">
        <f>IFERROR(__xludf.DUMMYFUNCTION("""COMPUTED_VALUE"""),"246103588194")</f>
        <v>246103588194</v>
      </c>
      <c r="D1862" s="21" t="str">
        <f>IFERROR(__xludf.DUMMYFUNCTION("""COMPUTED_VALUE"""),"DIGITEC TECNOLOGIA DIGITAL E REPRES")</f>
        <v>DIGITEC TECNOLOGIA DIGITAL E REPRES</v>
      </c>
      <c r="E1862" s="21">
        <f>IFERROR(__xludf.DUMMYFUNCTION("""COMPUTED_VALUE"""),145359.0)</f>
        <v>145359</v>
      </c>
      <c r="F1862" s="21" t="str">
        <f>IFERROR(__xludf.DUMMYFUNCTION("""COMPUTED_VALUE"""),"INICIALIZADO")</f>
        <v>INICIALIZADO</v>
      </c>
      <c r="G1862" s="23">
        <f>IFERROR(__xludf.DUMMYFUNCTION("""COMPUTED_VALUE"""),45635.534907407404)</f>
        <v>45635.53491</v>
      </c>
      <c r="H1862" s="24" t="str">
        <f>IFERROR(VLOOKUP(B1862,material!A:D,3,0),"")</f>
        <v>CARD</v>
      </c>
    </row>
    <row r="1863" ht="11.25" customHeight="1">
      <c r="A1863" s="21" t="str">
        <f>IFERROR(__xludf.DUMMYFUNCTION("""COMPUTED_VALUE"""),"SMART CARD PRETO NAGRA")</f>
        <v>SMART CARD PRETO NAGRA</v>
      </c>
      <c r="B1863" s="22">
        <f>IFERROR(__xludf.DUMMYFUNCTION("""COMPUTED_VALUE"""),4.1001234E7)</f>
        <v>41001234</v>
      </c>
      <c r="C1863" s="21" t="str">
        <f>IFERROR(__xludf.DUMMYFUNCTION("""COMPUTED_VALUE"""),"226116745662")</f>
        <v>226116745662</v>
      </c>
      <c r="D1863" s="21" t="str">
        <f>IFERROR(__xludf.DUMMYFUNCTION("""COMPUTED_VALUE"""),"DIGITEC TECNOLOGIA DIGITAL E REPRES")</f>
        <v>DIGITEC TECNOLOGIA DIGITAL E REPRES</v>
      </c>
      <c r="E1863" s="21">
        <f>IFERROR(__xludf.DUMMYFUNCTION("""COMPUTED_VALUE"""),145359.0)</f>
        <v>145359</v>
      </c>
      <c r="F1863" s="21" t="str">
        <f>IFERROR(__xludf.DUMMYFUNCTION("""COMPUTED_VALUE"""),"INICIALIZADO")</f>
        <v>INICIALIZADO</v>
      </c>
      <c r="G1863" s="23">
        <f>IFERROR(__xludf.DUMMYFUNCTION("""COMPUTED_VALUE"""),45635.534953703704)</f>
        <v>45635.53495</v>
      </c>
      <c r="H1863" s="24" t="str">
        <f>IFERROR(VLOOKUP(B1863,material!A:D,3,0),"")</f>
        <v>CARD</v>
      </c>
    </row>
    <row r="1864" ht="11.25" customHeight="1">
      <c r="A1864" s="21" t="str">
        <f>IFERROR(__xludf.DUMMYFUNCTION("""COMPUTED_VALUE"""),"SMART CARD LARANJA NAGRA")</f>
        <v>SMART CARD LARANJA NAGRA</v>
      </c>
      <c r="B1864" s="22">
        <f>IFERROR(__xludf.DUMMYFUNCTION("""COMPUTED_VALUE"""),4.1001186E7)</f>
        <v>41001186</v>
      </c>
      <c r="C1864" s="21" t="str">
        <f>IFERROR(__xludf.DUMMYFUNCTION("""COMPUTED_VALUE"""),"226704149802")</f>
        <v>226704149802</v>
      </c>
      <c r="D1864" s="21" t="str">
        <f>IFERROR(__xludf.DUMMYFUNCTION("""COMPUTED_VALUE"""),"DIGITEC TECNOLOGIA DIGITAL E REPRES")</f>
        <v>DIGITEC TECNOLOGIA DIGITAL E REPRES</v>
      </c>
      <c r="E1864" s="21">
        <f>IFERROR(__xludf.DUMMYFUNCTION("""COMPUTED_VALUE"""),145359.0)</f>
        <v>145359</v>
      </c>
      <c r="F1864" s="21" t="str">
        <f>IFERROR(__xludf.DUMMYFUNCTION("""COMPUTED_VALUE"""),"SUCATA")</f>
        <v>SUCATA</v>
      </c>
      <c r="G1864" s="23">
        <f>IFERROR(__xludf.DUMMYFUNCTION("""COMPUTED_VALUE"""),45075.511875)</f>
        <v>45075.51188</v>
      </c>
      <c r="H1864" s="24" t="str">
        <f>IFERROR(VLOOKUP(B1864,material!A:D,3,0),"")</f>
        <v>CARD</v>
      </c>
    </row>
    <row r="1865" ht="11.25" customHeight="1">
      <c r="A1865" s="21" t="str">
        <f>IFERROR(__xludf.DUMMYFUNCTION("""COMPUTED_VALUE"""),"DECODER DIGITAL HD DXC5000 2T")</f>
        <v>DECODER DIGITAL HD DXC5000 2T</v>
      </c>
      <c r="B1865" s="22">
        <f>IFERROR(__xludf.DUMMYFUNCTION("""COMPUTED_VALUE"""),4.1001277E7)</f>
        <v>41001277</v>
      </c>
      <c r="C1865" s="21" t="str">
        <f>IFERROR(__xludf.DUMMYFUNCTION("""COMPUTED_VALUE"""),"216424444059")</f>
        <v>216424444059</v>
      </c>
      <c r="D1865" s="21" t="str">
        <f>IFERROR(__xludf.DUMMYFUNCTION("""COMPUTED_VALUE"""),"DIGITEC TECNOLOGIA DIGITAL E REPRES")</f>
        <v>DIGITEC TECNOLOGIA DIGITAL E REPRES</v>
      </c>
      <c r="E1865" s="21">
        <f>IFERROR(__xludf.DUMMYFUNCTION("""COMPUTED_VALUE"""),145359.0)</f>
        <v>145359</v>
      </c>
      <c r="F1865" s="21" t="str">
        <f>IFERROR(__xludf.DUMMYFUNCTION("""COMPUTED_VALUE"""),"INICIALIZADO")</f>
        <v>INICIALIZADO</v>
      </c>
      <c r="G1865" s="23">
        <f>IFERROR(__xludf.DUMMYFUNCTION("""COMPUTED_VALUE"""),45600.476006944446)</f>
        <v>45600.47601</v>
      </c>
      <c r="H1865" s="24" t="str">
        <f>IFERROR(VLOOKUP(B1865,material!A:D,3,0),"")</f>
        <v>TOP MIX</v>
      </c>
    </row>
    <row r="1866" ht="11.25" customHeight="1">
      <c r="A1866" s="21" t="str">
        <f>IFERROR(__xludf.DUMMYFUNCTION("""COMPUTED_VALUE"""),"SMART CARD PRETO NAGRA")</f>
        <v>SMART CARD PRETO NAGRA</v>
      </c>
      <c r="B1866" s="22">
        <f>IFERROR(__xludf.DUMMYFUNCTION("""COMPUTED_VALUE"""),4.1001234E7)</f>
        <v>41001234</v>
      </c>
      <c r="C1866" s="21" t="str">
        <f>IFERROR(__xludf.DUMMYFUNCTION("""COMPUTED_VALUE"""),"226212534158")</f>
        <v>226212534158</v>
      </c>
      <c r="D1866" s="21" t="str">
        <f>IFERROR(__xludf.DUMMYFUNCTION("""COMPUTED_VALUE"""),"DIGITEC TECNOLOGIA DIGITAL E REPRES")</f>
        <v>DIGITEC TECNOLOGIA DIGITAL E REPRES</v>
      </c>
      <c r="E1866" s="21">
        <f>IFERROR(__xludf.DUMMYFUNCTION("""COMPUTED_VALUE"""),145359.0)</f>
        <v>145359</v>
      </c>
      <c r="F1866" s="21" t="str">
        <f>IFERROR(__xludf.DUMMYFUNCTION("""COMPUTED_VALUE"""),"INICIALIZADO")</f>
        <v>INICIALIZADO</v>
      </c>
      <c r="G1866" s="23">
        <f>IFERROR(__xludf.DUMMYFUNCTION("""COMPUTED_VALUE"""),45642.52410879629)</f>
        <v>45642.52411</v>
      </c>
      <c r="H1866" s="24" t="str">
        <f>IFERROR(VLOOKUP(B1866,material!A:D,3,0),"")</f>
        <v>CARD</v>
      </c>
    </row>
    <row r="1867" ht="11.25" customHeight="1">
      <c r="A1867" s="21" t="str">
        <f>IFERROR(__xludf.DUMMYFUNCTION("""COMPUTED_VALUE"""),"DECODER DIGITAL HD HNB100 2T")</f>
        <v>DECODER DIGITAL HD HNB100 2T</v>
      </c>
      <c r="B1867" s="22">
        <f>IFERROR(__xludf.DUMMYFUNCTION("""COMPUTED_VALUE"""),4.1001276E7)</f>
        <v>41001276</v>
      </c>
      <c r="C1867" s="21" t="str">
        <f>IFERROR(__xludf.DUMMYFUNCTION("""COMPUTED_VALUE"""),"216800858695")</f>
        <v>216800858695</v>
      </c>
      <c r="D1867" s="21" t="str">
        <f>IFERROR(__xludf.DUMMYFUNCTION("""COMPUTED_VALUE"""),"DIGITEC TECNOLOGIA DIGITAL E REPRES")</f>
        <v>DIGITEC TECNOLOGIA DIGITAL E REPRES</v>
      </c>
      <c r="E1867" s="21">
        <f>IFERROR(__xludf.DUMMYFUNCTION("""COMPUTED_VALUE"""),145359.0)</f>
        <v>145359</v>
      </c>
      <c r="F1867" s="21" t="str">
        <f>IFERROR(__xludf.DUMMYFUNCTION("""COMPUTED_VALUE"""),"SUSPEITO")</f>
        <v>SUSPEITO</v>
      </c>
      <c r="G1867" s="23">
        <f>IFERROR(__xludf.DUMMYFUNCTION("""COMPUTED_VALUE"""),45638.47017361112)</f>
        <v>45638.47017</v>
      </c>
      <c r="H1867" s="24" t="str">
        <f>IFERROR(VLOOKUP(B1867,material!A:D,3,0),"")</f>
        <v>TOP MIX</v>
      </c>
    </row>
    <row r="1868" ht="11.25" customHeight="1">
      <c r="A1868" s="21" t="str">
        <f>IFERROR(__xludf.DUMMYFUNCTION("""COMPUTED_VALUE"""),"TECHNICOLOR TC7337NET")</f>
        <v>TECHNICOLOR TC7337NET</v>
      </c>
      <c r="B1868" s="22">
        <f>IFERROR(__xludf.DUMMYFUNCTION("""COMPUTED_VALUE"""),4.1001294E7)</f>
        <v>41001294</v>
      </c>
      <c r="C1868" s="21" t="str">
        <f>IFERROR(__xludf.DUMMYFUNCTION("""COMPUTED_VALUE"""),"1062D0C8E15F")</f>
        <v>1062D0C8E15F</v>
      </c>
      <c r="D1868" s="21" t="str">
        <f>IFERROR(__xludf.DUMMYFUNCTION("""COMPUTED_VALUE"""),"DIGITEC TECNOLOGIA DIGITAL E REPRES")</f>
        <v>DIGITEC TECNOLOGIA DIGITAL E REPRES</v>
      </c>
      <c r="E1868" s="21">
        <f>IFERROR(__xludf.DUMMYFUNCTION("""COMPUTED_VALUE"""),145359.0)</f>
        <v>145359</v>
      </c>
      <c r="F1868" s="21" t="str">
        <f>IFERROR(__xludf.DUMMYFUNCTION("""COMPUTED_VALUE"""),"INICIALIZADO")</f>
        <v>INICIALIZADO</v>
      </c>
      <c r="G1868" s="23">
        <f>IFERROR(__xludf.DUMMYFUNCTION("""COMPUTED_VALUE"""),45615.61858796296)</f>
        <v>45615.61859</v>
      </c>
      <c r="H1868" s="24" t="str">
        <f>IFERROR(VLOOKUP(B1868,material!A:D,3,0),"")</f>
        <v>DUAL</v>
      </c>
    </row>
    <row r="1869" ht="11.25" customHeight="1">
      <c r="A1869" s="21" t="str">
        <f>IFERROR(__xludf.DUMMYFUNCTION("""COMPUTED_VALUE"""),"SMART CARD PRETO NAGRA")</f>
        <v>SMART CARD PRETO NAGRA</v>
      </c>
      <c r="B1869" s="22">
        <f>IFERROR(__xludf.DUMMYFUNCTION("""COMPUTED_VALUE"""),4.1001234E7)</f>
        <v>41001234</v>
      </c>
      <c r="C1869" s="21" t="str">
        <f>IFERROR(__xludf.DUMMYFUNCTION("""COMPUTED_VALUE"""),"246227153756")</f>
        <v>246227153756</v>
      </c>
      <c r="D1869" s="21" t="str">
        <f>IFERROR(__xludf.DUMMYFUNCTION("""COMPUTED_VALUE"""),"DIGITEC TECNOLOGIA DIGITAL E REPRES")</f>
        <v>DIGITEC TECNOLOGIA DIGITAL E REPRES</v>
      </c>
      <c r="E1869" s="21">
        <f>IFERROR(__xludf.DUMMYFUNCTION("""COMPUTED_VALUE"""),145359.0)</f>
        <v>145359</v>
      </c>
      <c r="F1869" s="21" t="str">
        <f>IFERROR(__xludf.DUMMYFUNCTION("""COMPUTED_VALUE"""),"INICIALIZADO")</f>
        <v>INICIALIZADO</v>
      </c>
      <c r="G1869" s="23">
        <f>IFERROR(__xludf.DUMMYFUNCTION("""COMPUTED_VALUE"""),45635.53493055556)</f>
        <v>45635.53493</v>
      </c>
      <c r="H1869" s="24" t="str">
        <f>IFERROR(VLOOKUP(B1869,material!A:D,3,0),"")</f>
        <v>CARD</v>
      </c>
    </row>
    <row r="1870" ht="11.25" customHeight="1">
      <c r="A1870" s="21" t="str">
        <f>IFERROR(__xludf.DUMMYFUNCTION("""COMPUTED_VALUE"""),"SMART CARD PRETO NAGRA")</f>
        <v>SMART CARD PRETO NAGRA</v>
      </c>
      <c r="B1870" s="22">
        <f>IFERROR(__xludf.DUMMYFUNCTION("""COMPUTED_VALUE"""),4.1001234E7)</f>
        <v>41001234</v>
      </c>
      <c r="C1870" s="21" t="str">
        <f>IFERROR(__xludf.DUMMYFUNCTION("""COMPUTED_VALUE"""),"226408622835")</f>
        <v>226408622835</v>
      </c>
      <c r="D1870" s="21" t="str">
        <f>IFERROR(__xludf.DUMMYFUNCTION("""COMPUTED_VALUE"""),"DIGITEC TECNOLOGIA DIGITAL E REPRES")</f>
        <v>DIGITEC TECNOLOGIA DIGITAL E REPRES</v>
      </c>
      <c r="E1870" s="21">
        <f>IFERROR(__xludf.DUMMYFUNCTION("""COMPUTED_VALUE"""),145359.0)</f>
        <v>145359</v>
      </c>
      <c r="F1870" s="21" t="str">
        <f>IFERROR(__xludf.DUMMYFUNCTION("""COMPUTED_VALUE"""),"INICIALIZADO")</f>
        <v>INICIALIZADO</v>
      </c>
      <c r="G1870" s="23">
        <f>IFERROR(__xludf.DUMMYFUNCTION("""COMPUTED_VALUE"""),45635.53496527778)</f>
        <v>45635.53497</v>
      </c>
      <c r="H1870" s="24" t="str">
        <f>IFERROR(VLOOKUP(B1870,material!A:D,3,0),"")</f>
        <v>CARD</v>
      </c>
    </row>
    <row r="1871" ht="11.25" customHeight="1">
      <c r="A1871" s="21" t="str">
        <f>IFERROR(__xludf.DUMMYFUNCTION("""COMPUTED_VALUE"""),"SMART CARD PRETO NAGRA")</f>
        <v>SMART CARD PRETO NAGRA</v>
      </c>
      <c r="B1871" s="22">
        <f>IFERROR(__xludf.DUMMYFUNCTION("""COMPUTED_VALUE"""),4.1001234E7)</f>
        <v>41001234</v>
      </c>
      <c r="C1871" s="21" t="str">
        <f>IFERROR(__xludf.DUMMYFUNCTION("""COMPUTED_VALUE"""),"246278366172")</f>
        <v>246278366172</v>
      </c>
      <c r="D1871" s="21" t="str">
        <f>IFERROR(__xludf.DUMMYFUNCTION("""COMPUTED_VALUE"""),"DIGITEC TECNOLOGIA DIGITAL E REPRES")</f>
        <v>DIGITEC TECNOLOGIA DIGITAL E REPRES</v>
      </c>
      <c r="E1871" s="21">
        <f>IFERROR(__xludf.DUMMYFUNCTION("""COMPUTED_VALUE"""),145359.0)</f>
        <v>145359</v>
      </c>
      <c r="F1871" s="21" t="str">
        <f>IFERROR(__xludf.DUMMYFUNCTION("""COMPUTED_VALUE"""),"INICIALIZADO")</f>
        <v>INICIALIZADO</v>
      </c>
      <c r="G1871" s="23">
        <f>IFERROR(__xludf.DUMMYFUNCTION("""COMPUTED_VALUE"""),45635.53491898148)</f>
        <v>45635.53492</v>
      </c>
      <c r="H1871" s="24" t="str">
        <f>IFERROR(VLOOKUP(B1871,material!A:D,3,0),"")</f>
        <v>CARD</v>
      </c>
    </row>
    <row r="1872" ht="11.25" customHeight="1">
      <c r="A1872" s="21" t="str">
        <f>IFERROR(__xludf.DUMMYFUNCTION("""COMPUTED_VALUE"""),"SMART CARD PRETO NAGRA")</f>
        <v>SMART CARD PRETO NAGRA</v>
      </c>
      <c r="B1872" s="22">
        <f>IFERROR(__xludf.DUMMYFUNCTION("""COMPUTED_VALUE"""),4.1001234E7)</f>
        <v>41001234</v>
      </c>
      <c r="C1872" s="21" t="str">
        <f>IFERROR(__xludf.DUMMYFUNCTION("""COMPUTED_VALUE"""),"226289425556")</f>
        <v>226289425556</v>
      </c>
      <c r="D1872" s="21" t="str">
        <f>IFERROR(__xludf.DUMMYFUNCTION("""COMPUTED_VALUE"""),"DIGITEC TECNOLOGIA DIGITAL E REPRES")</f>
        <v>DIGITEC TECNOLOGIA DIGITAL E REPRES</v>
      </c>
      <c r="E1872" s="21">
        <f>IFERROR(__xludf.DUMMYFUNCTION("""COMPUTED_VALUE"""),145359.0)</f>
        <v>145359</v>
      </c>
      <c r="F1872" s="21" t="str">
        <f>IFERROR(__xludf.DUMMYFUNCTION("""COMPUTED_VALUE"""),"INICIALIZADO")</f>
        <v>INICIALIZADO</v>
      </c>
      <c r="G1872" s="23">
        <f>IFERROR(__xludf.DUMMYFUNCTION("""COMPUTED_VALUE"""),45635.53496527778)</f>
        <v>45635.53497</v>
      </c>
      <c r="H1872" s="24" t="str">
        <f>IFERROR(VLOOKUP(B1872,material!A:D,3,0),"")</f>
        <v>CARD</v>
      </c>
    </row>
    <row r="1873" ht="11.25" customHeight="1">
      <c r="A1873" s="21" t="str">
        <f>IFERROR(__xludf.DUMMYFUNCTION("""COMPUTED_VALUE"""),"SMART CARD PRETO NAGRA")</f>
        <v>SMART CARD PRETO NAGRA</v>
      </c>
      <c r="B1873" s="22">
        <f>IFERROR(__xludf.DUMMYFUNCTION("""COMPUTED_VALUE"""),4.1001234E7)</f>
        <v>41001234</v>
      </c>
      <c r="C1873" s="21" t="str">
        <f>IFERROR(__xludf.DUMMYFUNCTION("""COMPUTED_VALUE"""),"226288386274")</f>
        <v>226288386274</v>
      </c>
      <c r="D1873" s="21" t="str">
        <f>IFERROR(__xludf.DUMMYFUNCTION("""COMPUTED_VALUE"""),"DIGITEC TECNOLOGIA DIGITAL E REPRES")</f>
        <v>DIGITEC TECNOLOGIA DIGITAL E REPRES</v>
      </c>
      <c r="E1873" s="21">
        <f>IFERROR(__xludf.DUMMYFUNCTION("""COMPUTED_VALUE"""),145359.0)</f>
        <v>145359</v>
      </c>
      <c r="F1873" s="21" t="str">
        <f>IFERROR(__xludf.DUMMYFUNCTION("""COMPUTED_VALUE"""),"INICIALIZADO")</f>
        <v>INICIALIZADO</v>
      </c>
      <c r="G1873" s="23">
        <f>IFERROR(__xludf.DUMMYFUNCTION("""COMPUTED_VALUE"""),45635.53496527778)</f>
        <v>45635.53497</v>
      </c>
      <c r="H1873" s="24" t="str">
        <f>IFERROR(VLOOKUP(B1873,material!A:D,3,0),"")</f>
        <v>CARD</v>
      </c>
    </row>
    <row r="1874" ht="11.25" customHeight="1">
      <c r="A1874" s="21" t="str">
        <f>IFERROR(__xludf.DUMMYFUNCTION("""COMPUTED_VALUE"""),"SMART CARD PRETO NAGRA")</f>
        <v>SMART CARD PRETO NAGRA</v>
      </c>
      <c r="B1874" s="22">
        <f>IFERROR(__xludf.DUMMYFUNCTION("""COMPUTED_VALUE"""),4.1001234E7)</f>
        <v>41001234</v>
      </c>
      <c r="C1874" s="21" t="str">
        <f>IFERROR(__xludf.DUMMYFUNCTION("""COMPUTED_VALUE"""),"226225778592")</f>
        <v>226225778592</v>
      </c>
      <c r="D1874" s="21" t="str">
        <f>IFERROR(__xludf.DUMMYFUNCTION("""COMPUTED_VALUE"""),"DIGITEC TECNOLOGIA DIGITAL E REPRES")</f>
        <v>DIGITEC TECNOLOGIA DIGITAL E REPRES</v>
      </c>
      <c r="E1874" s="21">
        <f>IFERROR(__xludf.DUMMYFUNCTION("""COMPUTED_VALUE"""),145359.0)</f>
        <v>145359</v>
      </c>
      <c r="F1874" s="21" t="str">
        <f>IFERROR(__xludf.DUMMYFUNCTION("""COMPUTED_VALUE"""),"INICIALIZADO")</f>
        <v>INICIALIZADO</v>
      </c>
      <c r="G1874" s="23">
        <f>IFERROR(__xludf.DUMMYFUNCTION("""COMPUTED_VALUE"""),45635.53494212963)</f>
        <v>45635.53494</v>
      </c>
      <c r="H1874" s="24" t="str">
        <f>IFERROR(VLOOKUP(B1874,material!A:D,3,0),"")</f>
        <v>CARD</v>
      </c>
    </row>
    <row r="1875" ht="11.25" customHeight="1">
      <c r="A1875" s="21" t="str">
        <f>IFERROR(__xludf.DUMMYFUNCTION("""COMPUTED_VALUE"""),"SMART CARD PRETO NAGRA")</f>
        <v>SMART CARD PRETO NAGRA</v>
      </c>
      <c r="B1875" s="22">
        <f>IFERROR(__xludf.DUMMYFUNCTION("""COMPUTED_VALUE"""),4.1001234E7)</f>
        <v>41001234</v>
      </c>
      <c r="C1875" s="21" t="str">
        <f>IFERROR(__xludf.DUMMYFUNCTION("""COMPUTED_VALUE"""),"226317721214")</f>
        <v>226317721214</v>
      </c>
      <c r="D1875" s="21" t="str">
        <f>IFERROR(__xludf.DUMMYFUNCTION("""COMPUTED_VALUE"""),"DIGITEC TECNOLOGIA DIGITAL E REPRES")</f>
        <v>DIGITEC TECNOLOGIA DIGITAL E REPRES</v>
      </c>
      <c r="E1875" s="21">
        <f>IFERROR(__xludf.DUMMYFUNCTION("""COMPUTED_VALUE"""),145359.0)</f>
        <v>145359</v>
      </c>
      <c r="F1875" s="21" t="str">
        <f>IFERROR(__xludf.DUMMYFUNCTION("""COMPUTED_VALUE"""),"INICIALIZADO")</f>
        <v>INICIALIZADO</v>
      </c>
      <c r="G1875" s="23">
        <f>IFERROR(__xludf.DUMMYFUNCTION("""COMPUTED_VALUE"""),45635.53497685185)</f>
        <v>45635.53498</v>
      </c>
      <c r="H1875" s="24" t="str">
        <f>IFERROR(VLOOKUP(B1875,material!A:D,3,0),"")</f>
        <v>CARD</v>
      </c>
    </row>
    <row r="1876" ht="11.25" customHeight="1">
      <c r="A1876" s="21" t="str">
        <f>IFERROR(__xludf.DUMMYFUNCTION("""COMPUTED_VALUE"""),"ARRIS TG1692A")</f>
        <v>ARRIS TG1692A</v>
      </c>
      <c r="B1876" s="22">
        <f>IFERROR(__xludf.DUMMYFUNCTION("""COMPUTED_VALUE"""),4.1001293E7)</f>
        <v>41001293</v>
      </c>
      <c r="C1876" s="21" t="str">
        <f>IFERROR(__xludf.DUMMYFUNCTION("""COMPUTED_VALUE"""),"5819F848C8FB")</f>
        <v>5819F848C8FB</v>
      </c>
      <c r="D1876" s="21" t="str">
        <f>IFERROR(__xludf.DUMMYFUNCTION("""COMPUTED_VALUE"""),"DIGITEC TECNOLOGIA DIGITAL E REPRES")</f>
        <v>DIGITEC TECNOLOGIA DIGITAL E REPRES</v>
      </c>
      <c r="E1876" s="21">
        <f>IFERROR(__xludf.DUMMYFUNCTION("""COMPUTED_VALUE"""),145359.0)</f>
        <v>145359</v>
      </c>
      <c r="F1876" s="21" t="str">
        <f>IFERROR(__xludf.DUMMYFUNCTION("""COMPUTED_VALUE"""),"TRANSITO REVERSA")</f>
        <v>TRANSITO REVERSA</v>
      </c>
      <c r="G1876" s="23">
        <f>IFERROR(__xludf.DUMMYFUNCTION("""COMPUTED_VALUE"""),45617.87138888889)</f>
        <v>45617.87139</v>
      </c>
      <c r="H1876" s="24" t="str">
        <f>IFERROR(VLOOKUP(B1876,material!A:D,3,0),"")</f>
        <v>DUAL</v>
      </c>
    </row>
    <row r="1877" ht="11.25" customHeight="1">
      <c r="A1877" s="21" t="str">
        <f>IFERROR(__xludf.DUMMYFUNCTION("""COMPUTED_VALUE"""),"PACE - HIGH DEFINITION DCR7411")</f>
        <v>PACE - HIGH DEFINITION DCR7411</v>
      </c>
      <c r="B1877" s="22">
        <f>IFERROR(__xludf.DUMMYFUNCTION("""COMPUTED_VALUE"""),4.1001216E7)</f>
        <v>41001216</v>
      </c>
      <c r="C1877" s="21" t="str">
        <f>IFERROR(__xludf.DUMMYFUNCTION("""COMPUTED_VALUE"""),"184145330121")</f>
        <v>184145330121</v>
      </c>
      <c r="D1877" s="21" t="str">
        <f>IFERROR(__xludf.DUMMYFUNCTION("""COMPUTED_VALUE"""),"DIGITEC TECNOLOGIA DIGITAL E REPRES")</f>
        <v>DIGITEC TECNOLOGIA DIGITAL E REPRES</v>
      </c>
      <c r="E1877" s="21">
        <f>IFERROR(__xludf.DUMMYFUNCTION("""COMPUTED_VALUE"""),145359.0)</f>
        <v>145359</v>
      </c>
      <c r="F1877" s="21" t="str">
        <f>IFERROR(__xludf.DUMMYFUNCTION("""COMPUTED_VALUE"""),"TRANSITO REVERSA")</f>
        <v>TRANSITO REVERSA</v>
      </c>
      <c r="G1877" s="23">
        <f>IFERROR(__xludf.DUMMYFUNCTION("""COMPUTED_VALUE"""),45638.52060185185)</f>
        <v>45638.5206</v>
      </c>
      <c r="H1877" s="24" t="str">
        <f>IFERROR(VLOOKUP(B1877,material!A:D,3,0),"")</f>
        <v>LEGADO</v>
      </c>
    </row>
    <row r="1878" ht="11.25" customHeight="1">
      <c r="A1878" s="21" t="str">
        <f>IFERROR(__xludf.DUMMYFUNCTION("""COMPUTED_VALUE"""),"SMART CARD PRETO NAGRA")</f>
        <v>SMART CARD PRETO NAGRA</v>
      </c>
      <c r="B1878" s="22">
        <f>IFERROR(__xludf.DUMMYFUNCTION("""COMPUTED_VALUE"""),4.1001234E7)</f>
        <v>41001234</v>
      </c>
      <c r="C1878" s="21" t="str">
        <f>IFERROR(__xludf.DUMMYFUNCTION("""COMPUTED_VALUE"""),"226188900101")</f>
        <v>226188900101</v>
      </c>
      <c r="D1878" s="21" t="str">
        <f>IFERROR(__xludf.DUMMYFUNCTION("""COMPUTED_VALUE"""),"DIGITEC TECNOLOGIA DIGITAL E REPRES")</f>
        <v>DIGITEC TECNOLOGIA DIGITAL E REPRES</v>
      </c>
      <c r="E1878" s="21">
        <f>IFERROR(__xludf.DUMMYFUNCTION("""COMPUTED_VALUE"""),145359.0)</f>
        <v>145359</v>
      </c>
      <c r="F1878" s="21" t="str">
        <f>IFERROR(__xludf.DUMMYFUNCTION("""COMPUTED_VALUE"""),"INICIALIZADO")</f>
        <v>INICIALIZADO</v>
      </c>
      <c r="G1878" s="23">
        <f>IFERROR(__xludf.DUMMYFUNCTION("""COMPUTED_VALUE"""),45642.52410879629)</f>
        <v>45642.52411</v>
      </c>
      <c r="H1878" s="24" t="str">
        <f>IFERROR(VLOOKUP(B1878,material!A:D,3,0),"")</f>
        <v>CARD</v>
      </c>
    </row>
    <row r="1879" ht="11.25" customHeight="1">
      <c r="A1879" s="21" t="str">
        <f>IFERROR(__xludf.DUMMYFUNCTION("""COMPUTED_VALUE"""),"ARRIS TG1692A")</f>
        <v>ARRIS TG1692A</v>
      </c>
      <c r="B1879" s="22">
        <f>IFERROR(__xludf.DUMMYFUNCTION("""COMPUTED_VALUE"""),4.1001293E7)</f>
        <v>41001293</v>
      </c>
      <c r="C1879" s="21" t="str">
        <f>IFERROR(__xludf.DUMMYFUNCTION("""COMPUTED_VALUE"""),"2C9569F03264")</f>
        <v>2C9569F03264</v>
      </c>
      <c r="D1879" s="21" t="str">
        <f>IFERROR(__xludf.DUMMYFUNCTION("""COMPUTED_VALUE"""),"DIGITEC TECNOLOGIA DIGITAL E REPRES")</f>
        <v>DIGITEC TECNOLOGIA DIGITAL E REPRES</v>
      </c>
      <c r="E1879" s="21">
        <f>IFERROR(__xludf.DUMMYFUNCTION("""COMPUTED_VALUE"""),145359.0)</f>
        <v>145359</v>
      </c>
      <c r="F1879" s="21" t="str">
        <f>IFERROR(__xludf.DUMMYFUNCTION("""COMPUTED_VALUE"""),"TRANSITO REVERSA")</f>
        <v>TRANSITO REVERSA</v>
      </c>
      <c r="G1879" s="23">
        <f>IFERROR(__xludf.DUMMYFUNCTION("""COMPUTED_VALUE"""),45638.520625000005)</f>
        <v>45638.52063</v>
      </c>
      <c r="H1879" s="24" t="str">
        <f>IFERROR(VLOOKUP(B1879,material!A:D,3,0),"")</f>
        <v>DUAL</v>
      </c>
    </row>
    <row r="1880" ht="11.25" customHeight="1">
      <c r="A1880" s="21" t="str">
        <f>IFERROR(__xludf.DUMMYFUNCTION("""COMPUTED_VALUE"""),"DECODER HD DCI738 2T")</f>
        <v>DECODER HD DCI738 2T</v>
      </c>
      <c r="B1880" s="22">
        <f>IFERROR(__xludf.DUMMYFUNCTION("""COMPUTED_VALUE"""),4.1001275E7)</f>
        <v>41001275</v>
      </c>
      <c r="C1880" s="21" t="str">
        <f>IFERROR(__xludf.DUMMYFUNCTION("""COMPUTED_VALUE"""),"216884285457")</f>
        <v>216884285457</v>
      </c>
      <c r="D1880" s="21" t="str">
        <f>IFERROR(__xludf.DUMMYFUNCTION("""COMPUTED_VALUE"""),"DIGITEC TECNOLOGIA DIGITAL E REPRES")</f>
        <v>DIGITEC TECNOLOGIA DIGITAL E REPRES</v>
      </c>
      <c r="E1880" s="21">
        <f>IFERROR(__xludf.DUMMYFUNCTION("""COMPUTED_VALUE"""),145359.0)</f>
        <v>145359</v>
      </c>
      <c r="F1880" s="21" t="str">
        <f>IFERROR(__xludf.DUMMYFUNCTION("""COMPUTED_VALUE"""),"TRANSITO REVERSA")</f>
        <v>TRANSITO REVERSA</v>
      </c>
      <c r="G1880" s="23">
        <f>IFERROR(__xludf.DUMMYFUNCTION("""COMPUTED_VALUE"""),45638.520648148144)</f>
        <v>45638.52065</v>
      </c>
      <c r="H1880" s="24" t="str">
        <f>IFERROR(VLOOKUP(B1880,material!A:D,3,0),"")</f>
        <v>TOP MIX</v>
      </c>
    </row>
    <row r="1881" ht="11.25" customHeight="1">
      <c r="A1881" s="21" t="str">
        <f>IFERROR(__xludf.DUMMYFUNCTION("""COMPUTED_VALUE"""),"DECODER HD DCI738 2T")</f>
        <v>DECODER HD DCI738 2T</v>
      </c>
      <c r="B1881" s="22">
        <f>IFERROR(__xludf.DUMMYFUNCTION("""COMPUTED_VALUE"""),4.1001275E7)</f>
        <v>41001275</v>
      </c>
      <c r="C1881" s="21" t="str">
        <f>IFERROR(__xludf.DUMMYFUNCTION("""COMPUTED_VALUE"""),"216884448908")</f>
        <v>216884448908</v>
      </c>
      <c r="D1881" s="21" t="str">
        <f>IFERROR(__xludf.DUMMYFUNCTION("""COMPUTED_VALUE"""),"DIGITEC TECNOLOGIA DIGITAL E REPRES")</f>
        <v>DIGITEC TECNOLOGIA DIGITAL E REPRES</v>
      </c>
      <c r="E1881" s="21">
        <f>IFERROR(__xludf.DUMMYFUNCTION("""COMPUTED_VALUE"""),145359.0)</f>
        <v>145359</v>
      </c>
      <c r="F1881" s="21" t="str">
        <f>IFERROR(__xludf.DUMMYFUNCTION("""COMPUTED_VALUE"""),"TRANSITO REVERSA")</f>
        <v>TRANSITO REVERSA</v>
      </c>
      <c r="G1881" s="23">
        <f>IFERROR(__xludf.DUMMYFUNCTION("""COMPUTED_VALUE"""),45626.29871527778)</f>
        <v>45626.29872</v>
      </c>
      <c r="H1881" s="24" t="str">
        <f>IFERROR(VLOOKUP(B1881,material!A:D,3,0),"")</f>
        <v>TOP MIX</v>
      </c>
    </row>
    <row r="1882" ht="11.25" customHeight="1">
      <c r="A1882" s="21" t="str">
        <f>IFERROR(__xludf.DUMMYFUNCTION("""COMPUTED_VALUE"""),"SMART CARD PRETO NAGRA")</f>
        <v>SMART CARD PRETO NAGRA</v>
      </c>
      <c r="B1882" s="22">
        <f>IFERROR(__xludf.DUMMYFUNCTION("""COMPUTED_VALUE"""),4.1001234E7)</f>
        <v>41001234</v>
      </c>
      <c r="C1882" s="21" t="str">
        <f>IFERROR(__xludf.DUMMYFUNCTION("""COMPUTED_VALUE"""),"246299005358")</f>
        <v>246299005358</v>
      </c>
      <c r="D1882" s="21" t="str">
        <f>IFERROR(__xludf.DUMMYFUNCTION("""COMPUTED_VALUE"""),"DIGITEC TECNOLOGIA DIGITAL E REPRES")</f>
        <v>DIGITEC TECNOLOGIA DIGITAL E REPRES</v>
      </c>
      <c r="E1882" s="21">
        <f>IFERROR(__xludf.DUMMYFUNCTION("""COMPUTED_VALUE"""),145359.0)</f>
        <v>145359</v>
      </c>
      <c r="F1882" s="21" t="str">
        <f>IFERROR(__xludf.DUMMYFUNCTION("""COMPUTED_VALUE"""),"TRANSITO REVERSA")</f>
        <v>TRANSITO REVERSA</v>
      </c>
      <c r="G1882" s="23">
        <f>IFERROR(__xludf.DUMMYFUNCTION("""COMPUTED_VALUE"""),45617.87240740741)</f>
        <v>45617.87241</v>
      </c>
      <c r="H1882" s="24" t="str">
        <f>IFERROR(VLOOKUP(B1882,material!A:D,3,0),"")</f>
        <v>CARD</v>
      </c>
    </row>
    <row r="1883" ht="11.25" customHeight="1">
      <c r="A1883" s="21" t="str">
        <f>IFERROR(__xludf.DUMMYFUNCTION("""COMPUTED_VALUE"""),"HUMAX HGB10R-02")</f>
        <v>HUMAX HGB10R-02</v>
      </c>
      <c r="B1883" s="22">
        <f>IFERROR(__xludf.DUMMYFUNCTION("""COMPUTED_VALUE"""),4.1001292E7)</f>
        <v>41001292</v>
      </c>
      <c r="C1883" s="21" t="str">
        <f>IFERROR(__xludf.DUMMYFUNCTION("""COMPUTED_VALUE"""),"942CB3F33CC7")</f>
        <v>942CB3F33CC7</v>
      </c>
      <c r="D1883" s="21" t="str">
        <f>IFERROR(__xludf.DUMMYFUNCTION("""COMPUTED_VALUE"""),"DIGITEC TECNOLOGIA DIGITAL E REPRES")</f>
        <v>DIGITEC TECNOLOGIA DIGITAL E REPRES</v>
      </c>
      <c r="E1883" s="21">
        <f>IFERROR(__xludf.DUMMYFUNCTION("""COMPUTED_VALUE"""),145359.0)</f>
        <v>145359</v>
      </c>
      <c r="F1883" s="21" t="str">
        <f>IFERROR(__xludf.DUMMYFUNCTION("""COMPUTED_VALUE"""),"TRANSITO REVERSA")</f>
        <v>TRANSITO REVERSA</v>
      </c>
      <c r="G1883" s="23">
        <f>IFERROR(__xludf.DUMMYFUNCTION("""COMPUTED_VALUE"""),45617.87143518518)</f>
        <v>45617.87144</v>
      </c>
      <c r="H1883" s="24" t="str">
        <f>IFERROR(VLOOKUP(B1883,material!A:D,3,0),"")</f>
        <v>DUAL</v>
      </c>
    </row>
    <row r="1884" ht="11.25" customHeight="1">
      <c r="A1884" s="21" t="str">
        <f>IFERROR(__xludf.DUMMYFUNCTION("""COMPUTED_VALUE"""),"DECODER DIGITAL HD DXC5000 2T")</f>
        <v>DECODER DIGITAL HD DXC5000 2T</v>
      </c>
      <c r="B1884" s="22">
        <f>IFERROR(__xludf.DUMMYFUNCTION("""COMPUTED_VALUE"""),4.1001277E7)</f>
        <v>41001277</v>
      </c>
      <c r="C1884" s="21" t="str">
        <f>IFERROR(__xludf.DUMMYFUNCTION("""COMPUTED_VALUE"""),"216657307682")</f>
        <v>216657307682</v>
      </c>
      <c r="D1884" s="21" t="str">
        <f>IFERROR(__xludf.DUMMYFUNCTION("""COMPUTED_VALUE"""),"DIGITEC TECNOLOGIA DIGITAL E REPRES")</f>
        <v>DIGITEC TECNOLOGIA DIGITAL E REPRES</v>
      </c>
      <c r="E1884" s="21">
        <f>IFERROR(__xludf.DUMMYFUNCTION("""COMPUTED_VALUE"""),145359.0)</f>
        <v>145359</v>
      </c>
      <c r="F1884" s="21" t="str">
        <f>IFERROR(__xludf.DUMMYFUNCTION("""COMPUTED_VALUE"""),"TRANSITO REVERSA")</f>
        <v>TRANSITO REVERSA</v>
      </c>
      <c r="G1884" s="23">
        <f>IFERROR(__xludf.DUMMYFUNCTION("""COMPUTED_VALUE"""),45633.003379629634)</f>
        <v>45633.00338</v>
      </c>
      <c r="H1884" s="24" t="str">
        <f>IFERROR(VLOOKUP(B1884,material!A:D,3,0),"")</f>
        <v>TOP MIX</v>
      </c>
    </row>
    <row r="1885" ht="11.25" customHeight="1">
      <c r="A1885" s="21" t="str">
        <f>IFERROR(__xludf.DUMMYFUNCTION("""COMPUTED_VALUE"""),"DECODER DIGITAL HD HNB100 2T")</f>
        <v>DECODER DIGITAL HD HNB100 2T</v>
      </c>
      <c r="B1885" s="22">
        <f>IFERROR(__xludf.DUMMYFUNCTION("""COMPUTED_VALUE"""),4.1001276E7)</f>
        <v>41001276</v>
      </c>
      <c r="C1885" s="21" t="str">
        <f>IFERROR(__xludf.DUMMYFUNCTION("""COMPUTED_VALUE"""),"216832974142")</f>
        <v>216832974142</v>
      </c>
      <c r="D1885" s="21" t="str">
        <f>IFERROR(__xludf.DUMMYFUNCTION("""COMPUTED_VALUE"""),"DIGITEC TECNOLOGIA DIGITAL E REPRES")</f>
        <v>DIGITEC TECNOLOGIA DIGITAL E REPRES</v>
      </c>
      <c r="E1885" s="21">
        <f>IFERROR(__xludf.DUMMYFUNCTION("""COMPUTED_VALUE"""),145359.0)</f>
        <v>145359</v>
      </c>
      <c r="F1885" s="21" t="str">
        <f>IFERROR(__xludf.DUMMYFUNCTION("""COMPUTED_VALUE"""),"TRANSITO REVERSA")</f>
        <v>TRANSITO REVERSA</v>
      </c>
      <c r="G1885" s="23">
        <f>IFERROR(__xludf.DUMMYFUNCTION("""COMPUTED_VALUE"""),45633.00396990741)</f>
        <v>45633.00397</v>
      </c>
      <c r="H1885" s="24" t="str">
        <f>IFERROR(VLOOKUP(B1885,material!A:D,3,0),"")</f>
        <v>TOP MIX</v>
      </c>
    </row>
    <row r="1886" ht="11.25" customHeight="1">
      <c r="A1886" s="21" t="str">
        <f>IFERROR(__xludf.DUMMYFUNCTION("""COMPUTED_VALUE"""),"EMTA 3.0 HG100R-L2 HUMAX")</f>
        <v>EMTA 3.0 HG100R-L2 HUMAX</v>
      </c>
      <c r="B1886" s="22">
        <f>IFERROR(__xludf.DUMMYFUNCTION("""COMPUTED_VALUE"""),4.1001286E7)</f>
        <v>41001286</v>
      </c>
      <c r="C1886" s="21" t="str">
        <f>IFERROR(__xludf.DUMMYFUNCTION("""COMPUTED_VALUE"""),"6CB56BB30E00")</f>
        <v>6CB56BB30E00</v>
      </c>
      <c r="D1886" s="21" t="str">
        <f>IFERROR(__xludf.DUMMYFUNCTION("""COMPUTED_VALUE"""),"DIGITEC TECNOLOGIA DIGITAL E REPRES")</f>
        <v>DIGITEC TECNOLOGIA DIGITAL E REPRES</v>
      </c>
      <c r="E1886" s="21">
        <f>IFERROR(__xludf.DUMMYFUNCTION("""COMPUTED_VALUE"""),145359.0)</f>
        <v>145359</v>
      </c>
      <c r="F1886" s="21" t="str">
        <f>IFERROR(__xludf.DUMMYFUNCTION("""COMPUTED_VALUE"""),"TRANSITO REVERSA")</f>
        <v>TRANSITO REVERSA</v>
      </c>
      <c r="G1886" s="23">
        <f>IFERROR(__xludf.DUMMYFUNCTION("""COMPUTED_VALUE"""),45633.0033912037)</f>
        <v>45633.00339</v>
      </c>
      <c r="H1886" s="24" t="str">
        <f>IFERROR(VLOOKUP(B1886,material!A:D,3,0),"")</f>
        <v>SINGLE</v>
      </c>
    </row>
    <row r="1887" ht="11.25" customHeight="1">
      <c r="A1887" s="21" t="str">
        <f>IFERROR(__xludf.DUMMYFUNCTION("""COMPUTED_VALUE"""),"PACE - HIGH DEFINITION DCR7411")</f>
        <v>PACE - HIGH DEFINITION DCR7411</v>
      </c>
      <c r="B1887" s="22">
        <f>IFERROR(__xludf.DUMMYFUNCTION("""COMPUTED_VALUE"""),4.1001216E7)</f>
        <v>41001216</v>
      </c>
      <c r="C1887" s="21" t="str">
        <f>IFERROR(__xludf.DUMMYFUNCTION("""COMPUTED_VALUE"""),"183922460626")</f>
        <v>183922460626</v>
      </c>
      <c r="D1887" s="21" t="str">
        <f>IFERROR(__xludf.DUMMYFUNCTION("""COMPUTED_VALUE"""),"DIGITEC TECNOLOGIA DIGITAL E REPRES")</f>
        <v>DIGITEC TECNOLOGIA DIGITAL E REPRES</v>
      </c>
      <c r="E1887" s="21">
        <f>IFERROR(__xludf.DUMMYFUNCTION("""COMPUTED_VALUE"""),145359.0)</f>
        <v>145359</v>
      </c>
      <c r="F1887" s="21" t="str">
        <f>IFERROR(__xludf.DUMMYFUNCTION("""COMPUTED_VALUE"""),"TRANSITO REVERSA")</f>
        <v>TRANSITO REVERSA</v>
      </c>
      <c r="G1887" s="23">
        <f>IFERROR(__xludf.DUMMYFUNCTION("""COMPUTED_VALUE"""),45626.2987037037)</f>
        <v>45626.2987</v>
      </c>
      <c r="H1887" s="24" t="str">
        <f>IFERROR(VLOOKUP(B1887,material!A:D,3,0),"")</f>
        <v>LEGADO</v>
      </c>
    </row>
    <row r="1888" ht="11.25" customHeight="1">
      <c r="A1888" s="21" t="str">
        <f>IFERROR(__xludf.DUMMYFUNCTION("""COMPUTED_VALUE"""),"DECODER DIGITAL HD HNB100 2T")</f>
        <v>DECODER DIGITAL HD HNB100 2T</v>
      </c>
      <c r="B1888" s="22">
        <f>IFERROR(__xludf.DUMMYFUNCTION("""COMPUTED_VALUE"""),4.1001276E7)</f>
        <v>41001276</v>
      </c>
      <c r="C1888" s="21" t="str">
        <f>IFERROR(__xludf.DUMMYFUNCTION("""COMPUTED_VALUE"""),"216681537084")</f>
        <v>216681537084</v>
      </c>
      <c r="D1888" s="21" t="str">
        <f>IFERROR(__xludf.DUMMYFUNCTION("""COMPUTED_VALUE"""),"DIGITEC TECNOLOGIA DIGITAL E REPRES")</f>
        <v>DIGITEC TECNOLOGIA DIGITAL E REPRES</v>
      </c>
      <c r="E1888" s="21">
        <f>IFERROR(__xludf.DUMMYFUNCTION("""COMPUTED_VALUE"""),145359.0)</f>
        <v>145359</v>
      </c>
      <c r="F1888" s="21" t="str">
        <f>IFERROR(__xludf.DUMMYFUNCTION("""COMPUTED_VALUE"""),"INICIALIZADO")</f>
        <v>INICIALIZADO</v>
      </c>
      <c r="G1888" s="23">
        <f>IFERROR(__xludf.DUMMYFUNCTION("""COMPUTED_VALUE"""),45635.53501157407)</f>
        <v>45635.53501</v>
      </c>
      <c r="H1888" s="24" t="str">
        <f>IFERROR(VLOOKUP(B1888,material!A:D,3,0),"")</f>
        <v>TOP MIX</v>
      </c>
    </row>
    <row r="1889" ht="11.25" customHeight="1">
      <c r="A1889" s="21" t="str">
        <f>IFERROR(__xludf.DUMMYFUNCTION("""COMPUTED_VALUE"""),"SMART CARD LARANJA")</f>
        <v>SMART CARD LARANJA</v>
      </c>
      <c r="B1889" s="22">
        <f>IFERROR(__xludf.DUMMYFUNCTION("""COMPUTED_VALUE"""),4.1001186E7)</f>
        <v>41001186</v>
      </c>
      <c r="C1889" s="21" t="str">
        <f>IFERROR(__xludf.DUMMYFUNCTION("""COMPUTED_VALUE"""),"215884769706")</f>
        <v>215884769706</v>
      </c>
      <c r="D1889" s="21" t="str">
        <f>IFERROR(__xludf.DUMMYFUNCTION("""COMPUTED_VALUE"""),"DIGITEC TECNOLOGIA DIGITAL E REPRES")</f>
        <v>DIGITEC TECNOLOGIA DIGITAL E REPRES</v>
      </c>
      <c r="E1889" s="21">
        <f>IFERROR(__xludf.DUMMYFUNCTION("""COMPUTED_VALUE"""),145359.0)</f>
        <v>145359</v>
      </c>
      <c r="F1889" s="21" t="str">
        <f>IFERROR(__xludf.DUMMYFUNCTION("""COMPUTED_VALUE"""),"INICIALIZADO")</f>
        <v>INICIALIZADO</v>
      </c>
      <c r="G1889" s="23">
        <f>IFERROR(__xludf.DUMMYFUNCTION("""COMPUTED_VALUE"""),45573.66674768519)</f>
        <v>45573.66675</v>
      </c>
      <c r="H1889" s="24" t="str">
        <f>IFERROR(VLOOKUP(B1889,material!A:D,3,0),"")</f>
        <v>CARD</v>
      </c>
    </row>
    <row r="1890" ht="11.25" customHeight="1">
      <c r="A1890" s="21" t="str">
        <f>IFERROR(__xludf.DUMMYFUNCTION("""COMPUTED_VALUE"""),"HUMAX HGB10R-02")</f>
        <v>HUMAX HGB10R-02</v>
      </c>
      <c r="B1890" s="22">
        <f>IFERROR(__xludf.DUMMYFUNCTION("""COMPUTED_VALUE"""),4.1001292E7)</f>
        <v>41001292</v>
      </c>
      <c r="C1890" s="21" t="str">
        <f>IFERROR(__xludf.DUMMYFUNCTION("""COMPUTED_VALUE"""),"E820E2383037")</f>
        <v>E820E2383037</v>
      </c>
      <c r="D1890" s="21" t="str">
        <f>IFERROR(__xludf.DUMMYFUNCTION("""COMPUTED_VALUE"""),"DIGITEC TECNOLOGIA DIGITAL E REPRES")</f>
        <v>DIGITEC TECNOLOGIA DIGITAL E REPRES</v>
      </c>
      <c r="E1890" s="21">
        <f>IFERROR(__xludf.DUMMYFUNCTION("""COMPUTED_VALUE"""),145359.0)</f>
        <v>145359</v>
      </c>
      <c r="F1890" s="21" t="str">
        <f>IFERROR(__xludf.DUMMYFUNCTION("""COMPUTED_VALUE"""),"TRANSITO REVERSA")</f>
        <v>TRANSITO REVERSA</v>
      </c>
      <c r="G1890" s="23">
        <f>IFERROR(__xludf.DUMMYFUNCTION("""COMPUTED_VALUE"""),45610.730416666665)</f>
        <v>45610.73042</v>
      </c>
      <c r="H1890" s="24" t="str">
        <f>IFERROR(VLOOKUP(B1890,material!A:D,3,0),"")</f>
        <v>DUAL</v>
      </c>
    </row>
    <row r="1891" ht="11.25" customHeight="1">
      <c r="A1891" s="21" t="str">
        <f>IFERROR(__xludf.DUMMYFUNCTION("""COMPUTED_VALUE"""),"DECODER DIGITAL HD DXC5000 2T")</f>
        <v>DECODER DIGITAL HD DXC5000 2T</v>
      </c>
      <c r="B1891" s="22">
        <f>IFERROR(__xludf.DUMMYFUNCTION("""COMPUTED_VALUE"""),4.1001277E7)</f>
        <v>41001277</v>
      </c>
      <c r="C1891" s="21" t="str">
        <f>IFERROR(__xludf.DUMMYFUNCTION("""COMPUTED_VALUE"""),"216582605263")</f>
        <v>216582605263</v>
      </c>
      <c r="D1891" s="21" t="str">
        <f>IFERROR(__xludf.DUMMYFUNCTION("""COMPUTED_VALUE"""),"DIGITEC TECNOLOGIA DIGITAL E REPRES")</f>
        <v>DIGITEC TECNOLOGIA DIGITAL E REPRES</v>
      </c>
      <c r="E1891" s="21">
        <f>IFERROR(__xludf.DUMMYFUNCTION("""COMPUTED_VALUE"""),145359.0)</f>
        <v>145359</v>
      </c>
      <c r="F1891" s="21" t="str">
        <f>IFERROR(__xludf.DUMMYFUNCTION("""COMPUTED_VALUE"""),"TRANSITO REVERSA")</f>
        <v>TRANSITO REVERSA</v>
      </c>
      <c r="G1891" s="23">
        <f>IFERROR(__xludf.DUMMYFUNCTION("""COMPUTED_VALUE"""),45633.0033912037)</f>
        <v>45633.00339</v>
      </c>
      <c r="H1891" s="24" t="str">
        <f>IFERROR(VLOOKUP(B1891,material!A:D,3,0),"")</f>
        <v>TOP MIX</v>
      </c>
    </row>
    <row r="1892" ht="11.25" customHeight="1">
      <c r="A1892" s="21" t="str">
        <f>IFERROR(__xludf.DUMMYFUNCTION("""COMPUTED_VALUE"""),"DECODER DIGITAL HD HNB100 2T")</f>
        <v>DECODER DIGITAL HD HNB100 2T</v>
      </c>
      <c r="B1892" s="22">
        <f>IFERROR(__xludf.DUMMYFUNCTION("""COMPUTED_VALUE"""),4.1001276E7)</f>
        <v>41001276</v>
      </c>
      <c r="C1892" s="21" t="str">
        <f>IFERROR(__xludf.DUMMYFUNCTION("""COMPUTED_VALUE"""),"216354870715")</f>
        <v>216354870715</v>
      </c>
      <c r="D1892" s="21" t="str">
        <f>IFERROR(__xludf.DUMMYFUNCTION("""COMPUTED_VALUE"""),"DIGITEC TECNOLOGIA DIGITAL E REPRES")</f>
        <v>DIGITEC TECNOLOGIA DIGITAL E REPRES</v>
      </c>
      <c r="E1892" s="21">
        <f>IFERROR(__xludf.DUMMYFUNCTION("""COMPUTED_VALUE"""),145359.0)</f>
        <v>145359</v>
      </c>
      <c r="F1892" s="21" t="str">
        <f>IFERROR(__xludf.DUMMYFUNCTION("""COMPUTED_VALUE"""),"INICIALIZADO")</f>
        <v>INICIALIZADO</v>
      </c>
      <c r="G1892" s="23">
        <f>IFERROR(__xludf.DUMMYFUNCTION("""COMPUTED_VALUE"""),45635.535057870366)</f>
        <v>45635.53506</v>
      </c>
      <c r="H1892" s="24" t="str">
        <f>IFERROR(VLOOKUP(B1892,material!A:D,3,0),"")</f>
        <v>TOP MIX</v>
      </c>
    </row>
    <row r="1893" ht="11.25" customHeight="1">
      <c r="A1893" s="21" t="str">
        <f>IFERROR(__xludf.DUMMYFUNCTION("""COMPUTED_VALUE"""),"DECODER DIGITAL HD HNB100 2T")</f>
        <v>DECODER DIGITAL HD HNB100 2T</v>
      </c>
      <c r="B1893" s="22">
        <f>IFERROR(__xludf.DUMMYFUNCTION("""COMPUTED_VALUE"""),4.1001276E7)</f>
        <v>41001276</v>
      </c>
      <c r="C1893" s="21" t="str">
        <f>IFERROR(__xludf.DUMMYFUNCTION("""COMPUTED_VALUE"""),"216734842534")</f>
        <v>216734842534</v>
      </c>
      <c r="D1893" s="21" t="str">
        <f>IFERROR(__xludf.DUMMYFUNCTION("""COMPUTED_VALUE"""),"DIGITEC TECNOLOGIA DIGITAL E REPRES")</f>
        <v>DIGITEC TECNOLOGIA DIGITAL E REPRES</v>
      </c>
      <c r="E1893" s="21">
        <f>IFERROR(__xludf.DUMMYFUNCTION("""COMPUTED_VALUE"""),145359.0)</f>
        <v>145359</v>
      </c>
      <c r="F1893" s="21" t="str">
        <f>IFERROR(__xludf.DUMMYFUNCTION("""COMPUTED_VALUE"""),"INICIALIZADO")</f>
        <v>INICIALIZADO</v>
      </c>
      <c r="G1893" s="23">
        <f>IFERROR(__xludf.DUMMYFUNCTION("""COMPUTED_VALUE"""),45635.535)</f>
        <v>45635.535</v>
      </c>
      <c r="H1893" s="24" t="str">
        <f>IFERROR(VLOOKUP(B1893,material!A:D,3,0),"")</f>
        <v>TOP MIX</v>
      </c>
    </row>
    <row r="1894" ht="11.25" customHeight="1">
      <c r="A1894" s="21" t="str">
        <f>IFERROR(__xludf.DUMMYFUNCTION("""COMPUTED_VALUE"""),"DECODER DIGITAL HD HNB100 2T")</f>
        <v>DECODER DIGITAL HD HNB100 2T</v>
      </c>
      <c r="B1894" s="22">
        <f>IFERROR(__xludf.DUMMYFUNCTION("""COMPUTED_VALUE"""),4.1001276E7)</f>
        <v>41001276</v>
      </c>
      <c r="C1894" s="21" t="str">
        <f>IFERROR(__xludf.DUMMYFUNCTION("""COMPUTED_VALUE"""),"216397508298")</f>
        <v>216397508298</v>
      </c>
      <c r="D1894" s="21" t="str">
        <f>IFERROR(__xludf.DUMMYFUNCTION("""COMPUTED_VALUE"""),"DIGITEC TECNOLOGIA DIGITAL E REPRES")</f>
        <v>DIGITEC TECNOLOGIA DIGITAL E REPRES</v>
      </c>
      <c r="E1894" s="21">
        <f>IFERROR(__xludf.DUMMYFUNCTION("""COMPUTED_VALUE"""),145359.0)</f>
        <v>145359</v>
      </c>
      <c r="F1894" s="21" t="str">
        <f>IFERROR(__xludf.DUMMYFUNCTION("""COMPUTED_VALUE"""),"TRANSITO REVERSA")</f>
        <v>TRANSITO REVERSA</v>
      </c>
      <c r="G1894" s="23">
        <f>IFERROR(__xludf.DUMMYFUNCTION("""COMPUTED_VALUE"""),45610.730416666665)</f>
        <v>45610.73042</v>
      </c>
      <c r="H1894" s="24" t="str">
        <f>IFERROR(VLOOKUP(B1894,material!A:D,3,0),"")</f>
        <v>TOP MIX</v>
      </c>
    </row>
    <row r="1895" ht="11.25" customHeight="1">
      <c r="A1895" s="21" t="str">
        <f>IFERROR(__xludf.DUMMYFUNCTION("""COMPUTED_VALUE"""),"DECODER DIGITAL HD HNB100 2T")</f>
        <v>DECODER DIGITAL HD HNB100 2T</v>
      </c>
      <c r="B1895" s="22">
        <f>IFERROR(__xludf.DUMMYFUNCTION("""COMPUTED_VALUE"""),4.1001276E7)</f>
        <v>41001276</v>
      </c>
      <c r="C1895" s="21" t="str">
        <f>IFERROR(__xludf.DUMMYFUNCTION("""COMPUTED_VALUE"""),"216509245769")</f>
        <v>216509245769</v>
      </c>
      <c r="D1895" s="21" t="str">
        <f>IFERROR(__xludf.DUMMYFUNCTION("""COMPUTED_VALUE"""),"DIGITEC TECNOLOGIA DIGITAL E REPRES")</f>
        <v>DIGITEC TECNOLOGIA DIGITAL E REPRES</v>
      </c>
      <c r="E1895" s="21">
        <f>IFERROR(__xludf.DUMMYFUNCTION("""COMPUTED_VALUE"""),145359.0)</f>
        <v>145359</v>
      </c>
      <c r="F1895" s="21" t="str">
        <f>IFERROR(__xludf.DUMMYFUNCTION("""COMPUTED_VALUE"""),"TRANSITO REVERSA")</f>
        <v>TRANSITO REVERSA</v>
      </c>
      <c r="G1895" s="23">
        <f>IFERROR(__xludf.DUMMYFUNCTION("""COMPUTED_VALUE"""),45638.520648148144)</f>
        <v>45638.52065</v>
      </c>
      <c r="H1895" s="24" t="str">
        <f>IFERROR(VLOOKUP(B1895,material!A:D,3,0),"")</f>
        <v>TOP MIX</v>
      </c>
    </row>
    <row r="1896" ht="11.25" customHeight="1">
      <c r="A1896" s="21" t="str">
        <f>IFERROR(__xludf.DUMMYFUNCTION("""COMPUTED_VALUE"""),"SMART CARD PRETO NAGRA")</f>
        <v>SMART CARD PRETO NAGRA</v>
      </c>
      <c r="B1896" s="22">
        <f>IFERROR(__xludf.DUMMYFUNCTION("""COMPUTED_VALUE"""),4.1001234E7)</f>
        <v>41001234</v>
      </c>
      <c r="C1896" s="21" t="str">
        <f>IFERROR(__xludf.DUMMYFUNCTION("""COMPUTED_VALUE"""),"226358971020")</f>
        <v>226358971020</v>
      </c>
      <c r="D1896" s="21" t="str">
        <f>IFERROR(__xludf.DUMMYFUNCTION("""COMPUTED_VALUE"""),"DIGITEC TECNOLOGIA DIGITAL E REPRES")</f>
        <v>DIGITEC TECNOLOGIA DIGITAL E REPRES</v>
      </c>
      <c r="E1896" s="21">
        <f>IFERROR(__xludf.DUMMYFUNCTION("""COMPUTED_VALUE"""),145359.0)</f>
        <v>145359</v>
      </c>
      <c r="F1896" s="21" t="str">
        <f>IFERROR(__xludf.DUMMYFUNCTION("""COMPUTED_VALUE"""),"TRANSITO REVERSA")</f>
        <v>TRANSITO REVERSA</v>
      </c>
      <c r="G1896" s="23">
        <f>IFERROR(__xludf.DUMMYFUNCTION("""COMPUTED_VALUE"""),45638.52061342592)</f>
        <v>45638.52061</v>
      </c>
      <c r="H1896" s="24" t="str">
        <f>IFERROR(VLOOKUP(B1896,material!A:D,3,0),"")</f>
        <v>CARD</v>
      </c>
    </row>
    <row r="1897" ht="11.25" customHeight="1">
      <c r="A1897" s="21" t="str">
        <f>IFERROR(__xludf.DUMMYFUNCTION("""COMPUTED_VALUE"""),"SMART CARD PRETO NAGRA")</f>
        <v>SMART CARD PRETO NAGRA</v>
      </c>
      <c r="B1897" s="22">
        <f>IFERROR(__xludf.DUMMYFUNCTION("""COMPUTED_VALUE"""),4.1001234E7)</f>
        <v>41001234</v>
      </c>
      <c r="C1897" s="21" t="str">
        <f>IFERROR(__xludf.DUMMYFUNCTION("""COMPUTED_VALUE"""),"226195466072")</f>
        <v>226195466072</v>
      </c>
      <c r="D1897" s="21" t="str">
        <f>IFERROR(__xludf.DUMMYFUNCTION("""COMPUTED_VALUE"""),"DIGITEC TECNOLOGIA DIGITAL E REPRES")</f>
        <v>DIGITEC TECNOLOGIA DIGITAL E REPRES</v>
      </c>
      <c r="E1897" s="21">
        <f>IFERROR(__xludf.DUMMYFUNCTION("""COMPUTED_VALUE"""),145359.0)</f>
        <v>145359</v>
      </c>
      <c r="F1897" s="21" t="str">
        <f>IFERROR(__xludf.DUMMYFUNCTION("""COMPUTED_VALUE"""),"TRANSITO REVERSA")</f>
        <v>TRANSITO REVERSA</v>
      </c>
      <c r="G1897" s="23">
        <f>IFERROR(__xludf.DUMMYFUNCTION("""COMPUTED_VALUE"""),45617.87141203704)</f>
        <v>45617.87141</v>
      </c>
      <c r="H1897" s="24" t="str">
        <f>IFERROR(VLOOKUP(B1897,material!A:D,3,0),"")</f>
        <v>CARD</v>
      </c>
    </row>
    <row r="1898" ht="11.25" customHeight="1">
      <c r="A1898" s="21" t="str">
        <f>IFERROR(__xludf.DUMMYFUNCTION("""COMPUTED_VALUE"""),"SMART CARD PRETO NAGRA")</f>
        <v>SMART CARD PRETO NAGRA</v>
      </c>
      <c r="B1898" s="22">
        <f>IFERROR(__xludf.DUMMYFUNCTION("""COMPUTED_VALUE"""),4.1001234E7)</f>
        <v>41001234</v>
      </c>
      <c r="C1898" s="21" t="str">
        <f>IFERROR(__xludf.DUMMYFUNCTION("""COMPUTED_VALUE"""),"226359227082")</f>
        <v>226359227082</v>
      </c>
      <c r="D1898" s="21" t="str">
        <f>IFERROR(__xludf.DUMMYFUNCTION("""COMPUTED_VALUE"""),"DIGITEC TECNOLOGIA DIGITAL E REPRES")</f>
        <v>DIGITEC TECNOLOGIA DIGITAL E REPRES</v>
      </c>
      <c r="E1898" s="21">
        <f>IFERROR(__xludf.DUMMYFUNCTION("""COMPUTED_VALUE"""),145359.0)</f>
        <v>145359</v>
      </c>
      <c r="F1898" s="21" t="str">
        <f>IFERROR(__xludf.DUMMYFUNCTION("""COMPUTED_VALUE"""),"TRANSITO REVERSA")</f>
        <v>TRANSITO REVERSA</v>
      </c>
      <c r="G1898" s="23">
        <f>IFERROR(__xludf.DUMMYFUNCTION("""COMPUTED_VALUE"""),45617.87140046296)</f>
        <v>45617.8714</v>
      </c>
      <c r="H1898" s="24" t="str">
        <f>IFERROR(VLOOKUP(B1898,material!A:D,3,0),"")</f>
        <v>CARD</v>
      </c>
    </row>
    <row r="1899" ht="11.25" customHeight="1">
      <c r="A1899" s="21" t="str">
        <f>IFERROR(__xludf.DUMMYFUNCTION("""COMPUTED_VALUE"""),"THOMSON HIGH DEFINITION DCI713")</f>
        <v>THOMSON HIGH DEFINITION DCI713</v>
      </c>
      <c r="B1899" s="22">
        <f>IFERROR(__xludf.DUMMYFUNCTION("""COMPUTED_VALUE"""),4.1001273E7)</f>
        <v>41001273</v>
      </c>
      <c r="C1899" s="21" t="str">
        <f>IFERROR(__xludf.DUMMYFUNCTION("""COMPUTED_VALUE"""),"184175709920")</f>
        <v>184175709920</v>
      </c>
      <c r="D1899" s="21" t="str">
        <f>IFERROR(__xludf.DUMMYFUNCTION("""COMPUTED_VALUE"""),"DIGITEC TECNOLOGIA DIGITAL E REPRES")</f>
        <v>DIGITEC TECNOLOGIA DIGITAL E REPRES</v>
      </c>
      <c r="E1899" s="21">
        <f>IFERROR(__xludf.DUMMYFUNCTION("""COMPUTED_VALUE"""),145359.0)</f>
        <v>145359</v>
      </c>
      <c r="F1899" s="21" t="str">
        <f>IFERROR(__xludf.DUMMYFUNCTION("""COMPUTED_VALUE"""),"TRANSITO REVERSA")</f>
        <v>TRANSITO REVERSA</v>
      </c>
      <c r="G1899" s="23">
        <f>IFERROR(__xludf.DUMMYFUNCTION("""COMPUTED_VALUE"""),45633.00398148148)</f>
        <v>45633.00398</v>
      </c>
      <c r="H1899" s="24" t="str">
        <f>IFERROR(VLOOKUP(B1899,material!A:D,3,0),"")</f>
        <v>LEGADO</v>
      </c>
    </row>
    <row r="1900" ht="11.25" customHeight="1">
      <c r="A1900" s="21" t="str">
        <f>IFERROR(__xludf.DUMMYFUNCTION("""COMPUTED_VALUE"""),"CISCO HIGH DEFINITION 4682DVB")</f>
        <v>CISCO HIGH DEFINITION 4682DVB</v>
      </c>
      <c r="B1900" s="22">
        <f>IFERROR(__xludf.DUMMYFUNCTION("""COMPUTED_VALUE"""),4.1001274E7)</f>
        <v>41001274</v>
      </c>
      <c r="C1900" s="21" t="str">
        <f>IFERROR(__xludf.DUMMYFUNCTION("""COMPUTED_VALUE"""),"177279611637")</f>
        <v>177279611637</v>
      </c>
      <c r="D1900" s="21" t="str">
        <f>IFERROR(__xludf.DUMMYFUNCTION("""COMPUTED_VALUE"""),"DIGITEC TECNOLOGIA DIGITAL E REPRES")</f>
        <v>DIGITEC TECNOLOGIA DIGITAL E REPRES</v>
      </c>
      <c r="E1900" s="21">
        <f>IFERROR(__xludf.DUMMYFUNCTION("""COMPUTED_VALUE"""),145359.0)</f>
        <v>145359</v>
      </c>
      <c r="F1900" s="21" t="str">
        <f>IFERROR(__xludf.DUMMYFUNCTION("""COMPUTED_VALUE"""),"TRANSITO REVERSA")</f>
        <v>TRANSITO REVERSA</v>
      </c>
      <c r="G1900" s="23">
        <f>IFERROR(__xludf.DUMMYFUNCTION("""COMPUTED_VALUE"""),45638.52111111111)</f>
        <v>45638.52111</v>
      </c>
      <c r="H1900" s="24" t="str">
        <f>IFERROR(VLOOKUP(B1900,material!A:D,3,0),"")</f>
        <v>LEGADO</v>
      </c>
    </row>
    <row r="1901" ht="11.25" customHeight="1">
      <c r="A1901" s="21" t="str">
        <f>IFERROR(__xludf.DUMMYFUNCTION("""COMPUTED_VALUE"""),"PACE - HIGH DEFINITION DCR7411")</f>
        <v>PACE - HIGH DEFINITION DCR7411</v>
      </c>
      <c r="B1901" s="22">
        <f>IFERROR(__xludf.DUMMYFUNCTION("""COMPUTED_VALUE"""),4.1001216E7)</f>
        <v>41001216</v>
      </c>
      <c r="C1901" s="21" t="str">
        <f>IFERROR(__xludf.DUMMYFUNCTION("""COMPUTED_VALUE"""),"184084656768")</f>
        <v>184084656768</v>
      </c>
      <c r="D1901" s="21" t="str">
        <f>IFERROR(__xludf.DUMMYFUNCTION("""COMPUTED_VALUE"""),"DIGITEC TECNOLOGIA DIGITAL E REPRES")</f>
        <v>DIGITEC TECNOLOGIA DIGITAL E REPRES</v>
      </c>
      <c r="E1901" s="21">
        <f>IFERROR(__xludf.DUMMYFUNCTION("""COMPUTED_VALUE"""),145359.0)</f>
        <v>145359</v>
      </c>
      <c r="F1901" s="21" t="str">
        <f>IFERROR(__xludf.DUMMYFUNCTION("""COMPUTED_VALUE"""),"TRANSITO REVERSA")</f>
        <v>TRANSITO REVERSA</v>
      </c>
      <c r="G1901" s="23">
        <f>IFERROR(__xludf.DUMMYFUNCTION("""COMPUTED_VALUE"""),45633.003958333335)</f>
        <v>45633.00396</v>
      </c>
      <c r="H1901" s="24" t="str">
        <f>IFERROR(VLOOKUP(B1901,material!A:D,3,0),"")</f>
        <v>LEGADO</v>
      </c>
    </row>
    <row r="1902" ht="11.25" customHeight="1">
      <c r="A1902" s="21" t="str">
        <f>IFERROR(__xludf.DUMMYFUNCTION("""COMPUTED_VALUE"""),"PACE - HIGH DEFINITION DCR7411")</f>
        <v>PACE - HIGH DEFINITION DCR7411</v>
      </c>
      <c r="B1902" s="22">
        <f>IFERROR(__xludf.DUMMYFUNCTION("""COMPUTED_VALUE"""),4.1001216E7)</f>
        <v>41001216</v>
      </c>
      <c r="C1902" s="21" t="str">
        <f>IFERROR(__xludf.DUMMYFUNCTION("""COMPUTED_VALUE"""),"184085354547")</f>
        <v>184085354547</v>
      </c>
      <c r="D1902" s="21" t="str">
        <f>IFERROR(__xludf.DUMMYFUNCTION("""COMPUTED_VALUE"""),"DIGITEC TECNOLOGIA DIGITAL E REPRES")</f>
        <v>DIGITEC TECNOLOGIA DIGITAL E REPRES</v>
      </c>
      <c r="E1902" s="21">
        <f>IFERROR(__xludf.DUMMYFUNCTION("""COMPUTED_VALUE"""),145359.0)</f>
        <v>145359</v>
      </c>
      <c r="F1902" s="21" t="str">
        <f>IFERROR(__xludf.DUMMYFUNCTION("""COMPUTED_VALUE"""),"TRANSITO REVERSA")</f>
        <v>TRANSITO REVERSA</v>
      </c>
      <c r="G1902" s="23">
        <f>IFERROR(__xludf.DUMMYFUNCTION("""COMPUTED_VALUE"""),45617.87140046296)</f>
        <v>45617.8714</v>
      </c>
      <c r="H1902" s="24" t="str">
        <f>IFERROR(VLOOKUP(B1902,material!A:D,3,0),"")</f>
        <v>LEGADO</v>
      </c>
    </row>
    <row r="1903" ht="11.25" customHeight="1">
      <c r="A1903" s="21" t="str">
        <f>IFERROR(__xludf.DUMMYFUNCTION("""COMPUTED_VALUE"""),"SMART CARD LARANJA NAGRA")</f>
        <v>SMART CARD LARANJA NAGRA</v>
      </c>
      <c r="B1903" s="22">
        <f>IFERROR(__xludf.DUMMYFUNCTION("""COMPUTED_VALUE"""),4.1001186E7)</f>
        <v>41001186</v>
      </c>
      <c r="C1903" s="21" t="str">
        <f>IFERROR(__xludf.DUMMYFUNCTION("""COMPUTED_VALUE"""),"226830380304")</f>
        <v>226830380304</v>
      </c>
      <c r="D1903" s="21" t="str">
        <f>IFERROR(__xludf.DUMMYFUNCTION("""COMPUTED_VALUE"""),"DIGITEC TECNOLOGIA DIGITAL E REPRES")</f>
        <v>DIGITEC TECNOLOGIA DIGITAL E REPRES</v>
      </c>
      <c r="E1903" s="21">
        <f>IFERROR(__xludf.DUMMYFUNCTION("""COMPUTED_VALUE"""),145359.0)</f>
        <v>145359</v>
      </c>
      <c r="F1903" s="21" t="str">
        <f>IFERROR(__xludf.DUMMYFUNCTION("""COMPUTED_VALUE"""),"TRANSITO REVERSA")</f>
        <v>TRANSITO REVERSA</v>
      </c>
      <c r="G1903" s="23">
        <f>IFERROR(__xludf.DUMMYFUNCTION("""COMPUTED_VALUE"""),45617.87180555555)</f>
        <v>45617.87181</v>
      </c>
      <c r="H1903" s="24" t="str">
        <f>IFERROR(VLOOKUP(B1903,material!A:D,3,0),"")</f>
        <v>CARD</v>
      </c>
    </row>
    <row r="1904" ht="11.25" customHeight="1">
      <c r="A1904" s="21" t="str">
        <f>IFERROR(__xludf.DUMMYFUNCTION("""COMPUTED_VALUE"""),"SMART CARD LARANJA NAGRA")</f>
        <v>SMART CARD LARANJA NAGRA</v>
      </c>
      <c r="B1904" s="22">
        <f>IFERROR(__xludf.DUMMYFUNCTION("""COMPUTED_VALUE"""),4.1001186E7)</f>
        <v>41001186</v>
      </c>
      <c r="C1904" s="21" t="str">
        <f>IFERROR(__xludf.DUMMYFUNCTION("""COMPUTED_VALUE"""),"226831886275")</f>
        <v>226831886275</v>
      </c>
      <c r="D1904" s="21" t="str">
        <f>IFERROR(__xludf.DUMMYFUNCTION("""COMPUTED_VALUE"""),"DIGITEC TECNOLOGIA DIGITAL E REPRES")</f>
        <v>DIGITEC TECNOLOGIA DIGITAL E REPRES</v>
      </c>
      <c r="E1904" s="21">
        <f>IFERROR(__xludf.DUMMYFUNCTION("""COMPUTED_VALUE"""),145359.0)</f>
        <v>145359</v>
      </c>
      <c r="F1904" s="21" t="str">
        <f>IFERROR(__xludf.DUMMYFUNCTION("""COMPUTED_VALUE"""),"TRANSITO REVERSA")</f>
        <v>TRANSITO REVERSA</v>
      </c>
      <c r="G1904" s="23">
        <f>IFERROR(__xludf.DUMMYFUNCTION("""COMPUTED_VALUE"""),45633.00336805556)</f>
        <v>45633.00337</v>
      </c>
      <c r="H1904" s="24" t="str">
        <f>IFERROR(VLOOKUP(B1904,material!A:D,3,0),"")</f>
        <v>CARD</v>
      </c>
    </row>
    <row r="1905" ht="11.25" customHeight="1">
      <c r="A1905" s="21" t="str">
        <f>IFERROR(__xludf.DUMMYFUNCTION("""COMPUTED_VALUE"""),"SMART CARD LARANJA NAGRA")</f>
        <v>SMART CARD LARANJA NAGRA</v>
      </c>
      <c r="B1905" s="22">
        <f>IFERROR(__xludf.DUMMYFUNCTION("""COMPUTED_VALUE"""),4.1001186E7)</f>
        <v>41001186</v>
      </c>
      <c r="C1905" s="21" t="str">
        <f>IFERROR(__xludf.DUMMYFUNCTION("""COMPUTED_VALUE"""),"226811403749")</f>
        <v>226811403749</v>
      </c>
      <c r="D1905" s="21" t="str">
        <f>IFERROR(__xludf.DUMMYFUNCTION("""COMPUTED_VALUE"""),"DIGITEC TECNOLOGIA DIGITAL E REPRES")</f>
        <v>DIGITEC TECNOLOGIA DIGITAL E REPRES</v>
      </c>
      <c r="E1905" s="21">
        <f>IFERROR(__xludf.DUMMYFUNCTION("""COMPUTED_VALUE"""),145359.0)</f>
        <v>145359</v>
      </c>
      <c r="F1905" s="21" t="str">
        <f>IFERROR(__xludf.DUMMYFUNCTION("""COMPUTED_VALUE"""),"TRANSITO REVERSA")</f>
        <v>TRANSITO REVERSA</v>
      </c>
      <c r="G1905" s="23">
        <f>IFERROR(__xludf.DUMMYFUNCTION("""COMPUTED_VALUE"""),45633.003958333335)</f>
        <v>45633.00396</v>
      </c>
      <c r="H1905" s="24" t="str">
        <f>IFERROR(VLOOKUP(B1905,material!A:D,3,0),"")</f>
        <v>CARD</v>
      </c>
    </row>
    <row r="1906" ht="11.25" customHeight="1">
      <c r="A1906" s="21" t="str">
        <f>IFERROR(__xludf.DUMMYFUNCTION("""COMPUTED_VALUE"""),"SMART CARD LARANJA NAGRA")</f>
        <v>SMART CARD LARANJA NAGRA</v>
      </c>
      <c r="B1906" s="22">
        <f>IFERROR(__xludf.DUMMYFUNCTION("""COMPUTED_VALUE"""),4.1001186E7)</f>
        <v>41001186</v>
      </c>
      <c r="C1906" s="21" t="str">
        <f>IFERROR(__xludf.DUMMYFUNCTION("""COMPUTED_VALUE"""),"215809408906")</f>
        <v>215809408906</v>
      </c>
      <c r="D1906" s="21" t="str">
        <f>IFERROR(__xludf.DUMMYFUNCTION("""COMPUTED_VALUE"""),"DIGITEC TECNOLOGIA DIGITAL E REPRES")</f>
        <v>DIGITEC TECNOLOGIA DIGITAL E REPRES</v>
      </c>
      <c r="E1906" s="21">
        <f>IFERROR(__xludf.DUMMYFUNCTION("""COMPUTED_VALUE"""),145359.0)</f>
        <v>145359</v>
      </c>
      <c r="F1906" s="21" t="str">
        <f>IFERROR(__xludf.DUMMYFUNCTION("""COMPUTED_VALUE"""),"TRANSITO REVERSA")</f>
        <v>TRANSITO REVERSA</v>
      </c>
      <c r="G1906" s="23">
        <f>IFERROR(__xludf.DUMMYFUNCTION("""COMPUTED_VALUE"""),45617.87141203704)</f>
        <v>45617.87141</v>
      </c>
      <c r="H1906" s="24" t="str">
        <f>IFERROR(VLOOKUP(B1906,material!A:D,3,0),"")</f>
        <v>CARD</v>
      </c>
    </row>
    <row r="1907" ht="11.25" customHeight="1">
      <c r="A1907" s="21" t="str">
        <f>IFERROR(__xludf.DUMMYFUNCTION("""COMPUTED_VALUE"""),"SMART CARD LARANJA NAGRA")</f>
        <v>SMART CARD LARANJA NAGRA</v>
      </c>
      <c r="B1907" s="22">
        <f>IFERROR(__xludf.DUMMYFUNCTION("""COMPUTED_VALUE"""),4.1001186E7)</f>
        <v>41001186</v>
      </c>
      <c r="C1907" s="21" t="str">
        <f>IFERROR(__xludf.DUMMYFUNCTION("""COMPUTED_VALUE"""),"226858048188")</f>
        <v>226858048188</v>
      </c>
      <c r="D1907" s="21" t="str">
        <f>IFERROR(__xludf.DUMMYFUNCTION("""COMPUTED_VALUE"""),"DIGITEC TECNOLOGIA DIGITAL E REPRES")</f>
        <v>DIGITEC TECNOLOGIA DIGITAL E REPRES</v>
      </c>
      <c r="E1907" s="21">
        <f>IFERROR(__xludf.DUMMYFUNCTION("""COMPUTED_VALUE"""),145359.0)</f>
        <v>145359</v>
      </c>
      <c r="F1907" s="21" t="str">
        <f>IFERROR(__xludf.DUMMYFUNCTION("""COMPUTED_VALUE"""),"TRANSITO REVERSA")</f>
        <v>TRANSITO REVERSA</v>
      </c>
      <c r="G1907" s="23">
        <f>IFERROR(__xludf.DUMMYFUNCTION("""COMPUTED_VALUE"""),45633.00340277777)</f>
        <v>45633.0034</v>
      </c>
      <c r="H1907" s="24" t="str">
        <f>IFERROR(VLOOKUP(B1907,material!A:D,3,0),"")</f>
        <v>CARD</v>
      </c>
    </row>
    <row r="1908" ht="11.25" customHeight="1">
      <c r="A1908" s="21" t="str">
        <f>IFERROR(__xludf.DUMMYFUNCTION("""COMPUTED_VALUE"""),"SMART CARD PRETO NAGRA")</f>
        <v>SMART CARD PRETO NAGRA</v>
      </c>
      <c r="B1908" s="22">
        <f>IFERROR(__xludf.DUMMYFUNCTION("""COMPUTED_VALUE"""),4.1001234E7)</f>
        <v>41001234</v>
      </c>
      <c r="C1908" s="21" t="str">
        <f>IFERROR(__xludf.DUMMYFUNCTION("""COMPUTED_VALUE"""),"226359233245")</f>
        <v>226359233245</v>
      </c>
      <c r="D1908" s="21" t="str">
        <f>IFERROR(__xludf.DUMMYFUNCTION("""COMPUTED_VALUE"""),"DIGITEC TECNOLOGIA DIGITAL E REPRES")</f>
        <v>DIGITEC TECNOLOGIA DIGITAL E REPRES</v>
      </c>
      <c r="E1908" s="21">
        <f>IFERROR(__xludf.DUMMYFUNCTION("""COMPUTED_VALUE"""),145359.0)</f>
        <v>145359</v>
      </c>
      <c r="F1908" s="21" t="str">
        <f>IFERROR(__xludf.DUMMYFUNCTION("""COMPUTED_VALUE"""),"SUSPEITO")</f>
        <v>SUSPEITO</v>
      </c>
      <c r="G1908" s="23">
        <f>IFERROR(__xludf.DUMMYFUNCTION("""COMPUTED_VALUE"""),45624.37983796296)</f>
        <v>45624.37984</v>
      </c>
      <c r="H1908" s="24" t="str">
        <f>IFERROR(VLOOKUP(B1908,material!A:D,3,0),"")</f>
        <v>CARD</v>
      </c>
    </row>
    <row r="1909" ht="11.25" customHeight="1">
      <c r="A1909" s="21" t="str">
        <f>IFERROR(__xludf.DUMMYFUNCTION("""COMPUTED_VALUE"""),"SMART CARD PRETO NAGRA")</f>
        <v>SMART CARD PRETO NAGRA</v>
      </c>
      <c r="B1909" s="22">
        <f>IFERROR(__xludf.DUMMYFUNCTION("""COMPUTED_VALUE"""),4.1001234E7)</f>
        <v>41001234</v>
      </c>
      <c r="C1909" s="21" t="str">
        <f>IFERROR(__xludf.DUMMYFUNCTION("""COMPUTED_VALUE"""),"226292461319")</f>
        <v>226292461319</v>
      </c>
      <c r="D1909" s="21" t="str">
        <f>IFERROR(__xludf.DUMMYFUNCTION("""COMPUTED_VALUE"""),"DIGITEC TECNOLOGIA DIGITAL E REPRES")</f>
        <v>DIGITEC TECNOLOGIA DIGITAL E REPRES</v>
      </c>
      <c r="E1909" s="21">
        <f>IFERROR(__xludf.DUMMYFUNCTION("""COMPUTED_VALUE"""),145359.0)</f>
        <v>145359</v>
      </c>
      <c r="F1909" s="21" t="str">
        <f>IFERROR(__xludf.DUMMYFUNCTION("""COMPUTED_VALUE"""),"SUSPEITO")</f>
        <v>SUSPEITO</v>
      </c>
      <c r="G1909" s="23">
        <f>IFERROR(__xludf.DUMMYFUNCTION("""COMPUTED_VALUE"""),45631.75208333333)</f>
        <v>45631.75208</v>
      </c>
      <c r="H1909" s="24" t="str">
        <f>IFERROR(VLOOKUP(B1909,material!A:D,3,0),"")</f>
        <v>CARD</v>
      </c>
    </row>
    <row r="1910" ht="11.25" customHeight="1">
      <c r="A1910" s="21" t="str">
        <f>IFERROR(__xludf.DUMMYFUNCTION("""COMPUTED_VALUE"""),"SMART CARD PRETO NAGRA")</f>
        <v>SMART CARD PRETO NAGRA</v>
      </c>
      <c r="B1910" s="22">
        <f>IFERROR(__xludf.DUMMYFUNCTION("""COMPUTED_VALUE"""),4.1001234E7)</f>
        <v>41001234</v>
      </c>
      <c r="C1910" s="21" t="str">
        <f>IFERROR(__xludf.DUMMYFUNCTION("""COMPUTED_VALUE"""),"226257109810")</f>
        <v>226257109810</v>
      </c>
      <c r="D1910" s="21" t="str">
        <f>IFERROR(__xludf.DUMMYFUNCTION("""COMPUTED_VALUE"""),"DIGITEC TECNOLOGIA DIGITAL E REPRES")</f>
        <v>DIGITEC TECNOLOGIA DIGITAL E REPRES</v>
      </c>
      <c r="E1910" s="21">
        <f>IFERROR(__xludf.DUMMYFUNCTION("""COMPUTED_VALUE"""),145359.0)</f>
        <v>145359</v>
      </c>
      <c r="F1910" s="21" t="str">
        <f>IFERROR(__xludf.DUMMYFUNCTION("""COMPUTED_VALUE"""),"INICIALIZADO")</f>
        <v>INICIALIZADO</v>
      </c>
      <c r="G1910" s="23">
        <f>IFERROR(__xludf.DUMMYFUNCTION("""COMPUTED_VALUE"""),45600.47597222222)</f>
        <v>45600.47597</v>
      </c>
      <c r="H1910" s="24" t="str">
        <f>IFERROR(VLOOKUP(B1910,material!A:D,3,0),"")</f>
        <v>CARD</v>
      </c>
    </row>
    <row r="1911" ht="11.25" customHeight="1">
      <c r="A1911" s="21" t="str">
        <f>IFERROR(__xludf.DUMMYFUNCTION("""COMPUTED_VALUE"""),"SMART CARD PRETO NAGRA")</f>
        <v>SMART CARD PRETO NAGRA</v>
      </c>
      <c r="B1911" s="22">
        <f>IFERROR(__xludf.DUMMYFUNCTION("""COMPUTED_VALUE"""),4.1001234E7)</f>
        <v>41001234</v>
      </c>
      <c r="C1911" s="21" t="str">
        <f>IFERROR(__xludf.DUMMYFUNCTION("""COMPUTED_VALUE"""),"246304671030")</f>
        <v>246304671030</v>
      </c>
      <c r="D1911" s="21" t="str">
        <f>IFERROR(__xludf.DUMMYFUNCTION("""COMPUTED_VALUE"""),"DIGITEC TECNOLOGIA DIGITAL E REPRES")</f>
        <v>DIGITEC TECNOLOGIA DIGITAL E REPRES</v>
      </c>
      <c r="E1911" s="21">
        <f>IFERROR(__xludf.DUMMYFUNCTION("""COMPUTED_VALUE"""),145359.0)</f>
        <v>145359</v>
      </c>
      <c r="F1911" s="21" t="str">
        <f>IFERROR(__xludf.DUMMYFUNCTION("""COMPUTED_VALUE"""),"INICIALIZADO")</f>
        <v>INICIALIZADO</v>
      </c>
      <c r="G1911" s="23">
        <f>IFERROR(__xludf.DUMMYFUNCTION("""COMPUTED_VALUE"""),45635.534907407404)</f>
        <v>45635.53491</v>
      </c>
      <c r="H1911" s="24" t="str">
        <f>IFERROR(VLOOKUP(B1911,material!A:D,3,0),"")</f>
        <v>CARD</v>
      </c>
    </row>
    <row r="1912" ht="11.25" customHeight="1">
      <c r="A1912" s="21" t="str">
        <f>IFERROR(__xludf.DUMMYFUNCTION("""COMPUTED_VALUE"""),"SMART CARD AVULSO MINI")</f>
        <v>SMART CARD AVULSO MINI</v>
      </c>
      <c r="B1912" s="22">
        <f>IFERROR(__xludf.DUMMYFUNCTION("""COMPUTED_VALUE"""),4.1001508E7)</f>
        <v>41001508</v>
      </c>
      <c r="C1912" s="21" t="str">
        <f>IFERROR(__xludf.DUMMYFUNCTION("""COMPUTED_VALUE"""),"226278194752")</f>
        <v>226278194752</v>
      </c>
      <c r="D1912" s="21" t="str">
        <f>IFERROR(__xludf.DUMMYFUNCTION("""COMPUTED_VALUE"""),"DIGITEC TECNOLOGIA DIGITAL E REPRES")</f>
        <v>DIGITEC TECNOLOGIA DIGITAL E REPRES</v>
      </c>
      <c r="E1912" s="21">
        <f>IFERROR(__xludf.DUMMYFUNCTION("""COMPUTED_VALUE"""),145359.0)</f>
        <v>145359</v>
      </c>
      <c r="F1912" s="21" t="str">
        <f>IFERROR(__xludf.DUMMYFUNCTION("""COMPUTED_VALUE"""),"TRANSITO REVERSA")</f>
        <v>TRANSITO REVERSA</v>
      </c>
      <c r="G1912" s="23">
        <f>IFERROR(__xludf.DUMMYFUNCTION("""COMPUTED_VALUE"""),45638.52112268518)</f>
        <v>45638.52112</v>
      </c>
      <c r="H1912" s="24" t="str">
        <f>IFERROR(VLOOKUP(B1912,material!A:D,3,0),"")</f>
        <v>SIM CARD</v>
      </c>
    </row>
    <row r="1913" ht="11.25" customHeight="1">
      <c r="A1913" s="21" t="str">
        <f>IFERROR(__xludf.DUMMYFUNCTION("""COMPUTED_VALUE"""),"SMART CARD LARANJA NAGRA")</f>
        <v>SMART CARD LARANJA NAGRA</v>
      </c>
      <c r="B1913" s="22">
        <f>IFERROR(__xludf.DUMMYFUNCTION("""COMPUTED_VALUE"""),4.1001186E7)</f>
        <v>41001186</v>
      </c>
      <c r="C1913" s="21" t="str">
        <f>IFERROR(__xludf.DUMMYFUNCTION("""COMPUTED_VALUE"""),"225816926783")</f>
        <v>225816926783</v>
      </c>
      <c r="D1913" s="21" t="str">
        <f>IFERROR(__xludf.DUMMYFUNCTION("""COMPUTED_VALUE"""),"DIGITEC TECNOLOGIA DIGITAL E REPRES")</f>
        <v>DIGITEC TECNOLOGIA DIGITAL E REPRES</v>
      </c>
      <c r="E1913" s="21">
        <f>IFERROR(__xludf.DUMMYFUNCTION("""COMPUTED_VALUE"""),145359.0)</f>
        <v>145359</v>
      </c>
      <c r="F1913" s="21" t="str">
        <f>IFERROR(__xludf.DUMMYFUNCTION("""COMPUTED_VALUE"""),"TRANSITO REVERSA")</f>
        <v>TRANSITO REVERSA</v>
      </c>
      <c r="G1913" s="23">
        <f>IFERROR(__xludf.DUMMYFUNCTION("""COMPUTED_VALUE"""),45617.87141203704)</f>
        <v>45617.87141</v>
      </c>
      <c r="H1913" s="24" t="str">
        <f>IFERROR(VLOOKUP(B1913,material!A:D,3,0),"")</f>
        <v>CARD</v>
      </c>
    </row>
    <row r="1914" ht="11.25" customHeight="1">
      <c r="A1914" s="21" t="str">
        <f>IFERROR(__xludf.DUMMYFUNCTION("""COMPUTED_VALUE"""),"SMART CARD PRETO NAGRA")</f>
        <v>SMART CARD PRETO NAGRA</v>
      </c>
      <c r="B1914" s="22">
        <f>IFERROR(__xludf.DUMMYFUNCTION("""COMPUTED_VALUE"""),4.1001234E7)</f>
        <v>41001234</v>
      </c>
      <c r="C1914" s="21" t="str">
        <f>IFERROR(__xludf.DUMMYFUNCTION("""COMPUTED_VALUE"""),"246179301129")</f>
        <v>246179301129</v>
      </c>
      <c r="D1914" s="21" t="str">
        <f>IFERROR(__xludf.DUMMYFUNCTION("""COMPUTED_VALUE"""),"DIGITEC TECNOLOGIA DIGITAL E REPRES")</f>
        <v>DIGITEC TECNOLOGIA DIGITAL E REPRES</v>
      </c>
      <c r="E1914" s="21">
        <f>IFERROR(__xludf.DUMMYFUNCTION("""COMPUTED_VALUE"""),145359.0)</f>
        <v>145359</v>
      </c>
      <c r="F1914" s="21" t="str">
        <f>IFERROR(__xludf.DUMMYFUNCTION("""COMPUTED_VALUE"""),"INICIALIZADO")</f>
        <v>INICIALIZADO</v>
      </c>
      <c r="G1914" s="23">
        <f>IFERROR(__xludf.DUMMYFUNCTION("""COMPUTED_VALUE"""),45635.534895833334)</f>
        <v>45635.5349</v>
      </c>
      <c r="H1914" s="24" t="str">
        <f>IFERROR(VLOOKUP(B1914,material!A:D,3,0),"")</f>
        <v>CARD</v>
      </c>
    </row>
    <row r="1915" ht="11.25" customHeight="1">
      <c r="A1915" s="21" t="str">
        <f>IFERROR(__xludf.DUMMYFUNCTION("""COMPUTED_VALUE"""),"SMART CARD PRETO NAGRA")</f>
        <v>SMART CARD PRETO NAGRA</v>
      </c>
      <c r="B1915" s="22">
        <f>IFERROR(__xludf.DUMMYFUNCTION("""COMPUTED_VALUE"""),4.1001234E7)</f>
        <v>41001234</v>
      </c>
      <c r="C1915" s="21" t="str">
        <f>IFERROR(__xludf.DUMMYFUNCTION("""COMPUTED_VALUE"""),"226247079516")</f>
        <v>226247079516</v>
      </c>
      <c r="D1915" s="21" t="str">
        <f>IFERROR(__xludf.DUMMYFUNCTION("""COMPUTED_VALUE"""),"DIGITEC TECNOLOGIA DIGITAL E REPRES")</f>
        <v>DIGITEC TECNOLOGIA DIGITAL E REPRES</v>
      </c>
      <c r="E1915" s="21">
        <f>IFERROR(__xludf.DUMMYFUNCTION("""COMPUTED_VALUE"""),145359.0)</f>
        <v>145359</v>
      </c>
      <c r="F1915" s="21" t="str">
        <f>IFERROR(__xludf.DUMMYFUNCTION("""COMPUTED_VALUE"""),"INICIALIZADO")</f>
        <v>INICIALIZADO</v>
      </c>
      <c r="G1915" s="23">
        <f>IFERROR(__xludf.DUMMYFUNCTION("""COMPUTED_VALUE"""),45600.47596064815)</f>
        <v>45600.47596</v>
      </c>
      <c r="H1915" s="24" t="str">
        <f>IFERROR(VLOOKUP(B1915,material!A:D,3,0),"")</f>
        <v>CARD</v>
      </c>
    </row>
    <row r="1916" ht="11.25" customHeight="1">
      <c r="A1916" s="21" t="str">
        <f>IFERROR(__xludf.DUMMYFUNCTION("""COMPUTED_VALUE"""),"SMART CARD PRETO NAGRA")</f>
        <v>SMART CARD PRETO NAGRA</v>
      </c>
      <c r="B1916" s="22">
        <f>IFERROR(__xludf.DUMMYFUNCTION("""COMPUTED_VALUE"""),4.1001234E7)</f>
        <v>41001234</v>
      </c>
      <c r="C1916" s="21" t="str">
        <f>IFERROR(__xludf.DUMMYFUNCTION("""COMPUTED_VALUE"""),"246276644545")</f>
        <v>246276644545</v>
      </c>
      <c r="D1916" s="21" t="str">
        <f>IFERROR(__xludf.DUMMYFUNCTION("""COMPUTED_VALUE"""),"DIGITEC TECNOLOGIA DIGITAL E REPRES")</f>
        <v>DIGITEC TECNOLOGIA DIGITAL E REPRES</v>
      </c>
      <c r="E1916" s="21">
        <f>IFERROR(__xludf.DUMMYFUNCTION("""COMPUTED_VALUE"""),145359.0)</f>
        <v>145359</v>
      </c>
      <c r="F1916" s="21" t="str">
        <f>IFERROR(__xludf.DUMMYFUNCTION("""COMPUTED_VALUE"""),"SUSPEITO")</f>
        <v>SUSPEITO</v>
      </c>
      <c r="G1916" s="23">
        <f>IFERROR(__xludf.DUMMYFUNCTION("""COMPUTED_VALUE"""),45600.38605324074)</f>
        <v>45600.38605</v>
      </c>
      <c r="H1916" s="24" t="str">
        <f>IFERROR(VLOOKUP(B1916,material!A:D,3,0),"")</f>
        <v>CARD</v>
      </c>
    </row>
    <row r="1917" ht="11.25" customHeight="1">
      <c r="A1917" s="21" t="str">
        <f>IFERROR(__xludf.DUMMYFUNCTION("""COMPUTED_VALUE"""),"TECHNICOLOR TC7337NET")</f>
        <v>TECHNICOLOR TC7337NET</v>
      </c>
      <c r="B1917" s="22">
        <f>IFERROR(__xludf.DUMMYFUNCTION("""COMPUTED_VALUE"""),4.1001294E7)</f>
        <v>41001294</v>
      </c>
      <c r="C1917" s="21" t="str">
        <f>IFERROR(__xludf.DUMMYFUNCTION("""COMPUTED_VALUE"""),"54A65C89DE09")</f>
        <v>54A65C89DE09</v>
      </c>
      <c r="D1917" s="21" t="str">
        <f>IFERROR(__xludf.DUMMYFUNCTION("""COMPUTED_VALUE"""),"DIGITEC TECNOLOGIA DIGITAL E REPRES")</f>
        <v>DIGITEC TECNOLOGIA DIGITAL E REPRES</v>
      </c>
      <c r="E1917" s="21">
        <f>IFERROR(__xludf.DUMMYFUNCTION("""COMPUTED_VALUE"""),145359.0)</f>
        <v>145359</v>
      </c>
      <c r="F1917" s="21" t="str">
        <f>IFERROR(__xludf.DUMMYFUNCTION("""COMPUTED_VALUE"""),"INICIALIZADO")</f>
        <v>INICIALIZADO</v>
      </c>
      <c r="G1917" s="23">
        <f>IFERROR(__xludf.DUMMYFUNCTION("""COMPUTED_VALUE"""),45618.74476851852)</f>
        <v>45618.74477</v>
      </c>
      <c r="H1917" s="24" t="str">
        <f>IFERROR(VLOOKUP(B1917,material!A:D,3,0),"")</f>
        <v>DUAL</v>
      </c>
    </row>
    <row r="1918" ht="11.25" customHeight="1">
      <c r="A1918" s="21" t="str">
        <f>IFERROR(__xludf.DUMMYFUNCTION("""COMPUTED_VALUE"""),"DECODER DIGITAL HD HNB100 2T")</f>
        <v>DECODER DIGITAL HD HNB100 2T</v>
      </c>
      <c r="B1918" s="22">
        <f>IFERROR(__xludf.DUMMYFUNCTION("""COMPUTED_VALUE"""),4.1001276E7)</f>
        <v>41001276</v>
      </c>
      <c r="C1918" s="21" t="str">
        <f>IFERROR(__xludf.DUMMYFUNCTION("""COMPUTED_VALUE"""),"216791961936")</f>
        <v>216791961936</v>
      </c>
      <c r="D1918" s="21" t="str">
        <f>IFERROR(__xludf.DUMMYFUNCTION("""COMPUTED_VALUE"""),"DIGITEC TECNOLOGIA DIGITAL E REPRES")</f>
        <v>DIGITEC TECNOLOGIA DIGITAL E REPRES</v>
      </c>
      <c r="E1918" s="21">
        <f>IFERROR(__xludf.DUMMYFUNCTION("""COMPUTED_VALUE"""),145359.0)</f>
        <v>145359</v>
      </c>
      <c r="F1918" s="21" t="str">
        <f>IFERROR(__xludf.DUMMYFUNCTION("""COMPUTED_VALUE"""),"INICIALIZADO")</f>
        <v>INICIALIZADO</v>
      </c>
      <c r="G1918" s="23">
        <f>IFERROR(__xludf.DUMMYFUNCTION("""COMPUTED_VALUE"""),45602.64471064815)</f>
        <v>45602.64471</v>
      </c>
      <c r="H1918" s="24" t="str">
        <f>IFERROR(VLOOKUP(B1918,material!A:D,3,0),"")</f>
        <v>TOP MIX</v>
      </c>
    </row>
    <row r="1919" ht="11.25" customHeight="1">
      <c r="A1919" s="21" t="str">
        <f>IFERROR(__xludf.DUMMYFUNCTION("""COMPUTED_VALUE"""),"SMART CARD PRETO NAGRA")</f>
        <v>SMART CARD PRETO NAGRA</v>
      </c>
      <c r="B1919" s="22">
        <f>IFERROR(__xludf.DUMMYFUNCTION("""COMPUTED_VALUE"""),4.1001234E7)</f>
        <v>41001234</v>
      </c>
      <c r="C1919" s="21" t="str">
        <f>IFERROR(__xludf.DUMMYFUNCTION("""COMPUTED_VALUE"""),"246109315162")</f>
        <v>246109315162</v>
      </c>
      <c r="D1919" s="21" t="str">
        <f>IFERROR(__xludf.DUMMYFUNCTION("""COMPUTED_VALUE"""),"DIGITEC TECNOLOGIA DIGITAL E REPRES")</f>
        <v>DIGITEC TECNOLOGIA DIGITAL E REPRES</v>
      </c>
      <c r="E1919" s="21">
        <f>IFERROR(__xludf.DUMMYFUNCTION("""COMPUTED_VALUE"""),145359.0)</f>
        <v>145359</v>
      </c>
      <c r="F1919" s="21" t="str">
        <f>IFERROR(__xludf.DUMMYFUNCTION("""COMPUTED_VALUE"""),"INICIALIZADO")</f>
        <v>INICIALIZADO</v>
      </c>
      <c r="G1919" s="23">
        <f>IFERROR(__xludf.DUMMYFUNCTION("""COMPUTED_VALUE"""),45642.524097222224)</f>
        <v>45642.5241</v>
      </c>
      <c r="H1919" s="24" t="str">
        <f>IFERROR(VLOOKUP(B1919,material!A:D,3,0),"")</f>
        <v>CARD</v>
      </c>
    </row>
    <row r="1920" ht="11.25" customHeight="1">
      <c r="A1920" s="21" t="str">
        <f>IFERROR(__xludf.DUMMYFUNCTION("""COMPUTED_VALUE"""),"DECODER DIGITAL HD HNB100 2T")</f>
        <v>DECODER DIGITAL HD HNB100 2T</v>
      </c>
      <c r="B1920" s="22">
        <f>IFERROR(__xludf.DUMMYFUNCTION("""COMPUTED_VALUE"""),4.1001276E7)</f>
        <v>41001276</v>
      </c>
      <c r="C1920" s="21" t="str">
        <f>IFERROR(__xludf.DUMMYFUNCTION("""COMPUTED_VALUE"""),"216357413140")</f>
        <v>216357413140</v>
      </c>
      <c r="D1920" s="21" t="str">
        <f>IFERROR(__xludf.DUMMYFUNCTION("""COMPUTED_VALUE"""),"DIGITEC TECNOLOGIA DIGITAL E REPRES")</f>
        <v>DIGITEC TECNOLOGIA DIGITAL E REPRES</v>
      </c>
      <c r="E1920" s="21">
        <f>IFERROR(__xludf.DUMMYFUNCTION("""COMPUTED_VALUE"""),145359.0)</f>
        <v>145359</v>
      </c>
      <c r="F1920" s="21" t="str">
        <f>IFERROR(__xludf.DUMMYFUNCTION("""COMPUTED_VALUE"""),"INICIALIZADO")</f>
        <v>INICIALIZADO</v>
      </c>
      <c r="G1920" s="23">
        <f>IFERROR(__xludf.DUMMYFUNCTION("""COMPUTED_VALUE"""),45635.535057870366)</f>
        <v>45635.53506</v>
      </c>
      <c r="H1920" s="24" t="str">
        <f>IFERROR(VLOOKUP(B1920,material!A:D,3,0),"")</f>
        <v>TOP MIX</v>
      </c>
    </row>
    <row r="1921" ht="11.25" customHeight="1">
      <c r="A1921" s="21" t="str">
        <f>IFERROR(__xludf.DUMMYFUNCTION("""COMPUTED_VALUE"""),"DECODER DIGITAL HD HNB100 2T")</f>
        <v>DECODER DIGITAL HD HNB100 2T</v>
      </c>
      <c r="B1921" s="22">
        <f>IFERROR(__xludf.DUMMYFUNCTION("""COMPUTED_VALUE"""),4.1001276E7)</f>
        <v>41001276</v>
      </c>
      <c r="C1921" s="21" t="str">
        <f>IFERROR(__xludf.DUMMYFUNCTION("""COMPUTED_VALUE"""),"216398176276")</f>
        <v>216398176276</v>
      </c>
      <c r="D1921" s="21" t="str">
        <f>IFERROR(__xludf.DUMMYFUNCTION("""COMPUTED_VALUE"""),"DIGITEC TECNOLOGIA DIGITAL E REPRES")</f>
        <v>DIGITEC TECNOLOGIA DIGITAL E REPRES</v>
      </c>
      <c r="E1921" s="21">
        <f>IFERROR(__xludf.DUMMYFUNCTION("""COMPUTED_VALUE"""),145359.0)</f>
        <v>145359</v>
      </c>
      <c r="F1921" s="21" t="str">
        <f>IFERROR(__xludf.DUMMYFUNCTION("""COMPUTED_VALUE"""),"INICIALIZADO")</f>
        <v>INICIALIZADO</v>
      </c>
      <c r="G1921" s="23">
        <f>IFERROR(__xludf.DUMMYFUNCTION("""COMPUTED_VALUE"""),45635.53503472223)</f>
        <v>45635.53503</v>
      </c>
      <c r="H1921" s="24" t="str">
        <f>IFERROR(VLOOKUP(B1921,material!A:D,3,0),"")</f>
        <v>TOP MIX</v>
      </c>
    </row>
    <row r="1922" ht="11.25" customHeight="1">
      <c r="A1922" s="21" t="str">
        <f>IFERROR(__xludf.DUMMYFUNCTION("""COMPUTED_VALUE"""),"DECODER DIGITAL HD DXC5000 2T")</f>
        <v>DECODER DIGITAL HD DXC5000 2T</v>
      </c>
      <c r="B1922" s="22">
        <f>IFERROR(__xludf.DUMMYFUNCTION("""COMPUTED_VALUE"""),4.1001277E7)</f>
        <v>41001277</v>
      </c>
      <c r="C1922" s="21" t="str">
        <f>IFERROR(__xludf.DUMMYFUNCTION("""COMPUTED_VALUE"""),"216492192433")</f>
        <v>216492192433</v>
      </c>
      <c r="D1922" s="21" t="str">
        <f>IFERROR(__xludf.DUMMYFUNCTION("""COMPUTED_VALUE"""),"DIGITEC TECNOLOGIA DIGITAL E REPRES")</f>
        <v>DIGITEC TECNOLOGIA DIGITAL E REPRES</v>
      </c>
      <c r="E1922" s="21">
        <f>IFERROR(__xludf.DUMMYFUNCTION("""COMPUTED_VALUE"""),145359.0)</f>
        <v>145359</v>
      </c>
      <c r="F1922" s="21" t="str">
        <f>IFERROR(__xludf.DUMMYFUNCTION("""COMPUTED_VALUE"""),"INICIALIZADO")</f>
        <v>INICIALIZADO</v>
      </c>
      <c r="G1922" s="23">
        <f>IFERROR(__xludf.DUMMYFUNCTION("""COMPUTED_VALUE"""),45594.64795138889)</f>
        <v>45594.64795</v>
      </c>
      <c r="H1922" s="24" t="str">
        <f>IFERROR(VLOOKUP(B1922,material!A:D,3,0),"")</f>
        <v>TOP MIX</v>
      </c>
    </row>
    <row r="1923" ht="11.25" customHeight="1">
      <c r="A1923" s="21" t="str">
        <f>IFERROR(__xludf.DUMMYFUNCTION("""COMPUTED_VALUE"""),"HUMAX HGB10R-02")</f>
        <v>HUMAX HGB10R-02</v>
      </c>
      <c r="B1923" s="22">
        <f>IFERROR(__xludf.DUMMYFUNCTION("""COMPUTED_VALUE"""),4.1001292E7)</f>
        <v>41001292</v>
      </c>
      <c r="C1923" s="21" t="str">
        <f>IFERROR(__xludf.DUMMYFUNCTION("""COMPUTED_VALUE"""),"E820E218C78A")</f>
        <v>E820E218C78A</v>
      </c>
      <c r="D1923" s="21" t="str">
        <f>IFERROR(__xludf.DUMMYFUNCTION("""COMPUTED_VALUE"""),"DIGITEC TECNOLOGIA DIGITAL E REPRES")</f>
        <v>DIGITEC TECNOLOGIA DIGITAL E REPRES</v>
      </c>
      <c r="E1923" s="21">
        <f>IFERROR(__xludf.DUMMYFUNCTION("""COMPUTED_VALUE"""),145359.0)</f>
        <v>145359</v>
      </c>
      <c r="F1923" s="21" t="str">
        <f>IFERROR(__xludf.DUMMYFUNCTION("""COMPUTED_VALUE"""),"TRANSITO REVERSA")</f>
        <v>TRANSITO REVERSA</v>
      </c>
      <c r="G1923" s="23">
        <f>IFERROR(__xludf.DUMMYFUNCTION("""COMPUTED_VALUE"""),45638.520578703705)</f>
        <v>45638.52058</v>
      </c>
      <c r="H1923" s="24" t="str">
        <f>IFERROR(VLOOKUP(B1923,material!A:D,3,0),"")</f>
        <v>DUAL</v>
      </c>
    </row>
    <row r="1924" ht="11.25" customHeight="1">
      <c r="A1924" s="21" t="str">
        <f>IFERROR(__xludf.DUMMYFUNCTION("""COMPUTED_VALUE"""),"SMART CARD LARANJA NAGRA")</f>
        <v>SMART CARD LARANJA NAGRA</v>
      </c>
      <c r="B1924" s="22">
        <f>IFERROR(__xludf.DUMMYFUNCTION("""COMPUTED_VALUE"""),4.1001186E7)</f>
        <v>41001186</v>
      </c>
      <c r="C1924" s="21" t="str">
        <f>IFERROR(__xludf.DUMMYFUNCTION("""COMPUTED_VALUE"""),"225764849905")</f>
        <v>225764849905</v>
      </c>
      <c r="D1924" s="21" t="str">
        <f>IFERROR(__xludf.DUMMYFUNCTION("""COMPUTED_VALUE"""),"DIGITEC TECNOLOGIA DIGITAL E REPRES")</f>
        <v>DIGITEC TECNOLOGIA DIGITAL E REPRES</v>
      </c>
      <c r="E1924" s="21">
        <f>IFERROR(__xludf.DUMMYFUNCTION("""COMPUTED_VALUE"""),145359.0)</f>
        <v>145359</v>
      </c>
      <c r="F1924" s="21" t="str">
        <f>IFERROR(__xludf.DUMMYFUNCTION("""COMPUTED_VALUE"""),"TRANSITO REVERSA")</f>
        <v>TRANSITO REVERSA</v>
      </c>
      <c r="G1924" s="23">
        <f>IFERROR(__xludf.DUMMYFUNCTION("""COMPUTED_VALUE"""),45638.52112268518)</f>
        <v>45638.52112</v>
      </c>
      <c r="H1924" s="24" t="str">
        <f>IFERROR(VLOOKUP(B1924,material!A:D,3,0),"")</f>
        <v>CARD</v>
      </c>
    </row>
    <row r="1925" ht="11.25" customHeight="1">
      <c r="A1925" s="21" t="str">
        <f>IFERROR(__xludf.DUMMYFUNCTION("""COMPUTED_VALUE"""),"ARRIS TG1692A")</f>
        <v>ARRIS TG1692A</v>
      </c>
      <c r="B1925" s="22">
        <f>IFERROR(__xludf.DUMMYFUNCTION("""COMPUTED_VALUE"""),4.1001293E7)</f>
        <v>41001293</v>
      </c>
      <c r="C1925" s="21" t="str">
        <f>IFERROR(__xludf.DUMMYFUNCTION("""COMPUTED_VALUE"""),"BC644BCC9069")</f>
        <v>BC644BCC9069</v>
      </c>
      <c r="D1925" s="21" t="str">
        <f>IFERROR(__xludf.DUMMYFUNCTION("""COMPUTED_VALUE"""),"DIGITEC TECNOLOGIA DIGITAL E REPRES")</f>
        <v>DIGITEC TECNOLOGIA DIGITAL E REPRES</v>
      </c>
      <c r="E1925" s="21">
        <f>IFERROR(__xludf.DUMMYFUNCTION("""COMPUTED_VALUE"""),145359.0)</f>
        <v>145359</v>
      </c>
      <c r="F1925" s="21" t="str">
        <f>IFERROR(__xludf.DUMMYFUNCTION("""COMPUTED_VALUE"""),"INICIALIZADO")</f>
        <v>INICIALIZADO</v>
      </c>
      <c r="G1925" s="23">
        <f>IFERROR(__xludf.DUMMYFUNCTION("""COMPUTED_VALUE"""),45565.383726851855)</f>
        <v>45565.38373</v>
      </c>
      <c r="H1925" s="24" t="str">
        <f>IFERROR(VLOOKUP(B1925,material!A:D,3,0),"")</f>
        <v>DUAL</v>
      </c>
    </row>
    <row r="1926" ht="11.25" customHeight="1">
      <c r="A1926" s="21" t="str">
        <f>IFERROR(__xludf.DUMMYFUNCTION("""COMPUTED_VALUE"""),"SMART CARD PRETO NAGRA")</f>
        <v>SMART CARD PRETO NAGRA</v>
      </c>
      <c r="B1926" s="22">
        <f>IFERROR(__xludf.DUMMYFUNCTION("""COMPUTED_VALUE"""),4.1001234E7)</f>
        <v>41001234</v>
      </c>
      <c r="C1926" s="21" t="str">
        <f>IFERROR(__xludf.DUMMYFUNCTION("""COMPUTED_VALUE"""),"226268023434")</f>
        <v>226268023434</v>
      </c>
      <c r="D1926" s="21" t="str">
        <f>IFERROR(__xludf.DUMMYFUNCTION("""COMPUTED_VALUE"""),"DIGITEC TECNOLOGIA DIGITAL E REPRES")</f>
        <v>DIGITEC TECNOLOGIA DIGITAL E REPRES</v>
      </c>
      <c r="E1926" s="21">
        <f>IFERROR(__xludf.DUMMYFUNCTION("""COMPUTED_VALUE"""),145359.0)</f>
        <v>145359</v>
      </c>
      <c r="F1926" s="21" t="str">
        <f>IFERROR(__xludf.DUMMYFUNCTION("""COMPUTED_VALUE"""),"INICIALIZADO")</f>
        <v>INICIALIZADO</v>
      </c>
      <c r="G1926" s="23">
        <f>IFERROR(__xludf.DUMMYFUNCTION("""COMPUTED_VALUE"""),45635.53494212963)</f>
        <v>45635.53494</v>
      </c>
      <c r="H1926" s="24" t="str">
        <f>IFERROR(VLOOKUP(B1926,material!A:D,3,0),"")</f>
        <v>CARD</v>
      </c>
    </row>
    <row r="1927" ht="11.25" customHeight="1">
      <c r="A1927" s="21" t="str">
        <f>IFERROR(__xludf.DUMMYFUNCTION("""COMPUTED_VALUE"""),"SMART CARD PRETO NAGRA")</f>
        <v>SMART CARD PRETO NAGRA</v>
      </c>
      <c r="B1927" s="22">
        <f>IFERROR(__xludf.DUMMYFUNCTION("""COMPUTED_VALUE"""),4.1001234E7)</f>
        <v>41001234</v>
      </c>
      <c r="C1927" s="21" t="str">
        <f>IFERROR(__xludf.DUMMYFUNCTION("""COMPUTED_VALUE"""),"226119323041")</f>
        <v>226119323041</v>
      </c>
      <c r="D1927" s="21" t="str">
        <f>IFERROR(__xludf.DUMMYFUNCTION("""COMPUTED_VALUE"""),"DIGITEC TECNOLOGIA DIGITAL E REPRES")</f>
        <v>DIGITEC TECNOLOGIA DIGITAL E REPRES</v>
      </c>
      <c r="E1927" s="21">
        <f>IFERROR(__xludf.DUMMYFUNCTION("""COMPUTED_VALUE"""),145359.0)</f>
        <v>145359</v>
      </c>
      <c r="F1927" s="21" t="str">
        <f>IFERROR(__xludf.DUMMYFUNCTION("""COMPUTED_VALUE"""),"INICIALIZADO")</f>
        <v>INICIALIZADO</v>
      </c>
      <c r="G1927" s="23">
        <f>IFERROR(__xludf.DUMMYFUNCTION("""COMPUTED_VALUE"""),45454.55348379629)</f>
        <v>45454.55348</v>
      </c>
      <c r="H1927" s="24" t="str">
        <f>IFERROR(VLOOKUP(B1927,material!A:D,3,0),"")</f>
        <v>CARD</v>
      </c>
    </row>
    <row r="1928" ht="11.25" customHeight="1">
      <c r="A1928" s="21" t="str">
        <f>IFERROR(__xludf.DUMMYFUNCTION("""COMPUTED_VALUE"""),"SMART CARD LARANJA NAGRA")</f>
        <v>SMART CARD LARANJA NAGRA</v>
      </c>
      <c r="B1928" s="22">
        <f>IFERROR(__xludf.DUMMYFUNCTION("""COMPUTED_VALUE"""),4.1001186E7)</f>
        <v>41001186</v>
      </c>
      <c r="C1928" s="21" t="str">
        <f>IFERROR(__xludf.DUMMYFUNCTION("""COMPUTED_VALUE"""),"226048055165")</f>
        <v>226048055165</v>
      </c>
      <c r="D1928" s="21" t="str">
        <f>IFERROR(__xludf.DUMMYFUNCTION("""COMPUTED_VALUE"""),"DIGITEC TECNOLOGIA DIGITAL E REPRES")</f>
        <v>DIGITEC TECNOLOGIA DIGITAL E REPRES</v>
      </c>
      <c r="E1928" s="21">
        <f>IFERROR(__xludf.DUMMYFUNCTION("""COMPUTED_VALUE"""),145359.0)</f>
        <v>145359</v>
      </c>
      <c r="F1928" s="21" t="str">
        <f>IFERROR(__xludf.DUMMYFUNCTION("""COMPUTED_VALUE"""),"INICIALIZADO")</f>
        <v>INICIALIZADO</v>
      </c>
      <c r="G1928" s="23">
        <f>IFERROR(__xludf.DUMMYFUNCTION("""COMPUTED_VALUE"""),45615.61854166667)</f>
        <v>45615.61854</v>
      </c>
      <c r="H1928" s="24" t="str">
        <f>IFERROR(VLOOKUP(B1928,material!A:D,3,0),"")</f>
        <v>CARD</v>
      </c>
    </row>
    <row r="1929" ht="11.25" customHeight="1">
      <c r="A1929" s="21" t="str">
        <f>IFERROR(__xludf.DUMMYFUNCTION("""COMPUTED_VALUE"""),"SMART CARD LARANJA NAGRA")</f>
        <v>SMART CARD LARANJA NAGRA</v>
      </c>
      <c r="B1929" s="22">
        <f>IFERROR(__xludf.DUMMYFUNCTION("""COMPUTED_VALUE"""),4.1001186E7)</f>
        <v>41001186</v>
      </c>
      <c r="C1929" s="21" t="str">
        <f>IFERROR(__xludf.DUMMYFUNCTION("""COMPUTED_VALUE"""),"226054407378")</f>
        <v>226054407378</v>
      </c>
      <c r="D1929" s="21" t="str">
        <f>IFERROR(__xludf.DUMMYFUNCTION("""COMPUTED_VALUE"""),"DIGITEC TECNOLOGIA DIGITAL E REPRES")</f>
        <v>DIGITEC TECNOLOGIA DIGITAL E REPRES</v>
      </c>
      <c r="E1929" s="21">
        <f>IFERROR(__xludf.DUMMYFUNCTION("""COMPUTED_VALUE"""),145359.0)</f>
        <v>145359</v>
      </c>
      <c r="F1929" s="21" t="str">
        <f>IFERROR(__xludf.DUMMYFUNCTION("""COMPUTED_VALUE"""),"TRANSITO REVERSA")</f>
        <v>TRANSITO REVERSA</v>
      </c>
      <c r="G1929" s="23">
        <f>IFERROR(__xludf.DUMMYFUNCTION("""COMPUTED_VALUE"""),45633.00340277777)</f>
        <v>45633.0034</v>
      </c>
      <c r="H1929" s="24" t="str">
        <f>IFERROR(VLOOKUP(B1929,material!A:D,3,0),"")</f>
        <v>CARD</v>
      </c>
    </row>
    <row r="1930" ht="11.25" customHeight="1">
      <c r="A1930" s="21" t="str">
        <f>IFERROR(__xludf.DUMMYFUNCTION("""COMPUTED_VALUE"""),"SMART CARD PRETO NAGRA")</f>
        <v>SMART CARD PRETO NAGRA</v>
      </c>
      <c r="B1930" s="22">
        <f>IFERROR(__xludf.DUMMYFUNCTION("""COMPUTED_VALUE"""),4.1001234E7)</f>
        <v>41001234</v>
      </c>
      <c r="C1930" s="21" t="str">
        <f>IFERROR(__xludf.DUMMYFUNCTION("""COMPUTED_VALUE"""),"226140742337")</f>
        <v>226140742337</v>
      </c>
      <c r="D1930" s="21" t="str">
        <f>IFERROR(__xludf.DUMMYFUNCTION("""COMPUTED_VALUE"""),"DIGITEC TECNOLOGIA DIGITAL E REPRES")</f>
        <v>DIGITEC TECNOLOGIA DIGITAL E REPRES</v>
      </c>
      <c r="E1930" s="21">
        <f>IFERROR(__xludf.DUMMYFUNCTION("""COMPUTED_VALUE"""),145359.0)</f>
        <v>145359</v>
      </c>
      <c r="F1930" s="21" t="str">
        <f>IFERROR(__xludf.DUMMYFUNCTION("""COMPUTED_VALUE"""),"INICIALIZADO")</f>
        <v>INICIALIZADO</v>
      </c>
      <c r="G1930" s="23">
        <f>IFERROR(__xludf.DUMMYFUNCTION("""COMPUTED_VALUE"""),45615.61853009259)</f>
        <v>45615.61853</v>
      </c>
      <c r="H1930" s="24" t="str">
        <f>IFERROR(VLOOKUP(B1930,material!A:D,3,0),"")</f>
        <v>CARD</v>
      </c>
    </row>
    <row r="1931" ht="11.25" customHeight="1">
      <c r="A1931" s="21" t="str">
        <f>IFERROR(__xludf.DUMMYFUNCTION("""COMPUTED_VALUE"""),"HUMAX HGB10R-02")</f>
        <v>HUMAX HGB10R-02</v>
      </c>
      <c r="B1931" s="22">
        <f>IFERROR(__xludf.DUMMYFUNCTION("""COMPUTED_VALUE"""),4.1001292E7)</f>
        <v>41001292</v>
      </c>
      <c r="C1931" s="21" t="str">
        <f>IFERROR(__xludf.DUMMYFUNCTION("""COMPUTED_VALUE"""),"E820E27CBAFB")</f>
        <v>E820E27CBAFB</v>
      </c>
      <c r="D1931" s="21" t="str">
        <f>IFERROR(__xludf.DUMMYFUNCTION("""COMPUTED_VALUE"""),"DIGITEC TECNOLOGIA DIGITAL E REPRES")</f>
        <v>DIGITEC TECNOLOGIA DIGITAL E REPRES</v>
      </c>
      <c r="E1931" s="21">
        <f>IFERROR(__xludf.DUMMYFUNCTION("""COMPUTED_VALUE"""),145359.0)</f>
        <v>145359</v>
      </c>
      <c r="F1931" s="21" t="str">
        <f>IFERROR(__xludf.DUMMYFUNCTION("""COMPUTED_VALUE"""),"ANALISE DE INVENTARIO")</f>
        <v>ANALISE DE INVENTARIO</v>
      </c>
      <c r="G1931" s="23">
        <f>IFERROR(__xludf.DUMMYFUNCTION("""COMPUTED_VALUE"""),45460.5186574074)</f>
        <v>45460.51866</v>
      </c>
      <c r="H1931" s="24" t="str">
        <f>IFERROR(VLOOKUP(B1931,material!A:D,3,0),"")</f>
        <v>DUAL</v>
      </c>
    </row>
    <row r="1932" ht="11.25" customHeight="1">
      <c r="A1932" s="21" t="str">
        <f>IFERROR(__xludf.DUMMYFUNCTION("""COMPUTED_VALUE"""),"SMART CARD PRETO NAGRA")</f>
        <v>SMART CARD PRETO NAGRA</v>
      </c>
      <c r="B1932" s="22">
        <f>IFERROR(__xludf.DUMMYFUNCTION("""COMPUTED_VALUE"""),4.1001234E7)</f>
        <v>41001234</v>
      </c>
      <c r="C1932" s="21" t="str">
        <f>IFERROR(__xludf.DUMMYFUNCTION("""COMPUTED_VALUE"""),"246207027986")</f>
        <v>246207027986</v>
      </c>
      <c r="D1932" s="21" t="str">
        <f>IFERROR(__xludf.DUMMYFUNCTION("""COMPUTED_VALUE"""),"DIGITEC TECNOLOGIA DIGITAL E REPRES")</f>
        <v>DIGITEC TECNOLOGIA DIGITAL E REPRES</v>
      </c>
      <c r="E1932" s="21">
        <f>IFERROR(__xludf.DUMMYFUNCTION("""COMPUTED_VALUE"""),145359.0)</f>
        <v>145359</v>
      </c>
      <c r="F1932" s="21" t="str">
        <f>IFERROR(__xludf.DUMMYFUNCTION("""COMPUTED_VALUE"""),"ANALISE DE INVENTARIO")</f>
        <v>ANALISE DE INVENTARIO</v>
      </c>
      <c r="G1932" s="23">
        <f>IFERROR(__xludf.DUMMYFUNCTION("""COMPUTED_VALUE"""),45525.90365740741)</f>
        <v>45525.90366</v>
      </c>
      <c r="H1932" s="24" t="str">
        <f>IFERROR(VLOOKUP(B1932,material!A:D,3,0),"")</f>
        <v>CARD</v>
      </c>
    </row>
    <row r="1933" ht="11.25" customHeight="1">
      <c r="A1933" s="21" t="str">
        <f>IFERROR(__xludf.DUMMYFUNCTION("""COMPUTED_VALUE"""),"ARRIS TG1692A")</f>
        <v>ARRIS TG1692A</v>
      </c>
      <c r="B1933" s="22">
        <f>IFERROR(__xludf.DUMMYFUNCTION("""COMPUTED_VALUE"""),4.1001293E7)</f>
        <v>41001293</v>
      </c>
      <c r="C1933" s="21" t="str">
        <f>IFERROR(__xludf.DUMMYFUNCTION("""COMPUTED_VALUE"""),"B0935BECA326")</f>
        <v>B0935BECA326</v>
      </c>
      <c r="D1933" s="21" t="str">
        <f>IFERROR(__xludf.DUMMYFUNCTION("""COMPUTED_VALUE"""),"DIGITEC TECNOLOGIA DIGITAL E REPRES")</f>
        <v>DIGITEC TECNOLOGIA DIGITAL E REPRES</v>
      </c>
      <c r="E1933" s="21">
        <f>IFERROR(__xludf.DUMMYFUNCTION("""COMPUTED_VALUE"""),145359.0)</f>
        <v>145359</v>
      </c>
      <c r="F1933" s="21" t="str">
        <f>IFERROR(__xludf.DUMMYFUNCTION("""COMPUTED_VALUE"""),"TRANSITO REVERSA")</f>
        <v>TRANSITO REVERSA</v>
      </c>
      <c r="G1933" s="23">
        <f>IFERROR(__xludf.DUMMYFUNCTION("""COMPUTED_VALUE"""),45626.298668981486)</f>
        <v>45626.29867</v>
      </c>
      <c r="H1933" s="24" t="str">
        <f>IFERROR(VLOOKUP(B1933,material!A:D,3,0),"")</f>
        <v>DUAL</v>
      </c>
    </row>
    <row r="1934" ht="11.25" customHeight="1">
      <c r="A1934" s="21" t="str">
        <f>IFERROR(__xludf.DUMMYFUNCTION("""COMPUTED_VALUE"""),"ARRIS TG1692A")</f>
        <v>ARRIS TG1692A</v>
      </c>
      <c r="B1934" s="22">
        <f>IFERROR(__xludf.DUMMYFUNCTION("""COMPUTED_VALUE"""),4.1001293E7)</f>
        <v>41001293</v>
      </c>
      <c r="C1934" s="21" t="str">
        <f>IFERROR(__xludf.DUMMYFUNCTION("""COMPUTED_VALUE"""),"BC644BDCF530")</f>
        <v>BC644BDCF530</v>
      </c>
      <c r="D1934" s="21" t="str">
        <f>IFERROR(__xludf.DUMMYFUNCTION("""COMPUTED_VALUE"""),"DIGITEC TECNOLOGIA DIGITAL E REPRES")</f>
        <v>DIGITEC TECNOLOGIA DIGITAL E REPRES</v>
      </c>
      <c r="E1934" s="21">
        <f>IFERROR(__xludf.DUMMYFUNCTION("""COMPUTED_VALUE"""),145359.0)</f>
        <v>145359</v>
      </c>
      <c r="F1934" s="21" t="str">
        <f>IFERROR(__xludf.DUMMYFUNCTION("""COMPUTED_VALUE"""),"TRANSITO REVERSA")</f>
        <v>TRANSITO REVERSA</v>
      </c>
      <c r="G1934" s="23">
        <f>IFERROR(__xludf.DUMMYFUNCTION("""COMPUTED_VALUE"""),45610.730416666665)</f>
        <v>45610.73042</v>
      </c>
      <c r="H1934" s="24" t="str">
        <f>IFERROR(VLOOKUP(B1934,material!A:D,3,0),"")</f>
        <v>DUAL</v>
      </c>
    </row>
    <row r="1935" ht="11.25" customHeight="1">
      <c r="A1935" s="21" t="str">
        <f>IFERROR(__xludf.DUMMYFUNCTION("""COMPUTED_VALUE"""),"ARRIS TG1692A")</f>
        <v>ARRIS TG1692A</v>
      </c>
      <c r="B1935" s="22">
        <f>IFERROR(__xludf.DUMMYFUNCTION("""COMPUTED_VALUE"""),4.1001293E7)</f>
        <v>41001293</v>
      </c>
      <c r="C1935" s="21" t="str">
        <f>IFERROR(__xludf.DUMMYFUNCTION("""COMPUTED_VALUE"""),"BC644BDD0390")</f>
        <v>BC644BDD0390</v>
      </c>
      <c r="D1935" s="21" t="str">
        <f>IFERROR(__xludf.DUMMYFUNCTION("""COMPUTED_VALUE"""),"DIGITEC TECNOLOGIA DIGITAL E REPRES")</f>
        <v>DIGITEC TECNOLOGIA DIGITAL E REPRES</v>
      </c>
      <c r="E1935" s="21">
        <f>IFERROR(__xludf.DUMMYFUNCTION("""COMPUTED_VALUE"""),145359.0)</f>
        <v>145359</v>
      </c>
      <c r="F1935" s="21" t="str">
        <f>IFERROR(__xludf.DUMMYFUNCTION("""COMPUTED_VALUE"""),"TRANSITO REVERSA")</f>
        <v>TRANSITO REVERSA</v>
      </c>
      <c r="G1935" s="23">
        <f>IFERROR(__xludf.DUMMYFUNCTION("""COMPUTED_VALUE"""),45610.730416666665)</f>
        <v>45610.73042</v>
      </c>
      <c r="H1935" s="24" t="str">
        <f>IFERROR(VLOOKUP(B1935,material!A:D,3,0),"")</f>
        <v>DUAL</v>
      </c>
    </row>
    <row r="1936" ht="11.25" customHeight="1">
      <c r="A1936" s="21" t="str">
        <f>IFERROR(__xludf.DUMMYFUNCTION("""COMPUTED_VALUE"""),"HUMAX HG100R-L4")</f>
        <v>HUMAX HG100R-L4</v>
      </c>
      <c r="B1936" s="22">
        <f>IFERROR(__xludf.DUMMYFUNCTION("""COMPUTED_VALUE"""),4.1001288E7)</f>
        <v>41001288</v>
      </c>
      <c r="C1936" s="21" t="str">
        <f>IFERROR(__xludf.DUMMYFUNCTION("""COMPUTED_VALUE"""),"942CB31CD056")</f>
        <v>942CB31CD056</v>
      </c>
      <c r="D1936" s="21" t="str">
        <f>IFERROR(__xludf.DUMMYFUNCTION("""COMPUTED_VALUE"""),"DIGITEC TECNOLOGIA DIGITAL E REPRES")</f>
        <v>DIGITEC TECNOLOGIA DIGITAL E REPRES</v>
      </c>
      <c r="E1936" s="21">
        <f>IFERROR(__xludf.DUMMYFUNCTION("""COMPUTED_VALUE"""),145359.0)</f>
        <v>145359</v>
      </c>
      <c r="F1936" s="21" t="str">
        <f>IFERROR(__xludf.DUMMYFUNCTION("""COMPUTED_VALUE"""),"TRANSITO REVERSA")</f>
        <v>TRANSITO REVERSA</v>
      </c>
      <c r="G1936" s="23">
        <f>IFERROR(__xludf.DUMMYFUNCTION("""COMPUTED_VALUE"""),45638.52112268518)</f>
        <v>45638.52112</v>
      </c>
      <c r="H1936" s="24" t="str">
        <f>IFERROR(VLOOKUP(B1936,material!A:D,3,0),"")</f>
        <v>SINGLE</v>
      </c>
    </row>
    <row r="1937" ht="11.25" customHeight="1">
      <c r="A1937" s="21" t="str">
        <f>IFERROR(__xludf.DUMMYFUNCTION("""COMPUTED_VALUE"""),"DECODER DIGITAL HD HNB100 2T")</f>
        <v>DECODER DIGITAL HD HNB100 2T</v>
      </c>
      <c r="B1937" s="22">
        <f>IFERROR(__xludf.DUMMYFUNCTION("""COMPUTED_VALUE"""),4.1001276E7)</f>
        <v>41001276</v>
      </c>
      <c r="C1937" s="21" t="str">
        <f>IFERROR(__xludf.DUMMYFUNCTION("""COMPUTED_VALUE"""),"216396459598")</f>
        <v>216396459598</v>
      </c>
      <c r="D1937" s="21" t="str">
        <f>IFERROR(__xludf.DUMMYFUNCTION("""COMPUTED_VALUE"""),"DIGITEC TECNOLOGIA DIGITAL E REPRES")</f>
        <v>DIGITEC TECNOLOGIA DIGITAL E REPRES</v>
      </c>
      <c r="E1937" s="21">
        <f>IFERROR(__xludf.DUMMYFUNCTION("""COMPUTED_VALUE"""),145359.0)</f>
        <v>145359</v>
      </c>
      <c r="F1937" s="21" t="str">
        <f>IFERROR(__xludf.DUMMYFUNCTION("""COMPUTED_VALUE"""),"TRANSITO REVERSA")</f>
        <v>TRANSITO REVERSA</v>
      </c>
      <c r="G1937" s="23">
        <f>IFERROR(__xludf.DUMMYFUNCTION("""COMPUTED_VALUE"""),45633.003958333335)</f>
        <v>45633.00396</v>
      </c>
      <c r="H1937" s="24" t="str">
        <f>IFERROR(VLOOKUP(B1937,material!A:D,3,0),"")</f>
        <v>TOP MIX</v>
      </c>
    </row>
    <row r="1938" ht="11.25" customHeight="1">
      <c r="A1938" s="21" t="str">
        <f>IFERROR(__xludf.DUMMYFUNCTION("""COMPUTED_VALUE"""),"SMART CARD PRETO NAGRA")</f>
        <v>SMART CARD PRETO NAGRA</v>
      </c>
      <c r="B1938" s="22">
        <f>IFERROR(__xludf.DUMMYFUNCTION("""COMPUTED_VALUE"""),4.1001234E7)</f>
        <v>41001234</v>
      </c>
      <c r="C1938" s="21" t="str">
        <f>IFERROR(__xludf.DUMMYFUNCTION("""COMPUTED_VALUE"""),"246291248293")</f>
        <v>246291248293</v>
      </c>
      <c r="D1938" s="21" t="str">
        <f>IFERROR(__xludf.DUMMYFUNCTION("""COMPUTED_VALUE"""),"DIGITEC TECNOLOGIA DIGITAL E REPRES")</f>
        <v>DIGITEC TECNOLOGIA DIGITAL E REPRES</v>
      </c>
      <c r="E1938" s="21">
        <f>IFERROR(__xludf.DUMMYFUNCTION("""COMPUTED_VALUE"""),145359.0)</f>
        <v>145359</v>
      </c>
      <c r="F1938" s="21" t="str">
        <f>IFERROR(__xludf.DUMMYFUNCTION("""COMPUTED_VALUE"""),"TRANSITO REVERSA")</f>
        <v>TRANSITO REVERSA</v>
      </c>
      <c r="G1938" s="23">
        <f>IFERROR(__xludf.DUMMYFUNCTION("""COMPUTED_VALUE"""),45633.00336805556)</f>
        <v>45633.00337</v>
      </c>
      <c r="H1938" s="24" t="str">
        <f>IFERROR(VLOOKUP(B1938,material!A:D,3,0),"")</f>
        <v>CARD</v>
      </c>
    </row>
    <row r="1939" ht="11.25" customHeight="1">
      <c r="A1939" s="21" t="str">
        <f>IFERROR(__xludf.DUMMYFUNCTION("""COMPUTED_VALUE"""),"SMART CARD PRETO NAGRA")</f>
        <v>SMART CARD PRETO NAGRA</v>
      </c>
      <c r="B1939" s="22">
        <f>IFERROR(__xludf.DUMMYFUNCTION("""COMPUTED_VALUE"""),4.1001234E7)</f>
        <v>41001234</v>
      </c>
      <c r="C1939" s="21" t="str">
        <f>IFERROR(__xludf.DUMMYFUNCTION("""COMPUTED_VALUE"""),"226217578095")</f>
        <v>226217578095</v>
      </c>
      <c r="D1939" s="21" t="str">
        <f>IFERROR(__xludf.DUMMYFUNCTION("""COMPUTED_VALUE"""),"DIGITEC TECNOLOGIA DIGITAL E REPRES")</f>
        <v>DIGITEC TECNOLOGIA DIGITAL E REPRES</v>
      </c>
      <c r="E1939" s="21">
        <f>IFERROR(__xludf.DUMMYFUNCTION("""COMPUTED_VALUE"""),145359.0)</f>
        <v>145359</v>
      </c>
      <c r="F1939" s="21" t="str">
        <f>IFERROR(__xludf.DUMMYFUNCTION("""COMPUTED_VALUE"""),"COM DEFEITO")</f>
        <v>COM DEFEITO</v>
      </c>
      <c r="G1939" s="23">
        <f>IFERROR(__xludf.DUMMYFUNCTION("""COMPUTED_VALUE"""),45617.71435185186)</f>
        <v>45617.71435</v>
      </c>
      <c r="H1939" s="24" t="str">
        <f>IFERROR(VLOOKUP(B1939,material!A:D,3,0),"")</f>
        <v>CARD</v>
      </c>
    </row>
    <row r="1940" ht="11.25" customHeight="1">
      <c r="A1940" s="21" t="str">
        <f>IFERROR(__xludf.DUMMYFUNCTION("""COMPUTED_VALUE"""),"SMART CARD PRETO NAGRA")</f>
        <v>SMART CARD PRETO NAGRA</v>
      </c>
      <c r="B1940" s="22">
        <f>IFERROR(__xludf.DUMMYFUNCTION("""COMPUTED_VALUE"""),4.1001234E7)</f>
        <v>41001234</v>
      </c>
      <c r="C1940" s="21" t="str">
        <f>IFERROR(__xludf.DUMMYFUNCTION("""COMPUTED_VALUE"""),"226110004567")</f>
        <v>226110004567</v>
      </c>
      <c r="D1940" s="21" t="str">
        <f>IFERROR(__xludf.DUMMYFUNCTION("""COMPUTED_VALUE"""),"DIGITEC TECNOLOGIA DIGITAL E REPRES")</f>
        <v>DIGITEC TECNOLOGIA DIGITAL E REPRES</v>
      </c>
      <c r="E1940" s="21">
        <f>IFERROR(__xludf.DUMMYFUNCTION("""COMPUTED_VALUE"""),145359.0)</f>
        <v>145359</v>
      </c>
      <c r="F1940" s="21" t="str">
        <f>IFERROR(__xludf.DUMMYFUNCTION("""COMPUTED_VALUE"""),"COM DEFEITO")</f>
        <v>COM DEFEITO</v>
      </c>
      <c r="G1940" s="23">
        <f>IFERROR(__xludf.DUMMYFUNCTION("""COMPUTED_VALUE"""),45617.71435185186)</f>
        <v>45617.71435</v>
      </c>
      <c r="H1940" s="24" t="str">
        <f>IFERROR(VLOOKUP(B1940,material!A:D,3,0),"")</f>
        <v>CARD</v>
      </c>
    </row>
    <row r="1941" ht="11.25" customHeight="1">
      <c r="A1941" s="21" t="str">
        <f>IFERROR(__xludf.DUMMYFUNCTION("""COMPUTED_VALUE"""),"SMART CARD PRETO NAGRA")</f>
        <v>SMART CARD PRETO NAGRA</v>
      </c>
      <c r="B1941" s="22">
        <f>IFERROR(__xludf.DUMMYFUNCTION("""COMPUTED_VALUE"""),4.1001234E7)</f>
        <v>41001234</v>
      </c>
      <c r="C1941" s="21" t="str">
        <f>IFERROR(__xludf.DUMMYFUNCTION("""COMPUTED_VALUE"""),"226035489012")</f>
        <v>226035489012</v>
      </c>
      <c r="D1941" s="21" t="str">
        <f>IFERROR(__xludf.DUMMYFUNCTION("""COMPUTED_VALUE"""),"DIGITEC TECNOLOGIA DIGITAL E REPRES")</f>
        <v>DIGITEC TECNOLOGIA DIGITAL E REPRES</v>
      </c>
      <c r="E1941" s="21">
        <f>IFERROR(__xludf.DUMMYFUNCTION("""COMPUTED_VALUE"""),145359.0)</f>
        <v>145359</v>
      </c>
      <c r="F1941" s="21" t="str">
        <f>IFERROR(__xludf.DUMMYFUNCTION("""COMPUTED_VALUE"""),"COM DEFEITO")</f>
        <v>COM DEFEITO</v>
      </c>
      <c r="G1941" s="23">
        <f>IFERROR(__xludf.DUMMYFUNCTION("""COMPUTED_VALUE"""),45617.71434027777)</f>
        <v>45617.71434</v>
      </c>
      <c r="H1941" s="24" t="str">
        <f>IFERROR(VLOOKUP(B1941,material!A:D,3,0),"")</f>
        <v>CARD</v>
      </c>
    </row>
    <row r="1942" ht="11.25" customHeight="1">
      <c r="A1942" s="21" t="str">
        <f>IFERROR(__xludf.DUMMYFUNCTION("""COMPUTED_VALUE"""),"SMART CARD PRETO NAGRA")</f>
        <v>SMART CARD PRETO NAGRA</v>
      </c>
      <c r="B1942" s="22">
        <f>IFERROR(__xludf.DUMMYFUNCTION("""COMPUTED_VALUE"""),4.1001234E7)</f>
        <v>41001234</v>
      </c>
      <c r="C1942" s="21" t="str">
        <f>IFERROR(__xludf.DUMMYFUNCTION("""COMPUTED_VALUE"""),"246258383448")</f>
        <v>246258383448</v>
      </c>
      <c r="D1942" s="21" t="str">
        <f>IFERROR(__xludf.DUMMYFUNCTION("""COMPUTED_VALUE"""),"DIGITEC TECNOLOGIA DIGITAL E REPRES")</f>
        <v>DIGITEC TECNOLOGIA DIGITAL E REPRES</v>
      </c>
      <c r="E1942" s="21">
        <f>IFERROR(__xludf.DUMMYFUNCTION("""COMPUTED_VALUE"""),145359.0)</f>
        <v>145359</v>
      </c>
      <c r="F1942" s="21" t="str">
        <f>IFERROR(__xludf.DUMMYFUNCTION("""COMPUTED_VALUE"""),"INICIALIZADO")</f>
        <v>INICIALIZADO</v>
      </c>
      <c r="G1942" s="23">
        <f>IFERROR(__xludf.DUMMYFUNCTION("""COMPUTED_VALUE"""),45589.49052083334)</f>
        <v>45589.49052</v>
      </c>
      <c r="H1942" s="24" t="str">
        <f>IFERROR(VLOOKUP(B1942,material!A:D,3,0),"")</f>
        <v>CARD</v>
      </c>
    </row>
    <row r="1943" ht="11.25" customHeight="1">
      <c r="A1943" s="21" t="str">
        <f>IFERROR(__xludf.DUMMYFUNCTION("""COMPUTED_VALUE"""),"SMART CARD PRETO NAGRA")</f>
        <v>SMART CARD PRETO NAGRA</v>
      </c>
      <c r="B1943" s="22">
        <f>IFERROR(__xludf.DUMMYFUNCTION("""COMPUTED_VALUE"""),4.1001234E7)</f>
        <v>41001234</v>
      </c>
      <c r="C1943" s="21" t="str">
        <f>IFERROR(__xludf.DUMMYFUNCTION("""COMPUTED_VALUE"""),"226348125359")</f>
        <v>226348125359</v>
      </c>
      <c r="D1943" s="21" t="str">
        <f>IFERROR(__xludf.DUMMYFUNCTION("""COMPUTED_VALUE"""),"DIGITEC TECNOLOGIA DIGITAL E REPRES")</f>
        <v>DIGITEC TECNOLOGIA DIGITAL E REPRES</v>
      </c>
      <c r="E1943" s="21">
        <f>IFERROR(__xludf.DUMMYFUNCTION("""COMPUTED_VALUE"""),145359.0)</f>
        <v>145359</v>
      </c>
      <c r="F1943" s="21" t="str">
        <f>IFERROR(__xludf.DUMMYFUNCTION("""COMPUTED_VALUE"""),"INICIALIZADO")</f>
        <v>INICIALIZADO</v>
      </c>
      <c r="G1943" s="23">
        <f>IFERROR(__xludf.DUMMYFUNCTION("""COMPUTED_VALUE"""),45005.37087962963)</f>
        <v>45005.37088</v>
      </c>
      <c r="H1943" s="24" t="str">
        <f>IFERROR(VLOOKUP(B1943,material!A:D,3,0),"")</f>
        <v>CARD</v>
      </c>
    </row>
    <row r="1944" ht="11.25" customHeight="1">
      <c r="A1944" s="21" t="str">
        <f>IFERROR(__xludf.DUMMYFUNCTION("""COMPUTED_VALUE"""),"SMART CARD PRETO NAGRA")</f>
        <v>SMART CARD PRETO NAGRA</v>
      </c>
      <c r="B1944" s="22">
        <f>IFERROR(__xludf.DUMMYFUNCTION("""COMPUTED_VALUE"""),4.1001234E7)</f>
        <v>41001234</v>
      </c>
      <c r="C1944" s="21" t="str">
        <f>IFERROR(__xludf.DUMMYFUNCTION("""COMPUTED_VALUE"""),"226348134148")</f>
        <v>226348134148</v>
      </c>
      <c r="D1944" s="21" t="str">
        <f>IFERROR(__xludf.DUMMYFUNCTION("""COMPUTED_VALUE"""),"DIGITEC TECNOLOGIA DIGITAL E REPRES")</f>
        <v>DIGITEC TECNOLOGIA DIGITAL E REPRES</v>
      </c>
      <c r="E1944" s="21">
        <f>IFERROR(__xludf.DUMMYFUNCTION("""COMPUTED_VALUE"""),145359.0)</f>
        <v>145359</v>
      </c>
      <c r="F1944" s="21" t="str">
        <f>IFERROR(__xludf.DUMMYFUNCTION("""COMPUTED_VALUE"""),"INICIALIZADO")</f>
        <v>INICIALIZADO</v>
      </c>
      <c r="G1944" s="23">
        <f>IFERROR(__xludf.DUMMYFUNCTION("""COMPUTED_VALUE"""),45454.553506944445)</f>
        <v>45454.55351</v>
      </c>
      <c r="H1944" s="24" t="str">
        <f>IFERROR(VLOOKUP(B1944,material!A:D,3,0),"")</f>
        <v>CARD</v>
      </c>
    </row>
    <row r="1945" ht="11.25" customHeight="1">
      <c r="A1945" s="21" t="str">
        <f>IFERROR(__xludf.DUMMYFUNCTION("""COMPUTED_VALUE"""),"SMART CARD PRETO NAGRA")</f>
        <v>SMART CARD PRETO NAGRA</v>
      </c>
      <c r="B1945" s="22">
        <f>IFERROR(__xludf.DUMMYFUNCTION("""COMPUTED_VALUE"""),4.1001234E7)</f>
        <v>41001234</v>
      </c>
      <c r="C1945" s="21" t="str">
        <f>IFERROR(__xludf.DUMMYFUNCTION("""COMPUTED_VALUE"""),"246084940012")</f>
        <v>246084940012</v>
      </c>
      <c r="D1945" s="21" t="str">
        <f>IFERROR(__xludf.DUMMYFUNCTION("""COMPUTED_VALUE"""),"DIGITEC TECNOLOGIA DIGITAL E REPRES")</f>
        <v>DIGITEC TECNOLOGIA DIGITAL E REPRES</v>
      </c>
      <c r="E1945" s="21">
        <f>IFERROR(__xludf.DUMMYFUNCTION("""COMPUTED_VALUE"""),145359.0)</f>
        <v>145359</v>
      </c>
      <c r="F1945" s="21" t="str">
        <f>IFERROR(__xludf.DUMMYFUNCTION("""COMPUTED_VALUE"""),"INICIALIZADO")</f>
        <v>INICIALIZADO</v>
      </c>
      <c r="G1945" s="23">
        <f>IFERROR(__xludf.DUMMYFUNCTION("""COMPUTED_VALUE"""),45635.534907407404)</f>
        <v>45635.53491</v>
      </c>
      <c r="H1945" s="24" t="str">
        <f>IFERROR(VLOOKUP(B1945,material!A:D,3,0),"")</f>
        <v>CARD</v>
      </c>
    </row>
    <row r="1946" ht="11.25" customHeight="1">
      <c r="A1946" s="21" t="str">
        <f>IFERROR(__xludf.DUMMYFUNCTION("""COMPUTED_VALUE"""),"HUMAX HGB10R-02")</f>
        <v>HUMAX HGB10R-02</v>
      </c>
      <c r="B1946" s="22">
        <f>IFERROR(__xludf.DUMMYFUNCTION("""COMPUTED_VALUE"""),4.1001292E7)</f>
        <v>41001292</v>
      </c>
      <c r="C1946" s="21" t="str">
        <f>IFERROR(__xludf.DUMMYFUNCTION("""COMPUTED_VALUE"""),"942CB3C79489")</f>
        <v>942CB3C79489</v>
      </c>
      <c r="D1946" s="21" t="str">
        <f>IFERROR(__xludf.DUMMYFUNCTION("""COMPUTED_VALUE"""),"DIGITEC TECNOLOGIA DIGITAL E REPRES")</f>
        <v>DIGITEC TECNOLOGIA DIGITAL E REPRES</v>
      </c>
      <c r="E1946" s="21">
        <f>IFERROR(__xludf.DUMMYFUNCTION("""COMPUTED_VALUE"""),145359.0)</f>
        <v>145359</v>
      </c>
      <c r="F1946" s="21" t="str">
        <f>IFERROR(__xludf.DUMMYFUNCTION("""COMPUTED_VALUE"""),"INICIALIZADO")</f>
        <v>INICIALIZADO</v>
      </c>
      <c r="G1946" s="23">
        <f>IFERROR(__xludf.DUMMYFUNCTION("""COMPUTED_VALUE"""),45538.41375)</f>
        <v>45538.41375</v>
      </c>
      <c r="H1946" s="24" t="str">
        <f>IFERROR(VLOOKUP(B1946,material!A:D,3,0),"")</f>
        <v>DUAL</v>
      </c>
    </row>
    <row r="1947" ht="11.25" customHeight="1">
      <c r="A1947" s="21" t="str">
        <f>IFERROR(__xludf.DUMMYFUNCTION("""COMPUTED_VALUE"""),"SMART CARD PRETO NAGRA")</f>
        <v>SMART CARD PRETO NAGRA</v>
      </c>
      <c r="B1947" s="22">
        <f>IFERROR(__xludf.DUMMYFUNCTION("""COMPUTED_VALUE"""),4.1001234E7)</f>
        <v>41001234</v>
      </c>
      <c r="C1947" s="21" t="str">
        <f>IFERROR(__xludf.DUMMYFUNCTION("""COMPUTED_VALUE"""),"246195659313")</f>
        <v>246195659313</v>
      </c>
      <c r="D1947" s="21" t="str">
        <f>IFERROR(__xludf.DUMMYFUNCTION("""COMPUTED_VALUE"""),"DIGITEC TECNOLOGIA DIGITAL E REPRES")</f>
        <v>DIGITEC TECNOLOGIA DIGITAL E REPRES</v>
      </c>
      <c r="E1947" s="21">
        <f>IFERROR(__xludf.DUMMYFUNCTION("""COMPUTED_VALUE"""),145359.0)</f>
        <v>145359</v>
      </c>
      <c r="F1947" s="21" t="str">
        <f>IFERROR(__xludf.DUMMYFUNCTION("""COMPUTED_VALUE"""),"INICIALIZADO")</f>
        <v>INICIALIZADO</v>
      </c>
      <c r="G1947" s="23">
        <f>IFERROR(__xludf.DUMMYFUNCTION("""COMPUTED_VALUE"""),45635.534895833334)</f>
        <v>45635.5349</v>
      </c>
      <c r="H1947" s="24" t="str">
        <f>IFERROR(VLOOKUP(B1947,material!A:D,3,0),"")</f>
        <v>CARD</v>
      </c>
    </row>
    <row r="1948" ht="11.25" customHeight="1">
      <c r="A1948" s="21" t="str">
        <f>IFERROR(__xludf.DUMMYFUNCTION("""COMPUTED_VALUE"""),"SMART CARD LARANJA NAGRA")</f>
        <v>SMART CARD LARANJA NAGRA</v>
      </c>
      <c r="B1948" s="22">
        <f>IFERROR(__xludf.DUMMYFUNCTION("""COMPUTED_VALUE"""),4.1001186E7)</f>
        <v>41001186</v>
      </c>
      <c r="C1948" s="21" t="str">
        <f>IFERROR(__xludf.DUMMYFUNCTION("""COMPUTED_VALUE"""),"215699920320")</f>
        <v>215699920320</v>
      </c>
      <c r="D1948" s="21" t="str">
        <f>IFERROR(__xludf.DUMMYFUNCTION("""COMPUTED_VALUE"""),"DIGITEC TECNOLOGIA DIGITAL E REPRES")</f>
        <v>DIGITEC TECNOLOGIA DIGITAL E REPRES</v>
      </c>
      <c r="E1948" s="21">
        <f>IFERROR(__xludf.DUMMYFUNCTION("""COMPUTED_VALUE"""),145359.0)</f>
        <v>145359</v>
      </c>
      <c r="F1948" s="21" t="str">
        <f>IFERROR(__xludf.DUMMYFUNCTION("""COMPUTED_VALUE"""),"SUCATA")</f>
        <v>SUCATA</v>
      </c>
      <c r="G1948" s="23">
        <f>IFERROR(__xludf.DUMMYFUNCTION("""COMPUTED_VALUE"""),45076.73138888889)</f>
        <v>45076.73139</v>
      </c>
      <c r="H1948" s="24" t="str">
        <f>IFERROR(VLOOKUP(B1948,material!A:D,3,0),"")</f>
        <v>CARD</v>
      </c>
    </row>
    <row r="1949" ht="11.25" customHeight="1">
      <c r="A1949" s="21" t="str">
        <f>IFERROR(__xludf.DUMMYFUNCTION("""COMPUTED_VALUE"""),"SMART CARD PRETO NAGRA")</f>
        <v>SMART CARD PRETO NAGRA</v>
      </c>
      <c r="B1949" s="22">
        <f>IFERROR(__xludf.DUMMYFUNCTION("""COMPUTED_VALUE"""),4.1001234E7)</f>
        <v>41001234</v>
      </c>
      <c r="C1949" s="21" t="str">
        <f>IFERROR(__xludf.DUMMYFUNCTION("""COMPUTED_VALUE"""),"226286060717")</f>
        <v>226286060717</v>
      </c>
      <c r="D1949" s="21" t="str">
        <f>IFERROR(__xludf.DUMMYFUNCTION("""COMPUTED_VALUE"""),"DIGITEC TECNOLOGIA DIGITAL E REPRES")</f>
        <v>DIGITEC TECNOLOGIA DIGITAL E REPRES</v>
      </c>
      <c r="E1949" s="21">
        <f>IFERROR(__xludf.DUMMYFUNCTION("""COMPUTED_VALUE"""),145359.0)</f>
        <v>145359</v>
      </c>
      <c r="F1949" s="21" t="str">
        <f>IFERROR(__xludf.DUMMYFUNCTION("""COMPUTED_VALUE"""),"INICIALIZADO")</f>
        <v>INICIALIZADO</v>
      </c>
      <c r="G1949" s="23">
        <f>IFERROR(__xludf.DUMMYFUNCTION("""COMPUTED_VALUE"""),45103.66642361111)</f>
        <v>45103.66642</v>
      </c>
      <c r="H1949" s="24" t="str">
        <f>IFERROR(VLOOKUP(B1949,material!A:D,3,0),"")</f>
        <v>CARD</v>
      </c>
    </row>
    <row r="1950" ht="11.25" customHeight="1">
      <c r="A1950" s="21" t="str">
        <f>IFERROR(__xludf.DUMMYFUNCTION("""COMPUTED_VALUE"""),"SMART CARD PRETO NAGRA")</f>
        <v>SMART CARD PRETO NAGRA</v>
      </c>
      <c r="B1950" s="22">
        <f>IFERROR(__xludf.DUMMYFUNCTION("""COMPUTED_VALUE"""),4.1001234E7)</f>
        <v>41001234</v>
      </c>
      <c r="C1950" s="21" t="str">
        <f>IFERROR(__xludf.DUMMYFUNCTION("""COMPUTED_VALUE"""),"226198204757")</f>
        <v>226198204757</v>
      </c>
      <c r="D1950" s="21" t="str">
        <f>IFERROR(__xludf.DUMMYFUNCTION("""COMPUTED_VALUE"""),"DIGITEC TECNOLOGIA DIGITAL E REPRES")</f>
        <v>DIGITEC TECNOLOGIA DIGITAL E REPRES</v>
      </c>
      <c r="E1950" s="21">
        <f>IFERROR(__xludf.DUMMYFUNCTION("""COMPUTED_VALUE"""),145359.0)</f>
        <v>145359</v>
      </c>
      <c r="F1950" s="21" t="str">
        <f>IFERROR(__xludf.DUMMYFUNCTION("""COMPUTED_VALUE"""),"TRANSITO REVERSA")</f>
        <v>TRANSITO REVERSA</v>
      </c>
      <c r="G1950" s="23">
        <f>IFERROR(__xludf.DUMMYFUNCTION("""COMPUTED_VALUE"""),45617.87141203704)</f>
        <v>45617.87141</v>
      </c>
      <c r="H1950" s="24" t="str">
        <f>IFERROR(VLOOKUP(B1950,material!A:D,3,0),"")</f>
        <v>CARD</v>
      </c>
    </row>
    <row r="1951" ht="11.25" customHeight="1">
      <c r="A1951" s="21" t="str">
        <f>IFERROR(__xludf.DUMMYFUNCTION("""COMPUTED_VALUE"""),"PACE - HIGH DEFINITION DCR7411")</f>
        <v>PACE - HIGH DEFINITION DCR7411</v>
      </c>
      <c r="B1951" s="22">
        <f>IFERROR(__xludf.DUMMYFUNCTION("""COMPUTED_VALUE"""),4.1001216E7)</f>
        <v>41001216</v>
      </c>
      <c r="C1951" s="21" t="str">
        <f>IFERROR(__xludf.DUMMYFUNCTION("""COMPUTED_VALUE"""),"181408505670")</f>
        <v>181408505670</v>
      </c>
      <c r="D1951" s="21" t="str">
        <f>IFERROR(__xludf.DUMMYFUNCTION("""COMPUTED_VALUE"""),"DIGITEC TECNOLOGIA DIGITAL E REPRES")</f>
        <v>DIGITEC TECNOLOGIA DIGITAL E REPRES</v>
      </c>
      <c r="E1951" s="21">
        <f>IFERROR(__xludf.DUMMYFUNCTION("""COMPUTED_VALUE"""),145359.0)</f>
        <v>145359</v>
      </c>
      <c r="F1951" s="21" t="str">
        <f>IFERROR(__xludf.DUMMYFUNCTION("""COMPUTED_VALUE"""),"TRANSITO REVERSA")</f>
        <v>TRANSITO REVERSA</v>
      </c>
      <c r="G1951" s="23">
        <f>IFERROR(__xludf.DUMMYFUNCTION("""COMPUTED_VALUE"""),45626.2987037037)</f>
        <v>45626.2987</v>
      </c>
      <c r="H1951" s="24" t="str">
        <f>IFERROR(VLOOKUP(B1951,material!A:D,3,0),"")</f>
        <v>LEGADO</v>
      </c>
    </row>
    <row r="1952" ht="11.25" customHeight="1">
      <c r="A1952" s="21" t="str">
        <f>IFERROR(__xludf.DUMMYFUNCTION("""COMPUTED_VALUE"""),"PACE - HIGH DEFINITION DCR7411")</f>
        <v>PACE - HIGH DEFINITION DCR7411</v>
      </c>
      <c r="B1952" s="22">
        <f>IFERROR(__xludf.DUMMYFUNCTION("""COMPUTED_VALUE"""),4.1001216E7)</f>
        <v>41001216</v>
      </c>
      <c r="C1952" s="21" t="str">
        <f>IFERROR(__xludf.DUMMYFUNCTION("""COMPUTED_VALUE"""),"184085324163")</f>
        <v>184085324163</v>
      </c>
      <c r="D1952" s="21" t="str">
        <f>IFERROR(__xludf.DUMMYFUNCTION("""COMPUTED_VALUE"""),"DIGITEC TECNOLOGIA DIGITAL E REPRES")</f>
        <v>DIGITEC TECNOLOGIA DIGITAL E REPRES</v>
      </c>
      <c r="E1952" s="21">
        <f>IFERROR(__xludf.DUMMYFUNCTION("""COMPUTED_VALUE"""),145359.0)</f>
        <v>145359</v>
      </c>
      <c r="F1952" s="21" t="str">
        <f>IFERROR(__xludf.DUMMYFUNCTION("""COMPUTED_VALUE"""),"TRANSITO REVERSA")</f>
        <v>TRANSITO REVERSA</v>
      </c>
      <c r="G1952" s="23">
        <f>IFERROR(__xludf.DUMMYFUNCTION("""COMPUTED_VALUE"""),45638.52112268518)</f>
        <v>45638.52112</v>
      </c>
      <c r="H1952" s="24" t="str">
        <f>IFERROR(VLOOKUP(B1952,material!A:D,3,0),"")</f>
        <v>LEGADO</v>
      </c>
    </row>
    <row r="1953" ht="11.25" customHeight="1">
      <c r="A1953" s="21" t="str">
        <f>IFERROR(__xludf.DUMMYFUNCTION("""COMPUTED_VALUE"""),"PACE - HIGH DEFINITION DCR7411")</f>
        <v>PACE - HIGH DEFINITION DCR7411</v>
      </c>
      <c r="B1953" s="22">
        <f>IFERROR(__xludf.DUMMYFUNCTION("""COMPUTED_VALUE"""),4.1001216E7)</f>
        <v>41001216</v>
      </c>
      <c r="C1953" s="21" t="str">
        <f>IFERROR(__xludf.DUMMYFUNCTION("""COMPUTED_VALUE"""),"184085327901")</f>
        <v>184085327901</v>
      </c>
      <c r="D1953" s="21" t="str">
        <f>IFERROR(__xludf.DUMMYFUNCTION("""COMPUTED_VALUE"""),"DIGITEC TECNOLOGIA DIGITAL E REPRES")</f>
        <v>DIGITEC TECNOLOGIA DIGITAL E REPRES</v>
      </c>
      <c r="E1953" s="21">
        <f>IFERROR(__xludf.DUMMYFUNCTION("""COMPUTED_VALUE"""),145359.0)</f>
        <v>145359</v>
      </c>
      <c r="F1953" s="21" t="str">
        <f>IFERROR(__xludf.DUMMYFUNCTION("""COMPUTED_VALUE"""),"TRANSITO REVERSA")</f>
        <v>TRANSITO REVERSA</v>
      </c>
      <c r="G1953" s="23">
        <f>IFERROR(__xludf.DUMMYFUNCTION("""COMPUTED_VALUE"""),45638.521099537036)</f>
        <v>45638.5211</v>
      </c>
      <c r="H1953" s="24" t="str">
        <f>IFERROR(VLOOKUP(B1953,material!A:D,3,0),"")</f>
        <v>LEGADO</v>
      </c>
    </row>
    <row r="1954" ht="11.25" customHeight="1">
      <c r="A1954" s="21" t="str">
        <f>IFERROR(__xludf.DUMMYFUNCTION("""COMPUTED_VALUE"""),"PACE - HIGH DEFINITION DCR7411")</f>
        <v>PACE - HIGH DEFINITION DCR7411</v>
      </c>
      <c r="B1954" s="22">
        <f>IFERROR(__xludf.DUMMYFUNCTION("""COMPUTED_VALUE"""),4.1001216E7)</f>
        <v>41001216</v>
      </c>
      <c r="C1954" s="21" t="str">
        <f>IFERROR(__xludf.DUMMYFUNCTION("""COMPUTED_VALUE"""),"184078203030")</f>
        <v>184078203030</v>
      </c>
      <c r="D1954" s="21" t="str">
        <f>IFERROR(__xludf.DUMMYFUNCTION("""COMPUTED_VALUE"""),"DIGITEC TECNOLOGIA DIGITAL E REPRES")</f>
        <v>DIGITEC TECNOLOGIA DIGITAL E REPRES</v>
      </c>
      <c r="E1954" s="21">
        <f>IFERROR(__xludf.DUMMYFUNCTION("""COMPUTED_VALUE"""),145359.0)</f>
        <v>145359</v>
      </c>
      <c r="F1954" s="21" t="str">
        <f>IFERROR(__xludf.DUMMYFUNCTION("""COMPUTED_VALUE"""),"TRANSITO REVERSA")</f>
        <v>TRANSITO REVERSA</v>
      </c>
      <c r="G1954" s="23">
        <f>IFERROR(__xludf.DUMMYFUNCTION("""COMPUTED_VALUE"""),45626.2987037037)</f>
        <v>45626.2987</v>
      </c>
      <c r="H1954" s="24" t="str">
        <f>IFERROR(VLOOKUP(B1954,material!A:D,3,0),"")</f>
        <v>LEGADO</v>
      </c>
    </row>
    <row r="1955" ht="11.25" customHeight="1">
      <c r="A1955" s="21" t="str">
        <f>IFERROR(__xludf.DUMMYFUNCTION("""COMPUTED_VALUE"""),"SMART CARD LARANJA NAGRA")</f>
        <v>SMART CARD LARANJA NAGRA</v>
      </c>
      <c r="B1955" s="22">
        <f>IFERROR(__xludf.DUMMYFUNCTION("""COMPUTED_VALUE"""),4.1001186E7)</f>
        <v>41001186</v>
      </c>
      <c r="C1955" s="21" t="str">
        <f>IFERROR(__xludf.DUMMYFUNCTION("""COMPUTED_VALUE"""),"226829627390")</f>
        <v>226829627390</v>
      </c>
      <c r="D1955" s="21" t="str">
        <f>IFERROR(__xludf.DUMMYFUNCTION("""COMPUTED_VALUE"""),"DIGITEC TECNOLOGIA DIGITAL E REPRES")</f>
        <v>DIGITEC TECNOLOGIA DIGITAL E REPRES</v>
      </c>
      <c r="E1955" s="21">
        <f>IFERROR(__xludf.DUMMYFUNCTION("""COMPUTED_VALUE"""),145359.0)</f>
        <v>145359</v>
      </c>
      <c r="F1955" s="21" t="str">
        <f>IFERROR(__xludf.DUMMYFUNCTION("""COMPUTED_VALUE"""),"TRANSITO REVERSA")</f>
        <v>TRANSITO REVERSA</v>
      </c>
      <c r="G1955" s="23">
        <f>IFERROR(__xludf.DUMMYFUNCTION("""COMPUTED_VALUE"""),45638.52060185185)</f>
        <v>45638.5206</v>
      </c>
      <c r="H1955" s="24" t="str">
        <f>IFERROR(VLOOKUP(B1955,material!A:D,3,0),"")</f>
        <v>CARD</v>
      </c>
    </row>
    <row r="1956" ht="11.25" customHeight="1">
      <c r="A1956" s="21" t="str">
        <f>IFERROR(__xludf.DUMMYFUNCTION("""COMPUTED_VALUE"""),"SMART CARD LARANJA NAGRA")</f>
        <v>SMART CARD LARANJA NAGRA</v>
      </c>
      <c r="B1956" s="22">
        <f>IFERROR(__xludf.DUMMYFUNCTION("""COMPUTED_VALUE"""),4.1001186E7)</f>
        <v>41001186</v>
      </c>
      <c r="C1956" s="21" t="str">
        <f>IFERROR(__xludf.DUMMYFUNCTION("""COMPUTED_VALUE"""),"226829627491")</f>
        <v>226829627491</v>
      </c>
      <c r="D1956" s="21" t="str">
        <f>IFERROR(__xludf.DUMMYFUNCTION("""COMPUTED_VALUE"""),"DIGITEC TECNOLOGIA DIGITAL E REPRES")</f>
        <v>DIGITEC TECNOLOGIA DIGITAL E REPRES</v>
      </c>
      <c r="E1956" s="21">
        <f>IFERROR(__xludf.DUMMYFUNCTION("""COMPUTED_VALUE"""),145359.0)</f>
        <v>145359</v>
      </c>
      <c r="F1956" s="21" t="str">
        <f>IFERROR(__xludf.DUMMYFUNCTION("""COMPUTED_VALUE"""),"TRANSITO REVERSA")</f>
        <v>TRANSITO REVERSA</v>
      </c>
      <c r="G1956" s="23">
        <f>IFERROR(__xludf.DUMMYFUNCTION("""COMPUTED_VALUE"""),45638.520578703705)</f>
        <v>45638.52058</v>
      </c>
      <c r="H1956" s="24" t="str">
        <f>IFERROR(VLOOKUP(B1956,material!A:D,3,0),"")</f>
        <v>CARD</v>
      </c>
    </row>
    <row r="1957" ht="11.25" customHeight="1">
      <c r="A1957" s="21" t="str">
        <f>IFERROR(__xludf.DUMMYFUNCTION("""COMPUTED_VALUE"""),"SMART CARD LARANJA NAGRA")</f>
        <v>SMART CARD LARANJA NAGRA</v>
      </c>
      <c r="B1957" s="22">
        <f>IFERROR(__xludf.DUMMYFUNCTION("""COMPUTED_VALUE"""),4.1001186E7)</f>
        <v>41001186</v>
      </c>
      <c r="C1957" s="21" t="str">
        <f>IFERROR(__xludf.DUMMYFUNCTION("""COMPUTED_VALUE"""),"226808662438")</f>
        <v>226808662438</v>
      </c>
      <c r="D1957" s="21" t="str">
        <f>IFERROR(__xludf.DUMMYFUNCTION("""COMPUTED_VALUE"""),"DIGITEC TECNOLOGIA DIGITAL E REPRES")</f>
        <v>DIGITEC TECNOLOGIA DIGITAL E REPRES</v>
      </c>
      <c r="E1957" s="21">
        <f>IFERROR(__xludf.DUMMYFUNCTION("""COMPUTED_VALUE"""),145359.0)</f>
        <v>145359</v>
      </c>
      <c r="F1957" s="21" t="str">
        <f>IFERROR(__xludf.DUMMYFUNCTION("""COMPUTED_VALUE"""),"TRANSITO REVERSA")</f>
        <v>TRANSITO REVERSA</v>
      </c>
      <c r="G1957" s="23">
        <f>IFERROR(__xludf.DUMMYFUNCTION("""COMPUTED_VALUE"""),45633.003958333335)</f>
        <v>45633.00396</v>
      </c>
      <c r="H1957" s="24" t="str">
        <f>IFERROR(VLOOKUP(B1957,material!A:D,3,0),"")</f>
        <v>CARD</v>
      </c>
    </row>
    <row r="1958" ht="11.25" customHeight="1">
      <c r="A1958" s="21" t="str">
        <f>IFERROR(__xludf.DUMMYFUNCTION("""COMPUTED_VALUE"""),"THOMSON HIGH DEFINITION DCI713")</f>
        <v>THOMSON HIGH DEFINITION DCI713</v>
      </c>
      <c r="B1958" s="22">
        <f>IFERROR(__xludf.DUMMYFUNCTION("""COMPUTED_VALUE"""),4.1001273E7)</f>
        <v>41001273</v>
      </c>
      <c r="C1958" s="21" t="str">
        <f>IFERROR(__xludf.DUMMYFUNCTION("""COMPUTED_VALUE"""),"183966325568")</f>
        <v>183966325568</v>
      </c>
      <c r="D1958" s="21" t="str">
        <f>IFERROR(__xludf.DUMMYFUNCTION("""COMPUTED_VALUE"""),"DIGITEC TECNOLOGIA DIGITAL E REPRES")</f>
        <v>DIGITEC TECNOLOGIA DIGITAL E REPRES</v>
      </c>
      <c r="E1958" s="21">
        <f>IFERROR(__xludf.DUMMYFUNCTION("""COMPUTED_VALUE"""),145359.0)</f>
        <v>145359</v>
      </c>
      <c r="F1958" s="21" t="str">
        <f>IFERROR(__xludf.DUMMYFUNCTION("""COMPUTED_VALUE"""),"PERDA")</f>
        <v>PERDA</v>
      </c>
      <c r="G1958" s="23">
        <f>IFERROR(__xludf.DUMMYFUNCTION("""COMPUTED_VALUE"""),45203.317141203705)</f>
        <v>45203.31714</v>
      </c>
      <c r="H1958" s="24" t="str">
        <f>IFERROR(VLOOKUP(B1958,material!A:D,3,0),"")</f>
        <v>LEGADO</v>
      </c>
    </row>
    <row r="1959" ht="11.25" customHeight="1">
      <c r="A1959" s="21" t="str">
        <f>IFERROR(__xludf.DUMMYFUNCTION("""COMPUTED_VALUE"""),"SMART CARD LARANJA NAGRA")</f>
        <v>SMART CARD LARANJA NAGRA</v>
      </c>
      <c r="B1959" s="22">
        <f>IFERROR(__xludf.DUMMYFUNCTION("""COMPUTED_VALUE"""),4.1001186E7)</f>
        <v>41001186</v>
      </c>
      <c r="C1959" s="21" t="str">
        <f>IFERROR(__xludf.DUMMYFUNCTION("""COMPUTED_VALUE"""),"226681854955")</f>
        <v>226681854955</v>
      </c>
      <c r="D1959" s="21" t="str">
        <f>IFERROR(__xludf.DUMMYFUNCTION("""COMPUTED_VALUE"""),"DIGITEC TECNOLOGIA DIGITAL E REPRES")</f>
        <v>DIGITEC TECNOLOGIA DIGITAL E REPRES</v>
      </c>
      <c r="E1959" s="21">
        <f>IFERROR(__xludf.DUMMYFUNCTION("""COMPUTED_VALUE"""),145359.0)</f>
        <v>145359</v>
      </c>
      <c r="F1959" s="21" t="str">
        <f>IFERROR(__xludf.DUMMYFUNCTION("""COMPUTED_VALUE"""),"PERDA")</f>
        <v>PERDA</v>
      </c>
      <c r="G1959" s="23">
        <f>IFERROR(__xludf.DUMMYFUNCTION("""COMPUTED_VALUE"""),45203.317141203705)</f>
        <v>45203.31714</v>
      </c>
      <c r="H1959" s="24" t="str">
        <f>IFERROR(VLOOKUP(B1959,material!A:D,3,0),"")</f>
        <v>CARD</v>
      </c>
    </row>
    <row r="1960" ht="11.25" customHeight="1">
      <c r="A1960" s="21" t="str">
        <f>IFERROR(__xludf.DUMMYFUNCTION("""COMPUTED_VALUE"""),"SMART CARD PRETO NAGRA")</f>
        <v>SMART CARD PRETO NAGRA</v>
      </c>
      <c r="B1960" s="22">
        <f>IFERROR(__xludf.DUMMYFUNCTION("""COMPUTED_VALUE"""),4.1001234E7)</f>
        <v>41001234</v>
      </c>
      <c r="C1960" s="21" t="str">
        <f>IFERROR(__xludf.DUMMYFUNCTION("""COMPUTED_VALUE"""),"226077393034")</f>
        <v>226077393034</v>
      </c>
      <c r="D1960" s="21" t="str">
        <f>IFERROR(__xludf.DUMMYFUNCTION("""COMPUTED_VALUE"""),"DIGITEC TECNOLOGIA DIGITAL E REPRES")</f>
        <v>DIGITEC TECNOLOGIA DIGITAL E REPRES</v>
      </c>
      <c r="E1960" s="21">
        <f>IFERROR(__xludf.DUMMYFUNCTION("""COMPUTED_VALUE"""),145359.0)</f>
        <v>145359</v>
      </c>
      <c r="F1960" s="21" t="str">
        <f>IFERROR(__xludf.DUMMYFUNCTION("""COMPUTED_VALUE"""),"INICIALIZADO")</f>
        <v>INICIALIZADO</v>
      </c>
      <c r="G1960" s="23">
        <f>IFERROR(__xludf.DUMMYFUNCTION("""COMPUTED_VALUE"""),45635.534953703704)</f>
        <v>45635.53495</v>
      </c>
      <c r="H1960" s="24" t="str">
        <f>IFERROR(VLOOKUP(B1960,material!A:D,3,0),"")</f>
        <v>CARD</v>
      </c>
    </row>
    <row r="1961" ht="11.25" customHeight="1">
      <c r="A1961" s="21" t="str">
        <f>IFERROR(__xludf.DUMMYFUNCTION("""COMPUTED_VALUE"""),"SMART CARD LARANJA NAGRA")</f>
        <v>SMART CARD LARANJA NAGRA</v>
      </c>
      <c r="B1961" s="22">
        <f>IFERROR(__xludf.DUMMYFUNCTION("""COMPUTED_VALUE"""),4.1001186E7)</f>
        <v>41001186</v>
      </c>
      <c r="C1961" s="21" t="str">
        <f>IFERROR(__xludf.DUMMYFUNCTION("""COMPUTED_VALUE"""),"226872657089")</f>
        <v>226872657089</v>
      </c>
      <c r="D1961" s="21" t="str">
        <f>IFERROR(__xludf.DUMMYFUNCTION("""COMPUTED_VALUE"""),"DIGITEC TECNOLOGIA DIGITAL E REPRES")</f>
        <v>DIGITEC TECNOLOGIA DIGITAL E REPRES</v>
      </c>
      <c r="E1961" s="21">
        <f>IFERROR(__xludf.DUMMYFUNCTION("""COMPUTED_VALUE"""),145359.0)</f>
        <v>145359</v>
      </c>
      <c r="F1961" s="21" t="str">
        <f>IFERROR(__xludf.DUMMYFUNCTION("""COMPUTED_VALUE"""),"PERDA")</f>
        <v>PERDA</v>
      </c>
      <c r="G1961" s="23">
        <f>IFERROR(__xludf.DUMMYFUNCTION("""COMPUTED_VALUE"""),45113.486875)</f>
        <v>45113.48688</v>
      </c>
      <c r="H1961" s="24" t="str">
        <f>IFERROR(VLOOKUP(B1961,material!A:D,3,0),"")</f>
        <v>CARD</v>
      </c>
    </row>
    <row r="1962" ht="11.25" customHeight="1">
      <c r="A1962" s="21" t="str">
        <f>IFERROR(__xludf.DUMMYFUNCTION("""COMPUTED_VALUE"""),"HUMAX HGB10R-02")</f>
        <v>HUMAX HGB10R-02</v>
      </c>
      <c r="B1962" s="22">
        <f>IFERROR(__xludf.DUMMYFUNCTION("""COMPUTED_VALUE"""),4.1001292E7)</f>
        <v>41001292</v>
      </c>
      <c r="C1962" s="21" t="str">
        <f>IFERROR(__xludf.DUMMYFUNCTION("""COMPUTED_VALUE"""),"942CB37624ED")</f>
        <v>942CB37624ED</v>
      </c>
      <c r="D1962" s="21" t="str">
        <f>IFERROR(__xludf.DUMMYFUNCTION("""COMPUTED_VALUE"""),"DIGITEC TECNOLOGIA DIGITAL E REPRES")</f>
        <v>DIGITEC TECNOLOGIA DIGITAL E REPRES</v>
      </c>
      <c r="E1962" s="21">
        <f>IFERROR(__xludf.DUMMYFUNCTION("""COMPUTED_VALUE"""),145359.0)</f>
        <v>145359</v>
      </c>
      <c r="F1962" s="21" t="str">
        <f>IFERROR(__xludf.DUMMYFUNCTION("""COMPUTED_VALUE"""),"ANALISE DE INVENTARIO")</f>
        <v>ANALISE DE INVENTARIO</v>
      </c>
      <c r="G1962" s="23">
        <f>IFERROR(__xludf.DUMMYFUNCTION("""COMPUTED_VALUE"""),45537.621666666666)</f>
        <v>45537.62167</v>
      </c>
      <c r="H1962" s="24" t="str">
        <f>IFERROR(VLOOKUP(B1962,material!A:D,3,0),"")</f>
        <v>DUAL</v>
      </c>
    </row>
    <row r="1963" ht="11.25" customHeight="1">
      <c r="A1963" s="21" t="str">
        <f>IFERROR(__xludf.DUMMYFUNCTION("""COMPUTED_VALUE"""),"EMTA WIFI 3.0 C6500")</f>
        <v>EMTA WIFI 3.0 C6500</v>
      </c>
      <c r="B1963" s="22">
        <f>IFERROR(__xludf.DUMMYFUNCTION("""COMPUTED_VALUE"""),4.1001289E7)</f>
        <v>41001289</v>
      </c>
      <c r="C1963" s="21" t="str">
        <f>IFERROR(__xludf.DUMMYFUNCTION("""COMPUTED_VALUE"""),"D42C0FEBD4CB")</f>
        <v>D42C0FEBD4CB</v>
      </c>
      <c r="D1963" s="21" t="str">
        <f>IFERROR(__xludf.DUMMYFUNCTION("""COMPUTED_VALUE"""),"DIGITEC TECNOLOGIA DIGITAL E REPRES")</f>
        <v>DIGITEC TECNOLOGIA DIGITAL E REPRES</v>
      </c>
      <c r="E1963" s="21">
        <f>IFERROR(__xludf.DUMMYFUNCTION("""COMPUTED_VALUE"""),145359.0)</f>
        <v>145359</v>
      </c>
      <c r="F1963" s="21" t="str">
        <f>IFERROR(__xludf.DUMMYFUNCTION("""COMPUTED_VALUE"""),"ANALISE DE INVENTARIO")</f>
        <v>ANALISE DE INVENTARIO</v>
      </c>
      <c r="G1963" s="23">
        <f>IFERROR(__xludf.DUMMYFUNCTION("""COMPUTED_VALUE"""),45559.47770833333)</f>
        <v>45559.47771</v>
      </c>
      <c r="H1963" s="24" t="str">
        <f>IFERROR(VLOOKUP(B1963,material!A:D,3,0),"")</f>
        <v>SINGLE</v>
      </c>
    </row>
    <row r="1964" ht="11.25" customHeight="1">
      <c r="A1964" s="21" t="str">
        <f>IFERROR(__xludf.DUMMYFUNCTION("""COMPUTED_VALUE"""),"DECODER DIGITAL HD DXC5000 2T")</f>
        <v>DECODER DIGITAL HD DXC5000 2T</v>
      </c>
      <c r="B1964" s="22">
        <f>IFERROR(__xludf.DUMMYFUNCTION("""COMPUTED_VALUE"""),4.1001277E7)</f>
        <v>41001277</v>
      </c>
      <c r="C1964" s="21" t="str">
        <f>IFERROR(__xludf.DUMMYFUNCTION("""COMPUTED_VALUE"""),"216716890614")</f>
        <v>216716890614</v>
      </c>
      <c r="D1964" s="21" t="str">
        <f>IFERROR(__xludf.DUMMYFUNCTION("""COMPUTED_VALUE"""),"DIGITEC TECNOLOGIA DIGITAL E REPRES")</f>
        <v>DIGITEC TECNOLOGIA DIGITAL E REPRES</v>
      </c>
      <c r="E1964" s="21">
        <f>IFERROR(__xludf.DUMMYFUNCTION("""COMPUTED_VALUE"""),145359.0)</f>
        <v>145359</v>
      </c>
      <c r="F1964" s="21" t="str">
        <f>IFERROR(__xludf.DUMMYFUNCTION("""COMPUTED_VALUE"""),"ANALISE DE INVENTARIO")</f>
        <v>ANALISE DE INVENTARIO</v>
      </c>
      <c r="G1964" s="23">
        <f>IFERROR(__xludf.DUMMYFUNCTION("""COMPUTED_VALUE"""),45517.84422453704)</f>
        <v>45517.84422</v>
      </c>
      <c r="H1964" s="24" t="str">
        <f>IFERROR(VLOOKUP(B1964,material!A:D,3,0),"")</f>
        <v>TOP MIX</v>
      </c>
    </row>
    <row r="1965" ht="11.25" customHeight="1">
      <c r="A1965" s="21" t="str">
        <f>IFERROR(__xludf.DUMMYFUNCTION("""COMPUTED_VALUE"""),"SMART CARD PRETO NAGRA")</f>
        <v>SMART CARD PRETO NAGRA</v>
      </c>
      <c r="B1965" s="22">
        <f>IFERROR(__xludf.DUMMYFUNCTION("""COMPUTED_VALUE"""),4.1001234E7)</f>
        <v>41001234</v>
      </c>
      <c r="C1965" s="21" t="str">
        <f>IFERROR(__xludf.DUMMYFUNCTION("""COMPUTED_VALUE"""),"246171976788")</f>
        <v>246171976788</v>
      </c>
      <c r="D1965" s="21" t="str">
        <f>IFERROR(__xludf.DUMMYFUNCTION("""COMPUTED_VALUE"""),"DIGITEC TECNOLOGIA DIGITAL E REPRES")</f>
        <v>DIGITEC TECNOLOGIA DIGITAL E REPRES</v>
      </c>
      <c r="E1965" s="21">
        <f>IFERROR(__xludf.DUMMYFUNCTION("""COMPUTED_VALUE"""),145359.0)</f>
        <v>145359</v>
      </c>
      <c r="F1965" s="21" t="str">
        <f>IFERROR(__xludf.DUMMYFUNCTION("""COMPUTED_VALUE"""),"ANALISE DE INVENTARIO")</f>
        <v>ANALISE DE INVENTARIO</v>
      </c>
      <c r="G1965" s="23">
        <f>IFERROR(__xludf.DUMMYFUNCTION("""COMPUTED_VALUE"""),45525.90365740741)</f>
        <v>45525.90366</v>
      </c>
      <c r="H1965" s="24" t="str">
        <f>IFERROR(VLOOKUP(B1965,material!A:D,3,0),"")</f>
        <v>CARD</v>
      </c>
    </row>
    <row r="1966" ht="11.25" customHeight="1">
      <c r="A1966" s="21" t="str">
        <f>IFERROR(__xludf.DUMMYFUNCTION("""COMPUTED_VALUE"""),"SMART CARD LARANJA NAGRA")</f>
        <v>SMART CARD LARANJA NAGRA</v>
      </c>
      <c r="B1966" s="22">
        <f>IFERROR(__xludf.DUMMYFUNCTION("""COMPUTED_VALUE"""),4.1001186E7)</f>
        <v>41001186</v>
      </c>
      <c r="C1966" s="21" t="str">
        <f>IFERROR(__xludf.DUMMYFUNCTION("""COMPUTED_VALUE"""),"226527646684")</f>
        <v>226527646684</v>
      </c>
      <c r="D1966" s="21" t="str">
        <f>IFERROR(__xludf.DUMMYFUNCTION("""COMPUTED_VALUE"""),"DIGITEC TECNOLOGIA DIGITAL E REPRES")</f>
        <v>DIGITEC TECNOLOGIA DIGITAL E REPRES</v>
      </c>
      <c r="E1966" s="21">
        <f>IFERROR(__xludf.DUMMYFUNCTION("""COMPUTED_VALUE"""),145359.0)</f>
        <v>145359</v>
      </c>
      <c r="F1966" s="21" t="str">
        <f>IFERROR(__xludf.DUMMYFUNCTION("""COMPUTED_VALUE"""),"ANALISE DE INVENTARIO")</f>
        <v>ANALISE DE INVENTARIO</v>
      </c>
      <c r="G1966" s="23">
        <f>IFERROR(__xludf.DUMMYFUNCTION("""COMPUTED_VALUE"""),45419.373715277776)</f>
        <v>45419.37372</v>
      </c>
      <c r="H1966" s="24" t="str">
        <f>IFERROR(VLOOKUP(B1966,material!A:D,3,0),"")</f>
        <v>CARD</v>
      </c>
    </row>
    <row r="1967" ht="11.25" customHeight="1">
      <c r="A1967" s="21" t="str">
        <f>IFERROR(__xludf.DUMMYFUNCTION("""COMPUTED_VALUE"""),"SMART CARD LARANJA NAGRA")</f>
        <v>SMART CARD LARANJA NAGRA</v>
      </c>
      <c r="B1967" s="22">
        <f>IFERROR(__xludf.DUMMYFUNCTION("""COMPUTED_VALUE"""),4.1001186E7)</f>
        <v>41001186</v>
      </c>
      <c r="C1967" s="21" t="str">
        <f>IFERROR(__xludf.DUMMYFUNCTION("""COMPUTED_VALUE"""),"225793843139")</f>
        <v>225793843139</v>
      </c>
      <c r="D1967" s="21" t="str">
        <f>IFERROR(__xludf.DUMMYFUNCTION("""COMPUTED_VALUE"""),"DIGITEC TECNOLOGIA DIGITAL E REPRES")</f>
        <v>DIGITEC TECNOLOGIA DIGITAL E REPRES</v>
      </c>
      <c r="E1967" s="21">
        <f>IFERROR(__xludf.DUMMYFUNCTION("""COMPUTED_VALUE"""),145359.0)</f>
        <v>145359</v>
      </c>
      <c r="F1967" s="21" t="str">
        <f>IFERROR(__xludf.DUMMYFUNCTION("""COMPUTED_VALUE"""),"ANALISE DE INVENTARIO")</f>
        <v>ANALISE DE INVENTARIO</v>
      </c>
      <c r="G1967" s="23">
        <f>IFERROR(__xludf.DUMMYFUNCTION("""COMPUTED_VALUE"""),45419.373715277776)</f>
        <v>45419.37372</v>
      </c>
      <c r="H1967" s="24" t="str">
        <f>IFERROR(VLOOKUP(B1967,material!A:D,3,0),"")</f>
        <v>CARD</v>
      </c>
    </row>
    <row r="1968" ht="11.25" customHeight="1">
      <c r="A1968" s="21" t="str">
        <f>IFERROR(__xludf.DUMMYFUNCTION("""COMPUTED_VALUE"""),"ARRIS TG1692A")</f>
        <v>ARRIS TG1692A</v>
      </c>
      <c r="B1968" s="22">
        <f>IFERROR(__xludf.DUMMYFUNCTION("""COMPUTED_VALUE"""),4.1001293E7)</f>
        <v>41001293</v>
      </c>
      <c r="C1968" s="21" t="str">
        <f>IFERROR(__xludf.DUMMYFUNCTION("""COMPUTED_VALUE"""),"BC644BCEF345")</f>
        <v>BC644BCEF345</v>
      </c>
      <c r="D1968" s="21" t="str">
        <f>IFERROR(__xludf.DUMMYFUNCTION("""COMPUTED_VALUE"""),"DIGITEC TECNOLOGIA DIGITAL E REPRES")</f>
        <v>DIGITEC TECNOLOGIA DIGITAL E REPRES</v>
      </c>
      <c r="E1968" s="21">
        <f>IFERROR(__xludf.DUMMYFUNCTION("""COMPUTED_VALUE"""),145359.0)</f>
        <v>145359</v>
      </c>
      <c r="F1968" s="21" t="str">
        <f>IFERROR(__xludf.DUMMYFUNCTION("""COMPUTED_VALUE"""),"TRANSITO REVERSA")</f>
        <v>TRANSITO REVERSA</v>
      </c>
      <c r="G1968" s="23">
        <f>IFERROR(__xludf.DUMMYFUNCTION("""COMPUTED_VALUE"""),45633.003379629634)</f>
        <v>45633.00338</v>
      </c>
      <c r="H1968" s="24" t="str">
        <f>IFERROR(VLOOKUP(B1968,material!A:D,3,0),"")</f>
        <v>DUAL</v>
      </c>
    </row>
    <row r="1969" ht="11.25" customHeight="1">
      <c r="A1969" s="21" t="str">
        <f>IFERROR(__xludf.DUMMYFUNCTION("""COMPUTED_VALUE"""),"ARRIS TG1692A")</f>
        <v>ARRIS TG1692A</v>
      </c>
      <c r="B1969" s="22">
        <f>IFERROR(__xludf.DUMMYFUNCTION("""COMPUTED_VALUE"""),4.1001293E7)</f>
        <v>41001293</v>
      </c>
      <c r="C1969" s="21" t="str">
        <f>IFERROR(__xludf.DUMMYFUNCTION("""COMPUTED_VALUE"""),"BC644BD39FA8")</f>
        <v>BC644BD39FA8</v>
      </c>
      <c r="D1969" s="21" t="str">
        <f>IFERROR(__xludf.DUMMYFUNCTION("""COMPUTED_VALUE"""),"DIGITEC TECNOLOGIA DIGITAL E REPRES")</f>
        <v>DIGITEC TECNOLOGIA DIGITAL E REPRES</v>
      </c>
      <c r="E1969" s="21">
        <f>IFERROR(__xludf.DUMMYFUNCTION("""COMPUTED_VALUE"""),145359.0)</f>
        <v>145359</v>
      </c>
      <c r="F1969" s="21" t="str">
        <f>IFERROR(__xludf.DUMMYFUNCTION("""COMPUTED_VALUE"""),"TRANSITO REVERSA")</f>
        <v>TRANSITO REVERSA</v>
      </c>
      <c r="G1969" s="23">
        <f>IFERROR(__xludf.DUMMYFUNCTION("""COMPUTED_VALUE"""),45633.00340277777)</f>
        <v>45633.0034</v>
      </c>
      <c r="H1969" s="24" t="str">
        <f>IFERROR(VLOOKUP(B1969,material!A:D,3,0),"")</f>
        <v>DUAL</v>
      </c>
    </row>
    <row r="1970" ht="11.25" customHeight="1">
      <c r="A1970" s="21" t="str">
        <f>IFERROR(__xludf.DUMMYFUNCTION("""COMPUTED_VALUE"""),"HUMAX HGB10R-02")</f>
        <v>HUMAX HGB10R-02</v>
      </c>
      <c r="B1970" s="22">
        <f>IFERROR(__xludf.DUMMYFUNCTION("""COMPUTED_VALUE"""),4.1001292E7)</f>
        <v>41001292</v>
      </c>
      <c r="C1970" s="21" t="str">
        <f>IFERROR(__xludf.DUMMYFUNCTION("""COMPUTED_VALUE"""),"942CB39B1FF4")</f>
        <v>942CB39B1FF4</v>
      </c>
      <c r="D1970" s="21" t="str">
        <f>IFERROR(__xludf.DUMMYFUNCTION("""COMPUTED_VALUE"""),"DIGITEC TECNOLOGIA DIGITAL E REPRES")</f>
        <v>DIGITEC TECNOLOGIA DIGITAL E REPRES</v>
      </c>
      <c r="E1970" s="21">
        <f>IFERROR(__xludf.DUMMYFUNCTION("""COMPUTED_VALUE"""),145359.0)</f>
        <v>145359</v>
      </c>
      <c r="F1970" s="21" t="str">
        <f>IFERROR(__xludf.DUMMYFUNCTION("""COMPUTED_VALUE"""),"TRANSITO REVERSA")</f>
        <v>TRANSITO REVERSA</v>
      </c>
      <c r="G1970" s="23">
        <f>IFERROR(__xludf.DUMMYFUNCTION("""COMPUTED_VALUE"""),45633.003379629634)</f>
        <v>45633.00338</v>
      </c>
      <c r="H1970" s="24" t="str">
        <f>IFERROR(VLOOKUP(B1970,material!A:D,3,0),"")</f>
        <v>DUAL</v>
      </c>
    </row>
    <row r="1971" ht="11.25" customHeight="1">
      <c r="A1971" s="21" t="str">
        <f>IFERROR(__xludf.DUMMYFUNCTION("""COMPUTED_VALUE"""),"HUMAX HGB10R-02")</f>
        <v>HUMAX HGB10R-02</v>
      </c>
      <c r="B1971" s="22">
        <f>IFERROR(__xludf.DUMMYFUNCTION("""COMPUTED_VALUE"""),4.1001292E7)</f>
        <v>41001292</v>
      </c>
      <c r="C1971" s="21" t="str">
        <f>IFERROR(__xludf.DUMMYFUNCTION("""COMPUTED_VALUE"""),"942CB393817F")</f>
        <v>942CB393817F</v>
      </c>
      <c r="D1971" s="21" t="str">
        <f>IFERROR(__xludf.DUMMYFUNCTION("""COMPUTED_VALUE"""),"DIGITEC TECNOLOGIA DIGITAL E REPRES")</f>
        <v>DIGITEC TECNOLOGIA DIGITAL E REPRES</v>
      </c>
      <c r="E1971" s="21">
        <f>IFERROR(__xludf.DUMMYFUNCTION("""COMPUTED_VALUE"""),145359.0)</f>
        <v>145359</v>
      </c>
      <c r="F1971" s="21" t="str">
        <f>IFERROR(__xludf.DUMMYFUNCTION("""COMPUTED_VALUE"""),"TRANSITO REVERSA")</f>
        <v>TRANSITO REVERSA</v>
      </c>
      <c r="G1971" s="23">
        <f>IFERROR(__xludf.DUMMYFUNCTION("""COMPUTED_VALUE"""),45626.2987037037)</f>
        <v>45626.2987</v>
      </c>
      <c r="H1971" s="24" t="str">
        <f>IFERROR(VLOOKUP(B1971,material!A:D,3,0),"")</f>
        <v>DUAL</v>
      </c>
    </row>
    <row r="1972" ht="11.25" customHeight="1">
      <c r="A1972" s="21" t="str">
        <f>IFERROR(__xludf.DUMMYFUNCTION("""COMPUTED_VALUE"""),"HUMAX HGB10R-02")</f>
        <v>HUMAX HGB10R-02</v>
      </c>
      <c r="B1972" s="22">
        <f>IFERROR(__xludf.DUMMYFUNCTION("""COMPUTED_VALUE"""),4.1001292E7)</f>
        <v>41001292</v>
      </c>
      <c r="C1972" s="21" t="str">
        <f>IFERROR(__xludf.DUMMYFUNCTION("""COMPUTED_VALUE"""),"942CB3734F1D")</f>
        <v>942CB3734F1D</v>
      </c>
      <c r="D1972" s="21" t="str">
        <f>IFERROR(__xludf.DUMMYFUNCTION("""COMPUTED_VALUE"""),"DIGITEC TECNOLOGIA DIGITAL E REPRES")</f>
        <v>DIGITEC TECNOLOGIA DIGITAL E REPRES</v>
      </c>
      <c r="E1972" s="21">
        <f>IFERROR(__xludf.DUMMYFUNCTION("""COMPUTED_VALUE"""),145359.0)</f>
        <v>145359</v>
      </c>
      <c r="F1972" s="21" t="str">
        <f>IFERROR(__xludf.DUMMYFUNCTION("""COMPUTED_VALUE"""),"TRANSITO REVERSA")</f>
        <v>TRANSITO REVERSA</v>
      </c>
      <c r="G1972" s="23">
        <f>IFERROR(__xludf.DUMMYFUNCTION("""COMPUTED_VALUE"""),45633.003379629634)</f>
        <v>45633.00338</v>
      </c>
      <c r="H1972" s="24" t="str">
        <f>IFERROR(VLOOKUP(B1972,material!A:D,3,0),"")</f>
        <v>DUAL</v>
      </c>
    </row>
    <row r="1973" ht="11.25" customHeight="1">
      <c r="A1973" s="21" t="str">
        <f>IFERROR(__xludf.DUMMYFUNCTION("""COMPUTED_VALUE"""),"HUMAX HGB10R-02")</f>
        <v>HUMAX HGB10R-02</v>
      </c>
      <c r="B1973" s="22">
        <f>IFERROR(__xludf.DUMMYFUNCTION("""COMPUTED_VALUE"""),4.1001292E7)</f>
        <v>41001292</v>
      </c>
      <c r="C1973" s="21" t="str">
        <f>IFERROR(__xludf.DUMMYFUNCTION("""COMPUTED_VALUE"""),"90F30551D334")</f>
        <v>90F30551D334</v>
      </c>
      <c r="D1973" s="21" t="str">
        <f>IFERROR(__xludf.DUMMYFUNCTION("""COMPUTED_VALUE"""),"DIGITEC TECNOLOGIA DIGITAL E REPRES")</f>
        <v>DIGITEC TECNOLOGIA DIGITAL E REPRES</v>
      </c>
      <c r="E1973" s="21">
        <f>IFERROR(__xludf.DUMMYFUNCTION("""COMPUTED_VALUE"""),145359.0)</f>
        <v>145359</v>
      </c>
      <c r="F1973" s="21" t="str">
        <f>IFERROR(__xludf.DUMMYFUNCTION("""COMPUTED_VALUE"""),"TRANSITO REVERSA")</f>
        <v>TRANSITO REVERSA</v>
      </c>
      <c r="G1973" s="23">
        <f>IFERROR(__xludf.DUMMYFUNCTION("""COMPUTED_VALUE"""),45610.73042824074)</f>
        <v>45610.73043</v>
      </c>
      <c r="H1973" s="24" t="str">
        <f>IFERROR(VLOOKUP(B1973,material!A:D,3,0),"")</f>
        <v>DUAL</v>
      </c>
    </row>
    <row r="1974" ht="11.25" customHeight="1">
      <c r="A1974" s="21" t="str">
        <f>IFERROR(__xludf.DUMMYFUNCTION("""COMPUTED_VALUE"""),"EMTA TC7300-B WIFI 3.0")</f>
        <v>EMTA TC7300-B WIFI 3.0</v>
      </c>
      <c r="B1974" s="22">
        <f>IFERROR(__xludf.DUMMYFUNCTION("""COMPUTED_VALUE"""),4.1001159E7)</f>
        <v>41001159</v>
      </c>
      <c r="C1974" s="21" t="str">
        <f>IFERROR(__xludf.DUMMYFUNCTION("""COMPUTED_VALUE"""),"B0C2876A8F7B")</f>
        <v>B0C2876A8F7B</v>
      </c>
      <c r="D1974" s="21" t="str">
        <f>IFERROR(__xludf.DUMMYFUNCTION("""COMPUTED_VALUE"""),"DIGITEC TECNOLOGIA DIGITAL E REPRES")</f>
        <v>DIGITEC TECNOLOGIA DIGITAL E REPRES</v>
      </c>
      <c r="E1974" s="21">
        <f>IFERROR(__xludf.DUMMYFUNCTION("""COMPUTED_VALUE"""),145359.0)</f>
        <v>145359</v>
      </c>
      <c r="F1974" s="21" t="str">
        <f>IFERROR(__xludf.DUMMYFUNCTION("""COMPUTED_VALUE"""),"TRANSITO REVERSA")</f>
        <v>TRANSITO REVERSA</v>
      </c>
      <c r="G1974" s="23">
        <f>IFERROR(__xludf.DUMMYFUNCTION("""COMPUTED_VALUE"""),45633.00341435186)</f>
        <v>45633.00341</v>
      </c>
      <c r="H1974" s="24" t="str">
        <f>IFERROR(VLOOKUP(B1974,material!A:D,3,0),"")</f>
        <v>SINGLE</v>
      </c>
    </row>
    <row r="1975" ht="11.25" customHeight="1">
      <c r="A1975" s="21" t="str">
        <f>IFERROR(__xludf.DUMMYFUNCTION("""COMPUTED_VALUE"""),"DECODER HD DCI738 2T")</f>
        <v>DECODER HD DCI738 2T</v>
      </c>
      <c r="B1975" s="22">
        <f>IFERROR(__xludf.DUMMYFUNCTION("""COMPUTED_VALUE"""),4.1001275E7)</f>
        <v>41001275</v>
      </c>
      <c r="C1975" s="21" t="str">
        <f>IFERROR(__xludf.DUMMYFUNCTION("""COMPUTED_VALUE"""),"216729084856")</f>
        <v>216729084856</v>
      </c>
      <c r="D1975" s="21" t="str">
        <f>IFERROR(__xludf.DUMMYFUNCTION("""COMPUTED_VALUE"""),"DIGITEC TECNOLOGIA DIGITAL E REPRES")</f>
        <v>DIGITEC TECNOLOGIA DIGITAL E REPRES</v>
      </c>
      <c r="E1975" s="21">
        <f>IFERROR(__xludf.DUMMYFUNCTION("""COMPUTED_VALUE"""),145359.0)</f>
        <v>145359</v>
      </c>
      <c r="F1975" s="21" t="str">
        <f>IFERROR(__xludf.DUMMYFUNCTION("""COMPUTED_VALUE"""),"TRANSITO REVERSA")</f>
        <v>TRANSITO REVERSA</v>
      </c>
      <c r="G1975" s="23">
        <f>IFERROR(__xludf.DUMMYFUNCTION("""COMPUTED_VALUE"""),45638.520625000005)</f>
        <v>45638.52063</v>
      </c>
      <c r="H1975" s="24" t="str">
        <f>IFERROR(VLOOKUP(B1975,material!A:D,3,0),"")</f>
        <v>TOP MIX</v>
      </c>
    </row>
    <row r="1976" ht="11.25" customHeight="1">
      <c r="A1976" s="21" t="str">
        <f>IFERROR(__xludf.DUMMYFUNCTION("""COMPUTED_VALUE"""),"DECODER HD DCI738 2T")</f>
        <v>DECODER HD DCI738 2T</v>
      </c>
      <c r="B1976" s="22">
        <f>IFERROR(__xludf.DUMMYFUNCTION("""COMPUTED_VALUE"""),4.1001275E7)</f>
        <v>41001275</v>
      </c>
      <c r="C1976" s="21" t="str">
        <f>IFERROR(__xludf.DUMMYFUNCTION("""COMPUTED_VALUE"""),"216684304863")</f>
        <v>216684304863</v>
      </c>
      <c r="D1976" s="21" t="str">
        <f>IFERROR(__xludf.DUMMYFUNCTION("""COMPUTED_VALUE"""),"DIGITEC TECNOLOGIA DIGITAL E REPRES")</f>
        <v>DIGITEC TECNOLOGIA DIGITAL E REPRES</v>
      </c>
      <c r="E1976" s="21">
        <f>IFERROR(__xludf.DUMMYFUNCTION("""COMPUTED_VALUE"""),145359.0)</f>
        <v>145359</v>
      </c>
      <c r="F1976" s="21" t="str">
        <f>IFERROR(__xludf.DUMMYFUNCTION("""COMPUTED_VALUE"""),"TRANSITO REVERSA")</f>
        <v>TRANSITO REVERSA</v>
      </c>
      <c r="G1976" s="23">
        <f>IFERROR(__xludf.DUMMYFUNCTION("""COMPUTED_VALUE"""),45626.2987037037)</f>
        <v>45626.2987</v>
      </c>
      <c r="H1976" s="24" t="str">
        <f>IFERROR(VLOOKUP(B1976,material!A:D,3,0),"")</f>
        <v>TOP MIX</v>
      </c>
    </row>
    <row r="1977" ht="11.25" customHeight="1">
      <c r="A1977" s="21" t="str">
        <f>IFERROR(__xludf.DUMMYFUNCTION("""COMPUTED_VALUE"""),"DECODER HD DCI738 2T")</f>
        <v>DECODER HD DCI738 2T</v>
      </c>
      <c r="B1977" s="22">
        <f>IFERROR(__xludf.DUMMYFUNCTION("""COMPUTED_VALUE"""),4.1001275E7)</f>
        <v>41001275</v>
      </c>
      <c r="C1977" s="21" t="str">
        <f>IFERROR(__xludf.DUMMYFUNCTION("""COMPUTED_VALUE"""),"216449518100")</f>
        <v>216449518100</v>
      </c>
      <c r="D1977" s="21" t="str">
        <f>IFERROR(__xludf.DUMMYFUNCTION("""COMPUTED_VALUE"""),"DIGITEC TECNOLOGIA DIGITAL E REPRES")</f>
        <v>DIGITEC TECNOLOGIA DIGITAL E REPRES</v>
      </c>
      <c r="E1977" s="21">
        <f>IFERROR(__xludf.DUMMYFUNCTION("""COMPUTED_VALUE"""),145359.0)</f>
        <v>145359</v>
      </c>
      <c r="F1977" s="21" t="str">
        <f>IFERROR(__xludf.DUMMYFUNCTION("""COMPUTED_VALUE"""),"TRANSITO REVERSA")</f>
        <v>TRANSITO REVERSA</v>
      </c>
      <c r="G1977" s="23">
        <f>IFERROR(__xludf.DUMMYFUNCTION("""COMPUTED_VALUE"""),45617.87140046296)</f>
        <v>45617.8714</v>
      </c>
      <c r="H1977" s="24" t="str">
        <f>IFERROR(VLOOKUP(B1977,material!A:D,3,0),"")</f>
        <v>TOP MIX</v>
      </c>
    </row>
    <row r="1978" ht="11.25" customHeight="1">
      <c r="A1978" s="21" t="str">
        <f>IFERROR(__xludf.DUMMYFUNCTION("""COMPUTED_VALUE"""),"DECODER DIGITAL HD DXC5000 2T")</f>
        <v>DECODER DIGITAL HD DXC5000 2T</v>
      </c>
      <c r="B1978" s="22">
        <f>IFERROR(__xludf.DUMMYFUNCTION("""COMPUTED_VALUE"""),4.1001277E7)</f>
        <v>41001277</v>
      </c>
      <c r="C1978" s="21" t="str">
        <f>IFERROR(__xludf.DUMMYFUNCTION("""COMPUTED_VALUE"""),"216495508503")</f>
        <v>216495508503</v>
      </c>
      <c r="D1978" s="21" t="str">
        <f>IFERROR(__xludf.DUMMYFUNCTION("""COMPUTED_VALUE"""),"DIGITEC TECNOLOGIA DIGITAL E REPRES")</f>
        <v>DIGITEC TECNOLOGIA DIGITAL E REPRES</v>
      </c>
      <c r="E1978" s="21">
        <f>IFERROR(__xludf.DUMMYFUNCTION("""COMPUTED_VALUE"""),145359.0)</f>
        <v>145359</v>
      </c>
      <c r="F1978" s="21" t="str">
        <f>IFERROR(__xludf.DUMMYFUNCTION("""COMPUTED_VALUE"""),"TRANSITO REVERSA")</f>
        <v>TRANSITO REVERSA</v>
      </c>
      <c r="G1978" s="23">
        <f>IFERROR(__xludf.DUMMYFUNCTION("""COMPUTED_VALUE"""),45633.003379629634)</f>
        <v>45633.00338</v>
      </c>
      <c r="H1978" s="24" t="str">
        <f>IFERROR(VLOOKUP(B1978,material!A:D,3,0),"")</f>
        <v>TOP MIX</v>
      </c>
    </row>
    <row r="1979" ht="11.25" customHeight="1">
      <c r="A1979" s="21" t="str">
        <f>IFERROR(__xludf.DUMMYFUNCTION("""COMPUTED_VALUE"""),"DECODER DIGITAL HD DXC5000 2T")</f>
        <v>DECODER DIGITAL HD DXC5000 2T</v>
      </c>
      <c r="B1979" s="22">
        <f>IFERROR(__xludf.DUMMYFUNCTION("""COMPUTED_VALUE"""),4.1001277E7)</f>
        <v>41001277</v>
      </c>
      <c r="C1979" s="21" t="str">
        <f>IFERROR(__xludf.DUMMYFUNCTION("""COMPUTED_VALUE"""),"216494851537")</f>
        <v>216494851537</v>
      </c>
      <c r="D1979" s="21" t="str">
        <f>IFERROR(__xludf.DUMMYFUNCTION("""COMPUTED_VALUE"""),"DIGITEC TECNOLOGIA DIGITAL E REPRES")</f>
        <v>DIGITEC TECNOLOGIA DIGITAL E REPRES</v>
      </c>
      <c r="E1979" s="21">
        <f>IFERROR(__xludf.DUMMYFUNCTION("""COMPUTED_VALUE"""),145359.0)</f>
        <v>145359</v>
      </c>
      <c r="F1979" s="21" t="str">
        <f>IFERROR(__xludf.DUMMYFUNCTION("""COMPUTED_VALUE"""),"TRANSITO REVERSA")</f>
        <v>TRANSITO REVERSA</v>
      </c>
      <c r="G1979" s="23">
        <f>IFERROR(__xludf.DUMMYFUNCTION("""COMPUTED_VALUE"""),45617.87137731482)</f>
        <v>45617.87138</v>
      </c>
      <c r="H1979" s="24" t="str">
        <f>IFERROR(VLOOKUP(B1979,material!A:D,3,0),"")</f>
        <v>TOP MIX</v>
      </c>
    </row>
    <row r="1980" ht="11.25" customHeight="1">
      <c r="A1980" s="21" t="str">
        <f>IFERROR(__xludf.DUMMYFUNCTION("""COMPUTED_VALUE"""),"DECODER DIGITAL HD DXC5000 2T")</f>
        <v>DECODER DIGITAL HD DXC5000 2T</v>
      </c>
      <c r="B1980" s="22">
        <f>IFERROR(__xludf.DUMMYFUNCTION("""COMPUTED_VALUE"""),4.1001277E7)</f>
        <v>41001277</v>
      </c>
      <c r="C1980" s="21" t="str">
        <f>IFERROR(__xludf.DUMMYFUNCTION("""COMPUTED_VALUE"""),"216717730404")</f>
        <v>216717730404</v>
      </c>
      <c r="D1980" s="21" t="str">
        <f>IFERROR(__xludf.DUMMYFUNCTION("""COMPUTED_VALUE"""),"DIGITEC TECNOLOGIA DIGITAL E REPRES")</f>
        <v>DIGITEC TECNOLOGIA DIGITAL E REPRES</v>
      </c>
      <c r="E1980" s="21">
        <f>IFERROR(__xludf.DUMMYFUNCTION("""COMPUTED_VALUE"""),145359.0)</f>
        <v>145359</v>
      </c>
      <c r="F1980" s="21" t="str">
        <f>IFERROR(__xludf.DUMMYFUNCTION("""COMPUTED_VALUE"""),"TRANSITO REVERSA")</f>
        <v>TRANSITO REVERSA</v>
      </c>
      <c r="G1980" s="23">
        <f>IFERROR(__xludf.DUMMYFUNCTION("""COMPUTED_VALUE"""),45633.003379629634)</f>
        <v>45633.00338</v>
      </c>
      <c r="H1980" s="24" t="str">
        <f>IFERROR(VLOOKUP(B1980,material!A:D,3,0),"")</f>
        <v>TOP MIX</v>
      </c>
    </row>
    <row r="1981" ht="11.25" customHeight="1">
      <c r="A1981" s="21" t="str">
        <f>IFERROR(__xludf.DUMMYFUNCTION("""COMPUTED_VALUE"""),"DECODER DIGITAL HD DXC5000 2T")</f>
        <v>DECODER DIGITAL HD DXC5000 2T</v>
      </c>
      <c r="B1981" s="22">
        <f>IFERROR(__xludf.DUMMYFUNCTION("""COMPUTED_VALUE"""),4.1001277E7)</f>
        <v>41001277</v>
      </c>
      <c r="C1981" s="21" t="str">
        <f>IFERROR(__xludf.DUMMYFUNCTION("""COMPUTED_VALUE"""),"216433483033")</f>
        <v>216433483033</v>
      </c>
      <c r="D1981" s="21" t="str">
        <f>IFERROR(__xludf.DUMMYFUNCTION("""COMPUTED_VALUE"""),"DIGITEC TECNOLOGIA DIGITAL E REPRES")</f>
        <v>DIGITEC TECNOLOGIA DIGITAL E REPRES</v>
      </c>
      <c r="E1981" s="21">
        <f>IFERROR(__xludf.DUMMYFUNCTION("""COMPUTED_VALUE"""),145359.0)</f>
        <v>145359</v>
      </c>
      <c r="F1981" s="21" t="str">
        <f>IFERROR(__xludf.DUMMYFUNCTION("""COMPUTED_VALUE"""),"TRANSITO REVERSA")</f>
        <v>TRANSITO REVERSA</v>
      </c>
      <c r="G1981" s="23">
        <f>IFERROR(__xludf.DUMMYFUNCTION("""COMPUTED_VALUE"""),45626.29872685185)</f>
        <v>45626.29873</v>
      </c>
      <c r="H1981" s="24" t="str">
        <f>IFERROR(VLOOKUP(B1981,material!A:D,3,0),"")</f>
        <v>TOP MIX</v>
      </c>
    </row>
    <row r="1982" ht="11.25" customHeight="1">
      <c r="A1982" s="21" t="str">
        <f>IFERROR(__xludf.DUMMYFUNCTION("""COMPUTED_VALUE"""),"DECODER DIGITAL HD DXC5000 2T")</f>
        <v>DECODER DIGITAL HD DXC5000 2T</v>
      </c>
      <c r="B1982" s="22">
        <f>IFERROR(__xludf.DUMMYFUNCTION("""COMPUTED_VALUE"""),4.1001277E7)</f>
        <v>41001277</v>
      </c>
      <c r="C1982" s="21" t="str">
        <f>IFERROR(__xludf.DUMMYFUNCTION("""COMPUTED_VALUE"""),"216391944052")</f>
        <v>216391944052</v>
      </c>
      <c r="D1982" s="21" t="str">
        <f>IFERROR(__xludf.DUMMYFUNCTION("""COMPUTED_VALUE"""),"DIGITEC TECNOLOGIA DIGITAL E REPRES")</f>
        <v>DIGITEC TECNOLOGIA DIGITAL E REPRES</v>
      </c>
      <c r="E1982" s="21">
        <f>IFERROR(__xludf.DUMMYFUNCTION("""COMPUTED_VALUE"""),145359.0)</f>
        <v>145359</v>
      </c>
      <c r="F1982" s="21" t="str">
        <f>IFERROR(__xludf.DUMMYFUNCTION("""COMPUTED_VALUE"""),"TRANSITO REVERSA")</f>
        <v>TRANSITO REVERSA</v>
      </c>
      <c r="G1982" s="23">
        <f>IFERROR(__xludf.DUMMYFUNCTION("""COMPUTED_VALUE"""),45633.003379629634)</f>
        <v>45633.00338</v>
      </c>
      <c r="H1982" s="24" t="str">
        <f>IFERROR(VLOOKUP(B1982,material!A:D,3,0),"")</f>
        <v>TOP MIX</v>
      </c>
    </row>
    <row r="1983" ht="11.25" customHeight="1">
      <c r="A1983" s="21" t="str">
        <f>IFERROR(__xludf.DUMMYFUNCTION("""COMPUTED_VALUE"""),"DECODER DIGITAL HD DXC5000 2T")</f>
        <v>DECODER DIGITAL HD DXC5000 2T</v>
      </c>
      <c r="B1983" s="22">
        <f>IFERROR(__xludf.DUMMYFUNCTION("""COMPUTED_VALUE"""),4.1001277E7)</f>
        <v>41001277</v>
      </c>
      <c r="C1983" s="21" t="str">
        <f>IFERROR(__xludf.DUMMYFUNCTION("""COMPUTED_VALUE"""),"216483833233")</f>
        <v>216483833233</v>
      </c>
      <c r="D1983" s="21" t="str">
        <f>IFERROR(__xludf.DUMMYFUNCTION("""COMPUTED_VALUE"""),"DIGITEC TECNOLOGIA DIGITAL E REPRES")</f>
        <v>DIGITEC TECNOLOGIA DIGITAL E REPRES</v>
      </c>
      <c r="E1983" s="21">
        <f>IFERROR(__xludf.DUMMYFUNCTION("""COMPUTED_VALUE"""),145359.0)</f>
        <v>145359</v>
      </c>
      <c r="F1983" s="21" t="str">
        <f>IFERROR(__xludf.DUMMYFUNCTION("""COMPUTED_VALUE"""),"TRANSITO REVERSA")</f>
        <v>TRANSITO REVERSA</v>
      </c>
      <c r="G1983" s="23">
        <f>IFERROR(__xludf.DUMMYFUNCTION("""COMPUTED_VALUE"""),45633.00398148148)</f>
        <v>45633.00398</v>
      </c>
      <c r="H1983" s="24" t="str">
        <f>IFERROR(VLOOKUP(B1983,material!A:D,3,0),"")</f>
        <v>TOP MIX</v>
      </c>
    </row>
    <row r="1984" ht="11.25" customHeight="1">
      <c r="A1984" s="21" t="str">
        <f>IFERROR(__xludf.DUMMYFUNCTION("""COMPUTED_VALUE"""),"DECODER DIGITAL HD DXC5000 2T")</f>
        <v>DECODER DIGITAL HD DXC5000 2T</v>
      </c>
      <c r="B1984" s="22">
        <f>IFERROR(__xludf.DUMMYFUNCTION("""COMPUTED_VALUE"""),4.1001277E7)</f>
        <v>41001277</v>
      </c>
      <c r="C1984" s="21" t="str">
        <f>IFERROR(__xludf.DUMMYFUNCTION("""COMPUTED_VALUE"""),"216466324061")</f>
        <v>216466324061</v>
      </c>
      <c r="D1984" s="21" t="str">
        <f>IFERROR(__xludf.DUMMYFUNCTION("""COMPUTED_VALUE"""),"DIGITEC TECNOLOGIA DIGITAL E REPRES")</f>
        <v>DIGITEC TECNOLOGIA DIGITAL E REPRES</v>
      </c>
      <c r="E1984" s="21">
        <f>IFERROR(__xludf.DUMMYFUNCTION("""COMPUTED_VALUE"""),145359.0)</f>
        <v>145359</v>
      </c>
      <c r="F1984" s="21" t="str">
        <f>IFERROR(__xludf.DUMMYFUNCTION("""COMPUTED_VALUE"""),"TRANSITO REVERSA")</f>
        <v>TRANSITO REVERSA</v>
      </c>
      <c r="G1984" s="23">
        <f>IFERROR(__xludf.DUMMYFUNCTION("""COMPUTED_VALUE"""),45617.87142361111)</f>
        <v>45617.87142</v>
      </c>
      <c r="H1984" s="24" t="str">
        <f>IFERROR(VLOOKUP(B1984,material!A:D,3,0),"")</f>
        <v>TOP MIX</v>
      </c>
    </row>
    <row r="1985" ht="11.25" customHeight="1">
      <c r="A1985" s="21" t="str">
        <f>IFERROR(__xludf.DUMMYFUNCTION("""COMPUTED_VALUE"""),"DECODER DIGITAL HD DXC5000 2T")</f>
        <v>DECODER DIGITAL HD DXC5000 2T</v>
      </c>
      <c r="B1985" s="22">
        <f>IFERROR(__xludf.DUMMYFUNCTION("""COMPUTED_VALUE"""),4.1001277E7)</f>
        <v>41001277</v>
      </c>
      <c r="C1985" s="21" t="str">
        <f>IFERROR(__xludf.DUMMYFUNCTION("""COMPUTED_VALUE"""),"216457288600")</f>
        <v>216457288600</v>
      </c>
      <c r="D1985" s="21" t="str">
        <f>IFERROR(__xludf.DUMMYFUNCTION("""COMPUTED_VALUE"""),"DIGITEC TECNOLOGIA DIGITAL E REPRES")</f>
        <v>DIGITEC TECNOLOGIA DIGITAL E REPRES</v>
      </c>
      <c r="E1985" s="21">
        <f>IFERROR(__xludf.DUMMYFUNCTION("""COMPUTED_VALUE"""),145359.0)</f>
        <v>145359</v>
      </c>
      <c r="F1985" s="21" t="str">
        <f>IFERROR(__xludf.DUMMYFUNCTION("""COMPUTED_VALUE"""),"TRANSITO REVERSA")</f>
        <v>TRANSITO REVERSA</v>
      </c>
      <c r="G1985" s="23">
        <f>IFERROR(__xludf.DUMMYFUNCTION("""COMPUTED_VALUE"""),45626.29871527778)</f>
        <v>45626.29872</v>
      </c>
      <c r="H1985" s="24" t="str">
        <f>IFERROR(VLOOKUP(B1985,material!A:D,3,0),"")</f>
        <v>TOP MIX</v>
      </c>
    </row>
    <row r="1986" ht="11.25" customHeight="1">
      <c r="A1986" s="21" t="str">
        <f>IFERROR(__xludf.DUMMYFUNCTION("""COMPUTED_VALUE"""),"DECODER DIGITAL HD HNB100 2T")</f>
        <v>DECODER DIGITAL HD HNB100 2T</v>
      </c>
      <c r="B1986" s="22">
        <f>IFERROR(__xludf.DUMMYFUNCTION("""COMPUTED_VALUE"""),4.1001276E7)</f>
        <v>41001276</v>
      </c>
      <c r="C1986" s="21" t="str">
        <f>IFERROR(__xludf.DUMMYFUNCTION("""COMPUTED_VALUE"""),"216557294252")</f>
        <v>216557294252</v>
      </c>
      <c r="D1986" s="21" t="str">
        <f>IFERROR(__xludf.DUMMYFUNCTION("""COMPUTED_VALUE"""),"DIGITEC TECNOLOGIA DIGITAL E REPRES")</f>
        <v>DIGITEC TECNOLOGIA DIGITAL E REPRES</v>
      </c>
      <c r="E1986" s="21">
        <f>IFERROR(__xludf.DUMMYFUNCTION("""COMPUTED_VALUE"""),145359.0)</f>
        <v>145359</v>
      </c>
      <c r="F1986" s="21" t="str">
        <f>IFERROR(__xludf.DUMMYFUNCTION("""COMPUTED_VALUE"""),"TRANSITO REVERSA")</f>
        <v>TRANSITO REVERSA</v>
      </c>
      <c r="G1986" s="23">
        <f>IFERROR(__xludf.DUMMYFUNCTION("""COMPUTED_VALUE"""),45626.29923611111)</f>
        <v>45626.29924</v>
      </c>
      <c r="H1986" s="24" t="str">
        <f>IFERROR(VLOOKUP(B1986,material!A:D,3,0),"")</f>
        <v>TOP MIX</v>
      </c>
    </row>
    <row r="1987" ht="11.25" customHeight="1">
      <c r="A1987" s="21" t="str">
        <f>IFERROR(__xludf.DUMMYFUNCTION("""COMPUTED_VALUE"""),"DECODER DIGITAL HD HNB100 2T")</f>
        <v>DECODER DIGITAL HD HNB100 2T</v>
      </c>
      <c r="B1987" s="22">
        <f>IFERROR(__xludf.DUMMYFUNCTION("""COMPUTED_VALUE"""),4.1001276E7)</f>
        <v>41001276</v>
      </c>
      <c r="C1987" s="21" t="str">
        <f>IFERROR(__xludf.DUMMYFUNCTION("""COMPUTED_VALUE"""),"216352326066")</f>
        <v>216352326066</v>
      </c>
      <c r="D1987" s="21" t="str">
        <f>IFERROR(__xludf.DUMMYFUNCTION("""COMPUTED_VALUE"""),"DIGITEC TECNOLOGIA DIGITAL E REPRES")</f>
        <v>DIGITEC TECNOLOGIA DIGITAL E REPRES</v>
      </c>
      <c r="E1987" s="21">
        <f>IFERROR(__xludf.DUMMYFUNCTION("""COMPUTED_VALUE"""),145359.0)</f>
        <v>145359</v>
      </c>
      <c r="F1987" s="21" t="str">
        <f>IFERROR(__xludf.DUMMYFUNCTION("""COMPUTED_VALUE"""),"TRANSITO REVERSA")</f>
        <v>TRANSITO REVERSA</v>
      </c>
      <c r="G1987" s="23">
        <f>IFERROR(__xludf.DUMMYFUNCTION("""COMPUTED_VALUE"""),45633.00341435186)</f>
        <v>45633.00341</v>
      </c>
      <c r="H1987" s="24" t="str">
        <f>IFERROR(VLOOKUP(B1987,material!A:D,3,0),"")</f>
        <v>TOP MIX</v>
      </c>
    </row>
    <row r="1988" ht="11.25" customHeight="1">
      <c r="A1988" s="21" t="str">
        <f>IFERROR(__xludf.DUMMYFUNCTION("""COMPUTED_VALUE"""),"EMTA WIFI 3.0 TC7300-B")</f>
        <v>EMTA WIFI 3.0 TC7300-B</v>
      </c>
      <c r="B1988" s="22">
        <f>IFERROR(__xludf.DUMMYFUNCTION("""COMPUTED_VALUE"""),4.1001159E7)</f>
        <v>41001159</v>
      </c>
      <c r="C1988" s="21" t="str">
        <f>IFERROR(__xludf.DUMMYFUNCTION("""COMPUTED_VALUE"""),"58238C078C62")</f>
        <v>58238C078C62</v>
      </c>
      <c r="D1988" s="21" t="str">
        <f>IFERROR(__xludf.DUMMYFUNCTION("""COMPUTED_VALUE"""),"DIGITEC TECNOLOGIA DIGITAL E REPRES")</f>
        <v>DIGITEC TECNOLOGIA DIGITAL E REPRES</v>
      </c>
      <c r="E1988" s="21">
        <f>IFERROR(__xludf.DUMMYFUNCTION("""COMPUTED_VALUE"""),145359.0)</f>
        <v>145359</v>
      </c>
      <c r="F1988" s="21" t="str">
        <f>IFERROR(__xludf.DUMMYFUNCTION("""COMPUTED_VALUE"""),"TRANSITO REVERSA")</f>
        <v>TRANSITO REVERSA</v>
      </c>
      <c r="G1988" s="23">
        <f>IFERROR(__xludf.DUMMYFUNCTION("""COMPUTED_VALUE"""),45633.0033912037)</f>
        <v>45633.00339</v>
      </c>
      <c r="H1988" s="24" t="str">
        <f>IFERROR(VLOOKUP(B1988,material!A:D,3,0),"")</f>
        <v>SINGLE</v>
      </c>
    </row>
    <row r="1989" ht="11.25" customHeight="1">
      <c r="A1989" s="21" t="str">
        <f>IFERROR(__xludf.DUMMYFUNCTION("""COMPUTED_VALUE"""),"SMART CARD PRETO NAGRA")</f>
        <v>SMART CARD PRETO NAGRA</v>
      </c>
      <c r="B1989" s="22">
        <f>IFERROR(__xludf.DUMMYFUNCTION("""COMPUTED_VALUE"""),4.1001234E7)</f>
        <v>41001234</v>
      </c>
      <c r="C1989" s="21" t="str">
        <f>IFERROR(__xludf.DUMMYFUNCTION("""COMPUTED_VALUE"""),"246190932634")</f>
        <v>246190932634</v>
      </c>
      <c r="D1989" s="21" t="str">
        <f>IFERROR(__xludf.DUMMYFUNCTION("""COMPUTED_VALUE"""),"DIGITEC TECNOLOGIA DIGITAL E REPRES")</f>
        <v>DIGITEC TECNOLOGIA DIGITAL E REPRES</v>
      </c>
      <c r="E1989" s="21">
        <f>IFERROR(__xludf.DUMMYFUNCTION("""COMPUTED_VALUE"""),145359.0)</f>
        <v>145359</v>
      </c>
      <c r="F1989" s="21" t="str">
        <f>IFERROR(__xludf.DUMMYFUNCTION("""COMPUTED_VALUE"""),"TRANSITO REVERSA")</f>
        <v>TRANSITO REVERSA</v>
      </c>
      <c r="G1989" s="23">
        <f>IFERROR(__xludf.DUMMYFUNCTION("""COMPUTED_VALUE"""),45638.52060185185)</f>
        <v>45638.5206</v>
      </c>
      <c r="H1989" s="24" t="str">
        <f>IFERROR(VLOOKUP(B1989,material!A:D,3,0),"")</f>
        <v>CARD</v>
      </c>
    </row>
    <row r="1990" ht="11.25" customHeight="1">
      <c r="A1990" s="21" t="str">
        <f>IFERROR(__xludf.DUMMYFUNCTION("""COMPUTED_VALUE"""),"SMART CARD PRETO NAGRA")</f>
        <v>SMART CARD PRETO NAGRA</v>
      </c>
      <c r="B1990" s="22">
        <f>IFERROR(__xludf.DUMMYFUNCTION("""COMPUTED_VALUE"""),4.1001234E7)</f>
        <v>41001234</v>
      </c>
      <c r="C1990" s="21" t="str">
        <f>IFERROR(__xludf.DUMMYFUNCTION("""COMPUTED_VALUE"""),"246180362534")</f>
        <v>246180362534</v>
      </c>
      <c r="D1990" s="21" t="str">
        <f>IFERROR(__xludf.DUMMYFUNCTION("""COMPUTED_VALUE"""),"DIGITEC TECNOLOGIA DIGITAL E REPRES")</f>
        <v>DIGITEC TECNOLOGIA DIGITAL E REPRES</v>
      </c>
      <c r="E1990" s="21">
        <f>IFERROR(__xludf.DUMMYFUNCTION("""COMPUTED_VALUE"""),145359.0)</f>
        <v>145359</v>
      </c>
      <c r="F1990" s="21" t="str">
        <f>IFERROR(__xludf.DUMMYFUNCTION("""COMPUTED_VALUE"""),"TRANSITO REVERSA")</f>
        <v>TRANSITO REVERSA</v>
      </c>
      <c r="G1990" s="23">
        <f>IFERROR(__xludf.DUMMYFUNCTION("""COMPUTED_VALUE"""),45617.87138888889)</f>
        <v>45617.87139</v>
      </c>
      <c r="H1990" s="24" t="str">
        <f>IFERROR(VLOOKUP(B1990,material!A:D,3,0),"")</f>
        <v>CARD</v>
      </c>
    </row>
    <row r="1991" ht="11.25" customHeight="1">
      <c r="A1991" s="21" t="str">
        <f>IFERROR(__xludf.DUMMYFUNCTION("""COMPUTED_VALUE"""),"SMART CARD PRETO NAGRA")</f>
        <v>SMART CARD PRETO NAGRA</v>
      </c>
      <c r="B1991" s="22">
        <f>IFERROR(__xludf.DUMMYFUNCTION("""COMPUTED_VALUE"""),4.1001234E7)</f>
        <v>41001234</v>
      </c>
      <c r="C1991" s="21" t="str">
        <f>IFERROR(__xludf.DUMMYFUNCTION("""COMPUTED_VALUE"""),"246015790222")</f>
        <v>246015790222</v>
      </c>
      <c r="D1991" s="21" t="str">
        <f>IFERROR(__xludf.DUMMYFUNCTION("""COMPUTED_VALUE"""),"DIGITEC TECNOLOGIA DIGITAL E REPRES")</f>
        <v>DIGITEC TECNOLOGIA DIGITAL E REPRES</v>
      </c>
      <c r="E1991" s="21">
        <f>IFERROR(__xludf.DUMMYFUNCTION("""COMPUTED_VALUE"""),145359.0)</f>
        <v>145359</v>
      </c>
      <c r="F1991" s="21" t="str">
        <f>IFERROR(__xludf.DUMMYFUNCTION("""COMPUTED_VALUE"""),"TRANSITO REVERSA")</f>
        <v>TRANSITO REVERSA</v>
      </c>
      <c r="G1991" s="23">
        <f>IFERROR(__xludf.DUMMYFUNCTION("""COMPUTED_VALUE"""),45638.52061342592)</f>
        <v>45638.52061</v>
      </c>
      <c r="H1991" s="24" t="str">
        <f>IFERROR(VLOOKUP(B1991,material!A:D,3,0),"")</f>
        <v>CARD</v>
      </c>
    </row>
    <row r="1992" ht="11.25" customHeight="1">
      <c r="A1992" s="21" t="str">
        <f>IFERROR(__xludf.DUMMYFUNCTION("""COMPUTED_VALUE"""),"SMART CARD PRETO NAGRA")</f>
        <v>SMART CARD PRETO NAGRA</v>
      </c>
      <c r="B1992" s="22">
        <f>IFERROR(__xludf.DUMMYFUNCTION("""COMPUTED_VALUE"""),4.1001234E7)</f>
        <v>41001234</v>
      </c>
      <c r="C1992" s="21" t="str">
        <f>IFERROR(__xludf.DUMMYFUNCTION("""COMPUTED_VALUE"""),"226413446672")</f>
        <v>226413446672</v>
      </c>
      <c r="D1992" s="21" t="str">
        <f>IFERROR(__xludf.DUMMYFUNCTION("""COMPUTED_VALUE"""),"DIGITEC TECNOLOGIA DIGITAL E REPRES")</f>
        <v>DIGITEC TECNOLOGIA DIGITAL E REPRES</v>
      </c>
      <c r="E1992" s="21">
        <f>IFERROR(__xludf.DUMMYFUNCTION("""COMPUTED_VALUE"""),145359.0)</f>
        <v>145359</v>
      </c>
      <c r="F1992" s="21" t="str">
        <f>IFERROR(__xludf.DUMMYFUNCTION("""COMPUTED_VALUE"""),"TRANSITO REVERSA")</f>
        <v>TRANSITO REVERSA</v>
      </c>
      <c r="G1992" s="23">
        <f>IFERROR(__xludf.DUMMYFUNCTION("""COMPUTED_VALUE"""),45633.003379629634)</f>
        <v>45633.00338</v>
      </c>
      <c r="H1992" s="24" t="str">
        <f>IFERROR(VLOOKUP(B1992,material!A:D,3,0),"")</f>
        <v>CARD</v>
      </c>
    </row>
    <row r="1993" ht="11.25" customHeight="1">
      <c r="A1993" s="21" t="str">
        <f>IFERROR(__xludf.DUMMYFUNCTION("""COMPUTED_VALUE"""),"SMART CARD PRETO NAGRA")</f>
        <v>SMART CARD PRETO NAGRA</v>
      </c>
      <c r="B1993" s="22">
        <f>IFERROR(__xludf.DUMMYFUNCTION("""COMPUTED_VALUE"""),4.1001234E7)</f>
        <v>41001234</v>
      </c>
      <c r="C1993" s="21" t="str">
        <f>IFERROR(__xludf.DUMMYFUNCTION("""COMPUTED_VALUE"""),"246159792547")</f>
        <v>246159792547</v>
      </c>
      <c r="D1993" s="21" t="str">
        <f>IFERROR(__xludf.DUMMYFUNCTION("""COMPUTED_VALUE"""),"DIGITEC TECNOLOGIA DIGITAL E REPRES")</f>
        <v>DIGITEC TECNOLOGIA DIGITAL E REPRES</v>
      </c>
      <c r="E1993" s="21">
        <f>IFERROR(__xludf.DUMMYFUNCTION("""COMPUTED_VALUE"""),145359.0)</f>
        <v>145359</v>
      </c>
      <c r="F1993" s="21" t="str">
        <f>IFERROR(__xludf.DUMMYFUNCTION("""COMPUTED_VALUE"""),"TRANSITO REVERSA")</f>
        <v>TRANSITO REVERSA</v>
      </c>
      <c r="G1993" s="23">
        <f>IFERROR(__xludf.DUMMYFUNCTION("""COMPUTED_VALUE"""),45617.87143518518)</f>
        <v>45617.87144</v>
      </c>
      <c r="H1993" s="24" t="str">
        <f>IFERROR(VLOOKUP(B1993,material!A:D,3,0),"")</f>
        <v>CARD</v>
      </c>
    </row>
    <row r="1994" ht="11.25" customHeight="1">
      <c r="A1994" s="21" t="str">
        <f>IFERROR(__xludf.DUMMYFUNCTION("""COMPUTED_VALUE"""),"SMART CARD PRETO NAGRA")</f>
        <v>SMART CARD PRETO NAGRA</v>
      </c>
      <c r="B1994" s="22">
        <f>IFERROR(__xludf.DUMMYFUNCTION("""COMPUTED_VALUE"""),4.1001234E7)</f>
        <v>41001234</v>
      </c>
      <c r="C1994" s="21" t="str">
        <f>IFERROR(__xludf.DUMMYFUNCTION("""COMPUTED_VALUE"""),"246143893655")</f>
        <v>246143893655</v>
      </c>
      <c r="D1994" s="21" t="str">
        <f>IFERROR(__xludf.DUMMYFUNCTION("""COMPUTED_VALUE"""),"DIGITEC TECNOLOGIA DIGITAL E REPRES")</f>
        <v>DIGITEC TECNOLOGIA DIGITAL E REPRES</v>
      </c>
      <c r="E1994" s="21">
        <f>IFERROR(__xludf.DUMMYFUNCTION("""COMPUTED_VALUE"""),145359.0)</f>
        <v>145359</v>
      </c>
      <c r="F1994" s="21" t="str">
        <f>IFERROR(__xludf.DUMMYFUNCTION("""COMPUTED_VALUE"""),"TRANSITO REVERSA")</f>
        <v>TRANSITO REVERSA</v>
      </c>
      <c r="G1994" s="23">
        <f>IFERROR(__xludf.DUMMYFUNCTION("""COMPUTED_VALUE"""),45633.003379629634)</f>
        <v>45633.00338</v>
      </c>
      <c r="H1994" s="24" t="str">
        <f>IFERROR(VLOOKUP(B1994,material!A:D,3,0),"")</f>
        <v>CARD</v>
      </c>
    </row>
    <row r="1995" ht="11.25" customHeight="1">
      <c r="A1995" s="21" t="str">
        <f>IFERROR(__xludf.DUMMYFUNCTION("""COMPUTED_VALUE"""),"SMART CARD PRETO NAGRA")</f>
        <v>SMART CARD PRETO NAGRA</v>
      </c>
      <c r="B1995" s="22">
        <f>IFERROR(__xludf.DUMMYFUNCTION("""COMPUTED_VALUE"""),4.1001234E7)</f>
        <v>41001234</v>
      </c>
      <c r="C1995" s="21" t="str">
        <f>IFERROR(__xludf.DUMMYFUNCTION("""COMPUTED_VALUE"""),"246156289309")</f>
        <v>246156289309</v>
      </c>
      <c r="D1995" s="21" t="str">
        <f>IFERROR(__xludf.DUMMYFUNCTION("""COMPUTED_VALUE"""),"DIGITEC TECNOLOGIA DIGITAL E REPRES")</f>
        <v>DIGITEC TECNOLOGIA DIGITAL E REPRES</v>
      </c>
      <c r="E1995" s="21">
        <f>IFERROR(__xludf.DUMMYFUNCTION("""COMPUTED_VALUE"""),145359.0)</f>
        <v>145359</v>
      </c>
      <c r="F1995" s="21" t="str">
        <f>IFERROR(__xludf.DUMMYFUNCTION("""COMPUTED_VALUE"""),"TRANSITO REVERSA")</f>
        <v>TRANSITO REVERSA</v>
      </c>
      <c r="G1995" s="23">
        <f>IFERROR(__xludf.DUMMYFUNCTION("""COMPUTED_VALUE"""),45633.003379629634)</f>
        <v>45633.00338</v>
      </c>
      <c r="H1995" s="24" t="str">
        <f>IFERROR(VLOOKUP(B1995,material!A:D,3,0),"")</f>
        <v>CARD</v>
      </c>
    </row>
    <row r="1996" ht="11.25" customHeight="1">
      <c r="A1996" s="21" t="str">
        <f>IFERROR(__xludf.DUMMYFUNCTION("""COMPUTED_VALUE"""),"SMART CARD PRETO NAGRA")</f>
        <v>SMART CARD PRETO NAGRA</v>
      </c>
      <c r="B1996" s="22">
        <f>IFERROR(__xludf.DUMMYFUNCTION("""COMPUTED_VALUE"""),4.1001234E7)</f>
        <v>41001234</v>
      </c>
      <c r="C1996" s="21" t="str">
        <f>IFERROR(__xludf.DUMMYFUNCTION("""COMPUTED_VALUE"""),"246143887290")</f>
        <v>246143887290</v>
      </c>
      <c r="D1996" s="21" t="str">
        <f>IFERROR(__xludf.DUMMYFUNCTION("""COMPUTED_VALUE"""),"DIGITEC TECNOLOGIA DIGITAL E REPRES")</f>
        <v>DIGITEC TECNOLOGIA DIGITAL E REPRES</v>
      </c>
      <c r="E1996" s="21">
        <f>IFERROR(__xludf.DUMMYFUNCTION("""COMPUTED_VALUE"""),145359.0)</f>
        <v>145359</v>
      </c>
      <c r="F1996" s="21" t="str">
        <f>IFERROR(__xludf.DUMMYFUNCTION("""COMPUTED_VALUE"""),"TRANSITO REVERSA")</f>
        <v>TRANSITO REVERSA</v>
      </c>
      <c r="G1996" s="23">
        <f>IFERROR(__xludf.DUMMYFUNCTION("""COMPUTED_VALUE"""),45617.87140046296)</f>
        <v>45617.8714</v>
      </c>
      <c r="H1996" s="24" t="str">
        <f>IFERROR(VLOOKUP(B1996,material!A:D,3,0),"")</f>
        <v>CARD</v>
      </c>
    </row>
    <row r="1997" ht="11.25" customHeight="1">
      <c r="A1997" s="21" t="str">
        <f>IFERROR(__xludf.DUMMYFUNCTION("""COMPUTED_VALUE"""),"SMART CARD PRETO NAGRA")</f>
        <v>SMART CARD PRETO NAGRA</v>
      </c>
      <c r="B1997" s="22">
        <f>IFERROR(__xludf.DUMMYFUNCTION("""COMPUTED_VALUE"""),4.1001234E7)</f>
        <v>41001234</v>
      </c>
      <c r="C1997" s="21" t="str">
        <f>IFERROR(__xludf.DUMMYFUNCTION("""COMPUTED_VALUE"""),"246153666067")</f>
        <v>246153666067</v>
      </c>
      <c r="D1997" s="21" t="str">
        <f>IFERROR(__xludf.DUMMYFUNCTION("""COMPUTED_VALUE"""),"DIGITEC TECNOLOGIA DIGITAL E REPRES")</f>
        <v>DIGITEC TECNOLOGIA DIGITAL E REPRES</v>
      </c>
      <c r="E1997" s="21">
        <f>IFERROR(__xludf.DUMMYFUNCTION("""COMPUTED_VALUE"""),145359.0)</f>
        <v>145359</v>
      </c>
      <c r="F1997" s="21" t="str">
        <f>IFERROR(__xludf.DUMMYFUNCTION("""COMPUTED_VALUE"""),"TRANSITO REVERSA")</f>
        <v>TRANSITO REVERSA</v>
      </c>
      <c r="G1997" s="23">
        <f>IFERROR(__xludf.DUMMYFUNCTION("""COMPUTED_VALUE"""),45633.003958333335)</f>
        <v>45633.00396</v>
      </c>
      <c r="H1997" s="24" t="str">
        <f>IFERROR(VLOOKUP(B1997,material!A:D,3,0),"")</f>
        <v>CARD</v>
      </c>
    </row>
    <row r="1998" ht="11.25" customHeight="1">
      <c r="A1998" s="21" t="str">
        <f>IFERROR(__xludf.DUMMYFUNCTION("""COMPUTED_VALUE"""),"SMART CARD PRETO NAGRA")</f>
        <v>SMART CARD PRETO NAGRA</v>
      </c>
      <c r="B1998" s="22">
        <f>IFERROR(__xludf.DUMMYFUNCTION("""COMPUTED_VALUE"""),4.1001234E7)</f>
        <v>41001234</v>
      </c>
      <c r="C1998" s="21" t="str">
        <f>IFERROR(__xludf.DUMMYFUNCTION("""COMPUTED_VALUE"""),"226192266074")</f>
        <v>226192266074</v>
      </c>
      <c r="D1998" s="21" t="str">
        <f>IFERROR(__xludf.DUMMYFUNCTION("""COMPUTED_VALUE"""),"DIGITEC TECNOLOGIA DIGITAL E REPRES")</f>
        <v>DIGITEC TECNOLOGIA DIGITAL E REPRES</v>
      </c>
      <c r="E1998" s="21">
        <f>IFERROR(__xludf.DUMMYFUNCTION("""COMPUTED_VALUE"""),145359.0)</f>
        <v>145359</v>
      </c>
      <c r="F1998" s="21" t="str">
        <f>IFERROR(__xludf.DUMMYFUNCTION("""COMPUTED_VALUE"""),"TRANSITO REVERSA")</f>
        <v>TRANSITO REVERSA</v>
      </c>
      <c r="G1998" s="23">
        <f>IFERROR(__xludf.DUMMYFUNCTION("""COMPUTED_VALUE"""),45633.00336805556)</f>
        <v>45633.00337</v>
      </c>
      <c r="H1998" s="24" t="str">
        <f>IFERROR(VLOOKUP(B1998,material!A:D,3,0),"")</f>
        <v>CARD</v>
      </c>
    </row>
    <row r="1999" ht="11.25" customHeight="1">
      <c r="A1999" s="21" t="str">
        <f>IFERROR(__xludf.DUMMYFUNCTION("""COMPUTED_VALUE"""),"SMART CARD PRETO NAGRA")</f>
        <v>SMART CARD PRETO NAGRA</v>
      </c>
      <c r="B1999" s="22">
        <f>IFERROR(__xludf.DUMMYFUNCTION("""COMPUTED_VALUE"""),4.1001234E7)</f>
        <v>41001234</v>
      </c>
      <c r="C1999" s="21" t="str">
        <f>IFERROR(__xludf.DUMMYFUNCTION("""COMPUTED_VALUE"""),"226023384452")</f>
        <v>226023384452</v>
      </c>
      <c r="D1999" s="21" t="str">
        <f>IFERROR(__xludf.DUMMYFUNCTION("""COMPUTED_VALUE"""),"DIGITEC TECNOLOGIA DIGITAL E REPRES")</f>
        <v>DIGITEC TECNOLOGIA DIGITAL E REPRES</v>
      </c>
      <c r="E1999" s="21">
        <f>IFERROR(__xludf.DUMMYFUNCTION("""COMPUTED_VALUE"""),145359.0)</f>
        <v>145359</v>
      </c>
      <c r="F1999" s="21" t="str">
        <f>IFERROR(__xludf.DUMMYFUNCTION("""COMPUTED_VALUE"""),"TRANSITO REVERSA")</f>
        <v>TRANSITO REVERSA</v>
      </c>
      <c r="G1999" s="23">
        <f>IFERROR(__xludf.DUMMYFUNCTION("""COMPUTED_VALUE"""),45633.00336805556)</f>
        <v>45633.00337</v>
      </c>
      <c r="H1999" s="24" t="str">
        <f>IFERROR(VLOOKUP(B1999,material!A:D,3,0),"")</f>
        <v>CARD</v>
      </c>
    </row>
    <row r="2000" ht="11.25" customHeight="1">
      <c r="A2000" s="21" t="str">
        <f>IFERROR(__xludf.DUMMYFUNCTION("""COMPUTED_VALUE"""),"SMART CARD PRETO NAGRA")</f>
        <v>SMART CARD PRETO NAGRA</v>
      </c>
      <c r="B2000" s="22">
        <f>IFERROR(__xludf.DUMMYFUNCTION("""COMPUTED_VALUE"""),4.1001234E7)</f>
        <v>41001234</v>
      </c>
      <c r="C2000" s="21" t="str">
        <f>IFERROR(__xludf.DUMMYFUNCTION("""COMPUTED_VALUE"""),"226108606787")</f>
        <v>226108606787</v>
      </c>
      <c r="D2000" s="21" t="str">
        <f>IFERROR(__xludf.DUMMYFUNCTION("""COMPUTED_VALUE"""),"DIGITEC TECNOLOGIA DIGITAL E REPRES")</f>
        <v>DIGITEC TECNOLOGIA DIGITAL E REPRES</v>
      </c>
      <c r="E2000" s="21">
        <f>IFERROR(__xludf.DUMMYFUNCTION("""COMPUTED_VALUE"""),145359.0)</f>
        <v>145359</v>
      </c>
      <c r="F2000" s="21" t="str">
        <f>IFERROR(__xludf.DUMMYFUNCTION("""COMPUTED_VALUE"""),"TRANSITO REVERSA")</f>
        <v>TRANSITO REVERSA</v>
      </c>
      <c r="G2000" s="23">
        <f>IFERROR(__xludf.DUMMYFUNCTION("""COMPUTED_VALUE"""),45633.00336805556)</f>
        <v>45633.00337</v>
      </c>
      <c r="H2000" s="24" t="str">
        <f>IFERROR(VLOOKUP(B2000,material!A:D,3,0),"")</f>
        <v>CARD</v>
      </c>
    </row>
    <row r="2001" ht="11.25" customHeight="1">
      <c r="A2001" s="21" t="str">
        <f>IFERROR(__xludf.DUMMYFUNCTION("""COMPUTED_VALUE"""),"SMART CARD PRETO NAGRA")</f>
        <v>SMART CARD PRETO NAGRA</v>
      </c>
      <c r="B2001" s="22">
        <f>IFERROR(__xludf.DUMMYFUNCTION("""COMPUTED_VALUE"""),4.1001234E7)</f>
        <v>41001234</v>
      </c>
      <c r="C2001" s="21" t="str">
        <f>IFERROR(__xludf.DUMMYFUNCTION("""COMPUTED_VALUE"""),"226248637288")</f>
        <v>226248637288</v>
      </c>
      <c r="D2001" s="21" t="str">
        <f>IFERROR(__xludf.DUMMYFUNCTION("""COMPUTED_VALUE"""),"DIGITEC TECNOLOGIA DIGITAL E REPRES")</f>
        <v>DIGITEC TECNOLOGIA DIGITAL E REPRES</v>
      </c>
      <c r="E2001" s="21">
        <f>IFERROR(__xludf.DUMMYFUNCTION("""COMPUTED_VALUE"""),145359.0)</f>
        <v>145359</v>
      </c>
      <c r="F2001" s="21" t="str">
        <f>IFERROR(__xludf.DUMMYFUNCTION("""COMPUTED_VALUE"""),"TRANSITO REVERSA")</f>
        <v>TRANSITO REVERSA</v>
      </c>
      <c r="G2001" s="23">
        <f>IFERROR(__xludf.DUMMYFUNCTION("""COMPUTED_VALUE"""),45617.87240740741)</f>
        <v>45617.87241</v>
      </c>
      <c r="H2001" s="24" t="str">
        <f>IFERROR(VLOOKUP(B2001,material!A:D,3,0),"")</f>
        <v>CARD</v>
      </c>
    </row>
    <row r="2002" ht="11.25" customHeight="1">
      <c r="A2002" s="21" t="str">
        <f>IFERROR(__xludf.DUMMYFUNCTION("""COMPUTED_VALUE"""),"SMART CARD PRETO NAGRA")</f>
        <v>SMART CARD PRETO NAGRA</v>
      </c>
      <c r="B2002" s="22">
        <f>IFERROR(__xludf.DUMMYFUNCTION("""COMPUTED_VALUE"""),4.1001234E7)</f>
        <v>41001234</v>
      </c>
      <c r="C2002" s="21" t="str">
        <f>IFERROR(__xludf.DUMMYFUNCTION("""COMPUTED_VALUE"""),"226032160820")</f>
        <v>226032160820</v>
      </c>
      <c r="D2002" s="21" t="str">
        <f>IFERROR(__xludf.DUMMYFUNCTION("""COMPUTED_VALUE"""),"DIGITEC TECNOLOGIA DIGITAL E REPRES")</f>
        <v>DIGITEC TECNOLOGIA DIGITAL E REPRES</v>
      </c>
      <c r="E2002" s="21">
        <f>IFERROR(__xludf.DUMMYFUNCTION("""COMPUTED_VALUE"""),145359.0)</f>
        <v>145359</v>
      </c>
      <c r="F2002" s="21" t="str">
        <f>IFERROR(__xludf.DUMMYFUNCTION("""COMPUTED_VALUE"""),"TRANSITO REVERSA")</f>
        <v>TRANSITO REVERSA</v>
      </c>
      <c r="G2002" s="23">
        <f>IFERROR(__xludf.DUMMYFUNCTION("""COMPUTED_VALUE"""),45633.00396990741)</f>
        <v>45633.00397</v>
      </c>
      <c r="H2002" s="24" t="str">
        <f>IFERROR(VLOOKUP(B2002,material!A:D,3,0),"")</f>
        <v>CARD</v>
      </c>
    </row>
    <row r="2003" ht="11.25" customHeight="1">
      <c r="A2003" s="21" t="str">
        <f>IFERROR(__xludf.DUMMYFUNCTION("""COMPUTED_VALUE"""),"SMART CARD PRETO NAGRA")</f>
        <v>SMART CARD PRETO NAGRA</v>
      </c>
      <c r="B2003" s="22">
        <f>IFERROR(__xludf.DUMMYFUNCTION("""COMPUTED_VALUE"""),4.1001234E7)</f>
        <v>41001234</v>
      </c>
      <c r="C2003" s="21" t="str">
        <f>IFERROR(__xludf.DUMMYFUNCTION("""COMPUTED_VALUE"""),"226039751022")</f>
        <v>226039751022</v>
      </c>
      <c r="D2003" s="21" t="str">
        <f>IFERROR(__xludf.DUMMYFUNCTION("""COMPUTED_VALUE"""),"DIGITEC TECNOLOGIA DIGITAL E REPRES")</f>
        <v>DIGITEC TECNOLOGIA DIGITAL E REPRES</v>
      </c>
      <c r="E2003" s="21">
        <f>IFERROR(__xludf.DUMMYFUNCTION("""COMPUTED_VALUE"""),145359.0)</f>
        <v>145359</v>
      </c>
      <c r="F2003" s="21" t="str">
        <f>IFERROR(__xludf.DUMMYFUNCTION("""COMPUTED_VALUE"""),"TRANSITO REVERSA")</f>
        <v>TRANSITO REVERSA</v>
      </c>
      <c r="G2003" s="23">
        <f>IFERROR(__xludf.DUMMYFUNCTION("""COMPUTED_VALUE"""),45633.00340277777)</f>
        <v>45633.0034</v>
      </c>
      <c r="H2003" s="24" t="str">
        <f>IFERROR(VLOOKUP(B2003,material!A:D,3,0),"")</f>
        <v>CARD</v>
      </c>
    </row>
    <row r="2004" ht="11.25" customHeight="1">
      <c r="A2004" s="21" t="str">
        <f>IFERROR(__xludf.DUMMYFUNCTION("""COMPUTED_VALUE"""),"SMART CARD PRETO NAGRA")</f>
        <v>SMART CARD PRETO NAGRA</v>
      </c>
      <c r="B2004" s="22">
        <f>IFERROR(__xludf.DUMMYFUNCTION("""COMPUTED_VALUE"""),4.1001234E7)</f>
        <v>41001234</v>
      </c>
      <c r="C2004" s="21" t="str">
        <f>IFERROR(__xludf.DUMMYFUNCTION("""COMPUTED_VALUE"""),"226379876168")</f>
        <v>226379876168</v>
      </c>
      <c r="D2004" s="21" t="str">
        <f>IFERROR(__xludf.DUMMYFUNCTION("""COMPUTED_VALUE"""),"DIGITEC TECNOLOGIA DIGITAL E REPRES")</f>
        <v>DIGITEC TECNOLOGIA DIGITAL E REPRES</v>
      </c>
      <c r="E2004" s="21">
        <f>IFERROR(__xludf.DUMMYFUNCTION("""COMPUTED_VALUE"""),145359.0)</f>
        <v>145359</v>
      </c>
      <c r="F2004" s="21" t="str">
        <f>IFERROR(__xludf.DUMMYFUNCTION("""COMPUTED_VALUE"""),"TRANSITO REVERSA")</f>
        <v>TRANSITO REVERSA</v>
      </c>
      <c r="G2004" s="23">
        <f>IFERROR(__xludf.DUMMYFUNCTION("""COMPUTED_VALUE"""),45617.87240740741)</f>
        <v>45617.87241</v>
      </c>
      <c r="H2004" s="24" t="str">
        <f>IFERROR(VLOOKUP(B2004,material!A:D,3,0),"")</f>
        <v>CARD</v>
      </c>
    </row>
    <row r="2005" ht="11.25" customHeight="1">
      <c r="A2005" s="21" t="str">
        <f>IFERROR(__xludf.DUMMYFUNCTION("""COMPUTED_VALUE"""),"SMART CARD PRETO NAGRA")</f>
        <v>SMART CARD PRETO NAGRA</v>
      </c>
      <c r="B2005" s="22">
        <f>IFERROR(__xludf.DUMMYFUNCTION("""COMPUTED_VALUE"""),4.1001234E7)</f>
        <v>41001234</v>
      </c>
      <c r="C2005" s="21" t="str">
        <f>IFERROR(__xludf.DUMMYFUNCTION("""COMPUTED_VALUE"""),"226380792330")</f>
        <v>226380792330</v>
      </c>
      <c r="D2005" s="21" t="str">
        <f>IFERROR(__xludf.DUMMYFUNCTION("""COMPUTED_VALUE"""),"DIGITEC TECNOLOGIA DIGITAL E REPRES")</f>
        <v>DIGITEC TECNOLOGIA DIGITAL E REPRES</v>
      </c>
      <c r="E2005" s="21">
        <f>IFERROR(__xludf.DUMMYFUNCTION("""COMPUTED_VALUE"""),145359.0)</f>
        <v>145359</v>
      </c>
      <c r="F2005" s="21" t="str">
        <f>IFERROR(__xludf.DUMMYFUNCTION("""COMPUTED_VALUE"""),"TRANSITO REVERSA")</f>
        <v>TRANSITO REVERSA</v>
      </c>
      <c r="G2005" s="23">
        <f>IFERROR(__xludf.DUMMYFUNCTION("""COMPUTED_VALUE"""),45617.87138888889)</f>
        <v>45617.87139</v>
      </c>
      <c r="H2005" s="24" t="str">
        <f>IFERROR(VLOOKUP(B2005,material!A:D,3,0),"")</f>
        <v>CARD</v>
      </c>
    </row>
    <row r="2006" ht="11.25" customHeight="1">
      <c r="A2006" s="21" t="str">
        <f>IFERROR(__xludf.DUMMYFUNCTION("""COMPUTED_VALUE"""),"SMART CARD PRETO NAGRA")</f>
        <v>SMART CARD PRETO NAGRA</v>
      </c>
      <c r="B2006" s="22">
        <f>IFERROR(__xludf.DUMMYFUNCTION("""COMPUTED_VALUE"""),4.1001234E7)</f>
        <v>41001234</v>
      </c>
      <c r="C2006" s="21" t="str">
        <f>IFERROR(__xludf.DUMMYFUNCTION("""COMPUTED_VALUE"""),"226330157275")</f>
        <v>226330157275</v>
      </c>
      <c r="D2006" s="21" t="str">
        <f>IFERROR(__xludf.DUMMYFUNCTION("""COMPUTED_VALUE"""),"DIGITEC TECNOLOGIA DIGITAL E REPRES")</f>
        <v>DIGITEC TECNOLOGIA DIGITAL E REPRES</v>
      </c>
      <c r="E2006" s="21">
        <f>IFERROR(__xludf.DUMMYFUNCTION("""COMPUTED_VALUE"""),145359.0)</f>
        <v>145359</v>
      </c>
      <c r="F2006" s="21" t="str">
        <f>IFERROR(__xludf.DUMMYFUNCTION("""COMPUTED_VALUE"""),"TRANSITO REVERSA")</f>
        <v>TRANSITO REVERSA</v>
      </c>
      <c r="G2006" s="23">
        <f>IFERROR(__xludf.DUMMYFUNCTION("""COMPUTED_VALUE"""),45394.80667824074)</f>
        <v>45394.80668</v>
      </c>
      <c r="H2006" s="24" t="str">
        <f>IFERROR(VLOOKUP(B2006,material!A:D,3,0),"")</f>
        <v>CARD</v>
      </c>
    </row>
    <row r="2007" ht="11.25" customHeight="1">
      <c r="A2007" s="21" t="str">
        <f>IFERROR(__xludf.DUMMYFUNCTION("""COMPUTED_VALUE"""),"SMART CARD PRETO NAGRA")</f>
        <v>SMART CARD PRETO NAGRA</v>
      </c>
      <c r="B2007" s="22">
        <f>IFERROR(__xludf.DUMMYFUNCTION("""COMPUTED_VALUE"""),4.1001234E7)</f>
        <v>41001234</v>
      </c>
      <c r="C2007" s="21" t="str">
        <f>IFERROR(__xludf.DUMMYFUNCTION("""COMPUTED_VALUE"""),"226339319416")</f>
        <v>226339319416</v>
      </c>
      <c r="D2007" s="21" t="str">
        <f>IFERROR(__xludf.DUMMYFUNCTION("""COMPUTED_VALUE"""),"DIGITEC TECNOLOGIA DIGITAL E REPRES")</f>
        <v>DIGITEC TECNOLOGIA DIGITAL E REPRES</v>
      </c>
      <c r="E2007" s="21">
        <f>IFERROR(__xludf.DUMMYFUNCTION("""COMPUTED_VALUE"""),145359.0)</f>
        <v>145359</v>
      </c>
      <c r="F2007" s="21" t="str">
        <f>IFERROR(__xludf.DUMMYFUNCTION("""COMPUTED_VALUE"""),"TRANSITO REVERSA")</f>
        <v>TRANSITO REVERSA</v>
      </c>
      <c r="G2007" s="23">
        <f>IFERROR(__xludf.DUMMYFUNCTION("""COMPUTED_VALUE"""),45617.87143518518)</f>
        <v>45617.87144</v>
      </c>
      <c r="H2007" s="24" t="str">
        <f>IFERROR(VLOOKUP(B2007,material!A:D,3,0),"")</f>
        <v>CARD</v>
      </c>
    </row>
    <row r="2008" ht="11.25" customHeight="1">
      <c r="A2008" s="21" t="str">
        <f>IFERROR(__xludf.DUMMYFUNCTION("""COMPUTED_VALUE"""),"SMART CARD PRETO NAGRA")</f>
        <v>SMART CARD PRETO NAGRA</v>
      </c>
      <c r="B2008" s="22">
        <f>IFERROR(__xludf.DUMMYFUNCTION("""COMPUTED_VALUE"""),4.1001234E7)</f>
        <v>41001234</v>
      </c>
      <c r="C2008" s="21" t="str">
        <f>IFERROR(__xludf.DUMMYFUNCTION("""COMPUTED_VALUE"""),"226339408593")</f>
        <v>226339408593</v>
      </c>
      <c r="D2008" s="21" t="str">
        <f>IFERROR(__xludf.DUMMYFUNCTION("""COMPUTED_VALUE"""),"DIGITEC TECNOLOGIA DIGITAL E REPRES")</f>
        <v>DIGITEC TECNOLOGIA DIGITAL E REPRES</v>
      </c>
      <c r="E2008" s="21">
        <f>IFERROR(__xludf.DUMMYFUNCTION("""COMPUTED_VALUE"""),145359.0)</f>
        <v>145359</v>
      </c>
      <c r="F2008" s="21" t="str">
        <f>IFERROR(__xludf.DUMMYFUNCTION("""COMPUTED_VALUE"""),"TRANSITO REVERSA")</f>
        <v>TRANSITO REVERSA</v>
      </c>
      <c r="G2008" s="23">
        <f>IFERROR(__xludf.DUMMYFUNCTION("""COMPUTED_VALUE"""),45617.87138888889)</f>
        <v>45617.87139</v>
      </c>
      <c r="H2008" s="24" t="str">
        <f>IFERROR(VLOOKUP(B2008,material!A:D,3,0),"")</f>
        <v>CARD</v>
      </c>
    </row>
    <row r="2009" ht="11.25" customHeight="1">
      <c r="A2009" s="21" t="str">
        <f>IFERROR(__xludf.DUMMYFUNCTION("""COMPUTED_VALUE"""),"SMART CARD PRETO NAGRA")</f>
        <v>SMART CARD PRETO NAGRA</v>
      </c>
      <c r="B2009" s="22">
        <f>IFERROR(__xludf.DUMMYFUNCTION("""COMPUTED_VALUE"""),4.1001234E7)</f>
        <v>41001234</v>
      </c>
      <c r="C2009" s="21" t="str">
        <f>IFERROR(__xludf.DUMMYFUNCTION("""COMPUTED_VALUE"""),"226354083034")</f>
        <v>226354083034</v>
      </c>
      <c r="D2009" s="21" t="str">
        <f>IFERROR(__xludf.DUMMYFUNCTION("""COMPUTED_VALUE"""),"DIGITEC TECNOLOGIA DIGITAL E REPRES")</f>
        <v>DIGITEC TECNOLOGIA DIGITAL E REPRES</v>
      </c>
      <c r="E2009" s="21">
        <f>IFERROR(__xludf.DUMMYFUNCTION("""COMPUTED_VALUE"""),145359.0)</f>
        <v>145359</v>
      </c>
      <c r="F2009" s="21" t="str">
        <f>IFERROR(__xludf.DUMMYFUNCTION("""COMPUTED_VALUE"""),"TRANSITO REVERSA")</f>
        <v>TRANSITO REVERSA</v>
      </c>
      <c r="G2009" s="23">
        <f>IFERROR(__xludf.DUMMYFUNCTION("""COMPUTED_VALUE"""),45633.003379629634)</f>
        <v>45633.00338</v>
      </c>
      <c r="H2009" s="24" t="str">
        <f>IFERROR(VLOOKUP(B2009,material!A:D,3,0),"")</f>
        <v>CARD</v>
      </c>
    </row>
    <row r="2010" ht="11.25" customHeight="1">
      <c r="A2010" s="21" t="str">
        <f>IFERROR(__xludf.DUMMYFUNCTION("""COMPUTED_VALUE"""),"SMART CARD PRETO NAGRA")</f>
        <v>SMART CARD PRETO NAGRA</v>
      </c>
      <c r="B2010" s="22">
        <f>IFERROR(__xludf.DUMMYFUNCTION("""COMPUTED_VALUE"""),4.1001234E7)</f>
        <v>41001234</v>
      </c>
      <c r="C2010" s="21" t="str">
        <f>IFERROR(__xludf.DUMMYFUNCTION("""COMPUTED_VALUE"""),"226366626177")</f>
        <v>226366626177</v>
      </c>
      <c r="D2010" s="21" t="str">
        <f>IFERROR(__xludf.DUMMYFUNCTION("""COMPUTED_VALUE"""),"DIGITEC TECNOLOGIA DIGITAL E REPRES")</f>
        <v>DIGITEC TECNOLOGIA DIGITAL E REPRES</v>
      </c>
      <c r="E2010" s="21">
        <f>IFERROR(__xludf.DUMMYFUNCTION("""COMPUTED_VALUE"""),145359.0)</f>
        <v>145359</v>
      </c>
      <c r="F2010" s="21" t="str">
        <f>IFERROR(__xludf.DUMMYFUNCTION("""COMPUTED_VALUE"""),"TRANSITO REVERSA")</f>
        <v>TRANSITO REVERSA</v>
      </c>
      <c r="G2010" s="23">
        <f>IFERROR(__xludf.DUMMYFUNCTION("""COMPUTED_VALUE"""),45617.87140046296)</f>
        <v>45617.8714</v>
      </c>
      <c r="H2010" s="24" t="str">
        <f>IFERROR(VLOOKUP(B2010,material!A:D,3,0),"")</f>
        <v>CARD</v>
      </c>
    </row>
    <row r="2011" ht="11.25" customHeight="1">
      <c r="A2011" s="21" t="str">
        <f>IFERROR(__xludf.DUMMYFUNCTION("""COMPUTED_VALUE"""),"SMART CARD PRETO NAGRA")</f>
        <v>SMART CARD PRETO NAGRA</v>
      </c>
      <c r="B2011" s="22">
        <f>IFERROR(__xludf.DUMMYFUNCTION("""COMPUTED_VALUE"""),4.1001234E7)</f>
        <v>41001234</v>
      </c>
      <c r="C2011" s="21" t="str">
        <f>IFERROR(__xludf.DUMMYFUNCTION("""COMPUTED_VALUE"""),"226287422735")</f>
        <v>226287422735</v>
      </c>
      <c r="D2011" s="21" t="str">
        <f>IFERROR(__xludf.DUMMYFUNCTION("""COMPUTED_VALUE"""),"DIGITEC TECNOLOGIA DIGITAL E REPRES")</f>
        <v>DIGITEC TECNOLOGIA DIGITAL E REPRES</v>
      </c>
      <c r="E2011" s="21">
        <f>IFERROR(__xludf.DUMMYFUNCTION("""COMPUTED_VALUE"""),145359.0)</f>
        <v>145359</v>
      </c>
      <c r="F2011" s="21" t="str">
        <f>IFERROR(__xludf.DUMMYFUNCTION("""COMPUTED_VALUE"""),"TRANSITO REVERSA")</f>
        <v>TRANSITO REVERSA</v>
      </c>
      <c r="G2011" s="23">
        <f>IFERROR(__xludf.DUMMYFUNCTION("""COMPUTED_VALUE"""),45617.87240740741)</f>
        <v>45617.87241</v>
      </c>
      <c r="H2011" s="24" t="str">
        <f>IFERROR(VLOOKUP(B2011,material!A:D,3,0),"")</f>
        <v>CARD</v>
      </c>
    </row>
    <row r="2012" ht="11.25" customHeight="1">
      <c r="A2012" s="21" t="str">
        <f>IFERROR(__xludf.DUMMYFUNCTION("""COMPUTED_VALUE"""),"SMART CARD PRETO NAGRA")</f>
        <v>SMART CARD PRETO NAGRA</v>
      </c>
      <c r="B2012" s="22">
        <f>IFERROR(__xludf.DUMMYFUNCTION("""COMPUTED_VALUE"""),4.1001234E7)</f>
        <v>41001234</v>
      </c>
      <c r="C2012" s="21" t="str">
        <f>IFERROR(__xludf.DUMMYFUNCTION("""COMPUTED_VALUE"""),"226287420816")</f>
        <v>226287420816</v>
      </c>
      <c r="D2012" s="21" t="str">
        <f>IFERROR(__xludf.DUMMYFUNCTION("""COMPUTED_VALUE"""),"DIGITEC TECNOLOGIA DIGITAL E REPRES")</f>
        <v>DIGITEC TECNOLOGIA DIGITAL E REPRES</v>
      </c>
      <c r="E2012" s="21">
        <f>IFERROR(__xludf.DUMMYFUNCTION("""COMPUTED_VALUE"""),145359.0)</f>
        <v>145359</v>
      </c>
      <c r="F2012" s="21" t="str">
        <f>IFERROR(__xludf.DUMMYFUNCTION("""COMPUTED_VALUE"""),"TRANSITO REVERSA")</f>
        <v>TRANSITO REVERSA</v>
      </c>
      <c r="G2012" s="23">
        <f>IFERROR(__xludf.DUMMYFUNCTION("""COMPUTED_VALUE"""),45617.87240740741)</f>
        <v>45617.87241</v>
      </c>
      <c r="H2012" s="24" t="str">
        <f>IFERROR(VLOOKUP(B2012,material!A:D,3,0),"")</f>
        <v>CARD</v>
      </c>
    </row>
    <row r="2013" ht="11.25" customHeight="1">
      <c r="A2013" s="21" t="str">
        <f>IFERROR(__xludf.DUMMYFUNCTION("""COMPUTED_VALUE"""),"SMART CARD PRETO NAGRA")</f>
        <v>SMART CARD PRETO NAGRA</v>
      </c>
      <c r="B2013" s="22">
        <f>IFERROR(__xludf.DUMMYFUNCTION("""COMPUTED_VALUE"""),4.1001234E7)</f>
        <v>41001234</v>
      </c>
      <c r="C2013" s="21" t="str">
        <f>IFERROR(__xludf.DUMMYFUNCTION("""COMPUTED_VALUE"""),"226109881020")</f>
        <v>226109881020</v>
      </c>
      <c r="D2013" s="21" t="str">
        <f>IFERROR(__xludf.DUMMYFUNCTION("""COMPUTED_VALUE"""),"DIGITEC TECNOLOGIA DIGITAL E REPRES")</f>
        <v>DIGITEC TECNOLOGIA DIGITAL E REPRES</v>
      </c>
      <c r="E2013" s="21">
        <f>IFERROR(__xludf.DUMMYFUNCTION("""COMPUTED_VALUE"""),145359.0)</f>
        <v>145359</v>
      </c>
      <c r="F2013" s="21" t="str">
        <f>IFERROR(__xludf.DUMMYFUNCTION("""COMPUTED_VALUE"""),"TRANSITO REVERSA")</f>
        <v>TRANSITO REVERSA</v>
      </c>
      <c r="G2013" s="23">
        <f>IFERROR(__xludf.DUMMYFUNCTION("""COMPUTED_VALUE"""),45506.7093287037)</f>
        <v>45506.70933</v>
      </c>
      <c r="H2013" s="24" t="str">
        <f>IFERROR(VLOOKUP(B2013,material!A:D,3,0),"")</f>
        <v>CARD</v>
      </c>
    </row>
    <row r="2014" ht="11.25" customHeight="1">
      <c r="A2014" s="21" t="str">
        <f>IFERROR(__xludf.DUMMYFUNCTION("""COMPUTED_VALUE"""),"SMART CARD PRETO NAGRA")</f>
        <v>SMART CARD PRETO NAGRA</v>
      </c>
      <c r="B2014" s="22">
        <f>IFERROR(__xludf.DUMMYFUNCTION("""COMPUTED_VALUE"""),4.1001234E7)</f>
        <v>41001234</v>
      </c>
      <c r="C2014" s="21" t="str">
        <f>IFERROR(__xludf.DUMMYFUNCTION("""COMPUTED_VALUE"""),"246045092834")</f>
        <v>246045092834</v>
      </c>
      <c r="D2014" s="21" t="str">
        <f>IFERROR(__xludf.DUMMYFUNCTION("""COMPUTED_VALUE"""),"DIGITEC TECNOLOGIA DIGITAL E REPRES")</f>
        <v>DIGITEC TECNOLOGIA DIGITAL E REPRES</v>
      </c>
      <c r="E2014" s="21">
        <f>IFERROR(__xludf.DUMMYFUNCTION("""COMPUTED_VALUE"""),145359.0)</f>
        <v>145359</v>
      </c>
      <c r="F2014" s="21" t="str">
        <f>IFERROR(__xludf.DUMMYFUNCTION("""COMPUTED_VALUE"""),"TRANSITO REVERSA")</f>
        <v>TRANSITO REVERSA</v>
      </c>
      <c r="G2014" s="23">
        <f>IFERROR(__xludf.DUMMYFUNCTION("""COMPUTED_VALUE"""),45638.520636574074)</f>
        <v>45638.52064</v>
      </c>
      <c r="H2014" s="24" t="str">
        <f>IFERROR(VLOOKUP(B2014,material!A:D,3,0),"")</f>
        <v>CARD</v>
      </c>
    </row>
    <row r="2015" ht="11.25" customHeight="1">
      <c r="A2015" s="21" t="str">
        <f>IFERROR(__xludf.DUMMYFUNCTION("""COMPUTED_VALUE"""),"EMTA WI-FI 3.0 TG862A ARRIS")</f>
        <v>EMTA WI-FI 3.0 TG862A ARRIS</v>
      </c>
      <c r="B2015" s="22">
        <f>IFERROR(__xludf.DUMMYFUNCTION("""COMPUTED_VALUE"""),4.1001155E7)</f>
        <v>41001155</v>
      </c>
      <c r="C2015" s="21" t="str">
        <f>IFERROR(__xludf.DUMMYFUNCTION("""COMPUTED_VALUE"""),"E83EFCBD5892")</f>
        <v>E83EFCBD5892</v>
      </c>
      <c r="D2015" s="21" t="str">
        <f>IFERROR(__xludf.DUMMYFUNCTION("""COMPUTED_VALUE"""),"DIGITEC TECNOLOGIA DIGITAL E REPRES")</f>
        <v>DIGITEC TECNOLOGIA DIGITAL E REPRES</v>
      </c>
      <c r="E2015" s="21">
        <f>IFERROR(__xludf.DUMMYFUNCTION("""COMPUTED_VALUE"""),145359.0)</f>
        <v>145359</v>
      </c>
      <c r="F2015" s="21" t="str">
        <f>IFERROR(__xludf.DUMMYFUNCTION("""COMPUTED_VALUE"""),"TRANSITO REVERSA")</f>
        <v>TRANSITO REVERSA</v>
      </c>
      <c r="G2015" s="23">
        <f>IFERROR(__xludf.DUMMYFUNCTION("""COMPUTED_VALUE"""),45638.52112268518)</f>
        <v>45638.52112</v>
      </c>
      <c r="H2015" s="24" t="str">
        <f>IFERROR(VLOOKUP(B2015,material!A:D,3,0),"")</f>
        <v>SINGLE</v>
      </c>
    </row>
    <row r="2016" ht="11.25" customHeight="1">
      <c r="A2016" s="21" t="str">
        <f>IFERROR(__xludf.DUMMYFUNCTION("""COMPUTED_VALUE"""),"THOMSON HIGH DEFINITION DCI713")</f>
        <v>THOMSON HIGH DEFINITION DCI713</v>
      </c>
      <c r="B2016" s="22">
        <f>IFERROR(__xludf.DUMMYFUNCTION("""COMPUTED_VALUE"""),4.1001273E7)</f>
        <v>41001273</v>
      </c>
      <c r="C2016" s="21" t="str">
        <f>IFERROR(__xludf.DUMMYFUNCTION("""COMPUTED_VALUE"""),"181434144143")</f>
        <v>181434144143</v>
      </c>
      <c r="D2016" s="21" t="str">
        <f>IFERROR(__xludf.DUMMYFUNCTION("""COMPUTED_VALUE"""),"DIGITEC TECNOLOGIA DIGITAL E REPRES")</f>
        <v>DIGITEC TECNOLOGIA DIGITAL E REPRES</v>
      </c>
      <c r="E2016" s="21">
        <f>IFERROR(__xludf.DUMMYFUNCTION("""COMPUTED_VALUE"""),145359.0)</f>
        <v>145359</v>
      </c>
      <c r="F2016" s="21" t="str">
        <f>IFERROR(__xludf.DUMMYFUNCTION("""COMPUTED_VALUE"""),"TRANSITO REVERSA")</f>
        <v>TRANSITO REVERSA</v>
      </c>
      <c r="G2016" s="23">
        <f>IFERROR(__xludf.DUMMYFUNCTION("""COMPUTED_VALUE"""),45633.00396990741)</f>
        <v>45633.00397</v>
      </c>
      <c r="H2016" s="24" t="str">
        <f>IFERROR(VLOOKUP(B2016,material!A:D,3,0),"")</f>
        <v>LEGADO</v>
      </c>
    </row>
    <row r="2017" ht="11.25" customHeight="1">
      <c r="A2017" s="21" t="str">
        <f>IFERROR(__xludf.DUMMYFUNCTION("""COMPUTED_VALUE"""),"THOMSON HIGH DEFINITION DCI713")</f>
        <v>THOMSON HIGH DEFINITION DCI713</v>
      </c>
      <c r="B2017" s="22">
        <f>IFERROR(__xludf.DUMMYFUNCTION("""COMPUTED_VALUE"""),4.1001273E7)</f>
        <v>41001273</v>
      </c>
      <c r="C2017" s="21" t="str">
        <f>IFERROR(__xludf.DUMMYFUNCTION("""COMPUTED_VALUE"""),"183971612740")</f>
        <v>183971612740</v>
      </c>
      <c r="D2017" s="21" t="str">
        <f>IFERROR(__xludf.DUMMYFUNCTION("""COMPUTED_VALUE"""),"DIGITEC TECNOLOGIA DIGITAL E REPRES")</f>
        <v>DIGITEC TECNOLOGIA DIGITAL E REPRES</v>
      </c>
      <c r="E2017" s="21">
        <f>IFERROR(__xludf.DUMMYFUNCTION("""COMPUTED_VALUE"""),145359.0)</f>
        <v>145359</v>
      </c>
      <c r="F2017" s="21" t="str">
        <f>IFERROR(__xludf.DUMMYFUNCTION("""COMPUTED_VALUE"""),"TRANSITO REVERSA")</f>
        <v>TRANSITO REVERSA</v>
      </c>
      <c r="G2017" s="23">
        <f>IFERROR(__xludf.DUMMYFUNCTION("""COMPUTED_VALUE"""),45638.52112268518)</f>
        <v>45638.52112</v>
      </c>
      <c r="H2017" s="24" t="str">
        <f>IFERROR(VLOOKUP(B2017,material!A:D,3,0),"")</f>
        <v>LEGADO</v>
      </c>
    </row>
    <row r="2018" ht="11.25" customHeight="1">
      <c r="A2018" s="21" t="str">
        <f>IFERROR(__xludf.DUMMYFUNCTION("""COMPUTED_VALUE"""),"THOMSON HIGH DEFINITION DCI713")</f>
        <v>THOMSON HIGH DEFINITION DCI713</v>
      </c>
      <c r="B2018" s="22">
        <f>IFERROR(__xludf.DUMMYFUNCTION("""COMPUTED_VALUE"""),4.1001273E7)</f>
        <v>41001273</v>
      </c>
      <c r="C2018" s="21" t="str">
        <f>IFERROR(__xludf.DUMMYFUNCTION("""COMPUTED_VALUE"""),"181267713041")</f>
        <v>181267713041</v>
      </c>
      <c r="D2018" s="21" t="str">
        <f>IFERROR(__xludf.DUMMYFUNCTION("""COMPUTED_VALUE"""),"DIGITEC TECNOLOGIA DIGITAL E REPRES")</f>
        <v>DIGITEC TECNOLOGIA DIGITAL E REPRES</v>
      </c>
      <c r="E2018" s="21">
        <f>IFERROR(__xludf.DUMMYFUNCTION("""COMPUTED_VALUE"""),145359.0)</f>
        <v>145359</v>
      </c>
      <c r="F2018" s="21" t="str">
        <f>IFERROR(__xludf.DUMMYFUNCTION("""COMPUTED_VALUE"""),"TRANSITO REVERSA")</f>
        <v>TRANSITO REVERSA</v>
      </c>
      <c r="G2018" s="23">
        <f>IFERROR(__xludf.DUMMYFUNCTION("""COMPUTED_VALUE"""),45617.87140046296)</f>
        <v>45617.8714</v>
      </c>
      <c r="H2018" s="24" t="str">
        <f>IFERROR(VLOOKUP(B2018,material!A:D,3,0),"")</f>
        <v>LEGADO</v>
      </c>
    </row>
    <row r="2019" ht="11.25" customHeight="1">
      <c r="A2019" s="21" t="str">
        <f>IFERROR(__xludf.DUMMYFUNCTION("""COMPUTED_VALUE"""),"THOMSON HIGH DEFINITION DCI713")</f>
        <v>THOMSON HIGH DEFINITION DCI713</v>
      </c>
      <c r="B2019" s="22">
        <f>IFERROR(__xludf.DUMMYFUNCTION("""COMPUTED_VALUE"""),4.1001273E7)</f>
        <v>41001273</v>
      </c>
      <c r="C2019" s="21" t="str">
        <f>IFERROR(__xludf.DUMMYFUNCTION("""COMPUTED_VALUE"""),"181442790925")</f>
        <v>181442790925</v>
      </c>
      <c r="D2019" s="21" t="str">
        <f>IFERROR(__xludf.DUMMYFUNCTION("""COMPUTED_VALUE"""),"DIGITEC TECNOLOGIA DIGITAL E REPRES")</f>
        <v>DIGITEC TECNOLOGIA DIGITAL E REPRES</v>
      </c>
      <c r="E2019" s="21">
        <f>IFERROR(__xludf.DUMMYFUNCTION("""COMPUTED_VALUE"""),145359.0)</f>
        <v>145359</v>
      </c>
      <c r="F2019" s="21" t="str">
        <f>IFERROR(__xludf.DUMMYFUNCTION("""COMPUTED_VALUE"""),"TRANSITO REVERSA")</f>
        <v>TRANSITO REVERSA</v>
      </c>
      <c r="G2019" s="23">
        <f>IFERROR(__xludf.DUMMYFUNCTION("""COMPUTED_VALUE"""),45617.87142361111)</f>
        <v>45617.87142</v>
      </c>
      <c r="H2019" s="24" t="str">
        <f>IFERROR(VLOOKUP(B2019,material!A:D,3,0),"")</f>
        <v>LEGADO</v>
      </c>
    </row>
    <row r="2020" ht="11.25" customHeight="1">
      <c r="A2020" s="21" t="str">
        <f>IFERROR(__xludf.DUMMYFUNCTION("""COMPUTED_VALUE"""),"THOMSON HIGH DEFINITION DCI713")</f>
        <v>THOMSON HIGH DEFINITION DCI713</v>
      </c>
      <c r="B2020" s="22">
        <f>IFERROR(__xludf.DUMMYFUNCTION("""COMPUTED_VALUE"""),4.1001273E7)</f>
        <v>41001273</v>
      </c>
      <c r="C2020" s="21" t="str">
        <f>IFERROR(__xludf.DUMMYFUNCTION("""COMPUTED_VALUE"""),"184230999704")</f>
        <v>184230999704</v>
      </c>
      <c r="D2020" s="21" t="str">
        <f>IFERROR(__xludf.DUMMYFUNCTION("""COMPUTED_VALUE"""),"DIGITEC TECNOLOGIA DIGITAL E REPRES")</f>
        <v>DIGITEC TECNOLOGIA DIGITAL E REPRES</v>
      </c>
      <c r="E2020" s="21">
        <f>IFERROR(__xludf.DUMMYFUNCTION("""COMPUTED_VALUE"""),145359.0)</f>
        <v>145359</v>
      </c>
      <c r="F2020" s="21" t="str">
        <f>IFERROR(__xludf.DUMMYFUNCTION("""COMPUTED_VALUE"""),"TRANSITO REVERSA")</f>
        <v>TRANSITO REVERSA</v>
      </c>
      <c r="G2020" s="23">
        <f>IFERROR(__xludf.DUMMYFUNCTION("""COMPUTED_VALUE"""),45633.003958333335)</f>
        <v>45633.00396</v>
      </c>
      <c r="H2020" s="24" t="str">
        <f>IFERROR(VLOOKUP(B2020,material!A:D,3,0),"")</f>
        <v>LEGADO</v>
      </c>
    </row>
    <row r="2021" ht="11.25" customHeight="1">
      <c r="A2021" s="21" t="str">
        <f>IFERROR(__xludf.DUMMYFUNCTION("""COMPUTED_VALUE"""),"THOMSON HIGH DEFINITION DCI713")</f>
        <v>THOMSON HIGH DEFINITION DCI713</v>
      </c>
      <c r="B2021" s="22">
        <f>IFERROR(__xludf.DUMMYFUNCTION("""COMPUTED_VALUE"""),4.1001273E7)</f>
        <v>41001273</v>
      </c>
      <c r="C2021" s="21" t="str">
        <f>IFERROR(__xludf.DUMMYFUNCTION("""COMPUTED_VALUE"""),"184170944853")</f>
        <v>184170944853</v>
      </c>
      <c r="D2021" s="21" t="str">
        <f>IFERROR(__xludf.DUMMYFUNCTION("""COMPUTED_VALUE"""),"DIGITEC TECNOLOGIA DIGITAL E REPRES")</f>
        <v>DIGITEC TECNOLOGIA DIGITAL E REPRES</v>
      </c>
      <c r="E2021" s="21">
        <f>IFERROR(__xludf.DUMMYFUNCTION("""COMPUTED_VALUE"""),145359.0)</f>
        <v>145359</v>
      </c>
      <c r="F2021" s="21" t="str">
        <f>IFERROR(__xludf.DUMMYFUNCTION("""COMPUTED_VALUE"""),"TRANSITO REVERSA")</f>
        <v>TRANSITO REVERSA</v>
      </c>
      <c r="G2021" s="23">
        <f>IFERROR(__xludf.DUMMYFUNCTION("""COMPUTED_VALUE"""),45617.87140046296)</f>
        <v>45617.8714</v>
      </c>
      <c r="H2021" s="24" t="str">
        <f>IFERROR(VLOOKUP(B2021,material!A:D,3,0),"")</f>
        <v>LEGADO</v>
      </c>
    </row>
    <row r="2022" ht="11.25" customHeight="1">
      <c r="A2022" s="21" t="str">
        <f>IFERROR(__xludf.DUMMYFUNCTION("""COMPUTED_VALUE"""),"PACE - HIGH DEFINITION DCR7411")</f>
        <v>PACE - HIGH DEFINITION DCR7411</v>
      </c>
      <c r="B2022" s="22">
        <f>IFERROR(__xludf.DUMMYFUNCTION("""COMPUTED_VALUE"""),4.1001216E7)</f>
        <v>41001216</v>
      </c>
      <c r="C2022" s="21" t="str">
        <f>IFERROR(__xludf.DUMMYFUNCTION("""COMPUTED_VALUE"""),"184041321530")</f>
        <v>184041321530</v>
      </c>
      <c r="D2022" s="21" t="str">
        <f>IFERROR(__xludf.DUMMYFUNCTION("""COMPUTED_VALUE"""),"DIGITEC TECNOLOGIA DIGITAL E REPRES")</f>
        <v>DIGITEC TECNOLOGIA DIGITAL E REPRES</v>
      </c>
      <c r="E2022" s="21">
        <f>IFERROR(__xludf.DUMMYFUNCTION("""COMPUTED_VALUE"""),145359.0)</f>
        <v>145359</v>
      </c>
      <c r="F2022" s="21" t="str">
        <f>IFERROR(__xludf.DUMMYFUNCTION("""COMPUTED_VALUE"""),"TRANSITO REVERSA")</f>
        <v>TRANSITO REVERSA</v>
      </c>
      <c r="G2022" s="23">
        <f>IFERROR(__xludf.DUMMYFUNCTION("""COMPUTED_VALUE"""),45626.29872685185)</f>
        <v>45626.29873</v>
      </c>
      <c r="H2022" s="24" t="str">
        <f>IFERROR(VLOOKUP(B2022,material!A:D,3,0),"")</f>
        <v>LEGADO</v>
      </c>
    </row>
    <row r="2023" ht="11.25" customHeight="1">
      <c r="A2023" s="21" t="str">
        <f>IFERROR(__xludf.DUMMYFUNCTION("""COMPUTED_VALUE"""),"PACE - HIGH DEFINITION DCR7411")</f>
        <v>PACE - HIGH DEFINITION DCR7411</v>
      </c>
      <c r="B2023" s="22">
        <f>IFERROR(__xludf.DUMMYFUNCTION("""COMPUTED_VALUE"""),4.1001216E7)</f>
        <v>41001216</v>
      </c>
      <c r="C2023" s="21" t="str">
        <f>IFERROR(__xludf.DUMMYFUNCTION("""COMPUTED_VALUE"""),"181500556584")</f>
        <v>181500556584</v>
      </c>
      <c r="D2023" s="21" t="str">
        <f>IFERROR(__xludf.DUMMYFUNCTION("""COMPUTED_VALUE"""),"DIGITEC TECNOLOGIA DIGITAL E REPRES")</f>
        <v>DIGITEC TECNOLOGIA DIGITAL E REPRES</v>
      </c>
      <c r="E2023" s="21">
        <f>IFERROR(__xludf.DUMMYFUNCTION("""COMPUTED_VALUE"""),145359.0)</f>
        <v>145359</v>
      </c>
      <c r="F2023" s="21" t="str">
        <f>IFERROR(__xludf.DUMMYFUNCTION("""COMPUTED_VALUE"""),"TRANSITO REVERSA")</f>
        <v>TRANSITO REVERSA</v>
      </c>
      <c r="G2023" s="23">
        <f>IFERROR(__xludf.DUMMYFUNCTION("""COMPUTED_VALUE"""),45617.87137731482)</f>
        <v>45617.87138</v>
      </c>
      <c r="H2023" s="24" t="str">
        <f>IFERROR(VLOOKUP(B2023,material!A:D,3,0),"")</f>
        <v>LEGADO</v>
      </c>
    </row>
    <row r="2024" ht="11.25" customHeight="1">
      <c r="A2024" s="21" t="str">
        <f>IFERROR(__xludf.DUMMYFUNCTION("""COMPUTED_VALUE"""),"PACE - HIGH DEFINITION DCR7411")</f>
        <v>PACE - HIGH DEFINITION DCR7411</v>
      </c>
      <c r="B2024" s="22">
        <f>IFERROR(__xludf.DUMMYFUNCTION("""COMPUTED_VALUE"""),4.1001216E7)</f>
        <v>41001216</v>
      </c>
      <c r="C2024" s="21" t="str">
        <f>IFERROR(__xludf.DUMMYFUNCTION("""COMPUTED_VALUE"""),"181407118699")</f>
        <v>181407118699</v>
      </c>
      <c r="D2024" s="21" t="str">
        <f>IFERROR(__xludf.DUMMYFUNCTION("""COMPUTED_VALUE"""),"DIGITEC TECNOLOGIA DIGITAL E REPRES")</f>
        <v>DIGITEC TECNOLOGIA DIGITAL E REPRES</v>
      </c>
      <c r="E2024" s="21">
        <f>IFERROR(__xludf.DUMMYFUNCTION("""COMPUTED_VALUE"""),145359.0)</f>
        <v>145359</v>
      </c>
      <c r="F2024" s="21" t="str">
        <f>IFERROR(__xludf.DUMMYFUNCTION("""COMPUTED_VALUE"""),"TRANSITO REVERSA")</f>
        <v>TRANSITO REVERSA</v>
      </c>
      <c r="G2024" s="23">
        <f>IFERROR(__xludf.DUMMYFUNCTION("""COMPUTED_VALUE"""),45617.87138888889)</f>
        <v>45617.87139</v>
      </c>
      <c r="H2024" s="24" t="str">
        <f>IFERROR(VLOOKUP(B2024,material!A:D,3,0),"")</f>
        <v>LEGADO</v>
      </c>
    </row>
    <row r="2025" ht="11.25" customHeight="1">
      <c r="A2025" s="21" t="str">
        <f>IFERROR(__xludf.DUMMYFUNCTION("""COMPUTED_VALUE"""),"PACE - HIGH DEFINITION DCR7411")</f>
        <v>PACE - HIGH DEFINITION DCR7411</v>
      </c>
      <c r="B2025" s="22">
        <f>IFERROR(__xludf.DUMMYFUNCTION("""COMPUTED_VALUE"""),4.1001216E7)</f>
        <v>41001216</v>
      </c>
      <c r="C2025" s="21" t="str">
        <f>IFERROR(__xludf.DUMMYFUNCTION("""COMPUTED_VALUE"""),"181458711435")</f>
        <v>181458711435</v>
      </c>
      <c r="D2025" s="21" t="str">
        <f>IFERROR(__xludf.DUMMYFUNCTION("""COMPUTED_VALUE"""),"DIGITEC TECNOLOGIA DIGITAL E REPRES")</f>
        <v>DIGITEC TECNOLOGIA DIGITAL E REPRES</v>
      </c>
      <c r="E2025" s="21">
        <f>IFERROR(__xludf.DUMMYFUNCTION("""COMPUTED_VALUE"""),145359.0)</f>
        <v>145359</v>
      </c>
      <c r="F2025" s="21" t="str">
        <f>IFERROR(__xludf.DUMMYFUNCTION("""COMPUTED_VALUE"""),"TRANSITO REVERSA")</f>
        <v>TRANSITO REVERSA</v>
      </c>
      <c r="G2025" s="23">
        <f>IFERROR(__xludf.DUMMYFUNCTION("""COMPUTED_VALUE"""),45638.52111111111)</f>
        <v>45638.52111</v>
      </c>
      <c r="H2025" s="24" t="str">
        <f>IFERROR(VLOOKUP(B2025,material!A:D,3,0),"")</f>
        <v>LEGADO</v>
      </c>
    </row>
    <row r="2026" ht="11.25" customHeight="1">
      <c r="A2026" s="21" t="str">
        <f>IFERROR(__xludf.DUMMYFUNCTION("""COMPUTED_VALUE"""),"PACE - HIGH DEFINITION DCR7411")</f>
        <v>PACE - HIGH DEFINITION DCR7411</v>
      </c>
      <c r="B2026" s="22">
        <f>IFERROR(__xludf.DUMMYFUNCTION("""COMPUTED_VALUE"""),4.1001216E7)</f>
        <v>41001216</v>
      </c>
      <c r="C2026" s="21" t="str">
        <f>IFERROR(__xludf.DUMMYFUNCTION("""COMPUTED_VALUE"""),"177265270619")</f>
        <v>177265270619</v>
      </c>
      <c r="D2026" s="21" t="str">
        <f>IFERROR(__xludf.DUMMYFUNCTION("""COMPUTED_VALUE"""),"DIGITEC TECNOLOGIA DIGITAL E REPRES")</f>
        <v>DIGITEC TECNOLOGIA DIGITAL E REPRES</v>
      </c>
      <c r="E2026" s="21">
        <f>IFERROR(__xludf.DUMMYFUNCTION("""COMPUTED_VALUE"""),145359.0)</f>
        <v>145359</v>
      </c>
      <c r="F2026" s="21" t="str">
        <f>IFERROR(__xludf.DUMMYFUNCTION("""COMPUTED_VALUE"""),"TRANSITO REVERSA")</f>
        <v>TRANSITO REVERSA</v>
      </c>
      <c r="G2026" s="23">
        <f>IFERROR(__xludf.DUMMYFUNCTION("""COMPUTED_VALUE"""),45638.520648148144)</f>
        <v>45638.52065</v>
      </c>
      <c r="H2026" s="24" t="str">
        <f>IFERROR(VLOOKUP(B2026,material!A:D,3,0),"")</f>
        <v>LEGADO</v>
      </c>
    </row>
    <row r="2027" ht="11.25" customHeight="1">
      <c r="A2027" s="21" t="str">
        <f>IFERROR(__xludf.DUMMYFUNCTION("""COMPUTED_VALUE"""),"PACE - HIGH DEFINITION DCR7411")</f>
        <v>PACE - HIGH DEFINITION DCR7411</v>
      </c>
      <c r="B2027" s="22">
        <f>IFERROR(__xludf.DUMMYFUNCTION("""COMPUTED_VALUE"""),4.1001216E7)</f>
        <v>41001216</v>
      </c>
      <c r="C2027" s="21" t="str">
        <f>IFERROR(__xludf.DUMMYFUNCTION("""COMPUTED_VALUE"""),"175210539617")</f>
        <v>175210539617</v>
      </c>
      <c r="D2027" s="21" t="str">
        <f>IFERROR(__xludf.DUMMYFUNCTION("""COMPUTED_VALUE"""),"DIGITEC TECNOLOGIA DIGITAL E REPRES")</f>
        <v>DIGITEC TECNOLOGIA DIGITAL E REPRES</v>
      </c>
      <c r="E2027" s="21">
        <f>IFERROR(__xludf.DUMMYFUNCTION("""COMPUTED_VALUE"""),145359.0)</f>
        <v>145359</v>
      </c>
      <c r="F2027" s="21" t="str">
        <f>IFERROR(__xludf.DUMMYFUNCTION("""COMPUTED_VALUE"""),"TRANSITO REVERSA")</f>
        <v>TRANSITO REVERSA</v>
      </c>
      <c r="G2027" s="23">
        <f>IFERROR(__xludf.DUMMYFUNCTION("""COMPUTED_VALUE"""),45638.520625000005)</f>
        <v>45638.52063</v>
      </c>
      <c r="H2027" s="24" t="str">
        <f>IFERROR(VLOOKUP(B2027,material!A:D,3,0),"")</f>
        <v>LEGADO</v>
      </c>
    </row>
    <row r="2028" ht="11.25" customHeight="1">
      <c r="A2028" s="21" t="str">
        <f>IFERROR(__xludf.DUMMYFUNCTION("""COMPUTED_VALUE"""),"PACE - HIGH DEFINITION DCR7411")</f>
        <v>PACE - HIGH DEFINITION DCR7411</v>
      </c>
      <c r="B2028" s="22">
        <f>IFERROR(__xludf.DUMMYFUNCTION("""COMPUTED_VALUE"""),4.1001216E7)</f>
        <v>41001216</v>
      </c>
      <c r="C2028" s="21" t="str">
        <f>IFERROR(__xludf.DUMMYFUNCTION("""COMPUTED_VALUE"""),"175186671620")</f>
        <v>175186671620</v>
      </c>
      <c r="D2028" s="21" t="str">
        <f>IFERROR(__xludf.DUMMYFUNCTION("""COMPUTED_VALUE"""),"DIGITEC TECNOLOGIA DIGITAL E REPRES")</f>
        <v>DIGITEC TECNOLOGIA DIGITAL E REPRES</v>
      </c>
      <c r="E2028" s="21">
        <f>IFERROR(__xludf.DUMMYFUNCTION("""COMPUTED_VALUE"""),145359.0)</f>
        <v>145359</v>
      </c>
      <c r="F2028" s="21" t="str">
        <f>IFERROR(__xludf.DUMMYFUNCTION("""COMPUTED_VALUE"""),"TRANSITO REVERSA")</f>
        <v>TRANSITO REVERSA</v>
      </c>
      <c r="G2028" s="23">
        <f>IFERROR(__xludf.DUMMYFUNCTION("""COMPUTED_VALUE"""),45633.00396990741)</f>
        <v>45633.00397</v>
      </c>
      <c r="H2028" s="24" t="str">
        <f>IFERROR(VLOOKUP(B2028,material!A:D,3,0),"")</f>
        <v>LEGADO</v>
      </c>
    </row>
    <row r="2029" ht="11.25" customHeight="1">
      <c r="A2029" s="21" t="str">
        <f>IFERROR(__xludf.DUMMYFUNCTION("""COMPUTED_VALUE"""),"SMART CARD LARANJA")</f>
        <v>SMART CARD LARANJA</v>
      </c>
      <c r="B2029" s="22">
        <f>IFERROR(__xludf.DUMMYFUNCTION("""COMPUTED_VALUE"""),4.1001186E7)</f>
        <v>41001186</v>
      </c>
      <c r="C2029" s="21" t="str">
        <f>IFERROR(__xludf.DUMMYFUNCTION("""COMPUTED_VALUE"""),"226540771636")</f>
        <v>226540771636</v>
      </c>
      <c r="D2029" s="21" t="str">
        <f>IFERROR(__xludf.DUMMYFUNCTION("""COMPUTED_VALUE"""),"DIGITEC TECNOLOGIA DIGITAL E REPRES")</f>
        <v>DIGITEC TECNOLOGIA DIGITAL E REPRES</v>
      </c>
      <c r="E2029" s="21">
        <f>IFERROR(__xludf.DUMMYFUNCTION("""COMPUTED_VALUE"""),145359.0)</f>
        <v>145359</v>
      </c>
      <c r="F2029" s="21" t="str">
        <f>IFERROR(__xludf.DUMMYFUNCTION("""COMPUTED_VALUE"""),"TRANSITO REVERSA")</f>
        <v>TRANSITO REVERSA</v>
      </c>
      <c r="G2029" s="23">
        <f>IFERROR(__xludf.DUMMYFUNCTION("""COMPUTED_VALUE"""),45617.87142361111)</f>
        <v>45617.87142</v>
      </c>
      <c r="H2029" s="24" t="str">
        <f>IFERROR(VLOOKUP(B2029,material!A:D,3,0),"")</f>
        <v>CARD</v>
      </c>
    </row>
    <row r="2030" ht="11.25" customHeight="1">
      <c r="A2030" s="21" t="str">
        <f>IFERROR(__xludf.DUMMYFUNCTION("""COMPUTED_VALUE"""),"SMART CARD LARANJA")</f>
        <v>SMART CARD LARANJA</v>
      </c>
      <c r="B2030" s="22">
        <f>IFERROR(__xludf.DUMMYFUNCTION("""COMPUTED_VALUE"""),4.1001186E7)</f>
        <v>41001186</v>
      </c>
      <c r="C2030" s="21" t="str">
        <f>IFERROR(__xludf.DUMMYFUNCTION("""COMPUTED_VALUE"""),"215604626877")</f>
        <v>215604626877</v>
      </c>
      <c r="D2030" s="21" t="str">
        <f>IFERROR(__xludf.DUMMYFUNCTION("""COMPUTED_VALUE"""),"DIGITEC TECNOLOGIA DIGITAL E REPRES")</f>
        <v>DIGITEC TECNOLOGIA DIGITAL E REPRES</v>
      </c>
      <c r="E2030" s="21">
        <f>IFERROR(__xludf.DUMMYFUNCTION("""COMPUTED_VALUE"""),145359.0)</f>
        <v>145359</v>
      </c>
      <c r="F2030" s="21" t="str">
        <f>IFERROR(__xludf.DUMMYFUNCTION("""COMPUTED_VALUE"""),"TRANSITO REVERSA")</f>
        <v>TRANSITO REVERSA</v>
      </c>
      <c r="G2030" s="23">
        <f>IFERROR(__xludf.DUMMYFUNCTION("""COMPUTED_VALUE"""),45633.00340277777)</f>
        <v>45633.0034</v>
      </c>
      <c r="H2030" s="24" t="str">
        <f>IFERROR(VLOOKUP(B2030,material!A:D,3,0),"")</f>
        <v>CARD</v>
      </c>
    </row>
    <row r="2031" ht="11.25" customHeight="1">
      <c r="A2031" s="21" t="str">
        <f>IFERROR(__xludf.DUMMYFUNCTION("""COMPUTED_VALUE"""),"SMART CARD LARANJA NAGRA")</f>
        <v>SMART CARD LARANJA NAGRA</v>
      </c>
      <c r="B2031" s="22">
        <f>IFERROR(__xludf.DUMMYFUNCTION("""COMPUTED_VALUE"""),4.1001186E7)</f>
        <v>41001186</v>
      </c>
      <c r="C2031" s="21" t="str">
        <f>IFERROR(__xludf.DUMMYFUNCTION("""COMPUTED_VALUE"""),"226671880627")</f>
        <v>226671880627</v>
      </c>
      <c r="D2031" s="21" t="str">
        <f>IFERROR(__xludf.DUMMYFUNCTION("""COMPUTED_VALUE"""),"DIGITEC TECNOLOGIA DIGITAL E REPRES")</f>
        <v>DIGITEC TECNOLOGIA DIGITAL E REPRES</v>
      </c>
      <c r="E2031" s="21">
        <f>IFERROR(__xludf.DUMMYFUNCTION("""COMPUTED_VALUE"""),145359.0)</f>
        <v>145359</v>
      </c>
      <c r="F2031" s="21" t="str">
        <f>IFERROR(__xludf.DUMMYFUNCTION("""COMPUTED_VALUE"""),"TRANSITO REVERSA")</f>
        <v>TRANSITO REVERSA</v>
      </c>
      <c r="G2031" s="23">
        <f>IFERROR(__xludf.DUMMYFUNCTION("""COMPUTED_VALUE"""),45638.520636574074)</f>
        <v>45638.52064</v>
      </c>
      <c r="H2031" s="24" t="str">
        <f>IFERROR(VLOOKUP(B2031,material!A:D,3,0),"")</f>
        <v>CARD</v>
      </c>
    </row>
    <row r="2032" ht="11.25" customHeight="1">
      <c r="A2032" s="21" t="str">
        <f>IFERROR(__xludf.DUMMYFUNCTION("""COMPUTED_VALUE"""),"SMART CARD LARANJA NAGRA")</f>
        <v>SMART CARD LARANJA NAGRA</v>
      </c>
      <c r="B2032" s="22">
        <f>IFERROR(__xludf.DUMMYFUNCTION("""COMPUTED_VALUE"""),4.1001186E7)</f>
        <v>41001186</v>
      </c>
      <c r="C2032" s="21" t="str">
        <f>IFERROR(__xludf.DUMMYFUNCTION("""COMPUTED_VALUE"""),"226763059300")</f>
        <v>226763059300</v>
      </c>
      <c r="D2032" s="21" t="str">
        <f>IFERROR(__xludf.DUMMYFUNCTION("""COMPUTED_VALUE"""),"DIGITEC TECNOLOGIA DIGITAL E REPRES")</f>
        <v>DIGITEC TECNOLOGIA DIGITAL E REPRES</v>
      </c>
      <c r="E2032" s="21">
        <f>IFERROR(__xludf.DUMMYFUNCTION("""COMPUTED_VALUE"""),145359.0)</f>
        <v>145359</v>
      </c>
      <c r="F2032" s="21" t="str">
        <f>IFERROR(__xludf.DUMMYFUNCTION("""COMPUTED_VALUE"""),"TRANSITO REVERSA")</f>
        <v>TRANSITO REVERSA</v>
      </c>
      <c r="G2032" s="23">
        <f>IFERROR(__xludf.DUMMYFUNCTION("""COMPUTED_VALUE"""),45633.00340277777)</f>
        <v>45633.0034</v>
      </c>
      <c r="H2032" s="24" t="str">
        <f>IFERROR(VLOOKUP(B2032,material!A:D,3,0),"")</f>
        <v>CARD</v>
      </c>
    </row>
    <row r="2033" ht="11.25" customHeight="1">
      <c r="A2033" s="21" t="str">
        <f>IFERROR(__xludf.DUMMYFUNCTION("""COMPUTED_VALUE"""),"SMART CARD LARANJA NAGRA")</f>
        <v>SMART CARD LARANJA NAGRA</v>
      </c>
      <c r="B2033" s="22">
        <f>IFERROR(__xludf.DUMMYFUNCTION("""COMPUTED_VALUE"""),4.1001186E7)</f>
        <v>41001186</v>
      </c>
      <c r="C2033" s="21" t="str">
        <f>IFERROR(__xludf.DUMMYFUNCTION("""COMPUTED_VALUE"""),"226716238401")</f>
        <v>226716238401</v>
      </c>
      <c r="D2033" s="21" t="str">
        <f>IFERROR(__xludf.DUMMYFUNCTION("""COMPUTED_VALUE"""),"DIGITEC TECNOLOGIA DIGITAL E REPRES")</f>
        <v>DIGITEC TECNOLOGIA DIGITAL E REPRES</v>
      </c>
      <c r="E2033" s="21">
        <f>IFERROR(__xludf.DUMMYFUNCTION("""COMPUTED_VALUE"""),145359.0)</f>
        <v>145359</v>
      </c>
      <c r="F2033" s="21" t="str">
        <f>IFERROR(__xludf.DUMMYFUNCTION("""COMPUTED_VALUE"""),"TRANSITO REVERSA")</f>
        <v>TRANSITO REVERSA</v>
      </c>
      <c r="G2033" s="23">
        <f>IFERROR(__xludf.DUMMYFUNCTION("""COMPUTED_VALUE"""),45617.87180555555)</f>
        <v>45617.87181</v>
      </c>
      <c r="H2033" s="24" t="str">
        <f>IFERROR(VLOOKUP(B2033,material!A:D,3,0),"")</f>
        <v>CARD</v>
      </c>
    </row>
    <row r="2034" ht="11.25" customHeight="1">
      <c r="A2034" s="21" t="str">
        <f>IFERROR(__xludf.DUMMYFUNCTION("""COMPUTED_VALUE"""),"SMART CARD LARANJA NAGRA")</f>
        <v>SMART CARD LARANJA NAGRA</v>
      </c>
      <c r="B2034" s="22">
        <f>IFERROR(__xludf.DUMMYFUNCTION("""COMPUTED_VALUE"""),4.1001186E7)</f>
        <v>41001186</v>
      </c>
      <c r="C2034" s="21" t="str">
        <f>IFERROR(__xludf.DUMMYFUNCTION("""COMPUTED_VALUE"""),"226794799097")</f>
        <v>226794799097</v>
      </c>
      <c r="D2034" s="21" t="str">
        <f>IFERROR(__xludf.DUMMYFUNCTION("""COMPUTED_VALUE"""),"DIGITEC TECNOLOGIA DIGITAL E REPRES")</f>
        <v>DIGITEC TECNOLOGIA DIGITAL E REPRES</v>
      </c>
      <c r="E2034" s="21">
        <f>IFERROR(__xludf.DUMMYFUNCTION("""COMPUTED_VALUE"""),145359.0)</f>
        <v>145359</v>
      </c>
      <c r="F2034" s="21" t="str">
        <f>IFERROR(__xludf.DUMMYFUNCTION("""COMPUTED_VALUE"""),"TRANSITO REVERSA")</f>
        <v>TRANSITO REVERSA</v>
      </c>
      <c r="G2034" s="23">
        <f>IFERROR(__xludf.DUMMYFUNCTION("""COMPUTED_VALUE"""),45617.87140046296)</f>
        <v>45617.8714</v>
      </c>
      <c r="H2034" s="24" t="str">
        <f>IFERROR(VLOOKUP(B2034,material!A:D,3,0),"")</f>
        <v>CARD</v>
      </c>
    </row>
    <row r="2035" ht="11.25" customHeight="1">
      <c r="A2035" s="21" t="str">
        <f>IFERROR(__xludf.DUMMYFUNCTION("""COMPUTED_VALUE"""),"SMART CARD LARANJA NAGRA")</f>
        <v>SMART CARD LARANJA NAGRA</v>
      </c>
      <c r="B2035" s="22">
        <f>IFERROR(__xludf.DUMMYFUNCTION("""COMPUTED_VALUE"""),4.1001186E7)</f>
        <v>41001186</v>
      </c>
      <c r="C2035" s="21" t="str">
        <f>IFERROR(__xludf.DUMMYFUNCTION("""COMPUTED_VALUE"""),"226578412840")</f>
        <v>226578412840</v>
      </c>
      <c r="D2035" s="21" t="str">
        <f>IFERROR(__xludf.DUMMYFUNCTION("""COMPUTED_VALUE"""),"DIGITEC TECNOLOGIA DIGITAL E REPRES")</f>
        <v>DIGITEC TECNOLOGIA DIGITAL E REPRES</v>
      </c>
      <c r="E2035" s="21">
        <f>IFERROR(__xludf.DUMMYFUNCTION("""COMPUTED_VALUE"""),145359.0)</f>
        <v>145359</v>
      </c>
      <c r="F2035" s="21" t="str">
        <f>IFERROR(__xludf.DUMMYFUNCTION("""COMPUTED_VALUE"""),"TRANSITO REVERSA")</f>
        <v>TRANSITO REVERSA</v>
      </c>
      <c r="G2035" s="23">
        <f>IFERROR(__xludf.DUMMYFUNCTION("""COMPUTED_VALUE"""),45617.87240740741)</f>
        <v>45617.87241</v>
      </c>
      <c r="H2035" s="24" t="str">
        <f>IFERROR(VLOOKUP(B2035,material!A:D,3,0),"")</f>
        <v>CARD</v>
      </c>
    </row>
    <row r="2036" ht="11.25" customHeight="1">
      <c r="A2036" s="21" t="str">
        <f>IFERROR(__xludf.DUMMYFUNCTION("""COMPUTED_VALUE"""),"SMART CARD LARANJA NAGRA")</f>
        <v>SMART CARD LARANJA NAGRA</v>
      </c>
      <c r="B2036" s="22">
        <f>IFERROR(__xludf.DUMMYFUNCTION("""COMPUTED_VALUE"""),4.1001186E7)</f>
        <v>41001186</v>
      </c>
      <c r="C2036" s="21" t="str">
        <f>IFERROR(__xludf.DUMMYFUNCTION("""COMPUTED_VALUE"""),"226585359107")</f>
        <v>226585359107</v>
      </c>
      <c r="D2036" s="21" t="str">
        <f>IFERROR(__xludf.DUMMYFUNCTION("""COMPUTED_VALUE"""),"DIGITEC TECNOLOGIA DIGITAL E REPRES")</f>
        <v>DIGITEC TECNOLOGIA DIGITAL E REPRES</v>
      </c>
      <c r="E2036" s="21">
        <f>IFERROR(__xludf.DUMMYFUNCTION("""COMPUTED_VALUE"""),145359.0)</f>
        <v>145359</v>
      </c>
      <c r="F2036" s="21" t="str">
        <f>IFERROR(__xludf.DUMMYFUNCTION("""COMPUTED_VALUE"""),"TRANSITO REVERSA")</f>
        <v>TRANSITO REVERSA</v>
      </c>
      <c r="G2036" s="23">
        <f>IFERROR(__xludf.DUMMYFUNCTION("""COMPUTED_VALUE"""),45617.87180555555)</f>
        <v>45617.87181</v>
      </c>
      <c r="H2036" s="24" t="str">
        <f>IFERROR(VLOOKUP(B2036,material!A:D,3,0),"")</f>
        <v>CARD</v>
      </c>
    </row>
    <row r="2037" ht="11.25" customHeight="1">
      <c r="A2037" s="21" t="str">
        <f>IFERROR(__xludf.DUMMYFUNCTION("""COMPUTED_VALUE"""),"SMART CARD LARANJA NAGRA")</f>
        <v>SMART CARD LARANJA NAGRA</v>
      </c>
      <c r="B2037" s="22">
        <f>IFERROR(__xludf.DUMMYFUNCTION("""COMPUTED_VALUE"""),4.1001186E7)</f>
        <v>41001186</v>
      </c>
      <c r="C2037" s="21" t="str">
        <f>IFERROR(__xludf.DUMMYFUNCTION("""COMPUTED_VALUE"""),"225977241229")</f>
        <v>225977241229</v>
      </c>
      <c r="D2037" s="21" t="str">
        <f>IFERROR(__xludf.DUMMYFUNCTION("""COMPUTED_VALUE"""),"DIGITEC TECNOLOGIA DIGITAL E REPRES")</f>
        <v>DIGITEC TECNOLOGIA DIGITAL E REPRES</v>
      </c>
      <c r="E2037" s="21">
        <f>IFERROR(__xludf.DUMMYFUNCTION("""COMPUTED_VALUE"""),145359.0)</f>
        <v>145359</v>
      </c>
      <c r="F2037" s="21" t="str">
        <f>IFERROR(__xludf.DUMMYFUNCTION("""COMPUTED_VALUE"""),"TRANSITO REVERSA")</f>
        <v>TRANSITO REVERSA</v>
      </c>
      <c r="G2037" s="23">
        <f>IFERROR(__xludf.DUMMYFUNCTION("""COMPUTED_VALUE"""),45633.00396990741)</f>
        <v>45633.00397</v>
      </c>
      <c r="H2037" s="24" t="str">
        <f>IFERROR(VLOOKUP(B2037,material!A:D,3,0),"")</f>
        <v>CARD</v>
      </c>
    </row>
    <row r="2038" ht="11.25" customHeight="1">
      <c r="A2038" s="21" t="str">
        <f>IFERROR(__xludf.DUMMYFUNCTION("""COMPUTED_VALUE"""),"SMART CARD LARANJA NAGRA")</f>
        <v>SMART CARD LARANJA NAGRA</v>
      </c>
      <c r="B2038" s="22">
        <f>IFERROR(__xludf.DUMMYFUNCTION("""COMPUTED_VALUE"""),4.1001186E7)</f>
        <v>41001186</v>
      </c>
      <c r="C2038" s="21" t="str">
        <f>IFERROR(__xludf.DUMMYFUNCTION("""COMPUTED_VALUE"""),"225922161420")</f>
        <v>225922161420</v>
      </c>
      <c r="D2038" s="21" t="str">
        <f>IFERROR(__xludf.DUMMYFUNCTION("""COMPUTED_VALUE"""),"DIGITEC TECNOLOGIA DIGITAL E REPRES")</f>
        <v>DIGITEC TECNOLOGIA DIGITAL E REPRES</v>
      </c>
      <c r="E2038" s="21">
        <f>IFERROR(__xludf.DUMMYFUNCTION("""COMPUTED_VALUE"""),145359.0)</f>
        <v>145359</v>
      </c>
      <c r="F2038" s="21" t="str">
        <f>IFERROR(__xludf.DUMMYFUNCTION("""COMPUTED_VALUE"""),"TRANSITO REVERSA")</f>
        <v>TRANSITO REVERSA</v>
      </c>
      <c r="G2038" s="23">
        <f>IFERROR(__xludf.DUMMYFUNCTION("""COMPUTED_VALUE"""),45617.87137731482)</f>
        <v>45617.87138</v>
      </c>
      <c r="H2038" s="24" t="str">
        <f>IFERROR(VLOOKUP(B2038,material!A:D,3,0),"")</f>
        <v>CARD</v>
      </c>
    </row>
    <row r="2039" ht="11.25" customHeight="1">
      <c r="A2039" s="21" t="str">
        <f>IFERROR(__xludf.DUMMYFUNCTION("""COMPUTED_VALUE"""),"SMART CARD LARANJA NAGRA")</f>
        <v>SMART CARD LARANJA NAGRA</v>
      </c>
      <c r="B2039" s="22">
        <f>IFERROR(__xludf.DUMMYFUNCTION("""COMPUTED_VALUE"""),4.1001186E7)</f>
        <v>41001186</v>
      </c>
      <c r="C2039" s="21" t="str">
        <f>IFERROR(__xludf.DUMMYFUNCTION("""COMPUTED_VALUE"""),"225857611529")</f>
        <v>225857611529</v>
      </c>
      <c r="D2039" s="21" t="str">
        <f>IFERROR(__xludf.DUMMYFUNCTION("""COMPUTED_VALUE"""),"DIGITEC TECNOLOGIA DIGITAL E REPRES")</f>
        <v>DIGITEC TECNOLOGIA DIGITAL E REPRES</v>
      </c>
      <c r="E2039" s="21">
        <f>IFERROR(__xludf.DUMMYFUNCTION("""COMPUTED_VALUE"""),145359.0)</f>
        <v>145359</v>
      </c>
      <c r="F2039" s="21" t="str">
        <f>IFERROR(__xludf.DUMMYFUNCTION("""COMPUTED_VALUE"""),"TRANSITO REVERSA")</f>
        <v>TRANSITO REVERSA</v>
      </c>
      <c r="G2039" s="23">
        <f>IFERROR(__xludf.DUMMYFUNCTION("""COMPUTED_VALUE"""),45633.003958333335)</f>
        <v>45633.00396</v>
      </c>
      <c r="H2039" s="24" t="str">
        <f>IFERROR(VLOOKUP(B2039,material!A:D,3,0),"")</f>
        <v>CARD</v>
      </c>
    </row>
    <row r="2040" ht="11.25" customHeight="1">
      <c r="A2040" s="21" t="str">
        <f>IFERROR(__xludf.DUMMYFUNCTION("""COMPUTED_VALUE"""),"SMART CARD LARANJA NAGRA")</f>
        <v>SMART CARD LARANJA NAGRA</v>
      </c>
      <c r="B2040" s="22">
        <f>IFERROR(__xludf.DUMMYFUNCTION("""COMPUTED_VALUE"""),4.1001186E7)</f>
        <v>41001186</v>
      </c>
      <c r="C2040" s="21" t="str">
        <f>IFERROR(__xludf.DUMMYFUNCTION("""COMPUTED_VALUE"""),"215989841218")</f>
        <v>215989841218</v>
      </c>
      <c r="D2040" s="21" t="str">
        <f>IFERROR(__xludf.DUMMYFUNCTION("""COMPUTED_VALUE"""),"DIGITEC TECNOLOGIA DIGITAL E REPRES")</f>
        <v>DIGITEC TECNOLOGIA DIGITAL E REPRES</v>
      </c>
      <c r="E2040" s="21">
        <f>IFERROR(__xludf.DUMMYFUNCTION("""COMPUTED_VALUE"""),145359.0)</f>
        <v>145359</v>
      </c>
      <c r="F2040" s="21" t="str">
        <f>IFERROR(__xludf.DUMMYFUNCTION("""COMPUTED_VALUE"""),"TRANSITO REVERSA")</f>
        <v>TRANSITO REVERSA</v>
      </c>
      <c r="G2040" s="23">
        <f>IFERROR(__xludf.DUMMYFUNCTION("""COMPUTED_VALUE"""),45617.87143518518)</f>
        <v>45617.87144</v>
      </c>
      <c r="H2040" s="24" t="str">
        <f>IFERROR(VLOOKUP(B2040,material!A:D,3,0),"")</f>
        <v>CARD</v>
      </c>
    </row>
    <row r="2041" ht="11.25" customHeight="1">
      <c r="A2041" s="21" t="str">
        <f>IFERROR(__xludf.DUMMYFUNCTION("""COMPUTED_VALUE"""),"SMART CARD LARANJA NAGRA")</f>
        <v>SMART CARD LARANJA NAGRA</v>
      </c>
      <c r="B2041" s="22">
        <f>IFERROR(__xludf.DUMMYFUNCTION("""COMPUTED_VALUE"""),4.1001186E7)</f>
        <v>41001186</v>
      </c>
      <c r="C2041" s="21" t="str">
        <f>IFERROR(__xludf.DUMMYFUNCTION("""COMPUTED_VALUE"""),"215919596180")</f>
        <v>215919596180</v>
      </c>
      <c r="D2041" s="21" t="str">
        <f>IFERROR(__xludf.DUMMYFUNCTION("""COMPUTED_VALUE"""),"DIGITEC TECNOLOGIA DIGITAL E REPRES")</f>
        <v>DIGITEC TECNOLOGIA DIGITAL E REPRES</v>
      </c>
      <c r="E2041" s="21">
        <f>IFERROR(__xludf.DUMMYFUNCTION("""COMPUTED_VALUE"""),145359.0)</f>
        <v>145359</v>
      </c>
      <c r="F2041" s="21" t="str">
        <f>IFERROR(__xludf.DUMMYFUNCTION("""COMPUTED_VALUE"""),"TRANSITO REVERSA")</f>
        <v>TRANSITO REVERSA</v>
      </c>
      <c r="G2041" s="23">
        <f>IFERROR(__xludf.DUMMYFUNCTION("""COMPUTED_VALUE"""),45617.87138888889)</f>
        <v>45617.87139</v>
      </c>
      <c r="H2041" s="24" t="str">
        <f>IFERROR(VLOOKUP(B2041,material!A:D,3,0),"")</f>
        <v>CARD</v>
      </c>
    </row>
    <row r="2042" ht="11.25" customHeight="1">
      <c r="A2042" s="21" t="str">
        <f>IFERROR(__xludf.DUMMYFUNCTION("""COMPUTED_VALUE"""),"SMART CARD LARANJA NAGRA")</f>
        <v>SMART CARD LARANJA NAGRA</v>
      </c>
      <c r="B2042" s="22">
        <f>IFERROR(__xludf.DUMMYFUNCTION("""COMPUTED_VALUE"""),4.1001186E7)</f>
        <v>41001186</v>
      </c>
      <c r="C2042" s="21" t="str">
        <f>IFERROR(__xludf.DUMMYFUNCTION("""COMPUTED_VALUE"""),"215803077075")</f>
        <v>215803077075</v>
      </c>
      <c r="D2042" s="21" t="str">
        <f>IFERROR(__xludf.DUMMYFUNCTION("""COMPUTED_VALUE"""),"DIGITEC TECNOLOGIA DIGITAL E REPRES")</f>
        <v>DIGITEC TECNOLOGIA DIGITAL E REPRES</v>
      </c>
      <c r="E2042" s="21">
        <f>IFERROR(__xludf.DUMMYFUNCTION("""COMPUTED_VALUE"""),145359.0)</f>
        <v>145359</v>
      </c>
      <c r="F2042" s="21" t="str">
        <f>IFERROR(__xludf.DUMMYFUNCTION("""COMPUTED_VALUE"""),"TRANSITO REVERSA")</f>
        <v>TRANSITO REVERSA</v>
      </c>
      <c r="G2042" s="23">
        <f>IFERROR(__xludf.DUMMYFUNCTION("""COMPUTED_VALUE"""),45617.87142361111)</f>
        <v>45617.87142</v>
      </c>
      <c r="H2042" s="24" t="str">
        <f>IFERROR(VLOOKUP(B2042,material!A:D,3,0),"")</f>
        <v>CARD</v>
      </c>
    </row>
    <row r="2043" ht="11.25" customHeight="1">
      <c r="A2043" s="21" t="str">
        <f>IFERROR(__xludf.DUMMYFUNCTION("""COMPUTED_VALUE"""),"SMART CARD LARANJA NAGRA")</f>
        <v>SMART CARD LARANJA NAGRA</v>
      </c>
      <c r="B2043" s="22">
        <f>IFERROR(__xludf.DUMMYFUNCTION("""COMPUTED_VALUE"""),4.1001186E7)</f>
        <v>41001186</v>
      </c>
      <c r="C2043" s="21" t="str">
        <f>IFERROR(__xludf.DUMMYFUNCTION("""COMPUTED_VALUE"""),"215787028393")</f>
        <v>215787028393</v>
      </c>
      <c r="D2043" s="21" t="str">
        <f>IFERROR(__xludf.DUMMYFUNCTION("""COMPUTED_VALUE"""),"DIGITEC TECNOLOGIA DIGITAL E REPRES")</f>
        <v>DIGITEC TECNOLOGIA DIGITAL E REPRES</v>
      </c>
      <c r="E2043" s="21">
        <f>IFERROR(__xludf.DUMMYFUNCTION("""COMPUTED_VALUE"""),145359.0)</f>
        <v>145359</v>
      </c>
      <c r="F2043" s="21" t="str">
        <f>IFERROR(__xludf.DUMMYFUNCTION("""COMPUTED_VALUE"""),"TRANSITO REVERSA")</f>
        <v>TRANSITO REVERSA</v>
      </c>
      <c r="G2043" s="23">
        <f>IFERROR(__xludf.DUMMYFUNCTION("""COMPUTED_VALUE"""),45633.003958333335)</f>
        <v>45633.00396</v>
      </c>
      <c r="H2043" s="24" t="str">
        <f>IFERROR(VLOOKUP(B2043,material!A:D,3,0),"")</f>
        <v>CARD</v>
      </c>
    </row>
    <row r="2044" ht="11.25" customHeight="1">
      <c r="A2044" s="21" t="str">
        <f>IFERROR(__xludf.DUMMYFUNCTION("""COMPUTED_VALUE"""),"SMART CARD LARANJA NAGRA")</f>
        <v>SMART CARD LARANJA NAGRA</v>
      </c>
      <c r="B2044" s="22">
        <f>IFERROR(__xludf.DUMMYFUNCTION("""COMPUTED_VALUE"""),4.1001186E7)</f>
        <v>41001186</v>
      </c>
      <c r="C2044" s="21" t="str">
        <f>IFERROR(__xludf.DUMMYFUNCTION("""COMPUTED_VALUE"""),"215701269710")</f>
        <v>215701269710</v>
      </c>
      <c r="D2044" s="21" t="str">
        <f>IFERROR(__xludf.DUMMYFUNCTION("""COMPUTED_VALUE"""),"DIGITEC TECNOLOGIA DIGITAL E REPRES")</f>
        <v>DIGITEC TECNOLOGIA DIGITAL E REPRES</v>
      </c>
      <c r="E2044" s="21">
        <f>IFERROR(__xludf.DUMMYFUNCTION("""COMPUTED_VALUE"""),145359.0)</f>
        <v>145359</v>
      </c>
      <c r="F2044" s="21" t="str">
        <f>IFERROR(__xludf.DUMMYFUNCTION("""COMPUTED_VALUE"""),"TRANSITO REVERSA")</f>
        <v>TRANSITO REVERSA</v>
      </c>
      <c r="G2044" s="23">
        <f>IFERROR(__xludf.DUMMYFUNCTION("""COMPUTED_VALUE"""),45638.52112268518)</f>
        <v>45638.52112</v>
      </c>
      <c r="H2044" s="24" t="str">
        <f>IFERROR(VLOOKUP(B2044,material!A:D,3,0),"")</f>
        <v>CARD</v>
      </c>
    </row>
    <row r="2045" ht="11.25" customHeight="1">
      <c r="A2045" s="21" t="str">
        <f>IFERROR(__xludf.DUMMYFUNCTION("""COMPUTED_VALUE"""),"PACE - DCR HIGH DEFINITION")</f>
        <v>PACE - DCR HIGH DEFINITION</v>
      </c>
      <c r="B2045" s="22">
        <f>IFERROR(__xludf.DUMMYFUNCTION("""COMPUTED_VALUE"""),4.1001272E7)</f>
        <v>41001272</v>
      </c>
      <c r="C2045" s="21" t="str">
        <f>IFERROR(__xludf.DUMMYFUNCTION("""COMPUTED_VALUE"""),"172391658809")</f>
        <v>172391658809</v>
      </c>
      <c r="D2045" s="21" t="str">
        <f>IFERROR(__xludf.DUMMYFUNCTION("""COMPUTED_VALUE"""),"DIGITEC TECNOLOGIA DIGITAL E REPRES")</f>
        <v>DIGITEC TECNOLOGIA DIGITAL E REPRES</v>
      </c>
      <c r="E2045" s="21">
        <f>IFERROR(__xludf.DUMMYFUNCTION("""COMPUTED_VALUE"""),145359.0)</f>
        <v>145359</v>
      </c>
      <c r="F2045" s="21" t="str">
        <f>IFERROR(__xludf.DUMMYFUNCTION("""COMPUTED_VALUE"""),"TRANSITO REVERSA")</f>
        <v>TRANSITO REVERSA</v>
      </c>
      <c r="G2045" s="23">
        <f>IFERROR(__xludf.DUMMYFUNCTION("""COMPUTED_VALUE"""),45638.52186342592)</f>
        <v>45638.52186</v>
      </c>
      <c r="H2045" s="24" t="str">
        <f>IFERROR(VLOOKUP(B2045,material!A:D,3,0),"")</f>
        <v>LEGADO</v>
      </c>
    </row>
    <row r="2046" ht="11.25" customHeight="1">
      <c r="A2046" s="21" t="str">
        <f>IFERROR(__xludf.DUMMYFUNCTION("""COMPUTED_VALUE"""),"SMART CARD PRETO NAGRA")</f>
        <v>SMART CARD PRETO NAGRA</v>
      </c>
      <c r="B2046" s="22">
        <f>IFERROR(__xludf.DUMMYFUNCTION("""COMPUTED_VALUE"""),4.1001234E7)</f>
        <v>41001234</v>
      </c>
      <c r="C2046" s="21" t="str">
        <f>IFERROR(__xludf.DUMMYFUNCTION("""COMPUTED_VALUE"""),"246188818487")</f>
        <v>246188818487</v>
      </c>
      <c r="D2046" s="21" t="str">
        <f>IFERROR(__xludf.DUMMYFUNCTION("""COMPUTED_VALUE"""),"DIGITEC TECNOLOGIA DIGITAL E REPRES")</f>
        <v>DIGITEC TECNOLOGIA DIGITAL E REPRES</v>
      </c>
      <c r="E2046" s="21">
        <f>IFERROR(__xludf.DUMMYFUNCTION("""COMPUTED_VALUE"""),145359.0)</f>
        <v>145359</v>
      </c>
      <c r="F2046" s="21" t="str">
        <f>IFERROR(__xludf.DUMMYFUNCTION("""COMPUTED_VALUE"""),"PERDA")</f>
        <v>PERDA</v>
      </c>
      <c r="G2046" s="23">
        <f>IFERROR(__xludf.DUMMYFUNCTION("""COMPUTED_VALUE"""),45296.600625)</f>
        <v>45296.60063</v>
      </c>
      <c r="H2046" s="24" t="str">
        <f>IFERROR(VLOOKUP(B2046,material!A:D,3,0),"")</f>
        <v>CARD</v>
      </c>
    </row>
    <row r="2047" ht="11.25" customHeight="1">
      <c r="A2047" s="21" t="str">
        <f>IFERROR(__xludf.DUMMYFUNCTION("""COMPUTED_VALUE"""),"DECODER HD DCI738 2T")</f>
        <v>DECODER HD DCI738 2T</v>
      </c>
      <c r="B2047" s="22">
        <f>IFERROR(__xludf.DUMMYFUNCTION("""COMPUTED_VALUE"""),4.1001275E7)</f>
        <v>41001275</v>
      </c>
      <c r="C2047" s="21" t="str">
        <f>IFERROR(__xludf.DUMMYFUNCTION("""COMPUTED_VALUE"""),"216729104151")</f>
        <v>216729104151</v>
      </c>
      <c r="D2047" s="21" t="str">
        <f>IFERROR(__xludf.DUMMYFUNCTION("""COMPUTED_VALUE"""),"DIGITEC TECNOLOGIA DIGITAL E REPRES")</f>
        <v>DIGITEC TECNOLOGIA DIGITAL E REPRES</v>
      </c>
      <c r="E2047" s="21">
        <f>IFERROR(__xludf.DUMMYFUNCTION("""COMPUTED_VALUE"""),145359.0)</f>
        <v>145359</v>
      </c>
      <c r="F2047" s="21" t="str">
        <f>IFERROR(__xludf.DUMMYFUNCTION("""COMPUTED_VALUE"""),"SUSPEITO")</f>
        <v>SUSPEITO</v>
      </c>
      <c r="G2047" s="23">
        <f>IFERROR(__xludf.DUMMYFUNCTION("""COMPUTED_VALUE"""),45640.45539351852)</f>
        <v>45640.45539</v>
      </c>
      <c r="H2047" s="24" t="str">
        <f>IFERROR(VLOOKUP(B2047,material!A:D,3,0),"")</f>
        <v>TOP MIX</v>
      </c>
    </row>
    <row r="2048" ht="11.25" customHeight="1">
      <c r="A2048" s="21" t="str">
        <f>IFERROR(__xludf.DUMMYFUNCTION("""COMPUTED_VALUE"""),"DECODER DIGITAL HD DXC5000 2T")</f>
        <v>DECODER DIGITAL HD DXC5000 2T</v>
      </c>
      <c r="B2048" s="22">
        <f>IFERROR(__xludf.DUMMYFUNCTION("""COMPUTED_VALUE"""),4.1001277E7)</f>
        <v>41001277</v>
      </c>
      <c r="C2048" s="21" t="str">
        <f>IFERROR(__xludf.DUMMYFUNCTION("""COMPUTED_VALUE"""),"216692630525")</f>
        <v>216692630525</v>
      </c>
      <c r="D2048" s="21" t="str">
        <f>IFERROR(__xludf.DUMMYFUNCTION("""COMPUTED_VALUE"""),"DIGITEC TECNOLOGIA DIGITAL E REPRES")</f>
        <v>DIGITEC TECNOLOGIA DIGITAL E REPRES</v>
      </c>
      <c r="E2048" s="21">
        <f>IFERROR(__xludf.DUMMYFUNCTION("""COMPUTED_VALUE"""),145359.0)</f>
        <v>145359</v>
      </c>
      <c r="F2048" s="21" t="str">
        <f>IFERROR(__xludf.DUMMYFUNCTION("""COMPUTED_VALUE"""),"SUSPEITO")</f>
        <v>SUSPEITO</v>
      </c>
      <c r="G2048" s="23">
        <f>IFERROR(__xludf.DUMMYFUNCTION("""COMPUTED_VALUE"""),45624.45670138889)</f>
        <v>45624.4567</v>
      </c>
      <c r="H2048" s="24" t="str">
        <f>IFERROR(VLOOKUP(B2048,material!A:D,3,0),"")</f>
        <v>TOP MIX</v>
      </c>
    </row>
    <row r="2049" ht="11.25" customHeight="1">
      <c r="A2049" s="21" t="str">
        <f>IFERROR(__xludf.DUMMYFUNCTION("""COMPUTED_VALUE"""),"DECODER DIGITAL HD DXC5000 2T")</f>
        <v>DECODER DIGITAL HD DXC5000 2T</v>
      </c>
      <c r="B2049" s="22">
        <f>IFERROR(__xludf.DUMMYFUNCTION("""COMPUTED_VALUE"""),4.1001277E7)</f>
        <v>41001277</v>
      </c>
      <c r="C2049" s="21" t="str">
        <f>IFERROR(__xludf.DUMMYFUNCTION("""COMPUTED_VALUE"""),"216675192526")</f>
        <v>216675192526</v>
      </c>
      <c r="D2049" s="21" t="str">
        <f>IFERROR(__xludf.DUMMYFUNCTION("""COMPUTED_VALUE"""),"DIGITEC TECNOLOGIA DIGITAL E REPRES")</f>
        <v>DIGITEC TECNOLOGIA DIGITAL E REPRES</v>
      </c>
      <c r="E2049" s="21">
        <f>IFERROR(__xludf.DUMMYFUNCTION("""COMPUTED_VALUE"""),145359.0)</f>
        <v>145359</v>
      </c>
      <c r="F2049" s="21" t="str">
        <f>IFERROR(__xludf.DUMMYFUNCTION("""COMPUTED_VALUE"""),"SUSPEITO")</f>
        <v>SUSPEITO</v>
      </c>
      <c r="G2049" s="23">
        <f>IFERROR(__xludf.DUMMYFUNCTION("""COMPUTED_VALUE"""),45636.44341435185)</f>
        <v>45636.44341</v>
      </c>
      <c r="H2049" s="24" t="str">
        <f>IFERROR(VLOOKUP(B2049,material!A:D,3,0),"")</f>
        <v>TOP MIX</v>
      </c>
    </row>
    <row r="2050" ht="11.25" customHeight="1">
      <c r="A2050" s="21" t="str">
        <f>IFERROR(__xludf.DUMMYFUNCTION("""COMPUTED_VALUE"""),"DECODER DIGITAL HD HNB100 2T")</f>
        <v>DECODER DIGITAL HD HNB100 2T</v>
      </c>
      <c r="B2050" s="22">
        <f>IFERROR(__xludf.DUMMYFUNCTION("""COMPUTED_VALUE"""),4.1001276E7)</f>
        <v>41001276</v>
      </c>
      <c r="C2050" s="21" t="str">
        <f>IFERROR(__xludf.DUMMYFUNCTION("""COMPUTED_VALUE"""),"216608303944")</f>
        <v>216608303944</v>
      </c>
      <c r="D2050" s="21" t="str">
        <f>IFERROR(__xludf.DUMMYFUNCTION("""COMPUTED_VALUE"""),"DIGITEC TECNOLOGIA DIGITAL E REPRES")</f>
        <v>DIGITEC TECNOLOGIA DIGITAL E REPRES</v>
      </c>
      <c r="E2050" s="21">
        <f>IFERROR(__xludf.DUMMYFUNCTION("""COMPUTED_VALUE"""),145359.0)</f>
        <v>145359</v>
      </c>
      <c r="F2050" s="21" t="str">
        <f>IFERROR(__xludf.DUMMYFUNCTION("""COMPUTED_VALUE"""),"SUSPEITO")</f>
        <v>SUSPEITO</v>
      </c>
      <c r="G2050" s="23">
        <f>IFERROR(__xludf.DUMMYFUNCTION("""COMPUTED_VALUE"""),45625.65725694444)</f>
        <v>45625.65726</v>
      </c>
      <c r="H2050" s="24" t="str">
        <f>IFERROR(VLOOKUP(B2050,material!A:D,3,0),"")</f>
        <v>TOP MIX</v>
      </c>
    </row>
    <row r="2051" ht="11.25" customHeight="1">
      <c r="A2051" s="21" t="str">
        <f>IFERROR(__xludf.DUMMYFUNCTION("""COMPUTED_VALUE"""),"DECODER DIGITAL HD HNB100 2T")</f>
        <v>DECODER DIGITAL HD HNB100 2T</v>
      </c>
      <c r="B2051" s="22">
        <f>IFERROR(__xludf.DUMMYFUNCTION("""COMPUTED_VALUE"""),4.1001276E7)</f>
        <v>41001276</v>
      </c>
      <c r="C2051" s="21" t="str">
        <f>IFERROR(__xludf.DUMMYFUNCTION("""COMPUTED_VALUE"""),"216360572225")</f>
        <v>216360572225</v>
      </c>
      <c r="D2051" s="21" t="str">
        <f>IFERROR(__xludf.DUMMYFUNCTION("""COMPUTED_VALUE"""),"DIGITEC TECNOLOGIA DIGITAL E REPRES")</f>
        <v>DIGITEC TECNOLOGIA DIGITAL E REPRES</v>
      </c>
      <c r="E2051" s="21">
        <f>IFERROR(__xludf.DUMMYFUNCTION("""COMPUTED_VALUE"""),145359.0)</f>
        <v>145359</v>
      </c>
      <c r="F2051" s="21" t="str">
        <f>IFERROR(__xludf.DUMMYFUNCTION("""COMPUTED_VALUE"""),"SUSPEITO")</f>
        <v>SUSPEITO</v>
      </c>
      <c r="G2051" s="23">
        <f>IFERROR(__xludf.DUMMYFUNCTION("""COMPUTED_VALUE"""),45638.64732638889)</f>
        <v>45638.64733</v>
      </c>
      <c r="H2051" s="24" t="str">
        <f>IFERROR(VLOOKUP(B2051,material!A:D,3,0),"")</f>
        <v>TOP MIX</v>
      </c>
    </row>
    <row r="2052" ht="11.25" customHeight="1">
      <c r="A2052" s="21" t="str">
        <f>IFERROR(__xludf.DUMMYFUNCTION("""COMPUTED_VALUE"""),"DECODER DIGITAL HD HNB100 2T")</f>
        <v>DECODER DIGITAL HD HNB100 2T</v>
      </c>
      <c r="B2052" s="22">
        <f>IFERROR(__xludf.DUMMYFUNCTION("""COMPUTED_VALUE"""),4.1001276E7)</f>
        <v>41001276</v>
      </c>
      <c r="C2052" s="21" t="str">
        <f>IFERROR(__xludf.DUMMYFUNCTION("""COMPUTED_VALUE"""),"216607706478")</f>
        <v>216607706478</v>
      </c>
      <c r="D2052" s="21" t="str">
        <f>IFERROR(__xludf.DUMMYFUNCTION("""COMPUTED_VALUE"""),"DIGITEC TECNOLOGIA DIGITAL E REPRES")</f>
        <v>DIGITEC TECNOLOGIA DIGITAL E REPRES</v>
      </c>
      <c r="E2052" s="21">
        <f>IFERROR(__xludf.DUMMYFUNCTION("""COMPUTED_VALUE"""),145359.0)</f>
        <v>145359</v>
      </c>
      <c r="F2052" s="21" t="str">
        <f>IFERROR(__xludf.DUMMYFUNCTION("""COMPUTED_VALUE"""),"SUSPEITO")</f>
        <v>SUSPEITO</v>
      </c>
      <c r="G2052" s="23">
        <f>IFERROR(__xludf.DUMMYFUNCTION("""COMPUTED_VALUE"""),45636.64613425926)</f>
        <v>45636.64613</v>
      </c>
      <c r="H2052" s="24" t="str">
        <f>IFERROR(VLOOKUP(B2052,material!A:D,3,0),"")</f>
        <v>TOP MIX</v>
      </c>
    </row>
    <row r="2053" ht="11.25" customHeight="1">
      <c r="A2053" s="21" t="str">
        <f>IFERROR(__xludf.DUMMYFUNCTION("""COMPUTED_VALUE"""),"DECODER DIGITAL HD HNB100 2T")</f>
        <v>DECODER DIGITAL HD HNB100 2T</v>
      </c>
      <c r="B2053" s="22">
        <f>IFERROR(__xludf.DUMMYFUNCTION("""COMPUTED_VALUE"""),4.1001276E7)</f>
        <v>41001276</v>
      </c>
      <c r="C2053" s="21" t="str">
        <f>IFERROR(__xludf.DUMMYFUNCTION("""COMPUTED_VALUE"""),"216607705468")</f>
        <v>216607705468</v>
      </c>
      <c r="D2053" s="21" t="str">
        <f>IFERROR(__xludf.DUMMYFUNCTION("""COMPUTED_VALUE"""),"DIGITEC TECNOLOGIA DIGITAL E REPRES")</f>
        <v>DIGITEC TECNOLOGIA DIGITAL E REPRES</v>
      </c>
      <c r="E2053" s="21">
        <f>IFERROR(__xludf.DUMMYFUNCTION("""COMPUTED_VALUE"""),145359.0)</f>
        <v>145359</v>
      </c>
      <c r="F2053" s="21" t="str">
        <f>IFERROR(__xludf.DUMMYFUNCTION("""COMPUTED_VALUE"""),"SUSPEITO")</f>
        <v>SUSPEITO</v>
      </c>
      <c r="G2053" s="23">
        <f>IFERROR(__xludf.DUMMYFUNCTION("""COMPUTED_VALUE"""),45636.64613425926)</f>
        <v>45636.64613</v>
      </c>
      <c r="H2053" s="24" t="str">
        <f>IFERROR(VLOOKUP(B2053,material!A:D,3,0),"")</f>
        <v>TOP MIX</v>
      </c>
    </row>
    <row r="2054" ht="11.25" customHeight="1">
      <c r="A2054" s="21" t="str">
        <f>IFERROR(__xludf.DUMMYFUNCTION("""COMPUTED_VALUE"""),"SMART CARD PRETO NAGRA")</f>
        <v>SMART CARD PRETO NAGRA</v>
      </c>
      <c r="B2054" s="22">
        <f>IFERROR(__xludf.DUMMYFUNCTION("""COMPUTED_VALUE"""),4.1001234E7)</f>
        <v>41001234</v>
      </c>
      <c r="C2054" s="21" t="str">
        <f>IFERROR(__xludf.DUMMYFUNCTION("""COMPUTED_VALUE"""),"246190193538")</f>
        <v>246190193538</v>
      </c>
      <c r="D2054" s="21" t="str">
        <f>IFERROR(__xludf.DUMMYFUNCTION("""COMPUTED_VALUE"""),"DIGITEC TECNOLOGIA DIGITAL E REPRES")</f>
        <v>DIGITEC TECNOLOGIA DIGITAL E REPRES</v>
      </c>
      <c r="E2054" s="21">
        <f>IFERROR(__xludf.DUMMYFUNCTION("""COMPUTED_VALUE"""),145359.0)</f>
        <v>145359</v>
      </c>
      <c r="F2054" s="21" t="str">
        <f>IFERROR(__xludf.DUMMYFUNCTION("""COMPUTED_VALUE"""),"SUSPEITO")</f>
        <v>SUSPEITO</v>
      </c>
      <c r="G2054" s="23">
        <f>IFERROR(__xludf.DUMMYFUNCTION("""COMPUTED_VALUE"""),45640.45538194444)</f>
        <v>45640.45538</v>
      </c>
      <c r="H2054" s="24" t="str">
        <f>IFERROR(VLOOKUP(B2054,material!A:D,3,0),"")</f>
        <v>CARD</v>
      </c>
    </row>
    <row r="2055" ht="11.25" customHeight="1">
      <c r="A2055" s="21" t="str">
        <f>IFERROR(__xludf.DUMMYFUNCTION("""COMPUTED_VALUE"""),"SMART CARD PRETO NAGRA")</f>
        <v>SMART CARD PRETO NAGRA</v>
      </c>
      <c r="B2055" s="22">
        <f>IFERROR(__xludf.DUMMYFUNCTION("""COMPUTED_VALUE"""),4.1001234E7)</f>
        <v>41001234</v>
      </c>
      <c r="C2055" s="21" t="str">
        <f>IFERROR(__xludf.DUMMYFUNCTION("""COMPUTED_VALUE"""),"226258018900")</f>
        <v>226258018900</v>
      </c>
      <c r="D2055" s="21" t="str">
        <f>IFERROR(__xludf.DUMMYFUNCTION("""COMPUTED_VALUE"""),"DIGITEC TECNOLOGIA DIGITAL E REPRES")</f>
        <v>DIGITEC TECNOLOGIA DIGITAL E REPRES</v>
      </c>
      <c r="E2055" s="21">
        <f>IFERROR(__xludf.DUMMYFUNCTION("""COMPUTED_VALUE"""),145359.0)</f>
        <v>145359</v>
      </c>
      <c r="F2055" s="21" t="str">
        <f>IFERROR(__xludf.DUMMYFUNCTION("""COMPUTED_VALUE"""),"SUSPEITO")</f>
        <v>SUSPEITO</v>
      </c>
      <c r="G2055" s="23">
        <f>IFERROR(__xludf.DUMMYFUNCTION("""COMPUTED_VALUE"""),45631.55894675926)</f>
        <v>45631.55895</v>
      </c>
      <c r="H2055" s="24" t="str">
        <f>IFERROR(VLOOKUP(B2055,material!A:D,3,0),"")</f>
        <v>CARD</v>
      </c>
    </row>
    <row r="2056" ht="11.25" customHeight="1">
      <c r="A2056" s="21" t="str">
        <f>IFERROR(__xludf.DUMMYFUNCTION("""COMPUTED_VALUE"""),"SMART CARD PRETO NAGRA")</f>
        <v>SMART CARD PRETO NAGRA</v>
      </c>
      <c r="B2056" s="22">
        <f>IFERROR(__xludf.DUMMYFUNCTION("""COMPUTED_VALUE"""),4.1001234E7)</f>
        <v>41001234</v>
      </c>
      <c r="C2056" s="21" t="str">
        <f>IFERROR(__xludf.DUMMYFUNCTION("""COMPUTED_VALUE"""),"246127623537")</f>
        <v>246127623537</v>
      </c>
      <c r="D2056" s="21" t="str">
        <f>IFERROR(__xludf.DUMMYFUNCTION("""COMPUTED_VALUE"""),"DIGITEC TECNOLOGIA DIGITAL E REPRES")</f>
        <v>DIGITEC TECNOLOGIA DIGITAL E REPRES</v>
      </c>
      <c r="E2056" s="21">
        <f>IFERROR(__xludf.DUMMYFUNCTION("""COMPUTED_VALUE"""),145359.0)</f>
        <v>145359</v>
      </c>
      <c r="F2056" s="21" t="str">
        <f>IFERROR(__xludf.DUMMYFUNCTION("""COMPUTED_VALUE"""),"SUSPEITO")</f>
        <v>SUSPEITO</v>
      </c>
      <c r="G2056" s="23">
        <f>IFERROR(__xludf.DUMMYFUNCTION("""COMPUTED_VALUE"""),45636.44341435185)</f>
        <v>45636.44341</v>
      </c>
      <c r="H2056" s="24" t="str">
        <f>IFERROR(VLOOKUP(B2056,material!A:D,3,0),"")</f>
        <v>CARD</v>
      </c>
    </row>
    <row r="2057" ht="11.25" customHeight="1">
      <c r="A2057" s="21" t="str">
        <f>IFERROR(__xludf.DUMMYFUNCTION("""COMPUTED_VALUE"""),"SMART CARD PRETO NAGRA")</f>
        <v>SMART CARD PRETO NAGRA</v>
      </c>
      <c r="B2057" s="22">
        <f>IFERROR(__xludf.DUMMYFUNCTION("""COMPUTED_VALUE"""),4.1001234E7)</f>
        <v>41001234</v>
      </c>
      <c r="C2057" s="21" t="str">
        <f>IFERROR(__xludf.DUMMYFUNCTION("""COMPUTED_VALUE"""),"226227603642")</f>
        <v>226227603642</v>
      </c>
      <c r="D2057" s="21" t="str">
        <f>IFERROR(__xludf.DUMMYFUNCTION("""COMPUTED_VALUE"""),"DIGITEC TECNOLOGIA DIGITAL E REPRES")</f>
        <v>DIGITEC TECNOLOGIA DIGITAL E REPRES</v>
      </c>
      <c r="E2057" s="21">
        <f>IFERROR(__xludf.DUMMYFUNCTION("""COMPUTED_VALUE"""),145359.0)</f>
        <v>145359</v>
      </c>
      <c r="F2057" s="21" t="str">
        <f>IFERROR(__xludf.DUMMYFUNCTION("""COMPUTED_VALUE"""),"SUSPEITO")</f>
        <v>SUSPEITO</v>
      </c>
      <c r="G2057" s="23">
        <f>IFERROR(__xludf.DUMMYFUNCTION("""COMPUTED_VALUE"""),45624.45670138889)</f>
        <v>45624.4567</v>
      </c>
      <c r="H2057" s="24" t="str">
        <f>IFERROR(VLOOKUP(B2057,material!A:D,3,0),"")</f>
        <v>CARD</v>
      </c>
    </row>
    <row r="2058" ht="11.25" customHeight="1">
      <c r="A2058" s="21" t="str">
        <f>IFERROR(__xludf.DUMMYFUNCTION("""COMPUTED_VALUE"""),"SMART CARD PRETO NAGRA")</f>
        <v>SMART CARD PRETO NAGRA</v>
      </c>
      <c r="B2058" s="22">
        <f>IFERROR(__xludf.DUMMYFUNCTION("""COMPUTED_VALUE"""),4.1001234E7)</f>
        <v>41001234</v>
      </c>
      <c r="C2058" s="21" t="str">
        <f>IFERROR(__xludf.DUMMYFUNCTION("""COMPUTED_VALUE"""),"246005251819")</f>
        <v>246005251819</v>
      </c>
      <c r="D2058" s="21" t="str">
        <f>IFERROR(__xludf.DUMMYFUNCTION("""COMPUTED_VALUE"""),"DIGITEC TECNOLOGIA DIGITAL E REPRES")</f>
        <v>DIGITEC TECNOLOGIA DIGITAL E REPRES</v>
      </c>
      <c r="E2058" s="21">
        <f>IFERROR(__xludf.DUMMYFUNCTION("""COMPUTED_VALUE"""),145359.0)</f>
        <v>145359</v>
      </c>
      <c r="F2058" s="21" t="str">
        <f>IFERROR(__xludf.DUMMYFUNCTION("""COMPUTED_VALUE"""),"SUSPEITO")</f>
        <v>SUSPEITO</v>
      </c>
      <c r="G2058" s="23">
        <f>IFERROR(__xludf.DUMMYFUNCTION("""COMPUTED_VALUE"""),45636.64612268518)</f>
        <v>45636.64612</v>
      </c>
      <c r="H2058" s="24" t="str">
        <f>IFERROR(VLOOKUP(B2058,material!A:D,3,0),"")</f>
        <v>CARD</v>
      </c>
    </row>
    <row r="2059" ht="11.25" customHeight="1">
      <c r="A2059" s="21" t="str">
        <f>IFERROR(__xludf.DUMMYFUNCTION("""COMPUTED_VALUE"""),"SMART CARD PRETO NAGRA")</f>
        <v>SMART CARD PRETO NAGRA</v>
      </c>
      <c r="B2059" s="22">
        <f>IFERROR(__xludf.DUMMYFUNCTION("""COMPUTED_VALUE"""),4.1001234E7)</f>
        <v>41001234</v>
      </c>
      <c r="C2059" s="21" t="str">
        <f>IFERROR(__xludf.DUMMYFUNCTION("""COMPUTED_VALUE"""),"246005251920")</f>
        <v>246005251920</v>
      </c>
      <c r="D2059" s="21" t="str">
        <f>IFERROR(__xludf.DUMMYFUNCTION("""COMPUTED_VALUE"""),"DIGITEC TECNOLOGIA DIGITAL E REPRES")</f>
        <v>DIGITEC TECNOLOGIA DIGITAL E REPRES</v>
      </c>
      <c r="E2059" s="21">
        <f>IFERROR(__xludf.DUMMYFUNCTION("""COMPUTED_VALUE"""),145359.0)</f>
        <v>145359</v>
      </c>
      <c r="F2059" s="21" t="str">
        <f>IFERROR(__xludf.DUMMYFUNCTION("""COMPUTED_VALUE"""),"SUSPEITO")</f>
        <v>SUSPEITO</v>
      </c>
      <c r="G2059" s="23">
        <f>IFERROR(__xludf.DUMMYFUNCTION("""COMPUTED_VALUE"""),45636.64613425926)</f>
        <v>45636.64613</v>
      </c>
      <c r="H2059" s="24" t="str">
        <f>IFERROR(VLOOKUP(B2059,material!A:D,3,0),"")</f>
        <v>CARD</v>
      </c>
    </row>
    <row r="2060" ht="11.25" customHeight="1">
      <c r="A2060" s="21" t="str">
        <f>IFERROR(__xludf.DUMMYFUNCTION("""COMPUTED_VALUE"""),"THOMSON HIGH DEFINITION DCI713")</f>
        <v>THOMSON HIGH DEFINITION DCI713</v>
      </c>
      <c r="B2060" s="22">
        <f>IFERROR(__xludf.DUMMYFUNCTION("""COMPUTED_VALUE"""),4.1001273E7)</f>
        <v>41001273</v>
      </c>
      <c r="C2060" s="21" t="str">
        <f>IFERROR(__xludf.DUMMYFUNCTION("""COMPUTED_VALUE"""),"183970206070")</f>
        <v>183970206070</v>
      </c>
      <c r="D2060" s="21" t="str">
        <f>IFERROR(__xludf.DUMMYFUNCTION("""COMPUTED_VALUE"""),"DIGITEC TECNOLOGIA DIGITAL E REPRES")</f>
        <v>DIGITEC TECNOLOGIA DIGITAL E REPRES</v>
      </c>
      <c r="E2060" s="21">
        <f>IFERROR(__xludf.DUMMYFUNCTION("""COMPUTED_VALUE"""),145359.0)</f>
        <v>145359</v>
      </c>
      <c r="F2060" s="21" t="str">
        <f>IFERROR(__xludf.DUMMYFUNCTION("""COMPUTED_VALUE"""),"SUSPEITO")</f>
        <v>SUSPEITO</v>
      </c>
      <c r="G2060" s="23">
        <f>IFERROR(__xludf.DUMMYFUNCTION("""COMPUTED_VALUE"""),45638.68135416666)</f>
        <v>45638.68135</v>
      </c>
      <c r="H2060" s="24" t="str">
        <f>IFERROR(VLOOKUP(B2060,material!A:D,3,0),"")</f>
        <v>LEGADO</v>
      </c>
    </row>
    <row r="2061" ht="11.25" customHeight="1">
      <c r="A2061" s="21" t="str">
        <f>IFERROR(__xludf.DUMMYFUNCTION("""COMPUTED_VALUE"""),"THOMSON HIGH DEFINITION DCI713")</f>
        <v>THOMSON HIGH DEFINITION DCI713</v>
      </c>
      <c r="B2061" s="22">
        <f>IFERROR(__xludf.DUMMYFUNCTION("""COMPUTED_VALUE"""),4.1001273E7)</f>
        <v>41001273</v>
      </c>
      <c r="C2061" s="21" t="str">
        <f>IFERROR(__xludf.DUMMYFUNCTION("""COMPUTED_VALUE"""),"177166921436")</f>
        <v>177166921436</v>
      </c>
      <c r="D2061" s="21" t="str">
        <f>IFERROR(__xludf.DUMMYFUNCTION("""COMPUTED_VALUE"""),"DIGITEC TECNOLOGIA DIGITAL E REPRES")</f>
        <v>DIGITEC TECNOLOGIA DIGITAL E REPRES</v>
      </c>
      <c r="E2061" s="21">
        <f>IFERROR(__xludf.DUMMYFUNCTION("""COMPUTED_VALUE"""),145359.0)</f>
        <v>145359</v>
      </c>
      <c r="F2061" s="21" t="str">
        <f>IFERROR(__xludf.DUMMYFUNCTION("""COMPUTED_VALUE"""),"SUSPEITO")</f>
        <v>SUSPEITO</v>
      </c>
      <c r="G2061" s="23">
        <f>IFERROR(__xludf.DUMMYFUNCTION("""COMPUTED_VALUE"""),45638.47898148149)</f>
        <v>45638.47898</v>
      </c>
      <c r="H2061" s="24" t="str">
        <f>IFERROR(VLOOKUP(B2061,material!A:D,3,0),"")</f>
        <v>LEGADO</v>
      </c>
    </row>
    <row r="2062" ht="11.25" customHeight="1">
      <c r="A2062" s="21" t="str">
        <f>IFERROR(__xludf.DUMMYFUNCTION("""COMPUTED_VALUE"""),"THOMSON HIGH DEFINITION DCI713")</f>
        <v>THOMSON HIGH DEFINITION DCI713</v>
      </c>
      <c r="B2062" s="22">
        <f>IFERROR(__xludf.DUMMYFUNCTION("""COMPUTED_VALUE"""),4.1001273E7)</f>
        <v>41001273</v>
      </c>
      <c r="C2062" s="21" t="str">
        <f>IFERROR(__xludf.DUMMYFUNCTION("""COMPUTED_VALUE"""),"184230480406")</f>
        <v>184230480406</v>
      </c>
      <c r="D2062" s="21" t="str">
        <f>IFERROR(__xludf.DUMMYFUNCTION("""COMPUTED_VALUE"""),"DIGITEC TECNOLOGIA DIGITAL E REPRES")</f>
        <v>DIGITEC TECNOLOGIA DIGITAL E REPRES</v>
      </c>
      <c r="E2062" s="21">
        <f>IFERROR(__xludf.DUMMYFUNCTION("""COMPUTED_VALUE"""),145359.0)</f>
        <v>145359</v>
      </c>
      <c r="F2062" s="21" t="str">
        <f>IFERROR(__xludf.DUMMYFUNCTION("""COMPUTED_VALUE"""),"SUSPEITO")</f>
        <v>SUSPEITO</v>
      </c>
      <c r="G2062" s="23">
        <f>IFERROR(__xludf.DUMMYFUNCTION("""COMPUTED_VALUE"""),45637.62230324074)</f>
        <v>45637.6223</v>
      </c>
      <c r="H2062" s="24" t="str">
        <f>IFERROR(VLOOKUP(B2062,material!A:D,3,0),"")</f>
        <v>LEGADO</v>
      </c>
    </row>
    <row r="2063" ht="11.25" customHeight="1">
      <c r="A2063" s="21" t="str">
        <f>IFERROR(__xludf.DUMMYFUNCTION("""COMPUTED_VALUE"""),"SMART CARD LARANJA NAGRA")</f>
        <v>SMART CARD LARANJA NAGRA</v>
      </c>
      <c r="B2063" s="22">
        <f>IFERROR(__xludf.DUMMYFUNCTION("""COMPUTED_VALUE"""),4.1001186E7)</f>
        <v>41001186</v>
      </c>
      <c r="C2063" s="21" t="str">
        <f>IFERROR(__xludf.DUMMYFUNCTION("""COMPUTED_VALUE"""),"226611884445")</f>
        <v>226611884445</v>
      </c>
      <c r="D2063" s="21" t="str">
        <f>IFERROR(__xludf.DUMMYFUNCTION("""COMPUTED_VALUE"""),"DIGITEC TECNOLOGIA DIGITAL E REPRES")</f>
        <v>DIGITEC TECNOLOGIA DIGITAL E REPRES</v>
      </c>
      <c r="E2063" s="21">
        <f>IFERROR(__xludf.DUMMYFUNCTION("""COMPUTED_VALUE"""),145359.0)</f>
        <v>145359</v>
      </c>
      <c r="F2063" s="21" t="str">
        <f>IFERROR(__xludf.DUMMYFUNCTION("""COMPUTED_VALUE"""),"SUSPEITO")</f>
        <v>SUSPEITO</v>
      </c>
      <c r="G2063" s="23">
        <f>IFERROR(__xludf.DUMMYFUNCTION("""COMPUTED_VALUE"""),45638.681342592594)</f>
        <v>45638.68134</v>
      </c>
      <c r="H2063" s="24" t="str">
        <f>IFERROR(VLOOKUP(B2063,material!A:D,3,0),"")</f>
        <v>CARD</v>
      </c>
    </row>
    <row r="2064" ht="11.25" customHeight="1">
      <c r="A2064" s="21" t="str">
        <f>IFERROR(__xludf.DUMMYFUNCTION("""COMPUTED_VALUE"""),"SMART CARD LARANJA NAGRA")</f>
        <v>SMART CARD LARANJA NAGRA</v>
      </c>
      <c r="B2064" s="22">
        <f>IFERROR(__xludf.DUMMYFUNCTION("""COMPUTED_VALUE"""),4.1001186E7)</f>
        <v>41001186</v>
      </c>
      <c r="C2064" s="21" t="str">
        <f>IFERROR(__xludf.DUMMYFUNCTION("""COMPUTED_VALUE"""),"225937987172")</f>
        <v>225937987172</v>
      </c>
      <c r="D2064" s="21" t="str">
        <f>IFERROR(__xludf.DUMMYFUNCTION("""COMPUTED_VALUE"""),"DIGITEC TECNOLOGIA DIGITAL E REPRES")</f>
        <v>DIGITEC TECNOLOGIA DIGITAL E REPRES</v>
      </c>
      <c r="E2064" s="21">
        <f>IFERROR(__xludf.DUMMYFUNCTION("""COMPUTED_VALUE"""),145359.0)</f>
        <v>145359</v>
      </c>
      <c r="F2064" s="21" t="str">
        <f>IFERROR(__xludf.DUMMYFUNCTION("""COMPUTED_VALUE"""),"SUSPEITO")</f>
        <v>SUSPEITO</v>
      </c>
      <c r="G2064" s="23">
        <f>IFERROR(__xludf.DUMMYFUNCTION("""COMPUTED_VALUE"""),45637.62230324074)</f>
        <v>45637.6223</v>
      </c>
      <c r="H2064" s="24" t="str">
        <f>IFERROR(VLOOKUP(B2064,material!A:D,3,0),"")</f>
        <v>CARD</v>
      </c>
    </row>
    <row r="2065" ht="11.25" customHeight="1">
      <c r="A2065" s="21" t="str">
        <f>IFERROR(__xludf.DUMMYFUNCTION("""COMPUTED_VALUE"""),"SMART CARD LARANJA NAGRA")</f>
        <v>SMART CARD LARANJA NAGRA</v>
      </c>
      <c r="B2065" s="22">
        <f>IFERROR(__xludf.DUMMYFUNCTION("""COMPUTED_VALUE"""),4.1001186E7)</f>
        <v>41001186</v>
      </c>
      <c r="C2065" s="21" t="str">
        <f>IFERROR(__xludf.DUMMYFUNCTION("""COMPUTED_VALUE"""),"225767973353")</f>
        <v>225767973353</v>
      </c>
      <c r="D2065" s="21" t="str">
        <f>IFERROR(__xludf.DUMMYFUNCTION("""COMPUTED_VALUE"""),"DIGITEC TECNOLOGIA DIGITAL E REPRES")</f>
        <v>DIGITEC TECNOLOGIA DIGITAL E REPRES</v>
      </c>
      <c r="E2065" s="21">
        <f>IFERROR(__xludf.DUMMYFUNCTION("""COMPUTED_VALUE"""),145359.0)</f>
        <v>145359</v>
      </c>
      <c r="F2065" s="21" t="str">
        <f>IFERROR(__xludf.DUMMYFUNCTION("""COMPUTED_VALUE"""),"SUSPEITO")</f>
        <v>SUSPEITO</v>
      </c>
      <c r="G2065" s="23">
        <f>IFERROR(__xludf.DUMMYFUNCTION("""COMPUTED_VALUE"""),45638.68121527778)</f>
        <v>45638.68122</v>
      </c>
      <c r="H2065" s="24" t="str">
        <f>IFERROR(VLOOKUP(B2065,material!A:D,3,0),"")</f>
        <v>CARD</v>
      </c>
    </row>
    <row r="2066" ht="11.25" customHeight="1">
      <c r="A2066" s="21" t="str">
        <f>IFERROR(__xludf.DUMMYFUNCTION("""COMPUTED_VALUE"""),"SMART CARD LARANJA NAGRA")</f>
        <v>SMART CARD LARANJA NAGRA</v>
      </c>
      <c r="B2066" s="22">
        <f>IFERROR(__xludf.DUMMYFUNCTION("""COMPUTED_VALUE"""),4.1001186E7)</f>
        <v>41001186</v>
      </c>
      <c r="C2066" s="21" t="str">
        <f>IFERROR(__xludf.DUMMYFUNCTION("""COMPUTED_VALUE"""),"215786488486")</f>
        <v>215786488486</v>
      </c>
      <c r="D2066" s="21" t="str">
        <f>IFERROR(__xludf.DUMMYFUNCTION("""COMPUTED_VALUE"""),"DIGITEC TECNOLOGIA DIGITAL E REPRES")</f>
        <v>DIGITEC TECNOLOGIA DIGITAL E REPRES</v>
      </c>
      <c r="E2066" s="21">
        <f>IFERROR(__xludf.DUMMYFUNCTION("""COMPUTED_VALUE"""),145359.0)</f>
        <v>145359</v>
      </c>
      <c r="F2066" s="21" t="str">
        <f>IFERROR(__xludf.DUMMYFUNCTION("""COMPUTED_VALUE"""),"SUSPEITO")</f>
        <v>SUSPEITO</v>
      </c>
      <c r="G2066" s="23">
        <f>IFERROR(__xludf.DUMMYFUNCTION("""COMPUTED_VALUE"""),45638.47898148149)</f>
        <v>45638.47898</v>
      </c>
      <c r="H2066" s="24" t="str">
        <f>IFERROR(VLOOKUP(B2066,material!A:D,3,0),"")</f>
        <v>CARD</v>
      </c>
    </row>
    <row r="2067" ht="11.25" customHeight="1">
      <c r="A2067" s="21" t="str">
        <f>IFERROR(__xludf.DUMMYFUNCTION("""COMPUTED_VALUE"""),"SMART CARD LARANJA NAGRA")</f>
        <v>SMART CARD LARANJA NAGRA</v>
      </c>
      <c r="B2067" s="22">
        <f>IFERROR(__xludf.DUMMYFUNCTION("""COMPUTED_VALUE"""),4.1001186E7)</f>
        <v>41001186</v>
      </c>
      <c r="C2067" s="21" t="str">
        <f>IFERROR(__xludf.DUMMYFUNCTION("""COMPUTED_VALUE"""),"215796074563")</f>
        <v>215796074563</v>
      </c>
      <c r="D2067" s="21" t="str">
        <f>IFERROR(__xludf.DUMMYFUNCTION("""COMPUTED_VALUE"""),"DIGITEC TECNOLOGIA DIGITAL E REPRES")</f>
        <v>DIGITEC TECNOLOGIA DIGITAL E REPRES</v>
      </c>
      <c r="E2067" s="21">
        <f>IFERROR(__xludf.DUMMYFUNCTION("""COMPUTED_VALUE"""),145359.0)</f>
        <v>145359</v>
      </c>
      <c r="F2067" s="21" t="str">
        <f>IFERROR(__xludf.DUMMYFUNCTION("""COMPUTED_VALUE"""),"SUSPEITO")</f>
        <v>SUSPEITO</v>
      </c>
      <c r="G2067" s="23">
        <f>IFERROR(__xludf.DUMMYFUNCTION("""COMPUTED_VALUE"""),45625.65725694444)</f>
        <v>45625.65726</v>
      </c>
      <c r="H2067" s="24" t="str">
        <f>IFERROR(VLOOKUP(B2067,material!A:D,3,0),"")</f>
        <v>CARD</v>
      </c>
    </row>
    <row r="2068" ht="11.25" customHeight="1">
      <c r="A2068" s="21" t="str">
        <f>IFERROR(__xludf.DUMMYFUNCTION("""COMPUTED_VALUE"""),"PACE - DCR HIGH DEFINITION")</f>
        <v>PACE - DCR HIGH DEFINITION</v>
      </c>
      <c r="B2068" s="22">
        <f>IFERROR(__xludf.DUMMYFUNCTION("""COMPUTED_VALUE"""),4.1001272E7)</f>
        <v>41001272</v>
      </c>
      <c r="C2068" s="21" t="str">
        <f>IFERROR(__xludf.DUMMYFUNCTION("""COMPUTED_VALUE"""),"172429139919")</f>
        <v>172429139919</v>
      </c>
      <c r="D2068" s="21" t="str">
        <f>IFERROR(__xludf.DUMMYFUNCTION("""COMPUTED_VALUE"""),"DIGITEC TECNOLOGIA DIGITAL E REPRES")</f>
        <v>DIGITEC TECNOLOGIA DIGITAL E REPRES</v>
      </c>
      <c r="E2068" s="21">
        <f>IFERROR(__xludf.DUMMYFUNCTION("""COMPUTED_VALUE"""),145359.0)</f>
        <v>145359</v>
      </c>
      <c r="F2068" s="21" t="str">
        <f>IFERROR(__xludf.DUMMYFUNCTION("""COMPUTED_VALUE"""),"SUSPEITO")</f>
        <v>SUSPEITO</v>
      </c>
      <c r="G2068" s="23">
        <f>IFERROR(__xludf.DUMMYFUNCTION("""COMPUTED_VALUE"""),45638.681226851855)</f>
        <v>45638.68123</v>
      </c>
      <c r="H2068" s="24" t="str">
        <f>IFERROR(VLOOKUP(B2068,material!A:D,3,0),"")</f>
        <v>LEGADO</v>
      </c>
    </row>
    <row r="2069" ht="11.25" customHeight="1">
      <c r="A2069" s="21" t="str">
        <f>IFERROR(__xludf.DUMMYFUNCTION("""COMPUTED_VALUE"""),"SMART CARD PRETO NAGRA")</f>
        <v>SMART CARD PRETO NAGRA</v>
      </c>
      <c r="B2069" s="22">
        <f>IFERROR(__xludf.DUMMYFUNCTION("""COMPUTED_VALUE"""),4.1001234E7)</f>
        <v>41001234</v>
      </c>
      <c r="C2069" s="21" t="str">
        <f>IFERROR(__xludf.DUMMYFUNCTION("""COMPUTED_VALUE"""),"246170127797")</f>
        <v>246170127797</v>
      </c>
      <c r="D2069" s="21" t="str">
        <f>IFERROR(__xludf.DUMMYFUNCTION("""COMPUTED_VALUE"""),"DIGITEC TECNOLOGIA DIGITAL E REPRES")</f>
        <v>DIGITEC TECNOLOGIA DIGITAL E REPRES</v>
      </c>
      <c r="E2069" s="21">
        <f>IFERROR(__xludf.DUMMYFUNCTION("""COMPUTED_VALUE"""),145359.0)</f>
        <v>145359</v>
      </c>
      <c r="F2069" s="21" t="str">
        <f>IFERROR(__xludf.DUMMYFUNCTION("""COMPUTED_VALUE"""),"INICIALIZADO")</f>
        <v>INICIALIZADO</v>
      </c>
      <c r="G2069" s="23">
        <f>IFERROR(__xludf.DUMMYFUNCTION("""COMPUTED_VALUE"""),45600.47596064815)</f>
        <v>45600.47596</v>
      </c>
      <c r="H2069" s="24" t="str">
        <f>IFERROR(VLOOKUP(B2069,material!A:D,3,0),"")</f>
        <v>CARD</v>
      </c>
    </row>
    <row r="2070" ht="11.25" customHeight="1">
      <c r="A2070" s="21" t="str">
        <f>IFERROR(__xludf.DUMMYFUNCTION("""COMPUTED_VALUE"""),"SMART CARD PRETO NAGRA")</f>
        <v>SMART CARD PRETO NAGRA</v>
      </c>
      <c r="B2070" s="22">
        <f>IFERROR(__xludf.DUMMYFUNCTION("""COMPUTED_VALUE"""),4.1001234E7)</f>
        <v>41001234</v>
      </c>
      <c r="C2070" s="21" t="str">
        <f>IFERROR(__xludf.DUMMYFUNCTION("""COMPUTED_VALUE"""),"246170485969")</f>
        <v>246170485969</v>
      </c>
      <c r="D2070" s="21" t="str">
        <f>IFERROR(__xludf.DUMMYFUNCTION("""COMPUTED_VALUE"""),"DIGITEC TECNOLOGIA DIGITAL E REPRES")</f>
        <v>DIGITEC TECNOLOGIA DIGITAL E REPRES</v>
      </c>
      <c r="E2070" s="21">
        <f>IFERROR(__xludf.DUMMYFUNCTION("""COMPUTED_VALUE"""),145359.0)</f>
        <v>145359</v>
      </c>
      <c r="F2070" s="21" t="str">
        <f>IFERROR(__xludf.DUMMYFUNCTION("""COMPUTED_VALUE"""),"INICIALIZADO")</f>
        <v>INICIALIZADO</v>
      </c>
      <c r="G2070" s="23">
        <f>IFERROR(__xludf.DUMMYFUNCTION("""COMPUTED_VALUE"""),45016.67954861111)</f>
        <v>45016.67955</v>
      </c>
      <c r="H2070" s="24" t="str">
        <f>IFERROR(VLOOKUP(B2070,material!A:D,3,0),"")</f>
        <v>CARD</v>
      </c>
    </row>
    <row r="2071" ht="11.25" customHeight="1">
      <c r="A2071" s="21" t="str">
        <f>IFERROR(__xludf.DUMMYFUNCTION("""COMPUTED_VALUE"""),"SMART CARD PRETO NAGRA")</f>
        <v>SMART CARD PRETO NAGRA</v>
      </c>
      <c r="B2071" s="22">
        <f>IFERROR(__xludf.DUMMYFUNCTION("""COMPUTED_VALUE"""),4.1001234E7)</f>
        <v>41001234</v>
      </c>
      <c r="C2071" s="21" t="str">
        <f>IFERROR(__xludf.DUMMYFUNCTION("""COMPUTED_VALUE"""),"226021930607")</f>
        <v>226021930607</v>
      </c>
      <c r="D2071" s="21" t="str">
        <f>IFERROR(__xludf.DUMMYFUNCTION("""COMPUTED_VALUE"""),"DIGITEC TECNOLOGIA DIGITAL E REPRES")</f>
        <v>DIGITEC TECNOLOGIA DIGITAL E REPRES</v>
      </c>
      <c r="E2071" s="21">
        <f>IFERROR(__xludf.DUMMYFUNCTION("""COMPUTED_VALUE"""),145359.0)</f>
        <v>145359</v>
      </c>
      <c r="F2071" s="21" t="str">
        <f>IFERROR(__xludf.DUMMYFUNCTION("""COMPUTED_VALUE"""),"INICIALIZADO")</f>
        <v>INICIALIZADO</v>
      </c>
      <c r="G2071" s="23">
        <f>IFERROR(__xludf.DUMMYFUNCTION("""COMPUTED_VALUE"""),45007.55200231481)</f>
        <v>45007.552</v>
      </c>
      <c r="H2071" s="24" t="str">
        <f>IFERROR(VLOOKUP(B2071,material!A:D,3,0),"")</f>
        <v>CARD</v>
      </c>
    </row>
    <row r="2072" ht="11.25" customHeight="1">
      <c r="A2072" s="21" t="str">
        <f>IFERROR(__xludf.DUMMYFUNCTION("""COMPUTED_VALUE"""),"SMART CARD PRETO NAGRA")</f>
        <v>SMART CARD PRETO NAGRA</v>
      </c>
      <c r="B2072" s="22">
        <f>IFERROR(__xludf.DUMMYFUNCTION("""COMPUTED_VALUE"""),4.1001234E7)</f>
        <v>41001234</v>
      </c>
      <c r="C2072" s="21" t="str">
        <f>IFERROR(__xludf.DUMMYFUNCTION("""COMPUTED_VALUE"""),"226326321021")</f>
        <v>226326321021</v>
      </c>
      <c r="D2072" s="21" t="str">
        <f>IFERROR(__xludf.DUMMYFUNCTION("""COMPUTED_VALUE"""),"DIGITEC TECNOLOGIA DIGITAL E REPRES")</f>
        <v>DIGITEC TECNOLOGIA DIGITAL E REPRES</v>
      </c>
      <c r="E2072" s="21">
        <f>IFERROR(__xludf.DUMMYFUNCTION("""COMPUTED_VALUE"""),145359.0)</f>
        <v>145359</v>
      </c>
      <c r="F2072" s="21" t="str">
        <f>IFERROR(__xludf.DUMMYFUNCTION("""COMPUTED_VALUE"""),"INICIALIZADO")</f>
        <v>INICIALIZADO</v>
      </c>
      <c r="G2072" s="23">
        <f>IFERROR(__xludf.DUMMYFUNCTION("""COMPUTED_VALUE"""),45600.47596064815)</f>
        <v>45600.47596</v>
      </c>
      <c r="H2072" s="24" t="str">
        <f>IFERROR(VLOOKUP(B2072,material!A:D,3,0),"")</f>
        <v>CARD</v>
      </c>
    </row>
    <row r="2073" ht="11.25" customHeight="1">
      <c r="A2073" s="21" t="str">
        <f>IFERROR(__xludf.DUMMYFUNCTION("""COMPUTED_VALUE"""),"DECODER DIGITAL HD HNB100 2T")</f>
        <v>DECODER DIGITAL HD HNB100 2T</v>
      </c>
      <c r="B2073" s="22">
        <f>IFERROR(__xludf.DUMMYFUNCTION("""COMPUTED_VALUE"""),4.1001276E7)</f>
        <v>41001276</v>
      </c>
      <c r="C2073" s="21" t="str">
        <f>IFERROR(__xludf.DUMMYFUNCTION("""COMPUTED_VALUE"""),"216695970716")</f>
        <v>216695970716</v>
      </c>
      <c r="D2073" s="21" t="str">
        <f>IFERROR(__xludf.DUMMYFUNCTION("""COMPUTED_VALUE"""),"DIGITEC TECNOLOGIA DIGITAL E REPRES")</f>
        <v>DIGITEC TECNOLOGIA DIGITAL E REPRES</v>
      </c>
      <c r="E2073" s="21">
        <f>IFERROR(__xludf.DUMMYFUNCTION("""COMPUTED_VALUE"""),145359.0)</f>
        <v>145359</v>
      </c>
      <c r="F2073" s="21" t="str">
        <f>IFERROR(__xludf.DUMMYFUNCTION("""COMPUTED_VALUE"""),"INICIALIZADO")</f>
        <v>INICIALIZADO</v>
      </c>
      <c r="G2073" s="23">
        <f>IFERROR(__xludf.DUMMYFUNCTION("""COMPUTED_VALUE"""),45635.53501157407)</f>
        <v>45635.53501</v>
      </c>
      <c r="H2073" s="24" t="str">
        <f>IFERROR(VLOOKUP(B2073,material!A:D,3,0),"")</f>
        <v>TOP MIX</v>
      </c>
    </row>
    <row r="2074" ht="11.25" customHeight="1">
      <c r="A2074" s="21" t="str">
        <f>IFERROR(__xludf.DUMMYFUNCTION("""COMPUTED_VALUE"""),"DECODER DIGITAL HD HNB100 2T")</f>
        <v>DECODER DIGITAL HD HNB100 2T</v>
      </c>
      <c r="B2074" s="22">
        <f>IFERROR(__xludf.DUMMYFUNCTION("""COMPUTED_VALUE"""),4.1001276E7)</f>
        <v>41001276</v>
      </c>
      <c r="C2074" s="21" t="str">
        <f>IFERROR(__xludf.DUMMYFUNCTION("""COMPUTED_VALUE"""),"216399953543")</f>
        <v>216399953543</v>
      </c>
      <c r="D2074" s="21" t="str">
        <f>IFERROR(__xludf.DUMMYFUNCTION("""COMPUTED_VALUE"""),"DIGITEC TECNOLOGIA DIGITAL E REPRES")</f>
        <v>DIGITEC TECNOLOGIA DIGITAL E REPRES</v>
      </c>
      <c r="E2074" s="21">
        <f>IFERROR(__xludf.DUMMYFUNCTION("""COMPUTED_VALUE"""),145359.0)</f>
        <v>145359</v>
      </c>
      <c r="F2074" s="21" t="str">
        <f>IFERROR(__xludf.DUMMYFUNCTION("""COMPUTED_VALUE"""),"INICIALIZADO")</f>
        <v>INICIALIZADO</v>
      </c>
      <c r="G2074" s="23">
        <f>IFERROR(__xludf.DUMMYFUNCTION("""COMPUTED_VALUE"""),45635.53503472223)</f>
        <v>45635.53503</v>
      </c>
      <c r="H2074" s="24" t="str">
        <f>IFERROR(VLOOKUP(B2074,material!A:D,3,0),"")</f>
        <v>TOP MIX</v>
      </c>
    </row>
    <row r="2075" ht="11.25" customHeight="1">
      <c r="A2075" s="21" t="str">
        <f>IFERROR(__xludf.DUMMYFUNCTION("""COMPUTED_VALUE"""),"DECODER DIGITAL HD HNB100 2T")</f>
        <v>DECODER DIGITAL HD HNB100 2T</v>
      </c>
      <c r="B2075" s="22">
        <f>IFERROR(__xludf.DUMMYFUNCTION("""COMPUTED_VALUE"""),4.1001276E7)</f>
        <v>41001276</v>
      </c>
      <c r="C2075" s="21" t="str">
        <f>IFERROR(__xludf.DUMMYFUNCTION("""COMPUTED_VALUE"""),"216698661921")</f>
        <v>216698661921</v>
      </c>
      <c r="D2075" s="21" t="str">
        <f>IFERROR(__xludf.DUMMYFUNCTION("""COMPUTED_VALUE"""),"DIGITEC TECNOLOGIA DIGITAL E REPRES")</f>
        <v>DIGITEC TECNOLOGIA DIGITAL E REPRES</v>
      </c>
      <c r="E2075" s="21">
        <f>IFERROR(__xludf.DUMMYFUNCTION("""COMPUTED_VALUE"""),145359.0)</f>
        <v>145359</v>
      </c>
      <c r="F2075" s="21" t="str">
        <f>IFERROR(__xludf.DUMMYFUNCTION("""COMPUTED_VALUE"""),"INICIALIZADO")</f>
        <v>INICIALIZADO</v>
      </c>
      <c r="G2075" s="23">
        <f>IFERROR(__xludf.DUMMYFUNCTION("""COMPUTED_VALUE"""),45635.53501157407)</f>
        <v>45635.53501</v>
      </c>
      <c r="H2075" s="24" t="str">
        <f>IFERROR(VLOOKUP(B2075,material!A:D,3,0),"")</f>
        <v>TOP MIX</v>
      </c>
    </row>
    <row r="2076" ht="11.25" customHeight="1">
      <c r="A2076" s="21" t="str">
        <f>IFERROR(__xludf.DUMMYFUNCTION("""COMPUTED_VALUE"""),"DECODER DIGITAL HD HNB100 2T")</f>
        <v>DECODER DIGITAL HD HNB100 2T</v>
      </c>
      <c r="B2076" s="22">
        <f>IFERROR(__xludf.DUMMYFUNCTION("""COMPUTED_VALUE"""),4.1001276E7)</f>
        <v>41001276</v>
      </c>
      <c r="C2076" s="21" t="str">
        <f>IFERROR(__xludf.DUMMYFUNCTION("""COMPUTED_VALUE"""),"216360789495")</f>
        <v>216360789495</v>
      </c>
      <c r="D2076" s="21" t="str">
        <f>IFERROR(__xludf.DUMMYFUNCTION("""COMPUTED_VALUE"""),"DIGITEC TECNOLOGIA DIGITAL E REPRES")</f>
        <v>DIGITEC TECNOLOGIA DIGITAL E REPRES</v>
      </c>
      <c r="E2076" s="21">
        <f>IFERROR(__xludf.DUMMYFUNCTION("""COMPUTED_VALUE"""),145359.0)</f>
        <v>145359</v>
      </c>
      <c r="F2076" s="21" t="str">
        <f>IFERROR(__xludf.DUMMYFUNCTION("""COMPUTED_VALUE"""),"INICIALIZADO")</f>
        <v>INICIALIZADO</v>
      </c>
      <c r="G2076" s="23">
        <f>IFERROR(__xludf.DUMMYFUNCTION("""COMPUTED_VALUE"""),45635.535046296296)</f>
        <v>45635.53505</v>
      </c>
      <c r="H2076" s="24" t="str">
        <f>IFERROR(VLOOKUP(B2076,material!A:D,3,0),"")</f>
        <v>TOP MIX</v>
      </c>
    </row>
    <row r="2077" ht="11.25" customHeight="1">
      <c r="A2077" s="21" t="str">
        <f>IFERROR(__xludf.DUMMYFUNCTION("""COMPUTED_VALUE"""),"DECODER DIGITAL HD HNB100 2T")</f>
        <v>DECODER DIGITAL HD HNB100 2T</v>
      </c>
      <c r="B2077" s="22">
        <f>IFERROR(__xludf.DUMMYFUNCTION("""COMPUTED_VALUE"""),4.1001276E7)</f>
        <v>41001276</v>
      </c>
      <c r="C2077" s="21" t="str">
        <f>IFERROR(__xludf.DUMMYFUNCTION("""COMPUTED_VALUE"""),"184332381316")</f>
        <v>184332381316</v>
      </c>
      <c r="D2077" s="21" t="str">
        <f>IFERROR(__xludf.DUMMYFUNCTION("""COMPUTED_VALUE"""),"DIGITEC TECNOLOGIA DIGITAL E REPRES")</f>
        <v>DIGITEC TECNOLOGIA DIGITAL E REPRES</v>
      </c>
      <c r="E2077" s="21">
        <f>IFERROR(__xludf.DUMMYFUNCTION("""COMPUTED_VALUE"""),145359.0)</f>
        <v>145359</v>
      </c>
      <c r="F2077" s="21" t="str">
        <f>IFERROR(__xludf.DUMMYFUNCTION("""COMPUTED_VALUE"""),"INICIALIZADO")</f>
        <v>INICIALIZADO</v>
      </c>
      <c r="G2077" s="23">
        <f>IFERROR(__xludf.DUMMYFUNCTION("""COMPUTED_VALUE"""),45635.535046296296)</f>
        <v>45635.53505</v>
      </c>
      <c r="H2077" s="24" t="str">
        <f>IFERROR(VLOOKUP(B2077,material!A:D,3,0),"")</f>
        <v>TOP MIX</v>
      </c>
    </row>
    <row r="2078" ht="11.25" customHeight="1">
      <c r="A2078" s="21" t="str">
        <f>IFERROR(__xludf.DUMMYFUNCTION("""COMPUTED_VALUE"""),"DECODER DIGITAL HD HNB100 2T")</f>
        <v>DECODER DIGITAL HD HNB100 2T</v>
      </c>
      <c r="B2078" s="22">
        <f>IFERROR(__xludf.DUMMYFUNCTION("""COMPUTED_VALUE"""),4.1001276E7)</f>
        <v>41001276</v>
      </c>
      <c r="C2078" s="21" t="str">
        <f>IFERROR(__xludf.DUMMYFUNCTION("""COMPUTED_VALUE"""),"216404056973")</f>
        <v>216404056973</v>
      </c>
      <c r="D2078" s="21" t="str">
        <f>IFERROR(__xludf.DUMMYFUNCTION("""COMPUTED_VALUE"""),"DIGITEC TECNOLOGIA DIGITAL E REPRES")</f>
        <v>DIGITEC TECNOLOGIA DIGITAL E REPRES</v>
      </c>
      <c r="E2078" s="21">
        <f>IFERROR(__xludf.DUMMYFUNCTION("""COMPUTED_VALUE"""),145359.0)</f>
        <v>145359</v>
      </c>
      <c r="F2078" s="21" t="str">
        <f>IFERROR(__xludf.DUMMYFUNCTION("""COMPUTED_VALUE"""),"INICIALIZADO")</f>
        <v>INICIALIZADO</v>
      </c>
      <c r="G2078" s="23">
        <f>IFERROR(__xludf.DUMMYFUNCTION("""COMPUTED_VALUE"""),45635.53503472223)</f>
        <v>45635.53503</v>
      </c>
      <c r="H2078" s="24" t="str">
        <f>IFERROR(VLOOKUP(B2078,material!A:D,3,0),"")</f>
        <v>TOP MIX</v>
      </c>
    </row>
    <row r="2079" ht="11.25" customHeight="1">
      <c r="A2079" s="21" t="str">
        <f>IFERROR(__xludf.DUMMYFUNCTION("""COMPUTED_VALUE"""),"SMART CARD PRETO NAGRA")</f>
        <v>SMART CARD PRETO NAGRA</v>
      </c>
      <c r="B2079" s="22">
        <f>IFERROR(__xludf.DUMMYFUNCTION("""COMPUTED_VALUE"""),4.1001234E7)</f>
        <v>41001234</v>
      </c>
      <c r="C2079" s="21" t="str">
        <f>IFERROR(__xludf.DUMMYFUNCTION("""COMPUTED_VALUE"""),"246066095972")</f>
        <v>246066095972</v>
      </c>
      <c r="D2079" s="21" t="str">
        <f>IFERROR(__xludf.DUMMYFUNCTION("""COMPUTED_VALUE"""),"DIGITEC TECNOLOGIA DIGITAL E REPRES")</f>
        <v>DIGITEC TECNOLOGIA DIGITAL E REPRES</v>
      </c>
      <c r="E2079" s="21">
        <f>IFERROR(__xludf.DUMMYFUNCTION("""COMPUTED_VALUE"""),145359.0)</f>
        <v>145359</v>
      </c>
      <c r="F2079" s="21" t="str">
        <f>IFERROR(__xludf.DUMMYFUNCTION("""COMPUTED_VALUE"""),"INICIALIZADO")</f>
        <v>INICIALIZADO</v>
      </c>
      <c r="G2079" s="23">
        <f>IFERROR(__xludf.DUMMYFUNCTION("""COMPUTED_VALUE"""),45594.64796296296)</f>
        <v>45594.64796</v>
      </c>
      <c r="H2079" s="24" t="str">
        <f>IFERROR(VLOOKUP(B2079,material!A:D,3,0),"")</f>
        <v>CARD</v>
      </c>
    </row>
    <row r="2080" ht="11.25" customHeight="1">
      <c r="A2080" s="21" t="str">
        <f>IFERROR(__xludf.DUMMYFUNCTION("""COMPUTED_VALUE"""),"DECODER DIGITAL HD HNB100 2T")</f>
        <v>DECODER DIGITAL HD HNB100 2T</v>
      </c>
      <c r="B2080" s="22">
        <f>IFERROR(__xludf.DUMMYFUNCTION("""COMPUTED_VALUE"""),4.1001276E7)</f>
        <v>41001276</v>
      </c>
      <c r="C2080" s="21" t="str">
        <f>IFERROR(__xludf.DUMMYFUNCTION("""COMPUTED_VALUE"""),"216402322136")</f>
        <v>216402322136</v>
      </c>
      <c r="D2080" s="21" t="str">
        <f>IFERROR(__xludf.DUMMYFUNCTION("""COMPUTED_VALUE"""),"DIGITEC TECNOLOGIA DIGITAL E REPRES")</f>
        <v>DIGITEC TECNOLOGIA DIGITAL E REPRES</v>
      </c>
      <c r="E2080" s="21">
        <f>IFERROR(__xludf.DUMMYFUNCTION("""COMPUTED_VALUE"""),145359.0)</f>
        <v>145359</v>
      </c>
      <c r="F2080" s="21" t="str">
        <f>IFERROR(__xludf.DUMMYFUNCTION("""COMPUTED_VALUE"""),"INICIALIZADO")</f>
        <v>INICIALIZADO</v>
      </c>
      <c r="G2080" s="23">
        <f>IFERROR(__xludf.DUMMYFUNCTION("""COMPUTED_VALUE"""),45635.53503472223)</f>
        <v>45635.53503</v>
      </c>
      <c r="H2080" s="24" t="str">
        <f>IFERROR(VLOOKUP(B2080,material!A:D,3,0),"")</f>
        <v>TOP MIX</v>
      </c>
    </row>
    <row r="2081" ht="11.25" customHeight="1">
      <c r="A2081" s="21" t="str">
        <f>IFERROR(__xludf.DUMMYFUNCTION("""COMPUTED_VALUE"""),"HUMAX HGB10R-02")</f>
        <v>HUMAX HGB10R-02</v>
      </c>
      <c r="B2081" s="22">
        <f>IFERROR(__xludf.DUMMYFUNCTION("""COMPUTED_VALUE"""),4.1001292E7)</f>
        <v>41001292</v>
      </c>
      <c r="C2081" s="21" t="str">
        <f>IFERROR(__xludf.DUMMYFUNCTION("""COMPUTED_VALUE"""),"E820E252E594")</f>
        <v>E820E252E594</v>
      </c>
      <c r="D2081" s="21" t="str">
        <f>IFERROR(__xludf.DUMMYFUNCTION("""COMPUTED_VALUE"""),"DIGITEC TECNOLOGIA DIGITAL E REPRES")</f>
        <v>DIGITEC TECNOLOGIA DIGITAL E REPRES</v>
      </c>
      <c r="E2081" s="21">
        <f>IFERROR(__xludf.DUMMYFUNCTION("""COMPUTED_VALUE"""),145359.0)</f>
        <v>145359</v>
      </c>
      <c r="F2081" s="21" t="str">
        <f>IFERROR(__xludf.DUMMYFUNCTION("""COMPUTED_VALUE"""),"TRANSITO REVERSA")</f>
        <v>TRANSITO REVERSA</v>
      </c>
      <c r="G2081" s="23">
        <f>IFERROR(__xludf.DUMMYFUNCTION("""COMPUTED_VALUE"""),45633.003379629634)</f>
        <v>45633.00338</v>
      </c>
      <c r="H2081" s="24" t="str">
        <f>IFERROR(VLOOKUP(B2081,material!A:D,3,0),"")</f>
        <v>DUAL</v>
      </c>
    </row>
    <row r="2082" ht="11.25" customHeight="1">
      <c r="A2082" s="21" t="str">
        <f>IFERROR(__xludf.DUMMYFUNCTION("""COMPUTED_VALUE"""),"SMART CARD PRETO NAGRA")</f>
        <v>SMART CARD PRETO NAGRA</v>
      </c>
      <c r="B2082" s="22">
        <f>IFERROR(__xludf.DUMMYFUNCTION("""COMPUTED_VALUE"""),4.1001234E7)</f>
        <v>41001234</v>
      </c>
      <c r="C2082" s="21" t="str">
        <f>IFERROR(__xludf.DUMMYFUNCTION("""COMPUTED_VALUE"""),"226339703348")</f>
        <v>226339703348</v>
      </c>
      <c r="D2082" s="21" t="str">
        <f>IFERROR(__xludf.DUMMYFUNCTION("""COMPUTED_VALUE"""),"DIGITEC TECNOLOGIA DIGITAL E REPRES")</f>
        <v>DIGITEC TECNOLOGIA DIGITAL E REPRES</v>
      </c>
      <c r="E2082" s="21">
        <f>IFERROR(__xludf.DUMMYFUNCTION("""COMPUTED_VALUE"""),145359.0)</f>
        <v>145359</v>
      </c>
      <c r="F2082" s="21" t="str">
        <f>IFERROR(__xludf.DUMMYFUNCTION("""COMPUTED_VALUE"""),"TRANSITO REVERSA")</f>
        <v>TRANSITO REVERSA</v>
      </c>
      <c r="G2082" s="23">
        <f>IFERROR(__xludf.DUMMYFUNCTION("""COMPUTED_VALUE"""),45633.003379629634)</f>
        <v>45633.00338</v>
      </c>
      <c r="H2082" s="24" t="str">
        <f>IFERROR(VLOOKUP(B2082,material!A:D,3,0),"")</f>
        <v>CARD</v>
      </c>
    </row>
    <row r="2083" ht="11.25" customHeight="1">
      <c r="A2083" s="21" t="str">
        <f>IFERROR(__xludf.DUMMYFUNCTION("""COMPUTED_VALUE"""),"SMART CARD LARANJA")</f>
        <v>SMART CARD LARANJA</v>
      </c>
      <c r="B2083" s="22">
        <f>IFERROR(__xludf.DUMMYFUNCTION("""COMPUTED_VALUE"""),4.1001186E7)</f>
        <v>41001186</v>
      </c>
      <c r="C2083" s="21" t="str">
        <f>IFERROR(__xludf.DUMMYFUNCTION("""COMPUTED_VALUE"""),"215632697383")</f>
        <v>215632697383</v>
      </c>
      <c r="D2083" s="21" t="str">
        <f>IFERROR(__xludf.DUMMYFUNCTION("""COMPUTED_VALUE"""),"DIGITEC TECNOLOGIA DIGITAL E REPRES")</f>
        <v>DIGITEC TECNOLOGIA DIGITAL E REPRES</v>
      </c>
      <c r="E2083" s="21">
        <f>IFERROR(__xludf.DUMMYFUNCTION("""COMPUTED_VALUE"""),145359.0)</f>
        <v>145359</v>
      </c>
      <c r="F2083" s="21" t="str">
        <f>IFERROR(__xludf.DUMMYFUNCTION("""COMPUTED_VALUE"""),"SUCATA")</f>
        <v>SUCATA</v>
      </c>
      <c r="G2083" s="23">
        <f>IFERROR(__xludf.DUMMYFUNCTION("""COMPUTED_VALUE"""),45075.586851851855)</f>
        <v>45075.58685</v>
      </c>
      <c r="H2083" s="24" t="str">
        <f>IFERROR(VLOOKUP(B2083,material!A:D,3,0),"")</f>
        <v>CARD</v>
      </c>
    </row>
    <row r="2084" ht="11.25" customHeight="1">
      <c r="A2084" s="21" t="str">
        <f>IFERROR(__xludf.DUMMYFUNCTION("""COMPUTED_VALUE"""),"SMART CARD LARANJA NAGRA")</f>
        <v>SMART CARD LARANJA NAGRA</v>
      </c>
      <c r="B2084" s="22">
        <f>IFERROR(__xludf.DUMMYFUNCTION("""COMPUTED_VALUE"""),4.1001186E7)</f>
        <v>41001186</v>
      </c>
      <c r="C2084" s="21" t="str">
        <f>IFERROR(__xludf.DUMMYFUNCTION("""COMPUTED_VALUE"""),"226685285054")</f>
        <v>226685285054</v>
      </c>
      <c r="D2084" s="21" t="str">
        <f>IFERROR(__xludf.DUMMYFUNCTION("""COMPUTED_VALUE"""),"DIGITEC TECNOLOGIA DIGITAL E REPRES")</f>
        <v>DIGITEC TECNOLOGIA DIGITAL E REPRES</v>
      </c>
      <c r="E2084" s="21">
        <f>IFERROR(__xludf.DUMMYFUNCTION("""COMPUTED_VALUE"""),145359.0)</f>
        <v>145359</v>
      </c>
      <c r="F2084" s="21" t="str">
        <f>IFERROR(__xludf.DUMMYFUNCTION("""COMPUTED_VALUE"""),"SUCATA")</f>
        <v>SUCATA</v>
      </c>
      <c r="G2084" s="23">
        <f>IFERROR(__xludf.DUMMYFUNCTION("""COMPUTED_VALUE"""),45075.51188657407)</f>
        <v>45075.51189</v>
      </c>
      <c r="H2084" s="24" t="str">
        <f>IFERROR(VLOOKUP(B2084,material!A:D,3,0),"")</f>
        <v>CARD</v>
      </c>
    </row>
    <row r="2085" ht="11.25" customHeight="1">
      <c r="A2085" s="21" t="str">
        <f>IFERROR(__xludf.DUMMYFUNCTION("""COMPUTED_VALUE"""),"SMART CARD LARANJA NAGRA")</f>
        <v>SMART CARD LARANJA NAGRA</v>
      </c>
      <c r="B2085" s="22">
        <f>IFERROR(__xludf.DUMMYFUNCTION("""COMPUTED_VALUE"""),4.1001186E7)</f>
        <v>41001186</v>
      </c>
      <c r="C2085" s="21" t="str">
        <f>IFERROR(__xludf.DUMMYFUNCTION("""COMPUTED_VALUE"""),"226686107592")</f>
        <v>226686107592</v>
      </c>
      <c r="D2085" s="21" t="str">
        <f>IFERROR(__xludf.DUMMYFUNCTION("""COMPUTED_VALUE"""),"DIGITEC TECNOLOGIA DIGITAL E REPRES")</f>
        <v>DIGITEC TECNOLOGIA DIGITAL E REPRES</v>
      </c>
      <c r="E2085" s="21">
        <f>IFERROR(__xludf.DUMMYFUNCTION("""COMPUTED_VALUE"""),145359.0)</f>
        <v>145359</v>
      </c>
      <c r="F2085" s="21" t="str">
        <f>IFERROR(__xludf.DUMMYFUNCTION("""COMPUTED_VALUE"""),"SUCATA")</f>
        <v>SUCATA</v>
      </c>
      <c r="G2085" s="23">
        <f>IFERROR(__xludf.DUMMYFUNCTION("""COMPUTED_VALUE"""),45075.51188657407)</f>
        <v>45075.51189</v>
      </c>
      <c r="H2085" s="24" t="str">
        <f>IFERROR(VLOOKUP(B2085,material!A:D,3,0),"")</f>
        <v>CARD</v>
      </c>
    </row>
    <row r="2086" ht="11.25" customHeight="1">
      <c r="A2086" s="21" t="str">
        <f>IFERROR(__xludf.DUMMYFUNCTION("""COMPUTED_VALUE"""),"DECODER DIGITAL HD DXC5000 2T")</f>
        <v>DECODER DIGITAL HD DXC5000 2T</v>
      </c>
      <c r="B2086" s="22">
        <f>IFERROR(__xludf.DUMMYFUNCTION("""COMPUTED_VALUE"""),4.1001277E7)</f>
        <v>41001277</v>
      </c>
      <c r="C2086" s="21" t="str">
        <f>IFERROR(__xludf.DUMMYFUNCTION("""COMPUTED_VALUE"""),"216599202439")</f>
        <v>216599202439</v>
      </c>
      <c r="D2086" s="21" t="str">
        <f>IFERROR(__xludf.DUMMYFUNCTION("""COMPUTED_VALUE"""),"DIGITEC TECNOLOGIA DIGITAL E REPRES")</f>
        <v>DIGITEC TECNOLOGIA DIGITAL E REPRES</v>
      </c>
      <c r="E2086" s="21">
        <f>IFERROR(__xludf.DUMMYFUNCTION("""COMPUTED_VALUE"""),145359.0)</f>
        <v>145359</v>
      </c>
      <c r="F2086" s="21" t="str">
        <f>IFERROR(__xludf.DUMMYFUNCTION("""COMPUTED_VALUE"""),"INICIALIZADO")</f>
        <v>INICIALIZADO</v>
      </c>
      <c r="G2086" s="23">
        <f>IFERROR(__xludf.DUMMYFUNCTION("""COMPUTED_VALUE"""),45635.30666666667)</f>
        <v>45635.30667</v>
      </c>
      <c r="H2086" s="24" t="str">
        <f>IFERROR(VLOOKUP(B2086,material!A:D,3,0),"")</f>
        <v>TOP MIX</v>
      </c>
    </row>
    <row r="2087" ht="11.25" customHeight="1">
      <c r="A2087" s="21" t="str">
        <f>IFERROR(__xludf.DUMMYFUNCTION("""COMPUTED_VALUE"""),"SMART CARD PRETO NAGRA")</f>
        <v>SMART CARD PRETO NAGRA</v>
      </c>
      <c r="B2087" s="22">
        <f>IFERROR(__xludf.DUMMYFUNCTION("""COMPUTED_VALUE"""),4.1001234E7)</f>
        <v>41001234</v>
      </c>
      <c r="C2087" s="21" t="str">
        <f>IFERROR(__xludf.DUMMYFUNCTION("""COMPUTED_VALUE"""),"246017837794")</f>
        <v>246017837794</v>
      </c>
      <c r="D2087" s="21" t="str">
        <f>IFERROR(__xludf.DUMMYFUNCTION("""COMPUTED_VALUE"""),"DIGITEC TECNOLOGIA DIGITAL E REPRES")</f>
        <v>DIGITEC TECNOLOGIA DIGITAL E REPRES</v>
      </c>
      <c r="E2087" s="21">
        <f>IFERROR(__xludf.DUMMYFUNCTION("""COMPUTED_VALUE"""),145359.0)</f>
        <v>145359</v>
      </c>
      <c r="F2087" s="21" t="str">
        <f>IFERROR(__xludf.DUMMYFUNCTION("""COMPUTED_VALUE"""),"INICIALIZADO")</f>
        <v>INICIALIZADO</v>
      </c>
      <c r="G2087" s="23">
        <f>IFERROR(__xludf.DUMMYFUNCTION("""COMPUTED_VALUE"""),45635.53496527778)</f>
        <v>45635.53497</v>
      </c>
      <c r="H2087" s="24" t="str">
        <f>IFERROR(VLOOKUP(B2087,material!A:D,3,0),"")</f>
        <v>CARD</v>
      </c>
    </row>
    <row r="2088" ht="11.25" customHeight="1">
      <c r="A2088" s="21" t="str">
        <f>IFERROR(__xludf.DUMMYFUNCTION("""COMPUTED_VALUE"""),"SMART CARD PRETO NAGRA")</f>
        <v>SMART CARD PRETO NAGRA</v>
      </c>
      <c r="B2088" s="22">
        <f>IFERROR(__xludf.DUMMYFUNCTION("""COMPUTED_VALUE"""),4.1001234E7)</f>
        <v>41001234</v>
      </c>
      <c r="C2088" s="21" t="str">
        <f>IFERROR(__xludf.DUMMYFUNCTION("""COMPUTED_VALUE"""),"246265212330")</f>
        <v>246265212330</v>
      </c>
      <c r="D2088" s="21" t="str">
        <f>IFERROR(__xludf.DUMMYFUNCTION("""COMPUTED_VALUE"""),"DIGITEC TECNOLOGIA DIGITAL E REPRES")</f>
        <v>DIGITEC TECNOLOGIA DIGITAL E REPRES</v>
      </c>
      <c r="E2088" s="21">
        <f>IFERROR(__xludf.DUMMYFUNCTION("""COMPUTED_VALUE"""),145359.0)</f>
        <v>145359</v>
      </c>
      <c r="F2088" s="21" t="str">
        <f>IFERROR(__xludf.DUMMYFUNCTION("""COMPUTED_VALUE"""),"INICIALIZADO")</f>
        <v>INICIALIZADO</v>
      </c>
      <c r="G2088" s="23">
        <f>IFERROR(__xludf.DUMMYFUNCTION("""COMPUTED_VALUE"""),45635.53493055556)</f>
        <v>45635.53493</v>
      </c>
      <c r="H2088" s="24" t="str">
        <f>IFERROR(VLOOKUP(B2088,material!A:D,3,0),"")</f>
        <v>CARD</v>
      </c>
    </row>
    <row r="2089" ht="11.25" customHeight="1">
      <c r="A2089" s="21" t="str">
        <f>IFERROR(__xludf.DUMMYFUNCTION("""COMPUTED_VALUE"""),"SMART CARD PRETO NAGRA")</f>
        <v>SMART CARD PRETO NAGRA</v>
      </c>
      <c r="B2089" s="22">
        <f>IFERROR(__xludf.DUMMYFUNCTION("""COMPUTED_VALUE"""),4.1001234E7)</f>
        <v>41001234</v>
      </c>
      <c r="C2089" s="21" t="str">
        <f>IFERROR(__xludf.DUMMYFUNCTION("""COMPUTED_VALUE"""),"226019805169")</f>
        <v>226019805169</v>
      </c>
      <c r="D2089" s="21" t="str">
        <f>IFERROR(__xludf.DUMMYFUNCTION("""COMPUTED_VALUE"""),"DIGITEC TECNOLOGIA DIGITAL E REPRES")</f>
        <v>DIGITEC TECNOLOGIA DIGITAL E REPRES</v>
      </c>
      <c r="E2089" s="21">
        <f>IFERROR(__xludf.DUMMYFUNCTION("""COMPUTED_VALUE"""),145359.0)</f>
        <v>145359</v>
      </c>
      <c r="F2089" s="21" t="str">
        <f>IFERROR(__xludf.DUMMYFUNCTION("""COMPUTED_VALUE"""),"INICIALIZADO")</f>
        <v>INICIALIZADO</v>
      </c>
      <c r="G2089" s="23">
        <f>IFERROR(__xludf.DUMMYFUNCTION("""COMPUTED_VALUE"""),45635.534953703704)</f>
        <v>45635.53495</v>
      </c>
      <c r="H2089" s="24" t="str">
        <f>IFERROR(VLOOKUP(B2089,material!A:D,3,0),"")</f>
        <v>CARD</v>
      </c>
    </row>
    <row r="2090" ht="11.25" customHeight="1">
      <c r="A2090" s="21" t="str">
        <f>IFERROR(__xludf.DUMMYFUNCTION("""COMPUTED_VALUE"""),"SMART CARD PRETO NAGRA")</f>
        <v>SMART CARD PRETO NAGRA</v>
      </c>
      <c r="B2090" s="22">
        <f>IFERROR(__xludf.DUMMYFUNCTION("""COMPUTED_VALUE"""),4.1001234E7)</f>
        <v>41001234</v>
      </c>
      <c r="C2090" s="21" t="str">
        <f>IFERROR(__xludf.DUMMYFUNCTION("""COMPUTED_VALUE"""),"226418958186")</f>
        <v>226418958186</v>
      </c>
      <c r="D2090" s="21" t="str">
        <f>IFERROR(__xludf.DUMMYFUNCTION("""COMPUTED_VALUE"""),"DIGITEC TECNOLOGIA DIGITAL E REPRES")</f>
        <v>DIGITEC TECNOLOGIA DIGITAL E REPRES</v>
      </c>
      <c r="E2090" s="21">
        <f>IFERROR(__xludf.DUMMYFUNCTION("""COMPUTED_VALUE"""),145359.0)</f>
        <v>145359</v>
      </c>
      <c r="F2090" s="21" t="str">
        <f>IFERROR(__xludf.DUMMYFUNCTION("""COMPUTED_VALUE"""),"INICIALIZADO")</f>
        <v>INICIALIZADO</v>
      </c>
      <c r="G2090" s="23">
        <f>IFERROR(__xludf.DUMMYFUNCTION("""COMPUTED_VALUE"""),45635.53496527778)</f>
        <v>45635.53497</v>
      </c>
      <c r="H2090" s="24" t="str">
        <f>IFERROR(VLOOKUP(B2090,material!A:D,3,0),"")</f>
        <v>CARD</v>
      </c>
    </row>
    <row r="2091" ht="11.25" customHeight="1">
      <c r="A2091" s="21" t="str">
        <f>IFERROR(__xludf.DUMMYFUNCTION("""COMPUTED_VALUE"""),"SMART CARD PRETO NAGRA")</f>
        <v>SMART CARD PRETO NAGRA</v>
      </c>
      <c r="B2091" s="22">
        <f>IFERROR(__xludf.DUMMYFUNCTION("""COMPUTED_VALUE"""),4.1001234E7)</f>
        <v>41001234</v>
      </c>
      <c r="C2091" s="21" t="str">
        <f>IFERROR(__xludf.DUMMYFUNCTION("""COMPUTED_VALUE"""),"226163521833")</f>
        <v>226163521833</v>
      </c>
      <c r="D2091" s="21" t="str">
        <f>IFERROR(__xludf.DUMMYFUNCTION("""COMPUTED_VALUE"""),"DIGITEC TECNOLOGIA DIGITAL E REPRES")</f>
        <v>DIGITEC TECNOLOGIA DIGITAL E REPRES</v>
      </c>
      <c r="E2091" s="21">
        <f>IFERROR(__xludf.DUMMYFUNCTION("""COMPUTED_VALUE"""),145359.0)</f>
        <v>145359</v>
      </c>
      <c r="F2091" s="21" t="str">
        <f>IFERROR(__xludf.DUMMYFUNCTION("""COMPUTED_VALUE"""),"INICIALIZADO")</f>
        <v>INICIALIZADO</v>
      </c>
      <c r="G2091" s="23">
        <f>IFERROR(__xludf.DUMMYFUNCTION("""COMPUTED_VALUE"""),45642.52410879629)</f>
        <v>45642.52411</v>
      </c>
      <c r="H2091" s="24" t="str">
        <f>IFERROR(VLOOKUP(B2091,material!A:D,3,0),"")</f>
        <v>CARD</v>
      </c>
    </row>
    <row r="2092" ht="11.25" customHeight="1">
      <c r="A2092" s="21" t="str">
        <f>IFERROR(__xludf.DUMMYFUNCTION("""COMPUTED_VALUE"""),"DECODER DIGITAL HD DXC5000 2T")</f>
        <v>DECODER DIGITAL HD DXC5000 2T</v>
      </c>
      <c r="B2092" s="22">
        <f>IFERROR(__xludf.DUMMYFUNCTION("""COMPUTED_VALUE"""),4.1001277E7)</f>
        <v>41001277</v>
      </c>
      <c r="C2092" s="21" t="str">
        <f>IFERROR(__xludf.DUMMYFUNCTION("""COMPUTED_VALUE"""),"216421673452")</f>
        <v>216421673452</v>
      </c>
      <c r="D2092" s="21" t="str">
        <f>IFERROR(__xludf.DUMMYFUNCTION("""COMPUTED_VALUE"""),"DIGITEC TECNOLOGIA DIGITAL E REPRES")</f>
        <v>DIGITEC TECNOLOGIA DIGITAL E REPRES</v>
      </c>
      <c r="E2092" s="21">
        <f>IFERROR(__xludf.DUMMYFUNCTION("""COMPUTED_VALUE"""),145359.0)</f>
        <v>145359</v>
      </c>
      <c r="F2092" s="21" t="str">
        <f>IFERROR(__xludf.DUMMYFUNCTION("""COMPUTED_VALUE"""),"INICIALIZADO")</f>
        <v>INICIALIZADO</v>
      </c>
      <c r="G2092" s="23">
        <f>IFERROR(__xludf.DUMMYFUNCTION("""COMPUTED_VALUE"""),45600.476006944446)</f>
        <v>45600.47601</v>
      </c>
      <c r="H2092" s="24" t="str">
        <f>IFERROR(VLOOKUP(B2092,material!A:D,3,0),"")</f>
        <v>TOP MIX</v>
      </c>
    </row>
    <row r="2093" ht="11.25" customHeight="1">
      <c r="A2093" s="21" t="str">
        <f>IFERROR(__xludf.DUMMYFUNCTION("""COMPUTED_VALUE"""),"SMART CARD PRETO NAGRA")</f>
        <v>SMART CARD PRETO NAGRA</v>
      </c>
      <c r="B2093" s="22">
        <f>IFERROR(__xludf.DUMMYFUNCTION("""COMPUTED_VALUE"""),4.1001234E7)</f>
        <v>41001234</v>
      </c>
      <c r="C2093" s="21" t="str">
        <f>IFERROR(__xludf.DUMMYFUNCTION("""COMPUTED_VALUE"""),"246229271920")</f>
        <v>246229271920</v>
      </c>
      <c r="D2093" s="21" t="str">
        <f>IFERROR(__xludf.DUMMYFUNCTION("""COMPUTED_VALUE"""),"DIGITEC TECNOLOGIA DIGITAL E REPRES")</f>
        <v>DIGITEC TECNOLOGIA DIGITAL E REPRES</v>
      </c>
      <c r="E2093" s="21">
        <f>IFERROR(__xludf.DUMMYFUNCTION("""COMPUTED_VALUE"""),145359.0)</f>
        <v>145359</v>
      </c>
      <c r="F2093" s="21" t="str">
        <f>IFERROR(__xludf.DUMMYFUNCTION("""COMPUTED_VALUE"""),"INICIALIZADO")</f>
        <v>INICIALIZADO</v>
      </c>
      <c r="G2093" s="23">
        <f>IFERROR(__xludf.DUMMYFUNCTION("""COMPUTED_VALUE"""),45635.53493055556)</f>
        <v>45635.53493</v>
      </c>
      <c r="H2093" s="24" t="str">
        <f>IFERROR(VLOOKUP(B2093,material!A:D,3,0),"")</f>
        <v>CARD</v>
      </c>
    </row>
    <row r="2094" ht="11.25" customHeight="1">
      <c r="A2094" s="21" t="str">
        <f>IFERROR(__xludf.DUMMYFUNCTION("""COMPUTED_VALUE"""),"SMART CARD PRETO NAGRA")</f>
        <v>SMART CARD PRETO NAGRA</v>
      </c>
      <c r="B2094" s="22">
        <f>IFERROR(__xludf.DUMMYFUNCTION("""COMPUTED_VALUE"""),4.1001234E7)</f>
        <v>41001234</v>
      </c>
      <c r="C2094" s="21" t="str">
        <f>IFERROR(__xludf.DUMMYFUNCTION("""COMPUTED_VALUE"""),"246106354761")</f>
        <v>246106354761</v>
      </c>
      <c r="D2094" s="21" t="str">
        <f>IFERROR(__xludf.DUMMYFUNCTION("""COMPUTED_VALUE"""),"DIGITEC TECNOLOGIA DIGITAL E REPRES")</f>
        <v>DIGITEC TECNOLOGIA DIGITAL E REPRES</v>
      </c>
      <c r="E2094" s="21">
        <f>IFERROR(__xludf.DUMMYFUNCTION("""COMPUTED_VALUE"""),145359.0)</f>
        <v>145359</v>
      </c>
      <c r="F2094" s="21" t="str">
        <f>IFERROR(__xludf.DUMMYFUNCTION("""COMPUTED_VALUE"""),"INICIALIZADO")</f>
        <v>INICIALIZADO</v>
      </c>
      <c r="G2094" s="23">
        <f>IFERROR(__xludf.DUMMYFUNCTION("""COMPUTED_VALUE"""),45635.534907407404)</f>
        <v>45635.53491</v>
      </c>
      <c r="H2094" s="24" t="str">
        <f>IFERROR(VLOOKUP(B2094,material!A:D,3,0),"")</f>
        <v>CARD</v>
      </c>
    </row>
    <row r="2095" ht="11.25" customHeight="1">
      <c r="A2095" s="21" t="str">
        <f>IFERROR(__xludf.DUMMYFUNCTION("""COMPUTED_VALUE"""),"SMART CARD PRETO NAGRA")</f>
        <v>SMART CARD PRETO NAGRA</v>
      </c>
      <c r="B2095" s="22">
        <f>IFERROR(__xludf.DUMMYFUNCTION("""COMPUTED_VALUE"""),4.1001234E7)</f>
        <v>41001234</v>
      </c>
      <c r="C2095" s="21" t="str">
        <f>IFERROR(__xludf.DUMMYFUNCTION("""COMPUTED_VALUE"""),"246236456874")</f>
        <v>246236456874</v>
      </c>
      <c r="D2095" s="21" t="str">
        <f>IFERROR(__xludf.DUMMYFUNCTION("""COMPUTED_VALUE"""),"DIGITEC TECNOLOGIA DIGITAL E REPRES")</f>
        <v>DIGITEC TECNOLOGIA DIGITAL E REPRES</v>
      </c>
      <c r="E2095" s="21">
        <f>IFERROR(__xludf.DUMMYFUNCTION("""COMPUTED_VALUE"""),145359.0)</f>
        <v>145359</v>
      </c>
      <c r="F2095" s="21" t="str">
        <f>IFERROR(__xludf.DUMMYFUNCTION("""COMPUTED_VALUE"""),"INICIALIZADO")</f>
        <v>INICIALIZADO</v>
      </c>
      <c r="G2095" s="23">
        <f>IFERROR(__xludf.DUMMYFUNCTION("""COMPUTED_VALUE"""),45635.53493055556)</f>
        <v>45635.53493</v>
      </c>
      <c r="H2095" s="24" t="str">
        <f>IFERROR(VLOOKUP(B2095,material!A:D,3,0),"")</f>
        <v>CARD</v>
      </c>
    </row>
    <row r="2096" ht="11.25" customHeight="1">
      <c r="A2096" s="21" t="str">
        <f>IFERROR(__xludf.DUMMYFUNCTION("""COMPUTED_VALUE"""),"DECODER DIGITAL HD HNB100 2T")</f>
        <v>DECODER DIGITAL HD HNB100 2T</v>
      </c>
      <c r="B2096" s="22">
        <f>IFERROR(__xludf.DUMMYFUNCTION("""COMPUTED_VALUE"""),4.1001276E7)</f>
        <v>41001276</v>
      </c>
      <c r="C2096" s="21" t="str">
        <f>IFERROR(__xludf.DUMMYFUNCTION("""COMPUTED_VALUE"""),"216348927182")</f>
        <v>216348927182</v>
      </c>
      <c r="D2096" s="21" t="str">
        <f>IFERROR(__xludf.DUMMYFUNCTION("""COMPUTED_VALUE"""),"DIGITEC TECNOLOGIA DIGITAL E REPRES")</f>
        <v>DIGITEC TECNOLOGIA DIGITAL E REPRES</v>
      </c>
      <c r="E2096" s="21">
        <f>IFERROR(__xludf.DUMMYFUNCTION("""COMPUTED_VALUE"""),145359.0)</f>
        <v>145359</v>
      </c>
      <c r="F2096" s="21" t="str">
        <f>IFERROR(__xludf.DUMMYFUNCTION("""COMPUTED_VALUE"""),"TRANSITO REVERSA")</f>
        <v>TRANSITO REVERSA</v>
      </c>
      <c r="G2096" s="23">
        <f>IFERROR(__xludf.DUMMYFUNCTION("""COMPUTED_VALUE"""),45626.29871527778)</f>
        <v>45626.29872</v>
      </c>
      <c r="H2096" s="24" t="str">
        <f>IFERROR(VLOOKUP(B2096,material!A:D,3,0),"")</f>
        <v>TOP MIX</v>
      </c>
    </row>
    <row r="2097" ht="11.25" customHeight="1">
      <c r="A2097" s="21" t="str">
        <f>IFERROR(__xludf.DUMMYFUNCTION("""COMPUTED_VALUE"""),"SMART CARD PRETO NAGRA")</f>
        <v>SMART CARD PRETO NAGRA</v>
      </c>
      <c r="B2097" s="22">
        <f>IFERROR(__xludf.DUMMYFUNCTION("""COMPUTED_VALUE"""),4.1001234E7)</f>
        <v>41001234</v>
      </c>
      <c r="C2097" s="21" t="str">
        <f>IFERROR(__xludf.DUMMYFUNCTION("""COMPUTED_VALUE"""),"226340724244")</f>
        <v>226340724244</v>
      </c>
      <c r="D2097" s="21" t="str">
        <f>IFERROR(__xludf.DUMMYFUNCTION("""COMPUTED_VALUE"""),"DIGITEC TECNOLOGIA DIGITAL E REPRES")</f>
        <v>DIGITEC TECNOLOGIA DIGITAL E REPRES</v>
      </c>
      <c r="E2097" s="21">
        <f>IFERROR(__xludf.DUMMYFUNCTION("""COMPUTED_VALUE"""),145359.0)</f>
        <v>145359</v>
      </c>
      <c r="F2097" s="21" t="str">
        <f>IFERROR(__xludf.DUMMYFUNCTION("""COMPUTED_VALUE"""),"INICIALIZADO")</f>
        <v>INICIALIZADO</v>
      </c>
      <c r="G2097" s="23">
        <f>IFERROR(__xludf.DUMMYFUNCTION("""COMPUTED_VALUE"""),45618.65201388889)</f>
        <v>45618.65201</v>
      </c>
      <c r="H2097" s="24" t="str">
        <f>IFERROR(VLOOKUP(B2097,material!A:D,3,0),"")</f>
        <v>CARD</v>
      </c>
    </row>
    <row r="2098" ht="11.25" customHeight="1">
      <c r="A2098" s="21" t="str">
        <f>IFERROR(__xludf.DUMMYFUNCTION("""COMPUTED_VALUE"""),"SMART CARD PRETO NAGRA")</f>
        <v>SMART CARD PRETO NAGRA</v>
      </c>
      <c r="B2098" s="22">
        <f>IFERROR(__xludf.DUMMYFUNCTION("""COMPUTED_VALUE"""),4.1001234E7)</f>
        <v>41001234</v>
      </c>
      <c r="C2098" s="21" t="str">
        <f>IFERROR(__xludf.DUMMYFUNCTION("""COMPUTED_VALUE"""),"226338765063")</f>
        <v>226338765063</v>
      </c>
      <c r="D2098" s="21" t="str">
        <f>IFERROR(__xludf.DUMMYFUNCTION("""COMPUTED_VALUE"""),"DIGITEC TECNOLOGIA DIGITAL E REPRES")</f>
        <v>DIGITEC TECNOLOGIA DIGITAL E REPRES</v>
      </c>
      <c r="E2098" s="21">
        <f>IFERROR(__xludf.DUMMYFUNCTION("""COMPUTED_VALUE"""),145359.0)</f>
        <v>145359</v>
      </c>
      <c r="F2098" s="21" t="str">
        <f>IFERROR(__xludf.DUMMYFUNCTION("""COMPUTED_VALUE"""),"INICIALIZADO")</f>
        <v>INICIALIZADO</v>
      </c>
      <c r="G2098" s="23">
        <f>IFERROR(__xludf.DUMMYFUNCTION("""COMPUTED_VALUE"""),45635.53497685185)</f>
        <v>45635.53498</v>
      </c>
      <c r="H2098" s="24" t="str">
        <f>IFERROR(VLOOKUP(B2098,material!A:D,3,0),"")</f>
        <v>CARD</v>
      </c>
    </row>
    <row r="2099" ht="11.25" customHeight="1">
      <c r="A2099" s="21" t="str">
        <f>IFERROR(__xludf.DUMMYFUNCTION("""COMPUTED_VALUE"""),"DECODER DIGITAL HD HNB100 2T")</f>
        <v>DECODER DIGITAL HD HNB100 2T</v>
      </c>
      <c r="B2099" s="22">
        <f>IFERROR(__xludf.DUMMYFUNCTION("""COMPUTED_VALUE"""),4.1001276E7)</f>
        <v>41001276</v>
      </c>
      <c r="C2099" s="21" t="str">
        <f>IFERROR(__xludf.DUMMYFUNCTION("""COMPUTED_VALUE"""),"216679064060")</f>
        <v>216679064060</v>
      </c>
      <c r="D2099" s="21" t="str">
        <f>IFERROR(__xludf.DUMMYFUNCTION("""COMPUTED_VALUE"""),"DIGITEC TECNOLOGIA DIGITAL E REPRES")</f>
        <v>DIGITEC TECNOLOGIA DIGITAL E REPRES</v>
      </c>
      <c r="E2099" s="21">
        <f>IFERROR(__xludf.DUMMYFUNCTION("""COMPUTED_VALUE"""),145359.0)</f>
        <v>145359</v>
      </c>
      <c r="F2099" s="21" t="str">
        <f>IFERROR(__xludf.DUMMYFUNCTION("""COMPUTED_VALUE"""),"TRANSITO REVERSA")</f>
        <v>TRANSITO REVERSA</v>
      </c>
      <c r="G2099" s="23">
        <f>IFERROR(__xludf.DUMMYFUNCTION("""COMPUTED_VALUE"""),45638.52060185185)</f>
        <v>45638.5206</v>
      </c>
      <c r="H2099" s="24" t="str">
        <f>IFERROR(VLOOKUP(B2099,material!A:D,3,0),"")</f>
        <v>TOP MIX</v>
      </c>
    </row>
    <row r="2100" ht="11.25" customHeight="1">
      <c r="A2100" s="21" t="str">
        <f>IFERROR(__xludf.DUMMYFUNCTION("""COMPUTED_VALUE"""),"DECODER DIGITAL HD HNB100 2T")</f>
        <v>DECODER DIGITAL HD HNB100 2T</v>
      </c>
      <c r="B2100" s="22">
        <f>IFERROR(__xludf.DUMMYFUNCTION("""COMPUTED_VALUE"""),4.1001276E7)</f>
        <v>41001276</v>
      </c>
      <c r="C2100" s="21" t="str">
        <f>IFERROR(__xludf.DUMMYFUNCTION("""COMPUTED_VALUE"""),"216395232645")</f>
        <v>216395232645</v>
      </c>
      <c r="D2100" s="21" t="str">
        <f>IFERROR(__xludf.DUMMYFUNCTION("""COMPUTED_VALUE"""),"DIGITEC TECNOLOGIA DIGITAL E REPRES")</f>
        <v>DIGITEC TECNOLOGIA DIGITAL E REPRES</v>
      </c>
      <c r="E2100" s="21">
        <f>IFERROR(__xludf.DUMMYFUNCTION("""COMPUTED_VALUE"""),145359.0)</f>
        <v>145359</v>
      </c>
      <c r="F2100" s="21" t="str">
        <f>IFERROR(__xludf.DUMMYFUNCTION("""COMPUTED_VALUE"""),"INICIALIZADO")</f>
        <v>INICIALIZADO</v>
      </c>
      <c r="G2100" s="23">
        <f>IFERROR(__xludf.DUMMYFUNCTION("""COMPUTED_VALUE"""),45635.53503472223)</f>
        <v>45635.53503</v>
      </c>
      <c r="H2100" s="24" t="str">
        <f>IFERROR(VLOOKUP(B2100,material!A:D,3,0),"")</f>
        <v>TOP MIX</v>
      </c>
    </row>
    <row r="2101" ht="11.25" customHeight="1">
      <c r="A2101" s="21" t="str">
        <f>IFERROR(__xludf.DUMMYFUNCTION("""COMPUTED_VALUE"""),"SMART CARD PRETO NAGRA")</f>
        <v>SMART CARD PRETO NAGRA</v>
      </c>
      <c r="B2101" s="22">
        <f>IFERROR(__xludf.DUMMYFUNCTION("""COMPUTED_VALUE"""),4.1001234E7)</f>
        <v>41001234</v>
      </c>
      <c r="C2101" s="21" t="str">
        <f>IFERROR(__xludf.DUMMYFUNCTION("""COMPUTED_VALUE"""),"226181465469")</f>
        <v>226181465469</v>
      </c>
      <c r="D2101" s="21" t="str">
        <f>IFERROR(__xludf.DUMMYFUNCTION("""COMPUTED_VALUE"""),"DIGITEC TECNOLOGIA DIGITAL E REPRES")</f>
        <v>DIGITEC TECNOLOGIA DIGITAL E REPRES</v>
      </c>
      <c r="E2101" s="21">
        <f>IFERROR(__xludf.DUMMYFUNCTION("""COMPUTED_VALUE"""),145359.0)</f>
        <v>145359</v>
      </c>
      <c r="F2101" s="21" t="str">
        <f>IFERROR(__xludf.DUMMYFUNCTION("""COMPUTED_VALUE"""),"INICIALIZADO")</f>
        <v>INICIALIZADO</v>
      </c>
      <c r="G2101" s="23">
        <f>IFERROR(__xludf.DUMMYFUNCTION("""COMPUTED_VALUE"""),45615.61854166667)</f>
        <v>45615.61854</v>
      </c>
      <c r="H2101" s="24" t="str">
        <f>IFERROR(VLOOKUP(B2101,material!A:D,3,0),"")</f>
        <v>CARD</v>
      </c>
    </row>
    <row r="2102" ht="11.25" customHeight="1">
      <c r="A2102" s="21" t="str">
        <f>IFERROR(__xludf.DUMMYFUNCTION("""COMPUTED_VALUE"""),"SMART CARD PRETO NAGRA")</f>
        <v>SMART CARD PRETO NAGRA</v>
      </c>
      <c r="B2102" s="22">
        <f>IFERROR(__xludf.DUMMYFUNCTION("""COMPUTED_VALUE"""),4.1001234E7)</f>
        <v>41001234</v>
      </c>
      <c r="C2102" s="21" t="str">
        <f>IFERROR(__xludf.DUMMYFUNCTION("""COMPUTED_VALUE"""),"226301427277")</f>
        <v>226301427277</v>
      </c>
      <c r="D2102" s="21" t="str">
        <f>IFERROR(__xludf.DUMMYFUNCTION("""COMPUTED_VALUE"""),"DIGITEC TECNOLOGIA DIGITAL E REPRES")</f>
        <v>DIGITEC TECNOLOGIA DIGITAL E REPRES</v>
      </c>
      <c r="E2102" s="21">
        <f>IFERROR(__xludf.DUMMYFUNCTION("""COMPUTED_VALUE"""),145359.0)</f>
        <v>145359</v>
      </c>
      <c r="F2102" s="21" t="str">
        <f>IFERROR(__xludf.DUMMYFUNCTION("""COMPUTED_VALUE"""),"INICIALIZADO")</f>
        <v>INICIALIZADO</v>
      </c>
      <c r="G2102" s="23">
        <f>IFERROR(__xludf.DUMMYFUNCTION("""COMPUTED_VALUE"""),45615.61853009259)</f>
        <v>45615.61853</v>
      </c>
      <c r="H2102" s="24" t="str">
        <f>IFERROR(VLOOKUP(B2102,material!A:D,3,0),"")</f>
        <v>CARD</v>
      </c>
    </row>
    <row r="2103" ht="11.25" customHeight="1">
      <c r="A2103" s="21" t="str">
        <f>IFERROR(__xludf.DUMMYFUNCTION("""COMPUTED_VALUE"""),"DECODER DIGITAL HD HNB100 2T")</f>
        <v>DECODER DIGITAL HD HNB100 2T</v>
      </c>
      <c r="B2103" s="22">
        <f>IFERROR(__xludf.DUMMYFUNCTION("""COMPUTED_VALUE"""),4.1001276E7)</f>
        <v>41001276</v>
      </c>
      <c r="C2103" s="21" t="str">
        <f>IFERROR(__xludf.DUMMYFUNCTION("""COMPUTED_VALUE"""),"184333899814")</f>
        <v>184333899814</v>
      </c>
      <c r="D2103" s="21" t="str">
        <f>IFERROR(__xludf.DUMMYFUNCTION("""COMPUTED_VALUE"""),"DIGITEC TECNOLOGIA DIGITAL E REPRES")</f>
        <v>DIGITEC TECNOLOGIA DIGITAL E REPRES</v>
      </c>
      <c r="E2103" s="21">
        <f>IFERROR(__xludf.DUMMYFUNCTION("""COMPUTED_VALUE"""),145359.0)</f>
        <v>145359</v>
      </c>
      <c r="F2103" s="21" t="str">
        <f>IFERROR(__xludf.DUMMYFUNCTION("""COMPUTED_VALUE"""),"INICIALIZADO")</f>
        <v>INICIALIZADO</v>
      </c>
      <c r="G2103" s="23">
        <f>IFERROR(__xludf.DUMMYFUNCTION("""COMPUTED_VALUE"""),45635.535046296296)</f>
        <v>45635.53505</v>
      </c>
      <c r="H2103" s="24" t="str">
        <f>IFERROR(VLOOKUP(B2103,material!A:D,3,0),"")</f>
        <v>TOP MIX</v>
      </c>
    </row>
    <row r="2104" ht="11.25" customHeight="1">
      <c r="A2104" s="21" t="str">
        <f>IFERROR(__xludf.DUMMYFUNCTION("""COMPUTED_VALUE"""),"SMART CARD PRETO NAGRA")</f>
        <v>SMART CARD PRETO NAGRA</v>
      </c>
      <c r="B2104" s="22">
        <f>IFERROR(__xludf.DUMMYFUNCTION("""COMPUTED_VALUE"""),4.1001234E7)</f>
        <v>41001234</v>
      </c>
      <c r="C2104" s="21" t="str">
        <f>IFERROR(__xludf.DUMMYFUNCTION("""COMPUTED_VALUE"""),"226251282530")</f>
        <v>226251282530</v>
      </c>
      <c r="D2104" s="21" t="str">
        <f>IFERROR(__xludf.DUMMYFUNCTION("""COMPUTED_VALUE"""),"DIGITEC TECNOLOGIA DIGITAL E REPRES")</f>
        <v>DIGITEC TECNOLOGIA DIGITAL E REPRES</v>
      </c>
      <c r="E2104" s="21">
        <f>IFERROR(__xludf.DUMMYFUNCTION("""COMPUTED_VALUE"""),145359.0)</f>
        <v>145359</v>
      </c>
      <c r="F2104" s="21" t="str">
        <f>IFERROR(__xludf.DUMMYFUNCTION("""COMPUTED_VALUE"""),"TRANSITO REVERSA")</f>
        <v>TRANSITO REVERSA</v>
      </c>
      <c r="G2104" s="23">
        <f>IFERROR(__xludf.DUMMYFUNCTION("""COMPUTED_VALUE"""),45617.87180555555)</f>
        <v>45617.87181</v>
      </c>
      <c r="H2104" s="24" t="str">
        <f>IFERROR(VLOOKUP(B2104,material!A:D,3,0),"")</f>
        <v>CARD</v>
      </c>
    </row>
    <row r="2105" ht="11.25" customHeight="1">
      <c r="A2105" s="21" t="str">
        <f>IFERROR(__xludf.DUMMYFUNCTION("""COMPUTED_VALUE"""),"SMART CARD PRETO NAGRA")</f>
        <v>SMART CARD PRETO NAGRA</v>
      </c>
      <c r="B2105" s="22">
        <f>IFERROR(__xludf.DUMMYFUNCTION("""COMPUTED_VALUE"""),4.1001234E7)</f>
        <v>41001234</v>
      </c>
      <c r="C2105" s="21" t="str">
        <f>IFERROR(__xludf.DUMMYFUNCTION("""COMPUTED_VALUE"""),"226088202933")</f>
        <v>226088202933</v>
      </c>
      <c r="D2105" s="21" t="str">
        <f>IFERROR(__xludf.DUMMYFUNCTION("""COMPUTED_VALUE"""),"DIGITEC TECNOLOGIA DIGITAL E REPRES")</f>
        <v>DIGITEC TECNOLOGIA DIGITAL E REPRES</v>
      </c>
      <c r="E2105" s="21">
        <f>IFERROR(__xludf.DUMMYFUNCTION("""COMPUTED_VALUE"""),145359.0)</f>
        <v>145359</v>
      </c>
      <c r="F2105" s="21" t="str">
        <f>IFERROR(__xludf.DUMMYFUNCTION("""COMPUTED_VALUE"""),"INICIALIZADO")</f>
        <v>INICIALIZADO</v>
      </c>
      <c r="G2105" s="23">
        <f>IFERROR(__xludf.DUMMYFUNCTION("""COMPUTED_VALUE"""),45635.534953703704)</f>
        <v>45635.53495</v>
      </c>
      <c r="H2105" s="24" t="str">
        <f>IFERROR(VLOOKUP(B2105,material!A:D,3,0),"")</f>
        <v>CARD</v>
      </c>
    </row>
    <row r="2106" ht="11.25" customHeight="1">
      <c r="A2106" s="21" t="str">
        <f>IFERROR(__xludf.DUMMYFUNCTION("""COMPUTED_VALUE"""),"ARRIS TG1692A")</f>
        <v>ARRIS TG1692A</v>
      </c>
      <c r="B2106" s="22">
        <f>IFERROR(__xludf.DUMMYFUNCTION("""COMPUTED_VALUE"""),4.1001293E7)</f>
        <v>41001293</v>
      </c>
      <c r="C2106" s="21" t="str">
        <f>IFERROR(__xludf.DUMMYFUNCTION("""COMPUTED_VALUE"""),"BC644BDC092C")</f>
        <v>BC644BDC092C</v>
      </c>
      <c r="D2106" s="21" t="str">
        <f>IFERROR(__xludf.DUMMYFUNCTION("""COMPUTED_VALUE"""),"DIGITEC TECNOLOGIA DIGITAL E REPRES")</f>
        <v>DIGITEC TECNOLOGIA DIGITAL E REPRES</v>
      </c>
      <c r="E2106" s="21">
        <f>IFERROR(__xludf.DUMMYFUNCTION("""COMPUTED_VALUE"""),145359.0)</f>
        <v>145359</v>
      </c>
      <c r="F2106" s="21" t="str">
        <f>IFERROR(__xludf.DUMMYFUNCTION("""COMPUTED_VALUE"""),"TRANSITO REVERSA")</f>
        <v>TRANSITO REVERSA</v>
      </c>
      <c r="G2106" s="23">
        <f>IFERROR(__xludf.DUMMYFUNCTION("""COMPUTED_VALUE"""),45633.00341435186)</f>
        <v>45633.00341</v>
      </c>
      <c r="H2106" s="24" t="str">
        <f>IFERROR(VLOOKUP(B2106,material!A:D,3,0),"")</f>
        <v>DUAL</v>
      </c>
    </row>
    <row r="2107" ht="11.25" customHeight="1">
      <c r="A2107" s="21" t="str">
        <f>IFERROR(__xludf.DUMMYFUNCTION("""COMPUTED_VALUE"""),"HUMAX HGB10R-02")</f>
        <v>HUMAX HGB10R-02</v>
      </c>
      <c r="B2107" s="22">
        <f>IFERROR(__xludf.DUMMYFUNCTION("""COMPUTED_VALUE"""),4.1001292E7)</f>
        <v>41001292</v>
      </c>
      <c r="C2107" s="21" t="str">
        <f>IFERROR(__xludf.DUMMYFUNCTION("""COMPUTED_VALUE"""),"942CB39D9354")</f>
        <v>942CB39D9354</v>
      </c>
      <c r="D2107" s="21" t="str">
        <f>IFERROR(__xludf.DUMMYFUNCTION("""COMPUTED_VALUE"""),"DIGITEC TECNOLOGIA DIGITAL E REPRES")</f>
        <v>DIGITEC TECNOLOGIA DIGITAL E REPRES</v>
      </c>
      <c r="E2107" s="21">
        <f>IFERROR(__xludf.DUMMYFUNCTION("""COMPUTED_VALUE"""),145359.0)</f>
        <v>145359</v>
      </c>
      <c r="F2107" s="21" t="str">
        <f>IFERROR(__xludf.DUMMYFUNCTION("""COMPUTED_VALUE"""),"INICIALIZADO")</f>
        <v>INICIALIZADO</v>
      </c>
      <c r="G2107" s="23">
        <f>IFERROR(__xludf.DUMMYFUNCTION("""COMPUTED_VALUE"""),45538.41375)</f>
        <v>45538.41375</v>
      </c>
      <c r="H2107" s="24" t="str">
        <f>IFERROR(VLOOKUP(B2107,material!A:D,3,0),"")</f>
        <v>DUAL</v>
      </c>
    </row>
    <row r="2108" ht="11.25" customHeight="1">
      <c r="A2108" s="21" t="str">
        <f>IFERROR(__xludf.DUMMYFUNCTION("""COMPUTED_VALUE"""),"DECODER DIGITAL HD HNB100 2T")</f>
        <v>DECODER DIGITAL HD HNB100 2T</v>
      </c>
      <c r="B2108" s="22">
        <f>IFERROR(__xludf.DUMMYFUNCTION("""COMPUTED_VALUE"""),4.1001276E7)</f>
        <v>41001276</v>
      </c>
      <c r="C2108" s="21" t="str">
        <f>IFERROR(__xludf.DUMMYFUNCTION("""COMPUTED_VALUE"""),"216405995569")</f>
        <v>216405995569</v>
      </c>
      <c r="D2108" s="21" t="str">
        <f>IFERROR(__xludf.DUMMYFUNCTION("""COMPUTED_VALUE"""),"DIGITEC TECNOLOGIA DIGITAL E REPRES")</f>
        <v>DIGITEC TECNOLOGIA DIGITAL E REPRES</v>
      </c>
      <c r="E2108" s="21">
        <f>IFERROR(__xludf.DUMMYFUNCTION("""COMPUTED_VALUE"""),145359.0)</f>
        <v>145359</v>
      </c>
      <c r="F2108" s="21" t="str">
        <f>IFERROR(__xludf.DUMMYFUNCTION("""COMPUTED_VALUE"""),"INICIALIZADO")</f>
        <v>INICIALIZADO</v>
      </c>
      <c r="G2108" s="23">
        <f>IFERROR(__xludf.DUMMYFUNCTION("""COMPUTED_VALUE"""),45635.535046296296)</f>
        <v>45635.53505</v>
      </c>
      <c r="H2108" s="24" t="str">
        <f>IFERROR(VLOOKUP(B2108,material!A:D,3,0),"")</f>
        <v>TOP MIX</v>
      </c>
    </row>
    <row r="2109" ht="11.25" customHeight="1">
      <c r="A2109" s="21" t="str">
        <f>IFERROR(__xludf.DUMMYFUNCTION("""COMPUTED_VALUE"""),"SMART CARD PRETO NAGRA")</f>
        <v>SMART CARD PRETO NAGRA</v>
      </c>
      <c r="B2109" s="22">
        <f>IFERROR(__xludf.DUMMYFUNCTION("""COMPUTED_VALUE"""),4.1001234E7)</f>
        <v>41001234</v>
      </c>
      <c r="C2109" s="21" t="str">
        <f>IFERROR(__xludf.DUMMYFUNCTION("""COMPUTED_VALUE"""),"226262656479")</f>
        <v>226262656479</v>
      </c>
      <c r="D2109" s="21" t="str">
        <f>IFERROR(__xludf.DUMMYFUNCTION("""COMPUTED_VALUE"""),"DIGITEC TECNOLOGIA DIGITAL E REPRES")</f>
        <v>DIGITEC TECNOLOGIA DIGITAL E REPRES</v>
      </c>
      <c r="E2109" s="21">
        <f>IFERROR(__xludf.DUMMYFUNCTION("""COMPUTED_VALUE"""),145359.0)</f>
        <v>145359</v>
      </c>
      <c r="F2109" s="21" t="str">
        <f>IFERROR(__xludf.DUMMYFUNCTION("""COMPUTED_VALUE"""),"INICIALIZADO")</f>
        <v>INICIALIZADO</v>
      </c>
      <c r="G2109" s="23">
        <f>IFERROR(__xludf.DUMMYFUNCTION("""COMPUTED_VALUE"""),45642.52410879629)</f>
        <v>45642.52411</v>
      </c>
      <c r="H2109" s="24" t="str">
        <f>IFERROR(VLOOKUP(B2109,material!A:D,3,0),"")</f>
        <v>CARD</v>
      </c>
    </row>
    <row r="2110" ht="11.25" customHeight="1">
      <c r="A2110" s="21" t="str">
        <f>IFERROR(__xludf.DUMMYFUNCTION("""COMPUTED_VALUE"""),"SMART CARD PRETO NAGRA")</f>
        <v>SMART CARD PRETO NAGRA</v>
      </c>
      <c r="B2110" s="22">
        <f>IFERROR(__xludf.DUMMYFUNCTION("""COMPUTED_VALUE"""),4.1001234E7)</f>
        <v>41001234</v>
      </c>
      <c r="C2110" s="21" t="str">
        <f>IFERROR(__xludf.DUMMYFUNCTION("""COMPUTED_VALUE"""),"226369115668")</f>
        <v>226369115668</v>
      </c>
      <c r="D2110" s="21" t="str">
        <f>IFERROR(__xludf.DUMMYFUNCTION("""COMPUTED_VALUE"""),"DIGITEC TECNOLOGIA DIGITAL E REPRES")</f>
        <v>DIGITEC TECNOLOGIA DIGITAL E REPRES</v>
      </c>
      <c r="E2110" s="21">
        <f>IFERROR(__xludf.DUMMYFUNCTION("""COMPUTED_VALUE"""),145359.0)</f>
        <v>145359</v>
      </c>
      <c r="F2110" s="21" t="str">
        <f>IFERROR(__xludf.DUMMYFUNCTION("""COMPUTED_VALUE"""),"INICIALIZADO")</f>
        <v>INICIALIZADO</v>
      </c>
      <c r="G2110" s="23">
        <f>IFERROR(__xludf.DUMMYFUNCTION("""COMPUTED_VALUE"""),45642.52412037037)</f>
        <v>45642.52412</v>
      </c>
      <c r="H2110" s="24" t="str">
        <f>IFERROR(VLOOKUP(B2110,material!A:D,3,0),"")</f>
        <v>CARD</v>
      </c>
    </row>
    <row r="2111" ht="11.25" customHeight="1">
      <c r="A2111" s="21" t="str">
        <f>IFERROR(__xludf.DUMMYFUNCTION("""COMPUTED_VALUE"""),"SMART CARD PRETO NAGRA")</f>
        <v>SMART CARD PRETO NAGRA</v>
      </c>
      <c r="B2111" s="22">
        <f>IFERROR(__xludf.DUMMYFUNCTION("""COMPUTED_VALUE"""),4.1001234E7)</f>
        <v>41001234</v>
      </c>
      <c r="C2111" s="21" t="str">
        <f>IFERROR(__xludf.DUMMYFUNCTION("""COMPUTED_VALUE"""),"226353484659")</f>
        <v>226353484659</v>
      </c>
      <c r="D2111" s="21" t="str">
        <f>IFERROR(__xludf.DUMMYFUNCTION("""COMPUTED_VALUE"""),"DIGITEC TECNOLOGIA DIGITAL E REPRES")</f>
        <v>DIGITEC TECNOLOGIA DIGITAL E REPRES</v>
      </c>
      <c r="E2111" s="21">
        <f>IFERROR(__xludf.DUMMYFUNCTION("""COMPUTED_VALUE"""),145359.0)</f>
        <v>145359</v>
      </c>
      <c r="F2111" s="21" t="str">
        <f>IFERROR(__xludf.DUMMYFUNCTION("""COMPUTED_VALUE"""),"INICIALIZADO")</f>
        <v>INICIALIZADO</v>
      </c>
      <c r="G2111" s="23">
        <f>IFERROR(__xludf.DUMMYFUNCTION("""COMPUTED_VALUE"""),45635.53497685185)</f>
        <v>45635.53498</v>
      </c>
      <c r="H2111" s="24" t="str">
        <f>IFERROR(VLOOKUP(B2111,material!A:D,3,0),"")</f>
        <v>CARD</v>
      </c>
    </row>
    <row r="2112" ht="11.25" customHeight="1">
      <c r="A2112" s="21" t="str">
        <f>IFERROR(__xludf.DUMMYFUNCTION("""COMPUTED_VALUE"""),"SMART CARD PRETO NAGRA")</f>
        <v>SMART CARD PRETO NAGRA</v>
      </c>
      <c r="B2112" s="22">
        <f>IFERROR(__xludf.DUMMYFUNCTION("""COMPUTED_VALUE"""),4.1001234E7)</f>
        <v>41001234</v>
      </c>
      <c r="C2112" s="21" t="str">
        <f>IFERROR(__xludf.DUMMYFUNCTION("""COMPUTED_VALUE"""),"226387064659")</f>
        <v>226387064659</v>
      </c>
      <c r="D2112" s="21" t="str">
        <f>IFERROR(__xludf.DUMMYFUNCTION("""COMPUTED_VALUE"""),"DIGITEC TECNOLOGIA DIGITAL E REPRES")</f>
        <v>DIGITEC TECNOLOGIA DIGITAL E REPRES</v>
      </c>
      <c r="E2112" s="21">
        <f>IFERROR(__xludf.DUMMYFUNCTION("""COMPUTED_VALUE"""),145359.0)</f>
        <v>145359</v>
      </c>
      <c r="F2112" s="21" t="str">
        <f>IFERROR(__xludf.DUMMYFUNCTION("""COMPUTED_VALUE"""),"TRANSITO REVERSA")</f>
        <v>TRANSITO REVERSA</v>
      </c>
      <c r="G2112" s="23">
        <f>IFERROR(__xludf.DUMMYFUNCTION("""COMPUTED_VALUE"""),45638.52060185185)</f>
        <v>45638.5206</v>
      </c>
      <c r="H2112" s="24" t="str">
        <f>IFERROR(VLOOKUP(B2112,material!A:D,3,0),"")</f>
        <v>CARD</v>
      </c>
    </row>
    <row r="2113" ht="11.25" customHeight="1">
      <c r="A2113" s="21" t="str">
        <f>IFERROR(__xludf.DUMMYFUNCTION("""COMPUTED_VALUE"""),"SMART CARD PRETO NAGRA")</f>
        <v>SMART CARD PRETO NAGRA</v>
      </c>
      <c r="B2113" s="22">
        <f>IFERROR(__xludf.DUMMYFUNCTION("""COMPUTED_VALUE"""),4.1001234E7)</f>
        <v>41001234</v>
      </c>
      <c r="C2113" s="21" t="str">
        <f>IFERROR(__xludf.DUMMYFUNCTION("""COMPUTED_VALUE"""),"246030097475")</f>
        <v>246030097475</v>
      </c>
      <c r="D2113" s="21" t="str">
        <f>IFERROR(__xludf.DUMMYFUNCTION("""COMPUTED_VALUE"""),"DIGITEC TECNOLOGIA DIGITAL E REPRES")</f>
        <v>DIGITEC TECNOLOGIA DIGITAL E REPRES</v>
      </c>
      <c r="E2113" s="21">
        <f>IFERROR(__xludf.DUMMYFUNCTION("""COMPUTED_VALUE"""),145359.0)</f>
        <v>145359</v>
      </c>
      <c r="F2113" s="21" t="str">
        <f>IFERROR(__xludf.DUMMYFUNCTION("""COMPUTED_VALUE"""),"ANALISE DE INVENTARIO")</f>
        <v>ANALISE DE INVENTARIO</v>
      </c>
      <c r="G2113" s="23">
        <f>IFERROR(__xludf.DUMMYFUNCTION("""COMPUTED_VALUE"""),45525.90365740741)</f>
        <v>45525.90366</v>
      </c>
      <c r="H2113" s="24" t="str">
        <f>IFERROR(VLOOKUP(B2113,material!A:D,3,0),"")</f>
        <v>CARD</v>
      </c>
    </row>
    <row r="2114" ht="11.25" customHeight="1">
      <c r="A2114" s="21" t="str">
        <f>IFERROR(__xludf.DUMMYFUNCTION("""COMPUTED_VALUE"""),"DECODER HD DCI738 2T")</f>
        <v>DECODER HD DCI738 2T</v>
      </c>
      <c r="B2114" s="22">
        <f>IFERROR(__xludf.DUMMYFUNCTION("""COMPUTED_VALUE"""),4.1001275E7)</f>
        <v>41001275</v>
      </c>
      <c r="C2114" s="21" t="str">
        <f>IFERROR(__xludf.DUMMYFUNCTION("""COMPUTED_VALUE"""),"216726430322")</f>
        <v>216726430322</v>
      </c>
      <c r="D2114" s="21" t="str">
        <f>IFERROR(__xludf.DUMMYFUNCTION("""COMPUTED_VALUE"""),"DIGITEC TECNOLOGIA DIGITAL E REPRES")</f>
        <v>DIGITEC TECNOLOGIA DIGITAL E REPRES</v>
      </c>
      <c r="E2114" s="21">
        <f>IFERROR(__xludf.DUMMYFUNCTION("""COMPUTED_VALUE"""),145359.0)</f>
        <v>145359</v>
      </c>
      <c r="F2114" s="21" t="str">
        <f>IFERROR(__xludf.DUMMYFUNCTION("""COMPUTED_VALUE"""),"TRANSITO REVERSA")</f>
        <v>TRANSITO REVERSA</v>
      </c>
      <c r="G2114" s="23">
        <f>IFERROR(__xludf.DUMMYFUNCTION("""COMPUTED_VALUE"""),45626.2987037037)</f>
        <v>45626.2987</v>
      </c>
      <c r="H2114" s="24" t="str">
        <f>IFERROR(VLOOKUP(B2114,material!A:D,3,0),"")</f>
        <v>TOP MIX</v>
      </c>
    </row>
    <row r="2115" ht="11.25" customHeight="1">
      <c r="A2115" s="21" t="str">
        <f>IFERROR(__xludf.DUMMYFUNCTION("""COMPUTED_VALUE"""),"DECODER DIGITAL HD DXC5000 2T")</f>
        <v>DECODER DIGITAL HD DXC5000 2T</v>
      </c>
      <c r="B2115" s="22">
        <f>IFERROR(__xludf.DUMMYFUNCTION("""COMPUTED_VALUE"""),4.1001277E7)</f>
        <v>41001277</v>
      </c>
      <c r="C2115" s="21" t="str">
        <f>IFERROR(__xludf.DUMMYFUNCTION("""COMPUTED_VALUE"""),"216713933445")</f>
        <v>216713933445</v>
      </c>
      <c r="D2115" s="21" t="str">
        <f>IFERROR(__xludf.DUMMYFUNCTION("""COMPUTED_VALUE"""),"DIGITEC TECNOLOGIA DIGITAL E REPRES")</f>
        <v>DIGITEC TECNOLOGIA DIGITAL E REPRES</v>
      </c>
      <c r="E2115" s="21">
        <f>IFERROR(__xludf.DUMMYFUNCTION("""COMPUTED_VALUE"""),145359.0)</f>
        <v>145359</v>
      </c>
      <c r="F2115" s="21" t="str">
        <f>IFERROR(__xludf.DUMMYFUNCTION("""COMPUTED_VALUE"""),"TRANSITO REVERSA")</f>
        <v>TRANSITO REVERSA</v>
      </c>
      <c r="G2115" s="23">
        <f>IFERROR(__xludf.DUMMYFUNCTION("""COMPUTED_VALUE"""),45626.29924768519)</f>
        <v>45626.29925</v>
      </c>
      <c r="H2115" s="24" t="str">
        <f>IFERROR(VLOOKUP(B2115,material!A:D,3,0),"")</f>
        <v>TOP MIX</v>
      </c>
    </row>
    <row r="2116" ht="11.25" customHeight="1">
      <c r="A2116" s="21" t="str">
        <f>IFERROR(__xludf.DUMMYFUNCTION("""COMPUTED_VALUE"""),"DECODER DIGITAL HD HNB100 2T")</f>
        <v>DECODER DIGITAL HD HNB100 2T</v>
      </c>
      <c r="B2116" s="22">
        <f>IFERROR(__xludf.DUMMYFUNCTION("""COMPUTED_VALUE"""),4.1001276E7)</f>
        <v>41001276</v>
      </c>
      <c r="C2116" s="21" t="str">
        <f>IFERROR(__xludf.DUMMYFUNCTION("""COMPUTED_VALUE"""),"216613269513")</f>
        <v>216613269513</v>
      </c>
      <c r="D2116" s="21" t="str">
        <f>IFERROR(__xludf.DUMMYFUNCTION("""COMPUTED_VALUE"""),"DIGITEC TECNOLOGIA DIGITAL E REPRES")</f>
        <v>DIGITEC TECNOLOGIA DIGITAL E REPRES</v>
      </c>
      <c r="E2116" s="21">
        <f>IFERROR(__xludf.DUMMYFUNCTION("""COMPUTED_VALUE"""),145359.0)</f>
        <v>145359</v>
      </c>
      <c r="F2116" s="21" t="str">
        <f>IFERROR(__xludf.DUMMYFUNCTION("""COMPUTED_VALUE"""),"TRANSITO REVERSA")</f>
        <v>TRANSITO REVERSA</v>
      </c>
      <c r="G2116" s="23">
        <f>IFERROR(__xludf.DUMMYFUNCTION("""COMPUTED_VALUE"""),45617.87140046296)</f>
        <v>45617.8714</v>
      </c>
      <c r="H2116" s="24" t="str">
        <f>IFERROR(VLOOKUP(B2116,material!A:D,3,0),"")</f>
        <v>TOP MIX</v>
      </c>
    </row>
    <row r="2117" ht="11.25" customHeight="1">
      <c r="A2117" s="21" t="str">
        <f>IFERROR(__xludf.DUMMYFUNCTION("""COMPUTED_VALUE"""),"SMART CARD PRETO NAGRA")</f>
        <v>SMART CARD PRETO NAGRA</v>
      </c>
      <c r="B2117" s="22">
        <f>IFERROR(__xludf.DUMMYFUNCTION("""COMPUTED_VALUE"""),4.1001234E7)</f>
        <v>41001234</v>
      </c>
      <c r="C2117" s="21" t="str">
        <f>IFERROR(__xludf.DUMMYFUNCTION("""COMPUTED_VALUE"""),"226403029012")</f>
        <v>226403029012</v>
      </c>
      <c r="D2117" s="21" t="str">
        <f>IFERROR(__xludf.DUMMYFUNCTION("""COMPUTED_VALUE"""),"DIGITEC TECNOLOGIA DIGITAL E REPRES")</f>
        <v>DIGITEC TECNOLOGIA DIGITAL E REPRES</v>
      </c>
      <c r="E2117" s="21">
        <f>IFERROR(__xludf.DUMMYFUNCTION("""COMPUTED_VALUE"""),145359.0)</f>
        <v>145359</v>
      </c>
      <c r="F2117" s="21" t="str">
        <f>IFERROR(__xludf.DUMMYFUNCTION("""COMPUTED_VALUE"""),"TRANSITO REVERSA")</f>
        <v>TRANSITO REVERSA</v>
      </c>
      <c r="G2117" s="23">
        <f>IFERROR(__xludf.DUMMYFUNCTION("""COMPUTED_VALUE"""),45633.00396990741)</f>
        <v>45633.00397</v>
      </c>
      <c r="H2117" s="24" t="str">
        <f>IFERROR(VLOOKUP(B2117,material!A:D,3,0),"")</f>
        <v>CARD</v>
      </c>
    </row>
    <row r="2118" ht="11.25" customHeight="1">
      <c r="A2118" s="21" t="str">
        <f>IFERROR(__xludf.DUMMYFUNCTION("""COMPUTED_VALUE"""),"SMART CARD PRETO NAGRA")</f>
        <v>SMART CARD PRETO NAGRA</v>
      </c>
      <c r="B2118" s="22">
        <f>IFERROR(__xludf.DUMMYFUNCTION("""COMPUTED_VALUE"""),4.1001234E7)</f>
        <v>41001234</v>
      </c>
      <c r="C2118" s="21" t="str">
        <f>IFERROR(__xludf.DUMMYFUNCTION("""COMPUTED_VALUE"""),"246298767276")</f>
        <v>246298767276</v>
      </c>
      <c r="D2118" s="21" t="str">
        <f>IFERROR(__xludf.DUMMYFUNCTION("""COMPUTED_VALUE"""),"DIGITEC TECNOLOGIA DIGITAL E REPRES")</f>
        <v>DIGITEC TECNOLOGIA DIGITAL E REPRES</v>
      </c>
      <c r="E2118" s="21">
        <f>IFERROR(__xludf.DUMMYFUNCTION("""COMPUTED_VALUE"""),145359.0)</f>
        <v>145359</v>
      </c>
      <c r="F2118" s="21" t="str">
        <f>IFERROR(__xludf.DUMMYFUNCTION("""COMPUTED_VALUE"""),"PERDA")</f>
        <v>PERDA</v>
      </c>
      <c r="G2118" s="23">
        <f>IFERROR(__xludf.DUMMYFUNCTION("""COMPUTED_VALUE"""),45134.41050925926)</f>
        <v>45134.41051</v>
      </c>
      <c r="H2118" s="24" t="str">
        <f>IFERROR(VLOOKUP(B2118,material!A:D,3,0),"")</f>
        <v>CARD</v>
      </c>
    </row>
    <row r="2119" ht="11.25" customHeight="1">
      <c r="A2119" s="21" t="str">
        <f>IFERROR(__xludf.DUMMYFUNCTION("""COMPUTED_VALUE"""),"SMART CARD PRETO NAGRA")</f>
        <v>SMART CARD PRETO NAGRA</v>
      </c>
      <c r="B2119" s="22">
        <f>IFERROR(__xludf.DUMMYFUNCTION("""COMPUTED_VALUE"""),4.1001234E7)</f>
        <v>41001234</v>
      </c>
      <c r="C2119" s="21" t="str">
        <f>IFERROR(__xludf.DUMMYFUNCTION("""COMPUTED_VALUE"""),"226255303753")</f>
        <v>226255303753</v>
      </c>
      <c r="D2119" s="21" t="str">
        <f>IFERROR(__xludf.DUMMYFUNCTION("""COMPUTED_VALUE"""),"DIGITEC TECNOLOGIA DIGITAL E REPRES")</f>
        <v>DIGITEC TECNOLOGIA DIGITAL E REPRES</v>
      </c>
      <c r="E2119" s="21">
        <f>IFERROR(__xludf.DUMMYFUNCTION("""COMPUTED_VALUE"""),145359.0)</f>
        <v>145359</v>
      </c>
      <c r="F2119" s="21" t="str">
        <f>IFERROR(__xludf.DUMMYFUNCTION("""COMPUTED_VALUE"""),"SUSPEITO")</f>
        <v>SUSPEITO</v>
      </c>
      <c r="G2119" s="23">
        <f>IFERROR(__xludf.DUMMYFUNCTION("""COMPUTED_VALUE"""),45628.66134259259)</f>
        <v>45628.66134</v>
      </c>
      <c r="H2119" s="24" t="str">
        <f>IFERROR(VLOOKUP(B2119,material!A:D,3,0),"")</f>
        <v>CARD</v>
      </c>
    </row>
    <row r="2120" ht="11.25" customHeight="1">
      <c r="A2120" s="21" t="str">
        <f>IFERROR(__xludf.DUMMYFUNCTION("""COMPUTED_VALUE"""),"SMART CARD PRETO NAGRA")</f>
        <v>SMART CARD PRETO NAGRA</v>
      </c>
      <c r="B2120" s="22">
        <f>IFERROR(__xludf.DUMMYFUNCTION("""COMPUTED_VALUE"""),4.1001234E7)</f>
        <v>41001234</v>
      </c>
      <c r="C2120" s="21" t="str">
        <f>IFERROR(__xludf.DUMMYFUNCTION("""COMPUTED_VALUE"""),"246232299903")</f>
        <v>246232299903</v>
      </c>
      <c r="D2120" s="21" t="str">
        <f>IFERROR(__xludf.DUMMYFUNCTION("""COMPUTED_VALUE"""),"DIGITEC TECNOLOGIA DIGITAL E REPRES")</f>
        <v>DIGITEC TECNOLOGIA DIGITAL E REPRES</v>
      </c>
      <c r="E2120" s="21">
        <f>IFERROR(__xludf.DUMMYFUNCTION("""COMPUTED_VALUE"""),145359.0)</f>
        <v>145359</v>
      </c>
      <c r="F2120" s="21" t="str">
        <f>IFERROR(__xludf.DUMMYFUNCTION("""COMPUTED_VALUE"""),"INICIALIZADO")</f>
        <v>INICIALIZADO</v>
      </c>
      <c r="G2120" s="23">
        <f>IFERROR(__xludf.DUMMYFUNCTION("""COMPUTED_VALUE"""),45454.553495370375)</f>
        <v>45454.5535</v>
      </c>
      <c r="H2120" s="24" t="str">
        <f>IFERROR(VLOOKUP(B2120,material!A:D,3,0),"")</f>
        <v>CARD</v>
      </c>
    </row>
    <row r="2121" ht="11.25" customHeight="1">
      <c r="A2121" s="21" t="str">
        <f>IFERROR(__xludf.DUMMYFUNCTION("""COMPUTED_VALUE"""),"SMART CARD PRETO NAGRA")</f>
        <v>SMART CARD PRETO NAGRA</v>
      </c>
      <c r="B2121" s="22">
        <f>IFERROR(__xludf.DUMMYFUNCTION("""COMPUTED_VALUE"""),4.1001234E7)</f>
        <v>41001234</v>
      </c>
      <c r="C2121" s="21" t="str">
        <f>IFERROR(__xludf.DUMMYFUNCTION("""COMPUTED_VALUE"""),"226404664749")</f>
        <v>226404664749</v>
      </c>
      <c r="D2121" s="21" t="str">
        <f>IFERROR(__xludf.DUMMYFUNCTION("""COMPUTED_VALUE"""),"DIGITEC TECNOLOGIA DIGITAL E REPRES")</f>
        <v>DIGITEC TECNOLOGIA DIGITAL E REPRES</v>
      </c>
      <c r="E2121" s="21">
        <f>IFERROR(__xludf.DUMMYFUNCTION("""COMPUTED_VALUE"""),145359.0)</f>
        <v>145359</v>
      </c>
      <c r="F2121" s="21" t="str">
        <f>IFERROR(__xludf.DUMMYFUNCTION("""COMPUTED_VALUE"""),"INICIALIZADO")</f>
        <v>INICIALIZADO</v>
      </c>
      <c r="G2121" s="23">
        <f>IFERROR(__xludf.DUMMYFUNCTION("""COMPUTED_VALUE"""),45615.61853009259)</f>
        <v>45615.61853</v>
      </c>
      <c r="H2121" s="24" t="str">
        <f>IFERROR(VLOOKUP(B2121,material!A:D,3,0),"")</f>
        <v>CARD</v>
      </c>
    </row>
    <row r="2122" ht="11.25" customHeight="1">
      <c r="A2122" s="21" t="str">
        <f>IFERROR(__xludf.DUMMYFUNCTION("""COMPUTED_VALUE"""),"SMART CARD PRETO NAGRA")</f>
        <v>SMART CARD PRETO NAGRA</v>
      </c>
      <c r="B2122" s="22">
        <f>IFERROR(__xludf.DUMMYFUNCTION("""COMPUTED_VALUE"""),4.1001234E7)</f>
        <v>41001234</v>
      </c>
      <c r="C2122" s="21" t="str">
        <f>IFERROR(__xludf.DUMMYFUNCTION("""COMPUTED_VALUE"""),"226310835154")</f>
        <v>226310835154</v>
      </c>
      <c r="D2122" s="21" t="str">
        <f>IFERROR(__xludf.DUMMYFUNCTION("""COMPUTED_VALUE"""),"DIGITEC TECNOLOGIA DIGITAL E REPRES")</f>
        <v>DIGITEC TECNOLOGIA DIGITAL E REPRES</v>
      </c>
      <c r="E2122" s="21">
        <f>IFERROR(__xludf.DUMMYFUNCTION("""COMPUTED_VALUE"""),145359.0)</f>
        <v>145359</v>
      </c>
      <c r="F2122" s="21" t="str">
        <f>IFERROR(__xludf.DUMMYFUNCTION("""COMPUTED_VALUE"""),"INICIALIZADO")</f>
        <v>INICIALIZADO</v>
      </c>
      <c r="G2122" s="23">
        <f>IFERROR(__xludf.DUMMYFUNCTION("""COMPUTED_VALUE"""),45615.61853009259)</f>
        <v>45615.61853</v>
      </c>
      <c r="H2122" s="24" t="str">
        <f>IFERROR(VLOOKUP(B2122,material!A:D,3,0),"")</f>
        <v>CARD</v>
      </c>
    </row>
    <row r="2123" ht="11.25" customHeight="1">
      <c r="A2123" s="21" t="str">
        <f>IFERROR(__xludf.DUMMYFUNCTION("""COMPUTED_VALUE"""),"SMART CARD PRETO NAGRA")</f>
        <v>SMART CARD PRETO NAGRA</v>
      </c>
      <c r="B2123" s="22">
        <f>IFERROR(__xludf.DUMMYFUNCTION("""COMPUTED_VALUE"""),4.1001234E7)</f>
        <v>41001234</v>
      </c>
      <c r="C2123" s="21" t="str">
        <f>IFERROR(__xludf.DUMMYFUNCTION("""COMPUTED_VALUE"""),"226349515764")</f>
        <v>226349515764</v>
      </c>
      <c r="D2123" s="21" t="str">
        <f>IFERROR(__xludf.DUMMYFUNCTION("""COMPUTED_VALUE"""),"DIGITEC TECNOLOGIA DIGITAL E REPRES")</f>
        <v>DIGITEC TECNOLOGIA DIGITAL E REPRES</v>
      </c>
      <c r="E2123" s="21">
        <f>IFERROR(__xludf.DUMMYFUNCTION("""COMPUTED_VALUE"""),145359.0)</f>
        <v>145359</v>
      </c>
      <c r="F2123" s="21" t="str">
        <f>IFERROR(__xludf.DUMMYFUNCTION("""COMPUTED_VALUE"""),"INICIALIZADO")</f>
        <v>INICIALIZADO</v>
      </c>
      <c r="G2123" s="23">
        <f>IFERROR(__xludf.DUMMYFUNCTION("""COMPUTED_VALUE"""),45635.53497685185)</f>
        <v>45635.53498</v>
      </c>
      <c r="H2123" s="24" t="str">
        <f>IFERROR(VLOOKUP(B2123,material!A:D,3,0),"")</f>
        <v>CARD</v>
      </c>
    </row>
    <row r="2124" ht="11.25" customHeight="1">
      <c r="A2124" s="21" t="str">
        <f>IFERROR(__xludf.DUMMYFUNCTION("""COMPUTED_VALUE"""),"SMART CARD PRETO NAGRA")</f>
        <v>SMART CARD PRETO NAGRA</v>
      </c>
      <c r="B2124" s="22">
        <f>IFERROR(__xludf.DUMMYFUNCTION("""COMPUTED_VALUE"""),4.1001234E7)</f>
        <v>41001234</v>
      </c>
      <c r="C2124" s="21" t="str">
        <f>IFERROR(__xludf.DUMMYFUNCTION("""COMPUTED_VALUE"""),"226228981218")</f>
        <v>226228981218</v>
      </c>
      <c r="D2124" s="21" t="str">
        <f>IFERROR(__xludf.DUMMYFUNCTION("""COMPUTED_VALUE"""),"DIGITEC TECNOLOGIA DIGITAL E REPRES")</f>
        <v>DIGITEC TECNOLOGIA DIGITAL E REPRES</v>
      </c>
      <c r="E2124" s="21">
        <f>IFERROR(__xludf.DUMMYFUNCTION("""COMPUTED_VALUE"""),145359.0)</f>
        <v>145359</v>
      </c>
      <c r="F2124" s="21" t="str">
        <f>IFERROR(__xludf.DUMMYFUNCTION("""COMPUTED_VALUE"""),"COM DEFEITO")</f>
        <v>COM DEFEITO</v>
      </c>
      <c r="G2124" s="23">
        <f>IFERROR(__xludf.DUMMYFUNCTION("""COMPUTED_VALUE"""),45617.71434027777)</f>
        <v>45617.71434</v>
      </c>
      <c r="H2124" s="24" t="str">
        <f>IFERROR(VLOOKUP(B2124,material!A:D,3,0),"")</f>
        <v>CARD</v>
      </c>
    </row>
    <row r="2125" ht="11.25" customHeight="1">
      <c r="A2125" s="21" t="str">
        <f>IFERROR(__xludf.DUMMYFUNCTION("""COMPUTED_VALUE"""),"SMART CARD PRETO NAGRA")</f>
        <v>SMART CARD PRETO NAGRA</v>
      </c>
      <c r="B2125" s="22">
        <f>IFERROR(__xludf.DUMMYFUNCTION("""COMPUTED_VALUE"""),4.1001234E7)</f>
        <v>41001234</v>
      </c>
      <c r="C2125" s="21" t="str">
        <f>IFERROR(__xludf.DUMMYFUNCTION("""COMPUTED_VALUE"""),"226332216668")</f>
        <v>226332216668</v>
      </c>
      <c r="D2125" s="21" t="str">
        <f>IFERROR(__xludf.DUMMYFUNCTION("""COMPUTED_VALUE"""),"DIGITEC TECNOLOGIA DIGITAL E REPRES")</f>
        <v>DIGITEC TECNOLOGIA DIGITAL E REPRES</v>
      </c>
      <c r="E2125" s="21">
        <f>IFERROR(__xludf.DUMMYFUNCTION("""COMPUTED_VALUE"""),145359.0)</f>
        <v>145359</v>
      </c>
      <c r="F2125" s="21" t="str">
        <f>IFERROR(__xludf.DUMMYFUNCTION("""COMPUTED_VALUE"""),"INICIALIZADO")</f>
        <v>INICIALIZADO</v>
      </c>
      <c r="G2125" s="23">
        <f>IFERROR(__xludf.DUMMYFUNCTION("""COMPUTED_VALUE"""),45022.75298611111)</f>
        <v>45022.75299</v>
      </c>
      <c r="H2125" s="24" t="str">
        <f>IFERROR(VLOOKUP(B2125,material!A:D,3,0),"")</f>
        <v>CARD</v>
      </c>
    </row>
    <row r="2126" ht="11.25" customHeight="1">
      <c r="A2126" s="21" t="str">
        <f>IFERROR(__xludf.DUMMYFUNCTION("""COMPUTED_VALUE"""),"SMART CARD PRETO NAGRA")</f>
        <v>SMART CARD PRETO NAGRA</v>
      </c>
      <c r="B2126" s="22">
        <f>IFERROR(__xludf.DUMMYFUNCTION("""COMPUTED_VALUE"""),4.1001234E7)</f>
        <v>41001234</v>
      </c>
      <c r="C2126" s="21" t="str">
        <f>IFERROR(__xludf.DUMMYFUNCTION("""COMPUTED_VALUE"""),"226332208283")</f>
        <v>226332208283</v>
      </c>
      <c r="D2126" s="21" t="str">
        <f>IFERROR(__xludf.DUMMYFUNCTION("""COMPUTED_VALUE"""),"DIGITEC TECNOLOGIA DIGITAL E REPRES")</f>
        <v>DIGITEC TECNOLOGIA DIGITAL E REPRES</v>
      </c>
      <c r="E2126" s="21">
        <f>IFERROR(__xludf.DUMMYFUNCTION("""COMPUTED_VALUE"""),145359.0)</f>
        <v>145359</v>
      </c>
      <c r="F2126" s="21" t="str">
        <f>IFERROR(__xludf.DUMMYFUNCTION("""COMPUTED_VALUE"""),"INICIALIZADO")</f>
        <v>INICIALIZADO</v>
      </c>
      <c r="G2126" s="23">
        <f>IFERROR(__xludf.DUMMYFUNCTION("""COMPUTED_VALUE"""),45635.53497685185)</f>
        <v>45635.53498</v>
      </c>
      <c r="H2126" s="24" t="str">
        <f>IFERROR(VLOOKUP(B2126,material!A:D,3,0),"")</f>
        <v>CARD</v>
      </c>
    </row>
    <row r="2127" ht="11.25" customHeight="1">
      <c r="A2127" s="21" t="str">
        <f>IFERROR(__xludf.DUMMYFUNCTION("""COMPUTED_VALUE"""),"SMART CARD PRETO NAGRA")</f>
        <v>SMART CARD PRETO NAGRA</v>
      </c>
      <c r="B2127" s="22">
        <f>IFERROR(__xludf.DUMMYFUNCTION("""COMPUTED_VALUE"""),4.1001234E7)</f>
        <v>41001234</v>
      </c>
      <c r="C2127" s="21" t="str">
        <f>IFERROR(__xludf.DUMMYFUNCTION("""COMPUTED_VALUE"""),"226083536585")</f>
        <v>226083536585</v>
      </c>
      <c r="D2127" s="21" t="str">
        <f>IFERROR(__xludf.DUMMYFUNCTION("""COMPUTED_VALUE"""),"DIGITEC TECNOLOGIA DIGITAL E REPRES")</f>
        <v>DIGITEC TECNOLOGIA DIGITAL E REPRES</v>
      </c>
      <c r="E2127" s="21">
        <f>IFERROR(__xludf.DUMMYFUNCTION("""COMPUTED_VALUE"""),145359.0)</f>
        <v>145359</v>
      </c>
      <c r="F2127" s="21" t="str">
        <f>IFERROR(__xludf.DUMMYFUNCTION("""COMPUTED_VALUE"""),"INICIALIZADO")</f>
        <v>INICIALIZADO</v>
      </c>
      <c r="G2127" s="23">
        <f>IFERROR(__xludf.DUMMYFUNCTION("""COMPUTED_VALUE"""),45635.534953703704)</f>
        <v>45635.53495</v>
      </c>
      <c r="H2127" s="24" t="str">
        <f>IFERROR(VLOOKUP(B2127,material!A:D,3,0),"")</f>
        <v>CARD</v>
      </c>
    </row>
    <row r="2128" ht="11.25" customHeight="1">
      <c r="A2128" s="21" t="str">
        <f>IFERROR(__xludf.DUMMYFUNCTION("""COMPUTED_VALUE"""),"ARRIS TG1692A")</f>
        <v>ARRIS TG1692A</v>
      </c>
      <c r="B2128" s="22">
        <f>IFERROR(__xludf.DUMMYFUNCTION("""COMPUTED_VALUE"""),4.1001293E7)</f>
        <v>41001293</v>
      </c>
      <c r="C2128" s="21" t="str">
        <f>IFERROR(__xludf.DUMMYFUNCTION("""COMPUTED_VALUE"""),"BC644BE02688")</f>
        <v>BC644BE02688</v>
      </c>
      <c r="D2128" s="21" t="str">
        <f>IFERROR(__xludf.DUMMYFUNCTION("""COMPUTED_VALUE"""),"DIGITEC TECNOLOGIA DIGITAL E REPRES")</f>
        <v>DIGITEC TECNOLOGIA DIGITAL E REPRES</v>
      </c>
      <c r="E2128" s="21">
        <f>IFERROR(__xludf.DUMMYFUNCTION("""COMPUTED_VALUE"""),145359.0)</f>
        <v>145359</v>
      </c>
      <c r="F2128" s="21" t="str">
        <f>IFERROR(__xludf.DUMMYFUNCTION("""COMPUTED_VALUE"""),"COM DEFEITO")</f>
        <v>COM DEFEITO</v>
      </c>
      <c r="G2128" s="23">
        <f>IFERROR(__xludf.DUMMYFUNCTION("""COMPUTED_VALUE"""),45617.71240740741)</f>
        <v>45617.71241</v>
      </c>
      <c r="H2128" s="24" t="str">
        <f>IFERROR(VLOOKUP(B2128,material!A:D,3,0),"")</f>
        <v>DUAL</v>
      </c>
    </row>
    <row r="2129" ht="11.25" customHeight="1">
      <c r="A2129" s="21" t="str">
        <f>IFERROR(__xludf.DUMMYFUNCTION("""COMPUTED_VALUE"""),"SMART CARD AVULSO MINI")</f>
        <v>SMART CARD AVULSO MINI</v>
      </c>
      <c r="B2129" s="22">
        <f>IFERROR(__xludf.DUMMYFUNCTION("""COMPUTED_VALUE"""),4.1001508E7)</f>
        <v>41001508</v>
      </c>
      <c r="C2129" s="21" t="str">
        <f>IFERROR(__xludf.DUMMYFUNCTION("""COMPUTED_VALUE"""),"246135290616")</f>
        <v>246135290616</v>
      </c>
      <c r="D2129" s="21" t="str">
        <f>IFERROR(__xludf.DUMMYFUNCTION("""COMPUTED_VALUE"""),"DIGITEC TECNOLOGIA DIGITAL E REPRES")</f>
        <v>DIGITEC TECNOLOGIA DIGITAL E REPRES</v>
      </c>
      <c r="E2129" s="21">
        <f>IFERROR(__xludf.DUMMYFUNCTION("""COMPUTED_VALUE"""),145359.0)</f>
        <v>145359</v>
      </c>
      <c r="F2129" s="21" t="str">
        <f>IFERROR(__xludf.DUMMYFUNCTION("""COMPUTED_VALUE"""),"INICIALIZADO")</f>
        <v>INICIALIZADO</v>
      </c>
      <c r="G2129" s="23">
        <f>IFERROR(__xludf.DUMMYFUNCTION("""COMPUTED_VALUE"""),45618.744733796295)</f>
        <v>45618.74473</v>
      </c>
      <c r="H2129" s="24" t="str">
        <f>IFERROR(VLOOKUP(B2129,material!A:D,3,0),"")</f>
        <v>SIM CARD</v>
      </c>
    </row>
    <row r="2130" ht="11.25" customHeight="1">
      <c r="A2130" s="21" t="str">
        <f>IFERROR(__xludf.DUMMYFUNCTION("""COMPUTED_VALUE"""),"HUMAX HGB10R-02")</f>
        <v>HUMAX HGB10R-02</v>
      </c>
      <c r="B2130" s="22">
        <f>IFERROR(__xludf.DUMMYFUNCTION("""COMPUTED_VALUE"""),4.1001292E7)</f>
        <v>41001292</v>
      </c>
      <c r="C2130" s="21" t="str">
        <f>IFERROR(__xludf.DUMMYFUNCTION("""COMPUTED_VALUE"""),"E820E267CE09")</f>
        <v>E820E267CE09</v>
      </c>
      <c r="D2130" s="21" t="str">
        <f>IFERROR(__xludf.DUMMYFUNCTION("""COMPUTED_VALUE"""),"DIGITEC TECNOLOGIA DIGITAL E REPRES")</f>
        <v>DIGITEC TECNOLOGIA DIGITAL E REPRES</v>
      </c>
      <c r="E2130" s="21">
        <f>IFERROR(__xludf.DUMMYFUNCTION("""COMPUTED_VALUE"""),145359.0)</f>
        <v>145359</v>
      </c>
      <c r="F2130" s="21" t="str">
        <f>IFERROR(__xludf.DUMMYFUNCTION("""COMPUTED_VALUE"""),"INICIALIZADO")</f>
        <v>INICIALIZADO</v>
      </c>
      <c r="G2130" s="23">
        <f>IFERROR(__xludf.DUMMYFUNCTION("""COMPUTED_VALUE"""),45538.41375)</f>
        <v>45538.41375</v>
      </c>
      <c r="H2130" s="24" t="str">
        <f>IFERROR(VLOOKUP(B2130,material!A:D,3,0),"")</f>
        <v>DUAL</v>
      </c>
    </row>
    <row r="2131" ht="11.25" customHeight="1">
      <c r="A2131" s="21" t="str">
        <f>IFERROR(__xludf.DUMMYFUNCTION("""COMPUTED_VALUE"""),"SMART CARD PRETO NAGRA")</f>
        <v>SMART CARD PRETO NAGRA</v>
      </c>
      <c r="B2131" s="22">
        <f>IFERROR(__xludf.DUMMYFUNCTION("""COMPUTED_VALUE"""),4.1001234E7)</f>
        <v>41001234</v>
      </c>
      <c r="C2131" s="21" t="str">
        <f>IFERROR(__xludf.DUMMYFUNCTION("""COMPUTED_VALUE"""),"246117544046")</f>
        <v>246117544046</v>
      </c>
      <c r="D2131" s="21" t="str">
        <f>IFERROR(__xludf.DUMMYFUNCTION("""COMPUTED_VALUE"""),"DIGITEC TECNOLOGIA DIGITAL E REPRES")</f>
        <v>DIGITEC TECNOLOGIA DIGITAL E REPRES</v>
      </c>
      <c r="E2131" s="21">
        <f>IFERROR(__xludf.DUMMYFUNCTION("""COMPUTED_VALUE"""),145359.0)</f>
        <v>145359</v>
      </c>
      <c r="F2131" s="21" t="str">
        <f>IFERROR(__xludf.DUMMYFUNCTION("""COMPUTED_VALUE"""),"INICIALIZADO")</f>
        <v>INICIALIZADO</v>
      </c>
      <c r="G2131" s="23">
        <f>IFERROR(__xludf.DUMMYFUNCTION("""COMPUTED_VALUE"""),45635.534907407404)</f>
        <v>45635.53491</v>
      </c>
      <c r="H2131" s="24" t="str">
        <f>IFERROR(VLOOKUP(B2131,material!A:D,3,0),"")</f>
        <v>CARD</v>
      </c>
    </row>
    <row r="2132" ht="11.25" customHeight="1">
      <c r="A2132" s="21" t="str">
        <f>IFERROR(__xludf.DUMMYFUNCTION("""COMPUTED_VALUE"""),"SMART CARD PRETO NAGRA")</f>
        <v>SMART CARD PRETO NAGRA</v>
      </c>
      <c r="B2132" s="22">
        <f>IFERROR(__xludf.DUMMYFUNCTION("""COMPUTED_VALUE"""),4.1001234E7)</f>
        <v>41001234</v>
      </c>
      <c r="C2132" s="21" t="str">
        <f>IFERROR(__xludf.DUMMYFUNCTION("""COMPUTED_VALUE"""),"246245417580")</f>
        <v>246245417580</v>
      </c>
      <c r="D2132" s="21" t="str">
        <f>IFERROR(__xludf.DUMMYFUNCTION("""COMPUTED_VALUE"""),"DIGITEC TECNOLOGIA DIGITAL E REPRES")</f>
        <v>DIGITEC TECNOLOGIA DIGITAL E REPRES</v>
      </c>
      <c r="E2132" s="21">
        <f>IFERROR(__xludf.DUMMYFUNCTION("""COMPUTED_VALUE"""),145359.0)</f>
        <v>145359</v>
      </c>
      <c r="F2132" s="21" t="str">
        <f>IFERROR(__xludf.DUMMYFUNCTION("""COMPUTED_VALUE"""),"INICIALIZADO")</f>
        <v>INICIALIZADO</v>
      </c>
      <c r="G2132" s="23">
        <f>IFERROR(__xludf.DUMMYFUNCTION("""COMPUTED_VALUE"""),45600.47594907407)</f>
        <v>45600.47595</v>
      </c>
      <c r="H2132" s="24" t="str">
        <f>IFERROR(VLOOKUP(B2132,material!A:D,3,0),"")</f>
        <v>CARD</v>
      </c>
    </row>
    <row r="2133" ht="11.25" customHeight="1">
      <c r="A2133" s="21" t="str">
        <f>IFERROR(__xludf.DUMMYFUNCTION("""COMPUTED_VALUE"""),"THOMSON HIGH DEFINITION DCI713")</f>
        <v>THOMSON HIGH DEFINITION DCI713</v>
      </c>
      <c r="B2133" s="22">
        <f>IFERROR(__xludf.DUMMYFUNCTION("""COMPUTED_VALUE"""),4.1001273E7)</f>
        <v>41001273</v>
      </c>
      <c r="C2133" s="21" t="str">
        <f>IFERROR(__xludf.DUMMYFUNCTION("""COMPUTED_VALUE"""),"183963971422")</f>
        <v>183963971422</v>
      </c>
      <c r="D2133" s="21" t="str">
        <f>IFERROR(__xludf.DUMMYFUNCTION("""COMPUTED_VALUE"""),"DIGITEC TECNOLOGIA DIGITAL E REPRES")</f>
        <v>DIGITEC TECNOLOGIA DIGITAL E REPRES</v>
      </c>
      <c r="E2133" s="21">
        <f>IFERROR(__xludf.DUMMYFUNCTION("""COMPUTED_VALUE"""),145359.0)</f>
        <v>145359</v>
      </c>
      <c r="F2133" s="21" t="str">
        <f>IFERROR(__xludf.DUMMYFUNCTION("""COMPUTED_VALUE"""),"TRANSITO REVERSA")</f>
        <v>TRANSITO REVERSA</v>
      </c>
      <c r="G2133" s="23">
        <f>IFERROR(__xludf.DUMMYFUNCTION("""COMPUTED_VALUE"""),45633.0033912037)</f>
        <v>45633.00339</v>
      </c>
      <c r="H2133" s="24" t="str">
        <f>IFERROR(VLOOKUP(B2133,material!A:D,3,0),"")</f>
        <v>LEGADO</v>
      </c>
    </row>
    <row r="2134" ht="11.25" customHeight="1">
      <c r="A2134" s="21" t="str">
        <f>IFERROR(__xludf.DUMMYFUNCTION("""COMPUTED_VALUE"""),"SMART CARD PRETO NAGRA")</f>
        <v>SMART CARD PRETO NAGRA</v>
      </c>
      <c r="B2134" s="22">
        <f>IFERROR(__xludf.DUMMYFUNCTION("""COMPUTED_VALUE"""),4.1001234E7)</f>
        <v>41001234</v>
      </c>
      <c r="C2134" s="21" t="str">
        <f>IFERROR(__xludf.DUMMYFUNCTION("""COMPUTED_VALUE"""),"246244098798")</f>
        <v>246244098798</v>
      </c>
      <c r="D2134" s="21" t="str">
        <f>IFERROR(__xludf.DUMMYFUNCTION("""COMPUTED_VALUE"""),"DIGITEC TECNOLOGIA DIGITAL E REPRES")</f>
        <v>DIGITEC TECNOLOGIA DIGITAL E REPRES</v>
      </c>
      <c r="E2134" s="21">
        <f>IFERROR(__xludf.DUMMYFUNCTION("""COMPUTED_VALUE"""),145359.0)</f>
        <v>145359</v>
      </c>
      <c r="F2134" s="21" t="str">
        <f>IFERROR(__xludf.DUMMYFUNCTION("""COMPUTED_VALUE"""),"INICIALIZADO")</f>
        <v>INICIALIZADO</v>
      </c>
      <c r="G2134" s="23">
        <f>IFERROR(__xludf.DUMMYFUNCTION("""COMPUTED_VALUE"""),45635.53493055556)</f>
        <v>45635.53493</v>
      </c>
      <c r="H2134" s="24" t="str">
        <f>IFERROR(VLOOKUP(B2134,material!A:D,3,0),"")</f>
        <v>CARD</v>
      </c>
    </row>
    <row r="2135" ht="11.25" customHeight="1">
      <c r="A2135" s="21" t="str">
        <f>IFERROR(__xludf.DUMMYFUNCTION("""COMPUTED_VALUE"""),"TECHNICOLOR TC7337NET")</f>
        <v>TECHNICOLOR TC7337NET</v>
      </c>
      <c r="B2135" s="22">
        <f>IFERROR(__xludf.DUMMYFUNCTION("""COMPUTED_VALUE"""),4.1001294E7)</f>
        <v>41001294</v>
      </c>
      <c r="C2135" s="21" t="str">
        <f>IFERROR(__xludf.DUMMYFUNCTION("""COMPUTED_VALUE"""),"B42A0ED49379")</f>
        <v>B42A0ED49379</v>
      </c>
      <c r="D2135" s="21" t="str">
        <f>IFERROR(__xludf.DUMMYFUNCTION("""COMPUTED_VALUE"""),"DIGITEC TECNOLOGIA DIGITAL E REPRES")</f>
        <v>DIGITEC TECNOLOGIA DIGITAL E REPRES</v>
      </c>
      <c r="E2135" s="21">
        <f>IFERROR(__xludf.DUMMYFUNCTION("""COMPUTED_VALUE"""),145359.0)</f>
        <v>145359</v>
      </c>
      <c r="F2135" s="21" t="str">
        <f>IFERROR(__xludf.DUMMYFUNCTION("""COMPUTED_VALUE"""),"INICIALIZADO")</f>
        <v>INICIALIZADO</v>
      </c>
      <c r="G2135" s="23">
        <f>IFERROR(__xludf.DUMMYFUNCTION("""COMPUTED_VALUE"""),45618.74476851852)</f>
        <v>45618.74477</v>
      </c>
      <c r="H2135" s="24" t="str">
        <f>IFERROR(VLOOKUP(B2135,material!A:D,3,0),"")</f>
        <v>DUAL</v>
      </c>
    </row>
    <row r="2136" ht="11.25" customHeight="1">
      <c r="A2136" s="21" t="str">
        <f>IFERROR(__xludf.DUMMYFUNCTION("""COMPUTED_VALUE"""),"SMART CARD PRETO NAGRA")</f>
        <v>SMART CARD PRETO NAGRA</v>
      </c>
      <c r="B2136" s="22">
        <f>IFERROR(__xludf.DUMMYFUNCTION("""COMPUTED_VALUE"""),4.1001234E7)</f>
        <v>41001234</v>
      </c>
      <c r="C2136" s="21" t="str">
        <f>IFERROR(__xludf.DUMMYFUNCTION("""COMPUTED_VALUE"""),"246093673142")</f>
        <v>246093673142</v>
      </c>
      <c r="D2136" s="21" t="str">
        <f>IFERROR(__xludf.DUMMYFUNCTION("""COMPUTED_VALUE"""),"DIGITEC TECNOLOGIA DIGITAL E REPRES")</f>
        <v>DIGITEC TECNOLOGIA DIGITAL E REPRES</v>
      </c>
      <c r="E2136" s="21">
        <f>IFERROR(__xludf.DUMMYFUNCTION("""COMPUTED_VALUE"""),145359.0)</f>
        <v>145359</v>
      </c>
      <c r="F2136" s="21" t="str">
        <f>IFERROR(__xludf.DUMMYFUNCTION("""COMPUTED_VALUE"""),"INICIALIZADO")</f>
        <v>INICIALIZADO</v>
      </c>
      <c r="G2136" s="23">
        <f>IFERROR(__xludf.DUMMYFUNCTION("""COMPUTED_VALUE"""),45618.65201388889)</f>
        <v>45618.65201</v>
      </c>
      <c r="H2136" s="24" t="str">
        <f>IFERROR(VLOOKUP(B2136,material!A:D,3,0),"")</f>
        <v>CARD</v>
      </c>
    </row>
    <row r="2137" ht="11.25" customHeight="1">
      <c r="A2137" s="21" t="str">
        <f>IFERROR(__xludf.DUMMYFUNCTION("""COMPUTED_VALUE"""),"ARRIS TG1692A")</f>
        <v>ARRIS TG1692A</v>
      </c>
      <c r="B2137" s="22">
        <f>IFERROR(__xludf.DUMMYFUNCTION("""COMPUTED_VALUE"""),4.1001293E7)</f>
        <v>41001293</v>
      </c>
      <c r="C2137" s="21" t="str">
        <f>IFERROR(__xludf.DUMMYFUNCTION("""COMPUTED_VALUE"""),"BC644BC9C460")</f>
        <v>BC644BC9C460</v>
      </c>
      <c r="D2137" s="21" t="str">
        <f>IFERROR(__xludf.DUMMYFUNCTION("""COMPUTED_VALUE"""),"DIGITEC TECNOLOGIA DIGITAL E REPRES")</f>
        <v>DIGITEC TECNOLOGIA DIGITAL E REPRES</v>
      </c>
      <c r="E2137" s="21">
        <f>IFERROR(__xludf.DUMMYFUNCTION("""COMPUTED_VALUE"""),145359.0)</f>
        <v>145359</v>
      </c>
      <c r="F2137" s="21" t="str">
        <f>IFERROR(__xludf.DUMMYFUNCTION("""COMPUTED_VALUE"""),"TRANSITO REVERSA")</f>
        <v>TRANSITO REVERSA</v>
      </c>
      <c r="G2137" s="23">
        <f>IFERROR(__xludf.DUMMYFUNCTION("""COMPUTED_VALUE"""),45633.0033912037)</f>
        <v>45633.00339</v>
      </c>
      <c r="H2137" s="24" t="str">
        <f>IFERROR(VLOOKUP(B2137,material!A:D,3,0),"")</f>
        <v>DUAL</v>
      </c>
    </row>
    <row r="2138" ht="11.25" customHeight="1">
      <c r="A2138" s="21" t="str">
        <f>IFERROR(__xludf.DUMMYFUNCTION("""COMPUTED_VALUE"""),"DECODER HD DCI738 2T")</f>
        <v>DECODER HD DCI738 2T</v>
      </c>
      <c r="B2138" s="22">
        <f>IFERROR(__xludf.DUMMYFUNCTION("""COMPUTED_VALUE"""),4.1001275E7)</f>
        <v>41001275</v>
      </c>
      <c r="C2138" s="21" t="str">
        <f>IFERROR(__xludf.DUMMYFUNCTION("""COMPUTED_VALUE"""),"216794419908")</f>
        <v>216794419908</v>
      </c>
      <c r="D2138" s="21" t="str">
        <f>IFERROR(__xludf.DUMMYFUNCTION("""COMPUTED_VALUE"""),"DIGITEC TECNOLOGIA DIGITAL E REPRES")</f>
        <v>DIGITEC TECNOLOGIA DIGITAL E REPRES</v>
      </c>
      <c r="E2138" s="21">
        <f>IFERROR(__xludf.DUMMYFUNCTION("""COMPUTED_VALUE"""),145359.0)</f>
        <v>145359</v>
      </c>
      <c r="F2138" s="21" t="str">
        <f>IFERROR(__xludf.DUMMYFUNCTION("""COMPUTED_VALUE"""),"INICIALIZADO")</f>
        <v>INICIALIZADO</v>
      </c>
      <c r="G2138" s="23">
        <f>IFERROR(__xludf.DUMMYFUNCTION("""COMPUTED_VALUE"""),45516.4197337963)</f>
        <v>45516.41973</v>
      </c>
      <c r="H2138" s="24" t="str">
        <f>IFERROR(VLOOKUP(B2138,material!A:D,3,0),"")</f>
        <v>TOP MIX</v>
      </c>
    </row>
    <row r="2139" ht="11.25" customHeight="1">
      <c r="A2139" s="21" t="str">
        <f>IFERROR(__xludf.DUMMYFUNCTION("""COMPUTED_VALUE"""),"SMART CARD PRETO NAGRA")</f>
        <v>SMART CARD PRETO NAGRA</v>
      </c>
      <c r="B2139" s="22">
        <f>IFERROR(__xludf.DUMMYFUNCTION("""COMPUTED_VALUE"""),4.1001234E7)</f>
        <v>41001234</v>
      </c>
      <c r="C2139" s="21" t="str">
        <f>IFERROR(__xludf.DUMMYFUNCTION("""COMPUTED_VALUE"""),"246127050216")</f>
        <v>246127050216</v>
      </c>
      <c r="D2139" s="21" t="str">
        <f>IFERROR(__xludf.DUMMYFUNCTION("""COMPUTED_VALUE"""),"DIGITEC TECNOLOGIA DIGITAL E REPRES")</f>
        <v>DIGITEC TECNOLOGIA DIGITAL E REPRES</v>
      </c>
      <c r="E2139" s="21">
        <f>IFERROR(__xludf.DUMMYFUNCTION("""COMPUTED_VALUE"""),145359.0)</f>
        <v>145359</v>
      </c>
      <c r="F2139" s="21" t="str">
        <f>IFERROR(__xludf.DUMMYFUNCTION("""COMPUTED_VALUE"""),"INICIALIZADO")</f>
        <v>INICIALIZADO</v>
      </c>
      <c r="G2139" s="23">
        <f>IFERROR(__xludf.DUMMYFUNCTION("""COMPUTED_VALUE"""),45373.42555555556)</f>
        <v>45373.42556</v>
      </c>
      <c r="H2139" s="24" t="str">
        <f>IFERROR(VLOOKUP(B2139,material!A:D,3,0),"")</f>
        <v>CARD</v>
      </c>
    </row>
    <row r="2140" ht="11.25" customHeight="1">
      <c r="A2140" s="21" t="str">
        <f>IFERROR(__xludf.DUMMYFUNCTION("""COMPUTED_VALUE"""),"DECODER DIGITAL HD HNB100 2T")</f>
        <v>DECODER DIGITAL HD HNB100 2T</v>
      </c>
      <c r="B2140" s="22">
        <f>IFERROR(__xludf.DUMMYFUNCTION("""COMPUTED_VALUE"""),4.1001276E7)</f>
        <v>41001276</v>
      </c>
      <c r="C2140" s="21" t="str">
        <f>IFERROR(__xludf.DUMMYFUNCTION("""COMPUTED_VALUE"""),"216725359396")</f>
        <v>216725359396</v>
      </c>
      <c r="D2140" s="21" t="str">
        <f>IFERROR(__xludf.DUMMYFUNCTION("""COMPUTED_VALUE"""),"DIGITEC TECNOLOGIA DIGITAL E REPRES")</f>
        <v>DIGITEC TECNOLOGIA DIGITAL E REPRES</v>
      </c>
      <c r="E2140" s="21">
        <f>IFERROR(__xludf.DUMMYFUNCTION("""COMPUTED_VALUE"""),145359.0)</f>
        <v>145359</v>
      </c>
      <c r="F2140" s="21" t="str">
        <f>IFERROR(__xludf.DUMMYFUNCTION("""COMPUTED_VALUE"""),"INICIALIZADO")</f>
        <v>INICIALIZADO</v>
      </c>
      <c r="G2140" s="23">
        <f>IFERROR(__xludf.DUMMYFUNCTION("""COMPUTED_VALUE"""),45635.53501157407)</f>
        <v>45635.53501</v>
      </c>
      <c r="H2140" s="24" t="str">
        <f>IFERROR(VLOOKUP(B2140,material!A:D,3,0),"")</f>
        <v>TOP MIX</v>
      </c>
    </row>
    <row r="2141" ht="11.25" customHeight="1">
      <c r="A2141" s="21" t="str">
        <f>IFERROR(__xludf.DUMMYFUNCTION("""COMPUTED_VALUE"""),"ARRIS TG1692A")</f>
        <v>ARRIS TG1692A</v>
      </c>
      <c r="B2141" s="22">
        <f>IFERROR(__xludf.DUMMYFUNCTION("""COMPUTED_VALUE"""),4.1001293E7)</f>
        <v>41001293</v>
      </c>
      <c r="C2141" s="21" t="str">
        <f>IFERROR(__xludf.DUMMYFUNCTION("""COMPUTED_VALUE"""),"A89FECC5E2B4")</f>
        <v>A89FECC5E2B4</v>
      </c>
      <c r="D2141" s="21" t="str">
        <f>IFERROR(__xludf.DUMMYFUNCTION("""COMPUTED_VALUE"""),"DIGITEC TECNOLOGIA DIGITAL E REPRES")</f>
        <v>DIGITEC TECNOLOGIA DIGITAL E REPRES</v>
      </c>
      <c r="E2141" s="21">
        <f>IFERROR(__xludf.DUMMYFUNCTION("""COMPUTED_VALUE"""),145359.0)</f>
        <v>145359</v>
      </c>
      <c r="F2141" s="21" t="str">
        <f>IFERROR(__xludf.DUMMYFUNCTION("""COMPUTED_VALUE"""),"TRANSITO REVERSA")</f>
        <v>TRANSITO REVERSA</v>
      </c>
      <c r="G2141" s="23">
        <f>IFERROR(__xludf.DUMMYFUNCTION("""COMPUTED_VALUE"""),45617.87138888889)</f>
        <v>45617.87139</v>
      </c>
      <c r="H2141" s="24" t="str">
        <f>IFERROR(VLOOKUP(B2141,material!A:D,3,0),"")</f>
        <v>DUAL</v>
      </c>
    </row>
    <row r="2142" ht="11.25" customHeight="1">
      <c r="A2142" s="21" t="str">
        <f>IFERROR(__xludf.DUMMYFUNCTION("""COMPUTED_VALUE"""),"HUMAX HGB10R-02")</f>
        <v>HUMAX HGB10R-02</v>
      </c>
      <c r="B2142" s="22">
        <f>IFERROR(__xludf.DUMMYFUNCTION("""COMPUTED_VALUE"""),4.1001292E7)</f>
        <v>41001292</v>
      </c>
      <c r="C2142" s="21" t="str">
        <f>IFERROR(__xludf.DUMMYFUNCTION("""COMPUTED_VALUE"""),"942CB3D1BED0")</f>
        <v>942CB3D1BED0</v>
      </c>
      <c r="D2142" s="21" t="str">
        <f>IFERROR(__xludf.DUMMYFUNCTION("""COMPUTED_VALUE"""),"DIGITEC TECNOLOGIA DIGITAL E REPRES")</f>
        <v>DIGITEC TECNOLOGIA DIGITAL E REPRES</v>
      </c>
      <c r="E2142" s="21">
        <f>IFERROR(__xludf.DUMMYFUNCTION("""COMPUTED_VALUE"""),145359.0)</f>
        <v>145359</v>
      </c>
      <c r="F2142" s="21" t="str">
        <f>IFERROR(__xludf.DUMMYFUNCTION("""COMPUTED_VALUE"""),"TRANSITO REVERSA")</f>
        <v>TRANSITO REVERSA</v>
      </c>
      <c r="G2142" s="23">
        <f>IFERROR(__xludf.DUMMYFUNCTION("""COMPUTED_VALUE"""),45610.73042824074)</f>
        <v>45610.73043</v>
      </c>
      <c r="H2142" s="24" t="str">
        <f>IFERROR(VLOOKUP(B2142,material!A:D,3,0),"")</f>
        <v>DUAL</v>
      </c>
    </row>
    <row r="2143" ht="11.25" customHeight="1">
      <c r="A2143" s="21" t="str">
        <f>IFERROR(__xludf.DUMMYFUNCTION("""COMPUTED_VALUE"""),"HUMAX HGB10R-02")</f>
        <v>HUMAX HGB10R-02</v>
      </c>
      <c r="B2143" s="22">
        <f>IFERROR(__xludf.DUMMYFUNCTION("""COMPUTED_VALUE"""),4.1001292E7)</f>
        <v>41001292</v>
      </c>
      <c r="C2143" s="21" t="str">
        <f>IFERROR(__xludf.DUMMYFUNCTION("""COMPUTED_VALUE"""),"E820E2444FF3")</f>
        <v>E820E2444FF3</v>
      </c>
      <c r="D2143" s="21" t="str">
        <f>IFERROR(__xludf.DUMMYFUNCTION("""COMPUTED_VALUE"""),"DIGITEC TECNOLOGIA DIGITAL E REPRES")</f>
        <v>DIGITEC TECNOLOGIA DIGITAL E REPRES</v>
      </c>
      <c r="E2143" s="21">
        <f>IFERROR(__xludf.DUMMYFUNCTION("""COMPUTED_VALUE"""),145359.0)</f>
        <v>145359</v>
      </c>
      <c r="F2143" s="21" t="str">
        <f>IFERROR(__xludf.DUMMYFUNCTION("""COMPUTED_VALUE"""),"TRANSITO REVERSA")</f>
        <v>TRANSITO REVERSA</v>
      </c>
      <c r="G2143" s="23">
        <f>IFERROR(__xludf.DUMMYFUNCTION("""COMPUTED_VALUE"""),45604.4906712963)</f>
        <v>45604.49067</v>
      </c>
      <c r="H2143" s="24" t="str">
        <f>IFERROR(VLOOKUP(B2143,material!A:D,3,0),"")</f>
        <v>DUAL</v>
      </c>
    </row>
    <row r="2144" ht="11.25" customHeight="1">
      <c r="A2144" s="21" t="str">
        <f>IFERROR(__xludf.DUMMYFUNCTION("""COMPUTED_VALUE"""),"DECODER HD DCI738 2T")</f>
        <v>DECODER HD DCI738 2T</v>
      </c>
      <c r="B2144" s="22">
        <f>IFERROR(__xludf.DUMMYFUNCTION("""COMPUTED_VALUE"""),4.1001275E7)</f>
        <v>41001275</v>
      </c>
      <c r="C2144" s="21" t="str">
        <f>IFERROR(__xludf.DUMMYFUNCTION("""COMPUTED_VALUE"""),"216840210012")</f>
        <v>216840210012</v>
      </c>
      <c r="D2144" s="21" t="str">
        <f>IFERROR(__xludf.DUMMYFUNCTION("""COMPUTED_VALUE"""),"DIGITEC TECNOLOGIA DIGITAL E REPRES")</f>
        <v>DIGITEC TECNOLOGIA DIGITAL E REPRES</v>
      </c>
      <c r="E2144" s="21">
        <f>IFERROR(__xludf.DUMMYFUNCTION("""COMPUTED_VALUE"""),145359.0)</f>
        <v>145359</v>
      </c>
      <c r="F2144" s="21" t="str">
        <f>IFERROR(__xludf.DUMMYFUNCTION("""COMPUTED_VALUE"""),"TRANSITO REVERSA")</f>
        <v>TRANSITO REVERSA</v>
      </c>
      <c r="G2144" s="23">
        <f>IFERROR(__xludf.DUMMYFUNCTION("""COMPUTED_VALUE"""),45633.003379629634)</f>
        <v>45633.00338</v>
      </c>
      <c r="H2144" s="24" t="str">
        <f>IFERROR(VLOOKUP(B2144,material!A:D,3,0),"")</f>
        <v>TOP MIX</v>
      </c>
    </row>
    <row r="2145" ht="11.25" customHeight="1">
      <c r="A2145" s="21" t="str">
        <f>IFERROR(__xludf.DUMMYFUNCTION("""COMPUTED_VALUE"""),"DECODER DIGITAL HD HNB100 2T")</f>
        <v>DECODER DIGITAL HD HNB100 2T</v>
      </c>
      <c r="B2145" s="22">
        <f>IFERROR(__xludf.DUMMYFUNCTION("""COMPUTED_VALUE"""),4.1001276E7)</f>
        <v>41001276</v>
      </c>
      <c r="C2145" s="21" t="str">
        <f>IFERROR(__xludf.DUMMYFUNCTION("""COMPUTED_VALUE"""),"216818692951")</f>
        <v>216818692951</v>
      </c>
      <c r="D2145" s="21" t="str">
        <f>IFERROR(__xludf.DUMMYFUNCTION("""COMPUTED_VALUE"""),"DIGITEC TECNOLOGIA DIGITAL E REPRES")</f>
        <v>DIGITEC TECNOLOGIA DIGITAL E REPRES</v>
      </c>
      <c r="E2145" s="21">
        <f>IFERROR(__xludf.DUMMYFUNCTION("""COMPUTED_VALUE"""),145359.0)</f>
        <v>145359</v>
      </c>
      <c r="F2145" s="21" t="str">
        <f>IFERROR(__xludf.DUMMYFUNCTION("""COMPUTED_VALUE"""),"INICIALIZADO")</f>
        <v>INICIALIZADO</v>
      </c>
      <c r="G2145" s="23">
        <f>IFERROR(__xludf.DUMMYFUNCTION("""COMPUTED_VALUE"""),45635.53502314815)</f>
        <v>45635.53502</v>
      </c>
      <c r="H2145" s="24" t="str">
        <f>IFERROR(VLOOKUP(B2145,material!A:D,3,0),"")</f>
        <v>TOP MIX</v>
      </c>
    </row>
    <row r="2146" ht="11.25" customHeight="1">
      <c r="A2146" s="21" t="str">
        <f>IFERROR(__xludf.DUMMYFUNCTION("""COMPUTED_VALUE"""),"SMART CARD PRETO NAGRA")</f>
        <v>SMART CARD PRETO NAGRA</v>
      </c>
      <c r="B2146" s="22">
        <f>IFERROR(__xludf.DUMMYFUNCTION("""COMPUTED_VALUE"""),4.1001234E7)</f>
        <v>41001234</v>
      </c>
      <c r="C2146" s="21" t="str">
        <f>IFERROR(__xludf.DUMMYFUNCTION("""COMPUTED_VALUE"""),"246285370022")</f>
        <v>246285370022</v>
      </c>
      <c r="D2146" s="21" t="str">
        <f>IFERROR(__xludf.DUMMYFUNCTION("""COMPUTED_VALUE"""),"DIGITEC TECNOLOGIA DIGITAL E REPRES")</f>
        <v>DIGITEC TECNOLOGIA DIGITAL E REPRES</v>
      </c>
      <c r="E2146" s="21">
        <f>IFERROR(__xludf.DUMMYFUNCTION("""COMPUTED_VALUE"""),145359.0)</f>
        <v>145359</v>
      </c>
      <c r="F2146" s="21" t="str">
        <f>IFERROR(__xludf.DUMMYFUNCTION("""COMPUTED_VALUE"""),"INICIALIZADO")</f>
        <v>INICIALIZADO</v>
      </c>
      <c r="G2146" s="23">
        <f>IFERROR(__xludf.DUMMYFUNCTION("""COMPUTED_VALUE"""),45618.65202546296)</f>
        <v>45618.65203</v>
      </c>
      <c r="H2146" s="24" t="str">
        <f>IFERROR(VLOOKUP(B2146,material!A:D,3,0),"")</f>
        <v>CARD</v>
      </c>
    </row>
    <row r="2147" ht="11.25" customHeight="1">
      <c r="A2147" s="21" t="str">
        <f>IFERROR(__xludf.DUMMYFUNCTION("""COMPUTED_VALUE"""),"SMART CARD PRETO NAGRA")</f>
        <v>SMART CARD PRETO NAGRA</v>
      </c>
      <c r="B2147" s="22">
        <f>IFERROR(__xludf.DUMMYFUNCTION("""COMPUTED_VALUE"""),4.1001234E7)</f>
        <v>41001234</v>
      </c>
      <c r="C2147" s="21" t="str">
        <f>IFERROR(__xludf.DUMMYFUNCTION("""COMPUTED_VALUE"""),"226027638302")</f>
        <v>226027638302</v>
      </c>
      <c r="D2147" s="21" t="str">
        <f>IFERROR(__xludf.DUMMYFUNCTION("""COMPUTED_VALUE"""),"DIGITEC TECNOLOGIA DIGITAL E REPRES")</f>
        <v>DIGITEC TECNOLOGIA DIGITAL E REPRES</v>
      </c>
      <c r="E2147" s="21">
        <f>IFERROR(__xludf.DUMMYFUNCTION("""COMPUTED_VALUE"""),145359.0)</f>
        <v>145359</v>
      </c>
      <c r="F2147" s="21" t="str">
        <f>IFERROR(__xludf.DUMMYFUNCTION("""COMPUTED_VALUE"""),"INICIALIZADO")</f>
        <v>INICIALIZADO</v>
      </c>
      <c r="G2147" s="23">
        <f>IFERROR(__xludf.DUMMYFUNCTION("""COMPUTED_VALUE"""),45635.534953703704)</f>
        <v>45635.53495</v>
      </c>
      <c r="H2147" s="24" t="str">
        <f>IFERROR(VLOOKUP(B2147,material!A:D,3,0),"")</f>
        <v>CARD</v>
      </c>
    </row>
    <row r="2148" ht="11.25" customHeight="1">
      <c r="A2148" s="21" t="str">
        <f>IFERROR(__xludf.DUMMYFUNCTION("""COMPUTED_VALUE"""),"SMART CARD PRETO NAGRA")</f>
        <v>SMART CARD PRETO NAGRA</v>
      </c>
      <c r="B2148" s="22">
        <f>IFERROR(__xludf.DUMMYFUNCTION("""COMPUTED_VALUE"""),4.1001234E7)</f>
        <v>41001234</v>
      </c>
      <c r="C2148" s="21" t="str">
        <f>IFERROR(__xludf.DUMMYFUNCTION("""COMPUTED_VALUE"""),"226388276079")</f>
        <v>226388276079</v>
      </c>
      <c r="D2148" s="21" t="str">
        <f>IFERROR(__xludf.DUMMYFUNCTION("""COMPUTED_VALUE"""),"DIGITEC TECNOLOGIA DIGITAL E REPRES")</f>
        <v>DIGITEC TECNOLOGIA DIGITAL E REPRES</v>
      </c>
      <c r="E2148" s="21">
        <f>IFERROR(__xludf.DUMMYFUNCTION("""COMPUTED_VALUE"""),145359.0)</f>
        <v>145359</v>
      </c>
      <c r="F2148" s="21" t="str">
        <f>IFERROR(__xludf.DUMMYFUNCTION("""COMPUTED_VALUE"""),"INICIALIZADO")</f>
        <v>INICIALIZADO</v>
      </c>
      <c r="G2148" s="23">
        <f>IFERROR(__xludf.DUMMYFUNCTION("""COMPUTED_VALUE"""),45635.534953703704)</f>
        <v>45635.53495</v>
      </c>
      <c r="H2148" s="24" t="str">
        <f>IFERROR(VLOOKUP(B2148,material!A:D,3,0),"")</f>
        <v>CARD</v>
      </c>
    </row>
    <row r="2149" ht="11.25" customHeight="1">
      <c r="A2149" s="21" t="str">
        <f>IFERROR(__xludf.DUMMYFUNCTION("""COMPUTED_VALUE"""),"SMART CARD PRETO NAGRA")</f>
        <v>SMART CARD PRETO NAGRA</v>
      </c>
      <c r="B2149" s="22">
        <f>IFERROR(__xludf.DUMMYFUNCTION("""COMPUTED_VALUE"""),4.1001234E7)</f>
        <v>41001234</v>
      </c>
      <c r="C2149" s="21" t="str">
        <f>IFERROR(__xludf.DUMMYFUNCTION("""COMPUTED_VALUE"""),"226326206688")</f>
        <v>226326206688</v>
      </c>
      <c r="D2149" s="21" t="str">
        <f>IFERROR(__xludf.DUMMYFUNCTION("""COMPUTED_VALUE"""),"DIGITEC TECNOLOGIA DIGITAL E REPRES")</f>
        <v>DIGITEC TECNOLOGIA DIGITAL E REPRES</v>
      </c>
      <c r="E2149" s="21">
        <f>IFERROR(__xludf.DUMMYFUNCTION("""COMPUTED_VALUE"""),145359.0)</f>
        <v>145359</v>
      </c>
      <c r="F2149" s="21" t="str">
        <f>IFERROR(__xludf.DUMMYFUNCTION("""COMPUTED_VALUE"""),"INICIALIZADO")</f>
        <v>INICIALIZADO</v>
      </c>
      <c r="G2149" s="23">
        <f>IFERROR(__xludf.DUMMYFUNCTION("""COMPUTED_VALUE"""),45635.53497685185)</f>
        <v>45635.53498</v>
      </c>
      <c r="H2149" s="24" t="str">
        <f>IFERROR(VLOOKUP(B2149,material!A:D,3,0),"")</f>
        <v>CARD</v>
      </c>
    </row>
    <row r="2150" ht="11.25" customHeight="1">
      <c r="A2150" s="21" t="str">
        <f>IFERROR(__xludf.DUMMYFUNCTION("""COMPUTED_VALUE"""),"SMART CARD PRETO NAGRA")</f>
        <v>SMART CARD PRETO NAGRA</v>
      </c>
      <c r="B2150" s="22">
        <f>IFERROR(__xludf.DUMMYFUNCTION("""COMPUTED_VALUE"""),4.1001234E7)</f>
        <v>41001234</v>
      </c>
      <c r="C2150" s="21" t="str">
        <f>IFERROR(__xludf.DUMMYFUNCTION("""COMPUTED_VALUE"""),"226179298388")</f>
        <v>226179298388</v>
      </c>
      <c r="D2150" s="21" t="str">
        <f>IFERROR(__xludf.DUMMYFUNCTION("""COMPUTED_VALUE"""),"DIGITEC TECNOLOGIA DIGITAL E REPRES")</f>
        <v>DIGITEC TECNOLOGIA DIGITAL E REPRES</v>
      </c>
      <c r="E2150" s="21">
        <f>IFERROR(__xludf.DUMMYFUNCTION("""COMPUTED_VALUE"""),145359.0)</f>
        <v>145359</v>
      </c>
      <c r="F2150" s="21" t="str">
        <f>IFERROR(__xludf.DUMMYFUNCTION("""COMPUTED_VALUE"""),"INICIALIZADO")</f>
        <v>INICIALIZADO</v>
      </c>
      <c r="G2150" s="23">
        <f>IFERROR(__xludf.DUMMYFUNCTION("""COMPUTED_VALUE"""),45635.53493055556)</f>
        <v>45635.53493</v>
      </c>
      <c r="H2150" s="24" t="str">
        <f>IFERROR(VLOOKUP(B2150,material!A:D,3,0),"")</f>
        <v>CARD</v>
      </c>
    </row>
    <row r="2151" ht="11.25" customHeight="1">
      <c r="A2151" s="21" t="str">
        <f>IFERROR(__xludf.DUMMYFUNCTION("""COMPUTED_VALUE"""),"SMART CARD PRETO NAGRA")</f>
        <v>SMART CARD PRETO NAGRA</v>
      </c>
      <c r="B2151" s="22">
        <f>IFERROR(__xludf.DUMMYFUNCTION("""COMPUTED_VALUE"""),4.1001234E7)</f>
        <v>41001234</v>
      </c>
      <c r="C2151" s="21" t="str">
        <f>IFERROR(__xludf.DUMMYFUNCTION("""COMPUTED_VALUE"""),"226347498092")</f>
        <v>226347498092</v>
      </c>
      <c r="D2151" s="21" t="str">
        <f>IFERROR(__xludf.DUMMYFUNCTION("""COMPUTED_VALUE"""),"DIGITEC TECNOLOGIA DIGITAL E REPRES")</f>
        <v>DIGITEC TECNOLOGIA DIGITAL E REPRES</v>
      </c>
      <c r="E2151" s="21">
        <f>IFERROR(__xludf.DUMMYFUNCTION("""COMPUTED_VALUE"""),145359.0)</f>
        <v>145359</v>
      </c>
      <c r="F2151" s="21" t="str">
        <f>IFERROR(__xludf.DUMMYFUNCTION("""COMPUTED_VALUE"""),"INICIALIZADO")</f>
        <v>INICIALIZADO</v>
      </c>
      <c r="G2151" s="23">
        <f>IFERROR(__xludf.DUMMYFUNCTION("""COMPUTED_VALUE"""),45635.53497685185)</f>
        <v>45635.53498</v>
      </c>
      <c r="H2151" s="24" t="str">
        <f>IFERROR(VLOOKUP(B2151,material!A:D,3,0),"")</f>
        <v>CARD</v>
      </c>
    </row>
    <row r="2152" ht="11.25" customHeight="1">
      <c r="A2152" s="21" t="str">
        <f>IFERROR(__xludf.DUMMYFUNCTION("""COMPUTED_VALUE"""),"SMART CARD PRETO NAGRA")</f>
        <v>SMART CARD PRETO NAGRA</v>
      </c>
      <c r="B2152" s="22">
        <f>IFERROR(__xludf.DUMMYFUNCTION("""COMPUTED_VALUE"""),4.1001234E7)</f>
        <v>41001234</v>
      </c>
      <c r="C2152" s="21" t="str">
        <f>IFERROR(__xludf.DUMMYFUNCTION("""COMPUTED_VALUE"""),"226222373244")</f>
        <v>226222373244</v>
      </c>
      <c r="D2152" s="21" t="str">
        <f>IFERROR(__xludf.DUMMYFUNCTION("""COMPUTED_VALUE"""),"DIGITEC TECNOLOGIA DIGITAL E REPRES")</f>
        <v>DIGITEC TECNOLOGIA DIGITAL E REPRES</v>
      </c>
      <c r="E2152" s="21">
        <f>IFERROR(__xludf.DUMMYFUNCTION("""COMPUTED_VALUE"""),145359.0)</f>
        <v>145359</v>
      </c>
      <c r="F2152" s="21" t="str">
        <f>IFERROR(__xludf.DUMMYFUNCTION("""COMPUTED_VALUE"""),"INICIALIZADO")</f>
        <v>INICIALIZADO</v>
      </c>
      <c r="G2152" s="23">
        <f>IFERROR(__xludf.DUMMYFUNCTION("""COMPUTED_VALUE"""),45635.53494212963)</f>
        <v>45635.53494</v>
      </c>
      <c r="H2152" s="24" t="str">
        <f>IFERROR(VLOOKUP(B2152,material!A:D,3,0),"")</f>
        <v>CARD</v>
      </c>
    </row>
    <row r="2153" ht="11.25" customHeight="1">
      <c r="A2153" s="21" t="str">
        <f>IFERROR(__xludf.DUMMYFUNCTION("""COMPUTED_VALUE"""),"DECODER DIGITAL HD DXC5000 2T")</f>
        <v>DECODER DIGITAL HD DXC5000 2T</v>
      </c>
      <c r="B2153" s="22">
        <f>IFERROR(__xludf.DUMMYFUNCTION("""COMPUTED_VALUE"""),4.1001277E7)</f>
        <v>41001277</v>
      </c>
      <c r="C2153" s="21" t="str">
        <f>IFERROR(__xludf.DUMMYFUNCTION("""COMPUTED_VALUE"""),"216379547589")</f>
        <v>216379547589</v>
      </c>
      <c r="D2153" s="21" t="str">
        <f>IFERROR(__xludf.DUMMYFUNCTION("""COMPUTED_VALUE"""),"DIGITEC TECNOLOGIA DIGITAL E REPRES")</f>
        <v>DIGITEC TECNOLOGIA DIGITAL E REPRES</v>
      </c>
      <c r="E2153" s="21">
        <f>IFERROR(__xludf.DUMMYFUNCTION("""COMPUTED_VALUE"""),145359.0)</f>
        <v>145359</v>
      </c>
      <c r="F2153" s="21" t="str">
        <f>IFERROR(__xludf.DUMMYFUNCTION("""COMPUTED_VALUE"""),"INICIALIZADO")</f>
        <v>INICIALIZADO</v>
      </c>
      <c r="G2153" s="23">
        <f>IFERROR(__xludf.DUMMYFUNCTION("""COMPUTED_VALUE"""),45600.476006944446)</f>
        <v>45600.47601</v>
      </c>
      <c r="H2153" s="24" t="str">
        <f>IFERROR(VLOOKUP(B2153,material!A:D,3,0),"")</f>
        <v>TOP MIX</v>
      </c>
    </row>
    <row r="2154" ht="11.25" customHeight="1">
      <c r="A2154" s="21" t="str">
        <f>IFERROR(__xludf.DUMMYFUNCTION("""COMPUTED_VALUE"""),"MODEM VOIPEMTA WIFI 3.1 CGA4233CLB")</f>
        <v>MODEM VOIPEMTA WIFI 3.1 CGA4233CLB</v>
      </c>
      <c r="B2154" s="22">
        <f>IFERROR(__xludf.DUMMYFUNCTION("""COMPUTED_VALUE"""),4.1001482E7)</f>
        <v>41001482</v>
      </c>
      <c r="C2154" s="21" t="str">
        <f>IFERROR(__xludf.DUMMYFUNCTION("""COMPUTED_VALUE"""),"F4C11476F28C")</f>
        <v>F4C11476F28C</v>
      </c>
      <c r="D2154" s="21" t="str">
        <f>IFERROR(__xludf.DUMMYFUNCTION("""COMPUTED_VALUE"""),"DIGITEC TECNOLOGIA DIGITAL E REPRES")</f>
        <v>DIGITEC TECNOLOGIA DIGITAL E REPRES</v>
      </c>
      <c r="E2154" s="21">
        <f>IFERROR(__xludf.DUMMYFUNCTION("""COMPUTED_VALUE"""),145359.0)</f>
        <v>145359</v>
      </c>
      <c r="F2154" s="21" t="str">
        <f>IFERROR(__xludf.DUMMYFUNCTION("""COMPUTED_VALUE"""),"TRANSITO REVERSA")</f>
        <v>TRANSITO REVERSA</v>
      </c>
      <c r="G2154" s="23">
        <f>IFERROR(__xludf.DUMMYFUNCTION("""COMPUTED_VALUE"""),45617.87138888889)</f>
        <v>45617.87139</v>
      </c>
      <c r="H2154" s="24" t="str">
        <f>IFERROR(VLOOKUP(B2154,material!A:D,3,0),"")</f>
        <v>3.1</v>
      </c>
    </row>
    <row r="2155" ht="11.25" customHeight="1">
      <c r="A2155" s="21" t="str">
        <f>IFERROR(__xludf.DUMMYFUNCTION("""COMPUTED_VALUE"""),"SMART CARD PRETO NAGRA")</f>
        <v>SMART CARD PRETO NAGRA</v>
      </c>
      <c r="B2155" s="22">
        <f>IFERROR(__xludf.DUMMYFUNCTION("""COMPUTED_VALUE"""),4.1001234E7)</f>
        <v>41001234</v>
      </c>
      <c r="C2155" s="21" t="str">
        <f>IFERROR(__xludf.DUMMYFUNCTION("""COMPUTED_VALUE"""),"226161543940")</f>
        <v>226161543940</v>
      </c>
      <c r="D2155" s="21" t="str">
        <f>IFERROR(__xludf.DUMMYFUNCTION("""COMPUTED_VALUE"""),"DIGITEC TECNOLOGIA DIGITAL E REPRES")</f>
        <v>DIGITEC TECNOLOGIA DIGITAL E REPRES</v>
      </c>
      <c r="E2155" s="21">
        <f>IFERROR(__xludf.DUMMYFUNCTION("""COMPUTED_VALUE"""),145359.0)</f>
        <v>145359</v>
      </c>
      <c r="F2155" s="21" t="str">
        <f>IFERROR(__xludf.DUMMYFUNCTION("""COMPUTED_VALUE"""),"COM DEFEITO")</f>
        <v>COM DEFEITO</v>
      </c>
      <c r="G2155" s="23">
        <f>IFERROR(__xludf.DUMMYFUNCTION("""COMPUTED_VALUE"""),45617.71435185186)</f>
        <v>45617.71435</v>
      </c>
      <c r="H2155" s="24" t="str">
        <f>IFERROR(VLOOKUP(B2155,material!A:D,3,0),"")</f>
        <v>CARD</v>
      </c>
    </row>
    <row r="2156" ht="11.25" customHeight="1">
      <c r="A2156" s="21" t="str">
        <f>IFERROR(__xludf.DUMMYFUNCTION("""COMPUTED_VALUE"""),"DECODER DIGITAL HD DXC5000 2T")</f>
        <v>DECODER DIGITAL HD DXC5000 2T</v>
      </c>
      <c r="B2156" s="22">
        <f>IFERROR(__xludf.DUMMYFUNCTION("""COMPUTED_VALUE"""),4.1001277E7)</f>
        <v>41001277</v>
      </c>
      <c r="C2156" s="21" t="str">
        <f>IFERROR(__xludf.DUMMYFUNCTION("""COMPUTED_VALUE"""),"216376417575")</f>
        <v>216376417575</v>
      </c>
      <c r="D2156" s="21" t="str">
        <f>IFERROR(__xludf.DUMMYFUNCTION("""COMPUTED_VALUE"""),"DIGITEC TECNOLOGIA DIGITAL E REPRES")</f>
        <v>DIGITEC TECNOLOGIA DIGITAL E REPRES</v>
      </c>
      <c r="E2156" s="21">
        <f>IFERROR(__xludf.DUMMYFUNCTION("""COMPUTED_VALUE"""),145359.0)</f>
        <v>145359</v>
      </c>
      <c r="F2156" s="21" t="str">
        <f>IFERROR(__xludf.DUMMYFUNCTION("""COMPUTED_VALUE"""),"TRANSITO REVERSA")</f>
        <v>TRANSITO REVERSA</v>
      </c>
      <c r="G2156" s="23">
        <f>IFERROR(__xludf.DUMMYFUNCTION("""COMPUTED_VALUE"""),45626.29871527778)</f>
        <v>45626.29872</v>
      </c>
      <c r="H2156" s="24" t="str">
        <f>IFERROR(VLOOKUP(B2156,material!A:D,3,0),"")</f>
        <v>TOP MIX</v>
      </c>
    </row>
    <row r="2157" ht="11.25" customHeight="1">
      <c r="A2157" s="21" t="str">
        <f>IFERROR(__xludf.DUMMYFUNCTION("""COMPUTED_VALUE"""),"SMART CARD PRETO NAGRA")</f>
        <v>SMART CARD PRETO NAGRA</v>
      </c>
      <c r="B2157" s="22">
        <f>IFERROR(__xludf.DUMMYFUNCTION("""COMPUTED_VALUE"""),4.1001234E7)</f>
        <v>41001234</v>
      </c>
      <c r="C2157" s="21" t="str">
        <f>IFERROR(__xludf.DUMMYFUNCTION("""COMPUTED_VALUE"""),"246071186480")</f>
        <v>246071186480</v>
      </c>
      <c r="D2157" s="21" t="str">
        <f>IFERROR(__xludf.DUMMYFUNCTION("""COMPUTED_VALUE"""),"DIGITEC TECNOLOGIA DIGITAL E REPRES")</f>
        <v>DIGITEC TECNOLOGIA DIGITAL E REPRES</v>
      </c>
      <c r="E2157" s="21">
        <f>IFERROR(__xludf.DUMMYFUNCTION("""COMPUTED_VALUE"""),145359.0)</f>
        <v>145359</v>
      </c>
      <c r="F2157" s="21" t="str">
        <f>IFERROR(__xludf.DUMMYFUNCTION("""COMPUTED_VALUE"""),"TRANSITO REVERSA")</f>
        <v>TRANSITO REVERSA</v>
      </c>
      <c r="G2157" s="23">
        <f>IFERROR(__xludf.DUMMYFUNCTION("""COMPUTED_VALUE"""),45617.87240740741)</f>
        <v>45617.87241</v>
      </c>
      <c r="H2157" s="24" t="str">
        <f>IFERROR(VLOOKUP(B2157,material!A:D,3,0),"")</f>
        <v>CARD</v>
      </c>
    </row>
    <row r="2158" ht="11.25" customHeight="1">
      <c r="A2158" s="21" t="str">
        <f>IFERROR(__xludf.DUMMYFUNCTION("""COMPUTED_VALUE"""),"SMART CARD PRETO NAGRA")</f>
        <v>SMART CARD PRETO NAGRA</v>
      </c>
      <c r="B2158" s="22">
        <f>IFERROR(__xludf.DUMMYFUNCTION("""COMPUTED_VALUE"""),4.1001234E7)</f>
        <v>41001234</v>
      </c>
      <c r="C2158" s="21" t="str">
        <f>IFERROR(__xludf.DUMMYFUNCTION("""COMPUTED_VALUE"""),"246159162328")</f>
        <v>246159162328</v>
      </c>
      <c r="D2158" s="21" t="str">
        <f>IFERROR(__xludf.DUMMYFUNCTION("""COMPUTED_VALUE"""),"DIGITEC TECNOLOGIA DIGITAL E REPRES")</f>
        <v>DIGITEC TECNOLOGIA DIGITAL E REPRES</v>
      </c>
      <c r="E2158" s="21">
        <f>IFERROR(__xludf.DUMMYFUNCTION("""COMPUTED_VALUE"""),145359.0)</f>
        <v>145359</v>
      </c>
      <c r="F2158" s="21" t="str">
        <f>IFERROR(__xludf.DUMMYFUNCTION("""COMPUTED_VALUE"""),"INICIALIZADO")</f>
        <v>INICIALIZADO</v>
      </c>
      <c r="G2158" s="23">
        <f>IFERROR(__xludf.DUMMYFUNCTION("""COMPUTED_VALUE"""),45615.61853009259)</f>
        <v>45615.61853</v>
      </c>
      <c r="H2158" s="24" t="str">
        <f>IFERROR(VLOOKUP(B2158,material!A:D,3,0),"")</f>
        <v>CARD</v>
      </c>
    </row>
    <row r="2159" ht="11.25" customHeight="1">
      <c r="A2159" s="21" t="str">
        <f>IFERROR(__xludf.DUMMYFUNCTION("""COMPUTED_VALUE"""),"SMART CARD PRETO NAGRA")</f>
        <v>SMART CARD PRETO NAGRA</v>
      </c>
      <c r="B2159" s="22">
        <f>IFERROR(__xludf.DUMMYFUNCTION("""COMPUTED_VALUE"""),4.1001234E7)</f>
        <v>41001234</v>
      </c>
      <c r="C2159" s="21" t="str">
        <f>IFERROR(__xludf.DUMMYFUNCTION("""COMPUTED_VALUE"""),"246047461023")</f>
        <v>246047461023</v>
      </c>
      <c r="D2159" s="21" t="str">
        <f>IFERROR(__xludf.DUMMYFUNCTION("""COMPUTED_VALUE"""),"DIGITEC TECNOLOGIA DIGITAL E REPRES")</f>
        <v>DIGITEC TECNOLOGIA DIGITAL E REPRES</v>
      </c>
      <c r="E2159" s="21">
        <f>IFERROR(__xludf.DUMMYFUNCTION("""COMPUTED_VALUE"""),145359.0)</f>
        <v>145359</v>
      </c>
      <c r="F2159" s="21" t="str">
        <f>IFERROR(__xludf.DUMMYFUNCTION("""COMPUTED_VALUE"""),"INICIALIZADO")</f>
        <v>INICIALIZADO</v>
      </c>
      <c r="G2159" s="23">
        <f>IFERROR(__xludf.DUMMYFUNCTION("""COMPUTED_VALUE"""),45454.553495370375)</f>
        <v>45454.5535</v>
      </c>
      <c r="H2159" s="24" t="str">
        <f>IFERROR(VLOOKUP(B2159,material!A:D,3,0),"")</f>
        <v>CARD</v>
      </c>
    </row>
    <row r="2160" ht="11.25" customHeight="1">
      <c r="A2160" s="21" t="str">
        <f>IFERROR(__xludf.DUMMYFUNCTION("""COMPUTED_VALUE"""),"SMART CARD PRETO NAGRA")</f>
        <v>SMART CARD PRETO NAGRA</v>
      </c>
      <c r="B2160" s="22">
        <f>IFERROR(__xludf.DUMMYFUNCTION("""COMPUTED_VALUE"""),4.1001234E7)</f>
        <v>41001234</v>
      </c>
      <c r="C2160" s="21" t="str">
        <f>IFERROR(__xludf.DUMMYFUNCTION("""COMPUTED_VALUE"""),"226023813540")</f>
        <v>226023813540</v>
      </c>
      <c r="D2160" s="21" t="str">
        <f>IFERROR(__xludf.DUMMYFUNCTION("""COMPUTED_VALUE"""),"DIGITEC TECNOLOGIA DIGITAL E REPRES")</f>
        <v>DIGITEC TECNOLOGIA DIGITAL E REPRES</v>
      </c>
      <c r="E2160" s="21">
        <f>IFERROR(__xludf.DUMMYFUNCTION("""COMPUTED_VALUE"""),145359.0)</f>
        <v>145359</v>
      </c>
      <c r="F2160" s="21" t="str">
        <f>IFERROR(__xludf.DUMMYFUNCTION("""COMPUTED_VALUE"""),"INICIALIZADO")</f>
        <v>INICIALIZADO</v>
      </c>
      <c r="G2160" s="23">
        <f>IFERROR(__xludf.DUMMYFUNCTION("""COMPUTED_VALUE"""),45615.61853009259)</f>
        <v>45615.61853</v>
      </c>
      <c r="H2160" s="24" t="str">
        <f>IFERROR(VLOOKUP(B2160,material!A:D,3,0),"")</f>
        <v>CARD</v>
      </c>
    </row>
    <row r="2161" ht="11.25" customHeight="1">
      <c r="A2161" s="21" t="str">
        <f>IFERROR(__xludf.DUMMYFUNCTION("""COMPUTED_VALUE"""),"DECODER DIGITAL HD HNB100 2T")</f>
        <v>DECODER DIGITAL HD HNB100 2T</v>
      </c>
      <c r="B2161" s="22">
        <f>IFERROR(__xludf.DUMMYFUNCTION("""COMPUTED_VALUE"""),4.1001276E7)</f>
        <v>41001276</v>
      </c>
      <c r="C2161" s="21" t="str">
        <f>IFERROR(__xludf.DUMMYFUNCTION("""COMPUTED_VALUE"""),"216359214247")</f>
        <v>216359214247</v>
      </c>
      <c r="D2161" s="21" t="str">
        <f>IFERROR(__xludf.DUMMYFUNCTION("""COMPUTED_VALUE"""),"DIGITEC TECNOLOGIA DIGITAL E REPRES")</f>
        <v>DIGITEC TECNOLOGIA DIGITAL E REPRES</v>
      </c>
      <c r="E2161" s="21">
        <f>IFERROR(__xludf.DUMMYFUNCTION("""COMPUTED_VALUE"""),145359.0)</f>
        <v>145359</v>
      </c>
      <c r="F2161" s="21" t="str">
        <f>IFERROR(__xludf.DUMMYFUNCTION("""COMPUTED_VALUE"""),"INICIALIZADO")</f>
        <v>INICIALIZADO</v>
      </c>
      <c r="G2161" s="23">
        <f>IFERROR(__xludf.DUMMYFUNCTION("""COMPUTED_VALUE"""),45635.535057870366)</f>
        <v>45635.53506</v>
      </c>
      <c r="H2161" s="24" t="str">
        <f>IFERROR(VLOOKUP(B2161,material!A:D,3,0),"")</f>
        <v>TOP MIX</v>
      </c>
    </row>
    <row r="2162" ht="11.25" customHeight="1">
      <c r="A2162" s="21" t="str">
        <f>IFERROR(__xludf.DUMMYFUNCTION("""COMPUTED_VALUE"""),"DECODER DIGITAL HD HNB100 2T")</f>
        <v>DECODER DIGITAL HD HNB100 2T</v>
      </c>
      <c r="B2162" s="22">
        <f>IFERROR(__xludf.DUMMYFUNCTION("""COMPUTED_VALUE"""),4.1001276E7)</f>
        <v>41001276</v>
      </c>
      <c r="C2162" s="21" t="str">
        <f>IFERROR(__xludf.DUMMYFUNCTION("""COMPUTED_VALUE"""),"216337821621")</f>
        <v>216337821621</v>
      </c>
      <c r="D2162" s="21" t="str">
        <f>IFERROR(__xludf.DUMMYFUNCTION("""COMPUTED_VALUE"""),"DIGITEC TECNOLOGIA DIGITAL E REPRES")</f>
        <v>DIGITEC TECNOLOGIA DIGITAL E REPRES</v>
      </c>
      <c r="E2162" s="21">
        <f>IFERROR(__xludf.DUMMYFUNCTION("""COMPUTED_VALUE"""),145359.0)</f>
        <v>145359</v>
      </c>
      <c r="F2162" s="21" t="str">
        <f>IFERROR(__xludf.DUMMYFUNCTION("""COMPUTED_VALUE"""),"INICIALIZADO")</f>
        <v>INICIALIZADO</v>
      </c>
      <c r="G2162" s="23">
        <f>IFERROR(__xludf.DUMMYFUNCTION("""COMPUTED_VALUE"""),45635.535057870366)</f>
        <v>45635.53506</v>
      </c>
      <c r="H2162" s="24" t="str">
        <f>IFERROR(VLOOKUP(B2162,material!A:D,3,0),"")</f>
        <v>TOP MIX</v>
      </c>
    </row>
    <row r="2163" ht="11.25" customHeight="1">
      <c r="A2163" s="21" t="str">
        <f>IFERROR(__xludf.DUMMYFUNCTION("""COMPUTED_VALUE"""),"SMART CARD PRETO NAGRA")</f>
        <v>SMART CARD PRETO NAGRA</v>
      </c>
      <c r="B2163" s="22">
        <f>IFERROR(__xludf.DUMMYFUNCTION("""COMPUTED_VALUE"""),4.1001234E7)</f>
        <v>41001234</v>
      </c>
      <c r="C2163" s="21" t="str">
        <f>IFERROR(__xludf.DUMMYFUNCTION("""COMPUTED_VALUE"""),"226399729307")</f>
        <v>226399729307</v>
      </c>
      <c r="D2163" s="21" t="str">
        <f>IFERROR(__xludf.DUMMYFUNCTION("""COMPUTED_VALUE"""),"DIGITEC TECNOLOGIA DIGITAL E REPRES")</f>
        <v>DIGITEC TECNOLOGIA DIGITAL E REPRES</v>
      </c>
      <c r="E2163" s="21">
        <f>IFERROR(__xludf.DUMMYFUNCTION("""COMPUTED_VALUE"""),145359.0)</f>
        <v>145359</v>
      </c>
      <c r="F2163" s="21" t="str">
        <f>IFERROR(__xludf.DUMMYFUNCTION("""COMPUTED_VALUE"""),"INICIALIZADO")</f>
        <v>INICIALIZADO</v>
      </c>
      <c r="G2163" s="23">
        <f>IFERROR(__xludf.DUMMYFUNCTION("""COMPUTED_VALUE"""),45635.53496527778)</f>
        <v>45635.53497</v>
      </c>
      <c r="H2163" s="24" t="str">
        <f>IFERROR(VLOOKUP(B2163,material!A:D,3,0),"")</f>
        <v>CARD</v>
      </c>
    </row>
    <row r="2164" ht="11.25" customHeight="1">
      <c r="A2164" s="21" t="str">
        <f>IFERROR(__xludf.DUMMYFUNCTION("""COMPUTED_VALUE"""),"HUMAX HGB10R-02")</f>
        <v>HUMAX HGB10R-02</v>
      </c>
      <c r="B2164" s="22">
        <f>IFERROR(__xludf.DUMMYFUNCTION("""COMPUTED_VALUE"""),4.1001292E7)</f>
        <v>41001292</v>
      </c>
      <c r="C2164" s="21" t="str">
        <f>IFERROR(__xludf.DUMMYFUNCTION("""COMPUTED_VALUE"""),"942CB380FB4E")</f>
        <v>942CB380FB4E</v>
      </c>
      <c r="D2164" s="21" t="str">
        <f>IFERROR(__xludf.DUMMYFUNCTION("""COMPUTED_VALUE"""),"DIGITEC TECNOLOGIA DIGITAL E REPRES")</f>
        <v>DIGITEC TECNOLOGIA DIGITAL E REPRES</v>
      </c>
      <c r="E2164" s="21">
        <f>IFERROR(__xludf.DUMMYFUNCTION("""COMPUTED_VALUE"""),145359.0)</f>
        <v>145359</v>
      </c>
      <c r="F2164" s="21" t="str">
        <f>IFERROR(__xludf.DUMMYFUNCTION("""COMPUTED_VALUE"""),"PERDA")</f>
        <v>PERDA</v>
      </c>
      <c r="G2164" s="23">
        <f>IFERROR(__xludf.DUMMYFUNCTION("""COMPUTED_VALUE"""),45348.64449074074)</f>
        <v>45348.64449</v>
      </c>
      <c r="H2164" s="24" t="str">
        <f>IFERROR(VLOOKUP(B2164,material!A:D,3,0),"")</f>
        <v>DUAL</v>
      </c>
    </row>
    <row r="2165" ht="11.25" customHeight="1">
      <c r="A2165" s="21" t="str">
        <f>IFERROR(__xludf.DUMMYFUNCTION("""COMPUTED_VALUE"""),"DECODER DIGITAL HD HNB100 2T")</f>
        <v>DECODER DIGITAL HD HNB100 2T</v>
      </c>
      <c r="B2165" s="22">
        <f>IFERROR(__xludf.DUMMYFUNCTION("""COMPUTED_VALUE"""),4.1001276E7)</f>
        <v>41001276</v>
      </c>
      <c r="C2165" s="21" t="str">
        <f>IFERROR(__xludf.DUMMYFUNCTION("""COMPUTED_VALUE"""),"216733290722")</f>
        <v>216733290722</v>
      </c>
      <c r="D2165" s="21" t="str">
        <f>IFERROR(__xludf.DUMMYFUNCTION("""COMPUTED_VALUE"""),"DIGITEC TECNOLOGIA DIGITAL E REPRES")</f>
        <v>DIGITEC TECNOLOGIA DIGITAL E REPRES</v>
      </c>
      <c r="E2165" s="21">
        <f>IFERROR(__xludf.DUMMYFUNCTION("""COMPUTED_VALUE"""),145359.0)</f>
        <v>145359</v>
      </c>
      <c r="F2165" s="21" t="str">
        <f>IFERROR(__xludf.DUMMYFUNCTION("""COMPUTED_VALUE"""),"INICIALIZADO")</f>
        <v>INICIALIZADO</v>
      </c>
      <c r="G2165" s="23">
        <f>IFERROR(__xludf.DUMMYFUNCTION("""COMPUTED_VALUE"""),45635.53502314815)</f>
        <v>45635.53502</v>
      </c>
      <c r="H2165" s="24" t="str">
        <f>IFERROR(VLOOKUP(B2165,material!A:D,3,0),"")</f>
        <v>TOP MIX</v>
      </c>
    </row>
    <row r="2166" ht="11.25" customHeight="1">
      <c r="A2166" s="21" t="str">
        <f>IFERROR(__xludf.DUMMYFUNCTION("""COMPUTED_VALUE"""),"SMART CARD PRETO NAGRA")</f>
        <v>SMART CARD PRETO NAGRA</v>
      </c>
      <c r="B2166" s="22">
        <f>IFERROR(__xludf.DUMMYFUNCTION("""COMPUTED_VALUE"""),4.1001234E7)</f>
        <v>41001234</v>
      </c>
      <c r="C2166" s="21" t="str">
        <f>IFERROR(__xludf.DUMMYFUNCTION("""COMPUTED_VALUE"""),"246207220408")</f>
        <v>246207220408</v>
      </c>
      <c r="D2166" s="21" t="str">
        <f>IFERROR(__xludf.DUMMYFUNCTION("""COMPUTED_VALUE"""),"DIGITEC TECNOLOGIA DIGITAL E REPRES")</f>
        <v>DIGITEC TECNOLOGIA DIGITAL E REPRES</v>
      </c>
      <c r="E2166" s="21">
        <f>IFERROR(__xludf.DUMMYFUNCTION("""COMPUTED_VALUE"""),145359.0)</f>
        <v>145359</v>
      </c>
      <c r="F2166" s="21" t="str">
        <f>IFERROR(__xludf.DUMMYFUNCTION("""COMPUTED_VALUE"""),"INICIALIZADO")</f>
        <v>INICIALIZADO</v>
      </c>
      <c r="G2166" s="23">
        <f>IFERROR(__xludf.DUMMYFUNCTION("""COMPUTED_VALUE"""),45635.534895833334)</f>
        <v>45635.5349</v>
      </c>
      <c r="H2166" s="24" t="str">
        <f>IFERROR(VLOOKUP(B2166,material!A:D,3,0),"")</f>
        <v>CARD</v>
      </c>
    </row>
    <row r="2167" ht="11.25" customHeight="1">
      <c r="A2167" s="21" t="str">
        <f>IFERROR(__xludf.DUMMYFUNCTION("""COMPUTED_VALUE"""),"DECODER DIGITAL HD HNB100 2T")</f>
        <v>DECODER DIGITAL HD HNB100 2T</v>
      </c>
      <c r="B2167" s="22">
        <f>IFERROR(__xludf.DUMMYFUNCTION("""COMPUTED_VALUE"""),4.1001276E7)</f>
        <v>41001276</v>
      </c>
      <c r="C2167" s="21" t="str">
        <f>IFERROR(__xludf.DUMMYFUNCTION("""COMPUTED_VALUE"""),"216732550313")</f>
        <v>216732550313</v>
      </c>
      <c r="D2167" s="21" t="str">
        <f>IFERROR(__xludf.DUMMYFUNCTION("""COMPUTED_VALUE"""),"DIGITEC TECNOLOGIA DIGITAL E REPRES")</f>
        <v>DIGITEC TECNOLOGIA DIGITAL E REPRES</v>
      </c>
      <c r="E2167" s="21">
        <f>IFERROR(__xludf.DUMMYFUNCTION("""COMPUTED_VALUE"""),145359.0)</f>
        <v>145359</v>
      </c>
      <c r="F2167" s="21" t="str">
        <f>IFERROR(__xludf.DUMMYFUNCTION("""COMPUTED_VALUE"""),"INICIALIZADO")</f>
        <v>INICIALIZADO</v>
      </c>
      <c r="G2167" s="23">
        <f>IFERROR(__xludf.DUMMYFUNCTION("""COMPUTED_VALUE"""),45635.53501157407)</f>
        <v>45635.53501</v>
      </c>
      <c r="H2167" s="24" t="str">
        <f>IFERROR(VLOOKUP(B2167,material!A:D,3,0),"")</f>
        <v>TOP MIX</v>
      </c>
    </row>
    <row r="2168" ht="11.25" customHeight="1">
      <c r="A2168" s="21" t="str">
        <f>IFERROR(__xludf.DUMMYFUNCTION("""COMPUTED_VALUE"""),"SMART CARD PRETO NAGRA")</f>
        <v>SMART CARD PRETO NAGRA</v>
      </c>
      <c r="B2168" s="22">
        <f>IFERROR(__xludf.DUMMYFUNCTION("""COMPUTED_VALUE"""),4.1001234E7)</f>
        <v>41001234</v>
      </c>
      <c r="C2168" s="21" t="str">
        <f>IFERROR(__xludf.DUMMYFUNCTION("""COMPUTED_VALUE"""),"246169687901")</f>
        <v>246169687901</v>
      </c>
      <c r="D2168" s="21" t="str">
        <f>IFERROR(__xludf.DUMMYFUNCTION("""COMPUTED_VALUE"""),"DIGITEC TECNOLOGIA DIGITAL E REPRES")</f>
        <v>DIGITEC TECNOLOGIA DIGITAL E REPRES</v>
      </c>
      <c r="E2168" s="21">
        <f>IFERROR(__xludf.DUMMYFUNCTION("""COMPUTED_VALUE"""),145359.0)</f>
        <v>145359</v>
      </c>
      <c r="F2168" s="21" t="str">
        <f>IFERROR(__xludf.DUMMYFUNCTION("""COMPUTED_VALUE"""),"INICIALIZADO")</f>
        <v>INICIALIZADO</v>
      </c>
      <c r="G2168" s="23">
        <f>IFERROR(__xludf.DUMMYFUNCTION("""COMPUTED_VALUE"""),45635.534895833334)</f>
        <v>45635.5349</v>
      </c>
      <c r="H2168" s="24" t="str">
        <f>IFERROR(VLOOKUP(B2168,material!A:D,3,0),"")</f>
        <v>CARD</v>
      </c>
    </row>
    <row r="2169" ht="11.25" customHeight="1">
      <c r="A2169" s="21" t="str">
        <f>IFERROR(__xludf.DUMMYFUNCTION("""COMPUTED_VALUE"""),"SMART CARD PRETO NAGRA")</f>
        <v>SMART CARD PRETO NAGRA</v>
      </c>
      <c r="B2169" s="22">
        <f>IFERROR(__xludf.DUMMYFUNCTION("""COMPUTED_VALUE"""),4.1001234E7)</f>
        <v>41001234</v>
      </c>
      <c r="C2169" s="21" t="str">
        <f>IFERROR(__xludf.DUMMYFUNCTION("""COMPUTED_VALUE"""),"226270940622")</f>
        <v>226270940622</v>
      </c>
      <c r="D2169" s="21" t="str">
        <f>IFERROR(__xludf.DUMMYFUNCTION("""COMPUTED_VALUE"""),"DIGITEC TECNOLOGIA DIGITAL E REPRES")</f>
        <v>DIGITEC TECNOLOGIA DIGITAL E REPRES</v>
      </c>
      <c r="E2169" s="21">
        <f>IFERROR(__xludf.DUMMYFUNCTION("""COMPUTED_VALUE"""),145359.0)</f>
        <v>145359</v>
      </c>
      <c r="F2169" s="21" t="str">
        <f>IFERROR(__xludf.DUMMYFUNCTION("""COMPUTED_VALUE"""),"INICIALIZADO")</f>
        <v>INICIALIZADO</v>
      </c>
      <c r="G2169" s="23">
        <f>IFERROR(__xludf.DUMMYFUNCTION("""COMPUTED_VALUE"""),45573.66677083333)</f>
        <v>45573.66677</v>
      </c>
      <c r="H2169" s="24" t="str">
        <f>IFERROR(VLOOKUP(B2169,material!A:D,3,0),"")</f>
        <v>CARD</v>
      </c>
    </row>
    <row r="2170" ht="11.25" customHeight="1">
      <c r="A2170" s="21" t="str">
        <f>IFERROR(__xludf.DUMMYFUNCTION("""COMPUTED_VALUE"""),"SMART CARD PRETO NAGRA")</f>
        <v>SMART CARD PRETO NAGRA</v>
      </c>
      <c r="B2170" s="22">
        <f>IFERROR(__xludf.DUMMYFUNCTION("""COMPUTED_VALUE"""),4.1001234E7)</f>
        <v>41001234</v>
      </c>
      <c r="C2170" s="21" t="str">
        <f>IFERROR(__xludf.DUMMYFUNCTION("""COMPUTED_VALUE"""),"226168344357")</f>
        <v>226168344357</v>
      </c>
      <c r="D2170" s="21" t="str">
        <f>IFERROR(__xludf.DUMMYFUNCTION("""COMPUTED_VALUE"""),"DIGITEC TECNOLOGIA DIGITAL E REPRES")</f>
        <v>DIGITEC TECNOLOGIA DIGITAL E REPRES</v>
      </c>
      <c r="E2170" s="21">
        <f>IFERROR(__xludf.DUMMYFUNCTION("""COMPUTED_VALUE"""),145359.0)</f>
        <v>145359</v>
      </c>
      <c r="F2170" s="21" t="str">
        <f>IFERROR(__xludf.DUMMYFUNCTION("""COMPUTED_VALUE"""),"INICIALIZADO")</f>
        <v>INICIALIZADO</v>
      </c>
      <c r="G2170" s="23">
        <f>IFERROR(__xludf.DUMMYFUNCTION("""COMPUTED_VALUE"""),45573.66677083333)</f>
        <v>45573.66677</v>
      </c>
      <c r="H2170" s="24" t="str">
        <f>IFERROR(VLOOKUP(B2170,material!A:D,3,0),"")</f>
        <v>CARD</v>
      </c>
    </row>
    <row r="2171" ht="11.25" customHeight="1">
      <c r="A2171" s="21" t="str">
        <f>IFERROR(__xludf.DUMMYFUNCTION("""COMPUTED_VALUE"""),"DECODER DIGITAL HD DXC5000 2T")</f>
        <v>DECODER DIGITAL HD DXC5000 2T</v>
      </c>
      <c r="B2171" s="22">
        <f>IFERROR(__xludf.DUMMYFUNCTION("""COMPUTED_VALUE"""),4.1001277E7)</f>
        <v>41001277</v>
      </c>
      <c r="C2171" s="21" t="str">
        <f>IFERROR(__xludf.DUMMYFUNCTION("""COMPUTED_VALUE"""),"216691324145")</f>
        <v>216691324145</v>
      </c>
      <c r="D2171" s="21" t="str">
        <f>IFERROR(__xludf.DUMMYFUNCTION("""COMPUTED_VALUE"""),"DIGITEC TECNOLOGIA DIGITAL E REPRES")</f>
        <v>DIGITEC TECNOLOGIA DIGITAL E REPRES</v>
      </c>
      <c r="E2171" s="21">
        <f>IFERROR(__xludf.DUMMYFUNCTION("""COMPUTED_VALUE"""),145359.0)</f>
        <v>145359</v>
      </c>
      <c r="F2171" s="21" t="str">
        <f>IFERROR(__xludf.DUMMYFUNCTION("""COMPUTED_VALUE"""),"TRANSITO REVERSA")</f>
        <v>TRANSITO REVERSA</v>
      </c>
      <c r="G2171" s="23">
        <f>IFERROR(__xludf.DUMMYFUNCTION("""COMPUTED_VALUE"""),45638.52059027778)</f>
        <v>45638.52059</v>
      </c>
      <c r="H2171" s="24" t="str">
        <f>IFERROR(VLOOKUP(B2171,material!A:D,3,0),"")</f>
        <v>TOP MIX</v>
      </c>
    </row>
    <row r="2172" ht="11.25" customHeight="1">
      <c r="A2172" s="21" t="str">
        <f>IFERROR(__xludf.DUMMYFUNCTION("""COMPUTED_VALUE"""),"SMART CARD PRETO NAGRA")</f>
        <v>SMART CARD PRETO NAGRA</v>
      </c>
      <c r="B2172" s="22">
        <f>IFERROR(__xludf.DUMMYFUNCTION("""COMPUTED_VALUE"""),4.1001234E7)</f>
        <v>41001234</v>
      </c>
      <c r="C2172" s="21" t="str">
        <f>IFERROR(__xludf.DUMMYFUNCTION("""COMPUTED_VALUE"""),"226184732747")</f>
        <v>226184732747</v>
      </c>
      <c r="D2172" s="21" t="str">
        <f>IFERROR(__xludf.DUMMYFUNCTION("""COMPUTED_VALUE"""),"DIGITEC TECNOLOGIA DIGITAL E REPRES")</f>
        <v>DIGITEC TECNOLOGIA DIGITAL E REPRES</v>
      </c>
      <c r="E2172" s="21">
        <f>IFERROR(__xludf.DUMMYFUNCTION("""COMPUTED_VALUE"""),145359.0)</f>
        <v>145359</v>
      </c>
      <c r="F2172" s="21" t="str">
        <f>IFERROR(__xludf.DUMMYFUNCTION("""COMPUTED_VALUE"""),"TRANSITO REVERSA")</f>
        <v>TRANSITO REVERSA</v>
      </c>
      <c r="G2172" s="23">
        <f>IFERROR(__xludf.DUMMYFUNCTION("""COMPUTED_VALUE"""),45617.87140046296)</f>
        <v>45617.8714</v>
      </c>
      <c r="H2172" s="24" t="str">
        <f>IFERROR(VLOOKUP(B2172,material!A:D,3,0),"")</f>
        <v>CARD</v>
      </c>
    </row>
    <row r="2173" ht="11.25" customHeight="1">
      <c r="A2173" s="21" t="str">
        <f>IFERROR(__xludf.DUMMYFUNCTION("""COMPUTED_VALUE"""),"SMART CARD PRETO NAGRA")</f>
        <v>SMART CARD PRETO NAGRA</v>
      </c>
      <c r="B2173" s="22">
        <f>IFERROR(__xludf.DUMMYFUNCTION("""COMPUTED_VALUE"""),4.1001234E7)</f>
        <v>41001234</v>
      </c>
      <c r="C2173" s="21" t="str">
        <f>IFERROR(__xludf.DUMMYFUNCTION("""COMPUTED_VALUE"""),"226184725877")</f>
        <v>226184725877</v>
      </c>
      <c r="D2173" s="21" t="str">
        <f>IFERROR(__xludf.DUMMYFUNCTION("""COMPUTED_VALUE"""),"DIGITEC TECNOLOGIA DIGITAL E REPRES")</f>
        <v>DIGITEC TECNOLOGIA DIGITAL E REPRES</v>
      </c>
      <c r="E2173" s="21">
        <f>IFERROR(__xludf.DUMMYFUNCTION("""COMPUTED_VALUE"""),145359.0)</f>
        <v>145359</v>
      </c>
      <c r="F2173" s="21" t="str">
        <f>IFERROR(__xludf.DUMMYFUNCTION("""COMPUTED_VALUE"""),"TRANSITO REVERSA")</f>
        <v>TRANSITO REVERSA</v>
      </c>
      <c r="G2173" s="23">
        <f>IFERROR(__xludf.DUMMYFUNCTION("""COMPUTED_VALUE"""),45617.87138888889)</f>
        <v>45617.87139</v>
      </c>
      <c r="H2173" s="24" t="str">
        <f>IFERROR(VLOOKUP(B2173,material!A:D,3,0),"")</f>
        <v>CARD</v>
      </c>
    </row>
    <row r="2174" ht="11.25" customHeight="1">
      <c r="A2174" s="21" t="str">
        <f>IFERROR(__xludf.DUMMYFUNCTION("""COMPUTED_VALUE"""),"PACE - HIGH DEFINITION DCR7411")</f>
        <v>PACE - HIGH DEFINITION DCR7411</v>
      </c>
      <c r="B2174" s="22">
        <f>IFERROR(__xludf.DUMMYFUNCTION("""COMPUTED_VALUE"""),4.1001216E7)</f>
        <v>41001216</v>
      </c>
      <c r="C2174" s="21" t="str">
        <f>IFERROR(__xludf.DUMMYFUNCTION("""COMPUTED_VALUE"""),"184304900217")</f>
        <v>184304900217</v>
      </c>
      <c r="D2174" s="21" t="str">
        <f>IFERROR(__xludf.DUMMYFUNCTION("""COMPUTED_VALUE"""),"DIGITEC TECNOLOGIA DIGITAL E REPRES")</f>
        <v>DIGITEC TECNOLOGIA DIGITAL E REPRES</v>
      </c>
      <c r="E2174" s="21">
        <f>IFERROR(__xludf.DUMMYFUNCTION("""COMPUTED_VALUE"""),145359.0)</f>
        <v>145359</v>
      </c>
      <c r="F2174" s="21" t="str">
        <f>IFERROR(__xludf.DUMMYFUNCTION("""COMPUTED_VALUE"""),"TRANSITO REVERSA")</f>
        <v>TRANSITO REVERSA</v>
      </c>
      <c r="G2174" s="23">
        <f>IFERROR(__xludf.DUMMYFUNCTION("""COMPUTED_VALUE"""),45617.87137731482)</f>
        <v>45617.87138</v>
      </c>
      <c r="H2174" s="24" t="str">
        <f>IFERROR(VLOOKUP(B2174,material!A:D,3,0),"")</f>
        <v>LEGADO</v>
      </c>
    </row>
    <row r="2175" ht="11.25" customHeight="1">
      <c r="A2175" s="21" t="str">
        <f>IFERROR(__xludf.DUMMYFUNCTION("""COMPUTED_VALUE"""),"PACE - HIGH DEFINITION DCR7411")</f>
        <v>PACE - HIGH DEFINITION DCR7411</v>
      </c>
      <c r="B2175" s="22">
        <f>IFERROR(__xludf.DUMMYFUNCTION("""COMPUTED_VALUE"""),4.1001216E7)</f>
        <v>41001216</v>
      </c>
      <c r="C2175" s="21" t="str">
        <f>IFERROR(__xludf.DUMMYFUNCTION("""COMPUTED_VALUE"""),"184304864859")</f>
        <v>184304864859</v>
      </c>
      <c r="D2175" s="21" t="str">
        <f>IFERROR(__xludf.DUMMYFUNCTION("""COMPUTED_VALUE"""),"DIGITEC TECNOLOGIA DIGITAL E REPRES")</f>
        <v>DIGITEC TECNOLOGIA DIGITAL E REPRES</v>
      </c>
      <c r="E2175" s="21">
        <f>IFERROR(__xludf.DUMMYFUNCTION("""COMPUTED_VALUE"""),145359.0)</f>
        <v>145359</v>
      </c>
      <c r="F2175" s="21" t="str">
        <f>IFERROR(__xludf.DUMMYFUNCTION("""COMPUTED_VALUE"""),"TRANSITO REVERSA")</f>
        <v>TRANSITO REVERSA</v>
      </c>
      <c r="G2175" s="23">
        <f>IFERROR(__xludf.DUMMYFUNCTION("""COMPUTED_VALUE"""),45626.2987037037)</f>
        <v>45626.2987</v>
      </c>
      <c r="H2175" s="24" t="str">
        <f>IFERROR(VLOOKUP(B2175,material!A:D,3,0),"")</f>
        <v>LEGADO</v>
      </c>
    </row>
    <row r="2176" ht="11.25" customHeight="1">
      <c r="A2176" s="21" t="str">
        <f>IFERROR(__xludf.DUMMYFUNCTION("""COMPUTED_VALUE"""),"SMART CARD PRETO NAGRA")</f>
        <v>SMART CARD PRETO NAGRA</v>
      </c>
      <c r="B2176" s="22">
        <f>IFERROR(__xludf.DUMMYFUNCTION("""COMPUTED_VALUE"""),4.1001234E7)</f>
        <v>41001234</v>
      </c>
      <c r="C2176" s="21" t="str">
        <f>IFERROR(__xludf.DUMMYFUNCTION("""COMPUTED_VALUE"""),"246229735758")</f>
        <v>246229735758</v>
      </c>
      <c r="D2176" s="21" t="str">
        <f>IFERROR(__xludf.DUMMYFUNCTION("""COMPUTED_VALUE"""),"DIGITEC TECNOLOGIA DIGITAL E REPRES")</f>
        <v>DIGITEC TECNOLOGIA DIGITAL E REPRES</v>
      </c>
      <c r="E2176" s="21">
        <f>IFERROR(__xludf.DUMMYFUNCTION("""COMPUTED_VALUE"""),145359.0)</f>
        <v>145359</v>
      </c>
      <c r="F2176" s="21" t="str">
        <f>IFERROR(__xludf.DUMMYFUNCTION("""COMPUTED_VALUE"""),"INICIALIZADO")</f>
        <v>INICIALIZADO</v>
      </c>
      <c r="G2176" s="23">
        <f>IFERROR(__xludf.DUMMYFUNCTION("""COMPUTED_VALUE"""),45642.52410879629)</f>
        <v>45642.52411</v>
      </c>
      <c r="H2176" s="24" t="str">
        <f>IFERROR(VLOOKUP(B2176,material!A:D,3,0),"")</f>
        <v>CARD</v>
      </c>
    </row>
    <row r="2177" ht="11.25" customHeight="1">
      <c r="A2177" s="21" t="str">
        <f>IFERROR(__xludf.DUMMYFUNCTION("""COMPUTED_VALUE"""),"SMART CARD PRETO NAGRA")</f>
        <v>SMART CARD PRETO NAGRA</v>
      </c>
      <c r="B2177" s="22">
        <f>IFERROR(__xludf.DUMMYFUNCTION("""COMPUTED_VALUE"""),4.1001234E7)</f>
        <v>41001234</v>
      </c>
      <c r="C2177" s="21" t="str">
        <f>IFERROR(__xludf.DUMMYFUNCTION("""COMPUTED_VALUE"""),"246311569615")</f>
        <v>246311569615</v>
      </c>
      <c r="D2177" s="21" t="str">
        <f>IFERROR(__xludf.DUMMYFUNCTION("""COMPUTED_VALUE"""),"DIGITEC TECNOLOGIA DIGITAL E REPRES")</f>
        <v>DIGITEC TECNOLOGIA DIGITAL E REPRES</v>
      </c>
      <c r="E2177" s="21">
        <f>IFERROR(__xludf.DUMMYFUNCTION("""COMPUTED_VALUE"""),145359.0)</f>
        <v>145359</v>
      </c>
      <c r="F2177" s="21" t="str">
        <f>IFERROR(__xludf.DUMMYFUNCTION("""COMPUTED_VALUE"""),"INICIALIZADO")</f>
        <v>INICIALIZADO</v>
      </c>
      <c r="G2177" s="23">
        <f>IFERROR(__xludf.DUMMYFUNCTION("""COMPUTED_VALUE"""),45642.524097222224)</f>
        <v>45642.5241</v>
      </c>
      <c r="H2177" s="24" t="str">
        <f>IFERROR(VLOOKUP(B2177,material!A:D,3,0),"")</f>
        <v>CARD</v>
      </c>
    </row>
    <row r="2178" ht="11.25" customHeight="1">
      <c r="A2178" s="21" t="str">
        <f>IFERROR(__xludf.DUMMYFUNCTION("""COMPUTED_VALUE"""),"SMART CARD PRETO NAGRA")</f>
        <v>SMART CARD PRETO NAGRA</v>
      </c>
      <c r="B2178" s="22">
        <f>IFERROR(__xludf.DUMMYFUNCTION("""COMPUTED_VALUE"""),4.1001234E7)</f>
        <v>41001234</v>
      </c>
      <c r="C2178" s="21" t="str">
        <f>IFERROR(__xludf.DUMMYFUNCTION("""COMPUTED_VALUE"""),"246311569514")</f>
        <v>246311569514</v>
      </c>
      <c r="D2178" s="21" t="str">
        <f>IFERROR(__xludf.DUMMYFUNCTION("""COMPUTED_VALUE"""),"DIGITEC TECNOLOGIA DIGITAL E REPRES")</f>
        <v>DIGITEC TECNOLOGIA DIGITAL E REPRES</v>
      </c>
      <c r="E2178" s="21">
        <f>IFERROR(__xludf.DUMMYFUNCTION("""COMPUTED_VALUE"""),145359.0)</f>
        <v>145359</v>
      </c>
      <c r="F2178" s="21" t="str">
        <f>IFERROR(__xludf.DUMMYFUNCTION("""COMPUTED_VALUE"""),"INICIALIZADO")</f>
        <v>INICIALIZADO</v>
      </c>
      <c r="G2178" s="23">
        <f>IFERROR(__xludf.DUMMYFUNCTION("""COMPUTED_VALUE"""),45642.524097222224)</f>
        <v>45642.5241</v>
      </c>
      <c r="H2178" s="24" t="str">
        <f>IFERROR(VLOOKUP(B2178,material!A:D,3,0),"")</f>
        <v>CARD</v>
      </c>
    </row>
    <row r="2179" ht="11.25" customHeight="1">
      <c r="A2179" s="21" t="str">
        <f>IFERROR(__xludf.DUMMYFUNCTION("""COMPUTED_VALUE"""),"DECODER DIGITAL HD HNB100 2T")</f>
        <v>DECODER DIGITAL HD HNB100 2T</v>
      </c>
      <c r="B2179" s="22">
        <f>IFERROR(__xludf.DUMMYFUNCTION("""COMPUTED_VALUE"""),4.1001276E7)</f>
        <v>41001276</v>
      </c>
      <c r="C2179" s="21" t="str">
        <f>IFERROR(__xludf.DUMMYFUNCTION("""COMPUTED_VALUE"""),"216751161119")</f>
        <v>216751161119</v>
      </c>
      <c r="D2179" s="21" t="str">
        <f>IFERROR(__xludf.DUMMYFUNCTION("""COMPUTED_VALUE"""),"DIGITEC TECNOLOGIA DIGITAL E REPRES")</f>
        <v>DIGITEC TECNOLOGIA DIGITAL E REPRES</v>
      </c>
      <c r="E2179" s="21">
        <f>IFERROR(__xludf.DUMMYFUNCTION("""COMPUTED_VALUE"""),145359.0)</f>
        <v>145359</v>
      </c>
      <c r="F2179" s="21" t="str">
        <f>IFERROR(__xludf.DUMMYFUNCTION("""COMPUTED_VALUE"""),"TRANSITO REVERSA")</f>
        <v>TRANSITO REVERSA</v>
      </c>
      <c r="G2179" s="23">
        <f>IFERROR(__xludf.DUMMYFUNCTION("""COMPUTED_VALUE"""),45638.52060185185)</f>
        <v>45638.5206</v>
      </c>
      <c r="H2179" s="24" t="str">
        <f>IFERROR(VLOOKUP(B2179,material!A:D,3,0),"")</f>
        <v>TOP MIX</v>
      </c>
    </row>
    <row r="2180" ht="11.25" customHeight="1">
      <c r="A2180" s="21" t="str">
        <f>IFERROR(__xludf.DUMMYFUNCTION("""COMPUTED_VALUE"""),"DECODER DIGITAL HD HNB100 2T")</f>
        <v>DECODER DIGITAL HD HNB100 2T</v>
      </c>
      <c r="B2180" s="22">
        <f>IFERROR(__xludf.DUMMYFUNCTION("""COMPUTED_VALUE"""),4.1001276E7)</f>
        <v>41001276</v>
      </c>
      <c r="C2180" s="21" t="str">
        <f>IFERROR(__xludf.DUMMYFUNCTION("""COMPUTED_VALUE"""),"216696690416")</f>
        <v>216696690416</v>
      </c>
      <c r="D2180" s="21" t="str">
        <f>IFERROR(__xludf.DUMMYFUNCTION("""COMPUTED_VALUE"""),"DIGITEC TECNOLOGIA DIGITAL E REPRES")</f>
        <v>DIGITEC TECNOLOGIA DIGITAL E REPRES</v>
      </c>
      <c r="E2180" s="21">
        <f>IFERROR(__xludf.DUMMYFUNCTION("""COMPUTED_VALUE"""),145359.0)</f>
        <v>145359</v>
      </c>
      <c r="F2180" s="21" t="str">
        <f>IFERROR(__xludf.DUMMYFUNCTION("""COMPUTED_VALUE"""),"SUSPEITO")</f>
        <v>SUSPEITO</v>
      </c>
      <c r="G2180" s="23">
        <f>IFERROR(__xludf.DUMMYFUNCTION("""COMPUTED_VALUE"""),45643.475856481484)</f>
        <v>45643.47586</v>
      </c>
      <c r="H2180" s="24" t="str">
        <f>IFERROR(VLOOKUP(B2180,material!A:D,3,0),"")</f>
        <v>TOP MIX</v>
      </c>
    </row>
    <row r="2181" ht="11.25" customHeight="1">
      <c r="A2181" s="21" t="str">
        <f>IFERROR(__xludf.DUMMYFUNCTION("""COMPUTED_VALUE"""),"TECHNICOLOR TC7337NET")</f>
        <v>TECHNICOLOR TC7337NET</v>
      </c>
      <c r="B2181" s="22">
        <f>IFERROR(__xludf.DUMMYFUNCTION("""COMPUTED_VALUE"""),4.1001294E7)</f>
        <v>41001294</v>
      </c>
      <c r="C2181" s="21" t="str">
        <f>IFERROR(__xludf.DUMMYFUNCTION("""COMPUTED_VALUE"""),"14B7F88D3B52")</f>
        <v>14B7F88D3B52</v>
      </c>
      <c r="D2181" s="21" t="str">
        <f>IFERROR(__xludf.DUMMYFUNCTION("""COMPUTED_VALUE"""),"DIGITEC TECNOLOGIA DIGITAL E REPRES")</f>
        <v>DIGITEC TECNOLOGIA DIGITAL E REPRES</v>
      </c>
      <c r="E2181" s="21">
        <f>IFERROR(__xludf.DUMMYFUNCTION("""COMPUTED_VALUE"""),145359.0)</f>
        <v>145359</v>
      </c>
      <c r="F2181" s="21" t="str">
        <f>IFERROR(__xludf.DUMMYFUNCTION("""COMPUTED_VALUE"""),"INICIALIZADO")</f>
        <v>INICIALIZADO</v>
      </c>
      <c r="G2181" s="23">
        <f>IFERROR(__xludf.DUMMYFUNCTION("""COMPUTED_VALUE"""),45615.61858796296)</f>
        <v>45615.61859</v>
      </c>
      <c r="H2181" s="24" t="str">
        <f>IFERROR(VLOOKUP(B2181,material!A:D,3,0),"")</f>
        <v>DUAL</v>
      </c>
    </row>
    <row r="2182" ht="11.25" customHeight="1">
      <c r="A2182" s="21" t="str">
        <f>IFERROR(__xludf.DUMMYFUNCTION("""COMPUTED_VALUE"""),"ARRIS TG1692A")</f>
        <v>ARRIS TG1692A</v>
      </c>
      <c r="B2182" s="22">
        <f>IFERROR(__xludf.DUMMYFUNCTION("""COMPUTED_VALUE"""),4.1001293E7)</f>
        <v>41001293</v>
      </c>
      <c r="C2182" s="21" t="str">
        <f>IFERROR(__xludf.DUMMYFUNCTION("""COMPUTED_VALUE"""),"BC644BC60D34")</f>
        <v>BC644BC60D34</v>
      </c>
      <c r="D2182" s="21" t="str">
        <f>IFERROR(__xludf.DUMMYFUNCTION("""COMPUTED_VALUE"""),"DIGITEC TECNOLOGIA DIGITAL E REPRES")</f>
        <v>DIGITEC TECNOLOGIA DIGITAL E REPRES</v>
      </c>
      <c r="E2182" s="21">
        <f>IFERROR(__xludf.DUMMYFUNCTION("""COMPUTED_VALUE"""),145359.0)</f>
        <v>145359</v>
      </c>
      <c r="F2182" s="21" t="str">
        <f>IFERROR(__xludf.DUMMYFUNCTION("""COMPUTED_VALUE"""),"INICIALIZADO")</f>
        <v>INICIALIZADO</v>
      </c>
      <c r="G2182" s="23">
        <f>IFERROR(__xludf.DUMMYFUNCTION("""COMPUTED_VALUE"""),45573.66675925926)</f>
        <v>45573.66676</v>
      </c>
      <c r="H2182" s="24" t="str">
        <f>IFERROR(VLOOKUP(B2182,material!A:D,3,0),"")</f>
        <v>DUAL</v>
      </c>
    </row>
    <row r="2183" ht="11.25" customHeight="1">
      <c r="A2183" s="21" t="str">
        <f>IFERROR(__xludf.DUMMYFUNCTION("""COMPUTED_VALUE"""),"HUMAX HGB10R-02")</f>
        <v>HUMAX HGB10R-02</v>
      </c>
      <c r="B2183" s="22">
        <f>IFERROR(__xludf.DUMMYFUNCTION("""COMPUTED_VALUE"""),4.1001292E7)</f>
        <v>41001292</v>
      </c>
      <c r="C2183" s="21" t="str">
        <f>IFERROR(__xludf.DUMMYFUNCTION("""COMPUTED_VALUE"""),"942CB3F02CCE")</f>
        <v>942CB3F02CCE</v>
      </c>
      <c r="D2183" s="21" t="str">
        <f>IFERROR(__xludf.DUMMYFUNCTION("""COMPUTED_VALUE"""),"DIGITEC TECNOLOGIA DIGITAL E REPRES")</f>
        <v>DIGITEC TECNOLOGIA DIGITAL E REPRES</v>
      </c>
      <c r="E2183" s="21">
        <f>IFERROR(__xludf.DUMMYFUNCTION("""COMPUTED_VALUE"""),145359.0)</f>
        <v>145359</v>
      </c>
      <c r="F2183" s="21" t="str">
        <f>IFERROR(__xludf.DUMMYFUNCTION("""COMPUTED_VALUE"""),"INICIALIZADO")</f>
        <v>INICIALIZADO</v>
      </c>
      <c r="G2183" s="23">
        <f>IFERROR(__xludf.DUMMYFUNCTION("""COMPUTED_VALUE"""),45538.41375)</f>
        <v>45538.41375</v>
      </c>
      <c r="H2183" s="24" t="str">
        <f>IFERROR(VLOOKUP(B2183,material!A:D,3,0),"")</f>
        <v>DUAL</v>
      </c>
    </row>
    <row r="2184" ht="11.25" customHeight="1">
      <c r="A2184" s="21" t="str">
        <f>IFERROR(__xludf.DUMMYFUNCTION("""COMPUTED_VALUE"""),"DECODER DIGITAL HD DXC5000 2T")</f>
        <v>DECODER DIGITAL HD DXC5000 2T</v>
      </c>
      <c r="B2184" s="22">
        <f>IFERROR(__xludf.DUMMYFUNCTION("""COMPUTED_VALUE"""),4.1001277E7)</f>
        <v>41001277</v>
      </c>
      <c r="C2184" s="21" t="str">
        <f>IFERROR(__xludf.DUMMYFUNCTION("""COMPUTED_VALUE"""),"216747605373")</f>
        <v>216747605373</v>
      </c>
      <c r="D2184" s="21" t="str">
        <f>IFERROR(__xludf.DUMMYFUNCTION("""COMPUTED_VALUE"""),"DIGITEC TECNOLOGIA DIGITAL E REPRES")</f>
        <v>DIGITEC TECNOLOGIA DIGITAL E REPRES</v>
      </c>
      <c r="E2184" s="21">
        <f>IFERROR(__xludf.DUMMYFUNCTION("""COMPUTED_VALUE"""),145359.0)</f>
        <v>145359</v>
      </c>
      <c r="F2184" s="21" t="str">
        <f>IFERROR(__xludf.DUMMYFUNCTION("""COMPUTED_VALUE"""),"INICIALIZADO")</f>
        <v>INICIALIZADO</v>
      </c>
      <c r="G2184" s="23">
        <f>IFERROR(__xludf.DUMMYFUNCTION("""COMPUTED_VALUE"""),45615.61857638889)</f>
        <v>45615.61858</v>
      </c>
      <c r="H2184" s="24" t="str">
        <f>IFERROR(VLOOKUP(B2184,material!A:D,3,0),"")</f>
        <v>TOP MIX</v>
      </c>
    </row>
    <row r="2185" ht="11.25" customHeight="1">
      <c r="A2185" s="21" t="str">
        <f>IFERROR(__xludf.DUMMYFUNCTION("""COMPUTED_VALUE"""),"DECODER DIGITAL HD HNB100 2T")</f>
        <v>DECODER DIGITAL HD HNB100 2T</v>
      </c>
      <c r="B2185" s="22">
        <f>IFERROR(__xludf.DUMMYFUNCTION("""COMPUTED_VALUE"""),4.1001276E7)</f>
        <v>41001276</v>
      </c>
      <c r="C2185" s="21" t="str">
        <f>IFERROR(__xludf.DUMMYFUNCTION("""COMPUTED_VALUE"""),"184331814358")</f>
        <v>184331814358</v>
      </c>
      <c r="D2185" s="21" t="str">
        <f>IFERROR(__xludf.DUMMYFUNCTION("""COMPUTED_VALUE"""),"DIGITEC TECNOLOGIA DIGITAL E REPRES")</f>
        <v>DIGITEC TECNOLOGIA DIGITAL E REPRES</v>
      </c>
      <c r="E2185" s="21">
        <f>IFERROR(__xludf.DUMMYFUNCTION("""COMPUTED_VALUE"""),145359.0)</f>
        <v>145359</v>
      </c>
      <c r="F2185" s="21" t="str">
        <f>IFERROR(__xludf.DUMMYFUNCTION("""COMPUTED_VALUE"""),"INICIALIZADO")</f>
        <v>INICIALIZADO</v>
      </c>
      <c r="G2185" s="23">
        <f>IFERROR(__xludf.DUMMYFUNCTION("""COMPUTED_VALUE"""),45635.535046296296)</f>
        <v>45635.53505</v>
      </c>
      <c r="H2185" s="24" t="str">
        <f>IFERROR(VLOOKUP(B2185,material!A:D,3,0),"")</f>
        <v>TOP MIX</v>
      </c>
    </row>
    <row r="2186" ht="11.25" customHeight="1">
      <c r="A2186" s="21" t="str">
        <f>IFERROR(__xludf.DUMMYFUNCTION("""COMPUTED_VALUE"""),"SMART CARD PRETO NAGRA")</f>
        <v>SMART CARD PRETO NAGRA</v>
      </c>
      <c r="B2186" s="22">
        <f>IFERROR(__xludf.DUMMYFUNCTION("""COMPUTED_VALUE"""),4.1001234E7)</f>
        <v>41001234</v>
      </c>
      <c r="C2186" s="21" t="str">
        <f>IFERROR(__xludf.DUMMYFUNCTION("""COMPUTED_VALUE"""),"246214630615")</f>
        <v>246214630615</v>
      </c>
      <c r="D2186" s="21" t="str">
        <f>IFERROR(__xludf.DUMMYFUNCTION("""COMPUTED_VALUE"""),"DIGITEC TECNOLOGIA DIGITAL E REPRES")</f>
        <v>DIGITEC TECNOLOGIA DIGITAL E REPRES</v>
      </c>
      <c r="E2186" s="21">
        <f>IFERROR(__xludf.DUMMYFUNCTION("""COMPUTED_VALUE"""),145359.0)</f>
        <v>145359</v>
      </c>
      <c r="F2186" s="21" t="str">
        <f>IFERROR(__xludf.DUMMYFUNCTION("""COMPUTED_VALUE"""),"INICIALIZADO")</f>
        <v>INICIALIZADO</v>
      </c>
      <c r="G2186" s="23">
        <f>IFERROR(__xludf.DUMMYFUNCTION("""COMPUTED_VALUE"""),45635.53493055556)</f>
        <v>45635.53493</v>
      </c>
      <c r="H2186" s="24" t="str">
        <f>IFERROR(VLOOKUP(B2186,material!A:D,3,0),"")</f>
        <v>CARD</v>
      </c>
    </row>
    <row r="2187" ht="11.25" customHeight="1">
      <c r="A2187" s="21" t="str">
        <f>IFERROR(__xludf.DUMMYFUNCTION("""COMPUTED_VALUE"""),"SMART CARD PRETO NAGRA")</f>
        <v>SMART CARD PRETO NAGRA</v>
      </c>
      <c r="B2187" s="22">
        <f>IFERROR(__xludf.DUMMYFUNCTION("""COMPUTED_VALUE"""),4.1001234E7)</f>
        <v>41001234</v>
      </c>
      <c r="C2187" s="21" t="str">
        <f>IFERROR(__xludf.DUMMYFUNCTION("""COMPUTED_VALUE"""),"246113743350")</f>
        <v>246113743350</v>
      </c>
      <c r="D2187" s="21" t="str">
        <f>IFERROR(__xludf.DUMMYFUNCTION("""COMPUTED_VALUE"""),"DIGITEC TECNOLOGIA DIGITAL E REPRES")</f>
        <v>DIGITEC TECNOLOGIA DIGITAL E REPRES</v>
      </c>
      <c r="E2187" s="21">
        <f>IFERROR(__xludf.DUMMYFUNCTION("""COMPUTED_VALUE"""),145359.0)</f>
        <v>145359</v>
      </c>
      <c r="F2187" s="21" t="str">
        <f>IFERROR(__xludf.DUMMYFUNCTION("""COMPUTED_VALUE"""),"INICIALIZADO")</f>
        <v>INICIALIZADO</v>
      </c>
      <c r="G2187" s="23">
        <f>IFERROR(__xludf.DUMMYFUNCTION("""COMPUTED_VALUE"""),45635.534907407404)</f>
        <v>45635.53491</v>
      </c>
      <c r="H2187" s="24" t="str">
        <f>IFERROR(VLOOKUP(B2187,material!A:D,3,0),"")</f>
        <v>CARD</v>
      </c>
    </row>
    <row r="2188" ht="11.25" customHeight="1">
      <c r="A2188" s="21" t="str">
        <f>IFERROR(__xludf.DUMMYFUNCTION("""COMPUTED_VALUE"""),"TECHNICOLOR TC7337NET")</f>
        <v>TECHNICOLOR TC7337NET</v>
      </c>
      <c r="B2188" s="22">
        <f>IFERROR(__xludf.DUMMYFUNCTION("""COMPUTED_VALUE"""),4.1001294E7)</f>
        <v>41001294</v>
      </c>
      <c r="C2188" s="21" t="str">
        <f>IFERROR(__xludf.DUMMYFUNCTION("""COMPUTED_VALUE"""),"54A65C8F1AC8")</f>
        <v>54A65C8F1AC8</v>
      </c>
      <c r="D2188" s="21" t="str">
        <f>IFERROR(__xludf.DUMMYFUNCTION("""COMPUTED_VALUE"""),"DIGITEC TECNOLOGIA DIGITAL E REPRES")</f>
        <v>DIGITEC TECNOLOGIA DIGITAL E REPRES</v>
      </c>
      <c r="E2188" s="21">
        <f>IFERROR(__xludf.DUMMYFUNCTION("""COMPUTED_VALUE"""),145359.0)</f>
        <v>145359</v>
      </c>
      <c r="F2188" s="21" t="str">
        <f>IFERROR(__xludf.DUMMYFUNCTION("""COMPUTED_VALUE"""),"INICIALIZADO")</f>
        <v>INICIALIZADO</v>
      </c>
      <c r="G2188" s="23">
        <f>IFERROR(__xludf.DUMMYFUNCTION("""COMPUTED_VALUE"""),45618.74476851852)</f>
        <v>45618.74477</v>
      </c>
      <c r="H2188" s="24" t="str">
        <f>IFERROR(VLOOKUP(B2188,material!A:D,3,0),"")</f>
        <v>DUAL</v>
      </c>
    </row>
    <row r="2189" ht="11.25" customHeight="1">
      <c r="A2189" s="21" t="str">
        <f>IFERROR(__xludf.DUMMYFUNCTION("""COMPUTED_VALUE"""),"SMART CARD PRETO NAGRA")</f>
        <v>SMART CARD PRETO NAGRA</v>
      </c>
      <c r="B2189" s="22">
        <f>IFERROR(__xludf.DUMMYFUNCTION("""COMPUTED_VALUE"""),4.1001234E7)</f>
        <v>41001234</v>
      </c>
      <c r="C2189" s="21" t="str">
        <f>IFERROR(__xludf.DUMMYFUNCTION("""COMPUTED_VALUE"""),"246043163454")</f>
        <v>246043163454</v>
      </c>
      <c r="D2189" s="21" t="str">
        <f>IFERROR(__xludf.DUMMYFUNCTION("""COMPUTED_VALUE"""),"DIGITEC TECNOLOGIA DIGITAL E REPRES")</f>
        <v>DIGITEC TECNOLOGIA DIGITAL E REPRES</v>
      </c>
      <c r="E2189" s="21">
        <f>IFERROR(__xludf.DUMMYFUNCTION("""COMPUTED_VALUE"""),145359.0)</f>
        <v>145359</v>
      </c>
      <c r="F2189" s="21" t="str">
        <f>IFERROR(__xludf.DUMMYFUNCTION("""COMPUTED_VALUE"""),"INICIALIZADO")</f>
        <v>INICIALIZADO</v>
      </c>
      <c r="G2189" s="23">
        <f>IFERROR(__xludf.DUMMYFUNCTION("""COMPUTED_VALUE"""),45000.35914351852)</f>
        <v>45000.35914</v>
      </c>
      <c r="H2189" s="24" t="str">
        <f>IFERROR(VLOOKUP(B2189,material!A:D,3,0),"")</f>
        <v>CARD</v>
      </c>
    </row>
    <row r="2190" ht="11.25" customHeight="1">
      <c r="A2190" s="21" t="str">
        <f>IFERROR(__xludf.DUMMYFUNCTION("""COMPUTED_VALUE"""),"DECODER DIGITAL HD HNB100 2T")</f>
        <v>DECODER DIGITAL HD HNB100 2T</v>
      </c>
      <c r="B2190" s="22">
        <f>IFERROR(__xludf.DUMMYFUNCTION("""COMPUTED_VALUE"""),4.1001276E7)</f>
        <v>41001276</v>
      </c>
      <c r="C2190" s="21" t="str">
        <f>IFERROR(__xludf.DUMMYFUNCTION("""COMPUTED_VALUE"""),"216737718606")</f>
        <v>216737718606</v>
      </c>
      <c r="D2190" s="21" t="str">
        <f>IFERROR(__xludf.DUMMYFUNCTION("""COMPUTED_VALUE"""),"DIGITEC TECNOLOGIA DIGITAL E REPRES")</f>
        <v>DIGITEC TECNOLOGIA DIGITAL E REPRES</v>
      </c>
      <c r="E2190" s="21">
        <f>IFERROR(__xludf.DUMMYFUNCTION("""COMPUTED_VALUE"""),145359.0)</f>
        <v>145359</v>
      </c>
      <c r="F2190" s="21" t="str">
        <f>IFERROR(__xludf.DUMMYFUNCTION("""COMPUTED_VALUE"""),"INICIALIZADO")</f>
        <v>INICIALIZADO</v>
      </c>
      <c r="G2190" s="23">
        <f>IFERROR(__xludf.DUMMYFUNCTION("""COMPUTED_VALUE"""),45642.52412037037)</f>
        <v>45642.52412</v>
      </c>
      <c r="H2190" s="24" t="str">
        <f>IFERROR(VLOOKUP(B2190,material!A:D,3,0),"")</f>
        <v>TOP MIX</v>
      </c>
    </row>
    <row r="2191" ht="11.25" customHeight="1">
      <c r="A2191" s="21" t="str">
        <f>IFERROR(__xludf.DUMMYFUNCTION("""COMPUTED_VALUE"""),"DECODER DIGITAL HD HNB100 2T")</f>
        <v>DECODER DIGITAL HD HNB100 2T</v>
      </c>
      <c r="B2191" s="22">
        <f>IFERROR(__xludf.DUMMYFUNCTION("""COMPUTED_VALUE"""),4.1001276E7)</f>
        <v>41001276</v>
      </c>
      <c r="C2191" s="21" t="str">
        <f>IFERROR(__xludf.DUMMYFUNCTION("""COMPUTED_VALUE"""),"216636872030")</f>
        <v>216636872030</v>
      </c>
      <c r="D2191" s="21" t="str">
        <f>IFERROR(__xludf.DUMMYFUNCTION("""COMPUTED_VALUE"""),"DIGITEC TECNOLOGIA DIGITAL E REPRES")</f>
        <v>DIGITEC TECNOLOGIA DIGITAL E REPRES</v>
      </c>
      <c r="E2191" s="21">
        <f>IFERROR(__xludf.DUMMYFUNCTION("""COMPUTED_VALUE"""),145359.0)</f>
        <v>145359</v>
      </c>
      <c r="F2191" s="21" t="str">
        <f>IFERROR(__xludf.DUMMYFUNCTION("""COMPUTED_VALUE"""),"INICIALIZADO")</f>
        <v>INICIALIZADO</v>
      </c>
      <c r="G2191" s="23">
        <f>IFERROR(__xludf.DUMMYFUNCTION("""COMPUTED_VALUE"""),45642.52412037037)</f>
        <v>45642.52412</v>
      </c>
      <c r="H2191" s="24" t="str">
        <f>IFERROR(VLOOKUP(B2191,material!A:D,3,0),"")</f>
        <v>TOP MIX</v>
      </c>
    </row>
    <row r="2192" ht="11.25" customHeight="1">
      <c r="A2192" s="21" t="str">
        <f>IFERROR(__xludf.DUMMYFUNCTION("""COMPUTED_VALUE"""),"TECHNICOLOR TC7337NET")</f>
        <v>TECHNICOLOR TC7337NET</v>
      </c>
      <c r="B2192" s="22">
        <f>IFERROR(__xludf.DUMMYFUNCTION("""COMPUTED_VALUE"""),4.1001294E7)</f>
        <v>41001294</v>
      </c>
      <c r="C2192" s="21" t="str">
        <f>IFERROR(__xludf.DUMMYFUNCTION("""COMPUTED_VALUE"""),"14B7F88CB197")</f>
        <v>14B7F88CB197</v>
      </c>
      <c r="D2192" s="21" t="str">
        <f>IFERROR(__xludf.DUMMYFUNCTION("""COMPUTED_VALUE"""),"DIGITEC TECNOLOGIA DIGITAL E REPRES")</f>
        <v>DIGITEC TECNOLOGIA DIGITAL E REPRES</v>
      </c>
      <c r="E2192" s="21">
        <f>IFERROR(__xludf.DUMMYFUNCTION("""COMPUTED_VALUE"""),145359.0)</f>
        <v>145359</v>
      </c>
      <c r="F2192" s="21" t="str">
        <f>IFERROR(__xludf.DUMMYFUNCTION("""COMPUTED_VALUE"""),"INICIALIZADO")</f>
        <v>INICIALIZADO</v>
      </c>
      <c r="G2192" s="23">
        <f>IFERROR(__xludf.DUMMYFUNCTION("""COMPUTED_VALUE"""),45628.593298611115)</f>
        <v>45628.5933</v>
      </c>
      <c r="H2192" s="24" t="str">
        <f>IFERROR(VLOOKUP(B2192,material!A:D,3,0),"")</f>
        <v>DUAL</v>
      </c>
    </row>
    <row r="2193" ht="11.25" customHeight="1">
      <c r="A2193" s="21" t="str">
        <f>IFERROR(__xludf.DUMMYFUNCTION("""COMPUTED_VALUE"""),"DECODER DIGITAL HD HNB100 2T")</f>
        <v>DECODER DIGITAL HD HNB100 2T</v>
      </c>
      <c r="B2193" s="22">
        <f>IFERROR(__xludf.DUMMYFUNCTION("""COMPUTED_VALUE"""),4.1001276E7)</f>
        <v>41001276</v>
      </c>
      <c r="C2193" s="21" t="str">
        <f>IFERROR(__xludf.DUMMYFUNCTION("""COMPUTED_VALUE"""),"216334723855")</f>
        <v>216334723855</v>
      </c>
      <c r="D2193" s="21" t="str">
        <f>IFERROR(__xludf.DUMMYFUNCTION("""COMPUTED_VALUE"""),"DIGITEC TECNOLOGIA DIGITAL E REPRES")</f>
        <v>DIGITEC TECNOLOGIA DIGITAL E REPRES</v>
      </c>
      <c r="E2193" s="21">
        <f>IFERROR(__xludf.DUMMYFUNCTION("""COMPUTED_VALUE"""),145359.0)</f>
        <v>145359</v>
      </c>
      <c r="F2193" s="21" t="str">
        <f>IFERROR(__xludf.DUMMYFUNCTION("""COMPUTED_VALUE"""),"INICIALIZADO")</f>
        <v>INICIALIZADO</v>
      </c>
      <c r="G2193" s="23">
        <f>IFERROR(__xludf.DUMMYFUNCTION("""COMPUTED_VALUE"""),45642.52413194445)</f>
        <v>45642.52413</v>
      </c>
      <c r="H2193" s="24" t="str">
        <f>IFERROR(VLOOKUP(B2193,material!A:D,3,0),"")</f>
        <v>TOP MIX</v>
      </c>
    </row>
    <row r="2194" ht="11.25" customHeight="1">
      <c r="A2194" s="21" t="str">
        <f>IFERROR(__xludf.DUMMYFUNCTION("""COMPUTED_VALUE"""),"SMART CARD PRETO NAGRA")</f>
        <v>SMART CARD PRETO NAGRA</v>
      </c>
      <c r="B2194" s="22">
        <f>IFERROR(__xludf.DUMMYFUNCTION("""COMPUTED_VALUE"""),4.1001234E7)</f>
        <v>41001234</v>
      </c>
      <c r="C2194" s="21" t="str">
        <f>IFERROR(__xludf.DUMMYFUNCTION("""COMPUTED_VALUE"""),"246133576284")</f>
        <v>246133576284</v>
      </c>
      <c r="D2194" s="21" t="str">
        <f>IFERROR(__xludf.DUMMYFUNCTION("""COMPUTED_VALUE"""),"DIGITEC TECNOLOGIA DIGITAL E REPRES")</f>
        <v>DIGITEC TECNOLOGIA DIGITAL E REPRES</v>
      </c>
      <c r="E2194" s="21">
        <f>IFERROR(__xludf.DUMMYFUNCTION("""COMPUTED_VALUE"""),145359.0)</f>
        <v>145359</v>
      </c>
      <c r="F2194" s="21" t="str">
        <f>IFERROR(__xludf.DUMMYFUNCTION("""COMPUTED_VALUE"""),"INICIALIZADO")</f>
        <v>INICIALIZADO</v>
      </c>
      <c r="G2194" s="23">
        <f>IFERROR(__xludf.DUMMYFUNCTION("""COMPUTED_VALUE"""),45642.524097222224)</f>
        <v>45642.5241</v>
      </c>
      <c r="H2194" s="24" t="str">
        <f>IFERROR(VLOOKUP(B2194,material!A:D,3,0),"")</f>
        <v>CARD</v>
      </c>
    </row>
    <row r="2195" ht="11.25" customHeight="1">
      <c r="A2195" s="21" t="str">
        <f>IFERROR(__xludf.DUMMYFUNCTION("""COMPUTED_VALUE"""),"SMART CARD LARANJA NAGRA")</f>
        <v>SMART CARD LARANJA NAGRA</v>
      </c>
      <c r="B2195" s="22">
        <f>IFERROR(__xludf.DUMMYFUNCTION("""COMPUTED_VALUE"""),4.1001186E7)</f>
        <v>41001186</v>
      </c>
      <c r="C2195" s="21" t="str">
        <f>IFERROR(__xludf.DUMMYFUNCTION("""COMPUTED_VALUE"""),"226624304950")</f>
        <v>226624304950</v>
      </c>
      <c r="D2195" s="21" t="str">
        <f>IFERROR(__xludf.DUMMYFUNCTION("""COMPUTED_VALUE"""),"DIGITEC TECNOLOGIA DIGITAL E REPRES")</f>
        <v>DIGITEC TECNOLOGIA DIGITAL E REPRES</v>
      </c>
      <c r="E2195" s="21">
        <f>IFERROR(__xludf.DUMMYFUNCTION("""COMPUTED_VALUE"""),145359.0)</f>
        <v>145359</v>
      </c>
      <c r="F2195" s="21" t="str">
        <f>IFERROR(__xludf.DUMMYFUNCTION("""COMPUTED_VALUE"""),"SUCATA")</f>
        <v>SUCATA</v>
      </c>
      <c r="G2195" s="23">
        <f>IFERROR(__xludf.DUMMYFUNCTION("""COMPUTED_VALUE"""),45075.599120370374)</f>
        <v>45075.59912</v>
      </c>
      <c r="H2195" s="24" t="str">
        <f>IFERROR(VLOOKUP(B2195,material!A:D,3,0),"")</f>
        <v>CARD</v>
      </c>
    </row>
    <row r="2196" ht="11.25" customHeight="1">
      <c r="A2196" s="21" t="str">
        <f>IFERROR(__xludf.DUMMYFUNCTION("""COMPUTED_VALUE"""),"SMART CARD LARANJA NAGRA")</f>
        <v>SMART CARD LARANJA NAGRA</v>
      </c>
      <c r="B2196" s="22">
        <f>IFERROR(__xludf.DUMMYFUNCTION("""COMPUTED_VALUE"""),4.1001186E7)</f>
        <v>41001186</v>
      </c>
      <c r="C2196" s="21" t="str">
        <f>IFERROR(__xludf.DUMMYFUNCTION("""COMPUTED_VALUE"""),"226593126576")</f>
        <v>226593126576</v>
      </c>
      <c r="D2196" s="21" t="str">
        <f>IFERROR(__xludf.DUMMYFUNCTION("""COMPUTED_VALUE"""),"DIGITEC TECNOLOGIA DIGITAL E REPRES")</f>
        <v>DIGITEC TECNOLOGIA DIGITAL E REPRES</v>
      </c>
      <c r="E2196" s="21">
        <f>IFERROR(__xludf.DUMMYFUNCTION("""COMPUTED_VALUE"""),145359.0)</f>
        <v>145359</v>
      </c>
      <c r="F2196" s="21" t="str">
        <f>IFERROR(__xludf.DUMMYFUNCTION("""COMPUTED_VALUE"""),"SUCATA")</f>
        <v>SUCATA</v>
      </c>
      <c r="G2196" s="23">
        <f>IFERROR(__xludf.DUMMYFUNCTION("""COMPUTED_VALUE"""),45075.59908564815)</f>
        <v>45075.59909</v>
      </c>
      <c r="H2196" s="24" t="str">
        <f>IFERROR(VLOOKUP(B2196,material!A:D,3,0),"")</f>
        <v>CARD</v>
      </c>
    </row>
    <row r="2197" ht="11.25" customHeight="1">
      <c r="A2197" s="21" t="str">
        <f>IFERROR(__xludf.DUMMYFUNCTION("""COMPUTED_VALUE"""),"SMART CARD LARANJA NAGRA")</f>
        <v>SMART CARD LARANJA NAGRA</v>
      </c>
      <c r="B2197" s="22">
        <f>IFERROR(__xludf.DUMMYFUNCTION("""COMPUTED_VALUE"""),4.1001186E7)</f>
        <v>41001186</v>
      </c>
      <c r="C2197" s="21" t="str">
        <f>IFERROR(__xludf.DUMMYFUNCTION("""COMPUTED_VALUE"""),"226570055458")</f>
        <v>226570055458</v>
      </c>
      <c r="D2197" s="21" t="str">
        <f>IFERROR(__xludf.DUMMYFUNCTION("""COMPUTED_VALUE"""),"DIGITEC TECNOLOGIA DIGITAL E REPRES")</f>
        <v>DIGITEC TECNOLOGIA DIGITAL E REPRES</v>
      </c>
      <c r="E2197" s="21">
        <f>IFERROR(__xludf.DUMMYFUNCTION("""COMPUTED_VALUE"""),145359.0)</f>
        <v>145359</v>
      </c>
      <c r="F2197" s="21" t="str">
        <f>IFERROR(__xludf.DUMMYFUNCTION("""COMPUTED_VALUE"""),"SUCATA")</f>
        <v>SUCATA</v>
      </c>
      <c r="G2197" s="23">
        <f>IFERROR(__xludf.DUMMYFUNCTION("""COMPUTED_VALUE"""),45075.599074074074)</f>
        <v>45075.59907</v>
      </c>
      <c r="H2197" s="24" t="str">
        <f>IFERROR(VLOOKUP(B2197,material!A:D,3,0),"")</f>
        <v>CARD</v>
      </c>
    </row>
    <row r="2198" ht="11.25" customHeight="1">
      <c r="A2198" s="21" t="str">
        <f>IFERROR(__xludf.DUMMYFUNCTION("""COMPUTED_VALUE"""),"SMART CARD PRETO NAGRA")</f>
        <v>SMART CARD PRETO NAGRA</v>
      </c>
      <c r="B2198" s="22">
        <f>IFERROR(__xludf.DUMMYFUNCTION("""COMPUTED_VALUE"""),4.1001234E7)</f>
        <v>41001234</v>
      </c>
      <c r="C2198" s="21" t="str">
        <f>IFERROR(__xludf.DUMMYFUNCTION("""COMPUTED_VALUE"""),"246108356471")</f>
        <v>246108356471</v>
      </c>
      <c r="D2198" s="21" t="str">
        <f>IFERROR(__xludf.DUMMYFUNCTION("""COMPUTED_VALUE"""),"DIGITEC TECNOLOGIA DIGITAL E REPRES")</f>
        <v>DIGITEC TECNOLOGIA DIGITAL E REPRES</v>
      </c>
      <c r="E2198" s="21">
        <f>IFERROR(__xludf.DUMMYFUNCTION("""COMPUTED_VALUE"""),145359.0)</f>
        <v>145359</v>
      </c>
      <c r="F2198" s="21" t="str">
        <f>IFERROR(__xludf.DUMMYFUNCTION("""COMPUTED_VALUE"""),"INICIALIZADO")</f>
        <v>INICIALIZADO</v>
      </c>
      <c r="G2198" s="23">
        <f>IFERROR(__xludf.DUMMYFUNCTION("""COMPUTED_VALUE"""),45635.534907407404)</f>
        <v>45635.53491</v>
      </c>
      <c r="H2198" s="24" t="str">
        <f>IFERROR(VLOOKUP(B2198,material!A:D,3,0),"")</f>
        <v>CARD</v>
      </c>
    </row>
    <row r="2199" ht="11.25" customHeight="1">
      <c r="A2199" s="21" t="str">
        <f>IFERROR(__xludf.DUMMYFUNCTION("""COMPUTED_VALUE"""),"TECHNICOLOR TC7337NET")</f>
        <v>TECHNICOLOR TC7337NET</v>
      </c>
      <c r="B2199" s="22">
        <f>IFERROR(__xludf.DUMMYFUNCTION("""COMPUTED_VALUE"""),4.1001294E7)</f>
        <v>41001294</v>
      </c>
      <c r="C2199" s="21" t="str">
        <f>IFERROR(__xludf.DUMMYFUNCTION("""COMPUTED_VALUE"""),"10C25A3A088D")</f>
        <v>10C25A3A088D</v>
      </c>
      <c r="D2199" s="21" t="str">
        <f>IFERROR(__xludf.DUMMYFUNCTION("""COMPUTED_VALUE"""),"DIGITEC TECNOLOGIA DIGITAL E REPRES")</f>
        <v>DIGITEC TECNOLOGIA DIGITAL E REPRES</v>
      </c>
      <c r="E2199" s="21">
        <f>IFERROR(__xludf.DUMMYFUNCTION("""COMPUTED_VALUE"""),145359.0)</f>
        <v>145359</v>
      </c>
      <c r="F2199" s="21" t="str">
        <f>IFERROR(__xludf.DUMMYFUNCTION("""COMPUTED_VALUE"""),"INICIALIZADO")</f>
        <v>INICIALIZADO</v>
      </c>
      <c r="G2199" s="23">
        <f>IFERROR(__xludf.DUMMYFUNCTION("""COMPUTED_VALUE"""),45618.74476851852)</f>
        <v>45618.74477</v>
      </c>
      <c r="H2199" s="24" t="str">
        <f>IFERROR(VLOOKUP(B2199,material!A:D,3,0),"")</f>
        <v>DUAL</v>
      </c>
    </row>
    <row r="2200" ht="11.25" customHeight="1">
      <c r="A2200" s="21" t="str">
        <f>IFERROR(__xludf.DUMMYFUNCTION("""COMPUTED_VALUE"""),"DECODER DIGITAL HD HNB100 2T")</f>
        <v>DECODER DIGITAL HD HNB100 2T</v>
      </c>
      <c r="B2200" s="22">
        <f>IFERROR(__xludf.DUMMYFUNCTION("""COMPUTED_VALUE"""),4.1001276E7)</f>
        <v>41001276</v>
      </c>
      <c r="C2200" s="21" t="str">
        <f>IFERROR(__xludf.DUMMYFUNCTION("""COMPUTED_VALUE"""),"216518888292")</f>
        <v>216518888292</v>
      </c>
      <c r="D2200" s="21" t="str">
        <f>IFERROR(__xludf.DUMMYFUNCTION("""COMPUTED_VALUE"""),"DIGITEC TECNOLOGIA DIGITAL E REPRES")</f>
        <v>DIGITEC TECNOLOGIA DIGITAL E REPRES</v>
      </c>
      <c r="E2200" s="21">
        <f>IFERROR(__xludf.DUMMYFUNCTION("""COMPUTED_VALUE"""),145359.0)</f>
        <v>145359</v>
      </c>
      <c r="F2200" s="21" t="str">
        <f>IFERROR(__xludf.DUMMYFUNCTION("""COMPUTED_VALUE"""),"INICIALIZADO")</f>
        <v>INICIALIZADO</v>
      </c>
      <c r="G2200" s="23">
        <f>IFERROR(__xludf.DUMMYFUNCTION("""COMPUTED_VALUE"""),45635.53508101852)</f>
        <v>45635.53508</v>
      </c>
      <c r="H2200" s="24" t="str">
        <f>IFERROR(VLOOKUP(B2200,material!A:D,3,0),"")</f>
        <v>TOP MIX</v>
      </c>
    </row>
    <row r="2201" ht="11.25" customHeight="1">
      <c r="A2201" s="21" t="str">
        <f>IFERROR(__xludf.DUMMYFUNCTION("""COMPUTED_VALUE"""),"DECODER DIGITAL HD HNB100 2T")</f>
        <v>DECODER DIGITAL HD HNB100 2T</v>
      </c>
      <c r="B2201" s="22">
        <f>IFERROR(__xludf.DUMMYFUNCTION("""COMPUTED_VALUE"""),4.1001276E7)</f>
        <v>41001276</v>
      </c>
      <c r="C2201" s="21" t="str">
        <f>IFERROR(__xludf.DUMMYFUNCTION("""COMPUTED_VALUE"""),"216411763349")</f>
        <v>216411763349</v>
      </c>
      <c r="D2201" s="21" t="str">
        <f>IFERROR(__xludf.DUMMYFUNCTION("""COMPUTED_VALUE"""),"DIGITEC TECNOLOGIA DIGITAL E REPRES")</f>
        <v>DIGITEC TECNOLOGIA DIGITAL E REPRES</v>
      </c>
      <c r="E2201" s="21">
        <f>IFERROR(__xludf.DUMMYFUNCTION("""COMPUTED_VALUE"""),145359.0)</f>
        <v>145359</v>
      </c>
      <c r="F2201" s="21" t="str">
        <f>IFERROR(__xludf.DUMMYFUNCTION("""COMPUTED_VALUE"""),"ANALISE DE INVENTARIO")</f>
        <v>ANALISE DE INVENTARIO</v>
      </c>
      <c r="G2201" s="23">
        <f>IFERROR(__xludf.DUMMYFUNCTION("""COMPUTED_VALUE"""),45621.9110300926)</f>
        <v>45621.91103</v>
      </c>
      <c r="H2201" s="24" t="str">
        <f>IFERROR(VLOOKUP(B2201,material!A:D,3,0),"")</f>
        <v>TOP MIX</v>
      </c>
    </row>
    <row r="2202" ht="11.25" customHeight="1">
      <c r="A2202" s="21" t="str">
        <f>IFERROR(__xludf.DUMMYFUNCTION("""COMPUTED_VALUE"""),"ARRIS TG1692A")</f>
        <v>ARRIS TG1692A</v>
      </c>
      <c r="B2202" s="22">
        <f>IFERROR(__xludf.DUMMYFUNCTION("""COMPUTED_VALUE"""),4.1001293E7)</f>
        <v>41001293</v>
      </c>
      <c r="C2202" s="21" t="str">
        <f>IFERROR(__xludf.DUMMYFUNCTION("""COMPUTED_VALUE"""),"A89FECC4A868")</f>
        <v>A89FECC4A868</v>
      </c>
      <c r="D2202" s="21" t="str">
        <f>IFERROR(__xludf.DUMMYFUNCTION("""COMPUTED_VALUE"""),"DIGITEC TECNOLOGIA DIGITAL E REPRES")</f>
        <v>DIGITEC TECNOLOGIA DIGITAL E REPRES</v>
      </c>
      <c r="E2202" s="21">
        <f>IFERROR(__xludf.DUMMYFUNCTION("""COMPUTED_VALUE"""),145359.0)</f>
        <v>145359</v>
      </c>
      <c r="F2202" s="21" t="str">
        <f>IFERROR(__xludf.DUMMYFUNCTION("""COMPUTED_VALUE"""),"TRANSITO REVERSA")</f>
        <v>TRANSITO REVERSA</v>
      </c>
      <c r="G2202" s="23">
        <f>IFERROR(__xludf.DUMMYFUNCTION("""COMPUTED_VALUE"""),45633.00399305555)</f>
        <v>45633.00399</v>
      </c>
      <c r="H2202" s="24" t="str">
        <f>IFERROR(VLOOKUP(B2202,material!A:D,3,0),"")</f>
        <v>DUAL</v>
      </c>
    </row>
    <row r="2203" ht="11.25" customHeight="1">
      <c r="A2203" s="21" t="str">
        <f>IFERROR(__xludf.DUMMYFUNCTION("""COMPUTED_VALUE"""),"HUMAX HGB10R-02")</f>
        <v>HUMAX HGB10R-02</v>
      </c>
      <c r="B2203" s="22">
        <f>IFERROR(__xludf.DUMMYFUNCTION("""COMPUTED_VALUE"""),4.1001292E7)</f>
        <v>41001292</v>
      </c>
      <c r="C2203" s="21" t="str">
        <f>IFERROR(__xludf.DUMMYFUNCTION("""COMPUTED_VALUE"""),"942CB3D38598")</f>
        <v>942CB3D38598</v>
      </c>
      <c r="D2203" s="21" t="str">
        <f>IFERROR(__xludf.DUMMYFUNCTION("""COMPUTED_VALUE"""),"DIGITEC TECNOLOGIA DIGITAL E REPRES")</f>
        <v>DIGITEC TECNOLOGIA DIGITAL E REPRES</v>
      </c>
      <c r="E2203" s="21">
        <f>IFERROR(__xludf.DUMMYFUNCTION("""COMPUTED_VALUE"""),145359.0)</f>
        <v>145359</v>
      </c>
      <c r="F2203" s="21" t="str">
        <f>IFERROR(__xludf.DUMMYFUNCTION("""COMPUTED_VALUE"""),"TRANSITO REVERSA")</f>
        <v>TRANSITO REVERSA</v>
      </c>
      <c r="G2203" s="23">
        <f>IFERROR(__xludf.DUMMYFUNCTION("""COMPUTED_VALUE"""),45610.73042824074)</f>
        <v>45610.73043</v>
      </c>
      <c r="H2203" s="24" t="str">
        <f>IFERROR(VLOOKUP(B2203,material!A:D,3,0),"")</f>
        <v>DUAL</v>
      </c>
    </row>
    <row r="2204" ht="11.25" customHeight="1">
      <c r="A2204" s="21" t="str">
        <f>IFERROR(__xludf.DUMMYFUNCTION("""COMPUTED_VALUE"""),"HUMAX HGB10R-02")</f>
        <v>HUMAX HGB10R-02</v>
      </c>
      <c r="B2204" s="22">
        <f>IFERROR(__xludf.DUMMYFUNCTION("""COMPUTED_VALUE"""),4.1001292E7)</f>
        <v>41001292</v>
      </c>
      <c r="C2204" s="21" t="str">
        <f>IFERROR(__xludf.DUMMYFUNCTION("""COMPUTED_VALUE"""),"E820E20D046B")</f>
        <v>E820E20D046B</v>
      </c>
      <c r="D2204" s="21" t="str">
        <f>IFERROR(__xludf.DUMMYFUNCTION("""COMPUTED_VALUE"""),"DIGITEC TECNOLOGIA DIGITAL E REPRES")</f>
        <v>DIGITEC TECNOLOGIA DIGITAL E REPRES</v>
      </c>
      <c r="E2204" s="21">
        <f>IFERROR(__xludf.DUMMYFUNCTION("""COMPUTED_VALUE"""),145359.0)</f>
        <v>145359</v>
      </c>
      <c r="F2204" s="21" t="str">
        <f>IFERROR(__xludf.DUMMYFUNCTION("""COMPUTED_VALUE"""),"TRANSITO REVERSA")</f>
        <v>TRANSITO REVERSA</v>
      </c>
      <c r="G2204" s="23">
        <f>IFERROR(__xludf.DUMMYFUNCTION("""COMPUTED_VALUE"""),45617.87140046296)</f>
        <v>45617.8714</v>
      </c>
      <c r="H2204" s="24" t="str">
        <f>IFERROR(VLOOKUP(B2204,material!A:D,3,0),"")</f>
        <v>DUAL</v>
      </c>
    </row>
    <row r="2205" ht="11.25" customHeight="1">
      <c r="A2205" s="21" t="str">
        <f>IFERROR(__xludf.DUMMYFUNCTION("""COMPUTED_VALUE"""),"DECODER HD DCI738 2T")</f>
        <v>DECODER HD DCI738 2T</v>
      </c>
      <c r="B2205" s="22">
        <f>IFERROR(__xludf.DUMMYFUNCTION("""COMPUTED_VALUE"""),4.1001275E7)</f>
        <v>41001275</v>
      </c>
      <c r="C2205" s="21" t="str">
        <f>IFERROR(__xludf.DUMMYFUNCTION("""COMPUTED_VALUE"""),"216664868285")</f>
        <v>216664868285</v>
      </c>
      <c r="D2205" s="21" t="str">
        <f>IFERROR(__xludf.DUMMYFUNCTION("""COMPUTED_VALUE"""),"DIGITEC TECNOLOGIA DIGITAL E REPRES")</f>
        <v>DIGITEC TECNOLOGIA DIGITAL E REPRES</v>
      </c>
      <c r="E2205" s="21">
        <f>IFERROR(__xludf.DUMMYFUNCTION("""COMPUTED_VALUE"""),145359.0)</f>
        <v>145359</v>
      </c>
      <c r="F2205" s="21" t="str">
        <f>IFERROR(__xludf.DUMMYFUNCTION("""COMPUTED_VALUE"""),"TRANSITO REVERSA")</f>
        <v>TRANSITO REVERSA</v>
      </c>
      <c r="G2205" s="23">
        <f>IFERROR(__xludf.DUMMYFUNCTION("""COMPUTED_VALUE"""),45626.298680555556)</f>
        <v>45626.29868</v>
      </c>
      <c r="H2205" s="24" t="str">
        <f>IFERROR(VLOOKUP(B2205,material!A:D,3,0),"")</f>
        <v>TOP MIX</v>
      </c>
    </row>
    <row r="2206" ht="11.25" customHeight="1">
      <c r="A2206" s="21" t="str">
        <f>IFERROR(__xludf.DUMMYFUNCTION("""COMPUTED_VALUE"""),"SMART CARD PRETO NAGRA")</f>
        <v>SMART CARD PRETO NAGRA</v>
      </c>
      <c r="B2206" s="22">
        <f>IFERROR(__xludf.DUMMYFUNCTION("""COMPUTED_VALUE"""),4.1001234E7)</f>
        <v>41001234</v>
      </c>
      <c r="C2206" s="21" t="str">
        <f>IFERROR(__xludf.DUMMYFUNCTION("""COMPUTED_VALUE"""),"246270523140")</f>
        <v>246270523140</v>
      </c>
      <c r="D2206" s="21" t="str">
        <f>IFERROR(__xludf.DUMMYFUNCTION("""COMPUTED_VALUE"""),"DIGITEC TECNOLOGIA DIGITAL E REPRES")</f>
        <v>DIGITEC TECNOLOGIA DIGITAL E REPRES</v>
      </c>
      <c r="E2206" s="21">
        <f>IFERROR(__xludf.DUMMYFUNCTION("""COMPUTED_VALUE"""),145359.0)</f>
        <v>145359</v>
      </c>
      <c r="F2206" s="21" t="str">
        <f>IFERROR(__xludf.DUMMYFUNCTION("""COMPUTED_VALUE"""),"TRANSITO REVERSA")</f>
        <v>TRANSITO REVERSA</v>
      </c>
      <c r="G2206" s="23">
        <f>IFERROR(__xludf.DUMMYFUNCTION("""COMPUTED_VALUE"""),45617.87240740741)</f>
        <v>45617.87241</v>
      </c>
      <c r="H2206" s="24" t="str">
        <f>IFERROR(VLOOKUP(B2206,material!A:D,3,0),"")</f>
        <v>CARD</v>
      </c>
    </row>
    <row r="2207" ht="11.25" customHeight="1">
      <c r="A2207" s="21" t="str">
        <f>IFERROR(__xludf.DUMMYFUNCTION("""COMPUTED_VALUE"""),"PACE - HIGH DEFINITION DCR7411")</f>
        <v>PACE - HIGH DEFINITION DCR7411</v>
      </c>
      <c r="B2207" s="22">
        <f>IFERROR(__xludf.DUMMYFUNCTION("""COMPUTED_VALUE"""),4.1001216E7)</f>
        <v>41001216</v>
      </c>
      <c r="C2207" s="21" t="str">
        <f>IFERROR(__xludf.DUMMYFUNCTION("""COMPUTED_VALUE"""),"181495934966")</f>
        <v>181495934966</v>
      </c>
      <c r="D2207" s="21" t="str">
        <f>IFERROR(__xludf.DUMMYFUNCTION("""COMPUTED_VALUE"""),"DIGITEC TECNOLOGIA DIGITAL E REPRES")</f>
        <v>DIGITEC TECNOLOGIA DIGITAL E REPRES</v>
      </c>
      <c r="E2207" s="21">
        <f>IFERROR(__xludf.DUMMYFUNCTION("""COMPUTED_VALUE"""),145359.0)</f>
        <v>145359</v>
      </c>
      <c r="F2207" s="21" t="str">
        <f>IFERROR(__xludf.DUMMYFUNCTION("""COMPUTED_VALUE"""),"TRANSITO REVERSA")</f>
        <v>TRANSITO REVERSA</v>
      </c>
      <c r="G2207" s="23">
        <f>IFERROR(__xludf.DUMMYFUNCTION("""COMPUTED_VALUE"""),45617.87137731482)</f>
        <v>45617.87138</v>
      </c>
      <c r="H2207" s="24" t="str">
        <f>IFERROR(VLOOKUP(B2207,material!A:D,3,0),"")</f>
        <v>LEGADO</v>
      </c>
    </row>
    <row r="2208" ht="11.25" customHeight="1">
      <c r="A2208" s="21" t="str">
        <f>IFERROR(__xludf.DUMMYFUNCTION("""COMPUTED_VALUE"""),"SMART CARD LARANJA")</f>
        <v>SMART CARD LARANJA</v>
      </c>
      <c r="B2208" s="22">
        <f>IFERROR(__xludf.DUMMYFUNCTION("""COMPUTED_VALUE"""),4.1001186E7)</f>
        <v>41001186</v>
      </c>
      <c r="C2208" s="21" t="str">
        <f>IFERROR(__xludf.DUMMYFUNCTION("""COMPUTED_VALUE"""),"215581247087")</f>
        <v>215581247087</v>
      </c>
      <c r="D2208" s="21" t="str">
        <f>IFERROR(__xludf.DUMMYFUNCTION("""COMPUTED_VALUE"""),"DIGITEC TECNOLOGIA DIGITAL E REPRES")</f>
        <v>DIGITEC TECNOLOGIA DIGITAL E REPRES</v>
      </c>
      <c r="E2208" s="21">
        <f>IFERROR(__xludf.DUMMYFUNCTION("""COMPUTED_VALUE"""),145359.0)</f>
        <v>145359</v>
      </c>
      <c r="F2208" s="21" t="str">
        <f>IFERROR(__xludf.DUMMYFUNCTION("""COMPUTED_VALUE"""),"TRANSITO REVERSA")</f>
        <v>TRANSITO REVERSA</v>
      </c>
      <c r="G2208" s="23">
        <f>IFERROR(__xludf.DUMMYFUNCTION("""COMPUTED_VALUE"""),45633.00342592593)</f>
        <v>45633.00343</v>
      </c>
      <c r="H2208" s="24" t="str">
        <f>IFERROR(VLOOKUP(B2208,material!A:D,3,0),"")</f>
        <v>CARD</v>
      </c>
    </row>
    <row r="2209" ht="11.25" customHeight="1">
      <c r="A2209" s="21" t="str">
        <f>IFERROR(__xludf.DUMMYFUNCTION("""COMPUTED_VALUE"""),"HUMAX HGB10R-02")</f>
        <v>HUMAX HGB10R-02</v>
      </c>
      <c r="B2209" s="22">
        <f>IFERROR(__xludf.DUMMYFUNCTION("""COMPUTED_VALUE"""),4.1001292E7)</f>
        <v>41001292</v>
      </c>
      <c r="C2209" s="21" t="str">
        <f>IFERROR(__xludf.DUMMYFUNCTION("""COMPUTED_VALUE"""),"E820E20B62A2")</f>
        <v>E820E20B62A2</v>
      </c>
      <c r="D2209" s="21" t="str">
        <f>IFERROR(__xludf.DUMMYFUNCTION("""COMPUTED_VALUE"""),"DIGITEC TECNOLOGIA DIGITAL E REPRES")</f>
        <v>DIGITEC TECNOLOGIA DIGITAL E REPRES</v>
      </c>
      <c r="E2209" s="21">
        <f>IFERROR(__xludf.DUMMYFUNCTION("""COMPUTED_VALUE"""),145359.0)</f>
        <v>145359</v>
      </c>
      <c r="F2209" s="21" t="str">
        <f>IFERROR(__xludf.DUMMYFUNCTION("""COMPUTED_VALUE"""),"SUSPEITO")</f>
        <v>SUSPEITO</v>
      </c>
      <c r="G2209" s="23">
        <f>IFERROR(__xludf.DUMMYFUNCTION("""COMPUTED_VALUE"""),45642.696435185186)</f>
        <v>45642.69644</v>
      </c>
      <c r="H2209" s="24" t="str">
        <f>IFERROR(VLOOKUP(B2209,material!A:D,3,0),"")</f>
        <v>DUAL</v>
      </c>
    </row>
    <row r="2210" ht="11.25" customHeight="1">
      <c r="A2210" s="21" t="str">
        <f>IFERROR(__xludf.DUMMYFUNCTION("""COMPUTED_VALUE"""),"DECODER HD DCI738 2T")</f>
        <v>DECODER HD DCI738 2T</v>
      </c>
      <c r="B2210" s="22">
        <f>IFERROR(__xludf.DUMMYFUNCTION("""COMPUTED_VALUE"""),4.1001275E7)</f>
        <v>41001275</v>
      </c>
      <c r="C2210" s="21" t="str">
        <f>IFERROR(__xludf.DUMMYFUNCTION("""COMPUTED_VALUE"""),"216828534461")</f>
        <v>216828534461</v>
      </c>
      <c r="D2210" s="21" t="str">
        <f>IFERROR(__xludf.DUMMYFUNCTION("""COMPUTED_VALUE"""),"DIGITEC TECNOLOGIA DIGITAL E REPRES")</f>
        <v>DIGITEC TECNOLOGIA DIGITAL E REPRES</v>
      </c>
      <c r="E2210" s="21">
        <f>IFERROR(__xludf.DUMMYFUNCTION("""COMPUTED_VALUE"""),145359.0)</f>
        <v>145359</v>
      </c>
      <c r="F2210" s="21" t="str">
        <f>IFERROR(__xludf.DUMMYFUNCTION("""COMPUTED_VALUE"""),"SUSPEITO")</f>
        <v>SUSPEITO</v>
      </c>
      <c r="G2210" s="23">
        <f>IFERROR(__xludf.DUMMYFUNCTION("""COMPUTED_VALUE"""),45642.44609953703)</f>
        <v>45642.4461</v>
      </c>
      <c r="H2210" s="24" t="str">
        <f>IFERROR(VLOOKUP(B2210,material!A:D,3,0),"")</f>
        <v>TOP MIX</v>
      </c>
    </row>
    <row r="2211" ht="11.25" customHeight="1">
      <c r="A2211" s="21" t="str">
        <f>IFERROR(__xludf.DUMMYFUNCTION("""COMPUTED_VALUE"""),"SMART CARD PRETO NAGRA")</f>
        <v>SMART CARD PRETO NAGRA</v>
      </c>
      <c r="B2211" s="22">
        <f>IFERROR(__xludf.DUMMYFUNCTION("""COMPUTED_VALUE"""),4.1001234E7)</f>
        <v>41001234</v>
      </c>
      <c r="C2211" s="21" t="str">
        <f>IFERROR(__xludf.DUMMYFUNCTION("""COMPUTED_VALUE"""),"226227947390")</f>
        <v>226227947390</v>
      </c>
      <c r="D2211" s="21" t="str">
        <f>IFERROR(__xludf.DUMMYFUNCTION("""COMPUTED_VALUE"""),"DIGITEC TECNOLOGIA DIGITAL E REPRES")</f>
        <v>DIGITEC TECNOLOGIA DIGITAL E REPRES</v>
      </c>
      <c r="E2211" s="21">
        <f>IFERROR(__xludf.DUMMYFUNCTION("""COMPUTED_VALUE"""),145359.0)</f>
        <v>145359</v>
      </c>
      <c r="F2211" s="21" t="str">
        <f>IFERROR(__xludf.DUMMYFUNCTION("""COMPUTED_VALUE"""),"SUSPEITO")</f>
        <v>SUSPEITO</v>
      </c>
      <c r="G2211" s="23">
        <f>IFERROR(__xludf.DUMMYFUNCTION("""COMPUTED_VALUE"""),45622.74232638889)</f>
        <v>45622.74233</v>
      </c>
      <c r="H2211" s="24" t="str">
        <f>IFERROR(VLOOKUP(B2211,material!A:D,3,0),"")</f>
        <v>CARD</v>
      </c>
    </row>
    <row r="2212" ht="11.25" customHeight="1">
      <c r="A2212" s="21" t="str">
        <f>IFERROR(__xludf.DUMMYFUNCTION("""COMPUTED_VALUE"""),"PACE - HIGH DEFINITION DCR7411")</f>
        <v>PACE - HIGH DEFINITION DCR7411</v>
      </c>
      <c r="B2212" s="22">
        <f>IFERROR(__xludf.DUMMYFUNCTION("""COMPUTED_VALUE"""),4.1001216E7)</f>
        <v>41001216</v>
      </c>
      <c r="C2212" s="21" t="str">
        <f>IFERROR(__xludf.DUMMYFUNCTION("""COMPUTED_VALUE"""),"184322160117")</f>
        <v>184322160117</v>
      </c>
      <c r="D2212" s="21" t="str">
        <f>IFERROR(__xludf.DUMMYFUNCTION("""COMPUTED_VALUE"""),"DIGITEC TECNOLOGIA DIGITAL E REPRES")</f>
        <v>DIGITEC TECNOLOGIA DIGITAL E REPRES</v>
      </c>
      <c r="E2212" s="21">
        <f>IFERROR(__xludf.DUMMYFUNCTION("""COMPUTED_VALUE"""),145359.0)</f>
        <v>145359</v>
      </c>
      <c r="F2212" s="21" t="str">
        <f>IFERROR(__xludf.DUMMYFUNCTION("""COMPUTED_VALUE"""),"SUSPEITO")</f>
        <v>SUSPEITO</v>
      </c>
      <c r="G2212" s="23">
        <f>IFERROR(__xludf.DUMMYFUNCTION("""COMPUTED_VALUE"""),45614.62697916667)</f>
        <v>45614.62698</v>
      </c>
      <c r="H2212" s="24" t="str">
        <f>IFERROR(VLOOKUP(B2212,material!A:D,3,0),"")</f>
        <v>LEGADO</v>
      </c>
    </row>
    <row r="2213" ht="11.25" customHeight="1">
      <c r="A2213" s="21" t="str">
        <f>IFERROR(__xludf.DUMMYFUNCTION("""COMPUTED_VALUE"""),"SMART CARD PRETO NAGRA")</f>
        <v>SMART CARD PRETO NAGRA</v>
      </c>
      <c r="B2213" s="22">
        <f>IFERROR(__xludf.DUMMYFUNCTION("""COMPUTED_VALUE"""),4.1001234E7)</f>
        <v>41001234</v>
      </c>
      <c r="C2213" s="21" t="str">
        <f>IFERROR(__xludf.DUMMYFUNCTION("""COMPUTED_VALUE"""),"226130531924")</f>
        <v>226130531924</v>
      </c>
      <c r="D2213" s="21" t="str">
        <f>IFERROR(__xludf.DUMMYFUNCTION("""COMPUTED_VALUE"""),"DIGITEC TECNOLOGIA DIGITAL E REPRES")</f>
        <v>DIGITEC TECNOLOGIA DIGITAL E REPRES</v>
      </c>
      <c r="E2213" s="21">
        <f>IFERROR(__xludf.DUMMYFUNCTION("""COMPUTED_VALUE"""),145359.0)</f>
        <v>145359</v>
      </c>
      <c r="F2213" s="21" t="str">
        <f>IFERROR(__xludf.DUMMYFUNCTION("""COMPUTED_VALUE"""),"COM DEFEITO")</f>
        <v>COM DEFEITO</v>
      </c>
      <c r="G2213" s="23">
        <f>IFERROR(__xludf.DUMMYFUNCTION("""COMPUTED_VALUE"""),45617.71434027777)</f>
        <v>45617.71434</v>
      </c>
      <c r="H2213" s="24" t="str">
        <f>IFERROR(VLOOKUP(B2213,material!A:D,3,0),"")</f>
        <v>CARD</v>
      </c>
    </row>
    <row r="2214" ht="11.25" customHeight="1">
      <c r="A2214" s="21" t="str">
        <f>IFERROR(__xludf.DUMMYFUNCTION("""COMPUTED_VALUE"""),"DECODER HD DCI738 2T")</f>
        <v>DECODER HD DCI738 2T</v>
      </c>
      <c r="B2214" s="22">
        <f>IFERROR(__xludf.DUMMYFUNCTION("""COMPUTED_VALUE"""),4.1001275E7)</f>
        <v>41001275</v>
      </c>
      <c r="C2214" s="21" t="str">
        <f>IFERROR(__xludf.DUMMYFUNCTION("""COMPUTED_VALUE"""),"216847093343")</f>
        <v>216847093343</v>
      </c>
      <c r="D2214" s="21" t="str">
        <f>IFERROR(__xludf.DUMMYFUNCTION("""COMPUTED_VALUE"""),"DIGITEC TECNOLOGIA DIGITAL E REPRES")</f>
        <v>DIGITEC TECNOLOGIA DIGITAL E REPRES</v>
      </c>
      <c r="E2214" s="21">
        <f>IFERROR(__xludf.DUMMYFUNCTION("""COMPUTED_VALUE"""),145359.0)</f>
        <v>145359</v>
      </c>
      <c r="F2214" s="21" t="str">
        <f>IFERROR(__xludf.DUMMYFUNCTION("""COMPUTED_VALUE"""),"INICIALIZADO")</f>
        <v>INICIALIZADO</v>
      </c>
      <c r="G2214" s="23">
        <f>IFERROR(__xludf.DUMMYFUNCTION("""COMPUTED_VALUE"""),45516.4197337963)</f>
        <v>45516.41973</v>
      </c>
      <c r="H2214" s="24" t="str">
        <f>IFERROR(VLOOKUP(B2214,material!A:D,3,0),"")</f>
        <v>TOP MIX</v>
      </c>
    </row>
    <row r="2215" ht="11.25" customHeight="1">
      <c r="A2215" s="21" t="str">
        <f>IFERROR(__xludf.DUMMYFUNCTION("""COMPUTED_VALUE"""),"DECODER DIGITAL HD DXC5000 2T")</f>
        <v>DECODER DIGITAL HD DXC5000 2T</v>
      </c>
      <c r="B2215" s="22">
        <f>IFERROR(__xludf.DUMMYFUNCTION("""COMPUTED_VALUE"""),4.1001277E7)</f>
        <v>41001277</v>
      </c>
      <c r="C2215" s="21" t="str">
        <f>IFERROR(__xludf.DUMMYFUNCTION("""COMPUTED_VALUE"""),"216765327091")</f>
        <v>216765327091</v>
      </c>
      <c r="D2215" s="21" t="str">
        <f>IFERROR(__xludf.DUMMYFUNCTION("""COMPUTED_VALUE"""),"DIGITEC TECNOLOGIA DIGITAL E REPRES")</f>
        <v>DIGITEC TECNOLOGIA DIGITAL E REPRES</v>
      </c>
      <c r="E2215" s="21">
        <f>IFERROR(__xludf.DUMMYFUNCTION("""COMPUTED_VALUE"""),145359.0)</f>
        <v>145359</v>
      </c>
      <c r="F2215" s="21" t="str">
        <f>IFERROR(__xludf.DUMMYFUNCTION("""COMPUTED_VALUE"""),"INICIALIZADO")</f>
        <v>INICIALIZADO</v>
      </c>
      <c r="G2215" s="23">
        <f>IFERROR(__xludf.DUMMYFUNCTION("""COMPUTED_VALUE"""),45600.476006944446)</f>
        <v>45600.47601</v>
      </c>
      <c r="H2215" s="24" t="str">
        <f>IFERROR(VLOOKUP(B2215,material!A:D,3,0),"")</f>
        <v>TOP MIX</v>
      </c>
    </row>
    <row r="2216" ht="11.25" customHeight="1">
      <c r="A2216" s="21" t="str">
        <f>IFERROR(__xludf.DUMMYFUNCTION("""COMPUTED_VALUE"""),"DECODER DIGITAL HD HNB100 2T")</f>
        <v>DECODER DIGITAL HD HNB100 2T</v>
      </c>
      <c r="B2216" s="22">
        <f>IFERROR(__xludf.DUMMYFUNCTION("""COMPUTED_VALUE"""),4.1001276E7)</f>
        <v>41001276</v>
      </c>
      <c r="C2216" s="21" t="str">
        <f>IFERROR(__xludf.DUMMYFUNCTION("""COMPUTED_VALUE"""),"216355324956")</f>
        <v>216355324956</v>
      </c>
      <c r="D2216" s="21" t="str">
        <f>IFERROR(__xludf.DUMMYFUNCTION("""COMPUTED_VALUE"""),"DIGITEC TECNOLOGIA DIGITAL E REPRES")</f>
        <v>DIGITEC TECNOLOGIA DIGITAL E REPRES</v>
      </c>
      <c r="E2216" s="21">
        <f>IFERROR(__xludf.DUMMYFUNCTION("""COMPUTED_VALUE"""),145359.0)</f>
        <v>145359</v>
      </c>
      <c r="F2216" s="21" t="str">
        <f>IFERROR(__xludf.DUMMYFUNCTION("""COMPUTED_VALUE"""),"INICIALIZADO")</f>
        <v>INICIALIZADO</v>
      </c>
      <c r="G2216" s="23">
        <f>IFERROR(__xludf.DUMMYFUNCTION("""COMPUTED_VALUE"""),45635.535057870366)</f>
        <v>45635.53506</v>
      </c>
      <c r="H2216" s="24" t="str">
        <f>IFERROR(VLOOKUP(B2216,material!A:D,3,0),"")</f>
        <v>TOP MIX</v>
      </c>
    </row>
    <row r="2217" ht="11.25" customHeight="1">
      <c r="A2217" s="21" t="str">
        <f>IFERROR(__xludf.DUMMYFUNCTION("""COMPUTED_VALUE"""),"SMART CARD PRETO NAGRA")</f>
        <v>SMART CARD PRETO NAGRA</v>
      </c>
      <c r="B2217" s="22">
        <f>IFERROR(__xludf.DUMMYFUNCTION("""COMPUTED_VALUE"""),4.1001234E7)</f>
        <v>41001234</v>
      </c>
      <c r="C2217" s="21" t="str">
        <f>IFERROR(__xludf.DUMMYFUNCTION("""COMPUTED_VALUE"""),"246155687880")</f>
        <v>246155687880</v>
      </c>
      <c r="D2217" s="21" t="str">
        <f>IFERROR(__xludf.DUMMYFUNCTION("""COMPUTED_VALUE"""),"DIGITEC TECNOLOGIA DIGITAL E REPRES")</f>
        <v>DIGITEC TECNOLOGIA DIGITAL E REPRES</v>
      </c>
      <c r="E2217" s="21">
        <f>IFERROR(__xludf.DUMMYFUNCTION("""COMPUTED_VALUE"""),145359.0)</f>
        <v>145359</v>
      </c>
      <c r="F2217" s="21" t="str">
        <f>IFERROR(__xludf.DUMMYFUNCTION("""COMPUTED_VALUE"""),"INICIALIZADO")</f>
        <v>INICIALIZADO</v>
      </c>
      <c r="G2217" s="23">
        <f>IFERROR(__xludf.DUMMYFUNCTION("""COMPUTED_VALUE"""),45385.497986111106)</f>
        <v>45385.49799</v>
      </c>
      <c r="H2217" s="24" t="str">
        <f>IFERROR(VLOOKUP(B2217,material!A:D,3,0),"")</f>
        <v>CARD</v>
      </c>
    </row>
    <row r="2218" ht="11.25" customHeight="1">
      <c r="A2218" s="21" t="str">
        <f>IFERROR(__xludf.DUMMYFUNCTION("""COMPUTED_VALUE"""),"SMART CARD PRETO NAGRA")</f>
        <v>SMART CARD PRETO NAGRA</v>
      </c>
      <c r="B2218" s="22">
        <f>IFERROR(__xludf.DUMMYFUNCTION("""COMPUTED_VALUE"""),4.1001234E7)</f>
        <v>41001234</v>
      </c>
      <c r="C2218" s="21" t="str">
        <f>IFERROR(__xludf.DUMMYFUNCTION("""COMPUTED_VALUE"""),"226131410203")</f>
        <v>226131410203</v>
      </c>
      <c r="D2218" s="21" t="str">
        <f>IFERROR(__xludf.DUMMYFUNCTION("""COMPUTED_VALUE"""),"DIGITEC TECNOLOGIA DIGITAL E REPRES")</f>
        <v>DIGITEC TECNOLOGIA DIGITAL E REPRES</v>
      </c>
      <c r="E2218" s="21">
        <f>IFERROR(__xludf.DUMMYFUNCTION("""COMPUTED_VALUE"""),145359.0)</f>
        <v>145359</v>
      </c>
      <c r="F2218" s="21" t="str">
        <f>IFERROR(__xludf.DUMMYFUNCTION("""COMPUTED_VALUE"""),"INICIALIZADO")</f>
        <v>INICIALIZADO</v>
      </c>
      <c r="G2218" s="23">
        <f>IFERROR(__xludf.DUMMYFUNCTION("""COMPUTED_VALUE"""),45615.61853009259)</f>
        <v>45615.61853</v>
      </c>
      <c r="H2218" s="24" t="str">
        <f>IFERROR(VLOOKUP(B2218,material!A:D,3,0),"")</f>
        <v>CARD</v>
      </c>
    </row>
    <row r="2219" ht="11.25" customHeight="1">
      <c r="A2219" s="21" t="str">
        <f>IFERROR(__xludf.DUMMYFUNCTION("""COMPUTED_VALUE"""),"SMART CARD PRETO NAGRA")</f>
        <v>SMART CARD PRETO NAGRA</v>
      </c>
      <c r="B2219" s="22">
        <f>IFERROR(__xludf.DUMMYFUNCTION("""COMPUTED_VALUE"""),4.1001234E7)</f>
        <v>41001234</v>
      </c>
      <c r="C2219" s="21" t="str">
        <f>IFERROR(__xludf.DUMMYFUNCTION("""COMPUTED_VALUE"""),"246296496976")</f>
        <v>246296496976</v>
      </c>
      <c r="D2219" s="21" t="str">
        <f>IFERROR(__xludf.DUMMYFUNCTION("""COMPUTED_VALUE"""),"DIGITEC TECNOLOGIA DIGITAL E REPRES")</f>
        <v>DIGITEC TECNOLOGIA DIGITAL E REPRES</v>
      </c>
      <c r="E2219" s="21">
        <f>IFERROR(__xludf.DUMMYFUNCTION("""COMPUTED_VALUE"""),145359.0)</f>
        <v>145359</v>
      </c>
      <c r="F2219" s="21" t="str">
        <f>IFERROR(__xludf.DUMMYFUNCTION("""COMPUTED_VALUE"""),"INICIALIZADO")</f>
        <v>INICIALIZADO</v>
      </c>
      <c r="G2219" s="23">
        <f>IFERROR(__xludf.DUMMYFUNCTION("""COMPUTED_VALUE"""),45615.61854166667)</f>
        <v>45615.61854</v>
      </c>
      <c r="H2219" s="24" t="str">
        <f>IFERROR(VLOOKUP(B2219,material!A:D,3,0),"")</f>
        <v>CARD</v>
      </c>
    </row>
    <row r="2220" ht="11.25" customHeight="1">
      <c r="A2220" s="21" t="str">
        <f>IFERROR(__xludf.DUMMYFUNCTION("""COMPUTED_VALUE"""),"SMART CARD PRETO NAGRA")</f>
        <v>SMART CARD PRETO NAGRA</v>
      </c>
      <c r="B2220" s="22">
        <f>IFERROR(__xludf.DUMMYFUNCTION("""COMPUTED_VALUE"""),4.1001234E7)</f>
        <v>41001234</v>
      </c>
      <c r="C2220" s="21" t="str">
        <f>IFERROR(__xludf.DUMMYFUNCTION("""COMPUTED_VALUE"""),"246295791319")</f>
        <v>246295791319</v>
      </c>
      <c r="D2220" s="21" t="str">
        <f>IFERROR(__xludf.DUMMYFUNCTION("""COMPUTED_VALUE"""),"DIGITEC TECNOLOGIA DIGITAL E REPRES")</f>
        <v>DIGITEC TECNOLOGIA DIGITAL E REPRES</v>
      </c>
      <c r="E2220" s="21">
        <f>IFERROR(__xludf.DUMMYFUNCTION("""COMPUTED_VALUE"""),145359.0)</f>
        <v>145359</v>
      </c>
      <c r="F2220" s="21" t="str">
        <f>IFERROR(__xludf.DUMMYFUNCTION("""COMPUTED_VALUE"""),"INICIALIZADO")</f>
        <v>INICIALIZADO</v>
      </c>
      <c r="G2220" s="23">
        <f>IFERROR(__xludf.DUMMYFUNCTION("""COMPUTED_VALUE"""),45615.61853009259)</f>
        <v>45615.61853</v>
      </c>
      <c r="H2220" s="24" t="str">
        <f>IFERROR(VLOOKUP(B2220,material!A:D,3,0),"")</f>
        <v>CARD</v>
      </c>
    </row>
    <row r="2221" ht="11.25" customHeight="1">
      <c r="A2221" s="21" t="str">
        <f>IFERROR(__xludf.DUMMYFUNCTION("""COMPUTED_VALUE"""),"SMART CARD PRETO NAGRA")</f>
        <v>SMART CARD PRETO NAGRA</v>
      </c>
      <c r="B2221" s="22">
        <f>IFERROR(__xludf.DUMMYFUNCTION("""COMPUTED_VALUE"""),4.1001234E7)</f>
        <v>41001234</v>
      </c>
      <c r="C2221" s="21" t="str">
        <f>IFERROR(__xludf.DUMMYFUNCTION("""COMPUTED_VALUE"""),"226160220613")</f>
        <v>226160220613</v>
      </c>
      <c r="D2221" s="21" t="str">
        <f>IFERROR(__xludf.DUMMYFUNCTION("""COMPUTED_VALUE"""),"DIGITEC TECNOLOGIA DIGITAL E REPRES")</f>
        <v>DIGITEC TECNOLOGIA DIGITAL E REPRES</v>
      </c>
      <c r="E2221" s="21">
        <f>IFERROR(__xludf.DUMMYFUNCTION("""COMPUTED_VALUE"""),145359.0)</f>
        <v>145359</v>
      </c>
      <c r="F2221" s="21" t="str">
        <f>IFERROR(__xludf.DUMMYFUNCTION("""COMPUTED_VALUE"""),"INICIALIZADO")</f>
        <v>INICIALIZADO</v>
      </c>
      <c r="G2221" s="23">
        <f>IFERROR(__xludf.DUMMYFUNCTION("""COMPUTED_VALUE"""),45615.61854166667)</f>
        <v>45615.61854</v>
      </c>
      <c r="H2221" s="24" t="str">
        <f>IFERROR(VLOOKUP(B2221,material!A:D,3,0),"")</f>
        <v>CARD</v>
      </c>
    </row>
    <row r="2222" ht="11.25" customHeight="1">
      <c r="A2222" s="21" t="str">
        <f>IFERROR(__xludf.DUMMYFUNCTION("""COMPUTED_VALUE"""),"SMART CARD PRETO NAGRA")</f>
        <v>SMART CARD PRETO NAGRA</v>
      </c>
      <c r="B2222" s="22">
        <f>IFERROR(__xludf.DUMMYFUNCTION("""COMPUTED_VALUE"""),4.1001234E7)</f>
        <v>41001234</v>
      </c>
      <c r="C2222" s="21" t="str">
        <f>IFERROR(__xludf.DUMMYFUNCTION("""COMPUTED_VALUE"""),"226329346478")</f>
        <v>226329346478</v>
      </c>
      <c r="D2222" s="21" t="str">
        <f>IFERROR(__xludf.DUMMYFUNCTION("""COMPUTED_VALUE"""),"DIGITEC TECNOLOGIA DIGITAL E REPRES")</f>
        <v>DIGITEC TECNOLOGIA DIGITAL E REPRES</v>
      </c>
      <c r="E2222" s="21">
        <f>IFERROR(__xludf.DUMMYFUNCTION("""COMPUTED_VALUE"""),145359.0)</f>
        <v>145359</v>
      </c>
      <c r="F2222" s="21" t="str">
        <f>IFERROR(__xludf.DUMMYFUNCTION("""COMPUTED_VALUE"""),"INICIALIZADO")</f>
        <v>INICIALIZADO</v>
      </c>
      <c r="G2222" s="23">
        <f>IFERROR(__xludf.DUMMYFUNCTION("""COMPUTED_VALUE"""),45635.53497685185)</f>
        <v>45635.53498</v>
      </c>
      <c r="H2222" s="24" t="str">
        <f>IFERROR(VLOOKUP(B2222,material!A:D,3,0),"")</f>
        <v>CARD</v>
      </c>
    </row>
    <row r="2223" ht="11.25" customHeight="1">
      <c r="A2223" s="21" t="str">
        <f>IFERROR(__xludf.DUMMYFUNCTION("""COMPUTED_VALUE"""),"SMART CARD PRETO NAGRA")</f>
        <v>SMART CARD PRETO NAGRA</v>
      </c>
      <c r="B2223" s="22">
        <f>IFERROR(__xludf.DUMMYFUNCTION("""COMPUTED_VALUE"""),4.1001234E7)</f>
        <v>41001234</v>
      </c>
      <c r="C2223" s="21" t="str">
        <f>IFERROR(__xludf.DUMMYFUNCTION("""COMPUTED_VALUE"""),"226109962038")</f>
        <v>226109962038</v>
      </c>
      <c r="D2223" s="21" t="str">
        <f>IFERROR(__xludf.DUMMYFUNCTION("""COMPUTED_VALUE"""),"DIGITEC TECNOLOGIA DIGITAL E REPRES")</f>
        <v>DIGITEC TECNOLOGIA DIGITAL E REPRES</v>
      </c>
      <c r="E2223" s="21">
        <f>IFERROR(__xludf.DUMMYFUNCTION("""COMPUTED_VALUE"""),145359.0)</f>
        <v>145359</v>
      </c>
      <c r="F2223" s="21" t="str">
        <f>IFERROR(__xludf.DUMMYFUNCTION("""COMPUTED_VALUE"""),"INICIALIZADO")</f>
        <v>INICIALIZADO</v>
      </c>
      <c r="G2223" s="23">
        <f>IFERROR(__xludf.DUMMYFUNCTION("""COMPUTED_VALUE"""),45454.553506944445)</f>
        <v>45454.55351</v>
      </c>
      <c r="H2223" s="24" t="str">
        <f>IFERROR(VLOOKUP(B2223,material!A:D,3,0),"")</f>
        <v>CARD</v>
      </c>
    </row>
    <row r="2224" ht="11.25" customHeight="1">
      <c r="A2224" s="21" t="str">
        <f>IFERROR(__xludf.DUMMYFUNCTION("""COMPUTED_VALUE"""),"SMART CARD PRETO NAGRA")</f>
        <v>SMART CARD PRETO NAGRA</v>
      </c>
      <c r="B2224" s="22">
        <f>IFERROR(__xludf.DUMMYFUNCTION("""COMPUTED_VALUE"""),4.1001234E7)</f>
        <v>41001234</v>
      </c>
      <c r="C2224" s="21" t="str">
        <f>IFERROR(__xludf.DUMMYFUNCTION("""COMPUTED_VALUE"""),"226400764750")</f>
        <v>226400764750</v>
      </c>
      <c r="D2224" s="21" t="str">
        <f>IFERROR(__xludf.DUMMYFUNCTION("""COMPUTED_VALUE"""),"DIGITEC TECNOLOGIA DIGITAL E REPRES")</f>
        <v>DIGITEC TECNOLOGIA DIGITAL E REPRES</v>
      </c>
      <c r="E2224" s="21">
        <f>IFERROR(__xludf.DUMMYFUNCTION("""COMPUTED_VALUE"""),145359.0)</f>
        <v>145359</v>
      </c>
      <c r="F2224" s="21" t="str">
        <f>IFERROR(__xludf.DUMMYFUNCTION("""COMPUTED_VALUE"""),"INICIALIZADO")</f>
        <v>INICIALIZADO</v>
      </c>
      <c r="G2224" s="23">
        <f>IFERROR(__xludf.DUMMYFUNCTION("""COMPUTED_VALUE"""),45615.61853009259)</f>
        <v>45615.61853</v>
      </c>
      <c r="H2224" s="24" t="str">
        <f>IFERROR(VLOOKUP(B2224,material!A:D,3,0),"")</f>
        <v>CARD</v>
      </c>
    </row>
    <row r="2225" ht="11.25" customHeight="1">
      <c r="A2225" s="21" t="str">
        <f>IFERROR(__xludf.DUMMYFUNCTION("""COMPUTED_VALUE"""),"SMART CARD PRETO NAGRA")</f>
        <v>SMART CARD PRETO NAGRA</v>
      </c>
      <c r="B2225" s="22">
        <f>IFERROR(__xludf.DUMMYFUNCTION("""COMPUTED_VALUE"""),4.1001234E7)</f>
        <v>41001234</v>
      </c>
      <c r="C2225" s="21" t="str">
        <f>IFERROR(__xludf.DUMMYFUNCTION("""COMPUTED_VALUE"""),"246053460116")</f>
        <v>246053460116</v>
      </c>
      <c r="D2225" s="21" t="str">
        <f>IFERROR(__xludf.DUMMYFUNCTION("""COMPUTED_VALUE"""),"DIGITEC TECNOLOGIA DIGITAL E REPRES")</f>
        <v>DIGITEC TECNOLOGIA DIGITAL E REPRES</v>
      </c>
      <c r="E2225" s="21">
        <f>IFERROR(__xludf.DUMMYFUNCTION("""COMPUTED_VALUE"""),145359.0)</f>
        <v>145359</v>
      </c>
      <c r="F2225" s="21" t="str">
        <f>IFERROR(__xludf.DUMMYFUNCTION("""COMPUTED_VALUE"""),"INICIALIZADO")</f>
        <v>INICIALIZADO</v>
      </c>
      <c r="G2225" s="23">
        <f>IFERROR(__xludf.DUMMYFUNCTION("""COMPUTED_VALUE"""),45615.61854166667)</f>
        <v>45615.61854</v>
      </c>
      <c r="H2225" s="24" t="str">
        <f>IFERROR(VLOOKUP(B2225,material!A:D,3,0),"")</f>
        <v>CARD</v>
      </c>
    </row>
    <row r="2226" ht="11.25" customHeight="1">
      <c r="A2226" s="21" t="str">
        <f>IFERROR(__xludf.DUMMYFUNCTION("""COMPUTED_VALUE"""),"SMART CARD LARANJA NAGRA")</f>
        <v>SMART CARD LARANJA NAGRA</v>
      </c>
      <c r="B2226" s="22">
        <f>IFERROR(__xludf.DUMMYFUNCTION("""COMPUTED_VALUE"""),4.1001186E7)</f>
        <v>41001186</v>
      </c>
      <c r="C2226" s="21" t="str">
        <f>IFERROR(__xludf.DUMMYFUNCTION("""COMPUTED_VALUE"""),"226559982332")</f>
        <v>226559982332</v>
      </c>
      <c r="D2226" s="21" t="str">
        <f>IFERROR(__xludf.DUMMYFUNCTION("""COMPUTED_VALUE"""),"DIGITEC TECNOLOGIA DIGITAL E REPRES")</f>
        <v>DIGITEC TECNOLOGIA DIGITAL E REPRES</v>
      </c>
      <c r="E2226" s="21">
        <f>IFERROR(__xludf.DUMMYFUNCTION("""COMPUTED_VALUE"""),145359.0)</f>
        <v>145359</v>
      </c>
      <c r="F2226" s="21" t="str">
        <f>IFERROR(__xludf.DUMMYFUNCTION("""COMPUTED_VALUE"""),"INICIALIZADO")</f>
        <v>INICIALIZADO</v>
      </c>
      <c r="G2226" s="23">
        <f>IFERROR(__xludf.DUMMYFUNCTION("""COMPUTED_VALUE"""),45573.66674768519)</f>
        <v>45573.66675</v>
      </c>
      <c r="H2226" s="24" t="str">
        <f>IFERROR(VLOOKUP(B2226,material!A:D,3,0),"")</f>
        <v>CARD</v>
      </c>
    </row>
    <row r="2227" ht="11.25" customHeight="1">
      <c r="A2227" s="21" t="str">
        <f>IFERROR(__xludf.DUMMYFUNCTION("""COMPUTED_VALUE"""),"DECODER DIGITAL HD HNB100 2T")</f>
        <v>DECODER DIGITAL HD HNB100 2T</v>
      </c>
      <c r="B2227" s="22">
        <f>IFERROR(__xludf.DUMMYFUNCTION("""COMPUTED_VALUE"""),4.1001276E7)</f>
        <v>41001276</v>
      </c>
      <c r="C2227" s="21" t="str">
        <f>IFERROR(__xludf.DUMMYFUNCTION("""COMPUTED_VALUE"""),"216352870520")</f>
        <v>216352870520</v>
      </c>
      <c r="D2227" s="21" t="str">
        <f>IFERROR(__xludf.DUMMYFUNCTION("""COMPUTED_VALUE"""),"DIGITEC TECNOLOGIA DIGITAL E REPRES")</f>
        <v>DIGITEC TECNOLOGIA DIGITAL E REPRES</v>
      </c>
      <c r="E2227" s="21">
        <f>IFERROR(__xludf.DUMMYFUNCTION("""COMPUTED_VALUE"""),145359.0)</f>
        <v>145359</v>
      </c>
      <c r="F2227" s="21" t="str">
        <f>IFERROR(__xludf.DUMMYFUNCTION("""COMPUTED_VALUE"""),"SUSPEITO")</f>
        <v>SUSPEITO</v>
      </c>
      <c r="G2227" s="23">
        <f>IFERROR(__xludf.DUMMYFUNCTION("""COMPUTED_VALUE"""),45640.60849537037)</f>
        <v>45640.6085</v>
      </c>
      <c r="H2227" s="24" t="str">
        <f>IFERROR(VLOOKUP(B2227,material!A:D,3,0),"")</f>
        <v>TOP MIX</v>
      </c>
    </row>
    <row r="2228" ht="11.25" customHeight="1">
      <c r="A2228" s="21" t="str">
        <f>IFERROR(__xludf.DUMMYFUNCTION("""COMPUTED_VALUE"""),"SMART CARD PRETO NAGRA")</f>
        <v>SMART CARD PRETO NAGRA</v>
      </c>
      <c r="B2228" s="22">
        <f>IFERROR(__xludf.DUMMYFUNCTION("""COMPUTED_VALUE"""),4.1001234E7)</f>
        <v>41001234</v>
      </c>
      <c r="C2228" s="21" t="str">
        <f>IFERROR(__xludf.DUMMYFUNCTION("""COMPUTED_VALUE"""),"226249653134")</f>
        <v>226249653134</v>
      </c>
      <c r="D2228" s="21" t="str">
        <f>IFERROR(__xludf.DUMMYFUNCTION("""COMPUTED_VALUE"""),"DIGITEC TECNOLOGIA DIGITAL E REPRES")</f>
        <v>DIGITEC TECNOLOGIA DIGITAL E REPRES</v>
      </c>
      <c r="E2228" s="21">
        <f>IFERROR(__xludf.DUMMYFUNCTION("""COMPUTED_VALUE"""),145359.0)</f>
        <v>145359</v>
      </c>
      <c r="F2228" s="21" t="str">
        <f>IFERROR(__xludf.DUMMYFUNCTION("""COMPUTED_VALUE"""),"INICIALIZADO")</f>
        <v>INICIALIZADO</v>
      </c>
      <c r="G2228" s="23">
        <f>IFERROR(__xludf.DUMMYFUNCTION("""COMPUTED_VALUE"""),45635.53494212963)</f>
        <v>45635.53494</v>
      </c>
      <c r="H2228" s="24" t="str">
        <f>IFERROR(VLOOKUP(B2228,material!A:D,3,0),"")</f>
        <v>CARD</v>
      </c>
    </row>
    <row r="2229" ht="11.25" customHeight="1">
      <c r="A2229" s="21" t="str">
        <f>IFERROR(__xludf.DUMMYFUNCTION("""COMPUTED_VALUE"""),"SMART CARD PRETO NAGRA")</f>
        <v>SMART CARD PRETO NAGRA</v>
      </c>
      <c r="B2229" s="22">
        <f>IFERROR(__xludf.DUMMYFUNCTION("""COMPUTED_VALUE"""),4.1001234E7)</f>
        <v>41001234</v>
      </c>
      <c r="C2229" s="21" t="str">
        <f>IFERROR(__xludf.DUMMYFUNCTION("""COMPUTED_VALUE"""),"226306071121")</f>
        <v>226306071121</v>
      </c>
      <c r="D2229" s="21" t="str">
        <f>IFERROR(__xludf.DUMMYFUNCTION("""COMPUTED_VALUE"""),"DIGITEC TECNOLOGIA DIGITAL E REPRES")</f>
        <v>DIGITEC TECNOLOGIA DIGITAL E REPRES</v>
      </c>
      <c r="E2229" s="21">
        <f>IFERROR(__xludf.DUMMYFUNCTION("""COMPUTED_VALUE"""),145359.0)</f>
        <v>145359</v>
      </c>
      <c r="F2229" s="21" t="str">
        <f>IFERROR(__xludf.DUMMYFUNCTION("""COMPUTED_VALUE"""),"INICIALIZADO")</f>
        <v>INICIALIZADO</v>
      </c>
      <c r="G2229" s="23">
        <f>IFERROR(__xludf.DUMMYFUNCTION("""COMPUTED_VALUE"""),45373.42556712963)</f>
        <v>45373.42557</v>
      </c>
      <c r="H2229" s="24" t="str">
        <f>IFERROR(VLOOKUP(B2229,material!A:D,3,0),"")</f>
        <v>CARD</v>
      </c>
    </row>
    <row r="2230" ht="11.25" customHeight="1">
      <c r="A2230" s="21" t="str">
        <f>IFERROR(__xludf.DUMMYFUNCTION("""COMPUTED_VALUE"""),"SMART CARD PRETO NAGRA")</f>
        <v>SMART CARD PRETO NAGRA</v>
      </c>
      <c r="B2230" s="22">
        <f>IFERROR(__xludf.DUMMYFUNCTION("""COMPUTED_VALUE"""),4.1001234E7)</f>
        <v>41001234</v>
      </c>
      <c r="C2230" s="21" t="str">
        <f>IFERROR(__xludf.DUMMYFUNCTION("""COMPUTED_VALUE"""),"226166350325")</f>
        <v>226166350325</v>
      </c>
      <c r="D2230" s="21" t="str">
        <f>IFERROR(__xludf.DUMMYFUNCTION("""COMPUTED_VALUE"""),"DIGITEC TECNOLOGIA DIGITAL E REPRES")</f>
        <v>DIGITEC TECNOLOGIA DIGITAL E REPRES</v>
      </c>
      <c r="E2230" s="21">
        <f>IFERROR(__xludf.DUMMYFUNCTION("""COMPUTED_VALUE"""),145359.0)</f>
        <v>145359</v>
      </c>
      <c r="F2230" s="21" t="str">
        <f>IFERROR(__xludf.DUMMYFUNCTION("""COMPUTED_VALUE"""),"INICIALIZADO")</f>
        <v>INICIALIZADO</v>
      </c>
      <c r="G2230" s="23">
        <f>IFERROR(__xludf.DUMMYFUNCTION("""COMPUTED_VALUE"""),45635.53494212963)</f>
        <v>45635.53494</v>
      </c>
      <c r="H2230" s="24" t="str">
        <f>IFERROR(VLOOKUP(B2230,material!A:D,3,0),"")</f>
        <v>CARD</v>
      </c>
    </row>
    <row r="2231" ht="11.25" customHeight="1">
      <c r="A2231" s="21" t="str">
        <f>IFERROR(__xludf.DUMMYFUNCTION("""COMPUTED_VALUE"""),"ARRIS TG1692A")</f>
        <v>ARRIS TG1692A</v>
      </c>
      <c r="B2231" s="22">
        <f>IFERROR(__xludf.DUMMYFUNCTION("""COMPUTED_VALUE"""),4.1001293E7)</f>
        <v>41001293</v>
      </c>
      <c r="C2231" s="21" t="str">
        <f>IFERROR(__xludf.DUMMYFUNCTION("""COMPUTED_VALUE"""),"5819F844BE8C")</f>
        <v>5819F844BE8C</v>
      </c>
      <c r="D2231" s="21" t="str">
        <f>IFERROR(__xludf.DUMMYFUNCTION("""COMPUTED_VALUE"""),"DIGITEC TECNOLOGIA DIGITAL E REPRES")</f>
        <v>DIGITEC TECNOLOGIA DIGITAL E REPRES</v>
      </c>
      <c r="E2231" s="21">
        <f>IFERROR(__xludf.DUMMYFUNCTION("""COMPUTED_VALUE"""),145359.0)</f>
        <v>145359</v>
      </c>
      <c r="F2231" s="21" t="str">
        <f>IFERROR(__xludf.DUMMYFUNCTION("""COMPUTED_VALUE"""),"COM DEFEITO")</f>
        <v>COM DEFEITO</v>
      </c>
      <c r="G2231" s="23">
        <f>IFERROR(__xludf.DUMMYFUNCTION("""COMPUTED_VALUE"""),45617.71240740741)</f>
        <v>45617.71241</v>
      </c>
      <c r="H2231" s="24" t="str">
        <f>IFERROR(VLOOKUP(B2231,material!A:D,3,0),"")</f>
        <v>DUAL</v>
      </c>
    </row>
    <row r="2232" ht="11.25" customHeight="1">
      <c r="A2232" s="21" t="str">
        <f>IFERROR(__xludf.DUMMYFUNCTION("""COMPUTED_VALUE"""),"PACE - HIGH DEFINITION DCR7411")</f>
        <v>PACE - HIGH DEFINITION DCR7411</v>
      </c>
      <c r="B2232" s="22">
        <f>IFERROR(__xludf.DUMMYFUNCTION("""COMPUTED_VALUE"""),4.1001216E7)</f>
        <v>41001216</v>
      </c>
      <c r="C2232" s="21" t="str">
        <f>IFERROR(__xludf.DUMMYFUNCTION("""COMPUTED_VALUE"""),"181446776868")</f>
        <v>181446776868</v>
      </c>
      <c r="D2232" s="21" t="str">
        <f>IFERROR(__xludf.DUMMYFUNCTION("""COMPUTED_VALUE"""),"DIGITEC TECNOLOGIA DIGITAL E REPRES")</f>
        <v>DIGITEC TECNOLOGIA DIGITAL E REPRES</v>
      </c>
      <c r="E2232" s="21">
        <f>IFERROR(__xludf.DUMMYFUNCTION("""COMPUTED_VALUE"""),145359.0)</f>
        <v>145359</v>
      </c>
      <c r="F2232" s="21" t="str">
        <f>IFERROR(__xludf.DUMMYFUNCTION("""COMPUTED_VALUE"""),"ANALISE DE INVENTARIO")</f>
        <v>ANALISE DE INVENTARIO</v>
      </c>
      <c r="G2232" s="23">
        <f>IFERROR(__xludf.DUMMYFUNCTION("""COMPUTED_VALUE"""),45617.642418981486)</f>
        <v>45617.64242</v>
      </c>
      <c r="H2232" s="24" t="str">
        <f>IFERROR(VLOOKUP(B2232,material!A:D,3,0),"")</f>
        <v>LEGADO</v>
      </c>
    </row>
    <row r="2233" ht="11.25" customHeight="1">
      <c r="A2233" s="21" t="str">
        <f>IFERROR(__xludf.DUMMYFUNCTION("""COMPUTED_VALUE"""),"PACE - HIGH DEFINITION DCR7411")</f>
        <v>PACE - HIGH DEFINITION DCR7411</v>
      </c>
      <c r="B2233" s="22">
        <f>IFERROR(__xludf.DUMMYFUNCTION("""COMPUTED_VALUE"""),4.1001216E7)</f>
        <v>41001216</v>
      </c>
      <c r="C2233" s="21" t="str">
        <f>IFERROR(__xludf.DUMMYFUNCTION("""COMPUTED_VALUE"""),"181246337385")</f>
        <v>181246337385</v>
      </c>
      <c r="D2233" s="21" t="str">
        <f>IFERROR(__xludf.DUMMYFUNCTION("""COMPUTED_VALUE"""),"DIGITEC TECNOLOGIA DIGITAL E REPRES")</f>
        <v>DIGITEC TECNOLOGIA DIGITAL E REPRES</v>
      </c>
      <c r="E2233" s="21">
        <f>IFERROR(__xludf.DUMMYFUNCTION("""COMPUTED_VALUE"""),145359.0)</f>
        <v>145359</v>
      </c>
      <c r="F2233" s="21" t="str">
        <f>IFERROR(__xludf.DUMMYFUNCTION("""COMPUTED_VALUE"""),"ANALISE DE INVENTARIO")</f>
        <v>ANALISE DE INVENTARIO</v>
      </c>
      <c r="G2233" s="23">
        <f>IFERROR(__xludf.DUMMYFUNCTION("""COMPUTED_VALUE"""),45617.642418981486)</f>
        <v>45617.64242</v>
      </c>
      <c r="H2233" s="24" t="str">
        <f>IFERROR(VLOOKUP(B2233,material!A:D,3,0),"")</f>
        <v>LEGADO</v>
      </c>
    </row>
    <row r="2234" ht="11.25" customHeight="1">
      <c r="A2234" s="21" t="str">
        <f>IFERROR(__xludf.DUMMYFUNCTION("""COMPUTED_VALUE"""),"SMART CARD LARANJA NAGRA")</f>
        <v>SMART CARD LARANJA NAGRA</v>
      </c>
      <c r="B2234" s="22">
        <f>IFERROR(__xludf.DUMMYFUNCTION("""COMPUTED_VALUE"""),4.1001186E7)</f>
        <v>41001186</v>
      </c>
      <c r="C2234" s="21" t="str">
        <f>IFERROR(__xludf.DUMMYFUNCTION("""COMPUTED_VALUE"""),"226481368700")</f>
        <v>226481368700</v>
      </c>
      <c r="D2234" s="21" t="str">
        <f>IFERROR(__xludf.DUMMYFUNCTION("""COMPUTED_VALUE"""),"DIGITEC TECNOLOGIA DIGITAL E REPRES")</f>
        <v>DIGITEC TECNOLOGIA DIGITAL E REPRES</v>
      </c>
      <c r="E2234" s="21">
        <f>IFERROR(__xludf.DUMMYFUNCTION("""COMPUTED_VALUE"""),145359.0)</f>
        <v>145359</v>
      </c>
      <c r="F2234" s="21" t="str">
        <f>IFERROR(__xludf.DUMMYFUNCTION("""COMPUTED_VALUE"""),"ANALISE DE INVENTARIO")</f>
        <v>ANALISE DE INVENTARIO</v>
      </c>
      <c r="G2234" s="23">
        <f>IFERROR(__xludf.DUMMYFUNCTION("""COMPUTED_VALUE"""),45617.63983796297)</f>
        <v>45617.63984</v>
      </c>
      <c r="H2234" s="24" t="str">
        <f>IFERROR(VLOOKUP(B2234,material!A:D,3,0),"")</f>
        <v>CARD</v>
      </c>
    </row>
    <row r="2235" ht="11.25" customHeight="1">
      <c r="A2235" s="21" t="str">
        <f>IFERROR(__xludf.DUMMYFUNCTION("""COMPUTED_VALUE"""),"SMART CARD LARANJA NAGRA")</f>
        <v>SMART CARD LARANJA NAGRA</v>
      </c>
      <c r="B2235" s="22">
        <f>IFERROR(__xludf.DUMMYFUNCTION("""COMPUTED_VALUE"""),4.1001186E7)</f>
        <v>41001186</v>
      </c>
      <c r="C2235" s="21" t="str">
        <f>IFERROR(__xludf.DUMMYFUNCTION("""COMPUTED_VALUE"""),"225902397885")</f>
        <v>225902397885</v>
      </c>
      <c r="D2235" s="21" t="str">
        <f>IFERROR(__xludf.DUMMYFUNCTION("""COMPUTED_VALUE"""),"DIGITEC TECNOLOGIA DIGITAL E REPRES")</f>
        <v>DIGITEC TECNOLOGIA DIGITAL E REPRES</v>
      </c>
      <c r="E2235" s="21">
        <f>IFERROR(__xludf.DUMMYFUNCTION("""COMPUTED_VALUE"""),145359.0)</f>
        <v>145359</v>
      </c>
      <c r="F2235" s="21" t="str">
        <f>IFERROR(__xludf.DUMMYFUNCTION("""COMPUTED_VALUE"""),"ANALISE DE INVENTARIO")</f>
        <v>ANALISE DE INVENTARIO</v>
      </c>
      <c r="G2235" s="23">
        <f>IFERROR(__xludf.DUMMYFUNCTION("""COMPUTED_VALUE"""),45532.91804398148)</f>
        <v>45532.91804</v>
      </c>
      <c r="H2235" s="24" t="str">
        <f>IFERROR(VLOOKUP(B2235,material!A:D,3,0),"")</f>
        <v>CARD</v>
      </c>
    </row>
    <row r="2236" ht="11.25" customHeight="1">
      <c r="A2236" s="21" t="str">
        <f>IFERROR(__xludf.DUMMYFUNCTION("""COMPUTED_VALUE"""),"SMART CARD LARANJA NAGRA")</f>
        <v>SMART CARD LARANJA NAGRA</v>
      </c>
      <c r="B2236" s="22">
        <f>IFERROR(__xludf.DUMMYFUNCTION("""COMPUTED_VALUE"""),4.1001186E7)</f>
        <v>41001186</v>
      </c>
      <c r="C2236" s="21" t="str">
        <f>IFERROR(__xludf.DUMMYFUNCTION("""COMPUTED_VALUE"""),"215694905172")</f>
        <v>215694905172</v>
      </c>
      <c r="D2236" s="21" t="str">
        <f>IFERROR(__xludf.DUMMYFUNCTION("""COMPUTED_VALUE"""),"DIGITEC TECNOLOGIA DIGITAL E REPRES")</f>
        <v>DIGITEC TECNOLOGIA DIGITAL E REPRES</v>
      </c>
      <c r="E2236" s="21">
        <f>IFERROR(__xludf.DUMMYFUNCTION("""COMPUTED_VALUE"""),145359.0)</f>
        <v>145359</v>
      </c>
      <c r="F2236" s="21" t="str">
        <f>IFERROR(__xludf.DUMMYFUNCTION("""COMPUTED_VALUE"""),"ANALISE DE INVENTARIO")</f>
        <v>ANALISE DE INVENTARIO</v>
      </c>
      <c r="G2236" s="23">
        <f>IFERROR(__xludf.DUMMYFUNCTION("""COMPUTED_VALUE"""),45617.63983796297)</f>
        <v>45617.63984</v>
      </c>
      <c r="H2236" s="24" t="str">
        <f>IFERROR(VLOOKUP(B2236,material!A:D,3,0),"")</f>
        <v>CARD</v>
      </c>
    </row>
    <row r="2237" ht="11.25" customHeight="1">
      <c r="A2237" s="21" t="str">
        <f>IFERROR(__xludf.DUMMYFUNCTION("""COMPUTED_VALUE"""),"TECHNICOLOR TC7337NET")</f>
        <v>TECHNICOLOR TC7337NET</v>
      </c>
      <c r="B2237" s="22">
        <f>IFERROR(__xludf.DUMMYFUNCTION("""COMPUTED_VALUE"""),4.1001294E7)</f>
        <v>41001294</v>
      </c>
      <c r="C2237" s="21" t="str">
        <f>IFERROR(__xludf.DUMMYFUNCTION("""COMPUTED_VALUE"""),"1062D09F5B06")</f>
        <v>1062D09F5B06</v>
      </c>
      <c r="D2237" s="21" t="str">
        <f>IFERROR(__xludf.DUMMYFUNCTION("""COMPUTED_VALUE"""),"DIGITEC TECNOLOGIA DIGITAL E REPRES")</f>
        <v>DIGITEC TECNOLOGIA DIGITAL E REPRES</v>
      </c>
      <c r="E2237" s="21">
        <f>IFERROR(__xludf.DUMMYFUNCTION("""COMPUTED_VALUE"""),145359.0)</f>
        <v>145359</v>
      </c>
      <c r="F2237" s="21" t="str">
        <f>IFERROR(__xludf.DUMMYFUNCTION("""COMPUTED_VALUE"""),"TRANSITO REVERSA")</f>
        <v>TRANSITO REVERSA</v>
      </c>
      <c r="G2237" s="23">
        <f>IFERROR(__xludf.DUMMYFUNCTION("""COMPUTED_VALUE"""),45626.2987037037)</f>
        <v>45626.2987</v>
      </c>
      <c r="H2237" s="24" t="str">
        <f>IFERROR(VLOOKUP(B2237,material!A:D,3,0),"")</f>
        <v>DUAL</v>
      </c>
    </row>
    <row r="2238" ht="11.25" customHeight="1">
      <c r="A2238" s="21" t="str">
        <f>IFERROR(__xludf.DUMMYFUNCTION("""COMPUTED_VALUE"""),"TECHNICOLOR TC7337NET")</f>
        <v>TECHNICOLOR TC7337NET</v>
      </c>
      <c r="B2238" s="22">
        <f>IFERROR(__xludf.DUMMYFUNCTION("""COMPUTED_VALUE"""),4.1001294E7)</f>
        <v>41001294</v>
      </c>
      <c r="C2238" s="21" t="str">
        <f>IFERROR(__xludf.DUMMYFUNCTION("""COMPUTED_VALUE"""),"54A65C8C23B1")</f>
        <v>54A65C8C23B1</v>
      </c>
      <c r="D2238" s="21" t="str">
        <f>IFERROR(__xludf.DUMMYFUNCTION("""COMPUTED_VALUE"""),"DIGITEC TECNOLOGIA DIGITAL E REPRES")</f>
        <v>DIGITEC TECNOLOGIA DIGITAL E REPRES</v>
      </c>
      <c r="E2238" s="21">
        <f>IFERROR(__xludf.DUMMYFUNCTION("""COMPUTED_VALUE"""),145359.0)</f>
        <v>145359</v>
      </c>
      <c r="F2238" s="21" t="str">
        <f>IFERROR(__xludf.DUMMYFUNCTION("""COMPUTED_VALUE"""),"TRANSITO REVERSA")</f>
        <v>TRANSITO REVERSA</v>
      </c>
      <c r="G2238" s="23">
        <f>IFERROR(__xludf.DUMMYFUNCTION("""COMPUTED_VALUE"""),45626.298668981486)</f>
        <v>45626.29867</v>
      </c>
      <c r="H2238" s="24" t="str">
        <f>IFERROR(VLOOKUP(B2238,material!A:D,3,0),"")</f>
        <v>DUAL</v>
      </c>
    </row>
    <row r="2239" ht="11.25" customHeight="1">
      <c r="A2239" s="21" t="str">
        <f>IFERROR(__xludf.DUMMYFUNCTION("""COMPUTED_VALUE"""),"TECHNICOLOR TC7337NET")</f>
        <v>TECHNICOLOR TC7337NET</v>
      </c>
      <c r="B2239" s="22">
        <f>IFERROR(__xludf.DUMMYFUNCTION("""COMPUTED_VALUE"""),4.1001294E7)</f>
        <v>41001294</v>
      </c>
      <c r="C2239" s="21" t="str">
        <f>IFERROR(__xludf.DUMMYFUNCTION("""COMPUTED_VALUE"""),"54A65C8C19F5")</f>
        <v>54A65C8C19F5</v>
      </c>
      <c r="D2239" s="21" t="str">
        <f>IFERROR(__xludf.DUMMYFUNCTION("""COMPUTED_VALUE"""),"DIGITEC TECNOLOGIA DIGITAL E REPRES")</f>
        <v>DIGITEC TECNOLOGIA DIGITAL E REPRES</v>
      </c>
      <c r="E2239" s="21">
        <f>IFERROR(__xludf.DUMMYFUNCTION("""COMPUTED_VALUE"""),145359.0)</f>
        <v>145359</v>
      </c>
      <c r="F2239" s="21" t="str">
        <f>IFERROR(__xludf.DUMMYFUNCTION("""COMPUTED_VALUE"""),"TRANSITO REVERSA")</f>
        <v>TRANSITO REVERSA</v>
      </c>
      <c r="G2239" s="23">
        <f>IFERROR(__xludf.DUMMYFUNCTION("""COMPUTED_VALUE"""),45626.298692129625)</f>
        <v>45626.29869</v>
      </c>
      <c r="H2239" s="24" t="str">
        <f>IFERROR(VLOOKUP(B2239,material!A:D,3,0),"")</f>
        <v>DUAL</v>
      </c>
    </row>
    <row r="2240" ht="11.25" customHeight="1">
      <c r="A2240" s="21" t="str">
        <f>IFERROR(__xludf.DUMMYFUNCTION("""COMPUTED_VALUE"""),"ARRIS TG1692A")</f>
        <v>ARRIS TG1692A</v>
      </c>
      <c r="B2240" s="22">
        <f>IFERROR(__xludf.DUMMYFUNCTION("""COMPUTED_VALUE"""),4.1001293E7)</f>
        <v>41001293</v>
      </c>
      <c r="C2240" s="21" t="str">
        <f>IFERROR(__xludf.DUMMYFUNCTION("""COMPUTED_VALUE"""),"B0935BECAF2E")</f>
        <v>B0935BECAF2E</v>
      </c>
      <c r="D2240" s="21" t="str">
        <f>IFERROR(__xludf.DUMMYFUNCTION("""COMPUTED_VALUE"""),"DIGITEC TECNOLOGIA DIGITAL E REPRES")</f>
        <v>DIGITEC TECNOLOGIA DIGITAL E REPRES</v>
      </c>
      <c r="E2240" s="21">
        <f>IFERROR(__xludf.DUMMYFUNCTION("""COMPUTED_VALUE"""),145359.0)</f>
        <v>145359</v>
      </c>
      <c r="F2240" s="21" t="str">
        <f>IFERROR(__xludf.DUMMYFUNCTION("""COMPUTED_VALUE"""),"TRANSITO REVERSA")</f>
        <v>TRANSITO REVERSA</v>
      </c>
      <c r="G2240" s="23">
        <f>IFERROR(__xludf.DUMMYFUNCTION("""COMPUTED_VALUE"""),45633.00340277777)</f>
        <v>45633.0034</v>
      </c>
      <c r="H2240" s="24" t="str">
        <f>IFERROR(VLOOKUP(B2240,material!A:D,3,0),"")</f>
        <v>DUAL</v>
      </c>
    </row>
    <row r="2241" ht="11.25" customHeight="1">
      <c r="A2241" s="21" t="str">
        <f>IFERROR(__xludf.DUMMYFUNCTION("""COMPUTED_VALUE"""),"ARRIS TG1692A")</f>
        <v>ARRIS TG1692A</v>
      </c>
      <c r="B2241" s="22">
        <f>IFERROR(__xludf.DUMMYFUNCTION("""COMPUTED_VALUE"""),4.1001293E7)</f>
        <v>41001293</v>
      </c>
      <c r="C2241" s="21" t="str">
        <f>IFERROR(__xludf.DUMMYFUNCTION("""COMPUTED_VALUE"""),"A89FECC15C1C")</f>
        <v>A89FECC15C1C</v>
      </c>
      <c r="D2241" s="21" t="str">
        <f>IFERROR(__xludf.DUMMYFUNCTION("""COMPUTED_VALUE"""),"DIGITEC TECNOLOGIA DIGITAL E REPRES")</f>
        <v>DIGITEC TECNOLOGIA DIGITAL E REPRES</v>
      </c>
      <c r="E2241" s="21">
        <f>IFERROR(__xludf.DUMMYFUNCTION("""COMPUTED_VALUE"""),145359.0)</f>
        <v>145359</v>
      </c>
      <c r="F2241" s="21" t="str">
        <f>IFERROR(__xludf.DUMMYFUNCTION("""COMPUTED_VALUE"""),"TRANSITO REVERSA")</f>
        <v>TRANSITO REVERSA</v>
      </c>
      <c r="G2241" s="23">
        <f>IFERROR(__xludf.DUMMYFUNCTION("""COMPUTED_VALUE"""),45633.003379629634)</f>
        <v>45633.00338</v>
      </c>
      <c r="H2241" s="24" t="str">
        <f>IFERROR(VLOOKUP(B2241,material!A:D,3,0),"")</f>
        <v>DUAL</v>
      </c>
    </row>
    <row r="2242" ht="11.25" customHeight="1">
      <c r="A2242" s="21" t="str">
        <f>IFERROR(__xludf.DUMMYFUNCTION("""COMPUTED_VALUE"""),"ARRIS TG1692A")</f>
        <v>ARRIS TG1692A</v>
      </c>
      <c r="B2242" s="22">
        <f>IFERROR(__xludf.DUMMYFUNCTION("""COMPUTED_VALUE"""),4.1001293E7)</f>
        <v>41001293</v>
      </c>
      <c r="C2242" s="21" t="str">
        <f>IFERROR(__xludf.DUMMYFUNCTION("""COMPUTED_VALUE"""),"A89FECC13B65")</f>
        <v>A89FECC13B65</v>
      </c>
      <c r="D2242" s="21" t="str">
        <f>IFERROR(__xludf.DUMMYFUNCTION("""COMPUTED_VALUE"""),"DIGITEC TECNOLOGIA DIGITAL E REPRES")</f>
        <v>DIGITEC TECNOLOGIA DIGITAL E REPRES</v>
      </c>
      <c r="E2242" s="21">
        <f>IFERROR(__xludf.DUMMYFUNCTION("""COMPUTED_VALUE"""),145359.0)</f>
        <v>145359</v>
      </c>
      <c r="F2242" s="21" t="str">
        <f>IFERROR(__xludf.DUMMYFUNCTION("""COMPUTED_VALUE"""),"TRANSITO REVERSA")</f>
        <v>TRANSITO REVERSA</v>
      </c>
      <c r="G2242" s="23">
        <f>IFERROR(__xludf.DUMMYFUNCTION("""COMPUTED_VALUE"""),45638.52111111111)</f>
        <v>45638.52111</v>
      </c>
      <c r="H2242" s="24" t="str">
        <f>IFERROR(VLOOKUP(B2242,material!A:D,3,0),"")</f>
        <v>DUAL</v>
      </c>
    </row>
    <row r="2243" ht="11.25" customHeight="1">
      <c r="A2243" s="21" t="str">
        <f>IFERROR(__xludf.DUMMYFUNCTION("""COMPUTED_VALUE"""),"ARRIS TG1692A")</f>
        <v>ARRIS TG1692A</v>
      </c>
      <c r="B2243" s="22">
        <f>IFERROR(__xludf.DUMMYFUNCTION("""COMPUTED_VALUE"""),4.1001293E7)</f>
        <v>41001293</v>
      </c>
      <c r="C2243" s="21" t="str">
        <f>IFERROR(__xludf.DUMMYFUNCTION("""COMPUTED_VALUE"""),"A89FECC60771")</f>
        <v>A89FECC60771</v>
      </c>
      <c r="D2243" s="21" t="str">
        <f>IFERROR(__xludf.DUMMYFUNCTION("""COMPUTED_VALUE"""),"DIGITEC TECNOLOGIA DIGITAL E REPRES")</f>
        <v>DIGITEC TECNOLOGIA DIGITAL E REPRES</v>
      </c>
      <c r="E2243" s="21">
        <f>IFERROR(__xludf.DUMMYFUNCTION("""COMPUTED_VALUE"""),145359.0)</f>
        <v>145359</v>
      </c>
      <c r="F2243" s="21" t="str">
        <f>IFERROR(__xludf.DUMMYFUNCTION("""COMPUTED_VALUE"""),"TRANSITO REVERSA")</f>
        <v>TRANSITO REVERSA</v>
      </c>
      <c r="G2243" s="23">
        <f>IFERROR(__xludf.DUMMYFUNCTION("""COMPUTED_VALUE"""),45633.00396990741)</f>
        <v>45633.00397</v>
      </c>
      <c r="H2243" s="24" t="str">
        <f>IFERROR(VLOOKUP(B2243,material!A:D,3,0),"")</f>
        <v>DUAL</v>
      </c>
    </row>
    <row r="2244" ht="11.25" customHeight="1">
      <c r="A2244" s="21" t="str">
        <f>IFERROR(__xludf.DUMMYFUNCTION("""COMPUTED_VALUE"""),"ARRIS TG1692A")</f>
        <v>ARRIS TG1692A</v>
      </c>
      <c r="B2244" s="22">
        <f>IFERROR(__xludf.DUMMYFUNCTION("""COMPUTED_VALUE"""),4.1001293E7)</f>
        <v>41001293</v>
      </c>
      <c r="C2244" s="21" t="str">
        <f>IFERROR(__xludf.DUMMYFUNCTION("""COMPUTED_VALUE"""),"A89FECC5F0CE")</f>
        <v>A89FECC5F0CE</v>
      </c>
      <c r="D2244" s="21" t="str">
        <f>IFERROR(__xludf.DUMMYFUNCTION("""COMPUTED_VALUE"""),"DIGITEC TECNOLOGIA DIGITAL E REPRES")</f>
        <v>DIGITEC TECNOLOGIA DIGITAL E REPRES</v>
      </c>
      <c r="E2244" s="21">
        <f>IFERROR(__xludf.DUMMYFUNCTION("""COMPUTED_VALUE"""),145359.0)</f>
        <v>145359</v>
      </c>
      <c r="F2244" s="21" t="str">
        <f>IFERROR(__xludf.DUMMYFUNCTION("""COMPUTED_VALUE"""),"TRANSITO REVERSA")</f>
        <v>TRANSITO REVERSA</v>
      </c>
      <c r="G2244" s="23">
        <f>IFERROR(__xludf.DUMMYFUNCTION("""COMPUTED_VALUE"""),45610.73042824074)</f>
        <v>45610.73043</v>
      </c>
      <c r="H2244" s="24" t="str">
        <f>IFERROR(VLOOKUP(B2244,material!A:D,3,0),"")</f>
        <v>DUAL</v>
      </c>
    </row>
    <row r="2245" ht="11.25" customHeight="1">
      <c r="A2245" s="21" t="str">
        <f>IFERROR(__xludf.DUMMYFUNCTION("""COMPUTED_VALUE"""),"ARRIS TG1692A")</f>
        <v>ARRIS TG1692A</v>
      </c>
      <c r="B2245" s="22">
        <f>IFERROR(__xludf.DUMMYFUNCTION("""COMPUTED_VALUE"""),4.1001293E7)</f>
        <v>41001293</v>
      </c>
      <c r="C2245" s="21" t="str">
        <f>IFERROR(__xludf.DUMMYFUNCTION("""COMPUTED_VALUE"""),"5819F8463D1B")</f>
        <v>5819F8463D1B</v>
      </c>
      <c r="D2245" s="21" t="str">
        <f>IFERROR(__xludf.DUMMYFUNCTION("""COMPUTED_VALUE"""),"DIGITEC TECNOLOGIA DIGITAL E REPRES")</f>
        <v>DIGITEC TECNOLOGIA DIGITAL E REPRES</v>
      </c>
      <c r="E2245" s="21">
        <f>IFERROR(__xludf.DUMMYFUNCTION("""COMPUTED_VALUE"""),145359.0)</f>
        <v>145359</v>
      </c>
      <c r="F2245" s="21" t="str">
        <f>IFERROR(__xludf.DUMMYFUNCTION("""COMPUTED_VALUE"""),"TRANSITO REVERSA")</f>
        <v>TRANSITO REVERSA</v>
      </c>
      <c r="G2245" s="23">
        <f>IFERROR(__xludf.DUMMYFUNCTION("""COMPUTED_VALUE"""),45633.003958333335)</f>
        <v>45633.00396</v>
      </c>
      <c r="H2245" s="24" t="str">
        <f>IFERROR(VLOOKUP(B2245,material!A:D,3,0),"")</f>
        <v>DUAL</v>
      </c>
    </row>
    <row r="2246" ht="11.25" customHeight="1">
      <c r="A2246" s="21" t="str">
        <f>IFERROR(__xludf.DUMMYFUNCTION("""COMPUTED_VALUE"""),"HUMAX HGB10R-02")</f>
        <v>HUMAX HGB10R-02</v>
      </c>
      <c r="B2246" s="22">
        <f>IFERROR(__xludf.DUMMYFUNCTION("""COMPUTED_VALUE"""),4.1001292E7)</f>
        <v>41001292</v>
      </c>
      <c r="C2246" s="21" t="str">
        <f>IFERROR(__xludf.DUMMYFUNCTION("""COMPUTED_VALUE"""),"E820E20A2166")</f>
        <v>E820E20A2166</v>
      </c>
      <c r="D2246" s="21" t="str">
        <f>IFERROR(__xludf.DUMMYFUNCTION("""COMPUTED_VALUE"""),"DIGITEC TECNOLOGIA DIGITAL E REPRES")</f>
        <v>DIGITEC TECNOLOGIA DIGITAL E REPRES</v>
      </c>
      <c r="E2246" s="21">
        <f>IFERROR(__xludf.DUMMYFUNCTION("""COMPUTED_VALUE"""),145359.0)</f>
        <v>145359</v>
      </c>
      <c r="F2246" s="21" t="str">
        <f>IFERROR(__xludf.DUMMYFUNCTION("""COMPUTED_VALUE"""),"TRANSITO REVERSA")</f>
        <v>TRANSITO REVERSA</v>
      </c>
      <c r="G2246" s="23">
        <f>IFERROR(__xludf.DUMMYFUNCTION("""COMPUTED_VALUE"""),45617.87138888889)</f>
        <v>45617.87139</v>
      </c>
      <c r="H2246" s="24" t="str">
        <f>IFERROR(VLOOKUP(B2246,material!A:D,3,0),"")</f>
        <v>DUAL</v>
      </c>
    </row>
    <row r="2247" ht="11.25" customHeight="1">
      <c r="A2247" s="21" t="str">
        <f>IFERROR(__xludf.DUMMYFUNCTION("""COMPUTED_VALUE"""),"HUMAX HGB10R-02")</f>
        <v>HUMAX HGB10R-02</v>
      </c>
      <c r="B2247" s="22">
        <f>IFERROR(__xludf.DUMMYFUNCTION("""COMPUTED_VALUE"""),4.1001292E7)</f>
        <v>41001292</v>
      </c>
      <c r="C2247" s="21" t="str">
        <f>IFERROR(__xludf.DUMMYFUNCTION("""COMPUTED_VALUE"""),"942CB3F2C49A")</f>
        <v>942CB3F2C49A</v>
      </c>
      <c r="D2247" s="21" t="str">
        <f>IFERROR(__xludf.DUMMYFUNCTION("""COMPUTED_VALUE"""),"DIGITEC TECNOLOGIA DIGITAL E REPRES")</f>
        <v>DIGITEC TECNOLOGIA DIGITAL E REPRES</v>
      </c>
      <c r="E2247" s="21">
        <f>IFERROR(__xludf.DUMMYFUNCTION("""COMPUTED_VALUE"""),145359.0)</f>
        <v>145359</v>
      </c>
      <c r="F2247" s="21" t="str">
        <f>IFERROR(__xludf.DUMMYFUNCTION("""COMPUTED_VALUE"""),"TRANSITO REVERSA")</f>
        <v>TRANSITO REVERSA</v>
      </c>
      <c r="G2247" s="23">
        <f>IFERROR(__xludf.DUMMYFUNCTION("""COMPUTED_VALUE"""),45626.29872685185)</f>
        <v>45626.29873</v>
      </c>
      <c r="H2247" s="24" t="str">
        <f>IFERROR(VLOOKUP(B2247,material!A:D,3,0),"")</f>
        <v>DUAL</v>
      </c>
    </row>
    <row r="2248" ht="11.25" customHeight="1">
      <c r="A2248" s="21" t="str">
        <f>IFERROR(__xludf.DUMMYFUNCTION("""COMPUTED_VALUE"""),"HUMAX HGB10R-02")</f>
        <v>HUMAX HGB10R-02</v>
      </c>
      <c r="B2248" s="22">
        <f>IFERROR(__xludf.DUMMYFUNCTION("""COMPUTED_VALUE"""),4.1001292E7)</f>
        <v>41001292</v>
      </c>
      <c r="C2248" s="21" t="str">
        <f>IFERROR(__xludf.DUMMYFUNCTION("""COMPUTED_VALUE"""),"942CB3AF5E87")</f>
        <v>942CB3AF5E87</v>
      </c>
      <c r="D2248" s="21" t="str">
        <f>IFERROR(__xludf.DUMMYFUNCTION("""COMPUTED_VALUE"""),"DIGITEC TECNOLOGIA DIGITAL E REPRES")</f>
        <v>DIGITEC TECNOLOGIA DIGITAL E REPRES</v>
      </c>
      <c r="E2248" s="21">
        <f>IFERROR(__xludf.DUMMYFUNCTION("""COMPUTED_VALUE"""),145359.0)</f>
        <v>145359</v>
      </c>
      <c r="F2248" s="21" t="str">
        <f>IFERROR(__xludf.DUMMYFUNCTION("""COMPUTED_VALUE"""),"TRANSITO REVERSA")</f>
        <v>TRANSITO REVERSA</v>
      </c>
      <c r="G2248" s="23">
        <f>IFERROR(__xludf.DUMMYFUNCTION("""COMPUTED_VALUE"""),45633.00398148148)</f>
        <v>45633.00398</v>
      </c>
      <c r="H2248" s="24" t="str">
        <f>IFERROR(VLOOKUP(B2248,material!A:D,3,0),"")</f>
        <v>DUAL</v>
      </c>
    </row>
    <row r="2249" ht="11.25" customHeight="1">
      <c r="A2249" s="21" t="str">
        <f>IFERROR(__xludf.DUMMYFUNCTION("""COMPUTED_VALUE"""),"DECODER HD DCI738 2T")</f>
        <v>DECODER HD DCI738 2T</v>
      </c>
      <c r="B2249" s="22">
        <f>IFERROR(__xludf.DUMMYFUNCTION("""COMPUTED_VALUE"""),4.1001275E7)</f>
        <v>41001275</v>
      </c>
      <c r="C2249" s="21" t="str">
        <f>IFERROR(__xludf.DUMMYFUNCTION("""COMPUTED_VALUE"""),"216768735875")</f>
        <v>216768735875</v>
      </c>
      <c r="D2249" s="21" t="str">
        <f>IFERROR(__xludf.DUMMYFUNCTION("""COMPUTED_VALUE"""),"DIGITEC TECNOLOGIA DIGITAL E REPRES")</f>
        <v>DIGITEC TECNOLOGIA DIGITAL E REPRES</v>
      </c>
      <c r="E2249" s="21">
        <f>IFERROR(__xludf.DUMMYFUNCTION("""COMPUTED_VALUE"""),145359.0)</f>
        <v>145359</v>
      </c>
      <c r="F2249" s="21" t="str">
        <f>IFERROR(__xludf.DUMMYFUNCTION("""COMPUTED_VALUE"""),"TRANSITO REVERSA")</f>
        <v>TRANSITO REVERSA</v>
      </c>
      <c r="G2249" s="23">
        <f>IFERROR(__xludf.DUMMYFUNCTION("""COMPUTED_VALUE"""),45638.52059027778)</f>
        <v>45638.52059</v>
      </c>
      <c r="H2249" s="24" t="str">
        <f>IFERROR(VLOOKUP(B2249,material!A:D,3,0),"")</f>
        <v>TOP MIX</v>
      </c>
    </row>
    <row r="2250" ht="11.25" customHeight="1">
      <c r="A2250" s="21" t="str">
        <f>IFERROR(__xludf.DUMMYFUNCTION("""COMPUTED_VALUE"""),"DECODER HD DCI738 2T")</f>
        <v>DECODER HD DCI738 2T</v>
      </c>
      <c r="B2250" s="22">
        <f>IFERROR(__xludf.DUMMYFUNCTION("""COMPUTED_VALUE"""),4.1001275E7)</f>
        <v>41001275</v>
      </c>
      <c r="C2250" s="21" t="str">
        <f>IFERROR(__xludf.DUMMYFUNCTION("""COMPUTED_VALUE"""),"216529619597")</f>
        <v>216529619597</v>
      </c>
      <c r="D2250" s="21" t="str">
        <f>IFERROR(__xludf.DUMMYFUNCTION("""COMPUTED_VALUE"""),"DIGITEC TECNOLOGIA DIGITAL E REPRES")</f>
        <v>DIGITEC TECNOLOGIA DIGITAL E REPRES</v>
      </c>
      <c r="E2250" s="21">
        <f>IFERROR(__xludf.DUMMYFUNCTION("""COMPUTED_VALUE"""),145359.0)</f>
        <v>145359</v>
      </c>
      <c r="F2250" s="21" t="str">
        <f>IFERROR(__xludf.DUMMYFUNCTION("""COMPUTED_VALUE"""),"TRANSITO REVERSA")</f>
        <v>TRANSITO REVERSA</v>
      </c>
      <c r="G2250" s="23">
        <f>IFERROR(__xludf.DUMMYFUNCTION("""COMPUTED_VALUE"""),45626.2987037037)</f>
        <v>45626.2987</v>
      </c>
      <c r="H2250" s="24" t="str">
        <f>IFERROR(VLOOKUP(B2250,material!A:D,3,0),"")</f>
        <v>TOP MIX</v>
      </c>
    </row>
    <row r="2251" ht="11.25" customHeight="1">
      <c r="A2251" s="21" t="str">
        <f>IFERROR(__xludf.DUMMYFUNCTION("""COMPUTED_VALUE"""),"DECODER HD DCI738 2T")</f>
        <v>DECODER HD DCI738 2T</v>
      </c>
      <c r="B2251" s="22">
        <f>IFERROR(__xludf.DUMMYFUNCTION("""COMPUTED_VALUE"""),4.1001275E7)</f>
        <v>41001275</v>
      </c>
      <c r="C2251" s="21" t="str">
        <f>IFERROR(__xludf.DUMMYFUNCTION("""COMPUTED_VALUE"""),"216852424155")</f>
        <v>216852424155</v>
      </c>
      <c r="D2251" s="21" t="str">
        <f>IFERROR(__xludf.DUMMYFUNCTION("""COMPUTED_VALUE"""),"DIGITEC TECNOLOGIA DIGITAL E REPRES")</f>
        <v>DIGITEC TECNOLOGIA DIGITAL E REPRES</v>
      </c>
      <c r="E2251" s="21">
        <f>IFERROR(__xludf.DUMMYFUNCTION("""COMPUTED_VALUE"""),145359.0)</f>
        <v>145359</v>
      </c>
      <c r="F2251" s="21" t="str">
        <f>IFERROR(__xludf.DUMMYFUNCTION("""COMPUTED_VALUE"""),"TRANSITO REVERSA")</f>
        <v>TRANSITO REVERSA</v>
      </c>
      <c r="G2251" s="23">
        <f>IFERROR(__xludf.DUMMYFUNCTION("""COMPUTED_VALUE"""),45626.298692129625)</f>
        <v>45626.29869</v>
      </c>
      <c r="H2251" s="24" t="str">
        <f>IFERROR(VLOOKUP(B2251,material!A:D,3,0),"")</f>
        <v>TOP MIX</v>
      </c>
    </row>
    <row r="2252" ht="11.25" customHeight="1">
      <c r="A2252" s="21" t="str">
        <f>IFERROR(__xludf.DUMMYFUNCTION("""COMPUTED_VALUE"""),"DECODER HD DCI738 2T")</f>
        <v>DECODER HD DCI738 2T</v>
      </c>
      <c r="B2252" s="22">
        <f>IFERROR(__xludf.DUMMYFUNCTION("""COMPUTED_VALUE"""),4.1001275E7)</f>
        <v>41001275</v>
      </c>
      <c r="C2252" s="21" t="str">
        <f>IFERROR(__xludf.DUMMYFUNCTION("""COMPUTED_VALUE"""),"216367261015")</f>
        <v>216367261015</v>
      </c>
      <c r="D2252" s="21" t="str">
        <f>IFERROR(__xludf.DUMMYFUNCTION("""COMPUTED_VALUE"""),"DIGITEC TECNOLOGIA DIGITAL E REPRES")</f>
        <v>DIGITEC TECNOLOGIA DIGITAL E REPRES</v>
      </c>
      <c r="E2252" s="21">
        <f>IFERROR(__xludf.DUMMYFUNCTION("""COMPUTED_VALUE"""),145359.0)</f>
        <v>145359</v>
      </c>
      <c r="F2252" s="21" t="str">
        <f>IFERROR(__xludf.DUMMYFUNCTION("""COMPUTED_VALUE"""),"TRANSITO REVERSA")</f>
        <v>TRANSITO REVERSA</v>
      </c>
      <c r="G2252" s="23">
        <f>IFERROR(__xludf.DUMMYFUNCTION("""COMPUTED_VALUE"""),45617.87143518518)</f>
        <v>45617.87144</v>
      </c>
      <c r="H2252" s="24" t="str">
        <f>IFERROR(VLOOKUP(B2252,material!A:D,3,0),"")</f>
        <v>TOP MIX</v>
      </c>
    </row>
    <row r="2253" ht="11.25" customHeight="1">
      <c r="A2253" s="21" t="str">
        <f>IFERROR(__xludf.DUMMYFUNCTION("""COMPUTED_VALUE"""),"DECODER HD DCI738 2T")</f>
        <v>DECODER HD DCI738 2T</v>
      </c>
      <c r="B2253" s="22">
        <f>IFERROR(__xludf.DUMMYFUNCTION("""COMPUTED_VALUE"""),4.1001275E7)</f>
        <v>41001275</v>
      </c>
      <c r="C2253" s="21" t="str">
        <f>IFERROR(__xludf.DUMMYFUNCTION("""COMPUTED_VALUE"""),"216533085357")</f>
        <v>216533085357</v>
      </c>
      <c r="D2253" s="21" t="str">
        <f>IFERROR(__xludf.DUMMYFUNCTION("""COMPUTED_VALUE"""),"DIGITEC TECNOLOGIA DIGITAL E REPRES")</f>
        <v>DIGITEC TECNOLOGIA DIGITAL E REPRES</v>
      </c>
      <c r="E2253" s="21">
        <f>IFERROR(__xludf.DUMMYFUNCTION("""COMPUTED_VALUE"""),145359.0)</f>
        <v>145359</v>
      </c>
      <c r="F2253" s="21" t="str">
        <f>IFERROR(__xludf.DUMMYFUNCTION("""COMPUTED_VALUE"""),"TRANSITO REVERSA")</f>
        <v>TRANSITO REVERSA</v>
      </c>
      <c r="G2253" s="23">
        <f>IFERROR(__xludf.DUMMYFUNCTION("""COMPUTED_VALUE"""),45617.87180555555)</f>
        <v>45617.87181</v>
      </c>
      <c r="H2253" s="24" t="str">
        <f>IFERROR(VLOOKUP(B2253,material!A:D,3,0),"")</f>
        <v>TOP MIX</v>
      </c>
    </row>
    <row r="2254" ht="11.25" customHeight="1">
      <c r="A2254" s="21" t="str">
        <f>IFERROR(__xludf.DUMMYFUNCTION("""COMPUTED_VALUE"""),"DECODER DIGITAL HD DXC5000 2T")</f>
        <v>DECODER DIGITAL HD DXC5000 2T</v>
      </c>
      <c r="B2254" s="22">
        <f>IFERROR(__xludf.DUMMYFUNCTION("""COMPUTED_VALUE"""),4.1001277E7)</f>
        <v>41001277</v>
      </c>
      <c r="C2254" s="21" t="str">
        <f>IFERROR(__xludf.DUMMYFUNCTION("""COMPUTED_VALUE"""),"216775087886")</f>
        <v>216775087886</v>
      </c>
      <c r="D2254" s="21" t="str">
        <f>IFERROR(__xludf.DUMMYFUNCTION("""COMPUTED_VALUE"""),"DIGITEC TECNOLOGIA DIGITAL E REPRES")</f>
        <v>DIGITEC TECNOLOGIA DIGITAL E REPRES</v>
      </c>
      <c r="E2254" s="21">
        <f>IFERROR(__xludf.DUMMYFUNCTION("""COMPUTED_VALUE"""),145359.0)</f>
        <v>145359</v>
      </c>
      <c r="F2254" s="21" t="str">
        <f>IFERROR(__xludf.DUMMYFUNCTION("""COMPUTED_VALUE"""),"TRANSITO REVERSA")</f>
        <v>TRANSITO REVERSA</v>
      </c>
      <c r="G2254" s="23">
        <f>IFERROR(__xludf.DUMMYFUNCTION("""COMPUTED_VALUE"""),45633.003958333335)</f>
        <v>45633.00396</v>
      </c>
      <c r="H2254" s="24" t="str">
        <f>IFERROR(VLOOKUP(B2254,material!A:D,3,0),"")</f>
        <v>TOP MIX</v>
      </c>
    </row>
    <row r="2255" ht="11.25" customHeight="1">
      <c r="A2255" s="21" t="str">
        <f>IFERROR(__xludf.DUMMYFUNCTION("""COMPUTED_VALUE"""),"DECODER DIGITAL HD DXC5000 2T")</f>
        <v>DECODER DIGITAL HD DXC5000 2T</v>
      </c>
      <c r="B2255" s="22">
        <f>IFERROR(__xludf.DUMMYFUNCTION("""COMPUTED_VALUE"""),4.1001277E7)</f>
        <v>41001277</v>
      </c>
      <c r="C2255" s="21" t="str">
        <f>IFERROR(__xludf.DUMMYFUNCTION("""COMPUTED_VALUE"""),"216781204668")</f>
        <v>216781204668</v>
      </c>
      <c r="D2255" s="21" t="str">
        <f>IFERROR(__xludf.DUMMYFUNCTION("""COMPUTED_VALUE"""),"DIGITEC TECNOLOGIA DIGITAL E REPRES")</f>
        <v>DIGITEC TECNOLOGIA DIGITAL E REPRES</v>
      </c>
      <c r="E2255" s="21">
        <f>IFERROR(__xludf.DUMMYFUNCTION("""COMPUTED_VALUE"""),145359.0)</f>
        <v>145359</v>
      </c>
      <c r="F2255" s="21" t="str">
        <f>IFERROR(__xludf.DUMMYFUNCTION("""COMPUTED_VALUE"""),"TRANSITO REVERSA")</f>
        <v>TRANSITO REVERSA</v>
      </c>
      <c r="G2255" s="23">
        <f>IFERROR(__xludf.DUMMYFUNCTION("""COMPUTED_VALUE"""),45633.00398148148)</f>
        <v>45633.00398</v>
      </c>
      <c r="H2255" s="24" t="str">
        <f>IFERROR(VLOOKUP(B2255,material!A:D,3,0),"")</f>
        <v>TOP MIX</v>
      </c>
    </row>
    <row r="2256" ht="11.25" customHeight="1">
      <c r="A2256" s="21" t="str">
        <f>IFERROR(__xludf.DUMMYFUNCTION("""COMPUTED_VALUE"""),"DECODER DIGITAL HD DXC5000 2T")</f>
        <v>DECODER DIGITAL HD DXC5000 2T</v>
      </c>
      <c r="B2256" s="22">
        <f>IFERROR(__xludf.DUMMYFUNCTION("""COMPUTED_VALUE"""),4.1001277E7)</f>
        <v>41001277</v>
      </c>
      <c r="C2256" s="21" t="str">
        <f>IFERROR(__xludf.DUMMYFUNCTION("""COMPUTED_VALUE"""),"216806313336")</f>
        <v>216806313336</v>
      </c>
      <c r="D2256" s="21" t="str">
        <f>IFERROR(__xludf.DUMMYFUNCTION("""COMPUTED_VALUE"""),"DIGITEC TECNOLOGIA DIGITAL E REPRES")</f>
        <v>DIGITEC TECNOLOGIA DIGITAL E REPRES</v>
      </c>
      <c r="E2256" s="21">
        <f>IFERROR(__xludf.DUMMYFUNCTION("""COMPUTED_VALUE"""),145359.0)</f>
        <v>145359</v>
      </c>
      <c r="F2256" s="21" t="str">
        <f>IFERROR(__xludf.DUMMYFUNCTION("""COMPUTED_VALUE"""),"TRANSITO REVERSA")</f>
        <v>TRANSITO REVERSA</v>
      </c>
      <c r="G2256" s="23">
        <f>IFERROR(__xludf.DUMMYFUNCTION("""COMPUTED_VALUE"""),45638.52185185185)</f>
        <v>45638.52185</v>
      </c>
      <c r="H2256" s="24" t="str">
        <f>IFERROR(VLOOKUP(B2256,material!A:D,3,0),"")</f>
        <v>TOP MIX</v>
      </c>
    </row>
    <row r="2257" ht="11.25" customHeight="1">
      <c r="A2257" s="21" t="str">
        <f>IFERROR(__xludf.DUMMYFUNCTION("""COMPUTED_VALUE"""),"DECODER DIGITAL HD DXC5000 2T")</f>
        <v>DECODER DIGITAL HD DXC5000 2T</v>
      </c>
      <c r="B2257" s="22">
        <f>IFERROR(__xludf.DUMMYFUNCTION("""COMPUTED_VALUE"""),4.1001277E7)</f>
        <v>41001277</v>
      </c>
      <c r="C2257" s="21" t="str">
        <f>IFERROR(__xludf.DUMMYFUNCTION("""COMPUTED_VALUE"""),"216779272134")</f>
        <v>216779272134</v>
      </c>
      <c r="D2257" s="21" t="str">
        <f>IFERROR(__xludf.DUMMYFUNCTION("""COMPUTED_VALUE"""),"DIGITEC TECNOLOGIA DIGITAL E REPRES")</f>
        <v>DIGITEC TECNOLOGIA DIGITAL E REPRES</v>
      </c>
      <c r="E2257" s="21">
        <f>IFERROR(__xludf.DUMMYFUNCTION("""COMPUTED_VALUE"""),145359.0)</f>
        <v>145359</v>
      </c>
      <c r="F2257" s="21" t="str">
        <f>IFERROR(__xludf.DUMMYFUNCTION("""COMPUTED_VALUE"""),"TRANSITO REVERSA")</f>
        <v>TRANSITO REVERSA</v>
      </c>
      <c r="G2257" s="23">
        <f>IFERROR(__xludf.DUMMYFUNCTION("""COMPUTED_VALUE"""),45626.29923611111)</f>
        <v>45626.29924</v>
      </c>
      <c r="H2257" s="24" t="str">
        <f>IFERROR(VLOOKUP(B2257,material!A:D,3,0),"")</f>
        <v>TOP MIX</v>
      </c>
    </row>
    <row r="2258" ht="11.25" customHeight="1">
      <c r="A2258" s="21" t="str">
        <f>IFERROR(__xludf.DUMMYFUNCTION("""COMPUTED_VALUE"""),"DECODER DIGITAL HD DXC5000 2T")</f>
        <v>DECODER DIGITAL HD DXC5000 2T</v>
      </c>
      <c r="B2258" s="22">
        <f>IFERROR(__xludf.DUMMYFUNCTION("""COMPUTED_VALUE"""),4.1001277E7)</f>
        <v>41001277</v>
      </c>
      <c r="C2258" s="21" t="str">
        <f>IFERROR(__xludf.DUMMYFUNCTION("""COMPUTED_VALUE"""),"216808086584")</f>
        <v>216808086584</v>
      </c>
      <c r="D2258" s="21" t="str">
        <f>IFERROR(__xludf.DUMMYFUNCTION("""COMPUTED_VALUE"""),"DIGITEC TECNOLOGIA DIGITAL E REPRES")</f>
        <v>DIGITEC TECNOLOGIA DIGITAL E REPRES</v>
      </c>
      <c r="E2258" s="21">
        <f>IFERROR(__xludf.DUMMYFUNCTION("""COMPUTED_VALUE"""),145359.0)</f>
        <v>145359</v>
      </c>
      <c r="F2258" s="21" t="str">
        <f>IFERROR(__xludf.DUMMYFUNCTION("""COMPUTED_VALUE"""),"TRANSITO REVERSA")</f>
        <v>TRANSITO REVERSA</v>
      </c>
      <c r="G2258" s="23">
        <f>IFERROR(__xludf.DUMMYFUNCTION("""COMPUTED_VALUE"""),45633.00398148148)</f>
        <v>45633.00398</v>
      </c>
      <c r="H2258" s="24" t="str">
        <f>IFERROR(VLOOKUP(B2258,material!A:D,3,0),"")</f>
        <v>TOP MIX</v>
      </c>
    </row>
    <row r="2259" ht="11.25" customHeight="1">
      <c r="A2259" s="21" t="str">
        <f>IFERROR(__xludf.DUMMYFUNCTION("""COMPUTED_VALUE"""),"DECODER DIGITAL HD DXC5000 2T")</f>
        <v>DECODER DIGITAL HD DXC5000 2T</v>
      </c>
      <c r="B2259" s="22">
        <f>IFERROR(__xludf.DUMMYFUNCTION("""COMPUTED_VALUE"""),4.1001277E7)</f>
        <v>41001277</v>
      </c>
      <c r="C2259" s="21" t="str">
        <f>IFERROR(__xludf.DUMMYFUNCTION("""COMPUTED_VALUE"""),"216807984049")</f>
        <v>216807984049</v>
      </c>
      <c r="D2259" s="21" t="str">
        <f>IFERROR(__xludf.DUMMYFUNCTION("""COMPUTED_VALUE"""),"DIGITEC TECNOLOGIA DIGITAL E REPRES")</f>
        <v>DIGITEC TECNOLOGIA DIGITAL E REPRES</v>
      </c>
      <c r="E2259" s="21">
        <f>IFERROR(__xludf.DUMMYFUNCTION("""COMPUTED_VALUE"""),145359.0)</f>
        <v>145359</v>
      </c>
      <c r="F2259" s="21" t="str">
        <f>IFERROR(__xludf.DUMMYFUNCTION("""COMPUTED_VALUE"""),"TRANSITO REVERSA")</f>
        <v>TRANSITO REVERSA</v>
      </c>
      <c r="G2259" s="23">
        <f>IFERROR(__xludf.DUMMYFUNCTION("""COMPUTED_VALUE"""),45610.730416666665)</f>
        <v>45610.73042</v>
      </c>
      <c r="H2259" s="24" t="str">
        <f>IFERROR(VLOOKUP(B2259,material!A:D,3,0),"")</f>
        <v>TOP MIX</v>
      </c>
    </row>
    <row r="2260" ht="11.25" customHeight="1">
      <c r="A2260" s="21" t="str">
        <f>IFERROR(__xludf.DUMMYFUNCTION("""COMPUTED_VALUE"""),"DECODER DIGITAL HD DXC5000 2T")</f>
        <v>DECODER DIGITAL HD DXC5000 2T</v>
      </c>
      <c r="B2260" s="22">
        <f>IFERROR(__xludf.DUMMYFUNCTION("""COMPUTED_VALUE"""),4.1001277E7)</f>
        <v>41001277</v>
      </c>
      <c r="C2260" s="21" t="str">
        <f>IFERROR(__xludf.DUMMYFUNCTION("""COMPUTED_VALUE"""),"216570872334")</f>
        <v>216570872334</v>
      </c>
      <c r="D2260" s="21" t="str">
        <f>IFERROR(__xludf.DUMMYFUNCTION("""COMPUTED_VALUE"""),"DIGITEC TECNOLOGIA DIGITAL E REPRES")</f>
        <v>DIGITEC TECNOLOGIA DIGITAL E REPRES</v>
      </c>
      <c r="E2260" s="21">
        <f>IFERROR(__xludf.DUMMYFUNCTION("""COMPUTED_VALUE"""),145359.0)</f>
        <v>145359</v>
      </c>
      <c r="F2260" s="21" t="str">
        <f>IFERROR(__xludf.DUMMYFUNCTION("""COMPUTED_VALUE"""),"TRANSITO REVERSA")</f>
        <v>TRANSITO REVERSA</v>
      </c>
      <c r="G2260" s="23">
        <f>IFERROR(__xludf.DUMMYFUNCTION("""COMPUTED_VALUE"""),45638.52111111111)</f>
        <v>45638.52111</v>
      </c>
      <c r="H2260" s="24" t="str">
        <f>IFERROR(VLOOKUP(B2260,material!A:D,3,0),"")</f>
        <v>TOP MIX</v>
      </c>
    </row>
    <row r="2261" ht="11.25" customHeight="1">
      <c r="A2261" s="21" t="str">
        <f>IFERROR(__xludf.DUMMYFUNCTION("""COMPUTED_VALUE"""),"DECODER DIGITAL HD DXC5000 2T")</f>
        <v>DECODER DIGITAL HD DXC5000 2T</v>
      </c>
      <c r="B2261" s="22">
        <f>IFERROR(__xludf.DUMMYFUNCTION("""COMPUTED_VALUE"""),4.1001277E7)</f>
        <v>41001277</v>
      </c>
      <c r="C2261" s="21" t="str">
        <f>IFERROR(__xludf.DUMMYFUNCTION("""COMPUTED_VALUE"""),"216376371534")</f>
        <v>216376371534</v>
      </c>
      <c r="D2261" s="21" t="str">
        <f>IFERROR(__xludf.DUMMYFUNCTION("""COMPUTED_VALUE"""),"DIGITEC TECNOLOGIA DIGITAL E REPRES")</f>
        <v>DIGITEC TECNOLOGIA DIGITAL E REPRES</v>
      </c>
      <c r="E2261" s="21">
        <f>IFERROR(__xludf.DUMMYFUNCTION("""COMPUTED_VALUE"""),145359.0)</f>
        <v>145359</v>
      </c>
      <c r="F2261" s="21" t="str">
        <f>IFERROR(__xludf.DUMMYFUNCTION("""COMPUTED_VALUE"""),"TRANSITO REVERSA")</f>
        <v>TRANSITO REVERSA</v>
      </c>
      <c r="G2261" s="23">
        <f>IFERROR(__xludf.DUMMYFUNCTION("""COMPUTED_VALUE"""),45638.52059027778)</f>
        <v>45638.52059</v>
      </c>
      <c r="H2261" s="24" t="str">
        <f>IFERROR(VLOOKUP(B2261,material!A:D,3,0),"")</f>
        <v>TOP MIX</v>
      </c>
    </row>
    <row r="2262" ht="11.25" customHeight="1">
      <c r="A2262" s="21" t="str">
        <f>IFERROR(__xludf.DUMMYFUNCTION("""COMPUTED_VALUE"""),"DECODER DIGITAL HD DXC5000 2T")</f>
        <v>DECODER DIGITAL HD DXC5000 2T</v>
      </c>
      <c r="B2262" s="22">
        <f>IFERROR(__xludf.DUMMYFUNCTION("""COMPUTED_VALUE"""),4.1001277E7)</f>
        <v>41001277</v>
      </c>
      <c r="C2262" s="21" t="str">
        <f>IFERROR(__xludf.DUMMYFUNCTION("""COMPUTED_VALUE"""),"216462685557")</f>
        <v>216462685557</v>
      </c>
      <c r="D2262" s="21" t="str">
        <f>IFERROR(__xludf.DUMMYFUNCTION("""COMPUTED_VALUE"""),"DIGITEC TECNOLOGIA DIGITAL E REPRES")</f>
        <v>DIGITEC TECNOLOGIA DIGITAL E REPRES</v>
      </c>
      <c r="E2262" s="21">
        <f>IFERROR(__xludf.DUMMYFUNCTION("""COMPUTED_VALUE"""),145359.0)</f>
        <v>145359</v>
      </c>
      <c r="F2262" s="21" t="str">
        <f>IFERROR(__xludf.DUMMYFUNCTION("""COMPUTED_VALUE"""),"TRANSITO REVERSA")</f>
        <v>TRANSITO REVERSA</v>
      </c>
      <c r="G2262" s="23">
        <f>IFERROR(__xludf.DUMMYFUNCTION("""COMPUTED_VALUE"""),45638.521099537036)</f>
        <v>45638.5211</v>
      </c>
      <c r="H2262" s="24" t="str">
        <f>IFERROR(VLOOKUP(B2262,material!A:D,3,0),"")</f>
        <v>TOP MIX</v>
      </c>
    </row>
    <row r="2263" ht="11.25" customHeight="1">
      <c r="A2263" s="21" t="str">
        <f>IFERROR(__xludf.DUMMYFUNCTION("""COMPUTED_VALUE"""),"DECODER DIGITAL HD HNB100 2T")</f>
        <v>DECODER DIGITAL HD HNB100 2T</v>
      </c>
      <c r="B2263" s="22">
        <f>IFERROR(__xludf.DUMMYFUNCTION("""COMPUTED_VALUE"""),4.1001276E7)</f>
        <v>41001276</v>
      </c>
      <c r="C2263" s="21" t="str">
        <f>IFERROR(__xludf.DUMMYFUNCTION("""COMPUTED_VALUE"""),"216816949402")</f>
        <v>216816949402</v>
      </c>
      <c r="D2263" s="21" t="str">
        <f>IFERROR(__xludf.DUMMYFUNCTION("""COMPUTED_VALUE"""),"DIGITEC TECNOLOGIA DIGITAL E REPRES")</f>
        <v>DIGITEC TECNOLOGIA DIGITAL E REPRES</v>
      </c>
      <c r="E2263" s="21">
        <f>IFERROR(__xludf.DUMMYFUNCTION("""COMPUTED_VALUE"""),145359.0)</f>
        <v>145359</v>
      </c>
      <c r="F2263" s="21" t="str">
        <f>IFERROR(__xludf.DUMMYFUNCTION("""COMPUTED_VALUE"""),"TRANSITO REVERSA")</f>
        <v>TRANSITO REVERSA</v>
      </c>
      <c r="G2263" s="23">
        <f>IFERROR(__xludf.DUMMYFUNCTION("""COMPUTED_VALUE"""),45633.00341435186)</f>
        <v>45633.00341</v>
      </c>
      <c r="H2263" s="24" t="str">
        <f>IFERROR(VLOOKUP(B2263,material!A:D,3,0),"")</f>
        <v>TOP MIX</v>
      </c>
    </row>
    <row r="2264" ht="11.25" customHeight="1">
      <c r="A2264" s="21" t="str">
        <f>IFERROR(__xludf.DUMMYFUNCTION("""COMPUTED_VALUE"""),"SMART CARD PRETO NAGRA")</f>
        <v>SMART CARD PRETO NAGRA</v>
      </c>
      <c r="B2264" s="22">
        <f>IFERROR(__xludf.DUMMYFUNCTION("""COMPUTED_VALUE"""),4.1001234E7)</f>
        <v>41001234</v>
      </c>
      <c r="C2264" s="21" t="str">
        <f>IFERROR(__xludf.DUMMYFUNCTION("""COMPUTED_VALUE"""),"246252394760")</f>
        <v>246252394760</v>
      </c>
      <c r="D2264" s="21" t="str">
        <f>IFERROR(__xludf.DUMMYFUNCTION("""COMPUTED_VALUE"""),"DIGITEC TECNOLOGIA DIGITAL E REPRES")</f>
        <v>DIGITEC TECNOLOGIA DIGITAL E REPRES</v>
      </c>
      <c r="E2264" s="21">
        <f>IFERROR(__xludf.DUMMYFUNCTION("""COMPUTED_VALUE"""),145359.0)</f>
        <v>145359</v>
      </c>
      <c r="F2264" s="21" t="str">
        <f>IFERROR(__xludf.DUMMYFUNCTION("""COMPUTED_VALUE"""),"TRANSITO REVERSA")</f>
        <v>TRANSITO REVERSA</v>
      </c>
      <c r="G2264" s="23">
        <f>IFERROR(__xludf.DUMMYFUNCTION("""COMPUTED_VALUE"""),45617.87138888889)</f>
        <v>45617.87139</v>
      </c>
      <c r="H2264" s="24" t="str">
        <f>IFERROR(VLOOKUP(B2264,material!A:D,3,0),"")</f>
        <v>CARD</v>
      </c>
    </row>
    <row r="2265" ht="11.25" customHeight="1">
      <c r="A2265" s="21" t="str">
        <f>IFERROR(__xludf.DUMMYFUNCTION("""COMPUTED_VALUE"""),"SMART CARD PRETO NAGRA")</f>
        <v>SMART CARD PRETO NAGRA</v>
      </c>
      <c r="B2265" s="22">
        <f>IFERROR(__xludf.DUMMYFUNCTION("""COMPUTED_VALUE"""),4.1001234E7)</f>
        <v>41001234</v>
      </c>
      <c r="C2265" s="21" t="str">
        <f>IFERROR(__xludf.DUMMYFUNCTION("""COMPUTED_VALUE"""),"226400484566")</f>
        <v>226400484566</v>
      </c>
      <c r="D2265" s="21" t="str">
        <f>IFERROR(__xludf.DUMMYFUNCTION("""COMPUTED_VALUE"""),"DIGITEC TECNOLOGIA DIGITAL E REPRES")</f>
        <v>DIGITEC TECNOLOGIA DIGITAL E REPRES</v>
      </c>
      <c r="E2265" s="21">
        <f>IFERROR(__xludf.DUMMYFUNCTION("""COMPUTED_VALUE"""),145359.0)</f>
        <v>145359</v>
      </c>
      <c r="F2265" s="21" t="str">
        <f>IFERROR(__xludf.DUMMYFUNCTION("""COMPUTED_VALUE"""),"TRANSITO REVERSA")</f>
        <v>TRANSITO REVERSA</v>
      </c>
      <c r="G2265" s="23">
        <f>IFERROR(__xludf.DUMMYFUNCTION("""COMPUTED_VALUE"""),45617.87140046296)</f>
        <v>45617.8714</v>
      </c>
      <c r="H2265" s="24" t="str">
        <f>IFERROR(VLOOKUP(B2265,material!A:D,3,0),"")</f>
        <v>CARD</v>
      </c>
    </row>
    <row r="2266" ht="11.25" customHeight="1">
      <c r="A2266" s="21" t="str">
        <f>IFERROR(__xludf.DUMMYFUNCTION("""COMPUTED_VALUE"""),"SMART CARD PRETO NAGRA")</f>
        <v>SMART CARD PRETO NAGRA</v>
      </c>
      <c r="B2266" s="22">
        <f>IFERROR(__xludf.DUMMYFUNCTION("""COMPUTED_VALUE"""),4.1001234E7)</f>
        <v>41001234</v>
      </c>
      <c r="C2266" s="21" t="str">
        <f>IFERROR(__xludf.DUMMYFUNCTION("""COMPUTED_VALUE"""),"246277958602")</f>
        <v>246277958602</v>
      </c>
      <c r="D2266" s="21" t="str">
        <f>IFERROR(__xludf.DUMMYFUNCTION("""COMPUTED_VALUE"""),"DIGITEC TECNOLOGIA DIGITAL E REPRES")</f>
        <v>DIGITEC TECNOLOGIA DIGITAL E REPRES</v>
      </c>
      <c r="E2266" s="21">
        <f>IFERROR(__xludf.DUMMYFUNCTION("""COMPUTED_VALUE"""),145359.0)</f>
        <v>145359</v>
      </c>
      <c r="F2266" s="21" t="str">
        <f>IFERROR(__xludf.DUMMYFUNCTION("""COMPUTED_VALUE"""),"TRANSITO REVERSA")</f>
        <v>TRANSITO REVERSA</v>
      </c>
      <c r="G2266" s="23">
        <f>IFERROR(__xludf.DUMMYFUNCTION("""COMPUTED_VALUE"""),45617.87138888889)</f>
        <v>45617.87139</v>
      </c>
      <c r="H2266" s="24" t="str">
        <f>IFERROR(VLOOKUP(B2266,material!A:D,3,0),"")</f>
        <v>CARD</v>
      </c>
    </row>
    <row r="2267" ht="11.25" customHeight="1">
      <c r="A2267" s="21" t="str">
        <f>IFERROR(__xludf.DUMMYFUNCTION("""COMPUTED_VALUE"""),"SMART CARD PRETO NAGRA")</f>
        <v>SMART CARD PRETO NAGRA</v>
      </c>
      <c r="B2267" s="22">
        <f>IFERROR(__xludf.DUMMYFUNCTION("""COMPUTED_VALUE"""),4.1001234E7)</f>
        <v>41001234</v>
      </c>
      <c r="C2267" s="21" t="str">
        <f>IFERROR(__xludf.DUMMYFUNCTION("""COMPUTED_VALUE"""),"246264346577")</f>
        <v>246264346577</v>
      </c>
      <c r="D2267" s="21" t="str">
        <f>IFERROR(__xludf.DUMMYFUNCTION("""COMPUTED_VALUE"""),"DIGITEC TECNOLOGIA DIGITAL E REPRES")</f>
        <v>DIGITEC TECNOLOGIA DIGITAL E REPRES</v>
      </c>
      <c r="E2267" s="21">
        <f>IFERROR(__xludf.DUMMYFUNCTION("""COMPUTED_VALUE"""),145359.0)</f>
        <v>145359</v>
      </c>
      <c r="F2267" s="21" t="str">
        <f>IFERROR(__xludf.DUMMYFUNCTION("""COMPUTED_VALUE"""),"TRANSITO REVERSA")</f>
        <v>TRANSITO REVERSA</v>
      </c>
      <c r="G2267" s="23">
        <f>IFERROR(__xludf.DUMMYFUNCTION("""COMPUTED_VALUE"""),45633.003958333335)</f>
        <v>45633.00396</v>
      </c>
      <c r="H2267" s="24" t="str">
        <f>IFERROR(VLOOKUP(B2267,material!A:D,3,0),"")</f>
        <v>CARD</v>
      </c>
    </row>
    <row r="2268" ht="11.25" customHeight="1">
      <c r="A2268" s="21" t="str">
        <f>IFERROR(__xludf.DUMMYFUNCTION("""COMPUTED_VALUE"""),"SMART CARD PRETO NAGRA")</f>
        <v>SMART CARD PRETO NAGRA</v>
      </c>
      <c r="B2268" s="22">
        <f>IFERROR(__xludf.DUMMYFUNCTION("""COMPUTED_VALUE"""),4.1001234E7)</f>
        <v>41001234</v>
      </c>
      <c r="C2268" s="21" t="str">
        <f>IFERROR(__xludf.DUMMYFUNCTION("""COMPUTED_VALUE"""),"226168309000")</f>
        <v>226168309000</v>
      </c>
      <c r="D2268" s="21" t="str">
        <f>IFERROR(__xludf.DUMMYFUNCTION("""COMPUTED_VALUE"""),"DIGITEC TECNOLOGIA DIGITAL E REPRES")</f>
        <v>DIGITEC TECNOLOGIA DIGITAL E REPRES</v>
      </c>
      <c r="E2268" s="21">
        <f>IFERROR(__xludf.DUMMYFUNCTION("""COMPUTED_VALUE"""),145359.0)</f>
        <v>145359</v>
      </c>
      <c r="F2268" s="21" t="str">
        <f>IFERROR(__xludf.DUMMYFUNCTION("""COMPUTED_VALUE"""),"TRANSITO REVERSA")</f>
        <v>TRANSITO REVERSA</v>
      </c>
      <c r="G2268" s="23">
        <f>IFERROR(__xludf.DUMMYFUNCTION("""COMPUTED_VALUE"""),45638.52186342592)</f>
        <v>45638.52186</v>
      </c>
      <c r="H2268" s="24" t="str">
        <f>IFERROR(VLOOKUP(B2268,material!A:D,3,0),"")</f>
        <v>CARD</v>
      </c>
    </row>
    <row r="2269" ht="11.25" customHeight="1">
      <c r="A2269" s="21" t="str">
        <f>IFERROR(__xludf.DUMMYFUNCTION("""COMPUTED_VALUE"""),"SMART CARD PRETO NAGRA")</f>
        <v>SMART CARD PRETO NAGRA</v>
      </c>
      <c r="B2269" s="22">
        <f>IFERROR(__xludf.DUMMYFUNCTION("""COMPUTED_VALUE"""),4.1001234E7)</f>
        <v>41001234</v>
      </c>
      <c r="C2269" s="21" t="str">
        <f>IFERROR(__xludf.DUMMYFUNCTION("""COMPUTED_VALUE"""),"226169987491")</f>
        <v>226169987491</v>
      </c>
      <c r="D2269" s="21" t="str">
        <f>IFERROR(__xludf.DUMMYFUNCTION("""COMPUTED_VALUE"""),"DIGITEC TECNOLOGIA DIGITAL E REPRES")</f>
        <v>DIGITEC TECNOLOGIA DIGITAL E REPRES</v>
      </c>
      <c r="E2269" s="21">
        <f>IFERROR(__xludf.DUMMYFUNCTION("""COMPUTED_VALUE"""),145359.0)</f>
        <v>145359</v>
      </c>
      <c r="F2269" s="21" t="str">
        <f>IFERROR(__xludf.DUMMYFUNCTION("""COMPUTED_VALUE"""),"TRANSITO REVERSA")</f>
        <v>TRANSITO REVERSA</v>
      </c>
      <c r="G2269" s="23">
        <f>IFERROR(__xludf.DUMMYFUNCTION("""COMPUTED_VALUE"""),45506.70931712963)</f>
        <v>45506.70932</v>
      </c>
      <c r="H2269" s="24" t="str">
        <f>IFERROR(VLOOKUP(B2269,material!A:D,3,0),"")</f>
        <v>CARD</v>
      </c>
    </row>
    <row r="2270" ht="11.25" customHeight="1">
      <c r="A2270" s="21" t="str">
        <f>IFERROR(__xludf.DUMMYFUNCTION("""COMPUTED_VALUE"""),"SMART CARD PRETO NAGRA")</f>
        <v>SMART CARD PRETO NAGRA</v>
      </c>
      <c r="B2270" s="22">
        <f>IFERROR(__xludf.DUMMYFUNCTION("""COMPUTED_VALUE"""),4.1001234E7)</f>
        <v>41001234</v>
      </c>
      <c r="C2270" s="21" t="str">
        <f>IFERROR(__xludf.DUMMYFUNCTION("""COMPUTED_VALUE"""),"246325421214")</f>
        <v>246325421214</v>
      </c>
      <c r="D2270" s="21" t="str">
        <f>IFERROR(__xludf.DUMMYFUNCTION("""COMPUTED_VALUE"""),"DIGITEC TECNOLOGIA DIGITAL E REPRES")</f>
        <v>DIGITEC TECNOLOGIA DIGITAL E REPRES</v>
      </c>
      <c r="E2270" s="21">
        <f>IFERROR(__xludf.DUMMYFUNCTION("""COMPUTED_VALUE"""),145359.0)</f>
        <v>145359</v>
      </c>
      <c r="F2270" s="21" t="str">
        <f>IFERROR(__xludf.DUMMYFUNCTION("""COMPUTED_VALUE"""),"TRANSITO REVERSA")</f>
        <v>TRANSITO REVERSA</v>
      </c>
      <c r="G2270" s="23">
        <f>IFERROR(__xludf.DUMMYFUNCTION("""COMPUTED_VALUE"""),45633.00394675926)</f>
        <v>45633.00395</v>
      </c>
      <c r="H2270" s="24" t="str">
        <f>IFERROR(VLOOKUP(B2270,material!A:D,3,0),"")</f>
        <v>CARD</v>
      </c>
    </row>
    <row r="2271" ht="11.25" customHeight="1">
      <c r="A2271" s="21" t="str">
        <f>IFERROR(__xludf.DUMMYFUNCTION("""COMPUTED_VALUE"""),"SMART CARD PRETO NAGRA")</f>
        <v>SMART CARD PRETO NAGRA</v>
      </c>
      <c r="B2271" s="22">
        <f>IFERROR(__xludf.DUMMYFUNCTION("""COMPUTED_VALUE"""),4.1001234E7)</f>
        <v>41001234</v>
      </c>
      <c r="C2271" s="21" t="str">
        <f>IFERROR(__xludf.DUMMYFUNCTION("""COMPUTED_VALUE"""),"226315186768")</f>
        <v>226315186768</v>
      </c>
      <c r="D2271" s="21" t="str">
        <f>IFERROR(__xludf.DUMMYFUNCTION("""COMPUTED_VALUE"""),"DIGITEC TECNOLOGIA DIGITAL E REPRES")</f>
        <v>DIGITEC TECNOLOGIA DIGITAL E REPRES</v>
      </c>
      <c r="E2271" s="21">
        <f>IFERROR(__xludf.DUMMYFUNCTION("""COMPUTED_VALUE"""),145359.0)</f>
        <v>145359</v>
      </c>
      <c r="F2271" s="21" t="str">
        <f>IFERROR(__xludf.DUMMYFUNCTION("""COMPUTED_VALUE"""),"TRANSITO REVERSA")</f>
        <v>TRANSITO REVERSA</v>
      </c>
      <c r="G2271" s="23">
        <f>IFERROR(__xludf.DUMMYFUNCTION("""COMPUTED_VALUE"""),45617.87140046296)</f>
        <v>45617.8714</v>
      </c>
      <c r="H2271" s="24" t="str">
        <f>IFERROR(VLOOKUP(B2271,material!A:D,3,0),"")</f>
        <v>CARD</v>
      </c>
    </row>
    <row r="2272" ht="11.25" customHeight="1">
      <c r="A2272" s="21" t="str">
        <f>IFERROR(__xludf.DUMMYFUNCTION("""COMPUTED_VALUE"""),"THOMSON HIGH DEFINITION DCI713")</f>
        <v>THOMSON HIGH DEFINITION DCI713</v>
      </c>
      <c r="B2272" s="22">
        <f>IFERROR(__xludf.DUMMYFUNCTION("""COMPUTED_VALUE"""),4.1001273E7)</f>
        <v>41001273</v>
      </c>
      <c r="C2272" s="21" t="str">
        <f>IFERROR(__xludf.DUMMYFUNCTION("""COMPUTED_VALUE"""),"181369396376")</f>
        <v>181369396376</v>
      </c>
      <c r="D2272" s="21" t="str">
        <f>IFERROR(__xludf.DUMMYFUNCTION("""COMPUTED_VALUE"""),"DIGITEC TECNOLOGIA DIGITAL E REPRES")</f>
        <v>DIGITEC TECNOLOGIA DIGITAL E REPRES</v>
      </c>
      <c r="E2272" s="21">
        <f>IFERROR(__xludf.DUMMYFUNCTION("""COMPUTED_VALUE"""),145359.0)</f>
        <v>145359</v>
      </c>
      <c r="F2272" s="21" t="str">
        <f>IFERROR(__xludf.DUMMYFUNCTION("""COMPUTED_VALUE"""),"TRANSITO REVERSA")</f>
        <v>TRANSITO REVERSA</v>
      </c>
      <c r="G2272" s="23">
        <f>IFERROR(__xludf.DUMMYFUNCTION("""COMPUTED_VALUE"""),45633.00336805556)</f>
        <v>45633.00337</v>
      </c>
      <c r="H2272" s="24" t="str">
        <f>IFERROR(VLOOKUP(B2272,material!A:D,3,0),"")</f>
        <v>LEGADO</v>
      </c>
    </row>
    <row r="2273" ht="11.25" customHeight="1">
      <c r="A2273" s="21" t="str">
        <f>IFERROR(__xludf.DUMMYFUNCTION("""COMPUTED_VALUE"""),"THOMSON HIGH DEFINITION DCI713")</f>
        <v>THOMSON HIGH DEFINITION DCI713</v>
      </c>
      <c r="B2273" s="22">
        <f>IFERROR(__xludf.DUMMYFUNCTION("""COMPUTED_VALUE"""),4.1001273E7)</f>
        <v>41001273</v>
      </c>
      <c r="C2273" s="21" t="str">
        <f>IFERROR(__xludf.DUMMYFUNCTION("""COMPUTED_VALUE"""),"184175731920")</f>
        <v>184175731920</v>
      </c>
      <c r="D2273" s="21" t="str">
        <f>IFERROR(__xludf.DUMMYFUNCTION("""COMPUTED_VALUE"""),"DIGITEC TECNOLOGIA DIGITAL E REPRES")</f>
        <v>DIGITEC TECNOLOGIA DIGITAL E REPRES</v>
      </c>
      <c r="E2273" s="21">
        <f>IFERROR(__xludf.DUMMYFUNCTION("""COMPUTED_VALUE"""),145359.0)</f>
        <v>145359</v>
      </c>
      <c r="F2273" s="21" t="str">
        <f>IFERROR(__xludf.DUMMYFUNCTION("""COMPUTED_VALUE"""),"TRANSITO REVERSA")</f>
        <v>TRANSITO REVERSA</v>
      </c>
      <c r="G2273" s="23">
        <f>IFERROR(__xludf.DUMMYFUNCTION("""COMPUTED_VALUE"""),45633.00399305555)</f>
        <v>45633.00399</v>
      </c>
      <c r="H2273" s="24" t="str">
        <f>IFERROR(VLOOKUP(B2273,material!A:D,3,0),"")</f>
        <v>LEGADO</v>
      </c>
    </row>
    <row r="2274" ht="11.25" customHeight="1">
      <c r="A2274" s="21" t="str">
        <f>IFERROR(__xludf.DUMMYFUNCTION("""COMPUTED_VALUE"""),"PACE - HIGH DEFINITION DCR7411")</f>
        <v>PACE - HIGH DEFINITION DCR7411</v>
      </c>
      <c r="B2274" s="22">
        <f>IFERROR(__xludf.DUMMYFUNCTION("""COMPUTED_VALUE"""),4.1001216E7)</f>
        <v>41001216</v>
      </c>
      <c r="C2274" s="21" t="str">
        <f>IFERROR(__xludf.DUMMYFUNCTION("""COMPUTED_VALUE"""),"184035682831")</f>
        <v>184035682831</v>
      </c>
      <c r="D2274" s="21" t="str">
        <f>IFERROR(__xludf.DUMMYFUNCTION("""COMPUTED_VALUE"""),"DIGITEC TECNOLOGIA DIGITAL E REPRES")</f>
        <v>DIGITEC TECNOLOGIA DIGITAL E REPRES</v>
      </c>
      <c r="E2274" s="21">
        <f>IFERROR(__xludf.DUMMYFUNCTION("""COMPUTED_VALUE"""),145359.0)</f>
        <v>145359</v>
      </c>
      <c r="F2274" s="21" t="str">
        <f>IFERROR(__xludf.DUMMYFUNCTION("""COMPUTED_VALUE"""),"TRANSITO REVERSA")</f>
        <v>TRANSITO REVERSA</v>
      </c>
      <c r="G2274" s="23">
        <f>IFERROR(__xludf.DUMMYFUNCTION("""COMPUTED_VALUE"""),45617.87143518518)</f>
        <v>45617.87144</v>
      </c>
      <c r="H2274" s="24" t="str">
        <f>IFERROR(VLOOKUP(B2274,material!A:D,3,0),"")</f>
        <v>LEGADO</v>
      </c>
    </row>
    <row r="2275" ht="11.25" customHeight="1">
      <c r="A2275" s="21" t="str">
        <f>IFERROR(__xludf.DUMMYFUNCTION("""COMPUTED_VALUE"""),"PACE - HIGH DEFINITION DCR7411")</f>
        <v>PACE - HIGH DEFINITION DCR7411</v>
      </c>
      <c r="B2275" s="22">
        <f>IFERROR(__xludf.DUMMYFUNCTION("""COMPUTED_VALUE"""),4.1001216E7)</f>
        <v>41001216</v>
      </c>
      <c r="C2275" s="21" t="str">
        <f>IFERROR(__xludf.DUMMYFUNCTION("""COMPUTED_VALUE"""),"181345300726")</f>
        <v>181345300726</v>
      </c>
      <c r="D2275" s="21" t="str">
        <f>IFERROR(__xludf.DUMMYFUNCTION("""COMPUTED_VALUE"""),"DIGITEC TECNOLOGIA DIGITAL E REPRES")</f>
        <v>DIGITEC TECNOLOGIA DIGITAL E REPRES</v>
      </c>
      <c r="E2275" s="21">
        <f>IFERROR(__xludf.DUMMYFUNCTION("""COMPUTED_VALUE"""),145359.0)</f>
        <v>145359</v>
      </c>
      <c r="F2275" s="21" t="str">
        <f>IFERROR(__xludf.DUMMYFUNCTION("""COMPUTED_VALUE"""),"TRANSITO REVERSA")</f>
        <v>TRANSITO REVERSA</v>
      </c>
      <c r="G2275" s="23">
        <f>IFERROR(__xludf.DUMMYFUNCTION("""COMPUTED_VALUE"""),45610.730416666665)</f>
        <v>45610.73042</v>
      </c>
      <c r="H2275" s="24" t="str">
        <f>IFERROR(VLOOKUP(B2275,material!A:D,3,0),"")</f>
        <v>LEGADO</v>
      </c>
    </row>
    <row r="2276" ht="11.25" customHeight="1">
      <c r="A2276" s="21" t="str">
        <f>IFERROR(__xludf.DUMMYFUNCTION("""COMPUTED_VALUE"""),"PACE - HIGH DEFINITION DCR7411")</f>
        <v>PACE - HIGH DEFINITION DCR7411</v>
      </c>
      <c r="B2276" s="22">
        <f>IFERROR(__xludf.DUMMYFUNCTION("""COMPUTED_VALUE"""),4.1001216E7)</f>
        <v>41001216</v>
      </c>
      <c r="C2276" s="21" t="str">
        <f>IFERROR(__xludf.DUMMYFUNCTION("""COMPUTED_VALUE"""),"184209215872")</f>
        <v>184209215872</v>
      </c>
      <c r="D2276" s="21" t="str">
        <f>IFERROR(__xludf.DUMMYFUNCTION("""COMPUTED_VALUE"""),"DIGITEC TECNOLOGIA DIGITAL E REPRES")</f>
        <v>DIGITEC TECNOLOGIA DIGITAL E REPRES</v>
      </c>
      <c r="E2276" s="21">
        <f>IFERROR(__xludf.DUMMYFUNCTION("""COMPUTED_VALUE"""),145359.0)</f>
        <v>145359</v>
      </c>
      <c r="F2276" s="21" t="str">
        <f>IFERROR(__xludf.DUMMYFUNCTION("""COMPUTED_VALUE"""),"TRANSITO REVERSA")</f>
        <v>TRANSITO REVERSA</v>
      </c>
      <c r="G2276" s="23">
        <f>IFERROR(__xludf.DUMMYFUNCTION("""COMPUTED_VALUE"""),45617.87140046296)</f>
        <v>45617.8714</v>
      </c>
      <c r="H2276" s="24" t="str">
        <f>IFERROR(VLOOKUP(B2276,material!A:D,3,0),"")</f>
        <v>LEGADO</v>
      </c>
    </row>
    <row r="2277" ht="11.25" customHeight="1">
      <c r="A2277" s="21" t="str">
        <f>IFERROR(__xludf.DUMMYFUNCTION("""COMPUTED_VALUE"""),"PACE - HIGH DEFINITION DCR7411")</f>
        <v>PACE - HIGH DEFINITION DCR7411</v>
      </c>
      <c r="B2277" s="22">
        <f>IFERROR(__xludf.DUMMYFUNCTION("""COMPUTED_VALUE"""),4.1001216E7)</f>
        <v>41001216</v>
      </c>
      <c r="C2277" s="21" t="str">
        <f>IFERROR(__xludf.DUMMYFUNCTION("""COMPUTED_VALUE"""),"184304618291")</f>
        <v>184304618291</v>
      </c>
      <c r="D2277" s="21" t="str">
        <f>IFERROR(__xludf.DUMMYFUNCTION("""COMPUTED_VALUE"""),"DIGITEC TECNOLOGIA DIGITAL E REPRES")</f>
        <v>DIGITEC TECNOLOGIA DIGITAL E REPRES</v>
      </c>
      <c r="E2277" s="21">
        <f>IFERROR(__xludf.DUMMYFUNCTION("""COMPUTED_VALUE"""),145359.0)</f>
        <v>145359</v>
      </c>
      <c r="F2277" s="21" t="str">
        <f>IFERROR(__xludf.DUMMYFUNCTION("""COMPUTED_VALUE"""),"TRANSITO REVERSA")</f>
        <v>TRANSITO REVERSA</v>
      </c>
      <c r="G2277" s="23">
        <f>IFERROR(__xludf.DUMMYFUNCTION("""COMPUTED_VALUE"""),45633.00398148148)</f>
        <v>45633.00398</v>
      </c>
      <c r="H2277" s="24" t="str">
        <f>IFERROR(VLOOKUP(B2277,material!A:D,3,0),"")</f>
        <v>LEGADO</v>
      </c>
    </row>
    <row r="2278" ht="11.25" customHeight="1">
      <c r="A2278" s="21" t="str">
        <f>IFERROR(__xludf.DUMMYFUNCTION("""COMPUTED_VALUE"""),"DCR2231")</f>
        <v>DCR2231</v>
      </c>
      <c r="B2278" s="22">
        <f>IFERROR(__xludf.DUMMYFUNCTION("""COMPUTED_VALUE"""),4.1001343E7)</f>
        <v>41001343</v>
      </c>
      <c r="C2278" s="21" t="str">
        <f>IFERROR(__xludf.DUMMYFUNCTION("""COMPUTED_VALUE"""),"176659633139")</f>
        <v>176659633139</v>
      </c>
      <c r="D2278" s="21" t="str">
        <f>IFERROR(__xludf.DUMMYFUNCTION("""COMPUTED_VALUE"""),"DIGITEC TECNOLOGIA DIGITAL E REPRES")</f>
        <v>DIGITEC TECNOLOGIA DIGITAL E REPRES</v>
      </c>
      <c r="E2278" s="21">
        <f>IFERROR(__xludf.DUMMYFUNCTION("""COMPUTED_VALUE"""),145359.0)</f>
        <v>145359</v>
      </c>
      <c r="F2278" s="21" t="str">
        <f>IFERROR(__xludf.DUMMYFUNCTION("""COMPUTED_VALUE"""),"TRANSITO REVERSA")</f>
        <v>TRANSITO REVERSA</v>
      </c>
      <c r="G2278" s="23">
        <f>IFERROR(__xludf.DUMMYFUNCTION("""COMPUTED_VALUE"""),45638.52186342592)</f>
        <v>45638.52186</v>
      </c>
      <c r="H2278" s="24" t="str">
        <f>IFERROR(VLOOKUP(B2278,material!A:D,3,0),"")</f>
        <v>DIGITAL</v>
      </c>
    </row>
    <row r="2279" ht="11.25" customHeight="1">
      <c r="A2279" s="21" t="str">
        <f>IFERROR(__xludf.DUMMYFUNCTION("""COMPUTED_VALUE"""),"SMART CARD LARANJA")</f>
        <v>SMART CARD LARANJA</v>
      </c>
      <c r="B2279" s="22">
        <f>IFERROR(__xludf.DUMMYFUNCTION("""COMPUTED_VALUE"""),4.1001186E7)</f>
        <v>41001186</v>
      </c>
      <c r="C2279" s="21" t="str">
        <f>IFERROR(__xludf.DUMMYFUNCTION("""COMPUTED_VALUE"""),"215675492739")</f>
        <v>215675492739</v>
      </c>
      <c r="D2279" s="21" t="str">
        <f>IFERROR(__xludf.DUMMYFUNCTION("""COMPUTED_VALUE"""),"DIGITEC TECNOLOGIA DIGITAL E REPRES")</f>
        <v>DIGITEC TECNOLOGIA DIGITAL E REPRES</v>
      </c>
      <c r="E2279" s="21">
        <f>IFERROR(__xludf.DUMMYFUNCTION("""COMPUTED_VALUE"""),145359.0)</f>
        <v>145359</v>
      </c>
      <c r="F2279" s="21" t="str">
        <f>IFERROR(__xludf.DUMMYFUNCTION("""COMPUTED_VALUE"""),"TRANSITO REVERSA")</f>
        <v>TRANSITO REVERSA</v>
      </c>
      <c r="G2279" s="23">
        <f>IFERROR(__xludf.DUMMYFUNCTION("""COMPUTED_VALUE"""),45617.87141203704)</f>
        <v>45617.87141</v>
      </c>
      <c r="H2279" s="24" t="str">
        <f>IFERROR(VLOOKUP(B2279,material!A:D,3,0),"")</f>
        <v>CARD</v>
      </c>
    </row>
    <row r="2280" ht="11.25" customHeight="1">
      <c r="A2280" s="21" t="str">
        <f>IFERROR(__xludf.DUMMYFUNCTION("""COMPUTED_VALUE"""),"SMART CARD LARANJA NAGRA")</f>
        <v>SMART CARD LARANJA NAGRA</v>
      </c>
      <c r="B2280" s="22">
        <f>IFERROR(__xludf.DUMMYFUNCTION("""COMPUTED_VALUE"""),4.1001186E7)</f>
        <v>41001186</v>
      </c>
      <c r="C2280" s="21" t="str">
        <f>IFERROR(__xludf.DUMMYFUNCTION("""COMPUTED_VALUE"""),"226699506161")</f>
        <v>226699506161</v>
      </c>
      <c r="D2280" s="21" t="str">
        <f>IFERROR(__xludf.DUMMYFUNCTION("""COMPUTED_VALUE"""),"DIGITEC TECNOLOGIA DIGITAL E REPRES")</f>
        <v>DIGITEC TECNOLOGIA DIGITAL E REPRES</v>
      </c>
      <c r="E2280" s="21">
        <f>IFERROR(__xludf.DUMMYFUNCTION("""COMPUTED_VALUE"""),145359.0)</f>
        <v>145359</v>
      </c>
      <c r="F2280" s="21" t="str">
        <f>IFERROR(__xludf.DUMMYFUNCTION("""COMPUTED_VALUE"""),"TRANSITO REVERSA")</f>
        <v>TRANSITO REVERSA</v>
      </c>
      <c r="G2280" s="23">
        <f>IFERROR(__xludf.DUMMYFUNCTION("""COMPUTED_VALUE"""),45617.87180555555)</f>
        <v>45617.87181</v>
      </c>
      <c r="H2280" s="24" t="str">
        <f>IFERROR(VLOOKUP(B2280,material!A:D,3,0),"")</f>
        <v>CARD</v>
      </c>
    </row>
    <row r="2281" ht="11.25" customHeight="1">
      <c r="A2281" s="21" t="str">
        <f>IFERROR(__xludf.DUMMYFUNCTION("""COMPUTED_VALUE"""),"SMART CARD LARANJA NAGRA")</f>
        <v>SMART CARD LARANJA NAGRA</v>
      </c>
      <c r="B2281" s="22">
        <f>IFERROR(__xludf.DUMMYFUNCTION("""COMPUTED_VALUE"""),4.1001186E7)</f>
        <v>41001186</v>
      </c>
      <c r="C2281" s="21" t="str">
        <f>IFERROR(__xludf.DUMMYFUNCTION("""COMPUTED_VALUE"""),"226693486786")</f>
        <v>226693486786</v>
      </c>
      <c r="D2281" s="21" t="str">
        <f>IFERROR(__xludf.DUMMYFUNCTION("""COMPUTED_VALUE"""),"DIGITEC TECNOLOGIA DIGITAL E REPRES")</f>
        <v>DIGITEC TECNOLOGIA DIGITAL E REPRES</v>
      </c>
      <c r="E2281" s="21">
        <f>IFERROR(__xludf.DUMMYFUNCTION("""COMPUTED_VALUE"""),145359.0)</f>
        <v>145359</v>
      </c>
      <c r="F2281" s="21" t="str">
        <f>IFERROR(__xludf.DUMMYFUNCTION("""COMPUTED_VALUE"""),"TRANSITO REVERSA")</f>
        <v>TRANSITO REVERSA</v>
      </c>
      <c r="G2281" s="23">
        <f>IFERROR(__xludf.DUMMYFUNCTION("""COMPUTED_VALUE"""),45617.87142361111)</f>
        <v>45617.87142</v>
      </c>
      <c r="H2281" s="24" t="str">
        <f>IFERROR(VLOOKUP(B2281,material!A:D,3,0),"")</f>
        <v>CARD</v>
      </c>
    </row>
    <row r="2282" ht="11.25" customHeight="1">
      <c r="A2282" s="21" t="str">
        <f>IFERROR(__xludf.DUMMYFUNCTION("""COMPUTED_VALUE"""),"SMART CARD LARANJA NAGRA")</f>
        <v>SMART CARD LARANJA NAGRA</v>
      </c>
      <c r="B2282" s="22">
        <f>IFERROR(__xludf.DUMMYFUNCTION("""COMPUTED_VALUE"""),4.1001186E7)</f>
        <v>41001186</v>
      </c>
      <c r="C2282" s="21" t="str">
        <f>IFERROR(__xludf.DUMMYFUNCTION("""COMPUTED_VALUE"""),"226586214858")</f>
        <v>226586214858</v>
      </c>
      <c r="D2282" s="21" t="str">
        <f>IFERROR(__xludf.DUMMYFUNCTION("""COMPUTED_VALUE"""),"DIGITEC TECNOLOGIA DIGITAL E REPRES")</f>
        <v>DIGITEC TECNOLOGIA DIGITAL E REPRES</v>
      </c>
      <c r="E2282" s="21">
        <f>IFERROR(__xludf.DUMMYFUNCTION("""COMPUTED_VALUE"""),145359.0)</f>
        <v>145359</v>
      </c>
      <c r="F2282" s="21" t="str">
        <f>IFERROR(__xludf.DUMMYFUNCTION("""COMPUTED_VALUE"""),"TRANSITO REVERSA")</f>
        <v>TRANSITO REVERSA</v>
      </c>
      <c r="G2282" s="23">
        <f>IFERROR(__xludf.DUMMYFUNCTION("""COMPUTED_VALUE"""),45617.87142361111)</f>
        <v>45617.87142</v>
      </c>
      <c r="H2282" s="24" t="str">
        <f>IFERROR(VLOOKUP(B2282,material!A:D,3,0),"")</f>
        <v>CARD</v>
      </c>
    </row>
    <row r="2283" ht="11.25" customHeight="1">
      <c r="A2283" s="21" t="str">
        <f>IFERROR(__xludf.DUMMYFUNCTION("""COMPUTED_VALUE"""),"SMART CARD LARANJA NAGRA")</f>
        <v>SMART CARD LARANJA NAGRA</v>
      </c>
      <c r="B2283" s="22">
        <f>IFERROR(__xludf.DUMMYFUNCTION("""COMPUTED_VALUE"""),4.1001186E7)</f>
        <v>41001186</v>
      </c>
      <c r="C2283" s="21" t="str">
        <f>IFERROR(__xludf.DUMMYFUNCTION("""COMPUTED_VALUE"""),"226674382139")</f>
        <v>226674382139</v>
      </c>
      <c r="D2283" s="21" t="str">
        <f>IFERROR(__xludf.DUMMYFUNCTION("""COMPUTED_VALUE"""),"DIGITEC TECNOLOGIA DIGITAL E REPRES")</f>
        <v>DIGITEC TECNOLOGIA DIGITAL E REPRES</v>
      </c>
      <c r="E2283" s="21">
        <f>IFERROR(__xludf.DUMMYFUNCTION("""COMPUTED_VALUE"""),145359.0)</f>
        <v>145359</v>
      </c>
      <c r="F2283" s="21" t="str">
        <f>IFERROR(__xludf.DUMMYFUNCTION("""COMPUTED_VALUE"""),"TRANSITO REVERSA")</f>
        <v>TRANSITO REVERSA</v>
      </c>
      <c r="G2283" s="23">
        <f>IFERROR(__xludf.DUMMYFUNCTION("""COMPUTED_VALUE"""),45633.003379629634)</f>
        <v>45633.00338</v>
      </c>
      <c r="H2283" s="24" t="str">
        <f>IFERROR(VLOOKUP(B2283,material!A:D,3,0),"")</f>
        <v>CARD</v>
      </c>
    </row>
    <row r="2284" ht="11.25" customHeight="1">
      <c r="A2284" s="21" t="str">
        <f>IFERROR(__xludf.DUMMYFUNCTION("""COMPUTED_VALUE"""),"SMART CARD LARANJA NAGRA")</f>
        <v>SMART CARD LARANJA NAGRA</v>
      </c>
      <c r="B2284" s="22">
        <f>IFERROR(__xludf.DUMMYFUNCTION("""COMPUTED_VALUE"""),4.1001186E7)</f>
        <v>41001186</v>
      </c>
      <c r="C2284" s="21" t="str">
        <f>IFERROR(__xludf.DUMMYFUNCTION("""COMPUTED_VALUE"""),"225762236283")</f>
        <v>225762236283</v>
      </c>
      <c r="D2284" s="21" t="str">
        <f>IFERROR(__xludf.DUMMYFUNCTION("""COMPUTED_VALUE"""),"DIGITEC TECNOLOGIA DIGITAL E REPRES")</f>
        <v>DIGITEC TECNOLOGIA DIGITAL E REPRES</v>
      </c>
      <c r="E2284" s="21">
        <f>IFERROR(__xludf.DUMMYFUNCTION("""COMPUTED_VALUE"""),145359.0)</f>
        <v>145359</v>
      </c>
      <c r="F2284" s="21" t="str">
        <f>IFERROR(__xludf.DUMMYFUNCTION("""COMPUTED_VALUE"""),"TRANSITO REVERSA")</f>
        <v>TRANSITO REVERSA</v>
      </c>
      <c r="G2284" s="23">
        <f>IFERROR(__xludf.DUMMYFUNCTION("""COMPUTED_VALUE"""),45617.87141203704)</f>
        <v>45617.87141</v>
      </c>
      <c r="H2284" s="24" t="str">
        <f>IFERROR(VLOOKUP(B2284,material!A:D,3,0),"")</f>
        <v>CARD</v>
      </c>
    </row>
    <row r="2285" ht="11.25" customHeight="1">
      <c r="A2285" s="21" t="str">
        <f>IFERROR(__xludf.DUMMYFUNCTION("""COMPUTED_VALUE"""),"SMART CARD LARANJA NAGRA")</f>
        <v>SMART CARD LARANJA NAGRA</v>
      </c>
      <c r="B2285" s="22">
        <f>IFERROR(__xludf.DUMMYFUNCTION("""COMPUTED_VALUE"""),4.1001186E7)</f>
        <v>41001186</v>
      </c>
      <c r="C2285" s="21" t="str">
        <f>IFERROR(__xludf.DUMMYFUNCTION("""COMPUTED_VALUE"""),"215727120808")</f>
        <v>215727120808</v>
      </c>
      <c r="D2285" s="21" t="str">
        <f>IFERROR(__xludf.DUMMYFUNCTION("""COMPUTED_VALUE"""),"DIGITEC TECNOLOGIA DIGITAL E REPRES")</f>
        <v>DIGITEC TECNOLOGIA DIGITAL E REPRES</v>
      </c>
      <c r="E2285" s="21">
        <f>IFERROR(__xludf.DUMMYFUNCTION("""COMPUTED_VALUE"""),145359.0)</f>
        <v>145359</v>
      </c>
      <c r="F2285" s="21" t="str">
        <f>IFERROR(__xludf.DUMMYFUNCTION("""COMPUTED_VALUE"""),"TRANSITO REVERSA")</f>
        <v>TRANSITO REVERSA</v>
      </c>
      <c r="G2285" s="23">
        <f>IFERROR(__xludf.DUMMYFUNCTION("""COMPUTED_VALUE"""),45617.87141203704)</f>
        <v>45617.87141</v>
      </c>
      <c r="H2285" s="24" t="str">
        <f>IFERROR(VLOOKUP(B2285,material!A:D,3,0),"")</f>
        <v>CARD</v>
      </c>
    </row>
    <row r="2286" ht="11.25" customHeight="1">
      <c r="A2286" s="21" t="str">
        <f>IFERROR(__xludf.DUMMYFUNCTION("""COMPUTED_VALUE"""),"TECHNICOLOR TC7337NET")</f>
        <v>TECHNICOLOR TC7337NET</v>
      </c>
      <c r="B2286" s="22">
        <f>IFERROR(__xludf.DUMMYFUNCTION("""COMPUTED_VALUE"""),4.1001294E7)</f>
        <v>41001294</v>
      </c>
      <c r="C2286" s="21" t="str">
        <f>IFERROR(__xludf.DUMMYFUNCTION("""COMPUTED_VALUE"""),"B42A0ED27298")</f>
        <v>B42A0ED27298</v>
      </c>
      <c r="D2286" s="21" t="str">
        <f>IFERROR(__xludf.DUMMYFUNCTION("""COMPUTED_VALUE"""),"DIGITEC TECNOLOGIA DIGITAL E REPRES")</f>
        <v>DIGITEC TECNOLOGIA DIGITAL E REPRES</v>
      </c>
      <c r="E2286" s="21">
        <f>IFERROR(__xludf.DUMMYFUNCTION("""COMPUTED_VALUE"""),145359.0)</f>
        <v>145359</v>
      </c>
      <c r="F2286" s="21" t="str">
        <f>IFERROR(__xludf.DUMMYFUNCTION("""COMPUTED_VALUE"""),"PERDA")</f>
        <v>PERDA</v>
      </c>
      <c r="G2286" s="23">
        <f>IFERROR(__xludf.DUMMYFUNCTION("""COMPUTED_VALUE"""),45203.317141203705)</f>
        <v>45203.31714</v>
      </c>
      <c r="H2286" s="24" t="str">
        <f>IFERROR(VLOOKUP(B2286,material!A:D,3,0),"")</f>
        <v>DUAL</v>
      </c>
    </row>
    <row r="2287" ht="11.25" customHeight="1">
      <c r="A2287" s="21" t="str">
        <f>IFERROR(__xludf.DUMMYFUNCTION("""COMPUTED_VALUE"""),"SMART CARD PRETO NAGRA")</f>
        <v>SMART CARD PRETO NAGRA</v>
      </c>
      <c r="B2287" s="22">
        <f>IFERROR(__xludf.DUMMYFUNCTION("""COMPUTED_VALUE"""),4.1001234E7)</f>
        <v>41001234</v>
      </c>
      <c r="C2287" s="21" t="str">
        <f>IFERROR(__xludf.DUMMYFUNCTION("""COMPUTED_VALUE"""),"226410558298")</f>
        <v>226410558298</v>
      </c>
      <c r="D2287" s="21" t="str">
        <f>IFERROR(__xludf.DUMMYFUNCTION("""COMPUTED_VALUE"""),"DIGITEC TECNOLOGIA DIGITAL E REPRES")</f>
        <v>DIGITEC TECNOLOGIA DIGITAL E REPRES</v>
      </c>
      <c r="E2287" s="21">
        <f>IFERROR(__xludf.DUMMYFUNCTION("""COMPUTED_VALUE"""),145359.0)</f>
        <v>145359</v>
      </c>
      <c r="F2287" s="21" t="str">
        <f>IFERROR(__xludf.DUMMYFUNCTION("""COMPUTED_VALUE"""),"PERDA")</f>
        <v>PERDA</v>
      </c>
      <c r="G2287" s="23">
        <f>IFERROR(__xludf.DUMMYFUNCTION("""COMPUTED_VALUE"""),45203.317141203705)</f>
        <v>45203.31714</v>
      </c>
      <c r="H2287" s="24" t="str">
        <f>IFERROR(VLOOKUP(B2287,material!A:D,3,0),"")</f>
        <v>CARD</v>
      </c>
    </row>
    <row r="2288" ht="11.25" customHeight="1">
      <c r="A2288" s="21" t="str">
        <f>IFERROR(__xludf.DUMMYFUNCTION("""COMPUTED_VALUE"""),"TECHNICOLOR TC7337NET")</f>
        <v>TECHNICOLOR TC7337NET</v>
      </c>
      <c r="B2288" s="22">
        <f>IFERROR(__xludf.DUMMYFUNCTION("""COMPUTED_VALUE"""),4.1001294E7)</f>
        <v>41001294</v>
      </c>
      <c r="C2288" s="21" t="str">
        <f>IFERROR(__xludf.DUMMYFUNCTION("""COMPUTED_VALUE"""),"1062D09F5BD8")</f>
        <v>1062D09F5BD8</v>
      </c>
      <c r="D2288" s="21" t="str">
        <f>IFERROR(__xludf.DUMMYFUNCTION("""COMPUTED_VALUE"""),"DIGITEC TECNOLOGIA DIGITAL E REPRES")</f>
        <v>DIGITEC TECNOLOGIA DIGITAL E REPRES</v>
      </c>
      <c r="E2288" s="21">
        <f>IFERROR(__xludf.DUMMYFUNCTION("""COMPUTED_VALUE"""),145359.0)</f>
        <v>145359</v>
      </c>
      <c r="F2288" s="21" t="str">
        <f>IFERROR(__xludf.DUMMYFUNCTION("""COMPUTED_VALUE"""),"SUSPEITO")</f>
        <v>SUSPEITO</v>
      </c>
      <c r="G2288" s="23">
        <f>IFERROR(__xludf.DUMMYFUNCTION("""COMPUTED_VALUE"""),45638.46197916666)</f>
        <v>45638.46198</v>
      </c>
      <c r="H2288" s="24" t="str">
        <f>IFERROR(VLOOKUP(B2288,material!A:D,3,0),"")</f>
        <v>DUAL</v>
      </c>
    </row>
    <row r="2289" ht="11.25" customHeight="1">
      <c r="A2289" s="21" t="str">
        <f>IFERROR(__xludf.DUMMYFUNCTION("""COMPUTED_VALUE"""),"HUMAX HGB10R-02")</f>
        <v>HUMAX HGB10R-02</v>
      </c>
      <c r="B2289" s="22">
        <f>IFERROR(__xludf.DUMMYFUNCTION("""COMPUTED_VALUE"""),4.1001292E7)</f>
        <v>41001292</v>
      </c>
      <c r="C2289" s="21" t="str">
        <f>IFERROR(__xludf.DUMMYFUNCTION("""COMPUTED_VALUE"""),"E820E219FCE1")</f>
        <v>E820E219FCE1</v>
      </c>
      <c r="D2289" s="21" t="str">
        <f>IFERROR(__xludf.DUMMYFUNCTION("""COMPUTED_VALUE"""),"DIGITEC TECNOLOGIA DIGITAL E REPRES")</f>
        <v>DIGITEC TECNOLOGIA DIGITAL E REPRES</v>
      </c>
      <c r="E2289" s="21">
        <f>IFERROR(__xludf.DUMMYFUNCTION("""COMPUTED_VALUE"""),145359.0)</f>
        <v>145359</v>
      </c>
      <c r="F2289" s="21" t="str">
        <f>IFERROR(__xludf.DUMMYFUNCTION("""COMPUTED_VALUE"""),"SUSPEITO")</f>
        <v>SUSPEITO</v>
      </c>
      <c r="G2289" s="23">
        <f>IFERROR(__xludf.DUMMYFUNCTION("""COMPUTED_VALUE"""),45637.46869212963)</f>
        <v>45637.46869</v>
      </c>
      <c r="H2289" s="24" t="str">
        <f>IFERROR(VLOOKUP(B2289,material!A:D,3,0),"")</f>
        <v>DUAL</v>
      </c>
    </row>
    <row r="2290" ht="11.25" customHeight="1">
      <c r="A2290" s="21" t="str">
        <f>IFERROR(__xludf.DUMMYFUNCTION("""COMPUTED_VALUE"""),"DECODER DIGITAL HD HNB100 2T")</f>
        <v>DECODER DIGITAL HD HNB100 2T</v>
      </c>
      <c r="B2290" s="22">
        <f>IFERROR(__xludf.DUMMYFUNCTION("""COMPUTED_VALUE"""),4.1001276E7)</f>
        <v>41001276</v>
      </c>
      <c r="C2290" s="21" t="str">
        <f>IFERROR(__xludf.DUMMYFUNCTION("""COMPUTED_VALUE"""),"216816862020")</f>
        <v>216816862020</v>
      </c>
      <c r="D2290" s="21" t="str">
        <f>IFERROR(__xludf.DUMMYFUNCTION("""COMPUTED_VALUE"""),"DIGITEC TECNOLOGIA DIGITAL E REPRES")</f>
        <v>DIGITEC TECNOLOGIA DIGITAL E REPRES</v>
      </c>
      <c r="E2290" s="21">
        <f>IFERROR(__xludf.DUMMYFUNCTION("""COMPUTED_VALUE"""),145359.0)</f>
        <v>145359</v>
      </c>
      <c r="F2290" s="21" t="str">
        <f>IFERROR(__xludf.DUMMYFUNCTION("""COMPUTED_VALUE"""),"SUSPEITO")</f>
        <v>SUSPEITO</v>
      </c>
      <c r="G2290" s="23">
        <f>IFERROR(__xludf.DUMMYFUNCTION("""COMPUTED_VALUE"""),45643.459398148145)</f>
        <v>45643.4594</v>
      </c>
      <c r="H2290" s="24" t="str">
        <f>IFERROR(VLOOKUP(B2290,material!A:D,3,0),"")</f>
        <v>TOP MIX</v>
      </c>
    </row>
    <row r="2291" ht="11.25" customHeight="1">
      <c r="A2291" s="21" t="str">
        <f>IFERROR(__xludf.DUMMYFUNCTION("""COMPUTED_VALUE"""),"SMART CARD PRETO NAGRA")</f>
        <v>SMART CARD PRETO NAGRA</v>
      </c>
      <c r="B2291" s="22">
        <f>IFERROR(__xludf.DUMMYFUNCTION("""COMPUTED_VALUE"""),4.1001234E7)</f>
        <v>41001234</v>
      </c>
      <c r="C2291" s="21" t="str">
        <f>IFERROR(__xludf.DUMMYFUNCTION("""COMPUTED_VALUE"""),"246217580308")</f>
        <v>246217580308</v>
      </c>
      <c r="D2291" s="21" t="str">
        <f>IFERROR(__xludf.DUMMYFUNCTION("""COMPUTED_VALUE"""),"DIGITEC TECNOLOGIA DIGITAL E REPRES")</f>
        <v>DIGITEC TECNOLOGIA DIGITAL E REPRES</v>
      </c>
      <c r="E2291" s="21">
        <f>IFERROR(__xludf.DUMMYFUNCTION("""COMPUTED_VALUE"""),145359.0)</f>
        <v>145359</v>
      </c>
      <c r="F2291" s="21" t="str">
        <f>IFERROR(__xludf.DUMMYFUNCTION("""COMPUTED_VALUE"""),"SUSPEITO")</f>
        <v>SUSPEITO</v>
      </c>
      <c r="G2291" s="23">
        <f>IFERROR(__xludf.DUMMYFUNCTION("""COMPUTED_VALUE"""),45619.48442129629)</f>
        <v>45619.48442</v>
      </c>
      <c r="H2291" s="24" t="str">
        <f>IFERROR(VLOOKUP(B2291,material!A:D,3,0),"")</f>
        <v>CARD</v>
      </c>
    </row>
    <row r="2292" ht="11.25" customHeight="1">
      <c r="A2292" s="21" t="str">
        <f>IFERROR(__xludf.DUMMYFUNCTION("""COMPUTED_VALUE"""),"SMART CARD PRETO NAGRA")</f>
        <v>SMART CARD PRETO NAGRA</v>
      </c>
      <c r="B2292" s="22">
        <f>IFERROR(__xludf.DUMMYFUNCTION("""COMPUTED_VALUE"""),4.1001234E7)</f>
        <v>41001234</v>
      </c>
      <c r="C2292" s="21" t="str">
        <f>IFERROR(__xludf.DUMMYFUNCTION("""COMPUTED_VALUE"""),"246264331829")</f>
        <v>246264331829</v>
      </c>
      <c r="D2292" s="21" t="str">
        <f>IFERROR(__xludf.DUMMYFUNCTION("""COMPUTED_VALUE"""),"DIGITEC TECNOLOGIA DIGITAL E REPRES")</f>
        <v>DIGITEC TECNOLOGIA DIGITAL E REPRES</v>
      </c>
      <c r="E2292" s="21">
        <f>IFERROR(__xludf.DUMMYFUNCTION("""COMPUTED_VALUE"""),145359.0)</f>
        <v>145359</v>
      </c>
      <c r="F2292" s="21" t="str">
        <f>IFERROR(__xludf.DUMMYFUNCTION("""COMPUTED_VALUE"""),"SUSPEITO")</f>
        <v>SUSPEITO</v>
      </c>
      <c r="G2292" s="23">
        <f>IFERROR(__xludf.DUMMYFUNCTION("""COMPUTED_VALUE"""),45643.459398148145)</f>
        <v>45643.4594</v>
      </c>
      <c r="H2292" s="24" t="str">
        <f>IFERROR(VLOOKUP(B2292,material!A:D,3,0),"")</f>
        <v>CARD</v>
      </c>
    </row>
    <row r="2293" ht="11.25" customHeight="1">
      <c r="A2293" s="21" t="str">
        <f>IFERROR(__xludf.DUMMYFUNCTION("""COMPUTED_VALUE"""),"SMART CARD PRETO NAGRA")</f>
        <v>SMART CARD PRETO NAGRA</v>
      </c>
      <c r="B2293" s="22">
        <f>IFERROR(__xludf.DUMMYFUNCTION("""COMPUTED_VALUE"""),4.1001234E7)</f>
        <v>41001234</v>
      </c>
      <c r="C2293" s="21" t="str">
        <f>IFERROR(__xludf.DUMMYFUNCTION("""COMPUTED_VALUE"""),"246135910306")</f>
        <v>246135910306</v>
      </c>
      <c r="D2293" s="21" t="str">
        <f>IFERROR(__xludf.DUMMYFUNCTION("""COMPUTED_VALUE"""),"DIGITEC TECNOLOGIA DIGITAL E REPRES")</f>
        <v>DIGITEC TECNOLOGIA DIGITAL E REPRES</v>
      </c>
      <c r="E2293" s="21">
        <f>IFERROR(__xludf.DUMMYFUNCTION("""COMPUTED_VALUE"""),145359.0)</f>
        <v>145359</v>
      </c>
      <c r="F2293" s="21" t="str">
        <f>IFERROR(__xludf.DUMMYFUNCTION("""COMPUTED_VALUE"""),"SUSPEITO")</f>
        <v>SUSPEITO</v>
      </c>
      <c r="G2293" s="23">
        <f>IFERROR(__xludf.DUMMYFUNCTION("""COMPUTED_VALUE"""),45632.44009259259)</f>
        <v>45632.44009</v>
      </c>
      <c r="H2293" s="24" t="str">
        <f>IFERROR(VLOOKUP(B2293,material!A:D,3,0),"")</f>
        <v>CARD</v>
      </c>
    </row>
    <row r="2294" ht="11.25" customHeight="1">
      <c r="A2294" s="21" t="str">
        <f>IFERROR(__xludf.DUMMYFUNCTION("""COMPUTED_VALUE"""),"SMART CARD PRETO NAGRA")</f>
        <v>SMART CARD PRETO NAGRA</v>
      </c>
      <c r="B2294" s="22">
        <f>IFERROR(__xludf.DUMMYFUNCTION("""COMPUTED_VALUE"""),4.1001234E7)</f>
        <v>41001234</v>
      </c>
      <c r="C2294" s="21" t="str">
        <f>IFERROR(__xludf.DUMMYFUNCTION("""COMPUTED_VALUE"""),"226362554343")</f>
        <v>226362554343</v>
      </c>
      <c r="D2294" s="21" t="str">
        <f>IFERROR(__xludf.DUMMYFUNCTION("""COMPUTED_VALUE"""),"DIGITEC TECNOLOGIA DIGITAL E REPRES")</f>
        <v>DIGITEC TECNOLOGIA DIGITAL E REPRES</v>
      </c>
      <c r="E2294" s="21">
        <f>IFERROR(__xludf.DUMMYFUNCTION("""COMPUTED_VALUE"""),145359.0)</f>
        <v>145359</v>
      </c>
      <c r="F2294" s="21" t="str">
        <f>IFERROR(__xludf.DUMMYFUNCTION("""COMPUTED_VALUE"""),"SUSPEITO")</f>
        <v>SUSPEITO</v>
      </c>
      <c r="G2294" s="23">
        <f>IFERROR(__xludf.DUMMYFUNCTION("""COMPUTED_VALUE"""),45632.44011574074)</f>
        <v>45632.44012</v>
      </c>
      <c r="H2294" s="24" t="str">
        <f>IFERROR(VLOOKUP(B2294,material!A:D,3,0),"")</f>
        <v>CARD</v>
      </c>
    </row>
    <row r="2295" ht="11.25" customHeight="1">
      <c r="A2295" s="21" t="str">
        <f>IFERROR(__xludf.DUMMYFUNCTION("""COMPUTED_VALUE"""),"SMART CARD PRETO NAGRA")</f>
        <v>SMART CARD PRETO NAGRA</v>
      </c>
      <c r="B2295" s="22">
        <f>IFERROR(__xludf.DUMMYFUNCTION("""COMPUTED_VALUE"""),4.1001234E7)</f>
        <v>41001234</v>
      </c>
      <c r="C2295" s="21" t="str">
        <f>IFERROR(__xludf.DUMMYFUNCTION("""COMPUTED_VALUE"""),"246090090526")</f>
        <v>246090090526</v>
      </c>
      <c r="D2295" s="21" t="str">
        <f>IFERROR(__xludf.DUMMYFUNCTION("""COMPUTED_VALUE"""),"DIGITEC TECNOLOGIA DIGITAL E REPRES")</f>
        <v>DIGITEC TECNOLOGIA DIGITAL E REPRES</v>
      </c>
      <c r="E2295" s="21">
        <f>IFERROR(__xludf.DUMMYFUNCTION("""COMPUTED_VALUE"""),145359.0)</f>
        <v>145359</v>
      </c>
      <c r="F2295" s="21" t="str">
        <f>IFERROR(__xludf.DUMMYFUNCTION("""COMPUTED_VALUE"""),"SUSPEITO")</f>
        <v>SUSPEITO</v>
      </c>
      <c r="G2295" s="23">
        <f>IFERROR(__xludf.DUMMYFUNCTION("""COMPUTED_VALUE"""),45632.44013888889)</f>
        <v>45632.44014</v>
      </c>
      <c r="H2295" s="24" t="str">
        <f>IFERROR(VLOOKUP(B2295,material!A:D,3,0),"")</f>
        <v>CARD</v>
      </c>
    </row>
    <row r="2296" ht="11.25" customHeight="1">
      <c r="A2296" s="21" t="str">
        <f>IFERROR(__xludf.DUMMYFUNCTION("""COMPUTED_VALUE"""),"PACE - HIGH DEFINITION DCR7411")</f>
        <v>PACE - HIGH DEFINITION DCR7411</v>
      </c>
      <c r="B2296" s="22">
        <f>IFERROR(__xludf.DUMMYFUNCTION("""COMPUTED_VALUE"""),4.1001216E7)</f>
        <v>41001216</v>
      </c>
      <c r="C2296" s="21" t="str">
        <f>IFERROR(__xludf.DUMMYFUNCTION("""COMPUTED_VALUE"""),"184033693344")</f>
        <v>184033693344</v>
      </c>
      <c r="D2296" s="21" t="str">
        <f>IFERROR(__xludf.DUMMYFUNCTION("""COMPUTED_VALUE"""),"DIGITEC TECNOLOGIA DIGITAL E REPRES")</f>
        <v>DIGITEC TECNOLOGIA DIGITAL E REPRES</v>
      </c>
      <c r="E2296" s="21">
        <f>IFERROR(__xludf.DUMMYFUNCTION("""COMPUTED_VALUE"""),145359.0)</f>
        <v>145359</v>
      </c>
      <c r="F2296" s="21" t="str">
        <f>IFERROR(__xludf.DUMMYFUNCTION("""COMPUTED_VALUE"""),"SUSPEITO")</f>
        <v>SUSPEITO</v>
      </c>
      <c r="G2296" s="23">
        <f>IFERROR(__xludf.DUMMYFUNCTION("""COMPUTED_VALUE"""),45638.51875)</f>
        <v>45638.51875</v>
      </c>
      <c r="H2296" s="24" t="str">
        <f>IFERROR(VLOOKUP(B2296,material!A:D,3,0),"")</f>
        <v>LEGADO</v>
      </c>
    </row>
    <row r="2297" ht="11.25" customHeight="1">
      <c r="A2297" s="21" t="str">
        <f>IFERROR(__xludf.DUMMYFUNCTION("""COMPUTED_VALUE"""),"NAGRA KIT")</f>
        <v>NAGRA KIT</v>
      </c>
      <c r="B2297" s="22">
        <f>IFERROR(__xludf.DUMMYFUNCTION("""COMPUTED_VALUE"""),4.1001186E7)</f>
        <v>41001186</v>
      </c>
      <c r="C2297" s="21" t="str">
        <f>IFERROR(__xludf.DUMMYFUNCTION("""COMPUTED_VALUE"""),"215531558501")</f>
        <v>215531558501</v>
      </c>
      <c r="D2297" s="21" t="str">
        <f>IFERROR(__xludf.DUMMYFUNCTION("""COMPUTED_VALUE"""),"DIGITEC TECNOLOGIA DIGITAL E REPRES")</f>
        <v>DIGITEC TECNOLOGIA DIGITAL E REPRES</v>
      </c>
      <c r="E2297" s="21">
        <f>IFERROR(__xludf.DUMMYFUNCTION("""COMPUTED_VALUE"""),145359.0)</f>
        <v>145359</v>
      </c>
      <c r="F2297" s="21" t="str">
        <f>IFERROR(__xludf.DUMMYFUNCTION("""COMPUTED_VALUE"""),"SUSPEITO")</f>
        <v>SUSPEITO</v>
      </c>
      <c r="G2297" s="23">
        <f>IFERROR(__xludf.DUMMYFUNCTION("""COMPUTED_VALUE"""),45638.519953703704)</f>
        <v>45638.51995</v>
      </c>
      <c r="H2297" s="24" t="str">
        <f>IFERROR(VLOOKUP(B2297,material!A:D,3,0),"")</f>
        <v>CARD</v>
      </c>
    </row>
    <row r="2298" ht="11.25" customHeight="1">
      <c r="A2298" s="21" t="str">
        <f>IFERROR(__xludf.DUMMYFUNCTION("""COMPUTED_VALUE"""),"SMART CARD PRETO NAGRA")</f>
        <v>SMART CARD PRETO NAGRA</v>
      </c>
      <c r="B2298" s="22">
        <f>IFERROR(__xludf.DUMMYFUNCTION("""COMPUTED_VALUE"""),4.1001234E7)</f>
        <v>41001234</v>
      </c>
      <c r="C2298" s="21" t="str">
        <f>IFERROR(__xludf.DUMMYFUNCTION("""COMPUTED_VALUE"""),"246136035772")</f>
        <v>246136035772</v>
      </c>
      <c r="D2298" s="21" t="str">
        <f>IFERROR(__xludf.DUMMYFUNCTION("""COMPUTED_VALUE"""),"DIGITEC TECNOLOGIA DIGITAL E REPRES")</f>
        <v>DIGITEC TECNOLOGIA DIGITAL E REPRES</v>
      </c>
      <c r="E2298" s="21">
        <f>IFERROR(__xludf.DUMMYFUNCTION("""COMPUTED_VALUE"""),145359.0)</f>
        <v>145359</v>
      </c>
      <c r="F2298" s="21" t="str">
        <f>IFERROR(__xludf.DUMMYFUNCTION("""COMPUTED_VALUE"""),"INICIALIZADO")</f>
        <v>INICIALIZADO</v>
      </c>
      <c r="G2298" s="23">
        <f>IFERROR(__xludf.DUMMYFUNCTION("""COMPUTED_VALUE"""),45600.47596064815)</f>
        <v>45600.47596</v>
      </c>
      <c r="H2298" s="24" t="str">
        <f>IFERROR(VLOOKUP(B2298,material!A:D,3,0),"")</f>
        <v>CARD</v>
      </c>
    </row>
    <row r="2299" ht="11.25" customHeight="1">
      <c r="A2299" s="21" t="str">
        <f>IFERROR(__xludf.DUMMYFUNCTION("""COMPUTED_VALUE"""),"DECODER DIGITAL HD HNB100 2T")</f>
        <v>DECODER DIGITAL HD HNB100 2T</v>
      </c>
      <c r="B2299" s="22">
        <f>IFERROR(__xludf.DUMMYFUNCTION("""COMPUTED_VALUE"""),4.1001276E7)</f>
        <v>41001276</v>
      </c>
      <c r="C2299" s="21" t="str">
        <f>IFERROR(__xludf.DUMMYFUNCTION("""COMPUTED_VALUE"""),"216835233050")</f>
        <v>216835233050</v>
      </c>
      <c r="D2299" s="21" t="str">
        <f>IFERROR(__xludf.DUMMYFUNCTION("""COMPUTED_VALUE"""),"DIGITEC TECNOLOGIA DIGITAL E REPRES")</f>
        <v>DIGITEC TECNOLOGIA DIGITAL E REPRES</v>
      </c>
      <c r="E2299" s="21">
        <f>IFERROR(__xludf.DUMMYFUNCTION("""COMPUTED_VALUE"""),145359.0)</f>
        <v>145359</v>
      </c>
      <c r="F2299" s="21" t="str">
        <f>IFERROR(__xludf.DUMMYFUNCTION("""COMPUTED_VALUE"""),"INICIALIZADO")</f>
        <v>INICIALIZADO</v>
      </c>
      <c r="G2299" s="23">
        <f>IFERROR(__xludf.DUMMYFUNCTION("""COMPUTED_VALUE"""),45635.53503472223)</f>
        <v>45635.53503</v>
      </c>
      <c r="H2299" s="24" t="str">
        <f>IFERROR(VLOOKUP(B2299,material!A:D,3,0),"")</f>
        <v>TOP MIX</v>
      </c>
    </row>
    <row r="2300" ht="11.25" customHeight="1">
      <c r="A2300" s="21" t="str">
        <f>IFERROR(__xludf.DUMMYFUNCTION("""COMPUTED_VALUE"""),"ARRIS TG1692A")</f>
        <v>ARRIS TG1692A</v>
      </c>
      <c r="B2300" s="22">
        <f>IFERROR(__xludf.DUMMYFUNCTION("""COMPUTED_VALUE"""),4.1001293E7)</f>
        <v>41001293</v>
      </c>
      <c r="C2300" s="21" t="str">
        <f>IFERROR(__xludf.DUMMYFUNCTION("""COMPUTED_VALUE"""),"5819F8414F5E")</f>
        <v>5819F8414F5E</v>
      </c>
      <c r="D2300" s="21" t="str">
        <f>IFERROR(__xludf.DUMMYFUNCTION("""COMPUTED_VALUE"""),"DIGITEC TECNOLOGIA DIGITAL E REPRES")</f>
        <v>DIGITEC TECNOLOGIA DIGITAL E REPRES</v>
      </c>
      <c r="E2300" s="21">
        <f>IFERROR(__xludf.DUMMYFUNCTION("""COMPUTED_VALUE"""),145359.0)</f>
        <v>145359</v>
      </c>
      <c r="F2300" s="21" t="str">
        <f>IFERROR(__xludf.DUMMYFUNCTION("""COMPUTED_VALUE"""),"TRANSITO REVERSA")</f>
        <v>TRANSITO REVERSA</v>
      </c>
      <c r="G2300" s="23">
        <f>IFERROR(__xludf.DUMMYFUNCTION("""COMPUTED_VALUE"""),45633.00399305555)</f>
        <v>45633.00399</v>
      </c>
      <c r="H2300" s="24" t="str">
        <f>IFERROR(VLOOKUP(B2300,material!A:D,3,0),"")</f>
        <v>DUAL</v>
      </c>
    </row>
    <row r="2301" ht="11.25" customHeight="1">
      <c r="A2301" s="21" t="str">
        <f>IFERROR(__xludf.DUMMYFUNCTION("""COMPUTED_VALUE"""),"SMART CARD PRETO NAGRA")</f>
        <v>SMART CARD PRETO NAGRA</v>
      </c>
      <c r="B2301" s="22">
        <f>IFERROR(__xludf.DUMMYFUNCTION("""COMPUTED_VALUE"""),4.1001234E7)</f>
        <v>41001234</v>
      </c>
      <c r="C2301" s="21" t="str">
        <f>IFERROR(__xludf.DUMMYFUNCTION("""COMPUTED_VALUE"""),"246285499708")</f>
        <v>246285499708</v>
      </c>
      <c r="D2301" s="21" t="str">
        <f>IFERROR(__xludf.DUMMYFUNCTION("""COMPUTED_VALUE"""),"DIGITEC TECNOLOGIA DIGITAL E REPRES")</f>
        <v>DIGITEC TECNOLOGIA DIGITAL E REPRES</v>
      </c>
      <c r="E2301" s="21">
        <f>IFERROR(__xludf.DUMMYFUNCTION("""COMPUTED_VALUE"""),145359.0)</f>
        <v>145359</v>
      </c>
      <c r="F2301" s="21" t="str">
        <f>IFERROR(__xludf.DUMMYFUNCTION("""COMPUTED_VALUE"""),"INICIALIZADO")</f>
        <v>INICIALIZADO</v>
      </c>
      <c r="G2301" s="23">
        <f>IFERROR(__xludf.DUMMYFUNCTION("""COMPUTED_VALUE"""),45103.6664699074)</f>
        <v>45103.66647</v>
      </c>
      <c r="H2301" s="24" t="str">
        <f>IFERROR(VLOOKUP(B2301,material!A:D,3,0),"")</f>
        <v>CARD</v>
      </c>
    </row>
    <row r="2302" ht="11.25" customHeight="1">
      <c r="A2302" s="21" t="str">
        <f>IFERROR(__xludf.DUMMYFUNCTION("""COMPUTED_VALUE"""),"SMART CARD PRETO NAGRA")</f>
        <v>SMART CARD PRETO NAGRA</v>
      </c>
      <c r="B2302" s="22">
        <f>IFERROR(__xludf.DUMMYFUNCTION("""COMPUTED_VALUE"""),4.1001234E7)</f>
        <v>41001234</v>
      </c>
      <c r="C2302" s="21" t="str">
        <f>IFERROR(__xludf.DUMMYFUNCTION("""COMPUTED_VALUE"""),"226183077085")</f>
        <v>226183077085</v>
      </c>
      <c r="D2302" s="21" t="str">
        <f>IFERROR(__xludf.DUMMYFUNCTION("""COMPUTED_VALUE"""),"DIGITEC TECNOLOGIA DIGITAL E REPRES")</f>
        <v>DIGITEC TECNOLOGIA DIGITAL E REPRES</v>
      </c>
      <c r="E2302" s="21">
        <f>IFERROR(__xludf.DUMMYFUNCTION("""COMPUTED_VALUE"""),145359.0)</f>
        <v>145359</v>
      </c>
      <c r="F2302" s="21" t="str">
        <f>IFERROR(__xludf.DUMMYFUNCTION("""COMPUTED_VALUE"""),"INICIALIZADO")</f>
        <v>INICIALIZADO</v>
      </c>
      <c r="G2302" s="23">
        <f>IFERROR(__xludf.DUMMYFUNCTION("""COMPUTED_VALUE"""),45635.53493055556)</f>
        <v>45635.53493</v>
      </c>
      <c r="H2302" s="24" t="str">
        <f>IFERROR(VLOOKUP(B2302,material!A:D,3,0),"")</f>
        <v>CARD</v>
      </c>
    </row>
    <row r="2303" ht="11.25" customHeight="1">
      <c r="A2303" s="21" t="str">
        <f>IFERROR(__xludf.DUMMYFUNCTION("""COMPUTED_VALUE"""),"DECODER HD DCI738 2T")</f>
        <v>DECODER HD DCI738 2T</v>
      </c>
      <c r="B2303" s="22">
        <f>IFERROR(__xludf.DUMMYFUNCTION("""COMPUTED_VALUE"""),4.1001275E7)</f>
        <v>41001275</v>
      </c>
      <c r="C2303" s="21" t="str">
        <f>IFERROR(__xludf.DUMMYFUNCTION("""COMPUTED_VALUE"""),"216848016777")</f>
        <v>216848016777</v>
      </c>
      <c r="D2303" s="21" t="str">
        <f>IFERROR(__xludf.DUMMYFUNCTION("""COMPUTED_VALUE"""),"DIGITEC TECNOLOGIA DIGITAL E REPRES")</f>
        <v>DIGITEC TECNOLOGIA DIGITAL E REPRES</v>
      </c>
      <c r="E2303" s="21">
        <f>IFERROR(__xludf.DUMMYFUNCTION("""COMPUTED_VALUE"""),145359.0)</f>
        <v>145359</v>
      </c>
      <c r="F2303" s="21" t="str">
        <f>IFERROR(__xludf.DUMMYFUNCTION("""COMPUTED_VALUE"""),"TRANSITO REVERSA")</f>
        <v>TRANSITO REVERSA</v>
      </c>
      <c r="G2303" s="23">
        <f>IFERROR(__xludf.DUMMYFUNCTION("""COMPUTED_VALUE"""),45633.00399305555)</f>
        <v>45633.00399</v>
      </c>
      <c r="H2303" s="24" t="str">
        <f>IFERROR(VLOOKUP(B2303,material!A:D,3,0),"")</f>
        <v>TOP MIX</v>
      </c>
    </row>
    <row r="2304" ht="11.25" customHeight="1">
      <c r="A2304" s="21" t="str">
        <f>IFERROR(__xludf.DUMMYFUNCTION("""COMPUTED_VALUE"""),"TECHNICOLOR TC7337NET")</f>
        <v>TECHNICOLOR TC7337NET</v>
      </c>
      <c r="B2304" s="22">
        <f>IFERROR(__xludf.DUMMYFUNCTION("""COMPUTED_VALUE"""),4.1001294E7)</f>
        <v>41001294</v>
      </c>
      <c r="C2304" s="21" t="str">
        <f>IFERROR(__xludf.DUMMYFUNCTION("""COMPUTED_VALUE"""),"54A65C9083E9")</f>
        <v>54A65C9083E9</v>
      </c>
      <c r="D2304" s="21" t="str">
        <f>IFERROR(__xludf.DUMMYFUNCTION("""COMPUTED_VALUE"""),"DIGITEC TECNOLOGIA DIGITAL E REPRES")</f>
        <v>DIGITEC TECNOLOGIA DIGITAL E REPRES</v>
      </c>
      <c r="E2304" s="21">
        <f>IFERROR(__xludf.DUMMYFUNCTION("""COMPUTED_VALUE"""),145359.0)</f>
        <v>145359</v>
      </c>
      <c r="F2304" s="21" t="str">
        <f>IFERROR(__xludf.DUMMYFUNCTION("""COMPUTED_VALUE"""),"INICIALIZADO")</f>
        <v>INICIALIZADO</v>
      </c>
      <c r="G2304" s="23">
        <f>IFERROR(__xludf.DUMMYFUNCTION("""COMPUTED_VALUE"""),45618.74476851852)</f>
        <v>45618.74477</v>
      </c>
      <c r="H2304" s="24" t="str">
        <f>IFERROR(VLOOKUP(B2304,material!A:D,3,0),"")</f>
        <v>DUAL</v>
      </c>
    </row>
    <row r="2305" ht="11.25" customHeight="1">
      <c r="A2305" s="21" t="str">
        <f>IFERROR(__xludf.DUMMYFUNCTION("""COMPUTED_VALUE"""),"DECODER HD DCI738 2T")</f>
        <v>DECODER HD DCI738 2T</v>
      </c>
      <c r="B2305" s="22">
        <f>IFERROR(__xludf.DUMMYFUNCTION("""COMPUTED_VALUE"""),4.1001275E7)</f>
        <v>41001275</v>
      </c>
      <c r="C2305" s="21" t="str">
        <f>IFERROR(__xludf.DUMMYFUNCTION("""COMPUTED_VALUE"""),"216525861028")</f>
        <v>216525861028</v>
      </c>
      <c r="D2305" s="21" t="str">
        <f>IFERROR(__xludf.DUMMYFUNCTION("""COMPUTED_VALUE"""),"DIGITEC TECNOLOGIA DIGITAL E REPRES")</f>
        <v>DIGITEC TECNOLOGIA DIGITAL E REPRES</v>
      </c>
      <c r="E2305" s="21">
        <f>IFERROR(__xludf.DUMMYFUNCTION("""COMPUTED_VALUE"""),145359.0)</f>
        <v>145359</v>
      </c>
      <c r="F2305" s="21" t="str">
        <f>IFERROR(__xludf.DUMMYFUNCTION("""COMPUTED_VALUE"""),"INICIALIZADO")</f>
        <v>INICIALIZADO</v>
      </c>
      <c r="G2305" s="23">
        <f>IFERROR(__xludf.DUMMYFUNCTION("""COMPUTED_VALUE"""),45516.4197337963)</f>
        <v>45516.41973</v>
      </c>
      <c r="H2305" s="24" t="str">
        <f>IFERROR(VLOOKUP(B2305,material!A:D,3,0),"")</f>
        <v>TOP MIX</v>
      </c>
    </row>
    <row r="2306" ht="11.25" customHeight="1">
      <c r="A2306" s="21" t="str">
        <f>IFERROR(__xludf.DUMMYFUNCTION("""COMPUTED_VALUE"""),"DECODER DIGITAL HD HNB100 2T")</f>
        <v>DECODER DIGITAL HD HNB100 2T</v>
      </c>
      <c r="B2306" s="22">
        <f>IFERROR(__xludf.DUMMYFUNCTION("""COMPUTED_VALUE"""),4.1001276E7)</f>
        <v>41001276</v>
      </c>
      <c r="C2306" s="21" t="str">
        <f>IFERROR(__xludf.DUMMYFUNCTION("""COMPUTED_VALUE"""),"216835694666")</f>
        <v>216835694666</v>
      </c>
      <c r="D2306" s="21" t="str">
        <f>IFERROR(__xludf.DUMMYFUNCTION("""COMPUTED_VALUE"""),"DIGITEC TECNOLOGIA DIGITAL E REPRES")</f>
        <v>DIGITEC TECNOLOGIA DIGITAL E REPRES</v>
      </c>
      <c r="E2306" s="21">
        <f>IFERROR(__xludf.DUMMYFUNCTION("""COMPUTED_VALUE"""),145359.0)</f>
        <v>145359</v>
      </c>
      <c r="F2306" s="21" t="str">
        <f>IFERROR(__xludf.DUMMYFUNCTION("""COMPUTED_VALUE"""),"INICIALIZADO")</f>
        <v>INICIALIZADO</v>
      </c>
      <c r="G2306" s="23">
        <f>IFERROR(__xludf.DUMMYFUNCTION("""COMPUTED_VALUE"""),45642.52413194445)</f>
        <v>45642.52413</v>
      </c>
      <c r="H2306" s="24" t="str">
        <f>IFERROR(VLOOKUP(B2306,material!A:D,3,0),"")</f>
        <v>TOP MIX</v>
      </c>
    </row>
    <row r="2307" ht="11.25" customHeight="1">
      <c r="A2307" s="21" t="str">
        <f>IFERROR(__xludf.DUMMYFUNCTION("""COMPUTED_VALUE"""),"SMART CARD LARANJA")</f>
        <v>SMART CARD LARANJA</v>
      </c>
      <c r="B2307" s="22">
        <f>IFERROR(__xludf.DUMMYFUNCTION("""COMPUTED_VALUE"""),4.1001186E7)</f>
        <v>41001186</v>
      </c>
      <c r="C2307" s="21" t="str">
        <f>IFERROR(__xludf.DUMMYFUNCTION("""COMPUTED_VALUE"""),"226523862735")</f>
        <v>226523862735</v>
      </c>
      <c r="D2307" s="21" t="str">
        <f>IFERROR(__xludf.DUMMYFUNCTION("""COMPUTED_VALUE"""),"DIGITEC TECNOLOGIA DIGITAL E REPRES")</f>
        <v>DIGITEC TECNOLOGIA DIGITAL E REPRES</v>
      </c>
      <c r="E2307" s="21">
        <f>IFERROR(__xludf.DUMMYFUNCTION("""COMPUTED_VALUE"""),145359.0)</f>
        <v>145359</v>
      </c>
      <c r="F2307" s="21" t="str">
        <f>IFERROR(__xludf.DUMMYFUNCTION("""COMPUTED_VALUE"""),"SUCATA")</f>
        <v>SUCATA</v>
      </c>
      <c r="G2307" s="23">
        <f>IFERROR(__xludf.DUMMYFUNCTION("""COMPUTED_VALUE"""),45076.47195601852)</f>
        <v>45076.47196</v>
      </c>
      <c r="H2307" s="24" t="str">
        <f>IFERROR(VLOOKUP(B2307,material!A:D,3,0),"")</f>
        <v>CARD</v>
      </c>
    </row>
    <row r="2308" ht="11.25" customHeight="1">
      <c r="A2308" s="21" t="str">
        <f>IFERROR(__xludf.DUMMYFUNCTION("""COMPUTED_VALUE"""),"SMART CARD LARANJA NAGRA")</f>
        <v>SMART CARD LARANJA NAGRA</v>
      </c>
      <c r="B2308" s="22">
        <f>IFERROR(__xludf.DUMMYFUNCTION("""COMPUTED_VALUE"""),4.1001186E7)</f>
        <v>41001186</v>
      </c>
      <c r="C2308" s="21" t="str">
        <f>IFERROR(__xludf.DUMMYFUNCTION("""COMPUTED_VALUE"""),"226680904144")</f>
        <v>226680904144</v>
      </c>
      <c r="D2308" s="21" t="str">
        <f>IFERROR(__xludf.DUMMYFUNCTION("""COMPUTED_VALUE"""),"DIGITEC TECNOLOGIA DIGITAL E REPRES")</f>
        <v>DIGITEC TECNOLOGIA DIGITAL E REPRES</v>
      </c>
      <c r="E2308" s="21">
        <f>IFERROR(__xludf.DUMMYFUNCTION("""COMPUTED_VALUE"""),145359.0)</f>
        <v>145359</v>
      </c>
      <c r="F2308" s="21" t="str">
        <f>IFERROR(__xludf.DUMMYFUNCTION("""COMPUTED_VALUE"""),"SUCATA")</f>
        <v>SUCATA</v>
      </c>
      <c r="G2308" s="23">
        <f>IFERROR(__xludf.DUMMYFUNCTION("""COMPUTED_VALUE"""),45075.51188657407)</f>
        <v>45075.51189</v>
      </c>
      <c r="H2308" s="24" t="str">
        <f>IFERROR(VLOOKUP(B2308,material!A:D,3,0),"")</f>
        <v>CARD</v>
      </c>
    </row>
    <row r="2309" ht="11.25" customHeight="1">
      <c r="A2309" s="21" t="str">
        <f>IFERROR(__xludf.DUMMYFUNCTION("""COMPUTED_VALUE"""),"HUMAX HG100R-L4")</f>
        <v>HUMAX HG100R-L4</v>
      </c>
      <c r="B2309" s="22">
        <f>IFERROR(__xludf.DUMMYFUNCTION("""COMPUTED_VALUE"""),4.1001288E7)</f>
        <v>41001288</v>
      </c>
      <c r="C2309" s="21" t="str">
        <f>IFERROR(__xludf.DUMMYFUNCTION("""COMPUTED_VALUE"""),"942CB319C774")</f>
        <v>942CB319C774</v>
      </c>
      <c r="D2309" s="21" t="str">
        <f>IFERROR(__xludf.DUMMYFUNCTION("""COMPUTED_VALUE"""),"DIGITEC TECNOLOGIA DIGITAL E REPRES")</f>
        <v>DIGITEC TECNOLOGIA DIGITAL E REPRES</v>
      </c>
      <c r="E2309" s="21">
        <f>IFERROR(__xludf.DUMMYFUNCTION("""COMPUTED_VALUE"""),145359.0)</f>
        <v>145359</v>
      </c>
      <c r="F2309" s="21" t="str">
        <f>IFERROR(__xludf.DUMMYFUNCTION("""COMPUTED_VALUE"""),"INICIALIZADO")</f>
        <v>INICIALIZADO</v>
      </c>
      <c r="G2309" s="23">
        <f>IFERROR(__xludf.DUMMYFUNCTION("""COMPUTED_VALUE"""),44999.92971064815)</f>
        <v>44999.92971</v>
      </c>
      <c r="H2309" s="24" t="str">
        <f>IFERROR(VLOOKUP(B2309,material!A:D,3,0),"")</f>
        <v>SINGLE</v>
      </c>
    </row>
    <row r="2310" ht="11.25" customHeight="1">
      <c r="A2310" s="21" t="str">
        <f>IFERROR(__xludf.DUMMYFUNCTION("""COMPUTED_VALUE"""),"SMART CARD PRETO NAGRA")</f>
        <v>SMART CARD PRETO NAGRA</v>
      </c>
      <c r="B2310" s="22">
        <f>IFERROR(__xludf.DUMMYFUNCTION("""COMPUTED_VALUE"""),4.1001234E7)</f>
        <v>41001234</v>
      </c>
      <c r="C2310" s="21" t="str">
        <f>IFERROR(__xludf.DUMMYFUNCTION("""COMPUTED_VALUE"""),"246198111427")</f>
        <v>246198111427</v>
      </c>
      <c r="D2310" s="21" t="str">
        <f>IFERROR(__xludf.DUMMYFUNCTION("""COMPUTED_VALUE"""),"DIGITEC TECNOLOGIA DIGITAL E REPRES")</f>
        <v>DIGITEC TECNOLOGIA DIGITAL E REPRES</v>
      </c>
      <c r="E2310" s="21">
        <f>IFERROR(__xludf.DUMMYFUNCTION("""COMPUTED_VALUE"""),145359.0)</f>
        <v>145359</v>
      </c>
      <c r="F2310" s="21" t="str">
        <f>IFERROR(__xludf.DUMMYFUNCTION("""COMPUTED_VALUE"""),"INICIALIZADO")</f>
        <v>INICIALIZADO</v>
      </c>
      <c r="G2310" s="23">
        <f>IFERROR(__xludf.DUMMYFUNCTION("""COMPUTED_VALUE"""),45600.47594907407)</f>
        <v>45600.47595</v>
      </c>
      <c r="H2310" s="24" t="str">
        <f>IFERROR(VLOOKUP(B2310,material!A:D,3,0),"")</f>
        <v>CARD</v>
      </c>
    </row>
    <row r="2311" ht="11.25" customHeight="1">
      <c r="A2311" s="21" t="str">
        <f>IFERROR(__xludf.DUMMYFUNCTION("""COMPUTED_VALUE"""),"DECODER HD DCI738 2T")</f>
        <v>DECODER HD DCI738 2T</v>
      </c>
      <c r="B2311" s="22">
        <f>IFERROR(__xludf.DUMMYFUNCTION("""COMPUTED_VALUE"""),4.1001275E7)</f>
        <v>41001275</v>
      </c>
      <c r="C2311" s="21" t="str">
        <f>IFERROR(__xludf.DUMMYFUNCTION("""COMPUTED_VALUE"""),"216604915465")</f>
        <v>216604915465</v>
      </c>
      <c r="D2311" s="21" t="str">
        <f>IFERROR(__xludf.DUMMYFUNCTION("""COMPUTED_VALUE"""),"DIGITEC TECNOLOGIA DIGITAL E REPRES")</f>
        <v>DIGITEC TECNOLOGIA DIGITAL E REPRES</v>
      </c>
      <c r="E2311" s="21">
        <f>IFERROR(__xludf.DUMMYFUNCTION("""COMPUTED_VALUE"""),145359.0)</f>
        <v>145359</v>
      </c>
      <c r="F2311" s="21" t="str">
        <f>IFERROR(__xludf.DUMMYFUNCTION("""COMPUTED_VALUE"""),"TRANSITO REVERSA")</f>
        <v>TRANSITO REVERSA</v>
      </c>
      <c r="G2311" s="23">
        <f>IFERROR(__xludf.DUMMYFUNCTION("""COMPUTED_VALUE"""),45633.00340277777)</f>
        <v>45633.0034</v>
      </c>
      <c r="H2311" s="24" t="str">
        <f>IFERROR(VLOOKUP(B2311,material!A:D,3,0),"")</f>
        <v>TOP MIX</v>
      </c>
    </row>
    <row r="2312" ht="11.25" customHeight="1">
      <c r="A2312" s="21" t="str">
        <f>IFERROR(__xludf.DUMMYFUNCTION("""COMPUTED_VALUE"""),"SMART CARD PRETO NAGRA")</f>
        <v>SMART CARD PRETO NAGRA</v>
      </c>
      <c r="B2312" s="22">
        <f>IFERROR(__xludf.DUMMYFUNCTION("""COMPUTED_VALUE"""),4.1001234E7)</f>
        <v>41001234</v>
      </c>
      <c r="C2312" s="21" t="str">
        <f>IFERROR(__xludf.DUMMYFUNCTION("""COMPUTED_VALUE"""),"226248306571")</f>
        <v>226248306571</v>
      </c>
      <c r="D2312" s="21" t="str">
        <f>IFERROR(__xludf.DUMMYFUNCTION("""COMPUTED_VALUE"""),"DIGITEC TECNOLOGIA DIGITAL E REPRES")</f>
        <v>DIGITEC TECNOLOGIA DIGITAL E REPRES</v>
      </c>
      <c r="E2312" s="21">
        <f>IFERROR(__xludf.DUMMYFUNCTION("""COMPUTED_VALUE"""),145359.0)</f>
        <v>145359</v>
      </c>
      <c r="F2312" s="21" t="str">
        <f>IFERROR(__xludf.DUMMYFUNCTION("""COMPUTED_VALUE"""),"TRANSITO REVERSA")</f>
        <v>TRANSITO REVERSA</v>
      </c>
      <c r="G2312" s="23">
        <f>IFERROR(__xludf.DUMMYFUNCTION("""COMPUTED_VALUE"""),45638.52061342592)</f>
        <v>45638.52061</v>
      </c>
      <c r="H2312" s="24" t="str">
        <f>IFERROR(VLOOKUP(B2312,material!A:D,3,0),"")</f>
        <v>CARD</v>
      </c>
    </row>
    <row r="2313" ht="11.25" customHeight="1">
      <c r="A2313" s="21" t="str">
        <f>IFERROR(__xludf.DUMMYFUNCTION("""COMPUTED_VALUE"""),"PACE - DCR HIGH DEFINITION")</f>
        <v>PACE - DCR HIGH DEFINITION</v>
      </c>
      <c r="B2313" s="22">
        <f>IFERROR(__xludf.DUMMYFUNCTION("""COMPUTED_VALUE"""),4.1001272E7)</f>
        <v>41001272</v>
      </c>
      <c r="C2313" s="21" t="str">
        <f>IFERROR(__xludf.DUMMYFUNCTION("""COMPUTED_VALUE"""),"172431771826")</f>
        <v>172431771826</v>
      </c>
      <c r="D2313" s="21" t="str">
        <f>IFERROR(__xludf.DUMMYFUNCTION("""COMPUTED_VALUE"""),"DIGITEC TECNOLOGIA DIGITAL E REPRES")</f>
        <v>DIGITEC TECNOLOGIA DIGITAL E REPRES</v>
      </c>
      <c r="E2313" s="21">
        <f>IFERROR(__xludf.DUMMYFUNCTION("""COMPUTED_VALUE"""),145359.0)</f>
        <v>145359</v>
      </c>
      <c r="F2313" s="21" t="str">
        <f>IFERROR(__xludf.DUMMYFUNCTION("""COMPUTED_VALUE"""),"TRANSITO REVERSA")</f>
        <v>TRANSITO REVERSA</v>
      </c>
      <c r="G2313" s="23">
        <f>IFERROR(__xludf.DUMMYFUNCTION("""COMPUTED_VALUE"""),45638.52112268518)</f>
        <v>45638.52112</v>
      </c>
      <c r="H2313" s="24" t="str">
        <f>IFERROR(VLOOKUP(B2313,material!A:D,3,0),"")</f>
        <v>LEGADO</v>
      </c>
    </row>
    <row r="2314" ht="11.25" customHeight="1">
      <c r="A2314" s="21" t="str">
        <f>IFERROR(__xludf.DUMMYFUNCTION("""COMPUTED_VALUE"""),"NAGRA KIT")</f>
        <v>NAGRA KIT</v>
      </c>
      <c r="B2314" s="22">
        <f>IFERROR(__xludf.DUMMYFUNCTION("""COMPUTED_VALUE"""),4.1001186E7)</f>
        <v>41001186</v>
      </c>
      <c r="C2314" s="21" t="str">
        <f>IFERROR(__xludf.DUMMYFUNCTION("""COMPUTED_VALUE"""),"215436610122")</f>
        <v>215436610122</v>
      </c>
      <c r="D2314" s="21" t="str">
        <f>IFERROR(__xludf.DUMMYFUNCTION("""COMPUTED_VALUE"""),"DIGITEC TECNOLOGIA DIGITAL E REPRES")</f>
        <v>DIGITEC TECNOLOGIA DIGITAL E REPRES</v>
      </c>
      <c r="E2314" s="21">
        <f>IFERROR(__xludf.DUMMYFUNCTION("""COMPUTED_VALUE"""),145359.0)</f>
        <v>145359</v>
      </c>
      <c r="F2314" s="21" t="str">
        <f>IFERROR(__xludf.DUMMYFUNCTION("""COMPUTED_VALUE"""),"TRANSITO REVERSA")</f>
        <v>TRANSITO REVERSA</v>
      </c>
      <c r="G2314" s="23">
        <f>IFERROR(__xludf.DUMMYFUNCTION("""COMPUTED_VALUE"""),45638.52060185185)</f>
        <v>45638.5206</v>
      </c>
      <c r="H2314" s="24" t="str">
        <f>IFERROR(VLOOKUP(B2314,material!A:D,3,0),"")</f>
        <v>CARD</v>
      </c>
    </row>
    <row r="2315" ht="11.25" customHeight="1">
      <c r="A2315" s="21" t="str">
        <f>IFERROR(__xludf.DUMMYFUNCTION("""COMPUTED_VALUE"""),"HUMAX HGB10R-02")</f>
        <v>HUMAX HGB10R-02</v>
      </c>
      <c r="B2315" s="22">
        <f>IFERROR(__xludf.DUMMYFUNCTION("""COMPUTED_VALUE"""),4.1001292E7)</f>
        <v>41001292</v>
      </c>
      <c r="C2315" s="21" t="str">
        <f>IFERROR(__xludf.DUMMYFUNCTION("""COMPUTED_VALUE"""),"E820E209CDF9")</f>
        <v>E820E209CDF9</v>
      </c>
      <c r="D2315" s="21" t="str">
        <f>IFERROR(__xludf.DUMMYFUNCTION("""COMPUTED_VALUE"""),"DIGITEC TECNOLOGIA DIGITAL E REPRES")</f>
        <v>DIGITEC TECNOLOGIA DIGITAL E REPRES</v>
      </c>
      <c r="E2315" s="21">
        <f>IFERROR(__xludf.DUMMYFUNCTION("""COMPUTED_VALUE"""),145359.0)</f>
        <v>145359</v>
      </c>
      <c r="F2315" s="21" t="str">
        <f>IFERROR(__xludf.DUMMYFUNCTION("""COMPUTED_VALUE"""),"SUSPEITO")</f>
        <v>SUSPEITO</v>
      </c>
      <c r="G2315" s="23">
        <f>IFERROR(__xludf.DUMMYFUNCTION("""COMPUTED_VALUE"""),45618.52038194444)</f>
        <v>45618.52038</v>
      </c>
      <c r="H2315" s="24" t="str">
        <f>IFERROR(VLOOKUP(B2315,material!A:D,3,0),"")</f>
        <v>DUAL</v>
      </c>
    </row>
    <row r="2316" ht="11.25" customHeight="1">
      <c r="A2316" s="21" t="str">
        <f>IFERROR(__xludf.DUMMYFUNCTION("""COMPUTED_VALUE"""),"HUMAX HGB10R-02")</f>
        <v>HUMAX HGB10R-02</v>
      </c>
      <c r="B2316" s="22">
        <f>IFERROR(__xludf.DUMMYFUNCTION("""COMPUTED_VALUE"""),4.1001292E7)</f>
        <v>41001292</v>
      </c>
      <c r="C2316" s="21" t="str">
        <f>IFERROR(__xludf.DUMMYFUNCTION("""COMPUTED_VALUE"""),"E820E25540EB")</f>
        <v>E820E25540EB</v>
      </c>
      <c r="D2316" s="21" t="str">
        <f>IFERROR(__xludf.DUMMYFUNCTION("""COMPUTED_VALUE"""),"DIGITEC TECNOLOGIA DIGITAL E REPRES")</f>
        <v>DIGITEC TECNOLOGIA DIGITAL E REPRES</v>
      </c>
      <c r="E2316" s="21">
        <f>IFERROR(__xludf.DUMMYFUNCTION("""COMPUTED_VALUE"""),145359.0)</f>
        <v>145359</v>
      </c>
      <c r="F2316" s="21" t="str">
        <f>IFERROR(__xludf.DUMMYFUNCTION("""COMPUTED_VALUE"""),"SUSPEITO")</f>
        <v>SUSPEITO</v>
      </c>
      <c r="G2316" s="23">
        <f>IFERROR(__xludf.DUMMYFUNCTION("""COMPUTED_VALUE"""),45638.38540509259)</f>
        <v>45638.38541</v>
      </c>
      <c r="H2316" s="24" t="str">
        <f>IFERROR(VLOOKUP(B2316,material!A:D,3,0),"")</f>
        <v>DUAL</v>
      </c>
    </row>
    <row r="2317" ht="11.25" customHeight="1">
      <c r="A2317" s="21" t="str">
        <f>IFERROR(__xludf.DUMMYFUNCTION("""COMPUTED_VALUE"""),"SMART CARD LARANJA NAGRA")</f>
        <v>SMART CARD LARANJA NAGRA</v>
      </c>
      <c r="B2317" s="22">
        <f>IFERROR(__xludf.DUMMYFUNCTION("""COMPUTED_VALUE"""),4.1001186E7)</f>
        <v>41001186</v>
      </c>
      <c r="C2317" s="21" t="str">
        <f>IFERROR(__xludf.DUMMYFUNCTION("""COMPUTED_VALUE"""),"215677418000")</f>
        <v>215677418000</v>
      </c>
      <c r="D2317" s="21" t="str">
        <f>IFERROR(__xludf.DUMMYFUNCTION("""COMPUTED_VALUE"""),"DIGITEC TECNOLOGIA DIGITAL E REPRES")</f>
        <v>DIGITEC TECNOLOGIA DIGITAL E REPRES</v>
      </c>
      <c r="E2317" s="21">
        <f>IFERROR(__xludf.DUMMYFUNCTION("""COMPUTED_VALUE"""),145359.0)</f>
        <v>145359</v>
      </c>
      <c r="F2317" s="21" t="str">
        <f>IFERROR(__xludf.DUMMYFUNCTION("""COMPUTED_VALUE"""),"SUSPEITO")</f>
        <v>SUSPEITO</v>
      </c>
      <c r="G2317" s="23">
        <f>IFERROR(__xludf.DUMMYFUNCTION("""COMPUTED_VALUE"""),45637.476111111115)</f>
        <v>45637.47611</v>
      </c>
      <c r="H2317" s="24" t="str">
        <f>IFERROR(VLOOKUP(B2317,material!A:D,3,0),"")</f>
        <v>CARD</v>
      </c>
    </row>
    <row r="2318" ht="11.25" customHeight="1">
      <c r="A2318" s="21" t="str">
        <f>IFERROR(__xludf.DUMMYFUNCTION("""COMPUTED_VALUE"""),"SMART CARD PRETO NAGRA")</f>
        <v>SMART CARD PRETO NAGRA</v>
      </c>
      <c r="B2318" s="22">
        <f>IFERROR(__xludf.DUMMYFUNCTION("""COMPUTED_VALUE"""),4.1001234E7)</f>
        <v>41001234</v>
      </c>
      <c r="C2318" s="21" t="str">
        <f>IFERROR(__xludf.DUMMYFUNCTION("""COMPUTED_VALUE"""),"246239175254")</f>
        <v>246239175254</v>
      </c>
      <c r="D2318" s="21" t="str">
        <f>IFERROR(__xludf.DUMMYFUNCTION("""COMPUTED_VALUE"""),"DIGITEC TECNOLOGIA DIGITAL E REPRES")</f>
        <v>DIGITEC TECNOLOGIA DIGITAL E REPRES</v>
      </c>
      <c r="E2318" s="21">
        <f>IFERROR(__xludf.DUMMYFUNCTION("""COMPUTED_VALUE"""),145359.0)</f>
        <v>145359</v>
      </c>
      <c r="F2318" s="21" t="str">
        <f>IFERROR(__xludf.DUMMYFUNCTION("""COMPUTED_VALUE"""),"INICIALIZADO")</f>
        <v>INICIALIZADO</v>
      </c>
      <c r="G2318" s="23">
        <f>IFERROR(__xludf.DUMMYFUNCTION("""COMPUTED_VALUE"""),45516.41978009259)</f>
        <v>45516.41978</v>
      </c>
      <c r="H2318" s="24" t="str">
        <f>IFERROR(VLOOKUP(B2318,material!A:D,3,0),"")</f>
        <v>CARD</v>
      </c>
    </row>
    <row r="2319" ht="11.25" customHeight="1">
      <c r="A2319" s="21" t="str">
        <f>IFERROR(__xludf.DUMMYFUNCTION("""COMPUTED_VALUE"""),"SMART CARD PRETO NAGRA")</f>
        <v>SMART CARD PRETO NAGRA</v>
      </c>
      <c r="B2319" s="22">
        <f>IFERROR(__xludf.DUMMYFUNCTION("""COMPUTED_VALUE"""),4.1001234E7)</f>
        <v>41001234</v>
      </c>
      <c r="C2319" s="21" t="str">
        <f>IFERROR(__xludf.DUMMYFUNCTION("""COMPUTED_VALUE"""),"226252016069")</f>
        <v>226252016069</v>
      </c>
      <c r="D2319" s="21" t="str">
        <f>IFERROR(__xludf.DUMMYFUNCTION("""COMPUTED_VALUE"""),"DIGITEC TECNOLOGIA DIGITAL E REPRES")</f>
        <v>DIGITEC TECNOLOGIA DIGITAL E REPRES</v>
      </c>
      <c r="E2319" s="21">
        <f>IFERROR(__xludf.DUMMYFUNCTION("""COMPUTED_VALUE"""),145359.0)</f>
        <v>145359</v>
      </c>
      <c r="F2319" s="21" t="str">
        <f>IFERROR(__xludf.DUMMYFUNCTION("""COMPUTED_VALUE"""),"ANALISE DE INVENTARIO")</f>
        <v>ANALISE DE INVENTARIO</v>
      </c>
      <c r="G2319" s="23">
        <f>IFERROR(__xludf.DUMMYFUNCTION("""COMPUTED_VALUE"""),45476.70469907408)</f>
        <v>45476.7047</v>
      </c>
      <c r="H2319" s="24" t="str">
        <f>IFERROR(VLOOKUP(B2319,material!A:D,3,0),"")</f>
        <v>CARD</v>
      </c>
    </row>
    <row r="2320" ht="11.25" customHeight="1">
      <c r="A2320" s="21" t="str">
        <f>IFERROR(__xludf.DUMMYFUNCTION("""COMPUTED_VALUE"""),"DCR2231")</f>
        <v>DCR2231</v>
      </c>
      <c r="B2320" s="22">
        <f>IFERROR(__xludf.DUMMYFUNCTION("""COMPUTED_VALUE"""),4.1001343E7)</f>
        <v>41001343</v>
      </c>
      <c r="C2320" s="21" t="str">
        <f>IFERROR(__xludf.DUMMYFUNCTION("""COMPUTED_VALUE"""),"181483604952")</f>
        <v>181483604952</v>
      </c>
      <c r="D2320" s="21" t="str">
        <f>IFERROR(__xludf.DUMMYFUNCTION("""COMPUTED_VALUE"""),"DIGITEC TECNOLOGIA DIGITAL E REPRES")</f>
        <v>DIGITEC TECNOLOGIA DIGITAL E REPRES</v>
      </c>
      <c r="E2320" s="21">
        <f>IFERROR(__xludf.DUMMYFUNCTION("""COMPUTED_VALUE"""),145359.0)</f>
        <v>145359</v>
      </c>
      <c r="F2320" s="21" t="str">
        <f>IFERROR(__xludf.DUMMYFUNCTION("""COMPUTED_VALUE"""),"ANALISE DE INVENTARIO")</f>
        <v>ANALISE DE INVENTARIO</v>
      </c>
      <c r="G2320" s="23">
        <f>IFERROR(__xludf.DUMMYFUNCTION("""COMPUTED_VALUE"""),45533.554444444446)</f>
        <v>45533.55444</v>
      </c>
      <c r="H2320" s="24" t="str">
        <f>IFERROR(VLOOKUP(B2320,material!A:D,3,0),"")</f>
        <v>DIGITAL</v>
      </c>
    </row>
    <row r="2321" ht="11.25" customHeight="1">
      <c r="A2321" s="21" t="str">
        <f>IFERROR(__xludf.DUMMYFUNCTION("""COMPUTED_VALUE"""),"SMART CARD LARANJA NAGRA")</f>
        <v>SMART CARD LARANJA NAGRA</v>
      </c>
      <c r="B2321" s="22">
        <f>IFERROR(__xludf.DUMMYFUNCTION("""COMPUTED_VALUE"""),4.1001186E7)</f>
        <v>41001186</v>
      </c>
      <c r="C2321" s="21" t="str">
        <f>IFERROR(__xludf.DUMMYFUNCTION("""COMPUTED_VALUE"""),"215696129499")</f>
        <v>215696129499</v>
      </c>
      <c r="D2321" s="21" t="str">
        <f>IFERROR(__xludf.DUMMYFUNCTION("""COMPUTED_VALUE"""),"DIGITEC TECNOLOGIA DIGITAL E REPRES")</f>
        <v>DIGITEC TECNOLOGIA DIGITAL E REPRES</v>
      </c>
      <c r="E2321" s="21">
        <f>IFERROR(__xludf.DUMMYFUNCTION("""COMPUTED_VALUE"""),145359.0)</f>
        <v>145359</v>
      </c>
      <c r="F2321" s="21" t="str">
        <f>IFERROR(__xludf.DUMMYFUNCTION("""COMPUTED_VALUE"""),"ANALISE DE INVENTARIO")</f>
        <v>ANALISE DE INVENTARIO</v>
      </c>
      <c r="G2321" s="23">
        <f>IFERROR(__xludf.DUMMYFUNCTION("""COMPUTED_VALUE"""),45532.91804398148)</f>
        <v>45532.91804</v>
      </c>
      <c r="H2321" s="24" t="str">
        <f>IFERROR(VLOOKUP(B2321,material!A:D,3,0),"")</f>
        <v>CARD</v>
      </c>
    </row>
    <row r="2322" ht="11.25" customHeight="1">
      <c r="A2322" s="21" t="str">
        <f>IFERROR(__xludf.DUMMYFUNCTION("""COMPUTED_VALUE"""),"TECHNICOLOR TC7337NET")</f>
        <v>TECHNICOLOR TC7337NET</v>
      </c>
      <c r="B2322" s="22">
        <f>IFERROR(__xludf.DUMMYFUNCTION("""COMPUTED_VALUE"""),4.1001294E7)</f>
        <v>41001294</v>
      </c>
      <c r="C2322" s="21" t="str">
        <f>IFERROR(__xludf.DUMMYFUNCTION("""COMPUTED_VALUE"""),"10C25A3A7FCC")</f>
        <v>10C25A3A7FCC</v>
      </c>
      <c r="D2322" s="21" t="str">
        <f>IFERROR(__xludf.DUMMYFUNCTION("""COMPUTED_VALUE"""),"DIGITEC TECNOLOGIA DIGITAL E REPRES")</f>
        <v>DIGITEC TECNOLOGIA DIGITAL E REPRES</v>
      </c>
      <c r="E2322" s="21">
        <f>IFERROR(__xludf.DUMMYFUNCTION("""COMPUTED_VALUE"""),145359.0)</f>
        <v>145359</v>
      </c>
      <c r="F2322" s="21" t="str">
        <f>IFERROR(__xludf.DUMMYFUNCTION("""COMPUTED_VALUE"""),"TRANSITO REVERSA")</f>
        <v>TRANSITO REVERSA</v>
      </c>
      <c r="G2322" s="23">
        <f>IFERROR(__xludf.DUMMYFUNCTION("""COMPUTED_VALUE"""),45633.00396990741)</f>
        <v>45633.00397</v>
      </c>
      <c r="H2322" s="24" t="str">
        <f>IFERROR(VLOOKUP(B2322,material!A:D,3,0),"")</f>
        <v>DUAL</v>
      </c>
    </row>
    <row r="2323" ht="11.25" customHeight="1">
      <c r="A2323" s="21" t="str">
        <f>IFERROR(__xludf.DUMMYFUNCTION("""COMPUTED_VALUE"""),"TECHNICOLOR TC7337NET")</f>
        <v>TECHNICOLOR TC7337NET</v>
      </c>
      <c r="B2323" s="22">
        <f>IFERROR(__xludf.DUMMYFUNCTION("""COMPUTED_VALUE"""),4.1001294E7)</f>
        <v>41001294</v>
      </c>
      <c r="C2323" s="21" t="str">
        <f>IFERROR(__xludf.DUMMYFUNCTION("""COMPUTED_VALUE"""),"1062D0C8053A")</f>
        <v>1062D0C8053A</v>
      </c>
      <c r="D2323" s="21" t="str">
        <f>IFERROR(__xludf.DUMMYFUNCTION("""COMPUTED_VALUE"""),"DIGITEC TECNOLOGIA DIGITAL E REPRES")</f>
        <v>DIGITEC TECNOLOGIA DIGITAL E REPRES</v>
      </c>
      <c r="E2323" s="21">
        <f>IFERROR(__xludf.DUMMYFUNCTION("""COMPUTED_VALUE"""),145359.0)</f>
        <v>145359</v>
      </c>
      <c r="F2323" s="21" t="str">
        <f>IFERROR(__xludf.DUMMYFUNCTION("""COMPUTED_VALUE"""),"TRANSITO REVERSA")</f>
        <v>TRANSITO REVERSA</v>
      </c>
      <c r="G2323" s="23">
        <f>IFERROR(__xludf.DUMMYFUNCTION("""COMPUTED_VALUE"""),45626.29872685185)</f>
        <v>45626.29873</v>
      </c>
      <c r="H2323" s="24" t="str">
        <f>IFERROR(VLOOKUP(B2323,material!A:D,3,0),"")</f>
        <v>DUAL</v>
      </c>
    </row>
    <row r="2324" ht="11.25" customHeight="1">
      <c r="A2324" s="21" t="str">
        <f>IFERROR(__xludf.DUMMYFUNCTION("""COMPUTED_VALUE"""),"TECHNICOLOR TC7337NET")</f>
        <v>TECHNICOLOR TC7337NET</v>
      </c>
      <c r="B2324" s="22">
        <f>IFERROR(__xludf.DUMMYFUNCTION("""COMPUTED_VALUE"""),4.1001294E7)</f>
        <v>41001294</v>
      </c>
      <c r="C2324" s="21" t="str">
        <f>IFERROR(__xludf.DUMMYFUNCTION("""COMPUTED_VALUE"""),"B42A0E9B1084")</f>
        <v>B42A0E9B1084</v>
      </c>
      <c r="D2324" s="21" t="str">
        <f>IFERROR(__xludf.DUMMYFUNCTION("""COMPUTED_VALUE"""),"DIGITEC TECNOLOGIA DIGITAL E REPRES")</f>
        <v>DIGITEC TECNOLOGIA DIGITAL E REPRES</v>
      </c>
      <c r="E2324" s="21">
        <f>IFERROR(__xludf.DUMMYFUNCTION("""COMPUTED_VALUE"""),145359.0)</f>
        <v>145359</v>
      </c>
      <c r="F2324" s="21" t="str">
        <f>IFERROR(__xludf.DUMMYFUNCTION("""COMPUTED_VALUE"""),"TRANSITO REVERSA")</f>
        <v>TRANSITO REVERSA</v>
      </c>
      <c r="G2324" s="23">
        <f>IFERROR(__xludf.DUMMYFUNCTION("""COMPUTED_VALUE"""),45626.298680555556)</f>
        <v>45626.29868</v>
      </c>
      <c r="H2324" s="24" t="str">
        <f>IFERROR(VLOOKUP(B2324,material!A:D,3,0),"")</f>
        <v>DUAL</v>
      </c>
    </row>
    <row r="2325" ht="11.25" customHeight="1">
      <c r="A2325" s="21" t="str">
        <f>IFERROR(__xludf.DUMMYFUNCTION("""COMPUTED_VALUE"""),"ARRIS TG1692A")</f>
        <v>ARRIS TG1692A</v>
      </c>
      <c r="B2325" s="22">
        <f>IFERROR(__xludf.DUMMYFUNCTION("""COMPUTED_VALUE"""),4.1001293E7)</f>
        <v>41001293</v>
      </c>
      <c r="C2325" s="21" t="str">
        <f>IFERROR(__xludf.DUMMYFUNCTION("""COMPUTED_VALUE"""),"B0935BEC8D7D")</f>
        <v>B0935BEC8D7D</v>
      </c>
      <c r="D2325" s="21" t="str">
        <f>IFERROR(__xludf.DUMMYFUNCTION("""COMPUTED_VALUE"""),"DIGITEC TECNOLOGIA DIGITAL E REPRES")</f>
        <v>DIGITEC TECNOLOGIA DIGITAL E REPRES</v>
      </c>
      <c r="E2325" s="21">
        <f>IFERROR(__xludf.DUMMYFUNCTION("""COMPUTED_VALUE"""),145359.0)</f>
        <v>145359</v>
      </c>
      <c r="F2325" s="21" t="str">
        <f>IFERROR(__xludf.DUMMYFUNCTION("""COMPUTED_VALUE"""),"TRANSITO REVERSA")</f>
        <v>TRANSITO REVERSA</v>
      </c>
      <c r="G2325" s="23">
        <f>IFERROR(__xludf.DUMMYFUNCTION("""COMPUTED_VALUE"""),45617.87138888889)</f>
        <v>45617.87139</v>
      </c>
      <c r="H2325" s="24" t="str">
        <f>IFERROR(VLOOKUP(B2325,material!A:D,3,0),"")</f>
        <v>DUAL</v>
      </c>
    </row>
    <row r="2326" ht="11.25" customHeight="1">
      <c r="A2326" s="21" t="str">
        <f>IFERROR(__xludf.DUMMYFUNCTION("""COMPUTED_VALUE"""),"ARRIS TG1692A")</f>
        <v>ARRIS TG1692A</v>
      </c>
      <c r="B2326" s="22">
        <f>IFERROR(__xludf.DUMMYFUNCTION("""COMPUTED_VALUE"""),4.1001293E7)</f>
        <v>41001293</v>
      </c>
      <c r="C2326" s="21" t="str">
        <f>IFERROR(__xludf.DUMMYFUNCTION("""COMPUTED_VALUE"""),"BC644BDC8555")</f>
        <v>BC644BDC8555</v>
      </c>
      <c r="D2326" s="21" t="str">
        <f>IFERROR(__xludf.DUMMYFUNCTION("""COMPUTED_VALUE"""),"DIGITEC TECNOLOGIA DIGITAL E REPRES")</f>
        <v>DIGITEC TECNOLOGIA DIGITAL E REPRES</v>
      </c>
      <c r="E2326" s="21">
        <f>IFERROR(__xludf.DUMMYFUNCTION("""COMPUTED_VALUE"""),145359.0)</f>
        <v>145359</v>
      </c>
      <c r="F2326" s="21" t="str">
        <f>IFERROR(__xludf.DUMMYFUNCTION("""COMPUTED_VALUE"""),"TRANSITO REVERSA")</f>
        <v>TRANSITO REVERSA</v>
      </c>
      <c r="G2326" s="23">
        <f>IFERROR(__xludf.DUMMYFUNCTION("""COMPUTED_VALUE"""),45610.73042824074)</f>
        <v>45610.73043</v>
      </c>
      <c r="H2326" s="24" t="str">
        <f>IFERROR(VLOOKUP(B2326,material!A:D,3,0),"")</f>
        <v>DUAL</v>
      </c>
    </row>
    <row r="2327" ht="11.25" customHeight="1">
      <c r="A2327" s="21" t="str">
        <f>IFERROR(__xludf.DUMMYFUNCTION("""COMPUTED_VALUE"""),"ARRIS TG1692A")</f>
        <v>ARRIS TG1692A</v>
      </c>
      <c r="B2327" s="22">
        <f>IFERROR(__xludf.DUMMYFUNCTION("""COMPUTED_VALUE"""),4.1001293E7)</f>
        <v>41001293</v>
      </c>
      <c r="C2327" s="21" t="str">
        <f>IFERROR(__xludf.DUMMYFUNCTION("""COMPUTED_VALUE"""),"A89FECC3086E")</f>
        <v>A89FECC3086E</v>
      </c>
      <c r="D2327" s="21" t="str">
        <f>IFERROR(__xludf.DUMMYFUNCTION("""COMPUTED_VALUE"""),"DIGITEC TECNOLOGIA DIGITAL E REPRES")</f>
        <v>DIGITEC TECNOLOGIA DIGITAL E REPRES</v>
      </c>
      <c r="E2327" s="21">
        <f>IFERROR(__xludf.DUMMYFUNCTION("""COMPUTED_VALUE"""),145359.0)</f>
        <v>145359</v>
      </c>
      <c r="F2327" s="21" t="str">
        <f>IFERROR(__xludf.DUMMYFUNCTION("""COMPUTED_VALUE"""),"TRANSITO REVERSA")</f>
        <v>TRANSITO REVERSA</v>
      </c>
      <c r="G2327" s="23">
        <f>IFERROR(__xludf.DUMMYFUNCTION("""COMPUTED_VALUE"""),45638.52060185185)</f>
        <v>45638.5206</v>
      </c>
      <c r="H2327" s="24" t="str">
        <f>IFERROR(VLOOKUP(B2327,material!A:D,3,0),"")</f>
        <v>DUAL</v>
      </c>
    </row>
    <row r="2328" ht="11.25" customHeight="1">
      <c r="A2328" s="21" t="str">
        <f>IFERROR(__xludf.DUMMYFUNCTION("""COMPUTED_VALUE"""),"ARRIS TG1692A")</f>
        <v>ARRIS TG1692A</v>
      </c>
      <c r="B2328" s="22">
        <f>IFERROR(__xludf.DUMMYFUNCTION("""COMPUTED_VALUE"""),4.1001293E7)</f>
        <v>41001293</v>
      </c>
      <c r="C2328" s="21" t="str">
        <f>IFERROR(__xludf.DUMMYFUNCTION("""COMPUTED_VALUE"""),"5819F846EF6D")</f>
        <v>5819F846EF6D</v>
      </c>
      <c r="D2328" s="21" t="str">
        <f>IFERROR(__xludf.DUMMYFUNCTION("""COMPUTED_VALUE"""),"DIGITEC TECNOLOGIA DIGITAL E REPRES")</f>
        <v>DIGITEC TECNOLOGIA DIGITAL E REPRES</v>
      </c>
      <c r="E2328" s="21">
        <f>IFERROR(__xludf.DUMMYFUNCTION("""COMPUTED_VALUE"""),145359.0)</f>
        <v>145359</v>
      </c>
      <c r="F2328" s="21" t="str">
        <f>IFERROR(__xludf.DUMMYFUNCTION("""COMPUTED_VALUE"""),"TRANSITO REVERSA")</f>
        <v>TRANSITO REVERSA</v>
      </c>
      <c r="G2328" s="23">
        <f>IFERROR(__xludf.DUMMYFUNCTION("""COMPUTED_VALUE"""),45610.730416666665)</f>
        <v>45610.73042</v>
      </c>
      <c r="H2328" s="24" t="str">
        <f>IFERROR(VLOOKUP(B2328,material!A:D,3,0),"")</f>
        <v>DUAL</v>
      </c>
    </row>
    <row r="2329" ht="11.25" customHeight="1">
      <c r="A2329" s="21" t="str">
        <f>IFERROR(__xludf.DUMMYFUNCTION("""COMPUTED_VALUE"""),"ARRIS TG1692A")</f>
        <v>ARRIS TG1692A</v>
      </c>
      <c r="B2329" s="22">
        <f>IFERROR(__xludf.DUMMYFUNCTION("""COMPUTED_VALUE"""),4.1001293E7)</f>
        <v>41001293</v>
      </c>
      <c r="C2329" s="21" t="str">
        <f>IFERROR(__xludf.DUMMYFUNCTION("""COMPUTED_VALUE"""),"5819F84762A9")</f>
        <v>5819F84762A9</v>
      </c>
      <c r="D2329" s="21" t="str">
        <f>IFERROR(__xludf.DUMMYFUNCTION("""COMPUTED_VALUE"""),"DIGITEC TECNOLOGIA DIGITAL E REPRES")</f>
        <v>DIGITEC TECNOLOGIA DIGITAL E REPRES</v>
      </c>
      <c r="E2329" s="21">
        <f>IFERROR(__xludf.DUMMYFUNCTION("""COMPUTED_VALUE"""),145359.0)</f>
        <v>145359</v>
      </c>
      <c r="F2329" s="21" t="str">
        <f>IFERROR(__xludf.DUMMYFUNCTION("""COMPUTED_VALUE"""),"TRANSITO REVERSA")</f>
        <v>TRANSITO REVERSA</v>
      </c>
      <c r="G2329" s="23">
        <f>IFERROR(__xludf.DUMMYFUNCTION("""COMPUTED_VALUE"""),45617.87138888889)</f>
        <v>45617.87139</v>
      </c>
      <c r="H2329" s="24" t="str">
        <f>IFERROR(VLOOKUP(B2329,material!A:D,3,0),"")</f>
        <v>DUAL</v>
      </c>
    </row>
    <row r="2330" ht="11.25" customHeight="1">
      <c r="A2330" s="21" t="str">
        <f>IFERROR(__xludf.DUMMYFUNCTION("""COMPUTED_VALUE"""),"HUMAX HGB10R-02")</f>
        <v>HUMAX HGB10R-02</v>
      </c>
      <c r="B2330" s="22">
        <f>IFERROR(__xludf.DUMMYFUNCTION("""COMPUTED_VALUE"""),4.1001292E7)</f>
        <v>41001292</v>
      </c>
      <c r="C2330" s="21" t="str">
        <f>IFERROR(__xludf.DUMMYFUNCTION("""COMPUTED_VALUE"""),"90F30555A042")</f>
        <v>90F30555A042</v>
      </c>
      <c r="D2330" s="21" t="str">
        <f>IFERROR(__xludf.DUMMYFUNCTION("""COMPUTED_VALUE"""),"DIGITEC TECNOLOGIA DIGITAL E REPRES")</f>
        <v>DIGITEC TECNOLOGIA DIGITAL E REPRES</v>
      </c>
      <c r="E2330" s="21">
        <f>IFERROR(__xludf.DUMMYFUNCTION("""COMPUTED_VALUE"""),145359.0)</f>
        <v>145359</v>
      </c>
      <c r="F2330" s="21" t="str">
        <f>IFERROR(__xludf.DUMMYFUNCTION("""COMPUTED_VALUE"""),"TRANSITO REVERSA")</f>
        <v>TRANSITO REVERSA</v>
      </c>
      <c r="G2330" s="23">
        <f>IFERROR(__xludf.DUMMYFUNCTION("""COMPUTED_VALUE"""),45626.298668981486)</f>
        <v>45626.29867</v>
      </c>
      <c r="H2330" s="24" t="str">
        <f>IFERROR(VLOOKUP(B2330,material!A:D,3,0),"")</f>
        <v>DUAL</v>
      </c>
    </row>
    <row r="2331" ht="11.25" customHeight="1">
      <c r="A2331" s="21" t="str">
        <f>IFERROR(__xludf.DUMMYFUNCTION("""COMPUTED_VALUE"""),"HUMAX HGB10R-02")</f>
        <v>HUMAX HGB10R-02</v>
      </c>
      <c r="B2331" s="22">
        <f>IFERROR(__xludf.DUMMYFUNCTION("""COMPUTED_VALUE"""),4.1001292E7)</f>
        <v>41001292</v>
      </c>
      <c r="C2331" s="21" t="str">
        <f>IFERROR(__xludf.DUMMYFUNCTION("""COMPUTED_VALUE"""),"942CB394608A")</f>
        <v>942CB394608A</v>
      </c>
      <c r="D2331" s="21" t="str">
        <f>IFERROR(__xludf.DUMMYFUNCTION("""COMPUTED_VALUE"""),"DIGITEC TECNOLOGIA DIGITAL E REPRES")</f>
        <v>DIGITEC TECNOLOGIA DIGITAL E REPRES</v>
      </c>
      <c r="E2331" s="21">
        <f>IFERROR(__xludf.DUMMYFUNCTION("""COMPUTED_VALUE"""),145359.0)</f>
        <v>145359</v>
      </c>
      <c r="F2331" s="21" t="str">
        <f>IFERROR(__xludf.DUMMYFUNCTION("""COMPUTED_VALUE"""),"TRANSITO REVERSA")</f>
        <v>TRANSITO REVERSA</v>
      </c>
      <c r="G2331" s="23">
        <f>IFERROR(__xludf.DUMMYFUNCTION("""COMPUTED_VALUE"""),45633.00340277777)</f>
        <v>45633.0034</v>
      </c>
      <c r="H2331" s="24" t="str">
        <f>IFERROR(VLOOKUP(B2331,material!A:D,3,0),"")</f>
        <v>DUAL</v>
      </c>
    </row>
    <row r="2332" ht="11.25" customHeight="1">
      <c r="A2332" s="21" t="str">
        <f>IFERROR(__xludf.DUMMYFUNCTION("""COMPUTED_VALUE"""),"HUMAX HGB10R-02")</f>
        <v>HUMAX HGB10R-02</v>
      </c>
      <c r="B2332" s="22">
        <f>IFERROR(__xludf.DUMMYFUNCTION("""COMPUTED_VALUE"""),4.1001292E7)</f>
        <v>41001292</v>
      </c>
      <c r="C2332" s="21" t="str">
        <f>IFERROR(__xludf.DUMMYFUNCTION("""COMPUTED_VALUE"""),"E820E2903A8E")</f>
        <v>E820E2903A8E</v>
      </c>
      <c r="D2332" s="21" t="str">
        <f>IFERROR(__xludf.DUMMYFUNCTION("""COMPUTED_VALUE"""),"DIGITEC TECNOLOGIA DIGITAL E REPRES")</f>
        <v>DIGITEC TECNOLOGIA DIGITAL E REPRES</v>
      </c>
      <c r="E2332" s="21">
        <f>IFERROR(__xludf.DUMMYFUNCTION("""COMPUTED_VALUE"""),145359.0)</f>
        <v>145359</v>
      </c>
      <c r="F2332" s="21" t="str">
        <f>IFERROR(__xludf.DUMMYFUNCTION("""COMPUTED_VALUE"""),"TRANSITO REVERSA")</f>
        <v>TRANSITO REVERSA</v>
      </c>
      <c r="G2332" s="23">
        <f>IFERROR(__xludf.DUMMYFUNCTION("""COMPUTED_VALUE"""),45633.003958333335)</f>
        <v>45633.00396</v>
      </c>
      <c r="H2332" s="24" t="str">
        <f>IFERROR(VLOOKUP(B2332,material!A:D,3,0),"")</f>
        <v>DUAL</v>
      </c>
    </row>
    <row r="2333" ht="11.25" customHeight="1">
      <c r="A2333" s="21" t="str">
        <f>IFERROR(__xludf.DUMMYFUNCTION("""COMPUTED_VALUE"""),"DECODER HD DCI738 2T")</f>
        <v>DECODER HD DCI738 2T</v>
      </c>
      <c r="B2333" s="22">
        <f>IFERROR(__xludf.DUMMYFUNCTION("""COMPUTED_VALUE"""),4.1001275E7)</f>
        <v>41001275</v>
      </c>
      <c r="C2333" s="21" t="str">
        <f>IFERROR(__xludf.DUMMYFUNCTION("""COMPUTED_VALUE"""),"216852412841")</f>
        <v>216852412841</v>
      </c>
      <c r="D2333" s="21" t="str">
        <f>IFERROR(__xludf.DUMMYFUNCTION("""COMPUTED_VALUE"""),"DIGITEC TECNOLOGIA DIGITAL E REPRES")</f>
        <v>DIGITEC TECNOLOGIA DIGITAL E REPRES</v>
      </c>
      <c r="E2333" s="21">
        <f>IFERROR(__xludf.DUMMYFUNCTION("""COMPUTED_VALUE"""),145359.0)</f>
        <v>145359</v>
      </c>
      <c r="F2333" s="21" t="str">
        <f>IFERROR(__xludf.DUMMYFUNCTION("""COMPUTED_VALUE"""),"TRANSITO REVERSA")</f>
        <v>TRANSITO REVERSA</v>
      </c>
      <c r="G2333" s="23">
        <f>IFERROR(__xludf.DUMMYFUNCTION("""COMPUTED_VALUE"""),45638.520648148144)</f>
        <v>45638.52065</v>
      </c>
      <c r="H2333" s="24" t="str">
        <f>IFERROR(VLOOKUP(B2333,material!A:D,3,0),"")</f>
        <v>TOP MIX</v>
      </c>
    </row>
    <row r="2334" ht="11.25" customHeight="1">
      <c r="A2334" s="21" t="str">
        <f>IFERROR(__xludf.DUMMYFUNCTION("""COMPUTED_VALUE"""),"HARD DISK 500GB EXTERNO 2.0")</f>
        <v>HARD DISK 500GB EXTERNO 2.0</v>
      </c>
      <c r="B2334" s="22">
        <f>IFERROR(__xludf.DUMMYFUNCTION("""COMPUTED_VALUE"""),4.1001376E7)</f>
        <v>41001376</v>
      </c>
      <c r="C2334" s="21" t="str">
        <f>IFERROR(__xludf.DUMMYFUNCTION("""COMPUTED_VALUE"""),"406169177077")</f>
        <v>406169177077</v>
      </c>
      <c r="D2334" s="21" t="str">
        <f>IFERROR(__xludf.DUMMYFUNCTION("""COMPUTED_VALUE"""),"DIGITEC TECNOLOGIA DIGITAL E REPRES")</f>
        <v>DIGITEC TECNOLOGIA DIGITAL E REPRES</v>
      </c>
      <c r="E2334" s="21">
        <f>IFERROR(__xludf.DUMMYFUNCTION("""COMPUTED_VALUE"""),145359.0)</f>
        <v>145359</v>
      </c>
      <c r="F2334" s="21" t="str">
        <f>IFERROR(__xludf.DUMMYFUNCTION("""COMPUTED_VALUE"""),"TRANSITO REVERSA")</f>
        <v>TRANSITO REVERSA</v>
      </c>
      <c r="G2334" s="23">
        <f>IFERROR(__xludf.DUMMYFUNCTION("""COMPUTED_VALUE"""),45638.52111111111)</f>
        <v>45638.52111</v>
      </c>
      <c r="H2334" s="24" t="str">
        <f>IFERROR(VLOOKUP(B2334,material!A:D,3,0),"")</f>
        <v>HDD</v>
      </c>
    </row>
    <row r="2335" ht="11.25" customHeight="1">
      <c r="A2335" s="21" t="str">
        <f>IFERROR(__xludf.DUMMYFUNCTION("""COMPUTED_VALUE"""),"HARD DISK 500GB EXTERNO 2.0")</f>
        <v>HARD DISK 500GB EXTERNO 2.0</v>
      </c>
      <c r="B2335" s="22">
        <f>IFERROR(__xludf.DUMMYFUNCTION("""COMPUTED_VALUE"""),4.1001376E7)</f>
        <v>41001376</v>
      </c>
      <c r="C2335" s="21" t="str">
        <f>IFERROR(__xludf.DUMMYFUNCTION("""COMPUTED_VALUE"""),"406169205060")</f>
        <v>406169205060</v>
      </c>
      <c r="D2335" s="21" t="str">
        <f>IFERROR(__xludf.DUMMYFUNCTION("""COMPUTED_VALUE"""),"DIGITEC TECNOLOGIA DIGITAL E REPRES")</f>
        <v>DIGITEC TECNOLOGIA DIGITAL E REPRES</v>
      </c>
      <c r="E2335" s="21">
        <f>IFERROR(__xludf.DUMMYFUNCTION("""COMPUTED_VALUE"""),145359.0)</f>
        <v>145359</v>
      </c>
      <c r="F2335" s="21" t="str">
        <f>IFERROR(__xludf.DUMMYFUNCTION("""COMPUTED_VALUE"""),"TRANSITO REVERSA")</f>
        <v>TRANSITO REVERSA</v>
      </c>
      <c r="G2335" s="23">
        <f>IFERROR(__xludf.DUMMYFUNCTION("""COMPUTED_VALUE"""),45638.52112268518)</f>
        <v>45638.52112</v>
      </c>
      <c r="H2335" s="24" t="str">
        <f>IFERROR(VLOOKUP(B2335,material!A:D,3,0),"")</f>
        <v>HDD</v>
      </c>
    </row>
    <row r="2336" ht="11.25" customHeight="1">
      <c r="A2336" s="21" t="str">
        <f>IFERROR(__xludf.DUMMYFUNCTION("""COMPUTED_VALUE"""),"HARD DISK 500GB EXTERNO 2.0")</f>
        <v>HARD DISK 500GB EXTERNO 2.0</v>
      </c>
      <c r="B2336" s="22">
        <f>IFERROR(__xludf.DUMMYFUNCTION("""COMPUTED_VALUE"""),4.1001376E7)</f>
        <v>41001376</v>
      </c>
      <c r="C2336" s="21" t="str">
        <f>IFERROR(__xludf.DUMMYFUNCTION("""COMPUTED_VALUE"""),"406169204252")</f>
        <v>406169204252</v>
      </c>
      <c r="D2336" s="21" t="str">
        <f>IFERROR(__xludf.DUMMYFUNCTION("""COMPUTED_VALUE"""),"DIGITEC TECNOLOGIA DIGITAL E REPRES")</f>
        <v>DIGITEC TECNOLOGIA DIGITAL E REPRES</v>
      </c>
      <c r="E2336" s="21">
        <f>IFERROR(__xludf.DUMMYFUNCTION("""COMPUTED_VALUE"""),145359.0)</f>
        <v>145359</v>
      </c>
      <c r="F2336" s="21" t="str">
        <f>IFERROR(__xludf.DUMMYFUNCTION("""COMPUTED_VALUE"""),"TRANSITO REVERSA")</f>
        <v>TRANSITO REVERSA</v>
      </c>
      <c r="G2336" s="23">
        <f>IFERROR(__xludf.DUMMYFUNCTION("""COMPUTED_VALUE"""),45638.520625000005)</f>
        <v>45638.52063</v>
      </c>
      <c r="H2336" s="24" t="str">
        <f>IFERROR(VLOOKUP(B2336,material!A:D,3,0),"")</f>
        <v>HDD</v>
      </c>
    </row>
    <row r="2337" ht="11.25" customHeight="1">
      <c r="A2337" s="21" t="str">
        <f>IFERROR(__xludf.DUMMYFUNCTION("""COMPUTED_VALUE"""),"HARD DISK 500GB EXTERNO 2.0")</f>
        <v>HARD DISK 500GB EXTERNO 2.0</v>
      </c>
      <c r="B2337" s="22">
        <f>IFERROR(__xludf.DUMMYFUNCTION("""COMPUTED_VALUE"""),4.1001376E7)</f>
        <v>41001376</v>
      </c>
      <c r="C2337" s="21" t="str">
        <f>IFERROR(__xludf.DUMMYFUNCTION("""COMPUTED_VALUE"""),"408043167691")</f>
        <v>408043167691</v>
      </c>
      <c r="D2337" s="21" t="str">
        <f>IFERROR(__xludf.DUMMYFUNCTION("""COMPUTED_VALUE"""),"DIGITEC TECNOLOGIA DIGITAL E REPRES")</f>
        <v>DIGITEC TECNOLOGIA DIGITAL E REPRES</v>
      </c>
      <c r="E2337" s="21">
        <f>IFERROR(__xludf.DUMMYFUNCTION("""COMPUTED_VALUE"""),145359.0)</f>
        <v>145359</v>
      </c>
      <c r="F2337" s="21" t="str">
        <f>IFERROR(__xludf.DUMMYFUNCTION("""COMPUTED_VALUE"""),"TRANSITO REVERSA")</f>
        <v>TRANSITO REVERSA</v>
      </c>
      <c r="G2337" s="23">
        <f>IFERROR(__xludf.DUMMYFUNCTION("""COMPUTED_VALUE"""),45638.52186342592)</f>
        <v>45638.52186</v>
      </c>
      <c r="H2337" s="24" t="str">
        <f>IFERROR(VLOOKUP(B2337,material!A:D,3,0),"")</f>
        <v>HDD</v>
      </c>
    </row>
    <row r="2338" ht="11.25" customHeight="1">
      <c r="A2338" s="21" t="str">
        <f>IFERROR(__xludf.DUMMYFUNCTION("""COMPUTED_VALUE"""),"DECODER DIGITAL HD DXC5000 2T")</f>
        <v>DECODER DIGITAL HD DXC5000 2T</v>
      </c>
      <c r="B2338" s="22">
        <f>IFERROR(__xludf.DUMMYFUNCTION("""COMPUTED_VALUE"""),4.1001277E7)</f>
        <v>41001277</v>
      </c>
      <c r="C2338" s="21" t="str">
        <f>IFERROR(__xludf.DUMMYFUNCTION("""COMPUTED_VALUE"""),"216423535373")</f>
        <v>216423535373</v>
      </c>
      <c r="D2338" s="21" t="str">
        <f>IFERROR(__xludf.DUMMYFUNCTION("""COMPUTED_VALUE"""),"DIGITEC TECNOLOGIA DIGITAL E REPRES")</f>
        <v>DIGITEC TECNOLOGIA DIGITAL E REPRES</v>
      </c>
      <c r="E2338" s="21">
        <f>IFERROR(__xludf.DUMMYFUNCTION("""COMPUTED_VALUE"""),145359.0)</f>
        <v>145359</v>
      </c>
      <c r="F2338" s="21" t="str">
        <f>IFERROR(__xludf.DUMMYFUNCTION("""COMPUTED_VALUE"""),"TRANSITO REVERSA")</f>
        <v>TRANSITO REVERSA</v>
      </c>
      <c r="G2338" s="23">
        <f>IFERROR(__xludf.DUMMYFUNCTION("""COMPUTED_VALUE"""),45633.00341435186)</f>
        <v>45633.00341</v>
      </c>
      <c r="H2338" s="24" t="str">
        <f>IFERROR(VLOOKUP(B2338,material!A:D,3,0),"")</f>
        <v>TOP MIX</v>
      </c>
    </row>
    <row r="2339" ht="11.25" customHeight="1">
      <c r="A2339" s="21" t="str">
        <f>IFERROR(__xludf.DUMMYFUNCTION("""COMPUTED_VALUE"""),"DECODER DIGITAL HD DXC5000 2T")</f>
        <v>DECODER DIGITAL HD DXC5000 2T</v>
      </c>
      <c r="B2339" s="22">
        <f>IFERROR(__xludf.DUMMYFUNCTION("""COMPUTED_VALUE"""),4.1001277E7)</f>
        <v>41001277</v>
      </c>
      <c r="C2339" s="21" t="str">
        <f>IFERROR(__xludf.DUMMYFUNCTION("""COMPUTED_VALUE"""),"216377216677")</f>
        <v>216377216677</v>
      </c>
      <c r="D2339" s="21" t="str">
        <f>IFERROR(__xludf.DUMMYFUNCTION("""COMPUTED_VALUE"""),"DIGITEC TECNOLOGIA DIGITAL E REPRES")</f>
        <v>DIGITEC TECNOLOGIA DIGITAL E REPRES</v>
      </c>
      <c r="E2339" s="21">
        <f>IFERROR(__xludf.DUMMYFUNCTION("""COMPUTED_VALUE"""),145359.0)</f>
        <v>145359</v>
      </c>
      <c r="F2339" s="21" t="str">
        <f>IFERROR(__xludf.DUMMYFUNCTION("""COMPUTED_VALUE"""),"TRANSITO REVERSA")</f>
        <v>TRANSITO REVERSA</v>
      </c>
      <c r="G2339" s="23">
        <f>IFERROR(__xludf.DUMMYFUNCTION("""COMPUTED_VALUE"""),45633.00340277777)</f>
        <v>45633.0034</v>
      </c>
      <c r="H2339" s="24" t="str">
        <f>IFERROR(VLOOKUP(B2339,material!A:D,3,0),"")</f>
        <v>TOP MIX</v>
      </c>
    </row>
    <row r="2340" ht="11.25" customHeight="1">
      <c r="A2340" s="21" t="str">
        <f>IFERROR(__xludf.DUMMYFUNCTION("""COMPUTED_VALUE"""),"DECODER DIGITAL HD HNB100 2T")</f>
        <v>DECODER DIGITAL HD HNB100 2T</v>
      </c>
      <c r="B2340" s="22">
        <f>IFERROR(__xludf.DUMMYFUNCTION("""COMPUTED_VALUE"""),4.1001276E7)</f>
        <v>41001276</v>
      </c>
      <c r="C2340" s="21" t="str">
        <f>IFERROR(__xludf.DUMMYFUNCTION("""COMPUTED_VALUE"""),"216818700101")</f>
        <v>216818700101</v>
      </c>
      <c r="D2340" s="21" t="str">
        <f>IFERROR(__xludf.DUMMYFUNCTION("""COMPUTED_VALUE"""),"DIGITEC TECNOLOGIA DIGITAL E REPRES")</f>
        <v>DIGITEC TECNOLOGIA DIGITAL E REPRES</v>
      </c>
      <c r="E2340" s="21">
        <f>IFERROR(__xludf.DUMMYFUNCTION("""COMPUTED_VALUE"""),145359.0)</f>
        <v>145359</v>
      </c>
      <c r="F2340" s="21" t="str">
        <f>IFERROR(__xludf.DUMMYFUNCTION("""COMPUTED_VALUE"""),"TRANSITO REVERSA")</f>
        <v>TRANSITO REVERSA</v>
      </c>
      <c r="G2340" s="23">
        <f>IFERROR(__xludf.DUMMYFUNCTION("""COMPUTED_VALUE"""),45633.00399305555)</f>
        <v>45633.00399</v>
      </c>
      <c r="H2340" s="24" t="str">
        <f>IFERROR(VLOOKUP(B2340,material!A:D,3,0),"")</f>
        <v>TOP MIX</v>
      </c>
    </row>
    <row r="2341" ht="11.25" customHeight="1">
      <c r="A2341" s="21" t="str">
        <f>IFERROR(__xludf.DUMMYFUNCTION("""COMPUTED_VALUE"""),"DECODER DIGITAL HD HNB100 2T")</f>
        <v>DECODER DIGITAL HD HNB100 2T</v>
      </c>
      <c r="B2341" s="22">
        <f>IFERROR(__xludf.DUMMYFUNCTION("""COMPUTED_VALUE"""),4.1001276E7)</f>
        <v>41001276</v>
      </c>
      <c r="C2341" s="21" t="str">
        <f>IFERROR(__xludf.DUMMYFUNCTION("""COMPUTED_VALUE"""),"216834895059")</f>
        <v>216834895059</v>
      </c>
      <c r="D2341" s="21" t="str">
        <f>IFERROR(__xludf.DUMMYFUNCTION("""COMPUTED_VALUE"""),"DIGITEC TECNOLOGIA DIGITAL E REPRES")</f>
        <v>DIGITEC TECNOLOGIA DIGITAL E REPRES</v>
      </c>
      <c r="E2341" s="21">
        <f>IFERROR(__xludf.DUMMYFUNCTION("""COMPUTED_VALUE"""),145359.0)</f>
        <v>145359</v>
      </c>
      <c r="F2341" s="21" t="str">
        <f>IFERROR(__xludf.DUMMYFUNCTION("""COMPUTED_VALUE"""),"TRANSITO REVERSA")</f>
        <v>TRANSITO REVERSA</v>
      </c>
      <c r="G2341" s="23">
        <f>IFERROR(__xludf.DUMMYFUNCTION("""COMPUTED_VALUE"""),45633.003958333335)</f>
        <v>45633.00396</v>
      </c>
      <c r="H2341" s="24" t="str">
        <f>IFERROR(VLOOKUP(B2341,material!A:D,3,0),"")</f>
        <v>TOP MIX</v>
      </c>
    </row>
    <row r="2342" ht="11.25" customHeight="1">
      <c r="A2342" s="21" t="str">
        <f>IFERROR(__xludf.DUMMYFUNCTION("""COMPUTED_VALUE"""),"DECODER DIGITAL HD HNB100 2T")</f>
        <v>DECODER DIGITAL HD HNB100 2T</v>
      </c>
      <c r="B2342" s="22">
        <f>IFERROR(__xludf.DUMMYFUNCTION("""COMPUTED_VALUE"""),4.1001276E7)</f>
        <v>41001276</v>
      </c>
      <c r="C2342" s="21" t="str">
        <f>IFERROR(__xludf.DUMMYFUNCTION("""COMPUTED_VALUE"""),"216862955261")</f>
        <v>216862955261</v>
      </c>
      <c r="D2342" s="21" t="str">
        <f>IFERROR(__xludf.DUMMYFUNCTION("""COMPUTED_VALUE"""),"DIGITEC TECNOLOGIA DIGITAL E REPRES")</f>
        <v>DIGITEC TECNOLOGIA DIGITAL E REPRES</v>
      </c>
      <c r="E2342" s="21">
        <f>IFERROR(__xludf.DUMMYFUNCTION("""COMPUTED_VALUE"""),145359.0)</f>
        <v>145359</v>
      </c>
      <c r="F2342" s="21" t="str">
        <f>IFERROR(__xludf.DUMMYFUNCTION("""COMPUTED_VALUE"""),"TRANSITO REVERSA")</f>
        <v>TRANSITO REVERSA</v>
      </c>
      <c r="G2342" s="23">
        <f>IFERROR(__xludf.DUMMYFUNCTION("""COMPUTED_VALUE"""),45633.00340277777)</f>
        <v>45633.0034</v>
      </c>
      <c r="H2342" s="24" t="str">
        <f>IFERROR(VLOOKUP(B2342,material!A:D,3,0),"")</f>
        <v>TOP MIX</v>
      </c>
    </row>
    <row r="2343" ht="11.25" customHeight="1">
      <c r="A2343" s="21" t="str">
        <f>IFERROR(__xludf.DUMMYFUNCTION("""COMPUTED_VALUE"""),"DECODER DIGITAL HD HNB100 2T")</f>
        <v>DECODER DIGITAL HD HNB100 2T</v>
      </c>
      <c r="B2343" s="22">
        <f>IFERROR(__xludf.DUMMYFUNCTION("""COMPUTED_VALUE"""),4.1001276E7)</f>
        <v>41001276</v>
      </c>
      <c r="C2343" s="21" t="str">
        <f>IFERROR(__xludf.DUMMYFUNCTION("""COMPUTED_VALUE"""),"216857048197")</f>
        <v>216857048197</v>
      </c>
      <c r="D2343" s="21" t="str">
        <f>IFERROR(__xludf.DUMMYFUNCTION("""COMPUTED_VALUE"""),"DIGITEC TECNOLOGIA DIGITAL E REPRES")</f>
        <v>DIGITEC TECNOLOGIA DIGITAL E REPRES</v>
      </c>
      <c r="E2343" s="21">
        <f>IFERROR(__xludf.DUMMYFUNCTION("""COMPUTED_VALUE"""),145359.0)</f>
        <v>145359</v>
      </c>
      <c r="F2343" s="21" t="str">
        <f>IFERROR(__xludf.DUMMYFUNCTION("""COMPUTED_VALUE"""),"TRANSITO REVERSA")</f>
        <v>TRANSITO REVERSA</v>
      </c>
      <c r="G2343" s="23">
        <f>IFERROR(__xludf.DUMMYFUNCTION("""COMPUTED_VALUE"""),45638.520625000005)</f>
        <v>45638.52063</v>
      </c>
      <c r="H2343" s="24" t="str">
        <f>IFERROR(VLOOKUP(B2343,material!A:D,3,0),"")</f>
        <v>TOP MIX</v>
      </c>
    </row>
    <row r="2344" ht="11.25" customHeight="1">
      <c r="A2344" s="21" t="str">
        <f>IFERROR(__xludf.DUMMYFUNCTION("""COMPUTED_VALUE"""),"DECODER DIGITAL HD HNB100 2T")</f>
        <v>DECODER DIGITAL HD HNB100 2T</v>
      </c>
      <c r="B2344" s="22">
        <f>IFERROR(__xludf.DUMMYFUNCTION("""COMPUTED_VALUE"""),4.1001276E7)</f>
        <v>41001276</v>
      </c>
      <c r="C2344" s="21" t="str">
        <f>IFERROR(__xludf.DUMMYFUNCTION("""COMPUTED_VALUE"""),"216838173853")</f>
        <v>216838173853</v>
      </c>
      <c r="D2344" s="21" t="str">
        <f>IFERROR(__xludf.DUMMYFUNCTION("""COMPUTED_VALUE"""),"DIGITEC TECNOLOGIA DIGITAL E REPRES")</f>
        <v>DIGITEC TECNOLOGIA DIGITAL E REPRES</v>
      </c>
      <c r="E2344" s="21">
        <f>IFERROR(__xludf.DUMMYFUNCTION("""COMPUTED_VALUE"""),145359.0)</f>
        <v>145359</v>
      </c>
      <c r="F2344" s="21" t="str">
        <f>IFERROR(__xludf.DUMMYFUNCTION("""COMPUTED_VALUE"""),"TRANSITO REVERSA")</f>
        <v>TRANSITO REVERSA</v>
      </c>
      <c r="G2344" s="23">
        <f>IFERROR(__xludf.DUMMYFUNCTION("""COMPUTED_VALUE"""),45633.00398148148)</f>
        <v>45633.00398</v>
      </c>
      <c r="H2344" s="24" t="str">
        <f>IFERROR(VLOOKUP(B2344,material!A:D,3,0),"")</f>
        <v>TOP MIX</v>
      </c>
    </row>
    <row r="2345" ht="11.25" customHeight="1">
      <c r="A2345" s="21" t="str">
        <f>IFERROR(__xludf.DUMMYFUNCTION("""COMPUTED_VALUE"""),"EMTA 3.0 HG100R-L2 HUMAX")</f>
        <v>EMTA 3.0 HG100R-L2 HUMAX</v>
      </c>
      <c r="B2345" s="22">
        <f>IFERROR(__xludf.DUMMYFUNCTION("""COMPUTED_VALUE"""),4.1001286E7)</f>
        <v>41001286</v>
      </c>
      <c r="C2345" s="21" t="str">
        <f>IFERROR(__xludf.DUMMYFUNCTION("""COMPUTED_VALUE"""),"6CB56B006E2F")</f>
        <v>6CB56B006E2F</v>
      </c>
      <c r="D2345" s="21" t="str">
        <f>IFERROR(__xludf.DUMMYFUNCTION("""COMPUTED_VALUE"""),"DIGITEC TECNOLOGIA DIGITAL E REPRES")</f>
        <v>DIGITEC TECNOLOGIA DIGITAL E REPRES</v>
      </c>
      <c r="E2345" s="21">
        <f>IFERROR(__xludf.DUMMYFUNCTION("""COMPUTED_VALUE"""),145359.0)</f>
        <v>145359</v>
      </c>
      <c r="F2345" s="21" t="str">
        <f>IFERROR(__xludf.DUMMYFUNCTION("""COMPUTED_VALUE"""),"TRANSITO REVERSA")</f>
        <v>TRANSITO REVERSA</v>
      </c>
      <c r="G2345" s="23">
        <f>IFERROR(__xludf.DUMMYFUNCTION("""COMPUTED_VALUE"""),45633.003958333335)</f>
        <v>45633.00396</v>
      </c>
      <c r="H2345" s="24" t="str">
        <f>IFERROR(VLOOKUP(B2345,material!A:D,3,0),"")</f>
        <v>SINGLE</v>
      </c>
    </row>
    <row r="2346" ht="11.25" customHeight="1">
      <c r="A2346" s="21" t="str">
        <f>IFERROR(__xludf.DUMMYFUNCTION("""COMPUTED_VALUE"""),"SMART CARD PRETO NAGRA")</f>
        <v>SMART CARD PRETO NAGRA</v>
      </c>
      <c r="B2346" s="22">
        <f>IFERROR(__xludf.DUMMYFUNCTION("""COMPUTED_VALUE"""),4.1001234E7)</f>
        <v>41001234</v>
      </c>
      <c r="C2346" s="21" t="str">
        <f>IFERROR(__xludf.DUMMYFUNCTION("""COMPUTED_VALUE"""),"246226570007")</f>
        <v>246226570007</v>
      </c>
      <c r="D2346" s="21" t="str">
        <f>IFERROR(__xludf.DUMMYFUNCTION("""COMPUTED_VALUE"""),"DIGITEC TECNOLOGIA DIGITAL E REPRES")</f>
        <v>DIGITEC TECNOLOGIA DIGITAL E REPRES</v>
      </c>
      <c r="E2346" s="21">
        <f>IFERROR(__xludf.DUMMYFUNCTION("""COMPUTED_VALUE"""),145359.0)</f>
        <v>145359</v>
      </c>
      <c r="F2346" s="21" t="str">
        <f>IFERROR(__xludf.DUMMYFUNCTION("""COMPUTED_VALUE"""),"TRANSITO REVERSA")</f>
        <v>TRANSITO REVERSA</v>
      </c>
      <c r="G2346" s="23">
        <f>IFERROR(__xludf.DUMMYFUNCTION("""COMPUTED_VALUE"""),45638.520636574074)</f>
        <v>45638.52064</v>
      </c>
      <c r="H2346" s="24" t="str">
        <f>IFERROR(VLOOKUP(B2346,material!A:D,3,0),"")</f>
        <v>CARD</v>
      </c>
    </row>
    <row r="2347" ht="11.25" customHeight="1">
      <c r="A2347" s="21" t="str">
        <f>IFERROR(__xludf.DUMMYFUNCTION("""COMPUTED_VALUE"""),"SMART CARD PRETO NAGRA")</f>
        <v>SMART CARD PRETO NAGRA</v>
      </c>
      <c r="B2347" s="22">
        <f>IFERROR(__xludf.DUMMYFUNCTION("""COMPUTED_VALUE"""),4.1001234E7)</f>
        <v>41001234</v>
      </c>
      <c r="C2347" s="21" t="str">
        <f>IFERROR(__xludf.DUMMYFUNCTION("""COMPUTED_VALUE"""),"246277957288")</f>
        <v>246277957288</v>
      </c>
      <c r="D2347" s="21" t="str">
        <f>IFERROR(__xludf.DUMMYFUNCTION("""COMPUTED_VALUE"""),"DIGITEC TECNOLOGIA DIGITAL E REPRES")</f>
        <v>DIGITEC TECNOLOGIA DIGITAL E REPRES</v>
      </c>
      <c r="E2347" s="21">
        <f>IFERROR(__xludf.DUMMYFUNCTION("""COMPUTED_VALUE"""),145359.0)</f>
        <v>145359</v>
      </c>
      <c r="F2347" s="21" t="str">
        <f>IFERROR(__xludf.DUMMYFUNCTION("""COMPUTED_VALUE"""),"TRANSITO REVERSA")</f>
        <v>TRANSITO REVERSA</v>
      </c>
      <c r="G2347" s="23">
        <f>IFERROR(__xludf.DUMMYFUNCTION("""COMPUTED_VALUE"""),45617.87140046296)</f>
        <v>45617.8714</v>
      </c>
      <c r="H2347" s="24" t="str">
        <f>IFERROR(VLOOKUP(B2347,material!A:D,3,0),"")</f>
        <v>CARD</v>
      </c>
    </row>
    <row r="2348" ht="11.25" customHeight="1">
      <c r="A2348" s="21" t="str">
        <f>IFERROR(__xludf.DUMMYFUNCTION("""COMPUTED_VALUE"""),"SMART CARD PRETO NAGRA")</f>
        <v>SMART CARD PRETO NAGRA</v>
      </c>
      <c r="B2348" s="22">
        <f>IFERROR(__xludf.DUMMYFUNCTION("""COMPUTED_VALUE"""),4.1001234E7)</f>
        <v>41001234</v>
      </c>
      <c r="C2348" s="21" t="str">
        <f>IFERROR(__xludf.DUMMYFUNCTION("""COMPUTED_VALUE"""),"246078321936")</f>
        <v>246078321936</v>
      </c>
      <c r="D2348" s="21" t="str">
        <f>IFERROR(__xludf.DUMMYFUNCTION("""COMPUTED_VALUE"""),"DIGITEC TECNOLOGIA DIGITAL E REPRES")</f>
        <v>DIGITEC TECNOLOGIA DIGITAL E REPRES</v>
      </c>
      <c r="E2348" s="21">
        <f>IFERROR(__xludf.DUMMYFUNCTION("""COMPUTED_VALUE"""),145359.0)</f>
        <v>145359</v>
      </c>
      <c r="F2348" s="21" t="str">
        <f>IFERROR(__xludf.DUMMYFUNCTION("""COMPUTED_VALUE"""),"TRANSITO REVERSA")</f>
        <v>TRANSITO REVERSA</v>
      </c>
      <c r="G2348" s="23">
        <f>IFERROR(__xludf.DUMMYFUNCTION("""COMPUTED_VALUE"""),45617.87140046296)</f>
        <v>45617.8714</v>
      </c>
      <c r="H2348" s="24" t="str">
        <f>IFERROR(VLOOKUP(B2348,material!A:D,3,0),"")</f>
        <v>CARD</v>
      </c>
    </row>
    <row r="2349" ht="11.25" customHeight="1">
      <c r="A2349" s="21" t="str">
        <f>IFERROR(__xludf.DUMMYFUNCTION("""COMPUTED_VALUE"""),"SMART CARD PRETO NAGRA")</f>
        <v>SMART CARD PRETO NAGRA</v>
      </c>
      <c r="B2349" s="22">
        <f>IFERROR(__xludf.DUMMYFUNCTION("""COMPUTED_VALUE"""),4.1001234E7)</f>
        <v>41001234</v>
      </c>
      <c r="C2349" s="21" t="str">
        <f>IFERROR(__xludf.DUMMYFUNCTION("""COMPUTED_VALUE"""),"246290194667")</f>
        <v>246290194667</v>
      </c>
      <c r="D2349" s="21" t="str">
        <f>IFERROR(__xludf.DUMMYFUNCTION("""COMPUTED_VALUE"""),"DIGITEC TECNOLOGIA DIGITAL E REPRES")</f>
        <v>DIGITEC TECNOLOGIA DIGITAL E REPRES</v>
      </c>
      <c r="E2349" s="21">
        <f>IFERROR(__xludf.DUMMYFUNCTION("""COMPUTED_VALUE"""),145359.0)</f>
        <v>145359</v>
      </c>
      <c r="F2349" s="21" t="str">
        <f>IFERROR(__xludf.DUMMYFUNCTION("""COMPUTED_VALUE"""),"TRANSITO REVERSA")</f>
        <v>TRANSITO REVERSA</v>
      </c>
      <c r="G2349" s="23">
        <f>IFERROR(__xludf.DUMMYFUNCTION("""COMPUTED_VALUE"""),45633.00340277777)</f>
        <v>45633.0034</v>
      </c>
      <c r="H2349" s="24" t="str">
        <f>IFERROR(VLOOKUP(B2349,material!A:D,3,0),"")</f>
        <v>CARD</v>
      </c>
    </row>
    <row r="2350" ht="11.25" customHeight="1">
      <c r="A2350" s="21" t="str">
        <f>IFERROR(__xludf.DUMMYFUNCTION("""COMPUTED_VALUE"""),"SMART CARD PRETO NAGRA")</f>
        <v>SMART CARD PRETO NAGRA</v>
      </c>
      <c r="B2350" s="22">
        <f>IFERROR(__xludf.DUMMYFUNCTION("""COMPUTED_VALUE"""),4.1001234E7)</f>
        <v>41001234</v>
      </c>
      <c r="C2350" s="21" t="str">
        <f>IFERROR(__xludf.DUMMYFUNCTION("""COMPUTED_VALUE"""),"246279646970")</f>
        <v>246279646970</v>
      </c>
      <c r="D2350" s="21" t="str">
        <f>IFERROR(__xludf.DUMMYFUNCTION("""COMPUTED_VALUE"""),"DIGITEC TECNOLOGIA DIGITAL E REPRES")</f>
        <v>DIGITEC TECNOLOGIA DIGITAL E REPRES</v>
      </c>
      <c r="E2350" s="21">
        <f>IFERROR(__xludf.DUMMYFUNCTION("""COMPUTED_VALUE"""),145359.0)</f>
        <v>145359</v>
      </c>
      <c r="F2350" s="21" t="str">
        <f>IFERROR(__xludf.DUMMYFUNCTION("""COMPUTED_VALUE"""),"TRANSITO REVERSA")</f>
        <v>TRANSITO REVERSA</v>
      </c>
      <c r="G2350" s="23">
        <f>IFERROR(__xludf.DUMMYFUNCTION("""COMPUTED_VALUE"""),45617.87143518518)</f>
        <v>45617.87144</v>
      </c>
      <c r="H2350" s="24" t="str">
        <f>IFERROR(VLOOKUP(B2350,material!A:D,3,0),"")</f>
        <v>CARD</v>
      </c>
    </row>
    <row r="2351" ht="11.25" customHeight="1">
      <c r="A2351" s="21" t="str">
        <f>IFERROR(__xludf.DUMMYFUNCTION("""COMPUTED_VALUE"""),"SMART CARD PRETO NAGRA")</f>
        <v>SMART CARD PRETO NAGRA</v>
      </c>
      <c r="B2351" s="22">
        <f>IFERROR(__xludf.DUMMYFUNCTION("""COMPUTED_VALUE"""),4.1001234E7)</f>
        <v>41001234</v>
      </c>
      <c r="C2351" s="21" t="str">
        <f>IFERROR(__xludf.DUMMYFUNCTION("""COMPUTED_VALUE"""),"226168908889")</f>
        <v>226168908889</v>
      </c>
      <c r="D2351" s="21" t="str">
        <f>IFERROR(__xludf.DUMMYFUNCTION("""COMPUTED_VALUE"""),"DIGITEC TECNOLOGIA DIGITAL E REPRES")</f>
        <v>DIGITEC TECNOLOGIA DIGITAL E REPRES</v>
      </c>
      <c r="E2351" s="21">
        <f>IFERROR(__xludf.DUMMYFUNCTION("""COMPUTED_VALUE"""),145359.0)</f>
        <v>145359</v>
      </c>
      <c r="F2351" s="21" t="str">
        <f>IFERROR(__xludf.DUMMYFUNCTION("""COMPUTED_VALUE"""),"TRANSITO REVERSA")</f>
        <v>TRANSITO REVERSA</v>
      </c>
      <c r="G2351" s="23">
        <f>IFERROR(__xludf.DUMMYFUNCTION("""COMPUTED_VALUE"""),45633.00340277777)</f>
        <v>45633.0034</v>
      </c>
      <c r="H2351" s="24" t="str">
        <f>IFERROR(VLOOKUP(B2351,material!A:D,3,0),"")</f>
        <v>CARD</v>
      </c>
    </row>
    <row r="2352" ht="11.25" customHeight="1">
      <c r="A2352" s="21" t="str">
        <f>IFERROR(__xludf.DUMMYFUNCTION("""COMPUTED_VALUE"""),"SMART CARD PRETO NAGRA")</f>
        <v>SMART CARD PRETO NAGRA</v>
      </c>
      <c r="B2352" s="22">
        <f>IFERROR(__xludf.DUMMYFUNCTION("""COMPUTED_VALUE"""),4.1001234E7)</f>
        <v>41001234</v>
      </c>
      <c r="C2352" s="21" t="str">
        <f>IFERROR(__xludf.DUMMYFUNCTION("""COMPUTED_VALUE"""),"246289779395")</f>
        <v>246289779395</v>
      </c>
      <c r="D2352" s="21" t="str">
        <f>IFERROR(__xludf.DUMMYFUNCTION("""COMPUTED_VALUE"""),"DIGITEC TECNOLOGIA DIGITAL E REPRES")</f>
        <v>DIGITEC TECNOLOGIA DIGITAL E REPRES</v>
      </c>
      <c r="E2352" s="21">
        <f>IFERROR(__xludf.DUMMYFUNCTION("""COMPUTED_VALUE"""),145359.0)</f>
        <v>145359</v>
      </c>
      <c r="F2352" s="21" t="str">
        <f>IFERROR(__xludf.DUMMYFUNCTION("""COMPUTED_VALUE"""),"TRANSITO REVERSA")</f>
        <v>TRANSITO REVERSA</v>
      </c>
      <c r="G2352" s="23">
        <f>IFERROR(__xludf.DUMMYFUNCTION("""COMPUTED_VALUE"""),45633.00399305555)</f>
        <v>45633.00399</v>
      </c>
      <c r="H2352" s="24" t="str">
        <f>IFERROR(VLOOKUP(B2352,material!A:D,3,0),"")</f>
        <v>CARD</v>
      </c>
    </row>
    <row r="2353" ht="11.25" customHeight="1">
      <c r="A2353" s="21" t="str">
        <f>IFERROR(__xludf.DUMMYFUNCTION("""COMPUTED_VALUE"""),"SMART CARD PRETO NAGRA")</f>
        <v>SMART CARD PRETO NAGRA</v>
      </c>
      <c r="B2353" s="22">
        <f>IFERROR(__xludf.DUMMYFUNCTION("""COMPUTED_VALUE"""),4.1001234E7)</f>
        <v>41001234</v>
      </c>
      <c r="C2353" s="21" t="str">
        <f>IFERROR(__xludf.DUMMYFUNCTION("""COMPUTED_VALUE"""),"246295005877")</f>
        <v>246295005877</v>
      </c>
      <c r="D2353" s="21" t="str">
        <f>IFERROR(__xludf.DUMMYFUNCTION("""COMPUTED_VALUE"""),"DIGITEC TECNOLOGIA DIGITAL E REPRES")</f>
        <v>DIGITEC TECNOLOGIA DIGITAL E REPRES</v>
      </c>
      <c r="E2353" s="21">
        <f>IFERROR(__xludf.DUMMYFUNCTION("""COMPUTED_VALUE"""),145359.0)</f>
        <v>145359</v>
      </c>
      <c r="F2353" s="21" t="str">
        <f>IFERROR(__xludf.DUMMYFUNCTION("""COMPUTED_VALUE"""),"TRANSITO REVERSA")</f>
        <v>TRANSITO REVERSA</v>
      </c>
      <c r="G2353" s="23">
        <f>IFERROR(__xludf.DUMMYFUNCTION("""COMPUTED_VALUE"""),45638.52060185185)</f>
        <v>45638.5206</v>
      </c>
      <c r="H2353" s="24" t="str">
        <f>IFERROR(VLOOKUP(B2353,material!A:D,3,0),"")</f>
        <v>CARD</v>
      </c>
    </row>
    <row r="2354" ht="11.25" customHeight="1">
      <c r="A2354" s="21" t="str">
        <f>IFERROR(__xludf.DUMMYFUNCTION("""COMPUTED_VALUE"""),"PACE - HD DCR 7411 VIRTUA")</f>
        <v>PACE - HD DCR 7411 VIRTUA</v>
      </c>
      <c r="B2354" s="22">
        <f>IFERROR(__xludf.DUMMYFUNCTION("""COMPUTED_VALUE"""),4.1001216E7)</f>
        <v>41001216</v>
      </c>
      <c r="C2354" s="21" t="str">
        <f>IFERROR(__xludf.DUMMYFUNCTION("""COMPUTED_VALUE"""),"183980463132")</f>
        <v>183980463132</v>
      </c>
      <c r="D2354" s="21" t="str">
        <f>IFERROR(__xludf.DUMMYFUNCTION("""COMPUTED_VALUE"""),"DIGITEC TECNOLOGIA DIGITAL E REPRES")</f>
        <v>DIGITEC TECNOLOGIA DIGITAL E REPRES</v>
      </c>
      <c r="E2354" s="21">
        <f>IFERROR(__xludf.DUMMYFUNCTION("""COMPUTED_VALUE"""),145359.0)</f>
        <v>145359</v>
      </c>
      <c r="F2354" s="21" t="str">
        <f>IFERROR(__xludf.DUMMYFUNCTION("""COMPUTED_VALUE"""),"TRANSITO REVERSA")</f>
        <v>TRANSITO REVERSA</v>
      </c>
      <c r="G2354" s="23">
        <f>IFERROR(__xludf.DUMMYFUNCTION("""COMPUTED_VALUE"""),45626.298692129625)</f>
        <v>45626.29869</v>
      </c>
      <c r="H2354" s="24" t="str">
        <f>IFERROR(VLOOKUP(B2354,material!A:D,3,0),"")</f>
        <v>LEGADO</v>
      </c>
    </row>
    <row r="2355" ht="11.25" customHeight="1">
      <c r="A2355" s="21" t="str">
        <f>IFERROR(__xludf.DUMMYFUNCTION("""COMPUTED_VALUE"""),"PACE - HIGH DEFINITION DCR7411")</f>
        <v>PACE - HIGH DEFINITION DCR7411</v>
      </c>
      <c r="B2355" s="22">
        <f>IFERROR(__xludf.DUMMYFUNCTION("""COMPUTED_VALUE"""),4.1001216E7)</f>
        <v>41001216</v>
      </c>
      <c r="C2355" s="21" t="str">
        <f>IFERROR(__xludf.DUMMYFUNCTION("""COMPUTED_VALUE"""),"181507663956")</f>
        <v>181507663956</v>
      </c>
      <c r="D2355" s="21" t="str">
        <f>IFERROR(__xludf.DUMMYFUNCTION("""COMPUTED_VALUE"""),"DIGITEC TECNOLOGIA DIGITAL E REPRES")</f>
        <v>DIGITEC TECNOLOGIA DIGITAL E REPRES</v>
      </c>
      <c r="E2355" s="21">
        <f>IFERROR(__xludf.DUMMYFUNCTION("""COMPUTED_VALUE"""),145359.0)</f>
        <v>145359</v>
      </c>
      <c r="F2355" s="21" t="str">
        <f>IFERROR(__xludf.DUMMYFUNCTION("""COMPUTED_VALUE"""),"TRANSITO REVERSA")</f>
        <v>TRANSITO REVERSA</v>
      </c>
      <c r="G2355" s="23">
        <f>IFERROR(__xludf.DUMMYFUNCTION("""COMPUTED_VALUE"""),45617.87142361111)</f>
        <v>45617.87142</v>
      </c>
      <c r="H2355" s="24" t="str">
        <f>IFERROR(VLOOKUP(B2355,material!A:D,3,0),"")</f>
        <v>LEGADO</v>
      </c>
    </row>
    <row r="2356" ht="11.25" customHeight="1">
      <c r="A2356" s="21" t="str">
        <f>IFERROR(__xludf.DUMMYFUNCTION("""COMPUTED_VALUE"""),"PACE - HIGH DEFINITION DCR7411")</f>
        <v>PACE - HIGH DEFINITION DCR7411</v>
      </c>
      <c r="B2356" s="22">
        <f>IFERROR(__xludf.DUMMYFUNCTION("""COMPUTED_VALUE"""),4.1001216E7)</f>
        <v>41001216</v>
      </c>
      <c r="C2356" s="21" t="str">
        <f>IFERROR(__xludf.DUMMYFUNCTION("""COMPUTED_VALUE"""),"181503232031")</f>
        <v>181503232031</v>
      </c>
      <c r="D2356" s="21" t="str">
        <f>IFERROR(__xludf.DUMMYFUNCTION("""COMPUTED_VALUE"""),"DIGITEC TECNOLOGIA DIGITAL E REPRES")</f>
        <v>DIGITEC TECNOLOGIA DIGITAL E REPRES</v>
      </c>
      <c r="E2356" s="21">
        <f>IFERROR(__xludf.DUMMYFUNCTION("""COMPUTED_VALUE"""),145359.0)</f>
        <v>145359</v>
      </c>
      <c r="F2356" s="21" t="str">
        <f>IFERROR(__xludf.DUMMYFUNCTION("""COMPUTED_VALUE"""),"TRANSITO REVERSA")</f>
        <v>TRANSITO REVERSA</v>
      </c>
      <c r="G2356" s="23">
        <f>IFERROR(__xludf.DUMMYFUNCTION("""COMPUTED_VALUE"""),45633.003958333335)</f>
        <v>45633.00396</v>
      </c>
      <c r="H2356" s="24" t="str">
        <f>IFERROR(VLOOKUP(B2356,material!A:D,3,0),"")</f>
        <v>LEGADO</v>
      </c>
    </row>
    <row r="2357" ht="11.25" customHeight="1">
      <c r="A2357" s="21" t="str">
        <f>IFERROR(__xludf.DUMMYFUNCTION("""COMPUTED_VALUE"""),"PACE - HIGH DEFINITION DCR7411")</f>
        <v>PACE - HIGH DEFINITION DCR7411</v>
      </c>
      <c r="B2357" s="22">
        <f>IFERROR(__xludf.DUMMYFUNCTION("""COMPUTED_VALUE"""),4.1001216E7)</f>
        <v>41001216</v>
      </c>
      <c r="C2357" s="21" t="str">
        <f>IFERROR(__xludf.DUMMYFUNCTION("""COMPUTED_VALUE"""),"181408560424")</f>
        <v>181408560424</v>
      </c>
      <c r="D2357" s="21" t="str">
        <f>IFERROR(__xludf.DUMMYFUNCTION("""COMPUTED_VALUE"""),"DIGITEC TECNOLOGIA DIGITAL E REPRES")</f>
        <v>DIGITEC TECNOLOGIA DIGITAL E REPRES</v>
      </c>
      <c r="E2357" s="21">
        <f>IFERROR(__xludf.DUMMYFUNCTION("""COMPUTED_VALUE"""),145359.0)</f>
        <v>145359</v>
      </c>
      <c r="F2357" s="21" t="str">
        <f>IFERROR(__xludf.DUMMYFUNCTION("""COMPUTED_VALUE"""),"TRANSITO REVERSA")</f>
        <v>TRANSITO REVERSA</v>
      </c>
      <c r="G2357" s="23">
        <f>IFERROR(__xludf.DUMMYFUNCTION("""COMPUTED_VALUE"""),45633.00396990741)</f>
        <v>45633.00397</v>
      </c>
      <c r="H2357" s="24" t="str">
        <f>IFERROR(VLOOKUP(B2357,material!A:D,3,0),"")</f>
        <v>LEGADO</v>
      </c>
    </row>
    <row r="2358" ht="11.25" customHeight="1">
      <c r="A2358" s="21" t="str">
        <f>IFERROR(__xludf.DUMMYFUNCTION("""COMPUTED_VALUE"""),"PACE - HIGH DEFINITION DCR7411")</f>
        <v>PACE - HIGH DEFINITION DCR7411</v>
      </c>
      <c r="B2358" s="22">
        <f>IFERROR(__xludf.DUMMYFUNCTION("""COMPUTED_VALUE"""),4.1001216E7)</f>
        <v>41001216</v>
      </c>
      <c r="C2358" s="21" t="str">
        <f>IFERROR(__xludf.DUMMYFUNCTION("""COMPUTED_VALUE"""),"183934954549")</f>
        <v>183934954549</v>
      </c>
      <c r="D2358" s="21" t="str">
        <f>IFERROR(__xludf.DUMMYFUNCTION("""COMPUTED_VALUE"""),"DIGITEC TECNOLOGIA DIGITAL E REPRES")</f>
        <v>DIGITEC TECNOLOGIA DIGITAL E REPRES</v>
      </c>
      <c r="E2358" s="21">
        <f>IFERROR(__xludf.DUMMYFUNCTION("""COMPUTED_VALUE"""),145359.0)</f>
        <v>145359</v>
      </c>
      <c r="F2358" s="21" t="str">
        <f>IFERROR(__xludf.DUMMYFUNCTION("""COMPUTED_VALUE"""),"TRANSITO REVERSA")</f>
        <v>TRANSITO REVERSA</v>
      </c>
      <c r="G2358" s="23">
        <f>IFERROR(__xludf.DUMMYFUNCTION("""COMPUTED_VALUE"""),45633.00340277777)</f>
        <v>45633.0034</v>
      </c>
      <c r="H2358" s="24" t="str">
        <f>IFERROR(VLOOKUP(B2358,material!A:D,3,0),"")</f>
        <v>LEGADO</v>
      </c>
    </row>
    <row r="2359" ht="11.25" customHeight="1">
      <c r="A2359" s="21" t="str">
        <f>IFERROR(__xludf.DUMMYFUNCTION("""COMPUTED_VALUE"""),"PACE - HIGH DEFINITION DCR7411")</f>
        <v>PACE - HIGH DEFINITION DCR7411</v>
      </c>
      <c r="B2359" s="22">
        <f>IFERROR(__xludf.DUMMYFUNCTION("""COMPUTED_VALUE"""),4.1001216E7)</f>
        <v>41001216</v>
      </c>
      <c r="C2359" s="21" t="str">
        <f>IFERROR(__xludf.DUMMYFUNCTION("""COMPUTED_VALUE"""),"216342471525")</f>
        <v>216342471525</v>
      </c>
      <c r="D2359" s="21" t="str">
        <f>IFERROR(__xludf.DUMMYFUNCTION("""COMPUTED_VALUE"""),"DIGITEC TECNOLOGIA DIGITAL E REPRES")</f>
        <v>DIGITEC TECNOLOGIA DIGITAL E REPRES</v>
      </c>
      <c r="E2359" s="21">
        <f>IFERROR(__xludf.DUMMYFUNCTION("""COMPUTED_VALUE"""),145359.0)</f>
        <v>145359</v>
      </c>
      <c r="F2359" s="21" t="str">
        <f>IFERROR(__xludf.DUMMYFUNCTION("""COMPUTED_VALUE"""),"TRANSITO REVERSA")</f>
        <v>TRANSITO REVERSA</v>
      </c>
      <c r="G2359" s="23">
        <f>IFERROR(__xludf.DUMMYFUNCTION("""COMPUTED_VALUE"""),45617.87143518518)</f>
        <v>45617.87144</v>
      </c>
      <c r="H2359" s="24" t="str">
        <f>IFERROR(VLOOKUP(B2359,material!A:D,3,0),"")</f>
        <v>LEGADO</v>
      </c>
    </row>
    <row r="2360" ht="11.25" customHeight="1">
      <c r="A2360" s="21" t="str">
        <f>IFERROR(__xludf.DUMMYFUNCTION("""COMPUTED_VALUE"""),"PACE - HIGH DEFINITION DCR7411")</f>
        <v>PACE - HIGH DEFINITION DCR7411</v>
      </c>
      <c r="B2360" s="22">
        <f>IFERROR(__xludf.DUMMYFUNCTION("""COMPUTED_VALUE"""),4.1001216E7)</f>
        <v>41001216</v>
      </c>
      <c r="C2360" s="21" t="str">
        <f>IFERROR(__xludf.DUMMYFUNCTION("""COMPUTED_VALUE"""),"177199564767")</f>
        <v>177199564767</v>
      </c>
      <c r="D2360" s="21" t="str">
        <f>IFERROR(__xludf.DUMMYFUNCTION("""COMPUTED_VALUE"""),"DIGITEC TECNOLOGIA DIGITAL E REPRES")</f>
        <v>DIGITEC TECNOLOGIA DIGITAL E REPRES</v>
      </c>
      <c r="E2360" s="21">
        <f>IFERROR(__xludf.DUMMYFUNCTION("""COMPUTED_VALUE"""),145359.0)</f>
        <v>145359</v>
      </c>
      <c r="F2360" s="21" t="str">
        <f>IFERROR(__xludf.DUMMYFUNCTION("""COMPUTED_VALUE"""),"TRANSITO REVERSA")</f>
        <v>TRANSITO REVERSA</v>
      </c>
      <c r="G2360" s="23">
        <f>IFERROR(__xludf.DUMMYFUNCTION("""COMPUTED_VALUE"""),45638.520636574074)</f>
        <v>45638.52064</v>
      </c>
      <c r="H2360" s="24" t="str">
        <f>IFERROR(VLOOKUP(B2360,material!A:D,3,0),"")</f>
        <v>LEGADO</v>
      </c>
    </row>
    <row r="2361" ht="11.25" customHeight="1">
      <c r="A2361" s="21" t="str">
        <f>IFERROR(__xludf.DUMMYFUNCTION("""COMPUTED_VALUE"""),"SMART CARD LARANJA NAGRA")</f>
        <v>SMART CARD LARANJA NAGRA</v>
      </c>
      <c r="B2361" s="22">
        <f>IFERROR(__xludf.DUMMYFUNCTION("""COMPUTED_VALUE"""),4.1001186E7)</f>
        <v>41001186</v>
      </c>
      <c r="C2361" s="21" t="str">
        <f>IFERROR(__xludf.DUMMYFUNCTION("""COMPUTED_VALUE"""),"226464244144")</f>
        <v>226464244144</v>
      </c>
      <c r="D2361" s="21" t="str">
        <f>IFERROR(__xludf.DUMMYFUNCTION("""COMPUTED_VALUE"""),"DIGITEC TECNOLOGIA DIGITAL E REPRES")</f>
        <v>DIGITEC TECNOLOGIA DIGITAL E REPRES</v>
      </c>
      <c r="E2361" s="21">
        <f>IFERROR(__xludf.DUMMYFUNCTION("""COMPUTED_VALUE"""),145359.0)</f>
        <v>145359</v>
      </c>
      <c r="F2361" s="21" t="str">
        <f>IFERROR(__xludf.DUMMYFUNCTION("""COMPUTED_VALUE"""),"TRANSITO REVERSA")</f>
        <v>TRANSITO REVERSA</v>
      </c>
      <c r="G2361" s="23">
        <f>IFERROR(__xludf.DUMMYFUNCTION("""COMPUTED_VALUE"""),45617.87140046296)</f>
        <v>45617.8714</v>
      </c>
      <c r="H2361" s="24" t="str">
        <f>IFERROR(VLOOKUP(B2361,material!A:D,3,0),"")</f>
        <v>CARD</v>
      </c>
    </row>
    <row r="2362" ht="11.25" customHeight="1">
      <c r="A2362" s="21" t="str">
        <f>IFERROR(__xludf.DUMMYFUNCTION("""COMPUTED_VALUE"""),"SMART CARD LARANJA NAGRA")</f>
        <v>SMART CARD LARANJA NAGRA</v>
      </c>
      <c r="B2362" s="22">
        <f>IFERROR(__xludf.DUMMYFUNCTION("""COMPUTED_VALUE"""),4.1001186E7)</f>
        <v>41001186</v>
      </c>
      <c r="C2362" s="21" t="str">
        <f>IFERROR(__xludf.DUMMYFUNCTION("""COMPUTED_VALUE"""),"226555192235")</f>
        <v>226555192235</v>
      </c>
      <c r="D2362" s="21" t="str">
        <f>IFERROR(__xludf.DUMMYFUNCTION("""COMPUTED_VALUE"""),"DIGITEC TECNOLOGIA DIGITAL E REPRES")</f>
        <v>DIGITEC TECNOLOGIA DIGITAL E REPRES</v>
      </c>
      <c r="E2362" s="21">
        <f>IFERROR(__xludf.DUMMYFUNCTION("""COMPUTED_VALUE"""),145359.0)</f>
        <v>145359</v>
      </c>
      <c r="F2362" s="21" t="str">
        <f>IFERROR(__xludf.DUMMYFUNCTION("""COMPUTED_VALUE"""),"TRANSITO REVERSA")</f>
        <v>TRANSITO REVERSA</v>
      </c>
      <c r="G2362" s="23">
        <f>IFERROR(__xludf.DUMMYFUNCTION("""COMPUTED_VALUE"""),45617.87137731482)</f>
        <v>45617.87138</v>
      </c>
      <c r="H2362" s="24" t="str">
        <f>IFERROR(VLOOKUP(B2362,material!A:D,3,0),"")</f>
        <v>CARD</v>
      </c>
    </row>
    <row r="2363" ht="11.25" customHeight="1">
      <c r="A2363" s="21" t="str">
        <f>IFERROR(__xludf.DUMMYFUNCTION("""COMPUTED_VALUE"""),"SMART CARD LARANJA NAGRA")</f>
        <v>SMART CARD LARANJA NAGRA</v>
      </c>
      <c r="B2363" s="22">
        <f>IFERROR(__xludf.DUMMYFUNCTION("""COMPUTED_VALUE"""),4.1001186E7)</f>
        <v>41001186</v>
      </c>
      <c r="C2363" s="21" t="str">
        <f>IFERROR(__xludf.DUMMYFUNCTION("""COMPUTED_VALUE"""),"226441204264")</f>
        <v>226441204264</v>
      </c>
      <c r="D2363" s="21" t="str">
        <f>IFERROR(__xludf.DUMMYFUNCTION("""COMPUTED_VALUE"""),"DIGITEC TECNOLOGIA DIGITAL E REPRES")</f>
        <v>DIGITEC TECNOLOGIA DIGITAL E REPRES</v>
      </c>
      <c r="E2363" s="21">
        <f>IFERROR(__xludf.DUMMYFUNCTION("""COMPUTED_VALUE"""),145359.0)</f>
        <v>145359</v>
      </c>
      <c r="F2363" s="21" t="str">
        <f>IFERROR(__xludf.DUMMYFUNCTION("""COMPUTED_VALUE"""),"TRANSITO REVERSA")</f>
        <v>TRANSITO REVERSA</v>
      </c>
      <c r="G2363" s="23">
        <f>IFERROR(__xludf.DUMMYFUNCTION("""COMPUTED_VALUE"""),45633.00396990741)</f>
        <v>45633.00397</v>
      </c>
      <c r="H2363" s="24" t="str">
        <f>IFERROR(VLOOKUP(B2363,material!A:D,3,0),"")</f>
        <v>CARD</v>
      </c>
    </row>
    <row r="2364" ht="11.25" customHeight="1">
      <c r="A2364" s="21" t="str">
        <f>IFERROR(__xludf.DUMMYFUNCTION("""COMPUTED_VALUE"""),"SMART CARD LARANJA NAGRA")</f>
        <v>SMART CARD LARANJA NAGRA</v>
      </c>
      <c r="B2364" s="22">
        <f>IFERROR(__xludf.DUMMYFUNCTION("""COMPUTED_VALUE"""),4.1001186E7)</f>
        <v>41001186</v>
      </c>
      <c r="C2364" s="21" t="str">
        <f>IFERROR(__xludf.DUMMYFUNCTION("""COMPUTED_VALUE"""),"226445920011")</f>
        <v>226445920011</v>
      </c>
      <c r="D2364" s="21" t="str">
        <f>IFERROR(__xludf.DUMMYFUNCTION("""COMPUTED_VALUE"""),"DIGITEC TECNOLOGIA DIGITAL E REPRES")</f>
        <v>DIGITEC TECNOLOGIA DIGITAL E REPRES</v>
      </c>
      <c r="E2364" s="21">
        <f>IFERROR(__xludf.DUMMYFUNCTION("""COMPUTED_VALUE"""),145359.0)</f>
        <v>145359</v>
      </c>
      <c r="F2364" s="21" t="str">
        <f>IFERROR(__xludf.DUMMYFUNCTION("""COMPUTED_VALUE"""),"TRANSITO REVERSA")</f>
        <v>TRANSITO REVERSA</v>
      </c>
      <c r="G2364" s="23">
        <f>IFERROR(__xludf.DUMMYFUNCTION("""COMPUTED_VALUE"""),45617.87138888889)</f>
        <v>45617.87139</v>
      </c>
      <c r="H2364" s="24" t="str">
        <f>IFERROR(VLOOKUP(B2364,material!A:D,3,0),"")</f>
        <v>CARD</v>
      </c>
    </row>
    <row r="2365" ht="11.25" customHeight="1">
      <c r="A2365" s="21" t="str">
        <f>IFERROR(__xludf.DUMMYFUNCTION("""COMPUTED_VALUE"""),"SMART CARD LARANJA NAGRA")</f>
        <v>SMART CARD LARANJA NAGRA</v>
      </c>
      <c r="B2365" s="22">
        <f>IFERROR(__xludf.DUMMYFUNCTION("""COMPUTED_VALUE"""),4.1001186E7)</f>
        <v>41001186</v>
      </c>
      <c r="C2365" s="21" t="str">
        <f>IFERROR(__xludf.DUMMYFUNCTION("""COMPUTED_VALUE"""),"225804130911")</f>
        <v>225804130911</v>
      </c>
      <c r="D2365" s="21" t="str">
        <f>IFERROR(__xludf.DUMMYFUNCTION("""COMPUTED_VALUE"""),"DIGITEC TECNOLOGIA DIGITAL E REPRES")</f>
        <v>DIGITEC TECNOLOGIA DIGITAL E REPRES</v>
      </c>
      <c r="E2365" s="21">
        <f>IFERROR(__xludf.DUMMYFUNCTION("""COMPUTED_VALUE"""),145359.0)</f>
        <v>145359</v>
      </c>
      <c r="F2365" s="21" t="str">
        <f>IFERROR(__xludf.DUMMYFUNCTION("""COMPUTED_VALUE"""),"TRANSITO REVERSA")</f>
        <v>TRANSITO REVERSA</v>
      </c>
      <c r="G2365" s="23">
        <f>IFERROR(__xludf.DUMMYFUNCTION("""COMPUTED_VALUE"""),45633.00398148148)</f>
        <v>45633.00398</v>
      </c>
      <c r="H2365" s="24" t="str">
        <f>IFERROR(VLOOKUP(B2365,material!A:D,3,0),"")</f>
        <v>CARD</v>
      </c>
    </row>
    <row r="2366" ht="11.25" customHeight="1">
      <c r="A2366" s="21" t="str">
        <f>IFERROR(__xludf.DUMMYFUNCTION("""COMPUTED_VALUE"""),"SMART CARD LARANJA NAGRA")</f>
        <v>SMART CARD LARANJA NAGRA</v>
      </c>
      <c r="B2366" s="22">
        <f>IFERROR(__xludf.DUMMYFUNCTION("""COMPUTED_VALUE"""),4.1001186E7)</f>
        <v>41001186</v>
      </c>
      <c r="C2366" s="21" t="str">
        <f>IFERROR(__xludf.DUMMYFUNCTION("""COMPUTED_VALUE"""),"225706076582")</f>
        <v>225706076582</v>
      </c>
      <c r="D2366" s="21" t="str">
        <f>IFERROR(__xludf.DUMMYFUNCTION("""COMPUTED_VALUE"""),"DIGITEC TECNOLOGIA DIGITAL E REPRES")</f>
        <v>DIGITEC TECNOLOGIA DIGITAL E REPRES</v>
      </c>
      <c r="E2366" s="21">
        <f>IFERROR(__xludf.DUMMYFUNCTION("""COMPUTED_VALUE"""),145359.0)</f>
        <v>145359</v>
      </c>
      <c r="F2366" s="21" t="str">
        <f>IFERROR(__xludf.DUMMYFUNCTION("""COMPUTED_VALUE"""),"TRANSITO REVERSA")</f>
        <v>TRANSITO REVERSA</v>
      </c>
      <c r="G2366" s="23">
        <f>IFERROR(__xludf.DUMMYFUNCTION("""COMPUTED_VALUE"""),45617.87141203704)</f>
        <v>45617.87141</v>
      </c>
      <c r="H2366" s="24" t="str">
        <f>IFERROR(VLOOKUP(B2366,material!A:D,3,0),"")</f>
        <v>CARD</v>
      </c>
    </row>
    <row r="2367" ht="11.25" customHeight="1">
      <c r="A2367" s="21" t="str">
        <f>IFERROR(__xludf.DUMMYFUNCTION("""COMPUTED_VALUE"""),"SMART CARD LARANJA NAGRA")</f>
        <v>SMART CARD LARANJA NAGRA</v>
      </c>
      <c r="B2367" s="22">
        <f>IFERROR(__xludf.DUMMYFUNCTION("""COMPUTED_VALUE"""),4.1001186E7)</f>
        <v>41001186</v>
      </c>
      <c r="C2367" s="21" t="str">
        <f>IFERROR(__xludf.DUMMYFUNCTION("""COMPUTED_VALUE"""),"226814724668")</f>
        <v>226814724668</v>
      </c>
      <c r="D2367" s="21" t="str">
        <f>IFERROR(__xludf.DUMMYFUNCTION("""COMPUTED_VALUE"""),"DIGITEC TECNOLOGIA DIGITAL E REPRES")</f>
        <v>DIGITEC TECNOLOGIA DIGITAL E REPRES</v>
      </c>
      <c r="E2367" s="21">
        <f>IFERROR(__xludf.DUMMYFUNCTION("""COMPUTED_VALUE"""),145359.0)</f>
        <v>145359</v>
      </c>
      <c r="F2367" s="21" t="str">
        <f>IFERROR(__xludf.DUMMYFUNCTION("""COMPUTED_VALUE"""),"TRANSITO REVERSA")</f>
        <v>TRANSITO REVERSA</v>
      </c>
      <c r="G2367" s="23">
        <f>IFERROR(__xludf.DUMMYFUNCTION("""COMPUTED_VALUE"""),45617.87138888889)</f>
        <v>45617.87139</v>
      </c>
      <c r="H2367" s="24" t="str">
        <f>IFERROR(VLOOKUP(B2367,material!A:D,3,0),"")</f>
        <v>CARD</v>
      </c>
    </row>
    <row r="2368" ht="11.25" customHeight="1">
      <c r="A2368" s="21" t="str">
        <f>IFERROR(__xludf.DUMMYFUNCTION("""COMPUTED_VALUE"""),"SMART CARD LARANJA NAGRA")</f>
        <v>SMART CARD LARANJA NAGRA</v>
      </c>
      <c r="B2368" s="22">
        <f>IFERROR(__xludf.DUMMYFUNCTION("""COMPUTED_VALUE"""),4.1001186E7)</f>
        <v>41001186</v>
      </c>
      <c r="C2368" s="21" t="str">
        <f>IFERROR(__xludf.DUMMYFUNCTION("""COMPUTED_VALUE"""),"226750035470")</f>
        <v>226750035470</v>
      </c>
      <c r="D2368" s="21" t="str">
        <f>IFERROR(__xludf.DUMMYFUNCTION("""COMPUTED_VALUE"""),"DIGITEC TECNOLOGIA DIGITAL E REPRES")</f>
        <v>DIGITEC TECNOLOGIA DIGITAL E REPRES</v>
      </c>
      <c r="E2368" s="21">
        <f>IFERROR(__xludf.DUMMYFUNCTION("""COMPUTED_VALUE"""),145359.0)</f>
        <v>145359</v>
      </c>
      <c r="F2368" s="21" t="str">
        <f>IFERROR(__xludf.DUMMYFUNCTION("""COMPUTED_VALUE"""),"TRANSITO REVERSA")</f>
        <v>TRANSITO REVERSA</v>
      </c>
      <c r="G2368" s="23">
        <f>IFERROR(__xludf.DUMMYFUNCTION("""COMPUTED_VALUE"""),45633.00341435186)</f>
        <v>45633.00341</v>
      </c>
      <c r="H2368" s="24" t="str">
        <f>IFERROR(VLOOKUP(B2368,material!A:D,3,0),"")</f>
        <v>CARD</v>
      </c>
    </row>
    <row r="2369" ht="11.25" customHeight="1">
      <c r="A2369" s="21" t="str">
        <f>IFERROR(__xludf.DUMMYFUNCTION("""COMPUTED_VALUE"""),"SMART CARD LARANJA NAGRA")</f>
        <v>SMART CARD LARANJA NAGRA</v>
      </c>
      <c r="B2369" s="22">
        <f>IFERROR(__xludf.DUMMYFUNCTION("""COMPUTED_VALUE"""),4.1001186E7)</f>
        <v>41001186</v>
      </c>
      <c r="C2369" s="21" t="str">
        <f>IFERROR(__xludf.DUMMYFUNCTION("""COMPUTED_VALUE"""),"215691345262")</f>
        <v>215691345262</v>
      </c>
      <c r="D2369" s="21" t="str">
        <f>IFERROR(__xludf.DUMMYFUNCTION("""COMPUTED_VALUE"""),"DIGITEC TECNOLOGIA DIGITAL E REPRES")</f>
        <v>DIGITEC TECNOLOGIA DIGITAL E REPRES</v>
      </c>
      <c r="E2369" s="21">
        <f>IFERROR(__xludf.DUMMYFUNCTION("""COMPUTED_VALUE"""),145359.0)</f>
        <v>145359</v>
      </c>
      <c r="F2369" s="21" t="str">
        <f>IFERROR(__xludf.DUMMYFUNCTION("""COMPUTED_VALUE"""),"TRANSITO REVERSA")</f>
        <v>TRANSITO REVERSA</v>
      </c>
      <c r="G2369" s="23">
        <f>IFERROR(__xludf.DUMMYFUNCTION("""COMPUTED_VALUE"""),45617.87138888889)</f>
        <v>45617.87139</v>
      </c>
      <c r="H2369" s="24" t="str">
        <f>IFERROR(VLOOKUP(B2369,material!A:D,3,0),"")</f>
        <v>CARD</v>
      </c>
    </row>
    <row r="2370" ht="11.25" customHeight="1">
      <c r="A2370" s="21" t="str">
        <f>IFERROR(__xludf.DUMMYFUNCTION("""COMPUTED_VALUE"""),"SMART CARD LARANJA NAGRA")</f>
        <v>SMART CARD LARANJA NAGRA</v>
      </c>
      <c r="B2370" s="22">
        <f>IFERROR(__xludf.DUMMYFUNCTION("""COMPUTED_VALUE"""),4.1001186E7)</f>
        <v>41001186</v>
      </c>
      <c r="C2370" s="21" t="str">
        <f>IFERROR(__xludf.DUMMYFUNCTION("""COMPUTED_VALUE"""),"215569498803")</f>
        <v>215569498803</v>
      </c>
      <c r="D2370" s="21" t="str">
        <f>IFERROR(__xludf.DUMMYFUNCTION("""COMPUTED_VALUE"""),"DIGITEC TECNOLOGIA DIGITAL E REPRES")</f>
        <v>DIGITEC TECNOLOGIA DIGITAL E REPRES</v>
      </c>
      <c r="E2370" s="21">
        <f>IFERROR(__xludf.DUMMYFUNCTION("""COMPUTED_VALUE"""),145359.0)</f>
        <v>145359</v>
      </c>
      <c r="F2370" s="21" t="str">
        <f>IFERROR(__xludf.DUMMYFUNCTION("""COMPUTED_VALUE"""),"TRANSITO REVERSA")</f>
        <v>TRANSITO REVERSA</v>
      </c>
      <c r="G2370" s="23">
        <f>IFERROR(__xludf.DUMMYFUNCTION("""COMPUTED_VALUE"""),45633.0033912037)</f>
        <v>45633.00339</v>
      </c>
      <c r="H2370" s="24" t="str">
        <f>IFERROR(VLOOKUP(B2370,material!A:D,3,0),"")</f>
        <v>CARD</v>
      </c>
    </row>
    <row r="2371" ht="11.25" customHeight="1">
      <c r="A2371" s="21" t="str">
        <f>IFERROR(__xludf.DUMMYFUNCTION("""COMPUTED_VALUE"""),"SMART CARD LARANJA NAGRA")</f>
        <v>SMART CARD LARANJA NAGRA</v>
      </c>
      <c r="B2371" s="22">
        <f>IFERROR(__xludf.DUMMYFUNCTION("""COMPUTED_VALUE"""),4.1001186E7)</f>
        <v>41001186</v>
      </c>
      <c r="C2371" s="21" t="str">
        <f>IFERROR(__xludf.DUMMYFUNCTION("""COMPUTED_VALUE"""),"215717278387")</f>
        <v>215717278387</v>
      </c>
      <c r="D2371" s="21" t="str">
        <f>IFERROR(__xludf.DUMMYFUNCTION("""COMPUTED_VALUE"""),"DIGITEC TECNOLOGIA DIGITAL E REPRES")</f>
        <v>DIGITEC TECNOLOGIA DIGITAL E REPRES</v>
      </c>
      <c r="E2371" s="21">
        <f>IFERROR(__xludf.DUMMYFUNCTION("""COMPUTED_VALUE"""),145359.0)</f>
        <v>145359</v>
      </c>
      <c r="F2371" s="21" t="str">
        <f>IFERROR(__xludf.DUMMYFUNCTION("""COMPUTED_VALUE"""),"TRANSITO REVERSA")</f>
        <v>TRANSITO REVERSA</v>
      </c>
      <c r="G2371" s="23">
        <f>IFERROR(__xludf.DUMMYFUNCTION("""COMPUTED_VALUE"""),45638.52060185185)</f>
        <v>45638.5206</v>
      </c>
      <c r="H2371" s="24" t="str">
        <f>IFERROR(VLOOKUP(B2371,material!A:D,3,0),"")</f>
        <v>CARD</v>
      </c>
    </row>
    <row r="2372" ht="11.25" customHeight="1">
      <c r="A2372" s="21" t="str">
        <f>IFERROR(__xludf.DUMMYFUNCTION("""COMPUTED_VALUE"""),"SMART CARD LARANJA NAGRA")</f>
        <v>SMART CARD LARANJA NAGRA</v>
      </c>
      <c r="B2372" s="22">
        <f>IFERROR(__xludf.DUMMYFUNCTION("""COMPUTED_VALUE"""),4.1001186E7)</f>
        <v>41001186</v>
      </c>
      <c r="C2372" s="21" t="str">
        <f>IFERROR(__xludf.DUMMYFUNCTION("""COMPUTED_VALUE"""),"215613023253")</f>
        <v>215613023253</v>
      </c>
      <c r="D2372" s="21" t="str">
        <f>IFERROR(__xludf.DUMMYFUNCTION("""COMPUTED_VALUE"""),"DIGITEC TECNOLOGIA DIGITAL E REPRES")</f>
        <v>DIGITEC TECNOLOGIA DIGITAL E REPRES</v>
      </c>
      <c r="E2372" s="21">
        <f>IFERROR(__xludf.DUMMYFUNCTION("""COMPUTED_VALUE"""),145359.0)</f>
        <v>145359</v>
      </c>
      <c r="F2372" s="21" t="str">
        <f>IFERROR(__xludf.DUMMYFUNCTION("""COMPUTED_VALUE"""),"TRANSITO REVERSA")</f>
        <v>TRANSITO REVERSA</v>
      </c>
      <c r="G2372" s="23">
        <f>IFERROR(__xludf.DUMMYFUNCTION("""COMPUTED_VALUE"""),45617.87140046296)</f>
        <v>45617.8714</v>
      </c>
      <c r="H2372" s="24" t="str">
        <f>IFERROR(VLOOKUP(B2372,material!A:D,3,0),"")</f>
        <v>CARD</v>
      </c>
    </row>
    <row r="2373" ht="11.25" customHeight="1">
      <c r="A2373" s="21" t="str">
        <f>IFERROR(__xludf.DUMMYFUNCTION("""COMPUTED_VALUE"""),"HUMAX HGB10R-02")</f>
        <v>HUMAX HGB10R-02</v>
      </c>
      <c r="B2373" s="22">
        <f>IFERROR(__xludf.DUMMYFUNCTION("""COMPUTED_VALUE"""),4.1001292E7)</f>
        <v>41001292</v>
      </c>
      <c r="C2373" s="21" t="str">
        <f>IFERROR(__xludf.DUMMYFUNCTION("""COMPUTED_VALUE"""),"90F30555C3B2")</f>
        <v>90F30555C3B2</v>
      </c>
      <c r="D2373" s="21" t="str">
        <f>IFERROR(__xludf.DUMMYFUNCTION("""COMPUTED_VALUE"""),"DIGITEC TECNOLOGIA DIGITAL E REPRES")</f>
        <v>DIGITEC TECNOLOGIA DIGITAL E REPRES</v>
      </c>
      <c r="E2373" s="21">
        <f>IFERROR(__xludf.DUMMYFUNCTION("""COMPUTED_VALUE"""),145359.0)</f>
        <v>145359</v>
      </c>
      <c r="F2373" s="21" t="str">
        <f>IFERROR(__xludf.DUMMYFUNCTION("""COMPUTED_VALUE"""),"PERDA")</f>
        <v>PERDA</v>
      </c>
      <c r="G2373" s="23">
        <f>IFERROR(__xludf.DUMMYFUNCTION("""COMPUTED_VALUE"""),45203.317141203705)</f>
        <v>45203.31714</v>
      </c>
      <c r="H2373" s="24" t="str">
        <f>IFERROR(VLOOKUP(B2373,material!A:D,3,0),"")</f>
        <v>DUAL</v>
      </c>
    </row>
    <row r="2374" ht="11.25" customHeight="1">
      <c r="A2374" s="21" t="str">
        <f>IFERROR(__xludf.DUMMYFUNCTION("""COMPUTED_VALUE"""),"DECODER HD DCI738 2T")</f>
        <v>DECODER HD DCI738 2T</v>
      </c>
      <c r="B2374" s="22">
        <f>IFERROR(__xludf.DUMMYFUNCTION("""COMPUTED_VALUE"""),4.1001275E7)</f>
        <v>41001275</v>
      </c>
      <c r="C2374" s="21" t="str">
        <f>IFERROR(__xludf.DUMMYFUNCTION("""COMPUTED_VALUE"""),"216820975373")</f>
        <v>216820975373</v>
      </c>
      <c r="D2374" s="21" t="str">
        <f>IFERROR(__xludf.DUMMYFUNCTION("""COMPUTED_VALUE"""),"DIGITEC TECNOLOGIA DIGITAL E REPRES")</f>
        <v>DIGITEC TECNOLOGIA DIGITAL E REPRES</v>
      </c>
      <c r="E2374" s="21">
        <f>IFERROR(__xludf.DUMMYFUNCTION("""COMPUTED_VALUE"""),145359.0)</f>
        <v>145359</v>
      </c>
      <c r="F2374" s="21" t="str">
        <f>IFERROR(__xludf.DUMMYFUNCTION("""COMPUTED_VALUE"""),"PERDA")</f>
        <v>PERDA</v>
      </c>
      <c r="G2374" s="23">
        <f>IFERROR(__xludf.DUMMYFUNCTION("""COMPUTED_VALUE"""),45113.48866898148)</f>
        <v>45113.48867</v>
      </c>
      <c r="H2374" s="24" t="str">
        <f>IFERROR(VLOOKUP(B2374,material!A:D,3,0),"")</f>
        <v>TOP MIX</v>
      </c>
    </row>
    <row r="2375" ht="11.25" customHeight="1">
      <c r="A2375" s="21" t="str">
        <f>IFERROR(__xludf.DUMMYFUNCTION("""COMPUTED_VALUE"""),"SMART CARD PRETO NAGRA")</f>
        <v>SMART CARD PRETO NAGRA</v>
      </c>
      <c r="B2375" s="22">
        <f>IFERROR(__xludf.DUMMYFUNCTION("""COMPUTED_VALUE"""),4.1001234E7)</f>
        <v>41001234</v>
      </c>
      <c r="C2375" s="21" t="str">
        <f>IFERROR(__xludf.DUMMYFUNCTION("""COMPUTED_VALUE"""),"246268777593")</f>
        <v>246268777593</v>
      </c>
      <c r="D2375" s="21" t="str">
        <f>IFERROR(__xludf.DUMMYFUNCTION("""COMPUTED_VALUE"""),"DIGITEC TECNOLOGIA DIGITAL E REPRES")</f>
        <v>DIGITEC TECNOLOGIA DIGITAL E REPRES</v>
      </c>
      <c r="E2375" s="21">
        <f>IFERROR(__xludf.DUMMYFUNCTION("""COMPUTED_VALUE"""),145359.0)</f>
        <v>145359</v>
      </c>
      <c r="F2375" s="21" t="str">
        <f>IFERROR(__xludf.DUMMYFUNCTION("""COMPUTED_VALUE"""),"PERDA")</f>
        <v>PERDA</v>
      </c>
      <c r="G2375" s="23">
        <f>IFERROR(__xludf.DUMMYFUNCTION("""COMPUTED_VALUE"""),45113.48866898148)</f>
        <v>45113.48867</v>
      </c>
      <c r="H2375" s="24" t="str">
        <f>IFERROR(VLOOKUP(B2375,material!A:D,3,0),"")</f>
        <v>CARD</v>
      </c>
    </row>
    <row r="2376" ht="11.25" customHeight="1">
      <c r="A2376" s="21" t="str">
        <f>IFERROR(__xludf.DUMMYFUNCTION("""COMPUTED_VALUE"""),"DECODER HD DCI738 2T")</f>
        <v>DECODER HD DCI738 2T</v>
      </c>
      <c r="B2376" s="22">
        <f>IFERROR(__xludf.DUMMYFUNCTION("""COMPUTED_VALUE"""),4.1001275E7)</f>
        <v>41001275</v>
      </c>
      <c r="C2376" s="21" t="str">
        <f>IFERROR(__xludf.DUMMYFUNCTION("""COMPUTED_VALUE"""),"216757874456")</f>
        <v>216757874456</v>
      </c>
      <c r="D2376" s="21" t="str">
        <f>IFERROR(__xludf.DUMMYFUNCTION("""COMPUTED_VALUE"""),"DIGITEC TECNOLOGIA DIGITAL E REPRES")</f>
        <v>DIGITEC TECNOLOGIA DIGITAL E REPRES</v>
      </c>
      <c r="E2376" s="21">
        <f>IFERROR(__xludf.DUMMYFUNCTION("""COMPUTED_VALUE"""),145359.0)</f>
        <v>145359</v>
      </c>
      <c r="F2376" s="21" t="str">
        <f>IFERROR(__xludf.DUMMYFUNCTION("""COMPUTED_VALUE"""),"INICIALIZADO")</f>
        <v>INICIALIZADO</v>
      </c>
      <c r="G2376" s="23">
        <f>IFERROR(__xludf.DUMMYFUNCTION("""COMPUTED_VALUE"""),45516.4197337963)</f>
        <v>45516.41973</v>
      </c>
      <c r="H2376" s="24" t="str">
        <f>IFERROR(VLOOKUP(B2376,material!A:D,3,0),"")</f>
        <v>TOP MIX</v>
      </c>
    </row>
    <row r="2377" ht="11.25" customHeight="1">
      <c r="A2377" s="21" t="str">
        <f>IFERROR(__xludf.DUMMYFUNCTION("""COMPUTED_VALUE"""),"SMART CARD PRETO NAGRA")</f>
        <v>SMART CARD PRETO NAGRA</v>
      </c>
      <c r="B2377" s="22">
        <f>IFERROR(__xludf.DUMMYFUNCTION("""COMPUTED_VALUE"""),4.1001234E7)</f>
        <v>41001234</v>
      </c>
      <c r="C2377" s="21" t="str">
        <f>IFERROR(__xludf.DUMMYFUNCTION("""COMPUTED_VALUE"""),"226196743032")</f>
        <v>226196743032</v>
      </c>
      <c r="D2377" s="21" t="str">
        <f>IFERROR(__xludf.DUMMYFUNCTION("""COMPUTED_VALUE"""),"DIGITEC TECNOLOGIA DIGITAL E REPRES")</f>
        <v>DIGITEC TECNOLOGIA DIGITAL E REPRES</v>
      </c>
      <c r="E2377" s="21">
        <f>IFERROR(__xludf.DUMMYFUNCTION("""COMPUTED_VALUE"""),145359.0)</f>
        <v>145359</v>
      </c>
      <c r="F2377" s="21" t="str">
        <f>IFERROR(__xludf.DUMMYFUNCTION("""COMPUTED_VALUE"""),"INICIALIZADO")</f>
        <v>INICIALIZADO</v>
      </c>
      <c r="G2377" s="23">
        <f>IFERROR(__xludf.DUMMYFUNCTION("""COMPUTED_VALUE"""),45454.55348379629)</f>
        <v>45454.55348</v>
      </c>
      <c r="H2377" s="24" t="str">
        <f>IFERROR(VLOOKUP(B2377,material!A:D,3,0),"")</f>
        <v>CARD</v>
      </c>
    </row>
    <row r="2378" ht="11.25" customHeight="1">
      <c r="A2378" s="21" t="str">
        <f>IFERROR(__xludf.DUMMYFUNCTION("""COMPUTED_VALUE"""),"SMART CARD PRETO NAGRA")</f>
        <v>SMART CARD PRETO NAGRA</v>
      </c>
      <c r="B2378" s="22">
        <f>IFERROR(__xludf.DUMMYFUNCTION("""COMPUTED_VALUE"""),4.1001234E7)</f>
        <v>41001234</v>
      </c>
      <c r="C2378" s="21" t="str">
        <f>IFERROR(__xludf.DUMMYFUNCTION("""COMPUTED_VALUE"""),"226324631417")</f>
        <v>226324631417</v>
      </c>
      <c r="D2378" s="21" t="str">
        <f>IFERROR(__xludf.DUMMYFUNCTION("""COMPUTED_VALUE"""),"DIGITEC TECNOLOGIA DIGITAL E REPRES")</f>
        <v>DIGITEC TECNOLOGIA DIGITAL E REPRES</v>
      </c>
      <c r="E2378" s="21">
        <f>IFERROR(__xludf.DUMMYFUNCTION("""COMPUTED_VALUE"""),145359.0)</f>
        <v>145359</v>
      </c>
      <c r="F2378" s="21" t="str">
        <f>IFERROR(__xludf.DUMMYFUNCTION("""COMPUTED_VALUE"""),"INICIALIZADO")</f>
        <v>INICIALIZADO</v>
      </c>
      <c r="G2378" s="23">
        <f>IFERROR(__xludf.DUMMYFUNCTION("""COMPUTED_VALUE"""),45635.53497685185)</f>
        <v>45635.53498</v>
      </c>
      <c r="H2378" s="24" t="str">
        <f>IFERROR(VLOOKUP(B2378,material!A:D,3,0),"")</f>
        <v>CARD</v>
      </c>
    </row>
    <row r="2379" ht="11.25" customHeight="1">
      <c r="A2379" s="21" t="str">
        <f>IFERROR(__xludf.DUMMYFUNCTION("""COMPUTED_VALUE"""),"SMART CARD PRETO NAGRA")</f>
        <v>SMART CARD PRETO NAGRA</v>
      </c>
      <c r="B2379" s="22">
        <f>IFERROR(__xludf.DUMMYFUNCTION("""COMPUTED_VALUE"""),4.1001234E7)</f>
        <v>41001234</v>
      </c>
      <c r="C2379" s="21" t="str">
        <f>IFERROR(__xludf.DUMMYFUNCTION("""COMPUTED_VALUE"""),"226041050307")</f>
        <v>226041050307</v>
      </c>
      <c r="D2379" s="21" t="str">
        <f>IFERROR(__xludf.DUMMYFUNCTION("""COMPUTED_VALUE"""),"DIGITEC TECNOLOGIA DIGITAL E REPRES")</f>
        <v>DIGITEC TECNOLOGIA DIGITAL E REPRES</v>
      </c>
      <c r="E2379" s="21">
        <f>IFERROR(__xludf.DUMMYFUNCTION("""COMPUTED_VALUE"""),145359.0)</f>
        <v>145359</v>
      </c>
      <c r="F2379" s="21" t="str">
        <f>IFERROR(__xludf.DUMMYFUNCTION("""COMPUTED_VALUE"""),"INICIALIZADO")</f>
        <v>INICIALIZADO</v>
      </c>
      <c r="G2379" s="23">
        <f>IFERROR(__xludf.DUMMYFUNCTION("""COMPUTED_VALUE"""),45635.53494212963)</f>
        <v>45635.53494</v>
      </c>
      <c r="H2379" s="24" t="str">
        <f>IFERROR(VLOOKUP(B2379,material!A:D,3,0),"")</f>
        <v>CARD</v>
      </c>
    </row>
    <row r="2380" ht="11.25" customHeight="1">
      <c r="A2380" s="21" t="str">
        <f>IFERROR(__xludf.DUMMYFUNCTION("""COMPUTED_VALUE"""),"DECODER DIGITAL HD DXC5000 2T")</f>
        <v>DECODER DIGITAL HD DXC5000 2T</v>
      </c>
      <c r="B2380" s="22">
        <f>IFERROR(__xludf.DUMMYFUNCTION("""COMPUTED_VALUE"""),4.1001277E7)</f>
        <v>41001277</v>
      </c>
      <c r="C2380" s="21" t="str">
        <f>IFERROR(__xludf.DUMMYFUNCTION("""COMPUTED_VALUE"""),"216806306567")</f>
        <v>216806306567</v>
      </c>
      <c r="D2380" s="21" t="str">
        <f>IFERROR(__xludf.DUMMYFUNCTION("""COMPUTED_VALUE"""),"DIGITEC TECNOLOGIA DIGITAL E REPRES")</f>
        <v>DIGITEC TECNOLOGIA DIGITAL E REPRES</v>
      </c>
      <c r="E2380" s="21">
        <f>IFERROR(__xludf.DUMMYFUNCTION("""COMPUTED_VALUE"""),145359.0)</f>
        <v>145359</v>
      </c>
      <c r="F2380" s="21" t="str">
        <f>IFERROR(__xludf.DUMMYFUNCTION("""COMPUTED_VALUE"""),"TRANSITO REVERSA")</f>
        <v>TRANSITO REVERSA</v>
      </c>
      <c r="G2380" s="23">
        <f>IFERROR(__xludf.DUMMYFUNCTION("""COMPUTED_VALUE"""),45638.52186342592)</f>
        <v>45638.52186</v>
      </c>
      <c r="H2380" s="24" t="str">
        <f>IFERROR(VLOOKUP(B2380,material!A:D,3,0),"")</f>
        <v>TOP MIX</v>
      </c>
    </row>
    <row r="2381" ht="11.25" customHeight="1">
      <c r="A2381" s="21" t="str">
        <f>IFERROR(__xludf.DUMMYFUNCTION("""COMPUTED_VALUE"""),"SMART CARD PRETO NAGRA")</f>
        <v>SMART CARD PRETO NAGRA</v>
      </c>
      <c r="B2381" s="22">
        <f>IFERROR(__xludf.DUMMYFUNCTION("""COMPUTED_VALUE"""),4.1001234E7)</f>
        <v>41001234</v>
      </c>
      <c r="C2381" s="21" t="str">
        <f>IFERROR(__xludf.DUMMYFUNCTION("""COMPUTED_VALUE"""),"246246213349")</f>
        <v>246246213349</v>
      </c>
      <c r="D2381" s="21" t="str">
        <f>IFERROR(__xludf.DUMMYFUNCTION("""COMPUTED_VALUE"""),"DIGITEC TECNOLOGIA DIGITAL E REPRES")</f>
        <v>DIGITEC TECNOLOGIA DIGITAL E REPRES</v>
      </c>
      <c r="E2381" s="21">
        <f>IFERROR(__xludf.DUMMYFUNCTION("""COMPUTED_VALUE"""),145359.0)</f>
        <v>145359</v>
      </c>
      <c r="F2381" s="21" t="str">
        <f>IFERROR(__xludf.DUMMYFUNCTION("""COMPUTED_VALUE"""),"TRANSITO REVERSA")</f>
        <v>TRANSITO REVERSA</v>
      </c>
      <c r="G2381" s="23">
        <f>IFERROR(__xludf.DUMMYFUNCTION("""COMPUTED_VALUE"""),45633.00394675926)</f>
        <v>45633.00395</v>
      </c>
      <c r="H2381" s="24" t="str">
        <f>IFERROR(VLOOKUP(B2381,material!A:D,3,0),"")</f>
        <v>CARD</v>
      </c>
    </row>
    <row r="2382" ht="11.25" customHeight="1">
      <c r="A2382" s="21" t="str">
        <f>IFERROR(__xludf.DUMMYFUNCTION("""COMPUTED_VALUE"""),"SMART CARD PRETO NAGRA")</f>
        <v>SMART CARD PRETO NAGRA</v>
      </c>
      <c r="B2382" s="22">
        <f>IFERROR(__xludf.DUMMYFUNCTION("""COMPUTED_VALUE"""),4.1001234E7)</f>
        <v>41001234</v>
      </c>
      <c r="C2382" s="21" t="str">
        <f>IFERROR(__xludf.DUMMYFUNCTION("""COMPUTED_VALUE"""),"246267254852")</f>
        <v>246267254852</v>
      </c>
      <c r="D2382" s="21" t="str">
        <f>IFERROR(__xludf.DUMMYFUNCTION("""COMPUTED_VALUE"""),"DIGITEC TECNOLOGIA DIGITAL E REPRES")</f>
        <v>DIGITEC TECNOLOGIA DIGITAL E REPRES</v>
      </c>
      <c r="E2382" s="21">
        <f>IFERROR(__xludf.DUMMYFUNCTION("""COMPUTED_VALUE"""),145359.0)</f>
        <v>145359</v>
      </c>
      <c r="F2382" s="21" t="str">
        <f>IFERROR(__xludf.DUMMYFUNCTION("""COMPUTED_VALUE"""),"INICIALIZADO")</f>
        <v>INICIALIZADO</v>
      </c>
      <c r="G2382" s="23">
        <f>IFERROR(__xludf.DUMMYFUNCTION("""COMPUTED_VALUE"""),45600.47596064815)</f>
        <v>45600.47596</v>
      </c>
      <c r="H2382" s="24" t="str">
        <f>IFERROR(VLOOKUP(B2382,material!A:D,3,0),"")</f>
        <v>CARD</v>
      </c>
    </row>
    <row r="2383" ht="11.25" customHeight="1">
      <c r="A2383" s="21" t="str">
        <f>IFERROR(__xludf.DUMMYFUNCTION("""COMPUTED_VALUE"""),"TECHNICOLOR TC7337NET")</f>
        <v>TECHNICOLOR TC7337NET</v>
      </c>
      <c r="B2383" s="22">
        <f>IFERROR(__xludf.DUMMYFUNCTION("""COMPUTED_VALUE"""),4.1001294E7)</f>
        <v>41001294</v>
      </c>
      <c r="C2383" s="21" t="str">
        <f>IFERROR(__xludf.DUMMYFUNCTION("""COMPUTED_VALUE"""),"1062D0275F78")</f>
        <v>1062D0275F78</v>
      </c>
      <c r="D2383" s="21" t="str">
        <f>IFERROR(__xludf.DUMMYFUNCTION("""COMPUTED_VALUE"""),"DIGITEC TECNOLOGIA DIGITAL E REPRES")</f>
        <v>DIGITEC TECNOLOGIA DIGITAL E REPRES</v>
      </c>
      <c r="E2383" s="21">
        <f>IFERROR(__xludf.DUMMYFUNCTION("""COMPUTED_VALUE"""),145359.0)</f>
        <v>145359</v>
      </c>
      <c r="F2383" s="21" t="str">
        <f>IFERROR(__xludf.DUMMYFUNCTION("""COMPUTED_VALUE"""),"INICIALIZADO")</f>
        <v>INICIALIZADO</v>
      </c>
      <c r="G2383" s="23">
        <f>IFERROR(__xludf.DUMMYFUNCTION("""COMPUTED_VALUE"""),45310.677824074075)</f>
        <v>45310.67782</v>
      </c>
      <c r="H2383" s="24" t="str">
        <f>IFERROR(VLOOKUP(B2383,material!A:D,3,0),"")</f>
        <v>DUAL</v>
      </c>
    </row>
    <row r="2384" ht="11.25" customHeight="1">
      <c r="A2384" s="21" t="str">
        <f>IFERROR(__xludf.DUMMYFUNCTION("""COMPUTED_VALUE"""),"DECODER DIGITAL HD HNB100 2T")</f>
        <v>DECODER DIGITAL HD HNB100 2T</v>
      </c>
      <c r="B2384" s="22">
        <f>IFERROR(__xludf.DUMMYFUNCTION("""COMPUTED_VALUE"""),4.1001276E7)</f>
        <v>41001276</v>
      </c>
      <c r="C2384" s="21" t="str">
        <f>IFERROR(__xludf.DUMMYFUNCTION("""COMPUTED_VALUE"""),"216819497080")</f>
        <v>216819497080</v>
      </c>
      <c r="D2384" s="21" t="str">
        <f>IFERROR(__xludf.DUMMYFUNCTION("""COMPUTED_VALUE"""),"DIGITEC TECNOLOGIA DIGITAL E REPRES")</f>
        <v>DIGITEC TECNOLOGIA DIGITAL E REPRES</v>
      </c>
      <c r="E2384" s="21">
        <f>IFERROR(__xludf.DUMMYFUNCTION("""COMPUTED_VALUE"""),145359.0)</f>
        <v>145359</v>
      </c>
      <c r="F2384" s="21" t="str">
        <f>IFERROR(__xludf.DUMMYFUNCTION("""COMPUTED_VALUE"""),"INICIALIZADO")</f>
        <v>INICIALIZADO</v>
      </c>
      <c r="G2384" s="23">
        <f>IFERROR(__xludf.DUMMYFUNCTION("""COMPUTED_VALUE"""),45642.52413194445)</f>
        <v>45642.52413</v>
      </c>
      <c r="H2384" s="24" t="str">
        <f>IFERROR(VLOOKUP(B2384,material!A:D,3,0),"")</f>
        <v>TOP MIX</v>
      </c>
    </row>
    <row r="2385" ht="11.25" customHeight="1">
      <c r="A2385" s="21" t="str">
        <f>IFERROR(__xludf.DUMMYFUNCTION("""COMPUTED_VALUE"""),"DECODER DIGITAL HD HNB100 2T")</f>
        <v>DECODER DIGITAL HD HNB100 2T</v>
      </c>
      <c r="B2385" s="22">
        <f>IFERROR(__xludf.DUMMYFUNCTION("""COMPUTED_VALUE"""),4.1001276E7)</f>
        <v>41001276</v>
      </c>
      <c r="C2385" s="21" t="str">
        <f>IFERROR(__xludf.DUMMYFUNCTION("""COMPUTED_VALUE"""),"216556202743")</f>
        <v>216556202743</v>
      </c>
      <c r="D2385" s="21" t="str">
        <f>IFERROR(__xludf.DUMMYFUNCTION("""COMPUTED_VALUE"""),"DIGITEC TECNOLOGIA DIGITAL E REPRES")</f>
        <v>DIGITEC TECNOLOGIA DIGITAL E REPRES</v>
      </c>
      <c r="E2385" s="21">
        <f>IFERROR(__xludf.DUMMYFUNCTION("""COMPUTED_VALUE"""),145359.0)</f>
        <v>145359</v>
      </c>
      <c r="F2385" s="21" t="str">
        <f>IFERROR(__xludf.DUMMYFUNCTION("""COMPUTED_VALUE"""),"INICIALIZADO")</f>
        <v>INICIALIZADO</v>
      </c>
      <c r="G2385" s="23">
        <f>IFERROR(__xludf.DUMMYFUNCTION("""COMPUTED_VALUE"""),45635.53508101852)</f>
        <v>45635.53508</v>
      </c>
      <c r="H2385" s="24" t="str">
        <f>IFERROR(VLOOKUP(B2385,material!A:D,3,0),"")</f>
        <v>TOP MIX</v>
      </c>
    </row>
    <row r="2386" ht="11.25" customHeight="1">
      <c r="A2386" s="21" t="str">
        <f>IFERROR(__xludf.DUMMYFUNCTION("""COMPUTED_VALUE"""),"DECODER DIGITAL HD HNB100 2T")</f>
        <v>DECODER DIGITAL HD HNB100 2T</v>
      </c>
      <c r="B2386" s="22">
        <f>IFERROR(__xludf.DUMMYFUNCTION("""COMPUTED_VALUE"""),4.1001276E7)</f>
        <v>41001276</v>
      </c>
      <c r="C2386" s="21" t="str">
        <f>IFERROR(__xludf.DUMMYFUNCTION("""COMPUTED_VALUE"""),"216396017580")</f>
        <v>216396017580</v>
      </c>
      <c r="D2386" s="21" t="str">
        <f>IFERROR(__xludf.DUMMYFUNCTION("""COMPUTED_VALUE"""),"DIGITEC TECNOLOGIA DIGITAL E REPRES")</f>
        <v>DIGITEC TECNOLOGIA DIGITAL E REPRES</v>
      </c>
      <c r="E2386" s="21">
        <f>IFERROR(__xludf.DUMMYFUNCTION("""COMPUTED_VALUE"""),145359.0)</f>
        <v>145359</v>
      </c>
      <c r="F2386" s="21" t="str">
        <f>IFERROR(__xludf.DUMMYFUNCTION("""COMPUTED_VALUE"""),"INICIALIZADO")</f>
        <v>INICIALIZADO</v>
      </c>
      <c r="G2386" s="23">
        <f>IFERROR(__xludf.DUMMYFUNCTION("""COMPUTED_VALUE"""),45635.53503472223)</f>
        <v>45635.53503</v>
      </c>
      <c r="H2386" s="24" t="str">
        <f>IFERROR(VLOOKUP(B2386,material!A:D,3,0),"")</f>
        <v>TOP MIX</v>
      </c>
    </row>
    <row r="2387" ht="11.25" customHeight="1">
      <c r="A2387" s="21" t="str">
        <f>IFERROR(__xludf.DUMMYFUNCTION("""COMPUTED_VALUE"""),"DECODER DIGITAL HD HNB100 2T")</f>
        <v>DECODER DIGITAL HD HNB100 2T</v>
      </c>
      <c r="B2387" s="22">
        <f>IFERROR(__xludf.DUMMYFUNCTION("""COMPUTED_VALUE"""),4.1001276E7)</f>
        <v>41001276</v>
      </c>
      <c r="C2387" s="21" t="str">
        <f>IFERROR(__xludf.DUMMYFUNCTION("""COMPUTED_VALUE"""),"216755798091")</f>
        <v>216755798091</v>
      </c>
      <c r="D2387" s="21" t="str">
        <f>IFERROR(__xludf.DUMMYFUNCTION("""COMPUTED_VALUE"""),"DIGITEC TECNOLOGIA DIGITAL E REPRES")</f>
        <v>DIGITEC TECNOLOGIA DIGITAL E REPRES</v>
      </c>
      <c r="E2387" s="21">
        <f>IFERROR(__xludf.DUMMYFUNCTION("""COMPUTED_VALUE"""),145359.0)</f>
        <v>145359</v>
      </c>
      <c r="F2387" s="21" t="str">
        <f>IFERROR(__xludf.DUMMYFUNCTION("""COMPUTED_VALUE"""),"INICIALIZADO")</f>
        <v>INICIALIZADO</v>
      </c>
      <c r="G2387" s="23">
        <f>IFERROR(__xludf.DUMMYFUNCTION("""COMPUTED_VALUE"""),45642.52413194445)</f>
        <v>45642.52413</v>
      </c>
      <c r="H2387" s="24" t="str">
        <f>IFERROR(VLOOKUP(B2387,material!A:D,3,0),"")</f>
        <v>TOP MIX</v>
      </c>
    </row>
    <row r="2388" ht="11.25" customHeight="1">
      <c r="A2388" s="21" t="str">
        <f>IFERROR(__xludf.DUMMYFUNCTION("""COMPUTED_VALUE"""),"SMART CARD PRETO NAGRA")</f>
        <v>SMART CARD PRETO NAGRA</v>
      </c>
      <c r="B2388" s="22">
        <f>IFERROR(__xludf.DUMMYFUNCTION("""COMPUTED_VALUE"""),4.1001234E7)</f>
        <v>41001234</v>
      </c>
      <c r="C2388" s="21" t="str">
        <f>IFERROR(__xludf.DUMMYFUNCTION("""COMPUTED_VALUE"""),"246238169814")</f>
        <v>246238169814</v>
      </c>
      <c r="D2388" s="21" t="str">
        <f>IFERROR(__xludf.DUMMYFUNCTION("""COMPUTED_VALUE"""),"DIGITEC TECNOLOGIA DIGITAL E REPRES")</f>
        <v>DIGITEC TECNOLOGIA DIGITAL E REPRES</v>
      </c>
      <c r="E2388" s="21">
        <f>IFERROR(__xludf.DUMMYFUNCTION("""COMPUTED_VALUE"""),145359.0)</f>
        <v>145359</v>
      </c>
      <c r="F2388" s="21" t="str">
        <f>IFERROR(__xludf.DUMMYFUNCTION("""COMPUTED_VALUE"""),"INICIALIZADO")</f>
        <v>INICIALIZADO</v>
      </c>
      <c r="G2388" s="23">
        <f>IFERROR(__xludf.DUMMYFUNCTION("""COMPUTED_VALUE"""),45635.53491898148)</f>
        <v>45635.53492</v>
      </c>
      <c r="H2388" s="24" t="str">
        <f>IFERROR(VLOOKUP(B2388,material!A:D,3,0),"")</f>
        <v>CARD</v>
      </c>
    </row>
    <row r="2389" ht="11.25" customHeight="1">
      <c r="A2389" s="21" t="str">
        <f>IFERROR(__xludf.DUMMYFUNCTION("""COMPUTED_VALUE"""),"SMART CARD PRETO NAGRA")</f>
        <v>SMART CARD PRETO NAGRA</v>
      </c>
      <c r="B2389" s="22">
        <f>IFERROR(__xludf.DUMMYFUNCTION("""COMPUTED_VALUE"""),4.1001234E7)</f>
        <v>41001234</v>
      </c>
      <c r="C2389" s="21" t="str">
        <f>IFERROR(__xludf.DUMMYFUNCTION("""COMPUTED_VALUE"""),"246013896175")</f>
        <v>246013896175</v>
      </c>
      <c r="D2389" s="21" t="str">
        <f>IFERROR(__xludf.DUMMYFUNCTION("""COMPUTED_VALUE"""),"DIGITEC TECNOLOGIA DIGITAL E REPRES")</f>
        <v>DIGITEC TECNOLOGIA DIGITAL E REPRES</v>
      </c>
      <c r="E2389" s="21">
        <f>IFERROR(__xludf.DUMMYFUNCTION("""COMPUTED_VALUE"""),145359.0)</f>
        <v>145359</v>
      </c>
      <c r="F2389" s="21" t="str">
        <f>IFERROR(__xludf.DUMMYFUNCTION("""COMPUTED_VALUE"""),"INICIALIZADO")</f>
        <v>INICIALIZADO</v>
      </c>
      <c r="G2389" s="23">
        <f>IFERROR(__xludf.DUMMYFUNCTION("""COMPUTED_VALUE"""),45635.53496527778)</f>
        <v>45635.53497</v>
      </c>
      <c r="H2389" s="24" t="str">
        <f>IFERROR(VLOOKUP(B2389,material!A:D,3,0),"")</f>
        <v>CARD</v>
      </c>
    </row>
    <row r="2390" ht="11.25" customHeight="1">
      <c r="A2390" s="21" t="str">
        <f>IFERROR(__xludf.DUMMYFUNCTION("""COMPUTED_VALUE"""),"SMART CARD PRETO NAGRA")</f>
        <v>SMART CARD PRETO NAGRA</v>
      </c>
      <c r="B2390" s="22">
        <f>IFERROR(__xludf.DUMMYFUNCTION("""COMPUTED_VALUE"""),4.1001234E7)</f>
        <v>41001234</v>
      </c>
      <c r="C2390" s="21" t="str">
        <f>IFERROR(__xludf.DUMMYFUNCTION("""COMPUTED_VALUE"""),"226337124656")</f>
        <v>226337124656</v>
      </c>
      <c r="D2390" s="21" t="str">
        <f>IFERROR(__xludf.DUMMYFUNCTION("""COMPUTED_VALUE"""),"DIGITEC TECNOLOGIA DIGITAL E REPRES")</f>
        <v>DIGITEC TECNOLOGIA DIGITAL E REPRES</v>
      </c>
      <c r="E2390" s="21">
        <f>IFERROR(__xludf.DUMMYFUNCTION("""COMPUTED_VALUE"""),145359.0)</f>
        <v>145359</v>
      </c>
      <c r="F2390" s="21" t="str">
        <f>IFERROR(__xludf.DUMMYFUNCTION("""COMPUTED_VALUE"""),"INICIALIZADO")</f>
        <v>INICIALIZADO</v>
      </c>
      <c r="G2390" s="23">
        <f>IFERROR(__xludf.DUMMYFUNCTION("""COMPUTED_VALUE"""),45635.53497685185)</f>
        <v>45635.53498</v>
      </c>
      <c r="H2390" s="24" t="str">
        <f>IFERROR(VLOOKUP(B2390,material!A:D,3,0),"")</f>
        <v>CARD</v>
      </c>
    </row>
    <row r="2391" ht="11.25" customHeight="1">
      <c r="A2391" s="21" t="str">
        <f>IFERROR(__xludf.DUMMYFUNCTION("""COMPUTED_VALUE"""),"SMART CARD LARANJA NAGRA")</f>
        <v>SMART CARD LARANJA NAGRA</v>
      </c>
      <c r="B2391" s="22">
        <f>IFERROR(__xludf.DUMMYFUNCTION("""COMPUTED_VALUE"""),4.1001186E7)</f>
        <v>41001186</v>
      </c>
      <c r="C2391" s="21" t="str">
        <f>IFERROR(__xludf.DUMMYFUNCTION("""COMPUTED_VALUE"""),"226837214057")</f>
        <v>226837214057</v>
      </c>
      <c r="D2391" s="21" t="str">
        <f>IFERROR(__xludf.DUMMYFUNCTION("""COMPUTED_VALUE"""),"DIGITEC TECNOLOGIA DIGITAL E REPRES")</f>
        <v>DIGITEC TECNOLOGIA DIGITAL E REPRES</v>
      </c>
      <c r="E2391" s="21">
        <f>IFERROR(__xludf.DUMMYFUNCTION("""COMPUTED_VALUE"""),145359.0)</f>
        <v>145359</v>
      </c>
      <c r="F2391" s="21" t="str">
        <f>IFERROR(__xludf.DUMMYFUNCTION("""COMPUTED_VALUE"""),"SUCATA")</f>
        <v>SUCATA</v>
      </c>
      <c r="G2391" s="23">
        <f>IFERROR(__xludf.DUMMYFUNCTION("""COMPUTED_VALUE"""),45076.44966435185)</f>
        <v>45076.44966</v>
      </c>
      <c r="H2391" s="24" t="str">
        <f>IFERROR(VLOOKUP(B2391,material!A:D,3,0),"")</f>
        <v>CARD</v>
      </c>
    </row>
    <row r="2392" ht="11.25" customHeight="1">
      <c r="A2392" s="21" t="str">
        <f>IFERROR(__xludf.DUMMYFUNCTION("""COMPUTED_VALUE"""),"DECODER DIGITAL HD DXC5000 2T")</f>
        <v>DECODER DIGITAL HD DXC5000 2T</v>
      </c>
      <c r="B2392" s="22">
        <f>IFERROR(__xludf.DUMMYFUNCTION("""COMPUTED_VALUE"""),4.1001277E7)</f>
        <v>41001277</v>
      </c>
      <c r="C2392" s="21" t="str">
        <f>IFERROR(__xludf.DUMMYFUNCTION("""COMPUTED_VALUE"""),"216569575473")</f>
        <v>216569575473</v>
      </c>
      <c r="D2392" s="21" t="str">
        <f>IFERROR(__xludf.DUMMYFUNCTION("""COMPUTED_VALUE"""),"DIGITEC TECNOLOGIA DIGITAL E REPRES")</f>
        <v>DIGITEC TECNOLOGIA DIGITAL E REPRES</v>
      </c>
      <c r="E2392" s="21">
        <f>IFERROR(__xludf.DUMMYFUNCTION("""COMPUTED_VALUE"""),145359.0)</f>
        <v>145359</v>
      </c>
      <c r="F2392" s="21" t="str">
        <f>IFERROR(__xludf.DUMMYFUNCTION("""COMPUTED_VALUE"""),"INICIALIZADO")</f>
        <v>INICIALIZADO</v>
      </c>
      <c r="G2392" s="23">
        <f>IFERROR(__xludf.DUMMYFUNCTION("""COMPUTED_VALUE"""),45618.65200231482)</f>
        <v>45618.652</v>
      </c>
      <c r="H2392" s="24" t="str">
        <f>IFERROR(VLOOKUP(B2392,material!A:D,3,0),"")</f>
        <v>TOP MIX</v>
      </c>
    </row>
    <row r="2393" ht="11.25" customHeight="1">
      <c r="A2393" s="21" t="str">
        <f>IFERROR(__xludf.DUMMYFUNCTION("""COMPUTED_VALUE"""),"SMART CARD PRETO NAGRA")</f>
        <v>SMART CARD PRETO NAGRA</v>
      </c>
      <c r="B2393" s="22">
        <f>IFERROR(__xludf.DUMMYFUNCTION("""COMPUTED_VALUE"""),4.1001234E7)</f>
        <v>41001234</v>
      </c>
      <c r="C2393" s="21" t="str">
        <f>IFERROR(__xludf.DUMMYFUNCTION("""COMPUTED_VALUE"""),"246267908888")</f>
        <v>246267908888</v>
      </c>
      <c r="D2393" s="21" t="str">
        <f>IFERROR(__xludf.DUMMYFUNCTION("""COMPUTED_VALUE"""),"DIGITEC TECNOLOGIA DIGITAL E REPRES")</f>
        <v>DIGITEC TECNOLOGIA DIGITAL E REPRES</v>
      </c>
      <c r="E2393" s="21">
        <f>IFERROR(__xludf.DUMMYFUNCTION("""COMPUTED_VALUE"""),145359.0)</f>
        <v>145359</v>
      </c>
      <c r="F2393" s="21" t="str">
        <f>IFERROR(__xludf.DUMMYFUNCTION("""COMPUTED_VALUE"""),"INICIALIZADO")</f>
        <v>INICIALIZADO</v>
      </c>
      <c r="G2393" s="23">
        <f>IFERROR(__xludf.DUMMYFUNCTION("""COMPUTED_VALUE"""),45642.52410879629)</f>
        <v>45642.52411</v>
      </c>
      <c r="H2393" s="24" t="str">
        <f>IFERROR(VLOOKUP(B2393,material!A:D,3,0),"")</f>
        <v>CARD</v>
      </c>
    </row>
    <row r="2394" ht="11.25" customHeight="1">
      <c r="A2394" s="21" t="str">
        <f>IFERROR(__xludf.DUMMYFUNCTION("""COMPUTED_VALUE"""),"DECODER DIGITAL HD HNB100 2T")</f>
        <v>DECODER DIGITAL HD HNB100 2T</v>
      </c>
      <c r="B2394" s="22">
        <f>IFERROR(__xludf.DUMMYFUNCTION("""COMPUTED_VALUE"""),4.1001276E7)</f>
        <v>41001276</v>
      </c>
      <c r="C2394" s="21" t="str">
        <f>IFERROR(__xludf.DUMMYFUNCTION("""COMPUTED_VALUE"""),"216738461619")</f>
        <v>216738461619</v>
      </c>
      <c r="D2394" s="21" t="str">
        <f>IFERROR(__xludf.DUMMYFUNCTION("""COMPUTED_VALUE"""),"DIGITEC TECNOLOGIA DIGITAL E REPRES")</f>
        <v>DIGITEC TECNOLOGIA DIGITAL E REPRES</v>
      </c>
      <c r="E2394" s="21">
        <f>IFERROR(__xludf.DUMMYFUNCTION("""COMPUTED_VALUE"""),145359.0)</f>
        <v>145359</v>
      </c>
      <c r="F2394" s="21" t="str">
        <f>IFERROR(__xludf.DUMMYFUNCTION("""COMPUTED_VALUE"""),"INICIALIZADO")</f>
        <v>INICIALIZADO</v>
      </c>
      <c r="G2394" s="23">
        <f>IFERROR(__xludf.DUMMYFUNCTION("""COMPUTED_VALUE"""),45642.52412037037)</f>
        <v>45642.52412</v>
      </c>
      <c r="H2394" s="24" t="str">
        <f>IFERROR(VLOOKUP(B2394,material!A:D,3,0),"")</f>
        <v>TOP MIX</v>
      </c>
    </row>
    <row r="2395" ht="11.25" customHeight="1">
      <c r="A2395" s="21" t="str">
        <f>IFERROR(__xludf.DUMMYFUNCTION("""COMPUTED_VALUE"""),"DECODER DIGITAL HD HNB100 2T")</f>
        <v>DECODER DIGITAL HD HNB100 2T</v>
      </c>
      <c r="B2395" s="22">
        <f>IFERROR(__xludf.DUMMYFUNCTION("""COMPUTED_VALUE"""),4.1001276E7)</f>
        <v>41001276</v>
      </c>
      <c r="C2395" s="21" t="str">
        <f>IFERROR(__xludf.DUMMYFUNCTION("""COMPUTED_VALUE"""),"216699672031")</f>
        <v>216699672031</v>
      </c>
      <c r="D2395" s="21" t="str">
        <f>IFERROR(__xludf.DUMMYFUNCTION("""COMPUTED_VALUE"""),"DIGITEC TECNOLOGIA DIGITAL E REPRES")</f>
        <v>DIGITEC TECNOLOGIA DIGITAL E REPRES</v>
      </c>
      <c r="E2395" s="21">
        <f>IFERROR(__xludf.DUMMYFUNCTION("""COMPUTED_VALUE"""),145359.0)</f>
        <v>145359</v>
      </c>
      <c r="F2395" s="21" t="str">
        <f>IFERROR(__xludf.DUMMYFUNCTION("""COMPUTED_VALUE"""),"INICIALIZADO")</f>
        <v>INICIALIZADO</v>
      </c>
      <c r="G2395" s="23">
        <f>IFERROR(__xludf.DUMMYFUNCTION("""COMPUTED_VALUE"""),45635.53501157407)</f>
        <v>45635.53501</v>
      </c>
      <c r="H2395" s="24" t="str">
        <f>IFERROR(VLOOKUP(B2395,material!A:D,3,0),"")</f>
        <v>TOP MIX</v>
      </c>
    </row>
    <row r="2396" ht="11.25" customHeight="1">
      <c r="A2396" s="21" t="str">
        <f>IFERROR(__xludf.DUMMYFUNCTION("""COMPUTED_VALUE"""),"SMART CARD LARANJA NAGRA")</f>
        <v>SMART CARD LARANJA NAGRA</v>
      </c>
      <c r="B2396" s="22">
        <f>IFERROR(__xludf.DUMMYFUNCTION("""COMPUTED_VALUE"""),4.1001186E7)</f>
        <v>41001186</v>
      </c>
      <c r="C2396" s="21" t="str">
        <f>IFERROR(__xludf.DUMMYFUNCTION("""COMPUTED_VALUE"""),"215811698399")</f>
        <v>215811698399</v>
      </c>
      <c r="D2396" s="21" t="str">
        <f>IFERROR(__xludf.DUMMYFUNCTION("""COMPUTED_VALUE"""),"DIGITEC TECNOLOGIA DIGITAL E REPRES")</f>
        <v>DIGITEC TECNOLOGIA DIGITAL E REPRES</v>
      </c>
      <c r="E2396" s="21">
        <f>IFERROR(__xludf.DUMMYFUNCTION("""COMPUTED_VALUE"""),145359.0)</f>
        <v>145359</v>
      </c>
      <c r="F2396" s="21" t="str">
        <f>IFERROR(__xludf.DUMMYFUNCTION("""COMPUTED_VALUE"""),"SUCATA")</f>
        <v>SUCATA</v>
      </c>
      <c r="G2396" s="23">
        <f>IFERROR(__xludf.DUMMYFUNCTION("""COMPUTED_VALUE"""),45075.62224537037)</f>
        <v>45075.62225</v>
      </c>
      <c r="H2396" s="24" t="str">
        <f>IFERROR(VLOOKUP(B2396,material!A:D,3,0),"")</f>
        <v>CARD</v>
      </c>
    </row>
    <row r="2397" ht="11.25" customHeight="1">
      <c r="A2397" s="21" t="str">
        <f>IFERROR(__xludf.DUMMYFUNCTION("""COMPUTED_VALUE"""),"SMART CARD PRETO NAGRA")</f>
        <v>SMART CARD PRETO NAGRA</v>
      </c>
      <c r="B2397" s="22">
        <f>IFERROR(__xludf.DUMMYFUNCTION("""COMPUTED_VALUE"""),4.1001234E7)</f>
        <v>41001234</v>
      </c>
      <c r="C2397" s="21" t="str">
        <f>IFERROR(__xludf.DUMMYFUNCTION("""COMPUTED_VALUE"""),"246338969820")</f>
        <v>246338969820</v>
      </c>
      <c r="D2397" s="21" t="str">
        <f>IFERROR(__xludf.DUMMYFUNCTION("""COMPUTED_VALUE"""),"DIGITEC TECNOLOGIA DIGITAL E REPRES")</f>
        <v>DIGITEC TECNOLOGIA DIGITAL E REPRES</v>
      </c>
      <c r="E2397" s="21">
        <f>IFERROR(__xludf.DUMMYFUNCTION("""COMPUTED_VALUE"""),145359.0)</f>
        <v>145359</v>
      </c>
      <c r="F2397" s="21" t="str">
        <f>IFERROR(__xludf.DUMMYFUNCTION("""COMPUTED_VALUE"""),"TRANSITO REVERSA")</f>
        <v>TRANSITO REVERSA</v>
      </c>
      <c r="G2397" s="23">
        <f>IFERROR(__xludf.DUMMYFUNCTION("""COMPUTED_VALUE"""),45617.87140046296)</f>
        <v>45617.8714</v>
      </c>
      <c r="H2397" s="24" t="str">
        <f>IFERROR(VLOOKUP(B2397,material!A:D,3,0),"")</f>
        <v>CARD</v>
      </c>
    </row>
    <row r="2398" ht="11.25" customHeight="1">
      <c r="A2398" s="21" t="str">
        <f>IFERROR(__xludf.DUMMYFUNCTION("""COMPUTED_VALUE"""),"SMART CARD LARANJA NAGRA")</f>
        <v>SMART CARD LARANJA NAGRA</v>
      </c>
      <c r="B2398" s="22">
        <f>IFERROR(__xludf.DUMMYFUNCTION("""COMPUTED_VALUE"""),4.1001186E7)</f>
        <v>41001186</v>
      </c>
      <c r="C2398" s="21" t="str">
        <f>IFERROR(__xludf.DUMMYFUNCTION("""COMPUTED_VALUE"""),"215705311822")</f>
        <v>215705311822</v>
      </c>
      <c r="D2398" s="21" t="str">
        <f>IFERROR(__xludf.DUMMYFUNCTION("""COMPUTED_VALUE"""),"DIGITEC TECNOLOGIA DIGITAL E REPRES")</f>
        <v>DIGITEC TECNOLOGIA DIGITAL E REPRES</v>
      </c>
      <c r="E2398" s="21">
        <f>IFERROR(__xludf.DUMMYFUNCTION("""COMPUTED_VALUE"""),145359.0)</f>
        <v>145359</v>
      </c>
      <c r="F2398" s="21" t="str">
        <f>IFERROR(__xludf.DUMMYFUNCTION("""COMPUTED_VALUE"""),"SUCATA")</f>
        <v>SUCATA</v>
      </c>
      <c r="G2398" s="23">
        <f>IFERROR(__xludf.DUMMYFUNCTION("""COMPUTED_VALUE"""),45075.58660879629)</f>
        <v>45075.58661</v>
      </c>
      <c r="H2398" s="24" t="str">
        <f>IFERROR(VLOOKUP(B2398,material!A:D,3,0),"")</f>
        <v>CARD</v>
      </c>
    </row>
    <row r="2399" ht="11.25" customHeight="1">
      <c r="A2399" s="21" t="str">
        <f>IFERROR(__xludf.DUMMYFUNCTION("""COMPUTED_VALUE"""),"SMART CARD PRETO NAGRA")</f>
        <v>SMART CARD PRETO NAGRA</v>
      </c>
      <c r="B2399" s="22">
        <f>IFERROR(__xludf.DUMMYFUNCTION("""COMPUTED_VALUE"""),4.1001234E7)</f>
        <v>41001234</v>
      </c>
      <c r="C2399" s="21" t="str">
        <f>IFERROR(__xludf.DUMMYFUNCTION("""COMPUTED_VALUE"""),"226052547376")</f>
        <v>226052547376</v>
      </c>
      <c r="D2399" s="21" t="str">
        <f>IFERROR(__xludf.DUMMYFUNCTION("""COMPUTED_VALUE"""),"DIGITEC TECNOLOGIA DIGITAL E REPRES")</f>
        <v>DIGITEC TECNOLOGIA DIGITAL E REPRES</v>
      </c>
      <c r="E2399" s="21">
        <f>IFERROR(__xludf.DUMMYFUNCTION("""COMPUTED_VALUE"""),145359.0)</f>
        <v>145359</v>
      </c>
      <c r="F2399" s="21" t="str">
        <f>IFERROR(__xludf.DUMMYFUNCTION("""COMPUTED_VALUE"""),"INICIALIZADO")</f>
        <v>INICIALIZADO</v>
      </c>
      <c r="G2399" s="23">
        <f>IFERROR(__xludf.DUMMYFUNCTION("""COMPUTED_VALUE"""),45635.53494212963)</f>
        <v>45635.53494</v>
      </c>
      <c r="H2399" s="24" t="str">
        <f>IFERROR(VLOOKUP(B2399,material!A:D,3,0),"")</f>
        <v>CARD</v>
      </c>
    </row>
    <row r="2400" ht="11.25" customHeight="1">
      <c r="A2400" s="21" t="str">
        <f>IFERROR(__xludf.DUMMYFUNCTION("""COMPUTED_VALUE"""),"SMART CARD PRETO NAGRA")</f>
        <v>SMART CARD PRETO NAGRA</v>
      </c>
      <c r="B2400" s="22">
        <f>IFERROR(__xludf.DUMMYFUNCTION("""COMPUTED_VALUE"""),4.1001234E7)</f>
        <v>41001234</v>
      </c>
      <c r="C2400" s="21" t="str">
        <f>IFERROR(__xludf.DUMMYFUNCTION("""COMPUTED_VALUE"""),"226140673643")</f>
        <v>226140673643</v>
      </c>
      <c r="D2400" s="21" t="str">
        <f>IFERROR(__xludf.DUMMYFUNCTION("""COMPUTED_VALUE"""),"DIGITEC TECNOLOGIA DIGITAL E REPRES")</f>
        <v>DIGITEC TECNOLOGIA DIGITAL E REPRES</v>
      </c>
      <c r="E2400" s="21">
        <f>IFERROR(__xludf.DUMMYFUNCTION("""COMPUTED_VALUE"""),145359.0)</f>
        <v>145359</v>
      </c>
      <c r="F2400" s="21" t="str">
        <f>IFERROR(__xludf.DUMMYFUNCTION("""COMPUTED_VALUE"""),"INICIALIZADO")</f>
        <v>INICIALIZADO</v>
      </c>
      <c r="G2400" s="23">
        <f>IFERROR(__xludf.DUMMYFUNCTION("""COMPUTED_VALUE"""),45635.53494212963)</f>
        <v>45635.53494</v>
      </c>
      <c r="H2400" s="24" t="str">
        <f>IFERROR(VLOOKUP(B2400,material!A:D,3,0),"")</f>
        <v>CARD</v>
      </c>
    </row>
    <row r="2401" ht="11.25" customHeight="1">
      <c r="A2401" s="21" t="str">
        <f>IFERROR(__xludf.DUMMYFUNCTION("""COMPUTED_VALUE"""),"SMART CARD PRETO NAGRA")</f>
        <v>SMART CARD PRETO NAGRA</v>
      </c>
      <c r="B2401" s="22">
        <f>IFERROR(__xludf.DUMMYFUNCTION("""COMPUTED_VALUE"""),4.1001234E7)</f>
        <v>41001234</v>
      </c>
      <c r="C2401" s="21" t="str">
        <f>IFERROR(__xludf.DUMMYFUNCTION("""COMPUTED_VALUE"""),"246259279001")</f>
        <v>246259279001</v>
      </c>
      <c r="D2401" s="21" t="str">
        <f>IFERROR(__xludf.DUMMYFUNCTION("""COMPUTED_VALUE"""),"DIGITEC TECNOLOGIA DIGITAL E REPRES")</f>
        <v>DIGITEC TECNOLOGIA DIGITAL E REPRES</v>
      </c>
      <c r="E2401" s="21">
        <f>IFERROR(__xludf.DUMMYFUNCTION("""COMPUTED_VALUE"""),145359.0)</f>
        <v>145359</v>
      </c>
      <c r="F2401" s="21" t="str">
        <f>IFERROR(__xludf.DUMMYFUNCTION("""COMPUTED_VALUE"""),"SUSPEITO")</f>
        <v>SUSPEITO</v>
      </c>
      <c r="G2401" s="23">
        <f>IFERROR(__xludf.DUMMYFUNCTION("""COMPUTED_VALUE"""),45643.65069444444)</f>
        <v>45643.65069</v>
      </c>
      <c r="H2401" s="24" t="str">
        <f>IFERROR(VLOOKUP(B2401,material!A:D,3,0),"")</f>
        <v>CARD</v>
      </c>
    </row>
    <row r="2402" ht="11.25" customHeight="1">
      <c r="A2402" s="21" t="str">
        <f>IFERROR(__xludf.DUMMYFUNCTION("""COMPUTED_VALUE"""),"SMART CARD PRETO NAGRA")</f>
        <v>SMART CARD PRETO NAGRA</v>
      </c>
      <c r="B2402" s="22">
        <f>IFERROR(__xludf.DUMMYFUNCTION("""COMPUTED_VALUE"""),4.1001234E7)</f>
        <v>41001234</v>
      </c>
      <c r="C2402" s="21" t="str">
        <f>IFERROR(__xludf.DUMMYFUNCTION("""COMPUTED_VALUE"""),"226395468991")</f>
        <v>226395468991</v>
      </c>
      <c r="D2402" s="21" t="str">
        <f>IFERROR(__xludf.DUMMYFUNCTION("""COMPUTED_VALUE"""),"DIGITEC TECNOLOGIA DIGITAL E REPRES")</f>
        <v>DIGITEC TECNOLOGIA DIGITAL E REPRES</v>
      </c>
      <c r="E2402" s="21">
        <f>IFERROR(__xludf.DUMMYFUNCTION("""COMPUTED_VALUE"""),145359.0)</f>
        <v>145359</v>
      </c>
      <c r="F2402" s="21" t="str">
        <f>IFERROR(__xludf.DUMMYFUNCTION("""COMPUTED_VALUE"""),"INICIALIZADO")</f>
        <v>INICIALIZADO</v>
      </c>
      <c r="G2402" s="23">
        <f>IFERROR(__xludf.DUMMYFUNCTION("""COMPUTED_VALUE"""),45635.534953703704)</f>
        <v>45635.53495</v>
      </c>
      <c r="H2402" s="24" t="str">
        <f>IFERROR(VLOOKUP(B2402,material!A:D,3,0),"")</f>
        <v>CARD</v>
      </c>
    </row>
    <row r="2403" ht="11.25" customHeight="1">
      <c r="A2403" s="21" t="str">
        <f>IFERROR(__xludf.DUMMYFUNCTION("""COMPUTED_VALUE"""),"DECODER DIGITAL HD DXC5000 2T")</f>
        <v>DECODER DIGITAL HD DXC5000 2T</v>
      </c>
      <c r="B2403" s="22">
        <f>IFERROR(__xludf.DUMMYFUNCTION("""COMPUTED_VALUE"""),4.1001277E7)</f>
        <v>41001277</v>
      </c>
      <c r="C2403" s="21" t="str">
        <f>IFERROR(__xludf.DUMMYFUNCTION("""COMPUTED_VALUE"""),"216463874450")</f>
        <v>216463874450</v>
      </c>
      <c r="D2403" s="21" t="str">
        <f>IFERROR(__xludf.DUMMYFUNCTION("""COMPUTED_VALUE"""),"DIGITEC TECNOLOGIA DIGITAL E REPRES")</f>
        <v>DIGITEC TECNOLOGIA DIGITAL E REPRES</v>
      </c>
      <c r="E2403" s="21">
        <f>IFERROR(__xludf.DUMMYFUNCTION("""COMPUTED_VALUE"""),145359.0)</f>
        <v>145359</v>
      </c>
      <c r="F2403" s="21" t="str">
        <f>IFERROR(__xludf.DUMMYFUNCTION("""COMPUTED_VALUE"""),"INICIALIZADO")</f>
        <v>INICIALIZADO</v>
      </c>
      <c r="G2403" s="23">
        <f>IFERROR(__xludf.DUMMYFUNCTION("""COMPUTED_VALUE"""),45617.498715277776)</f>
        <v>45617.49872</v>
      </c>
      <c r="H2403" s="24" t="str">
        <f>IFERROR(VLOOKUP(B2403,material!A:D,3,0),"")</f>
        <v>TOP MIX</v>
      </c>
    </row>
    <row r="2404" ht="11.25" customHeight="1">
      <c r="A2404" s="21" t="str">
        <f>IFERROR(__xludf.DUMMYFUNCTION("""COMPUTED_VALUE"""),"SMART CARD PRETO NAGRA")</f>
        <v>SMART CARD PRETO NAGRA</v>
      </c>
      <c r="B2404" s="22">
        <f>IFERROR(__xludf.DUMMYFUNCTION("""COMPUTED_VALUE"""),4.1001234E7)</f>
        <v>41001234</v>
      </c>
      <c r="C2404" s="21" t="str">
        <f>IFERROR(__xludf.DUMMYFUNCTION("""COMPUTED_VALUE"""),"246269148291")</f>
        <v>246269148291</v>
      </c>
      <c r="D2404" s="21" t="str">
        <f>IFERROR(__xludf.DUMMYFUNCTION("""COMPUTED_VALUE"""),"DIGITEC TECNOLOGIA DIGITAL E REPRES")</f>
        <v>DIGITEC TECNOLOGIA DIGITAL E REPRES</v>
      </c>
      <c r="E2404" s="21">
        <f>IFERROR(__xludf.DUMMYFUNCTION("""COMPUTED_VALUE"""),145359.0)</f>
        <v>145359</v>
      </c>
      <c r="F2404" s="21" t="str">
        <f>IFERROR(__xludf.DUMMYFUNCTION("""COMPUTED_VALUE"""),"INICIALIZADO")</f>
        <v>INICIALIZADO</v>
      </c>
      <c r="G2404" s="23">
        <f>IFERROR(__xludf.DUMMYFUNCTION("""COMPUTED_VALUE"""),45635.53491898148)</f>
        <v>45635.53492</v>
      </c>
      <c r="H2404" s="24" t="str">
        <f>IFERROR(VLOOKUP(B2404,material!A:D,3,0),"")</f>
        <v>CARD</v>
      </c>
    </row>
    <row r="2405" ht="11.25" customHeight="1">
      <c r="A2405" s="21" t="str">
        <f>IFERROR(__xludf.DUMMYFUNCTION("""COMPUTED_VALUE"""),"DECODER DIGITAL HD HNB100 2T")</f>
        <v>DECODER DIGITAL HD HNB100 2T</v>
      </c>
      <c r="B2405" s="22">
        <f>IFERROR(__xludf.DUMMYFUNCTION("""COMPUTED_VALUE"""),4.1001276E7)</f>
        <v>41001276</v>
      </c>
      <c r="C2405" s="21" t="str">
        <f>IFERROR(__xludf.DUMMYFUNCTION("""COMPUTED_VALUE"""),"216818786169")</f>
        <v>216818786169</v>
      </c>
      <c r="D2405" s="21" t="str">
        <f>IFERROR(__xludf.DUMMYFUNCTION("""COMPUTED_VALUE"""),"DIGITEC TECNOLOGIA DIGITAL E REPRES")</f>
        <v>DIGITEC TECNOLOGIA DIGITAL E REPRES</v>
      </c>
      <c r="E2405" s="21">
        <f>IFERROR(__xludf.DUMMYFUNCTION("""COMPUTED_VALUE"""),145359.0)</f>
        <v>145359</v>
      </c>
      <c r="F2405" s="21" t="str">
        <f>IFERROR(__xludf.DUMMYFUNCTION("""COMPUTED_VALUE"""),"TRANSITO REVERSA")</f>
        <v>TRANSITO REVERSA</v>
      </c>
      <c r="G2405" s="23">
        <f>IFERROR(__xludf.DUMMYFUNCTION("""COMPUTED_VALUE"""),45610.730416666665)</f>
        <v>45610.73042</v>
      </c>
      <c r="H2405" s="24" t="str">
        <f>IFERROR(VLOOKUP(B2405,material!A:D,3,0),"")</f>
        <v>TOP MIX</v>
      </c>
    </row>
    <row r="2406" ht="11.25" customHeight="1">
      <c r="A2406" s="21" t="str">
        <f>IFERROR(__xludf.DUMMYFUNCTION("""COMPUTED_VALUE"""),"SMART CARD LARANJA NAGRA")</f>
        <v>SMART CARD LARANJA NAGRA</v>
      </c>
      <c r="B2406" s="22">
        <f>IFERROR(__xludf.DUMMYFUNCTION("""COMPUTED_VALUE"""),4.1001186E7)</f>
        <v>41001186</v>
      </c>
      <c r="C2406" s="21" t="str">
        <f>IFERROR(__xludf.DUMMYFUNCTION("""COMPUTED_VALUE"""),"226633453251")</f>
        <v>226633453251</v>
      </c>
      <c r="D2406" s="21" t="str">
        <f>IFERROR(__xludf.DUMMYFUNCTION("""COMPUTED_VALUE"""),"DIGITEC TECNOLOGIA DIGITAL E REPRES")</f>
        <v>DIGITEC TECNOLOGIA DIGITAL E REPRES</v>
      </c>
      <c r="E2406" s="21">
        <f>IFERROR(__xludf.DUMMYFUNCTION("""COMPUTED_VALUE"""),145359.0)</f>
        <v>145359</v>
      </c>
      <c r="F2406" s="21" t="str">
        <f>IFERROR(__xludf.DUMMYFUNCTION("""COMPUTED_VALUE"""),"SUCATA")</f>
        <v>SUCATA</v>
      </c>
      <c r="G2406" s="23">
        <f>IFERROR(__xludf.DUMMYFUNCTION("""COMPUTED_VALUE"""),45075.59909722222)</f>
        <v>45075.5991</v>
      </c>
      <c r="H2406" s="24" t="str">
        <f>IFERROR(VLOOKUP(B2406,material!A:D,3,0),"")</f>
        <v>CARD</v>
      </c>
    </row>
    <row r="2407" ht="11.25" customHeight="1">
      <c r="A2407" s="21" t="str">
        <f>IFERROR(__xludf.DUMMYFUNCTION("""COMPUTED_VALUE"""),"HUMAX HGB10R-02")</f>
        <v>HUMAX HGB10R-02</v>
      </c>
      <c r="B2407" s="22">
        <f>IFERROR(__xludf.DUMMYFUNCTION("""COMPUTED_VALUE"""),4.1001292E7)</f>
        <v>41001292</v>
      </c>
      <c r="C2407" s="21" t="str">
        <f>IFERROR(__xludf.DUMMYFUNCTION("""COMPUTED_VALUE"""),"E820E255B249")</f>
        <v>E820E255B249</v>
      </c>
      <c r="D2407" s="21" t="str">
        <f>IFERROR(__xludf.DUMMYFUNCTION("""COMPUTED_VALUE"""),"DIGITEC TECNOLOGIA DIGITAL E REPRES")</f>
        <v>DIGITEC TECNOLOGIA DIGITAL E REPRES</v>
      </c>
      <c r="E2407" s="21">
        <f>IFERROR(__xludf.DUMMYFUNCTION("""COMPUTED_VALUE"""),145359.0)</f>
        <v>145359</v>
      </c>
      <c r="F2407" s="21" t="str">
        <f>IFERROR(__xludf.DUMMYFUNCTION("""COMPUTED_VALUE"""),"TRANSITO REVERSA")</f>
        <v>TRANSITO REVERSA</v>
      </c>
      <c r="G2407" s="23">
        <f>IFERROR(__xludf.DUMMYFUNCTION("""COMPUTED_VALUE"""),45626.29871527778)</f>
        <v>45626.29872</v>
      </c>
      <c r="H2407" s="24" t="str">
        <f>IFERROR(VLOOKUP(B2407,material!A:D,3,0),"")</f>
        <v>DUAL</v>
      </c>
    </row>
    <row r="2408" ht="11.25" customHeight="1">
      <c r="A2408" s="21" t="str">
        <f>IFERROR(__xludf.DUMMYFUNCTION("""COMPUTED_VALUE"""),"HUMAX HG100R-L4")</f>
        <v>HUMAX HG100R-L4</v>
      </c>
      <c r="B2408" s="22">
        <f>IFERROR(__xludf.DUMMYFUNCTION("""COMPUTED_VALUE"""),4.1001288E7)</f>
        <v>41001288</v>
      </c>
      <c r="C2408" s="21" t="str">
        <f>IFERROR(__xludf.DUMMYFUNCTION("""COMPUTED_VALUE"""),"4CD08ACCA594")</f>
        <v>4CD08ACCA594</v>
      </c>
      <c r="D2408" s="21" t="str">
        <f>IFERROR(__xludf.DUMMYFUNCTION("""COMPUTED_VALUE"""),"DIGITEC TECNOLOGIA DIGITAL E REPRES")</f>
        <v>DIGITEC TECNOLOGIA DIGITAL E REPRES</v>
      </c>
      <c r="E2408" s="21">
        <f>IFERROR(__xludf.DUMMYFUNCTION("""COMPUTED_VALUE"""),145359.0)</f>
        <v>145359</v>
      </c>
      <c r="F2408" s="21" t="str">
        <f>IFERROR(__xludf.DUMMYFUNCTION("""COMPUTED_VALUE"""),"INICIALIZADO")</f>
        <v>INICIALIZADO</v>
      </c>
      <c r="G2408" s="23">
        <f>IFERROR(__xludf.DUMMYFUNCTION("""COMPUTED_VALUE"""),44999.92971064815)</f>
        <v>44999.92971</v>
      </c>
      <c r="H2408" s="24" t="str">
        <f>IFERROR(VLOOKUP(B2408,material!A:D,3,0),"")</f>
        <v>SINGLE</v>
      </c>
    </row>
    <row r="2409" ht="11.25" customHeight="1">
      <c r="A2409" s="21" t="str">
        <f>IFERROR(__xludf.DUMMYFUNCTION("""COMPUTED_VALUE"""),"DECODER DIGITAL HD DXC5000 2T")</f>
        <v>DECODER DIGITAL HD DXC5000 2T</v>
      </c>
      <c r="B2409" s="22">
        <f>IFERROR(__xludf.DUMMYFUNCTION("""COMPUTED_VALUE"""),4.1001277E7)</f>
        <v>41001277</v>
      </c>
      <c r="C2409" s="21" t="str">
        <f>IFERROR(__xludf.DUMMYFUNCTION("""COMPUTED_VALUE"""),"216586922935")</f>
        <v>216586922935</v>
      </c>
      <c r="D2409" s="21" t="str">
        <f>IFERROR(__xludf.DUMMYFUNCTION("""COMPUTED_VALUE"""),"DIGITEC TECNOLOGIA DIGITAL E REPRES")</f>
        <v>DIGITEC TECNOLOGIA DIGITAL E REPRES</v>
      </c>
      <c r="E2409" s="21">
        <f>IFERROR(__xludf.DUMMYFUNCTION("""COMPUTED_VALUE"""),145359.0)</f>
        <v>145359</v>
      </c>
      <c r="F2409" s="21" t="str">
        <f>IFERROR(__xludf.DUMMYFUNCTION("""COMPUTED_VALUE"""),"INICIALIZADO")</f>
        <v>INICIALIZADO</v>
      </c>
      <c r="G2409" s="23">
        <f>IFERROR(__xludf.DUMMYFUNCTION("""COMPUTED_VALUE"""),45594.647939814815)</f>
        <v>45594.64794</v>
      </c>
      <c r="H2409" s="24" t="str">
        <f>IFERROR(VLOOKUP(B2409,material!A:D,3,0),"")</f>
        <v>TOP MIX</v>
      </c>
    </row>
    <row r="2410" ht="11.25" customHeight="1">
      <c r="A2410" s="21" t="str">
        <f>IFERROR(__xludf.DUMMYFUNCTION("""COMPUTED_VALUE"""),"DECODER DIGITAL HD HNB100 2T")</f>
        <v>DECODER DIGITAL HD HNB100 2T</v>
      </c>
      <c r="B2410" s="22">
        <f>IFERROR(__xludf.DUMMYFUNCTION("""COMPUTED_VALUE"""),4.1001276E7)</f>
        <v>41001276</v>
      </c>
      <c r="C2410" s="21" t="str">
        <f>IFERROR(__xludf.DUMMYFUNCTION("""COMPUTED_VALUE"""),"216619713554")</f>
        <v>216619713554</v>
      </c>
      <c r="D2410" s="21" t="str">
        <f>IFERROR(__xludf.DUMMYFUNCTION("""COMPUTED_VALUE"""),"DIGITEC TECNOLOGIA DIGITAL E REPRES")</f>
        <v>DIGITEC TECNOLOGIA DIGITAL E REPRES</v>
      </c>
      <c r="E2410" s="21">
        <f>IFERROR(__xludf.DUMMYFUNCTION("""COMPUTED_VALUE"""),145359.0)</f>
        <v>145359</v>
      </c>
      <c r="F2410" s="21" t="str">
        <f>IFERROR(__xludf.DUMMYFUNCTION("""COMPUTED_VALUE"""),"INICIALIZADO")</f>
        <v>INICIALIZADO</v>
      </c>
      <c r="G2410" s="23">
        <f>IFERROR(__xludf.DUMMYFUNCTION("""COMPUTED_VALUE"""),45635.53506944445)</f>
        <v>45635.53507</v>
      </c>
      <c r="H2410" s="24" t="str">
        <f>IFERROR(VLOOKUP(B2410,material!A:D,3,0),"")</f>
        <v>TOP MIX</v>
      </c>
    </row>
    <row r="2411" ht="11.25" customHeight="1">
      <c r="A2411" s="21" t="str">
        <f>IFERROR(__xludf.DUMMYFUNCTION("""COMPUTED_VALUE"""),"SMART CARD PRETO NAGRA")</f>
        <v>SMART CARD PRETO NAGRA</v>
      </c>
      <c r="B2411" s="22">
        <f>IFERROR(__xludf.DUMMYFUNCTION("""COMPUTED_VALUE"""),4.1001234E7)</f>
        <v>41001234</v>
      </c>
      <c r="C2411" s="21" t="str">
        <f>IFERROR(__xludf.DUMMYFUNCTION("""COMPUTED_VALUE"""),"246315473352")</f>
        <v>246315473352</v>
      </c>
      <c r="D2411" s="21" t="str">
        <f>IFERROR(__xludf.DUMMYFUNCTION("""COMPUTED_VALUE"""),"DIGITEC TECNOLOGIA DIGITAL E REPRES")</f>
        <v>DIGITEC TECNOLOGIA DIGITAL E REPRES</v>
      </c>
      <c r="E2411" s="21">
        <f>IFERROR(__xludf.DUMMYFUNCTION("""COMPUTED_VALUE"""),145359.0)</f>
        <v>145359</v>
      </c>
      <c r="F2411" s="21" t="str">
        <f>IFERROR(__xludf.DUMMYFUNCTION("""COMPUTED_VALUE"""),"SUSPEITO")</f>
        <v>SUSPEITO</v>
      </c>
      <c r="G2411" s="23">
        <f>IFERROR(__xludf.DUMMYFUNCTION("""COMPUTED_VALUE"""),45629.731307870374)</f>
        <v>45629.73131</v>
      </c>
      <c r="H2411" s="24" t="str">
        <f>IFERROR(VLOOKUP(B2411,material!A:D,3,0),"")</f>
        <v>CARD</v>
      </c>
    </row>
    <row r="2412" ht="11.25" customHeight="1">
      <c r="A2412" s="21" t="str">
        <f>IFERROR(__xludf.DUMMYFUNCTION("""COMPUTED_VALUE"""),"SMART CARD PRETO NAGRA")</f>
        <v>SMART CARD PRETO NAGRA</v>
      </c>
      <c r="B2412" s="22">
        <f>IFERROR(__xludf.DUMMYFUNCTION("""COMPUTED_VALUE"""),4.1001234E7)</f>
        <v>41001234</v>
      </c>
      <c r="C2412" s="21" t="str">
        <f>IFERROR(__xludf.DUMMYFUNCTION("""COMPUTED_VALUE"""),"246285607901")</f>
        <v>246285607901</v>
      </c>
      <c r="D2412" s="21" t="str">
        <f>IFERROR(__xludf.DUMMYFUNCTION("""COMPUTED_VALUE"""),"DIGITEC TECNOLOGIA DIGITAL E REPRES")</f>
        <v>DIGITEC TECNOLOGIA DIGITAL E REPRES</v>
      </c>
      <c r="E2412" s="21">
        <f>IFERROR(__xludf.DUMMYFUNCTION("""COMPUTED_VALUE"""),145359.0)</f>
        <v>145359</v>
      </c>
      <c r="F2412" s="21" t="str">
        <f>IFERROR(__xludf.DUMMYFUNCTION("""COMPUTED_VALUE"""),"TRANSITO REVERSA")</f>
        <v>TRANSITO REVERSA</v>
      </c>
      <c r="G2412" s="23">
        <f>IFERROR(__xludf.DUMMYFUNCTION("""COMPUTED_VALUE"""),45373.627488425926)</f>
        <v>45373.62749</v>
      </c>
      <c r="H2412" s="24" t="str">
        <f>IFERROR(VLOOKUP(B2412,material!A:D,3,0),"")</f>
        <v>CARD</v>
      </c>
    </row>
    <row r="2413" ht="11.25" customHeight="1">
      <c r="A2413" s="21" t="str">
        <f>IFERROR(__xludf.DUMMYFUNCTION("""COMPUTED_VALUE"""),"MODEM VOIP EMTA WIFI 3.1 TC3102 32X8")</f>
        <v>MODEM VOIP EMTA WIFI 3.1 TC3102 32X8</v>
      </c>
      <c r="B2413" s="22">
        <f>IFERROR(__xludf.DUMMYFUNCTION("""COMPUTED_VALUE"""),4.1001513E7)</f>
        <v>41001513</v>
      </c>
      <c r="C2413" s="21" t="str">
        <f>IFERROR(__xludf.DUMMYFUNCTION("""COMPUTED_VALUE"""),"08A7C0775A84")</f>
        <v>08A7C0775A84</v>
      </c>
      <c r="D2413" s="21" t="str">
        <f>IFERROR(__xludf.DUMMYFUNCTION("""COMPUTED_VALUE"""),"DIGITEC TECNOLOGIA DIGITAL E REPRES")</f>
        <v>DIGITEC TECNOLOGIA DIGITAL E REPRES</v>
      </c>
      <c r="E2413" s="21">
        <f>IFERROR(__xludf.DUMMYFUNCTION("""COMPUTED_VALUE"""),145359.0)</f>
        <v>145359</v>
      </c>
      <c r="F2413" s="21" t="str">
        <f>IFERROR(__xludf.DUMMYFUNCTION("""COMPUTED_VALUE"""),"TRANSITO REVERSA")</f>
        <v>TRANSITO REVERSA</v>
      </c>
      <c r="G2413" s="23">
        <f>IFERROR(__xludf.DUMMYFUNCTION("""COMPUTED_VALUE"""),45633.00336805556)</f>
        <v>45633.00337</v>
      </c>
      <c r="H2413" s="24" t="str">
        <f>IFERROR(VLOOKUP(B2413,material!A:D,3,0),"")</f>
        <v>3.1</v>
      </c>
    </row>
    <row r="2414" ht="11.25" customHeight="1">
      <c r="A2414" s="21" t="str">
        <f>IFERROR(__xludf.DUMMYFUNCTION("""COMPUTED_VALUE"""),"MODEM VOIP EMTA WIFI 3.1 FAST3895")</f>
        <v>MODEM VOIP EMTA WIFI 3.1 FAST3895</v>
      </c>
      <c r="B2414" s="22">
        <f>IFERROR(__xludf.DUMMYFUNCTION("""COMPUTED_VALUE"""),4.1001504E7)</f>
        <v>41001504</v>
      </c>
      <c r="C2414" s="21" t="str">
        <f>IFERROR(__xludf.DUMMYFUNCTION("""COMPUTED_VALUE"""),"44D4546BA1FC")</f>
        <v>44D4546BA1FC</v>
      </c>
      <c r="D2414" s="21" t="str">
        <f>IFERROR(__xludf.DUMMYFUNCTION("""COMPUTED_VALUE"""),"DIGITEC TECNOLOGIA DIGITAL E REPRES")</f>
        <v>DIGITEC TECNOLOGIA DIGITAL E REPRES</v>
      </c>
      <c r="E2414" s="21">
        <f>IFERROR(__xludf.DUMMYFUNCTION("""COMPUTED_VALUE"""),145359.0)</f>
        <v>145359</v>
      </c>
      <c r="F2414" s="21" t="str">
        <f>IFERROR(__xludf.DUMMYFUNCTION("""COMPUTED_VALUE"""),"INICIALIZADO")</f>
        <v>INICIALIZADO</v>
      </c>
      <c r="G2414" s="23">
        <f>IFERROR(__xludf.DUMMYFUNCTION("""COMPUTED_VALUE"""),45628.35653935185)</f>
        <v>45628.35654</v>
      </c>
      <c r="H2414" s="24" t="str">
        <f>IFERROR(VLOOKUP(B2414,material!A:D,3,0),"")</f>
        <v>3.1</v>
      </c>
    </row>
    <row r="2415" ht="11.25" customHeight="1">
      <c r="A2415" s="21" t="str">
        <f>IFERROR(__xludf.DUMMYFUNCTION("""COMPUTED_VALUE"""),"SMART CARD PRETO NAGRA")</f>
        <v>SMART CARD PRETO NAGRA</v>
      </c>
      <c r="B2415" s="22">
        <f>IFERROR(__xludf.DUMMYFUNCTION("""COMPUTED_VALUE"""),4.1001234E7)</f>
        <v>41001234</v>
      </c>
      <c r="C2415" s="21" t="str">
        <f>IFERROR(__xludf.DUMMYFUNCTION("""COMPUTED_VALUE"""),"226190299394")</f>
        <v>226190299394</v>
      </c>
      <c r="D2415" s="21" t="str">
        <f>IFERROR(__xludf.DUMMYFUNCTION("""COMPUTED_VALUE"""),"DIGITEC TECNOLOGIA DIGITAL E REPRES")</f>
        <v>DIGITEC TECNOLOGIA DIGITAL E REPRES</v>
      </c>
      <c r="E2415" s="21">
        <f>IFERROR(__xludf.DUMMYFUNCTION("""COMPUTED_VALUE"""),145359.0)</f>
        <v>145359</v>
      </c>
      <c r="F2415" s="21" t="str">
        <f>IFERROR(__xludf.DUMMYFUNCTION("""COMPUTED_VALUE"""),"TRANSITO REVERSA")</f>
        <v>TRANSITO REVERSA</v>
      </c>
      <c r="G2415" s="23">
        <f>IFERROR(__xludf.DUMMYFUNCTION("""COMPUTED_VALUE"""),45617.87143518518)</f>
        <v>45617.87144</v>
      </c>
      <c r="H2415" s="24" t="str">
        <f>IFERROR(VLOOKUP(B2415,material!A:D,3,0),"")</f>
        <v>CARD</v>
      </c>
    </row>
    <row r="2416" ht="11.25" customHeight="1">
      <c r="A2416" s="21" t="str">
        <f>IFERROR(__xludf.DUMMYFUNCTION("""COMPUTED_VALUE"""),"MODEM VOIPEMTA WIFI 3.1 CGA4233CLB")</f>
        <v>MODEM VOIPEMTA WIFI 3.1 CGA4233CLB</v>
      </c>
      <c r="B2416" s="22">
        <f>IFERROR(__xludf.DUMMYFUNCTION("""COMPUTED_VALUE"""),4.1001482E7)</f>
        <v>41001482</v>
      </c>
      <c r="C2416" s="21" t="str">
        <f>IFERROR(__xludf.DUMMYFUNCTION("""COMPUTED_VALUE"""),"484BD48F0414")</f>
        <v>484BD48F0414</v>
      </c>
      <c r="D2416" s="21" t="str">
        <f>IFERROR(__xludf.DUMMYFUNCTION("""COMPUTED_VALUE"""),"DIGITEC TECNOLOGIA DIGITAL E REPRES")</f>
        <v>DIGITEC TECNOLOGIA DIGITAL E REPRES</v>
      </c>
      <c r="E2416" s="21">
        <f>IFERROR(__xludf.DUMMYFUNCTION("""COMPUTED_VALUE"""),145359.0)</f>
        <v>145359</v>
      </c>
      <c r="F2416" s="21" t="str">
        <f>IFERROR(__xludf.DUMMYFUNCTION("""COMPUTED_VALUE"""),"TRANSITO REVERSA")</f>
        <v>TRANSITO REVERSA</v>
      </c>
      <c r="G2416" s="23">
        <f>IFERROR(__xludf.DUMMYFUNCTION("""COMPUTED_VALUE"""),45633.00341435186)</f>
        <v>45633.00341</v>
      </c>
      <c r="H2416" s="24" t="str">
        <f>IFERROR(VLOOKUP(B2416,material!A:D,3,0),"")</f>
        <v>3.1</v>
      </c>
    </row>
    <row r="2417" ht="11.25" customHeight="1">
      <c r="A2417" s="21" t="str">
        <f>IFERROR(__xludf.DUMMYFUNCTION("""COMPUTED_VALUE"""),"DECODER HD THDC4")</f>
        <v>DECODER HD THDC4</v>
      </c>
      <c r="B2417" s="22">
        <f>IFERROR(__xludf.DUMMYFUNCTION("""COMPUTED_VALUE"""),4.1001047E7)</f>
        <v>41001047</v>
      </c>
      <c r="C2417" s="21" t="str">
        <f>IFERROR(__xludf.DUMMYFUNCTION("""COMPUTED_VALUE"""),"229748683946")</f>
        <v>229748683946</v>
      </c>
      <c r="D2417" s="21" t="str">
        <f>IFERROR(__xludf.DUMMYFUNCTION("""COMPUTED_VALUE"""),"DIGITEC TECNOLOGIA DIGITAL E REPRES")</f>
        <v>DIGITEC TECNOLOGIA DIGITAL E REPRES</v>
      </c>
      <c r="E2417" s="21">
        <f>IFERROR(__xludf.DUMMYFUNCTION("""COMPUTED_VALUE"""),145359.0)</f>
        <v>145359</v>
      </c>
      <c r="F2417" s="21" t="str">
        <f>IFERROR(__xludf.DUMMYFUNCTION("""COMPUTED_VALUE"""),"TRANSITO REVERSA")</f>
        <v>TRANSITO REVERSA</v>
      </c>
      <c r="G2417" s="23">
        <f>IFERROR(__xludf.DUMMYFUNCTION("""COMPUTED_VALUE"""),45638.520625000005)</f>
        <v>45638.52063</v>
      </c>
      <c r="H2417" s="24" t="str">
        <f>IFERROR(VLOOKUP(B2417,material!A:D,3,0),"")</f>
        <v>TOP MIX</v>
      </c>
    </row>
    <row r="2418" ht="11.25" customHeight="1">
      <c r="A2418" s="21" t="str">
        <f>IFERROR(__xludf.DUMMYFUNCTION("""COMPUTED_VALUE"""),"SMART SIM CARD NAGRA")</f>
        <v>SMART SIM CARD NAGRA</v>
      </c>
      <c r="B2418" s="22">
        <f>IFERROR(__xludf.DUMMYFUNCTION("""COMPUTED_VALUE"""),4.1000805E7)</f>
        <v>41000805</v>
      </c>
      <c r="C2418" s="21" t="str">
        <f>IFERROR(__xludf.DUMMYFUNCTION("""COMPUTED_VALUE"""),"246552012632")</f>
        <v>246552012632</v>
      </c>
      <c r="D2418" s="21" t="str">
        <f>IFERROR(__xludf.DUMMYFUNCTION("""COMPUTED_VALUE"""),"DIGITEC TECNOLOGIA DIGITAL E REPRES")</f>
        <v>DIGITEC TECNOLOGIA DIGITAL E REPRES</v>
      </c>
      <c r="E2418" s="21">
        <f>IFERROR(__xludf.DUMMYFUNCTION("""COMPUTED_VALUE"""),145359.0)</f>
        <v>145359</v>
      </c>
      <c r="F2418" s="21" t="str">
        <f>IFERROR(__xludf.DUMMYFUNCTION("""COMPUTED_VALUE"""),"TRANSITO REVERSA")</f>
        <v>TRANSITO REVERSA</v>
      </c>
      <c r="G2418" s="23">
        <f>IFERROR(__xludf.DUMMYFUNCTION("""COMPUTED_VALUE"""),45638.52112268518)</f>
        <v>45638.52112</v>
      </c>
      <c r="H2418" s="24" t="str">
        <f>IFERROR(VLOOKUP(B2418,material!A:D,3,0),"")</f>
        <v>SIM CARD</v>
      </c>
    </row>
    <row r="2419" ht="11.25" customHeight="1">
      <c r="A2419" s="21" t="str">
        <f>IFERROR(__xludf.DUMMYFUNCTION("""COMPUTED_VALUE"""),"DECODER DIGITAL HD DXC5000 2T")</f>
        <v>DECODER DIGITAL HD DXC5000 2T</v>
      </c>
      <c r="B2419" s="22">
        <f>IFERROR(__xludf.DUMMYFUNCTION("""COMPUTED_VALUE"""),4.1001277E7)</f>
        <v>41001277</v>
      </c>
      <c r="C2419" s="21" t="str">
        <f>IFERROR(__xludf.DUMMYFUNCTION("""COMPUTED_VALUE"""),"216786728002")</f>
        <v>216786728002</v>
      </c>
      <c r="D2419" s="21" t="str">
        <f>IFERROR(__xludf.DUMMYFUNCTION("""COMPUTED_VALUE"""),"DIGITEC TECNOLOGIA DIGITAL E REPRES")</f>
        <v>DIGITEC TECNOLOGIA DIGITAL E REPRES</v>
      </c>
      <c r="E2419" s="21">
        <f>IFERROR(__xludf.DUMMYFUNCTION("""COMPUTED_VALUE"""),145359.0)</f>
        <v>145359</v>
      </c>
      <c r="F2419" s="21" t="str">
        <f>IFERROR(__xludf.DUMMYFUNCTION("""COMPUTED_VALUE"""),"TRANSITO REVERSA")</f>
        <v>TRANSITO REVERSA</v>
      </c>
      <c r="G2419" s="23">
        <f>IFERROR(__xludf.DUMMYFUNCTION("""COMPUTED_VALUE"""),45638.520648148144)</f>
        <v>45638.52065</v>
      </c>
      <c r="H2419" s="24" t="str">
        <f>IFERROR(VLOOKUP(B2419,material!A:D,3,0),"")</f>
        <v>TOP MIX</v>
      </c>
    </row>
    <row r="2420" ht="11.25" customHeight="1">
      <c r="A2420" s="21" t="str">
        <f>IFERROR(__xludf.DUMMYFUNCTION("""COMPUTED_VALUE"""),"DECODER DIGITAL HD DXC5000 2T")</f>
        <v>DECODER DIGITAL HD DXC5000 2T</v>
      </c>
      <c r="B2420" s="22">
        <f>IFERROR(__xludf.DUMMYFUNCTION("""COMPUTED_VALUE"""),4.1001277E7)</f>
        <v>41001277</v>
      </c>
      <c r="C2420" s="21" t="str">
        <f>IFERROR(__xludf.DUMMYFUNCTION("""COMPUTED_VALUE"""),"216786457896")</f>
        <v>216786457896</v>
      </c>
      <c r="D2420" s="21" t="str">
        <f>IFERROR(__xludf.DUMMYFUNCTION("""COMPUTED_VALUE"""),"DIGITEC TECNOLOGIA DIGITAL E REPRES")</f>
        <v>DIGITEC TECNOLOGIA DIGITAL E REPRES</v>
      </c>
      <c r="E2420" s="21">
        <f>IFERROR(__xludf.DUMMYFUNCTION("""COMPUTED_VALUE"""),145359.0)</f>
        <v>145359</v>
      </c>
      <c r="F2420" s="21" t="str">
        <f>IFERROR(__xludf.DUMMYFUNCTION("""COMPUTED_VALUE"""),"TRANSITO REVERSA")</f>
        <v>TRANSITO REVERSA</v>
      </c>
      <c r="G2420" s="23">
        <f>IFERROR(__xludf.DUMMYFUNCTION("""COMPUTED_VALUE"""),45638.520648148144)</f>
        <v>45638.52065</v>
      </c>
      <c r="H2420" s="24" t="str">
        <f>IFERROR(VLOOKUP(B2420,material!A:D,3,0),"")</f>
        <v>TOP MIX</v>
      </c>
    </row>
    <row r="2421" ht="11.25" customHeight="1">
      <c r="A2421" s="21" t="str">
        <f>IFERROR(__xludf.DUMMYFUNCTION("""COMPUTED_VALUE"""),"DECODER DIGITAL HD DXC5000 2T")</f>
        <v>DECODER DIGITAL HD DXC5000 2T</v>
      </c>
      <c r="B2421" s="22">
        <f>IFERROR(__xludf.DUMMYFUNCTION("""COMPUTED_VALUE"""),4.1001277E7)</f>
        <v>41001277</v>
      </c>
      <c r="C2421" s="21" t="str">
        <f>IFERROR(__xludf.DUMMYFUNCTION("""COMPUTED_VALUE"""),"216786575562")</f>
        <v>216786575562</v>
      </c>
      <c r="D2421" s="21" t="str">
        <f>IFERROR(__xludf.DUMMYFUNCTION("""COMPUTED_VALUE"""),"DIGITEC TECNOLOGIA DIGITAL E REPRES")</f>
        <v>DIGITEC TECNOLOGIA DIGITAL E REPRES</v>
      </c>
      <c r="E2421" s="21">
        <f>IFERROR(__xludf.DUMMYFUNCTION("""COMPUTED_VALUE"""),145359.0)</f>
        <v>145359</v>
      </c>
      <c r="F2421" s="21" t="str">
        <f>IFERROR(__xludf.DUMMYFUNCTION("""COMPUTED_VALUE"""),"TRANSITO REVERSA")</f>
        <v>TRANSITO REVERSA</v>
      </c>
      <c r="G2421" s="23">
        <f>IFERROR(__xludf.DUMMYFUNCTION("""COMPUTED_VALUE"""),45633.00399305555)</f>
        <v>45633.00399</v>
      </c>
      <c r="H2421" s="24" t="str">
        <f>IFERROR(VLOOKUP(B2421,material!A:D,3,0),"")</f>
        <v>TOP MIX</v>
      </c>
    </row>
    <row r="2422" ht="11.25" customHeight="1">
      <c r="A2422" s="21" t="str">
        <f>IFERROR(__xludf.DUMMYFUNCTION("""COMPUTED_VALUE"""),"DECODER DIGITAL HD DXC5000 2T")</f>
        <v>DECODER DIGITAL HD DXC5000 2T</v>
      </c>
      <c r="B2422" s="22">
        <f>IFERROR(__xludf.DUMMYFUNCTION("""COMPUTED_VALUE"""),4.1001277E7)</f>
        <v>41001277</v>
      </c>
      <c r="C2422" s="21" t="str">
        <f>IFERROR(__xludf.DUMMYFUNCTION("""COMPUTED_VALUE"""),"216806201429")</f>
        <v>216806201429</v>
      </c>
      <c r="D2422" s="21" t="str">
        <f>IFERROR(__xludf.DUMMYFUNCTION("""COMPUTED_VALUE"""),"DIGITEC TECNOLOGIA DIGITAL E REPRES")</f>
        <v>DIGITEC TECNOLOGIA DIGITAL E REPRES</v>
      </c>
      <c r="E2422" s="21">
        <f>IFERROR(__xludf.DUMMYFUNCTION("""COMPUTED_VALUE"""),145359.0)</f>
        <v>145359</v>
      </c>
      <c r="F2422" s="21" t="str">
        <f>IFERROR(__xludf.DUMMYFUNCTION("""COMPUTED_VALUE"""),"TRANSITO REVERSA")</f>
        <v>TRANSITO REVERSA</v>
      </c>
      <c r="G2422" s="23">
        <f>IFERROR(__xludf.DUMMYFUNCTION("""COMPUTED_VALUE"""),45633.00399305555)</f>
        <v>45633.00399</v>
      </c>
      <c r="H2422" s="24" t="str">
        <f>IFERROR(VLOOKUP(B2422,material!A:D,3,0),"")</f>
        <v>TOP MIX</v>
      </c>
    </row>
    <row r="2423" ht="11.25" customHeight="1">
      <c r="A2423" s="21" t="str">
        <f>IFERROR(__xludf.DUMMYFUNCTION("""COMPUTED_VALUE"""),"DECODER DIGITAL HD DXC5000 2T")</f>
        <v>DECODER DIGITAL HD DXC5000 2T</v>
      </c>
      <c r="B2423" s="22">
        <f>IFERROR(__xludf.DUMMYFUNCTION("""COMPUTED_VALUE"""),4.1001277E7)</f>
        <v>41001277</v>
      </c>
      <c r="C2423" s="21" t="str">
        <f>IFERROR(__xludf.DUMMYFUNCTION("""COMPUTED_VALUE"""),"216749564453")</f>
        <v>216749564453</v>
      </c>
      <c r="D2423" s="21" t="str">
        <f>IFERROR(__xludf.DUMMYFUNCTION("""COMPUTED_VALUE"""),"DIGITEC TECNOLOGIA DIGITAL E REPRES")</f>
        <v>DIGITEC TECNOLOGIA DIGITAL E REPRES</v>
      </c>
      <c r="E2423" s="21">
        <f>IFERROR(__xludf.DUMMYFUNCTION("""COMPUTED_VALUE"""),145359.0)</f>
        <v>145359</v>
      </c>
      <c r="F2423" s="21" t="str">
        <f>IFERROR(__xludf.DUMMYFUNCTION("""COMPUTED_VALUE"""),"TRANSITO REVERSA")</f>
        <v>TRANSITO REVERSA</v>
      </c>
      <c r="G2423" s="23">
        <f>IFERROR(__xludf.DUMMYFUNCTION("""COMPUTED_VALUE"""),45633.00396990741)</f>
        <v>45633.00397</v>
      </c>
      <c r="H2423" s="24" t="str">
        <f>IFERROR(VLOOKUP(B2423,material!A:D,3,0),"")</f>
        <v>TOP MIX</v>
      </c>
    </row>
    <row r="2424" ht="11.25" customHeight="1">
      <c r="A2424" s="21" t="str">
        <f>IFERROR(__xludf.DUMMYFUNCTION("""COMPUTED_VALUE"""),"DECODER DIGITAL HD DXC5000 2T")</f>
        <v>DECODER DIGITAL HD DXC5000 2T</v>
      </c>
      <c r="B2424" s="22">
        <f>IFERROR(__xludf.DUMMYFUNCTION("""COMPUTED_VALUE"""),4.1001277E7)</f>
        <v>41001277</v>
      </c>
      <c r="C2424" s="21" t="str">
        <f>IFERROR(__xludf.DUMMYFUNCTION("""COMPUTED_VALUE"""),"216419690913")</f>
        <v>216419690913</v>
      </c>
      <c r="D2424" s="21" t="str">
        <f>IFERROR(__xludf.DUMMYFUNCTION("""COMPUTED_VALUE"""),"DIGITEC TECNOLOGIA DIGITAL E REPRES")</f>
        <v>DIGITEC TECNOLOGIA DIGITAL E REPRES</v>
      </c>
      <c r="E2424" s="21">
        <f>IFERROR(__xludf.DUMMYFUNCTION("""COMPUTED_VALUE"""),145359.0)</f>
        <v>145359</v>
      </c>
      <c r="F2424" s="21" t="str">
        <f>IFERROR(__xludf.DUMMYFUNCTION("""COMPUTED_VALUE"""),"TRANSITO REVERSA")</f>
        <v>TRANSITO REVERSA</v>
      </c>
      <c r="G2424" s="23">
        <f>IFERROR(__xludf.DUMMYFUNCTION("""COMPUTED_VALUE"""),45633.00396990741)</f>
        <v>45633.00397</v>
      </c>
      <c r="H2424" s="24" t="str">
        <f>IFERROR(VLOOKUP(B2424,material!A:D,3,0),"")</f>
        <v>TOP MIX</v>
      </c>
    </row>
    <row r="2425" ht="11.25" customHeight="1">
      <c r="A2425" s="21" t="str">
        <f>IFERROR(__xludf.DUMMYFUNCTION("""COMPUTED_VALUE"""),"DECODER DIGITAL HD DXC5000 2T")</f>
        <v>DECODER DIGITAL HD DXC5000 2T</v>
      </c>
      <c r="B2425" s="22">
        <f>IFERROR(__xludf.DUMMYFUNCTION("""COMPUTED_VALUE"""),4.1001277E7)</f>
        <v>41001277</v>
      </c>
      <c r="C2425" s="21" t="str">
        <f>IFERROR(__xludf.DUMMYFUNCTION("""COMPUTED_VALUE"""),"216675053040")</f>
        <v>216675053040</v>
      </c>
      <c r="D2425" s="21" t="str">
        <f>IFERROR(__xludf.DUMMYFUNCTION("""COMPUTED_VALUE"""),"DIGITEC TECNOLOGIA DIGITAL E REPRES")</f>
        <v>DIGITEC TECNOLOGIA DIGITAL E REPRES</v>
      </c>
      <c r="E2425" s="21">
        <f>IFERROR(__xludf.DUMMYFUNCTION("""COMPUTED_VALUE"""),145359.0)</f>
        <v>145359</v>
      </c>
      <c r="F2425" s="21" t="str">
        <f>IFERROR(__xludf.DUMMYFUNCTION("""COMPUTED_VALUE"""),"TRANSITO REVERSA")</f>
        <v>TRANSITO REVERSA</v>
      </c>
      <c r="G2425" s="23">
        <f>IFERROR(__xludf.DUMMYFUNCTION("""COMPUTED_VALUE"""),45633.0033912037)</f>
        <v>45633.00339</v>
      </c>
      <c r="H2425" s="24" t="str">
        <f>IFERROR(VLOOKUP(B2425,material!A:D,3,0),"")</f>
        <v>TOP MIX</v>
      </c>
    </row>
    <row r="2426" ht="11.25" customHeight="1">
      <c r="A2426" s="21" t="str">
        <f>IFERROR(__xludf.DUMMYFUNCTION("""COMPUTED_VALUE"""),"DECODER DIGITAL HD DXC5000 2T")</f>
        <v>DECODER DIGITAL HD DXC5000 2T</v>
      </c>
      <c r="B2426" s="22">
        <f>IFERROR(__xludf.DUMMYFUNCTION("""COMPUTED_VALUE"""),4.1001277E7)</f>
        <v>41001277</v>
      </c>
      <c r="C2426" s="21" t="str">
        <f>IFERROR(__xludf.DUMMYFUNCTION("""COMPUTED_VALUE"""),"216329388395")</f>
        <v>216329388395</v>
      </c>
      <c r="D2426" s="21" t="str">
        <f>IFERROR(__xludf.DUMMYFUNCTION("""COMPUTED_VALUE"""),"DIGITEC TECNOLOGIA DIGITAL E REPRES")</f>
        <v>DIGITEC TECNOLOGIA DIGITAL E REPRES</v>
      </c>
      <c r="E2426" s="21">
        <f>IFERROR(__xludf.DUMMYFUNCTION("""COMPUTED_VALUE"""),145359.0)</f>
        <v>145359</v>
      </c>
      <c r="F2426" s="21" t="str">
        <f>IFERROR(__xludf.DUMMYFUNCTION("""COMPUTED_VALUE"""),"TRANSITO REVERSA")</f>
        <v>TRANSITO REVERSA</v>
      </c>
      <c r="G2426" s="23">
        <f>IFERROR(__xludf.DUMMYFUNCTION("""COMPUTED_VALUE"""),45633.00398148148)</f>
        <v>45633.00398</v>
      </c>
      <c r="H2426" s="24" t="str">
        <f>IFERROR(VLOOKUP(B2426,material!A:D,3,0),"")</f>
        <v>TOP MIX</v>
      </c>
    </row>
    <row r="2427" ht="11.25" customHeight="1">
      <c r="A2427" s="21" t="str">
        <f>IFERROR(__xludf.DUMMYFUNCTION("""COMPUTED_VALUE"""),"DECODER DIGITAL HD DXC5000 2T")</f>
        <v>DECODER DIGITAL HD DXC5000 2T</v>
      </c>
      <c r="B2427" s="22">
        <f>IFERROR(__xludf.DUMMYFUNCTION("""COMPUTED_VALUE"""),4.1001277E7)</f>
        <v>41001277</v>
      </c>
      <c r="C2427" s="21" t="str">
        <f>IFERROR(__xludf.DUMMYFUNCTION("""COMPUTED_VALUE"""),"216469546283")</f>
        <v>216469546283</v>
      </c>
      <c r="D2427" s="21" t="str">
        <f>IFERROR(__xludf.DUMMYFUNCTION("""COMPUTED_VALUE"""),"DIGITEC TECNOLOGIA DIGITAL E REPRES")</f>
        <v>DIGITEC TECNOLOGIA DIGITAL E REPRES</v>
      </c>
      <c r="E2427" s="21">
        <f>IFERROR(__xludf.DUMMYFUNCTION("""COMPUTED_VALUE"""),145359.0)</f>
        <v>145359</v>
      </c>
      <c r="F2427" s="21" t="str">
        <f>IFERROR(__xludf.DUMMYFUNCTION("""COMPUTED_VALUE"""),"TRANSITO REVERSA")</f>
        <v>TRANSITO REVERSA</v>
      </c>
      <c r="G2427" s="23">
        <f>IFERROR(__xludf.DUMMYFUNCTION("""COMPUTED_VALUE"""),45633.00396990741)</f>
        <v>45633.00397</v>
      </c>
      <c r="H2427" s="24" t="str">
        <f>IFERROR(VLOOKUP(B2427,material!A:D,3,0),"")</f>
        <v>TOP MIX</v>
      </c>
    </row>
    <row r="2428" ht="11.25" customHeight="1">
      <c r="A2428" s="21" t="str">
        <f>IFERROR(__xludf.DUMMYFUNCTION("""COMPUTED_VALUE"""),"SMART CARD PRETO NAGRA")</f>
        <v>SMART CARD PRETO NAGRA</v>
      </c>
      <c r="B2428" s="22">
        <f>IFERROR(__xludf.DUMMYFUNCTION("""COMPUTED_VALUE"""),4.1001234E7)</f>
        <v>41001234</v>
      </c>
      <c r="C2428" s="21" t="str">
        <f>IFERROR(__xludf.DUMMYFUNCTION("""COMPUTED_VALUE"""),"246246120613")</f>
        <v>246246120613</v>
      </c>
      <c r="D2428" s="21" t="str">
        <f>IFERROR(__xludf.DUMMYFUNCTION("""COMPUTED_VALUE"""),"DIGITEC TECNOLOGIA DIGITAL E REPRES")</f>
        <v>DIGITEC TECNOLOGIA DIGITAL E REPRES</v>
      </c>
      <c r="E2428" s="21">
        <f>IFERROR(__xludf.DUMMYFUNCTION("""COMPUTED_VALUE"""),145359.0)</f>
        <v>145359</v>
      </c>
      <c r="F2428" s="21" t="str">
        <f>IFERROR(__xludf.DUMMYFUNCTION("""COMPUTED_VALUE"""),"TRANSITO REVERSA")</f>
        <v>TRANSITO REVERSA</v>
      </c>
      <c r="G2428" s="23">
        <f>IFERROR(__xludf.DUMMYFUNCTION("""COMPUTED_VALUE"""),45638.52059027778)</f>
        <v>45638.52059</v>
      </c>
      <c r="H2428" s="24" t="str">
        <f>IFERROR(VLOOKUP(B2428,material!A:D,3,0),"")</f>
        <v>CARD</v>
      </c>
    </row>
    <row r="2429" ht="11.25" customHeight="1">
      <c r="A2429" s="21" t="str">
        <f>IFERROR(__xludf.DUMMYFUNCTION("""COMPUTED_VALUE"""),"SMART CARD PRETO NAGRA")</f>
        <v>SMART CARD PRETO NAGRA</v>
      </c>
      <c r="B2429" s="22">
        <f>IFERROR(__xludf.DUMMYFUNCTION("""COMPUTED_VALUE"""),4.1001234E7)</f>
        <v>41001234</v>
      </c>
      <c r="C2429" s="21" t="str">
        <f>IFERROR(__xludf.DUMMYFUNCTION("""COMPUTED_VALUE"""),"246239040416")</f>
        <v>246239040416</v>
      </c>
      <c r="D2429" s="21" t="str">
        <f>IFERROR(__xludf.DUMMYFUNCTION("""COMPUTED_VALUE"""),"DIGITEC TECNOLOGIA DIGITAL E REPRES")</f>
        <v>DIGITEC TECNOLOGIA DIGITAL E REPRES</v>
      </c>
      <c r="E2429" s="21">
        <f>IFERROR(__xludf.DUMMYFUNCTION("""COMPUTED_VALUE"""),145359.0)</f>
        <v>145359</v>
      </c>
      <c r="F2429" s="21" t="str">
        <f>IFERROR(__xludf.DUMMYFUNCTION("""COMPUTED_VALUE"""),"TRANSITO REVERSA")</f>
        <v>TRANSITO REVERSA</v>
      </c>
      <c r="G2429" s="23">
        <f>IFERROR(__xludf.DUMMYFUNCTION("""COMPUTED_VALUE"""),45633.0033912037)</f>
        <v>45633.00339</v>
      </c>
      <c r="H2429" s="24" t="str">
        <f>IFERROR(VLOOKUP(B2429,material!A:D,3,0),"")</f>
        <v>CARD</v>
      </c>
    </row>
    <row r="2430" ht="11.25" customHeight="1">
      <c r="A2430" s="21" t="str">
        <f>IFERROR(__xludf.DUMMYFUNCTION("""COMPUTED_VALUE"""),"SMART CARD PRETO NAGRA")</f>
        <v>SMART CARD PRETO NAGRA</v>
      </c>
      <c r="B2430" s="22">
        <f>IFERROR(__xludf.DUMMYFUNCTION("""COMPUTED_VALUE"""),4.1001234E7)</f>
        <v>41001234</v>
      </c>
      <c r="C2430" s="21" t="str">
        <f>IFERROR(__xludf.DUMMYFUNCTION("""COMPUTED_VALUE"""),"246192602236")</f>
        <v>246192602236</v>
      </c>
      <c r="D2430" s="21" t="str">
        <f>IFERROR(__xludf.DUMMYFUNCTION("""COMPUTED_VALUE"""),"DIGITEC TECNOLOGIA DIGITAL E REPRES")</f>
        <v>DIGITEC TECNOLOGIA DIGITAL E REPRES</v>
      </c>
      <c r="E2430" s="21">
        <f>IFERROR(__xludf.DUMMYFUNCTION("""COMPUTED_VALUE"""),145359.0)</f>
        <v>145359</v>
      </c>
      <c r="F2430" s="21" t="str">
        <f>IFERROR(__xludf.DUMMYFUNCTION("""COMPUTED_VALUE"""),"TRANSITO REVERSA")</f>
        <v>TRANSITO REVERSA</v>
      </c>
      <c r="G2430" s="23">
        <f>IFERROR(__xludf.DUMMYFUNCTION("""COMPUTED_VALUE"""),45633.00341435186)</f>
        <v>45633.00341</v>
      </c>
      <c r="H2430" s="24" t="str">
        <f>IFERROR(VLOOKUP(B2430,material!A:D,3,0),"")</f>
        <v>CARD</v>
      </c>
    </row>
    <row r="2431" ht="11.25" customHeight="1">
      <c r="A2431" s="21" t="str">
        <f>IFERROR(__xludf.DUMMYFUNCTION("""COMPUTED_VALUE"""),"SMART CARD LARANJA")</f>
        <v>SMART CARD LARANJA</v>
      </c>
      <c r="B2431" s="22">
        <f>IFERROR(__xludf.DUMMYFUNCTION("""COMPUTED_VALUE"""),4.1001186E7)</f>
        <v>41001186</v>
      </c>
      <c r="C2431" s="21" t="str">
        <f>IFERROR(__xludf.DUMMYFUNCTION("""COMPUTED_VALUE"""),"215439434448")</f>
        <v>215439434448</v>
      </c>
      <c r="D2431" s="21" t="str">
        <f>IFERROR(__xludf.DUMMYFUNCTION("""COMPUTED_VALUE"""),"DIGITEC TECNOLOGIA DIGITAL E REPRES")</f>
        <v>DIGITEC TECNOLOGIA DIGITAL E REPRES</v>
      </c>
      <c r="E2431" s="21">
        <f>IFERROR(__xludf.DUMMYFUNCTION("""COMPUTED_VALUE"""),145359.0)</f>
        <v>145359</v>
      </c>
      <c r="F2431" s="21" t="str">
        <f>IFERROR(__xludf.DUMMYFUNCTION("""COMPUTED_VALUE"""),"TRANSITO REVERSA")</f>
        <v>TRANSITO REVERSA</v>
      </c>
      <c r="G2431" s="23">
        <f>IFERROR(__xludf.DUMMYFUNCTION("""COMPUTED_VALUE"""),45638.520578703705)</f>
        <v>45638.52058</v>
      </c>
      <c r="H2431" s="24" t="str">
        <f>IFERROR(VLOOKUP(B2431,material!A:D,3,0),"")</f>
        <v>CARD</v>
      </c>
    </row>
    <row r="2432" ht="11.25" customHeight="1">
      <c r="A2432" s="21" t="str">
        <f>IFERROR(__xludf.DUMMYFUNCTION("""COMPUTED_VALUE"""),"PACE - DCR HIGH DEFINITION")</f>
        <v>PACE - DCR HIGH DEFINITION</v>
      </c>
      <c r="B2432" s="22">
        <f>IFERROR(__xludf.DUMMYFUNCTION("""COMPUTED_VALUE"""),4.1001272E7)</f>
        <v>41001272</v>
      </c>
      <c r="C2432" s="21" t="str">
        <f>IFERROR(__xludf.DUMMYFUNCTION("""COMPUTED_VALUE"""),"172387626170")</f>
        <v>172387626170</v>
      </c>
      <c r="D2432" s="21" t="str">
        <f>IFERROR(__xludf.DUMMYFUNCTION("""COMPUTED_VALUE"""),"DIGITEC TECNOLOGIA DIGITAL E REPRES")</f>
        <v>DIGITEC TECNOLOGIA DIGITAL E REPRES</v>
      </c>
      <c r="E2432" s="21">
        <f>IFERROR(__xludf.DUMMYFUNCTION("""COMPUTED_VALUE"""),145359.0)</f>
        <v>145359</v>
      </c>
      <c r="F2432" s="21" t="str">
        <f>IFERROR(__xludf.DUMMYFUNCTION("""COMPUTED_VALUE"""),"TRANSITO REVERSA")</f>
        <v>TRANSITO REVERSA</v>
      </c>
      <c r="G2432" s="23">
        <f>IFERROR(__xludf.DUMMYFUNCTION("""COMPUTED_VALUE"""),45638.520625000005)</f>
        <v>45638.52063</v>
      </c>
      <c r="H2432" s="24" t="str">
        <f>IFERROR(VLOOKUP(B2432,material!A:D,3,0),"")</f>
        <v>LEGADO</v>
      </c>
    </row>
    <row r="2433" ht="11.25" customHeight="1">
      <c r="A2433" s="21" t="str">
        <f>IFERROR(__xludf.DUMMYFUNCTION("""COMPUTED_VALUE"""),"SMART CARD PRETO NAGRA")</f>
        <v>SMART CARD PRETO NAGRA</v>
      </c>
      <c r="B2433" s="22">
        <f>IFERROR(__xludf.DUMMYFUNCTION("""COMPUTED_VALUE"""),4.1001234E7)</f>
        <v>41001234</v>
      </c>
      <c r="C2433" s="21" t="str">
        <f>IFERROR(__xludf.DUMMYFUNCTION("""COMPUTED_VALUE"""),"246237008095")</f>
        <v>246237008095</v>
      </c>
      <c r="D2433" s="21" t="str">
        <f>IFERROR(__xludf.DUMMYFUNCTION("""COMPUTED_VALUE"""),"DIGITEC TECNOLOGIA DIGITAL E REPRES")</f>
        <v>DIGITEC TECNOLOGIA DIGITAL E REPRES</v>
      </c>
      <c r="E2433" s="21">
        <f>IFERROR(__xludf.DUMMYFUNCTION("""COMPUTED_VALUE"""),145359.0)</f>
        <v>145359</v>
      </c>
      <c r="F2433" s="21" t="str">
        <f>IFERROR(__xludf.DUMMYFUNCTION("""COMPUTED_VALUE"""),"SUSPEITO")</f>
        <v>SUSPEITO</v>
      </c>
      <c r="G2433" s="23">
        <f>IFERROR(__xludf.DUMMYFUNCTION("""COMPUTED_VALUE"""),45624.30327546297)</f>
        <v>45624.30328</v>
      </c>
      <c r="H2433" s="24" t="str">
        <f>IFERROR(VLOOKUP(B2433,material!A:D,3,0),"")</f>
        <v>CARD</v>
      </c>
    </row>
    <row r="2434" ht="11.25" customHeight="1">
      <c r="A2434" s="21" t="str">
        <f>IFERROR(__xludf.DUMMYFUNCTION("""COMPUTED_VALUE"""),"SMART CARD PRETO NAGRA")</f>
        <v>SMART CARD PRETO NAGRA</v>
      </c>
      <c r="B2434" s="22">
        <f>IFERROR(__xludf.DUMMYFUNCTION("""COMPUTED_VALUE"""),4.1001234E7)</f>
        <v>41001234</v>
      </c>
      <c r="C2434" s="21" t="str">
        <f>IFERROR(__xludf.DUMMYFUNCTION("""COMPUTED_VALUE"""),"246289112530")</f>
        <v>246289112530</v>
      </c>
      <c r="D2434" s="21" t="str">
        <f>IFERROR(__xludf.DUMMYFUNCTION("""COMPUTED_VALUE"""),"DIGITEC TECNOLOGIA DIGITAL E REPRES")</f>
        <v>DIGITEC TECNOLOGIA DIGITAL E REPRES</v>
      </c>
      <c r="E2434" s="21">
        <f>IFERROR(__xludf.DUMMYFUNCTION("""COMPUTED_VALUE"""),145359.0)</f>
        <v>145359</v>
      </c>
      <c r="F2434" s="21" t="str">
        <f>IFERROR(__xludf.DUMMYFUNCTION("""COMPUTED_VALUE"""),"SUSPEITO")</f>
        <v>SUSPEITO</v>
      </c>
      <c r="G2434" s="23">
        <f>IFERROR(__xludf.DUMMYFUNCTION("""COMPUTED_VALUE"""),45624.324120370366)</f>
        <v>45624.32412</v>
      </c>
      <c r="H2434" s="24" t="str">
        <f>IFERROR(VLOOKUP(B2434,material!A:D,3,0),"")</f>
        <v>CARD</v>
      </c>
    </row>
    <row r="2435" ht="11.25" customHeight="1">
      <c r="A2435" s="21" t="str">
        <f>IFERROR(__xludf.DUMMYFUNCTION("""COMPUTED_VALUE"""),"SMART CARD PRETO NAGRA")</f>
        <v>SMART CARD PRETO NAGRA</v>
      </c>
      <c r="B2435" s="22">
        <f>IFERROR(__xludf.DUMMYFUNCTION("""COMPUTED_VALUE"""),4.1001234E7)</f>
        <v>41001234</v>
      </c>
      <c r="C2435" s="21" t="str">
        <f>IFERROR(__xludf.DUMMYFUNCTION("""COMPUTED_VALUE"""),"226024807284")</f>
        <v>226024807284</v>
      </c>
      <c r="D2435" s="21" t="str">
        <f>IFERROR(__xludf.DUMMYFUNCTION("""COMPUTED_VALUE"""),"DIGITEC TECNOLOGIA DIGITAL E REPRES")</f>
        <v>DIGITEC TECNOLOGIA DIGITAL E REPRES</v>
      </c>
      <c r="E2435" s="21">
        <f>IFERROR(__xludf.DUMMYFUNCTION("""COMPUTED_VALUE"""),145359.0)</f>
        <v>145359</v>
      </c>
      <c r="F2435" s="21" t="str">
        <f>IFERROR(__xludf.DUMMYFUNCTION("""COMPUTED_VALUE"""),"SUSPEITO")</f>
        <v>SUSPEITO</v>
      </c>
      <c r="G2435" s="23">
        <f>IFERROR(__xludf.DUMMYFUNCTION("""COMPUTED_VALUE"""),45624.30327546297)</f>
        <v>45624.30328</v>
      </c>
      <c r="H2435" s="24" t="str">
        <f>IFERROR(VLOOKUP(B2435,material!A:D,3,0),"")</f>
        <v>CARD</v>
      </c>
    </row>
    <row r="2436" ht="11.25" customHeight="1">
      <c r="A2436" s="21" t="str">
        <f>IFERROR(__xludf.DUMMYFUNCTION("""COMPUTED_VALUE"""),"SMART CARD LARANJA")</f>
        <v>SMART CARD LARANJA</v>
      </c>
      <c r="B2436" s="22">
        <f>IFERROR(__xludf.DUMMYFUNCTION("""COMPUTED_VALUE"""),4.1001186E7)</f>
        <v>41001186</v>
      </c>
      <c r="C2436" s="21" t="str">
        <f>IFERROR(__xludf.DUMMYFUNCTION("""COMPUTED_VALUE"""),"226493550114")</f>
        <v>226493550114</v>
      </c>
      <c r="D2436" s="21" t="str">
        <f>IFERROR(__xludf.DUMMYFUNCTION("""COMPUTED_VALUE"""),"DIGITEC TECNOLOGIA DIGITAL E REPRES")</f>
        <v>DIGITEC TECNOLOGIA DIGITAL E REPRES</v>
      </c>
      <c r="E2436" s="21">
        <f>IFERROR(__xludf.DUMMYFUNCTION("""COMPUTED_VALUE"""),145359.0)</f>
        <v>145359</v>
      </c>
      <c r="F2436" s="21" t="str">
        <f>IFERROR(__xludf.DUMMYFUNCTION("""COMPUTED_VALUE"""),"SUSPEITO")</f>
        <v>SUSPEITO</v>
      </c>
      <c r="G2436" s="23">
        <f>IFERROR(__xludf.DUMMYFUNCTION("""COMPUTED_VALUE"""),45624.30327546297)</f>
        <v>45624.30328</v>
      </c>
      <c r="H2436" s="24" t="str">
        <f>IFERROR(VLOOKUP(B2436,material!A:D,3,0),"")</f>
        <v>CARD</v>
      </c>
    </row>
    <row r="2437" ht="11.25" customHeight="1">
      <c r="A2437" s="21" t="str">
        <f>IFERROR(__xludf.DUMMYFUNCTION("""COMPUTED_VALUE"""),"SMART CARD LARANJA NAGRA")</f>
        <v>SMART CARD LARANJA NAGRA</v>
      </c>
      <c r="B2437" s="22">
        <f>IFERROR(__xludf.DUMMYFUNCTION("""COMPUTED_VALUE"""),4.1001186E7)</f>
        <v>41001186</v>
      </c>
      <c r="C2437" s="21" t="str">
        <f>IFERROR(__xludf.DUMMYFUNCTION("""COMPUTED_VALUE"""),"226547150115")</f>
        <v>226547150115</v>
      </c>
      <c r="D2437" s="21" t="str">
        <f>IFERROR(__xludf.DUMMYFUNCTION("""COMPUTED_VALUE"""),"DIGITEC TECNOLOGIA DIGITAL E REPRES")</f>
        <v>DIGITEC TECNOLOGIA DIGITAL E REPRES</v>
      </c>
      <c r="E2437" s="21">
        <f>IFERROR(__xludf.DUMMYFUNCTION("""COMPUTED_VALUE"""),145359.0)</f>
        <v>145359</v>
      </c>
      <c r="F2437" s="21" t="str">
        <f>IFERROR(__xludf.DUMMYFUNCTION("""COMPUTED_VALUE"""),"SUSPEITO")</f>
        <v>SUSPEITO</v>
      </c>
      <c r="G2437" s="23">
        <f>IFERROR(__xludf.DUMMYFUNCTION("""COMPUTED_VALUE"""),45624.30327546297)</f>
        <v>45624.30328</v>
      </c>
      <c r="H2437" s="24" t="str">
        <f>IFERROR(VLOOKUP(B2437,material!A:D,3,0),"")</f>
        <v>CARD</v>
      </c>
    </row>
    <row r="2438" ht="11.25" customHeight="1">
      <c r="A2438" s="21" t="str">
        <f>IFERROR(__xludf.DUMMYFUNCTION("""COMPUTED_VALUE"""),"SMART CARD LARANJA NAGRA")</f>
        <v>SMART CARD LARANJA NAGRA</v>
      </c>
      <c r="B2438" s="22">
        <f>IFERROR(__xludf.DUMMYFUNCTION("""COMPUTED_VALUE"""),4.1001186E7)</f>
        <v>41001186</v>
      </c>
      <c r="C2438" s="21" t="str">
        <f>IFERROR(__xludf.DUMMYFUNCTION("""COMPUTED_VALUE"""),"225849974958")</f>
        <v>225849974958</v>
      </c>
      <c r="D2438" s="21" t="str">
        <f>IFERROR(__xludf.DUMMYFUNCTION("""COMPUTED_VALUE"""),"DIGITEC TECNOLOGIA DIGITAL E REPRES")</f>
        <v>DIGITEC TECNOLOGIA DIGITAL E REPRES</v>
      </c>
      <c r="E2438" s="21">
        <f>IFERROR(__xludf.DUMMYFUNCTION("""COMPUTED_VALUE"""),145359.0)</f>
        <v>145359</v>
      </c>
      <c r="F2438" s="21" t="str">
        <f>IFERROR(__xludf.DUMMYFUNCTION("""COMPUTED_VALUE"""),"SUSPEITO")</f>
        <v>SUSPEITO</v>
      </c>
      <c r="G2438" s="23">
        <f>IFERROR(__xludf.DUMMYFUNCTION("""COMPUTED_VALUE"""),45624.30327546297)</f>
        <v>45624.30328</v>
      </c>
      <c r="H2438" s="24" t="str">
        <f>IFERROR(VLOOKUP(B2438,material!A:D,3,0),"")</f>
        <v>CARD</v>
      </c>
    </row>
    <row r="2439" ht="11.25" customHeight="1">
      <c r="A2439" s="21" t="str">
        <f>IFERROR(__xludf.DUMMYFUNCTION("""COMPUTED_VALUE"""),"SMART CARD PRETO NAGRA")</f>
        <v>SMART CARD PRETO NAGRA</v>
      </c>
      <c r="B2439" s="22">
        <f>IFERROR(__xludf.DUMMYFUNCTION("""COMPUTED_VALUE"""),4.1001234E7)</f>
        <v>41001234</v>
      </c>
      <c r="C2439" s="21" t="str">
        <f>IFERROR(__xludf.DUMMYFUNCTION("""COMPUTED_VALUE"""),"226403181530")</f>
        <v>226403181530</v>
      </c>
      <c r="D2439" s="21" t="str">
        <f>IFERROR(__xludf.DUMMYFUNCTION("""COMPUTED_VALUE"""),"DIGITEC TECNOLOGIA DIGITAL E REPRES")</f>
        <v>DIGITEC TECNOLOGIA DIGITAL E REPRES</v>
      </c>
      <c r="E2439" s="21">
        <f>IFERROR(__xludf.DUMMYFUNCTION("""COMPUTED_VALUE"""),145359.0)</f>
        <v>145359</v>
      </c>
      <c r="F2439" s="21" t="str">
        <f>IFERROR(__xludf.DUMMYFUNCTION("""COMPUTED_VALUE"""),"INICIALIZADO")</f>
        <v>INICIALIZADO</v>
      </c>
      <c r="G2439" s="23">
        <f>IFERROR(__xludf.DUMMYFUNCTION("""COMPUTED_VALUE"""),45635.53496527778)</f>
        <v>45635.53497</v>
      </c>
      <c r="H2439" s="24" t="str">
        <f>IFERROR(VLOOKUP(B2439,material!A:D,3,0),"")</f>
        <v>CARD</v>
      </c>
    </row>
    <row r="2440" ht="11.25" customHeight="1">
      <c r="A2440" s="21" t="str">
        <f>IFERROR(__xludf.DUMMYFUNCTION("""COMPUTED_VALUE"""),"SMART CARD PRETO NAGRA")</f>
        <v>SMART CARD PRETO NAGRA</v>
      </c>
      <c r="B2440" s="22">
        <f>IFERROR(__xludf.DUMMYFUNCTION("""COMPUTED_VALUE"""),4.1001234E7)</f>
        <v>41001234</v>
      </c>
      <c r="C2440" s="21" t="str">
        <f>IFERROR(__xludf.DUMMYFUNCTION("""COMPUTED_VALUE"""),"226331521113")</f>
        <v>226331521113</v>
      </c>
      <c r="D2440" s="21" t="str">
        <f>IFERROR(__xludf.DUMMYFUNCTION("""COMPUTED_VALUE"""),"DIGITEC TECNOLOGIA DIGITAL E REPRES")</f>
        <v>DIGITEC TECNOLOGIA DIGITAL E REPRES</v>
      </c>
      <c r="E2440" s="21">
        <f>IFERROR(__xludf.DUMMYFUNCTION("""COMPUTED_VALUE"""),145359.0)</f>
        <v>145359</v>
      </c>
      <c r="F2440" s="21" t="str">
        <f>IFERROR(__xludf.DUMMYFUNCTION("""COMPUTED_VALUE"""),"TRANSITO REVERSA")</f>
        <v>TRANSITO REVERSA</v>
      </c>
      <c r="G2440" s="23">
        <f>IFERROR(__xludf.DUMMYFUNCTION("""COMPUTED_VALUE"""),45617.87141203704)</f>
        <v>45617.87141</v>
      </c>
      <c r="H2440" s="24" t="str">
        <f>IFERROR(VLOOKUP(B2440,material!A:D,3,0),"")</f>
        <v>CARD</v>
      </c>
    </row>
    <row r="2441" ht="11.25" customHeight="1">
      <c r="A2441" s="21" t="str">
        <f>IFERROR(__xludf.DUMMYFUNCTION("""COMPUTED_VALUE"""),"SMART CARD PRETO NAGRA")</f>
        <v>SMART CARD PRETO NAGRA</v>
      </c>
      <c r="B2441" s="22">
        <f>IFERROR(__xludf.DUMMYFUNCTION("""COMPUTED_VALUE"""),4.1001234E7)</f>
        <v>41001234</v>
      </c>
      <c r="C2441" s="21" t="str">
        <f>IFERROR(__xludf.DUMMYFUNCTION("""COMPUTED_VALUE"""),"246228401824")</f>
        <v>246228401824</v>
      </c>
      <c r="D2441" s="21" t="str">
        <f>IFERROR(__xludf.DUMMYFUNCTION("""COMPUTED_VALUE"""),"DIGITEC TECNOLOGIA DIGITAL E REPRES")</f>
        <v>DIGITEC TECNOLOGIA DIGITAL E REPRES</v>
      </c>
      <c r="E2441" s="21">
        <f>IFERROR(__xludf.DUMMYFUNCTION("""COMPUTED_VALUE"""),145359.0)</f>
        <v>145359</v>
      </c>
      <c r="F2441" s="21" t="str">
        <f>IFERROR(__xludf.DUMMYFUNCTION("""COMPUTED_VALUE"""),"INICIALIZADO")</f>
        <v>INICIALIZADO</v>
      </c>
      <c r="G2441" s="23">
        <f>IFERROR(__xludf.DUMMYFUNCTION("""COMPUTED_VALUE"""),45516.41978009259)</f>
        <v>45516.41978</v>
      </c>
      <c r="H2441" s="24" t="str">
        <f>IFERROR(VLOOKUP(B2441,material!A:D,3,0),"")</f>
        <v>CARD</v>
      </c>
    </row>
    <row r="2442" ht="11.25" customHeight="1">
      <c r="A2442" s="21" t="str">
        <f>IFERROR(__xludf.DUMMYFUNCTION("""COMPUTED_VALUE"""),"SMART CARD PRETO NAGRA")</f>
        <v>SMART CARD PRETO NAGRA</v>
      </c>
      <c r="B2442" s="22">
        <f>IFERROR(__xludf.DUMMYFUNCTION("""COMPUTED_VALUE"""),4.1001234E7)</f>
        <v>41001234</v>
      </c>
      <c r="C2442" s="21" t="str">
        <f>IFERROR(__xludf.DUMMYFUNCTION("""COMPUTED_VALUE"""),"226391353843")</f>
        <v>226391353843</v>
      </c>
      <c r="D2442" s="21" t="str">
        <f>IFERROR(__xludf.DUMMYFUNCTION("""COMPUTED_VALUE"""),"DIGITEC TECNOLOGIA DIGITAL E REPRES")</f>
        <v>DIGITEC TECNOLOGIA DIGITAL E REPRES</v>
      </c>
      <c r="E2442" s="21">
        <f>IFERROR(__xludf.DUMMYFUNCTION("""COMPUTED_VALUE"""),145359.0)</f>
        <v>145359</v>
      </c>
      <c r="F2442" s="21" t="str">
        <f>IFERROR(__xludf.DUMMYFUNCTION("""COMPUTED_VALUE"""),"INICIALIZADO")</f>
        <v>INICIALIZADO</v>
      </c>
      <c r="G2442" s="23">
        <f>IFERROR(__xludf.DUMMYFUNCTION("""COMPUTED_VALUE"""),45615.61851851852)</f>
        <v>45615.61852</v>
      </c>
      <c r="H2442" s="24" t="str">
        <f>IFERROR(VLOOKUP(B2442,material!A:D,3,0),"")</f>
        <v>CARD</v>
      </c>
    </row>
    <row r="2443" ht="11.25" customHeight="1">
      <c r="A2443" s="21" t="str">
        <f>IFERROR(__xludf.DUMMYFUNCTION("""COMPUTED_VALUE"""),"SMART CARD PRETO NAGRA")</f>
        <v>SMART CARD PRETO NAGRA</v>
      </c>
      <c r="B2443" s="22">
        <f>IFERROR(__xludf.DUMMYFUNCTION("""COMPUTED_VALUE"""),4.1001234E7)</f>
        <v>41001234</v>
      </c>
      <c r="C2443" s="21" t="str">
        <f>IFERROR(__xludf.DUMMYFUNCTION("""COMPUTED_VALUE"""),"226389732933")</f>
        <v>226389732933</v>
      </c>
      <c r="D2443" s="21" t="str">
        <f>IFERROR(__xludf.DUMMYFUNCTION("""COMPUTED_VALUE"""),"DIGITEC TECNOLOGIA DIGITAL E REPRES")</f>
        <v>DIGITEC TECNOLOGIA DIGITAL E REPRES</v>
      </c>
      <c r="E2443" s="21">
        <f>IFERROR(__xludf.DUMMYFUNCTION("""COMPUTED_VALUE"""),145359.0)</f>
        <v>145359</v>
      </c>
      <c r="F2443" s="21" t="str">
        <f>IFERROR(__xludf.DUMMYFUNCTION("""COMPUTED_VALUE"""),"TRANSITO REVERSA")</f>
        <v>TRANSITO REVERSA</v>
      </c>
      <c r="G2443" s="23">
        <f>IFERROR(__xludf.DUMMYFUNCTION("""COMPUTED_VALUE"""),45633.00394675926)</f>
        <v>45633.00395</v>
      </c>
      <c r="H2443" s="24" t="str">
        <f>IFERROR(VLOOKUP(B2443,material!A:D,3,0),"")</f>
        <v>CARD</v>
      </c>
    </row>
    <row r="2444" ht="11.25" customHeight="1">
      <c r="A2444" s="21" t="str">
        <f>IFERROR(__xludf.DUMMYFUNCTION("""COMPUTED_VALUE"""),"THOMSON HIGH DEFINITION DCI713")</f>
        <v>THOMSON HIGH DEFINITION DCI713</v>
      </c>
      <c r="B2444" s="22">
        <f>IFERROR(__xludf.DUMMYFUNCTION("""COMPUTED_VALUE"""),4.1001273E7)</f>
        <v>41001273</v>
      </c>
      <c r="C2444" s="21" t="str">
        <f>IFERROR(__xludf.DUMMYFUNCTION("""COMPUTED_VALUE"""),"184228938088")</f>
        <v>184228938088</v>
      </c>
      <c r="D2444" s="21" t="str">
        <f>IFERROR(__xludf.DUMMYFUNCTION("""COMPUTED_VALUE"""),"DIGITEC TECNOLOGIA DIGITAL E REPRES")</f>
        <v>DIGITEC TECNOLOGIA DIGITAL E REPRES</v>
      </c>
      <c r="E2444" s="21">
        <f>IFERROR(__xludf.DUMMYFUNCTION("""COMPUTED_VALUE"""),145359.0)</f>
        <v>145359</v>
      </c>
      <c r="F2444" s="21" t="str">
        <f>IFERROR(__xludf.DUMMYFUNCTION("""COMPUTED_VALUE"""),"TRANSITO REVERSA")</f>
        <v>TRANSITO REVERSA</v>
      </c>
      <c r="G2444" s="23">
        <f>IFERROR(__xludf.DUMMYFUNCTION("""COMPUTED_VALUE"""),45640.95003472222)</f>
        <v>45640.95003</v>
      </c>
      <c r="H2444" s="24" t="str">
        <f>IFERROR(VLOOKUP(B2444,material!A:D,3,0),"")</f>
        <v>LEGADO</v>
      </c>
    </row>
    <row r="2445" ht="11.25" customHeight="1">
      <c r="A2445" s="21" t="str">
        <f>IFERROR(__xludf.DUMMYFUNCTION("""COMPUTED_VALUE"""),"THOMSON HIGH DEFINITION DCI713")</f>
        <v>THOMSON HIGH DEFINITION DCI713</v>
      </c>
      <c r="B2445" s="22">
        <f>IFERROR(__xludf.DUMMYFUNCTION("""COMPUTED_VALUE"""),4.1001273E7)</f>
        <v>41001273</v>
      </c>
      <c r="C2445" s="21" t="str">
        <f>IFERROR(__xludf.DUMMYFUNCTION("""COMPUTED_VALUE"""),"184310863952")</f>
        <v>184310863952</v>
      </c>
      <c r="D2445" s="21" t="str">
        <f>IFERROR(__xludf.DUMMYFUNCTION("""COMPUTED_VALUE"""),"DIGITEC TECNOLOGIA DIGITAL E REPRES")</f>
        <v>DIGITEC TECNOLOGIA DIGITAL E REPRES</v>
      </c>
      <c r="E2445" s="21">
        <f>IFERROR(__xludf.DUMMYFUNCTION("""COMPUTED_VALUE"""),145359.0)</f>
        <v>145359</v>
      </c>
      <c r="F2445" s="21" t="str">
        <f>IFERROR(__xludf.DUMMYFUNCTION("""COMPUTED_VALUE"""),"TRANSITO REVERSA")</f>
        <v>TRANSITO REVERSA</v>
      </c>
      <c r="G2445" s="23">
        <f>IFERROR(__xludf.DUMMYFUNCTION("""COMPUTED_VALUE"""),45633.00396990741)</f>
        <v>45633.00397</v>
      </c>
      <c r="H2445" s="24" t="str">
        <f>IFERROR(VLOOKUP(B2445,material!A:D,3,0),"")</f>
        <v>LEGADO</v>
      </c>
    </row>
    <row r="2446" ht="11.25" customHeight="1">
      <c r="A2446" s="21" t="str">
        <f>IFERROR(__xludf.DUMMYFUNCTION("""COMPUTED_VALUE"""),"SMART CARD LARANJA NAGRA")</f>
        <v>SMART CARD LARANJA NAGRA</v>
      </c>
      <c r="B2446" s="22">
        <f>IFERROR(__xludf.DUMMYFUNCTION("""COMPUTED_VALUE"""),4.1001186E7)</f>
        <v>41001186</v>
      </c>
      <c r="C2446" s="21" t="str">
        <f>IFERROR(__xludf.DUMMYFUNCTION("""COMPUTED_VALUE"""),"226583919707")</f>
        <v>226583919707</v>
      </c>
      <c r="D2446" s="21" t="str">
        <f>IFERROR(__xludf.DUMMYFUNCTION("""COMPUTED_VALUE"""),"DIGITEC TECNOLOGIA DIGITAL E REPRES")</f>
        <v>DIGITEC TECNOLOGIA DIGITAL E REPRES</v>
      </c>
      <c r="E2446" s="21">
        <f>IFERROR(__xludf.DUMMYFUNCTION("""COMPUTED_VALUE"""),145359.0)</f>
        <v>145359</v>
      </c>
      <c r="F2446" s="21" t="str">
        <f>IFERROR(__xludf.DUMMYFUNCTION("""COMPUTED_VALUE"""),"TRANSITO REVERSA")</f>
        <v>TRANSITO REVERSA</v>
      </c>
      <c r="G2446" s="23">
        <f>IFERROR(__xludf.DUMMYFUNCTION("""COMPUTED_VALUE"""),45617.87140046296)</f>
        <v>45617.8714</v>
      </c>
      <c r="H2446" s="24" t="str">
        <f>IFERROR(VLOOKUP(B2446,material!A:D,3,0),"")</f>
        <v>CARD</v>
      </c>
    </row>
    <row r="2447" ht="11.25" customHeight="1">
      <c r="A2447" s="21" t="str">
        <f>IFERROR(__xludf.DUMMYFUNCTION("""COMPUTED_VALUE"""),"SMART CARD LARANJA NAGRA")</f>
        <v>SMART CARD LARANJA NAGRA</v>
      </c>
      <c r="B2447" s="22">
        <f>IFERROR(__xludf.DUMMYFUNCTION("""COMPUTED_VALUE"""),4.1001186E7)</f>
        <v>41001186</v>
      </c>
      <c r="C2447" s="21" t="str">
        <f>IFERROR(__xludf.DUMMYFUNCTION("""COMPUTED_VALUE"""),"226873529408")</f>
        <v>226873529408</v>
      </c>
      <c r="D2447" s="21" t="str">
        <f>IFERROR(__xludf.DUMMYFUNCTION("""COMPUTED_VALUE"""),"DIGITEC TECNOLOGIA DIGITAL E REPRES")</f>
        <v>DIGITEC TECNOLOGIA DIGITAL E REPRES</v>
      </c>
      <c r="E2447" s="21">
        <f>IFERROR(__xludf.DUMMYFUNCTION("""COMPUTED_VALUE"""),145359.0)</f>
        <v>145359</v>
      </c>
      <c r="F2447" s="21" t="str">
        <f>IFERROR(__xludf.DUMMYFUNCTION("""COMPUTED_VALUE"""),"TRANSITO REVERSA")</f>
        <v>TRANSITO REVERSA</v>
      </c>
      <c r="G2447" s="23">
        <f>IFERROR(__xludf.DUMMYFUNCTION("""COMPUTED_VALUE"""),45617.87137731482)</f>
        <v>45617.87138</v>
      </c>
      <c r="H2447" s="24" t="str">
        <f>IFERROR(VLOOKUP(B2447,material!A:D,3,0),"")</f>
        <v>CARD</v>
      </c>
    </row>
    <row r="2448" ht="11.25" customHeight="1">
      <c r="A2448" s="21" t="str">
        <f>IFERROR(__xludf.DUMMYFUNCTION("""COMPUTED_VALUE"""),"SMART CARD LARANJA NAGRA")</f>
        <v>SMART CARD LARANJA NAGRA</v>
      </c>
      <c r="B2448" s="22">
        <f>IFERROR(__xludf.DUMMYFUNCTION("""COMPUTED_VALUE"""),4.1001186E7)</f>
        <v>41001186</v>
      </c>
      <c r="C2448" s="21" t="str">
        <f>IFERROR(__xludf.DUMMYFUNCTION("""COMPUTED_VALUE"""),"226447733543")</f>
        <v>226447733543</v>
      </c>
      <c r="D2448" s="21" t="str">
        <f>IFERROR(__xludf.DUMMYFUNCTION("""COMPUTED_VALUE"""),"DIGITEC TECNOLOGIA DIGITAL E REPRES")</f>
        <v>DIGITEC TECNOLOGIA DIGITAL E REPRES</v>
      </c>
      <c r="E2448" s="21">
        <f>IFERROR(__xludf.DUMMYFUNCTION("""COMPUTED_VALUE"""),145359.0)</f>
        <v>145359</v>
      </c>
      <c r="F2448" s="21" t="str">
        <f>IFERROR(__xludf.DUMMYFUNCTION("""COMPUTED_VALUE"""),"PERDA")</f>
        <v>PERDA</v>
      </c>
      <c r="G2448" s="23">
        <f>IFERROR(__xludf.DUMMYFUNCTION("""COMPUTED_VALUE"""),45379.48483796296)</f>
        <v>45379.48484</v>
      </c>
      <c r="H2448" s="24" t="str">
        <f>IFERROR(VLOOKUP(B2448,material!A:D,3,0),"")</f>
        <v>CARD</v>
      </c>
    </row>
    <row r="2449" ht="11.25" customHeight="1">
      <c r="A2449" s="21" t="str">
        <f>IFERROR(__xludf.DUMMYFUNCTION("""COMPUTED_VALUE"""),"SMART CARD PRETO NAGRA")</f>
        <v>SMART CARD PRETO NAGRA</v>
      </c>
      <c r="B2449" s="22">
        <f>IFERROR(__xludf.DUMMYFUNCTION("""COMPUTED_VALUE"""),4.1001234E7)</f>
        <v>41001234</v>
      </c>
      <c r="C2449" s="21" t="str">
        <f>IFERROR(__xludf.DUMMYFUNCTION("""COMPUTED_VALUE"""),"226322879708")</f>
        <v>226322879708</v>
      </c>
      <c r="D2449" s="21" t="str">
        <f>IFERROR(__xludf.DUMMYFUNCTION("""COMPUTED_VALUE"""),"DIGITEC TECNOLOGIA DIGITAL E REPRES")</f>
        <v>DIGITEC TECNOLOGIA DIGITAL E REPRES</v>
      </c>
      <c r="E2449" s="21">
        <f>IFERROR(__xludf.DUMMYFUNCTION("""COMPUTED_VALUE"""),145359.0)</f>
        <v>145359</v>
      </c>
      <c r="F2449" s="21" t="str">
        <f>IFERROR(__xludf.DUMMYFUNCTION("""COMPUTED_VALUE"""),"SUSPEITO")</f>
        <v>SUSPEITO</v>
      </c>
      <c r="G2449" s="23">
        <f>IFERROR(__xludf.DUMMYFUNCTION("""COMPUTED_VALUE"""),45643.4350925926)</f>
        <v>45643.43509</v>
      </c>
      <c r="H2449" s="24" t="str">
        <f>IFERROR(VLOOKUP(B2449,material!A:D,3,0),"")</f>
        <v>CARD</v>
      </c>
    </row>
    <row r="2450" ht="11.25" customHeight="1">
      <c r="A2450" s="21" t="str">
        <f>IFERROR(__xludf.DUMMYFUNCTION("""COMPUTED_VALUE"""),"SMART CARD LARANJA NAGRA")</f>
        <v>SMART CARD LARANJA NAGRA</v>
      </c>
      <c r="B2450" s="22">
        <f>IFERROR(__xludf.DUMMYFUNCTION("""COMPUTED_VALUE"""),4.1001186E7)</f>
        <v>41001186</v>
      </c>
      <c r="C2450" s="21" t="str">
        <f>IFERROR(__xludf.DUMMYFUNCTION("""COMPUTED_VALUE"""),"226485116080")</f>
        <v>226485116080</v>
      </c>
      <c r="D2450" s="21" t="str">
        <f>IFERROR(__xludf.DUMMYFUNCTION("""COMPUTED_VALUE"""),"DIGITEC TECNOLOGIA DIGITAL E REPRES")</f>
        <v>DIGITEC TECNOLOGIA DIGITAL E REPRES</v>
      </c>
      <c r="E2450" s="21">
        <f>IFERROR(__xludf.DUMMYFUNCTION("""COMPUTED_VALUE"""),145359.0)</f>
        <v>145359</v>
      </c>
      <c r="F2450" s="21" t="str">
        <f>IFERROR(__xludf.DUMMYFUNCTION("""COMPUTED_VALUE"""),"SUSPEITO")</f>
        <v>SUSPEITO</v>
      </c>
      <c r="G2450" s="23">
        <f>IFERROR(__xludf.DUMMYFUNCTION("""COMPUTED_VALUE"""),45643.42983796296)</f>
        <v>45643.42984</v>
      </c>
      <c r="H2450" s="24" t="str">
        <f>IFERROR(VLOOKUP(B2450,material!A:D,3,0),"")</f>
        <v>CARD</v>
      </c>
    </row>
    <row r="2451" ht="11.25" customHeight="1">
      <c r="A2451" s="21" t="str">
        <f>IFERROR(__xludf.DUMMYFUNCTION("""COMPUTED_VALUE"""),"SMART CARD PRETO NAGRA")</f>
        <v>SMART CARD PRETO NAGRA</v>
      </c>
      <c r="B2451" s="22">
        <f>IFERROR(__xludf.DUMMYFUNCTION("""COMPUTED_VALUE"""),4.1001234E7)</f>
        <v>41001234</v>
      </c>
      <c r="C2451" s="21" t="str">
        <f>IFERROR(__xludf.DUMMYFUNCTION("""COMPUTED_VALUE"""),"246280922943")</f>
        <v>246280922943</v>
      </c>
      <c r="D2451" s="21" t="str">
        <f>IFERROR(__xludf.DUMMYFUNCTION("""COMPUTED_VALUE"""),"DIGITEC TECNOLOGIA DIGITAL E REPRES")</f>
        <v>DIGITEC TECNOLOGIA DIGITAL E REPRES</v>
      </c>
      <c r="E2451" s="21">
        <f>IFERROR(__xludf.DUMMYFUNCTION("""COMPUTED_VALUE"""),145359.0)</f>
        <v>145359</v>
      </c>
      <c r="F2451" s="21" t="str">
        <f>IFERROR(__xludf.DUMMYFUNCTION("""COMPUTED_VALUE"""),"INICIALIZADO")</f>
        <v>INICIALIZADO</v>
      </c>
      <c r="G2451" s="23">
        <f>IFERROR(__xludf.DUMMYFUNCTION("""COMPUTED_VALUE"""),45600.47596064815)</f>
        <v>45600.47596</v>
      </c>
      <c r="H2451" s="24" t="str">
        <f>IFERROR(VLOOKUP(B2451,material!A:D,3,0),"")</f>
        <v>CARD</v>
      </c>
    </row>
    <row r="2452" ht="11.25" customHeight="1">
      <c r="A2452" s="21" t="str">
        <f>IFERROR(__xludf.DUMMYFUNCTION("""COMPUTED_VALUE"""),"MODEM VOIP EMTA WIFI 3.1 FAST3895")</f>
        <v>MODEM VOIP EMTA WIFI 3.1 FAST3895</v>
      </c>
      <c r="B2452" s="22">
        <f>IFERROR(__xludf.DUMMYFUNCTION("""COMPUTED_VALUE"""),4.1001504E7)</f>
        <v>41001504</v>
      </c>
      <c r="C2452" s="21" t="str">
        <f>IFERROR(__xludf.DUMMYFUNCTION("""COMPUTED_VALUE"""),"94988F30B714")</f>
        <v>94988F30B714</v>
      </c>
      <c r="D2452" s="21" t="str">
        <f>IFERROR(__xludf.DUMMYFUNCTION("""COMPUTED_VALUE"""),"DIGITEC TECNOLOGIA DIGITAL E REPRES")</f>
        <v>DIGITEC TECNOLOGIA DIGITAL E REPRES</v>
      </c>
      <c r="E2452" s="21">
        <f>IFERROR(__xludf.DUMMYFUNCTION("""COMPUTED_VALUE"""),145359.0)</f>
        <v>145359</v>
      </c>
      <c r="F2452" s="21" t="str">
        <f>IFERROR(__xludf.DUMMYFUNCTION("""COMPUTED_VALUE"""),"INICIALIZADO")</f>
        <v>INICIALIZADO</v>
      </c>
      <c r="G2452" s="23">
        <f>IFERROR(__xludf.DUMMYFUNCTION("""COMPUTED_VALUE"""),45615.61855324074)</f>
        <v>45615.61855</v>
      </c>
      <c r="H2452" s="24" t="str">
        <f>IFERROR(VLOOKUP(B2452,material!A:D,3,0),"")</f>
        <v>3.1</v>
      </c>
    </row>
    <row r="2453" ht="11.25" customHeight="1">
      <c r="A2453" s="21" t="str">
        <f>IFERROR(__xludf.DUMMYFUNCTION("""COMPUTED_VALUE"""),"TERMINAL EXTENSOR WIFI5 MESH AR2180T")</f>
        <v>TERMINAL EXTENSOR WIFI5 MESH AR2180T</v>
      </c>
      <c r="B2453" s="22">
        <f>IFERROR(__xludf.DUMMYFUNCTION("""COMPUTED_VALUE"""),4.1001567E7)</f>
        <v>41001567</v>
      </c>
      <c r="C2453" s="21" t="str">
        <f>IFERROR(__xludf.DUMMYFUNCTION("""COMPUTED_VALUE"""),"24E4CECAA7F1")</f>
        <v>24E4CECAA7F1</v>
      </c>
      <c r="D2453" s="21" t="str">
        <f>IFERROR(__xludf.DUMMYFUNCTION("""COMPUTED_VALUE"""),"DIGITEC TECNOLOGIA DIGITAL E REPRES")</f>
        <v>DIGITEC TECNOLOGIA DIGITAL E REPRES</v>
      </c>
      <c r="E2453" s="21">
        <f>IFERROR(__xludf.DUMMYFUNCTION("""COMPUTED_VALUE"""),145359.0)</f>
        <v>145359</v>
      </c>
      <c r="F2453" s="21" t="str">
        <f>IFERROR(__xludf.DUMMYFUNCTION("""COMPUTED_VALUE"""),"ANALISE DE INVENTARIO")</f>
        <v>ANALISE DE INVENTARIO</v>
      </c>
      <c r="G2453" s="23">
        <f>IFERROR(__xludf.DUMMYFUNCTION("""COMPUTED_VALUE"""),45629.83886574074)</f>
        <v>45629.83887</v>
      </c>
      <c r="H2453" s="24" t="str">
        <f>IFERROR(VLOOKUP(B2453,material!A:D,3,0),"")</f>
        <v>WIFI MESH</v>
      </c>
    </row>
    <row r="2454" ht="11.25" customHeight="1">
      <c r="A2454" s="21" t="str">
        <f>IFERROR(__xludf.DUMMYFUNCTION("""COMPUTED_VALUE"""),"DECODER CARDLESS 4K UHD S4KCW5 CABO IP")</f>
        <v>DECODER CARDLESS 4K UHD S4KCW5 CABO IP</v>
      </c>
      <c r="B2454" s="22">
        <f>IFERROR(__xludf.DUMMYFUNCTION("""COMPUTED_VALUE"""),4.1001583E7)</f>
        <v>41001583</v>
      </c>
      <c r="C2454" s="21" t="str">
        <f>IFERROR(__xludf.DUMMYFUNCTION("""COMPUTED_VALUE"""),"241604213234")</f>
        <v>241604213234</v>
      </c>
      <c r="D2454" s="21" t="str">
        <f>IFERROR(__xludf.DUMMYFUNCTION("""COMPUTED_VALUE"""),"DIGITEC TECNOLOGIA DIGITAL E REPRES")</f>
        <v>DIGITEC TECNOLOGIA DIGITAL E REPRES</v>
      </c>
      <c r="E2454" s="21">
        <f>IFERROR(__xludf.DUMMYFUNCTION("""COMPUTED_VALUE"""),145359.0)</f>
        <v>145359</v>
      </c>
      <c r="F2454" s="21" t="str">
        <f>IFERROR(__xludf.DUMMYFUNCTION("""COMPUTED_VALUE"""),"ANALISE DE INVENTARIO")</f>
        <v>ANALISE DE INVENTARIO</v>
      </c>
      <c r="G2454" s="23">
        <f>IFERROR(__xludf.DUMMYFUNCTION("""COMPUTED_VALUE"""),45525.96429398148)</f>
        <v>45525.96429</v>
      </c>
      <c r="H2454" s="24" t="str">
        <f>IFERROR(VLOOKUP(B2454,material!A:D,3,0),"")</f>
        <v>4K RFIP</v>
      </c>
    </row>
    <row r="2455" ht="11.25" customHeight="1">
      <c r="A2455" s="21" t="str">
        <f>IFERROR(__xludf.DUMMYFUNCTION("""COMPUTED_VALUE"""),"DECODER CARDLESS 4K UHD S4KCW5 CABO IP")</f>
        <v>DECODER CARDLESS 4K UHD S4KCW5 CABO IP</v>
      </c>
      <c r="B2455" s="22">
        <f>IFERROR(__xludf.DUMMYFUNCTION("""COMPUTED_VALUE"""),4.1001583E7)</f>
        <v>41001583</v>
      </c>
      <c r="C2455" s="21" t="str">
        <f>IFERROR(__xludf.DUMMYFUNCTION("""COMPUTED_VALUE"""),"241617784042")</f>
        <v>241617784042</v>
      </c>
      <c r="D2455" s="21" t="str">
        <f>IFERROR(__xludf.DUMMYFUNCTION("""COMPUTED_VALUE"""),"DIGITEC TECNOLOGIA DIGITAL E REPRES")</f>
        <v>DIGITEC TECNOLOGIA DIGITAL E REPRES</v>
      </c>
      <c r="E2455" s="21">
        <f>IFERROR(__xludf.DUMMYFUNCTION("""COMPUTED_VALUE"""),145359.0)</f>
        <v>145359</v>
      </c>
      <c r="F2455" s="21" t="str">
        <f>IFERROR(__xludf.DUMMYFUNCTION("""COMPUTED_VALUE"""),"ANALISE DE INVENTARIO")</f>
        <v>ANALISE DE INVENTARIO</v>
      </c>
      <c r="G2455" s="23">
        <f>IFERROR(__xludf.DUMMYFUNCTION("""COMPUTED_VALUE"""),45581.6509375)</f>
        <v>45581.65094</v>
      </c>
      <c r="H2455" s="24" t="str">
        <f>IFERROR(VLOOKUP(B2455,material!A:D,3,0),"")</f>
        <v>4K RFIP</v>
      </c>
    </row>
    <row r="2456" ht="11.25" customHeight="1">
      <c r="A2456" s="21" t="str">
        <f>IFERROR(__xludf.DUMMYFUNCTION("""COMPUTED_VALUE"""),"DECODER CARDLESS 4K UHD S4KCW3 CABO E IP")</f>
        <v>DECODER CARDLESS 4K UHD S4KCW3 CABO E IP</v>
      </c>
      <c r="B2456" s="22">
        <f>IFERROR(__xludf.DUMMYFUNCTION("""COMPUTED_VALUE"""),4.1001528E7)</f>
        <v>41001528</v>
      </c>
      <c r="C2456" s="21" t="str">
        <f>IFERROR(__xludf.DUMMYFUNCTION("""COMPUTED_VALUE"""),"230052786475")</f>
        <v>230052786475</v>
      </c>
      <c r="D2456" s="21" t="str">
        <f>IFERROR(__xludf.DUMMYFUNCTION("""COMPUTED_VALUE"""),"DIGITEC TECNOLOGIA DIGITAL E REPRES")</f>
        <v>DIGITEC TECNOLOGIA DIGITAL E REPRES</v>
      </c>
      <c r="E2456" s="21">
        <f>IFERROR(__xludf.DUMMYFUNCTION("""COMPUTED_VALUE"""),145359.0)</f>
        <v>145359</v>
      </c>
      <c r="F2456" s="21" t="str">
        <f>IFERROR(__xludf.DUMMYFUNCTION("""COMPUTED_VALUE"""),"ANALISE DE INVENTARIO")</f>
        <v>ANALISE DE INVENTARIO</v>
      </c>
      <c r="G2456" s="23">
        <f>IFERROR(__xludf.DUMMYFUNCTION("""COMPUTED_VALUE"""),45476.77990740741)</f>
        <v>45476.77991</v>
      </c>
      <c r="H2456" s="24" t="str">
        <f>IFERROR(VLOOKUP(B2456,material!A:D,3,0),"")</f>
        <v>4K RFIP</v>
      </c>
    </row>
    <row r="2457" ht="11.25" customHeight="1">
      <c r="A2457" s="21" t="str">
        <f>IFERROR(__xludf.DUMMYFUNCTION("""COMPUTED_VALUE"""),"DECODER CARDLESS 4K UHD S4KCW3 CABO E IP")</f>
        <v>DECODER CARDLESS 4K UHD S4KCW3 CABO E IP</v>
      </c>
      <c r="B2457" s="22">
        <f>IFERROR(__xludf.DUMMYFUNCTION("""COMPUTED_VALUE"""),4.1001528E7)</f>
        <v>41001528</v>
      </c>
      <c r="C2457" s="21" t="str">
        <f>IFERROR(__xludf.DUMMYFUNCTION("""COMPUTED_VALUE"""),"229981606464")</f>
        <v>229981606464</v>
      </c>
      <c r="D2457" s="21" t="str">
        <f>IFERROR(__xludf.DUMMYFUNCTION("""COMPUTED_VALUE"""),"DIGITEC TECNOLOGIA DIGITAL E REPRES")</f>
        <v>DIGITEC TECNOLOGIA DIGITAL E REPRES</v>
      </c>
      <c r="E2457" s="21">
        <f>IFERROR(__xludf.DUMMYFUNCTION("""COMPUTED_VALUE"""),145359.0)</f>
        <v>145359</v>
      </c>
      <c r="F2457" s="21" t="str">
        <f>IFERROR(__xludf.DUMMYFUNCTION("""COMPUTED_VALUE"""),"ANALISE DE INVENTARIO")</f>
        <v>ANALISE DE INVENTARIO</v>
      </c>
      <c r="G2457" s="23">
        <f>IFERROR(__xludf.DUMMYFUNCTION("""COMPUTED_VALUE"""),45573.08434027778)</f>
        <v>45573.08434</v>
      </c>
      <c r="H2457" s="24" t="str">
        <f>IFERROR(VLOOKUP(B2457,material!A:D,3,0),"")</f>
        <v>4K RFIP</v>
      </c>
    </row>
    <row r="2458" ht="11.25" customHeight="1">
      <c r="A2458" s="21" t="str">
        <f>IFERROR(__xludf.DUMMYFUNCTION("""COMPUTED_VALUE"""),"MODEM VOIP EMTA WIFI 3.1 TC3102 32X8")</f>
        <v>MODEM VOIP EMTA WIFI 3.1 TC3102 32X8</v>
      </c>
      <c r="B2458" s="22">
        <f>IFERROR(__xludf.DUMMYFUNCTION("""COMPUTED_VALUE"""),4.1001513E7)</f>
        <v>41001513</v>
      </c>
      <c r="C2458" s="21" t="str">
        <f>IFERROR(__xludf.DUMMYFUNCTION("""COMPUTED_VALUE"""),"ECA81F20CD14")</f>
        <v>ECA81F20CD14</v>
      </c>
      <c r="D2458" s="21" t="str">
        <f>IFERROR(__xludf.DUMMYFUNCTION("""COMPUTED_VALUE"""),"DIGITEC TECNOLOGIA DIGITAL E REPRES")</f>
        <v>DIGITEC TECNOLOGIA DIGITAL E REPRES</v>
      </c>
      <c r="E2458" s="21">
        <f>IFERROR(__xludf.DUMMYFUNCTION("""COMPUTED_VALUE"""),145359.0)</f>
        <v>145359</v>
      </c>
      <c r="F2458" s="21" t="str">
        <f>IFERROR(__xludf.DUMMYFUNCTION("""COMPUTED_VALUE"""),"ANALISE DE INVENTARIO")</f>
        <v>ANALISE DE INVENTARIO</v>
      </c>
      <c r="G2458" s="23">
        <f>IFERROR(__xludf.DUMMYFUNCTION("""COMPUTED_VALUE"""),45593.88842592592)</f>
        <v>45593.88843</v>
      </c>
      <c r="H2458" s="24" t="str">
        <f>IFERROR(VLOOKUP(B2458,material!A:D,3,0),"")</f>
        <v>3.1</v>
      </c>
    </row>
    <row r="2459" ht="11.25" customHeight="1">
      <c r="A2459" s="21" t="str">
        <f>IFERROR(__xludf.DUMMYFUNCTION("""COMPUTED_VALUE"""),"MODEM VOIP EMTA WIFI 3.1 TC3102 32X8")</f>
        <v>MODEM VOIP EMTA WIFI 3.1 TC3102 32X8</v>
      </c>
      <c r="B2459" s="22">
        <f>IFERROR(__xludf.DUMMYFUNCTION("""COMPUTED_VALUE"""),4.1001513E7)</f>
        <v>41001513</v>
      </c>
      <c r="C2459" s="21" t="str">
        <f>IFERROR(__xludf.DUMMYFUNCTION("""COMPUTED_VALUE"""),"B85E71C2F8A8")</f>
        <v>B85E71C2F8A8</v>
      </c>
      <c r="D2459" s="21" t="str">
        <f>IFERROR(__xludf.DUMMYFUNCTION("""COMPUTED_VALUE"""),"DIGITEC TECNOLOGIA DIGITAL E REPRES")</f>
        <v>DIGITEC TECNOLOGIA DIGITAL E REPRES</v>
      </c>
      <c r="E2459" s="21">
        <f>IFERROR(__xludf.DUMMYFUNCTION("""COMPUTED_VALUE"""),145359.0)</f>
        <v>145359</v>
      </c>
      <c r="F2459" s="21" t="str">
        <f>IFERROR(__xludf.DUMMYFUNCTION("""COMPUTED_VALUE"""),"ANALISE DE INVENTARIO")</f>
        <v>ANALISE DE INVENTARIO</v>
      </c>
      <c r="G2459" s="23">
        <f>IFERROR(__xludf.DUMMYFUNCTION("""COMPUTED_VALUE"""),45629.826261574075)</f>
        <v>45629.82626</v>
      </c>
      <c r="H2459" s="24" t="str">
        <f>IFERROR(VLOOKUP(B2459,material!A:D,3,0),"")</f>
        <v>3.1</v>
      </c>
    </row>
    <row r="2460" ht="11.25" customHeight="1">
      <c r="A2460" s="21" t="str">
        <f>IFERROR(__xludf.DUMMYFUNCTION("""COMPUTED_VALUE"""),"MODEM VOIP EMTA WIFI 3.1 FAST3895")</f>
        <v>MODEM VOIP EMTA WIFI 3.1 FAST3895</v>
      </c>
      <c r="B2460" s="22">
        <f>IFERROR(__xludf.DUMMYFUNCTION("""COMPUTED_VALUE"""),4.1001504E7)</f>
        <v>41001504</v>
      </c>
      <c r="C2460" s="21" t="str">
        <f>IFERROR(__xludf.DUMMYFUNCTION("""COMPUTED_VALUE"""),"E4C0E23F3825")</f>
        <v>E4C0E23F3825</v>
      </c>
      <c r="D2460" s="21" t="str">
        <f>IFERROR(__xludf.DUMMYFUNCTION("""COMPUTED_VALUE"""),"DIGITEC TECNOLOGIA DIGITAL E REPRES")</f>
        <v>DIGITEC TECNOLOGIA DIGITAL E REPRES</v>
      </c>
      <c r="E2460" s="21">
        <f>IFERROR(__xludf.DUMMYFUNCTION("""COMPUTED_VALUE"""),145359.0)</f>
        <v>145359</v>
      </c>
      <c r="F2460" s="21" t="str">
        <f>IFERROR(__xludf.DUMMYFUNCTION("""COMPUTED_VALUE"""),"ANALISE DE INVENTARIO")</f>
        <v>ANALISE DE INVENTARIO</v>
      </c>
      <c r="G2460" s="23">
        <f>IFERROR(__xludf.DUMMYFUNCTION("""COMPUTED_VALUE"""),45499.09809027778)</f>
        <v>45499.09809</v>
      </c>
      <c r="H2460" s="24" t="str">
        <f>IFERROR(VLOOKUP(B2460,material!A:D,3,0),"")</f>
        <v>3.1</v>
      </c>
    </row>
    <row r="2461" ht="11.25" customHeight="1">
      <c r="A2461" s="21" t="str">
        <f>IFERROR(__xludf.DUMMYFUNCTION("""COMPUTED_VALUE"""),"MODEM VOIP EMTA WIFI 3.1 FAST3895")</f>
        <v>MODEM VOIP EMTA WIFI 3.1 FAST3895</v>
      </c>
      <c r="B2461" s="22">
        <f>IFERROR(__xludf.DUMMYFUNCTION("""COMPUTED_VALUE"""),4.1001504E7)</f>
        <v>41001504</v>
      </c>
      <c r="C2461" s="21" t="str">
        <f>IFERROR(__xludf.DUMMYFUNCTION("""COMPUTED_VALUE"""),"D833B71F1B0D")</f>
        <v>D833B71F1B0D</v>
      </c>
      <c r="D2461" s="21" t="str">
        <f>IFERROR(__xludf.DUMMYFUNCTION("""COMPUTED_VALUE"""),"DIGITEC TECNOLOGIA DIGITAL E REPRES")</f>
        <v>DIGITEC TECNOLOGIA DIGITAL E REPRES</v>
      </c>
      <c r="E2461" s="21">
        <f>IFERROR(__xludf.DUMMYFUNCTION("""COMPUTED_VALUE"""),145359.0)</f>
        <v>145359</v>
      </c>
      <c r="F2461" s="21" t="str">
        <f>IFERROR(__xludf.DUMMYFUNCTION("""COMPUTED_VALUE"""),"ANALISE DE INVENTARIO")</f>
        <v>ANALISE DE INVENTARIO</v>
      </c>
      <c r="G2461" s="23">
        <f>IFERROR(__xludf.DUMMYFUNCTION("""COMPUTED_VALUE"""),45581.64072916667)</f>
        <v>45581.64073</v>
      </c>
      <c r="H2461" s="24" t="str">
        <f>IFERROR(VLOOKUP(B2461,material!A:D,3,0),"")</f>
        <v>3.1</v>
      </c>
    </row>
    <row r="2462" ht="11.25" customHeight="1">
      <c r="A2462" s="21" t="str">
        <f>IFERROR(__xludf.DUMMYFUNCTION("""COMPUTED_VALUE"""),"MODEM VOIP EMTA WIFI 3.1 FAST3895")</f>
        <v>MODEM VOIP EMTA WIFI 3.1 FAST3895</v>
      </c>
      <c r="B2462" s="22">
        <f>IFERROR(__xludf.DUMMYFUNCTION("""COMPUTED_VALUE"""),4.1001504E7)</f>
        <v>41001504</v>
      </c>
      <c r="C2462" s="21" t="str">
        <f>IFERROR(__xludf.DUMMYFUNCTION("""COMPUTED_VALUE"""),"6CBAB8F1D9C4")</f>
        <v>6CBAB8F1D9C4</v>
      </c>
      <c r="D2462" s="21" t="str">
        <f>IFERROR(__xludf.DUMMYFUNCTION("""COMPUTED_VALUE"""),"DIGITEC TECNOLOGIA DIGITAL E REPRES")</f>
        <v>DIGITEC TECNOLOGIA DIGITAL E REPRES</v>
      </c>
      <c r="E2462" s="21">
        <f>IFERROR(__xludf.DUMMYFUNCTION("""COMPUTED_VALUE"""),145359.0)</f>
        <v>145359</v>
      </c>
      <c r="F2462" s="21" t="str">
        <f>IFERROR(__xludf.DUMMYFUNCTION("""COMPUTED_VALUE"""),"ANALISE DE INVENTARIO")</f>
        <v>ANALISE DE INVENTARIO</v>
      </c>
      <c r="G2462" s="23">
        <f>IFERROR(__xludf.DUMMYFUNCTION("""COMPUTED_VALUE"""),45517.89643518519)</f>
        <v>45517.89644</v>
      </c>
      <c r="H2462" s="24" t="str">
        <f>IFERROR(VLOOKUP(B2462,material!A:D,3,0),"")</f>
        <v>3.1</v>
      </c>
    </row>
    <row r="2463" ht="11.25" customHeight="1">
      <c r="A2463" s="21" t="str">
        <f>IFERROR(__xludf.DUMMYFUNCTION("""COMPUTED_VALUE"""),"MODEM VOIP EMTA WIFI 3.1 FAST3895")</f>
        <v>MODEM VOIP EMTA WIFI 3.1 FAST3895</v>
      </c>
      <c r="B2463" s="22">
        <f>IFERROR(__xludf.DUMMYFUNCTION("""COMPUTED_VALUE"""),4.1001504E7)</f>
        <v>41001504</v>
      </c>
      <c r="C2463" s="21" t="str">
        <f>IFERROR(__xludf.DUMMYFUNCTION("""COMPUTED_VALUE"""),"48295245B933")</f>
        <v>48295245B933</v>
      </c>
      <c r="D2463" s="21" t="str">
        <f>IFERROR(__xludf.DUMMYFUNCTION("""COMPUTED_VALUE"""),"DIGITEC TECNOLOGIA DIGITAL E REPRES")</f>
        <v>DIGITEC TECNOLOGIA DIGITAL E REPRES</v>
      </c>
      <c r="E2463" s="21">
        <f>IFERROR(__xludf.DUMMYFUNCTION("""COMPUTED_VALUE"""),145359.0)</f>
        <v>145359</v>
      </c>
      <c r="F2463" s="21" t="str">
        <f>IFERROR(__xludf.DUMMYFUNCTION("""COMPUTED_VALUE"""),"ANALISE DE INVENTARIO")</f>
        <v>ANALISE DE INVENTARIO</v>
      </c>
      <c r="G2463" s="23">
        <f>IFERROR(__xludf.DUMMYFUNCTION("""COMPUTED_VALUE"""),45525.94530092593)</f>
        <v>45525.9453</v>
      </c>
      <c r="H2463" s="24" t="str">
        <f>IFERROR(VLOOKUP(B2463,material!A:D,3,0),"")</f>
        <v>3.1</v>
      </c>
    </row>
    <row r="2464" ht="11.25" customHeight="1">
      <c r="A2464" s="21" t="str">
        <f>IFERROR(__xludf.DUMMYFUNCTION("""COMPUTED_VALUE"""),"MODEM VOIP EMTA WIFI 3.1 FAST3895")</f>
        <v>MODEM VOIP EMTA WIFI 3.1 FAST3895</v>
      </c>
      <c r="B2464" s="22">
        <f>IFERROR(__xludf.DUMMYFUNCTION("""COMPUTED_VALUE"""),4.1001504E7)</f>
        <v>41001504</v>
      </c>
      <c r="C2464" s="21" t="str">
        <f>IFERROR(__xludf.DUMMYFUNCTION("""COMPUTED_VALUE"""),"841EA3693B3D")</f>
        <v>841EA3693B3D</v>
      </c>
      <c r="D2464" s="21" t="str">
        <f>IFERROR(__xludf.DUMMYFUNCTION("""COMPUTED_VALUE"""),"DIGITEC TECNOLOGIA DIGITAL E REPRES")</f>
        <v>DIGITEC TECNOLOGIA DIGITAL E REPRES</v>
      </c>
      <c r="E2464" s="21">
        <f>IFERROR(__xludf.DUMMYFUNCTION("""COMPUTED_VALUE"""),145359.0)</f>
        <v>145359</v>
      </c>
      <c r="F2464" s="21" t="str">
        <f>IFERROR(__xludf.DUMMYFUNCTION("""COMPUTED_VALUE"""),"ANALISE DE INVENTARIO")</f>
        <v>ANALISE DE INVENTARIO</v>
      </c>
      <c r="G2464" s="23">
        <f>IFERROR(__xludf.DUMMYFUNCTION("""COMPUTED_VALUE"""),45453.48269675926)</f>
        <v>45453.4827</v>
      </c>
      <c r="H2464" s="24" t="str">
        <f>IFERROR(VLOOKUP(B2464,material!A:D,3,0),"")</f>
        <v>3.1</v>
      </c>
    </row>
    <row r="2465" ht="11.25" customHeight="1">
      <c r="A2465" s="21" t="str">
        <f>IFERROR(__xludf.DUMMYFUNCTION("""COMPUTED_VALUE"""),"MODEM VOIP EMTA WIFI 3.1 FAST3895")</f>
        <v>MODEM VOIP EMTA WIFI 3.1 FAST3895</v>
      </c>
      <c r="B2465" s="22">
        <f>IFERROR(__xludf.DUMMYFUNCTION("""COMPUTED_VALUE"""),4.1001504E7)</f>
        <v>41001504</v>
      </c>
      <c r="C2465" s="21" t="str">
        <f>IFERROR(__xludf.DUMMYFUNCTION("""COMPUTED_VALUE"""),"48295245BCCF")</f>
        <v>48295245BCCF</v>
      </c>
      <c r="D2465" s="21" t="str">
        <f>IFERROR(__xludf.DUMMYFUNCTION("""COMPUTED_VALUE"""),"DIGITEC TECNOLOGIA DIGITAL E REPRES")</f>
        <v>DIGITEC TECNOLOGIA DIGITAL E REPRES</v>
      </c>
      <c r="E2465" s="21">
        <f>IFERROR(__xludf.DUMMYFUNCTION("""COMPUTED_VALUE"""),145359.0)</f>
        <v>145359</v>
      </c>
      <c r="F2465" s="21" t="str">
        <f>IFERROR(__xludf.DUMMYFUNCTION("""COMPUTED_VALUE"""),"ANALISE DE INVENTARIO")</f>
        <v>ANALISE DE INVENTARIO</v>
      </c>
      <c r="G2465" s="23">
        <f>IFERROR(__xludf.DUMMYFUNCTION("""COMPUTED_VALUE"""),45476.76712962963)</f>
        <v>45476.76713</v>
      </c>
      <c r="H2465" s="24" t="str">
        <f>IFERROR(VLOOKUP(B2465,material!A:D,3,0),"")</f>
        <v>3.1</v>
      </c>
    </row>
    <row r="2466" ht="11.25" customHeight="1">
      <c r="A2466" s="21" t="str">
        <f>IFERROR(__xludf.DUMMYFUNCTION("""COMPUTED_VALUE"""),"MODEM VOIP EMTA WIFI 3.1 FAST3895")</f>
        <v>MODEM VOIP EMTA WIFI 3.1 FAST3895</v>
      </c>
      <c r="B2466" s="22">
        <f>IFERROR(__xludf.DUMMYFUNCTION("""COMPUTED_VALUE"""),4.1001504E7)</f>
        <v>41001504</v>
      </c>
      <c r="C2466" s="21" t="str">
        <f>IFERROR(__xludf.DUMMYFUNCTION("""COMPUTED_VALUE"""),"E8D2FF961A46")</f>
        <v>E8D2FF961A46</v>
      </c>
      <c r="D2466" s="21" t="str">
        <f>IFERROR(__xludf.DUMMYFUNCTION("""COMPUTED_VALUE"""),"DIGITEC TECNOLOGIA DIGITAL E REPRES")</f>
        <v>DIGITEC TECNOLOGIA DIGITAL E REPRES</v>
      </c>
      <c r="E2466" s="21">
        <f>IFERROR(__xludf.DUMMYFUNCTION("""COMPUTED_VALUE"""),145359.0)</f>
        <v>145359</v>
      </c>
      <c r="F2466" s="21" t="str">
        <f>IFERROR(__xludf.DUMMYFUNCTION("""COMPUTED_VALUE"""),"ANALISE DE INVENTARIO")</f>
        <v>ANALISE DE INVENTARIO</v>
      </c>
      <c r="G2466" s="23">
        <f>IFERROR(__xludf.DUMMYFUNCTION("""COMPUTED_VALUE"""),45581.64072916667)</f>
        <v>45581.64073</v>
      </c>
      <c r="H2466" s="24" t="str">
        <f>IFERROR(VLOOKUP(B2466,material!A:D,3,0),"")</f>
        <v>3.1</v>
      </c>
    </row>
    <row r="2467" ht="11.25" customHeight="1">
      <c r="A2467" s="21" t="str">
        <f>IFERROR(__xludf.DUMMYFUNCTION("""COMPUTED_VALUE"""),"MODEM VOIP EMTA WIFI 3.1 FAST3895")</f>
        <v>MODEM VOIP EMTA WIFI 3.1 FAST3895</v>
      </c>
      <c r="B2467" s="22">
        <f>IFERROR(__xludf.DUMMYFUNCTION("""COMPUTED_VALUE"""),4.1001504E7)</f>
        <v>41001504</v>
      </c>
      <c r="C2467" s="21" t="str">
        <f>IFERROR(__xludf.DUMMYFUNCTION("""COMPUTED_VALUE"""),"841EA38DC989")</f>
        <v>841EA38DC989</v>
      </c>
      <c r="D2467" s="21" t="str">
        <f>IFERROR(__xludf.DUMMYFUNCTION("""COMPUTED_VALUE"""),"DIGITEC TECNOLOGIA DIGITAL E REPRES")</f>
        <v>DIGITEC TECNOLOGIA DIGITAL E REPRES</v>
      </c>
      <c r="E2467" s="21">
        <f>IFERROR(__xludf.DUMMYFUNCTION("""COMPUTED_VALUE"""),145359.0)</f>
        <v>145359</v>
      </c>
      <c r="F2467" s="21" t="str">
        <f>IFERROR(__xludf.DUMMYFUNCTION("""COMPUTED_VALUE"""),"ANALISE DE INVENTARIO")</f>
        <v>ANALISE DE INVENTARIO</v>
      </c>
      <c r="G2467" s="23">
        <f>IFERROR(__xludf.DUMMYFUNCTION("""COMPUTED_VALUE"""),45525.94530092593)</f>
        <v>45525.9453</v>
      </c>
      <c r="H2467" s="24" t="str">
        <f>IFERROR(VLOOKUP(B2467,material!A:D,3,0),"")</f>
        <v>3.1</v>
      </c>
    </row>
    <row r="2468" ht="11.25" customHeight="1">
      <c r="A2468" s="21" t="str">
        <f>IFERROR(__xludf.DUMMYFUNCTION("""COMPUTED_VALUE"""),"MODEM VOIP EMTA WIFI 3.1 FAST3895")</f>
        <v>MODEM VOIP EMTA WIFI 3.1 FAST3895</v>
      </c>
      <c r="B2468" s="22">
        <f>IFERROR(__xludf.DUMMYFUNCTION("""COMPUTED_VALUE"""),4.1001504E7)</f>
        <v>41001504</v>
      </c>
      <c r="C2468" s="21" t="str">
        <f>IFERROR(__xludf.DUMMYFUNCTION("""COMPUTED_VALUE"""),"582FF79C4D03")</f>
        <v>582FF79C4D03</v>
      </c>
      <c r="D2468" s="21" t="str">
        <f>IFERROR(__xludf.DUMMYFUNCTION("""COMPUTED_VALUE"""),"DIGITEC TECNOLOGIA DIGITAL E REPRES")</f>
        <v>DIGITEC TECNOLOGIA DIGITAL E REPRES</v>
      </c>
      <c r="E2468" s="21">
        <f>IFERROR(__xludf.DUMMYFUNCTION("""COMPUTED_VALUE"""),145359.0)</f>
        <v>145359</v>
      </c>
      <c r="F2468" s="21" t="str">
        <f>IFERROR(__xludf.DUMMYFUNCTION("""COMPUTED_VALUE"""),"ANALISE DE INVENTARIO")</f>
        <v>ANALISE DE INVENTARIO</v>
      </c>
      <c r="G2468" s="23">
        <f>IFERROR(__xludf.DUMMYFUNCTION("""COMPUTED_VALUE"""),45489.0453587963)</f>
        <v>45489.04536</v>
      </c>
      <c r="H2468" s="24" t="str">
        <f>IFERROR(VLOOKUP(B2468,material!A:D,3,0),"")</f>
        <v>3.1</v>
      </c>
    </row>
    <row r="2469" ht="11.25" customHeight="1">
      <c r="A2469" s="21" t="str">
        <f>IFERROR(__xludf.DUMMYFUNCTION("""COMPUTED_VALUE"""),"MODEM VOIP EMTA WIFI 3.1 FAST3895")</f>
        <v>MODEM VOIP EMTA WIFI 3.1 FAST3895</v>
      </c>
      <c r="B2469" s="22">
        <f>IFERROR(__xludf.DUMMYFUNCTION("""COMPUTED_VALUE"""),4.1001504E7)</f>
        <v>41001504</v>
      </c>
      <c r="C2469" s="21" t="str">
        <f>IFERROR(__xludf.DUMMYFUNCTION("""COMPUTED_VALUE"""),"582FF7973B1D")</f>
        <v>582FF7973B1D</v>
      </c>
      <c r="D2469" s="21" t="str">
        <f>IFERROR(__xludf.DUMMYFUNCTION("""COMPUTED_VALUE"""),"DIGITEC TECNOLOGIA DIGITAL E REPRES")</f>
        <v>DIGITEC TECNOLOGIA DIGITAL E REPRES</v>
      </c>
      <c r="E2469" s="21">
        <f>IFERROR(__xludf.DUMMYFUNCTION("""COMPUTED_VALUE"""),145359.0)</f>
        <v>145359</v>
      </c>
      <c r="F2469" s="21" t="str">
        <f>IFERROR(__xludf.DUMMYFUNCTION("""COMPUTED_VALUE"""),"ANALISE DE INVENTARIO")</f>
        <v>ANALISE DE INVENTARIO</v>
      </c>
      <c r="G2469" s="23">
        <f>IFERROR(__xludf.DUMMYFUNCTION("""COMPUTED_VALUE"""),45489.0453587963)</f>
        <v>45489.04536</v>
      </c>
      <c r="H2469" s="24" t="str">
        <f>IFERROR(VLOOKUP(B2469,material!A:D,3,0),"")</f>
        <v>3.1</v>
      </c>
    </row>
    <row r="2470" ht="11.25" customHeight="1">
      <c r="A2470" s="21" t="str">
        <f>IFERROR(__xludf.DUMMYFUNCTION("""COMPUTED_VALUE"""),"MODEM VOIP EMTA WIFI 3.1 CH8568")</f>
        <v>MODEM VOIP EMTA WIFI 3.1 CH8568</v>
      </c>
      <c r="B2470" s="22">
        <f>IFERROR(__xludf.DUMMYFUNCTION("""COMPUTED_VALUE"""),4.1001485E7)</f>
        <v>41001485</v>
      </c>
      <c r="C2470" s="21" t="str">
        <f>IFERROR(__xludf.DUMMYFUNCTION("""COMPUTED_VALUE"""),"6802B8AAB1C1")</f>
        <v>6802B8AAB1C1</v>
      </c>
      <c r="D2470" s="21" t="str">
        <f>IFERROR(__xludf.DUMMYFUNCTION("""COMPUTED_VALUE"""),"DIGITEC TECNOLOGIA DIGITAL E REPRES")</f>
        <v>DIGITEC TECNOLOGIA DIGITAL E REPRES</v>
      </c>
      <c r="E2470" s="21">
        <f>IFERROR(__xludf.DUMMYFUNCTION("""COMPUTED_VALUE"""),145359.0)</f>
        <v>145359</v>
      </c>
      <c r="F2470" s="21" t="str">
        <f>IFERROR(__xludf.DUMMYFUNCTION("""COMPUTED_VALUE"""),"ANALISE DE INVENTARIO")</f>
        <v>ANALISE DE INVENTARIO</v>
      </c>
      <c r="G2470" s="23">
        <f>IFERROR(__xludf.DUMMYFUNCTION("""COMPUTED_VALUE"""),45593.89157407408)</f>
        <v>45593.89157</v>
      </c>
      <c r="H2470" s="24" t="str">
        <f>IFERROR(VLOOKUP(B2470,material!A:D,3,0),"")</f>
        <v>3.1</v>
      </c>
    </row>
    <row r="2471" ht="11.25" customHeight="1">
      <c r="A2471" s="21" t="str">
        <f>IFERROR(__xludf.DUMMYFUNCTION("""COMPUTED_VALUE"""),"MODEM VOIP EMTA WIFI 3.1 CH8568")</f>
        <v>MODEM VOIP EMTA WIFI 3.1 CH8568</v>
      </c>
      <c r="B2471" s="22">
        <f>IFERROR(__xludf.DUMMYFUNCTION("""COMPUTED_VALUE"""),4.1001485E7)</f>
        <v>41001485</v>
      </c>
      <c r="C2471" s="21" t="str">
        <f>IFERROR(__xludf.DUMMYFUNCTION("""COMPUTED_VALUE"""),"6802B8ACB3E7")</f>
        <v>6802B8ACB3E7</v>
      </c>
      <c r="D2471" s="21" t="str">
        <f>IFERROR(__xludf.DUMMYFUNCTION("""COMPUTED_VALUE"""),"DIGITEC TECNOLOGIA DIGITAL E REPRES")</f>
        <v>DIGITEC TECNOLOGIA DIGITAL E REPRES</v>
      </c>
      <c r="E2471" s="21">
        <f>IFERROR(__xludf.DUMMYFUNCTION("""COMPUTED_VALUE"""),145359.0)</f>
        <v>145359</v>
      </c>
      <c r="F2471" s="21" t="str">
        <f>IFERROR(__xludf.DUMMYFUNCTION("""COMPUTED_VALUE"""),"ANALISE DE INVENTARIO")</f>
        <v>ANALISE DE INVENTARIO</v>
      </c>
      <c r="G2471" s="23">
        <f>IFERROR(__xludf.DUMMYFUNCTION("""COMPUTED_VALUE"""),45460.5215625)</f>
        <v>45460.52156</v>
      </c>
      <c r="H2471" s="24" t="str">
        <f>IFERROR(VLOOKUP(B2471,material!A:D,3,0),"")</f>
        <v>3.1</v>
      </c>
    </row>
    <row r="2472" ht="11.25" customHeight="1">
      <c r="A2472" s="21" t="str">
        <f>IFERROR(__xludf.DUMMYFUNCTION("""COMPUTED_VALUE"""),"MODEM VOIP EMTA WIFI 3.1 CG3000")</f>
        <v>MODEM VOIP EMTA WIFI 3.1 CG3000</v>
      </c>
      <c r="B2472" s="22">
        <f>IFERROR(__xludf.DUMMYFUNCTION("""COMPUTED_VALUE"""),4.1001486E7)</f>
        <v>41001486</v>
      </c>
      <c r="C2472" s="21" t="str">
        <f>IFERROR(__xludf.DUMMYFUNCTION("""COMPUTED_VALUE"""),"840112378093")</f>
        <v>840112378093</v>
      </c>
      <c r="D2472" s="21" t="str">
        <f>IFERROR(__xludf.DUMMYFUNCTION("""COMPUTED_VALUE"""),"DIGITEC TECNOLOGIA DIGITAL E REPRES")</f>
        <v>DIGITEC TECNOLOGIA DIGITAL E REPRES</v>
      </c>
      <c r="E2472" s="21">
        <f>IFERROR(__xludf.DUMMYFUNCTION("""COMPUTED_VALUE"""),145359.0)</f>
        <v>145359</v>
      </c>
      <c r="F2472" s="21" t="str">
        <f>IFERROR(__xludf.DUMMYFUNCTION("""COMPUTED_VALUE"""),"ANALISE DE INVENTARIO")</f>
        <v>ANALISE DE INVENTARIO</v>
      </c>
      <c r="G2472" s="23">
        <f>IFERROR(__xludf.DUMMYFUNCTION("""COMPUTED_VALUE"""),45476.7671412037)</f>
        <v>45476.76714</v>
      </c>
      <c r="H2472" s="24" t="str">
        <f>IFERROR(VLOOKUP(B2472,material!A:D,3,0),"")</f>
        <v>3.1</v>
      </c>
    </row>
    <row r="2473" ht="11.25" customHeight="1">
      <c r="A2473" s="21" t="str">
        <f>IFERROR(__xludf.DUMMYFUNCTION("""COMPUTED_VALUE"""),"MODEM VOIP EMTA WIFI 3.1 CG3000")</f>
        <v>MODEM VOIP EMTA WIFI 3.1 CG3000</v>
      </c>
      <c r="B2473" s="22">
        <f>IFERROR(__xludf.DUMMYFUNCTION("""COMPUTED_VALUE"""),4.1001486E7)</f>
        <v>41001486</v>
      </c>
      <c r="C2473" s="21" t="str">
        <f>IFERROR(__xludf.DUMMYFUNCTION("""COMPUTED_VALUE"""),"8401125FC1A2")</f>
        <v>8401125FC1A2</v>
      </c>
      <c r="D2473" s="21" t="str">
        <f>IFERROR(__xludf.DUMMYFUNCTION("""COMPUTED_VALUE"""),"DIGITEC TECNOLOGIA DIGITAL E REPRES")</f>
        <v>DIGITEC TECNOLOGIA DIGITAL E REPRES</v>
      </c>
      <c r="E2473" s="21">
        <f>IFERROR(__xludf.DUMMYFUNCTION("""COMPUTED_VALUE"""),145359.0)</f>
        <v>145359</v>
      </c>
      <c r="F2473" s="21" t="str">
        <f>IFERROR(__xludf.DUMMYFUNCTION("""COMPUTED_VALUE"""),"ANALISE DE INVENTARIO")</f>
        <v>ANALISE DE INVENTARIO</v>
      </c>
      <c r="G2473" s="23">
        <f>IFERROR(__xludf.DUMMYFUNCTION("""COMPUTED_VALUE"""),45596.67307870371)</f>
        <v>45596.67308</v>
      </c>
      <c r="H2473" s="24" t="str">
        <f>IFERROR(VLOOKUP(B2473,material!A:D,3,0),"")</f>
        <v>3.1</v>
      </c>
    </row>
    <row r="2474" ht="11.25" customHeight="1">
      <c r="A2474" s="21" t="str">
        <f>IFERROR(__xludf.DUMMYFUNCTION("""COMPUTED_VALUE"""),"MODEM VOIP EMTA WIFI 3.1 HGJ310")</f>
        <v>MODEM VOIP EMTA WIFI 3.1 HGJ310</v>
      </c>
      <c r="B2474" s="22">
        <f>IFERROR(__xludf.DUMMYFUNCTION("""COMPUTED_VALUE"""),4.1001481E7)</f>
        <v>41001481</v>
      </c>
      <c r="C2474" s="21" t="str">
        <f>IFERROR(__xludf.DUMMYFUNCTION("""COMPUTED_VALUE"""),"C85D3811E436")</f>
        <v>C85D3811E436</v>
      </c>
      <c r="D2474" s="21" t="str">
        <f>IFERROR(__xludf.DUMMYFUNCTION("""COMPUTED_VALUE"""),"DIGITEC TECNOLOGIA DIGITAL E REPRES")</f>
        <v>DIGITEC TECNOLOGIA DIGITAL E REPRES</v>
      </c>
      <c r="E2474" s="21">
        <f>IFERROR(__xludf.DUMMYFUNCTION("""COMPUTED_VALUE"""),145359.0)</f>
        <v>145359</v>
      </c>
      <c r="F2474" s="21" t="str">
        <f>IFERROR(__xludf.DUMMYFUNCTION("""COMPUTED_VALUE"""),"ANALISE DE INVENTARIO")</f>
        <v>ANALISE DE INVENTARIO</v>
      </c>
      <c r="G2474" s="23">
        <f>IFERROR(__xludf.DUMMYFUNCTION("""COMPUTED_VALUE"""),45581.63663194445)</f>
        <v>45581.63663</v>
      </c>
      <c r="H2474" s="24" t="str">
        <f>IFERROR(VLOOKUP(B2474,material!A:D,3,0),"")</f>
        <v>3.1</v>
      </c>
    </row>
    <row r="2475" ht="11.25" customHeight="1">
      <c r="A2475" s="21" t="str">
        <f>IFERROR(__xludf.DUMMYFUNCTION("""COMPUTED_VALUE"""),"MODEM VOIP EMTA WIFI 3.1 HGJ310")</f>
        <v>MODEM VOIP EMTA WIFI 3.1 HGJ310</v>
      </c>
      <c r="B2475" s="22">
        <f>IFERROR(__xludf.DUMMYFUNCTION("""COMPUTED_VALUE"""),4.1001481E7)</f>
        <v>41001481</v>
      </c>
      <c r="C2475" s="21" t="str">
        <f>IFERROR(__xludf.DUMMYFUNCTION("""COMPUTED_VALUE"""),"C85D387F4853")</f>
        <v>C85D387F4853</v>
      </c>
      <c r="D2475" s="21" t="str">
        <f>IFERROR(__xludf.DUMMYFUNCTION("""COMPUTED_VALUE"""),"DIGITEC TECNOLOGIA DIGITAL E REPRES")</f>
        <v>DIGITEC TECNOLOGIA DIGITAL E REPRES</v>
      </c>
      <c r="E2475" s="21">
        <f>IFERROR(__xludf.DUMMYFUNCTION("""COMPUTED_VALUE"""),145359.0)</f>
        <v>145359</v>
      </c>
      <c r="F2475" s="21" t="str">
        <f>IFERROR(__xludf.DUMMYFUNCTION("""COMPUTED_VALUE"""),"ANALISE DE INVENTARIO")</f>
        <v>ANALISE DE INVENTARIO</v>
      </c>
      <c r="G2475" s="23">
        <f>IFERROR(__xludf.DUMMYFUNCTION("""COMPUTED_VALUE"""),45476.76188657407)</f>
        <v>45476.76189</v>
      </c>
      <c r="H2475" s="24" t="str">
        <f>IFERROR(VLOOKUP(B2475,material!A:D,3,0),"")</f>
        <v>3.1</v>
      </c>
    </row>
    <row r="2476" ht="11.25" customHeight="1">
      <c r="A2476" s="21" t="str">
        <f>IFERROR(__xludf.DUMMYFUNCTION("""COMPUTED_VALUE"""),"MODEM VOIP EMTA WIFI 3.1 HGJ310")</f>
        <v>MODEM VOIP EMTA WIFI 3.1 HGJ310</v>
      </c>
      <c r="B2476" s="22">
        <f>IFERROR(__xludf.DUMMYFUNCTION("""COMPUTED_VALUE"""),4.1001481E7)</f>
        <v>41001481</v>
      </c>
      <c r="C2476" s="21" t="str">
        <f>IFERROR(__xludf.DUMMYFUNCTION("""COMPUTED_VALUE"""),"8C444FEB37E6")</f>
        <v>8C444FEB37E6</v>
      </c>
      <c r="D2476" s="21" t="str">
        <f>IFERROR(__xludf.DUMMYFUNCTION("""COMPUTED_VALUE"""),"DIGITEC TECNOLOGIA DIGITAL E REPRES")</f>
        <v>DIGITEC TECNOLOGIA DIGITAL E REPRES</v>
      </c>
      <c r="E2476" s="21">
        <f>IFERROR(__xludf.DUMMYFUNCTION("""COMPUTED_VALUE"""),145359.0)</f>
        <v>145359</v>
      </c>
      <c r="F2476" s="21" t="str">
        <f>IFERROR(__xludf.DUMMYFUNCTION("""COMPUTED_VALUE"""),"ANALISE DE INVENTARIO")</f>
        <v>ANALISE DE INVENTARIO</v>
      </c>
      <c r="G2476" s="23">
        <f>IFERROR(__xludf.DUMMYFUNCTION("""COMPUTED_VALUE"""),45390.47122685185)</f>
        <v>45390.47123</v>
      </c>
      <c r="H2476" s="24" t="str">
        <f>IFERROR(VLOOKUP(B2476,material!A:D,3,0),"")</f>
        <v>3.1</v>
      </c>
    </row>
    <row r="2477" ht="11.25" customHeight="1">
      <c r="A2477" s="21" t="str">
        <f>IFERROR(__xludf.DUMMYFUNCTION("""COMPUTED_VALUE"""),"MODEM VOIP EMTA WIFI 3.1 HGJ310")</f>
        <v>MODEM VOIP EMTA WIFI 3.1 HGJ310</v>
      </c>
      <c r="B2477" s="22">
        <f>IFERROR(__xludf.DUMMYFUNCTION("""COMPUTED_VALUE"""),4.1001481E7)</f>
        <v>41001481</v>
      </c>
      <c r="C2477" s="21" t="str">
        <f>IFERROR(__xludf.DUMMYFUNCTION("""COMPUTED_VALUE"""),"C85D38A1AA2E")</f>
        <v>C85D38A1AA2E</v>
      </c>
      <c r="D2477" s="21" t="str">
        <f>IFERROR(__xludf.DUMMYFUNCTION("""COMPUTED_VALUE"""),"DIGITEC TECNOLOGIA DIGITAL E REPRES")</f>
        <v>DIGITEC TECNOLOGIA DIGITAL E REPRES</v>
      </c>
      <c r="E2477" s="21">
        <f>IFERROR(__xludf.DUMMYFUNCTION("""COMPUTED_VALUE"""),145359.0)</f>
        <v>145359</v>
      </c>
      <c r="F2477" s="21" t="str">
        <f>IFERROR(__xludf.DUMMYFUNCTION("""COMPUTED_VALUE"""),"ANALISE DE INVENTARIO")</f>
        <v>ANALISE DE INVENTARIO</v>
      </c>
      <c r="G2477" s="23">
        <f>IFERROR(__xludf.DUMMYFUNCTION("""COMPUTED_VALUE"""),45499.09106481481)</f>
        <v>45499.09106</v>
      </c>
      <c r="H2477" s="24" t="str">
        <f>IFERROR(VLOOKUP(B2477,material!A:D,3,0),"")</f>
        <v>3.1</v>
      </c>
    </row>
    <row r="2478" ht="11.25" customHeight="1">
      <c r="A2478" s="21" t="str">
        <f>IFERROR(__xludf.DUMMYFUNCTION("""COMPUTED_VALUE"""),"MODEM VOIP EMTA WIFI 3.1 HGJ310")</f>
        <v>MODEM VOIP EMTA WIFI 3.1 HGJ310</v>
      </c>
      <c r="B2478" s="22">
        <f>IFERROR(__xludf.DUMMYFUNCTION("""COMPUTED_VALUE"""),4.1001481E7)</f>
        <v>41001481</v>
      </c>
      <c r="C2478" s="21" t="str">
        <f>IFERROR(__xludf.DUMMYFUNCTION("""COMPUTED_VALUE"""),"C85D38DAF18D")</f>
        <v>C85D38DAF18D</v>
      </c>
      <c r="D2478" s="21" t="str">
        <f>IFERROR(__xludf.DUMMYFUNCTION("""COMPUTED_VALUE"""),"DIGITEC TECNOLOGIA DIGITAL E REPRES")</f>
        <v>DIGITEC TECNOLOGIA DIGITAL E REPRES</v>
      </c>
      <c r="E2478" s="21">
        <f>IFERROR(__xludf.DUMMYFUNCTION("""COMPUTED_VALUE"""),145359.0)</f>
        <v>145359</v>
      </c>
      <c r="F2478" s="21" t="str">
        <f>IFERROR(__xludf.DUMMYFUNCTION("""COMPUTED_VALUE"""),"ANALISE DE INVENTARIO")</f>
        <v>ANALISE DE INVENTARIO</v>
      </c>
      <c r="G2478" s="23">
        <f>IFERROR(__xludf.DUMMYFUNCTION("""COMPUTED_VALUE"""),45439.66782407407)</f>
        <v>45439.66782</v>
      </c>
      <c r="H2478" s="24" t="str">
        <f>IFERROR(VLOOKUP(B2478,material!A:D,3,0),"")</f>
        <v>3.1</v>
      </c>
    </row>
    <row r="2479" ht="11.25" customHeight="1">
      <c r="A2479" s="21" t="str">
        <f>IFERROR(__xludf.DUMMYFUNCTION("""COMPUTED_VALUE"""),"DECODER HD THDC4")</f>
        <v>DECODER HD THDC4</v>
      </c>
      <c r="B2479" s="22">
        <f>IFERROR(__xludf.DUMMYFUNCTION("""COMPUTED_VALUE"""),4.1001047E7)</f>
        <v>41001047</v>
      </c>
      <c r="C2479" s="21" t="str">
        <f>IFERROR(__xludf.DUMMYFUNCTION("""COMPUTED_VALUE"""),"229670877979")</f>
        <v>229670877979</v>
      </c>
      <c r="D2479" s="21" t="str">
        <f>IFERROR(__xludf.DUMMYFUNCTION("""COMPUTED_VALUE"""),"DIGITEC TECNOLOGIA DIGITAL E REPRES")</f>
        <v>DIGITEC TECNOLOGIA DIGITAL E REPRES</v>
      </c>
      <c r="E2479" s="21">
        <f>IFERROR(__xludf.DUMMYFUNCTION("""COMPUTED_VALUE"""),145359.0)</f>
        <v>145359</v>
      </c>
      <c r="F2479" s="21" t="str">
        <f>IFERROR(__xludf.DUMMYFUNCTION("""COMPUTED_VALUE"""),"ANALISE DE INVENTARIO")</f>
        <v>ANALISE DE INVENTARIO</v>
      </c>
      <c r="G2479" s="23">
        <f>IFERROR(__xludf.DUMMYFUNCTION("""COMPUTED_VALUE"""),45446.42349537037)</f>
        <v>45446.4235</v>
      </c>
      <c r="H2479" s="24" t="str">
        <f>IFERROR(VLOOKUP(B2479,material!A:D,3,0),"")</f>
        <v>TOP MIX</v>
      </c>
    </row>
    <row r="2480" ht="11.25" customHeight="1">
      <c r="A2480" s="21" t="str">
        <f>IFERROR(__xludf.DUMMYFUNCTION("""COMPUTED_VALUE"""),"EMTA WIFI 3.0 FST3486 16X4")</f>
        <v>EMTA WIFI 3.0 FST3486 16X4</v>
      </c>
      <c r="B2480" s="22">
        <f>IFERROR(__xludf.DUMMYFUNCTION("""COMPUTED_VALUE"""),4.1001095E7)</f>
        <v>41001095</v>
      </c>
      <c r="C2480" s="21" t="str">
        <f>IFERROR(__xludf.DUMMYFUNCTION("""COMPUTED_VALUE"""),"981E191558D8")</f>
        <v>981E191558D8</v>
      </c>
      <c r="D2480" s="21" t="str">
        <f>IFERROR(__xludf.DUMMYFUNCTION("""COMPUTED_VALUE"""),"DIGITEC TECNOLOGIA DIGITAL E REPRES")</f>
        <v>DIGITEC TECNOLOGIA DIGITAL E REPRES</v>
      </c>
      <c r="E2480" s="21">
        <f>IFERROR(__xludf.DUMMYFUNCTION("""COMPUTED_VALUE"""),145359.0)</f>
        <v>145359</v>
      </c>
      <c r="F2480" s="21" t="str">
        <f>IFERROR(__xludf.DUMMYFUNCTION("""COMPUTED_VALUE"""),"ANALISE DE INVENTARIO")</f>
        <v>ANALISE DE INVENTARIO</v>
      </c>
      <c r="G2480" s="23">
        <f>IFERROR(__xludf.DUMMYFUNCTION("""COMPUTED_VALUE"""),45432.60724537037)</f>
        <v>45432.60725</v>
      </c>
      <c r="H2480" s="24" t="str">
        <f>IFERROR(VLOOKUP(B2480,material!A:D,3,0),"")</f>
        <v>DUAL</v>
      </c>
    </row>
    <row r="2481" ht="11.25" customHeight="1">
      <c r="A2481" s="21" t="str">
        <f>IFERROR(__xludf.DUMMYFUNCTION("""COMPUTED_VALUE"""),"EMTA WIFI 3.0 FST3486 16X4")</f>
        <v>EMTA WIFI 3.0 FST3486 16X4</v>
      </c>
      <c r="B2481" s="22">
        <f>IFERROR(__xludf.DUMMYFUNCTION("""COMPUTED_VALUE"""),4.1001095E7)</f>
        <v>41001095</v>
      </c>
      <c r="C2481" s="21" t="str">
        <f>IFERROR(__xludf.DUMMYFUNCTION("""COMPUTED_VALUE"""),"F8084F4A2BFB")</f>
        <v>F8084F4A2BFB</v>
      </c>
      <c r="D2481" s="21" t="str">
        <f>IFERROR(__xludf.DUMMYFUNCTION("""COMPUTED_VALUE"""),"DIGITEC TECNOLOGIA DIGITAL E REPRES")</f>
        <v>DIGITEC TECNOLOGIA DIGITAL E REPRES</v>
      </c>
      <c r="E2481" s="21">
        <f>IFERROR(__xludf.DUMMYFUNCTION("""COMPUTED_VALUE"""),145359.0)</f>
        <v>145359</v>
      </c>
      <c r="F2481" s="21" t="str">
        <f>IFERROR(__xludf.DUMMYFUNCTION("""COMPUTED_VALUE"""),"ANALISE DE INVENTARIO")</f>
        <v>ANALISE DE INVENTARIO</v>
      </c>
      <c r="G2481" s="23">
        <f>IFERROR(__xludf.DUMMYFUNCTION("""COMPUTED_VALUE"""),45555.54430555555)</f>
        <v>45555.54431</v>
      </c>
      <c r="H2481" s="24" t="str">
        <f>IFERROR(VLOOKUP(B2481,material!A:D,3,0),"")</f>
        <v>DUAL</v>
      </c>
    </row>
    <row r="2482" ht="11.25" customHeight="1">
      <c r="A2482" s="21" t="str">
        <f>IFERROR(__xludf.DUMMYFUNCTION("""COMPUTED_VALUE"""),"EMTA WIFI 3.0 FST3486 16X4")</f>
        <v>EMTA WIFI 3.0 FST3486 16X4</v>
      </c>
      <c r="B2482" s="22">
        <f>IFERROR(__xludf.DUMMYFUNCTION("""COMPUTED_VALUE"""),4.1001095E7)</f>
        <v>41001095</v>
      </c>
      <c r="C2482" s="21" t="str">
        <f>IFERROR(__xludf.DUMMYFUNCTION("""COMPUTED_VALUE"""),"8020DA599FD0")</f>
        <v>8020DA599FD0</v>
      </c>
      <c r="D2482" s="21" t="str">
        <f>IFERROR(__xludf.DUMMYFUNCTION("""COMPUTED_VALUE"""),"DIGITEC TECNOLOGIA DIGITAL E REPRES")</f>
        <v>DIGITEC TECNOLOGIA DIGITAL E REPRES</v>
      </c>
      <c r="E2482" s="21">
        <f>IFERROR(__xludf.DUMMYFUNCTION("""COMPUTED_VALUE"""),145359.0)</f>
        <v>145359</v>
      </c>
      <c r="F2482" s="21" t="str">
        <f>IFERROR(__xludf.DUMMYFUNCTION("""COMPUTED_VALUE"""),"ANALISE DE INVENTARIO")</f>
        <v>ANALISE DE INVENTARIO</v>
      </c>
      <c r="G2482" s="23">
        <f>IFERROR(__xludf.DUMMYFUNCTION("""COMPUTED_VALUE"""),45555.54326388889)</f>
        <v>45555.54326</v>
      </c>
      <c r="H2482" s="24" t="str">
        <f>IFERROR(VLOOKUP(B2482,material!A:D,3,0),"")</f>
        <v>DUAL</v>
      </c>
    </row>
    <row r="2483" ht="11.25" customHeight="1">
      <c r="A2483" s="21" t="str">
        <f>IFERROR(__xludf.DUMMYFUNCTION("""COMPUTED_VALUE"""),"SMART SIM CARD NAGRA")</f>
        <v>SMART SIM CARD NAGRA</v>
      </c>
      <c r="B2483" s="22">
        <f>IFERROR(__xludf.DUMMYFUNCTION("""COMPUTED_VALUE"""),4.1000805E7)</f>
        <v>41000805</v>
      </c>
      <c r="C2483" s="21" t="str">
        <f>IFERROR(__xludf.DUMMYFUNCTION("""COMPUTED_VALUE"""),"246488369507")</f>
        <v>246488369507</v>
      </c>
      <c r="D2483" s="21" t="str">
        <f>IFERROR(__xludf.DUMMYFUNCTION("""COMPUTED_VALUE"""),"DIGITEC TECNOLOGIA DIGITAL E REPRES")</f>
        <v>DIGITEC TECNOLOGIA DIGITAL E REPRES</v>
      </c>
      <c r="E2483" s="21">
        <f>IFERROR(__xludf.DUMMYFUNCTION("""COMPUTED_VALUE"""),145359.0)</f>
        <v>145359</v>
      </c>
      <c r="F2483" s="21" t="str">
        <f>IFERROR(__xludf.DUMMYFUNCTION("""COMPUTED_VALUE"""),"ANALISE DE INVENTARIO")</f>
        <v>ANALISE DE INVENTARIO</v>
      </c>
      <c r="G2483" s="23">
        <f>IFERROR(__xludf.DUMMYFUNCTION("""COMPUTED_VALUE"""),45446.42349537037)</f>
        <v>45446.4235</v>
      </c>
      <c r="H2483" s="24" t="str">
        <f>IFERROR(VLOOKUP(B2483,material!A:D,3,0),"")</f>
        <v>SIM CARD</v>
      </c>
    </row>
    <row r="2484" ht="11.25" customHeight="1">
      <c r="A2484" s="21" t="str">
        <f>IFERROR(__xludf.DUMMYFUNCTION("""COMPUTED_VALUE"""),"TECHNICOLOR TC7337NET")</f>
        <v>TECHNICOLOR TC7337NET</v>
      </c>
      <c r="B2484" s="22">
        <f>IFERROR(__xludf.DUMMYFUNCTION("""COMPUTED_VALUE"""),4.1001294E7)</f>
        <v>41001294</v>
      </c>
      <c r="C2484" s="21" t="str">
        <f>IFERROR(__xludf.DUMMYFUNCTION("""COMPUTED_VALUE"""),"A456CCE65FCA")</f>
        <v>A456CCE65FCA</v>
      </c>
      <c r="D2484" s="21" t="str">
        <f>IFERROR(__xludf.DUMMYFUNCTION("""COMPUTED_VALUE"""),"DIGITEC TECNOLOGIA DIGITAL E REPRES")</f>
        <v>DIGITEC TECNOLOGIA DIGITAL E REPRES</v>
      </c>
      <c r="E2484" s="21">
        <f>IFERROR(__xludf.DUMMYFUNCTION("""COMPUTED_VALUE"""),145359.0)</f>
        <v>145359</v>
      </c>
      <c r="F2484" s="21" t="str">
        <f>IFERROR(__xludf.DUMMYFUNCTION("""COMPUTED_VALUE"""),"ANALISE DE INVENTARIO")</f>
        <v>ANALISE DE INVENTARIO</v>
      </c>
      <c r="G2484" s="23">
        <f>IFERROR(__xludf.DUMMYFUNCTION("""COMPUTED_VALUE"""),45555.56489583333)</f>
        <v>45555.5649</v>
      </c>
      <c r="H2484" s="24" t="str">
        <f>IFERROR(VLOOKUP(B2484,material!A:D,3,0),"")</f>
        <v>DUAL</v>
      </c>
    </row>
    <row r="2485" ht="11.25" customHeight="1">
      <c r="A2485" s="21" t="str">
        <f>IFERROR(__xludf.DUMMYFUNCTION("""COMPUTED_VALUE"""),"ARRIS TG1692A")</f>
        <v>ARRIS TG1692A</v>
      </c>
      <c r="B2485" s="22">
        <f>IFERROR(__xludf.DUMMYFUNCTION("""COMPUTED_VALUE"""),4.1001293E7)</f>
        <v>41001293</v>
      </c>
      <c r="C2485" s="21" t="str">
        <f>IFERROR(__xludf.DUMMYFUNCTION("""COMPUTED_VALUE"""),"F8F532543EAD")</f>
        <v>F8F532543EAD</v>
      </c>
      <c r="D2485" s="21" t="str">
        <f>IFERROR(__xludf.DUMMYFUNCTION("""COMPUTED_VALUE"""),"DIGITEC TECNOLOGIA DIGITAL E REPRES")</f>
        <v>DIGITEC TECNOLOGIA DIGITAL E REPRES</v>
      </c>
      <c r="E2485" s="21">
        <f>IFERROR(__xludf.DUMMYFUNCTION("""COMPUTED_VALUE"""),145359.0)</f>
        <v>145359</v>
      </c>
      <c r="F2485" s="21" t="str">
        <f>IFERROR(__xludf.DUMMYFUNCTION("""COMPUTED_VALUE"""),"ANALISE DE INVENTARIO")</f>
        <v>ANALISE DE INVENTARIO</v>
      </c>
      <c r="G2485" s="23">
        <f>IFERROR(__xludf.DUMMYFUNCTION("""COMPUTED_VALUE"""),45608.62363425926)</f>
        <v>45608.62363</v>
      </c>
      <c r="H2485" s="24" t="str">
        <f>IFERROR(VLOOKUP(B2485,material!A:D,3,0),"")</f>
        <v>DUAL</v>
      </c>
    </row>
    <row r="2486" ht="11.25" customHeight="1">
      <c r="A2486" s="21" t="str">
        <f>IFERROR(__xludf.DUMMYFUNCTION("""COMPUTED_VALUE"""),"HUMAX HGB10R-02")</f>
        <v>HUMAX HGB10R-02</v>
      </c>
      <c r="B2486" s="22">
        <f>IFERROR(__xludf.DUMMYFUNCTION("""COMPUTED_VALUE"""),4.1001292E7)</f>
        <v>41001292</v>
      </c>
      <c r="C2486" s="21" t="str">
        <f>IFERROR(__xludf.DUMMYFUNCTION("""COMPUTED_VALUE"""),"8C444F5B29F9")</f>
        <v>8C444F5B29F9</v>
      </c>
      <c r="D2486" s="21" t="str">
        <f>IFERROR(__xludf.DUMMYFUNCTION("""COMPUTED_VALUE"""),"DIGITEC TECNOLOGIA DIGITAL E REPRES")</f>
        <v>DIGITEC TECNOLOGIA DIGITAL E REPRES</v>
      </c>
      <c r="E2486" s="21">
        <f>IFERROR(__xludf.DUMMYFUNCTION("""COMPUTED_VALUE"""),145359.0)</f>
        <v>145359</v>
      </c>
      <c r="F2486" s="21" t="str">
        <f>IFERROR(__xludf.DUMMYFUNCTION("""COMPUTED_VALUE"""),"ANALISE DE INVENTARIO")</f>
        <v>ANALISE DE INVENTARIO</v>
      </c>
      <c r="G2486" s="23">
        <f>IFERROR(__xludf.DUMMYFUNCTION("""COMPUTED_VALUE"""),45525.92351851852)</f>
        <v>45525.92352</v>
      </c>
      <c r="H2486" s="24" t="str">
        <f>IFERROR(VLOOKUP(B2486,material!A:D,3,0),"")</f>
        <v>DUAL</v>
      </c>
    </row>
    <row r="2487" ht="11.25" customHeight="1">
      <c r="A2487" s="21" t="str">
        <f>IFERROR(__xludf.DUMMYFUNCTION("""COMPUTED_VALUE"""),"HUMAX HGB10R-02")</f>
        <v>HUMAX HGB10R-02</v>
      </c>
      <c r="B2487" s="22">
        <f>IFERROR(__xludf.DUMMYFUNCTION("""COMPUTED_VALUE"""),4.1001292E7)</f>
        <v>41001292</v>
      </c>
      <c r="C2487" s="21" t="str">
        <f>IFERROR(__xludf.DUMMYFUNCTION("""COMPUTED_VALUE"""),"8C444F1CF581")</f>
        <v>8C444F1CF581</v>
      </c>
      <c r="D2487" s="21" t="str">
        <f>IFERROR(__xludf.DUMMYFUNCTION("""COMPUTED_VALUE"""),"DIGITEC TECNOLOGIA DIGITAL E REPRES")</f>
        <v>DIGITEC TECNOLOGIA DIGITAL E REPRES</v>
      </c>
      <c r="E2487" s="21">
        <f>IFERROR(__xludf.DUMMYFUNCTION("""COMPUTED_VALUE"""),145359.0)</f>
        <v>145359</v>
      </c>
      <c r="F2487" s="21" t="str">
        <f>IFERROR(__xludf.DUMMYFUNCTION("""COMPUTED_VALUE"""),"ANALISE DE INVENTARIO")</f>
        <v>ANALISE DE INVENTARIO</v>
      </c>
      <c r="G2487" s="23">
        <f>IFERROR(__xludf.DUMMYFUNCTION("""COMPUTED_VALUE"""),45533.54717592592)</f>
        <v>45533.54718</v>
      </c>
      <c r="H2487" s="24" t="str">
        <f>IFERROR(VLOOKUP(B2487,material!A:D,3,0),"")</f>
        <v>DUAL</v>
      </c>
    </row>
    <row r="2488" ht="11.25" customHeight="1">
      <c r="A2488" s="21" t="str">
        <f>IFERROR(__xludf.DUMMYFUNCTION("""COMPUTED_VALUE"""),"HARD DISK 500GB EXTERNO 2.0")</f>
        <v>HARD DISK 500GB EXTERNO 2.0</v>
      </c>
      <c r="B2488" s="22">
        <f>IFERROR(__xludf.DUMMYFUNCTION("""COMPUTED_VALUE"""),4.1001376E7)</f>
        <v>41001376</v>
      </c>
      <c r="C2488" s="21" t="str">
        <f>IFERROR(__xludf.DUMMYFUNCTION("""COMPUTED_VALUE"""),"408149238802")</f>
        <v>408149238802</v>
      </c>
      <c r="D2488" s="21" t="str">
        <f>IFERROR(__xludf.DUMMYFUNCTION("""COMPUTED_VALUE"""),"DIGITEC TECNOLOGIA DIGITAL E REPRES")</f>
        <v>DIGITEC TECNOLOGIA DIGITAL E REPRES</v>
      </c>
      <c r="E2488" s="21">
        <f>IFERROR(__xludf.DUMMYFUNCTION("""COMPUTED_VALUE"""),145359.0)</f>
        <v>145359</v>
      </c>
      <c r="F2488" s="21" t="str">
        <f>IFERROR(__xludf.DUMMYFUNCTION("""COMPUTED_VALUE"""),"ANALISE DE INVENTARIO")</f>
        <v>ANALISE DE INVENTARIO</v>
      </c>
      <c r="G2488" s="23">
        <f>IFERROR(__xludf.DUMMYFUNCTION("""COMPUTED_VALUE"""),45621.902870370366)</f>
        <v>45621.90287</v>
      </c>
      <c r="H2488" s="24" t="str">
        <f>IFERROR(VLOOKUP(B2488,material!A:D,3,0),"")</f>
        <v>HDD</v>
      </c>
    </row>
    <row r="2489" ht="11.25" customHeight="1">
      <c r="A2489" s="21" t="str">
        <f>IFERROR(__xludf.DUMMYFUNCTION("""COMPUTED_VALUE"""),"HARD DISK 500GB EXTERNO 2.0")</f>
        <v>HARD DISK 500GB EXTERNO 2.0</v>
      </c>
      <c r="B2489" s="22">
        <f>IFERROR(__xludf.DUMMYFUNCTION("""COMPUTED_VALUE"""),4.1001376E7)</f>
        <v>41001376</v>
      </c>
      <c r="C2489" s="21" t="str">
        <f>IFERROR(__xludf.DUMMYFUNCTION("""COMPUTED_VALUE"""),"400164237680")</f>
        <v>400164237680</v>
      </c>
      <c r="D2489" s="21" t="str">
        <f>IFERROR(__xludf.DUMMYFUNCTION("""COMPUTED_VALUE"""),"DIGITEC TECNOLOGIA DIGITAL E REPRES")</f>
        <v>DIGITEC TECNOLOGIA DIGITAL E REPRES</v>
      </c>
      <c r="E2489" s="21">
        <f>IFERROR(__xludf.DUMMYFUNCTION("""COMPUTED_VALUE"""),145359.0)</f>
        <v>145359</v>
      </c>
      <c r="F2489" s="21" t="str">
        <f>IFERROR(__xludf.DUMMYFUNCTION("""COMPUTED_VALUE"""),"ANALISE DE INVENTARIO")</f>
        <v>ANALISE DE INVENTARIO</v>
      </c>
      <c r="G2489" s="23">
        <f>IFERROR(__xludf.DUMMYFUNCTION("""COMPUTED_VALUE"""),45419.37824074074)</f>
        <v>45419.37824</v>
      </c>
      <c r="H2489" s="24" t="str">
        <f>IFERROR(VLOOKUP(B2489,material!A:D,3,0),"")</f>
        <v>HDD</v>
      </c>
    </row>
    <row r="2490" ht="11.25" customHeight="1">
      <c r="A2490" s="21" t="str">
        <f>IFERROR(__xludf.DUMMYFUNCTION("""COMPUTED_VALUE"""),"SMART CARD PRETO NAGRA")</f>
        <v>SMART CARD PRETO NAGRA</v>
      </c>
      <c r="B2490" s="22">
        <f>IFERROR(__xludf.DUMMYFUNCTION("""COMPUTED_VALUE"""),4.1001234E7)</f>
        <v>41001234</v>
      </c>
      <c r="C2490" s="21" t="str">
        <f>IFERROR(__xludf.DUMMYFUNCTION("""COMPUTED_VALUE"""),"246343665867")</f>
        <v>246343665867</v>
      </c>
      <c r="D2490" s="21" t="str">
        <f>IFERROR(__xludf.DUMMYFUNCTION("""COMPUTED_VALUE"""),"DIGITEC TECNOLOGIA DIGITAL E REPRES")</f>
        <v>DIGITEC TECNOLOGIA DIGITAL E REPRES</v>
      </c>
      <c r="E2490" s="21">
        <f>IFERROR(__xludf.DUMMYFUNCTION("""COMPUTED_VALUE"""),145359.0)</f>
        <v>145359</v>
      </c>
      <c r="F2490" s="21" t="str">
        <f>IFERROR(__xludf.DUMMYFUNCTION("""COMPUTED_VALUE"""),"ANALISE DE INVENTARIO")</f>
        <v>ANALISE DE INVENTARIO</v>
      </c>
      <c r="G2490" s="23">
        <f>IFERROR(__xludf.DUMMYFUNCTION("""COMPUTED_VALUE"""),45419.37546296296)</f>
        <v>45419.37546</v>
      </c>
      <c r="H2490" s="24" t="str">
        <f>IFERROR(VLOOKUP(B2490,material!A:D,3,0),"")</f>
        <v>CARD</v>
      </c>
    </row>
    <row r="2491" ht="11.25" customHeight="1">
      <c r="A2491" s="21" t="str">
        <f>IFERROR(__xludf.DUMMYFUNCTION("""COMPUTED_VALUE"""),"TERMINAL GPON ONT WIFI6 F6600P-NACIONAL")</f>
        <v>TERMINAL GPON ONT WIFI6 F6600P-NACIONAL</v>
      </c>
      <c r="B2491" s="22">
        <f>IFERROR(__xludf.DUMMYFUNCTION("""COMPUTED_VALUE"""),4.100159E7)</f>
        <v>41001590</v>
      </c>
      <c r="C2491" s="21" t="str">
        <f>IFERROR(__xludf.DUMMYFUNCTION("""COMPUTED_VALUE"""),"843C991F3217")</f>
        <v>843C991F3217</v>
      </c>
      <c r="D2491" s="21" t="str">
        <f>IFERROR(__xludf.DUMMYFUNCTION("""COMPUTED_VALUE"""),"DIGITEC TECNOLOGIA DIGITAL E REPRES")</f>
        <v>DIGITEC TECNOLOGIA DIGITAL E REPRES</v>
      </c>
      <c r="E2491" s="21">
        <f>IFERROR(__xludf.DUMMYFUNCTION("""COMPUTED_VALUE"""),145359.0)</f>
        <v>145359</v>
      </c>
      <c r="F2491" s="21" t="str">
        <f>IFERROR(__xludf.DUMMYFUNCTION("""COMPUTED_VALUE"""),"TRANSITO REVERSA")</f>
        <v>TRANSITO REVERSA</v>
      </c>
      <c r="G2491" s="23">
        <f>IFERROR(__xludf.DUMMYFUNCTION("""COMPUTED_VALUE"""),45638.521099537036)</f>
        <v>45638.5211</v>
      </c>
      <c r="H2491" s="24" t="str">
        <f>IFERROR(VLOOKUP(B2491,material!A:D,3,0),"")</f>
        <v>GPON 6</v>
      </c>
    </row>
    <row r="2492" ht="11.25" customHeight="1">
      <c r="A2492" s="21" t="str">
        <f>IFERROR(__xludf.DUMMYFUNCTION("""COMPUTED_VALUE"""),"TERMINAL GPON ONT WIFI6 F6600P-NACIONAL")</f>
        <v>TERMINAL GPON ONT WIFI6 F6600P-NACIONAL</v>
      </c>
      <c r="B2492" s="22">
        <f>IFERROR(__xludf.DUMMYFUNCTION("""COMPUTED_VALUE"""),4.100159E7)</f>
        <v>41001590</v>
      </c>
      <c r="C2492" s="21" t="str">
        <f>IFERROR(__xludf.DUMMYFUNCTION("""COMPUTED_VALUE"""),"3CF9F0A8E5AE")</f>
        <v>3CF9F0A8E5AE</v>
      </c>
      <c r="D2492" s="21" t="str">
        <f>IFERROR(__xludf.DUMMYFUNCTION("""COMPUTED_VALUE"""),"DIGITEC TECNOLOGIA DIGITAL E REPRES")</f>
        <v>DIGITEC TECNOLOGIA DIGITAL E REPRES</v>
      </c>
      <c r="E2492" s="21">
        <f>IFERROR(__xludf.DUMMYFUNCTION("""COMPUTED_VALUE"""),145359.0)</f>
        <v>145359</v>
      </c>
      <c r="F2492" s="21" t="str">
        <f>IFERROR(__xludf.DUMMYFUNCTION("""COMPUTED_VALUE"""),"TRANSITO REVERSA")</f>
        <v>TRANSITO REVERSA</v>
      </c>
      <c r="G2492" s="23">
        <f>IFERROR(__xludf.DUMMYFUNCTION("""COMPUTED_VALUE"""),45638.52061342592)</f>
        <v>45638.52061</v>
      </c>
      <c r="H2492" s="24" t="str">
        <f>IFERROR(VLOOKUP(B2492,material!A:D,3,0),"")</f>
        <v>GPON 6</v>
      </c>
    </row>
    <row r="2493" ht="11.25" customHeight="1">
      <c r="A2493" s="21" t="str">
        <f>IFERROR(__xludf.DUMMYFUNCTION("""COMPUTED_VALUE"""),"TERMINAL GPON ONT WIFI6 F6600P-NACIONAL")</f>
        <v>TERMINAL GPON ONT WIFI6 F6600P-NACIONAL</v>
      </c>
      <c r="B2493" s="22">
        <f>IFERROR(__xludf.DUMMYFUNCTION("""COMPUTED_VALUE"""),4.100159E7)</f>
        <v>41001590</v>
      </c>
      <c r="C2493" s="21" t="str">
        <f>IFERROR(__xludf.DUMMYFUNCTION("""COMPUTED_VALUE"""),"3CF9F0A8E73A")</f>
        <v>3CF9F0A8E73A</v>
      </c>
      <c r="D2493" s="21" t="str">
        <f>IFERROR(__xludf.DUMMYFUNCTION("""COMPUTED_VALUE"""),"DIGITEC TECNOLOGIA DIGITAL E REPRES")</f>
        <v>DIGITEC TECNOLOGIA DIGITAL E REPRES</v>
      </c>
      <c r="E2493" s="21">
        <f>IFERROR(__xludf.DUMMYFUNCTION("""COMPUTED_VALUE"""),145359.0)</f>
        <v>145359</v>
      </c>
      <c r="F2493" s="21" t="str">
        <f>IFERROR(__xludf.DUMMYFUNCTION("""COMPUTED_VALUE"""),"TRANSITO REVERSA")</f>
        <v>TRANSITO REVERSA</v>
      </c>
      <c r="G2493" s="23">
        <f>IFERROR(__xludf.DUMMYFUNCTION("""COMPUTED_VALUE"""),45638.520648148144)</f>
        <v>45638.52065</v>
      </c>
      <c r="H2493" s="24" t="str">
        <f>IFERROR(VLOOKUP(B2493,material!A:D,3,0),"")</f>
        <v>GPON 6</v>
      </c>
    </row>
    <row r="2494" ht="11.25" customHeight="1">
      <c r="A2494" s="21" t="str">
        <f>IFERROR(__xludf.DUMMYFUNCTION("""COMPUTED_VALUE"""),"TERMINAL GPON ONT WIFI F6645P")</f>
        <v>TERMINAL GPON ONT WIFI F6645P</v>
      </c>
      <c r="B2494" s="22">
        <f>IFERROR(__xludf.DUMMYFUNCTION("""COMPUTED_VALUE"""),4.100156E7)</f>
        <v>41001560</v>
      </c>
      <c r="C2494" s="21" t="str">
        <f>IFERROR(__xludf.DUMMYFUNCTION("""COMPUTED_VALUE"""),"C4EBFFF6C019")</f>
        <v>C4EBFFF6C019</v>
      </c>
      <c r="D2494" s="21" t="str">
        <f>IFERROR(__xludf.DUMMYFUNCTION("""COMPUTED_VALUE"""),"DIGITEC TECNOLOGIA DIGITAL E REPRES")</f>
        <v>DIGITEC TECNOLOGIA DIGITAL E REPRES</v>
      </c>
      <c r="E2494" s="21">
        <f>IFERROR(__xludf.DUMMYFUNCTION("""COMPUTED_VALUE"""),145359.0)</f>
        <v>145359</v>
      </c>
      <c r="F2494" s="21" t="str">
        <f>IFERROR(__xludf.DUMMYFUNCTION("""COMPUTED_VALUE"""),"TRANSITO REVERSA")</f>
        <v>TRANSITO REVERSA</v>
      </c>
      <c r="G2494" s="23">
        <f>IFERROR(__xludf.DUMMYFUNCTION("""COMPUTED_VALUE"""),45638.52112268518)</f>
        <v>45638.52112</v>
      </c>
      <c r="H2494" s="24" t="str">
        <f>IFERROR(VLOOKUP(B2494,material!A:D,3,0),"")</f>
        <v>GPON 6</v>
      </c>
    </row>
    <row r="2495" ht="11.25" customHeight="1">
      <c r="A2495" s="21" t="str">
        <f>IFERROR(__xludf.DUMMYFUNCTION("""COMPUTED_VALUE"""),"TERMINAL GPON ONT WIFI F6645P")</f>
        <v>TERMINAL GPON ONT WIFI F6645P</v>
      </c>
      <c r="B2495" s="22">
        <f>IFERROR(__xludf.DUMMYFUNCTION("""COMPUTED_VALUE"""),4.100156E7)</f>
        <v>41001560</v>
      </c>
      <c r="C2495" s="21" t="str">
        <f>IFERROR(__xludf.DUMMYFUNCTION("""COMPUTED_VALUE"""),"9C635B8990C2")</f>
        <v>9C635B8990C2</v>
      </c>
      <c r="D2495" s="21" t="str">
        <f>IFERROR(__xludf.DUMMYFUNCTION("""COMPUTED_VALUE"""),"DIGITEC TECNOLOGIA DIGITAL E REPRES")</f>
        <v>DIGITEC TECNOLOGIA DIGITAL E REPRES</v>
      </c>
      <c r="E2495" s="21">
        <f>IFERROR(__xludf.DUMMYFUNCTION("""COMPUTED_VALUE"""),145359.0)</f>
        <v>145359</v>
      </c>
      <c r="F2495" s="21" t="str">
        <f>IFERROR(__xludf.DUMMYFUNCTION("""COMPUTED_VALUE"""),"TRANSITO REVERSA")</f>
        <v>TRANSITO REVERSA</v>
      </c>
      <c r="G2495" s="23">
        <f>IFERROR(__xludf.DUMMYFUNCTION("""COMPUTED_VALUE"""),45626.298680555556)</f>
        <v>45626.29868</v>
      </c>
      <c r="H2495" s="24" t="str">
        <f>IFERROR(VLOOKUP(B2495,material!A:D,3,0),"")</f>
        <v>GPON 6</v>
      </c>
    </row>
    <row r="2496" ht="11.25" customHeight="1">
      <c r="A2496" s="21" t="str">
        <f>IFERROR(__xludf.DUMMYFUNCTION("""COMPUTED_VALUE"""),"TERMINAL GPON ONT WIFI F6645P")</f>
        <v>TERMINAL GPON ONT WIFI F6645P</v>
      </c>
      <c r="B2496" s="22">
        <f>IFERROR(__xludf.DUMMYFUNCTION("""COMPUTED_VALUE"""),4.100156E7)</f>
        <v>41001560</v>
      </c>
      <c r="C2496" s="21" t="str">
        <f>IFERROR(__xludf.DUMMYFUNCTION("""COMPUTED_VALUE"""),"C4EBFFF6EB0F")</f>
        <v>C4EBFFF6EB0F</v>
      </c>
      <c r="D2496" s="21" t="str">
        <f>IFERROR(__xludf.DUMMYFUNCTION("""COMPUTED_VALUE"""),"DIGITEC TECNOLOGIA DIGITAL E REPRES")</f>
        <v>DIGITEC TECNOLOGIA DIGITAL E REPRES</v>
      </c>
      <c r="E2496" s="21">
        <f>IFERROR(__xludf.DUMMYFUNCTION("""COMPUTED_VALUE"""),145359.0)</f>
        <v>145359</v>
      </c>
      <c r="F2496" s="21" t="str">
        <f>IFERROR(__xludf.DUMMYFUNCTION("""COMPUTED_VALUE"""),"TRANSITO REVERSA")</f>
        <v>TRANSITO REVERSA</v>
      </c>
      <c r="G2496" s="23">
        <f>IFERROR(__xludf.DUMMYFUNCTION("""COMPUTED_VALUE"""),45626.2987037037)</f>
        <v>45626.2987</v>
      </c>
      <c r="H2496" s="24" t="str">
        <f>IFERROR(VLOOKUP(B2496,material!A:D,3,0),"")</f>
        <v>GPON 6</v>
      </c>
    </row>
    <row r="2497" ht="11.25" customHeight="1">
      <c r="A2497" s="21" t="str">
        <f>IFERROR(__xludf.DUMMYFUNCTION("""COMPUTED_VALUE"""),"DECODER CARDLESS 4K UHD K4KCW5 CABO E IP")</f>
        <v>DECODER CARDLESS 4K UHD K4KCW5 CABO E IP</v>
      </c>
      <c r="B2497" s="22">
        <f>IFERROR(__xludf.DUMMYFUNCTION("""COMPUTED_VALUE"""),4.1001584E7)</f>
        <v>41001584</v>
      </c>
      <c r="C2497" s="21" t="str">
        <f>IFERROR(__xludf.DUMMYFUNCTION("""COMPUTED_VALUE"""),"241633242128")</f>
        <v>241633242128</v>
      </c>
      <c r="D2497" s="21" t="str">
        <f>IFERROR(__xludf.DUMMYFUNCTION("""COMPUTED_VALUE"""),"DIGITEC TECNOLOGIA DIGITAL E REPRES")</f>
        <v>DIGITEC TECNOLOGIA DIGITAL E REPRES</v>
      </c>
      <c r="E2497" s="21">
        <f>IFERROR(__xludf.DUMMYFUNCTION("""COMPUTED_VALUE"""),145359.0)</f>
        <v>145359</v>
      </c>
      <c r="F2497" s="21" t="str">
        <f>IFERROR(__xludf.DUMMYFUNCTION("""COMPUTED_VALUE"""),"TRANSITO REVERSA")</f>
        <v>TRANSITO REVERSA</v>
      </c>
      <c r="G2497" s="23">
        <f>IFERROR(__xludf.DUMMYFUNCTION("""COMPUTED_VALUE"""),45638.521099537036)</f>
        <v>45638.5211</v>
      </c>
      <c r="H2497" s="24" t="str">
        <f>IFERROR(VLOOKUP(B2497,material!A:D,3,0),"")</f>
        <v>4K RFIP</v>
      </c>
    </row>
    <row r="2498" ht="11.25" customHeight="1">
      <c r="A2498" s="21" t="str">
        <f>IFERROR(__xludf.DUMMYFUNCTION("""COMPUTED_VALUE"""),"DECODER CARDLESS 4K UHD K4KCW5 CABO E IP")</f>
        <v>DECODER CARDLESS 4K UHD K4KCW5 CABO E IP</v>
      </c>
      <c r="B2498" s="22">
        <f>IFERROR(__xludf.DUMMYFUNCTION("""COMPUTED_VALUE"""),4.1001584E7)</f>
        <v>41001584</v>
      </c>
      <c r="C2498" s="21" t="str">
        <f>IFERROR(__xludf.DUMMYFUNCTION("""COMPUTED_VALUE"""),"241627057786")</f>
        <v>241627057786</v>
      </c>
      <c r="D2498" s="21" t="str">
        <f>IFERROR(__xludf.DUMMYFUNCTION("""COMPUTED_VALUE"""),"DIGITEC TECNOLOGIA DIGITAL E REPRES")</f>
        <v>DIGITEC TECNOLOGIA DIGITAL E REPRES</v>
      </c>
      <c r="E2498" s="21">
        <f>IFERROR(__xludf.DUMMYFUNCTION("""COMPUTED_VALUE"""),145359.0)</f>
        <v>145359</v>
      </c>
      <c r="F2498" s="21" t="str">
        <f>IFERROR(__xludf.DUMMYFUNCTION("""COMPUTED_VALUE"""),"TRANSITO REVERSA")</f>
        <v>TRANSITO REVERSA</v>
      </c>
      <c r="G2498" s="23">
        <f>IFERROR(__xludf.DUMMYFUNCTION("""COMPUTED_VALUE"""),45626.2987037037)</f>
        <v>45626.2987</v>
      </c>
      <c r="H2498" s="24" t="str">
        <f>IFERROR(VLOOKUP(B2498,material!A:D,3,0),"")</f>
        <v>4K RFIP</v>
      </c>
    </row>
    <row r="2499" ht="11.25" customHeight="1">
      <c r="A2499" s="21" t="str">
        <f>IFERROR(__xludf.DUMMYFUNCTION("""COMPUTED_VALUE"""),"DECODER CARDLESS 4K UHD K4KCW5 CABO E IP")</f>
        <v>DECODER CARDLESS 4K UHD K4KCW5 CABO E IP</v>
      </c>
      <c r="B2499" s="22">
        <f>IFERROR(__xludf.DUMMYFUNCTION("""COMPUTED_VALUE"""),4.1001584E7)</f>
        <v>41001584</v>
      </c>
      <c r="C2499" s="21" t="str">
        <f>IFERROR(__xludf.DUMMYFUNCTION("""COMPUTED_VALUE"""),"241612331928")</f>
        <v>241612331928</v>
      </c>
      <c r="D2499" s="21" t="str">
        <f>IFERROR(__xludf.DUMMYFUNCTION("""COMPUTED_VALUE"""),"DIGITEC TECNOLOGIA DIGITAL E REPRES")</f>
        <v>DIGITEC TECNOLOGIA DIGITAL E REPRES</v>
      </c>
      <c r="E2499" s="21">
        <f>IFERROR(__xludf.DUMMYFUNCTION("""COMPUTED_VALUE"""),145359.0)</f>
        <v>145359</v>
      </c>
      <c r="F2499" s="21" t="str">
        <f>IFERROR(__xludf.DUMMYFUNCTION("""COMPUTED_VALUE"""),"TRANSITO REVERSA")</f>
        <v>TRANSITO REVERSA</v>
      </c>
      <c r="G2499" s="23">
        <f>IFERROR(__xludf.DUMMYFUNCTION("""COMPUTED_VALUE"""),45626.2987037037)</f>
        <v>45626.2987</v>
      </c>
      <c r="H2499" s="24" t="str">
        <f>IFERROR(VLOOKUP(B2499,material!A:D,3,0),"")</f>
        <v>4K RFIP</v>
      </c>
    </row>
    <row r="2500" ht="11.25" customHeight="1">
      <c r="A2500" s="21" t="str">
        <f>IFERROR(__xludf.DUMMYFUNCTION("""COMPUTED_VALUE"""),"DECODER CARDLESS 4K UHD K4KCW5 CABO E IP")</f>
        <v>DECODER CARDLESS 4K UHD K4KCW5 CABO E IP</v>
      </c>
      <c r="B2500" s="22">
        <f>IFERROR(__xludf.DUMMYFUNCTION("""COMPUTED_VALUE"""),4.1001584E7)</f>
        <v>41001584</v>
      </c>
      <c r="C2500" s="21" t="str">
        <f>IFERROR(__xludf.DUMMYFUNCTION("""COMPUTED_VALUE"""),"241633197880")</f>
        <v>241633197880</v>
      </c>
      <c r="D2500" s="21" t="str">
        <f>IFERROR(__xludf.DUMMYFUNCTION("""COMPUTED_VALUE"""),"DIGITEC TECNOLOGIA DIGITAL E REPRES")</f>
        <v>DIGITEC TECNOLOGIA DIGITAL E REPRES</v>
      </c>
      <c r="E2500" s="21">
        <f>IFERROR(__xludf.DUMMYFUNCTION("""COMPUTED_VALUE"""),145359.0)</f>
        <v>145359</v>
      </c>
      <c r="F2500" s="21" t="str">
        <f>IFERROR(__xludf.DUMMYFUNCTION("""COMPUTED_VALUE"""),"TRANSITO REVERSA")</f>
        <v>TRANSITO REVERSA</v>
      </c>
      <c r="G2500" s="23">
        <f>IFERROR(__xludf.DUMMYFUNCTION("""COMPUTED_VALUE"""),45638.52061342592)</f>
        <v>45638.52061</v>
      </c>
      <c r="H2500" s="24" t="str">
        <f>IFERROR(VLOOKUP(B2500,material!A:D,3,0),"")</f>
        <v>4K RFIP</v>
      </c>
    </row>
    <row r="2501" ht="11.25" customHeight="1">
      <c r="A2501" s="21" t="str">
        <f>IFERROR(__xludf.DUMMYFUNCTION("""COMPUTED_VALUE"""),"DECODER CARDLESS 4K UHD S4KCW5 CABO IP")</f>
        <v>DECODER CARDLESS 4K UHD S4KCW5 CABO IP</v>
      </c>
      <c r="B2501" s="22">
        <f>IFERROR(__xludf.DUMMYFUNCTION("""COMPUTED_VALUE"""),4.1001583E7)</f>
        <v>41001583</v>
      </c>
      <c r="C2501" s="21" t="str">
        <f>IFERROR(__xludf.DUMMYFUNCTION("""COMPUTED_VALUE"""),"241630733847")</f>
        <v>241630733847</v>
      </c>
      <c r="D2501" s="21" t="str">
        <f>IFERROR(__xludf.DUMMYFUNCTION("""COMPUTED_VALUE"""),"DIGITEC TECNOLOGIA DIGITAL E REPRES")</f>
        <v>DIGITEC TECNOLOGIA DIGITAL E REPRES</v>
      </c>
      <c r="E2501" s="21">
        <f>IFERROR(__xludf.DUMMYFUNCTION("""COMPUTED_VALUE"""),145359.0)</f>
        <v>145359</v>
      </c>
      <c r="F2501" s="21" t="str">
        <f>IFERROR(__xludf.DUMMYFUNCTION("""COMPUTED_VALUE"""),"TRANSITO REVERSA")</f>
        <v>TRANSITO REVERSA</v>
      </c>
      <c r="G2501" s="23">
        <f>IFERROR(__xludf.DUMMYFUNCTION("""COMPUTED_VALUE"""),45638.52061342592)</f>
        <v>45638.52061</v>
      </c>
      <c r="H2501" s="24" t="str">
        <f>IFERROR(VLOOKUP(B2501,material!A:D,3,0),"")</f>
        <v>4K RFIP</v>
      </c>
    </row>
    <row r="2502" ht="11.25" customHeight="1">
      <c r="A2502" s="21" t="str">
        <f>IFERROR(__xludf.DUMMYFUNCTION("""COMPUTED_VALUE"""),"DECODER CARDLESS 4K UHD S4KCW5 CABO IP")</f>
        <v>DECODER CARDLESS 4K UHD S4KCW5 CABO IP</v>
      </c>
      <c r="B2502" s="22">
        <f>IFERROR(__xludf.DUMMYFUNCTION("""COMPUTED_VALUE"""),4.1001583E7)</f>
        <v>41001583</v>
      </c>
      <c r="C2502" s="21" t="str">
        <f>IFERROR(__xludf.DUMMYFUNCTION("""COMPUTED_VALUE"""),"241629400317")</f>
        <v>241629400317</v>
      </c>
      <c r="D2502" s="21" t="str">
        <f>IFERROR(__xludf.DUMMYFUNCTION("""COMPUTED_VALUE"""),"DIGITEC TECNOLOGIA DIGITAL E REPRES")</f>
        <v>DIGITEC TECNOLOGIA DIGITAL E REPRES</v>
      </c>
      <c r="E2502" s="21">
        <f>IFERROR(__xludf.DUMMYFUNCTION("""COMPUTED_VALUE"""),145359.0)</f>
        <v>145359</v>
      </c>
      <c r="F2502" s="21" t="str">
        <f>IFERROR(__xludf.DUMMYFUNCTION("""COMPUTED_VALUE"""),"TRANSITO REVERSA")</f>
        <v>TRANSITO REVERSA</v>
      </c>
      <c r="G2502" s="23">
        <f>IFERROR(__xludf.DUMMYFUNCTION("""COMPUTED_VALUE"""),45626.298692129625)</f>
        <v>45626.29869</v>
      </c>
      <c r="H2502" s="24" t="str">
        <f>IFERROR(VLOOKUP(B2502,material!A:D,3,0),"")</f>
        <v>4K RFIP</v>
      </c>
    </row>
    <row r="2503" ht="11.25" customHeight="1">
      <c r="A2503" s="21" t="str">
        <f>IFERROR(__xludf.DUMMYFUNCTION("""COMPUTED_VALUE"""),"DECODER CARDLESS 4K UHD S4KCW5 CABO IP")</f>
        <v>DECODER CARDLESS 4K UHD S4KCW5 CABO IP</v>
      </c>
      <c r="B2503" s="22">
        <f>IFERROR(__xludf.DUMMYFUNCTION("""COMPUTED_VALUE"""),4.1001583E7)</f>
        <v>41001583</v>
      </c>
      <c r="C2503" s="21" t="str">
        <f>IFERROR(__xludf.DUMMYFUNCTION("""COMPUTED_VALUE"""),"241628821820")</f>
        <v>241628821820</v>
      </c>
      <c r="D2503" s="21" t="str">
        <f>IFERROR(__xludf.DUMMYFUNCTION("""COMPUTED_VALUE"""),"DIGITEC TECNOLOGIA DIGITAL E REPRES")</f>
        <v>DIGITEC TECNOLOGIA DIGITAL E REPRES</v>
      </c>
      <c r="E2503" s="21">
        <f>IFERROR(__xludf.DUMMYFUNCTION("""COMPUTED_VALUE"""),145359.0)</f>
        <v>145359</v>
      </c>
      <c r="F2503" s="21" t="str">
        <f>IFERROR(__xludf.DUMMYFUNCTION("""COMPUTED_VALUE"""),"TRANSITO REVERSA")</f>
        <v>TRANSITO REVERSA</v>
      </c>
      <c r="G2503" s="23">
        <f>IFERROR(__xludf.DUMMYFUNCTION("""COMPUTED_VALUE"""),45638.520648148144)</f>
        <v>45638.52065</v>
      </c>
      <c r="H2503" s="24" t="str">
        <f>IFERROR(VLOOKUP(B2503,material!A:D,3,0),"")</f>
        <v>4K RFIP</v>
      </c>
    </row>
    <row r="2504" ht="11.25" customHeight="1">
      <c r="A2504" s="21" t="str">
        <f>IFERROR(__xludf.DUMMYFUNCTION("""COMPUTED_VALUE"""),"DECODER CARDLESS 4K UHD S4KCW5 CABO IP")</f>
        <v>DECODER CARDLESS 4K UHD S4KCW5 CABO IP</v>
      </c>
      <c r="B2504" s="22">
        <f>IFERROR(__xludf.DUMMYFUNCTION("""COMPUTED_VALUE"""),4.1001583E7)</f>
        <v>41001583</v>
      </c>
      <c r="C2504" s="21" t="str">
        <f>IFERROR(__xludf.DUMMYFUNCTION("""COMPUTED_VALUE"""),"241620019311")</f>
        <v>241620019311</v>
      </c>
      <c r="D2504" s="21" t="str">
        <f>IFERROR(__xludf.DUMMYFUNCTION("""COMPUTED_VALUE"""),"DIGITEC TECNOLOGIA DIGITAL E REPRES")</f>
        <v>DIGITEC TECNOLOGIA DIGITAL E REPRES</v>
      </c>
      <c r="E2504" s="21">
        <f>IFERROR(__xludf.DUMMYFUNCTION("""COMPUTED_VALUE"""),145359.0)</f>
        <v>145359</v>
      </c>
      <c r="F2504" s="21" t="str">
        <f>IFERROR(__xludf.DUMMYFUNCTION("""COMPUTED_VALUE"""),"TRANSITO REVERSA")</f>
        <v>TRANSITO REVERSA</v>
      </c>
      <c r="G2504" s="23">
        <f>IFERROR(__xludf.DUMMYFUNCTION("""COMPUTED_VALUE"""),45638.52186342592)</f>
        <v>45638.52186</v>
      </c>
      <c r="H2504" s="24" t="str">
        <f>IFERROR(VLOOKUP(B2504,material!A:D,3,0),"")</f>
        <v>4K RFIP</v>
      </c>
    </row>
    <row r="2505" ht="11.25" customHeight="1">
      <c r="A2505" s="21" t="str">
        <f>IFERROR(__xludf.DUMMYFUNCTION("""COMPUTED_VALUE"""),"DECODER CARDLESS 4K UHD S4KCW5 CABO IP")</f>
        <v>DECODER CARDLESS 4K UHD S4KCW5 CABO IP</v>
      </c>
      <c r="B2505" s="22">
        <f>IFERROR(__xludf.DUMMYFUNCTION("""COMPUTED_VALUE"""),4.1001583E7)</f>
        <v>41001583</v>
      </c>
      <c r="C2505" s="21" t="str">
        <f>IFERROR(__xludf.DUMMYFUNCTION("""COMPUTED_VALUE"""),"241618330617")</f>
        <v>241618330617</v>
      </c>
      <c r="D2505" s="21" t="str">
        <f>IFERROR(__xludf.DUMMYFUNCTION("""COMPUTED_VALUE"""),"DIGITEC TECNOLOGIA DIGITAL E REPRES")</f>
        <v>DIGITEC TECNOLOGIA DIGITAL E REPRES</v>
      </c>
      <c r="E2505" s="21">
        <f>IFERROR(__xludf.DUMMYFUNCTION("""COMPUTED_VALUE"""),145359.0)</f>
        <v>145359</v>
      </c>
      <c r="F2505" s="21" t="str">
        <f>IFERROR(__xludf.DUMMYFUNCTION("""COMPUTED_VALUE"""),"TRANSITO REVERSA")</f>
        <v>TRANSITO REVERSA</v>
      </c>
      <c r="G2505" s="23">
        <f>IFERROR(__xludf.DUMMYFUNCTION("""COMPUTED_VALUE"""),45626.2987037037)</f>
        <v>45626.2987</v>
      </c>
      <c r="H2505" s="24" t="str">
        <f>IFERROR(VLOOKUP(B2505,material!A:D,3,0),"")</f>
        <v>4K RFIP</v>
      </c>
    </row>
    <row r="2506" ht="11.25" customHeight="1">
      <c r="A2506" s="21" t="str">
        <f>IFERROR(__xludf.DUMMYFUNCTION("""COMPUTED_VALUE"""),"DECODER CARDLESS 4K UHD S4KCW5 CABO IP")</f>
        <v>DECODER CARDLESS 4K UHD S4KCW5 CABO IP</v>
      </c>
      <c r="B2506" s="22">
        <f>IFERROR(__xludf.DUMMYFUNCTION("""COMPUTED_VALUE"""),4.1001583E7)</f>
        <v>41001583</v>
      </c>
      <c r="C2506" s="21" t="str">
        <f>IFERROR(__xludf.DUMMYFUNCTION("""COMPUTED_VALUE"""),"241618357386")</f>
        <v>241618357386</v>
      </c>
      <c r="D2506" s="21" t="str">
        <f>IFERROR(__xludf.DUMMYFUNCTION("""COMPUTED_VALUE"""),"DIGITEC TECNOLOGIA DIGITAL E REPRES")</f>
        <v>DIGITEC TECNOLOGIA DIGITAL E REPRES</v>
      </c>
      <c r="E2506" s="21">
        <f>IFERROR(__xludf.DUMMYFUNCTION("""COMPUTED_VALUE"""),145359.0)</f>
        <v>145359</v>
      </c>
      <c r="F2506" s="21" t="str">
        <f>IFERROR(__xludf.DUMMYFUNCTION("""COMPUTED_VALUE"""),"TRANSITO REVERSA")</f>
        <v>TRANSITO REVERSA</v>
      </c>
      <c r="G2506" s="23">
        <f>IFERROR(__xludf.DUMMYFUNCTION("""COMPUTED_VALUE"""),45638.52060185185)</f>
        <v>45638.5206</v>
      </c>
      <c r="H2506" s="24" t="str">
        <f>IFERROR(VLOOKUP(B2506,material!A:D,3,0),"")</f>
        <v>4K RFIP</v>
      </c>
    </row>
    <row r="2507" ht="11.25" customHeight="1">
      <c r="A2507" s="21" t="str">
        <f>IFERROR(__xludf.DUMMYFUNCTION("""COMPUTED_VALUE"""),"DECODER CARDLESS 4K UHD S4KCW5 CABO IP")</f>
        <v>DECODER CARDLESS 4K UHD S4KCW5 CABO IP</v>
      </c>
      <c r="B2507" s="22">
        <f>IFERROR(__xludf.DUMMYFUNCTION("""COMPUTED_VALUE"""),4.1001583E7)</f>
        <v>41001583</v>
      </c>
      <c r="C2507" s="21" t="str">
        <f>IFERROR(__xludf.DUMMYFUNCTION("""COMPUTED_VALUE"""),"241602439199")</f>
        <v>241602439199</v>
      </c>
      <c r="D2507" s="21" t="str">
        <f>IFERROR(__xludf.DUMMYFUNCTION("""COMPUTED_VALUE"""),"DIGITEC TECNOLOGIA DIGITAL E REPRES")</f>
        <v>DIGITEC TECNOLOGIA DIGITAL E REPRES</v>
      </c>
      <c r="E2507" s="21">
        <f>IFERROR(__xludf.DUMMYFUNCTION("""COMPUTED_VALUE"""),145359.0)</f>
        <v>145359</v>
      </c>
      <c r="F2507" s="21" t="str">
        <f>IFERROR(__xludf.DUMMYFUNCTION("""COMPUTED_VALUE"""),"TRANSITO REVERSA")</f>
        <v>TRANSITO REVERSA</v>
      </c>
      <c r="G2507" s="23">
        <f>IFERROR(__xludf.DUMMYFUNCTION("""COMPUTED_VALUE"""),45626.29924768519)</f>
        <v>45626.29925</v>
      </c>
      <c r="H2507" s="24" t="str">
        <f>IFERROR(VLOOKUP(B2507,material!A:D,3,0),"")</f>
        <v>4K RFIP</v>
      </c>
    </row>
    <row r="2508" ht="11.25" customHeight="1">
      <c r="A2508" s="21" t="str">
        <f>IFERROR(__xludf.DUMMYFUNCTION("""COMPUTED_VALUE"""),"DECODER CARDLESS 4K UHD S4KCW5 CABO IP")</f>
        <v>DECODER CARDLESS 4K UHD S4KCW5 CABO IP</v>
      </c>
      <c r="B2508" s="22">
        <f>IFERROR(__xludf.DUMMYFUNCTION("""COMPUTED_VALUE"""),4.1001583E7)</f>
        <v>41001583</v>
      </c>
      <c r="C2508" s="21" t="str">
        <f>IFERROR(__xludf.DUMMYFUNCTION("""COMPUTED_VALUE"""),"241608937791")</f>
        <v>241608937791</v>
      </c>
      <c r="D2508" s="21" t="str">
        <f>IFERROR(__xludf.DUMMYFUNCTION("""COMPUTED_VALUE"""),"DIGITEC TECNOLOGIA DIGITAL E REPRES")</f>
        <v>DIGITEC TECNOLOGIA DIGITAL E REPRES</v>
      </c>
      <c r="E2508" s="21">
        <f>IFERROR(__xludf.DUMMYFUNCTION("""COMPUTED_VALUE"""),145359.0)</f>
        <v>145359</v>
      </c>
      <c r="F2508" s="21" t="str">
        <f>IFERROR(__xludf.DUMMYFUNCTION("""COMPUTED_VALUE"""),"TRANSITO REVERSA")</f>
        <v>TRANSITO REVERSA</v>
      </c>
      <c r="G2508" s="23">
        <f>IFERROR(__xludf.DUMMYFUNCTION("""COMPUTED_VALUE"""),45626.298692129625)</f>
        <v>45626.29869</v>
      </c>
      <c r="H2508" s="24" t="str">
        <f>IFERROR(VLOOKUP(B2508,material!A:D,3,0),"")</f>
        <v>4K RFIP</v>
      </c>
    </row>
    <row r="2509" ht="11.25" customHeight="1">
      <c r="A2509" s="21" t="str">
        <f>IFERROR(__xludf.DUMMYFUNCTION("""COMPUTED_VALUE"""),"DECODER CARDLESS 4K UHD S4KCW5 CABO IP")</f>
        <v>DECODER CARDLESS 4K UHD S4KCW5 CABO IP</v>
      </c>
      <c r="B2509" s="22">
        <f>IFERROR(__xludf.DUMMYFUNCTION("""COMPUTED_VALUE"""),4.1001583E7)</f>
        <v>41001583</v>
      </c>
      <c r="C2509" s="21" t="str">
        <f>IFERROR(__xludf.DUMMYFUNCTION("""COMPUTED_VALUE"""),"241606300105")</f>
        <v>241606300105</v>
      </c>
      <c r="D2509" s="21" t="str">
        <f>IFERROR(__xludf.DUMMYFUNCTION("""COMPUTED_VALUE"""),"DIGITEC TECNOLOGIA DIGITAL E REPRES")</f>
        <v>DIGITEC TECNOLOGIA DIGITAL E REPRES</v>
      </c>
      <c r="E2509" s="21">
        <f>IFERROR(__xludf.DUMMYFUNCTION("""COMPUTED_VALUE"""),145359.0)</f>
        <v>145359</v>
      </c>
      <c r="F2509" s="21" t="str">
        <f>IFERROR(__xludf.DUMMYFUNCTION("""COMPUTED_VALUE"""),"TRANSITO REVERSA")</f>
        <v>TRANSITO REVERSA</v>
      </c>
      <c r="G2509" s="23">
        <f>IFERROR(__xludf.DUMMYFUNCTION("""COMPUTED_VALUE"""),45638.52060185185)</f>
        <v>45638.5206</v>
      </c>
      <c r="H2509" s="24" t="str">
        <f>IFERROR(VLOOKUP(B2509,material!A:D,3,0),"")</f>
        <v>4K RFIP</v>
      </c>
    </row>
    <row r="2510" ht="11.25" customHeight="1">
      <c r="A2510" s="21" t="str">
        <f>IFERROR(__xludf.DUMMYFUNCTION("""COMPUTED_VALUE"""),"DECODER CARDLESS 4K UHD S4KCW5 CABO IP")</f>
        <v>DECODER CARDLESS 4K UHD S4KCW5 CABO IP</v>
      </c>
      <c r="B2510" s="22">
        <f>IFERROR(__xludf.DUMMYFUNCTION("""COMPUTED_VALUE"""),4.1001583E7)</f>
        <v>41001583</v>
      </c>
      <c r="C2510" s="21" t="str">
        <f>IFERROR(__xludf.DUMMYFUNCTION("""COMPUTED_VALUE"""),"241605607578")</f>
        <v>241605607578</v>
      </c>
      <c r="D2510" s="21" t="str">
        <f>IFERROR(__xludf.DUMMYFUNCTION("""COMPUTED_VALUE"""),"DIGITEC TECNOLOGIA DIGITAL E REPRES")</f>
        <v>DIGITEC TECNOLOGIA DIGITAL E REPRES</v>
      </c>
      <c r="E2510" s="21">
        <f>IFERROR(__xludf.DUMMYFUNCTION("""COMPUTED_VALUE"""),145359.0)</f>
        <v>145359</v>
      </c>
      <c r="F2510" s="21" t="str">
        <f>IFERROR(__xludf.DUMMYFUNCTION("""COMPUTED_VALUE"""),"TRANSITO REVERSA")</f>
        <v>TRANSITO REVERSA</v>
      </c>
      <c r="G2510" s="23">
        <f>IFERROR(__xludf.DUMMYFUNCTION("""COMPUTED_VALUE"""),45626.298680555556)</f>
        <v>45626.29868</v>
      </c>
      <c r="H2510" s="24" t="str">
        <f>IFERROR(VLOOKUP(B2510,material!A:D,3,0),"")</f>
        <v>4K RFIP</v>
      </c>
    </row>
    <row r="2511" ht="11.25" customHeight="1">
      <c r="A2511" s="21" t="str">
        <f>IFERROR(__xludf.DUMMYFUNCTION("""COMPUTED_VALUE"""),"DECODER CARDLESS 4K UHD S4KCW5 CABO IP")</f>
        <v>DECODER CARDLESS 4K UHD S4KCW5 CABO IP</v>
      </c>
      <c r="B2511" s="22">
        <f>IFERROR(__xludf.DUMMYFUNCTION("""COMPUTED_VALUE"""),4.1001583E7)</f>
        <v>41001583</v>
      </c>
      <c r="C2511" s="21" t="str">
        <f>IFERROR(__xludf.DUMMYFUNCTION("""COMPUTED_VALUE"""),"241618334051")</f>
        <v>241618334051</v>
      </c>
      <c r="D2511" s="21" t="str">
        <f>IFERROR(__xludf.DUMMYFUNCTION("""COMPUTED_VALUE"""),"DIGITEC TECNOLOGIA DIGITAL E REPRES")</f>
        <v>DIGITEC TECNOLOGIA DIGITAL E REPRES</v>
      </c>
      <c r="E2511" s="21">
        <f>IFERROR(__xludf.DUMMYFUNCTION("""COMPUTED_VALUE"""),145359.0)</f>
        <v>145359</v>
      </c>
      <c r="F2511" s="21" t="str">
        <f>IFERROR(__xludf.DUMMYFUNCTION("""COMPUTED_VALUE"""),"TRANSITO REVERSA")</f>
        <v>TRANSITO REVERSA</v>
      </c>
      <c r="G2511" s="23">
        <f>IFERROR(__xludf.DUMMYFUNCTION("""COMPUTED_VALUE"""),45638.52111111111)</f>
        <v>45638.52111</v>
      </c>
      <c r="H2511" s="24" t="str">
        <f>IFERROR(VLOOKUP(B2511,material!A:D,3,0),"")</f>
        <v>4K RFIP</v>
      </c>
    </row>
    <row r="2512" ht="11.25" customHeight="1">
      <c r="A2512" s="21" t="str">
        <f>IFERROR(__xludf.DUMMYFUNCTION("""COMPUTED_VALUE"""),"TERMINAL DOCSIS 3.1 EMTA WIFI6 TC3106")</f>
        <v>TERMINAL DOCSIS 3.1 EMTA WIFI6 TC3106</v>
      </c>
      <c r="B2512" s="22">
        <f>IFERROR(__xludf.DUMMYFUNCTION("""COMPUTED_VALUE"""),4.1001553E7)</f>
        <v>41001553</v>
      </c>
      <c r="C2512" s="21" t="str">
        <f>IFERROR(__xludf.DUMMYFUNCTION("""COMPUTED_VALUE"""),"CCF3C88044FB")</f>
        <v>CCF3C88044FB</v>
      </c>
      <c r="D2512" s="21" t="str">
        <f>IFERROR(__xludf.DUMMYFUNCTION("""COMPUTED_VALUE"""),"DIGITEC TECNOLOGIA DIGITAL E REPRES")</f>
        <v>DIGITEC TECNOLOGIA DIGITAL E REPRES</v>
      </c>
      <c r="E2512" s="21">
        <f>IFERROR(__xludf.DUMMYFUNCTION("""COMPUTED_VALUE"""),145359.0)</f>
        <v>145359</v>
      </c>
      <c r="F2512" s="21" t="str">
        <f>IFERROR(__xludf.DUMMYFUNCTION("""COMPUTED_VALUE"""),"TRANSITO REVERSA")</f>
        <v>TRANSITO REVERSA</v>
      </c>
      <c r="G2512" s="23">
        <f>IFERROR(__xludf.DUMMYFUNCTION("""COMPUTED_VALUE"""),45626.29872685185)</f>
        <v>45626.29873</v>
      </c>
      <c r="H2512" s="24" t="str">
        <f>IFERROR(VLOOKUP(B2512,material!A:D,3,0),"")</f>
        <v>WIFI 6</v>
      </c>
    </row>
    <row r="2513" ht="11.25" customHeight="1">
      <c r="A2513" s="21" t="str">
        <f>IFERROR(__xludf.DUMMYFUNCTION("""COMPUTED_VALUE"""),"TERMINAL DOCSIS 3.1 EMTA WIFI6 TC3106")</f>
        <v>TERMINAL DOCSIS 3.1 EMTA WIFI6 TC3106</v>
      </c>
      <c r="B2513" s="22">
        <f>IFERROR(__xludf.DUMMYFUNCTION("""COMPUTED_VALUE"""),4.1001553E7)</f>
        <v>41001553</v>
      </c>
      <c r="C2513" s="21" t="str">
        <f>IFERROR(__xludf.DUMMYFUNCTION("""COMPUTED_VALUE"""),"F8D2ACF6B32B")</f>
        <v>F8D2ACF6B32B</v>
      </c>
      <c r="D2513" s="21" t="str">
        <f>IFERROR(__xludf.DUMMYFUNCTION("""COMPUTED_VALUE"""),"DIGITEC TECNOLOGIA DIGITAL E REPRES")</f>
        <v>DIGITEC TECNOLOGIA DIGITAL E REPRES</v>
      </c>
      <c r="E2513" s="21">
        <f>IFERROR(__xludf.DUMMYFUNCTION("""COMPUTED_VALUE"""),145359.0)</f>
        <v>145359</v>
      </c>
      <c r="F2513" s="21" t="str">
        <f>IFERROR(__xludf.DUMMYFUNCTION("""COMPUTED_VALUE"""),"TRANSITO REVERSA")</f>
        <v>TRANSITO REVERSA</v>
      </c>
      <c r="G2513" s="23">
        <f>IFERROR(__xludf.DUMMYFUNCTION("""COMPUTED_VALUE"""),45633.003958333335)</f>
        <v>45633.00396</v>
      </c>
      <c r="H2513" s="24" t="str">
        <f>IFERROR(VLOOKUP(B2513,material!A:D,3,0),"")</f>
        <v>WIFI 6</v>
      </c>
    </row>
    <row r="2514" ht="11.25" customHeight="1">
      <c r="A2514" s="21" t="str">
        <f>IFERROR(__xludf.DUMMYFUNCTION("""COMPUTED_VALUE"""),"TERMINAL DOCSIS 3.1 EMTA WIFI6 TC3106")</f>
        <v>TERMINAL DOCSIS 3.1 EMTA WIFI6 TC3106</v>
      </c>
      <c r="B2514" s="22">
        <f>IFERROR(__xludf.DUMMYFUNCTION("""COMPUTED_VALUE"""),4.1001553E7)</f>
        <v>41001553</v>
      </c>
      <c r="C2514" s="21" t="str">
        <f>IFERROR(__xludf.DUMMYFUNCTION("""COMPUTED_VALUE"""),"F8D2ACF4E5A3")</f>
        <v>F8D2ACF4E5A3</v>
      </c>
      <c r="D2514" s="21" t="str">
        <f>IFERROR(__xludf.DUMMYFUNCTION("""COMPUTED_VALUE"""),"DIGITEC TECNOLOGIA DIGITAL E REPRES")</f>
        <v>DIGITEC TECNOLOGIA DIGITAL E REPRES</v>
      </c>
      <c r="E2514" s="21">
        <f>IFERROR(__xludf.DUMMYFUNCTION("""COMPUTED_VALUE"""),145359.0)</f>
        <v>145359</v>
      </c>
      <c r="F2514" s="21" t="str">
        <f>IFERROR(__xludf.DUMMYFUNCTION("""COMPUTED_VALUE"""),"TRANSITO REVERSA")</f>
        <v>TRANSITO REVERSA</v>
      </c>
      <c r="G2514" s="23">
        <f>IFERROR(__xludf.DUMMYFUNCTION("""COMPUTED_VALUE"""),45640.94962962963)</f>
        <v>45640.94963</v>
      </c>
      <c r="H2514" s="24" t="str">
        <f>IFERROR(VLOOKUP(B2514,material!A:D,3,0),"")</f>
        <v>WIFI 6</v>
      </c>
    </row>
    <row r="2515" ht="11.25" customHeight="1">
      <c r="A2515" s="21" t="str">
        <f>IFERROR(__xludf.DUMMYFUNCTION("""COMPUTED_VALUE"""),"TERMINAL DOCSIS 3.1 EMTA WIFI6 TC3106")</f>
        <v>TERMINAL DOCSIS 3.1 EMTA WIFI6 TC3106</v>
      </c>
      <c r="B2515" s="22">
        <f>IFERROR(__xludf.DUMMYFUNCTION("""COMPUTED_VALUE"""),4.1001553E7)</f>
        <v>41001553</v>
      </c>
      <c r="C2515" s="21" t="str">
        <f>IFERROR(__xludf.DUMMYFUNCTION("""COMPUTED_VALUE"""),"10A793327833")</f>
        <v>10A793327833</v>
      </c>
      <c r="D2515" s="21" t="str">
        <f>IFERROR(__xludf.DUMMYFUNCTION("""COMPUTED_VALUE"""),"DIGITEC TECNOLOGIA DIGITAL E REPRES")</f>
        <v>DIGITEC TECNOLOGIA DIGITAL E REPRES</v>
      </c>
      <c r="E2515" s="21">
        <f>IFERROR(__xludf.DUMMYFUNCTION("""COMPUTED_VALUE"""),145359.0)</f>
        <v>145359</v>
      </c>
      <c r="F2515" s="21" t="str">
        <f>IFERROR(__xludf.DUMMYFUNCTION("""COMPUTED_VALUE"""),"TRANSITO REVERSA")</f>
        <v>TRANSITO REVERSA</v>
      </c>
      <c r="G2515" s="23">
        <f>IFERROR(__xludf.DUMMYFUNCTION("""COMPUTED_VALUE"""),45626.29871527778)</f>
        <v>45626.29872</v>
      </c>
      <c r="H2515" s="24" t="str">
        <f>IFERROR(VLOOKUP(B2515,material!A:D,3,0),"")</f>
        <v>WIFI 6</v>
      </c>
    </row>
    <row r="2516" ht="11.25" customHeight="1">
      <c r="A2516" s="21" t="str">
        <f>IFERROR(__xludf.DUMMYFUNCTION("""COMPUTED_VALUE"""),"TERMINAL DOCSIS 3.1 EMTA WIFI6 TC3106")</f>
        <v>TERMINAL DOCSIS 3.1 EMTA WIFI6 TC3106</v>
      </c>
      <c r="B2516" s="22">
        <f>IFERROR(__xludf.DUMMYFUNCTION("""COMPUTED_VALUE"""),4.1001553E7)</f>
        <v>41001553</v>
      </c>
      <c r="C2516" s="21" t="str">
        <f>IFERROR(__xludf.DUMMYFUNCTION("""COMPUTED_VALUE"""),"10A793326363")</f>
        <v>10A793326363</v>
      </c>
      <c r="D2516" s="21" t="str">
        <f>IFERROR(__xludf.DUMMYFUNCTION("""COMPUTED_VALUE"""),"DIGITEC TECNOLOGIA DIGITAL E REPRES")</f>
        <v>DIGITEC TECNOLOGIA DIGITAL E REPRES</v>
      </c>
      <c r="E2516" s="21">
        <f>IFERROR(__xludf.DUMMYFUNCTION("""COMPUTED_VALUE"""),145359.0)</f>
        <v>145359</v>
      </c>
      <c r="F2516" s="21" t="str">
        <f>IFERROR(__xludf.DUMMYFUNCTION("""COMPUTED_VALUE"""),"TRANSITO REVERSA")</f>
        <v>TRANSITO REVERSA</v>
      </c>
      <c r="G2516" s="23">
        <f>IFERROR(__xludf.DUMMYFUNCTION("""COMPUTED_VALUE"""),45626.298680555556)</f>
        <v>45626.29868</v>
      </c>
      <c r="H2516" s="24" t="str">
        <f>IFERROR(VLOOKUP(B2516,material!A:D,3,0),"")</f>
        <v>WIFI 6</v>
      </c>
    </row>
    <row r="2517" ht="11.25" customHeight="1">
      <c r="A2517" s="21" t="str">
        <f>IFERROR(__xludf.DUMMYFUNCTION("""COMPUTED_VALUE"""),"TERMINAL DOCSIS 3.1 EMTA WIFI6 TC3106")</f>
        <v>TERMINAL DOCSIS 3.1 EMTA WIFI6 TC3106</v>
      </c>
      <c r="B2517" s="22">
        <f>IFERROR(__xludf.DUMMYFUNCTION("""COMPUTED_VALUE"""),4.1001553E7)</f>
        <v>41001553</v>
      </c>
      <c r="C2517" s="21" t="str">
        <f>IFERROR(__xludf.DUMMYFUNCTION("""COMPUTED_VALUE"""),"10A793331C5B")</f>
        <v>10A793331C5B</v>
      </c>
      <c r="D2517" s="21" t="str">
        <f>IFERROR(__xludf.DUMMYFUNCTION("""COMPUTED_VALUE"""),"DIGITEC TECNOLOGIA DIGITAL E REPRES")</f>
        <v>DIGITEC TECNOLOGIA DIGITAL E REPRES</v>
      </c>
      <c r="E2517" s="21">
        <f>IFERROR(__xludf.DUMMYFUNCTION("""COMPUTED_VALUE"""),145359.0)</f>
        <v>145359</v>
      </c>
      <c r="F2517" s="21" t="str">
        <f>IFERROR(__xludf.DUMMYFUNCTION("""COMPUTED_VALUE"""),"TRANSITO REVERSA")</f>
        <v>TRANSITO REVERSA</v>
      </c>
      <c r="G2517" s="23">
        <f>IFERROR(__xludf.DUMMYFUNCTION("""COMPUTED_VALUE"""),45626.298692129625)</f>
        <v>45626.29869</v>
      </c>
      <c r="H2517" s="24" t="str">
        <f>IFERROR(VLOOKUP(B2517,material!A:D,3,0),"")</f>
        <v>WIFI 6</v>
      </c>
    </row>
    <row r="2518" ht="11.25" customHeight="1">
      <c r="A2518" s="21" t="str">
        <f>IFERROR(__xludf.DUMMYFUNCTION("""COMPUTED_VALUE"""),"TERMINAL DOCSIS 3.1 EMTA WIFI6 TC3106")</f>
        <v>TERMINAL DOCSIS 3.1 EMTA WIFI6 TC3106</v>
      </c>
      <c r="B2518" s="22">
        <f>IFERROR(__xludf.DUMMYFUNCTION("""COMPUTED_VALUE"""),4.1001553E7)</f>
        <v>41001553</v>
      </c>
      <c r="C2518" s="21" t="str">
        <f>IFERROR(__xludf.DUMMYFUNCTION("""COMPUTED_VALUE"""),"CCF3C85E8F7B")</f>
        <v>CCF3C85E8F7B</v>
      </c>
      <c r="D2518" s="21" t="str">
        <f>IFERROR(__xludf.DUMMYFUNCTION("""COMPUTED_VALUE"""),"DIGITEC TECNOLOGIA DIGITAL E REPRES")</f>
        <v>DIGITEC TECNOLOGIA DIGITAL E REPRES</v>
      </c>
      <c r="E2518" s="21">
        <f>IFERROR(__xludf.DUMMYFUNCTION("""COMPUTED_VALUE"""),145359.0)</f>
        <v>145359</v>
      </c>
      <c r="F2518" s="21" t="str">
        <f>IFERROR(__xludf.DUMMYFUNCTION("""COMPUTED_VALUE"""),"TRANSITO REVERSA")</f>
        <v>TRANSITO REVERSA</v>
      </c>
      <c r="G2518" s="23">
        <f>IFERROR(__xludf.DUMMYFUNCTION("""COMPUTED_VALUE"""),45626.29871527778)</f>
        <v>45626.29872</v>
      </c>
      <c r="H2518" s="24" t="str">
        <f>IFERROR(VLOOKUP(B2518,material!A:D,3,0),"")</f>
        <v>WIFI 6</v>
      </c>
    </row>
    <row r="2519" ht="11.25" customHeight="1">
      <c r="A2519" s="21" t="str">
        <f>IFERROR(__xludf.DUMMYFUNCTION("""COMPUTED_VALUE"""),"TERMINAL DOCSIS 3.1 EMTA WIFI6 TC3106")</f>
        <v>TERMINAL DOCSIS 3.1 EMTA WIFI6 TC3106</v>
      </c>
      <c r="B2519" s="22">
        <f>IFERROR(__xludf.DUMMYFUNCTION("""COMPUTED_VALUE"""),4.1001553E7)</f>
        <v>41001553</v>
      </c>
      <c r="C2519" s="21" t="str">
        <f>IFERROR(__xludf.DUMMYFUNCTION("""COMPUTED_VALUE"""),"10A79332181B")</f>
        <v>10A79332181B</v>
      </c>
      <c r="D2519" s="21" t="str">
        <f>IFERROR(__xludf.DUMMYFUNCTION("""COMPUTED_VALUE"""),"DIGITEC TECNOLOGIA DIGITAL E REPRES")</f>
        <v>DIGITEC TECNOLOGIA DIGITAL E REPRES</v>
      </c>
      <c r="E2519" s="21">
        <f>IFERROR(__xludf.DUMMYFUNCTION("""COMPUTED_VALUE"""),145359.0)</f>
        <v>145359</v>
      </c>
      <c r="F2519" s="21" t="str">
        <f>IFERROR(__xludf.DUMMYFUNCTION("""COMPUTED_VALUE"""),"TRANSITO REVERSA")</f>
        <v>TRANSITO REVERSA</v>
      </c>
      <c r="G2519" s="23">
        <f>IFERROR(__xludf.DUMMYFUNCTION("""COMPUTED_VALUE"""),45633.00336805556)</f>
        <v>45633.00337</v>
      </c>
      <c r="H2519" s="24" t="str">
        <f>IFERROR(VLOOKUP(B2519,material!A:D,3,0),"")</f>
        <v>WIFI 6</v>
      </c>
    </row>
    <row r="2520" ht="11.25" customHeight="1">
      <c r="A2520" s="21" t="str">
        <f>IFERROR(__xludf.DUMMYFUNCTION("""COMPUTED_VALUE"""),"TERMINAL DOCSIS 3.1 EMTA WIFI6 TC3106")</f>
        <v>TERMINAL DOCSIS 3.1 EMTA WIFI6 TC3106</v>
      </c>
      <c r="B2520" s="22">
        <f>IFERROR(__xludf.DUMMYFUNCTION("""COMPUTED_VALUE"""),4.1001553E7)</f>
        <v>41001553</v>
      </c>
      <c r="C2520" s="21" t="str">
        <f>IFERROR(__xludf.DUMMYFUNCTION("""COMPUTED_VALUE"""),"10A79331E06B")</f>
        <v>10A79331E06B</v>
      </c>
      <c r="D2520" s="21" t="str">
        <f>IFERROR(__xludf.DUMMYFUNCTION("""COMPUTED_VALUE"""),"DIGITEC TECNOLOGIA DIGITAL E REPRES")</f>
        <v>DIGITEC TECNOLOGIA DIGITAL E REPRES</v>
      </c>
      <c r="E2520" s="21">
        <f>IFERROR(__xludf.DUMMYFUNCTION("""COMPUTED_VALUE"""),145359.0)</f>
        <v>145359</v>
      </c>
      <c r="F2520" s="21" t="str">
        <f>IFERROR(__xludf.DUMMYFUNCTION("""COMPUTED_VALUE"""),"TRANSITO REVERSA")</f>
        <v>TRANSITO REVERSA</v>
      </c>
      <c r="G2520" s="23">
        <f>IFERROR(__xludf.DUMMYFUNCTION("""COMPUTED_VALUE"""),45638.52112268518)</f>
        <v>45638.52112</v>
      </c>
      <c r="H2520" s="24" t="str">
        <f>IFERROR(VLOOKUP(B2520,material!A:D,3,0),"")</f>
        <v>WIFI 6</v>
      </c>
    </row>
    <row r="2521" ht="11.25" customHeight="1">
      <c r="A2521" s="21" t="str">
        <f>IFERROR(__xludf.DUMMYFUNCTION("""COMPUTED_VALUE"""),"TERMINAL DOCSIS 3.1 EMTA WIFI6 TC3106")</f>
        <v>TERMINAL DOCSIS 3.1 EMTA WIFI6 TC3106</v>
      </c>
      <c r="B2521" s="22">
        <f>IFERROR(__xludf.DUMMYFUNCTION("""COMPUTED_VALUE"""),4.1001553E7)</f>
        <v>41001553</v>
      </c>
      <c r="C2521" s="21" t="str">
        <f>IFERROR(__xludf.DUMMYFUNCTION("""COMPUTED_VALUE"""),"10A79332562B")</f>
        <v>10A79332562B</v>
      </c>
      <c r="D2521" s="21" t="str">
        <f>IFERROR(__xludf.DUMMYFUNCTION("""COMPUTED_VALUE"""),"DIGITEC TECNOLOGIA DIGITAL E REPRES")</f>
        <v>DIGITEC TECNOLOGIA DIGITAL E REPRES</v>
      </c>
      <c r="E2521" s="21">
        <f>IFERROR(__xludf.DUMMYFUNCTION("""COMPUTED_VALUE"""),145359.0)</f>
        <v>145359</v>
      </c>
      <c r="F2521" s="21" t="str">
        <f>IFERROR(__xludf.DUMMYFUNCTION("""COMPUTED_VALUE"""),"TRANSITO REVERSA")</f>
        <v>TRANSITO REVERSA</v>
      </c>
      <c r="G2521" s="23">
        <f>IFERROR(__xludf.DUMMYFUNCTION("""COMPUTED_VALUE"""),45633.00396990741)</f>
        <v>45633.00397</v>
      </c>
      <c r="H2521" s="24" t="str">
        <f>IFERROR(VLOOKUP(B2521,material!A:D,3,0),"")</f>
        <v>WIFI 6</v>
      </c>
    </row>
    <row r="2522" ht="11.25" customHeight="1">
      <c r="A2522" s="21" t="str">
        <f>IFERROR(__xludf.DUMMYFUNCTION("""COMPUTED_VALUE"""),"TERMINAL DOCSIS 3.1 EMTA WIFI6 TC3106")</f>
        <v>TERMINAL DOCSIS 3.1 EMTA WIFI6 TC3106</v>
      </c>
      <c r="B2522" s="22">
        <f>IFERROR(__xludf.DUMMYFUNCTION("""COMPUTED_VALUE"""),4.1001553E7)</f>
        <v>41001553</v>
      </c>
      <c r="C2522" s="21" t="str">
        <f>IFERROR(__xludf.DUMMYFUNCTION("""COMPUTED_VALUE"""),"10A793323BD3")</f>
        <v>10A793323BD3</v>
      </c>
      <c r="D2522" s="21" t="str">
        <f>IFERROR(__xludf.DUMMYFUNCTION("""COMPUTED_VALUE"""),"DIGITEC TECNOLOGIA DIGITAL E REPRES")</f>
        <v>DIGITEC TECNOLOGIA DIGITAL E REPRES</v>
      </c>
      <c r="E2522" s="21">
        <f>IFERROR(__xludf.DUMMYFUNCTION("""COMPUTED_VALUE"""),145359.0)</f>
        <v>145359</v>
      </c>
      <c r="F2522" s="21" t="str">
        <f>IFERROR(__xludf.DUMMYFUNCTION("""COMPUTED_VALUE"""),"TRANSITO REVERSA")</f>
        <v>TRANSITO REVERSA</v>
      </c>
      <c r="G2522" s="23">
        <f>IFERROR(__xludf.DUMMYFUNCTION("""COMPUTED_VALUE"""),45638.52111111111)</f>
        <v>45638.52111</v>
      </c>
      <c r="H2522" s="24" t="str">
        <f>IFERROR(VLOOKUP(B2522,material!A:D,3,0),"")</f>
        <v>WIFI 6</v>
      </c>
    </row>
    <row r="2523" ht="11.25" customHeight="1">
      <c r="A2523" s="21" t="str">
        <f>IFERROR(__xludf.DUMMYFUNCTION("""COMPUTED_VALUE"""),"TERMINAL DOCSIS 3.1 EMTA WIFI6 TC3106")</f>
        <v>TERMINAL DOCSIS 3.1 EMTA WIFI6 TC3106</v>
      </c>
      <c r="B2523" s="22">
        <f>IFERROR(__xludf.DUMMYFUNCTION("""COMPUTED_VALUE"""),4.1001553E7)</f>
        <v>41001553</v>
      </c>
      <c r="C2523" s="21" t="str">
        <f>IFERROR(__xludf.DUMMYFUNCTION("""COMPUTED_VALUE"""),"10A7933FC863")</f>
        <v>10A7933FC863</v>
      </c>
      <c r="D2523" s="21" t="str">
        <f>IFERROR(__xludf.DUMMYFUNCTION("""COMPUTED_VALUE"""),"DIGITEC TECNOLOGIA DIGITAL E REPRES")</f>
        <v>DIGITEC TECNOLOGIA DIGITAL E REPRES</v>
      </c>
      <c r="E2523" s="21">
        <f>IFERROR(__xludf.DUMMYFUNCTION("""COMPUTED_VALUE"""),145359.0)</f>
        <v>145359</v>
      </c>
      <c r="F2523" s="21" t="str">
        <f>IFERROR(__xludf.DUMMYFUNCTION("""COMPUTED_VALUE"""),"TRANSITO REVERSA")</f>
        <v>TRANSITO REVERSA</v>
      </c>
      <c r="G2523" s="23">
        <f>IFERROR(__xludf.DUMMYFUNCTION("""COMPUTED_VALUE"""),45633.00340277777)</f>
        <v>45633.0034</v>
      </c>
      <c r="H2523" s="24" t="str">
        <f>IFERROR(VLOOKUP(B2523,material!A:D,3,0),"")</f>
        <v>WIFI 6</v>
      </c>
    </row>
    <row r="2524" ht="11.25" customHeight="1">
      <c r="A2524" s="21" t="str">
        <f>IFERROR(__xludf.DUMMYFUNCTION("""COMPUTED_VALUE"""),"TERMINAL DOCSIS 3.1 EMTA WIFI6 TC3106")</f>
        <v>TERMINAL DOCSIS 3.1 EMTA WIFI6 TC3106</v>
      </c>
      <c r="B2524" s="22">
        <f>IFERROR(__xludf.DUMMYFUNCTION("""COMPUTED_VALUE"""),4.1001553E7)</f>
        <v>41001553</v>
      </c>
      <c r="C2524" s="21" t="str">
        <f>IFERROR(__xludf.DUMMYFUNCTION("""COMPUTED_VALUE"""),"10A79337A5EB")</f>
        <v>10A79337A5EB</v>
      </c>
      <c r="D2524" s="21" t="str">
        <f>IFERROR(__xludf.DUMMYFUNCTION("""COMPUTED_VALUE"""),"DIGITEC TECNOLOGIA DIGITAL E REPRES")</f>
        <v>DIGITEC TECNOLOGIA DIGITAL E REPRES</v>
      </c>
      <c r="E2524" s="21">
        <f>IFERROR(__xludf.DUMMYFUNCTION("""COMPUTED_VALUE"""),145359.0)</f>
        <v>145359</v>
      </c>
      <c r="F2524" s="21" t="str">
        <f>IFERROR(__xludf.DUMMYFUNCTION("""COMPUTED_VALUE"""),"TRANSITO REVERSA")</f>
        <v>TRANSITO REVERSA</v>
      </c>
      <c r="G2524" s="23">
        <f>IFERROR(__xludf.DUMMYFUNCTION("""COMPUTED_VALUE"""),45633.003958333335)</f>
        <v>45633.00396</v>
      </c>
      <c r="H2524" s="24" t="str">
        <f>IFERROR(VLOOKUP(B2524,material!A:D,3,0),"")</f>
        <v>WIFI 6</v>
      </c>
    </row>
    <row r="2525" ht="11.25" customHeight="1">
      <c r="A2525" s="21" t="str">
        <f>IFERROR(__xludf.DUMMYFUNCTION("""COMPUTED_VALUE"""),"TERMINAL DOCSIS 3.1 EMTA WIFI6 TC3106")</f>
        <v>TERMINAL DOCSIS 3.1 EMTA WIFI6 TC3106</v>
      </c>
      <c r="B2525" s="22">
        <f>IFERROR(__xludf.DUMMYFUNCTION("""COMPUTED_VALUE"""),4.1001553E7)</f>
        <v>41001553</v>
      </c>
      <c r="C2525" s="21" t="str">
        <f>IFERROR(__xludf.DUMMYFUNCTION("""COMPUTED_VALUE"""),"10A7933F5BEB")</f>
        <v>10A7933F5BEB</v>
      </c>
      <c r="D2525" s="21" t="str">
        <f>IFERROR(__xludf.DUMMYFUNCTION("""COMPUTED_VALUE"""),"DIGITEC TECNOLOGIA DIGITAL E REPRES")</f>
        <v>DIGITEC TECNOLOGIA DIGITAL E REPRES</v>
      </c>
      <c r="E2525" s="21">
        <f>IFERROR(__xludf.DUMMYFUNCTION("""COMPUTED_VALUE"""),145359.0)</f>
        <v>145359</v>
      </c>
      <c r="F2525" s="21" t="str">
        <f>IFERROR(__xludf.DUMMYFUNCTION("""COMPUTED_VALUE"""),"TRANSITO REVERSA")</f>
        <v>TRANSITO REVERSA</v>
      </c>
      <c r="G2525" s="23">
        <f>IFERROR(__xludf.DUMMYFUNCTION("""COMPUTED_VALUE"""),45633.00399305555)</f>
        <v>45633.00399</v>
      </c>
      <c r="H2525" s="24" t="str">
        <f>IFERROR(VLOOKUP(B2525,material!A:D,3,0),"")</f>
        <v>WIFI 6</v>
      </c>
    </row>
    <row r="2526" ht="11.25" customHeight="1">
      <c r="A2526" s="21" t="str">
        <f>IFERROR(__xludf.DUMMYFUNCTION("""COMPUTED_VALUE"""),"TERMINAL DOCSIS 3.1 EMTA WIFI6 TC3106")</f>
        <v>TERMINAL DOCSIS 3.1 EMTA WIFI6 TC3106</v>
      </c>
      <c r="B2526" s="22">
        <f>IFERROR(__xludf.DUMMYFUNCTION("""COMPUTED_VALUE"""),4.1001553E7)</f>
        <v>41001553</v>
      </c>
      <c r="C2526" s="21" t="str">
        <f>IFERROR(__xludf.DUMMYFUNCTION("""COMPUTED_VALUE"""),"10A793328F43")</f>
        <v>10A793328F43</v>
      </c>
      <c r="D2526" s="21" t="str">
        <f>IFERROR(__xludf.DUMMYFUNCTION("""COMPUTED_VALUE"""),"DIGITEC TECNOLOGIA DIGITAL E REPRES")</f>
        <v>DIGITEC TECNOLOGIA DIGITAL E REPRES</v>
      </c>
      <c r="E2526" s="21">
        <f>IFERROR(__xludf.DUMMYFUNCTION("""COMPUTED_VALUE"""),145359.0)</f>
        <v>145359</v>
      </c>
      <c r="F2526" s="21" t="str">
        <f>IFERROR(__xludf.DUMMYFUNCTION("""COMPUTED_VALUE"""),"TRANSITO REVERSA")</f>
        <v>TRANSITO REVERSA</v>
      </c>
      <c r="G2526" s="23">
        <f>IFERROR(__xludf.DUMMYFUNCTION("""COMPUTED_VALUE"""),45626.29871527778)</f>
        <v>45626.29872</v>
      </c>
      <c r="H2526" s="24" t="str">
        <f>IFERROR(VLOOKUP(B2526,material!A:D,3,0),"")</f>
        <v>WIFI 6</v>
      </c>
    </row>
    <row r="2527" ht="11.25" customHeight="1">
      <c r="A2527" s="21" t="str">
        <f>IFERROR(__xludf.DUMMYFUNCTION("""COMPUTED_VALUE"""),"TERMINAL DOCSIS 3.1 EMTA WIFI6 TC3106")</f>
        <v>TERMINAL DOCSIS 3.1 EMTA WIFI6 TC3106</v>
      </c>
      <c r="B2527" s="22">
        <f>IFERROR(__xludf.DUMMYFUNCTION("""COMPUTED_VALUE"""),4.1001553E7)</f>
        <v>41001553</v>
      </c>
      <c r="C2527" s="21" t="str">
        <f>IFERROR(__xludf.DUMMYFUNCTION("""COMPUTED_VALUE"""),"10A7933FA80B")</f>
        <v>10A7933FA80B</v>
      </c>
      <c r="D2527" s="21" t="str">
        <f>IFERROR(__xludf.DUMMYFUNCTION("""COMPUTED_VALUE"""),"DIGITEC TECNOLOGIA DIGITAL E REPRES")</f>
        <v>DIGITEC TECNOLOGIA DIGITAL E REPRES</v>
      </c>
      <c r="E2527" s="21">
        <f>IFERROR(__xludf.DUMMYFUNCTION("""COMPUTED_VALUE"""),145359.0)</f>
        <v>145359</v>
      </c>
      <c r="F2527" s="21" t="str">
        <f>IFERROR(__xludf.DUMMYFUNCTION("""COMPUTED_VALUE"""),"TRANSITO REVERSA")</f>
        <v>TRANSITO REVERSA</v>
      </c>
      <c r="G2527" s="23">
        <f>IFERROR(__xludf.DUMMYFUNCTION("""COMPUTED_VALUE"""),45638.520625000005)</f>
        <v>45638.52063</v>
      </c>
      <c r="H2527" s="24" t="str">
        <f>IFERROR(VLOOKUP(B2527,material!A:D,3,0),"")</f>
        <v>WIFI 6</v>
      </c>
    </row>
    <row r="2528" ht="11.25" customHeight="1">
      <c r="A2528" s="21" t="str">
        <f>IFERROR(__xludf.DUMMYFUNCTION("""COMPUTED_VALUE"""),"DECODER CARDLESS 4K UHD S4KCW4S CABO IP")</f>
        <v>DECODER CARDLESS 4K UHD S4KCW4S CABO IP</v>
      </c>
      <c r="B2528" s="22">
        <f>IFERROR(__xludf.DUMMYFUNCTION("""COMPUTED_VALUE"""),4.1001573E7)</f>
        <v>41001573</v>
      </c>
      <c r="C2528" s="21" t="str">
        <f>IFERROR(__xludf.DUMMYFUNCTION("""COMPUTED_VALUE"""),"229998951424")</f>
        <v>229998951424</v>
      </c>
      <c r="D2528" s="21" t="str">
        <f>IFERROR(__xludf.DUMMYFUNCTION("""COMPUTED_VALUE"""),"DIGITEC TECNOLOGIA DIGITAL E REPRES")</f>
        <v>DIGITEC TECNOLOGIA DIGITAL E REPRES</v>
      </c>
      <c r="E2528" s="21">
        <f>IFERROR(__xludf.DUMMYFUNCTION("""COMPUTED_VALUE"""),145359.0)</f>
        <v>145359</v>
      </c>
      <c r="F2528" s="21" t="str">
        <f>IFERROR(__xludf.DUMMYFUNCTION("""COMPUTED_VALUE"""),"TRANSITO REVERSA")</f>
        <v>TRANSITO REVERSA</v>
      </c>
      <c r="G2528" s="23">
        <f>IFERROR(__xludf.DUMMYFUNCTION("""COMPUTED_VALUE"""),45638.52113425926)</f>
        <v>45638.52113</v>
      </c>
      <c r="H2528" s="24" t="str">
        <f>IFERROR(VLOOKUP(B2528,material!A:D,3,0),"")</f>
        <v>BOOM BOX</v>
      </c>
    </row>
    <row r="2529" ht="11.25" customHeight="1">
      <c r="A2529" s="21" t="str">
        <f>IFERROR(__xludf.DUMMYFUNCTION("""COMPUTED_VALUE"""),"DECODER CARDLESS 4K UHD S4KCW4S CABO IP")</f>
        <v>DECODER CARDLESS 4K UHD S4KCW4S CABO IP</v>
      </c>
      <c r="B2529" s="22">
        <f>IFERROR(__xludf.DUMMYFUNCTION("""COMPUTED_VALUE"""),4.1001573E7)</f>
        <v>41001573</v>
      </c>
      <c r="C2529" s="21" t="str">
        <f>IFERROR(__xludf.DUMMYFUNCTION("""COMPUTED_VALUE"""),"229998577189")</f>
        <v>229998577189</v>
      </c>
      <c r="D2529" s="21" t="str">
        <f>IFERROR(__xludf.DUMMYFUNCTION("""COMPUTED_VALUE"""),"DIGITEC TECNOLOGIA DIGITAL E REPRES")</f>
        <v>DIGITEC TECNOLOGIA DIGITAL E REPRES</v>
      </c>
      <c r="E2529" s="21">
        <f>IFERROR(__xludf.DUMMYFUNCTION("""COMPUTED_VALUE"""),145359.0)</f>
        <v>145359</v>
      </c>
      <c r="F2529" s="21" t="str">
        <f>IFERROR(__xludf.DUMMYFUNCTION("""COMPUTED_VALUE"""),"TRANSITO REVERSA")</f>
        <v>TRANSITO REVERSA</v>
      </c>
      <c r="G2529" s="23">
        <f>IFERROR(__xludf.DUMMYFUNCTION("""COMPUTED_VALUE"""),45638.52061342592)</f>
        <v>45638.52061</v>
      </c>
      <c r="H2529" s="24" t="str">
        <f>IFERROR(VLOOKUP(B2529,material!A:D,3,0),"")</f>
        <v>BOOM BOX</v>
      </c>
    </row>
    <row r="2530" ht="11.25" customHeight="1">
      <c r="A2530" s="21" t="str">
        <f>IFERROR(__xludf.DUMMYFUNCTION("""COMPUTED_VALUE"""),"DECODER CARDLESS 4K UHD S4KCW4S CABO IP")</f>
        <v>DECODER CARDLESS 4K UHD S4KCW4S CABO IP</v>
      </c>
      <c r="B2530" s="22">
        <f>IFERROR(__xludf.DUMMYFUNCTION("""COMPUTED_VALUE"""),4.1001573E7)</f>
        <v>41001573</v>
      </c>
      <c r="C2530" s="21" t="str">
        <f>IFERROR(__xludf.DUMMYFUNCTION("""COMPUTED_VALUE"""),"229998575775")</f>
        <v>229998575775</v>
      </c>
      <c r="D2530" s="21" t="str">
        <f>IFERROR(__xludf.DUMMYFUNCTION("""COMPUTED_VALUE"""),"DIGITEC TECNOLOGIA DIGITAL E REPRES")</f>
        <v>DIGITEC TECNOLOGIA DIGITAL E REPRES</v>
      </c>
      <c r="E2530" s="21">
        <f>IFERROR(__xludf.DUMMYFUNCTION("""COMPUTED_VALUE"""),145359.0)</f>
        <v>145359</v>
      </c>
      <c r="F2530" s="21" t="str">
        <f>IFERROR(__xludf.DUMMYFUNCTION("""COMPUTED_VALUE"""),"TRANSITO REVERSA")</f>
        <v>TRANSITO REVERSA</v>
      </c>
      <c r="G2530" s="23">
        <f>IFERROR(__xludf.DUMMYFUNCTION("""COMPUTED_VALUE"""),45638.520625000005)</f>
        <v>45638.52063</v>
      </c>
      <c r="H2530" s="24" t="str">
        <f>IFERROR(VLOOKUP(B2530,material!A:D,3,0),"")</f>
        <v>BOOM BOX</v>
      </c>
    </row>
    <row r="2531" ht="11.25" customHeight="1">
      <c r="A2531" s="21" t="str">
        <f>IFERROR(__xludf.DUMMYFUNCTION("""COMPUTED_VALUE"""),"TERMINAL DOCSIS 3.1 EMTA WIFI6 F@ST3896")</f>
        <v>TERMINAL DOCSIS 3.1 EMTA WIFI6 F@ST3896</v>
      </c>
      <c r="B2531" s="22">
        <f>IFERROR(__xludf.DUMMYFUNCTION("""COMPUTED_VALUE"""),4.1001552E7)</f>
        <v>41001552</v>
      </c>
      <c r="C2531" s="21" t="str">
        <f>IFERROR(__xludf.DUMMYFUNCTION("""COMPUTED_VALUE"""),"9C24722FCD03")</f>
        <v>9C24722FCD03</v>
      </c>
      <c r="D2531" s="21" t="str">
        <f>IFERROR(__xludf.DUMMYFUNCTION("""COMPUTED_VALUE"""),"DIGITEC TECNOLOGIA DIGITAL E REPRES")</f>
        <v>DIGITEC TECNOLOGIA DIGITAL E REPRES</v>
      </c>
      <c r="E2531" s="21">
        <f>IFERROR(__xludf.DUMMYFUNCTION("""COMPUTED_VALUE"""),145359.0)</f>
        <v>145359</v>
      </c>
      <c r="F2531" s="21" t="str">
        <f>IFERROR(__xludf.DUMMYFUNCTION("""COMPUTED_VALUE"""),"TRANSITO REVERSA")</f>
        <v>TRANSITO REVERSA</v>
      </c>
      <c r="G2531" s="23">
        <f>IFERROR(__xludf.DUMMYFUNCTION("""COMPUTED_VALUE"""),45610.730416666665)</f>
        <v>45610.73042</v>
      </c>
      <c r="H2531" s="24" t="str">
        <f>IFERROR(VLOOKUP(B2531,material!A:D,3,0),"")</f>
        <v>WIFI 6</v>
      </c>
    </row>
    <row r="2532" ht="11.25" customHeight="1">
      <c r="A2532" s="21" t="str">
        <f>IFERROR(__xludf.DUMMYFUNCTION("""COMPUTED_VALUE"""),"TERMINAL DOCSIS 3.1 EMTA WIFI6 F@ST3896")</f>
        <v>TERMINAL DOCSIS 3.1 EMTA WIFI6 F@ST3896</v>
      </c>
      <c r="B2532" s="22">
        <f>IFERROR(__xludf.DUMMYFUNCTION("""COMPUTED_VALUE"""),4.1001552E7)</f>
        <v>41001552</v>
      </c>
      <c r="C2532" s="21" t="str">
        <f>IFERROR(__xludf.DUMMYFUNCTION("""COMPUTED_VALUE"""),"9C24722FD1EF")</f>
        <v>9C24722FD1EF</v>
      </c>
      <c r="D2532" s="21" t="str">
        <f>IFERROR(__xludf.DUMMYFUNCTION("""COMPUTED_VALUE"""),"DIGITEC TECNOLOGIA DIGITAL E REPRES")</f>
        <v>DIGITEC TECNOLOGIA DIGITAL E REPRES</v>
      </c>
      <c r="E2532" s="21">
        <f>IFERROR(__xludf.DUMMYFUNCTION("""COMPUTED_VALUE"""),145359.0)</f>
        <v>145359</v>
      </c>
      <c r="F2532" s="21" t="str">
        <f>IFERROR(__xludf.DUMMYFUNCTION("""COMPUTED_VALUE"""),"TRANSITO REVERSA")</f>
        <v>TRANSITO REVERSA</v>
      </c>
      <c r="G2532" s="23">
        <f>IFERROR(__xludf.DUMMYFUNCTION("""COMPUTED_VALUE"""),45610.730416666665)</f>
        <v>45610.73042</v>
      </c>
      <c r="H2532" s="24" t="str">
        <f>IFERROR(VLOOKUP(B2532,material!A:D,3,0),"")</f>
        <v>WIFI 6</v>
      </c>
    </row>
    <row r="2533" ht="11.25" customHeight="1">
      <c r="A2533" s="21" t="str">
        <f>IFERROR(__xludf.DUMMYFUNCTION("""COMPUTED_VALUE"""),"TERMINAL DOCSIS 3.1 EMTA WIFI6 F@ST3896")</f>
        <v>TERMINAL DOCSIS 3.1 EMTA WIFI6 F@ST3896</v>
      </c>
      <c r="B2533" s="22">
        <f>IFERROR(__xludf.DUMMYFUNCTION("""COMPUTED_VALUE"""),4.1001552E7)</f>
        <v>41001552</v>
      </c>
      <c r="C2533" s="21" t="str">
        <f>IFERROR(__xludf.DUMMYFUNCTION("""COMPUTED_VALUE"""),"A4224991B194")</f>
        <v>A4224991B194</v>
      </c>
      <c r="D2533" s="21" t="str">
        <f>IFERROR(__xludf.DUMMYFUNCTION("""COMPUTED_VALUE"""),"DIGITEC TECNOLOGIA DIGITAL E REPRES")</f>
        <v>DIGITEC TECNOLOGIA DIGITAL E REPRES</v>
      </c>
      <c r="E2533" s="21">
        <f>IFERROR(__xludf.DUMMYFUNCTION("""COMPUTED_VALUE"""),145359.0)</f>
        <v>145359</v>
      </c>
      <c r="F2533" s="21" t="str">
        <f>IFERROR(__xludf.DUMMYFUNCTION("""COMPUTED_VALUE"""),"TRANSITO REVERSA")</f>
        <v>TRANSITO REVERSA</v>
      </c>
      <c r="G2533" s="23">
        <f>IFERROR(__xludf.DUMMYFUNCTION("""COMPUTED_VALUE"""),45610.730416666665)</f>
        <v>45610.73042</v>
      </c>
      <c r="H2533" s="24" t="str">
        <f>IFERROR(VLOOKUP(B2533,material!A:D,3,0),"")</f>
        <v>WIFI 6</v>
      </c>
    </row>
    <row r="2534" ht="11.25" customHeight="1">
      <c r="A2534" s="21" t="str">
        <f>IFERROR(__xludf.DUMMYFUNCTION("""COMPUTED_VALUE"""),"TERMINAL DOCSIS 3.1 EMTA WIFI6 F@ST3896")</f>
        <v>TERMINAL DOCSIS 3.1 EMTA WIFI6 F@ST3896</v>
      </c>
      <c r="B2534" s="22">
        <f>IFERROR(__xludf.DUMMYFUNCTION("""COMPUTED_VALUE"""),4.1001552E7)</f>
        <v>41001552</v>
      </c>
      <c r="C2534" s="21" t="str">
        <f>IFERROR(__xludf.DUMMYFUNCTION("""COMPUTED_VALUE"""),"647B1EEBA8CD")</f>
        <v>647B1EEBA8CD</v>
      </c>
      <c r="D2534" s="21" t="str">
        <f>IFERROR(__xludf.DUMMYFUNCTION("""COMPUTED_VALUE"""),"DIGITEC TECNOLOGIA DIGITAL E REPRES")</f>
        <v>DIGITEC TECNOLOGIA DIGITAL E REPRES</v>
      </c>
      <c r="E2534" s="21">
        <f>IFERROR(__xludf.DUMMYFUNCTION("""COMPUTED_VALUE"""),145359.0)</f>
        <v>145359</v>
      </c>
      <c r="F2534" s="21" t="str">
        <f>IFERROR(__xludf.DUMMYFUNCTION("""COMPUTED_VALUE"""),"TRANSITO REVERSA")</f>
        <v>TRANSITO REVERSA</v>
      </c>
      <c r="G2534" s="23">
        <f>IFERROR(__xludf.DUMMYFUNCTION("""COMPUTED_VALUE"""),45638.520578703705)</f>
        <v>45638.52058</v>
      </c>
      <c r="H2534" s="24" t="str">
        <f>IFERROR(VLOOKUP(B2534,material!A:D,3,0),"")</f>
        <v>WIFI 6</v>
      </c>
    </row>
    <row r="2535" ht="11.25" customHeight="1">
      <c r="A2535" s="21" t="str">
        <f>IFERROR(__xludf.DUMMYFUNCTION("""COMPUTED_VALUE"""),"TERMINAL DOCSIS 3.1 EMTA WIFI6 F@ST3896")</f>
        <v>TERMINAL DOCSIS 3.1 EMTA WIFI6 F@ST3896</v>
      </c>
      <c r="B2535" s="22">
        <f>IFERROR(__xludf.DUMMYFUNCTION("""COMPUTED_VALUE"""),4.1001552E7)</f>
        <v>41001552</v>
      </c>
      <c r="C2535" s="21" t="str">
        <f>IFERROR(__xludf.DUMMYFUNCTION("""COMPUTED_VALUE"""),"647B1EEBA983")</f>
        <v>647B1EEBA983</v>
      </c>
      <c r="D2535" s="21" t="str">
        <f>IFERROR(__xludf.DUMMYFUNCTION("""COMPUTED_VALUE"""),"DIGITEC TECNOLOGIA DIGITAL E REPRES")</f>
        <v>DIGITEC TECNOLOGIA DIGITAL E REPRES</v>
      </c>
      <c r="E2535" s="21">
        <f>IFERROR(__xludf.DUMMYFUNCTION("""COMPUTED_VALUE"""),145359.0)</f>
        <v>145359</v>
      </c>
      <c r="F2535" s="21" t="str">
        <f>IFERROR(__xludf.DUMMYFUNCTION("""COMPUTED_VALUE"""),"TRANSITO REVERSA")</f>
        <v>TRANSITO REVERSA</v>
      </c>
      <c r="G2535" s="23">
        <f>IFERROR(__xludf.DUMMYFUNCTION("""COMPUTED_VALUE"""),45633.0033912037)</f>
        <v>45633.00339</v>
      </c>
      <c r="H2535" s="24" t="str">
        <f>IFERROR(VLOOKUP(B2535,material!A:D,3,0),"")</f>
        <v>WIFI 6</v>
      </c>
    </row>
    <row r="2536" ht="11.25" customHeight="1">
      <c r="A2536" s="21" t="str">
        <f>IFERROR(__xludf.DUMMYFUNCTION("""COMPUTED_VALUE"""),"TERMINAL DOCSIS 3.1 EMTA WIFI6 F@ST3896")</f>
        <v>TERMINAL DOCSIS 3.1 EMTA WIFI6 F@ST3896</v>
      </c>
      <c r="B2536" s="22">
        <f>IFERROR(__xludf.DUMMYFUNCTION("""COMPUTED_VALUE"""),4.1001552E7)</f>
        <v>41001552</v>
      </c>
      <c r="C2536" s="21" t="str">
        <f>IFERROR(__xludf.DUMMYFUNCTION("""COMPUTED_VALUE"""),"CC5830FF0AED")</f>
        <v>CC5830FF0AED</v>
      </c>
      <c r="D2536" s="21" t="str">
        <f>IFERROR(__xludf.DUMMYFUNCTION("""COMPUTED_VALUE"""),"DIGITEC TECNOLOGIA DIGITAL E REPRES")</f>
        <v>DIGITEC TECNOLOGIA DIGITAL E REPRES</v>
      </c>
      <c r="E2536" s="21">
        <f>IFERROR(__xludf.DUMMYFUNCTION("""COMPUTED_VALUE"""),145359.0)</f>
        <v>145359</v>
      </c>
      <c r="F2536" s="21" t="str">
        <f>IFERROR(__xludf.DUMMYFUNCTION("""COMPUTED_VALUE"""),"TRANSITO REVERSA")</f>
        <v>TRANSITO REVERSA</v>
      </c>
      <c r="G2536" s="23">
        <f>IFERROR(__xludf.DUMMYFUNCTION("""COMPUTED_VALUE"""),45633.003379629634)</f>
        <v>45633.00338</v>
      </c>
      <c r="H2536" s="24" t="str">
        <f>IFERROR(VLOOKUP(B2536,material!A:D,3,0),"")</f>
        <v>WIFI 6</v>
      </c>
    </row>
    <row r="2537" ht="11.25" customHeight="1">
      <c r="A2537" s="21" t="str">
        <f>IFERROR(__xludf.DUMMYFUNCTION("""COMPUTED_VALUE"""),"TERMINAL DOCSIS 3.1 EMTA WIFI6 F@ST3896")</f>
        <v>TERMINAL DOCSIS 3.1 EMTA WIFI6 F@ST3896</v>
      </c>
      <c r="B2537" s="22">
        <f>IFERROR(__xludf.DUMMYFUNCTION("""COMPUTED_VALUE"""),4.1001552E7)</f>
        <v>41001552</v>
      </c>
      <c r="C2537" s="21" t="str">
        <f>IFERROR(__xludf.DUMMYFUNCTION("""COMPUTED_VALUE"""),"B0924A113D44")</f>
        <v>B0924A113D44</v>
      </c>
      <c r="D2537" s="21" t="str">
        <f>IFERROR(__xludf.DUMMYFUNCTION("""COMPUTED_VALUE"""),"DIGITEC TECNOLOGIA DIGITAL E REPRES")</f>
        <v>DIGITEC TECNOLOGIA DIGITAL E REPRES</v>
      </c>
      <c r="E2537" s="21">
        <f>IFERROR(__xludf.DUMMYFUNCTION("""COMPUTED_VALUE"""),145359.0)</f>
        <v>145359</v>
      </c>
      <c r="F2537" s="21" t="str">
        <f>IFERROR(__xludf.DUMMYFUNCTION("""COMPUTED_VALUE"""),"TRANSITO REVERSA")</f>
        <v>TRANSITO REVERSA</v>
      </c>
      <c r="G2537" s="23">
        <f>IFERROR(__xludf.DUMMYFUNCTION("""COMPUTED_VALUE"""),45610.730416666665)</f>
        <v>45610.73042</v>
      </c>
      <c r="H2537" s="24" t="str">
        <f>IFERROR(VLOOKUP(B2537,material!A:D,3,0),"")</f>
        <v>WIFI 6</v>
      </c>
    </row>
    <row r="2538" ht="11.25" customHeight="1">
      <c r="A2538" s="21" t="str">
        <f>IFERROR(__xludf.DUMMYFUNCTION("""COMPUTED_VALUE"""),"TERMINAL DOCSIS 3.1 EMTA WIFI6 F@ST3896")</f>
        <v>TERMINAL DOCSIS 3.1 EMTA WIFI6 F@ST3896</v>
      </c>
      <c r="B2538" s="22">
        <f>IFERROR(__xludf.DUMMYFUNCTION("""COMPUTED_VALUE"""),4.1001552E7)</f>
        <v>41001552</v>
      </c>
      <c r="C2538" s="21" t="str">
        <f>IFERROR(__xludf.DUMMYFUNCTION("""COMPUTED_VALUE"""),"CC5830FDC034")</f>
        <v>CC5830FDC034</v>
      </c>
      <c r="D2538" s="21" t="str">
        <f>IFERROR(__xludf.DUMMYFUNCTION("""COMPUTED_VALUE"""),"DIGITEC TECNOLOGIA DIGITAL E REPRES")</f>
        <v>DIGITEC TECNOLOGIA DIGITAL E REPRES</v>
      </c>
      <c r="E2538" s="21">
        <f>IFERROR(__xludf.DUMMYFUNCTION("""COMPUTED_VALUE"""),145359.0)</f>
        <v>145359</v>
      </c>
      <c r="F2538" s="21" t="str">
        <f>IFERROR(__xludf.DUMMYFUNCTION("""COMPUTED_VALUE"""),"TRANSITO REVERSA")</f>
        <v>TRANSITO REVERSA</v>
      </c>
      <c r="G2538" s="23">
        <f>IFERROR(__xludf.DUMMYFUNCTION("""COMPUTED_VALUE"""),45626.29871527778)</f>
        <v>45626.29872</v>
      </c>
      <c r="H2538" s="24" t="str">
        <f>IFERROR(VLOOKUP(B2538,material!A:D,3,0),"")</f>
        <v>WIFI 6</v>
      </c>
    </row>
    <row r="2539" ht="11.25" customHeight="1">
      <c r="A2539" s="21" t="str">
        <f>IFERROR(__xludf.DUMMYFUNCTION("""COMPUTED_VALUE"""),"TERMINAL DOCSIS 3.1 EMTA WIFI6 F@ST3896")</f>
        <v>TERMINAL DOCSIS 3.1 EMTA WIFI6 F@ST3896</v>
      </c>
      <c r="B2539" s="22">
        <f>IFERROR(__xludf.DUMMYFUNCTION("""COMPUTED_VALUE"""),4.1001552E7)</f>
        <v>41001552</v>
      </c>
      <c r="C2539" s="21" t="str">
        <f>IFERROR(__xludf.DUMMYFUNCTION("""COMPUTED_VALUE"""),"CC5830FDD63E")</f>
        <v>CC5830FDD63E</v>
      </c>
      <c r="D2539" s="21" t="str">
        <f>IFERROR(__xludf.DUMMYFUNCTION("""COMPUTED_VALUE"""),"DIGITEC TECNOLOGIA DIGITAL E REPRES")</f>
        <v>DIGITEC TECNOLOGIA DIGITAL E REPRES</v>
      </c>
      <c r="E2539" s="21">
        <f>IFERROR(__xludf.DUMMYFUNCTION("""COMPUTED_VALUE"""),145359.0)</f>
        <v>145359</v>
      </c>
      <c r="F2539" s="21" t="str">
        <f>IFERROR(__xludf.DUMMYFUNCTION("""COMPUTED_VALUE"""),"TRANSITO REVERSA")</f>
        <v>TRANSITO REVERSA</v>
      </c>
      <c r="G2539" s="23">
        <f>IFERROR(__xludf.DUMMYFUNCTION("""COMPUTED_VALUE"""),45610.730416666665)</f>
        <v>45610.73042</v>
      </c>
      <c r="H2539" s="24" t="str">
        <f>IFERROR(VLOOKUP(B2539,material!A:D,3,0),"")</f>
        <v>WIFI 6</v>
      </c>
    </row>
    <row r="2540" ht="11.25" customHeight="1">
      <c r="A2540" s="21" t="str">
        <f>IFERROR(__xludf.DUMMYFUNCTION("""COMPUTED_VALUE"""),"TERMINAL DOCSIS 3.1 EMTA WIFI6 F@ST3896")</f>
        <v>TERMINAL DOCSIS 3.1 EMTA WIFI6 F@ST3896</v>
      </c>
      <c r="B2540" s="22">
        <f>IFERROR(__xludf.DUMMYFUNCTION("""COMPUTED_VALUE"""),4.1001552E7)</f>
        <v>41001552</v>
      </c>
      <c r="C2540" s="21" t="str">
        <f>IFERROR(__xludf.DUMMYFUNCTION("""COMPUTED_VALUE"""),"CC5830FDCBF6")</f>
        <v>CC5830FDCBF6</v>
      </c>
      <c r="D2540" s="21" t="str">
        <f>IFERROR(__xludf.DUMMYFUNCTION("""COMPUTED_VALUE"""),"DIGITEC TECNOLOGIA DIGITAL E REPRES")</f>
        <v>DIGITEC TECNOLOGIA DIGITAL E REPRES</v>
      </c>
      <c r="E2540" s="21">
        <f>IFERROR(__xludf.DUMMYFUNCTION("""COMPUTED_VALUE"""),145359.0)</f>
        <v>145359</v>
      </c>
      <c r="F2540" s="21" t="str">
        <f>IFERROR(__xludf.DUMMYFUNCTION("""COMPUTED_VALUE"""),"TRANSITO REVERSA")</f>
        <v>TRANSITO REVERSA</v>
      </c>
      <c r="G2540" s="23">
        <f>IFERROR(__xludf.DUMMYFUNCTION("""COMPUTED_VALUE"""),45633.0033912037)</f>
        <v>45633.00339</v>
      </c>
      <c r="H2540" s="24" t="str">
        <f>IFERROR(VLOOKUP(B2540,material!A:D,3,0),"")</f>
        <v>WIFI 6</v>
      </c>
    </row>
    <row r="2541" ht="11.25" customHeight="1">
      <c r="A2541" s="21" t="str">
        <f>IFERROR(__xludf.DUMMYFUNCTION("""COMPUTED_VALUE"""),"TERMINAL DOCSIS 3.1 EMTA WIFI6 F@ST3896")</f>
        <v>TERMINAL DOCSIS 3.1 EMTA WIFI6 F@ST3896</v>
      </c>
      <c r="B2541" s="22">
        <f>IFERROR(__xludf.DUMMYFUNCTION("""COMPUTED_VALUE"""),4.1001552E7)</f>
        <v>41001552</v>
      </c>
      <c r="C2541" s="21" t="str">
        <f>IFERROR(__xludf.DUMMYFUNCTION("""COMPUTED_VALUE"""),"CC58300091CC")</f>
        <v>CC58300091CC</v>
      </c>
      <c r="D2541" s="21" t="str">
        <f>IFERROR(__xludf.DUMMYFUNCTION("""COMPUTED_VALUE"""),"DIGITEC TECNOLOGIA DIGITAL E REPRES")</f>
        <v>DIGITEC TECNOLOGIA DIGITAL E REPRES</v>
      </c>
      <c r="E2541" s="21">
        <f>IFERROR(__xludf.DUMMYFUNCTION("""COMPUTED_VALUE"""),145359.0)</f>
        <v>145359</v>
      </c>
      <c r="F2541" s="21" t="str">
        <f>IFERROR(__xludf.DUMMYFUNCTION("""COMPUTED_VALUE"""),"TRANSITO REVERSA")</f>
        <v>TRANSITO REVERSA</v>
      </c>
      <c r="G2541" s="23">
        <f>IFERROR(__xludf.DUMMYFUNCTION("""COMPUTED_VALUE"""),45610.730416666665)</f>
        <v>45610.73042</v>
      </c>
      <c r="H2541" s="24" t="str">
        <f>IFERROR(VLOOKUP(B2541,material!A:D,3,0),"")</f>
        <v>WIFI 6</v>
      </c>
    </row>
    <row r="2542" ht="11.25" customHeight="1">
      <c r="A2542" s="21" t="str">
        <f>IFERROR(__xludf.DUMMYFUNCTION("""COMPUTED_VALUE"""),"TERMINAL DOCSIS 3.1 EMTA WIFI6 F@ST3896")</f>
        <v>TERMINAL DOCSIS 3.1 EMTA WIFI6 F@ST3896</v>
      </c>
      <c r="B2542" s="22">
        <f>IFERROR(__xludf.DUMMYFUNCTION("""COMPUTED_VALUE"""),4.1001552E7)</f>
        <v>41001552</v>
      </c>
      <c r="C2542" s="21" t="str">
        <f>IFERROR(__xludf.DUMMYFUNCTION("""COMPUTED_VALUE"""),"CC58300091EF")</f>
        <v>CC58300091EF</v>
      </c>
      <c r="D2542" s="21" t="str">
        <f>IFERROR(__xludf.DUMMYFUNCTION("""COMPUTED_VALUE"""),"DIGITEC TECNOLOGIA DIGITAL E REPRES")</f>
        <v>DIGITEC TECNOLOGIA DIGITAL E REPRES</v>
      </c>
      <c r="E2542" s="21">
        <f>IFERROR(__xludf.DUMMYFUNCTION("""COMPUTED_VALUE"""),145359.0)</f>
        <v>145359</v>
      </c>
      <c r="F2542" s="21" t="str">
        <f>IFERROR(__xludf.DUMMYFUNCTION("""COMPUTED_VALUE"""),"TRANSITO REVERSA")</f>
        <v>TRANSITO REVERSA</v>
      </c>
      <c r="G2542" s="23">
        <f>IFERROR(__xludf.DUMMYFUNCTION("""COMPUTED_VALUE"""),45610.730416666665)</f>
        <v>45610.73042</v>
      </c>
      <c r="H2542" s="24" t="str">
        <f>IFERROR(VLOOKUP(B2542,material!A:D,3,0),"")</f>
        <v>WIFI 6</v>
      </c>
    </row>
    <row r="2543" ht="11.25" customHeight="1">
      <c r="A2543" s="21" t="str">
        <f>IFERROR(__xludf.DUMMYFUNCTION("""COMPUTED_VALUE"""),"TERMINAL DOCSIS 3.1 EMTA WIFI6 F@ST3896")</f>
        <v>TERMINAL DOCSIS 3.1 EMTA WIFI6 F@ST3896</v>
      </c>
      <c r="B2543" s="22">
        <f>IFERROR(__xludf.DUMMYFUNCTION("""COMPUTED_VALUE"""),4.1001552E7)</f>
        <v>41001552</v>
      </c>
      <c r="C2543" s="21" t="str">
        <f>IFERROR(__xludf.DUMMYFUNCTION("""COMPUTED_VALUE"""),"CC5830009297")</f>
        <v>CC5830009297</v>
      </c>
      <c r="D2543" s="21" t="str">
        <f>IFERROR(__xludf.DUMMYFUNCTION("""COMPUTED_VALUE"""),"DIGITEC TECNOLOGIA DIGITAL E REPRES")</f>
        <v>DIGITEC TECNOLOGIA DIGITAL E REPRES</v>
      </c>
      <c r="E2543" s="21">
        <f>IFERROR(__xludf.DUMMYFUNCTION("""COMPUTED_VALUE"""),145359.0)</f>
        <v>145359</v>
      </c>
      <c r="F2543" s="21" t="str">
        <f>IFERROR(__xludf.DUMMYFUNCTION("""COMPUTED_VALUE"""),"TRANSITO REVERSA")</f>
        <v>TRANSITO REVERSA</v>
      </c>
      <c r="G2543" s="23">
        <f>IFERROR(__xludf.DUMMYFUNCTION("""COMPUTED_VALUE"""),45610.730416666665)</f>
        <v>45610.73042</v>
      </c>
      <c r="H2543" s="24" t="str">
        <f>IFERROR(VLOOKUP(B2543,material!A:D,3,0),"")</f>
        <v>WIFI 6</v>
      </c>
    </row>
    <row r="2544" ht="11.25" customHeight="1">
      <c r="A2544" s="21" t="str">
        <f>IFERROR(__xludf.DUMMYFUNCTION("""COMPUTED_VALUE"""),"TERMINAL DOCSIS 3.1 EMTA WIFI6 F@ST3896")</f>
        <v>TERMINAL DOCSIS 3.1 EMTA WIFI6 F@ST3896</v>
      </c>
      <c r="B2544" s="22">
        <f>IFERROR(__xludf.DUMMYFUNCTION("""COMPUTED_VALUE"""),4.1001552E7)</f>
        <v>41001552</v>
      </c>
      <c r="C2544" s="21" t="str">
        <f>IFERROR(__xludf.DUMMYFUNCTION("""COMPUTED_VALUE"""),"CC5830001BC8")</f>
        <v>CC5830001BC8</v>
      </c>
      <c r="D2544" s="21" t="str">
        <f>IFERROR(__xludf.DUMMYFUNCTION("""COMPUTED_VALUE"""),"DIGITEC TECNOLOGIA DIGITAL E REPRES")</f>
        <v>DIGITEC TECNOLOGIA DIGITAL E REPRES</v>
      </c>
      <c r="E2544" s="21">
        <f>IFERROR(__xludf.DUMMYFUNCTION("""COMPUTED_VALUE"""),145359.0)</f>
        <v>145359</v>
      </c>
      <c r="F2544" s="21" t="str">
        <f>IFERROR(__xludf.DUMMYFUNCTION("""COMPUTED_VALUE"""),"TRANSITO REVERSA")</f>
        <v>TRANSITO REVERSA</v>
      </c>
      <c r="G2544" s="23">
        <f>IFERROR(__xludf.DUMMYFUNCTION("""COMPUTED_VALUE"""),45610.730416666665)</f>
        <v>45610.73042</v>
      </c>
      <c r="H2544" s="24" t="str">
        <f>IFERROR(VLOOKUP(B2544,material!A:D,3,0),"")</f>
        <v>WIFI 6</v>
      </c>
    </row>
    <row r="2545" ht="11.25" customHeight="1">
      <c r="A2545" s="21" t="str">
        <f>IFERROR(__xludf.DUMMYFUNCTION("""COMPUTED_VALUE"""),"TERMINAL DOCSIS 3.1 EMTA WIFI6 F@ST3896")</f>
        <v>TERMINAL DOCSIS 3.1 EMTA WIFI6 F@ST3896</v>
      </c>
      <c r="B2545" s="22">
        <f>IFERROR(__xludf.DUMMYFUNCTION("""COMPUTED_VALUE"""),4.1001552E7)</f>
        <v>41001552</v>
      </c>
      <c r="C2545" s="21" t="str">
        <f>IFERROR(__xludf.DUMMYFUNCTION("""COMPUTED_VALUE"""),"5447CCCB2B55")</f>
        <v>5447CCCB2B55</v>
      </c>
      <c r="D2545" s="21" t="str">
        <f>IFERROR(__xludf.DUMMYFUNCTION("""COMPUTED_VALUE"""),"DIGITEC TECNOLOGIA DIGITAL E REPRES")</f>
        <v>DIGITEC TECNOLOGIA DIGITAL E REPRES</v>
      </c>
      <c r="E2545" s="21">
        <f>IFERROR(__xludf.DUMMYFUNCTION("""COMPUTED_VALUE"""),145359.0)</f>
        <v>145359</v>
      </c>
      <c r="F2545" s="21" t="str">
        <f>IFERROR(__xludf.DUMMYFUNCTION("""COMPUTED_VALUE"""),"TRANSITO REVERSA")</f>
        <v>TRANSITO REVERSA</v>
      </c>
      <c r="G2545" s="23">
        <f>IFERROR(__xludf.DUMMYFUNCTION("""COMPUTED_VALUE"""),45633.003379629634)</f>
        <v>45633.00338</v>
      </c>
      <c r="H2545" s="24" t="str">
        <f>IFERROR(VLOOKUP(B2545,material!A:D,3,0),"")</f>
        <v>WIFI 6</v>
      </c>
    </row>
    <row r="2546" ht="11.25" customHeight="1">
      <c r="A2546" s="21" t="str">
        <f>IFERROR(__xludf.DUMMYFUNCTION("""COMPUTED_VALUE"""),"TERMINAL DOCSIS 3.1 EMTA WIFI6 F@ST3896")</f>
        <v>TERMINAL DOCSIS 3.1 EMTA WIFI6 F@ST3896</v>
      </c>
      <c r="B2546" s="22">
        <f>IFERROR(__xludf.DUMMYFUNCTION("""COMPUTED_VALUE"""),4.1001552E7)</f>
        <v>41001552</v>
      </c>
      <c r="C2546" s="21" t="str">
        <f>IFERROR(__xludf.DUMMYFUNCTION("""COMPUTED_VALUE"""),"5447CCCB191F")</f>
        <v>5447CCCB191F</v>
      </c>
      <c r="D2546" s="21" t="str">
        <f>IFERROR(__xludf.DUMMYFUNCTION("""COMPUTED_VALUE"""),"DIGITEC TECNOLOGIA DIGITAL E REPRES")</f>
        <v>DIGITEC TECNOLOGIA DIGITAL E REPRES</v>
      </c>
      <c r="E2546" s="21">
        <f>IFERROR(__xludf.DUMMYFUNCTION("""COMPUTED_VALUE"""),145359.0)</f>
        <v>145359</v>
      </c>
      <c r="F2546" s="21" t="str">
        <f>IFERROR(__xludf.DUMMYFUNCTION("""COMPUTED_VALUE"""),"TRANSITO REVERSA")</f>
        <v>TRANSITO REVERSA</v>
      </c>
      <c r="G2546" s="23">
        <f>IFERROR(__xludf.DUMMYFUNCTION("""COMPUTED_VALUE"""),45638.52185185185)</f>
        <v>45638.52185</v>
      </c>
      <c r="H2546" s="24" t="str">
        <f>IFERROR(VLOOKUP(B2546,material!A:D,3,0),"")</f>
        <v>WIFI 6</v>
      </c>
    </row>
    <row r="2547" ht="11.25" customHeight="1">
      <c r="A2547" s="21" t="str">
        <f>IFERROR(__xludf.DUMMYFUNCTION("""COMPUTED_VALUE"""),"TERMINAL DOCSIS 3.1 EMTA WIFI6 F@ST3896")</f>
        <v>TERMINAL DOCSIS 3.1 EMTA WIFI6 F@ST3896</v>
      </c>
      <c r="B2547" s="22">
        <f>IFERROR(__xludf.DUMMYFUNCTION("""COMPUTED_VALUE"""),4.1001552E7)</f>
        <v>41001552</v>
      </c>
      <c r="C2547" s="21" t="str">
        <f>IFERROR(__xludf.DUMMYFUNCTION("""COMPUTED_VALUE"""),"5447CCE3F810")</f>
        <v>5447CCE3F810</v>
      </c>
      <c r="D2547" s="21" t="str">
        <f>IFERROR(__xludf.DUMMYFUNCTION("""COMPUTED_VALUE"""),"DIGITEC TECNOLOGIA DIGITAL E REPRES")</f>
        <v>DIGITEC TECNOLOGIA DIGITAL E REPRES</v>
      </c>
      <c r="E2547" s="21">
        <f>IFERROR(__xludf.DUMMYFUNCTION("""COMPUTED_VALUE"""),145359.0)</f>
        <v>145359</v>
      </c>
      <c r="F2547" s="21" t="str">
        <f>IFERROR(__xludf.DUMMYFUNCTION("""COMPUTED_VALUE"""),"TRANSITO REVERSA")</f>
        <v>TRANSITO REVERSA</v>
      </c>
      <c r="G2547" s="23">
        <f>IFERROR(__xludf.DUMMYFUNCTION("""COMPUTED_VALUE"""),45610.730416666665)</f>
        <v>45610.73042</v>
      </c>
      <c r="H2547" s="24" t="str">
        <f>IFERROR(VLOOKUP(B2547,material!A:D,3,0),"")</f>
        <v>WIFI 6</v>
      </c>
    </row>
    <row r="2548" ht="11.25" customHeight="1">
      <c r="A2548" s="21" t="str">
        <f>IFERROR(__xludf.DUMMYFUNCTION("""COMPUTED_VALUE"""),"DECODER CARDLESS 4K UHD S4KCW3 CABO E IP")</f>
        <v>DECODER CARDLESS 4K UHD S4KCW3 CABO E IP</v>
      </c>
      <c r="B2548" s="22">
        <f>IFERROR(__xludf.DUMMYFUNCTION("""COMPUTED_VALUE"""),4.1001528E7)</f>
        <v>41001528</v>
      </c>
      <c r="C2548" s="21" t="str">
        <f>IFERROR(__xludf.DUMMYFUNCTION("""COMPUTED_VALUE"""),"230052805972")</f>
        <v>230052805972</v>
      </c>
      <c r="D2548" s="21" t="str">
        <f>IFERROR(__xludf.DUMMYFUNCTION("""COMPUTED_VALUE"""),"DIGITEC TECNOLOGIA DIGITAL E REPRES")</f>
        <v>DIGITEC TECNOLOGIA DIGITAL E REPRES</v>
      </c>
      <c r="E2548" s="21">
        <f>IFERROR(__xludf.DUMMYFUNCTION("""COMPUTED_VALUE"""),145359.0)</f>
        <v>145359</v>
      </c>
      <c r="F2548" s="21" t="str">
        <f>IFERROR(__xludf.DUMMYFUNCTION("""COMPUTED_VALUE"""),"TRANSITO REVERSA")</f>
        <v>TRANSITO REVERSA</v>
      </c>
      <c r="G2548" s="23">
        <f>IFERROR(__xludf.DUMMYFUNCTION("""COMPUTED_VALUE"""),45638.520625000005)</f>
        <v>45638.52063</v>
      </c>
      <c r="H2548" s="24" t="str">
        <f>IFERROR(VLOOKUP(B2548,material!A:D,3,0),"")</f>
        <v>4K RFIP</v>
      </c>
    </row>
    <row r="2549" ht="11.25" customHeight="1">
      <c r="A2549" s="21" t="str">
        <f>IFERROR(__xludf.DUMMYFUNCTION("""COMPUTED_VALUE"""),"DECODER CARDLESS 4K UHD S4KCW3 CABO E IP")</f>
        <v>DECODER CARDLESS 4K UHD S4KCW3 CABO E IP</v>
      </c>
      <c r="B2549" s="22">
        <f>IFERROR(__xludf.DUMMYFUNCTION("""COMPUTED_VALUE"""),4.1001528E7)</f>
        <v>41001528</v>
      </c>
      <c r="C2549" s="21" t="str">
        <f>IFERROR(__xludf.DUMMYFUNCTION("""COMPUTED_VALUE"""),"230029446464")</f>
        <v>230029446464</v>
      </c>
      <c r="D2549" s="21" t="str">
        <f>IFERROR(__xludf.DUMMYFUNCTION("""COMPUTED_VALUE"""),"DIGITEC TECNOLOGIA DIGITAL E REPRES")</f>
        <v>DIGITEC TECNOLOGIA DIGITAL E REPRES</v>
      </c>
      <c r="E2549" s="21">
        <f>IFERROR(__xludf.DUMMYFUNCTION("""COMPUTED_VALUE"""),145359.0)</f>
        <v>145359</v>
      </c>
      <c r="F2549" s="21" t="str">
        <f>IFERROR(__xludf.DUMMYFUNCTION("""COMPUTED_VALUE"""),"TRANSITO REVERSA")</f>
        <v>TRANSITO REVERSA</v>
      </c>
      <c r="G2549" s="23">
        <f>IFERROR(__xludf.DUMMYFUNCTION("""COMPUTED_VALUE"""),45638.520648148144)</f>
        <v>45638.52065</v>
      </c>
      <c r="H2549" s="24" t="str">
        <f>IFERROR(VLOOKUP(B2549,material!A:D,3,0),"")</f>
        <v>4K RFIP</v>
      </c>
    </row>
    <row r="2550" ht="11.25" customHeight="1">
      <c r="A2550" s="21" t="str">
        <f>IFERROR(__xludf.DUMMYFUNCTION("""COMPUTED_VALUE"""),"DECODER CARDLESS 4K UHD S4KCW3 CABO E IP")</f>
        <v>DECODER CARDLESS 4K UHD S4KCW3 CABO E IP</v>
      </c>
      <c r="B2550" s="22">
        <f>IFERROR(__xludf.DUMMYFUNCTION("""COMPUTED_VALUE"""),4.1001528E7)</f>
        <v>41001528</v>
      </c>
      <c r="C2550" s="21" t="str">
        <f>IFERROR(__xludf.DUMMYFUNCTION("""COMPUTED_VALUE"""),"230035431920")</f>
        <v>230035431920</v>
      </c>
      <c r="D2550" s="21" t="str">
        <f>IFERROR(__xludf.DUMMYFUNCTION("""COMPUTED_VALUE"""),"DIGITEC TECNOLOGIA DIGITAL E REPRES")</f>
        <v>DIGITEC TECNOLOGIA DIGITAL E REPRES</v>
      </c>
      <c r="E2550" s="21">
        <f>IFERROR(__xludf.DUMMYFUNCTION("""COMPUTED_VALUE"""),145359.0)</f>
        <v>145359</v>
      </c>
      <c r="F2550" s="21" t="str">
        <f>IFERROR(__xludf.DUMMYFUNCTION("""COMPUTED_VALUE"""),"TRANSITO REVERSA")</f>
        <v>TRANSITO REVERSA</v>
      </c>
      <c r="G2550" s="23">
        <f>IFERROR(__xludf.DUMMYFUNCTION("""COMPUTED_VALUE"""),45638.52061342592)</f>
        <v>45638.52061</v>
      </c>
      <c r="H2550" s="24" t="str">
        <f>IFERROR(VLOOKUP(B2550,material!A:D,3,0),"")</f>
        <v>4K RFIP</v>
      </c>
    </row>
    <row r="2551" ht="11.25" customHeight="1">
      <c r="A2551" s="21" t="str">
        <f>IFERROR(__xludf.DUMMYFUNCTION("""COMPUTED_VALUE"""),"DECODER CARDLESS 4K UHD S4KCW3 CABO E IP")</f>
        <v>DECODER CARDLESS 4K UHD S4KCW3 CABO E IP</v>
      </c>
      <c r="B2551" s="22">
        <f>IFERROR(__xludf.DUMMYFUNCTION("""COMPUTED_VALUE"""),4.1001528E7)</f>
        <v>41001528</v>
      </c>
      <c r="C2551" s="21" t="str">
        <f>IFERROR(__xludf.DUMMYFUNCTION("""COMPUTED_VALUE"""),"230034561622")</f>
        <v>230034561622</v>
      </c>
      <c r="D2551" s="21" t="str">
        <f>IFERROR(__xludf.DUMMYFUNCTION("""COMPUTED_VALUE"""),"DIGITEC TECNOLOGIA DIGITAL E REPRES")</f>
        <v>DIGITEC TECNOLOGIA DIGITAL E REPRES</v>
      </c>
      <c r="E2551" s="21">
        <f>IFERROR(__xludf.DUMMYFUNCTION("""COMPUTED_VALUE"""),145359.0)</f>
        <v>145359</v>
      </c>
      <c r="F2551" s="21" t="str">
        <f>IFERROR(__xludf.DUMMYFUNCTION("""COMPUTED_VALUE"""),"TRANSITO REVERSA")</f>
        <v>TRANSITO REVERSA</v>
      </c>
      <c r="G2551" s="23">
        <f>IFERROR(__xludf.DUMMYFUNCTION("""COMPUTED_VALUE"""),45626.29924768519)</f>
        <v>45626.29925</v>
      </c>
      <c r="H2551" s="24" t="str">
        <f>IFERROR(VLOOKUP(B2551,material!A:D,3,0),"")</f>
        <v>4K RFIP</v>
      </c>
    </row>
    <row r="2552" ht="11.25" customHeight="1">
      <c r="A2552" s="21" t="str">
        <f>IFERROR(__xludf.DUMMYFUNCTION("""COMPUTED_VALUE"""),"DECODER CARDLESS 4K UHD S4KCW3 CABO E IP")</f>
        <v>DECODER CARDLESS 4K UHD S4KCW3 CABO E IP</v>
      </c>
      <c r="B2552" s="22">
        <f>IFERROR(__xludf.DUMMYFUNCTION("""COMPUTED_VALUE"""),4.1001528E7)</f>
        <v>41001528</v>
      </c>
      <c r="C2552" s="21" t="str">
        <f>IFERROR(__xludf.DUMMYFUNCTION("""COMPUTED_VALUE"""),"229991659208")</f>
        <v>229991659208</v>
      </c>
      <c r="D2552" s="21" t="str">
        <f>IFERROR(__xludf.DUMMYFUNCTION("""COMPUTED_VALUE"""),"DIGITEC TECNOLOGIA DIGITAL E REPRES")</f>
        <v>DIGITEC TECNOLOGIA DIGITAL E REPRES</v>
      </c>
      <c r="E2552" s="21">
        <f>IFERROR(__xludf.DUMMYFUNCTION("""COMPUTED_VALUE"""),145359.0)</f>
        <v>145359</v>
      </c>
      <c r="F2552" s="21" t="str">
        <f>IFERROR(__xludf.DUMMYFUNCTION("""COMPUTED_VALUE"""),"TRANSITO REVERSA")</f>
        <v>TRANSITO REVERSA</v>
      </c>
      <c r="G2552" s="23">
        <f>IFERROR(__xludf.DUMMYFUNCTION("""COMPUTED_VALUE"""),45638.52060185185)</f>
        <v>45638.5206</v>
      </c>
      <c r="H2552" s="24" t="str">
        <f>IFERROR(VLOOKUP(B2552,material!A:D,3,0),"")</f>
        <v>4K RFIP</v>
      </c>
    </row>
    <row r="2553" ht="11.25" customHeight="1">
      <c r="A2553" s="21" t="str">
        <f>IFERROR(__xludf.DUMMYFUNCTION("""COMPUTED_VALUE"""),"DECODER CARDLESS 4K UHD S4KCW3 CABO E IP")</f>
        <v>DECODER CARDLESS 4K UHD S4KCW3 CABO E IP</v>
      </c>
      <c r="B2553" s="22">
        <f>IFERROR(__xludf.DUMMYFUNCTION("""COMPUTED_VALUE"""),4.1001528E7)</f>
        <v>41001528</v>
      </c>
      <c r="C2553" s="21" t="str">
        <f>IFERROR(__xludf.DUMMYFUNCTION("""COMPUTED_VALUE"""),"230010887986")</f>
        <v>230010887986</v>
      </c>
      <c r="D2553" s="21" t="str">
        <f>IFERROR(__xludf.DUMMYFUNCTION("""COMPUTED_VALUE"""),"DIGITEC TECNOLOGIA DIGITAL E REPRES")</f>
        <v>DIGITEC TECNOLOGIA DIGITAL E REPRES</v>
      </c>
      <c r="E2553" s="21">
        <f>IFERROR(__xludf.DUMMYFUNCTION("""COMPUTED_VALUE"""),145359.0)</f>
        <v>145359</v>
      </c>
      <c r="F2553" s="21" t="str">
        <f>IFERROR(__xludf.DUMMYFUNCTION("""COMPUTED_VALUE"""),"TRANSITO REVERSA")</f>
        <v>TRANSITO REVERSA</v>
      </c>
      <c r="G2553" s="23">
        <f>IFERROR(__xludf.DUMMYFUNCTION("""COMPUTED_VALUE"""),45626.298668981486)</f>
        <v>45626.29867</v>
      </c>
      <c r="H2553" s="24" t="str">
        <f>IFERROR(VLOOKUP(B2553,material!A:D,3,0),"")</f>
        <v>4K RFIP</v>
      </c>
    </row>
    <row r="2554" ht="11.25" customHeight="1">
      <c r="A2554" s="21" t="str">
        <f>IFERROR(__xludf.DUMMYFUNCTION("""COMPUTED_VALUE"""),"DECODER CARDLESS 4K UHD S4KCW3 CABO E IP")</f>
        <v>DECODER CARDLESS 4K UHD S4KCW3 CABO E IP</v>
      </c>
      <c r="B2554" s="22">
        <f>IFERROR(__xludf.DUMMYFUNCTION("""COMPUTED_VALUE"""),4.1001528E7)</f>
        <v>41001528</v>
      </c>
      <c r="C2554" s="21" t="str">
        <f>IFERROR(__xludf.DUMMYFUNCTION("""COMPUTED_VALUE"""),"229991674967")</f>
        <v>229991674967</v>
      </c>
      <c r="D2554" s="21" t="str">
        <f>IFERROR(__xludf.DUMMYFUNCTION("""COMPUTED_VALUE"""),"DIGITEC TECNOLOGIA DIGITAL E REPRES")</f>
        <v>DIGITEC TECNOLOGIA DIGITAL E REPRES</v>
      </c>
      <c r="E2554" s="21">
        <f>IFERROR(__xludf.DUMMYFUNCTION("""COMPUTED_VALUE"""),145359.0)</f>
        <v>145359</v>
      </c>
      <c r="F2554" s="21" t="str">
        <f>IFERROR(__xludf.DUMMYFUNCTION("""COMPUTED_VALUE"""),"TRANSITO REVERSA")</f>
        <v>TRANSITO REVERSA</v>
      </c>
      <c r="G2554" s="23">
        <f>IFERROR(__xludf.DUMMYFUNCTION("""COMPUTED_VALUE"""),45626.298680555556)</f>
        <v>45626.29868</v>
      </c>
      <c r="H2554" s="24" t="str">
        <f>IFERROR(VLOOKUP(B2554,material!A:D,3,0),"")</f>
        <v>4K RFIP</v>
      </c>
    </row>
    <row r="2555" ht="11.25" customHeight="1">
      <c r="A2555" s="21" t="str">
        <f>IFERROR(__xludf.DUMMYFUNCTION("""COMPUTED_VALUE"""),"DECODER CARDLESS 4K UHD S4KCW3 CABO E IP")</f>
        <v>DECODER CARDLESS 4K UHD S4KCW3 CABO E IP</v>
      </c>
      <c r="B2555" s="22">
        <f>IFERROR(__xludf.DUMMYFUNCTION("""COMPUTED_VALUE"""),4.1001528E7)</f>
        <v>41001528</v>
      </c>
      <c r="C2555" s="21" t="str">
        <f>IFERROR(__xludf.DUMMYFUNCTION("""COMPUTED_VALUE"""),"229991580312")</f>
        <v>229991580312</v>
      </c>
      <c r="D2555" s="21" t="str">
        <f>IFERROR(__xludf.DUMMYFUNCTION("""COMPUTED_VALUE"""),"DIGITEC TECNOLOGIA DIGITAL E REPRES")</f>
        <v>DIGITEC TECNOLOGIA DIGITAL E REPRES</v>
      </c>
      <c r="E2555" s="21">
        <f>IFERROR(__xludf.DUMMYFUNCTION("""COMPUTED_VALUE"""),145359.0)</f>
        <v>145359</v>
      </c>
      <c r="F2555" s="21" t="str">
        <f>IFERROR(__xludf.DUMMYFUNCTION("""COMPUTED_VALUE"""),"TRANSITO REVERSA")</f>
        <v>TRANSITO REVERSA</v>
      </c>
      <c r="G2555" s="23">
        <f>IFERROR(__xludf.DUMMYFUNCTION("""COMPUTED_VALUE"""),45638.52111111111)</f>
        <v>45638.52111</v>
      </c>
      <c r="H2555" s="24" t="str">
        <f>IFERROR(VLOOKUP(B2555,material!A:D,3,0),"")</f>
        <v>4K RFIP</v>
      </c>
    </row>
    <row r="2556" ht="11.25" customHeight="1">
      <c r="A2556" s="21" t="str">
        <f>IFERROR(__xludf.DUMMYFUNCTION("""COMPUTED_VALUE"""),"DECODER CARDLESS 4K UHD S4KCW3 CABO E IP")</f>
        <v>DECODER CARDLESS 4K UHD S4KCW3 CABO E IP</v>
      </c>
      <c r="B2556" s="22">
        <f>IFERROR(__xludf.DUMMYFUNCTION("""COMPUTED_VALUE"""),4.1001528E7)</f>
        <v>41001528</v>
      </c>
      <c r="C2556" s="21" t="str">
        <f>IFERROR(__xludf.DUMMYFUNCTION("""COMPUTED_VALUE"""),"230012323447")</f>
        <v>230012323447</v>
      </c>
      <c r="D2556" s="21" t="str">
        <f>IFERROR(__xludf.DUMMYFUNCTION("""COMPUTED_VALUE"""),"DIGITEC TECNOLOGIA DIGITAL E REPRES")</f>
        <v>DIGITEC TECNOLOGIA DIGITAL E REPRES</v>
      </c>
      <c r="E2556" s="21">
        <f>IFERROR(__xludf.DUMMYFUNCTION("""COMPUTED_VALUE"""),145359.0)</f>
        <v>145359</v>
      </c>
      <c r="F2556" s="21" t="str">
        <f>IFERROR(__xludf.DUMMYFUNCTION("""COMPUTED_VALUE"""),"TRANSITO REVERSA")</f>
        <v>TRANSITO REVERSA</v>
      </c>
      <c r="G2556" s="23">
        <f>IFERROR(__xludf.DUMMYFUNCTION("""COMPUTED_VALUE"""),45638.52061342592)</f>
        <v>45638.52061</v>
      </c>
      <c r="H2556" s="24" t="str">
        <f>IFERROR(VLOOKUP(B2556,material!A:D,3,0),"")</f>
        <v>4K RFIP</v>
      </c>
    </row>
    <row r="2557" ht="11.25" customHeight="1">
      <c r="A2557" s="21" t="str">
        <f>IFERROR(__xludf.DUMMYFUNCTION("""COMPUTED_VALUE"""),"DECODER CARDLESS 4K UHD S4KCW3 CABO E IP")</f>
        <v>DECODER CARDLESS 4K UHD S4KCW3 CABO E IP</v>
      </c>
      <c r="B2557" s="22">
        <f>IFERROR(__xludf.DUMMYFUNCTION("""COMPUTED_VALUE"""),4.1001528E7)</f>
        <v>41001528</v>
      </c>
      <c r="C2557" s="21" t="str">
        <f>IFERROR(__xludf.DUMMYFUNCTION("""COMPUTED_VALUE"""),"229964870107")</f>
        <v>229964870107</v>
      </c>
      <c r="D2557" s="21" t="str">
        <f>IFERROR(__xludf.DUMMYFUNCTION("""COMPUTED_VALUE"""),"DIGITEC TECNOLOGIA DIGITAL E REPRES")</f>
        <v>DIGITEC TECNOLOGIA DIGITAL E REPRES</v>
      </c>
      <c r="E2557" s="21">
        <f>IFERROR(__xludf.DUMMYFUNCTION("""COMPUTED_VALUE"""),145359.0)</f>
        <v>145359</v>
      </c>
      <c r="F2557" s="21" t="str">
        <f>IFERROR(__xludf.DUMMYFUNCTION("""COMPUTED_VALUE"""),"TRANSITO REVERSA")</f>
        <v>TRANSITO REVERSA</v>
      </c>
      <c r="G2557" s="23">
        <f>IFERROR(__xludf.DUMMYFUNCTION("""COMPUTED_VALUE"""),45626.29924768519)</f>
        <v>45626.29925</v>
      </c>
      <c r="H2557" s="24" t="str">
        <f>IFERROR(VLOOKUP(B2557,material!A:D,3,0),"")</f>
        <v>4K RFIP</v>
      </c>
    </row>
    <row r="2558" ht="11.25" customHeight="1">
      <c r="A2558" s="21" t="str">
        <f>IFERROR(__xludf.DUMMYFUNCTION("""COMPUTED_VALUE"""),"DECODER CARDLESS 4K UHD S4KCW3 CABO E IP")</f>
        <v>DECODER CARDLESS 4K UHD S4KCW3 CABO E IP</v>
      </c>
      <c r="B2558" s="22">
        <f>IFERROR(__xludf.DUMMYFUNCTION("""COMPUTED_VALUE"""),4.1001528E7)</f>
        <v>41001528</v>
      </c>
      <c r="C2558" s="21" t="str">
        <f>IFERROR(__xludf.DUMMYFUNCTION("""COMPUTED_VALUE"""),"229977451032")</f>
        <v>229977451032</v>
      </c>
      <c r="D2558" s="21" t="str">
        <f>IFERROR(__xludf.DUMMYFUNCTION("""COMPUTED_VALUE"""),"DIGITEC TECNOLOGIA DIGITAL E REPRES")</f>
        <v>DIGITEC TECNOLOGIA DIGITAL E REPRES</v>
      </c>
      <c r="E2558" s="21">
        <f>IFERROR(__xludf.DUMMYFUNCTION("""COMPUTED_VALUE"""),145359.0)</f>
        <v>145359</v>
      </c>
      <c r="F2558" s="21" t="str">
        <f>IFERROR(__xludf.DUMMYFUNCTION("""COMPUTED_VALUE"""),"TRANSITO REVERSA")</f>
        <v>TRANSITO REVERSA</v>
      </c>
      <c r="G2558" s="23">
        <f>IFERROR(__xludf.DUMMYFUNCTION("""COMPUTED_VALUE"""),45626.29871527778)</f>
        <v>45626.29872</v>
      </c>
      <c r="H2558" s="24" t="str">
        <f>IFERROR(VLOOKUP(B2558,material!A:D,3,0),"")</f>
        <v>4K RFIP</v>
      </c>
    </row>
    <row r="2559" ht="11.25" customHeight="1">
      <c r="A2559" s="21" t="str">
        <f>IFERROR(__xludf.DUMMYFUNCTION("""COMPUTED_VALUE"""),"DECODER CARDLESS 4K UHD S4KCW3 CABO E IP")</f>
        <v>DECODER CARDLESS 4K UHD S4KCW3 CABO E IP</v>
      </c>
      <c r="B2559" s="22">
        <f>IFERROR(__xludf.DUMMYFUNCTION("""COMPUTED_VALUE"""),4.1001528E7)</f>
        <v>41001528</v>
      </c>
      <c r="C2559" s="21" t="str">
        <f>IFERROR(__xludf.DUMMYFUNCTION("""COMPUTED_VALUE"""),"229977018687")</f>
        <v>229977018687</v>
      </c>
      <c r="D2559" s="21" t="str">
        <f>IFERROR(__xludf.DUMMYFUNCTION("""COMPUTED_VALUE"""),"DIGITEC TECNOLOGIA DIGITAL E REPRES")</f>
        <v>DIGITEC TECNOLOGIA DIGITAL E REPRES</v>
      </c>
      <c r="E2559" s="21">
        <f>IFERROR(__xludf.DUMMYFUNCTION("""COMPUTED_VALUE"""),145359.0)</f>
        <v>145359</v>
      </c>
      <c r="F2559" s="21" t="str">
        <f>IFERROR(__xludf.DUMMYFUNCTION("""COMPUTED_VALUE"""),"TRANSITO REVERSA")</f>
        <v>TRANSITO REVERSA</v>
      </c>
      <c r="G2559" s="23">
        <f>IFERROR(__xludf.DUMMYFUNCTION("""COMPUTED_VALUE"""),45638.52059027778)</f>
        <v>45638.52059</v>
      </c>
      <c r="H2559" s="24" t="str">
        <f>IFERROR(VLOOKUP(B2559,material!A:D,3,0),"")</f>
        <v>4K RFIP</v>
      </c>
    </row>
    <row r="2560" ht="11.25" customHeight="1">
      <c r="A2560" s="21" t="str">
        <f>IFERROR(__xludf.DUMMYFUNCTION("""COMPUTED_VALUE"""),"DECODER CARDLESS 4K UHD S4KCW3 CABO E IP")</f>
        <v>DECODER CARDLESS 4K UHD S4KCW3 CABO E IP</v>
      </c>
      <c r="B2560" s="22">
        <f>IFERROR(__xludf.DUMMYFUNCTION("""COMPUTED_VALUE"""),4.1001528E7)</f>
        <v>41001528</v>
      </c>
      <c r="C2560" s="21" t="str">
        <f>IFERROR(__xludf.DUMMYFUNCTION("""COMPUTED_VALUE"""),"229972947078")</f>
        <v>229972947078</v>
      </c>
      <c r="D2560" s="21" t="str">
        <f>IFERROR(__xludf.DUMMYFUNCTION("""COMPUTED_VALUE"""),"DIGITEC TECNOLOGIA DIGITAL E REPRES")</f>
        <v>DIGITEC TECNOLOGIA DIGITAL E REPRES</v>
      </c>
      <c r="E2560" s="21">
        <f>IFERROR(__xludf.DUMMYFUNCTION("""COMPUTED_VALUE"""),145359.0)</f>
        <v>145359</v>
      </c>
      <c r="F2560" s="21" t="str">
        <f>IFERROR(__xludf.DUMMYFUNCTION("""COMPUTED_VALUE"""),"TRANSITO REVERSA")</f>
        <v>TRANSITO REVERSA</v>
      </c>
      <c r="G2560" s="23">
        <f>IFERROR(__xludf.DUMMYFUNCTION("""COMPUTED_VALUE"""),45638.52186342592)</f>
        <v>45638.52186</v>
      </c>
      <c r="H2560" s="24" t="str">
        <f>IFERROR(VLOOKUP(B2560,material!A:D,3,0),"")</f>
        <v>4K RFIP</v>
      </c>
    </row>
    <row r="2561" ht="11.25" customHeight="1">
      <c r="A2561" s="21" t="str">
        <f>IFERROR(__xludf.DUMMYFUNCTION("""COMPUTED_VALUE"""),"DECODER CARDLESS 4K UHD S4KCW3 CABO E IP")</f>
        <v>DECODER CARDLESS 4K UHD S4KCW3 CABO E IP</v>
      </c>
      <c r="B2561" s="22">
        <f>IFERROR(__xludf.DUMMYFUNCTION("""COMPUTED_VALUE"""),4.1001528E7)</f>
        <v>41001528</v>
      </c>
      <c r="C2561" s="21" t="str">
        <f>IFERROR(__xludf.DUMMYFUNCTION("""COMPUTED_VALUE"""),"229987844548")</f>
        <v>229987844548</v>
      </c>
      <c r="D2561" s="21" t="str">
        <f>IFERROR(__xludf.DUMMYFUNCTION("""COMPUTED_VALUE"""),"DIGITEC TECNOLOGIA DIGITAL E REPRES")</f>
        <v>DIGITEC TECNOLOGIA DIGITAL E REPRES</v>
      </c>
      <c r="E2561" s="21">
        <f>IFERROR(__xludf.DUMMYFUNCTION("""COMPUTED_VALUE"""),145359.0)</f>
        <v>145359</v>
      </c>
      <c r="F2561" s="21" t="str">
        <f>IFERROR(__xludf.DUMMYFUNCTION("""COMPUTED_VALUE"""),"TRANSITO REVERSA")</f>
        <v>TRANSITO REVERSA</v>
      </c>
      <c r="G2561" s="23">
        <f>IFERROR(__xludf.DUMMYFUNCTION("""COMPUTED_VALUE"""),45626.298680555556)</f>
        <v>45626.29868</v>
      </c>
      <c r="H2561" s="24" t="str">
        <f>IFERROR(VLOOKUP(B2561,material!A:D,3,0),"")</f>
        <v>4K RFIP</v>
      </c>
    </row>
    <row r="2562" ht="11.25" customHeight="1">
      <c r="A2562" s="21" t="str">
        <f>IFERROR(__xludf.DUMMYFUNCTION("""COMPUTED_VALUE"""),"DECODER CARDLESS 4K UHD S4KCW3 CABO E IP")</f>
        <v>DECODER CARDLESS 4K UHD S4KCW3 CABO E IP</v>
      </c>
      <c r="B2562" s="22">
        <f>IFERROR(__xludf.DUMMYFUNCTION("""COMPUTED_VALUE"""),4.1001528E7)</f>
        <v>41001528</v>
      </c>
      <c r="C2562" s="21" t="str">
        <f>IFERROR(__xludf.DUMMYFUNCTION("""COMPUTED_VALUE"""),"229982695471")</f>
        <v>229982695471</v>
      </c>
      <c r="D2562" s="21" t="str">
        <f>IFERROR(__xludf.DUMMYFUNCTION("""COMPUTED_VALUE"""),"DIGITEC TECNOLOGIA DIGITAL E REPRES")</f>
        <v>DIGITEC TECNOLOGIA DIGITAL E REPRES</v>
      </c>
      <c r="E2562" s="21">
        <f>IFERROR(__xludf.DUMMYFUNCTION("""COMPUTED_VALUE"""),145359.0)</f>
        <v>145359</v>
      </c>
      <c r="F2562" s="21" t="str">
        <f>IFERROR(__xludf.DUMMYFUNCTION("""COMPUTED_VALUE"""),"TRANSITO REVERSA")</f>
        <v>TRANSITO REVERSA</v>
      </c>
      <c r="G2562" s="23">
        <f>IFERROR(__xludf.DUMMYFUNCTION("""COMPUTED_VALUE"""),45626.298680555556)</f>
        <v>45626.29868</v>
      </c>
      <c r="H2562" s="24" t="str">
        <f>IFERROR(VLOOKUP(B2562,material!A:D,3,0),"")</f>
        <v>4K RFIP</v>
      </c>
    </row>
    <row r="2563" ht="11.25" customHeight="1">
      <c r="A2563" s="21" t="str">
        <f>IFERROR(__xludf.DUMMYFUNCTION("""COMPUTED_VALUE"""),"TERMINAL GPON WIFI TCG2232")</f>
        <v>TERMINAL GPON WIFI TCG2232</v>
      </c>
      <c r="B2563" s="22">
        <f>IFERROR(__xludf.DUMMYFUNCTION("""COMPUTED_VALUE"""),4.1001535E7)</f>
        <v>41001535</v>
      </c>
      <c r="C2563" s="21" t="str">
        <f>IFERROR(__xludf.DUMMYFUNCTION("""COMPUTED_VALUE"""),"08C7F524D7DF")</f>
        <v>08C7F524D7DF</v>
      </c>
      <c r="D2563" s="21" t="str">
        <f>IFERROR(__xludf.DUMMYFUNCTION("""COMPUTED_VALUE"""),"DIGITEC TECNOLOGIA DIGITAL E REPRES")</f>
        <v>DIGITEC TECNOLOGIA DIGITAL E REPRES</v>
      </c>
      <c r="E2563" s="21">
        <f>IFERROR(__xludf.DUMMYFUNCTION("""COMPUTED_VALUE"""),145359.0)</f>
        <v>145359</v>
      </c>
      <c r="F2563" s="21" t="str">
        <f>IFERROR(__xludf.DUMMYFUNCTION("""COMPUTED_VALUE"""),"TRANSITO REVERSA")</f>
        <v>TRANSITO REVERSA</v>
      </c>
      <c r="G2563" s="23">
        <f>IFERROR(__xludf.DUMMYFUNCTION("""COMPUTED_VALUE"""),45626.298680555556)</f>
        <v>45626.29868</v>
      </c>
      <c r="H2563" s="24" t="str">
        <f>IFERROR(VLOOKUP(B2563,material!A:D,3,0),"")</f>
        <v>ONT</v>
      </c>
    </row>
    <row r="2564" ht="11.25" customHeight="1">
      <c r="A2564" s="21" t="str">
        <f>IFERROR(__xludf.DUMMYFUNCTION("""COMPUTED_VALUE"""),"TERMINAL GPON WIFI TCG2232")</f>
        <v>TERMINAL GPON WIFI TCG2232</v>
      </c>
      <c r="B2564" s="22">
        <f>IFERROR(__xludf.DUMMYFUNCTION("""COMPUTED_VALUE"""),4.1001535E7)</f>
        <v>41001535</v>
      </c>
      <c r="C2564" s="21" t="str">
        <f>IFERROR(__xludf.DUMMYFUNCTION("""COMPUTED_VALUE"""),"D4925EBDDA4E")</f>
        <v>D4925EBDDA4E</v>
      </c>
      <c r="D2564" s="21" t="str">
        <f>IFERROR(__xludf.DUMMYFUNCTION("""COMPUTED_VALUE"""),"DIGITEC TECNOLOGIA DIGITAL E REPRES")</f>
        <v>DIGITEC TECNOLOGIA DIGITAL E REPRES</v>
      </c>
      <c r="E2564" s="21">
        <f>IFERROR(__xludf.DUMMYFUNCTION("""COMPUTED_VALUE"""),145359.0)</f>
        <v>145359</v>
      </c>
      <c r="F2564" s="21" t="str">
        <f>IFERROR(__xludf.DUMMYFUNCTION("""COMPUTED_VALUE"""),"TRANSITO REVERSA")</f>
        <v>TRANSITO REVERSA</v>
      </c>
      <c r="G2564" s="23">
        <f>IFERROR(__xludf.DUMMYFUNCTION("""COMPUTED_VALUE"""),45626.298692129625)</f>
        <v>45626.29869</v>
      </c>
      <c r="H2564" s="24" t="str">
        <f>IFERROR(VLOOKUP(B2564,material!A:D,3,0),"")</f>
        <v>ONT</v>
      </c>
    </row>
    <row r="2565" ht="11.25" customHeight="1">
      <c r="A2565" s="21" t="str">
        <f>IFERROR(__xludf.DUMMYFUNCTION("""COMPUTED_VALUE"""),"TERMINAL GPON WIFI TCG2232")</f>
        <v>TERMINAL GPON WIFI TCG2232</v>
      </c>
      <c r="B2565" s="22">
        <f>IFERROR(__xludf.DUMMYFUNCTION("""COMPUTED_VALUE"""),4.1001535E7)</f>
        <v>41001535</v>
      </c>
      <c r="C2565" s="21" t="str">
        <f>IFERROR(__xludf.DUMMYFUNCTION("""COMPUTED_VALUE"""),"D4925E3480FA")</f>
        <v>D4925E3480FA</v>
      </c>
      <c r="D2565" s="21" t="str">
        <f>IFERROR(__xludf.DUMMYFUNCTION("""COMPUTED_VALUE"""),"DIGITEC TECNOLOGIA DIGITAL E REPRES")</f>
        <v>DIGITEC TECNOLOGIA DIGITAL E REPRES</v>
      </c>
      <c r="E2565" s="21">
        <f>IFERROR(__xludf.DUMMYFUNCTION("""COMPUTED_VALUE"""),145359.0)</f>
        <v>145359</v>
      </c>
      <c r="F2565" s="21" t="str">
        <f>IFERROR(__xludf.DUMMYFUNCTION("""COMPUTED_VALUE"""),"TRANSITO REVERSA")</f>
        <v>TRANSITO REVERSA</v>
      </c>
      <c r="G2565" s="23">
        <f>IFERROR(__xludf.DUMMYFUNCTION("""COMPUTED_VALUE"""),45626.29871527778)</f>
        <v>45626.29872</v>
      </c>
      <c r="H2565" s="24" t="str">
        <f>IFERROR(VLOOKUP(B2565,material!A:D,3,0),"")</f>
        <v>ONT</v>
      </c>
    </row>
    <row r="2566" ht="11.25" customHeight="1">
      <c r="A2566" s="21" t="str">
        <f>IFERROR(__xludf.DUMMYFUNCTION("""COMPUTED_VALUE"""),"TERMINAL GPON WIFI TCG2232")</f>
        <v>TERMINAL GPON WIFI TCG2232</v>
      </c>
      <c r="B2566" s="22">
        <f>IFERROR(__xludf.DUMMYFUNCTION("""COMPUTED_VALUE"""),4.1001535E7)</f>
        <v>41001535</v>
      </c>
      <c r="C2566" s="21" t="str">
        <f>IFERROR(__xludf.DUMMYFUNCTION("""COMPUTED_VALUE"""),"D4925EB318B4")</f>
        <v>D4925EB318B4</v>
      </c>
      <c r="D2566" s="21" t="str">
        <f>IFERROR(__xludf.DUMMYFUNCTION("""COMPUTED_VALUE"""),"DIGITEC TECNOLOGIA DIGITAL E REPRES")</f>
        <v>DIGITEC TECNOLOGIA DIGITAL E REPRES</v>
      </c>
      <c r="E2566" s="21">
        <f>IFERROR(__xludf.DUMMYFUNCTION("""COMPUTED_VALUE"""),145359.0)</f>
        <v>145359</v>
      </c>
      <c r="F2566" s="21" t="str">
        <f>IFERROR(__xludf.DUMMYFUNCTION("""COMPUTED_VALUE"""),"TRANSITO REVERSA")</f>
        <v>TRANSITO REVERSA</v>
      </c>
      <c r="G2566" s="23">
        <f>IFERROR(__xludf.DUMMYFUNCTION("""COMPUTED_VALUE"""),45638.520636574074)</f>
        <v>45638.52064</v>
      </c>
      <c r="H2566" s="24" t="str">
        <f>IFERROR(VLOOKUP(B2566,material!A:D,3,0),"")</f>
        <v>ONT</v>
      </c>
    </row>
    <row r="2567" ht="11.25" customHeight="1">
      <c r="A2567" s="21" t="str">
        <f>IFERROR(__xludf.DUMMYFUNCTION("""COMPUTED_VALUE"""),"TERMINAL GPON WIFI F689")</f>
        <v>TERMINAL GPON WIFI F689</v>
      </c>
      <c r="B2567" s="22">
        <f>IFERROR(__xludf.DUMMYFUNCTION("""COMPUTED_VALUE"""),4.1001541E7)</f>
        <v>41001541</v>
      </c>
      <c r="C2567" s="21" t="str">
        <f>IFERROR(__xludf.DUMMYFUNCTION("""COMPUTED_VALUE"""),"9C635B87184C")</f>
        <v>9C635B87184C</v>
      </c>
      <c r="D2567" s="21" t="str">
        <f>IFERROR(__xludf.DUMMYFUNCTION("""COMPUTED_VALUE"""),"DIGITEC TECNOLOGIA DIGITAL E REPRES")</f>
        <v>DIGITEC TECNOLOGIA DIGITAL E REPRES</v>
      </c>
      <c r="E2567" s="21">
        <f>IFERROR(__xludf.DUMMYFUNCTION("""COMPUTED_VALUE"""),145359.0)</f>
        <v>145359</v>
      </c>
      <c r="F2567" s="21" t="str">
        <f>IFERROR(__xludf.DUMMYFUNCTION("""COMPUTED_VALUE"""),"TRANSITO REVERSA")</f>
        <v>TRANSITO REVERSA</v>
      </c>
      <c r="G2567" s="23">
        <f>IFERROR(__xludf.DUMMYFUNCTION("""COMPUTED_VALUE"""),45626.29871527778)</f>
        <v>45626.29872</v>
      </c>
      <c r="H2567" s="24" t="str">
        <f>IFERROR(VLOOKUP(B2567,material!A:D,3,0),"")</f>
        <v>ONT</v>
      </c>
    </row>
    <row r="2568" ht="11.25" customHeight="1">
      <c r="A2568" s="21" t="str">
        <f>IFERROR(__xludf.DUMMYFUNCTION("""COMPUTED_VALUE"""),"TERMINAL GPON WIFI F689")</f>
        <v>TERMINAL GPON WIFI F689</v>
      </c>
      <c r="B2568" s="22">
        <f>IFERROR(__xludf.DUMMYFUNCTION("""COMPUTED_VALUE"""),4.1001541E7)</f>
        <v>41001541</v>
      </c>
      <c r="C2568" s="21" t="str">
        <f>IFERROR(__xludf.DUMMYFUNCTION("""COMPUTED_VALUE"""),"9C635B84D2E2")</f>
        <v>9C635B84D2E2</v>
      </c>
      <c r="D2568" s="21" t="str">
        <f>IFERROR(__xludf.DUMMYFUNCTION("""COMPUTED_VALUE"""),"DIGITEC TECNOLOGIA DIGITAL E REPRES")</f>
        <v>DIGITEC TECNOLOGIA DIGITAL E REPRES</v>
      </c>
      <c r="E2568" s="21">
        <f>IFERROR(__xludf.DUMMYFUNCTION("""COMPUTED_VALUE"""),145359.0)</f>
        <v>145359</v>
      </c>
      <c r="F2568" s="21" t="str">
        <f>IFERROR(__xludf.DUMMYFUNCTION("""COMPUTED_VALUE"""),"TRANSITO REVERSA")</f>
        <v>TRANSITO REVERSA</v>
      </c>
      <c r="G2568" s="23">
        <f>IFERROR(__xludf.DUMMYFUNCTION("""COMPUTED_VALUE"""),45626.298668981486)</f>
        <v>45626.29867</v>
      </c>
      <c r="H2568" s="24" t="str">
        <f>IFERROR(VLOOKUP(B2568,material!A:D,3,0),"")</f>
        <v>ONT</v>
      </c>
    </row>
    <row r="2569" ht="11.25" customHeight="1">
      <c r="A2569" s="21" t="str">
        <f>IFERROR(__xludf.DUMMYFUNCTION("""COMPUTED_VALUE"""),"TERMINAL GPON WIFI F689")</f>
        <v>TERMINAL GPON WIFI F689</v>
      </c>
      <c r="B2569" s="22">
        <f>IFERROR(__xludf.DUMMYFUNCTION("""COMPUTED_VALUE"""),4.1001541E7)</f>
        <v>41001541</v>
      </c>
      <c r="C2569" s="21" t="str">
        <f>IFERROR(__xludf.DUMMYFUNCTION("""COMPUTED_VALUE"""),"8493B2E13871")</f>
        <v>8493B2E13871</v>
      </c>
      <c r="D2569" s="21" t="str">
        <f>IFERROR(__xludf.DUMMYFUNCTION("""COMPUTED_VALUE"""),"DIGITEC TECNOLOGIA DIGITAL E REPRES")</f>
        <v>DIGITEC TECNOLOGIA DIGITAL E REPRES</v>
      </c>
      <c r="E2569" s="21">
        <f>IFERROR(__xludf.DUMMYFUNCTION("""COMPUTED_VALUE"""),145359.0)</f>
        <v>145359</v>
      </c>
      <c r="F2569" s="21" t="str">
        <f>IFERROR(__xludf.DUMMYFUNCTION("""COMPUTED_VALUE"""),"TRANSITO REVERSA")</f>
        <v>TRANSITO REVERSA</v>
      </c>
      <c r="G2569" s="23">
        <f>IFERROR(__xludf.DUMMYFUNCTION("""COMPUTED_VALUE"""),45626.298680555556)</f>
        <v>45626.29868</v>
      </c>
      <c r="H2569" s="24" t="str">
        <f>IFERROR(VLOOKUP(B2569,material!A:D,3,0),"")</f>
        <v>ONT</v>
      </c>
    </row>
    <row r="2570" ht="11.25" customHeight="1">
      <c r="A2570" s="21" t="str">
        <f>IFERROR(__xludf.DUMMYFUNCTION("""COMPUTED_VALUE"""),"DECODER 4K ULTRA HD DGCI363 COM IG VOZ")</f>
        <v>DECODER 4K ULTRA HD DGCI363 COM IG VOZ</v>
      </c>
      <c r="B2570" s="22">
        <f>IFERROR(__xludf.DUMMYFUNCTION("""COMPUTED_VALUE"""),4.1001534E7)</f>
        <v>41001534</v>
      </c>
      <c r="C2570" s="21" t="str">
        <f>IFERROR(__xludf.DUMMYFUNCTION("""COMPUTED_VALUE"""),"229923848404")</f>
        <v>229923848404</v>
      </c>
      <c r="D2570" s="21" t="str">
        <f>IFERROR(__xludf.DUMMYFUNCTION("""COMPUTED_VALUE"""),"DIGITEC TECNOLOGIA DIGITAL E REPRES")</f>
        <v>DIGITEC TECNOLOGIA DIGITAL E REPRES</v>
      </c>
      <c r="E2570" s="21">
        <f>IFERROR(__xludf.DUMMYFUNCTION("""COMPUTED_VALUE"""),145359.0)</f>
        <v>145359</v>
      </c>
      <c r="F2570" s="21" t="str">
        <f>IFERROR(__xludf.DUMMYFUNCTION("""COMPUTED_VALUE"""),"TRANSITO REVERSA")</f>
        <v>TRANSITO REVERSA</v>
      </c>
      <c r="G2570" s="23">
        <f>IFERROR(__xludf.DUMMYFUNCTION("""COMPUTED_VALUE"""),45633.00341435186)</f>
        <v>45633.00341</v>
      </c>
      <c r="H2570" s="24" t="str">
        <f>IFERROR(VLOOKUP(B2570,material!A:D,3,0),"")</f>
        <v>4K</v>
      </c>
    </row>
    <row r="2571" ht="11.25" customHeight="1">
      <c r="A2571" s="21" t="str">
        <f>IFERROR(__xludf.DUMMYFUNCTION("""COMPUTED_VALUE"""),"DECODER 4K ULTRA HD DGCI363 COM IG VOZ")</f>
        <v>DECODER 4K ULTRA HD DGCI363 COM IG VOZ</v>
      </c>
      <c r="B2571" s="22">
        <f>IFERROR(__xludf.DUMMYFUNCTION("""COMPUTED_VALUE"""),4.1001534E7)</f>
        <v>41001534</v>
      </c>
      <c r="C2571" s="21" t="str">
        <f>IFERROR(__xludf.DUMMYFUNCTION("""COMPUTED_VALUE"""),"229923860224")</f>
        <v>229923860224</v>
      </c>
      <c r="D2571" s="21" t="str">
        <f>IFERROR(__xludf.DUMMYFUNCTION("""COMPUTED_VALUE"""),"DIGITEC TECNOLOGIA DIGITAL E REPRES")</f>
        <v>DIGITEC TECNOLOGIA DIGITAL E REPRES</v>
      </c>
      <c r="E2571" s="21">
        <f>IFERROR(__xludf.DUMMYFUNCTION("""COMPUTED_VALUE"""),145359.0)</f>
        <v>145359</v>
      </c>
      <c r="F2571" s="21" t="str">
        <f>IFERROR(__xludf.DUMMYFUNCTION("""COMPUTED_VALUE"""),"TRANSITO REVERSA")</f>
        <v>TRANSITO REVERSA</v>
      </c>
      <c r="G2571" s="23">
        <f>IFERROR(__xludf.DUMMYFUNCTION("""COMPUTED_VALUE"""),45626.29871527778)</f>
        <v>45626.29872</v>
      </c>
      <c r="H2571" s="24" t="str">
        <f>IFERROR(VLOOKUP(B2571,material!A:D,3,0),"")</f>
        <v>4K</v>
      </c>
    </row>
    <row r="2572" ht="11.25" customHeight="1">
      <c r="A2572" s="21" t="str">
        <f>IFERROR(__xludf.DUMMYFUNCTION("""COMPUTED_VALUE"""),"DECODER 4K ULTRA HD DGCI363 COM IG VOZ")</f>
        <v>DECODER 4K ULTRA HD DGCI363 COM IG VOZ</v>
      </c>
      <c r="B2572" s="22">
        <f>IFERROR(__xludf.DUMMYFUNCTION("""COMPUTED_VALUE"""),4.1001534E7)</f>
        <v>41001534</v>
      </c>
      <c r="C2572" s="21" t="str">
        <f>IFERROR(__xludf.DUMMYFUNCTION("""COMPUTED_VALUE"""),"229924596467")</f>
        <v>229924596467</v>
      </c>
      <c r="D2572" s="21" t="str">
        <f>IFERROR(__xludf.DUMMYFUNCTION("""COMPUTED_VALUE"""),"DIGITEC TECNOLOGIA DIGITAL E REPRES")</f>
        <v>DIGITEC TECNOLOGIA DIGITAL E REPRES</v>
      </c>
      <c r="E2572" s="21">
        <f>IFERROR(__xludf.DUMMYFUNCTION("""COMPUTED_VALUE"""),145359.0)</f>
        <v>145359</v>
      </c>
      <c r="F2572" s="21" t="str">
        <f>IFERROR(__xludf.DUMMYFUNCTION("""COMPUTED_VALUE"""),"TRANSITO REVERSA")</f>
        <v>TRANSITO REVERSA</v>
      </c>
      <c r="G2572" s="23">
        <f>IFERROR(__xludf.DUMMYFUNCTION("""COMPUTED_VALUE"""),45638.520648148144)</f>
        <v>45638.52065</v>
      </c>
      <c r="H2572" s="24" t="str">
        <f>IFERROR(VLOOKUP(B2572,material!A:D,3,0),"")</f>
        <v>4K</v>
      </c>
    </row>
    <row r="2573" ht="11.25" customHeight="1">
      <c r="A2573" s="21" t="str">
        <f>IFERROR(__xludf.DUMMYFUNCTION("""COMPUTED_VALUE"""),"DECODER 4K ULTRA HD DGCI363 COM IG VOZ")</f>
        <v>DECODER 4K ULTRA HD DGCI363 COM IG VOZ</v>
      </c>
      <c r="B2573" s="22">
        <f>IFERROR(__xludf.DUMMYFUNCTION("""COMPUTED_VALUE"""),4.1001534E7)</f>
        <v>41001534</v>
      </c>
      <c r="C2573" s="21" t="str">
        <f>IFERROR(__xludf.DUMMYFUNCTION("""COMPUTED_VALUE"""),"229923263543")</f>
        <v>229923263543</v>
      </c>
      <c r="D2573" s="21" t="str">
        <f>IFERROR(__xludf.DUMMYFUNCTION("""COMPUTED_VALUE"""),"DIGITEC TECNOLOGIA DIGITAL E REPRES")</f>
        <v>DIGITEC TECNOLOGIA DIGITAL E REPRES</v>
      </c>
      <c r="E2573" s="21">
        <f>IFERROR(__xludf.DUMMYFUNCTION("""COMPUTED_VALUE"""),145359.0)</f>
        <v>145359</v>
      </c>
      <c r="F2573" s="21" t="str">
        <f>IFERROR(__xludf.DUMMYFUNCTION("""COMPUTED_VALUE"""),"TRANSITO REVERSA")</f>
        <v>TRANSITO REVERSA</v>
      </c>
      <c r="G2573" s="23">
        <f>IFERROR(__xludf.DUMMYFUNCTION("""COMPUTED_VALUE"""),45626.298692129625)</f>
        <v>45626.29869</v>
      </c>
      <c r="H2573" s="24" t="str">
        <f>IFERROR(VLOOKUP(B2573,material!A:D,3,0),"")</f>
        <v>4K</v>
      </c>
    </row>
    <row r="2574" ht="11.25" customHeight="1">
      <c r="A2574" s="21" t="str">
        <f>IFERROR(__xludf.DUMMYFUNCTION("""COMPUTED_VALUE"""),"DECODER 4K ULTRA HD DGCI363 COM IG VOZ")</f>
        <v>DECODER 4K ULTRA HD DGCI363 COM IG VOZ</v>
      </c>
      <c r="B2574" s="22">
        <f>IFERROR(__xludf.DUMMYFUNCTION("""COMPUTED_VALUE"""),4.1001534E7)</f>
        <v>41001534</v>
      </c>
      <c r="C2574" s="21" t="str">
        <f>IFERROR(__xludf.DUMMYFUNCTION("""COMPUTED_VALUE"""),"229923927681")</f>
        <v>229923927681</v>
      </c>
      <c r="D2574" s="21" t="str">
        <f>IFERROR(__xludf.DUMMYFUNCTION("""COMPUTED_VALUE"""),"DIGITEC TECNOLOGIA DIGITAL E REPRES")</f>
        <v>DIGITEC TECNOLOGIA DIGITAL E REPRES</v>
      </c>
      <c r="E2574" s="21">
        <f>IFERROR(__xludf.DUMMYFUNCTION("""COMPUTED_VALUE"""),145359.0)</f>
        <v>145359</v>
      </c>
      <c r="F2574" s="21" t="str">
        <f>IFERROR(__xludf.DUMMYFUNCTION("""COMPUTED_VALUE"""),"TRANSITO REVERSA")</f>
        <v>TRANSITO REVERSA</v>
      </c>
      <c r="G2574" s="23">
        <f>IFERROR(__xludf.DUMMYFUNCTION("""COMPUTED_VALUE"""),45638.521099537036)</f>
        <v>45638.5211</v>
      </c>
      <c r="H2574" s="24" t="str">
        <f>IFERROR(VLOOKUP(B2574,material!A:D,3,0),"")</f>
        <v>4K</v>
      </c>
    </row>
    <row r="2575" ht="11.25" customHeight="1">
      <c r="A2575" s="21" t="str">
        <f>IFERROR(__xludf.DUMMYFUNCTION("""COMPUTED_VALUE"""),"DECODER 4K ULTRA HD DGCI363 COM IG VOZ")</f>
        <v>DECODER 4K ULTRA HD DGCI363 COM IG VOZ</v>
      </c>
      <c r="B2575" s="22">
        <f>IFERROR(__xludf.DUMMYFUNCTION("""COMPUTED_VALUE"""),4.1001534E7)</f>
        <v>41001534</v>
      </c>
      <c r="C2575" s="21" t="str">
        <f>IFERROR(__xludf.DUMMYFUNCTION("""COMPUTED_VALUE"""),"229923927378")</f>
        <v>229923927378</v>
      </c>
      <c r="D2575" s="21" t="str">
        <f>IFERROR(__xludf.DUMMYFUNCTION("""COMPUTED_VALUE"""),"DIGITEC TECNOLOGIA DIGITAL E REPRES")</f>
        <v>DIGITEC TECNOLOGIA DIGITAL E REPRES</v>
      </c>
      <c r="E2575" s="21">
        <f>IFERROR(__xludf.DUMMYFUNCTION("""COMPUTED_VALUE"""),145359.0)</f>
        <v>145359</v>
      </c>
      <c r="F2575" s="21" t="str">
        <f>IFERROR(__xludf.DUMMYFUNCTION("""COMPUTED_VALUE"""),"TRANSITO REVERSA")</f>
        <v>TRANSITO REVERSA</v>
      </c>
      <c r="G2575" s="23">
        <f>IFERROR(__xludf.DUMMYFUNCTION("""COMPUTED_VALUE"""),45638.520578703705)</f>
        <v>45638.52058</v>
      </c>
      <c r="H2575" s="24" t="str">
        <f>IFERROR(VLOOKUP(B2575,material!A:D,3,0),"")</f>
        <v>4K</v>
      </c>
    </row>
    <row r="2576" ht="11.25" customHeight="1">
      <c r="A2576" s="21" t="str">
        <f>IFERROR(__xludf.DUMMYFUNCTION("""COMPUTED_VALUE"""),"DECODER 4K UHD IP S4KW3 LINUX VAS COM")</f>
        <v>DECODER 4K UHD IP S4KW3 LINUX VAS COM</v>
      </c>
      <c r="B2576" s="22">
        <f>IFERROR(__xludf.DUMMYFUNCTION("""COMPUTED_VALUE"""),4.100153E7)</f>
        <v>41001530</v>
      </c>
      <c r="C2576" s="21" t="str">
        <f>IFERROR(__xludf.DUMMYFUNCTION("""COMPUTED_VALUE"""),"229993085879")</f>
        <v>229993085879</v>
      </c>
      <c r="D2576" s="21" t="str">
        <f>IFERROR(__xludf.DUMMYFUNCTION("""COMPUTED_VALUE"""),"DIGITEC TECNOLOGIA DIGITAL E REPRES")</f>
        <v>DIGITEC TECNOLOGIA DIGITAL E REPRES</v>
      </c>
      <c r="E2576" s="21">
        <f>IFERROR(__xludf.DUMMYFUNCTION("""COMPUTED_VALUE"""),145359.0)</f>
        <v>145359</v>
      </c>
      <c r="F2576" s="21" t="str">
        <f>IFERROR(__xludf.DUMMYFUNCTION("""COMPUTED_VALUE"""),"TRANSITO REVERSA")</f>
        <v>TRANSITO REVERSA</v>
      </c>
      <c r="G2576" s="23">
        <f>IFERROR(__xludf.DUMMYFUNCTION("""COMPUTED_VALUE"""),45626.298668981486)</f>
        <v>45626.29867</v>
      </c>
      <c r="H2576" s="24" t="str">
        <f>IFERROR(VLOOKUP(B2576,material!A:D,3,0),"")</f>
        <v>BOX</v>
      </c>
    </row>
    <row r="2577" ht="11.25" customHeight="1">
      <c r="A2577" s="21" t="str">
        <f>IFERROR(__xludf.DUMMYFUNCTION("""COMPUTED_VALUE"""),"DECODER 4K UHD IP S4KW3 LINUX VAS COM")</f>
        <v>DECODER 4K UHD IP S4KW3 LINUX VAS COM</v>
      </c>
      <c r="B2577" s="22">
        <f>IFERROR(__xludf.DUMMYFUNCTION("""COMPUTED_VALUE"""),4.100153E7)</f>
        <v>41001530</v>
      </c>
      <c r="C2577" s="21" t="str">
        <f>IFERROR(__xludf.DUMMYFUNCTION("""COMPUTED_VALUE"""),"229936436680")</f>
        <v>229936436680</v>
      </c>
      <c r="D2577" s="21" t="str">
        <f>IFERROR(__xludf.DUMMYFUNCTION("""COMPUTED_VALUE"""),"DIGITEC TECNOLOGIA DIGITAL E REPRES")</f>
        <v>DIGITEC TECNOLOGIA DIGITAL E REPRES</v>
      </c>
      <c r="E2577" s="21">
        <f>IFERROR(__xludf.DUMMYFUNCTION("""COMPUTED_VALUE"""),145359.0)</f>
        <v>145359</v>
      </c>
      <c r="F2577" s="21" t="str">
        <f>IFERROR(__xludf.DUMMYFUNCTION("""COMPUTED_VALUE"""),"TRANSITO REVERSA")</f>
        <v>TRANSITO REVERSA</v>
      </c>
      <c r="G2577" s="23">
        <f>IFERROR(__xludf.DUMMYFUNCTION("""COMPUTED_VALUE"""),45626.298680555556)</f>
        <v>45626.29868</v>
      </c>
      <c r="H2577" s="24" t="str">
        <f>IFERROR(VLOOKUP(B2577,material!A:D,3,0),"")</f>
        <v>BOX</v>
      </c>
    </row>
    <row r="2578" ht="11.25" customHeight="1">
      <c r="A2578" s="21" t="str">
        <f>IFERROR(__xludf.DUMMYFUNCTION("""COMPUTED_VALUE"""),"DECODER 4K UHD IP S4KW3 LINUX VAS COM")</f>
        <v>DECODER 4K UHD IP S4KW3 LINUX VAS COM</v>
      </c>
      <c r="B2578" s="22">
        <f>IFERROR(__xludf.DUMMYFUNCTION("""COMPUTED_VALUE"""),4.100153E7)</f>
        <v>41001530</v>
      </c>
      <c r="C2578" s="21" t="str">
        <f>IFERROR(__xludf.DUMMYFUNCTION("""COMPUTED_VALUE"""),"229958016676")</f>
        <v>229958016676</v>
      </c>
      <c r="D2578" s="21" t="str">
        <f>IFERROR(__xludf.DUMMYFUNCTION("""COMPUTED_VALUE"""),"DIGITEC TECNOLOGIA DIGITAL E REPRES")</f>
        <v>DIGITEC TECNOLOGIA DIGITAL E REPRES</v>
      </c>
      <c r="E2578" s="21">
        <f>IFERROR(__xludf.DUMMYFUNCTION("""COMPUTED_VALUE"""),145359.0)</f>
        <v>145359</v>
      </c>
      <c r="F2578" s="21" t="str">
        <f>IFERROR(__xludf.DUMMYFUNCTION("""COMPUTED_VALUE"""),"TRANSITO REVERSA")</f>
        <v>TRANSITO REVERSA</v>
      </c>
      <c r="G2578" s="23">
        <f>IFERROR(__xludf.DUMMYFUNCTION("""COMPUTED_VALUE"""),45638.52186342592)</f>
        <v>45638.52186</v>
      </c>
      <c r="H2578" s="24" t="str">
        <f>IFERROR(VLOOKUP(B2578,material!A:D,3,0),"")</f>
        <v>BOX</v>
      </c>
    </row>
    <row r="2579" ht="11.25" customHeight="1">
      <c r="A2579" s="21" t="str">
        <f>IFERROR(__xludf.DUMMYFUNCTION("""COMPUTED_VALUE"""),"TERMINAL GPON WIFI PG2449")</f>
        <v>TERMINAL GPON WIFI PG2449</v>
      </c>
      <c r="B2579" s="22">
        <f>IFERROR(__xludf.DUMMYFUNCTION("""COMPUTED_VALUE"""),4.1001521E7)</f>
        <v>41001521</v>
      </c>
      <c r="C2579" s="21" t="str">
        <f>IFERROR(__xludf.DUMMYFUNCTION("""COMPUTED_VALUE"""),"840112C45F70")</f>
        <v>840112C45F70</v>
      </c>
      <c r="D2579" s="21" t="str">
        <f>IFERROR(__xludf.DUMMYFUNCTION("""COMPUTED_VALUE"""),"DIGITEC TECNOLOGIA DIGITAL E REPRES")</f>
        <v>DIGITEC TECNOLOGIA DIGITAL E REPRES</v>
      </c>
      <c r="E2579" s="21">
        <f>IFERROR(__xludf.DUMMYFUNCTION("""COMPUTED_VALUE"""),145359.0)</f>
        <v>145359</v>
      </c>
      <c r="F2579" s="21" t="str">
        <f>IFERROR(__xludf.DUMMYFUNCTION("""COMPUTED_VALUE"""),"TRANSITO REVERSA")</f>
        <v>TRANSITO REVERSA</v>
      </c>
      <c r="G2579" s="23">
        <f>IFERROR(__xludf.DUMMYFUNCTION("""COMPUTED_VALUE"""),45638.520625000005)</f>
        <v>45638.52063</v>
      </c>
      <c r="H2579" s="24" t="str">
        <f>IFERROR(VLOOKUP(B2579,material!A:D,3,0),"")</f>
        <v>GPON 6</v>
      </c>
    </row>
    <row r="2580" ht="11.25" customHeight="1">
      <c r="A2580" s="21" t="str">
        <f>IFERROR(__xludf.DUMMYFUNCTION("""COMPUTED_VALUE"""),"TERMINAL DOCSIS 3.1 32X8 EMTA WIF TG3442")</f>
        <v>TERMINAL DOCSIS 3.1 32X8 EMTA WIF TG3442</v>
      </c>
      <c r="B2580" s="22">
        <f>IFERROR(__xludf.DUMMYFUNCTION("""COMPUTED_VALUE"""),4.100152E7)</f>
        <v>41001520</v>
      </c>
      <c r="C2580" s="21" t="str">
        <f>IFERROR(__xludf.DUMMYFUNCTION("""COMPUTED_VALUE"""),"A8705D73487F")</f>
        <v>A8705D73487F</v>
      </c>
      <c r="D2580" s="21" t="str">
        <f>IFERROR(__xludf.DUMMYFUNCTION("""COMPUTED_VALUE"""),"DIGITEC TECNOLOGIA DIGITAL E REPRES")</f>
        <v>DIGITEC TECNOLOGIA DIGITAL E REPRES</v>
      </c>
      <c r="E2580" s="21">
        <f>IFERROR(__xludf.DUMMYFUNCTION("""COMPUTED_VALUE"""),145359.0)</f>
        <v>145359</v>
      </c>
      <c r="F2580" s="21" t="str">
        <f>IFERROR(__xludf.DUMMYFUNCTION("""COMPUTED_VALUE"""),"TRANSITO REVERSA")</f>
        <v>TRANSITO REVERSA</v>
      </c>
      <c r="G2580" s="23">
        <f>IFERROR(__xludf.DUMMYFUNCTION("""COMPUTED_VALUE"""),45638.52111111111)</f>
        <v>45638.52111</v>
      </c>
      <c r="H2580" s="24" t="str">
        <f>IFERROR(VLOOKUP(B2580,material!A:D,3,0),"")</f>
        <v>3.1</v>
      </c>
    </row>
    <row r="2581" ht="11.25" customHeight="1">
      <c r="A2581" s="21" t="str">
        <f>IFERROR(__xludf.DUMMYFUNCTION("""COMPUTED_VALUE"""),"TERMINAL DOCSIS 3.1 32X8 EMTA WIF TG3442")</f>
        <v>TERMINAL DOCSIS 3.1 32X8 EMTA WIF TG3442</v>
      </c>
      <c r="B2581" s="22">
        <f>IFERROR(__xludf.DUMMYFUNCTION("""COMPUTED_VALUE"""),4.100152E7)</f>
        <v>41001520</v>
      </c>
      <c r="C2581" s="21" t="str">
        <f>IFERROR(__xludf.DUMMYFUNCTION("""COMPUTED_VALUE"""),"A8705D76D35A")</f>
        <v>A8705D76D35A</v>
      </c>
      <c r="D2581" s="21" t="str">
        <f>IFERROR(__xludf.DUMMYFUNCTION("""COMPUTED_VALUE"""),"DIGITEC TECNOLOGIA DIGITAL E REPRES")</f>
        <v>DIGITEC TECNOLOGIA DIGITAL E REPRES</v>
      </c>
      <c r="E2581" s="21">
        <f>IFERROR(__xludf.DUMMYFUNCTION("""COMPUTED_VALUE"""),145359.0)</f>
        <v>145359</v>
      </c>
      <c r="F2581" s="21" t="str">
        <f>IFERROR(__xludf.DUMMYFUNCTION("""COMPUTED_VALUE"""),"TRANSITO REVERSA")</f>
        <v>TRANSITO REVERSA</v>
      </c>
      <c r="G2581" s="23">
        <f>IFERROR(__xludf.DUMMYFUNCTION("""COMPUTED_VALUE"""),45633.00340277777)</f>
        <v>45633.0034</v>
      </c>
      <c r="H2581" s="24" t="str">
        <f>IFERROR(VLOOKUP(B2581,material!A:D,3,0),"")</f>
        <v>3.1</v>
      </c>
    </row>
    <row r="2582" ht="11.25" customHeight="1">
      <c r="A2582" s="21" t="str">
        <f>IFERROR(__xludf.DUMMYFUNCTION("""COMPUTED_VALUE"""),"TERMINAL DOCSIS 3.1 32X8 EMTA WIF TG3442")</f>
        <v>TERMINAL DOCSIS 3.1 32X8 EMTA WIF TG3442</v>
      </c>
      <c r="B2582" s="22">
        <f>IFERROR(__xludf.DUMMYFUNCTION("""COMPUTED_VALUE"""),4.100152E7)</f>
        <v>41001520</v>
      </c>
      <c r="C2582" s="21" t="str">
        <f>IFERROR(__xludf.DUMMYFUNCTION("""COMPUTED_VALUE"""),"F820D2079938")</f>
        <v>F820D2079938</v>
      </c>
      <c r="D2582" s="21" t="str">
        <f>IFERROR(__xludf.DUMMYFUNCTION("""COMPUTED_VALUE"""),"DIGITEC TECNOLOGIA DIGITAL E REPRES")</f>
        <v>DIGITEC TECNOLOGIA DIGITAL E REPRES</v>
      </c>
      <c r="E2582" s="21">
        <f>IFERROR(__xludf.DUMMYFUNCTION("""COMPUTED_VALUE"""),145359.0)</f>
        <v>145359</v>
      </c>
      <c r="F2582" s="21" t="str">
        <f>IFERROR(__xludf.DUMMYFUNCTION("""COMPUTED_VALUE"""),"TRANSITO REVERSA")</f>
        <v>TRANSITO REVERSA</v>
      </c>
      <c r="G2582" s="23">
        <f>IFERROR(__xludf.DUMMYFUNCTION("""COMPUTED_VALUE"""),45626.298680555556)</f>
        <v>45626.29868</v>
      </c>
      <c r="H2582" s="24" t="str">
        <f>IFERROR(VLOOKUP(B2582,material!A:D,3,0),"")</f>
        <v>3.1</v>
      </c>
    </row>
    <row r="2583" ht="11.25" customHeight="1">
      <c r="A2583" s="21" t="str">
        <f>IFERROR(__xludf.DUMMYFUNCTION("""COMPUTED_VALUE"""),"TERMINAL DOCSIS 3.1 32X8 EMTA WIF TG3442")</f>
        <v>TERMINAL DOCSIS 3.1 32X8 EMTA WIF TG3442</v>
      </c>
      <c r="B2583" s="22">
        <f>IFERROR(__xludf.DUMMYFUNCTION("""COMPUTED_VALUE"""),4.100152E7)</f>
        <v>41001520</v>
      </c>
      <c r="C2583" s="21" t="str">
        <f>IFERROR(__xludf.DUMMYFUNCTION("""COMPUTED_VALUE"""),"F820D20762B5")</f>
        <v>F820D20762B5</v>
      </c>
      <c r="D2583" s="21" t="str">
        <f>IFERROR(__xludf.DUMMYFUNCTION("""COMPUTED_VALUE"""),"DIGITEC TECNOLOGIA DIGITAL E REPRES")</f>
        <v>DIGITEC TECNOLOGIA DIGITAL E REPRES</v>
      </c>
      <c r="E2583" s="21">
        <f>IFERROR(__xludf.DUMMYFUNCTION("""COMPUTED_VALUE"""),145359.0)</f>
        <v>145359</v>
      </c>
      <c r="F2583" s="21" t="str">
        <f>IFERROR(__xludf.DUMMYFUNCTION("""COMPUTED_VALUE"""),"TRANSITO REVERSA")</f>
        <v>TRANSITO REVERSA</v>
      </c>
      <c r="G2583" s="23">
        <f>IFERROR(__xludf.DUMMYFUNCTION("""COMPUTED_VALUE"""),45633.00399305555)</f>
        <v>45633.00399</v>
      </c>
      <c r="H2583" s="24" t="str">
        <f>IFERROR(VLOOKUP(B2583,material!A:D,3,0),"")</f>
        <v>3.1</v>
      </c>
    </row>
    <row r="2584" ht="11.25" customHeight="1">
      <c r="A2584" s="21" t="str">
        <f>IFERROR(__xludf.DUMMYFUNCTION("""COMPUTED_VALUE"""),"TERMINAL DOCSIS 3.1 32X8 EMTA WIF TG3442")</f>
        <v>TERMINAL DOCSIS 3.1 32X8 EMTA WIF TG3442</v>
      </c>
      <c r="B2584" s="22">
        <f>IFERROR(__xludf.DUMMYFUNCTION("""COMPUTED_VALUE"""),4.100152E7)</f>
        <v>41001520</v>
      </c>
      <c r="C2584" s="21" t="str">
        <f>IFERROR(__xludf.DUMMYFUNCTION("""COMPUTED_VALUE"""),"F820D2079F50")</f>
        <v>F820D2079F50</v>
      </c>
      <c r="D2584" s="21" t="str">
        <f>IFERROR(__xludf.DUMMYFUNCTION("""COMPUTED_VALUE"""),"DIGITEC TECNOLOGIA DIGITAL E REPRES")</f>
        <v>DIGITEC TECNOLOGIA DIGITAL E REPRES</v>
      </c>
      <c r="E2584" s="21">
        <f>IFERROR(__xludf.DUMMYFUNCTION("""COMPUTED_VALUE"""),145359.0)</f>
        <v>145359</v>
      </c>
      <c r="F2584" s="21" t="str">
        <f>IFERROR(__xludf.DUMMYFUNCTION("""COMPUTED_VALUE"""),"TRANSITO REVERSA")</f>
        <v>TRANSITO REVERSA</v>
      </c>
      <c r="G2584" s="23">
        <f>IFERROR(__xludf.DUMMYFUNCTION("""COMPUTED_VALUE"""),45626.298680555556)</f>
        <v>45626.29868</v>
      </c>
      <c r="H2584" s="24" t="str">
        <f>IFERROR(VLOOKUP(B2584,material!A:D,3,0),"")</f>
        <v>3.1</v>
      </c>
    </row>
    <row r="2585" ht="11.25" customHeight="1">
      <c r="A2585" s="21" t="str">
        <f>IFERROR(__xludf.DUMMYFUNCTION("""COMPUTED_VALUE"""),"TERMINAL DOCSIS 3.1 32X8 EMTA WIF TG3442")</f>
        <v>TERMINAL DOCSIS 3.1 32X8 EMTA WIF TG3442</v>
      </c>
      <c r="B2585" s="22">
        <f>IFERROR(__xludf.DUMMYFUNCTION("""COMPUTED_VALUE"""),4.100152E7)</f>
        <v>41001520</v>
      </c>
      <c r="C2585" s="21" t="str">
        <f>IFERROR(__xludf.DUMMYFUNCTION("""COMPUTED_VALUE"""),"A8705D818E12")</f>
        <v>A8705D818E12</v>
      </c>
      <c r="D2585" s="21" t="str">
        <f>IFERROR(__xludf.DUMMYFUNCTION("""COMPUTED_VALUE"""),"DIGITEC TECNOLOGIA DIGITAL E REPRES")</f>
        <v>DIGITEC TECNOLOGIA DIGITAL E REPRES</v>
      </c>
      <c r="E2585" s="21">
        <f>IFERROR(__xludf.DUMMYFUNCTION("""COMPUTED_VALUE"""),145359.0)</f>
        <v>145359</v>
      </c>
      <c r="F2585" s="21" t="str">
        <f>IFERROR(__xludf.DUMMYFUNCTION("""COMPUTED_VALUE"""),"TRANSITO REVERSA")</f>
        <v>TRANSITO REVERSA</v>
      </c>
      <c r="G2585" s="23">
        <f>IFERROR(__xludf.DUMMYFUNCTION("""COMPUTED_VALUE"""),45638.52061342592)</f>
        <v>45638.52061</v>
      </c>
      <c r="H2585" s="24" t="str">
        <f>IFERROR(VLOOKUP(B2585,material!A:D,3,0),"")</f>
        <v>3.1</v>
      </c>
    </row>
    <row r="2586" ht="11.25" customHeight="1">
      <c r="A2586" s="21" t="str">
        <f>IFERROR(__xludf.DUMMYFUNCTION("""COMPUTED_VALUE"""),"TERMINAL DOCSIS 3.1 32X8 EMTA WIF TG3442")</f>
        <v>TERMINAL DOCSIS 3.1 32X8 EMTA WIF TG3442</v>
      </c>
      <c r="B2586" s="22">
        <f>IFERROR(__xludf.DUMMYFUNCTION("""COMPUTED_VALUE"""),4.100152E7)</f>
        <v>41001520</v>
      </c>
      <c r="C2586" s="21" t="str">
        <f>IFERROR(__xludf.DUMMYFUNCTION("""COMPUTED_VALUE"""),"A8705D818A75")</f>
        <v>A8705D818A75</v>
      </c>
      <c r="D2586" s="21" t="str">
        <f>IFERROR(__xludf.DUMMYFUNCTION("""COMPUTED_VALUE"""),"DIGITEC TECNOLOGIA DIGITAL E REPRES")</f>
        <v>DIGITEC TECNOLOGIA DIGITAL E REPRES</v>
      </c>
      <c r="E2586" s="21">
        <f>IFERROR(__xludf.DUMMYFUNCTION("""COMPUTED_VALUE"""),145359.0)</f>
        <v>145359</v>
      </c>
      <c r="F2586" s="21" t="str">
        <f>IFERROR(__xludf.DUMMYFUNCTION("""COMPUTED_VALUE"""),"TRANSITO REVERSA")</f>
        <v>TRANSITO REVERSA</v>
      </c>
      <c r="G2586" s="23">
        <f>IFERROR(__xludf.DUMMYFUNCTION("""COMPUTED_VALUE"""),45633.00341435186)</f>
        <v>45633.00341</v>
      </c>
      <c r="H2586" s="24" t="str">
        <f>IFERROR(VLOOKUP(B2586,material!A:D,3,0),"")</f>
        <v>3.1</v>
      </c>
    </row>
    <row r="2587" ht="11.25" customHeight="1">
      <c r="A2587" s="21" t="str">
        <f>IFERROR(__xludf.DUMMYFUNCTION("""COMPUTED_VALUE"""),"TERMINAL DOCSIS 3.1 32X8 EMTA WIF TG3442")</f>
        <v>TERMINAL DOCSIS 3.1 32X8 EMTA WIF TG3442</v>
      </c>
      <c r="B2587" s="22">
        <f>IFERROR(__xludf.DUMMYFUNCTION("""COMPUTED_VALUE"""),4.100152E7)</f>
        <v>41001520</v>
      </c>
      <c r="C2587" s="21" t="str">
        <f>IFERROR(__xludf.DUMMYFUNCTION("""COMPUTED_VALUE"""),"A8705D88003A")</f>
        <v>A8705D88003A</v>
      </c>
      <c r="D2587" s="21" t="str">
        <f>IFERROR(__xludf.DUMMYFUNCTION("""COMPUTED_VALUE"""),"DIGITEC TECNOLOGIA DIGITAL E REPRES")</f>
        <v>DIGITEC TECNOLOGIA DIGITAL E REPRES</v>
      </c>
      <c r="E2587" s="21">
        <f>IFERROR(__xludf.DUMMYFUNCTION("""COMPUTED_VALUE"""),145359.0)</f>
        <v>145359</v>
      </c>
      <c r="F2587" s="21" t="str">
        <f>IFERROR(__xludf.DUMMYFUNCTION("""COMPUTED_VALUE"""),"TRANSITO REVERSA")</f>
        <v>TRANSITO REVERSA</v>
      </c>
      <c r="G2587" s="23">
        <f>IFERROR(__xludf.DUMMYFUNCTION("""COMPUTED_VALUE"""),45633.00341435186)</f>
        <v>45633.00341</v>
      </c>
      <c r="H2587" s="24" t="str">
        <f>IFERROR(VLOOKUP(B2587,material!A:D,3,0),"")</f>
        <v>3.1</v>
      </c>
    </row>
    <row r="2588" ht="11.25" customHeight="1">
      <c r="A2588" s="21" t="str">
        <f>IFERROR(__xludf.DUMMYFUNCTION("""COMPUTED_VALUE"""),"TERMINAL DOCSIS 3.1 32X8 EMTA WIF TG3442")</f>
        <v>TERMINAL DOCSIS 3.1 32X8 EMTA WIF TG3442</v>
      </c>
      <c r="B2588" s="22">
        <f>IFERROR(__xludf.DUMMYFUNCTION("""COMPUTED_VALUE"""),4.100152E7)</f>
        <v>41001520</v>
      </c>
      <c r="C2588" s="21" t="str">
        <f>IFERROR(__xludf.DUMMYFUNCTION("""COMPUTED_VALUE"""),"A8705D7AFA3E")</f>
        <v>A8705D7AFA3E</v>
      </c>
      <c r="D2588" s="21" t="str">
        <f>IFERROR(__xludf.DUMMYFUNCTION("""COMPUTED_VALUE"""),"DIGITEC TECNOLOGIA DIGITAL E REPRES")</f>
        <v>DIGITEC TECNOLOGIA DIGITAL E REPRES</v>
      </c>
      <c r="E2588" s="21">
        <f>IFERROR(__xludf.DUMMYFUNCTION("""COMPUTED_VALUE"""),145359.0)</f>
        <v>145359</v>
      </c>
      <c r="F2588" s="21" t="str">
        <f>IFERROR(__xludf.DUMMYFUNCTION("""COMPUTED_VALUE"""),"TRANSITO REVERSA")</f>
        <v>TRANSITO REVERSA</v>
      </c>
      <c r="G2588" s="23">
        <f>IFERROR(__xludf.DUMMYFUNCTION("""COMPUTED_VALUE"""),45633.00399305555)</f>
        <v>45633.00399</v>
      </c>
      <c r="H2588" s="24" t="str">
        <f>IFERROR(VLOOKUP(B2588,material!A:D,3,0),"")</f>
        <v>3.1</v>
      </c>
    </row>
    <row r="2589" ht="11.25" customHeight="1">
      <c r="A2589" s="21" t="str">
        <f>IFERROR(__xludf.DUMMYFUNCTION("""COMPUTED_VALUE"""),"TERMINAL DOCSIS 3.1 32X8 EMTA WIF TG3442")</f>
        <v>TERMINAL DOCSIS 3.1 32X8 EMTA WIF TG3442</v>
      </c>
      <c r="B2589" s="22">
        <f>IFERROR(__xludf.DUMMYFUNCTION("""COMPUTED_VALUE"""),4.100152E7)</f>
        <v>41001520</v>
      </c>
      <c r="C2589" s="21" t="str">
        <f>IFERROR(__xludf.DUMMYFUNCTION("""COMPUTED_VALUE"""),"A8705D7AF9BC")</f>
        <v>A8705D7AF9BC</v>
      </c>
      <c r="D2589" s="21" t="str">
        <f>IFERROR(__xludf.DUMMYFUNCTION("""COMPUTED_VALUE"""),"DIGITEC TECNOLOGIA DIGITAL E REPRES")</f>
        <v>DIGITEC TECNOLOGIA DIGITAL E REPRES</v>
      </c>
      <c r="E2589" s="21">
        <f>IFERROR(__xludf.DUMMYFUNCTION("""COMPUTED_VALUE"""),145359.0)</f>
        <v>145359</v>
      </c>
      <c r="F2589" s="21" t="str">
        <f>IFERROR(__xludf.DUMMYFUNCTION("""COMPUTED_VALUE"""),"TRANSITO REVERSA")</f>
        <v>TRANSITO REVERSA</v>
      </c>
      <c r="G2589" s="23">
        <f>IFERROR(__xludf.DUMMYFUNCTION("""COMPUTED_VALUE"""),45610.73040509259)</f>
        <v>45610.73041</v>
      </c>
      <c r="H2589" s="24" t="str">
        <f>IFERROR(VLOOKUP(B2589,material!A:D,3,0),"")</f>
        <v>3.1</v>
      </c>
    </row>
    <row r="2590" ht="11.25" customHeight="1">
      <c r="A2590" s="21" t="str">
        <f>IFERROR(__xludf.DUMMYFUNCTION("""COMPUTED_VALUE"""),"TERMINAL DOCSIS 3.1 32X8 EMTA WIF TG3442")</f>
        <v>TERMINAL DOCSIS 3.1 32X8 EMTA WIF TG3442</v>
      </c>
      <c r="B2590" s="22">
        <f>IFERROR(__xludf.DUMMYFUNCTION("""COMPUTED_VALUE"""),4.100152E7)</f>
        <v>41001520</v>
      </c>
      <c r="C2590" s="21" t="str">
        <f>IFERROR(__xludf.DUMMYFUNCTION("""COMPUTED_VALUE"""),"A8705D823583")</f>
        <v>A8705D823583</v>
      </c>
      <c r="D2590" s="21" t="str">
        <f>IFERROR(__xludf.DUMMYFUNCTION("""COMPUTED_VALUE"""),"DIGITEC TECNOLOGIA DIGITAL E REPRES")</f>
        <v>DIGITEC TECNOLOGIA DIGITAL E REPRES</v>
      </c>
      <c r="E2590" s="21">
        <f>IFERROR(__xludf.DUMMYFUNCTION("""COMPUTED_VALUE"""),145359.0)</f>
        <v>145359</v>
      </c>
      <c r="F2590" s="21" t="str">
        <f>IFERROR(__xludf.DUMMYFUNCTION("""COMPUTED_VALUE"""),"TRANSITO REVERSA")</f>
        <v>TRANSITO REVERSA</v>
      </c>
      <c r="G2590" s="23">
        <f>IFERROR(__xludf.DUMMYFUNCTION("""COMPUTED_VALUE"""),45626.298692129625)</f>
        <v>45626.29869</v>
      </c>
      <c r="H2590" s="24" t="str">
        <f>IFERROR(VLOOKUP(B2590,material!A:D,3,0),"")</f>
        <v>3.1</v>
      </c>
    </row>
    <row r="2591" ht="11.25" customHeight="1">
      <c r="A2591" s="21" t="str">
        <f>IFERROR(__xludf.DUMMYFUNCTION("""COMPUTED_VALUE"""),"TERMINAL DOCSIS 3.1 32X8 EMTA WIF TG3442")</f>
        <v>TERMINAL DOCSIS 3.1 32X8 EMTA WIF TG3442</v>
      </c>
      <c r="B2591" s="22">
        <f>IFERROR(__xludf.DUMMYFUNCTION("""COMPUTED_VALUE"""),4.100152E7)</f>
        <v>41001520</v>
      </c>
      <c r="C2591" s="21" t="str">
        <f>IFERROR(__xludf.DUMMYFUNCTION("""COMPUTED_VALUE"""),"A8705D87245D")</f>
        <v>A8705D87245D</v>
      </c>
      <c r="D2591" s="21" t="str">
        <f>IFERROR(__xludf.DUMMYFUNCTION("""COMPUTED_VALUE"""),"DIGITEC TECNOLOGIA DIGITAL E REPRES")</f>
        <v>DIGITEC TECNOLOGIA DIGITAL E REPRES</v>
      </c>
      <c r="E2591" s="21">
        <f>IFERROR(__xludf.DUMMYFUNCTION("""COMPUTED_VALUE"""),145359.0)</f>
        <v>145359</v>
      </c>
      <c r="F2591" s="21" t="str">
        <f>IFERROR(__xludf.DUMMYFUNCTION("""COMPUTED_VALUE"""),"TRANSITO REVERSA")</f>
        <v>TRANSITO REVERSA</v>
      </c>
      <c r="G2591" s="23">
        <f>IFERROR(__xludf.DUMMYFUNCTION("""COMPUTED_VALUE"""),45610.730416666665)</f>
        <v>45610.73042</v>
      </c>
      <c r="H2591" s="24" t="str">
        <f>IFERROR(VLOOKUP(B2591,material!A:D,3,0),"")</f>
        <v>3.1</v>
      </c>
    </row>
    <row r="2592" ht="11.25" customHeight="1">
      <c r="A2592" s="21" t="str">
        <f>IFERROR(__xludf.DUMMYFUNCTION("""COMPUTED_VALUE"""),"TERMINAL DOCSIS 3.1 32X8 EMTA WIF TG3442")</f>
        <v>TERMINAL DOCSIS 3.1 32X8 EMTA WIF TG3442</v>
      </c>
      <c r="B2592" s="22">
        <f>IFERROR(__xludf.DUMMYFUNCTION("""COMPUTED_VALUE"""),4.100152E7)</f>
        <v>41001520</v>
      </c>
      <c r="C2592" s="21" t="str">
        <f>IFERROR(__xludf.DUMMYFUNCTION("""COMPUTED_VALUE"""),"1C937CFF1DBB")</f>
        <v>1C937CFF1DBB</v>
      </c>
      <c r="D2592" s="21" t="str">
        <f>IFERROR(__xludf.DUMMYFUNCTION("""COMPUTED_VALUE"""),"DIGITEC TECNOLOGIA DIGITAL E REPRES")</f>
        <v>DIGITEC TECNOLOGIA DIGITAL E REPRES</v>
      </c>
      <c r="E2592" s="21">
        <f>IFERROR(__xludf.DUMMYFUNCTION("""COMPUTED_VALUE"""),145359.0)</f>
        <v>145359</v>
      </c>
      <c r="F2592" s="21" t="str">
        <f>IFERROR(__xludf.DUMMYFUNCTION("""COMPUTED_VALUE"""),"TRANSITO REVERSA")</f>
        <v>TRANSITO REVERSA</v>
      </c>
      <c r="G2592" s="23">
        <f>IFERROR(__xludf.DUMMYFUNCTION("""COMPUTED_VALUE"""),45610.73040509259)</f>
        <v>45610.73041</v>
      </c>
      <c r="H2592" s="24" t="str">
        <f>IFERROR(VLOOKUP(B2592,material!A:D,3,0),"")</f>
        <v>3.1</v>
      </c>
    </row>
    <row r="2593" ht="11.25" customHeight="1">
      <c r="A2593" s="21" t="str">
        <f>IFERROR(__xludf.DUMMYFUNCTION("""COMPUTED_VALUE"""),"TERMINAL DOCSIS 3.1 32X8 EMTA WIF TG3442")</f>
        <v>TERMINAL DOCSIS 3.1 32X8 EMTA WIF TG3442</v>
      </c>
      <c r="B2593" s="22">
        <f>IFERROR(__xludf.DUMMYFUNCTION("""COMPUTED_VALUE"""),4.100152E7)</f>
        <v>41001520</v>
      </c>
      <c r="C2593" s="21" t="str">
        <f>IFERROR(__xludf.DUMMYFUNCTION("""COMPUTED_VALUE"""),"F820D2057077")</f>
        <v>F820D2057077</v>
      </c>
      <c r="D2593" s="21" t="str">
        <f>IFERROR(__xludf.DUMMYFUNCTION("""COMPUTED_VALUE"""),"DIGITEC TECNOLOGIA DIGITAL E REPRES")</f>
        <v>DIGITEC TECNOLOGIA DIGITAL E REPRES</v>
      </c>
      <c r="E2593" s="21">
        <f>IFERROR(__xludf.DUMMYFUNCTION("""COMPUTED_VALUE"""),145359.0)</f>
        <v>145359</v>
      </c>
      <c r="F2593" s="21" t="str">
        <f>IFERROR(__xludf.DUMMYFUNCTION("""COMPUTED_VALUE"""),"TRANSITO REVERSA")</f>
        <v>TRANSITO REVERSA</v>
      </c>
      <c r="G2593" s="23">
        <f>IFERROR(__xludf.DUMMYFUNCTION("""COMPUTED_VALUE"""),45633.0033912037)</f>
        <v>45633.00339</v>
      </c>
      <c r="H2593" s="24" t="str">
        <f>IFERROR(VLOOKUP(B2593,material!A:D,3,0),"")</f>
        <v>3.1</v>
      </c>
    </row>
    <row r="2594" ht="11.25" customHeight="1">
      <c r="A2594" s="21" t="str">
        <f>IFERROR(__xludf.DUMMYFUNCTION("""COMPUTED_VALUE"""),"TERMINAL DOCSIS 3.1 32X8 EMTA WIF TG3442")</f>
        <v>TERMINAL DOCSIS 3.1 32X8 EMTA WIF TG3442</v>
      </c>
      <c r="B2594" s="22">
        <f>IFERROR(__xludf.DUMMYFUNCTION("""COMPUTED_VALUE"""),4.100152E7)</f>
        <v>41001520</v>
      </c>
      <c r="C2594" s="21" t="str">
        <f>IFERROR(__xludf.DUMMYFUNCTION("""COMPUTED_VALUE"""),"10E17778F6F7")</f>
        <v>10E17778F6F7</v>
      </c>
      <c r="D2594" s="21" t="str">
        <f>IFERROR(__xludf.DUMMYFUNCTION("""COMPUTED_VALUE"""),"DIGITEC TECNOLOGIA DIGITAL E REPRES")</f>
        <v>DIGITEC TECNOLOGIA DIGITAL E REPRES</v>
      </c>
      <c r="E2594" s="21">
        <f>IFERROR(__xludf.DUMMYFUNCTION("""COMPUTED_VALUE"""),145359.0)</f>
        <v>145359</v>
      </c>
      <c r="F2594" s="21" t="str">
        <f>IFERROR(__xludf.DUMMYFUNCTION("""COMPUTED_VALUE"""),"TRANSITO REVERSA")</f>
        <v>TRANSITO REVERSA</v>
      </c>
      <c r="G2594" s="23">
        <f>IFERROR(__xludf.DUMMYFUNCTION("""COMPUTED_VALUE"""),45633.00336805556)</f>
        <v>45633.00337</v>
      </c>
      <c r="H2594" s="24" t="str">
        <f>IFERROR(VLOOKUP(B2594,material!A:D,3,0),"")</f>
        <v>3.1</v>
      </c>
    </row>
    <row r="2595" ht="11.25" customHeight="1">
      <c r="A2595" s="21" t="str">
        <f>IFERROR(__xludf.DUMMYFUNCTION("""COMPUTED_VALUE"""),"TERMINAL DOCSIS 3.1 32X8 EMTA WIF TG3442")</f>
        <v>TERMINAL DOCSIS 3.1 32X8 EMTA WIF TG3442</v>
      </c>
      <c r="B2595" s="22">
        <f>IFERROR(__xludf.DUMMYFUNCTION("""COMPUTED_VALUE"""),4.100152E7)</f>
        <v>41001520</v>
      </c>
      <c r="C2595" s="21" t="str">
        <f>IFERROR(__xludf.DUMMYFUNCTION("""COMPUTED_VALUE"""),"F8790A6FC529")</f>
        <v>F8790A6FC529</v>
      </c>
      <c r="D2595" s="21" t="str">
        <f>IFERROR(__xludf.DUMMYFUNCTION("""COMPUTED_VALUE"""),"DIGITEC TECNOLOGIA DIGITAL E REPRES")</f>
        <v>DIGITEC TECNOLOGIA DIGITAL E REPRES</v>
      </c>
      <c r="E2595" s="21">
        <f>IFERROR(__xludf.DUMMYFUNCTION("""COMPUTED_VALUE"""),145359.0)</f>
        <v>145359</v>
      </c>
      <c r="F2595" s="21" t="str">
        <f>IFERROR(__xludf.DUMMYFUNCTION("""COMPUTED_VALUE"""),"TRANSITO REVERSA")</f>
        <v>TRANSITO REVERSA</v>
      </c>
      <c r="G2595" s="23">
        <f>IFERROR(__xludf.DUMMYFUNCTION("""COMPUTED_VALUE"""),45610.730416666665)</f>
        <v>45610.73042</v>
      </c>
      <c r="H2595" s="24" t="str">
        <f>IFERROR(VLOOKUP(B2595,material!A:D,3,0),"")</f>
        <v>3.1</v>
      </c>
    </row>
    <row r="2596" ht="11.25" customHeight="1">
      <c r="A2596" s="21" t="str">
        <f>IFERROR(__xludf.DUMMYFUNCTION("""COMPUTED_VALUE"""),"TERMINAL DOCSIS 3.1 WIFI HI3120")</f>
        <v>TERMINAL DOCSIS 3.1 WIFI HI3120</v>
      </c>
      <c r="B2596" s="22">
        <f>IFERROR(__xludf.DUMMYFUNCTION("""COMPUTED_VALUE"""),4.1001518E7)</f>
        <v>41001518</v>
      </c>
      <c r="C2596" s="21" t="str">
        <f>IFERROR(__xludf.DUMMYFUNCTION("""COMPUTED_VALUE"""),"10412104CFB0")</f>
        <v>10412104CFB0</v>
      </c>
      <c r="D2596" s="21" t="str">
        <f>IFERROR(__xludf.DUMMYFUNCTION("""COMPUTED_VALUE"""),"DIGITEC TECNOLOGIA DIGITAL E REPRES")</f>
        <v>DIGITEC TECNOLOGIA DIGITAL E REPRES</v>
      </c>
      <c r="E2596" s="21">
        <f>IFERROR(__xludf.DUMMYFUNCTION("""COMPUTED_VALUE"""),145359.0)</f>
        <v>145359</v>
      </c>
      <c r="F2596" s="21" t="str">
        <f>IFERROR(__xludf.DUMMYFUNCTION("""COMPUTED_VALUE"""),"TRANSITO REVERSA")</f>
        <v>TRANSITO REVERSA</v>
      </c>
      <c r="G2596" s="23">
        <f>IFERROR(__xludf.DUMMYFUNCTION("""COMPUTED_VALUE"""),45610.730416666665)</f>
        <v>45610.73042</v>
      </c>
      <c r="H2596" s="24" t="str">
        <f>IFERROR(VLOOKUP(B2596,material!A:D,3,0),"")</f>
        <v>3.1</v>
      </c>
    </row>
    <row r="2597" ht="11.25" customHeight="1">
      <c r="A2597" s="21" t="str">
        <f>IFERROR(__xludf.DUMMYFUNCTION("""COMPUTED_VALUE"""),"TERMINAL DOCSIS 3.1 WIFI HI3120")</f>
        <v>TERMINAL DOCSIS 3.1 WIFI HI3120</v>
      </c>
      <c r="B2597" s="22">
        <f>IFERROR(__xludf.DUMMYFUNCTION("""COMPUTED_VALUE"""),4.1001518E7)</f>
        <v>41001518</v>
      </c>
      <c r="C2597" s="21" t="str">
        <f>IFERROR(__xludf.DUMMYFUNCTION("""COMPUTED_VALUE"""),"10412103AF80")</f>
        <v>10412103AF80</v>
      </c>
      <c r="D2597" s="21" t="str">
        <f>IFERROR(__xludf.DUMMYFUNCTION("""COMPUTED_VALUE"""),"DIGITEC TECNOLOGIA DIGITAL E REPRES")</f>
        <v>DIGITEC TECNOLOGIA DIGITAL E REPRES</v>
      </c>
      <c r="E2597" s="21">
        <f>IFERROR(__xludf.DUMMYFUNCTION("""COMPUTED_VALUE"""),145359.0)</f>
        <v>145359</v>
      </c>
      <c r="F2597" s="21" t="str">
        <f>IFERROR(__xludf.DUMMYFUNCTION("""COMPUTED_VALUE"""),"TRANSITO REVERSA")</f>
        <v>TRANSITO REVERSA</v>
      </c>
      <c r="G2597" s="23">
        <f>IFERROR(__xludf.DUMMYFUNCTION("""COMPUTED_VALUE"""),45610.730416666665)</f>
        <v>45610.73042</v>
      </c>
      <c r="H2597" s="24" t="str">
        <f>IFERROR(VLOOKUP(B2597,material!A:D,3,0),"")</f>
        <v>3.1</v>
      </c>
    </row>
    <row r="2598" ht="11.25" customHeight="1">
      <c r="A2598" s="21" t="str">
        <f>IFERROR(__xludf.DUMMYFUNCTION("""COMPUTED_VALUE"""),"TERMINAL DOCSIS 3.1 WIFI HI3120")</f>
        <v>TERMINAL DOCSIS 3.1 WIFI HI3120</v>
      </c>
      <c r="B2598" s="22">
        <f>IFERROR(__xludf.DUMMYFUNCTION("""COMPUTED_VALUE"""),4.1001518E7)</f>
        <v>41001518</v>
      </c>
      <c r="C2598" s="21" t="str">
        <f>IFERROR(__xludf.DUMMYFUNCTION("""COMPUTED_VALUE"""),"104121301F00")</f>
        <v>104121301F00</v>
      </c>
      <c r="D2598" s="21" t="str">
        <f>IFERROR(__xludf.DUMMYFUNCTION("""COMPUTED_VALUE"""),"DIGITEC TECNOLOGIA DIGITAL E REPRES")</f>
        <v>DIGITEC TECNOLOGIA DIGITAL E REPRES</v>
      </c>
      <c r="E2598" s="21">
        <f>IFERROR(__xludf.DUMMYFUNCTION("""COMPUTED_VALUE"""),145359.0)</f>
        <v>145359</v>
      </c>
      <c r="F2598" s="21" t="str">
        <f>IFERROR(__xludf.DUMMYFUNCTION("""COMPUTED_VALUE"""),"TRANSITO REVERSA")</f>
        <v>TRANSITO REVERSA</v>
      </c>
      <c r="G2598" s="23">
        <f>IFERROR(__xludf.DUMMYFUNCTION("""COMPUTED_VALUE"""),45617.87140046296)</f>
        <v>45617.8714</v>
      </c>
      <c r="H2598" s="24" t="str">
        <f>IFERROR(VLOOKUP(B2598,material!A:D,3,0),"")</f>
        <v>3.1</v>
      </c>
    </row>
    <row r="2599" ht="11.25" customHeight="1">
      <c r="A2599" s="21" t="str">
        <f>IFERROR(__xludf.DUMMYFUNCTION("""COMPUTED_VALUE"""),"TERMINAL DOCSIS 3.1 WIFI HI3120")</f>
        <v>TERMINAL DOCSIS 3.1 WIFI HI3120</v>
      </c>
      <c r="B2599" s="22">
        <f>IFERROR(__xludf.DUMMYFUNCTION("""COMPUTED_VALUE"""),4.1001518E7)</f>
        <v>41001518</v>
      </c>
      <c r="C2599" s="21" t="str">
        <f>IFERROR(__xludf.DUMMYFUNCTION("""COMPUTED_VALUE"""),"104121340710")</f>
        <v>104121340710</v>
      </c>
      <c r="D2599" s="21" t="str">
        <f>IFERROR(__xludf.DUMMYFUNCTION("""COMPUTED_VALUE"""),"DIGITEC TECNOLOGIA DIGITAL E REPRES")</f>
        <v>DIGITEC TECNOLOGIA DIGITAL E REPRES</v>
      </c>
      <c r="E2599" s="21">
        <f>IFERROR(__xludf.DUMMYFUNCTION("""COMPUTED_VALUE"""),145359.0)</f>
        <v>145359</v>
      </c>
      <c r="F2599" s="21" t="str">
        <f>IFERROR(__xludf.DUMMYFUNCTION("""COMPUTED_VALUE"""),"TRANSITO REVERSA")</f>
        <v>TRANSITO REVERSA</v>
      </c>
      <c r="G2599" s="23">
        <f>IFERROR(__xludf.DUMMYFUNCTION("""COMPUTED_VALUE"""),45633.0033912037)</f>
        <v>45633.00339</v>
      </c>
      <c r="H2599" s="24" t="str">
        <f>IFERROR(VLOOKUP(B2599,material!A:D,3,0),"")</f>
        <v>3.1</v>
      </c>
    </row>
    <row r="2600" ht="11.25" customHeight="1">
      <c r="A2600" s="21" t="str">
        <f>IFERROR(__xludf.DUMMYFUNCTION("""COMPUTED_VALUE"""),"TERMINAL DOCSIS 3.1 WIFI HI3120")</f>
        <v>TERMINAL DOCSIS 3.1 WIFI HI3120</v>
      </c>
      <c r="B2600" s="22">
        <f>IFERROR(__xludf.DUMMYFUNCTION("""COMPUTED_VALUE"""),4.1001518E7)</f>
        <v>41001518</v>
      </c>
      <c r="C2600" s="21" t="str">
        <f>IFERROR(__xludf.DUMMYFUNCTION("""COMPUTED_VALUE"""),"10412120DFD0")</f>
        <v>10412120DFD0</v>
      </c>
      <c r="D2600" s="21" t="str">
        <f>IFERROR(__xludf.DUMMYFUNCTION("""COMPUTED_VALUE"""),"DIGITEC TECNOLOGIA DIGITAL E REPRES")</f>
        <v>DIGITEC TECNOLOGIA DIGITAL E REPRES</v>
      </c>
      <c r="E2600" s="21">
        <f>IFERROR(__xludf.DUMMYFUNCTION("""COMPUTED_VALUE"""),145359.0)</f>
        <v>145359</v>
      </c>
      <c r="F2600" s="21" t="str">
        <f>IFERROR(__xludf.DUMMYFUNCTION("""COMPUTED_VALUE"""),"TRANSITO REVERSA")</f>
        <v>TRANSITO REVERSA</v>
      </c>
      <c r="G2600" s="23">
        <f>IFERROR(__xludf.DUMMYFUNCTION("""COMPUTED_VALUE"""),45617.87137731482)</f>
        <v>45617.87138</v>
      </c>
      <c r="H2600" s="24" t="str">
        <f>IFERROR(VLOOKUP(B2600,material!A:D,3,0),"")</f>
        <v>3.1</v>
      </c>
    </row>
    <row r="2601" ht="11.25" customHeight="1">
      <c r="A2601" s="21" t="str">
        <f>IFERROR(__xludf.DUMMYFUNCTION("""COMPUTED_VALUE"""),"TERMINAL DOCSIS 3.1 WIFI HI3120")</f>
        <v>TERMINAL DOCSIS 3.1 WIFI HI3120</v>
      </c>
      <c r="B2601" s="22">
        <f>IFERROR(__xludf.DUMMYFUNCTION("""COMPUTED_VALUE"""),4.1001518E7)</f>
        <v>41001518</v>
      </c>
      <c r="C2601" s="21" t="str">
        <f>IFERROR(__xludf.DUMMYFUNCTION("""COMPUTED_VALUE"""),"104121346C60")</f>
        <v>104121346C60</v>
      </c>
      <c r="D2601" s="21" t="str">
        <f>IFERROR(__xludf.DUMMYFUNCTION("""COMPUTED_VALUE"""),"DIGITEC TECNOLOGIA DIGITAL E REPRES")</f>
        <v>DIGITEC TECNOLOGIA DIGITAL E REPRES</v>
      </c>
      <c r="E2601" s="21">
        <f>IFERROR(__xludf.DUMMYFUNCTION("""COMPUTED_VALUE"""),145359.0)</f>
        <v>145359</v>
      </c>
      <c r="F2601" s="21" t="str">
        <f>IFERROR(__xludf.DUMMYFUNCTION("""COMPUTED_VALUE"""),"TRANSITO REVERSA")</f>
        <v>TRANSITO REVERSA</v>
      </c>
      <c r="G2601" s="23">
        <f>IFERROR(__xludf.DUMMYFUNCTION("""COMPUTED_VALUE"""),45638.52111111111)</f>
        <v>45638.52111</v>
      </c>
      <c r="H2601" s="24" t="str">
        <f>IFERROR(VLOOKUP(B2601,material!A:D,3,0),"")</f>
        <v>3.1</v>
      </c>
    </row>
    <row r="2602" ht="11.25" customHeight="1">
      <c r="A2602" s="21" t="str">
        <f>IFERROR(__xludf.DUMMYFUNCTION("""COMPUTED_VALUE"""),"TERMINAL DOCSIS 3.1 WIFI HI3120")</f>
        <v>TERMINAL DOCSIS 3.1 WIFI HI3120</v>
      </c>
      <c r="B2602" s="22">
        <f>IFERROR(__xludf.DUMMYFUNCTION("""COMPUTED_VALUE"""),4.1001518E7)</f>
        <v>41001518</v>
      </c>
      <c r="C2602" s="21" t="str">
        <f>IFERROR(__xludf.DUMMYFUNCTION("""COMPUTED_VALUE"""),"10412133A710")</f>
        <v>10412133A710</v>
      </c>
      <c r="D2602" s="21" t="str">
        <f>IFERROR(__xludf.DUMMYFUNCTION("""COMPUTED_VALUE"""),"DIGITEC TECNOLOGIA DIGITAL E REPRES")</f>
        <v>DIGITEC TECNOLOGIA DIGITAL E REPRES</v>
      </c>
      <c r="E2602" s="21">
        <f>IFERROR(__xludf.DUMMYFUNCTION("""COMPUTED_VALUE"""),145359.0)</f>
        <v>145359</v>
      </c>
      <c r="F2602" s="21" t="str">
        <f>IFERROR(__xludf.DUMMYFUNCTION("""COMPUTED_VALUE"""),"TRANSITO REVERSA")</f>
        <v>TRANSITO REVERSA</v>
      </c>
      <c r="G2602" s="23">
        <f>IFERROR(__xludf.DUMMYFUNCTION("""COMPUTED_VALUE"""),45610.73042824074)</f>
        <v>45610.73043</v>
      </c>
      <c r="H2602" s="24" t="str">
        <f>IFERROR(VLOOKUP(B2602,material!A:D,3,0),"")</f>
        <v>3.1</v>
      </c>
    </row>
    <row r="2603" ht="11.25" customHeight="1">
      <c r="A2603" s="21" t="str">
        <f>IFERROR(__xludf.DUMMYFUNCTION("""COMPUTED_VALUE"""),"TERMINAL DOCSIS 3.1 WIFI HI3120")</f>
        <v>TERMINAL DOCSIS 3.1 WIFI HI3120</v>
      </c>
      <c r="B2603" s="22">
        <f>IFERROR(__xludf.DUMMYFUNCTION("""COMPUTED_VALUE"""),4.1001518E7)</f>
        <v>41001518</v>
      </c>
      <c r="C2603" s="21" t="str">
        <f>IFERROR(__xludf.DUMMYFUNCTION("""COMPUTED_VALUE"""),"104121251A70")</f>
        <v>104121251A70</v>
      </c>
      <c r="D2603" s="21" t="str">
        <f>IFERROR(__xludf.DUMMYFUNCTION("""COMPUTED_VALUE"""),"DIGITEC TECNOLOGIA DIGITAL E REPRES")</f>
        <v>DIGITEC TECNOLOGIA DIGITAL E REPRES</v>
      </c>
      <c r="E2603" s="21">
        <f>IFERROR(__xludf.DUMMYFUNCTION("""COMPUTED_VALUE"""),145359.0)</f>
        <v>145359</v>
      </c>
      <c r="F2603" s="21" t="str">
        <f>IFERROR(__xludf.DUMMYFUNCTION("""COMPUTED_VALUE"""),"TRANSITO REVERSA")</f>
        <v>TRANSITO REVERSA</v>
      </c>
      <c r="G2603" s="23">
        <f>IFERROR(__xludf.DUMMYFUNCTION("""COMPUTED_VALUE"""),45610.730416666665)</f>
        <v>45610.73042</v>
      </c>
      <c r="H2603" s="24" t="str">
        <f>IFERROR(VLOOKUP(B2603,material!A:D,3,0),"")</f>
        <v>3.1</v>
      </c>
    </row>
    <row r="2604" ht="11.25" customHeight="1">
      <c r="A2604" s="21" t="str">
        <f>IFERROR(__xludf.DUMMYFUNCTION("""COMPUTED_VALUE"""),"TERMINAL DOCSIS 3.1 WIFI HI3120")</f>
        <v>TERMINAL DOCSIS 3.1 WIFI HI3120</v>
      </c>
      <c r="B2604" s="22">
        <f>IFERROR(__xludf.DUMMYFUNCTION("""COMPUTED_VALUE"""),4.1001518E7)</f>
        <v>41001518</v>
      </c>
      <c r="C2604" s="21" t="str">
        <f>IFERROR(__xludf.DUMMYFUNCTION("""COMPUTED_VALUE"""),"10412123B0D0")</f>
        <v>10412123B0D0</v>
      </c>
      <c r="D2604" s="21" t="str">
        <f>IFERROR(__xludf.DUMMYFUNCTION("""COMPUTED_VALUE"""),"DIGITEC TECNOLOGIA DIGITAL E REPRES")</f>
        <v>DIGITEC TECNOLOGIA DIGITAL E REPRES</v>
      </c>
      <c r="E2604" s="21">
        <f>IFERROR(__xludf.DUMMYFUNCTION("""COMPUTED_VALUE"""),145359.0)</f>
        <v>145359</v>
      </c>
      <c r="F2604" s="21" t="str">
        <f>IFERROR(__xludf.DUMMYFUNCTION("""COMPUTED_VALUE"""),"TRANSITO REVERSA")</f>
        <v>TRANSITO REVERSA</v>
      </c>
      <c r="G2604" s="23">
        <f>IFERROR(__xludf.DUMMYFUNCTION("""COMPUTED_VALUE"""),45610.730416666665)</f>
        <v>45610.73042</v>
      </c>
      <c r="H2604" s="24" t="str">
        <f>IFERROR(VLOOKUP(B2604,material!A:D,3,0),"")</f>
        <v>3.1</v>
      </c>
    </row>
    <row r="2605" ht="11.25" customHeight="1">
      <c r="A2605" s="21" t="str">
        <f>IFERROR(__xludf.DUMMYFUNCTION("""COMPUTED_VALUE"""),"TERMINAL DOCSIS 3.1 WIFI HI3120")</f>
        <v>TERMINAL DOCSIS 3.1 WIFI HI3120</v>
      </c>
      <c r="B2605" s="22">
        <f>IFERROR(__xludf.DUMMYFUNCTION("""COMPUTED_VALUE"""),4.1001518E7)</f>
        <v>41001518</v>
      </c>
      <c r="C2605" s="21" t="str">
        <f>IFERROR(__xludf.DUMMYFUNCTION("""COMPUTED_VALUE"""),"1041210F9A30")</f>
        <v>1041210F9A30</v>
      </c>
      <c r="D2605" s="21" t="str">
        <f>IFERROR(__xludf.DUMMYFUNCTION("""COMPUTED_VALUE"""),"DIGITEC TECNOLOGIA DIGITAL E REPRES")</f>
        <v>DIGITEC TECNOLOGIA DIGITAL E REPRES</v>
      </c>
      <c r="E2605" s="21">
        <f>IFERROR(__xludf.DUMMYFUNCTION("""COMPUTED_VALUE"""),145359.0)</f>
        <v>145359</v>
      </c>
      <c r="F2605" s="21" t="str">
        <f>IFERROR(__xludf.DUMMYFUNCTION("""COMPUTED_VALUE"""),"TRANSITO REVERSA")</f>
        <v>TRANSITO REVERSA</v>
      </c>
      <c r="G2605" s="23">
        <f>IFERROR(__xludf.DUMMYFUNCTION("""COMPUTED_VALUE"""),45617.87142361111)</f>
        <v>45617.87142</v>
      </c>
      <c r="H2605" s="24" t="str">
        <f>IFERROR(VLOOKUP(B2605,material!A:D,3,0),"")</f>
        <v>3.1</v>
      </c>
    </row>
    <row r="2606" ht="11.25" customHeight="1">
      <c r="A2606" s="21" t="str">
        <f>IFERROR(__xludf.DUMMYFUNCTION("""COMPUTED_VALUE"""),"TERMINAL DOCSIS 3.1 WIFI HI3120")</f>
        <v>TERMINAL DOCSIS 3.1 WIFI HI3120</v>
      </c>
      <c r="B2606" s="22">
        <f>IFERROR(__xludf.DUMMYFUNCTION("""COMPUTED_VALUE"""),4.1001518E7)</f>
        <v>41001518</v>
      </c>
      <c r="C2606" s="21" t="str">
        <f>IFERROR(__xludf.DUMMYFUNCTION("""COMPUTED_VALUE"""),"1041210A8AE0")</f>
        <v>1041210A8AE0</v>
      </c>
      <c r="D2606" s="21" t="str">
        <f>IFERROR(__xludf.DUMMYFUNCTION("""COMPUTED_VALUE"""),"DIGITEC TECNOLOGIA DIGITAL E REPRES")</f>
        <v>DIGITEC TECNOLOGIA DIGITAL E REPRES</v>
      </c>
      <c r="E2606" s="21">
        <f>IFERROR(__xludf.DUMMYFUNCTION("""COMPUTED_VALUE"""),145359.0)</f>
        <v>145359</v>
      </c>
      <c r="F2606" s="21" t="str">
        <f>IFERROR(__xludf.DUMMYFUNCTION("""COMPUTED_VALUE"""),"TRANSITO REVERSA")</f>
        <v>TRANSITO REVERSA</v>
      </c>
      <c r="G2606" s="23">
        <f>IFERROR(__xludf.DUMMYFUNCTION("""COMPUTED_VALUE"""),45633.003958333335)</f>
        <v>45633.00396</v>
      </c>
      <c r="H2606" s="24" t="str">
        <f>IFERROR(VLOOKUP(B2606,material!A:D,3,0),"")</f>
        <v>3.1</v>
      </c>
    </row>
    <row r="2607" ht="11.25" customHeight="1">
      <c r="A2607" s="21" t="str">
        <f>IFERROR(__xludf.DUMMYFUNCTION("""COMPUTED_VALUE"""),"TERMINAL DOCSIS 3.1 WIFI HI3120")</f>
        <v>TERMINAL DOCSIS 3.1 WIFI HI3120</v>
      </c>
      <c r="B2607" s="22">
        <f>IFERROR(__xludf.DUMMYFUNCTION("""COMPUTED_VALUE"""),4.1001518E7)</f>
        <v>41001518</v>
      </c>
      <c r="C2607" s="21" t="str">
        <f>IFERROR(__xludf.DUMMYFUNCTION("""COMPUTED_VALUE"""),"1041210AC290")</f>
        <v>1041210AC290</v>
      </c>
      <c r="D2607" s="21" t="str">
        <f>IFERROR(__xludf.DUMMYFUNCTION("""COMPUTED_VALUE"""),"DIGITEC TECNOLOGIA DIGITAL E REPRES")</f>
        <v>DIGITEC TECNOLOGIA DIGITAL E REPRES</v>
      </c>
      <c r="E2607" s="21">
        <f>IFERROR(__xludf.DUMMYFUNCTION("""COMPUTED_VALUE"""),145359.0)</f>
        <v>145359</v>
      </c>
      <c r="F2607" s="21" t="str">
        <f>IFERROR(__xludf.DUMMYFUNCTION("""COMPUTED_VALUE"""),"TRANSITO REVERSA")</f>
        <v>TRANSITO REVERSA</v>
      </c>
      <c r="G2607" s="23">
        <f>IFERROR(__xludf.DUMMYFUNCTION("""COMPUTED_VALUE"""),45610.730416666665)</f>
        <v>45610.73042</v>
      </c>
      <c r="H2607" s="24" t="str">
        <f>IFERROR(VLOOKUP(B2607,material!A:D,3,0),"")</f>
        <v>3.1</v>
      </c>
    </row>
    <row r="2608" ht="11.25" customHeight="1">
      <c r="A2608" s="21" t="str">
        <f>IFERROR(__xludf.DUMMYFUNCTION("""COMPUTED_VALUE"""),"TERMINAL DOCSIS 3.1 WIFI HI3120")</f>
        <v>TERMINAL DOCSIS 3.1 WIFI HI3120</v>
      </c>
      <c r="B2608" s="22">
        <f>IFERROR(__xludf.DUMMYFUNCTION("""COMPUTED_VALUE"""),4.1001518E7)</f>
        <v>41001518</v>
      </c>
      <c r="C2608" s="21" t="str">
        <f>IFERROR(__xludf.DUMMYFUNCTION("""COMPUTED_VALUE"""),"1041210B13E0")</f>
        <v>1041210B13E0</v>
      </c>
      <c r="D2608" s="21" t="str">
        <f>IFERROR(__xludf.DUMMYFUNCTION("""COMPUTED_VALUE"""),"DIGITEC TECNOLOGIA DIGITAL E REPRES")</f>
        <v>DIGITEC TECNOLOGIA DIGITAL E REPRES</v>
      </c>
      <c r="E2608" s="21">
        <f>IFERROR(__xludf.DUMMYFUNCTION("""COMPUTED_VALUE"""),145359.0)</f>
        <v>145359</v>
      </c>
      <c r="F2608" s="21" t="str">
        <f>IFERROR(__xludf.DUMMYFUNCTION("""COMPUTED_VALUE"""),"TRANSITO REVERSA")</f>
        <v>TRANSITO REVERSA</v>
      </c>
      <c r="G2608" s="23">
        <f>IFERROR(__xludf.DUMMYFUNCTION("""COMPUTED_VALUE"""),45633.003958333335)</f>
        <v>45633.00396</v>
      </c>
      <c r="H2608" s="24" t="str">
        <f>IFERROR(VLOOKUP(B2608,material!A:D,3,0),"")</f>
        <v>3.1</v>
      </c>
    </row>
    <row r="2609" ht="11.25" customHeight="1">
      <c r="A2609" s="21" t="str">
        <f>IFERROR(__xludf.DUMMYFUNCTION("""COMPUTED_VALUE"""),"TERMINAL DOCSIS 3.1 WIFI HI3120")</f>
        <v>TERMINAL DOCSIS 3.1 WIFI HI3120</v>
      </c>
      <c r="B2609" s="22">
        <f>IFERROR(__xludf.DUMMYFUNCTION("""COMPUTED_VALUE"""),4.1001518E7)</f>
        <v>41001518</v>
      </c>
      <c r="C2609" s="21" t="str">
        <f>IFERROR(__xludf.DUMMYFUNCTION("""COMPUTED_VALUE"""),"1041210A5740")</f>
        <v>1041210A5740</v>
      </c>
      <c r="D2609" s="21" t="str">
        <f>IFERROR(__xludf.DUMMYFUNCTION("""COMPUTED_VALUE"""),"DIGITEC TECNOLOGIA DIGITAL E REPRES")</f>
        <v>DIGITEC TECNOLOGIA DIGITAL E REPRES</v>
      </c>
      <c r="E2609" s="21">
        <f>IFERROR(__xludf.DUMMYFUNCTION("""COMPUTED_VALUE"""),145359.0)</f>
        <v>145359</v>
      </c>
      <c r="F2609" s="21" t="str">
        <f>IFERROR(__xludf.DUMMYFUNCTION("""COMPUTED_VALUE"""),"TRANSITO REVERSA")</f>
        <v>TRANSITO REVERSA</v>
      </c>
      <c r="G2609" s="23">
        <f>IFERROR(__xludf.DUMMYFUNCTION("""COMPUTED_VALUE"""),45633.00340277777)</f>
        <v>45633.0034</v>
      </c>
      <c r="H2609" s="24" t="str">
        <f>IFERROR(VLOOKUP(B2609,material!A:D,3,0),"")</f>
        <v>3.1</v>
      </c>
    </row>
    <row r="2610" ht="11.25" customHeight="1">
      <c r="A2610" s="21" t="str">
        <f>IFERROR(__xludf.DUMMYFUNCTION("""COMPUTED_VALUE"""),"TERMINAL DOCSIS 3.1 WIFI HI3120")</f>
        <v>TERMINAL DOCSIS 3.1 WIFI HI3120</v>
      </c>
      <c r="B2610" s="22">
        <f>IFERROR(__xludf.DUMMYFUNCTION("""COMPUTED_VALUE"""),4.1001518E7)</f>
        <v>41001518</v>
      </c>
      <c r="C2610" s="21" t="str">
        <f>IFERROR(__xludf.DUMMYFUNCTION("""COMPUTED_VALUE"""),"1041210BC270")</f>
        <v>1041210BC270</v>
      </c>
      <c r="D2610" s="21" t="str">
        <f>IFERROR(__xludf.DUMMYFUNCTION("""COMPUTED_VALUE"""),"DIGITEC TECNOLOGIA DIGITAL E REPRES")</f>
        <v>DIGITEC TECNOLOGIA DIGITAL E REPRES</v>
      </c>
      <c r="E2610" s="21">
        <f>IFERROR(__xludf.DUMMYFUNCTION("""COMPUTED_VALUE"""),145359.0)</f>
        <v>145359</v>
      </c>
      <c r="F2610" s="21" t="str">
        <f>IFERROR(__xludf.DUMMYFUNCTION("""COMPUTED_VALUE"""),"TRANSITO REVERSA")</f>
        <v>TRANSITO REVERSA</v>
      </c>
      <c r="G2610" s="23">
        <f>IFERROR(__xludf.DUMMYFUNCTION("""COMPUTED_VALUE"""),45638.52111111111)</f>
        <v>45638.52111</v>
      </c>
      <c r="H2610" s="24" t="str">
        <f>IFERROR(VLOOKUP(B2610,material!A:D,3,0),"")</f>
        <v>3.1</v>
      </c>
    </row>
    <row r="2611" ht="11.25" customHeight="1">
      <c r="A2611" s="21" t="str">
        <f>IFERROR(__xludf.DUMMYFUNCTION("""COMPUTED_VALUE"""),"TERMINAL DOCSIS 3.1 WIFI HI3120")</f>
        <v>TERMINAL DOCSIS 3.1 WIFI HI3120</v>
      </c>
      <c r="B2611" s="22">
        <f>IFERROR(__xludf.DUMMYFUNCTION("""COMPUTED_VALUE"""),4.1001518E7)</f>
        <v>41001518</v>
      </c>
      <c r="C2611" s="21" t="str">
        <f>IFERROR(__xludf.DUMMYFUNCTION("""COMPUTED_VALUE"""),"1041210F45A0")</f>
        <v>1041210F45A0</v>
      </c>
      <c r="D2611" s="21" t="str">
        <f>IFERROR(__xludf.DUMMYFUNCTION("""COMPUTED_VALUE"""),"DIGITEC TECNOLOGIA DIGITAL E REPRES")</f>
        <v>DIGITEC TECNOLOGIA DIGITAL E REPRES</v>
      </c>
      <c r="E2611" s="21">
        <f>IFERROR(__xludf.DUMMYFUNCTION("""COMPUTED_VALUE"""),145359.0)</f>
        <v>145359</v>
      </c>
      <c r="F2611" s="21" t="str">
        <f>IFERROR(__xludf.DUMMYFUNCTION("""COMPUTED_VALUE"""),"TRANSITO REVERSA")</f>
        <v>TRANSITO REVERSA</v>
      </c>
      <c r="G2611" s="23">
        <f>IFERROR(__xludf.DUMMYFUNCTION("""COMPUTED_VALUE"""),45610.73042824074)</f>
        <v>45610.73043</v>
      </c>
      <c r="H2611" s="24" t="str">
        <f>IFERROR(VLOOKUP(B2611,material!A:D,3,0),"")</f>
        <v>3.1</v>
      </c>
    </row>
    <row r="2612" ht="11.25" customHeight="1">
      <c r="A2612" s="21" t="str">
        <f>IFERROR(__xludf.DUMMYFUNCTION("""COMPUTED_VALUE"""),"TERMINAL DOCSIS 3.1 WIFI HI3120")</f>
        <v>TERMINAL DOCSIS 3.1 WIFI HI3120</v>
      </c>
      <c r="B2612" s="22">
        <f>IFERROR(__xludf.DUMMYFUNCTION("""COMPUTED_VALUE"""),4.1001518E7)</f>
        <v>41001518</v>
      </c>
      <c r="C2612" s="21" t="str">
        <f>IFERROR(__xludf.DUMMYFUNCTION("""COMPUTED_VALUE"""),"1041210FE290")</f>
        <v>1041210FE290</v>
      </c>
      <c r="D2612" s="21" t="str">
        <f>IFERROR(__xludf.DUMMYFUNCTION("""COMPUTED_VALUE"""),"DIGITEC TECNOLOGIA DIGITAL E REPRES")</f>
        <v>DIGITEC TECNOLOGIA DIGITAL E REPRES</v>
      </c>
      <c r="E2612" s="21">
        <f>IFERROR(__xludf.DUMMYFUNCTION("""COMPUTED_VALUE"""),145359.0)</f>
        <v>145359</v>
      </c>
      <c r="F2612" s="21" t="str">
        <f>IFERROR(__xludf.DUMMYFUNCTION("""COMPUTED_VALUE"""),"TRANSITO REVERSA")</f>
        <v>TRANSITO REVERSA</v>
      </c>
      <c r="G2612" s="23">
        <f>IFERROR(__xludf.DUMMYFUNCTION("""COMPUTED_VALUE"""),45610.730416666665)</f>
        <v>45610.73042</v>
      </c>
      <c r="H2612" s="24" t="str">
        <f>IFERROR(VLOOKUP(B2612,material!A:D,3,0),"")</f>
        <v>3.1</v>
      </c>
    </row>
    <row r="2613" ht="11.25" customHeight="1">
      <c r="A2613" s="21" t="str">
        <f>IFERROR(__xludf.DUMMYFUNCTION("""COMPUTED_VALUE"""),"MODEM VOIP GPON WIFI 3.1 HG8245 6T V2")</f>
        <v>MODEM VOIP GPON WIFI 3.1 HG8245 6T V2</v>
      </c>
      <c r="B2613" s="22">
        <f>IFERROR(__xludf.DUMMYFUNCTION("""COMPUTED_VALUE"""),4.1001516E7)</f>
        <v>41001516</v>
      </c>
      <c r="C2613" s="21" t="str">
        <f>IFERROR(__xludf.DUMMYFUNCTION("""COMPUTED_VALUE"""),"C0BC9A4AF717")</f>
        <v>C0BC9A4AF717</v>
      </c>
      <c r="D2613" s="21" t="str">
        <f>IFERROR(__xludf.DUMMYFUNCTION("""COMPUTED_VALUE"""),"DIGITEC TECNOLOGIA DIGITAL E REPRES")</f>
        <v>DIGITEC TECNOLOGIA DIGITAL E REPRES</v>
      </c>
      <c r="E2613" s="21">
        <f>IFERROR(__xludf.DUMMYFUNCTION("""COMPUTED_VALUE"""),145359.0)</f>
        <v>145359</v>
      </c>
      <c r="F2613" s="21" t="str">
        <f>IFERROR(__xludf.DUMMYFUNCTION("""COMPUTED_VALUE"""),"TRANSITO REVERSA")</f>
        <v>TRANSITO REVERSA</v>
      </c>
      <c r="G2613" s="23">
        <f>IFERROR(__xludf.DUMMYFUNCTION("""COMPUTED_VALUE"""),45638.52113425926)</f>
        <v>45638.52113</v>
      </c>
      <c r="H2613" s="24" t="str">
        <f>IFERROR(VLOOKUP(B2613,material!A:D,3,0),"")</f>
        <v>ONT</v>
      </c>
    </row>
    <row r="2614" ht="11.25" customHeight="1">
      <c r="A2614" s="21" t="str">
        <f>IFERROR(__xludf.DUMMYFUNCTION("""COMPUTED_VALUE"""),"MODEM VOIP GPON WIFI 3.1 HG8245 6T V2")</f>
        <v>MODEM VOIP GPON WIFI 3.1 HG8245 6T V2</v>
      </c>
      <c r="B2614" s="22">
        <f>IFERROR(__xludf.DUMMYFUNCTION("""COMPUTED_VALUE"""),4.1001516E7)</f>
        <v>41001516</v>
      </c>
      <c r="C2614" s="21" t="str">
        <f>IFERROR(__xludf.DUMMYFUNCTION("""COMPUTED_VALUE"""),"04E795981611")</f>
        <v>04E795981611</v>
      </c>
      <c r="D2614" s="21" t="str">
        <f>IFERROR(__xludf.DUMMYFUNCTION("""COMPUTED_VALUE"""),"DIGITEC TECNOLOGIA DIGITAL E REPRES")</f>
        <v>DIGITEC TECNOLOGIA DIGITAL E REPRES</v>
      </c>
      <c r="E2614" s="21">
        <f>IFERROR(__xludf.DUMMYFUNCTION("""COMPUTED_VALUE"""),145359.0)</f>
        <v>145359</v>
      </c>
      <c r="F2614" s="21" t="str">
        <f>IFERROR(__xludf.DUMMYFUNCTION("""COMPUTED_VALUE"""),"TRANSITO REVERSA")</f>
        <v>TRANSITO REVERSA</v>
      </c>
      <c r="G2614" s="23">
        <f>IFERROR(__xludf.DUMMYFUNCTION("""COMPUTED_VALUE"""),45638.52111111111)</f>
        <v>45638.52111</v>
      </c>
      <c r="H2614" s="24" t="str">
        <f>IFERROR(VLOOKUP(B2614,material!A:D,3,0),"")</f>
        <v>ONT</v>
      </c>
    </row>
    <row r="2615" ht="11.25" customHeight="1">
      <c r="A2615" s="21" t="str">
        <f>IFERROR(__xludf.DUMMYFUNCTION("""COMPUTED_VALUE"""),"MODEM VOIP EMTA WIFI 3.1 TC3102 32X8")</f>
        <v>MODEM VOIP EMTA WIFI 3.1 TC3102 32X8</v>
      </c>
      <c r="B2615" s="22">
        <f>IFERROR(__xludf.DUMMYFUNCTION("""COMPUTED_VALUE"""),4.1001513E7)</f>
        <v>41001513</v>
      </c>
      <c r="C2615" s="21" t="str">
        <f>IFERROR(__xludf.DUMMYFUNCTION("""COMPUTED_VALUE"""),"08A7C06C7394")</f>
        <v>08A7C06C7394</v>
      </c>
      <c r="D2615" s="21" t="str">
        <f>IFERROR(__xludf.DUMMYFUNCTION("""COMPUTED_VALUE"""),"DIGITEC TECNOLOGIA DIGITAL E REPRES")</f>
        <v>DIGITEC TECNOLOGIA DIGITAL E REPRES</v>
      </c>
      <c r="E2615" s="21">
        <f>IFERROR(__xludf.DUMMYFUNCTION("""COMPUTED_VALUE"""),145359.0)</f>
        <v>145359</v>
      </c>
      <c r="F2615" s="21" t="str">
        <f>IFERROR(__xludf.DUMMYFUNCTION("""COMPUTED_VALUE"""),"TRANSITO REVERSA")</f>
        <v>TRANSITO REVERSA</v>
      </c>
      <c r="G2615" s="23">
        <f>IFERROR(__xludf.DUMMYFUNCTION("""COMPUTED_VALUE"""),45610.73042824074)</f>
        <v>45610.73043</v>
      </c>
      <c r="H2615" s="24" t="str">
        <f>IFERROR(VLOOKUP(B2615,material!A:D,3,0),"")</f>
        <v>3.1</v>
      </c>
    </row>
    <row r="2616" ht="11.25" customHeight="1">
      <c r="A2616" s="21" t="str">
        <f>IFERROR(__xludf.DUMMYFUNCTION("""COMPUTED_VALUE"""),"MODEM VOIP EMTA WIFI 3.1 TC3102 32X8")</f>
        <v>MODEM VOIP EMTA WIFI 3.1 TC3102 32X8</v>
      </c>
      <c r="B2616" s="22">
        <f>IFERROR(__xludf.DUMMYFUNCTION("""COMPUTED_VALUE"""),4.1001513E7)</f>
        <v>41001513</v>
      </c>
      <c r="C2616" s="21" t="str">
        <f>IFERROR(__xludf.DUMMYFUNCTION("""COMPUTED_VALUE"""),"08A7C04D016C")</f>
        <v>08A7C04D016C</v>
      </c>
      <c r="D2616" s="21" t="str">
        <f>IFERROR(__xludf.DUMMYFUNCTION("""COMPUTED_VALUE"""),"DIGITEC TECNOLOGIA DIGITAL E REPRES")</f>
        <v>DIGITEC TECNOLOGIA DIGITAL E REPRES</v>
      </c>
      <c r="E2616" s="21">
        <f>IFERROR(__xludf.DUMMYFUNCTION("""COMPUTED_VALUE"""),145359.0)</f>
        <v>145359</v>
      </c>
      <c r="F2616" s="21" t="str">
        <f>IFERROR(__xludf.DUMMYFUNCTION("""COMPUTED_VALUE"""),"TRANSITO REVERSA")</f>
        <v>TRANSITO REVERSA</v>
      </c>
      <c r="G2616" s="23">
        <f>IFERROR(__xludf.DUMMYFUNCTION("""COMPUTED_VALUE"""),45617.87138888889)</f>
        <v>45617.87139</v>
      </c>
      <c r="H2616" s="24" t="str">
        <f>IFERROR(VLOOKUP(B2616,material!A:D,3,0),"")</f>
        <v>3.1</v>
      </c>
    </row>
    <row r="2617" ht="11.25" customHeight="1">
      <c r="A2617" s="21" t="str">
        <f>IFERROR(__xludf.DUMMYFUNCTION("""COMPUTED_VALUE"""),"MODEM VOIP EMTA WIFI 3.1 TC3102 32X8")</f>
        <v>MODEM VOIP EMTA WIFI 3.1 TC3102 32X8</v>
      </c>
      <c r="B2617" s="22">
        <f>IFERROR(__xludf.DUMMYFUNCTION("""COMPUTED_VALUE"""),4.1001513E7)</f>
        <v>41001513</v>
      </c>
      <c r="C2617" s="21" t="str">
        <f>IFERROR(__xludf.DUMMYFUNCTION("""COMPUTED_VALUE"""),"484BD4B59EBC")</f>
        <v>484BD4B59EBC</v>
      </c>
      <c r="D2617" s="21" t="str">
        <f>IFERROR(__xludf.DUMMYFUNCTION("""COMPUTED_VALUE"""),"DIGITEC TECNOLOGIA DIGITAL E REPRES")</f>
        <v>DIGITEC TECNOLOGIA DIGITAL E REPRES</v>
      </c>
      <c r="E2617" s="21">
        <f>IFERROR(__xludf.DUMMYFUNCTION("""COMPUTED_VALUE"""),145359.0)</f>
        <v>145359</v>
      </c>
      <c r="F2617" s="21" t="str">
        <f>IFERROR(__xludf.DUMMYFUNCTION("""COMPUTED_VALUE"""),"TRANSITO REVERSA")</f>
        <v>TRANSITO REVERSA</v>
      </c>
      <c r="G2617" s="23">
        <f>IFERROR(__xludf.DUMMYFUNCTION("""COMPUTED_VALUE"""),45638.52061342592)</f>
        <v>45638.52061</v>
      </c>
      <c r="H2617" s="24" t="str">
        <f>IFERROR(VLOOKUP(B2617,material!A:D,3,0),"")</f>
        <v>3.1</v>
      </c>
    </row>
    <row r="2618" ht="11.25" customHeight="1">
      <c r="A2618" s="21" t="str">
        <f>IFERROR(__xludf.DUMMYFUNCTION("""COMPUTED_VALUE"""),"MODEM VOIP EMTA WIFI 3.1 TC3102 32X8")</f>
        <v>MODEM VOIP EMTA WIFI 3.1 TC3102 32X8</v>
      </c>
      <c r="B2618" s="22">
        <f>IFERROR(__xludf.DUMMYFUNCTION("""COMPUTED_VALUE"""),4.1001513E7)</f>
        <v>41001513</v>
      </c>
      <c r="C2618" s="21" t="str">
        <f>IFERROR(__xludf.DUMMYFUNCTION("""COMPUTED_VALUE"""),"08A7C0716804")</f>
        <v>08A7C0716804</v>
      </c>
      <c r="D2618" s="21" t="str">
        <f>IFERROR(__xludf.DUMMYFUNCTION("""COMPUTED_VALUE"""),"DIGITEC TECNOLOGIA DIGITAL E REPRES")</f>
        <v>DIGITEC TECNOLOGIA DIGITAL E REPRES</v>
      </c>
      <c r="E2618" s="21">
        <f>IFERROR(__xludf.DUMMYFUNCTION("""COMPUTED_VALUE"""),145359.0)</f>
        <v>145359</v>
      </c>
      <c r="F2618" s="21" t="str">
        <f>IFERROR(__xludf.DUMMYFUNCTION("""COMPUTED_VALUE"""),"TRANSITO REVERSA")</f>
        <v>TRANSITO REVERSA</v>
      </c>
      <c r="G2618" s="23">
        <f>IFERROR(__xludf.DUMMYFUNCTION("""COMPUTED_VALUE"""),45633.00342592593)</f>
        <v>45633.00343</v>
      </c>
      <c r="H2618" s="24" t="str">
        <f>IFERROR(VLOOKUP(B2618,material!A:D,3,0),"")</f>
        <v>3.1</v>
      </c>
    </row>
    <row r="2619" ht="11.25" customHeight="1">
      <c r="A2619" s="21" t="str">
        <f>IFERROR(__xludf.DUMMYFUNCTION("""COMPUTED_VALUE"""),"MODEM VOIP EMTA WIFI 3.1 TC3102 32X8")</f>
        <v>MODEM VOIP EMTA WIFI 3.1 TC3102 32X8</v>
      </c>
      <c r="B2619" s="22">
        <f>IFERROR(__xludf.DUMMYFUNCTION("""COMPUTED_VALUE"""),4.1001513E7)</f>
        <v>41001513</v>
      </c>
      <c r="C2619" s="21" t="str">
        <f>IFERROR(__xludf.DUMMYFUNCTION("""COMPUTED_VALUE"""),"08A7C0504F24")</f>
        <v>08A7C0504F24</v>
      </c>
      <c r="D2619" s="21" t="str">
        <f>IFERROR(__xludf.DUMMYFUNCTION("""COMPUTED_VALUE"""),"DIGITEC TECNOLOGIA DIGITAL E REPRES")</f>
        <v>DIGITEC TECNOLOGIA DIGITAL E REPRES</v>
      </c>
      <c r="E2619" s="21">
        <f>IFERROR(__xludf.DUMMYFUNCTION("""COMPUTED_VALUE"""),145359.0)</f>
        <v>145359</v>
      </c>
      <c r="F2619" s="21" t="str">
        <f>IFERROR(__xludf.DUMMYFUNCTION("""COMPUTED_VALUE"""),"TRANSITO REVERSA")</f>
        <v>TRANSITO REVERSA</v>
      </c>
      <c r="G2619" s="23">
        <f>IFERROR(__xludf.DUMMYFUNCTION("""COMPUTED_VALUE"""),45626.298692129625)</f>
        <v>45626.29869</v>
      </c>
      <c r="H2619" s="24" t="str">
        <f>IFERROR(VLOOKUP(B2619,material!A:D,3,0),"")</f>
        <v>3.1</v>
      </c>
    </row>
    <row r="2620" ht="11.25" customHeight="1">
      <c r="A2620" s="21" t="str">
        <f>IFERROR(__xludf.DUMMYFUNCTION("""COMPUTED_VALUE"""),"MODEM VOIP EMTA WIFI 3.1 TC3102 32X8")</f>
        <v>MODEM VOIP EMTA WIFI 3.1 TC3102 32X8</v>
      </c>
      <c r="B2620" s="22">
        <f>IFERROR(__xludf.DUMMYFUNCTION("""COMPUTED_VALUE"""),4.1001513E7)</f>
        <v>41001513</v>
      </c>
      <c r="C2620" s="21" t="str">
        <f>IFERROR(__xludf.DUMMYFUNCTION("""COMPUTED_VALUE"""),"400FC17E2CB4")</f>
        <v>400FC17E2CB4</v>
      </c>
      <c r="D2620" s="21" t="str">
        <f>IFERROR(__xludf.DUMMYFUNCTION("""COMPUTED_VALUE"""),"DIGITEC TECNOLOGIA DIGITAL E REPRES")</f>
        <v>DIGITEC TECNOLOGIA DIGITAL E REPRES</v>
      </c>
      <c r="E2620" s="21">
        <f>IFERROR(__xludf.DUMMYFUNCTION("""COMPUTED_VALUE"""),145359.0)</f>
        <v>145359</v>
      </c>
      <c r="F2620" s="21" t="str">
        <f>IFERROR(__xludf.DUMMYFUNCTION("""COMPUTED_VALUE"""),"TRANSITO REVERSA")</f>
        <v>TRANSITO REVERSA</v>
      </c>
      <c r="G2620" s="23">
        <f>IFERROR(__xludf.DUMMYFUNCTION("""COMPUTED_VALUE"""),45626.298680555556)</f>
        <v>45626.29868</v>
      </c>
      <c r="H2620" s="24" t="str">
        <f>IFERROR(VLOOKUP(B2620,material!A:D,3,0),"")</f>
        <v>3.1</v>
      </c>
    </row>
    <row r="2621" ht="11.25" customHeight="1">
      <c r="A2621" s="21" t="str">
        <f>IFERROR(__xludf.DUMMYFUNCTION("""COMPUTED_VALUE"""),"MODEM VOIP EMTA WIFI 3.1 TC3102 32X8")</f>
        <v>MODEM VOIP EMTA WIFI 3.1 TC3102 32X8</v>
      </c>
      <c r="B2621" s="22">
        <f>IFERROR(__xludf.DUMMYFUNCTION("""COMPUTED_VALUE"""),4.1001513E7)</f>
        <v>41001513</v>
      </c>
      <c r="C2621" s="21" t="str">
        <f>IFERROR(__xludf.DUMMYFUNCTION("""COMPUTED_VALUE"""),"400FC18001BC")</f>
        <v>400FC18001BC</v>
      </c>
      <c r="D2621" s="21" t="str">
        <f>IFERROR(__xludf.DUMMYFUNCTION("""COMPUTED_VALUE"""),"DIGITEC TECNOLOGIA DIGITAL E REPRES")</f>
        <v>DIGITEC TECNOLOGIA DIGITAL E REPRES</v>
      </c>
      <c r="E2621" s="21">
        <f>IFERROR(__xludf.DUMMYFUNCTION("""COMPUTED_VALUE"""),145359.0)</f>
        <v>145359</v>
      </c>
      <c r="F2621" s="21" t="str">
        <f>IFERROR(__xludf.DUMMYFUNCTION("""COMPUTED_VALUE"""),"TRANSITO REVERSA")</f>
        <v>TRANSITO REVERSA</v>
      </c>
      <c r="G2621" s="23">
        <f>IFERROR(__xludf.DUMMYFUNCTION("""COMPUTED_VALUE"""),45610.73042824074)</f>
        <v>45610.73043</v>
      </c>
      <c r="H2621" s="24" t="str">
        <f>IFERROR(VLOOKUP(B2621,material!A:D,3,0),"")</f>
        <v>3.1</v>
      </c>
    </row>
    <row r="2622" ht="11.25" customHeight="1">
      <c r="A2622" s="21" t="str">
        <f>IFERROR(__xludf.DUMMYFUNCTION("""COMPUTED_VALUE"""),"MODEM VOIP EMTA WIFI 3.1 TC3102 32X8")</f>
        <v>MODEM VOIP EMTA WIFI 3.1 TC3102 32X8</v>
      </c>
      <c r="B2622" s="22">
        <f>IFERROR(__xludf.DUMMYFUNCTION("""COMPUTED_VALUE"""),4.1001513E7)</f>
        <v>41001513</v>
      </c>
      <c r="C2622" s="21" t="str">
        <f>IFERROR(__xludf.DUMMYFUNCTION("""COMPUTED_VALUE"""),"400FC17E6974")</f>
        <v>400FC17E6974</v>
      </c>
      <c r="D2622" s="21" t="str">
        <f>IFERROR(__xludf.DUMMYFUNCTION("""COMPUTED_VALUE"""),"DIGITEC TECNOLOGIA DIGITAL E REPRES")</f>
        <v>DIGITEC TECNOLOGIA DIGITAL E REPRES</v>
      </c>
      <c r="E2622" s="21">
        <f>IFERROR(__xludf.DUMMYFUNCTION("""COMPUTED_VALUE"""),145359.0)</f>
        <v>145359</v>
      </c>
      <c r="F2622" s="21" t="str">
        <f>IFERROR(__xludf.DUMMYFUNCTION("""COMPUTED_VALUE"""),"TRANSITO REVERSA")</f>
        <v>TRANSITO REVERSA</v>
      </c>
      <c r="G2622" s="23">
        <f>IFERROR(__xludf.DUMMYFUNCTION("""COMPUTED_VALUE"""),45610.73042824074)</f>
        <v>45610.73043</v>
      </c>
      <c r="H2622" s="24" t="str">
        <f>IFERROR(VLOOKUP(B2622,material!A:D,3,0),"")</f>
        <v>3.1</v>
      </c>
    </row>
    <row r="2623" ht="11.25" customHeight="1">
      <c r="A2623" s="21" t="str">
        <f>IFERROR(__xludf.DUMMYFUNCTION("""COMPUTED_VALUE"""),"MODEM VOIP EMTA WIFI 3.1 TC3102 32X8")</f>
        <v>MODEM VOIP EMTA WIFI 3.1 TC3102 32X8</v>
      </c>
      <c r="B2623" s="22">
        <f>IFERROR(__xludf.DUMMYFUNCTION("""COMPUTED_VALUE"""),4.1001513E7)</f>
        <v>41001513</v>
      </c>
      <c r="C2623" s="21" t="str">
        <f>IFERROR(__xludf.DUMMYFUNCTION("""COMPUTED_VALUE"""),"ECA81F20E19C")</f>
        <v>ECA81F20E19C</v>
      </c>
      <c r="D2623" s="21" t="str">
        <f>IFERROR(__xludf.DUMMYFUNCTION("""COMPUTED_VALUE"""),"DIGITEC TECNOLOGIA DIGITAL E REPRES")</f>
        <v>DIGITEC TECNOLOGIA DIGITAL E REPRES</v>
      </c>
      <c r="E2623" s="21">
        <f>IFERROR(__xludf.DUMMYFUNCTION("""COMPUTED_VALUE"""),145359.0)</f>
        <v>145359</v>
      </c>
      <c r="F2623" s="21" t="str">
        <f>IFERROR(__xludf.DUMMYFUNCTION("""COMPUTED_VALUE"""),"TRANSITO REVERSA")</f>
        <v>TRANSITO REVERSA</v>
      </c>
      <c r="G2623" s="23">
        <f>IFERROR(__xludf.DUMMYFUNCTION("""COMPUTED_VALUE"""),45626.298680555556)</f>
        <v>45626.29868</v>
      </c>
      <c r="H2623" s="24" t="str">
        <f>IFERROR(VLOOKUP(B2623,material!A:D,3,0),"")</f>
        <v>3.1</v>
      </c>
    </row>
    <row r="2624" ht="11.25" customHeight="1">
      <c r="A2624" s="21" t="str">
        <f>IFERROR(__xludf.DUMMYFUNCTION("""COMPUTED_VALUE"""),"MODEM VOIP EMTA WIFI 3.1 TC3102 32X8")</f>
        <v>MODEM VOIP EMTA WIFI 3.1 TC3102 32X8</v>
      </c>
      <c r="B2624" s="22">
        <f>IFERROR(__xludf.DUMMYFUNCTION("""COMPUTED_VALUE"""),4.1001513E7)</f>
        <v>41001513</v>
      </c>
      <c r="C2624" s="21" t="str">
        <f>IFERROR(__xludf.DUMMYFUNCTION("""COMPUTED_VALUE"""),"ECA81F1C8284")</f>
        <v>ECA81F1C8284</v>
      </c>
      <c r="D2624" s="21" t="str">
        <f>IFERROR(__xludf.DUMMYFUNCTION("""COMPUTED_VALUE"""),"DIGITEC TECNOLOGIA DIGITAL E REPRES")</f>
        <v>DIGITEC TECNOLOGIA DIGITAL E REPRES</v>
      </c>
      <c r="E2624" s="21">
        <f>IFERROR(__xludf.DUMMYFUNCTION("""COMPUTED_VALUE"""),145359.0)</f>
        <v>145359</v>
      </c>
      <c r="F2624" s="21" t="str">
        <f>IFERROR(__xludf.DUMMYFUNCTION("""COMPUTED_VALUE"""),"TRANSITO REVERSA")</f>
        <v>TRANSITO REVERSA</v>
      </c>
      <c r="G2624" s="23">
        <f>IFERROR(__xludf.DUMMYFUNCTION("""COMPUTED_VALUE"""),45638.52060185185)</f>
        <v>45638.5206</v>
      </c>
      <c r="H2624" s="24" t="str">
        <f>IFERROR(VLOOKUP(B2624,material!A:D,3,0),"")</f>
        <v>3.1</v>
      </c>
    </row>
    <row r="2625" ht="11.25" customHeight="1">
      <c r="A2625" s="21" t="str">
        <f>IFERROR(__xludf.DUMMYFUNCTION("""COMPUTED_VALUE"""),"MODEM VOIP EMTA WIFI 3.1 TC3102 32X8")</f>
        <v>MODEM VOIP EMTA WIFI 3.1 TC3102 32X8</v>
      </c>
      <c r="B2625" s="22">
        <f>IFERROR(__xludf.DUMMYFUNCTION("""COMPUTED_VALUE"""),4.1001513E7)</f>
        <v>41001513</v>
      </c>
      <c r="C2625" s="21" t="str">
        <f>IFERROR(__xludf.DUMMYFUNCTION("""COMPUTED_VALUE"""),"ECA81FF86AE4")</f>
        <v>ECA81FF86AE4</v>
      </c>
      <c r="D2625" s="21" t="str">
        <f>IFERROR(__xludf.DUMMYFUNCTION("""COMPUTED_VALUE"""),"DIGITEC TECNOLOGIA DIGITAL E REPRES")</f>
        <v>DIGITEC TECNOLOGIA DIGITAL E REPRES</v>
      </c>
      <c r="E2625" s="21">
        <f>IFERROR(__xludf.DUMMYFUNCTION("""COMPUTED_VALUE"""),145359.0)</f>
        <v>145359</v>
      </c>
      <c r="F2625" s="21" t="str">
        <f>IFERROR(__xludf.DUMMYFUNCTION("""COMPUTED_VALUE"""),"TRANSITO REVERSA")</f>
        <v>TRANSITO REVERSA</v>
      </c>
      <c r="G2625" s="23">
        <f>IFERROR(__xludf.DUMMYFUNCTION("""COMPUTED_VALUE"""),45610.73042824074)</f>
        <v>45610.73043</v>
      </c>
      <c r="H2625" s="24" t="str">
        <f>IFERROR(VLOOKUP(B2625,material!A:D,3,0),"")</f>
        <v>3.1</v>
      </c>
    </row>
    <row r="2626" ht="11.25" customHeight="1">
      <c r="A2626" s="21" t="str">
        <f>IFERROR(__xludf.DUMMYFUNCTION("""COMPUTED_VALUE"""),"MODEM VOIP EMTA WIFI 3.1 TC3102 32X8")</f>
        <v>MODEM VOIP EMTA WIFI 3.1 TC3102 32X8</v>
      </c>
      <c r="B2626" s="22">
        <f>IFERROR(__xludf.DUMMYFUNCTION("""COMPUTED_VALUE"""),4.1001513E7)</f>
        <v>41001513</v>
      </c>
      <c r="C2626" s="21" t="str">
        <f>IFERROR(__xludf.DUMMYFUNCTION("""COMPUTED_VALUE"""),"ECA81F1DC2F4")</f>
        <v>ECA81F1DC2F4</v>
      </c>
      <c r="D2626" s="21" t="str">
        <f>IFERROR(__xludf.DUMMYFUNCTION("""COMPUTED_VALUE"""),"DIGITEC TECNOLOGIA DIGITAL E REPRES")</f>
        <v>DIGITEC TECNOLOGIA DIGITAL E REPRES</v>
      </c>
      <c r="E2626" s="21">
        <f>IFERROR(__xludf.DUMMYFUNCTION("""COMPUTED_VALUE"""),145359.0)</f>
        <v>145359</v>
      </c>
      <c r="F2626" s="21" t="str">
        <f>IFERROR(__xludf.DUMMYFUNCTION("""COMPUTED_VALUE"""),"TRANSITO REVERSA")</f>
        <v>TRANSITO REVERSA</v>
      </c>
      <c r="G2626" s="23">
        <f>IFERROR(__xludf.DUMMYFUNCTION("""COMPUTED_VALUE"""),45638.52111111111)</f>
        <v>45638.52111</v>
      </c>
      <c r="H2626" s="24" t="str">
        <f>IFERROR(VLOOKUP(B2626,material!A:D,3,0),"")</f>
        <v>3.1</v>
      </c>
    </row>
    <row r="2627" ht="11.25" customHeight="1">
      <c r="A2627" s="21" t="str">
        <f>IFERROR(__xludf.DUMMYFUNCTION("""COMPUTED_VALUE"""),"MODEM VOIP EMTA WIFI 3.1 TC3102 32X8")</f>
        <v>MODEM VOIP EMTA WIFI 3.1 TC3102 32X8</v>
      </c>
      <c r="B2627" s="22">
        <f>IFERROR(__xludf.DUMMYFUNCTION("""COMPUTED_VALUE"""),4.1001513E7)</f>
        <v>41001513</v>
      </c>
      <c r="C2627" s="21" t="str">
        <f>IFERROR(__xludf.DUMMYFUNCTION("""COMPUTED_VALUE"""),"D4E2CB1E7C5C")</f>
        <v>D4E2CB1E7C5C</v>
      </c>
      <c r="D2627" s="21" t="str">
        <f>IFERROR(__xludf.DUMMYFUNCTION("""COMPUTED_VALUE"""),"DIGITEC TECNOLOGIA DIGITAL E REPRES")</f>
        <v>DIGITEC TECNOLOGIA DIGITAL E REPRES</v>
      </c>
      <c r="E2627" s="21">
        <f>IFERROR(__xludf.DUMMYFUNCTION("""COMPUTED_VALUE"""),145359.0)</f>
        <v>145359</v>
      </c>
      <c r="F2627" s="21" t="str">
        <f>IFERROR(__xludf.DUMMYFUNCTION("""COMPUTED_VALUE"""),"TRANSITO REVERSA")</f>
        <v>TRANSITO REVERSA</v>
      </c>
      <c r="G2627" s="23">
        <f>IFERROR(__xludf.DUMMYFUNCTION("""COMPUTED_VALUE"""),45638.52060185185)</f>
        <v>45638.5206</v>
      </c>
      <c r="H2627" s="24" t="str">
        <f>IFERROR(VLOOKUP(B2627,material!A:D,3,0),"")</f>
        <v>3.1</v>
      </c>
    </row>
    <row r="2628" ht="11.25" customHeight="1">
      <c r="A2628" s="21" t="str">
        <f>IFERROR(__xludf.DUMMYFUNCTION("""COMPUTED_VALUE"""),"MODEM VOIP EMTA WIFI 3.1 TC3102 32X8")</f>
        <v>MODEM VOIP EMTA WIFI 3.1 TC3102 32X8</v>
      </c>
      <c r="B2628" s="22">
        <f>IFERROR(__xludf.DUMMYFUNCTION("""COMPUTED_VALUE"""),4.1001513E7)</f>
        <v>41001513</v>
      </c>
      <c r="C2628" s="21" t="str">
        <f>IFERROR(__xludf.DUMMYFUNCTION("""COMPUTED_VALUE"""),"D4E2CB8E3A9C")</f>
        <v>D4E2CB8E3A9C</v>
      </c>
      <c r="D2628" s="21" t="str">
        <f>IFERROR(__xludf.DUMMYFUNCTION("""COMPUTED_VALUE"""),"DIGITEC TECNOLOGIA DIGITAL E REPRES")</f>
        <v>DIGITEC TECNOLOGIA DIGITAL E REPRES</v>
      </c>
      <c r="E2628" s="21">
        <f>IFERROR(__xludf.DUMMYFUNCTION("""COMPUTED_VALUE"""),145359.0)</f>
        <v>145359</v>
      </c>
      <c r="F2628" s="21" t="str">
        <f>IFERROR(__xludf.DUMMYFUNCTION("""COMPUTED_VALUE"""),"TRANSITO REVERSA")</f>
        <v>TRANSITO REVERSA</v>
      </c>
      <c r="G2628" s="23">
        <f>IFERROR(__xludf.DUMMYFUNCTION("""COMPUTED_VALUE"""),45633.003958333335)</f>
        <v>45633.00396</v>
      </c>
      <c r="H2628" s="24" t="str">
        <f>IFERROR(VLOOKUP(B2628,material!A:D,3,0),"")</f>
        <v>3.1</v>
      </c>
    </row>
    <row r="2629" ht="11.25" customHeight="1">
      <c r="A2629" s="21" t="str">
        <f>IFERROR(__xludf.DUMMYFUNCTION("""COMPUTED_VALUE"""),"MODEM VOIP EMTA WIFI 3.1 TC3102 32X8")</f>
        <v>MODEM VOIP EMTA WIFI 3.1 TC3102 32X8</v>
      </c>
      <c r="B2629" s="22">
        <f>IFERROR(__xludf.DUMMYFUNCTION("""COMPUTED_VALUE"""),4.1001513E7)</f>
        <v>41001513</v>
      </c>
      <c r="C2629" s="21" t="str">
        <f>IFERROR(__xludf.DUMMYFUNCTION("""COMPUTED_VALUE"""),"1C9ECCF2BB6C")</f>
        <v>1C9ECCF2BB6C</v>
      </c>
      <c r="D2629" s="21" t="str">
        <f>IFERROR(__xludf.DUMMYFUNCTION("""COMPUTED_VALUE"""),"DIGITEC TECNOLOGIA DIGITAL E REPRES")</f>
        <v>DIGITEC TECNOLOGIA DIGITAL E REPRES</v>
      </c>
      <c r="E2629" s="21">
        <f>IFERROR(__xludf.DUMMYFUNCTION("""COMPUTED_VALUE"""),145359.0)</f>
        <v>145359</v>
      </c>
      <c r="F2629" s="21" t="str">
        <f>IFERROR(__xludf.DUMMYFUNCTION("""COMPUTED_VALUE"""),"TRANSITO REVERSA")</f>
        <v>TRANSITO REVERSA</v>
      </c>
      <c r="G2629" s="23">
        <f>IFERROR(__xludf.DUMMYFUNCTION("""COMPUTED_VALUE"""),45610.73042824074)</f>
        <v>45610.73043</v>
      </c>
      <c r="H2629" s="24" t="str">
        <f>IFERROR(VLOOKUP(B2629,material!A:D,3,0),"")</f>
        <v>3.1</v>
      </c>
    </row>
    <row r="2630" ht="11.25" customHeight="1">
      <c r="A2630" s="21" t="str">
        <f>IFERROR(__xludf.DUMMYFUNCTION("""COMPUTED_VALUE"""),"MODEM VOIP EMTA WIFI 3.1 TC3102 32X8")</f>
        <v>MODEM VOIP EMTA WIFI 3.1 TC3102 32X8</v>
      </c>
      <c r="B2630" s="22">
        <f>IFERROR(__xludf.DUMMYFUNCTION("""COMPUTED_VALUE"""),4.1001513E7)</f>
        <v>41001513</v>
      </c>
      <c r="C2630" s="21" t="str">
        <f>IFERROR(__xludf.DUMMYFUNCTION("""COMPUTED_VALUE"""),"C4509CF4E4C4")</f>
        <v>C4509CF4E4C4</v>
      </c>
      <c r="D2630" s="21" t="str">
        <f>IFERROR(__xludf.DUMMYFUNCTION("""COMPUTED_VALUE"""),"DIGITEC TECNOLOGIA DIGITAL E REPRES")</f>
        <v>DIGITEC TECNOLOGIA DIGITAL E REPRES</v>
      </c>
      <c r="E2630" s="21">
        <f>IFERROR(__xludf.DUMMYFUNCTION("""COMPUTED_VALUE"""),145359.0)</f>
        <v>145359</v>
      </c>
      <c r="F2630" s="21" t="str">
        <f>IFERROR(__xludf.DUMMYFUNCTION("""COMPUTED_VALUE"""),"TRANSITO REVERSA")</f>
        <v>TRANSITO REVERSA</v>
      </c>
      <c r="G2630" s="23">
        <f>IFERROR(__xludf.DUMMYFUNCTION("""COMPUTED_VALUE"""),45626.298680555556)</f>
        <v>45626.29868</v>
      </c>
      <c r="H2630" s="24" t="str">
        <f>IFERROR(VLOOKUP(B2630,material!A:D,3,0),"")</f>
        <v>3.1</v>
      </c>
    </row>
    <row r="2631" ht="11.25" customHeight="1">
      <c r="A2631" s="21" t="str">
        <f>IFERROR(__xludf.DUMMYFUNCTION("""COMPUTED_VALUE"""),"MODEM VOIP EMTA WIFI 3.1 TC3102 32X8")</f>
        <v>MODEM VOIP EMTA WIFI 3.1 TC3102 32X8</v>
      </c>
      <c r="B2631" s="22">
        <f>IFERROR(__xludf.DUMMYFUNCTION("""COMPUTED_VALUE"""),4.1001513E7)</f>
        <v>41001513</v>
      </c>
      <c r="C2631" s="21" t="str">
        <f>IFERROR(__xludf.DUMMYFUNCTION("""COMPUTED_VALUE"""),"C4509CF4C394")</f>
        <v>C4509CF4C394</v>
      </c>
      <c r="D2631" s="21" t="str">
        <f>IFERROR(__xludf.DUMMYFUNCTION("""COMPUTED_VALUE"""),"DIGITEC TECNOLOGIA DIGITAL E REPRES")</f>
        <v>DIGITEC TECNOLOGIA DIGITAL E REPRES</v>
      </c>
      <c r="E2631" s="21">
        <f>IFERROR(__xludf.DUMMYFUNCTION("""COMPUTED_VALUE"""),145359.0)</f>
        <v>145359</v>
      </c>
      <c r="F2631" s="21" t="str">
        <f>IFERROR(__xludf.DUMMYFUNCTION("""COMPUTED_VALUE"""),"TRANSITO REVERSA")</f>
        <v>TRANSITO REVERSA</v>
      </c>
      <c r="G2631" s="23">
        <f>IFERROR(__xludf.DUMMYFUNCTION("""COMPUTED_VALUE"""),45638.520636574074)</f>
        <v>45638.52064</v>
      </c>
      <c r="H2631" s="24" t="str">
        <f>IFERROR(VLOOKUP(B2631,material!A:D,3,0),"")</f>
        <v>3.1</v>
      </c>
    </row>
    <row r="2632" ht="11.25" customHeight="1">
      <c r="A2632" s="21" t="str">
        <f>IFERROR(__xludf.DUMMYFUNCTION("""COMPUTED_VALUE"""),"MODEM VOIP EMTA WIFI 3.1 TC3102 32X8")</f>
        <v>MODEM VOIP EMTA WIFI 3.1 TC3102 32X8</v>
      </c>
      <c r="B2632" s="22">
        <f>IFERROR(__xludf.DUMMYFUNCTION("""COMPUTED_VALUE"""),4.1001513E7)</f>
        <v>41001513</v>
      </c>
      <c r="C2632" s="21" t="str">
        <f>IFERROR(__xludf.DUMMYFUNCTION("""COMPUTED_VALUE"""),"C4509CF4DF54")</f>
        <v>C4509CF4DF54</v>
      </c>
      <c r="D2632" s="21" t="str">
        <f>IFERROR(__xludf.DUMMYFUNCTION("""COMPUTED_VALUE"""),"DIGITEC TECNOLOGIA DIGITAL E REPRES")</f>
        <v>DIGITEC TECNOLOGIA DIGITAL E REPRES</v>
      </c>
      <c r="E2632" s="21">
        <f>IFERROR(__xludf.DUMMYFUNCTION("""COMPUTED_VALUE"""),145359.0)</f>
        <v>145359</v>
      </c>
      <c r="F2632" s="21" t="str">
        <f>IFERROR(__xludf.DUMMYFUNCTION("""COMPUTED_VALUE"""),"TRANSITO REVERSA")</f>
        <v>TRANSITO REVERSA</v>
      </c>
      <c r="G2632" s="23">
        <f>IFERROR(__xludf.DUMMYFUNCTION("""COMPUTED_VALUE"""),45633.00341435186)</f>
        <v>45633.00341</v>
      </c>
      <c r="H2632" s="24" t="str">
        <f>IFERROR(VLOOKUP(B2632,material!A:D,3,0),"")</f>
        <v>3.1</v>
      </c>
    </row>
    <row r="2633" ht="11.25" customHeight="1">
      <c r="A2633" s="21" t="str">
        <f>IFERROR(__xludf.DUMMYFUNCTION("""COMPUTED_VALUE"""),"MODEM VOIP EMTA WIFI 3.1 TC3102 32X8")</f>
        <v>MODEM VOIP EMTA WIFI 3.1 TC3102 32X8</v>
      </c>
      <c r="B2633" s="22">
        <f>IFERROR(__xludf.DUMMYFUNCTION("""COMPUTED_VALUE"""),4.1001513E7)</f>
        <v>41001513</v>
      </c>
      <c r="C2633" s="21" t="str">
        <f>IFERROR(__xludf.DUMMYFUNCTION("""COMPUTED_VALUE"""),"C4509CF3413C")</f>
        <v>C4509CF3413C</v>
      </c>
      <c r="D2633" s="21" t="str">
        <f>IFERROR(__xludf.DUMMYFUNCTION("""COMPUTED_VALUE"""),"DIGITEC TECNOLOGIA DIGITAL E REPRES")</f>
        <v>DIGITEC TECNOLOGIA DIGITAL E REPRES</v>
      </c>
      <c r="E2633" s="21">
        <f>IFERROR(__xludf.DUMMYFUNCTION("""COMPUTED_VALUE"""),145359.0)</f>
        <v>145359</v>
      </c>
      <c r="F2633" s="21" t="str">
        <f>IFERROR(__xludf.DUMMYFUNCTION("""COMPUTED_VALUE"""),"TRANSITO REVERSA")</f>
        <v>TRANSITO REVERSA</v>
      </c>
      <c r="G2633" s="23">
        <f>IFERROR(__xludf.DUMMYFUNCTION("""COMPUTED_VALUE"""),45633.00398148148)</f>
        <v>45633.00398</v>
      </c>
      <c r="H2633" s="24" t="str">
        <f>IFERROR(VLOOKUP(B2633,material!A:D,3,0),"")</f>
        <v>3.1</v>
      </c>
    </row>
    <row r="2634" ht="11.25" customHeight="1">
      <c r="A2634" s="21" t="str">
        <f>IFERROR(__xludf.DUMMYFUNCTION("""COMPUTED_VALUE"""),"MODEM VOIP EMTA WIFI 3.1 TC3102 32X8")</f>
        <v>MODEM VOIP EMTA WIFI 3.1 TC3102 32X8</v>
      </c>
      <c r="B2634" s="22">
        <f>IFERROR(__xludf.DUMMYFUNCTION("""COMPUTED_VALUE"""),4.1001513E7)</f>
        <v>41001513</v>
      </c>
      <c r="C2634" s="21" t="str">
        <f>IFERROR(__xludf.DUMMYFUNCTION("""COMPUTED_VALUE"""),"C4509CF33E54")</f>
        <v>C4509CF33E54</v>
      </c>
      <c r="D2634" s="21" t="str">
        <f>IFERROR(__xludf.DUMMYFUNCTION("""COMPUTED_VALUE"""),"DIGITEC TECNOLOGIA DIGITAL E REPRES")</f>
        <v>DIGITEC TECNOLOGIA DIGITAL E REPRES</v>
      </c>
      <c r="E2634" s="21">
        <f>IFERROR(__xludf.DUMMYFUNCTION("""COMPUTED_VALUE"""),145359.0)</f>
        <v>145359</v>
      </c>
      <c r="F2634" s="21" t="str">
        <f>IFERROR(__xludf.DUMMYFUNCTION("""COMPUTED_VALUE"""),"TRANSITO REVERSA")</f>
        <v>TRANSITO REVERSA</v>
      </c>
      <c r="G2634" s="23">
        <f>IFERROR(__xludf.DUMMYFUNCTION("""COMPUTED_VALUE"""),45638.52111111111)</f>
        <v>45638.52111</v>
      </c>
      <c r="H2634" s="24" t="str">
        <f>IFERROR(VLOOKUP(B2634,material!A:D,3,0),"")</f>
        <v>3.1</v>
      </c>
    </row>
    <row r="2635" ht="11.25" customHeight="1">
      <c r="A2635" s="21" t="str">
        <f>IFERROR(__xludf.DUMMYFUNCTION("""COMPUTED_VALUE"""),"MODEM VOIP EMTA WIFI 3.1 TC3102 32X8")</f>
        <v>MODEM VOIP EMTA WIFI 3.1 TC3102 32X8</v>
      </c>
      <c r="B2635" s="22">
        <f>IFERROR(__xludf.DUMMYFUNCTION("""COMPUTED_VALUE"""),4.1001513E7)</f>
        <v>41001513</v>
      </c>
      <c r="C2635" s="21" t="str">
        <f>IFERROR(__xludf.DUMMYFUNCTION("""COMPUTED_VALUE"""),"C4509CF4CACC")</f>
        <v>C4509CF4CACC</v>
      </c>
      <c r="D2635" s="21" t="str">
        <f>IFERROR(__xludf.DUMMYFUNCTION("""COMPUTED_VALUE"""),"DIGITEC TECNOLOGIA DIGITAL E REPRES")</f>
        <v>DIGITEC TECNOLOGIA DIGITAL E REPRES</v>
      </c>
      <c r="E2635" s="21">
        <f>IFERROR(__xludf.DUMMYFUNCTION("""COMPUTED_VALUE"""),145359.0)</f>
        <v>145359</v>
      </c>
      <c r="F2635" s="21" t="str">
        <f>IFERROR(__xludf.DUMMYFUNCTION("""COMPUTED_VALUE"""),"TRANSITO REVERSA")</f>
        <v>TRANSITO REVERSA</v>
      </c>
      <c r="G2635" s="23">
        <f>IFERROR(__xludf.DUMMYFUNCTION("""COMPUTED_VALUE"""),45638.52113425926)</f>
        <v>45638.52113</v>
      </c>
      <c r="H2635" s="24" t="str">
        <f>IFERROR(VLOOKUP(B2635,material!A:D,3,0),"")</f>
        <v>3.1</v>
      </c>
    </row>
    <row r="2636" ht="11.25" customHeight="1">
      <c r="A2636" s="21" t="str">
        <f>IFERROR(__xludf.DUMMYFUNCTION("""COMPUTED_VALUE"""),"MODEM VOIP EMTA WIFI 3.1 TC3102 32X8")</f>
        <v>MODEM VOIP EMTA WIFI 3.1 TC3102 32X8</v>
      </c>
      <c r="B2636" s="22">
        <f>IFERROR(__xludf.DUMMYFUNCTION("""COMPUTED_VALUE"""),4.1001513E7)</f>
        <v>41001513</v>
      </c>
      <c r="C2636" s="21" t="str">
        <f>IFERROR(__xludf.DUMMYFUNCTION("""COMPUTED_VALUE"""),"C4509CF2DAF4")</f>
        <v>C4509CF2DAF4</v>
      </c>
      <c r="D2636" s="21" t="str">
        <f>IFERROR(__xludf.DUMMYFUNCTION("""COMPUTED_VALUE"""),"DIGITEC TECNOLOGIA DIGITAL E REPRES")</f>
        <v>DIGITEC TECNOLOGIA DIGITAL E REPRES</v>
      </c>
      <c r="E2636" s="21">
        <f>IFERROR(__xludf.DUMMYFUNCTION("""COMPUTED_VALUE"""),145359.0)</f>
        <v>145359</v>
      </c>
      <c r="F2636" s="21" t="str">
        <f>IFERROR(__xludf.DUMMYFUNCTION("""COMPUTED_VALUE"""),"TRANSITO REVERSA")</f>
        <v>TRANSITO REVERSA</v>
      </c>
      <c r="G2636" s="23">
        <f>IFERROR(__xludf.DUMMYFUNCTION("""COMPUTED_VALUE"""),45633.00341435186)</f>
        <v>45633.00341</v>
      </c>
      <c r="H2636" s="24" t="str">
        <f>IFERROR(VLOOKUP(B2636,material!A:D,3,0),"")</f>
        <v>3.1</v>
      </c>
    </row>
    <row r="2637" ht="11.25" customHeight="1">
      <c r="A2637" s="21" t="str">
        <f>IFERROR(__xludf.DUMMYFUNCTION("""COMPUTED_VALUE"""),"MODEM VOIP EMTA WIFI 3.1 TC3102 32X8")</f>
        <v>MODEM VOIP EMTA WIFI 3.1 TC3102 32X8</v>
      </c>
      <c r="B2637" s="22">
        <f>IFERROR(__xludf.DUMMYFUNCTION("""COMPUTED_VALUE"""),4.1001513E7)</f>
        <v>41001513</v>
      </c>
      <c r="C2637" s="21" t="str">
        <f>IFERROR(__xludf.DUMMYFUNCTION("""COMPUTED_VALUE"""),"D4E2CB99EAD4")</f>
        <v>D4E2CB99EAD4</v>
      </c>
      <c r="D2637" s="21" t="str">
        <f>IFERROR(__xludf.DUMMYFUNCTION("""COMPUTED_VALUE"""),"DIGITEC TECNOLOGIA DIGITAL E REPRES")</f>
        <v>DIGITEC TECNOLOGIA DIGITAL E REPRES</v>
      </c>
      <c r="E2637" s="21">
        <f>IFERROR(__xludf.DUMMYFUNCTION("""COMPUTED_VALUE"""),145359.0)</f>
        <v>145359</v>
      </c>
      <c r="F2637" s="21" t="str">
        <f>IFERROR(__xludf.DUMMYFUNCTION("""COMPUTED_VALUE"""),"TRANSITO REVERSA")</f>
        <v>TRANSITO REVERSA</v>
      </c>
      <c r="G2637" s="23">
        <f>IFERROR(__xludf.DUMMYFUNCTION("""COMPUTED_VALUE"""),45617.87138888889)</f>
        <v>45617.87139</v>
      </c>
      <c r="H2637" s="24" t="str">
        <f>IFERROR(VLOOKUP(B2637,material!A:D,3,0),"")</f>
        <v>3.1</v>
      </c>
    </row>
    <row r="2638" ht="11.25" customHeight="1">
      <c r="A2638" s="21" t="str">
        <f>IFERROR(__xludf.DUMMYFUNCTION("""COMPUTED_VALUE"""),"MODEM VOIP EMTA WIFI 3.1 TC3102 32X8")</f>
        <v>MODEM VOIP EMTA WIFI 3.1 TC3102 32X8</v>
      </c>
      <c r="B2638" s="22">
        <f>IFERROR(__xludf.DUMMYFUNCTION("""COMPUTED_VALUE"""),4.1001513E7)</f>
        <v>41001513</v>
      </c>
      <c r="C2638" s="21" t="str">
        <f>IFERROR(__xludf.DUMMYFUNCTION("""COMPUTED_VALUE"""),"1C9D726A7F2C")</f>
        <v>1C9D726A7F2C</v>
      </c>
      <c r="D2638" s="21" t="str">
        <f>IFERROR(__xludf.DUMMYFUNCTION("""COMPUTED_VALUE"""),"DIGITEC TECNOLOGIA DIGITAL E REPRES")</f>
        <v>DIGITEC TECNOLOGIA DIGITAL E REPRES</v>
      </c>
      <c r="E2638" s="21">
        <f>IFERROR(__xludf.DUMMYFUNCTION("""COMPUTED_VALUE"""),145359.0)</f>
        <v>145359</v>
      </c>
      <c r="F2638" s="21" t="str">
        <f>IFERROR(__xludf.DUMMYFUNCTION("""COMPUTED_VALUE"""),"TRANSITO REVERSA")</f>
        <v>TRANSITO REVERSA</v>
      </c>
      <c r="G2638" s="23">
        <f>IFERROR(__xludf.DUMMYFUNCTION("""COMPUTED_VALUE"""),45626.298680555556)</f>
        <v>45626.29868</v>
      </c>
      <c r="H2638" s="24" t="str">
        <f>IFERROR(VLOOKUP(B2638,material!A:D,3,0),"")</f>
        <v>3.1</v>
      </c>
    </row>
    <row r="2639" ht="11.25" customHeight="1">
      <c r="A2639" s="21" t="str">
        <f>IFERROR(__xludf.DUMMYFUNCTION("""COMPUTED_VALUE"""),"MODEM VOIP EMTA WIFI 3.1 TC3102 32X8")</f>
        <v>MODEM VOIP EMTA WIFI 3.1 TC3102 32X8</v>
      </c>
      <c r="B2639" s="22">
        <f>IFERROR(__xludf.DUMMYFUNCTION("""COMPUTED_VALUE"""),4.1001513E7)</f>
        <v>41001513</v>
      </c>
      <c r="C2639" s="21" t="str">
        <f>IFERROR(__xludf.DUMMYFUNCTION("""COMPUTED_VALUE"""),"3C82C06AF838")</f>
        <v>3C82C06AF838</v>
      </c>
      <c r="D2639" s="21" t="str">
        <f>IFERROR(__xludf.DUMMYFUNCTION("""COMPUTED_VALUE"""),"DIGITEC TECNOLOGIA DIGITAL E REPRES")</f>
        <v>DIGITEC TECNOLOGIA DIGITAL E REPRES</v>
      </c>
      <c r="E2639" s="21">
        <f>IFERROR(__xludf.DUMMYFUNCTION("""COMPUTED_VALUE"""),145359.0)</f>
        <v>145359</v>
      </c>
      <c r="F2639" s="21" t="str">
        <f>IFERROR(__xludf.DUMMYFUNCTION("""COMPUTED_VALUE"""),"TRANSITO REVERSA")</f>
        <v>TRANSITO REVERSA</v>
      </c>
      <c r="G2639" s="23">
        <f>IFERROR(__xludf.DUMMYFUNCTION("""COMPUTED_VALUE"""),45610.73042824074)</f>
        <v>45610.73043</v>
      </c>
      <c r="H2639" s="24" t="str">
        <f>IFERROR(VLOOKUP(B2639,material!A:D,3,0),"")</f>
        <v>3.1</v>
      </c>
    </row>
    <row r="2640" ht="11.25" customHeight="1">
      <c r="A2640" s="21" t="str">
        <f>IFERROR(__xludf.DUMMYFUNCTION("""COMPUTED_VALUE"""),"MODEM VOIP EMTA WIFI 3.1 TC3102 32X8")</f>
        <v>MODEM VOIP EMTA WIFI 3.1 TC3102 32X8</v>
      </c>
      <c r="B2640" s="22">
        <f>IFERROR(__xludf.DUMMYFUNCTION("""COMPUTED_VALUE"""),4.1001513E7)</f>
        <v>41001513</v>
      </c>
      <c r="C2640" s="21" t="str">
        <f>IFERROR(__xludf.DUMMYFUNCTION("""COMPUTED_VALUE"""),"3C82C0695DC0")</f>
        <v>3C82C0695DC0</v>
      </c>
      <c r="D2640" s="21" t="str">
        <f>IFERROR(__xludf.DUMMYFUNCTION("""COMPUTED_VALUE"""),"DIGITEC TECNOLOGIA DIGITAL E REPRES")</f>
        <v>DIGITEC TECNOLOGIA DIGITAL E REPRES</v>
      </c>
      <c r="E2640" s="21">
        <f>IFERROR(__xludf.DUMMYFUNCTION("""COMPUTED_VALUE"""),145359.0)</f>
        <v>145359</v>
      </c>
      <c r="F2640" s="21" t="str">
        <f>IFERROR(__xludf.DUMMYFUNCTION("""COMPUTED_VALUE"""),"TRANSITO REVERSA")</f>
        <v>TRANSITO REVERSA</v>
      </c>
      <c r="G2640" s="23">
        <f>IFERROR(__xludf.DUMMYFUNCTION("""COMPUTED_VALUE"""),45617.87142361111)</f>
        <v>45617.87142</v>
      </c>
      <c r="H2640" s="24" t="str">
        <f>IFERROR(VLOOKUP(B2640,material!A:D,3,0),"")</f>
        <v>3.1</v>
      </c>
    </row>
    <row r="2641" ht="11.25" customHeight="1">
      <c r="A2641" s="21" t="str">
        <f>IFERROR(__xludf.DUMMYFUNCTION("""COMPUTED_VALUE"""),"MODEM VOIP EMTA WIFI 3.1 TC3102 32X8")</f>
        <v>MODEM VOIP EMTA WIFI 3.1 TC3102 32X8</v>
      </c>
      <c r="B2641" s="22">
        <f>IFERROR(__xludf.DUMMYFUNCTION("""COMPUTED_VALUE"""),4.1001513E7)</f>
        <v>41001513</v>
      </c>
      <c r="C2641" s="21" t="str">
        <f>IFERROR(__xludf.DUMMYFUNCTION("""COMPUTED_VALUE"""),"3C82C069288C")</f>
        <v>3C82C069288C</v>
      </c>
      <c r="D2641" s="21" t="str">
        <f>IFERROR(__xludf.DUMMYFUNCTION("""COMPUTED_VALUE"""),"DIGITEC TECNOLOGIA DIGITAL E REPRES")</f>
        <v>DIGITEC TECNOLOGIA DIGITAL E REPRES</v>
      </c>
      <c r="E2641" s="21">
        <f>IFERROR(__xludf.DUMMYFUNCTION("""COMPUTED_VALUE"""),145359.0)</f>
        <v>145359</v>
      </c>
      <c r="F2641" s="21" t="str">
        <f>IFERROR(__xludf.DUMMYFUNCTION("""COMPUTED_VALUE"""),"TRANSITO REVERSA")</f>
        <v>TRANSITO REVERSA</v>
      </c>
      <c r="G2641" s="23">
        <f>IFERROR(__xludf.DUMMYFUNCTION("""COMPUTED_VALUE"""),45610.73042824074)</f>
        <v>45610.73043</v>
      </c>
      <c r="H2641" s="24" t="str">
        <f>IFERROR(VLOOKUP(B2641,material!A:D,3,0),"")</f>
        <v>3.1</v>
      </c>
    </row>
    <row r="2642" ht="11.25" customHeight="1">
      <c r="A2642" s="21" t="str">
        <f>IFERROR(__xludf.DUMMYFUNCTION("""COMPUTED_VALUE"""),"MODEM VOIP EMTA WIFI 3.1 TC3102 32X8")</f>
        <v>MODEM VOIP EMTA WIFI 3.1 TC3102 32X8</v>
      </c>
      <c r="B2642" s="22">
        <f>IFERROR(__xludf.DUMMYFUNCTION("""COMPUTED_VALUE"""),4.1001513E7)</f>
        <v>41001513</v>
      </c>
      <c r="C2642" s="21" t="str">
        <f>IFERROR(__xludf.DUMMYFUNCTION("""COMPUTED_VALUE"""),"1C9D726A7F44")</f>
        <v>1C9D726A7F44</v>
      </c>
      <c r="D2642" s="21" t="str">
        <f>IFERROR(__xludf.DUMMYFUNCTION("""COMPUTED_VALUE"""),"DIGITEC TECNOLOGIA DIGITAL E REPRES")</f>
        <v>DIGITEC TECNOLOGIA DIGITAL E REPRES</v>
      </c>
      <c r="E2642" s="21">
        <f>IFERROR(__xludf.DUMMYFUNCTION("""COMPUTED_VALUE"""),145359.0)</f>
        <v>145359</v>
      </c>
      <c r="F2642" s="21" t="str">
        <f>IFERROR(__xludf.DUMMYFUNCTION("""COMPUTED_VALUE"""),"TRANSITO REVERSA")</f>
        <v>TRANSITO REVERSA</v>
      </c>
      <c r="G2642" s="23">
        <f>IFERROR(__xludf.DUMMYFUNCTION("""COMPUTED_VALUE"""),45626.2987037037)</f>
        <v>45626.2987</v>
      </c>
      <c r="H2642" s="24" t="str">
        <f>IFERROR(VLOOKUP(B2642,material!A:D,3,0),"")</f>
        <v>3.1</v>
      </c>
    </row>
    <row r="2643" ht="11.25" customHeight="1">
      <c r="A2643" s="21" t="str">
        <f>IFERROR(__xludf.DUMMYFUNCTION("""COMPUTED_VALUE"""),"MODEM VOIP EMTA WIFI 3.1 TC3102 32X8")</f>
        <v>MODEM VOIP EMTA WIFI 3.1 TC3102 32X8</v>
      </c>
      <c r="B2643" s="22">
        <f>IFERROR(__xludf.DUMMYFUNCTION("""COMPUTED_VALUE"""),4.1001513E7)</f>
        <v>41001513</v>
      </c>
      <c r="C2643" s="21" t="str">
        <f>IFERROR(__xludf.DUMMYFUNCTION("""COMPUTED_VALUE"""),"3C82C0670250")</f>
        <v>3C82C0670250</v>
      </c>
      <c r="D2643" s="21" t="str">
        <f>IFERROR(__xludf.DUMMYFUNCTION("""COMPUTED_VALUE"""),"DIGITEC TECNOLOGIA DIGITAL E REPRES")</f>
        <v>DIGITEC TECNOLOGIA DIGITAL E REPRES</v>
      </c>
      <c r="E2643" s="21">
        <f>IFERROR(__xludf.DUMMYFUNCTION("""COMPUTED_VALUE"""),145359.0)</f>
        <v>145359</v>
      </c>
      <c r="F2643" s="21" t="str">
        <f>IFERROR(__xludf.DUMMYFUNCTION("""COMPUTED_VALUE"""),"TRANSITO REVERSA")</f>
        <v>TRANSITO REVERSA</v>
      </c>
      <c r="G2643" s="23">
        <f>IFERROR(__xludf.DUMMYFUNCTION("""COMPUTED_VALUE"""),45633.00341435186)</f>
        <v>45633.00341</v>
      </c>
      <c r="H2643" s="24" t="str">
        <f>IFERROR(VLOOKUP(B2643,material!A:D,3,0),"")</f>
        <v>3.1</v>
      </c>
    </row>
    <row r="2644" ht="11.25" customHeight="1">
      <c r="A2644" s="21" t="str">
        <f>IFERROR(__xludf.DUMMYFUNCTION("""COMPUTED_VALUE"""),"MODEM VOIP EMTA WIFI 3.1 TC3102 32X8")</f>
        <v>MODEM VOIP EMTA WIFI 3.1 TC3102 32X8</v>
      </c>
      <c r="B2644" s="22">
        <f>IFERROR(__xludf.DUMMYFUNCTION("""COMPUTED_VALUE"""),4.1001513E7)</f>
        <v>41001513</v>
      </c>
      <c r="C2644" s="21" t="str">
        <f>IFERROR(__xludf.DUMMYFUNCTION("""COMPUTED_VALUE"""),"3C82C0695460")</f>
        <v>3C82C0695460</v>
      </c>
      <c r="D2644" s="21" t="str">
        <f>IFERROR(__xludf.DUMMYFUNCTION("""COMPUTED_VALUE"""),"DIGITEC TECNOLOGIA DIGITAL E REPRES")</f>
        <v>DIGITEC TECNOLOGIA DIGITAL E REPRES</v>
      </c>
      <c r="E2644" s="21">
        <f>IFERROR(__xludf.DUMMYFUNCTION("""COMPUTED_VALUE"""),145359.0)</f>
        <v>145359</v>
      </c>
      <c r="F2644" s="21" t="str">
        <f>IFERROR(__xludf.DUMMYFUNCTION("""COMPUTED_VALUE"""),"TRANSITO REVERSA")</f>
        <v>TRANSITO REVERSA</v>
      </c>
      <c r="G2644" s="23">
        <f>IFERROR(__xludf.DUMMYFUNCTION("""COMPUTED_VALUE"""),45626.298680555556)</f>
        <v>45626.29868</v>
      </c>
      <c r="H2644" s="24" t="str">
        <f>IFERROR(VLOOKUP(B2644,material!A:D,3,0),"")</f>
        <v>3.1</v>
      </c>
    </row>
    <row r="2645" ht="11.25" customHeight="1">
      <c r="A2645" s="21" t="str">
        <f>IFERROR(__xludf.DUMMYFUNCTION("""COMPUTED_VALUE"""),"MODEM VOIP EMTA WIFI 3.1 TC3102 32X8")</f>
        <v>MODEM VOIP EMTA WIFI 3.1 TC3102 32X8</v>
      </c>
      <c r="B2645" s="22">
        <f>IFERROR(__xludf.DUMMYFUNCTION("""COMPUTED_VALUE"""),4.1001513E7)</f>
        <v>41001513</v>
      </c>
      <c r="C2645" s="21" t="str">
        <f>IFERROR(__xludf.DUMMYFUNCTION("""COMPUTED_VALUE"""),"1C9D726AF7A4")</f>
        <v>1C9D726AF7A4</v>
      </c>
      <c r="D2645" s="21" t="str">
        <f>IFERROR(__xludf.DUMMYFUNCTION("""COMPUTED_VALUE"""),"DIGITEC TECNOLOGIA DIGITAL E REPRES")</f>
        <v>DIGITEC TECNOLOGIA DIGITAL E REPRES</v>
      </c>
      <c r="E2645" s="21">
        <f>IFERROR(__xludf.DUMMYFUNCTION("""COMPUTED_VALUE"""),145359.0)</f>
        <v>145359</v>
      </c>
      <c r="F2645" s="21" t="str">
        <f>IFERROR(__xludf.DUMMYFUNCTION("""COMPUTED_VALUE"""),"TRANSITO REVERSA")</f>
        <v>TRANSITO REVERSA</v>
      </c>
      <c r="G2645" s="23">
        <f>IFERROR(__xludf.DUMMYFUNCTION("""COMPUTED_VALUE"""),45633.003958333335)</f>
        <v>45633.00396</v>
      </c>
      <c r="H2645" s="24" t="str">
        <f>IFERROR(VLOOKUP(B2645,material!A:D,3,0),"")</f>
        <v>3.1</v>
      </c>
    </row>
    <row r="2646" ht="11.25" customHeight="1">
      <c r="A2646" s="21" t="str">
        <f>IFERROR(__xludf.DUMMYFUNCTION("""COMPUTED_VALUE"""),"MODEM VOIP EMTA WIFI 3.1 TC3102 32X8")</f>
        <v>MODEM VOIP EMTA WIFI 3.1 TC3102 32X8</v>
      </c>
      <c r="B2646" s="22">
        <f>IFERROR(__xludf.DUMMYFUNCTION("""COMPUTED_VALUE"""),4.1001513E7)</f>
        <v>41001513</v>
      </c>
      <c r="C2646" s="21" t="str">
        <f>IFERROR(__xludf.DUMMYFUNCTION("""COMPUTED_VALUE"""),"B85E71EBACF8")</f>
        <v>B85E71EBACF8</v>
      </c>
      <c r="D2646" s="21" t="str">
        <f>IFERROR(__xludf.DUMMYFUNCTION("""COMPUTED_VALUE"""),"DIGITEC TECNOLOGIA DIGITAL E REPRES")</f>
        <v>DIGITEC TECNOLOGIA DIGITAL E REPRES</v>
      </c>
      <c r="E2646" s="21">
        <f>IFERROR(__xludf.DUMMYFUNCTION("""COMPUTED_VALUE"""),145359.0)</f>
        <v>145359</v>
      </c>
      <c r="F2646" s="21" t="str">
        <f>IFERROR(__xludf.DUMMYFUNCTION("""COMPUTED_VALUE"""),"TRANSITO REVERSA")</f>
        <v>TRANSITO REVERSA</v>
      </c>
      <c r="G2646" s="23">
        <f>IFERROR(__xludf.DUMMYFUNCTION("""COMPUTED_VALUE"""),45610.73042824074)</f>
        <v>45610.73043</v>
      </c>
      <c r="H2646" s="24" t="str">
        <f>IFERROR(VLOOKUP(B2646,material!A:D,3,0),"")</f>
        <v>3.1</v>
      </c>
    </row>
    <row r="2647" ht="11.25" customHeight="1">
      <c r="A2647" s="21" t="str">
        <f>IFERROR(__xludf.DUMMYFUNCTION("""COMPUTED_VALUE"""),"MODEM VOIP EMTA WIFI 3.1 TC3102 32X8")</f>
        <v>MODEM VOIP EMTA WIFI 3.1 TC3102 32X8</v>
      </c>
      <c r="B2647" s="22">
        <f>IFERROR(__xludf.DUMMYFUNCTION("""COMPUTED_VALUE"""),4.1001513E7)</f>
        <v>41001513</v>
      </c>
      <c r="C2647" s="21" t="str">
        <f>IFERROR(__xludf.DUMMYFUNCTION("""COMPUTED_VALUE"""),"4075C3B40158")</f>
        <v>4075C3B40158</v>
      </c>
      <c r="D2647" s="21" t="str">
        <f>IFERROR(__xludf.DUMMYFUNCTION("""COMPUTED_VALUE"""),"DIGITEC TECNOLOGIA DIGITAL E REPRES")</f>
        <v>DIGITEC TECNOLOGIA DIGITAL E REPRES</v>
      </c>
      <c r="E2647" s="21">
        <f>IFERROR(__xludf.DUMMYFUNCTION("""COMPUTED_VALUE"""),145359.0)</f>
        <v>145359</v>
      </c>
      <c r="F2647" s="21" t="str">
        <f>IFERROR(__xludf.DUMMYFUNCTION("""COMPUTED_VALUE"""),"TRANSITO REVERSA")</f>
        <v>TRANSITO REVERSA</v>
      </c>
      <c r="G2647" s="23">
        <f>IFERROR(__xludf.DUMMYFUNCTION("""COMPUTED_VALUE"""),45633.003958333335)</f>
        <v>45633.00396</v>
      </c>
      <c r="H2647" s="24" t="str">
        <f>IFERROR(VLOOKUP(B2647,material!A:D,3,0),"")</f>
        <v>3.1</v>
      </c>
    </row>
    <row r="2648" ht="11.25" customHeight="1">
      <c r="A2648" s="21" t="str">
        <f>IFERROR(__xludf.DUMMYFUNCTION("""COMPUTED_VALUE"""),"MODEM VOIP EMTA WIFI 3.1 TC3102 32X8")</f>
        <v>MODEM VOIP EMTA WIFI 3.1 TC3102 32X8</v>
      </c>
      <c r="B2648" s="22">
        <f>IFERROR(__xludf.DUMMYFUNCTION("""COMPUTED_VALUE"""),4.1001513E7)</f>
        <v>41001513</v>
      </c>
      <c r="C2648" s="21" t="str">
        <f>IFERROR(__xludf.DUMMYFUNCTION("""COMPUTED_VALUE"""),"4075C3B3FB90")</f>
        <v>4075C3B3FB90</v>
      </c>
      <c r="D2648" s="21" t="str">
        <f>IFERROR(__xludf.DUMMYFUNCTION("""COMPUTED_VALUE"""),"DIGITEC TECNOLOGIA DIGITAL E REPRES")</f>
        <v>DIGITEC TECNOLOGIA DIGITAL E REPRES</v>
      </c>
      <c r="E2648" s="21">
        <f>IFERROR(__xludf.DUMMYFUNCTION("""COMPUTED_VALUE"""),145359.0)</f>
        <v>145359</v>
      </c>
      <c r="F2648" s="21" t="str">
        <f>IFERROR(__xludf.DUMMYFUNCTION("""COMPUTED_VALUE"""),"TRANSITO REVERSA")</f>
        <v>TRANSITO REVERSA</v>
      </c>
      <c r="G2648" s="23">
        <f>IFERROR(__xludf.DUMMYFUNCTION("""COMPUTED_VALUE"""),45610.73042824074)</f>
        <v>45610.73043</v>
      </c>
      <c r="H2648" s="24" t="str">
        <f>IFERROR(VLOOKUP(B2648,material!A:D,3,0),"")</f>
        <v>3.1</v>
      </c>
    </row>
    <row r="2649" ht="11.25" customHeight="1">
      <c r="A2649" s="21" t="str">
        <f>IFERROR(__xludf.DUMMYFUNCTION("""COMPUTED_VALUE"""),"MODEM VOIP EMTA WIFI 3.1 TC3102 32X8")</f>
        <v>MODEM VOIP EMTA WIFI 3.1 TC3102 32X8</v>
      </c>
      <c r="B2649" s="22">
        <f>IFERROR(__xludf.DUMMYFUNCTION("""COMPUTED_VALUE"""),4.1001513E7)</f>
        <v>41001513</v>
      </c>
      <c r="C2649" s="21" t="str">
        <f>IFERROR(__xludf.DUMMYFUNCTION("""COMPUTED_VALUE"""),"4075C3B527E0")</f>
        <v>4075C3B527E0</v>
      </c>
      <c r="D2649" s="21" t="str">
        <f>IFERROR(__xludf.DUMMYFUNCTION("""COMPUTED_VALUE"""),"DIGITEC TECNOLOGIA DIGITAL E REPRES")</f>
        <v>DIGITEC TECNOLOGIA DIGITAL E REPRES</v>
      </c>
      <c r="E2649" s="21">
        <f>IFERROR(__xludf.DUMMYFUNCTION("""COMPUTED_VALUE"""),145359.0)</f>
        <v>145359</v>
      </c>
      <c r="F2649" s="21" t="str">
        <f>IFERROR(__xludf.DUMMYFUNCTION("""COMPUTED_VALUE"""),"TRANSITO REVERSA")</f>
        <v>TRANSITO REVERSA</v>
      </c>
      <c r="G2649" s="23">
        <f>IFERROR(__xludf.DUMMYFUNCTION("""COMPUTED_VALUE"""),45617.87140046296)</f>
        <v>45617.8714</v>
      </c>
      <c r="H2649" s="24" t="str">
        <f>IFERROR(VLOOKUP(B2649,material!A:D,3,0),"")</f>
        <v>3.1</v>
      </c>
    </row>
    <row r="2650" ht="11.25" customHeight="1">
      <c r="A2650" s="21" t="str">
        <f>IFERROR(__xludf.DUMMYFUNCTION("""COMPUTED_VALUE"""),"MODEM VOIP EMTA WIFI 3.1 TC3102 32X8")</f>
        <v>MODEM VOIP EMTA WIFI 3.1 TC3102 32X8</v>
      </c>
      <c r="B2650" s="22">
        <f>IFERROR(__xludf.DUMMYFUNCTION("""COMPUTED_VALUE"""),4.1001513E7)</f>
        <v>41001513</v>
      </c>
      <c r="C2650" s="21" t="str">
        <f>IFERROR(__xludf.DUMMYFUNCTION("""COMPUTED_VALUE"""),"4075C3B350C8")</f>
        <v>4075C3B350C8</v>
      </c>
      <c r="D2650" s="21" t="str">
        <f>IFERROR(__xludf.DUMMYFUNCTION("""COMPUTED_VALUE"""),"DIGITEC TECNOLOGIA DIGITAL E REPRES")</f>
        <v>DIGITEC TECNOLOGIA DIGITAL E REPRES</v>
      </c>
      <c r="E2650" s="21">
        <f>IFERROR(__xludf.DUMMYFUNCTION("""COMPUTED_VALUE"""),145359.0)</f>
        <v>145359</v>
      </c>
      <c r="F2650" s="21" t="str">
        <f>IFERROR(__xludf.DUMMYFUNCTION("""COMPUTED_VALUE"""),"TRANSITO REVERSA")</f>
        <v>TRANSITO REVERSA</v>
      </c>
      <c r="G2650" s="23">
        <f>IFERROR(__xludf.DUMMYFUNCTION("""COMPUTED_VALUE"""),45633.00398148148)</f>
        <v>45633.00398</v>
      </c>
      <c r="H2650" s="24" t="str">
        <f>IFERROR(VLOOKUP(B2650,material!A:D,3,0),"")</f>
        <v>3.1</v>
      </c>
    </row>
    <row r="2651" ht="11.25" customHeight="1">
      <c r="A2651" s="21" t="str">
        <f>IFERROR(__xludf.DUMMYFUNCTION("""COMPUTED_VALUE"""),"MODEM VOIP EMTA WIFI 3.1 TC3102 32X8")</f>
        <v>MODEM VOIP EMTA WIFI 3.1 TC3102 32X8</v>
      </c>
      <c r="B2651" s="22">
        <f>IFERROR(__xludf.DUMMYFUNCTION("""COMPUTED_VALUE"""),4.1001513E7)</f>
        <v>41001513</v>
      </c>
      <c r="C2651" s="21" t="str">
        <f>IFERROR(__xludf.DUMMYFUNCTION("""COMPUTED_VALUE"""),"4075C3B3F348")</f>
        <v>4075C3B3F348</v>
      </c>
      <c r="D2651" s="21" t="str">
        <f>IFERROR(__xludf.DUMMYFUNCTION("""COMPUTED_VALUE"""),"DIGITEC TECNOLOGIA DIGITAL E REPRES")</f>
        <v>DIGITEC TECNOLOGIA DIGITAL E REPRES</v>
      </c>
      <c r="E2651" s="21">
        <f>IFERROR(__xludf.DUMMYFUNCTION("""COMPUTED_VALUE"""),145359.0)</f>
        <v>145359</v>
      </c>
      <c r="F2651" s="21" t="str">
        <f>IFERROR(__xludf.DUMMYFUNCTION("""COMPUTED_VALUE"""),"TRANSITO REVERSA")</f>
        <v>TRANSITO REVERSA</v>
      </c>
      <c r="G2651" s="23">
        <f>IFERROR(__xludf.DUMMYFUNCTION("""COMPUTED_VALUE"""),45617.87138888889)</f>
        <v>45617.87139</v>
      </c>
      <c r="H2651" s="24" t="str">
        <f>IFERROR(VLOOKUP(B2651,material!A:D,3,0),"")</f>
        <v>3.1</v>
      </c>
    </row>
    <row r="2652" ht="11.25" customHeight="1">
      <c r="A2652" s="21" t="str">
        <f>IFERROR(__xludf.DUMMYFUNCTION("""COMPUTED_VALUE"""),"MODEM VOIP EMTA WIFI 3.1 TC3102 32X8")</f>
        <v>MODEM VOIP EMTA WIFI 3.1 TC3102 32X8</v>
      </c>
      <c r="B2652" s="22">
        <f>IFERROR(__xludf.DUMMYFUNCTION("""COMPUTED_VALUE"""),4.1001513E7)</f>
        <v>41001513</v>
      </c>
      <c r="C2652" s="21" t="str">
        <f>IFERROR(__xludf.DUMMYFUNCTION("""COMPUTED_VALUE"""),"B85E71C77130")</f>
        <v>B85E71C77130</v>
      </c>
      <c r="D2652" s="21" t="str">
        <f>IFERROR(__xludf.DUMMYFUNCTION("""COMPUTED_VALUE"""),"DIGITEC TECNOLOGIA DIGITAL E REPRES")</f>
        <v>DIGITEC TECNOLOGIA DIGITAL E REPRES</v>
      </c>
      <c r="E2652" s="21">
        <f>IFERROR(__xludf.DUMMYFUNCTION("""COMPUTED_VALUE"""),145359.0)</f>
        <v>145359</v>
      </c>
      <c r="F2652" s="21" t="str">
        <f>IFERROR(__xludf.DUMMYFUNCTION("""COMPUTED_VALUE"""),"TRANSITO REVERSA")</f>
        <v>TRANSITO REVERSA</v>
      </c>
      <c r="G2652" s="23">
        <f>IFERROR(__xludf.DUMMYFUNCTION("""COMPUTED_VALUE"""),45610.73042824074)</f>
        <v>45610.73043</v>
      </c>
      <c r="H2652" s="24" t="str">
        <f>IFERROR(VLOOKUP(B2652,material!A:D,3,0),"")</f>
        <v>3.1</v>
      </c>
    </row>
    <row r="2653" ht="11.25" customHeight="1">
      <c r="A2653" s="21" t="str">
        <f>IFERROR(__xludf.DUMMYFUNCTION("""COMPUTED_VALUE"""),"MODEM VOIP EMTA WIFI 3.1 TC3102 32X8")</f>
        <v>MODEM VOIP EMTA WIFI 3.1 TC3102 32X8</v>
      </c>
      <c r="B2653" s="22">
        <f>IFERROR(__xludf.DUMMYFUNCTION("""COMPUTED_VALUE"""),4.1001513E7)</f>
        <v>41001513</v>
      </c>
      <c r="C2653" s="21" t="str">
        <f>IFERROR(__xludf.DUMMYFUNCTION("""COMPUTED_VALUE"""),"4075C3BB27E4")</f>
        <v>4075C3BB27E4</v>
      </c>
      <c r="D2653" s="21" t="str">
        <f>IFERROR(__xludf.DUMMYFUNCTION("""COMPUTED_VALUE"""),"DIGITEC TECNOLOGIA DIGITAL E REPRES")</f>
        <v>DIGITEC TECNOLOGIA DIGITAL E REPRES</v>
      </c>
      <c r="E2653" s="21">
        <f>IFERROR(__xludf.DUMMYFUNCTION("""COMPUTED_VALUE"""),145359.0)</f>
        <v>145359</v>
      </c>
      <c r="F2653" s="21" t="str">
        <f>IFERROR(__xludf.DUMMYFUNCTION("""COMPUTED_VALUE"""),"TRANSITO REVERSA")</f>
        <v>TRANSITO REVERSA</v>
      </c>
      <c r="G2653" s="23">
        <f>IFERROR(__xludf.DUMMYFUNCTION("""COMPUTED_VALUE"""),45610.73042824074)</f>
        <v>45610.73043</v>
      </c>
      <c r="H2653" s="24" t="str">
        <f>IFERROR(VLOOKUP(B2653,material!A:D,3,0),"")</f>
        <v>3.1</v>
      </c>
    </row>
    <row r="2654" ht="11.25" customHeight="1">
      <c r="A2654" s="21" t="str">
        <f>IFERROR(__xludf.DUMMYFUNCTION("""COMPUTED_VALUE"""),"MODEM VOIP EMTA WIFI 3.1 TC3102 32X8")</f>
        <v>MODEM VOIP EMTA WIFI 3.1 TC3102 32X8</v>
      </c>
      <c r="B2654" s="22">
        <f>IFERROR(__xludf.DUMMYFUNCTION("""COMPUTED_VALUE"""),4.1001513E7)</f>
        <v>41001513</v>
      </c>
      <c r="C2654" s="21" t="str">
        <f>IFERROR(__xludf.DUMMYFUNCTION("""COMPUTED_VALUE"""),"484BD4986A44")</f>
        <v>484BD4986A44</v>
      </c>
      <c r="D2654" s="21" t="str">
        <f>IFERROR(__xludf.DUMMYFUNCTION("""COMPUTED_VALUE"""),"DIGITEC TECNOLOGIA DIGITAL E REPRES")</f>
        <v>DIGITEC TECNOLOGIA DIGITAL E REPRES</v>
      </c>
      <c r="E2654" s="21">
        <f>IFERROR(__xludf.DUMMYFUNCTION("""COMPUTED_VALUE"""),145359.0)</f>
        <v>145359</v>
      </c>
      <c r="F2654" s="21" t="str">
        <f>IFERROR(__xludf.DUMMYFUNCTION("""COMPUTED_VALUE"""),"TRANSITO REVERSA")</f>
        <v>TRANSITO REVERSA</v>
      </c>
      <c r="G2654" s="23">
        <f>IFERROR(__xludf.DUMMYFUNCTION("""COMPUTED_VALUE"""),45633.0033912037)</f>
        <v>45633.00339</v>
      </c>
      <c r="H2654" s="24" t="str">
        <f>IFERROR(VLOOKUP(B2654,material!A:D,3,0),"")</f>
        <v>3.1</v>
      </c>
    </row>
    <row r="2655" ht="11.25" customHeight="1">
      <c r="A2655" s="21" t="str">
        <f>IFERROR(__xludf.DUMMYFUNCTION("""COMPUTED_VALUE"""),"MODEM VOIP EMTA WIFI 3.1 TC3102 32X8")</f>
        <v>MODEM VOIP EMTA WIFI 3.1 TC3102 32X8</v>
      </c>
      <c r="B2655" s="22">
        <f>IFERROR(__xludf.DUMMYFUNCTION("""COMPUTED_VALUE"""),4.1001513E7)</f>
        <v>41001513</v>
      </c>
      <c r="C2655" s="21" t="str">
        <f>IFERROR(__xludf.DUMMYFUNCTION("""COMPUTED_VALUE"""),"00CB7ADDF36C")</f>
        <v>00CB7ADDF36C</v>
      </c>
      <c r="D2655" s="21" t="str">
        <f>IFERROR(__xludf.DUMMYFUNCTION("""COMPUTED_VALUE"""),"DIGITEC TECNOLOGIA DIGITAL E REPRES")</f>
        <v>DIGITEC TECNOLOGIA DIGITAL E REPRES</v>
      </c>
      <c r="E2655" s="21">
        <f>IFERROR(__xludf.DUMMYFUNCTION("""COMPUTED_VALUE"""),145359.0)</f>
        <v>145359</v>
      </c>
      <c r="F2655" s="21" t="str">
        <f>IFERROR(__xludf.DUMMYFUNCTION("""COMPUTED_VALUE"""),"TRANSITO REVERSA")</f>
        <v>TRANSITO REVERSA</v>
      </c>
      <c r="G2655" s="23">
        <f>IFERROR(__xludf.DUMMYFUNCTION("""COMPUTED_VALUE"""),45633.00341435186)</f>
        <v>45633.00341</v>
      </c>
      <c r="H2655" s="24" t="str">
        <f>IFERROR(VLOOKUP(B2655,material!A:D,3,0),"")</f>
        <v>3.1</v>
      </c>
    </row>
    <row r="2656" ht="11.25" customHeight="1">
      <c r="A2656" s="21" t="str">
        <f>IFERROR(__xludf.DUMMYFUNCTION("""COMPUTED_VALUE"""),"MODEM VOIP EMTA WIFI 3.1 TC3102 32X8")</f>
        <v>MODEM VOIP EMTA WIFI 3.1 TC3102 32X8</v>
      </c>
      <c r="B2656" s="22">
        <f>IFERROR(__xludf.DUMMYFUNCTION("""COMPUTED_VALUE"""),4.1001513E7)</f>
        <v>41001513</v>
      </c>
      <c r="C2656" s="21" t="str">
        <f>IFERROR(__xludf.DUMMYFUNCTION("""COMPUTED_VALUE"""),"B85E71ECAF68")</f>
        <v>B85E71ECAF68</v>
      </c>
      <c r="D2656" s="21" t="str">
        <f>IFERROR(__xludf.DUMMYFUNCTION("""COMPUTED_VALUE"""),"DIGITEC TECNOLOGIA DIGITAL E REPRES")</f>
        <v>DIGITEC TECNOLOGIA DIGITAL E REPRES</v>
      </c>
      <c r="E2656" s="21">
        <f>IFERROR(__xludf.DUMMYFUNCTION("""COMPUTED_VALUE"""),145359.0)</f>
        <v>145359</v>
      </c>
      <c r="F2656" s="21" t="str">
        <f>IFERROR(__xludf.DUMMYFUNCTION("""COMPUTED_VALUE"""),"TRANSITO REVERSA")</f>
        <v>TRANSITO REVERSA</v>
      </c>
      <c r="G2656" s="23">
        <f>IFERROR(__xludf.DUMMYFUNCTION("""COMPUTED_VALUE"""),45610.73042824074)</f>
        <v>45610.73043</v>
      </c>
      <c r="H2656" s="24" t="str">
        <f>IFERROR(VLOOKUP(B2656,material!A:D,3,0),"")</f>
        <v>3.1</v>
      </c>
    </row>
    <row r="2657" ht="11.25" customHeight="1">
      <c r="A2657" s="21" t="str">
        <f>IFERROR(__xludf.DUMMYFUNCTION("""COMPUTED_VALUE"""),"MODEM VOIP EMTA WIFI 3.1 TC3102 32X8")</f>
        <v>MODEM VOIP EMTA WIFI 3.1 TC3102 32X8</v>
      </c>
      <c r="B2657" s="22">
        <f>IFERROR(__xludf.DUMMYFUNCTION("""COMPUTED_VALUE"""),4.1001513E7)</f>
        <v>41001513</v>
      </c>
      <c r="C2657" s="21" t="str">
        <f>IFERROR(__xludf.DUMMYFUNCTION("""COMPUTED_VALUE"""),"00CB7AE4868C")</f>
        <v>00CB7AE4868C</v>
      </c>
      <c r="D2657" s="21" t="str">
        <f>IFERROR(__xludf.DUMMYFUNCTION("""COMPUTED_VALUE"""),"DIGITEC TECNOLOGIA DIGITAL E REPRES")</f>
        <v>DIGITEC TECNOLOGIA DIGITAL E REPRES</v>
      </c>
      <c r="E2657" s="21">
        <f>IFERROR(__xludf.DUMMYFUNCTION("""COMPUTED_VALUE"""),145359.0)</f>
        <v>145359</v>
      </c>
      <c r="F2657" s="21" t="str">
        <f>IFERROR(__xludf.DUMMYFUNCTION("""COMPUTED_VALUE"""),"TRANSITO REVERSA")</f>
        <v>TRANSITO REVERSA</v>
      </c>
      <c r="G2657" s="23">
        <f>IFERROR(__xludf.DUMMYFUNCTION("""COMPUTED_VALUE"""),45638.52111111111)</f>
        <v>45638.52111</v>
      </c>
      <c r="H2657" s="24" t="str">
        <f>IFERROR(VLOOKUP(B2657,material!A:D,3,0),"")</f>
        <v>3.1</v>
      </c>
    </row>
    <row r="2658" ht="11.25" customHeight="1">
      <c r="A2658" s="21" t="str">
        <f>IFERROR(__xludf.DUMMYFUNCTION("""COMPUTED_VALUE"""),"MODEM VOIP EMTA WIFI 3.1 TC3102 32X8")</f>
        <v>MODEM VOIP EMTA WIFI 3.1 TC3102 32X8</v>
      </c>
      <c r="B2658" s="22">
        <f>IFERROR(__xludf.DUMMYFUNCTION("""COMPUTED_VALUE"""),4.1001513E7)</f>
        <v>41001513</v>
      </c>
      <c r="C2658" s="21" t="str">
        <f>IFERROR(__xludf.DUMMYFUNCTION("""COMPUTED_VALUE"""),"B85E71E17C10")</f>
        <v>B85E71E17C10</v>
      </c>
      <c r="D2658" s="21" t="str">
        <f>IFERROR(__xludf.DUMMYFUNCTION("""COMPUTED_VALUE"""),"DIGITEC TECNOLOGIA DIGITAL E REPRES")</f>
        <v>DIGITEC TECNOLOGIA DIGITAL E REPRES</v>
      </c>
      <c r="E2658" s="21">
        <f>IFERROR(__xludf.DUMMYFUNCTION("""COMPUTED_VALUE"""),145359.0)</f>
        <v>145359</v>
      </c>
      <c r="F2658" s="21" t="str">
        <f>IFERROR(__xludf.DUMMYFUNCTION("""COMPUTED_VALUE"""),"TRANSITO REVERSA")</f>
        <v>TRANSITO REVERSA</v>
      </c>
      <c r="G2658" s="23">
        <f>IFERROR(__xludf.DUMMYFUNCTION("""COMPUTED_VALUE"""),45626.298668981486)</f>
        <v>45626.29867</v>
      </c>
      <c r="H2658" s="24" t="str">
        <f>IFERROR(VLOOKUP(B2658,material!A:D,3,0),"")</f>
        <v>3.1</v>
      </c>
    </row>
    <row r="2659" ht="11.25" customHeight="1">
      <c r="A2659" s="21" t="str">
        <f>IFERROR(__xludf.DUMMYFUNCTION("""COMPUTED_VALUE"""),"MODEM VOIP EMTA WIFI 3.1 TC3102 32X8")</f>
        <v>MODEM VOIP EMTA WIFI 3.1 TC3102 32X8</v>
      </c>
      <c r="B2659" s="22">
        <f>IFERROR(__xludf.DUMMYFUNCTION("""COMPUTED_VALUE"""),4.1001513E7)</f>
        <v>41001513</v>
      </c>
      <c r="C2659" s="21" t="str">
        <f>IFERROR(__xludf.DUMMYFUNCTION("""COMPUTED_VALUE"""),"B85E71E392FC")</f>
        <v>B85E71E392FC</v>
      </c>
      <c r="D2659" s="21" t="str">
        <f>IFERROR(__xludf.DUMMYFUNCTION("""COMPUTED_VALUE"""),"DIGITEC TECNOLOGIA DIGITAL E REPRES")</f>
        <v>DIGITEC TECNOLOGIA DIGITAL E REPRES</v>
      </c>
      <c r="E2659" s="21">
        <f>IFERROR(__xludf.DUMMYFUNCTION("""COMPUTED_VALUE"""),145359.0)</f>
        <v>145359</v>
      </c>
      <c r="F2659" s="21" t="str">
        <f>IFERROR(__xludf.DUMMYFUNCTION("""COMPUTED_VALUE"""),"TRANSITO REVERSA")</f>
        <v>TRANSITO REVERSA</v>
      </c>
      <c r="G2659" s="23">
        <f>IFERROR(__xludf.DUMMYFUNCTION("""COMPUTED_VALUE"""),45633.00399305555)</f>
        <v>45633.00399</v>
      </c>
      <c r="H2659" s="24" t="str">
        <f>IFERROR(VLOOKUP(B2659,material!A:D,3,0),"")</f>
        <v>3.1</v>
      </c>
    </row>
    <row r="2660" ht="11.25" customHeight="1">
      <c r="A2660" s="21" t="str">
        <f>IFERROR(__xludf.DUMMYFUNCTION("""COMPUTED_VALUE"""),"MODEM VOIP EMTA WIFI 3.1 TC3102 32X8")</f>
        <v>MODEM VOIP EMTA WIFI 3.1 TC3102 32X8</v>
      </c>
      <c r="B2660" s="22">
        <f>IFERROR(__xludf.DUMMYFUNCTION("""COMPUTED_VALUE"""),4.1001513E7)</f>
        <v>41001513</v>
      </c>
      <c r="C2660" s="21" t="str">
        <f>IFERROR(__xludf.DUMMYFUNCTION("""COMPUTED_VALUE"""),"B85E71E3A148")</f>
        <v>B85E71E3A148</v>
      </c>
      <c r="D2660" s="21" t="str">
        <f>IFERROR(__xludf.DUMMYFUNCTION("""COMPUTED_VALUE"""),"DIGITEC TECNOLOGIA DIGITAL E REPRES")</f>
        <v>DIGITEC TECNOLOGIA DIGITAL E REPRES</v>
      </c>
      <c r="E2660" s="21">
        <f>IFERROR(__xludf.DUMMYFUNCTION("""COMPUTED_VALUE"""),145359.0)</f>
        <v>145359</v>
      </c>
      <c r="F2660" s="21" t="str">
        <f>IFERROR(__xludf.DUMMYFUNCTION("""COMPUTED_VALUE"""),"TRANSITO REVERSA")</f>
        <v>TRANSITO REVERSA</v>
      </c>
      <c r="G2660" s="23">
        <f>IFERROR(__xludf.DUMMYFUNCTION("""COMPUTED_VALUE"""),45638.520578703705)</f>
        <v>45638.52058</v>
      </c>
      <c r="H2660" s="24" t="str">
        <f>IFERROR(VLOOKUP(B2660,material!A:D,3,0),"")</f>
        <v>3.1</v>
      </c>
    </row>
    <row r="2661" ht="11.25" customHeight="1">
      <c r="A2661" s="21" t="str">
        <f>IFERROR(__xludf.DUMMYFUNCTION("""COMPUTED_VALUE"""),"MODEM VOIP EMTA WIFI 3.1 TC3102 32X8")</f>
        <v>MODEM VOIP EMTA WIFI 3.1 TC3102 32X8</v>
      </c>
      <c r="B2661" s="22">
        <f>IFERROR(__xludf.DUMMYFUNCTION("""COMPUTED_VALUE"""),4.1001513E7)</f>
        <v>41001513</v>
      </c>
      <c r="C2661" s="21" t="str">
        <f>IFERROR(__xludf.DUMMYFUNCTION("""COMPUTED_VALUE"""),"484BD4AD621C")</f>
        <v>484BD4AD621C</v>
      </c>
      <c r="D2661" s="21" t="str">
        <f>IFERROR(__xludf.DUMMYFUNCTION("""COMPUTED_VALUE"""),"DIGITEC TECNOLOGIA DIGITAL E REPRES")</f>
        <v>DIGITEC TECNOLOGIA DIGITAL E REPRES</v>
      </c>
      <c r="E2661" s="21">
        <f>IFERROR(__xludf.DUMMYFUNCTION("""COMPUTED_VALUE"""),145359.0)</f>
        <v>145359</v>
      </c>
      <c r="F2661" s="21" t="str">
        <f>IFERROR(__xludf.DUMMYFUNCTION("""COMPUTED_VALUE"""),"TRANSITO REVERSA")</f>
        <v>TRANSITO REVERSA</v>
      </c>
      <c r="G2661" s="23">
        <f>IFERROR(__xludf.DUMMYFUNCTION("""COMPUTED_VALUE"""),45610.73042824074)</f>
        <v>45610.73043</v>
      </c>
      <c r="H2661" s="24" t="str">
        <f>IFERROR(VLOOKUP(B2661,material!A:D,3,0),"")</f>
        <v>3.1</v>
      </c>
    </row>
    <row r="2662" ht="11.25" customHeight="1">
      <c r="A2662" s="21" t="str">
        <f>IFERROR(__xludf.DUMMYFUNCTION("""COMPUTED_VALUE"""),"MODEM VOIP EMTA WIFI 3.1 TC3102 32X8")</f>
        <v>MODEM VOIP EMTA WIFI 3.1 TC3102 32X8</v>
      </c>
      <c r="B2662" s="22">
        <f>IFERROR(__xludf.DUMMYFUNCTION("""COMPUTED_VALUE"""),4.1001513E7)</f>
        <v>41001513</v>
      </c>
      <c r="C2662" s="21" t="str">
        <f>IFERROR(__xludf.DUMMYFUNCTION("""COMPUTED_VALUE"""),"B85E71DDA734")</f>
        <v>B85E71DDA734</v>
      </c>
      <c r="D2662" s="21" t="str">
        <f>IFERROR(__xludf.DUMMYFUNCTION("""COMPUTED_VALUE"""),"DIGITEC TECNOLOGIA DIGITAL E REPRES")</f>
        <v>DIGITEC TECNOLOGIA DIGITAL E REPRES</v>
      </c>
      <c r="E2662" s="21">
        <f>IFERROR(__xludf.DUMMYFUNCTION("""COMPUTED_VALUE"""),145359.0)</f>
        <v>145359</v>
      </c>
      <c r="F2662" s="21" t="str">
        <f>IFERROR(__xludf.DUMMYFUNCTION("""COMPUTED_VALUE"""),"TRANSITO REVERSA")</f>
        <v>TRANSITO REVERSA</v>
      </c>
      <c r="G2662" s="23">
        <f>IFERROR(__xludf.DUMMYFUNCTION("""COMPUTED_VALUE"""),45633.003379629634)</f>
        <v>45633.00338</v>
      </c>
      <c r="H2662" s="24" t="str">
        <f>IFERROR(VLOOKUP(B2662,material!A:D,3,0),"")</f>
        <v>3.1</v>
      </c>
    </row>
    <row r="2663" ht="11.25" customHeight="1">
      <c r="A2663" s="21" t="str">
        <f>IFERROR(__xludf.DUMMYFUNCTION("""COMPUTED_VALUE"""),"MODEM VOIP EMTA WIFI 3.1 TC3102 32X8")</f>
        <v>MODEM VOIP EMTA WIFI 3.1 TC3102 32X8</v>
      </c>
      <c r="B2663" s="22">
        <f>IFERROR(__xludf.DUMMYFUNCTION("""COMPUTED_VALUE"""),4.1001513E7)</f>
        <v>41001513</v>
      </c>
      <c r="C2663" s="21" t="str">
        <f>IFERROR(__xludf.DUMMYFUNCTION("""COMPUTED_VALUE"""),"4075C3C0D02C")</f>
        <v>4075C3C0D02C</v>
      </c>
      <c r="D2663" s="21" t="str">
        <f>IFERROR(__xludf.DUMMYFUNCTION("""COMPUTED_VALUE"""),"DIGITEC TECNOLOGIA DIGITAL E REPRES")</f>
        <v>DIGITEC TECNOLOGIA DIGITAL E REPRES</v>
      </c>
      <c r="E2663" s="21">
        <f>IFERROR(__xludf.DUMMYFUNCTION("""COMPUTED_VALUE"""),145359.0)</f>
        <v>145359</v>
      </c>
      <c r="F2663" s="21" t="str">
        <f>IFERROR(__xludf.DUMMYFUNCTION("""COMPUTED_VALUE"""),"TRANSITO REVERSA")</f>
        <v>TRANSITO REVERSA</v>
      </c>
      <c r="G2663" s="23">
        <f>IFERROR(__xludf.DUMMYFUNCTION("""COMPUTED_VALUE"""),45617.87143518518)</f>
        <v>45617.87144</v>
      </c>
      <c r="H2663" s="24" t="str">
        <f>IFERROR(VLOOKUP(B2663,material!A:D,3,0),"")</f>
        <v>3.1</v>
      </c>
    </row>
    <row r="2664" ht="11.25" customHeight="1">
      <c r="A2664" s="21" t="str">
        <f>IFERROR(__xludf.DUMMYFUNCTION("""COMPUTED_VALUE"""),"MODEM VOIP EMTA WIFI 3.1 TC3102 32X8")</f>
        <v>MODEM VOIP EMTA WIFI 3.1 TC3102 32X8</v>
      </c>
      <c r="B2664" s="22">
        <f>IFERROR(__xludf.DUMMYFUNCTION("""COMPUTED_VALUE"""),4.1001513E7)</f>
        <v>41001513</v>
      </c>
      <c r="C2664" s="21" t="str">
        <f>IFERROR(__xludf.DUMMYFUNCTION("""COMPUTED_VALUE"""),"00CB7ADDD4B8")</f>
        <v>00CB7ADDD4B8</v>
      </c>
      <c r="D2664" s="21" t="str">
        <f>IFERROR(__xludf.DUMMYFUNCTION("""COMPUTED_VALUE"""),"DIGITEC TECNOLOGIA DIGITAL E REPRES")</f>
        <v>DIGITEC TECNOLOGIA DIGITAL E REPRES</v>
      </c>
      <c r="E2664" s="21">
        <f>IFERROR(__xludf.DUMMYFUNCTION("""COMPUTED_VALUE"""),145359.0)</f>
        <v>145359</v>
      </c>
      <c r="F2664" s="21" t="str">
        <f>IFERROR(__xludf.DUMMYFUNCTION("""COMPUTED_VALUE"""),"TRANSITO REVERSA")</f>
        <v>TRANSITO REVERSA</v>
      </c>
      <c r="G2664" s="23">
        <f>IFERROR(__xludf.DUMMYFUNCTION("""COMPUTED_VALUE"""),45626.2987037037)</f>
        <v>45626.2987</v>
      </c>
      <c r="H2664" s="24" t="str">
        <f>IFERROR(VLOOKUP(B2664,material!A:D,3,0),"")</f>
        <v>3.1</v>
      </c>
    </row>
    <row r="2665" ht="11.25" customHeight="1">
      <c r="A2665" s="21" t="str">
        <f>IFERROR(__xludf.DUMMYFUNCTION("""COMPUTED_VALUE"""),"MODEM VOIP EMTA WIFI 3.1 TC3102 32X8")</f>
        <v>MODEM VOIP EMTA WIFI 3.1 TC3102 32X8</v>
      </c>
      <c r="B2665" s="22">
        <f>IFERROR(__xludf.DUMMYFUNCTION("""COMPUTED_VALUE"""),4.1001513E7)</f>
        <v>41001513</v>
      </c>
      <c r="C2665" s="21" t="str">
        <f>IFERROR(__xludf.DUMMYFUNCTION("""COMPUTED_VALUE"""),"E4BFFAF74F24")</f>
        <v>E4BFFAF74F24</v>
      </c>
      <c r="D2665" s="21" t="str">
        <f>IFERROR(__xludf.DUMMYFUNCTION("""COMPUTED_VALUE"""),"DIGITEC TECNOLOGIA DIGITAL E REPRES")</f>
        <v>DIGITEC TECNOLOGIA DIGITAL E REPRES</v>
      </c>
      <c r="E2665" s="21">
        <f>IFERROR(__xludf.DUMMYFUNCTION("""COMPUTED_VALUE"""),145359.0)</f>
        <v>145359</v>
      </c>
      <c r="F2665" s="21" t="str">
        <f>IFERROR(__xludf.DUMMYFUNCTION("""COMPUTED_VALUE"""),"TRANSITO REVERSA")</f>
        <v>TRANSITO REVERSA</v>
      </c>
      <c r="G2665" s="23">
        <f>IFERROR(__xludf.DUMMYFUNCTION("""COMPUTED_VALUE"""),45610.73042824074)</f>
        <v>45610.73043</v>
      </c>
      <c r="H2665" s="24" t="str">
        <f>IFERROR(VLOOKUP(B2665,material!A:D,3,0),"")</f>
        <v>3.1</v>
      </c>
    </row>
    <row r="2666" ht="11.25" customHeight="1">
      <c r="A2666" s="21" t="str">
        <f>IFERROR(__xludf.DUMMYFUNCTION("""COMPUTED_VALUE"""),"MODEM VOIP EMTA WIFI 3.1 TC3102 32X8")</f>
        <v>MODEM VOIP EMTA WIFI 3.1 TC3102 32X8</v>
      </c>
      <c r="B2666" s="22">
        <f>IFERROR(__xludf.DUMMYFUNCTION("""COMPUTED_VALUE"""),4.1001513E7)</f>
        <v>41001513</v>
      </c>
      <c r="C2666" s="21" t="str">
        <f>IFERROR(__xludf.DUMMYFUNCTION("""COMPUTED_VALUE"""),"484BD4A76B4C")</f>
        <v>484BD4A76B4C</v>
      </c>
      <c r="D2666" s="21" t="str">
        <f>IFERROR(__xludf.DUMMYFUNCTION("""COMPUTED_VALUE"""),"DIGITEC TECNOLOGIA DIGITAL E REPRES")</f>
        <v>DIGITEC TECNOLOGIA DIGITAL E REPRES</v>
      </c>
      <c r="E2666" s="21">
        <f>IFERROR(__xludf.DUMMYFUNCTION("""COMPUTED_VALUE"""),145359.0)</f>
        <v>145359</v>
      </c>
      <c r="F2666" s="21" t="str">
        <f>IFERROR(__xludf.DUMMYFUNCTION("""COMPUTED_VALUE"""),"TRANSITO REVERSA")</f>
        <v>TRANSITO REVERSA</v>
      </c>
      <c r="G2666" s="23">
        <f>IFERROR(__xludf.DUMMYFUNCTION("""COMPUTED_VALUE"""),45633.003958333335)</f>
        <v>45633.00396</v>
      </c>
      <c r="H2666" s="24" t="str">
        <f>IFERROR(VLOOKUP(B2666,material!A:D,3,0),"")</f>
        <v>3.1</v>
      </c>
    </row>
    <row r="2667" ht="11.25" customHeight="1">
      <c r="A2667" s="21" t="str">
        <f>IFERROR(__xludf.DUMMYFUNCTION("""COMPUTED_VALUE"""),"MODEM VOIP EMTA WIFI 3.1 FAST3895")</f>
        <v>MODEM VOIP EMTA WIFI 3.1 FAST3895</v>
      </c>
      <c r="B2667" s="22">
        <f>IFERROR(__xludf.DUMMYFUNCTION("""COMPUTED_VALUE"""),4.1001504E7)</f>
        <v>41001504</v>
      </c>
      <c r="C2667" s="21" t="str">
        <f>IFERROR(__xludf.DUMMYFUNCTION("""COMPUTED_VALUE"""),"C03C048624E3")</f>
        <v>C03C048624E3</v>
      </c>
      <c r="D2667" s="21" t="str">
        <f>IFERROR(__xludf.DUMMYFUNCTION("""COMPUTED_VALUE"""),"DIGITEC TECNOLOGIA DIGITAL E REPRES")</f>
        <v>DIGITEC TECNOLOGIA DIGITAL E REPRES</v>
      </c>
      <c r="E2667" s="21">
        <f>IFERROR(__xludf.DUMMYFUNCTION("""COMPUTED_VALUE"""),145359.0)</f>
        <v>145359</v>
      </c>
      <c r="F2667" s="21" t="str">
        <f>IFERROR(__xludf.DUMMYFUNCTION("""COMPUTED_VALUE"""),"TRANSITO REVERSA")</f>
        <v>TRANSITO REVERSA</v>
      </c>
      <c r="G2667" s="23">
        <f>IFERROR(__xludf.DUMMYFUNCTION("""COMPUTED_VALUE"""),45610.73042824074)</f>
        <v>45610.73043</v>
      </c>
      <c r="H2667" s="24" t="str">
        <f>IFERROR(VLOOKUP(B2667,material!A:D,3,0),"")</f>
        <v>3.1</v>
      </c>
    </row>
    <row r="2668" ht="11.25" customHeight="1">
      <c r="A2668" s="21" t="str">
        <f>IFERROR(__xludf.DUMMYFUNCTION("""COMPUTED_VALUE"""),"MODEM VOIP EMTA WIFI 3.1 FAST3895")</f>
        <v>MODEM VOIP EMTA WIFI 3.1 FAST3895</v>
      </c>
      <c r="B2668" s="22">
        <f>IFERROR(__xludf.DUMMYFUNCTION("""COMPUTED_VALUE"""),4.1001504E7)</f>
        <v>41001504</v>
      </c>
      <c r="C2668" s="21" t="str">
        <f>IFERROR(__xludf.DUMMYFUNCTION("""COMPUTED_VALUE"""),"44D45460C152")</f>
        <v>44D45460C152</v>
      </c>
      <c r="D2668" s="21" t="str">
        <f>IFERROR(__xludf.DUMMYFUNCTION("""COMPUTED_VALUE"""),"DIGITEC TECNOLOGIA DIGITAL E REPRES")</f>
        <v>DIGITEC TECNOLOGIA DIGITAL E REPRES</v>
      </c>
      <c r="E2668" s="21">
        <f>IFERROR(__xludf.DUMMYFUNCTION("""COMPUTED_VALUE"""),145359.0)</f>
        <v>145359</v>
      </c>
      <c r="F2668" s="21" t="str">
        <f>IFERROR(__xludf.DUMMYFUNCTION("""COMPUTED_VALUE"""),"TRANSITO REVERSA")</f>
        <v>TRANSITO REVERSA</v>
      </c>
      <c r="G2668" s="23">
        <f>IFERROR(__xludf.DUMMYFUNCTION("""COMPUTED_VALUE"""),45610.73042824074)</f>
        <v>45610.73043</v>
      </c>
      <c r="H2668" s="24" t="str">
        <f>IFERROR(VLOOKUP(B2668,material!A:D,3,0),"")</f>
        <v>3.1</v>
      </c>
    </row>
    <row r="2669" ht="11.25" customHeight="1">
      <c r="A2669" s="21" t="str">
        <f>IFERROR(__xludf.DUMMYFUNCTION("""COMPUTED_VALUE"""),"MODEM VOIP EMTA WIFI 3.1 FAST3895")</f>
        <v>MODEM VOIP EMTA WIFI 3.1 FAST3895</v>
      </c>
      <c r="B2669" s="22">
        <f>IFERROR(__xludf.DUMMYFUNCTION("""COMPUTED_VALUE"""),4.1001504E7)</f>
        <v>41001504</v>
      </c>
      <c r="C2669" s="21" t="str">
        <f>IFERROR(__xludf.DUMMYFUNCTION("""COMPUTED_VALUE"""),"E4C0E23FF1C8")</f>
        <v>E4C0E23FF1C8</v>
      </c>
      <c r="D2669" s="21" t="str">
        <f>IFERROR(__xludf.DUMMYFUNCTION("""COMPUTED_VALUE"""),"DIGITEC TECNOLOGIA DIGITAL E REPRES")</f>
        <v>DIGITEC TECNOLOGIA DIGITAL E REPRES</v>
      </c>
      <c r="E2669" s="21">
        <f>IFERROR(__xludf.DUMMYFUNCTION("""COMPUTED_VALUE"""),145359.0)</f>
        <v>145359</v>
      </c>
      <c r="F2669" s="21" t="str">
        <f>IFERROR(__xludf.DUMMYFUNCTION("""COMPUTED_VALUE"""),"TRANSITO REVERSA")</f>
        <v>TRANSITO REVERSA</v>
      </c>
      <c r="G2669" s="23">
        <f>IFERROR(__xludf.DUMMYFUNCTION("""COMPUTED_VALUE"""),45626.298680555556)</f>
        <v>45626.29868</v>
      </c>
      <c r="H2669" s="24" t="str">
        <f>IFERROR(VLOOKUP(B2669,material!A:D,3,0),"")</f>
        <v>3.1</v>
      </c>
    </row>
    <row r="2670" ht="11.25" customHeight="1">
      <c r="A2670" s="21" t="str">
        <f>IFERROR(__xludf.DUMMYFUNCTION("""COMPUTED_VALUE"""),"MODEM VOIP EMTA WIFI 3.1 FAST3895")</f>
        <v>MODEM VOIP EMTA WIFI 3.1 FAST3895</v>
      </c>
      <c r="B2670" s="22">
        <f>IFERROR(__xludf.DUMMYFUNCTION("""COMPUTED_VALUE"""),4.1001504E7)</f>
        <v>41001504</v>
      </c>
      <c r="C2670" s="21" t="str">
        <f>IFERROR(__xludf.DUMMYFUNCTION("""COMPUTED_VALUE"""),"44D4546B7F8F")</f>
        <v>44D4546B7F8F</v>
      </c>
      <c r="D2670" s="21" t="str">
        <f>IFERROR(__xludf.DUMMYFUNCTION("""COMPUTED_VALUE"""),"DIGITEC TECNOLOGIA DIGITAL E REPRES")</f>
        <v>DIGITEC TECNOLOGIA DIGITAL E REPRES</v>
      </c>
      <c r="E2670" s="21">
        <f>IFERROR(__xludf.DUMMYFUNCTION("""COMPUTED_VALUE"""),145359.0)</f>
        <v>145359</v>
      </c>
      <c r="F2670" s="21" t="str">
        <f>IFERROR(__xludf.DUMMYFUNCTION("""COMPUTED_VALUE"""),"TRANSITO REVERSA")</f>
        <v>TRANSITO REVERSA</v>
      </c>
      <c r="G2670" s="23">
        <f>IFERROR(__xludf.DUMMYFUNCTION("""COMPUTED_VALUE"""),45617.87143518518)</f>
        <v>45617.87144</v>
      </c>
      <c r="H2670" s="24" t="str">
        <f>IFERROR(VLOOKUP(B2670,material!A:D,3,0),"")</f>
        <v>3.1</v>
      </c>
    </row>
    <row r="2671" ht="11.25" customHeight="1">
      <c r="A2671" s="21" t="str">
        <f>IFERROR(__xludf.DUMMYFUNCTION("""COMPUTED_VALUE"""),"MODEM VOIP EMTA WIFI 3.1 FAST3895")</f>
        <v>MODEM VOIP EMTA WIFI 3.1 FAST3895</v>
      </c>
      <c r="B2671" s="22">
        <f>IFERROR(__xludf.DUMMYFUNCTION("""COMPUTED_VALUE"""),4.1001504E7)</f>
        <v>41001504</v>
      </c>
      <c r="C2671" s="21" t="str">
        <f>IFERROR(__xludf.DUMMYFUNCTION("""COMPUTED_VALUE"""),"44D454C1DA20")</f>
        <v>44D454C1DA20</v>
      </c>
      <c r="D2671" s="21" t="str">
        <f>IFERROR(__xludf.DUMMYFUNCTION("""COMPUTED_VALUE"""),"DIGITEC TECNOLOGIA DIGITAL E REPRES")</f>
        <v>DIGITEC TECNOLOGIA DIGITAL E REPRES</v>
      </c>
      <c r="E2671" s="21">
        <f>IFERROR(__xludf.DUMMYFUNCTION("""COMPUTED_VALUE"""),145359.0)</f>
        <v>145359</v>
      </c>
      <c r="F2671" s="21" t="str">
        <f>IFERROR(__xludf.DUMMYFUNCTION("""COMPUTED_VALUE"""),"TRANSITO REVERSA")</f>
        <v>TRANSITO REVERSA</v>
      </c>
      <c r="G2671" s="23">
        <f>IFERROR(__xludf.DUMMYFUNCTION("""COMPUTED_VALUE"""),45638.521099537036)</f>
        <v>45638.5211</v>
      </c>
      <c r="H2671" s="24" t="str">
        <f>IFERROR(VLOOKUP(B2671,material!A:D,3,0),"")</f>
        <v>3.1</v>
      </c>
    </row>
    <row r="2672" ht="11.25" customHeight="1">
      <c r="A2672" s="21" t="str">
        <f>IFERROR(__xludf.DUMMYFUNCTION("""COMPUTED_VALUE"""),"MODEM VOIP EMTA WIFI 3.1 FAST3895")</f>
        <v>MODEM VOIP EMTA WIFI 3.1 FAST3895</v>
      </c>
      <c r="B2672" s="22">
        <f>IFERROR(__xludf.DUMMYFUNCTION("""COMPUTED_VALUE"""),4.1001504E7)</f>
        <v>41001504</v>
      </c>
      <c r="C2672" s="21" t="str">
        <f>IFERROR(__xludf.DUMMYFUNCTION("""COMPUTED_VALUE"""),"E4C0E23F3A40")</f>
        <v>E4C0E23F3A40</v>
      </c>
      <c r="D2672" s="21" t="str">
        <f>IFERROR(__xludf.DUMMYFUNCTION("""COMPUTED_VALUE"""),"DIGITEC TECNOLOGIA DIGITAL E REPRES")</f>
        <v>DIGITEC TECNOLOGIA DIGITAL E REPRES</v>
      </c>
      <c r="E2672" s="21">
        <f>IFERROR(__xludf.DUMMYFUNCTION("""COMPUTED_VALUE"""),145359.0)</f>
        <v>145359</v>
      </c>
      <c r="F2672" s="21" t="str">
        <f>IFERROR(__xludf.DUMMYFUNCTION("""COMPUTED_VALUE"""),"TRANSITO REVERSA")</f>
        <v>TRANSITO REVERSA</v>
      </c>
      <c r="G2672" s="23">
        <f>IFERROR(__xludf.DUMMYFUNCTION("""COMPUTED_VALUE"""),45610.73042824074)</f>
        <v>45610.73043</v>
      </c>
      <c r="H2672" s="24" t="str">
        <f>IFERROR(VLOOKUP(B2672,material!A:D,3,0),"")</f>
        <v>3.1</v>
      </c>
    </row>
    <row r="2673" ht="11.25" customHeight="1">
      <c r="A2673" s="21" t="str">
        <f>IFERROR(__xludf.DUMMYFUNCTION("""COMPUTED_VALUE"""),"MODEM VOIP EMTA WIFI 3.1 FAST3895")</f>
        <v>MODEM VOIP EMTA WIFI 3.1 FAST3895</v>
      </c>
      <c r="B2673" s="22">
        <f>IFERROR(__xludf.DUMMYFUNCTION("""COMPUTED_VALUE"""),4.1001504E7)</f>
        <v>41001504</v>
      </c>
      <c r="C2673" s="21" t="str">
        <f>IFERROR(__xludf.DUMMYFUNCTION("""COMPUTED_VALUE"""),"345D9EB40E6C")</f>
        <v>345D9EB40E6C</v>
      </c>
      <c r="D2673" s="21" t="str">
        <f>IFERROR(__xludf.DUMMYFUNCTION("""COMPUTED_VALUE"""),"DIGITEC TECNOLOGIA DIGITAL E REPRES")</f>
        <v>DIGITEC TECNOLOGIA DIGITAL E REPRES</v>
      </c>
      <c r="E2673" s="21">
        <f>IFERROR(__xludf.DUMMYFUNCTION("""COMPUTED_VALUE"""),145359.0)</f>
        <v>145359</v>
      </c>
      <c r="F2673" s="21" t="str">
        <f>IFERROR(__xludf.DUMMYFUNCTION("""COMPUTED_VALUE"""),"TRANSITO REVERSA")</f>
        <v>TRANSITO REVERSA</v>
      </c>
      <c r="G2673" s="23">
        <f>IFERROR(__xludf.DUMMYFUNCTION("""COMPUTED_VALUE"""),45633.003958333335)</f>
        <v>45633.00396</v>
      </c>
      <c r="H2673" s="24" t="str">
        <f>IFERROR(VLOOKUP(B2673,material!A:D,3,0),"")</f>
        <v>3.1</v>
      </c>
    </row>
    <row r="2674" ht="11.25" customHeight="1">
      <c r="A2674" s="21" t="str">
        <f>IFERROR(__xludf.DUMMYFUNCTION("""COMPUTED_VALUE"""),"MODEM VOIP EMTA WIFI 3.1 FAST3895")</f>
        <v>MODEM VOIP EMTA WIFI 3.1 FAST3895</v>
      </c>
      <c r="B2674" s="22">
        <f>IFERROR(__xludf.DUMMYFUNCTION("""COMPUTED_VALUE"""),4.1001504E7)</f>
        <v>41001504</v>
      </c>
      <c r="C2674" s="21" t="str">
        <f>IFERROR(__xludf.DUMMYFUNCTION("""COMPUTED_VALUE"""),"E4C0E2987680")</f>
        <v>E4C0E2987680</v>
      </c>
      <c r="D2674" s="21" t="str">
        <f>IFERROR(__xludf.DUMMYFUNCTION("""COMPUTED_VALUE"""),"DIGITEC TECNOLOGIA DIGITAL E REPRES")</f>
        <v>DIGITEC TECNOLOGIA DIGITAL E REPRES</v>
      </c>
      <c r="E2674" s="21">
        <f>IFERROR(__xludf.DUMMYFUNCTION("""COMPUTED_VALUE"""),145359.0)</f>
        <v>145359</v>
      </c>
      <c r="F2674" s="21" t="str">
        <f>IFERROR(__xludf.DUMMYFUNCTION("""COMPUTED_VALUE"""),"TRANSITO REVERSA")</f>
        <v>TRANSITO REVERSA</v>
      </c>
      <c r="G2674" s="23">
        <f>IFERROR(__xludf.DUMMYFUNCTION("""COMPUTED_VALUE"""),45638.52113425926)</f>
        <v>45638.52113</v>
      </c>
      <c r="H2674" s="24" t="str">
        <f>IFERROR(VLOOKUP(B2674,material!A:D,3,0),"")</f>
        <v>3.1</v>
      </c>
    </row>
    <row r="2675" ht="11.25" customHeight="1">
      <c r="A2675" s="21" t="str">
        <f>IFERROR(__xludf.DUMMYFUNCTION("""COMPUTED_VALUE"""),"MODEM VOIP EMTA WIFI 3.1 FAST3895")</f>
        <v>MODEM VOIP EMTA WIFI 3.1 FAST3895</v>
      </c>
      <c r="B2675" s="22">
        <f>IFERROR(__xludf.DUMMYFUNCTION("""COMPUTED_VALUE"""),4.1001504E7)</f>
        <v>41001504</v>
      </c>
      <c r="C2675" s="21" t="str">
        <f>IFERROR(__xludf.DUMMYFUNCTION("""COMPUTED_VALUE"""),"E4C0E23FC6E8")</f>
        <v>E4C0E23FC6E8</v>
      </c>
      <c r="D2675" s="21" t="str">
        <f>IFERROR(__xludf.DUMMYFUNCTION("""COMPUTED_VALUE"""),"DIGITEC TECNOLOGIA DIGITAL E REPRES")</f>
        <v>DIGITEC TECNOLOGIA DIGITAL E REPRES</v>
      </c>
      <c r="E2675" s="21">
        <f>IFERROR(__xludf.DUMMYFUNCTION("""COMPUTED_VALUE"""),145359.0)</f>
        <v>145359</v>
      </c>
      <c r="F2675" s="21" t="str">
        <f>IFERROR(__xludf.DUMMYFUNCTION("""COMPUTED_VALUE"""),"TRANSITO REVERSA")</f>
        <v>TRANSITO REVERSA</v>
      </c>
      <c r="G2675" s="23">
        <f>IFERROR(__xludf.DUMMYFUNCTION("""COMPUTED_VALUE"""),45617.87138888889)</f>
        <v>45617.87139</v>
      </c>
      <c r="H2675" s="24" t="str">
        <f>IFERROR(VLOOKUP(B2675,material!A:D,3,0),"")</f>
        <v>3.1</v>
      </c>
    </row>
    <row r="2676" ht="11.25" customHeight="1">
      <c r="A2676" s="21" t="str">
        <f>IFERROR(__xludf.DUMMYFUNCTION("""COMPUTED_VALUE"""),"MODEM VOIP EMTA WIFI 3.1 FAST3895")</f>
        <v>MODEM VOIP EMTA WIFI 3.1 FAST3895</v>
      </c>
      <c r="B2676" s="22">
        <f>IFERROR(__xludf.DUMMYFUNCTION("""COMPUTED_VALUE"""),4.1001504E7)</f>
        <v>41001504</v>
      </c>
      <c r="C2676" s="21" t="str">
        <f>IFERROR(__xludf.DUMMYFUNCTION("""COMPUTED_VALUE"""),"E4C0E29059EF")</f>
        <v>E4C0E29059EF</v>
      </c>
      <c r="D2676" s="21" t="str">
        <f>IFERROR(__xludf.DUMMYFUNCTION("""COMPUTED_VALUE"""),"DIGITEC TECNOLOGIA DIGITAL E REPRES")</f>
        <v>DIGITEC TECNOLOGIA DIGITAL E REPRES</v>
      </c>
      <c r="E2676" s="21">
        <f>IFERROR(__xludf.DUMMYFUNCTION("""COMPUTED_VALUE"""),145359.0)</f>
        <v>145359</v>
      </c>
      <c r="F2676" s="21" t="str">
        <f>IFERROR(__xludf.DUMMYFUNCTION("""COMPUTED_VALUE"""),"TRANSITO REVERSA")</f>
        <v>TRANSITO REVERSA</v>
      </c>
      <c r="G2676" s="23">
        <f>IFERROR(__xludf.DUMMYFUNCTION("""COMPUTED_VALUE"""),45633.00398148148)</f>
        <v>45633.00398</v>
      </c>
      <c r="H2676" s="24" t="str">
        <f>IFERROR(VLOOKUP(B2676,material!A:D,3,0),"")</f>
        <v>3.1</v>
      </c>
    </row>
    <row r="2677" ht="11.25" customHeight="1">
      <c r="A2677" s="21" t="str">
        <f>IFERROR(__xludf.DUMMYFUNCTION("""COMPUTED_VALUE"""),"MODEM VOIP EMTA WIFI 3.1 FAST3895")</f>
        <v>MODEM VOIP EMTA WIFI 3.1 FAST3895</v>
      </c>
      <c r="B2677" s="22">
        <f>IFERROR(__xludf.DUMMYFUNCTION("""COMPUTED_VALUE"""),4.1001504E7)</f>
        <v>41001504</v>
      </c>
      <c r="C2677" s="21" t="str">
        <f>IFERROR(__xludf.DUMMYFUNCTION("""COMPUTED_VALUE"""),"44D454FFCE6E")</f>
        <v>44D454FFCE6E</v>
      </c>
      <c r="D2677" s="21" t="str">
        <f>IFERROR(__xludf.DUMMYFUNCTION("""COMPUTED_VALUE"""),"DIGITEC TECNOLOGIA DIGITAL E REPRES")</f>
        <v>DIGITEC TECNOLOGIA DIGITAL E REPRES</v>
      </c>
      <c r="E2677" s="21">
        <f>IFERROR(__xludf.DUMMYFUNCTION("""COMPUTED_VALUE"""),145359.0)</f>
        <v>145359</v>
      </c>
      <c r="F2677" s="21" t="str">
        <f>IFERROR(__xludf.DUMMYFUNCTION("""COMPUTED_VALUE"""),"TRANSITO REVERSA")</f>
        <v>TRANSITO REVERSA</v>
      </c>
      <c r="G2677" s="23">
        <f>IFERROR(__xludf.DUMMYFUNCTION("""COMPUTED_VALUE"""),45633.00399305555)</f>
        <v>45633.00399</v>
      </c>
      <c r="H2677" s="24" t="str">
        <f>IFERROR(VLOOKUP(B2677,material!A:D,3,0),"")</f>
        <v>3.1</v>
      </c>
    </row>
    <row r="2678" ht="11.25" customHeight="1">
      <c r="A2678" s="21" t="str">
        <f>IFERROR(__xludf.DUMMYFUNCTION("""COMPUTED_VALUE"""),"MODEM VOIP EMTA WIFI 3.1 FAST3895")</f>
        <v>MODEM VOIP EMTA WIFI 3.1 FAST3895</v>
      </c>
      <c r="B2678" s="22">
        <f>IFERROR(__xludf.DUMMYFUNCTION("""COMPUTED_VALUE"""),4.1001504E7)</f>
        <v>41001504</v>
      </c>
      <c r="C2678" s="21" t="str">
        <f>IFERROR(__xludf.DUMMYFUNCTION("""COMPUTED_VALUE"""),"345D9EB46D4E")</f>
        <v>345D9EB46D4E</v>
      </c>
      <c r="D2678" s="21" t="str">
        <f>IFERROR(__xludf.DUMMYFUNCTION("""COMPUTED_VALUE"""),"DIGITEC TECNOLOGIA DIGITAL E REPRES")</f>
        <v>DIGITEC TECNOLOGIA DIGITAL E REPRES</v>
      </c>
      <c r="E2678" s="21">
        <f>IFERROR(__xludf.DUMMYFUNCTION("""COMPUTED_VALUE"""),145359.0)</f>
        <v>145359</v>
      </c>
      <c r="F2678" s="21" t="str">
        <f>IFERROR(__xludf.DUMMYFUNCTION("""COMPUTED_VALUE"""),"TRANSITO REVERSA")</f>
        <v>TRANSITO REVERSA</v>
      </c>
      <c r="G2678" s="23">
        <f>IFERROR(__xludf.DUMMYFUNCTION("""COMPUTED_VALUE"""),45617.87180555555)</f>
        <v>45617.87181</v>
      </c>
      <c r="H2678" s="24" t="str">
        <f>IFERROR(VLOOKUP(B2678,material!A:D,3,0),"")</f>
        <v>3.1</v>
      </c>
    </row>
    <row r="2679" ht="11.25" customHeight="1">
      <c r="A2679" s="21" t="str">
        <f>IFERROR(__xludf.DUMMYFUNCTION("""COMPUTED_VALUE"""),"MODEM VOIP EMTA WIFI 3.1 FAST3895")</f>
        <v>MODEM VOIP EMTA WIFI 3.1 FAST3895</v>
      </c>
      <c r="B2679" s="22">
        <f>IFERROR(__xludf.DUMMYFUNCTION("""COMPUTED_VALUE"""),4.1001504E7)</f>
        <v>41001504</v>
      </c>
      <c r="C2679" s="21" t="str">
        <f>IFERROR(__xludf.DUMMYFUNCTION("""COMPUTED_VALUE"""),"6CBAB8E9FFBA")</f>
        <v>6CBAB8E9FFBA</v>
      </c>
      <c r="D2679" s="21" t="str">
        <f>IFERROR(__xludf.DUMMYFUNCTION("""COMPUTED_VALUE"""),"DIGITEC TECNOLOGIA DIGITAL E REPRES")</f>
        <v>DIGITEC TECNOLOGIA DIGITAL E REPRES</v>
      </c>
      <c r="E2679" s="21">
        <f>IFERROR(__xludf.DUMMYFUNCTION("""COMPUTED_VALUE"""),145359.0)</f>
        <v>145359</v>
      </c>
      <c r="F2679" s="21" t="str">
        <f>IFERROR(__xludf.DUMMYFUNCTION("""COMPUTED_VALUE"""),"TRANSITO REVERSA")</f>
        <v>TRANSITO REVERSA</v>
      </c>
      <c r="G2679" s="23">
        <f>IFERROR(__xludf.DUMMYFUNCTION("""COMPUTED_VALUE"""),45626.29871527778)</f>
        <v>45626.29872</v>
      </c>
      <c r="H2679" s="24" t="str">
        <f>IFERROR(VLOOKUP(B2679,material!A:D,3,0),"")</f>
        <v>3.1</v>
      </c>
    </row>
    <row r="2680" ht="11.25" customHeight="1">
      <c r="A2680" s="21" t="str">
        <f>IFERROR(__xludf.DUMMYFUNCTION("""COMPUTED_VALUE"""),"MODEM VOIP EMTA WIFI 3.1 FAST3895")</f>
        <v>MODEM VOIP EMTA WIFI 3.1 FAST3895</v>
      </c>
      <c r="B2680" s="22">
        <f>IFERROR(__xludf.DUMMYFUNCTION("""COMPUTED_VALUE"""),4.1001504E7)</f>
        <v>41001504</v>
      </c>
      <c r="C2680" s="21" t="str">
        <f>IFERROR(__xludf.DUMMYFUNCTION("""COMPUTED_VALUE"""),"D833B7315FF1")</f>
        <v>D833B7315FF1</v>
      </c>
      <c r="D2680" s="21" t="str">
        <f>IFERROR(__xludf.DUMMYFUNCTION("""COMPUTED_VALUE"""),"DIGITEC TECNOLOGIA DIGITAL E REPRES")</f>
        <v>DIGITEC TECNOLOGIA DIGITAL E REPRES</v>
      </c>
      <c r="E2680" s="21">
        <f>IFERROR(__xludf.DUMMYFUNCTION("""COMPUTED_VALUE"""),145359.0)</f>
        <v>145359</v>
      </c>
      <c r="F2680" s="21" t="str">
        <f>IFERROR(__xludf.DUMMYFUNCTION("""COMPUTED_VALUE"""),"TRANSITO REVERSA")</f>
        <v>TRANSITO REVERSA</v>
      </c>
      <c r="G2680" s="23">
        <f>IFERROR(__xludf.DUMMYFUNCTION("""COMPUTED_VALUE"""),45610.73042824074)</f>
        <v>45610.73043</v>
      </c>
      <c r="H2680" s="24" t="str">
        <f>IFERROR(VLOOKUP(B2680,material!A:D,3,0),"")</f>
        <v>3.1</v>
      </c>
    </row>
    <row r="2681" ht="11.25" customHeight="1">
      <c r="A2681" s="21" t="str">
        <f>IFERROR(__xludf.DUMMYFUNCTION("""COMPUTED_VALUE"""),"MODEM VOIP EMTA WIFI 3.1 FAST3895")</f>
        <v>MODEM VOIP EMTA WIFI 3.1 FAST3895</v>
      </c>
      <c r="B2681" s="22">
        <f>IFERROR(__xludf.DUMMYFUNCTION("""COMPUTED_VALUE"""),4.1001504E7)</f>
        <v>41001504</v>
      </c>
      <c r="C2681" s="21" t="str">
        <f>IFERROR(__xludf.DUMMYFUNCTION("""COMPUTED_VALUE"""),"D833B71F5A84")</f>
        <v>D833B71F5A84</v>
      </c>
      <c r="D2681" s="21" t="str">
        <f>IFERROR(__xludf.DUMMYFUNCTION("""COMPUTED_VALUE"""),"DIGITEC TECNOLOGIA DIGITAL E REPRES")</f>
        <v>DIGITEC TECNOLOGIA DIGITAL E REPRES</v>
      </c>
      <c r="E2681" s="21">
        <f>IFERROR(__xludf.DUMMYFUNCTION("""COMPUTED_VALUE"""),145359.0)</f>
        <v>145359</v>
      </c>
      <c r="F2681" s="21" t="str">
        <f>IFERROR(__xludf.DUMMYFUNCTION("""COMPUTED_VALUE"""),"TRANSITO REVERSA")</f>
        <v>TRANSITO REVERSA</v>
      </c>
      <c r="G2681" s="23">
        <f>IFERROR(__xludf.DUMMYFUNCTION("""COMPUTED_VALUE"""),45626.298668981486)</f>
        <v>45626.29867</v>
      </c>
      <c r="H2681" s="24" t="str">
        <f>IFERROR(VLOOKUP(B2681,material!A:D,3,0),"")</f>
        <v>3.1</v>
      </c>
    </row>
    <row r="2682" ht="11.25" customHeight="1">
      <c r="A2682" s="21" t="str">
        <f>IFERROR(__xludf.DUMMYFUNCTION("""COMPUTED_VALUE"""),"MODEM VOIP EMTA WIFI 3.1 FAST3895")</f>
        <v>MODEM VOIP EMTA WIFI 3.1 FAST3895</v>
      </c>
      <c r="B2682" s="22">
        <f>IFERROR(__xludf.DUMMYFUNCTION("""COMPUTED_VALUE"""),4.1001504E7)</f>
        <v>41001504</v>
      </c>
      <c r="C2682" s="21" t="str">
        <f>IFERROR(__xludf.DUMMYFUNCTION("""COMPUTED_VALUE"""),"345D9EBE0E83")</f>
        <v>345D9EBE0E83</v>
      </c>
      <c r="D2682" s="21" t="str">
        <f>IFERROR(__xludf.DUMMYFUNCTION("""COMPUTED_VALUE"""),"DIGITEC TECNOLOGIA DIGITAL E REPRES")</f>
        <v>DIGITEC TECNOLOGIA DIGITAL E REPRES</v>
      </c>
      <c r="E2682" s="21">
        <f>IFERROR(__xludf.DUMMYFUNCTION("""COMPUTED_VALUE"""),145359.0)</f>
        <v>145359</v>
      </c>
      <c r="F2682" s="21" t="str">
        <f>IFERROR(__xludf.DUMMYFUNCTION("""COMPUTED_VALUE"""),"TRANSITO REVERSA")</f>
        <v>TRANSITO REVERSA</v>
      </c>
      <c r="G2682" s="23">
        <f>IFERROR(__xludf.DUMMYFUNCTION("""COMPUTED_VALUE"""),45626.298692129625)</f>
        <v>45626.29869</v>
      </c>
      <c r="H2682" s="24" t="str">
        <f>IFERROR(VLOOKUP(B2682,material!A:D,3,0),"")</f>
        <v>3.1</v>
      </c>
    </row>
    <row r="2683" ht="11.25" customHeight="1">
      <c r="A2683" s="21" t="str">
        <f>IFERROR(__xludf.DUMMYFUNCTION("""COMPUTED_VALUE"""),"MODEM VOIP EMTA WIFI 3.1 FAST3895")</f>
        <v>MODEM VOIP EMTA WIFI 3.1 FAST3895</v>
      </c>
      <c r="B2683" s="22">
        <f>IFERROR(__xludf.DUMMYFUNCTION("""COMPUTED_VALUE"""),4.1001504E7)</f>
        <v>41001504</v>
      </c>
      <c r="C2683" s="21" t="str">
        <f>IFERROR(__xludf.DUMMYFUNCTION("""COMPUTED_VALUE"""),"6CBAB8EA026F")</f>
        <v>6CBAB8EA026F</v>
      </c>
      <c r="D2683" s="21" t="str">
        <f>IFERROR(__xludf.DUMMYFUNCTION("""COMPUTED_VALUE"""),"DIGITEC TECNOLOGIA DIGITAL E REPRES")</f>
        <v>DIGITEC TECNOLOGIA DIGITAL E REPRES</v>
      </c>
      <c r="E2683" s="21">
        <f>IFERROR(__xludf.DUMMYFUNCTION("""COMPUTED_VALUE"""),145359.0)</f>
        <v>145359</v>
      </c>
      <c r="F2683" s="21" t="str">
        <f>IFERROR(__xludf.DUMMYFUNCTION("""COMPUTED_VALUE"""),"TRANSITO REVERSA")</f>
        <v>TRANSITO REVERSA</v>
      </c>
      <c r="G2683" s="23">
        <f>IFERROR(__xludf.DUMMYFUNCTION("""COMPUTED_VALUE"""),45617.87143518518)</f>
        <v>45617.87144</v>
      </c>
      <c r="H2683" s="24" t="str">
        <f>IFERROR(VLOOKUP(B2683,material!A:D,3,0),"")</f>
        <v>3.1</v>
      </c>
    </row>
    <row r="2684" ht="11.25" customHeight="1">
      <c r="A2684" s="21" t="str">
        <f>IFERROR(__xludf.DUMMYFUNCTION("""COMPUTED_VALUE"""),"MODEM VOIP EMTA WIFI 3.1 FAST3895")</f>
        <v>MODEM VOIP EMTA WIFI 3.1 FAST3895</v>
      </c>
      <c r="B2684" s="22">
        <f>IFERROR(__xludf.DUMMYFUNCTION("""COMPUTED_VALUE"""),4.1001504E7)</f>
        <v>41001504</v>
      </c>
      <c r="C2684" s="21" t="str">
        <f>IFERROR(__xludf.DUMMYFUNCTION("""COMPUTED_VALUE"""),"6CBAB8EA0395")</f>
        <v>6CBAB8EA0395</v>
      </c>
      <c r="D2684" s="21" t="str">
        <f>IFERROR(__xludf.DUMMYFUNCTION("""COMPUTED_VALUE"""),"DIGITEC TECNOLOGIA DIGITAL E REPRES")</f>
        <v>DIGITEC TECNOLOGIA DIGITAL E REPRES</v>
      </c>
      <c r="E2684" s="21">
        <f>IFERROR(__xludf.DUMMYFUNCTION("""COMPUTED_VALUE"""),145359.0)</f>
        <v>145359</v>
      </c>
      <c r="F2684" s="21" t="str">
        <f>IFERROR(__xludf.DUMMYFUNCTION("""COMPUTED_VALUE"""),"TRANSITO REVERSA")</f>
        <v>TRANSITO REVERSA</v>
      </c>
      <c r="G2684" s="23">
        <f>IFERROR(__xludf.DUMMYFUNCTION("""COMPUTED_VALUE"""),45610.73042824074)</f>
        <v>45610.73043</v>
      </c>
      <c r="H2684" s="24" t="str">
        <f>IFERROR(VLOOKUP(B2684,material!A:D,3,0),"")</f>
        <v>3.1</v>
      </c>
    </row>
    <row r="2685" ht="11.25" customHeight="1">
      <c r="A2685" s="21" t="str">
        <f>IFERROR(__xludf.DUMMYFUNCTION("""COMPUTED_VALUE"""),"MODEM VOIP EMTA WIFI 3.1 FAST3895")</f>
        <v>MODEM VOIP EMTA WIFI 3.1 FAST3895</v>
      </c>
      <c r="B2685" s="22">
        <f>IFERROR(__xludf.DUMMYFUNCTION("""COMPUTED_VALUE"""),4.1001504E7)</f>
        <v>41001504</v>
      </c>
      <c r="C2685" s="21" t="str">
        <f>IFERROR(__xludf.DUMMYFUNCTION("""COMPUTED_VALUE"""),"209A7DBA4A55")</f>
        <v>209A7DBA4A55</v>
      </c>
      <c r="D2685" s="21" t="str">
        <f>IFERROR(__xludf.DUMMYFUNCTION("""COMPUTED_VALUE"""),"DIGITEC TECNOLOGIA DIGITAL E REPRES")</f>
        <v>DIGITEC TECNOLOGIA DIGITAL E REPRES</v>
      </c>
      <c r="E2685" s="21">
        <f>IFERROR(__xludf.DUMMYFUNCTION("""COMPUTED_VALUE"""),145359.0)</f>
        <v>145359</v>
      </c>
      <c r="F2685" s="21" t="str">
        <f>IFERROR(__xludf.DUMMYFUNCTION("""COMPUTED_VALUE"""),"TRANSITO REVERSA")</f>
        <v>TRANSITO REVERSA</v>
      </c>
      <c r="G2685" s="23">
        <f>IFERROR(__xludf.DUMMYFUNCTION("""COMPUTED_VALUE"""),45633.00398148148)</f>
        <v>45633.00398</v>
      </c>
      <c r="H2685" s="24" t="str">
        <f>IFERROR(VLOOKUP(B2685,material!A:D,3,0),"")</f>
        <v>3.1</v>
      </c>
    </row>
    <row r="2686" ht="11.25" customHeight="1">
      <c r="A2686" s="21" t="str">
        <f>IFERROR(__xludf.DUMMYFUNCTION("""COMPUTED_VALUE"""),"MODEM VOIP EMTA WIFI 3.1 FAST3895")</f>
        <v>MODEM VOIP EMTA WIFI 3.1 FAST3895</v>
      </c>
      <c r="B2686" s="22">
        <f>IFERROR(__xludf.DUMMYFUNCTION("""COMPUTED_VALUE"""),4.1001504E7)</f>
        <v>41001504</v>
      </c>
      <c r="C2686" s="21" t="str">
        <f>IFERROR(__xludf.DUMMYFUNCTION("""COMPUTED_VALUE"""),"44ADB1320B95")</f>
        <v>44ADB1320B95</v>
      </c>
      <c r="D2686" s="21" t="str">
        <f>IFERROR(__xludf.DUMMYFUNCTION("""COMPUTED_VALUE"""),"DIGITEC TECNOLOGIA DIGITAL E REPRES")</f>
        <v>DIGITEC TECNOLOGIA DIGITAL E REPRES</v>
      </c>
      <c r="E2686" s="21">
        <f>IFERROR(__xludf.DUMMYFUNCTION("""COMPUTED_VALUE"""),145359.0)</f>
        <v>145359</v>
      </c>
      <c r="F2686" s="21" t="str">
        <f>IFERROR(__xludf.DUMMYFUNCTION("""COMPUTED_VALUE"""),"TRANSITO REVERSA")</f>
        <v>TRANSITO REVERSA</v>
      </c>
      <c r="G2686" s="23">
        <f>IFERROR(__xludf.DUMMYFUNCTION("""COMPUTED_VALUE"""),45610.73043981481)</f>
        <v>45610.73044</v>
      </c>
      <c r="H2686" s="24" t="str">
        <f>IFERROR(VLOOKUP(B2686,material!A:D,3,0),"")</f>
        <v>3.1</v>
      </c>
    </row>
    <row r="2687" ht="11.25" customHeight="1">
      <c r="A2687" s="21" t="str">
        <f>IFERROR(__xludf.DUMMYFUNCTION("""COMPUTED_VALUE"""),"MODEM VOIP EMTA WIFI 3.1 FAST3895")</f>
        <v>MODEM VOIP EMTA WIFI 3.1 FAST3895</v>
      </c>
      <c r="B2687" s="22">
        <f>IFERROR(__xludf.DUMMYFUNCTION("""COMPUTED_VALUE"""),4.1001504E7)</f>
        <v>41001504</v>
      </c>
      <c r="C2687" s="21" t="str">
        <f>IFERROR(__xludf.DUMMYFUNCTION("""COMPUTED_VALUE"""),"64FD965E5B55")</f>
        <v>64FD965E5B55</v>
      </c>
      <c r="D2687" s="21" t="str">
        <f>IFERROR(__xludf.DUMMYFUNCTION("""COMPUTED_VALUE"""),"DIGITEC TECNOLOGIA DIGITAL E REPRES")</f>
        <v>DIGITEC TECNOLOGIA DIGITAL E REPRES</v>
      </c>
      <c r="E2687" s="21">
        <f>IFERROR(__xludf.DUMMYFUNCTION("""COMPUTED_VALUE"""),145359.0)</f>
        <v>145359</v>
      </c>
      <c r="F2687" s="21" t="str">
        <f>IFERROR(__xludf.DUMMYFUNCTION("""COMPUTED_VALUE"""),"TRANSITO REVERSA")</f>
        <v>TRANSITO REVERSA</v>
      </c>
      <c r="G2687" s="23">
        <f>IFERROR(__xludf.DUMMYFUNCTION("""COMPUTED_VALUE"""),45610.73042824074)</f>
        <v>45610.73043</v>
      </c>
      <c r="H2687" s="24" t="str">
        <f>IFERROR(VLOOKUP(B2687,material!A:D,3,0),"")</f>
        <v>3.1</v>
      </c>
    </row>
    <row r="2688" ht="11.25" customHeight="1">
      <c r="A2688" s="21" t="str">
        <f>IFERROR(__xludf.DUMMYFUNCTION("""COMPUTED_VALUE"""),"MODEM VOIP EMTA WIFI 3.1 FAST3895")</f>
        <v>MODEM VOIP EMTA WIFI 3.1 FAST3895</v>
      </c>
      <c r="B2688" s="22">
        <f>IFERROR(__xludf.DUMMYFUNCTION("""COMPUTED_VALUE"""),4.1001504E7)</f>
        <v>41001504</v>
      </c>
      <c r="C2688" s="21" t="str">
        <f>IFERROR(__xludf.DUMMYFUNCTION("""COMPUTED_VALUE"""),"64FD965E5471")</f>
        <v>64FD965E5471</v>
      </c>
      <c r="D2688" s="21" t="str">
        <f>IFERROR(__xludf.DUMMYFUNCTION("""COMPUTED_VALUE"""),"DIGITEC TECNOLOGIA DIGITAL E REPRES")</f>
        <v>DIGITEC TECNOLOGIA DIGITAL E REPRES</v>
      </c>
      <c r="E2688" s="21">
        <f>IFERROR(__xludf.DUMMYFUNCTION("""COMPUTED_VALUE"""),145359.0)</f>
        <v>145359</v>
      </c>
      <c r="F2688" s="21" t="str">
        <f>IFERROR(__xludf.DUMMYFUNCTION("""COMPUTED_VALUE"""),"TRANSITO REVERSA")</f>
        <v>TRANSITO REVERSA</v>
      </c>
      <c r="G2688" s="23">
        <f>IFERROR(__xludf.DUMMYFUNCTION("""COMPUTED_VALUE"""),45610.73042824074)</f>
        <v>45610.73043</v>
      </c>
      <c r="H2688" s="24" t="str">
        <f>IFERROR(VLOOKUP(B2688,material!A:D,3,0),"")</f>
        <v>3.1</v>
      </c>
    </row>
    <row r="2689" ht="11.25" customHeight="1">
      <c r="A2689" s="21" t="str">
        <f>IFERROR(__xludf.DUMMYFUNCTION("""COMPUTED_VALUE"""),"MODEM VOIP EMTA WIFI 3.1 FAST3895")</f>
        <v>MODEM VOIP EMTA WIFI 3.1 FAST3895</v>
      </c>
      <c r="B2689" s="22">
        <f>IFERROR(__xludf.DUMMYFUNCTION("""COMPUTED_VALUE"""),4.1001504E7)</f>
        <v>41001504</v>
      </c>
      <c r="C2689" s="21" t="str">
        <f>IFERROR(__xludf.DUMMYFUNCTION("""COMPUTED_VALUE"""),"64FD96564A77")</f>
        <v>64FD96564A77</v>
      </c>
      <c r="D2689" s="21" t="str">
        <f>IFERROR(__xludf.DUMMYFUNCTION("""COMPUTED_VALUE"""),"DIGITEC TECNOLOGIA DIGITAL E REPRES")</f>
        <v>DIGITEC TECNOLOGIA DIGITAL E REPRES</v>
      </c>
      <c r="E2689" s="21">
        <f>IFERROR(__xludf.DUMMYFUNCTION("""COMPUTED_VALUE"""),145359.0)</f>
        <v>145359</v>
      </c>
      <c r="F2689" s="21" t="str">
        <f>IFERROR(__xludf.DUMMYFUNCTION("""COMPUTED_VALUE"""),"TRANSITO REVERSA")</f>
        <v>TRANSITO REVERSA</v>
      </c>
      <c r="G2689" s="23">
        <f>IFERROR(__xludf.DUMMYFUNCTION("""COMPUTED_VALUE"""),45626.29872685185)</f>
        <v>45626.29873</v>
      </c>
      <c r="H2689" s="24" t="str">
        <f>IFERROR(VLOOKUP(B2689,material!A:D,3,0),"")</f>
        <v>3.1</v>
      </c>
    </row>
    <row r="2690" ht="11.25" customHeight="1">
      <c r="A2690" s="21" t="str">
        <f>IFERROR(__xludf.DUMMYFUNCTION("""COMPUTED_VALUE"""),"MODEM VOIP EMTA WIFI 3.1 FAST3895")</f>
        <v>MODEM VOIP EMTA WIFI 3.1 FAST3895</v>
      </c>
      <c r="B2690" s="22">
        <f>IFERROR(__xludf.DUMMYFUNCTION("""COMPUTED_VALUE"""),4.1001504E7)</f>
        <v>41001504</v>
      </c>
      <c r="C2690" s="21" t="str">
        <f>IFERROR(__xludf.DUMMYFUNCTION("""COMPUTED_VALUE"""),"B0BBE53D6430")</f>
        <v>B0BBE53D6430</v>
      </c>
      <c r="D2690" s="21" t="str">
        <f>IFERROR(__xludf.DUMMYFUNCTION("""COMPUTED_VALUE"""),"DIGITEC TECNOLOGIA DIGITAL E REPRES")</f>
        <v>DIGITEC TECNOLOGIA DIGITAL E REPRES</v>
      </c>
      <c r="E2690" s="21">
        <f>IFERROR(__xludf.DUMMYFUNCTION("""COMPUTED_VALUE"""),145359.0)</f>
        <v>145359</v>
      </c>
      <c r="F2690" s="21" t="str">
        <f>IFERROR(__xludf.DUMMYFUNCTION("""COMPUTED_VALUE"""),"TRANSITO REVERSA")</f>
        <v>TRANSITO REVERSA</v>
      </c>
      <c r="G2690" s="23">
        <f>IFERROR(__xludf.DUMMYFUNCTION("""COMPUTED_VALUE"""),45617.87143518518)</f>
        <v>45617.87144</v>
      </c>
      <c r="H2690" s="24" t="str">
        <f>IFERROR(VLOOKUP(B2690,material!A:D,3,0),"")</f>
        <v>3.1</v>
      </c>
    </row>
    <row r="2691" ht="11.25" customHeight="1">
      <c r="A2691" s="21" t="str">
        <f>IFERROR(__xludf.DUMMYFUNCTION("""COMPUTED_VALUE"""),"MODEM VOIP EMTA WIFI 3.1 FAST3895")</f>
        <v>MODEM VOIP EMTA WIFI 3.1 FAST3895</v>
      </c>
      <c r="B2691" s="22">
        <f>IFERROR(__xludf.DUMMYFUNCTION("""COMPUTED_VALUE"""),4.1001504E7)</f>
        <v>41001504</v>
      </c>
      <c r="C2691" s="21" t="str">
        <f>IFERROR(__xludf.DUMMYFUNCTION("""COMPUTED_VALUE"""),"8CFDDE87A130")</f>
        <v>8CFDDE87A130</v>
      </c>
      <c r="D2691" s="21" t="str">
        <f>IFERROR(__xludf.DUMMYFUNCTION("""COMPUTED_VALUE"""),"DIGITEC TECNOLOGIA DIGITAL E REPRES")</f>
        <v>DIGITEC TECNOLOGIA DIGITAL E REPRES</v>
      </c>
      <c r="E2691" s="21">
        <f>IFERROR(__xludf.DUMMYFUNCTION("""COMPUTED_VALUE"""),145359.0)</f>
        <v>145359</v>
      </c>
      <c r="F2691" s="21" t="str">
        <f>IFERROR(__xludf.DUMMYFUNCTION("""COMPUTED_VALUE"""),"TRANSITO REVERSA")</f>
        <v>TRANSITO REVERSA</v>
      </c>
      <c r="G2691" s="23">
        <f>IFERROR(__xludf.DUMMYFUNCTION("""COMPUTED_VALUE"""),45610.73042824074)</f>
        <v>45610.73043</v>
      </c>
      <c r="H2691" s="24" t="str">
        <f>IFERROR(VLOOKUP(B2691,material!A:D,3,0),"")</f>
        <v>3.1</v>
      </c>
    </row>
    <row r="2692" ht="11.25" customHeight="1">
      <c r="A2692" s="21" t="str">
        <f>IFERROR(__xludf.DUMMYFUNCTION("""COMPUTED_VALUE"""),"MODEM VOIP EMTA WIFI 3.1 FAST3895")</f>
        <v>MODEM VOIP EMTA WIFI 3.1 FAST3895</v>
      </c>
      <c r="B2692" s="22">
        <f>IFERROR(__xludf.DUMMYFUNCTION("""COMPUTED_VALUE"""),4.1001504E7)</f>
        <v>41001504</v>
      </c>
      <c r="C2692" s="21" t="str">
        <f>IFERROR(__xludf.DUMMYFUNCTION("""COMPUTED_VALUE"""),"8CFDDE878EBB")</f>
        <v>8CFDDE878EBB</v>
      </c>
      <c r="D2692" s="21" t="str">
        <f>IFERROR(__xludf.DUMMYFUNCTION("""COMPUTED_VALUE"""),"DIGITEC TECNOLOGIA DIGITAL E REPRES")</f>
        <v>DIGITEC TECNOLOGIA DIGITAL E REPRES</v>
      </c>
      <c r="E2692" s="21">
        <f>IFERROR(__xludf.DUMMYFUNCTION("""COMPUTED_VALUE"""),145359.0)</f>
        <v>145359</v>
      </c>
      <c r="F2692" s="21" t="str">
        <f>IFERROR(__xludf.DUMMYFUNCTION("""COMPUTED_VALUE"""),"TRANSITO REVERSA")</f>
        <v>TRANSITO REVERSA</v>
      </c>
      <c r="G2692" s="23">
        <f>IFERROR(__xludf.DUMMYFUNCTION("""COMPUTED_VALUE"""),45638.52112268518)</f>
        <v>45638.52112</v>
      </c>
      <c r="H2692" s="24" t="str">
        <f>IFERROR(VLOOKUP(B2692,material!A:D,3,0),"")</f>
        <v>3.1</v>
      </c>
    </row>
    <row r="2693" ht="11.25" customHeight="1">
      <c r="A2693" s="21" t="str">
        <f>IFERROR(__xludf.DUMMYFUNCTION("""COMPUTED_VALUE"""),"MODEM VOIP EMTA WIFI 3.1 FAST3895")</f>
        <v>MODEM VOIP EMTA WIFI 3.1 FAST3895</v>
      </c>
      <c r="B2693" s="22">
        <f>IFERROR(__xludf.DUMMYFUNCTION("""COMPUTED_VALUE"""),4.1001504E7)</f>
        <v>41001504</v>
      </c>
      <c r="C2693" s="21" t="str">
        <f>IFERROR(__xludf.DUMMYFUNCTION("""COMPUTED_VALUE"""),"5CFA25167AA7")</f>
        <v>5CFA25167AA7</v>
      </c>
      <c r="D2693" s="21" t="str">
        <f>IFERROR(__xludf.DUMMYFUNCTION("""COMPUTED_VALUE"""),"DIGITEC TECNOLOGIA DIGITAL E REPRES")</f>
        <v>DIGITEC TECNOLOGIA DIGITAL E REPRES</v>
      </c>
      <c r="E2693" s="21">
        <f>IFERROR(__xludf.DUMMYFUNCTION("""COMPUTED_VALUE"""),145359.0)</f>
        <v>145359</v>
      </c>
      <c r="F2693" s="21" t="str">
        <f>IFERROR(__xludf.DUMMYFUNCTION("""COMPUTED_VALUE"""),"TRANSITO REVERSA")</f>
        <v>TRANSITO REVERSA</v>
      </c>
      <c r="G2693" s="23">
        <f>IFERROR(__xludf.DUMMYFUNCTION("""COMPUTED_VALUE"""),45638.52060185185)</f>
        <v>45638.5206</v>
      </c>
      <c r="H2693" s="24" t="str">
        <f>IFERROR(VLOOKUP(B2693,material!A:D,3,0),"")</f>
        <v>3.1</v>
      </c>
    </row>
    <row r="2694" ht="11.25" customHeight="1">
      <c r="A2694" s="21" t="str">
        <f>IFERROR(__xludf.DUMMYFUNCTION("""COMPUTED_VALUE"""),"MODEM VOIP EMTA WIFI 3.1 FAST3895")</f>
        <v>MODEM VOIP EMTA WIFI 3.1 FAST3895</v>
      </c>
      <c r="B2694" s="22">
        <f>IFERROR(__xludf.DUMMYFUNCTION("""COMPUTED_VALUE"""),4.1001504E7)</f>
        <v>41001504</v>
      </c>
      <c r="C2694" s="21" t="str">
        <f>IFERROR(__xludf.DUMMYFUNCTION("""COMPUTED_VALUE"""),"B0BBE54D066B")</f>
        <v>B0BBE54D066B</v>
      </c>
      <c r="D2694" s="21" t="str">
        <f>IFERROR(__xludf.DUMMYFUNCTION("""COMPUTED_VALUE"""),"DIGITEC TECNOLOGIA DIGITAL E REPRES")</f>
        <v>DIGITEC TECNOLOGIA DIGITAL E REPRES</v>
      </c>
      <c r="E2694" s="21">
        <f>IFERROR(__xludf.DUMMYFUNCTION("""COMPUTED_VALUE"""),145359.0)</f>
        <v>145359</v>
      </c>
      <c r="F2694" s="21" t="str">
        <f>IFERROR(__xludf.DUMMYFUNCTION("""COMPUTED_VALUE"""),"TRANSITO REVERSA")</f>
        <v>TRANSITO REVERSA</v>
      </c>
      <c r="G2694" s="23">
        <f>IFERROR(__xludf.DUMMYFUNCTION("""COMPUTED_VALUE"""),45633.00396990741)</f>
        <v>45633.00397</v>
      </c>
      <c r="H2694" s="24" t="str">
        <f>IFERROR(VLOOKUP(B2694,material!A:D,3,0),"")</f>
        <v>3.1</v>
      </c>
    </row>
    <row r="2695" ht="11.25" customHeight="1">
      <c r="A2695" s="21" t="str">
        <f>IFERROR(__xludf.DUMMYFUNCTION("""COMPUTED_VALUE"""),"MODEM VOIP EMTA WIFI 3.1 FAST3895")</f>
        <v>MODEM VOIP EMTA WIFI 3.1 FAST3895</v>
      </c>
      <c r="B2695" s="22">
        <f>IFERROR(__xludf.DUMMYFUNCTION("""COMPUTED_VALUE"""),4.1001504E7)</f>
        <v>41001504</v>
      </c>
      <c r="C2695" s="21" t="str">
        <f>IFERROR(__xludf.DUMMYFUNCTION("""COMPUTED_VALUE"""),"B0BBE549B803")</f>
        <v>B0BBE549B803</v>
      </c>
      <c r="D2695" s="21" t="str">
        <f>IFERROR(__xludf.DUMMYFUNCTION("""COMPUTED_VALUE"""),"DIGITEC TECNOLOGIA DIGITAL E REPRES")</f>
        <v>DIGITEC TECNOLOGIA DIGITAL E REPRES</v>
      </c>
      <c r="E2695" s="21">
        <f>IFERROR(__xludf.DUMMYFUNCTION("""COMPUTED_VALUE"""),145359.0)</f>
        <v>145359</v>
      </c>
      <c r="F2695" s="21" t="str">
        <f>IFERROR(__xludf.DUMMYFUNCTION("""COMPUTED_VALUE"""),"TRANSITO REVERSA")</f>
        <v>TRANSITO REVERSA</v>
      </c>
      <c r="G2695" s="23">
        <f>IFERROR(__xludf.DUMMYFUNCTION("""COMPUTED_VALUE"""),45638.520578703705)</f>
        <v>45638.52058</v>
      </c>
      <c r="H2695" s="24" t="str">
        <f>IFERROR(VLOOKUP(B2695,material!A:D,3,0),"")</f>
        <v>3.1</v>
      </c>
    </row>
    <row r="2696" ht="11.25" customHeight="1">
      <c r="A2696" s="21" t="str">
        <f>IFERROR(__xludf.DUMMYFUNCTION("""COMPUTED_VALUE"""),"MODEM VOIP EMTA WIFI 3.1 FAST3895")</f>
        <v>MODEM VOIP EMTA WIFI 3.1 FAST3895</v>
      </c>
      <c r="B2696" s="22">
        <f>IFERROR(__xludf.DUMMYFUNCTION("""COMPUTED_VALUE"""),4.1001504E7)</f>
        <v>41001504</v>
      </c>
      <c r="C2696" s="21" t="str">
        <f>IFERROR(__xludf.DUMMYFUNCTION("""COMPUTED_VALUE"""),"B0BBE549A119")</f>
        <v>B0BBE549A119</v>
      </c>
      <c r="D2696" s="21" t="str">
        <f>IFERROR(__xludf.DUMMYFUNCTION("""COMPUTED_VALUE"""),"DIGITEC TECNOLOGIA DIGITAL E REPRES")</f>
        <v>DIGITEC TECNOLOGIA DIGITAL E REPRES</v>
      </c>
      <c r="E2696" s="21">
        <f>IFERROR(__xludf.DUMMYFUNCTION("""COMPUTED_VALUE"""),145359.0)</f>
        <v>145359</v>
      </c>
      <c r="F2696" s="21" t="str">
        <f>IFERROR(__xludf.DUMMYFUNCTION("""COMPUTED_VALUE"""),"TRANSITO REVERSA")</f>
        <v>TRANSITO REVERSA</v>
      </c>
      <c r="G2696" s="23">
        <f>IFERROR(__xludf.DUMMYFUNCTION("""COMPUTED_VALUE"""),45638.52061342592)</f>
        <v>45638.52061</v>
      </c>
      <c r="H2696" s="24" t="str">
        <f>IFERROR(VLOOKUP(B2696,material!A:D,3,0),"")</f>
        <v>3.1</v>
      </c>
    </row>
    <row r="2697" ht="11.25" customHeight="1">
      <c r="A2697" s="21" t="str">
        <f>IFERROR(__xludf.DUMMYFUNCTION("""COMPUTED_VALUE"""),"MODEM VOIP EMTA WIFI 3.1 FAST3895")</f>
        <v>MODEM VOIP EMTA WIFI 3.1 FAST3895</v>
      </c>
      <c r="B2697" s="22">
        <f>IFERROR(__xludf.DUMMYFUNCTION("""COMPUTED_VALUE"""),4.1001504E7)</f>
        <v>41001504</v>
      </c>
      <c r="C2697" s="21" t="str">
        <f>IFERROR(__xludf.DUMMYFUNCTION("""COMPUTED_VALUE"""),"94988F93D358")</f>
        <v>94988F93D358</v>
      </c>
      <c r="D2697" s="21" t="str">
        <f>IFERROR(__xludf.DUMMYFUNCTION("""COMPUTED_VALUE"""),"DIGITEC TECNOLOGIA DIGITAL E REPRES")</f>
        <v>DIGITEC TECNOLOGIA DIGITAL E REPRES</v>
      </c>
      <c r="E2697" s="21">
        <f>IFERROR(__xludf.DUMMYFUNCTION("""COMPUTED_VALUE"""),145359.0)</f>
        <v>145359</v>
      </c>
      <c r="F2697" s="21" t="str">
        <f>IFERROR(__xludf.DUMMYFUNCTION("""COMPUTED_VALUE"""),"TRANSITO REVERSA")</f>
        <v>TRANSITO REVERSA</v>
      </c>
      <c r="G2697" s="23">
        <f>IFERROR(__xludf.DUMMYFUNCTION("""COMPUTED_VALUE"""),45633.0033912037)</f>
        <v>45633.00339</v>
      </c>
      <c r="H2697" s="24" t="str">
        <f>IFERROR(VLOOKUP(B2697,material!A:D,3,0),"")</f>
        <v>3.1</v>
      </c>
    </row>
    <row r="2698" ht="11.25" customHeight="1">
      <c r="A2698" s="21" t="str">
        <f>IFERROR(__xludf.DUMMYFUNCTION("""COMPUTED_VALUE"""),"MODEM VOIP EMTA WIFI 3.1 FAST3895")</f>
        <v>MODEM VOIP EMTA WIFI 3.1 FAST3895</v>
      </c>
      <c r="B2698" s="22">
        <f>IFERROR(__xludf.DUMMYFUNCTION("""COMPUTED_VALUE"""),4.1001504E7)</f>
        <v>41001504</v>
      </c>
      <c r="C2698" s="21" t="str">
        <f>IFERROR(__xludf.DUMMYFUNCTION("""COMPUTED_VALUE"""),"CC5830E2AFE7")</f>
        <v>CC5830E2AFE7</v>
      </c>
      <c r="D2698" s="21" t="str">
        <f>IFERROR(__xludf.DUMMYFUNCTION("""COMPUTED_VALUE"""),"DIGITEC TECNOLOGIA DIGITAL E REPRES")</f>
        <v>DIGITEC TECNOLOGIA DIGITAL E REPRES</v>
      </c>
      <c r="E2698" s="21">
        <f>IFERROR(__xludf.DUMMYFUNCTION("""COMPUTED_VALUE"""),145359.0)</f>
        <v>145359</v>
      </c>
      <c r="F2698" s="21" t="str">
        <f>IFERROR(__xludf.DUMMYFUNCTION("""COMPUTED_VALUE"""),"TRANSITO REVERSA")</f>
        <v>TRANSITO REVERSA</v>
      </c>
      <c r="G2698" s="23">
        <f>IFERROR(__xludf.DUMMYFUNCTION("""COMPUTED_VALUE"""),45610.73042824074)</f>
        <v>45610.73043</v>
      </c>
      <c r="H2698" s="24" t="str">
        <f>IFERROR(VLOOKUP(B2698,material!A:D,3,0),"")</f>
        <v>3.1</v>
      </c>
    </row>
    <row r="2699" ht="11.25" customHeight="1">
      <c r="A2699" s="21" t="str">
        <f>IFERROR(__xludf.DUMMYFUNCTION("""COMPUTED_VALUE"""),"MODEM VOIP EMTA WIFI 3.1 FAST3895")</f>
        <v>MODEM VOIP EMTA WIFI 3.1 FAST3895</v>
      </c>
      <c r="B2699" s="22">
        <f>IFERROR(__xludf.DUMMYFUNCTION("""COMPUTED_VALUE"""),4.1001504E7)</f>
        <v>41001504</v>
      </c>
      <c r="C2699" s="21" t="str">
        <f>IFERROR(__xludf.DUMMYFUNCTION("""COMPUTED_VALUE"""),"CC5830E2B00A")</f>
        <v>CC5830E2B00A</v>
      </c>
      <c r="D2699" s="21" t="str">
        <f>IFERROR(__xludf.DUMMYFUNCTION("""COMPUTED_VALUE"""),"DIGITEC TECNOLOGIA DIGITAL E REPRES")</f>
        <v>DIGITEC TECNOLOGIA DIGITAL E REPRES</v>
      </c>
      <c r="E2699" s="21">
        <f>IFERROR(__xludf.DUMMYFUNCTION("""COMPUTED_VALUE"""),145359.0)</f>
        <v>145359</v>
      </c>
      <c r="F2699" s="21" t="str">
        <f>IFERROR(__xludf.DUMMYFUNCTION("""COMPUTED_VALUE"""),"TRANSITO REVERSA")</f>
        <v>TRANSITO REVERSA</v>
      </c>
      <c r="G2699" s="23">
        <f>IFERROR(__xludf.DUMMYFUNCTION("""COMPUTED_VALUE"""),45610.73042824074)</f>
        <v>45610.73043</v>
      </c>
      <c r="H2699" s="24" t="str">
        <f>IFERROR(VLOOKUP(B2699,material!A:D,3,0),"")</f>
        <v>3.1</v>
      </c>
    </row>
    <row r="2700" ht="11.25" customHeight="1">
      <c r="A2700" s="21" t="str">
        <f>IFERROR(__xludf.DUMMYFUNCTION("""COMPUTED_VALUE"""),"MODEM VOIP EMTA WIFI 3.1 FAST3895")</f>
        <v>MODEM VOIP EMTA WIFI 3.1 FAST3895</v>
      </c>
      <c r="B2700" s="22">
        <f>IFERROR(__xludf.DUMMYFUNCTION("""COMPUTED_VALUE"""),4.1001504E7)</f>
        <v>41001504</v>
      </c>
      <c r="C2700" s="21" t="str">
        <f>IFERROR(__xludf.DUMMYFUNCTION("""COMPUTED_VALUE"""),"CC5830E2B168")</f>
        <v>CC5830E2B168</v>
      </c>
      <c r="D2700" s="21" t="str">
        <f>IFERROR(__xludf.DUMMYFUNCTION("""COMPUTED_VALUE"""),"DIGITEC TECNOLOGIA DIGITAL E REPRES")</f>
        <v>DIGITEC TECNOLOGIA DIGITAL E REPRES</v>
      </c>
      <c r="E2700" s="21">
        <f>IFERROR(__xludf.DUMMYFUNCTION("""COMPUTED_VALUE"""),145359.0)</f>
        <v>145359</v>
      </c>
      <c r="F2700" s="21" t="str">
        <f>IFERROR(__xludf.DUMMYFUNCTION("""COMPUTED_VALUE"""),"TRANSITO REVERSA")</f>
        <v>TRANSITO REVERSA</v>
      </c>
      <c r="G2700" s="23">
        <f>IFERROR(__xludf.DUMMYFUNCTION("""COMPUTED_VALUE"""),45610.73042824074)</f>
        <v>45610.73043</v>
      </c>
      <c r="H2700" s="24" t="str">
        <f>IFERROR(VLOOKUP(B2700,material!A:D,3,0),"")</f>
        <v>3.1</v>
      </c>
    </row>
    <row r="2701" ht="11.25" customHeight="1">
      <c r="A2701" s="21" t="str">
        <f>IFERROR(__xludf.DUMMYFUNCTION("""COMPUTED_VALUE"""),"MODEM VOIP EMTA WIFI 3.1 FAST3895")</f>
        <v>MODEM VOIP EMTA WIFI 3.1 FAST3895</v>
      </c>
      <c r="B2701" s="22">
        <f>IFERROR(__xludf.DUMMYFUNCTION("""COMPUTED_VALUE"""),4.1001504E7)</f>
        <v>41001504</v>
      </c>
      <c r="C2701" s="21" t="str">
        <f>IFERROR(__xludf.DUMMYFUNCTION("""COMPUTED_VALUE"""),"94988F93D6FB")</f>
        <v>94988F93D6FB</v>
      </c>
      <c r="D2701" s="21" t="str">
        <f>IFERROR(__xludf.DUMMYFUNCTION("""COMPUTED_VALUE"""),"DIGITEC TECNOLOGIA DIGITAL E REPRES")</f>
        <v>DIGITEC TECNOLOGIA DIGITAL E REPRES</v>
      </c>
      <c r="E2701" s="21">
        <f>IFERROR(__xludf.DUMMYFUNCTION("""COMPUTED_VALUE"""),145359.0)</f>
        <v>145359</v>
      </c>
      <c r="F2701" s="21" t="str">
        <f>IFERROR(__xludf.DUMMYFUNCTION("""COMPUTED_VALUE"""),"TRANSITO REVERSA")</f>
        <v>TRANSITO REVERSA</v>
      </c>
      <c r="G2701" s="23">
        <f>IFERROR(__xludf.DUMMYFUNCTION("""COMPUTED_VALUE"""),45638.52113425926)</f>
        <v>45638.52113</v>
      </c>
      <c r="H2701" s="24" t="str">
        <f>IFERROR(VLOOKUP(B2701,material!A:D,3,0),"")</f>
        <v>3.1</v>
      </c>
    </row>
    <row r="2702" ht="11.25" customHeight="1">
      <c r="A2702" s="21" t="str">
        <f>IFERROR(__xludf.DUMMYFUNCTION("""COMPUTED_VALUE"""),"MODEM VOIP EMTA WIFI 3.1 FAST3895")</f>
        <v>MODEM VOIP EMTA WIFI 3.1 FAST3895</v>
      </c>
      <c r="B2702" s="22">
        <f>IFERROR(__xludf.DUMMYFUNCTION("""COMPUTED_VALUE"""),4.1001504E7)</f>
        <v>41001504</v>
      </c>
      <c r="C2702" s="21" t="str">
        <f>IFERROR(__xludf.DUMMYFUNCTION("""COMPUTED_VALUE"""),"94988F93D5C0")</f>
        <v>94988F93D5C0</v>
      </c>
      <c r="D2702" s="21" t="str">
        <f>IFERROR(__xludf.DUMMYFUNCTION("""COMPUTED_VALUE"""),"DIGITEC TECNOLOGIA DIGITAL E REPRES")</f>
        <v>DIGITEC TECNOLOGIA DIGITAL E REPRES</v>
      </c>
      <c r="E2702" s="21">
        <f>IFERROR(__xludf.DUMMYFUNCTION("""COMPUTED_VALUE"""),145359.0)</f>
        <v>145359</v>
      </c>
      <c r="F2702" s="21" t="str">
        <f>IFERROR(__xludf.DUMMYFUNCTION("""COMPUTED_VALUE"""),"TRANSITO REVERSA")</f>
        <v>TRANSITO REVERSA</v>
      </c>
      <c r="G2702" s="23">
        <f>IFERROR(__xludf.DUMMYFUNCTION("""COMPUTED_VALUE"""),45617.87143518518)</f>
        <v>45617.87144</v>
      </c>
      <c r="H2702" s="24" t="str">
        <f>IFERROR(VLOOKUP(B2702,material!A:D,3,0),"")</f>
        <v>3.1</v>
      </c>
    </row>
    <row r="2703" ht="11.25" customHeight="1">
      <c r="A2703" s="21" t="str">
        <f>IFERROR(__xludf.DUMMYFUNCTION("""COMPUTED_VALUE"""),"MODEM VOIP EMTA WIFI 3.1 FAST3895")</f>
        <v>MODEM VOIP EMTA WIFI 3.1 FAST3895</v>
      </c>
      <c r="B2703" s="22">
        <f>IFERROR(__xludf.DUMMYFUNCTION("""COMPUTED_VALUE"""),4.1001504E7)</f>
        <v>41001504</v>
      </c>
      <c r="C2703" s="21" t="str">
        <f>IFERROR(__xludf.DUMMYFUNCTION("""COMPUTED_VALUE"""),"94988F306D63")</f>
        <v>94988F306D63</v>
      </c>
      <c r="D2703" s="21" t="str">
        <f>IFERROR(__xludf.DUMMYFUNCTION("""COMPUTED_VALUE"""),"DIGITEC TECNOLOGIA DIGITAL E REPRES")</f>
        <v>DIGITEC TECNOLOGIA DIGITAL E REPRES</v>
      </c>
      <c r="E2703" s="21">
        <f>IFERROR(__xludf.DUMMYFUNCTION("""COMPUTED_VALUE"""),145359.0)</f>
        <v>145359</v>
      </c>
      <c r="F2703" s="21" t="str">
        <f>IFERROR(__xludf.DUMMYFUNCTION("""COMPUTED_VALUE"""),"TRANSITO REVERSA")</f>
        <v>TRANSITO REVERSA</v>
      </c>
      <c r="G2703" s="23">
        <f>IFERROR(__xludf.DUMMYFUNCTION("""COMPUTED_VALUE"""),45617.87143518518)</f>
        <v>45617.87144</v>
      </c>
      <c r="H2703" s="24" t="str">
        <f>IFERROR(VLOOKUP(B2703,material!A:D,3,0),"")</f>
        <v>3.1</v>
      </c>
    </row>
    <row r="2704" ht="11.25" customHeight="1">
      <c r="A2704" s="21" t="str">
        <f>IFERROR(__xludf.DUMMYFUNCTION("""COMPUTED_VALUE"""),"MODEM VOIP EMTA WIFI 3.1 FAST3895")</f>
        <v>MODEM VOIP EMTA WIFI 3.1 FAST3895</v>
      </c>
      <c r="B2704" s="22">
        <f>IFERROR(__xludf.DUMMYFUNCTION("""COMPUTED_VALUE"""),4.1001504E7)</f>
        <v>41001504</v>
      </c>
      <c r="C2704" s="21" t="str">
        <f>IFERROR(__xludf.DUMMYFUNCTION("""COMPUTED_VALUE"""),"44D454A317E2")</f>
        <v>44D454A317E2</v>
      </c>
      <c r="D2704" s="21" t="str">
        <f>IFERROR(__xludf.DUMMYFUNCTION("""COMPUTED_VALUE"""),"DIGITEC TECNOLOGIA DIGITAL E REPRES")</f>
        <v>DIGITEC TECNOLOGIA DIGITAL E REPRES</v>
      </c>
      <c r="E2704" s="21">
        <f>IFERROR(__xludf.DUMMYFUNCTION("""COMPUTED_VALUE"""),145359.0)</f>
        <v>145359</v>
      </c>
      <c r="F2704" s="21" t="str">
        <f>IFERROR(__xludf.DUMMYFUNCTION("""COMPUTED_VALUE"""),"TRANSITO REVERSA")</f>
        <v>TRANSITO REVERSA</v>
      </c>
      <c r="G2704" s="23">
        <f>IFERROR(__xludf.DUMMYFUNCTION("""COMPUTED_VALUE"""),45626.298680555556)</f>
        <v>45626.29868</v>
      </c>
      <c r="H2704" s="24" t="str">
        <f>IFERROR(VLOOKUP(B2704,material!A:D,3,0),"")</f>
        <v>3.1</v>
      </c>
    </row>
    <row r="2705" ht="11.25" customHeight="1">
      <c r="A2705" s="21" t="str">
        <f>IFERROR(__xludf.DUMMYFUNCTION("""COMPUTED_VALUE"""),"MODEM VOIP EMTA WIFI 3.1 FAST3895")</f>
        <v>MODEM VOIP EMTA WIFI 3.1 FAST3895</v>
      </c>
      <c r="B2705" s="22">
        <f>IFERROR(__xludf.DUMMYFUNCTION("""COMPUTED_VALUE"""),4.1001504E7)</f>
        <v>41001504</v>
      </c>
      <c r="C2705" s="21" t="str">
        <f>IFERROR(__xludf.DUMMYFUNCTION("""COMPUTED_VALUE"""),"E8D2FFAA2403")</f>
        <v>E8D2FFAA2403</v>
      </c>
      <c r="D2705" s="21" t="str">
        <f>IFERROR(__xludf.DUMMYFUNCTION("""COMPUTED_VALUE"""),"DIGITEC TECNOLOGIA DIGITAL E REPRES")</f>
        <v>DIGITEC TECNOLOGIA DIGITAL E REPRES</v>
      </c>
      <c r="E2705" s="21">
        <f>IFERROR(__xludf.DUMMYFUNCTION("""COMPUTED_VALUE"""),145359.0)</f>
        <v>145359</v>
      </c>
      <c r="F2705" s="21" t="str">
        <f>IFERROR(__xludf.DUMMYFUNCTION("""COMPUTED_VALUE"""),"TRANSITO REVERSA")</f>
        <v>TRANSITO REVERSA</v>
      </c>
      <c r="G2705" s="23">
        <f>IFERROR(__xludf.DUMMYFUNCTION("""COMPUTED_VALUE"""),45633.00340277777)</f>
        <v>45633.0034</v>
      </c>
      <c r="H2705" s="24" t="str">
        <f>IFERROR(VLOOKUP(B2705,material!A:D,3,0),"")</f>
        <v>3.1</v>
      </c>
    </row>
    <row r="2706" ht="11.25" customHeight="1">
      <c r="A2706" s="21" t="str">
        <f>IFERROR(__xludf.DUMMYFUNCTION("""COMPUTED_VALUE"""),"MODEM VOIP EMTA WIFI 3.1 FAST3895")</f>
        <v>MODEM VOIP EMTA WIFI 3.1 FAST3895</v>
      </c>
      <c r="B2706" s="22">
        <f>IFERROR(__xludf.DUMMYFUNCTION("""COMPUTED_VALUE"""),4.1001504E7)</f>
        <v>41001504</v>
      </c>
      <c r="C2706" s="21" t="str">
        <f>IFERROR(__xludf.DUMMYFUNCTION("""COMPUTED_VALUE"""),"48295245A314")</f>
        <v>48295245A314</v>
      </c>
      <c r="D2706" s="21" t="str">
        <f>IFERROR(__xludf.DUMMYFUNCTION("""COMPUTED_VALUE"""),"DIGITEC TECNOLOGIA DIGITAL E REPRES")</f>
        <v>DIGITEC TECNOLOGIA DIGITAL E REPRES</v>
      </c>
      <c r="E2706" s="21">
        <f>IFERROR(__xludf.DUMMYFUNCTION("""COMPUTED_VALUE"""),145359.0)</f>
        <v>145359</v>
      </c>
      <c r="F2706" s="21" t="str">
        <f>IFERROR(__xludf.DUMMYFUNCTION("""COMPUTED_VALUE"""),"TRANSITO REVERSA")</f>
        <v>TRANSITO REVERSA</v>
      </c>
      <c r="G2706" s="23">
        <f>IFERROR(__xludf.DUMMYFUNCTION("""COMPUTED_VALUE"""),45617.87143518518)</f>
        <v>45617.87144</v>
      </c>
      <c r="H2706" s="24" t="str">
        <f>IFERROR(VLOOKUP(B2706,material!A:D,3,0),"")</f>
        <v>3.1</v>
      </c>
    </row>
    <row r="2707" ht="11.25" customHeight="1">
      <c r="A2707" s="21" t="str">
        <f>IFERROR(__xludf.DUMMYFUNCTION("""COMPUTED_VALUE"""),"MODEM VOIP EMTA WIFI 3.1 FAST3895")</f>
        <v>MODEM VOIP EMTA WIFI 3.1 FAST3895</v>
      </c>
      <c r="B2707" s="22">
        <f>IFERROR(__xludf.DUMMYFUNCTION("""COMPUTED_VALUE"""),4.1001504E7)</f>
        <v>41001504</v>
      </c>
      <c r="C2707" s="21" t="str">
        <f>IFERROR(__xludf.DUMMYFUNCTION("""COMPUTED_VALUE"""),"44D454AC1DDE")</f>
        <v>44D454AC1DDE</v>
      </c>
      <c r="D2707" s="21" t="str">
        <f>IFERROR(__xludf.DUMMYFUNCTION("""COMPUTED_VALUE"""),"DIGITEC TECNOLOGIA DIGITAL E REPRES")</f>
        <v>DIGITEC TECNOLOGIA DIGITAL E REPRES</v>
      </c>
      <c r="E2707" s="21">
        <f>IFERROR(__xludf.DUMMYFUNCTION("""COMPUTED_VALUE"""),145359.0)</f>
        <v>145359</v>
      </c>
      <c r="F2707" s="21" t="str">
        <f>IFERROR(__xludf.DUMMYFUNCTION("""COMPUTED_VALUE"""),"TRANSITO REVERSA")</f>
        <v>TRANSITO REVERSA</v>
      </c>
      <c r="G2707" s="23">
        <f>IFERROR(__xludf.DUMMYFUNCTION("""COMPUTED_VALUE"""),45638.52111111111)</f>
        <v>45638.52111</v>
      </c>
      <c r="H2707" s="24" t="str">
        <f>IFERROR(VLOOKUP(B2707,material!A:D,3,0),"")</f>
        <v>3.1</v>
      </c>
    </row>
    <row r="2708" ht="11.25" customHeight="1">
      <c r="A2708" s="21" t="str">
        <f>IFERROR(__xludf.DUMMYFUNCTION("""COMPUTED_VALUE"""),"MODEM VOIP EMTA WIFI 3.1 FAST3895")</f>
        <v>MODEM VOIP EMTA WIFI 3.1 FAST3895</v>
      </c>
      <c r="B2708" s="22">
        <f>IFERROR(__xludf.DUMMYFUNCTION("""COMPUTED_VALUE"""),4.1001504E7)</f>
        <v>41001504</v>
      </c>
      <c r="C2708" s="21" t="str">
        <f>IFERROR(__xludf.DUMMYFUNCTION("""COMPUTED_VALUE"""),"5CFA259BFE5C")</f>
        <v>5CFA259BFE5C</v>
      </c>
      <c r="D2708" s="21" t="str">
        <f>IFERROR(__xludf.DUMMYFUNCTION("""COMPUTED_VALUE"""),"DIGITEC TECNOLOGIA DIGITAL E REPRES")</f>
        <v>DIGITEC TECNOLOGIA DIGITAL E REPRES</v>
      </c>
      <c r="E2708" s="21">
        <f>IFERROR(__xludf.DUMMYFUNCTION("""COMPUTED_VALUE"""),145359.0)</f>
        <v>145359</v>
      </c>
      <c r="F2708" s="21" t="str">
        <f>IFERROR(__xludf.DUMMYFUNCTION("""COMPUTED_VALUE"""),"TRANSITO REVERSA")</f>
        <v>TRANSITO REVERSA</v>
      </c>
      <c r="G2708" s="23">
        <f>IFERROR(__xludf.DUMMYFUNCTION("""COMPUTED_VALUE"""),45626.298668981486)</f>
        <v>45626.29867</v>
      </c>
      <c r="H2708" s="24" t="str">
        <f>IFERROR(VLOOKUP(B2708,material!A:D,3,0),"")</f>
        <v>3.1</v>
      </c>
    </row>
    <row r="2709" ht="11.25" customHeight="1">
      <c r="A2709" s="21" t="str">
        <f>IFERROR(__xludf.DUMMYFUNCTION("""COMPUTED_VALUE"""),"MODEM VOIP EMTA WIFI 3.1 FAST3895")</f>
        <v>MODEM VOIP EMTA WIFI 3.1 FAST3895</v>
      </c>
      <c r="B2709" s="22">
        <f>IFERROR(__xludf.DUMMYFUNCTION("""COMPUTED_VALUE"""),4.1001504E7)</f>
        <v>41001504</v>
      </c>
      <c r="C2709" s="21" t="str">
        <f>IFERROR(__xludf.DUMMYFUNCTION("""COMPUTED_VALUE"""),"3C585D794F5F")</f>
        <v>3C585D794F5F</v>
      </c>
      <c r="D2709" s="21" t="str">
        <f>IFERROR(__xludf.DUMMYFUNCTION("""COMPUTED_VALUE"""),"DIGITEC TECNOLOGIA DIGITAL E REPRES")</f>
        <v>DIGITEC TECNOLOGIA DIGITAL E REPRES</v>
      </c>
      <c r="E2709" s="21">
        <f>IFERROR(__xludf.DUMMYFUNCTION("""COMPUTED_VALUE"""),145359.0)</f>
        <v>145359</v>
      </c>
      <c r="F2709" s="21" t="str">
        <f>IFERROR(__xludf.DUMMYFUNCTION("""COMPUTED_VALUE"""),"TRANSITO REVERSA")</f>
        <v>TRANSITO REVERSA</v>
      </c>
      <c r="G2709" s="23">
        <f>IFERROR(__xludf.DUMMYFUNCTION("""COMPUTED_VALUE"""),45617.87140046296)</f>
        <v>45617.8714</v>
      </c>
      <c r="H2709" s="24" t="str">
        <f>IFERROR(VLOOKUP(B2709,material!A:D,3,0),"")</f>
        <v>3.1</v>
      </c>
    </row>
    <row r="2710" ht="11.25" customHeight="1">
      <c r="A2710" s="21" t="str">
        <f>IFERROR(__xludf.DUMMYFUNCTION("""COMPUTED_VALUE"""),"MODEM VOIP EMTA WIFI 3.1 FAST3895")</f>
        <v>MODEM VOIP EMTA WIFI 3.1 FAST3895</v>
      </c>
      <c r="B2710" s="22">
        <f>IFERROR(__xludf.DUMMYFUNCTION("""COMPUTED_VALUE"""),4.1001504E7)</f>
        <v>41001504</v>
      </c>
      <c r="C2710" s="21" t="str">
        <f>IFERROR(__xludf.DUMMYFUNCTION("""COMPUTED_VALUE"""),"C4EB42EBEA17")</f>
        <v>C4EB42EBEA17</v>
      </c>
      <c r="D2710" s="21" t="str">
        <f>IFERROR(__xludf.DUMMYFUNCTION("""COMPUTED_VALUE"""),"DIGITEC TECNOLOGIA DIGITAL E REPRES")</f>
        <v>DIGITEC TECNOLOGIA DIGITAL E REPRES</v>
      </c>
      <c r="E2710" s="21">
        <f>IFERROR(__xludf.DUMMYFUNCTION("""COMPUTED_VALUE"""),145359.0)</f>
        <v>145359</v>
      </c>
      <c r="F2710" s="21" t="str">
        <f>IFERROR(__xludf.DUMMYFUNCTION("""COMPUTED_VALUE"""),"TRANSITO REVERSA")</f>
        <v>TRANSITO REVERSA</v>
      </c>
      <c r="G2710" s="23">
        <f>IFERROR(__xludf.DUMMYFUNCTION("""COMPUTED_VALUE"""),45626.29871527778)</f>
        <v>45626.29872</v>
      </c>
      <c r="H2710" s="24" t="str">
        <f>IFERROR(VLOOKUP(B2710,material!A:D,3,0),"")</f>
        <v>3.1</v>
      </c>
    </row>
    <row r="2711" ht="11.25" customHeight="1">
      <c r="A2711" s="21" t="str">
        <f>IFERROR(__xludf.DUMMYFUNCTION("""COMPUTED_VALUE"""),"MODEM VOIP EMTA WIFI 3.1 FAST3895")</f>
        <v>MODEM VOIP EMTA WIFI 3.1 FAST3895</v>
      </c>
      <c r="B2711" s="22">
        <f>IFERROR(__xludf.DUMMYFUNCTION("""COMPUTED_VALUE"""),4.1001504E7)</f>
        <v>41001504</v>
      </c>
      <c r="C2711" s="21" t="str">
        <f>IFERROR(__xludf.DUMMYFUNCTION("""COMPUTED_VALUE"""),"5447CC490E3F")</f>
        <v>5447CC490E3F</v>
      </c>
      <c r="D2711" s="21" t="str">
        <f>IFERROR(__xludf.DUMMYFUNCTION("""COMPUTED_VALUE"""),"DIGITEC TECNOLOGIA DIGITAL E REPRES")</f>
        <v>DIGITEC TECNOLOGIA DIGITAL E REPRES</v>
      </c>
      <c r="E2711" s="21">
        <f>IFERROR(__xludf.DUMMYFUNCTION("""COMPUTED_VALUE"""),145359.0)</f>
        <v>145359</v>
      </c>
      <c r="F2711" s="21" t="str">
        <f>IFERROR(__xludf.DUMMYFUNCTION("""COMPUTED_VALUE"""),"TRANSITO REVERSA")</f>
        <v>TRANSITO REVERSA</v>
      </c>
      <c r="G2711" s="23">
        <f>IFERROR(__xludf.DUMMYFUNCTION("""COMPUTED_VALUE"""),45638.520625000005)</f>
        <v>45638.52063</v>
      </c>
      <c r="H2711" s="24" t="str">
        <f>IFERROR(VLOOKUP(B2711,material!A:D,3,0),"")</f>
        <v>3.1</v>
      </c>
    </row>
    <row r="2712" ht="11.25" customHeight="1">
      <c r="A2712" s="21" t="str">
        <f>IFERROR(__xludf.DUMMYFUNCTION("""COMPUTED_VALUE"""),"MODEM VOIP EMTA WIFI 3.1 FAST3895")</f>
        <v>MODEM VOIP EMTA WIFI 3.1 FAST3895</v>
      </c>
      <c r="B2712" s="22">
        <f>IFERROR(__xludf.DUMMYFUNCTION("""COMPUTED_VALUE"""),4.1001504E7)</f>
        <v>41001504</v>
      </c>
      <c r="C2712" s="21" t="str">
        <f>IFERROR(__xludf.DUMMYFUNCTION("""COMPUTED_VALUE"""),"CC5830E2DC41")</f>
        <v>CC5830E2DC41</v>
      </c>
      <c r="D2712" s="21" t="str">
        <f>IFERROR(__xludf.DUMMYFUNCTION("""COMPUTED_VALUE"""),"DIGITEC TECNOLOGIA DIGITAL E REPRES")</f>
        <v>DIGITEC TECNOLOGIA DIGITAL E REPRES</v>
      </c>
      <c r="E2712" s="21">
        <f>IFERROR(__xludf.DUMMYFUNCTION("""COMPUTED_VALUE"""),145359.0)</f>
        <v>145359</v>
      </c>
      <c r="F2712" s="21" t="str">
        <f>IFERROR(__xludf.DUMMYFUNCTION("""COMPUTED_VALUE"""),"TRANSITO REVERSA")</f>
        <v>TRANSITO REVERSA</v>
      </c>
      <c r="G2712" s="23">
        <f>IFERROR(__xludf.DUMMYFUNCTION("""COMPUTED_VALUE"""),45617.87140046296)</f>
        <v>45617.8714</v>
      </c>
      <c r="H2712" s="24" t="str">
        <f>IFERROR(VLOOKUP(B2712,material!A:D,3,0),"")</f>
        <v>3.1</v>
      </c>
    </row>
    <row r="2713" ht="11.25" customHeight="1">
      <c r="A2713" s="21" t="str">
        <f>IFERROR(__xludf.DUMMYFUNCTION("""COMPUTED_VALUE"""),"MODEM VOIP EMTA WIFI 3.1 FAST3895")</f>
        <v>MODEM VOIP EMTA WIFI 3.1 FAST3895</v>
      </c>
      <c r="B2713" s="22">
        <f>IFERROR(__xludf.DUMMYFUNCTION("""COMPUTED_VALUE"""),4.1001504E7)</f>
        <v>41001504</v>
      </c>
      <c r="C2713" s="21" t="str">
        <f>IFERROR(__xludf.DUMMYFUNCTION("""COMPUTED_VALUE"""),"B0FC88EB0C7C")</f>
        <v>B0FC88EB0C7C</v>
      </c>
      <c r="D2713" s="21" t="str">
        <f>IFERROR(__xludf.DUMMYFUNCTION("""COMPUTED_VALUE"""),"DIGITEC TECNOLOGIA DIGITAL E REPRES")</f>
        <v>DIGITEC TECNOLOGIA DIGITAL E REPRES</v>
      </c>
      <c r="E2713" s="21">
        <f>IFERROR(__xludf.DUMMYFUNCTION("""COMPUTED_VALUE"""),145359.0)</f>
        <v>145359</v>
      </c>
      <c r="F2713" s="21" t="str">
        <f>IFERROR(__xludf.DUMMYFUNCTION("""COMPUTED_VALUE"""),"TRANSITO REVERSA")</f>
        <v>TRANSITO REVERSA</v>
      </c>
      <c r="G2713" s="23">
        <f>IFERROR(__xludf.DUMMYFUNCTION("""COMPUTED_VALUE"""),45638.52111111111)</f>
        <v>45638.52111</v>
      </c>
      <c r="H2713" s="24" t="str">
        <f>IFERROR(VLOOKUP(B2713,material!A:D,3,0),"")</f>
        <v>3.1</v>
      </c>
    </row>
    <row r="2714" ht="11.25" customHeight="1">
      <c r="A2714" s="21" t="str">
        <f>IFERROR(__xludf.DUMMYFUNCTION("""COMPUTED_VALUE"""),"MODEM VOIP EMTA WIFI 3.1 FAST3895")</f>
        <v>MODEM VOIP EMTA WIFI 3.1 FAST3895</v>
      </c>
      <c r="B2714" s="22">
        <f>IFERROR(__xludf.DUMMYFUNCTION("""COMPUTED_VALUE"""),4.1001504E7)</f>
        <v>41001504</v>
      </c>
      <c r="C2714" s="21" t="str">
        <f>IFERROR(__xludf.DUMMYFUNCTION("""COMPUTED_VALUE"""),"5CFA25AD156F")</f>
        <v>5CFA25AD156F</v>
      </c>
      <c r="D2714" s="21" t="str">
        <f>IFERROR(__xludf.DUMMYFUNCTION("""COMPUTED_VALUE"""),"DIGITEC TECNOLOGIA DIGITAL E REPRES")</f>
        <v>DIGITEC TECNOLOGIA DIGITAL E REPRES</v>
      </c>
      <c r="E2714" s="21">
        <f>IFERROR(__xludf.DUMMYFUNCTION("""COMPUTED_VALUE"""),145359.0)</f>
        <v>145359</v>
      </c>
      <c r="F2714" s="21" t="str">
        <f>IFERROR(__xludf.DUMMYFUNCTION("""COMPUTED_VALUE"""),"TRANSITO REVERSA")</f>
        <v>TRANSITO REVERSA</v>
      </c>
      <c r="G2714" s="23">
        <f>IFERROR(__xludf.DUMMYFUNCTION("""COMPUTED_VALUE"""),45638.52113425926)</f>
        <v>45638.52113</v>
      </c>
      <c r="H2714" s="24" t="str">
        <f>IFERROR(VLOOKUP(B2714,material!A:D,3,0),"")</f>
        <v>3.1</v>
      </c>
    </row>
    <row r="2715" ht="11.25" customHeight="1">
      <c r="A2715" s="21" t="str">
        <f>IFERROR(__xludf.DUMMYFUNCTION("""COMPUTED_VALUE"""),"MODEM VOIP EMTA WIFI 3.1 FAST3895")</f>
        <v>MODEM VOIP EMTA WIFI 3.1 FAST3895</v>
      </c>
      <c r="B2715" s="22">
        <f>IFERROR(__xludf.DUMMYFUNCTION("""COMPUTED_VALUE"""),4.1001504E7)</f>
        <v>41001504</v>
      </c>
      <c r="C2715" s="21" t="str">
        <f>IFERROR(__xludf.DUMMYFUNCTION("""COMPUTED_VALUE"""),"3C585D781404")</f>
        <v>3C585D781404</v>
      </c>
      <c r="D2715" s="21" t="str">
        <f>IFERROR(__xludf.DUMMYFUNCTION("""COMPUTED_VALUE"""),"DIGITEC TECNOLOGIA DIGITAL E REPRES")</f>
        <v>DIGITEC TECNOLOGIA DIGITAL E REPRES</v>
      </c>
      <c r="E2715" s="21">
        <f>IFERROR(__xludf.DUMMYFUNCTION("""COMPUTED_VALUE"""),145359.0)</f>
        <v>145359</v>
      </c>
      <c r="F2715" s="21" t="str">
        <f>IFERROR(__xludf.DUMMYFUNCTION("""COMPUTED_VALUE"""),"TRANSITO REVERSA")</f>
        <v>TRANSITO REVERSA</v>
      </c>
      <c r="G2715" s="23">
        <f>IFERROR(__xludf.DUMMYFUNCTION("""COMPUTED_VALUE"""),45638.520578703705)</f>
        <v>45638.52058</v>
      </c>
      <c r="H2715" s="24" t="str">
        <f>IFERROR(VLOOKUP(B2715,material!A:D,3,0),"")</f>
        <v>3.1</v>
      </c>
    </row>
    <row r="2716" ht="11.25" customHeight="1">
      <c r="A2716" s="21" t="str">
        <f>IFERROR(__xludf.DUMMYFUNCTION("""COMPUTED_VALUE"""),"MODEM VOIP EMTA WIFI 3.1 FAST3895")</f>
        <v>MODEM VOIP EMTA WIFI 3.1 FAST3895</v>
      </c>
      <c r="B2716" s="22">
        <f>IFERROR(__xludf.DUMMYFUNCTION("""COMPUTED_VALUE"""),4.1001504E7)</f>
        <v>41001504</v>
      </c>
      <c r="C2716" s="21" t="str">
        <f>IFERROR(__xludf.DUMMYFUNCTION("""COMPUTED_VALUE"""),"C03C047FFB95")</f>
        <v>C03C047FFB95</v>
      </c>
      <c r="D2716" s="21" t="str">
        <f>IFERROR(__xludf.DUMMYFUNCTION("""COMPUTED_VALUE"""),"DIGITEC TECNOLOGIA DIGITAL E REPRES")</f>
        <v>DIGITEC TECNOLOGIA DIGITAL E REPRES</v>
      </c>
      <c r="E2716" s="21">
        <f>IFERROR(__xludf.DUMMYFUNCTION("""COMPUTED_VALUE"""),145359.0)</f>
        <v>145359</v>
      </c>
      <c r="F2716" s="21" t="str">
        <f>IFERROR(__xludf.DUMMYFUNCTION("""COMPUTED_VALUE"""),"TRANSITO REVERSA")</f>
        <v>TRANSITO REVERSA</v>
      </c>
      <c r="G2716" s="23">
        <f>IFERROR(__xludf.DUMMYFUNCTION("""COMPUTED_VALUE"""),45638.520648148144)</f>
        <v>45638.52065</v>
      </c>
      <c r="H2716" s="24" t="str">
        <f>IFERROR(VLOOKUP(B2716,material!A:D,3,0),"")</f>
        <v>3.1</v>
      </c>
    </row>
    <row r="2717" ht="11.25" customHeight="1">
      <c r="A2717" s="21" t="str">
        <f>IFERROR(__xludf.DUMMYFUNCTION("""COMPUTED_VALUE"""),"MODEM VOIP EMTA WIFI 3.1 FAST3895")</f>
        <v>MODEM VOIP EMTA WIFI 3.1 FAST3895</v>
      </c>
      <c r="B2717" s="22">
        <f>IFERROR(__xludf.DUMMYFUNCTION("""COMPUTED_VALUE"""),4.1001504E7)</f>
        <v>41001504</v>
      </c>
      <c r="C2717" s="21" t="str">
        <f>IFERROR(__xludf.DUMMYFUNCTION("""COMPUTED_VALUE"""),"841EA3696EF2")</f>
        <v>841EA3696EF2</v>
      </c>
      <c r="D2717" s="21" t="str">
        <f>IFERROR(__xludf.DUMMYFUNCTION("""COMPUTED_VALUE"""),"DIGITEC TECNOLOGIA DIGITAL E REPRES")</f>
        <v>DIGITEC TECNOLOGIA DIGITAL E REPRES</v>
      </c>
      <c r="E2717" s="21">
        <f>IFERROR(__xludf.DUMMYFUNCTION("""COMPUTED_VALUE"""),145359.0)</f>
        <v>145359</v>
      </c>
      <c r="F2717" s="21" t="str">
        <f>IFERROR(__xludf.DUMMYFUNCTION("""COMPUTED_VALUE"""),"TRANSITO REVERSA")</f>
        <v>TRANSITO REVERSA</v>
      </c>
      <c r="G2717" s="23">
        <f>IFERROR(__xludf.DUMMYFUNCTION("""COMPUTED_VALUE"""),45638.520648148144)</f>
        <v>45638.52065</v>
      </c>
      <c r="H2717" s="24" t="str">
        <f>IFERROR(VLOOKUP(B2717,material!A:D,3,0),"")</f>
        <v>3.1</v>
      </c>
    </row>
    <row r="2718" ht="11.25" customHeight="1">
      <c r="A2718" s="21" t="str">
        <f>IFERROR(__xludf.DUMMYFUNCTION("""COMPUTED_VALUE"""),"MODEM VOIP EMTA WIFI 3.1 FAST3895")</f>
        <v>MODEM VOIP EMTA WIFI 3.1 FAST3895</v>
      </c>
      <c r="B2718" s="22">
        <f>IFERROR(__xludf.DUMMYFUNCTION("""COMPUTED_VALUE"""),4.1001504E7)</f>
        <v>41001504</v>
      </c>
      <c r="C2718" s="21" t="str">
        <f>IFERROR(__xludf.DUMMYFUNCTION("""COMPUTED_VALUE"""),"841EA38DA444")</f>
        <v>841EA38DA444</v>
      </c>
      <c r="D2718" s="21" t="str">
        <f>IFERROR(__xludf.DUMMYFUNCTION("""COMPUTED_VALUE"""),"DIGITEC TECNOLOGIA DIGITAL E REPRES")</f>
        <v>DIGITEC TECNOLOGIA DIGITAL E REPRES</v>
      </c>
      <c r="E2718" s="21">
        <f>IFERROR(__xludf.DUMMYFUNCTION("""COMPUTED_VALUE"""),145359.0)</f>
        <v>145359</v>
      </c>
      <c r="F2718" s="21" t="str">
        <f>IFERROR(__xludf.DUMMYFUNCTION("""COMPUTED_VALUE"""),"TRANSITO REVERSA")</f>
        <v>TRANSITO REVERSA</v>
      </c>
      <c r="G2718" s="23">
        <f>IFERROR(__xludf.DUMMYFUNCTION("""COMPUTED_VALUE"""),45638.52111111111)</f>
        <v>45638.52111</v>
      </c>
      <c r="H2718" s="24" t="str">
        <f>IFERROR(VLOOKUP(B2718,material!A:D,3,0),"")</f>
        <v>3.1</v>
      </c>
    </row>
    <row r="2719" ht="11.25" customHeight="1">
      <c r="A2719" s="21" t="str">
        <f>IFERROR(__xludf.DUMMYFUNCTION("""COMPUTED_VALUE"""),"MODEM VOIP EMTA WIFI 3.1 FAST3895")</f>
        <v>MODEM VOIP EMTA WIFI 3.1 FAST3895</v>
      </c>
      <c r="B2719" s="22">
        <f>IFERROR(__xludf.DUMMYFUNCTION("""COMPUTED_VALUE"""),4.1001504E7)</f>
        <v>41001504</v>
      </c>
      <c r="C2719" s="21" t="str">
        <f>IFERROR(__xludf.DUMMYFUNCTION("""COMPUTED_VALUE"""),"94988F30DE4A")</f>
        <v>94988F30DE4A</v>
      </c>
      <c r="D2719" s="21" t="str">
        <f>IFERROR(__xludf.DUMMYFUNCTION("""COMPUTED_VALUE"""),"DIGITEC TECNOLOGIA DIGITAL E REPRES")</f>
        <v>DIGITEC TECNOLOGIA DIGITAL E REPRES</v>
      </c>
      <c r="E2719" s="21">
        <f>IFERROR(__xludf.DUMMYFUNCTION("""COMPUTED_VALUE"""),145359.0)</f>
        <v>145359</v>
      </c>
      <c r="F2719" s="21" t="str">
        <f>IFERROR(__xludf.DUMMYFUNCTION("""COMPUTED_VALUE"""),"TRANSITO REVERSA")</f>
        <v>TRANSITO REVERSA</v>
      </c>
      <c r="G2719" s="23">
        <f>IFERROR(__xludf.DUMMYFUNCTION("""COMPUTED_VALUE"""),45633.00341435186)</f>
        <v>45633.00341</v>
      </c>
      <c r="H2719" s="24" t="str">
        <f>IFERROR(VLOOKUP(B2719,material!A:D,3,0),"")</f>
        <v>3.1</v>
      </c>
    </row>
    <row r="2720" ht="11.25" customHeight="1">
      <c r="A2720" s="21" t="str">
        <f>IFERROR(__xludf.DUMMYFUNCTION("""COMPUTED_VALUE"""),"MODEM VOIP EMTA WIFI 3.1 FAST3895")</f>
        <v>MODEM VOIP EMTA WIFI 3.1 FAST3895</v>
      </c>
      <c r="B2720" s="22">
        <f>IFERROR(__xludf.DUMMYFUNCTION("""COMPUTED_VALUE"""),4.1001504E7)</f>
        <v>41001504</v>
      </c>
      <c r="C2720" s="21" t="str">
        <f>IFERROR(__xludf.DUMMYFUNCTION("""COMPUTED_VALUE"""),"94988F30DEF9")</f>
        <v>94988F30DEF9</v>
      </c>
      <c r="D2720" s="21" t="str">
        <f>IFERROR(__xludf.DUMMYFUNCTION("""COMPUTED_VALUE"""),"DIGITEC TECNOLOGIA DIGITAL E REPRES")</f>
        <v>DIGITEC TECNOLOGIA DIGITAL E REPRES</v>
      </c>
      <c r="E2720" s="21">
        <f>IFERROR(__xludf.DUMMYFUNCTION("""COMPUTED_VALUE"""),145359.0)</f>
        <v>145359</v>
      </c>
      <c r="F2720" s="21" t="str">
        <f>IFERROR(__xludf.DUMMYFUNCTION("""COMPUTED_VALUE"""),"TRANSITO REVERSA")</f>
        <v>TRANSITO REVERSA</v>
      </c>
      <c r="G2720" s="23">
        <f>IFERROR(__xludf.DUMMYFUNCTION("""COMPUTED_VALUE"""),45638.52060185185)</f>
        <v>45638.5206</v>
      </c>
      <c r="H2720" s="24" t="str">
        <f>IFERROR(VLOOKUP(B2720,material!A:D,3,0),"")</f>
        <v>3.1</v>
      </c>
    </row>
    <row r="2721" ht="11.25" customHeight="1">
      <c r="A2721" s="21" t="str">
        <f>IFERROR(__xludf.DUMMYFUNCTION("""COMPUTED_VALUE"""),"MODEM VOIP EMTA WIFI 3.1 FAST3895")</f>
        <v>MODEM VOIP EMTA WIFI 3.1 FAST3895</v>
      </c>
      <c r="B2721" s="22">
        <f>IFERROR(__xludf.DUMMYFUNCTION("""COMPUTED_VALUE"""),4.1001504E7)</f>
        <v>41001504</v>
      </c>
      <c r="C2721" s="21" t="str">
        <f>IFERROR(__xludf.DUMMYFUNCTION("""COMPUTED_VALUE"""),"CC5830E1F7F6")</f>
        <v>CC5830E1F7F6</v>
      </c>
      <c r="D2721" s="21" t="str">
        <f>IFERROR(__xludf.DUMMYFUNCTION("""COMPUTED_VALUE"""),"DIGITEC TECNOLOGIA DIGITAL E REPRES")</f>
        <v>DIGITEC TECNOLOGIA DIGITAL E REPRES</v>
      </c>
      <c r="E2721" s="21">
        <f>IFERROR(__xludf.DUMMYFUNCTION("""COMPUTED_VALUE"""),145359.0)</f>
        <v>145359</v>
      </c>
      <c r="F2721" s="21" t="str">
        <f>IFERROR(__xludf.DUMMYFUNCTION("""COMPUTED_VALUE"""),"TRANSITO REVERSA")</f>
        <v>TRANSITO REVERSA</v>
      </c>
      <c r="G2721" s="23">
        <f>IFERROR(__xludf.DUMMYFUNCTION("""COMPUTED_VALUE"""),45617.87143518518)</f>
        <v>45617.87144</v>
      </c>
      <c r="H2721" s="24" t="str">
        <f>IFERROR(VLOOKUP(B2721,material!A:D,3,0),"")</f>
        <v>3.1</v>
      </c>
    </row>
    <row r="2722" ht="11.25" customHeight="1">
      <c r="A2722" s="21" t="str">
        <f>IFERROR(__xludf.DUMMYFUNCTION("""COMPUTED_VALUE"""),"MODEM VOIP EMTA WIFI 3.1 FAST3895")</f>
        <v>MODEM VOIP EMTA WIFI 3.1 FAST3895</v>
      </c>
      <c r="B2722" s="22">
        <f>IFERROR(__xludf.DUMMYFUNCTION("""COMPUTED_VALUE"""),4.1001504E7)</f>
        <v>41001504</v>
      </c>
      <c r="C2722" s="21" t="str">
        <f>IFERROR(__xludf.DUMMYFUNCTION("""COMPUTED_VALUE"""),"CC5830E1F6B4")</f>
        <v>CC5830E1F6B4</v>
      </c>
      <c r="D2722" s="21" t="str">
        <f>IFERROR(__xludf.DUMMYFUNCTION("""COMPUTED_VALUE"""),"DIGITEC TECNOLOGIA DIGITAL E REPRES")</f>
        <v>DIGITEC TECNOLOGIA DIGITAL E REPRES</v>
      </c>
      <c r="E2722" s="21">
        <f>IFERROR(__xludf.DUMMYFUNCTION("""COMPUTED_VALUE"""),145359.0)</f>
        <v>145359</v>
      </c>
      <c r="F2722" s="21" t="str">
        <f>IFERROR(__xludf.DUMMYFUNCTION("""COMPUTED_VALUE"""),"TRANSITO REVERSA")</f>
        <v>TRANSITO REVERSA</v>
      </c>
      <c r="G2722" s="23">
        <f>IFERROR(__xludf.DUMMYFUNCTION("""COMPUTED_VALUE"""),45610.73042824074)</f>
        <v>45610.73043</v>
      </c>
      <c r="H2722" s="24" t="str">
        <f>IFERROR(VLOOKUP(B2722,material!A:D,3,0),"")</f>
        <v>3.1</v>
      </c>
    </row>
    <row r="2723" ht="11.25" customHeight="1">
      <c r="A2723" s="21" t="str">
        <f>IFERROR(__xludf.DUMMYFUNCTION("""COMPUTED_VALUE"""),"MODEM VOIP EMTA WIFI 3.1 FAST3895")</f>
        <v>MODEM VOIP EMTA WIFI 3.1 FAST3895</v>
      </c>
      <c r="B2723" s="22">
        <f>IFERROR(__xludf.DUMMYFUNCTION("""COMPUTED_VALUE"""),4.1001504E7)</f>
        <v>41001504</v>
      </c>
      <c r="C2723" s="21" t="str">
        <f>IFERROR(__xludf.DUMMYFUNCTION("""COMPUTED_VALUE"""),"CC5830E1F3DC")</f>
        <v>CC5830E1F3DC</v>
      </c>
      <c r="D2723" s="21" t="str">
        <f>IFERROR(__xludf.DUMMYFUNCTION("""COMPUTED_VALUE"""),"DIGITEC TECNOLOGIA DIGITAL E REPRES")</f>
        <v>DIGITEC TECNOLOGIA DIGITAL E REPRES</v>
      </c>
      <c r="E2723" s="21">
        <f>IFERROR(__xludf.DUMMYFUNCTION("""COMPUTED_VALUE"""),145359.0)</f>
        <v>145359</v>
      </c>
      <c r="F2723" s="21" t="str">
        <f>IFERROR(__xludf.DUMMYFUNCTION("""COMPUTED_VALUE"""),"TRANSITO REVERSA")</f>
        <v>TRANSITO REVERSA</v>
      </c>
      <c r="G2723" s="23">
        <f>IFERROR(__xludf.DUMMYFUNCTION("""COMPUTED_VALUE"""),45610.73042824074)</f>
        <v>45610.73043</v>
      </c>
      <c r="H2723" s="24" t="str">
        <f>IFERROR(VLOOKUP(B2723,material!A:D,3,0),"")</f>
        <v>3.1</v>
      </c>
    </row>
    <row r="2724" ht="11.25" customHeight="1">
      <c r="A2724" s="21" t="str">
        <f>IFERROR(__xludf.DUMMYFUNCTION("""COMPUTED_VALUE"""),"MODEM VOIP EMTA WIFI 3.1 FAST3895")</f>
        <v>MODEM VOIP EMTA WIFI 3.1 FAST3895</v>
      </c>
      <c r="B2724" s="22">
        <f>IFERROR(__xludf.DUMMYFUNCTION("""COMPUTED_VALUE"""),4.1001504E7)</f>
        <v>41001504</v>
      </c>
      <c r="C2724" s="21" t="str">
        <f>IFERROR(__xludf.DUMMYFUNCTION("""COMPUTED_VALUE"""),"CC5830E205B7")</f>
        <v>CC5830E205B7</v>
      </c>
      <c r="D2724" s="21" t="str">
        <f>IFERROR(__xludf.DUMMYFUNCTION("""COMPUTED_VALUE"""),"DIGITEC TECNOLOGIA DIGITAL E REPRES")</f>
        <v>DIGITEC TECNOLOGIA DIGITAL E REPRES</v>
      </c>
      <c r="E2724" s="21">
        <f>IFERROR(__xludf.DUMMYFUNCTION("""COMPUTED_VALUE"""),145359.0)</f>
        <v>145359</v>
      </c>
      <c r="F2724" s="21" t="str">
        <f>IFERROR(__xludf.DUMMYFUNCTION("""COMPUTED_VALUE"""),"TRANSITO REVERSA")</f>
        <v>TRANSITO REVERSA</v>
      </c>
      <c r="G2724" s="23">
        <f>IFERROR(__xludf.DUMMYFUNCTION("""COMPUTED_VALUE"""),45638.52061342592)</f>
        <v>45638.52061</v>
      </c>
      <c r="H2724" s="24" t="str">
        <f>IFERROR(VLOOKUP(B2724,material!A:D,3,0),"")</f>
        <v>3.1</v>
      </c>
    </row>
    <row r="2725" ht="11.25" customHeight="1">
      <c r="A2725" s="21" t="str">
        <f>IFERROR(__xludf.DUMMYFUNCTION("""COMPUTED_VALUE"""),"MODEM VOIP EMTA WIFI 3.1 FAST3895")</f>
        <v>MODEM VOIP EMTA WIFI 3.1 FAST3895</v>
      </c>
      <c r="B2725" s="22">
        <f>IFERROR(__xludf.DUMMYFUNCTION("""COMPUTED_VALUE"""),4.1001504E7)</f>
        <v>41001504</v>
      </c>
      <c r="C2725" s="21" t="str">
        <f>IFERROR(__xludf.DUMMYFUNCTION("""COMPUTED_VALUE"""),"CC5830E20A79")</f>
        <v>CC5830E20A79</v>
      </c>
      <c r="D2725" s="21" t="str">
        <f>IFERROR(__xludf.DUMMYFUNCTION("""COMPUTED_VALUE"""),"DIGITEC TECNOLOGIA DIGITAL E REPRES")</f>
        <v>DIGITEC TECNOLOGIA DIGITAL E REPRES</v>
      </c>
      <c r="E2725" s="21">
        <f>IFERROR(__xludf.DUMMYFUNCTION("""COMPUTED_VALUE"""),145359.0)</f>
        <v>145359</v>
      </c>
      <c r="F2725" s="21" t="str">
        <f>IFERROR(__xludf.DUMMYFUNCTION("""COMPUTED_VALUE"""),"TRANSITO REVERSA")</f>
        <v>TRANSITO REVERSA</v>
      </c>
      <c r="G2725" s="23">
        <f>IFERROR(__xludf.DUMMYFUNCTION("""COMPUTED_VALUE"""),45638.52113425926)</f>
        <v>45638.52113</v>
      </c>
      <c r="H2725" s="24" t="str">
        <f>IFERROR(VLOOKUP(B2725,material!A:D,3,0),"")</f>
        <v>3.1</v>
      </c>
    </row>
    <row r="2726" ht="11.25" customHeight="1">
      <c r="A2726" s="21" t="str">
        <f>IFERROR(__xludf.DUMMYFUNCTION("""COMPUTED_VALUE"""),"MODEM VOIP EMTA WIFI 3.1 FAST3895")</f>
        <v>MODEM VOIP EMTA WIFI 3.1 FAST3895</v>
      </c>
      <c r="B2726" s="22">
        <f>IFERROR(__xludf.DUMMYFUNCTION("""COMPUTED_VALUE"""),4.1001504E7)</f>
        <v>41001504</v>
      </c>
      <c r="C2726" s="21" t="str">
        <f>IFERROR(__xludf.DUMMYFUNCTION("""COMPUTED_VALUE"""),"CC5830E20AFE")</f>
        <v>CC5830E20AFE</v>
      </c>
      <c r="D2726" s="21" t="str">
        <f>IFERROR(__xludf.DUMMYFUNCTION("""COMPUTED_VALUE"""),"DIGITEC TECNOLOGIA DIGITAL E REPRES")</f>
        <v>DIGITEC TECNOLOGIA DIGITAL E REPRES</v>
      </c>
      <c r="E2726" s="21">
        <f>IFERROR(__xludf.DUMMYFUNCTION("""COMPUTED_VALUE"""),145359.0)</f>
        <v>145359</v>
      </c>
      <c r="F2726" s="21" t="str">
        <f>IFERROR(__xludf.DUMMYFUNCTION("""COMPUTED_VALUE"""),"TRANSITO REVERSA")</f>
        <v>TRANSITO REVERSA</v>
      </c>
      <c r="G2726" s="23">
        <f>IFERROR(__xludf.DUMMYFUNCTION("""COMPUTED_VALUE"""),45617.87142361111)</f>
        <v>45617.87142</v>
      </c>
      <c r="H2726" s="24" t="str">
        <f>IFERROR(VLOOKUP(B2726,material!A:D,3,0),"")</f>
        <v>3.1</v>
      </c>
    </row>
    <row r="2727" ht="11.25" customHeight="1">
      <c r="A2727" s="21" t="str">
        <f>IFERROR(__xludf.DUMMYFUNCTION("""COMPUTED_VALUE"""),"MODEM VOIP EMTA WIFI 3.1 FAST3895")</f>
        <v>MODEM VOIP EMTA WIFI 3.1 FAST3895</v>
      </c>
      <c r="B2727" s="22">
        <f>IFERROR(__xludf.DUMMYFUNCTION("""COMPUTED_VALUE"""),4.1001504E7)</f>
        <v>41001504</v>
      </c>
      <c r="C2727" s="21" t="str">
        <f>IFERROR(__xludf.DUMMYFUNCTION("""COMPUTED_VALUE"""),"CC5830E2096F")</f>
        <v>CC5830E2096F</v>
      </c>
      <c r="D2727" s="21" t="str">
        <f>IFERROR(__xludf.DUMMYFUNCTION("""COMPUTED_VALUE"""),"DIGITEC TECNOLOGIA DIGITAL E REPRES")</f>
        <v>DIGITEC TECNOLOGIA DIGITAL E REPRES</v>
      </c>
      <c r="E2727" s="21">
        <f>IFERROR(__xludf.DUMMYFUNCTION("""COMPUTED_VALUE"""),145359.0)</f>
        <v>145359</v>
      </c>
      <c r="F2727" s="21" t="str">
        <f>IFERROR(__xludf.DUMMYFUNCTION("""COMPUTED_VALUE"""),"TRANSITO REVERSA")</f>
        <v>TRANSITO REVERSA</v>
      </c>
      <c r="G2727" s="23">
        <f>IFERROR(__xludf.DUMMYFUNCTION("""COMPUTED_VALUE"""),45638.520636574074)</f>
        <v>45638.52064</v>
      </c>
      <c r="H2727" s="24" t="str">
        <f>IFERROR(VLOOKUP(B2727,material!A:D,3,0),"")</f>
        <v>3.1</v>
      </c>
    </row>
    <row r="2728" ht="11.25" customHeight="1">
      <c r="A2728" s="21" t="str">
        <f>IFERROR(__xludf.DUMMYFUNCTION("""COMPUTED_VALUE"""),"MODEM VOIP EMTA WIFI 3.1 FAST3895")</f>
        <v>MODEM VOIP EMTA WIFI 3.1 FAST3895</v>
      </c>
      <c r="B2728" s="22">
        <f>IFERROR(__xludf.DUMMYFUNCTION("""COMPUTED_VALUE"""),4.1001504E7)</f>
        <v>41001504</v>
      </c>
      <c r="C2728" s="21" t="str">
        <f>IFERROR(__xludf.DUMMYFUNCTION("""COMPUTED_VALUE"""),"CC5830E20ACD")</f>
        <v>CC5830E20ACD</v>
      </c>
      <c r="D2728" s="21" t="str">
        <f>IFERROR(__xludf.DUMMYFUNCTION("""COMPUTED_VALUE"""),"DIGITEC TECNOLOGIA DIGITAL E REPRES")</f>
        <v>DIGITEC TECNOLOGIA DIGITAL E REPRES</v>
      </c>
      <c r="E2728" s="21">
        <f>IFERROR(__xludf.DUMMYFUNCTION("""COMPUTED_VALUE"""),145359.0)</f>
        <v>145359</v>
      </c>
      <c r="F2728" s="21" t="str">
        <f>IFERROR(__xludf.DUMMYFUNCTION("""COMPUTED_VALUE"""),"TRANSITO REVERSA")</f>
        <v>TRANSITO REVERSA</v>
      </c>
      <c r="G2728" s="23">
        <f>IFERROR(__xludf.DUMMYFUNCTION("""COMPUTED_VALUE"""),45633.00341435186)</f>
        <v>45633.00341</v>
      </c>
      <c r="H2728" s="24" t="str">
        <f>IFERROR(VLOOKUP(B2728,material!A:D,3,0),"")</f>
        <v>3.1</v>
      </c>
    </row>
    <row r="2729" ht="11.25" customHeight="1">
      <c r="A2729" s="21" t="str">
        <f>IFERROR(__xludf.DUMMYFUNCTION("""COMPUTED_VALUE"""),"MODEM VOIP EMTA WIFI 3.1 FAST3895")</f>
        <v>MODEM VOIP EMTA WIFI 3.1 FAST3895</v>
      </c>
      <c r="B2729" s="22">
        <f>IFERROR(__xludf.DUMMYFUNCTION("""COMPUTED_VALUE"""),4.1001504E7)</f>
        <v>41001504</v>
      </c>
      <c r="C2729" s="21" t="str">
        <f>IFERROR(__xludf.DUMMYFUNCTION("""COMPUTED_VALUE"""),"CC5830E206F9")</f>
        <v>CC5830E206F9</v>
      </c>
      <c r="D2729" s="21" t="str">
        <f>IFERROR(__xludf.DUMMYFUNCTION("""COMPUTED_VALUE"""),"DIGITEC TECNOLOGIA DIGITAL E REPRES")</f>
        <v>DIGITEC TECNOLOGIA DIGITAL E REPRES</v>
      </c>
      <c r="E2729" s="21">
        <f>IFERROR(__xludf.DUMMYFUNCTION("""COMPUTED_VALUE"""),145359.0)</f>
        <v>145359</v>
      </c>
      <c r="F2729" s="21" t="str">
        <f>IFERROR(__xludf.DUMMYFUNCTION("""COMPUTED_VALUE"""),"TRANSITO REVERSA")</f>
        <v>TRANSITO REVERSA</v>
      </c>
      <c r="G2729" s="23">
        <f>IFERROR(__xludf.DUMMYFUNCTION("""COMPUTED_VALUE"""),45633.00341435186)</f>
        <v>45633.00341</v>
      </c>
      <c r="H2729" s="24" t="str">
        <f>IFERROR(VLOOKUP(B2729,material!A:D,3,0),"")</f>
        <v>3.1</v>
      </c>
    </row>
    <row r="2730" ht="11.25" customHeight="1">
      <c r="A2730" s="21" t="str">
        <f>IFERROR(__xludf.DUMMYFUNCTION("""COMPUTED_VALUE"""),"MODEM VOIP EMTA WIFI 3.1 FAST3895")</f>
        <v>MODEM VOIP EMTA WIFI 3.1 FAST3895</v>
      </c>
      <c r="B2730" s="22">
        <f>IFERROR(__xludf.DUMMYFUNCTION("""COMPUTED_VALUE"""),4.1001504E7)</f>
        <v>41001504</v>
      </c>
      <c r="C2730" s="21" t="str">
        <f>IFERROR(__xludf.DUMMYFUNCTION("""COMPUTED_VALUE"""),"5447CCC9A921")</f>
        <v>5447CCC9A921</v>
      </c>
      <c r="D2730" s="21" t="str">
        <f>IFERROR(__xludf.DUMMYFUNCTION("""COMPUTED_VALUE"""),"DIGITEC TECNOLOGIA DIGITAL E REPRES")</f>
        <v>DIGITEC TECNOLOGIA DIGITAL E REPRES</v>
      </c>
      <c r="E2730" s="21">
        <f>IFERROR(__xludf.DUMMYFUNCTION("""COMPUTED_VALUE"""),145359.0)</f>
        <v>145359</v>
      </c>
      <c r="F2730" s="21" t="str">
        <f>IFERROR(__xludf.DUMMYFUNCTION("""COMPUTED_VALUE"""),"TRANSITO REVERSA")</f>
        <v>TRANSITO REVERSA</v>
      </c>
      <c r="G2730" s="23">
        <f>IFERROR(__xludf.DUMMYFUNCTION("""COMPUTED_VALUE"""),45610.73042824074)</f>
        <v>45610.73043</v>
      </c>
      <c r="H2730" s="24" t="str">
        <f>IFERROR(VLOOKUP(B2730,material!A:D,3,0),"")</f>
        <v>3.1</v>
      </c>
    </row>
    <row r="2731" ht="11.25" customHeight="1">
      <c r="A2731" s="21" t="str">
        <f>IFERROR(__xludf.DUMMYFUNCTION("""COMPUTED_VALUE"""),"MODEM VOIP EMTA WIFI 3.1 FAST3895")</f>
        <v>MODEM VOIP EMTA WIFI 3.1 FAST3895</v>
      </c>
      <c r="B2731" s="22">
        <f>IFERROR(__xludf.DUMMYFUNCTION("""COMPUTED_VALUE"""),4.1001504E7)</f>
        <v>41001504</v>
      </c>
      <c r="C2731" s="21" t="str">
        <f>IFERROR(__xludf.DUMMYFUNCTION("""COMPUTED_VALUE"""),"5CFA25AD4167")</f>
        <v>5CFA25AD4167</v>
      </c>
      <c r="D2731" s="21" t="str">
        <f>IFERROR(__xludf.DUMMYFUNCTION("""COMPUTED_VALUE"""),"DIGITEC TECNOLOGIA DIGITAL E REPRES")</f>
        <v>DIGITEC TECNOLOGIA DIGITAL E REPRES</v>
      </c>
      <c r="E2731" s="21">
        <f>IFERROR(__xludf.DUMMYFUNCTION("""COMPUTED_VALUE"""),145359.0)</f>
        <v>145359</v>
      </c>
      <c r="F2731" s="21" t="str">
        <f>IFERROR(__xludf.DUMMYFUNCTION("""COMPUTED_VALUE"""),"TRANSITO REVERSA")</f>
        <v>TRANSITO REVERSA</v>
      </c>
      <c r="G2731" s="23">
        <f>IFERROR(__xludf.DUMMYFUNCTION("""COMPUTED_VALUE"""),45610.73042824074)</f>
        <v>45610.73043</v>
      </c>
      <c r="H2731" s="24" t="str">
        <f>IFERROR(VLOOKUP(B2731,material!A:D,3,0),"")</f>
        <v>3.1</v>
      </c>
    </row>
    <row r="2732" ht="11.25" customHeight="1">
      <c r="A2732" s="21" t="str">
        <f>IFERROR(__xludf.DUMMYFUNCTION("""COMPUTED_VALUE"""),"MODEM VOIP EMTA WIFI 3.1 FAST3895")</f>
        <v>MODEM VOIP EMTA WIFI 3.1 FAST3895</v>
      </c>
      <c r="B2732" s="22">
        <f>IFERROR(__xludf.DUMMYFUNCTION("""COMPUTED_VALUE"""),4.1001504E7)</f>
        <v>41001504</v>
      </c>
      <c r="C2732" s="21" t="str">
        <f>IFERROR(__xludf.DUMMYFUNCTION("""COMPUTED_VALUE"""),"943C96AB4FE6")</f>
        <v>943C96AB4FE6</v>
      </c>
      <c r="D2732" s="21" t="str">
        <f>IFERROR(__xludf.DUMMYFUNCTION("""COMPUTED_VALUE"""),"DIGITEC TECNOLOGIA DIGITAL E REPRES")</f>
        <v>DIGITEC TECNOLOGIA DIGITAL E REPRES</v>
      </c>
      <c r="E2732" s="21">
        <f>IFERROR(__xludf.DUMMYFUNCTION("""COMPUTED_VALUE"""),145359.0)</f>
        <v>145359</v>
      </c>
      <c r="F2732" s="21" t="str">
        <f>IFERROR(__xludf.DUMMYFUNCTION("""COMPUTED_VALUE"""),"TRANSITO REVERSA")</f>
        <v>TRANSITO REVERSA</v>
      </c>
      <c r="G2732" s="23">
        <f>IFERROR(__xludf.DUMMYFUNCTION("""COMPUTED_VALUE"""),45638.520648148144)</f>
        <v>45638.52065</v>
      </c>
      <c r="H2732" s="24" t="str">
        <f>IFERROR(VLOOKUP(B2732,material!A:D,3,0),"")</f>
        <v>3.1</v>
      </c>
    </row>
    <row r="2733" ht="11.25" customHeight="1">
      <c r="A2733" s="21" t="str">
        <f>IFERROR(__xludf.DUMMYFUNCTION("""COMPUTED_VALUE"""),"MODEM VOIP EMTA WIFI 3.1 FAST3895")</f>
        <v>MODEM VOIP EMTA WIFI 3.1 FAST3895</v>
      </c>
      <c r="B2733" s="22">
        <f>IFERROR(__xludf.DUMMYFUNCTION("""COMPUTED_VALUE"""),4.1001504E7)</f>
        <v>41001504</v>
      </c>
      <c r="C2733" s="21" t="str">
        <f>IFERROR(__xludf.DUMMYFUNCTION("""COMPUTED_VALUE"""),"38A6591A3DA3")</f>
        <v>38A6591A3DA3</v>
      </c>
      <c r="D2733" s="21" t="str">
        <f>IFERROR(__xludf.DUMMYFUNCTION("""COMPUTED_VALUE"""),"DIGITEC TECNOLOGIA DIGITAL E REPRES")</f>
        <v>DIGITEC TECNOLOGIA DIGITAL E REPRES</v>
      </c>
      <c r="E2733" s="21">
        <f>IFERROR(__xludf.DUMMYFUNCTION("""COMPUTED_VALUE"""),145359.0)</f>
        <v>145359</v>
      </c>
      <c r="F2733" s="21" t="str">
        <f>IFERROR(__xludf.DUMMYFUNCTION("""COMPUTED_VALUE"""),"TRANSITO REVERSA")</f>
        <v>TRANSITO REVERSA</v>
      </c>
      <c r="G2733" s="23">
        <f>IFERROR(__xludf.DUMMYFUNCTION("""COMPUTED_VALUE"""),45610.73042824074)</f>
        <v>45610.73043</v>
      </c>
      <c r="H2733" s="24" t="str">
        <f>IFERROR(VLOOKUP(B2733,material!A:D,3,0),"")</f>
        <v>3.1</v>
      </c>
    </row>
    <row r="2734" ht="11.25" customHeight="1">
      <c r="A2734" s="21" t="str">
        <f>IFERROR(__xludf.DUMMYFUNCTION("""COMPUTED_VALUE"""),"MODEM VOIP EMTA WIFI 3.1 FAST3895")</f>
        <v>MODEM VOIP EMTA WIFI 3.1 FAST3895</v>
      </c>
      <c r="B2734" s="22">
        <f>IFERROR(__xludf.DUMMYFUNCTION("""COMPUTED_VALUE"""),4.1001504E7)</f>
        <v>41001504</v>
      </c>
      <c r="C2734" s="21" t="str">
        <f>IFERROR(__xludf.DUMMYFUNCTION("""COMPUTED_VALUE"""),"582FF79C41B1")</f>
        <v>582FF79C41B1</v>
      </c>
      <c r="D2734" s="21" t="str">
        <f>IFERROR(__xludf.DUMMYFUNCTION("""COMPUTED_VALUE"""),"DIGITEC TECNOLOGIA DIGITAL E REPRES")</f>
        <v>DIGITEC TECNOLOGIA DIGITAL E REPRES</v>
      </c>
      <c r="E2734" s="21">
        <f>IFERROR(__xludf.DUMMYFUNCTION("""COMPUTED_VALUE"""),145359.0)</f>
        <v>145359</v>
      </c>
      <c r="F2734" s="21" t="str">
        <f>IFERROR(__xludf.DUMMYFUNCTION("""COMPUTED_VALUE"""),"TRANSITO REVERSA")</f>
        <v>TRANSITO REVERSA</v>
      </c>
      <c r="G2734" s="23">
        <f>IFERROR(__xludf.DUMMYFUNCTION("""COMPUTED_VALUE"""),45610.73042824074)</f>
        <v>45610.73043</v>
      </c>
      <c r="H2734" s="24" t="str">
        <f>IFERROR(VLOOKUP(B2734,material!A:D,3,0),"")</f>
        <v>3.1</v>
      </c>
    </row>
    <row r="2735" ht="11.25" customHeight="1">
      <c r="A2735" s="21" t="str">
        <f>IFERROR(__xludf.DUMMYFUNCTION("""COMPUTED_VALUE"""),"MODEM VOIP EMTA WIFI 3.1 FAST3895")</f>
        <v>MODEM VOIP EMTA WIFI 3.1 FAST3895</v>
      </c>
      <c r="B2735" s="22">
        <f>IFERROR(__xludf.DUMMYFUNCTION("""COMPUTED_VALUE"""),4.1001504E7)</f>
        <v>41001504</v>
      </c>
      <c r="C2735" s="21" t="str">
        <f>IFERROR(__xludf.DUMMYFUNCTION("""COMPUTED_VALUE"""),"582FF79C50A6")</f>
        <v>582FF79C50A6</v>
      </c>
      <c r="D2735" s="21" t="str">
        <f>IFERROR(__xludf.DUMMYFUNCTION("""COMPUTED_VALUE"""),"DIGITEC TECNOLOGIA DIGITAL E REPRES")</f>
        <v>DIGITEC TECNOLOGIA DIGITAL E REPRES</v>
      </c>
      <c r="E2735" s="21">
        <f>IFERROR(__xludf.DUMMYFUNCTION("""COMPUTED_VALUE"""),145359.0)</f>
        <v>145359</v>
      </c>
      <c r="F2735" s="21" t="str">
        <f>IFERROR(__xludf.DUMMYFUNCTION("""COMPUTED_VALUE"""),"TRANSITO REVERSA")</f>
        <v>TRANSITO REVERSA</v>
      </c>
      <c r="G2735" s="23">
        <f>IFERROR(__xludf.DUMMYFUNCTION("""COMPUTED_VALUE"""),45638.52060185185)</f>
        <v>45638.5206</v>
      </c>
      <c r="H2735" s="24" t="str">
        <f>IFERROR(VLOOKUP(B2735,material!A:D,3,0),"")</f>
        <v>3.1</v>
      </c>
    </row>
    <row r="2736" ht="11.25" customHeight="1">
      <c r="A2736" s="21" t="str">
        <f>IFERROR(__xludf.DUMMYFUNCTION("""COMPUTED_VALUE"""),"MODEM VOIP EMTA WIFI 3.1 CH8568")</f>
        <v>MODEM VOIP EMTA WIFI 3.1 CH8568</v>
      </c>
      <c r="B2736" s="22">
        <f>IFERROR(__xludf.DUMMYFUNCTION("""COMPUTED_VALUE"""),4.1001485E7)</f>
        <v>41001485</v>
      </c>
      <c r="C2736" s="21" t="str">
        <f>IFERROR(__xludf.DUMMYFUNCTION("""COMPUTED_VALUE"""),"6802B8ABB75A")</f>
        <v>6802B8ABB75A</v>
      </c>
      <c r="D2736" s="21" t="str">
        <f>IFERROR(__xludf.DUMMYFUNCTION("""COMPUTED_VALUE"""),"DIGITEC TECNOLOGIA DIGITAL E REPRES")</f>
        <v>DIGITEC TECNOLOGIA DIGITAL E REPRES</v>
      </c>
      <c r="E2736" s="21">
        <f>IFERROR(__xludf.DUMMYFUNCTION("""COMPUTED_VALUE"""),145359.0)</f>
        <v>145359</v>
      </c>
      <c r="F2736" s="21" t="str">
        <f>IFERROR(__xludf.DUMMYFUNCTION("""COMPUTED_VALUE"""),"TRANSITO REVERSA")</f>
        <v>TRANSITO REVERSA</v>
      </c>
      <c r="G2736" s="23">
        <f>IFERROR(__xludf.DUMMYFUNCTION("""COMPUTED_VALUE"""),45638.520578703705)</f>
        <v>45638.52058</v>
      </c>
      <c r="H2736" s="24" t="str">
        <f>IFERROR(VLOOKUP(B2736,material!A:D,3,0),"")</f>
        <v>3.1</v>
      </c>
    </row>
    <row r="2737" ht="11.25" customHeight="1">
      <c r="A2737" s="21" t="str">
        <f>IFERROR(__xludf.DUMMYFUNCTION("""COMPUTED_VALUE"""),"MODEM VOIP EMTA WIFI 3.1 CH8568")</f>
        <v>MODEM VOIP EMTA WIFI 3.1 CH8568</v>
      </c>
      <c r="B2737" s="22">
        <f>IFERROR(__xludf.DUMMYFUNCTION("""COMPUTED_VALUE"""),4.1001485E7)</f>
        <v>41001485</v>
      </c>
      <c r="C2737" s="21" t="str">
        <f>IFERROR(__xludf.DUMMYFUNCTION("""COMPUTED_VALUE"""),"6802B8ACB3F9")</f>
        <v>6802B8ACB3F9</v>
      </c>
      <c r="D2737" s="21" t="str">
        <f>IFERROR(__xludf.DUMMYFUNCTION("""COMPUTED_VALUE"""),"DIGITEC TECNOLOGIA DIGITAL E REPRES")</f>
        <v>DIGITEC TECNOLOGIA DIGITAL E REPRES</v>
      </c>
      <c r="E2737" s="21">
        <f>IFERROR(__xludf.DUMMYFUNCTION("""COMPUTED_VALUE"""),145359.0)</f>
        <v>145359</v>
      </c>
      <c r="F2737" s="21" t="str">
        <f>IFERROR(__xludf.DUMMYFUNCTION("""COMPUTED_VALUE"""),"TRANSITO REVERSA")</f>
        <v>TRANSITO REVERSA</v>
      </c>
      <c r="G2737" s="23">
        <f>IFERROR(__xludf.DUMMYFUNCTION("""COMPUTED_VALUE"""),45610.73043981481)</f>
        <v>45610.73044</v>
      </c>
      <c r="H2737" s="24" t="str">
        <f>IFERROR(VLOOKUP(B2737,material!A:D,3,0),"")</f>
        <v>3.1</v>
      </c>
    </row>
    <row r="2738" ht="11.25" customHeight="1">
      <c r="A2738" s="21" t="str">
        <f>IFERROR(__xludf.DUMMYFUNCTION("""COMPUTED_VALUE"""),"MODEM VOIP EMTA WIFI 3.1 CH8568")</f>
        <v>MODEM VOIP EMTA WIFI 3.1 CH8568</v>
      </c>
      <c r="B2738" s="22">
        <f>IFERROR(__xludf.DUMMYFUNCTION("""COMPUTED_VALUE"""),4.1001485E7)</f>
        <v>41001485</v>
      </c>
      <c r="C2738" s="21" t="str">
        <f>IFERROR(__xludf.DUMMYFUNCTION("""COMPUTED_VALUE"""),"6802B8AC5D4D")</f>
        <v>6802B8AC5D4D</v>
      </c>
      <c r="D2738" s="21" t="str">
        <f>IFERROR(__xludf.DUMMYFUNCTION("""COMPUTED_VALUE"""),"DIGITEC TECNOLOGIA DIGITAL E REPRES")</f>
        <v>DIGITEC TECNOLOGIA DIGITAL E REPRES</v>
      </c>
      <c r="E2738" s="21">
        <f>IFERROR(__xludf.DUMMYFUNCTION("""COMPUTED_VALUE"""),145359.0)</f>
        <v>145359</v>
      </c>
      <c r="F2738" s="21" t="str">
        <f>IFERROR(__xludf.DUMMYFUNCTION("""COMPUTED_VALUE"""),"TRANSITO REVERSA")</f>
        <v>TRANSITO REVERSA</v>
      </c>
      <c r="G2738" s="23">
        <f>IFERROR(__xludf.DUMMYFUNCTION("""COMPUTED_VALUE"""),45633.0033912037)</f>
        <v>45633.00339</v>
      </c>
      <c r="H2738" s="24" t="str">
        <f>IFERROR(VLOOKUP(B2738,material!A:D,3,0),"")</f>
        <v>3.1</v>
      </c>
    </row>
    <row r="2739" ht="11.25" customHeight="1">
      <c r="A2739" s="21" t="str">
        <f>IFERROR(__xludf.DUMMYFUNCTION("""COMPUTED_VALUE"""),"MODEM VOIP EMTA WIFI 3.1 CH8568")</f>
        <v>MODEM VOIP EMTA WIFI 3.1 CH8568</v>
      </c>
      <c r="B2739" s="22">
        <f>IFERROR(__xludf.DUMMYFUNCTION("""COMPUTED_VALUE"""),4.1001485E7)</f>
        <v>41001485</v>
      </c>
      <c r="C2739" s="21" t="str">
        <f>IFERROR(__xludf.DUMMYFUNCTION("""COMPUTED_VALUE"""),"6802B8AC5D4A")</f>
        <v>6802B8AC5D4A</v>
      </c>
      <c r="D2739" s="21" t="str">
        <f>IFERROR(__xludf.DUMMYFUNCTION("""COMPUTED_VALUE"""),"DIGITEC TECNOLOGIA DIGITAL E REPRES")</f>
        <v>DIGITEC TECNOLOGIA DIGITAL E REPRES</v>
      </c>
      <c r="E2739" s="21">
        <f>IFERROR(__xludf.DUMMYFUNCTION("""COMPUTED_VALUE"""),145359.0)</f>
        <v>145359</v>
      </c>
      <c r="F2739" s="21" t="str">
        <f>IFERROR(__xludf.DUMMYFUNCTION("""COMPUTED_VALUE"""),"TRANSITO REVERSA")</f>
        <v>TRANSITO REVERSA</v>
      </c>
      <c r="G2739" s="23">
        <f>IFERROR(__xludf.DUMMYFUNCTION("""COMPUTED_VALUE"""),45617.87143518518)</f>
        <v>45617.87144</v>
      </c>
      <c r="H2739" s="24" t="str">
        <f>IFERROR(VLOOKUP(B2739,material!A:D,3,0),"")</f>
        <v>3.1</v>
      </c>
    </row>
    <row r="2740" ht="11.25" customHeight="1">
      <c r="A2740" s="21" t="str">
        <f>IFERROR(__xludf.DUMMYFUNCTION("""COMPUTED_VALUE"""),"MODEM VOIP EMTA WIFI 3.1 CH8568")</f>
        <v>MODEM VOIP EMTA WIFI 3.1 CH8568</v>
      </c>
      <c r="B2740" s="22">
        <f>IFERROR(__xludf.DUMMYFUNCTION("""COMPUTED_VALUE"""),4.1001485E7)</f>
        <v>41001485</v>
      </c>
      <c r="C2740" s="21" t="str">
        <f>IFERROR(__xludf.DUMMYFUNCTION("""COMPUTED_VALUE"""),"6802B8ACB363")</f>
        <v>6802B8ACB363</v>
      </c>
      <c r="D2740" s="21" t="str">
        <f>IFERROR(__xludf.DUMMYFUNCTION("""COMPUTED_VALUE"""),"DIGITEC TECNOLOGIA DIGITAL E REPRES")</f>
        <v>DIGITEC TECNOLOGIA DIGITAL E REPRES</v>
      </c>
      <c r="E2740" s="21">
        <f>IFERROR(__xludf.DUMMYFUNCTION("""COMPUTED_VALUE"""),145359.0)</f>
        <v>145359</v>
      </c>
      <c r="F2740" s="21" t="str">
        <f>IFERROR(__xludf.DUMMYFUNCTION("""COMPUTED_VALUE"""),"TRANSITO REVERSA")</f>
        <v>TRANSITO REVERSA</v>
      </c>
      <c r="G2740" s="23">
        <f>IFERROR(__xludf.DUMMYFUNCTION("""COMPUTED_VALUE"""),45610.73043981481)</f>
        <v>45610.73044</v>
      </c>
      <c r="H2740" s="24" t="str">
        <f>IFERROR(VLOOKUP(B2740,material!A:D,3,0),"")</f>
        <v>3.1</v>
      </c>
    </row>
    <row r="2741" ht="11.25" customHeight="1">
      <c r="A2741" s="21" t="str">
        <f>IFERROR(__xludf.DUMMYFUNCTION("""COMPUTED_VALUE"""),"MODEM VOIP EMTA WIFI 3.1 CH8568")</f>
        <v>MODEM VOIP EMTA WIFI 3.1 CH8568</v>
      </c>
      <c r="B2741" s="22">
        <f>IFERROR(__xludf.DUMMYFUNCTION("""COMPUTED_VALUE"""),4.1001485E7)</f>
        <v>41001485</v>
      </c>
      <c r="C2741" s="21" t="str">
        <f>IFERROR(__xludf.DUMMYFUNCTION("""COMPUTED_VALUE"""),"6802B8BE8B37")</f>
        <v>6802B8BE8B37</v>
      </c>
      <c r="D2741" s="21" t="str">
        <f>IFERROR(__xludf.DUMMYFUNCTION("""COMPUTED_VALUE"""),"DIGITEC TECNOLOGIA DIGITAL E REPRES")</f>
        <v>DIGITEC TECNOLOGIA DIGITAL E REPRES</v>
      </c>
      <c r="E2741" s="21">
        <f>IFERROR(__xludf.DUMMYFUNCTION("""COMPUTED_VALUE"""),145359.0)</f>
        <v>145359</v>
      </c>
      <c r="F2741" s="21" t="str">
        <f>IFERROR(__xludf.DUMMYFUNCTION("""COMPUTED_VALUE"""),"TRANSITO REVERSA")</f>
        <v>TRANSITO REVERSA</v>
      </c>
      <c r="G2741" s="23">
        <f>IFERROR(__xludf.DUMMYFUNCTION("""COMPUTED_VALUE"""),45632.5718287037)</f>
        <v>45632.57183</v>
      </c>
      <c r="H2741" s="24" t="str">
        <f>IFERROR(VLOOKUP(B2741,material!A:D,3,0),"")</f>
        <v>3.1</v>
      </c>
    </row>
    <row r="2742" ht="11.25" customHeight="1">
      <c r="A2742" s="21" t="str">
        <f>IFERROR(__xludf.DUMMYFUNCTION("""COMPUTED_VALUE"""),"MODEM VOIP EMTA WIFI 3.1 CH8568")</f>
        <v>MODEM VOIP EMTA WIFI 3.1 CH8568</v>
      </c>
      <c r="B2742" s="22">
        <f>IFERROR(__xludf.DUMMYFUNCTION("""COMPUTED_VALUE"""),4.1001485E7)</f>
        <v>41001485</v>
      </c>
      <c r="C2742" s="21" t="str">
        <f>IFERROR(__xludf.DUMMYFUNCTION("""COMPUTED_VALUE"""),"6802B8AC1568")</f>
        <v>6802B8AC1568</v>
      </c>
      <c r="D2742" s="21" t="str">
        <f>IFERROR(__xludf.DUMMYFUNCTION("""COMPUTED_VALUE"""),"DIGITEC TECNOLOGIA DIGITAL E REPRES")</f>
        <v>DIGITEC TECNOLOGIA DIGITAL E REPRES</v>
      </c>
      <c r="E2742" s="21">
        <f>IFERROR(__xludf.DUMMYFUNCTION("""COMPUTED_VALUE"""),145359.0)</f>
        <v>145359</v>
      </c>
      <c r="F2742" s="21" t="str">
        <f>IFERROR(__xludf.DUMMYFUNCTION("""COMPUTED_VALUE"""),"TRANSITO REVERSA")</f>
        <v>TRANSITO REVERSA</v>
      </c>
      <c r="G2742" s="23">
        <f>IFERROR(__xludf.DUMMYFUNCTION("""COMPUTED_VALUE"""),45626.298692129625)</f>
        <v>45626.29869</v>
      </c>
      <c r="H2742" s="24" t="str">
        <f>IFERROR(VLOOKUP(B2742,material!A:D,3,0),"")</f>
        <v>3.1</v>
      </c>
    </row>
    <row r="2743" ht="11.25" customHeight="1">
      <c r="A2743" s="21" t="str">
        <f>IFERROR(__xludf.DUMMYFUNCTION("""COMPUTED_VALUE"""),"MODEM VOIP EMTA WIFI 3.1 CH8568")</f>
        <v>MODEM VOIP EMTA WIFI 3.1 CH8568</v>
      </c>
      <c r="B2743" s="22">
        <f>IFERROR(__xludf.DUMMYFUNCTION("""COMPUTED_VALUE"""),4.1001485E7)</f>
        <v>41001485</v>
      </c>
      <c r="C2743" s="21" t="str">
        <f>IFERROR(__xludf.DUMMYFUNCTION("""COMPUTED_VALUE"""),"6802B8DEFE9F")</f>
        <v>6802B8DEFE9F</v>
      </c>
      <c r="D2743" s="21" t="str">
        <f>IFERROR(__xludf.DUMMYFUNCTION("""COMPUTED_VALUE"""),"DIGITEC TECNOLOGIA DIGITAL E REPRES")</f>
        <v>DIGITEC TECNOLOGIA DIGITAL E REPRES</v>
      </c>
      <c r="E2743" s="21">
        <f>IFERROR(__xludf.DUMMYFUNCTION("""COMPUTED_VALUE"""),145359.0)</f>
        <v>145359</v>
      </c>
      <c r="F2743" s="21" t="str">
        <f>IFERROR(__xludf.DUMMYFUNCTION("""COMPUTED_VALUE"""),"TRANSITO REVERSA")</f>
        <v>TRANSITO REVERSA</v>
      </c>
      <c r="G2743" s="23">
        <f>IFERROR(__xludf.DUMMYFUNCTION("""COMPUTED_VALUE"""),45617.87143518518)</f>
        <v>45617.87144</v>
      </c>
      <c r="H2743" s="24" t="str">
        <f>IFERROR(VLOOKUP(B2743,material!A:D,3,0),"")</f>
        <v>3.1</v>
      </c>
    </row>
    <row r="2744" ht="11.25" customHeight="1">
      <c r="A2744" s="21" t="str">
        <f>IFERROR(__xludf.DUMMYFUNCTION("""COMPUTED_VALUE"""),"MODEM VOIP EMTA WIFI 3.1 CH8568")</f>
        <v>MODEM VOIP EMTA WIFI 3.1 CH8568</v>
      </c>
      <c r="B2744" s="22">
        <f>IFERROR(__xludf.DUMMYFUNCTION("""COMPUTED_VALUE"""),4.1001485E7)</f>
        <v>41001485</v>
      </c>
      <c r="C2744" s="21" t="str">
        <f>IFERROR(__xludf.DUMMYFUNCTION("""COMPUTED_VALUE"""),"6802B8AC5AF2")</f>
        <v>6802B8AC5AF2</v>
      </c>
      <c r="D2744" s="21" t="str">
        <f>IFERROR(__xludf.DUMMYFUNCTION("""COMPUTED_VALUE"""),"DIGITEC TECNOLOGIA DIGITAL E REPRES")</f>
        <v>DIGITEC TECNOLOGIA DIGITAL E REPRES</v>
      </c>
      <c r="E2744" s="21">
        <f>IFERROR(__xludf.DUMMYFUNCTION("""COMPUTED_VALUE"""),145359.0)</f>
        <v>145359</v>
      </c>
      <c r="F2744" s="21" t="str">
        <f>IFERROR(__xludf.DUMMYFUNCTION("""COMPUTED_VALUE"""),"TRANSITO REVERSA")</f>
        <v>TRANSITO REVERSA</v>
      </c>
      <c r="G2744" s="23">
        <f>IFERROR(__xludf.DUMMYFUNCTION("""COMPUTED_VALUE"""),45626.2987037037)</f>
        <v>45626.2987</v>
      </c>
      <c r="H2744" s="24" t="str">
        <f>IFERROR(VLOOKUP(B2744,material!A:D,3,0),"")</f>
        <v>3.1</v>
      </c>
    </row>
    <row r="2745" ht="11.25" customHeight="1">
      <c r="A2745" s="21" t="str">
        <f>IFERROR(__xludf.DUMMYFUNCTION("""COMPUTED_VALUE"""),"MODEM VOIP EMTA WIFI 3.1 CH8568")</f>
        <v>MODEM VOIP EMTA WIFI 3.1 CH8568</v>
      </c>
      <c r="B2745" s="22">
        <f>IFERROR(__xludf.DUMMYFUNCTION("""COMPUTED_VALUE"""),4.1001485E7)</f>
        <v>41001485</v>
      </c>
      <c r="C2745" s="21" t="str">
        <f>IFERROR(__xludf.DUMMYFUNCTION("""COMPUTED_VALUE"""),"6802B8ABCC03")</f>
        <v>6802B8ABCC03</v>
      </c>
      <c r="D2745" s="21" t="str">
        <f>IFERROR(__xludf.DUMMYFUNCTION("""COMPUTED_VALUE"""),"DIGITEC TECNOLOGIA DIGITAL E REPRES")</f>
        <v>DIGITEC TECNOLOGIA DIGITAL E REPRES</v>
      </c>
      <c r="E2745" s="21">
        <f>IFERROR(__xludf.DUMMYFUNCTION("""COMPUTED_VALUE"""),145359.0)</f>
        <v>145359</v>
      </c>
      <c r="F2745" s="21" t="str">
        <f>IFERROR(__xludf.DUMMYFUNCTION("""COMPUTED_VALUE"""),"TRANSITO REVERSA")</f>
        <v>TRANSITO REVERSA</v>
      </c>
      <c r="G2745" s="23">
        <f>IFERROR(__xludf.DUMMYFUNCTION("""COMPUTED_VALUE"""),45632.5718287037)</f>
        <v>45632.57183</v>
      </c>
      <c r="H2745" s="24" t="str">
        <f>IFERROR(VLOOKUP(B2745,material!A:D,3,0),"")</f>
        <v>3.1</v>
      </c>
    </row>
    <row r="2746" ht="11.25" customHeight="1">
      <c r="A2746" s="21" t="str">
        <f>IFERROR(__xludf.DUMMYFUNCTION("""COMPUTED_VALUE"""),"MODEM VOIP EMTA WIFI 3.1 CH8568")</f>
        <v>MODEM VOIP EMTA WIFI 3.1 CH8568</v>
      </c>
      <c r="B2746" s="22">
        <f>IFERROR(__xludf.DUMMYFUNCTION("""COMPUTED_VALUE"""),4.1001485E7)</f>
        <v>41001485</v>
      </c>
      <c r="C2746" s="21" t="str">
        <f>IFERROR(__xludf.DUMMYFUNCTION("""COMPUTED_VALUE"""),"6802B8DE7F37")</f>
        <v>6802B8DE7F37</v>
      </c>
      <c r="D2746" s="21" t="str">
        <f>IFERROR(__xludf.DUMMYFUNCTION("""COMPUTED_VALUE"""),"DIGITEC TECNOLOGIA DIGITAL E REPRES")</f>
        <v>DIGITEC TECNOLOGIA DIGITAL E REPRES</v>
      </c>
      <c r="E2746" s="21">
        <f>IFERROR(__xludf.DUMMYFUNCTION("""COMPUTED_VALUE"""),145359.0)</f>
        <v>145359</v>
      </c>
      <c r="F2746" s="21" t="str">
        <f>IFERROR(__xludf.DUMMYFUNCTION("""COMPUTED_VALUE"""),"TRANSITO REVERSA")</f>
        <v>TRANSITO REVERSA</v>
      </c>
      <c r="G2746" s="23">
        <f>IFERROR(__xludf.DUMMYFUNCTION("""COMPUTED_VALUE"""),45632.5718287037)</f>
        <v>45632.57183</v>
      </c>
      <c r="H2746" s="24" t="str">
        <f>IFERROR(VLOOKUP(B2746,material!A:D,3,0),"")</f>
        <v>3.1</v>
      </c>
    </row>
    <row r="2747" ht="11.25" customHeight="1">
      <c r="A2747" s="21" t="str">
        <f>IFERROR(__xludf.DUMMYFUNCTION("""COMPUTED_VALUE"""),"MODEM VOIP EMTA WIFI 3.1 CH8568")</f>
        <v>MODEM VOIP EMTA WIFI 3.1 CH8568</v>
      </c>
      <c r="B2747" s="22">
        <f>IFERROR(__xludf.DUMMYFUNCTION("""COMPUTED_VALUE"""),4.1001485E7)</f>
        <v>41001485</v>
      </c>
      <c r="C2747" s="21" t="str">
        <f>IFERROR(__xludf.DUMMYFUNCTION("""COMPUTED_VALUE"""),"6802B8BEE684")</f>
        <v>6802B8BEE684</v>
      </c>
      <c r="D2747" s="21" t="str">
        <f>IFERROR(__xludf.DUMMYFUNCTION("""COMPUTED_VALUE"""),"DIGITEC TECNOLOGIA DIGITAL E REPRES")</f>
        <v>DIGITEC TECNOLOGIA DIGITAL E REPRES</v>
      </c>
      <c r="E2747" s="21">
        <f>IFERROR(__xludf.DUMMYFUNCTION("""COMPUTED_VALUE"""),145359.0)</f>
        <v>145359</v>
      </c>
      <c r="F2747" s="21" t="str">
        <f>IFERROR(__xludf.DUMMYFUNCTION("""COMPUTED_VALUE"""),"TRANSITO REVERSA")</f>
        <v>TRANSITO REVERSA</v>
      </c>
      <c r="G2747" s="23">
        <f>IFERROR(__xludf.DUMMYFUNCTION("""COMPUTED_VALUE"""),45626.298692129625)</f>
        <v>45626.29869</v>
      </c>
      <c r="H2747" s="24" t="str">
        <f>IFERROR(VLOOKUP(B2747,material!A:D,3,0),"")</f>
        <v>3.1</v>
      </c>
    </row>
    <row r="2748" ht="11.25" customHeight="1">
      <c r="A2748" s="21" t="str">
        <f>IFERROR(__xludf.DUMMYFUNCTION("""COMPUTED_VALUE"""),"MODEM VOIP EMTA WIFI 3.1 CH8568")</f>
        <v>MODEM VOIP EMTA WIFI 3.1 CH8568</v>
      </c>
      <c r="B2748" s="22">
        <f>IFERROR(__xludf.DUMMYFUNCTION("""COMPUTED_VALUE"""),4.1001485E7)</f>
        <v>41001485</v>
      </c>
      <c r="C2748" s="21" t="str">
        <f>IFERROR(__xludf.DUMMYFUNCTION("""COMPUTED_VALUE"""),"6802B8BE53A2")</f>
        <v>6802B8BE53A2</v>
      </c>
      <c r="D2748" s="21" t="str">
        <f>IFERROR(__xludf.DUMMYFUNCTION("""COMPUTED_VALUE"""),"DIGITEC TECNOLOGIA DIGITAL E REPRES")</f>
        <v>DIGITEC TECNOLOGIA DIGITAL E REPRES</v>
      </c>
      <c r="E2748" s="21">
        <f>IFERROR(__xludf.DUMMYFUNCTION("""COMPUTED_VALUE"""),145359.0)</f>
        <v>145359</v>
      </c>
      <c r="F2748" s="21" t="str">
        <f>IFERROR(__xludf.DUMMYFUNCTION("""COMPUTED_VALUE"""),"TRANSITO REVERSA")</f>
        <v>TRANSITO REVERSA</v>
      </c>
      <c r="G2748" s="23">
        <f>IFERROR(__xludf.DUMMYFUNCTION("""COMPUTED_VALUE"""),45617.87143518518)</f>
        <v>45617.87144</v>
      </c>
      <c r="H2748" s="24" t="str">
        <f>IFERROR(VLOOKUP(B2748,material!A:D,3,0),"")</f>
        <v>3.1</v>
      </c>
    </row>
    <row r="2749" ht="11.25" customHeight="1">
      <c r="A2749" s="21" t="str">
        <f>IFERROR(__xludf.DUMMYFUNCTION("""COMPUTED_VALUE"""),"MODEM VOIP EMTA WIFI 3.1 CH8568")</f>
        <v>MODEM VOIP EMTA WIFI 3.1 CH8568</v>
      </c>
      <c r="B2749" s="22">
        <f>IFERROR(__xludf.DUMMYFUNCTION("""COMPUTED_VALUE"""),4.1001485E7)</f>
        <v>41001485</v>
      </c>
      <c r="C2749" s="21" t="str">
        <f>IFERROR(__xludf.DUMMYFUNCTION("""COMPUTED_VALUE"""),"6802B8F01DF9")</f>
        <v>6802B8F01DF9</v>
      </c>
      <c r="D2749" s="21" t="str">
        <f>IFERROR(__xludf.DUMMYFUNCTION("""COMPUTED_VALUE"""),"DIGITEC TECNOLOGIA DIGITAL E REPRES")</f>
        <v>DIGITEC TECNOLOGIA DIGITAL E REPRES</v>
      </c>
      <c r="E2749" s="21">
        <f>IFERROR(__xludf.DUMMYFUNCTION("""COMPUTED_VALUE"""),145359.0)</f>
        <v>145359</v>
      </c>
      <c r="F2749" s="21" t="str">
        <f>IFERROR(__xludf.DUMMYFUNCTION("""COMPUTED_VALUE"""),"TRANSITO REVERSA")</f>
        <v>TRANSITO REVERSA</v>
      </c>
      <c r="G2749" s="23">
        <f>IFERROR(__xludf.DUMMYFUNCTION("""COMPUTED_VALUE"""),45626.298668981486)</f>
        <v>45626.29867</v>
      </c>
      <c r="H2749" s="24" t="str">
        <f>IFERROR(VLOOKUP(B2749,material!A:D,3,0),"")</f>
        <v>3.1</v>
      </c>
    </row>
    <row r="2750" ht="11.25" customHeight="1">
      <c r="A2750" s="21" t="str">
        <f>IFERROR(__xludf.DUMMYFUNCTION("""COMPUTED_VALUE"""),"MODEM VOIP EMTA WIFI 3.1 CH8568")</f>
        <v>MODEM VOIP EMTA WIFI 3.1 CH8568</v>
      </c>
      <c r="B2750" s="22">
        <f>IFERROR(__xludf.DUMMYFUNCTION("""COMPUTED_VALUE"""),4.1001485E7)</f>
        <v>41001485</v>
      </c>
      <c r="C2750" s="21" t="str">
        <f>IFERROR(__xludf.DUMMYFUNCTION("""COMPUTED_VALUE"""),"6802B813F426")</f>
        <v>6802B813F426</v>
      </c>
      <c r="D2750" s="21" t="str">
        <f>IFERROR(__xludf.DUMMYFUNCTION("""COMPUTED_VALUE"""),"DIGITEC TECNOLOGIA DIGITAL E REPRES")</f>
        <v>DIGITEC TECNOLOGIA DIGITAL E REPRES</v>
      </c>
      <c r="E2750" s="21">
        <f>IFERROR(__xludf.DUMMYFUNCTION("""COMPUTED_VALUE"""),145359.0)</f>
        <v>145359</v>
      </c>
      <c r="F2750" s="21" t="str">
        <f>IFERROR(__xludf.DUMMYFUNCTION("""COMPUTED_VALUE"""),"TRANSITO REVERSA")</f>
        <v>TRANSITO REVERSA</v>
      </c>
      <c r="G2750" s="23">
        <f>IFERROR(__xludf.DUMMYFUNCTION("""COMPUTED_VALUE"""),45610.73043981481)</f>
        <v>45610.73044</v>
      </c>
      <c r="H2750" s="24" t="str">
        <f>IFERROR(VLOOKUP(B2750,material!A:D,3,0),"")</f>
        <v>3.1</v>
      </c>
    </row>
    <row r="2751" ht="11.25" customHeight="1">
      <c r="A2751" s="21" t="str">
        <f>IFERROR(__xludf.DUMMYFUNCTION("""COMPUTED_VALUE"""),"MODEM VOIP EMTA WIFI 3.1 CH8568")</f>
        <v>MODEM VOIP EMTA WIFI 3.1 CH8568</v>
      </c>
      <c r="B2751" s="22">
        <f>IFERROR(__xludf.DUMMYFUNCTION("""COMPUTED_VALUE"""),4.1001485E7)</f>
        <v>41001485</v>
      </c>
      <c r="C2751" s="21" t="str">
        <f>IFERROR(__xludf.DUMMYFUNCTION("""COMPUTED_VALUE"""),"6802B8F7BD73")</f>
        <v>6802B8F7BD73</v>
      </c>
      <c r="D2751" s="21" t="str">
        <f>IFERROR(__xludf.DUMMYFUNCTION("""COMPUTED_VALUE"""),"DIGITEC TECNOLOGIA DIGITAL E REPRES")</f>
        <v>DIGITEC TECNOLOGIA DIGITAL E REPRES</v>
      </c>
      <c r="E2751" s="21">
        <f>IFERROR(__xludf.DUMMYFUNCTION("""COMPUTED_VALUE"""),145359.0)</f>
        <v>145359</v>
      </c>
      <c r="F2751" s="21" t="str">
        <f>IFERROR(__xludf.DUMMYFUNCTION("""COMPUTED_VALUE"""),"TRANSITO REVERSA")</f>
        <v>TRANSITO REVERSA</v>
      </c>
      <c r="G2751" s="23">
        <f>IFERROR(__xludf.DUMMYFUNCTION("""COMPUTED_VALUE"""),45617.87143518518)</f>
        <v>45617.87144</v>
      </c>
      <c r="H2751" s="24" t="str">
        <f>IFERROR(VLOOKUP(B2751,material!A:D,3,0),"")</f>
        <v>3.1</v>
      </c>
    </row>
    <row r="2752" ht="11.25" customHeight="1">
      <c r="A2752" s="21" t="str">
        <f>IFERROR(__xludf.DUMMYFUNCTION("""COMPUTED_VALUE"""),"MODEM VOIP EMTA WIFI 3.1 CH8568")</f>
        <v>MODEM VOIP EMTA WIFI 3.1 CH8568</v>
      </c>
      <c r="B2752" s="22">
        <f>IFERROR(__xludf.DUMMYFUNCTION("""COMPUTED_VALUE"""),4.1001485E7)</f>
        <v>41001485</v>
      </c>
      <c r="C2752" s="21" t="str">
        <f>IFERROR(__xludf.DUMMYFUNCTION("""COMPUTED_VALUE"""),"B4F267209AF0")</f>
        <v>B4F267209AF0</v>
      </c>
      <c r="D2752" s="21" t="str">
        <f>IFERROR(__xludf.DUMMYFUNCTION("""COMPUTED_VALUE"""),"DIGITEC TECNOLOGIA DIGITAL E REPRES")</f>
        <v>DIGITEC TECNOLOGIA DIGITAL E REPRES</v>
      </c>
      <c r="E2752" s="21">
        <f>IFERROR(__xludf.DUMMYFUNCTION("""COMPUTED_VALUE"""),145359.0)</f>
        <v>145359</v>
      </c>
      <c r="F2752" s="21" t="str">
        <f>IFERROR(__xludf.DUMMYFUNCTION("""COMPUTED_VALUE"""),"TRANSITO REVERSA")</f>
        <v>TRANSITO REVERSA</v>
      </c>
      <c r="G2752" s="23">
        <f>IFERROR(__xludf.DUMMYFUNCTION("""COMPUTED_VALUE"""),45638.52112268518)</f>
        <v>45638.52112</v>
      </c>
      <c r="H2752" s="24" t="str">
        <f>IFERROR(VLOOKUP(B2752,material!A:D,3,0),"")</f>
        <v>3.1</v>
      </c>
    </row>
    <row r="2753" ht="11.25" customHeight="1">
      <c r="A2753" s="21" t="str">
        <f>IFERROR(__xludf.DUMMYFUNCTION("""COMPUTED_VALUE"""),"MODEM VOIP EMTA WIFI 3.1 CH8568")</f>
        <v>MODEM VOIP EMTA WIFI 3.1 CH8568</v>
      </c>
      <c r="B2753" s="22">
        <f>IFERROR(__xludf.DUMMYFUNCTION("""COMPUTED_VALUE"""),4.1001485E7)</f>
        <v>41001485</v>
      </c>
      <c r="C2753" s="21" t="str">
        <f>IFERROR(__xludf.DUMMYFUNCTION("""COMPUTED_VALUE"""),"6802B85B60BC")</f>
        <v>6802B85B60BC</v>
      </c>
      <c r="D2753" s="21" t="str">
        <f>IFERROR(__xludf.DUMMYFUNCTION("""COMPUTED_VALUE"""),"DIGITEC TECNOLOGIA DIGITAL E REPRES")</f>
        <v>DIGITEC TECNOLOGIA DIGITAL E REPRES</v>
      </c>
      <c r="E2753" s="21">
        <f>IFERROR(__xludf.DUMMYFUNCTION("""COMPUTED_VALUE"""),145359.0)</f>
        <v>145359</v>
      </c>
      <c r="F2753" s="21" t="str">
        <f>IFERROR(__xludf.DUMMYFUNCTION("""COMPUTED_VALUE"""),"TRANSITO REVERSA")</f>
        <v>TRANSITO REVERSA</v>
      </c>
      <c r="G2753" s="23">
        <f>IFERROR(__xludf.DUMMYFUNCTION("""COMPUTED_VALUE"""),45633.00399305555)</f>
        <v>45633.00399</v>
      </c>
      <c r="H2753" s="24" t="str">
        <f>IFERROR(VLOOKUP(B2753,material!A:D,3,0),"")</f>
        <v>3.1</v>
      </c>
    </row>
    <row r="2754" ht="11.25" customHeight="1">
      <c r="A2754" s="21" t="str">
        <f>IFERROR(__xludf.DUMMYFUNCTION("""COMPUTED_VALUE"""),"MODEM VOIP EMTA WIFI 3.1 CH8568")</f>
        <v>MODEM VOIP EMTA WIFI 3.1 CH8568</v>
      </c>
      <c r="B2754" s="22">
        <f>IFERROR(__xludf.DUMMYFUNCTION("""COMPUTED_VALUE"""),4.1001485E7)</f>
        <v>41001485</v>
      </c>
      <c r="C2754" s="21" t="str">
        <f>IFERROR(__xludf.DUMMYFUNCTION("""COMPUTED_VALUE"""),"6802B85C4F7B")</f>
        <v>6802B85C4F7B</v>
      </c>
      <c r="D2754" s="21" t="str">
        <f>IFERROR(__xludf.DUMMYFUNCTION("""COMPUTED_VALUE"""),"DIGITEC TECNOLOGIA DIGITAL E REPRES")</f>
        <v>DIGITEC TECNOLOGIA DIGITAL E REPRES</v>
      </c>
      <c r="E2754" s="21">
        <f>IFERROR(__xludf.DUMMYFUNCTION("""COMPUTED_VALUE"""),145359.0)</f>
        <v>145359</v>
      </c>
      <c r="F2754" s="21" t="str">
        <f>IFERROR(__xludf.DUMMYFUNCTION("""COMPUTED_VALUE"""),"TRANSITO REVERSA")</f>
        <v>TRANSITO REVERSA</v>
      </c>
      <c r="G2754" s="23">
        <f>IFERROR(__xludf.DUMMYFUNCTION("""COMPUTED_VALUE"""),45610.73043981481)</f>
        <v>45610.73044</v>
      </c>
      <c r="H2754" s="24" t="str">
        <f>IFERROR(VLOOKUP(B2754,material!A:D,3,0),"")</f>
        <v>3.1</v>
      </c>
    </row>
    <row r="2755" ht="11.25" customHeight="1">
      <c r="A2755" s="21" t="str">
        <f>IFERROR(__xludf.DUMMYFUNCTION("""COMPUTED_VALUE"""),"MODEM VOIP EMTA WIFI 3.1 CH8568")</f>
        <v>MODEM VOIP EMTA WIFI 3.1 CH8568</v>
      </c>
      <c r="B2755" s="22">
        <f>IFERROR(__xludf.DUMMYFUNCTION("""COMPUTED_VALUE"""),4.1001485E7)</f>
        <v>41001485</v>
      </c>
      <c r="C2755" s="21" t="str">
        <f>IFERROR(__xludf.DUMMYFUNCTION("""COMPUTED_VALUE"""),"B4F2672030AC")</f>
        <v>B4F2672030AC</v>
      </c>
      <c r="D2755" s="21" t="str">
        <f>IFERROR(__xludf.DUMMYFUNCTION("""COMPUTED_VALUE"""),"DIGITEC TECNOLOGIA DIGITAL E REPRES")</f>
        <v>DIGITEC TECNOLOGIA DIGITAL E REPRES</v>
      </c>
      <c r="E2755" s="21">
        <f>IFERROR(__xludf.DUMMYFUNCTION("""COMPUTED_VALUE"""),145359.0)</f>
        <v>145359</v>
      </c>
      <c r="F2755" s="21" t="str">
        <f>IFERROR(__xludf.DUMMYFUNCTION("""COMPUTED_VALUE"""),"TRANSITO REVERSA")</f>
        <v>TRANSITO REVERSA</v>
      </c>
      <c r="G2755" s="23">
        <f>IFERROR(__xludf.DUMMYFUNCTION("""COMPUTED_VALUE"""),45610.73043981481)</f>
        <v>45610.73044</v>
      </c>
      <c r="H2755" s="24" t="str">
        <f>IFERROR(VLOOKUP(B2755,material!A:D,3,0),"")</f>
        <v>3.1</v>
      </c>
    </row>
    <row r="2756" ht="11.25" customHeight="1">
      <c r="A2756" s="21" t="str">
        <f>IFERROR(__xludf.DUMMYFUNCTION("""COMPUTED_VALUE"""),"MODEM VOIP EMTA WIFI 3.1 CH8568")</f>
        <v>MODEM VOIP EMTA WIFI 3.1 CH8568</v>
      </c>
      <c r="B2756" s="22">
        <f>IFERROR(__xludf.DUMMYFUNCTION("""COMPUTED_VALUE"""),4.1001485E7)</f>
        <v>41001485</v>
      </c>
      <c r="C2756" s="21" t="str">
        <f>IFERROR(__xludf.DUMMYFUNCTION("""COMPUTED_VALUE"""),"B4F267209D24")</f>
        <v>B4F267209D24</v>
      </c>
      <c r="D2756" s="21" t="str">
        <f>IFERROR(__xludf.DUMMYFUNCTION("""COMPUTED_VALUE"""),"DIGITEC TECNOLOGIA DIGITAL E REPRES")</f>
        <v>DIGITEC TECNOLOGIA DIGITAL E REPRES</v>
      </c>
      <c r="E2756" s="21">
        <f>IFERROR(__xludf.DUMMYFUNCTION("""COMPUTED_VALUE"""),145359.0)</f>
        <v>145359</v>
      </c>
      <c r="F2756" s="21" t="str">
        <f>IFERROR(__xludf.DUMMYFUNCTION("""COMPUTED_VALUE"""),"TRANSITO REVERSA")</f>
        <v>TRANSITO REVERSA</v>
      </c>
      <c r="G2756" s="23">
        <f>IFERROR(__xludf.DUMMYFUNCTION("""COMPUTED_VALUE"""),45633.00399305555)</f>
        <v>45633.00399</v>
      </c>
      <c r="H2756" s="24" t="str">
        <f>IFERROR(VLOOKUP(B2756,material!A:D,3,0),"")</f>
        <v>3.1</v>
      </c>
    </row>
    <row r="2757" ht="11.25" customHeight="1">
      <c r="A2757" s="21" t="str">
        <f>IFERROR(__xludf.DUMMYFUNCTION("""COMPUTED_VALUE"""),"MODEM VOIP EMTA WIFI 3.1 CH8568")</f>
        <v>MODEM VOIP EMTA WIFI 3.1 CH8568</v>
      </c>
      <c r="B2757" s="22">
        <f>IFERROR(__xludf.DUMMYFUNCTION("""COMPUTED_VALUE"""),4.1001485E7)</f>
        <v>41001485</v>
      </c>
      <c r="C2757" s="21" t="str">
        <f>IFERROR(__xludf.DUMMYFUNCTION("""COMPUTED_VALUE"""),"6802B8623922")</f>
        <v>6802B8623922</v>
      </c>
      <c r="D2757" s="21" t="str">
        <f>IFERROR(__xludf.DUMMYFUNCTION("""COMPUTED_VALUE"""),"DIGITEC TECNOLOGIA DIGITAL E REPRES")</f>
        <v>DIGITEC TECNOLOGIA DIGITAL E REPRES</v>
      </c>
      <c r="E2757" s="21">
        <f>IFERROR(__xludf.DUMMYFUNCTION("""COMPUTED_VALUE"""),145359.0)</f>
        <v>145359</v>
      </c>
      <c r="F2757" s="21" t="str">
        <f>IFERROR(__xludf.DUMMYFUNCTION("""COMPUTED_VALUE"""),"TRANSITO REVERSA")</f>
        <v>TRANSITO REVERSA</v>
      </c>
      <c r="G2757" s="23">
        <f>IFERROR(__xludf.DUMMYFUNCTION("""COMPUTED_VALUE"""),45633.0033912037)</f>
        <v>45633.00339</v>
      </c>
      <c r="H2757" s="24" t="str">
        <f>IFERROR(VLOOKUP(B2757,material!A:D,3,0),"")</f>
        <v>3.1</v>
      </c>
    </row>
    <row r="2758" ht="11.25" customHeight="1">
      <c r="A2758" s="21" t="str">
        <f>IFERROR(__xludf.DUMMYFUNCTION("""COMPUTED_VALUE"""),"MODEM VOIP EMTA WIFI 3.1 CH8568")</f>
        <v>MODEM VOIP EMTA WIFI 3.1 CH8568</v>
      </c>
      <c r="B2758" s="22">
        <f>IFERROR(__xludf.DUMMYFUNCTION("""COMPUTED_VALUE"""),4.1001485E7)</f>
        <v>41001485</v>
      </c>
      <c r="C2758" s="21" t="str">
        <f>IFERROR(__xludf.DUMMYFUNCTION("""COMPUTED_VALUE"""),"B4F2674EFBBE")</f>
        <v>B4F2674EFBBE</v>
      </c>
      <c r="D2758" s="21" t="str">
        <f>IFERROR(__xludf.DUMMYFUNCTION("""COMPUTED_VALUE"""),"DIGITEC TECNOLOGIA DIGITAL E REPRES")</f>
        <v>DIGITEC TECNOLOGIA DIGITAL E REPRES</v>
      </c>
      <c r="E2758" s="21">
        <f>IFERROR(__xludf.DUMMYFUNCTION("""COMPUTED_VALUE"""),145359.0)</f>
        <v>145359</v>
      </c>
      <c r="F2758" s="21" t="str">
        <f>IFERROR(__xludf.DUMMYFUNCTION("""COMPUTED_VALUE"""),"TRANSITO REVERSA")</f>
        <v>TRANSITO REVERSA</v>
      </c>
      <c r="G2758" s="23">
        <f>IFERROR(__xludf.DUMMYFUNCTION("""COMPUTED_VALUE"""),45633.00396990741)</f>
        <v>45633.00397</v>
      </c>
      <c r="H2758" s="24" t="str">
        <f>IFERROR(VLOOKUP(B2758,material!A:D,3,0),"")</f>
        <v>3.1</v>
      </c>
    </row>
    <row r="2759" ht="11.25" customHeight="1">
      <c r="A2759" s="21" t="str">
        <f>IFERROR(__xludf.DUMMYFUNCTION("""COMPUTED_VALUE"""),"MODEM VOIP EMTA WIFI 3.1 CH8568")</f>
        <v>MODEM VOIP EMTA WIFI 3.1 CH8568</v>
      </c>
      <c r="B2759" s="22">
        <f>IFERROR(__xludf.DUMMYFUNCTION("""COMPUTED_VALUE"""),4.1001485E7)</f>
        <v>41001485</v>
      </c>
      <c r="C2759" s="21" t="str">
        <f>IFERROR(__xludf.DUMMYFUNCTION("""COMPUTED_VALUE"""),"B4F2673295A6")</f>
        <v>B4F2673295A6</v>
      </c>
      <c r="D2759" s="21" t="str">
        <f>IFERROR(__xludf.DUMMYFUNCTION("""COMPUTED_VALUE"""),"DIGITEC TECNOLOGIA DIGITAL E REPRES")</f>
        <v>DIGITEC TECNOLOGIA DIGITAL E REPRES</v>
      </c>
      <c r="E2759" s="21">
        <f>IFERROR(__xludf.DUMMYFUNCTION("""COMPUTED_VALUE"""),145359.0)</f>
        <v>145359</v>
      </c>
      <c r="F2759" s="21" t="str">
        <f>IFERROR(__xludf.DUMMYFUNCTION("""COMPUTED_VALUE"""),"TRANSITO REVERSA")</f>
        <v>TRANSITO REVERSA</v>
      </c>
      <c r="G2759" s="23">
        <f>IFERROR(__xludf.DUMMYFUNCTION("""COMPUTED_VALUE"""),45610.73043981481)</f>
        <v>45610.73044</v>
      </c>
      <c r="H2759" s="24" t="str">
        <f>IFERROR(VLOOKUP(B2759,material!A:D,3,0),"")</f>
        <v>3.1</v>
      </c>
    </row>
    <row r="2760" ht="11.25" customHeight="1">
      <c r="A2760" s="21" t="str">
        <f>IFERROR(__xludf.DUMMYFUNCTION("""COMPUTED_VALUE"""),"MODEM VOIP EMTA WIFI 3.1 CH8568")</f>
        <v>MODEM VOIP EMTA WIFI 3.1 CH8568</v>
      </c>
      <c r="B2760" s="22">
        <f>IFERROR(__xludf.DUMMYFUNCTION("""COMPUTED_VALUE"""),4.1001485E7)</f>
        <v>41001485</v>
      </c>
      <c r="C2760" s="21" t="str">
        <f>IFERROR(__xludf.DUMMYFUNCTION("""COMPUTED_VALUE"""),"B4F267328B77")</f>
        <v>B4F267328B77</v>
      </c>
      <c r="D2760" s="21" t="str">
        <f>IFERROR(__xludf.DUMMYFUNCTION("""COMPUTED_VALUE"""),"DIGITEC TECNOLOGIA DIGITAL E REPRES")</f>
        <v>DIGITEC TECNOLOGIA DIGITAL E REPRES</v>
      </c>
      <c r="E2760" s="21">
        <f>IFERROR(__xludf.DUMMYFUNCTION("""COMPUTED_VALUE"""),145359.0)</f>
        <v>145359</v>
      </c>
      <c r="F2760" s="21" t="str">
        <f>IFERROR(__xludf.DUMMYFUNCTION("""COMPUTED_VALUE"""),"TRANSITO REVERSA")</f>
        <v>TRANSITO REVERSA</v>
      </c>
      <c r="G2760" s="23">
        <f>IFERROR(__xludf.DUMMYFUNCTION("""COMPUTED_VALUE"""),45610.73043981481)</f>
        <v>45610.73044</v>
      </c>
      <c r="H2760" s="24" t="str">
        <f>IFERROR(VLOOKUP(B2760,material!A:D,3,0),"")</f>
        <v>3.1</v>
      </c>
    </row>
    <row r="2761" ht="11.25" customHeight="1">
      <c r="A2761" s="21" t="str">
        <f>IFERROR(__xludf.DUMMYFUNCTION("""COMPUTED_VALUE"""),"MODEM VOIP EMTA WIFI 3.1 CH8568")</f>
        <v>MODEM VOIP EMTA WIFI 3.1 CH8568</v>
      </c>
      <c r="B2761" s="22">
        <f>IFERROR(__xludf.DUMMYFUNCTION("""COMPUTED_VALUE"""),4.1001485E7)</f>
        <v>41001485</v>
      </c>
      <c r="C2761" s="21" t="str">
        <f>IFERROR(__xludf.DUMMYFUNCTION("""COMPUTED_VALUE"""),"B4F267211554")</f>
        <v>B4F267211554</v>
      </c>
      <c r="D2761" s="21" t="str">
        <f>IFERROR(__xludf.DUMMYFUNCTION("""COMPUTED_VALUE"""),"DIGITEC TECNOLOGIA DIGITAL E REPRES")</f>
        <v>DIGITEC TECNOLOGIA DIGITAL E REPRES</v>
      </c>
      <c r="E2761" s="21">
        <f>IFERROR(__xludf.DUMMYFUNCTION("""COMPUTED_VALUE"""),145359.0)</f>
        <v>145359</v>
      </c>
      <c r="F2761" s="21" t="str">
        <f>IFERROR(__xludf.DUMMYFUNCTION("""COMPUTED_VALUE"""),"TRANSITO REVERSA")</f>
        <v>TRANSITO REVERSA</v>
      </c>
      <c r="G2761" s="23">
        <f>IFERROR(__xludf.DUMMYFUNCTION("""COMPUTED_VALUE"""),45633.00341435186)</f>
        <v>45633.00341</v>
      </c>
      <c r="H2761" s="24" t="str">
        <f>IFERROR(VLOOKUP(B2761,material!A:D,3,0),"")</f>
        <v>3.1</v>
      </c>
    </row>
    <row r="2762" ht="11.25" customHeight="1">
      <c r="A2762" s="21" t="str">
        <f>IFERROR(__xludf.DUMMYFUNCTION("""COMPUTED_VALUE"""),"MODEM VOIP EMTA WIFI 3.1 CH8568")</f>
        <v>MODEM VOIP EMTA WIFI 3.1 CH8568</v>
      </c>
      <c r="B2762" s="22">
        <f>IFERROR(__xludf.DUMMYFUNCTION("""COMPUTED_VALUE"""),4.1001485E7)</f>
        <v>41001485</v>
      </c>
      <c r="C2762" s="21" t="str">
        <f>IFERROR(__xludf.DUMMYFUNCTION("""COMPUTED_VALUE"""),"6802B863E5C5")</f>
        <v>6802B863E5C5</v>
      </c>
      <c r="D2762" s="21" t="str">
        <f>IFERROR(__xludf.DUMMYFUNCTION("""COMPUTED_VALUE"""),"DIGITEC TECNOLOGIA DIGITAL E REPRES")</f>
        <v>DIGITEC TECNOLOGIA DIGITAL E REPRES</v>
      </c>
      <c r="E2762" s="21">
        <f>IFERROR(__xludf.DUMMYFUNCTION("""COMPUTED_VALUE"""),145359.0)</f>
        <v>145359</v>
      </c>
      <c r="F2762" s="21" t="str">
        <f>IFERROR(__xludf.DUMMYFUNCTION("""COMPUTED_VALUE"""),"TRANSITO REVERSA")</f>
        <v>TRANSITO REVERSA</v>
      </c>
      <c r="G2762" s="23">
        <f>IFERROR(__xludf.DUMMYFUNCTION("""COMPUTED_VALUE"""),45626.2987037037)</f>
        <v>45626.2987</v>
      </c>
      <c r="H2762" s="24" t="str">
        <f>IFERROR(VLOOKUP(B2762,material!A:D,3,0),"")</f>
        <v>3.1</v>
      </c>
    </row>
    <row r="2763" ht="11.25" customHeight="1">
      <c r="A2763" s="21" t="str">
        <f>IFERROR(__xludf.DUMMYFUNCTION("""COMPUTED_VALUE"""),"MODEM VOIP EMTA WIFI 3.1 CH8568")</f>
        <v>MODEM VOIP EMTA WIFI 3.1 CH8568</v>
      </c>
      <c r="B2763" s="22">
        <f>IFERROR(__xludf.DUMMYFUNCTION("""COMPUTED_VALUE"""),4.1001485E7)</f>
        <v>41001485</v>
      </c>
      <c r="C2763" s="21" t="str">
        <f>IFERROR(__xludf.DUMMYFUNCTION("""COMPUTED_VALUE"""),"B4F267574C93")</f>
        <v>B4F267574C93</v>
      </c>
      <c r="D2763" s="21" t="str">
        <f>IFERROR(__xludf.DUMMYFUNCTION("""COMPUTED_VALUE"""),"DIGITEC TECNOLOGIA DIGITAL E REPRES")</f>
        <v>DIGITEC TECNOLOGIA DIGITAL E REPRES</v>
      </c>
      <c r="E2763" s="21">
        <f>IFERROR(__xludf.DUMMYFUNCTION("""COMPUTED_VALUE"""),145359.0)</f>
        <v>145359</v>
      </c>
      <c r="F2763" s="21" t="str">
        <f>IFERROR(__xludf.DUMMYFUNCTION("""COMPUTED_VALUE"""),"TRANSITO REVERSA")</f>
        <v>TRANSITO REVERSA</v>
      </c>
      <c r="G2763" s="23">
        <f>IFERROR(__xludf.DUMMYFUNCTION("""COMPUTED_VALUE"""),45633.003958333335)</f>
        <v>45633.00396</v>
      </c>
      <c r="H2763" s="24" t="str">
        <f>IFERROR(VLOOKUP(B2763,material!A:D,3,0),"")</f>
        <v>3.1</v>
      </c>
    </row>
    <row r="2764" ht="11.25" customHeight="1">
      <c r="A2764" s="21" t="str">
        <f>IFERROR(__xludf.DUMMYFUNCTION("""COMPUTED_VALUE"""),"MODEM VOIP EMTA WIFI 3.1 CH8568")</f>
        <v>MODEM VOIP EMTA WIFI 3.1 CH8568</v>
      </c>
      <c r="B2764" s="22">
        <f>IFERROR(__xludf.DUMMYFUNCTION("""COMPUTED_VALUE"""),4.1001485E7)</f>
        <v>41001485</v>
      </c>
      <c r="C2764" s="21" t="str">
        <f>IFERROR(__xludf.DUMMYFUNCTION("""COMPUTED_VALUE"""),"B4F267574CD5")</f>
        <v>B4F267574CD5</v>
      </c>
      <c r="D2764" s="21" t="str">
        <f>IFERROR(__xludf.DUMMYFUNCTION("""COMPUTED_VALUE"""),"DIGITEC TECNOLOGIA DIGITAL E REPRES")</f>
        <v>DIGITEC TECNOLOGIA DIGITAL E REPRES</v>
      </c>
      <c r="E2764" s="21">
        <f>IFERROR(__xludf.DUMMYFUNCTION("""COMPUTED_VALUE"""),145359.0)</f>
        <v>145359</v>
      </c>
      <c r="F2764" s="21" t="str">
        <f>IFERROR(__xludf.DUMMYFUNCTION("""COMPUTED_VALUE"""),"TRANSITO REVERSA")</f>
        <v>TRANSITO REVERSA</v>
      </c>
      <c r="G2764" s="23">
        <f>IFERROR(__xludf.DUMMYFUNCTION("""COMPUTED_VALUE"""),45638.520578703705)</f>
        <v>45638.52058</v>
      </c>
      <c r="H2764" s="24" t="str">
        <f>IFERROR(VLOOKUP(B2764,material!A:D,3,0),"")</f>
        <v>3.1</v>
      </c>
    </row>
    <row r="2765" ht="11.25" customHeight="1">
      <c r="A2765" s="21" t="str">
        <f>IFERROR(__xludf.DUMMYFUNCTION("""COMPUTED_VALUE"""),"MODEM VOIP EMTA WIFI 3.1 CH8568")</f>
        <v>MODEM VOIP EMTA WIFI 3.1 CH8568</v>
      </c>
      <c r="B2765" s="22">
        <f>IFERROR(__xludf.DUMMYFUNCTION("""COMPUTED_VALUE"""),4.1001485E7)</f>
        <v>41001485</v>
      </c>
      <c r="C2765" s="21" t="str">
        <f>IFERROR(__xludf.DUMMYFUNCTION("""COMPUTED_VALUE"""),"B4F267574CA2")</f>
        <v>B4F267574CA2</v>
      </c>
      <c r="D2765" s="21" t="str">
        <f>IFERROR(__xludf.DUMMYFUNCTION("""COMPUTED_VALUE"""),"DIGITEC TECNOLOGIA DIGITAL E REPRES")</f>
        <v>DIGITEC TECNOLOGIA DIGITAL E REPRES</v>
      </c>
      <c r="E2765" s="21">
        <f>IFERROR(__xludf.DUMMYFUNCTION("""COMPUTED_VALUE"""),145359.0)</f>
        <v>145359</v>
      </c>
      <c r="F2765" s="21" t="str">
        <f>IFERROR(__xludf.DUMMYFUNCTION("""COMPUTED_VALUE"""),"TRANSITO REVERSA")</f>
        <v>TRANSITO REVERSA</v>
      </c>
      <c r="G2765" s="23">
        <f>IFERROR(__xludf.DUMMYFUNCTION("""COMPUTED_VALUE"""),45638.52060185185)</f>
        <v>45638.5206</v>
      </c>
      <c r="H2765" s="24" t="str">
        <f>IFERROR(VLOOKUP(B2765,material!A:D,3,0),"")</f>
        <v>3.1</v>
      </c>
    </row>
    <row r="2766" ht="11.25" customHeight="1">
      <c r="A2766" s="21" t="str">
        <f>IFERROR(__xludf.DUMMYFUNCTION("""COMPUTED_VALUE"""),"MODEM VOIP EMTA WIFI 3.1 CH8568")</f>
        <v>MODEM VOIP EMTA WIFI 3.1 CH8568</v>
      </c>
      <c r="B2766" s="22">
        <f>IFERROR(__xludf.DUMMYFUNCTION("""COMPUTED_VALUE"""),4.1001485E7)</f>
        <v>41001485</v>
      </c>
      <c r="C2766" s="21" t="str">
        <f>IFERROR(__xludf.DUMMYFUNCTION("""COMPUTED_VALUE"""),"B4F26757496C")</f>
        <v>B4F26757496C</v>
      </c>
      <c r="D2766" s="21" t="str">
        <f>IFERROR(__xludf.DUMMYFUNCTION("""COMPUTED_VALUE"""),"DIGITEC TECNOLOGIA DIGITAL E REPRES")</f>
        <v>DIGITEC TECNOLOGIA DIGITAL E REPRES</v>
      </c>
      <c r="E2766" s="21">
        <f>IFERROR(__xludf.DUMMYFUNCTION("""COMPUTED_VALUE"""),145359.0)</f>
        <v>145359</v>
      </c>
      <c r="F2766" s="21" t="str">
        <f>IFERROR(__xludf.DUMMYFUNCTION("""COMPUTED_VALUE"""),"TRANSITO REVERSA")</f>
        <v>TRANSITO REVERSA</v>
      </c>
      <c r="G2766" s="23">
        <f>IFERROR(__xludf.DUMMYFUNCTION("""COMPUTED_VALUE"""),45633.003958333335)</f>
        <v>45633.00396</v>
      </c>
      <c r="H2766" s="24" t="str">
        <f>IFERROR(VLOOKUP(B2766,material!A:D,3,0),"")</f>
        <v>3.1</v>
      </c>
    </row>
    <row r="2767" ht="11.25" customHeight="1">
      <c r="A2767" s="21" t="str">
        <f>IFERROR(__xludf.DUMMYFUNCTION("""COMPUTED_VALUE"""),"MODEM VOIP EMTA WIFI 3.1 CH8568")</f>
        <v>MODEM VOIP EMTA WIFI 3.1 CH8568</v>
      </c>
      <c r="B2767" s="22">
        <f>IFERROR(__xludf.DUMMYFUNCTION("""COMPUTED_VALUE"""),4.1001485E7)</f>
        <v>41001485</v>
      </c>
      <c r="C2767" s="21" t="str">
        <f>IFERROR(__xludf.DUMMYFUNCTION("""COMPUTED_VALUE"""),"B4F267337B0B")</f>
        <v>B4F267337B0B</v>
      </c>
      <c r="D2767" s="21" t="str">
        <f>IFERROR(__xludf.DUMMYFUNCTION("""COMPUTED_VALUE"""),"DIGITEC TECNOLOGIA DIGITAL E REPRES")</f>
        <v>DIGITEC TECNOLOGIA DIGITAL E REPRES</v>
      </c>
      <c r="E2767" s="21">
        <f>IFERROR(__xludf.DUMMYFUNCTION("""COMPUTED_VALUE"""),145359.0)</f>
        <v>145359</v>
      </c>
      <c r="F2767" s="21" t="str">
        <f>IFERROR(__xludf.DUMMYFUNCTION("""COMPUTED_VALUE"""),"TRANSITO REVERSA")</f>
        <v>TRANSITO REVERSA</v>
      </c>
      <c r="G2767" s="23">
        <f>IFERROR(__xludf.DUMMYFUNCTION("""COMPUTED_VALUE"""),45638.52111111111)</f>
        <v>45638.52111</v>
      </c>
      <c r="H2767" s="24" t="str">
        <f>IFERROR(VLOOKUP(B2767,material!A:D,3,0),"")</f>
        <v>3.1</v>
      </c>
    </row>
    <row r="2768" ht="11.25" customHeight="1">
      <c r="A2768" s="21" t="str">
        <f>IFERROR(__xludf.DUMMYFUNCTION("""COMPUTED_VALUE"""),"MODEM VOIP EMTA WIFI 3.1 CH8568")</f>
        <v>MODEM VOIP EMTA WIFI 3.1 CH8568</v>
      </c>
      <c r="B2768" s="22">
        <f>IFERROR(__xludf.DUMMYFUNCTION("""COMPUTED_VALUE"""),4.1001485E7)</f>
        <v>41001485</v>
      </c>
      <c r="C2768" s="21" t="str">
        <f>IFERROR(__xludf.DUMMYFUNCTION("""COMPUTED_VALUE"""),"B4F267344828")</f>
        <v>B4F267344828</v>
      </c>
      <c r="D2768" s="21" t="str">
        <f>IFERROR(__xludf.DUMMYFUNCTION("""COMPUTED_VALUE"""),"DIGITEC TECNOLOGIA DIGITAL E REPRES")</f>
        <v>DIGITEC TECNOLOGIA DIGITAL E REPRES</v>
      </c>
      <c r="E2768" s="21">
        <f>IFERROR(__xludf.DUMMYFUNCTION("""COMPUTED_VALUE"""),145359.0)</f>
        <v>145359</v>
      </c>
      <c r="F2768" s="21" t="str">
        <f>IFERROR(__xludf.DUMMYFUNCTION("""COMPUTED_VALUE"""),"TRANSITO REVERSA")</f>
        <v>TRANSITO REVERSA</v>
      </c>
      <c r="G2768" s="23">
        <f>IFERROR(__xludf.DUMMYFUNCTION("""COMPUTED_VALUE"""),45617.87143518518)</f>
        <v>45617.87144</v>
      </c>
      <c r="H2768" s="24" t="str">
        <f>IFERROR(VLOOKUP(B2768,material!A:D,3,0),"")</f>
        <v>3.1</v>
      </c>
    </row>
    <row r="2769" ht="11.25" customHeight="1">
      <c r="A2769" s="21" t="str">
        <f>IFERROR(__xludf.DUMMYFUNCTION("""COMPUTED_VALUE"""),"MODEM VOIP EMTA WIFI 3.1 CH8568")</f>
        <v>MODEM VOIP EMTA WIFI 3.1 CH8568</v>
      </c>
      <c r="B2769" s="22">
        <f>IFERROR(__xludf.DUMMYFUNCTION("""COMPUTED_VALUE"""),4.1001485E7)</f>
        <v>41001485</v>
      </c>
      <c r="C2769" s="21" t="str">
        <f>IFERROR(__xludf.DUMMYFUNCTION("""COMPUTED_VALUE"""),"B4F26734232F")</f>
        <v>B4F26734232F</v>
      </c>
      <c r="D2769" s="21" t="str">
        <f>IFERROR(__xludf.DUMMYFUNCTION("""COMPUTED_VALUE"""),"DIGITEC TECNOLOGIA DIGITAL E REPRES")</f>
        <v>DIGITEC TECNOLOGIA DIGITAL E REPRES</v>
      </c>
      <c r="E2769" s="21">
        <f>IFERROR(__xludf.DUMMYFUNCTION("""COMPUTED_VALUE"""),145359.0)</f>
        <v>145359</v>
      </c>
      <c r="F2769" s="21" t="str">
        <f>IFERROR(__xludf.DUMMYFUNCTION("""COMPUTED_VALUE"""),"TRANSITO REVERSA")</f>
        <v>TRANSITO REVERSA</v>
      </c>
      <c r="G2769" s="23">
        <f>IFERROR(__xludf.DUMMYFUNCTION("""COMPUTED_VALUE"""),45610.73042824074)</f>
        <v>45610.73043</v>
      </c>
      <c r="H2769" s="24" t="str">
        <f>IFERROR(VLOOKUP(B2769,material!A:D,3,0),"")</f>
        <v>3.1</v>
      </c>
    </row>
    <row r="2770" ht="11.25" customHeight="1">
      <c r="A2770" s="21" t="str">
        <f>IFERROR(__xludf.DUMMYFUNCTION("""COMPUTED_VALUE"""),"MODEM VOIP EMTA WIFI 3.1 CH8568")</f>
        <v>MODEM VOIP EMTA WIFI 3.1 CH8568</v>
      </c>
      <c r="B2770" s="22">
        <f>IFERROR(__xludf.DUMMYFUNCTION("""COMPUTED_VALUE"""),4.1001485E7)</f>
        <v>41001485</v>
      </c>
      <c r="C2770" s="21" t="str">
        <f>IFERROR(__xludf.DUMMYFUNCTION("""COMPUTED_VALUE"""),"6802B8A2AEE5")</f>
        <v>6802B8A2AEE5</v>
      </c>
      <c r="D2770" s="21" t="str">
        <f>IFERROR(__xludf.DUMMYFUNCTION("""COMPUTED_VALUE"""),"DIGITEC TECNOLOGIA DIGITAL E REPRES")</f>
        <v>DIGITEC TECNOLOGIA DIGITAL E REPRES</v>
      </c>
      <c r="E2770" s="21">
        <f>IFERROR(__xludf.DUMMYFUNCTION("""COMPUTED_VALUE"""),145359.0)</f>
        <v>145359</v>
      </c>
      <c r="F2770" s="21" t="str">
        <f>IFERROR(__xludf.DUMMYFUNCTION("""COMPUTED_VALUE"""),"TRANSITO REVERSA")</f>
        <v>TRANSITO REVERSA</v>
      </c>
      <c r="G2770" s="23">
        <f>IFERROR(__xludf.DUMMYFUNCTION("""COMPUTED_VALUE"""),45626.2987037037)</f>
        <v>45626.2987</v>
      </c>
      <c r="H2770" s="24" t="str">
        <f>IFERROR(VLOOKUP(B2770,material!A:D,3,0),"")</f>
        <v>3.1</v>
      </c>
    </row>
    <row r="2771" ht="11.25" customHeight="1">
      <c r="A2771" s="21" t="str">
        <f>IFERROR(__xludf.DUMMYFUNCTION("""COMPUTED_VALUE"""),"MODEM VOIPEMTA WIFI 3.1 CGA4233CLB")</f>
        <v>MODEM VOIPEMTA WIFI 3.1 CGA4233CLB</v>
      </c>
      <c r="B2771" s="22">
        <f>IFERROR(__xludf.DUMMYFUNCTION("""COMPUTED_VALUE"""),4.1001482E7)</f>
        <v>41001482</v>
      </c>
      <c r="C2771" s="21" t="str">
        <f>IFERROR(__xludf.DUMMYFUNCTION("""COMPUTED_VALUE"""),"6C55E8C9C44C")</f>
        <v>6C55E8C9C44C</v>
      </c>
      <c r="D2771" s="21" t="str">
        <f>IFERROR(__xludf.DUMMYFUNCTION("""COMPUTED_VALUE"""),"DIGITEC TECNOLOGIA DIGITAL E REPRES")</f>
        <v>DIGITEC TECNOLOGIA DIGITAL E REPRES</v>
      </c>
      <c r="E2771" s="21">
        <f>IFERROR(__xludf.DUMMYFUNCTION("""COMPUTED_VALUE"""),145359.0)</f>
        <v>145359</v>
      </c>
      <c r="F2771" s="21" t="str">
        <f>IFERROR(__xludf.DUMMYFUNCTION("""COMPUTED_VALUE"""),"TRANSITO REVERSA")</f>
        <v>TRANSITO REVERSA</v>
      </c>
      <c r="G2771" s="23">
        <f>IFERROR(__xludf.DUMMYFUNCTION("""COMPUTED_VALUE"""),45617.87138888889)</f>
        <v>45617.87139</v>
      </c>
      <c r="H2771" s="24" t="str">
        <f>IFERROR(VLOOKUP(B2771,material!A:D,3,0),"")</f>
        <v>3.1</v>
      </c>
    </row>
    <row r="2772" ht="11.25" customHeight="1">
      <c r="A2772" s="21" t="str">
        <f>IFERROR(__xludf.DUMMYFUNCTION("""COMPUTED_VALUE"""),"MODEM VOIPEMTA WIFI 3.1 CGA4233CLB")</f>
        <v>MODEM VOIPEMTA WIFI 3.1 CGA4233CLB</v>
      </c>
      <c r="B2772" s="22">
        <f>IFERROR(__xludf.DUMMYFUNCTION("""COMPUTED_VALUE"""),4.1001482E7)</f>
        <v>41001482</v>
      </c>
      <c r="C2772" s="21" t="str">
        <f>IFERROR(__xludf.DUMMYFUNCTION("""COMPUTED_VALUE"""),"A0FF70D43AEC")</f>
        <v>A0FF70D43AEC</v>
      </c>
      <c r="D2772" s="21" t="str">
        <f>IFERROR(__xludf.DUMMYFUNCTION("""COMPUTED_VALUE"""),"DIGITEC TECNOLOGIA DIGITAL E REPRES")</f>
        <v>DIGITEC TECNOLOGIA DIGITAL E REPRES</v>
      </c>
      <c r="E2772" s="21">
        <f>IFERROR(__xludf.DUMMYFUNCTION("""COMPUTED_VALUE"""),145359.0)</f>
        <v>145359</v>
      </c>
      <c r="F2772" s="21" t="str">
        <f>IFERROR(__xludf.DUMMYFUNCTION("""COMPUTED_VALUE"""),"TRANSITO REVERSA")</f>
        <v>TRANSITO REVERSA</v>
      </c>
      <c r="G2772" s="23">
        <f>IFERROR(__xludf.DUMMYFUNCTION("""COMPUTED_VALUE"""),45626.298680555556)</f>
        <v>45626.29868</v>
      </c>
      <c r="H2772" s="24" t="str">
        <f>IFERROR(VLOOKUP(B2772,material!A:D,3,0),"")</f>
        <v>3.1</v>
      </c>
    </row>
    <row r="2773" ht="11.25" customHeight="1">
      <c r="A2773" s="21" t="str">
        <f>IFERROR(__xludf.DUMMYFUNCTION("""COMPUTED_VALUE"""),"MODEM VOIPEMTA WIFI 3.1 CGA4233CLB")</f>
        <v>MODEM VOIPEMTA WIFI 3.1 CGA4233CLB</v>
      </c>
      <c r="B2773" s="22">
        <f>IFERROR(__xludf.DUMMYFUNCTION("""COMPUTED_VALUE"""),4.1001482E7)</f>
        <v>41001482</v>
      </c>
      <c r="C2773" s="21" t="str">
        <f>IFERROR(__xludf.DUMMYFUNCTION("""COMPUTED_VALUE"""),"6C55E8CBBE5C")</f>
        <v>6C55E8CBBE5C</v>
      </c>
      <c r="D2773" s="21" t="str">
        <f>IFERROR(__xludf.DUMMYFUNCTION("""COMPUTED_VALUE"""),"DIGITEC TECNOLOGIA DIGITAL E REPRES")</f>
        <v>DIGITEC TECNOLOGIA DIGITAL E REPRES</v>
      </c>
      <c r="E2773" s="21">
        <f>IFERROR(__xludf.DUMMYFUNCTION("""COMPUTED_VALUE"""),145359.0)</f>
        <v>145359</v>
      </c>
      <c r="F2773" s="21" t="str">
        <f>IFERROR(__xludf.DUMMYFUNCTION("""COMPUTED_VALUE"""),"TRANSITO REVERSA")</f>
        <v>TRANSITO REVERSA</v>
      </c>
      <c r="G2773" s="23">
        <f>IFERROR(__xludf.DUMMYFUNCTION("""COMPUTED_VALUE"""),45638.52061342592)</f>
        <v>45638.52061</v>
      </c>
      <c r="H2773" s="24" t="str">
        <f>IFERROR(VLOOKUP(B2773,material!A:D,3,0),"")</f>
        <v>3.1</v>
      </c>
    </row>
    <row r="2774" ht="11.25" customHeight="1">
      <c r="A2774" s="21" t="str">
        <f>IFERROR(__xludf.DUMMYFUNCTION("""COMPUTED_VALUE"""),"MODEM VOIPEMTA WIFI 3.1 CGA4233CLB")</f>
        <v>MODEM VOIPEMTA WIFI 3.1 CGA4233CLB</v>
      </c>
      <c r="B2774" s="22">
        <f>IFERROR(__xludf.DUMMYFUNCTION("""COMPUTED_VALUE"""),4.1001482E7)</f>
        <v>41001482</v>
      </c>
      <c r="C2774" s="21" t="str">
        <f>IFERROR(__xludf.DUMMYFUNCTION("""COMPUTED_VALUE"""),"6C55E8C379DC")</f>
        <v>6C55E8C379DC</v>
      </c>
      <c r="D2774" s="21" t="str">
        <f>IFERROR(__xludf.DUMMYFUNCTION("""COMPUTED_VALUE"""),"DIGITEC TECNOLOGIA DIGITAL E REPRES")</f>
        <v>DIGITEC TECNOLOGIA DIGITAL E REPRES</v>
      </c>
      <c r="E2774" s="21">
        <f>IFERROR(__xludf.DUMMYFUNCTION("""COMPUTED_VALUE"""),145359.0)</f>
        <v>145359</v>
      </c>
      <c r="F2774" s="21" t="str">
        <f>IFERROR(__xludf.DUMMYFUNCTION("""COMPUTED_VALUE"""),"TRANSITO REVERSA")</f>
        <v>TRANSITO REVERSA</v>
      </c>
      <c r="G2774" s="23">
        <f>IFERROR(__xludf.DUMMYFUNCTION("""COMPUTED_VALUE"""),45617.87138888889)</f>
        <v>45617.87139</v>
      </c>
      <c r="H2774" s="24" t="str">
        <f>IFERROR(VLOOKUP(B2774,material!A:D,3,0),"")</f>
        <v>3.1</v>
      </c>
    </row>
    <row r="2775" ht="11.25" customHeight="1">
      <c r="A2775" s="21" t="str">
        <f>IFERROR(__xludf.DUMMYFUNCTION("""COMPUTED_VALUE"""),"MODEM VOIPEMTA WIFI 3.1 CGA4233CLB")</f>
        <v>MODEM VOIPEMTA WIFI 3.1 CGA4233CLB</v>
      </c>
      <c r="B2775" s="22">
        <f>IFERROR(__xludf.DUMMYFUNCTION("""COMPUTED_VALUE"""),4.1001482E7)</f>
        <v>41001482</v>
      </c>
      <c r="C2775" s="21" t="str">
        <f>IFERROR(__xludf.DUMMYFUNCTION("""COMPUTED_VALUE"""),"889E68DF78F4")</f>
        <v>889E68DF78F4</v>
      </c>
      <c r="D2775" s="21" t="str">
        <f>IFERROR(__xludf.DUMMYFUNCTION("""COMPUTED_VALUE"""),"DIGITEC TECNOLOGIA DIGITAL E REPRES")</f>
        <v>DIGITEC TECNOLOGIA DIGITAL E REPRES</v>
      </c>
      <c r="E2775" s="21">
        <f>IFERROR(__xludf.DUMMYFUNCTION("""COMPUTED_VALUE"""),145359.0)</f>
        <v>145359</v>
      </c>
      <c r="F2775" s="21" t="str">
        <f>IFERROR(__xludf.DUMMYFUNCTION("""COMPUTED_VALUE"""),"TRANSITO REVERSA")</f>
        <v>TRANSITO REVERSA</v>
      </c>
      <c r="G2775" s="23">
        <f>IFERROR(__xludf.DUMMYFUNCTION("""COMPUTED_VALUE"""),45617.87138888889)</f>
        <v>45617.87139</v>
      </c>
      <c r="H2775" s="24" t="str">
        <f>IFERROR(VLOOKUP(B2775,material!A:D,3,0),"")</f>
        <v>3.1</v>
      </c>
    </row>
    <row r="2776" ht="11.25" customHeight="1">
      <c r="A2776" s="21" t="str">
        <f>IFERROR(__xludf.DUMMYFUNCTION("""COMPUTED_VALUE"""),"MODEM VOIPEMTA WIFI 3.1 CGA4233CLB")</f>
        <v>MODEM VOIPEMTA WIFI 3.1 CGA4233CLB</v>
      </c>
      <c r="B2776" s="22">
        <f>IFERROR(__xludf.DUMMYFUNCTION("""COMPUTED_VALUE"""),4.1001482E7)</f>
        <v>41001482</v>
      </c>
      <c r="C2776" s="21" t="str">
        <f>IFERROR(__xludf.DUMMYFUNCTION("""COMPUTED_VALUE"""),"A0FF707D919C")</f>
        <v>A0FF707D919C</v>
      </c>
      <c r="D2776" s="21" t="str">
        <f>IFERROR(__xludf.DUMMYFUNCTION("""COMPUTED_VALUE"""),"DIGITEC TECNOLOGIA DIGITAL E REPRES")</f>
        <v>DIGITEC TECNOLOGIA DIGITAL E REPRES</v>
      </c>
      <c r="E2776" s="21">
        <f>IFERROR(__xludf.DUMMYFUNCTION("""COMPUTED_VALUE"""),145359.0)</f>
        <v>145359</v>
      </c>
      <c r="F2776" s="21" t="str">
        <f>IFERROR(__xludf.DUMMYFUNCTION("""COMPUTED_VALUE"""),"TRANSITO REVERSA")</f>
        <v>TRANSITO REVERSA</v>
      </c>
      <c r="G2776" s="23">
        <f>IFERROR(__xludf.DUMMYFUNCTION("""COMPUTED_VALUE"""),45633.00341435186)</f>
        <v>45633.00341</v>
      </c>
      <c r="H2776" s="24" t="str">
        <f>IFERROR(VLOOKUP(B2776,material!A:D,3,0),"")</f>
        <v>3.1</v>
      </c>
    </row>
    <row r="2777" ht="11.25" customHeight="1">
      <c r="A2777" s="21" t="str">
        <f>IFERROR(__xludf.DUMMYFUNCTION("""COMPUTED_VALUE"""),"MODEM VOIPEMTA WIFI 3.1 CGA4233CLB")</f>
        <v>MODEM VOIPEMTA WIFI 3.1 CGA4233CLB</v>
      </c>
      <c r="B2777" s="22">
        <f>IFERROR(__xludf.DUMMYFUNCTION("""COMPUTED_VALUE"""),4.1001482E7)</f>
        <v>41001482</v>
      </c>
      <c r="C2777" s="21" t="str">
        <f>IFERROR(__xludf.DUMMYFUNCTION("""COMPUTED_VALUE"""),"A0FF70844F14")</f>
        <v>A0FF70844F14</v>
      </c>
      <c r="D2777" s="21" t="str">
        <f>IFERROR(__xludf.DUMMYFUNCTION("""COMPUTED_VALUE"""),"DIGITEC TECNOLOGIA DIGITAL E REPRES")</f>
        <v>DIGITEC TECNOLOGIA DIGITAL E REPRES</v>
      </c>
      <c r="E2777" s="21">
        <f>IFERROR(__xludf.DUMMYFUNCTION("""COMPUTED_VALUE"""),145359.0)</f>
        <v>145359</v>
      </c>
      <c r="F2777" s="21" t="str">
        <f>IFERROR(__xludf.DUMMYFUNCTION("""COMPUTED_VALUE"""),"TRANSITO REVERSA")</f>
        <v>TRANSITO REVERSA</v>
      </c>
      <c r="G2777" s="23">
        <f>IFERROR(__xludf.DUMMYFUNCTION("""COMPUTED_VALUE"""),45617.87143518518)</f>
        <v>45617.87144</v>
      </c>
      <c r="H2777" s="24" t="str">
        <f>IFERROR(VLOOKUP(B2777,material!A:D,3,0),"")</f>
        <v>3.1</v>
      </c>
    </row>
    <row r="2778" ht="11.25" customHeight="1">
      <c r="A2778" s="21" t="str">
        <f>IFERROR(__xludf.DUMMYFUNCTION("""COMPUTED_VALUE"""),"MODEM VOIPEMTA WIFI 3.1 CGA4233CLB")</f>
        <v>MODEM VOIPEMTA WIFI 3.1 CGA4233CLB</v>
      </c>
      <c r="B2778" s="22">
        <f>IFERROR(__xludf.DUMMYFUNCTION("""COMPUTED_VALUE"""),4.1001482E7)</f>
        <v>41001482</v>
      </c>
      <c r="C2778" s="21" t="str">
        <f>IFERROR(__xludf.DUMMYFUNCTION("""COMPUTED_VALUE"""),"5C7D7D5B9FFC")</f>
        <v>5C7D7D5B9FFC</v>
      </c>
      <c r="D2778" s="21" t="str">
        <f>IFERROR(__xludf.DUMMYFUNCTION("""COMPUTED_VALUE"""),"DIGITEC TECNOLOGIA DIGITAL E REPRES")</f>
        <v>DIGITEC TECNOLOGIA DIGITAL E REPRES</v>
      </c>
      <c r="E2778" s="21">
        <f>IFERROR(__xludf.DUMMYFUNCTION("""COMPUTED_VALUE"""),145359.0)</f>
        <v>145359</v>
      </c>
      <c r="F2778" s="21" t="str">
        <f>IFERROR(__xludf.DUMMYFUNCTION("""COMPUTED_VALUE"""),"TRANSITO REVERSA")</f>
        <v>TRANSITO REVERSA</v>
      </c>
      <c r="G2778" s="23">
        <f>IFERROR(__xludf.DUMMYFUNCTION("""COMPUTED_VALUE"""),45626.298692129625)</f>
        <v>45626.29869</v>
      </c>
      <c r="H2778" s="24" t="str">
        <f>IFERROR(VLOOKUP(B2778,material!A:D,3,0),"")</f>
        <v>3.1</v>
      </c>
    </row>
    <row r="2779" ht="11.25" customHeight="1">
      <c r="A2779" s="21" t="str">
        <f>IFERROR(__xludf.DUMMYFUNCTION("""COMPUTED_VALUE"""),"MODEM VOIPEMTA WIFI 3.1 CGA4233CLB")</f>
        <v>MODEM VOIPEMTA WIFI 3.1 CGA4233CLB</v>
      </c>
      <c r="B2779" s="22">
        <f>IFERROR(__xludf.DUMMYFUNCTION("""COMPUTED_VALUE"""),4.1001482E7)</f>
        <v>41001482</v>
      </c>
      <c r="C2779" s="21" t="str">
        <f>IFERROR(__xludf.DUMMYFUNCTION("""COMPUTED_VALUE"""),"F4C114769C34")</f>
        <v>F4C114769C34</v>
      </c>
      <c r="D2779" s="21" t="str">
        <f>IFERROR(__xludf.DUMMYFUNCTION("""COMPUTED_VALUE"""),"DIGITEC TECNOLOGIA DIGITAL E REPRES")</f>
        <v>DIGITEC TECNOLOGIA DIGITAL E REPRES</v>
      </c>
      <c r="E2779" s="21">
        <f>IFERROR(__xludf.DUMMYFUNCTION("""COMPUTED_VALUE"""),145359.0)</f>
        <v>145359</v>
      </c>
      <c r="F2779" s="21" t="str">
        <f>IFERROR(__xludf.DUMMYFUNCTION("""COMPUTED_VALUE"""),"TRANSITO REVERSA")</f>
        <v>TRANSITO REVERSA</v>
      </c>
      <c r="G2779" s="23">
        <f>IFERROR(__xludf.DUMMYFUNCTION("""COMPUTED_VALUE"""),45633.00399305555)</f>
        <v>45633.00399</v>
      </c>
      <c r="H2779" s="24" t="str">
        <f>IFERROR(VLOOKUP(B2779,material!A:D,3,0),"")</f>
        <v>3.1</v>
      </c>
    </row>
    <row r="2780" ht="11.25" customHeight="1">
      <c r="A2780" s="21" t="str">
        <f>IFERROR(__xludf.DUMMYFUNCTION("""COMPUTED_VALUE"""),"MODEM VOIPEMTA WIFI 3.1 CGA4233CLB")</f>
        <v>MODEM VOIPEMTA WIFI 3.1 CGA4233CLB</v>
      </c>
      <c r="B2780" s="22">
        <f>IFERROR(__xludf.DUMMYFUNCTION("""COMPUTED_VALUE"""),4.1001482E7)</f>
        <v>41001482</v>
      </c>
      <c r="C2780" s="21" t="str">
        <f>IFERROR(__xludf.DUMMYFUNCTION("""COMPUTED_VALUE"""),"5C7D7D5BA65C")</f>
        <v>5C7D7D5BA65C</v>
      </c>
      <c r="D2780" s="21" t="str">
        <f>IFERROR(__xludf.DUMMYFUNCTION("""COMPUTED_VALUE"""),"DIGITEC TECNOLOGIA DIGITAL E REPRES")</f>
        <v>DIGITEC TECNOLOGIA DIGITAL E REPRES</v>
      </c>
      <c r="E2780" s="21">
        <f>IFERROR(__xludf.DUMMYFUNCTION("""COMPUTED_VALUE"""),145359.0)</f>
        <v>145359</v>
      </c>
      <c r="F2780" s="21" t="str">
        <f>IFERROR(__xludf.DUMMYFUNCTION("""COMPUTED_VALUE"""),"TRANSITO REVERSA")</f>
        <v>TRANSITO REVERSA</v>
      </c>
      <c r="G2780" s="23">
        <f>IFERROR(__xludf.DUMMYFUNCTION("""COMPUTED_VALUE"""),45617.87140046296)</f>
        <v>45617.8714</v>
      </c>
      <c r="H2780" s="24" t="str">
        <f>IFERROR(VLOOKUP(B2780,material!A:D,3,0),"")</f>
        <v>3.1</v>
      </c>
    </row>
    <row r="2781" ht="11.25" customHeight="1">
      <c r="A2781" s="21" t="str">
        <f>IFERROR(__xludf.DUMMYFUNCTION("""COMPUTED_VALUE"""),"MODEM VOIPEMTA WIFI 3.1 CGA4233CLB")</f>
        <v>MODEM VOIPEMTA WIFI 3.1 CGA4233CLB</v>
      </c>
      <c r="B2781" s="22">
        <f>IFERROR(__xludf.DUMMYFUNCTION("""COMPUTED_VALUE"""),4.1001482E7)</f>
        <v>41001482</v>
      </c>
      <c r="C2781" s="21" t="str">
        <f>IFERROR(__xludf.DUMMYFUNCTION("""COMPUTED_VALUE"""),"484BD479EF2C")</f>
        <v>484BD479EF2C</v>
      </c>
      <c r="D2781" s="21" t="str">
        <f>IFERROR(__xludf.DUMMYFUNCTION("""COMPUTED_VALUE"""),"DIGITEC TECNOLOGIA DIGITAL E REPRES")</f>
        <v>DIGITEC TECNOLOGIA DIGITAL E REPRES</v>
      </c>
      <c r="E2781" s="21">
        <f>IFERROR(__xludf.DUMMYFUNCTION("""COMPUTED_VALUE"""),145359.0)</f>
        <v>145359</v>
      </c>
      <c r="F2781" s="21" t="str">
        <f>IFERROR(__xludf.DUMMYFUNCTION("""COMPUTED_VALUE"""),"TRANSITO REVERSA")</f>
        <v>TRANSITO REVERSA</v>
      </c>
      <c r="G2781" s="23">
        <f>IFERROR(__xludf.DUMMYFUNCTION("""COMPUTED_VALUE"""),45633.00340277777)</f>
        <v>45633.0034</v>
      </c>
      <c r="H2781" s="24" t="str">
        <f>IFERROR(VLOOKUP(B2781,material!A:D,3,0),"")</f>
        <v>3.1</v>
      </c>
    </row>
    <row r="2782" ht="11.25" customHeight="1">
      <c r="A2782" s="21" t="str">
        <f>IFERROR(__xludf.DUMMYFUNCTION("""COMPUTED_VALUE"""),"MODEM VOIPEMTA WIFI 3.1 CGA4233CLB")</f>
        <v>MODEM VOIPEMTA WIFI 3.1 CGA4233CLB</v>
      </c>
      <c r="B2782" s="22">
        <f>IFERROR(__xludf.DUMMYFUNCTION("""COMPUTED_VALUE"""),4.1001482E7)</f>
        <v>41001482</v>
      </c>
      <c r="C2782" s="21" t="str">
        <f>IFERROR(__xludf.DUMMYFUNCTION("""COMPUTED_VALUE"""),"F4C11471FD74")</f>
        <v>F4C11471FD74</v>
      </c>
      <c r="D2782" s="21" t="str">
        <f>IFERROR(__xludf.DUMMYFUNCTION("""COMPUTED_VALUE"""),"DIGITEC TECNOLOGIA DIGITAL E REPRES")</f>
        <v>DIGITEC TECNOLOGIA DIGITAL E REPRES</v>
      </c>
      <c r="E2782" s="21">
        <f>IFERROR(__xludf.DUMMYFUNCTION("""COMPUTED_VALUE"""),145359.0)</f>
        <v>145359</v>
      </c>
      <c r="F2782" s="21" t="str">
        <f>IFERROR(__xludf.DUMMYFUNCTION("""COMPUTED_VALUE"""),"TRANSITO REVERSA")</f>
        <v>TRANSITO REVERSA</v>
      </c>
      <c r="G2782" s="23">
        <f>IFERROR(__xludf.DUMMYFUNCTION("""COMPUTED_VALUE"""),45633.00533564815)</f>
        <v>45633.00534</v>
      </c>
      <c r="H2782" s="24" t="str">
        <f>IFERROR(VLOOKUP(B2782,material!A:D,3,0),"")</f>
        <v>3.1</v>
      </c>
    </row>
    <row r="2783" ht="11.25" customHeight="1">
      <c r="A2783" s="21" t="str">
        <f>IFERROR(__xludf.DUMMYFUNCTION("""COMPUTED_VALUE"""),"MODEM VOIPEMTA WIFI 3.1 CGA4233CLB")</f>
        <v>MODEM VOIPEMTA WIFI 3.1 CGA4233CLB</v>
      </c>
      <c r="B2783" s="22">
        <f>IFERROR(__xludf.DUMMYFUNCTION("""COMPUTED_VALUE"""),4.1001482E7)</f>
        <v>41001482</v>
      </c>
      <c r="C2783" s="21" t="str">
        <f>IFERROR(__xludf.DUMMYFUNCTION("""COMPUTED_VALUE"""),"5C7D7D74008C")</f>
        <v>5C7D7D74008C</v>
      </c>
      <c r="D2783" s="21" t="str">
        <f>IFERROR(__xludf.DUMMYFUNCTION("""COMPUTED_VALUE"""),"DIGITEC TECNOLOGIA DIGITAL E REPRES")</f>
        <v>DIGITEC TECNOLOGIA DIGITAL E REPRES</v>
      </c>
      <c r="E2783" s="21">
        <f>IFERROR(__xludf.DUMMYFUNCTION("""COMPUTED_VALUE"""),145359.0)</f>
        <v>145359</v>
      </c>
      <c r="F2783" s="21" t="str">
        <f>IFERROR(__xludf.DUMMYFUNCTION("""COMPUTED_VALUE"""),"TRANSITO REVERSA")</f>
        <v>TRANSITO REVERSA</v>
      </c>
      <c r="G2783" s="23">
        <f>IFERROR(__xludf.DUMMYFUNCTION("""COMPUTED_VALUE"""),45617.87138888889)</f>
        <v>45617.87139</v>
      </c>
      <c r="H2783" s="24" t="str">
        <f>IFERROR(VLOOKUP(B2783,material!A:D,3,0),"")</f>
        <v>3.1</v>
      </c>
    </row>
    <row r="2784" ht="11.25" customHeight="1">
      <c r="A2784" s="21" t="str">
        <f>IFERROR(__xludf.DUMMYFUNCTION("""COMPUTED_VALUE"""),"MODEM VOIPEMTA WIFI 3.1 CGA4233CLB")</f>
        <v>MODEM VOIPEMTA WIFI 3.1 CGA4233CLB</v>
      </c>
      <c r="B2784" s="22">
        <f>IFERROR(__xludf.DUMMYFUNCTION("""COMPUTED_VALUE"""),4.1001482E7)</f>
        <v>41001482</v>
      </c>
      <c r="C2784" s="21" t="str">
        <f>IFERROR(__xludf.DUMMYFUNCTION("""COMPUTED_VALUE"""),"F4C1147D4344")</f>
        <v>F4C1147D4344</v>
      </c>
      <c r="D2784" s="21" t="str">
        <f>IFERROR(__xludf.DUMMYFUNCTION("""COMPUTED_VALUE"""),"DIGITEC TECNOLOGIA DIGITAL E REPRES")</f>
        <v>DIGITEC TECNOLOGIA DIGITAL E REPRES</v>
      </c>
      <c r="E2784" s="21">
        <f>IFERROR(__xludf.DUMMYFUNCTION("""COMPUTED_VALUE"""),145359.0)</f>
        <v>145359</v>
      </c>
      <c r="F2784" s="21" t="str">
        <f>IFERROR(__xludf.DUMMYFUNCTION("""COMPUTED_VALUE"""),"TRANSITO REVERSA")</f>
        <v>TRANSITO REVERSA</v>
      </c>
      <c r="G2784" s="23">
        <f>IFERROR(__xludf.DUMMYFUNCTION("""COMPUTED_VALUE"""),45626.2987037037)</f>
        <v>45626.2987</v>
      </c>
      <c r="H2784" s="24" t="str">
        <f>IFERROR(VLOOKUP(B2784,material!A:D,3,0),"")</f>
        <v>3.1</v>
      </c>
    </row>
    <row r="2785" ht="11.25" customHeight="1">
      <c r="A2785" s="21" t="str">
        <f>IFERROR(__xludf.DUMMYFUNCTION("""COMPUTED_VALUE"""),"MODEM VOIPEMTA WIFI 3.1 CGA4233CLB")</f>
        <v>MODEM VOIPEMTA WIFI 3.1 CGA4233CLB</v>
      </c>
      <c r="B2785" s="22">
        <f>IFERROR(__xludf.DUMMYFUNCTION("""COMPUTED_VALUE"""),4.1001482E7)</f>
        <v>41001482</v>
      </c>
      <c r="C2785" s="21" t="str">
        <f>IFERROR(__xludf.DUMMYFUNCTION("""COMPUTED_VALUE"""),"484BD47F5F2C")</f>
        <v>484BD47F5F2C</v>
      </c>
      <c r="D2785" s="21" t="str">
        <f>IFERROR(__xludf.DUMMYFUNCTION("""COMPUTED_VALUE"""),"DIGITEC TECNOLOGIA DIGITAL E REPRES")</f>
        <v>DIGITEC TECNOLOGIA DIGITAL E REPRES</v>
      </c>
      <c r="E2785" s="21">
        <f>IFERROR(__xludf.DUMMYFUNCTION("""COMPUTED_VALUE"""),145359.0)</f>
        <v>145359</v>
      </c>
      <c r="F2785" s="21" t="str">
        <f>IFERROR(__xludf.DUMMYFUNCTION("""COMPUTED_VALUE"""),"TRANSITO REVERSA")</f>
        <v>TRANSITO REVERSA</v>
      </c>
      <c r="G2785" s="23">
        <f>IFERROR(__xludf.DUMMYFUNCTION("""COMPUTED_VALUE"""),45638.52113425926)</f>
        <v>45638.52113</v>
      </c>
      <c r="H2785" s="24" t="str">
        <f>IFERROR(VLOOKUP(B2785,material!A:D,3,0),"")</f>
        <v>3.1</v>
      </c>
    </row>
    <row r="2786" ht="11.25" customHeight="1">
      <c r="A2786" s="21" t="str">
        <f>IFERROR(__xludf.DUMMYFUNCTION("""COMPUTED_VALUE"""),"MODEM VOIPEMTA WIFI 3.1 CGA4233CLB")</f>
        <v>MODEM VOIPEMTA WIFI 3.1 CGA4233CLB</v>
      </c>
      <c r="B2786" s="22">
        <f>IFERROR(__xludf.DUMMYFUNCTION("""COMPUTED_VALUE"""),4.1001482E7)</f>
        <v>41001482</v>
      </c>
      <c r="C2786" s="21" t="str">
        <f>IFERROR(__xludf.DUMMYFUNCTION("""COMPUTED_VALUE"""),"5C7D7D68B6FC")</f>
        <v>5C7D7D68B6FC</v>
      </c>
      <c r="D2786" s="21" t="str">
        <f>IFERROR(__xludf.DUMMYFUNCTION("""COMPUTED_VALUE"""),"DIGITEC TECNOLOGIA DIGITAL E REPRES")</f>
        <v>DIGITEC TECNOLOGIA DIGITAL E REPRES</v>
      </c>
      <c r="E2786" s="21">
        <f>IFERROR(__xludf.DUMMYFUNCTION("""COMPUTED_VALUE"""),145359.0)</f>
        <v>145359</v>
      </c>
      <c r="F2786" s="21" t="str">
        <f>IFERROR(__xludf.DUMMYFUNCTION("""COMPUTED_VALUE"""),"TRANSITO REVERSA")</f>
        <v>TRANSITO REVERSA</v>
      </c>
      <c r="G2786" s="23">
        <f>IFERROR(__xludf.DUMMYFUNCTION("""COMPUTED_VALUE"""),45633.00398148148)</f>
        <v>45633.00398</v>
      </c>
      <c r="H2786" s="24" t="str">
        <f>IFERROR(VLOOKUP(B2786,material!A:D,3,0),"")</f>
        <v>3.1</v>
      </c>
    </row>
    <row r="2787" ht="11.25" customHeight="1">
      <c r="A2787" s="21" t="str">
        <f>IFERROR(__xludf.DUMMYFUNCTION("""COMPUTED_VALUE"""),"MODEM VOIPEMTA WIFI 3.1 CGA4233CLB")</f>
        <v>MODEM VOIPEMTA WIFI 3.1 CGA4233CLB</v>
      </c>
      <c r="B2787" s="22">
        <f>IFERROR(__xludf.DUMMYFUNCTION("""COMPUTED_VALUE"""),4.1001482E7)</f>
        <v>41001482</v>
      </c>
      <c r="C2787" s="21" t="str">
        <f>IFERROR(__xludf.DUMMYFUNCTION("""COMPUTED_VALUE"""),"5C7D7D5D4864")</f>
        <v>5C7D7D5D4864</v>
      </c>
      <c r="D2787" s="21" t="str">
        <f>IFERROR(__xludf.DUMMYFUNCTION("""COMPUTED_VALUE"""),"DIGITEC TECNOLOGIA DIGITAL E REPRES")</f>
        <v>DIGITEC TECNOLOGIA DIGITAL E REPRES</v>
      </c>
      <c r="E2787" s="21">
        <f>IFERROR(__xludf.DUMMYFUNCTION("""COMPUTED_VALUE"""),145359.0)</f>
        <v>145359</v>
      </c>
      <c r="F2787" s="21" t="str">
        <f>IFERROR(__xludf.DUMMYFUNCTION("""COMPUTED_VALUE"""),"TRANSITO REVERSA")</f>
        <v>TRANSITO REVERSA</v>
      </c>
      <c r="G2787" s="23">
        <f>IFERROR(__xludf.DUMMYFUNCTION("""COMPUTED_VALUE"""),45633.0033912037)</f>
        <v>45633.00339</v>
      </c>
      <c r="H2787" s="24" t="str">
        <f>IFERROR(VLOOKUP(B2787,material!A:D,3,0),"")</f>
        <v>3.1</v>
      </c>
    </row>
    <row r="2788" ht="11.25" customHeight="1">
      <c r="A2788" s="21" t="str">
        <f>IFERROR(__xludf.DUMMYFUNCTION("""COMPUTED_VALUE"""),"MODEM VOIPEMTA WIFI 3.1 CGA4233CLB")</f>
        <v>MODEM VOIPEMTA WIFI 3.1 CGA4233CLB</v>
      </c>
      <c r="B2788" s="22">
        <f>IFERROR(__xludf.DUMMYFUNCTION("""COMPUTED_VALUE"""),4.1001482E7)</f>
        <v>41001482</v>
      </c>
      <c r="C2788" s="21" t="str">
        <f>IFERROR(__xludf.DUMMYFUNCTION("""COMPUTED_VALUE"""),"F4C1147B28F4")</f>
        <v>F4C1147B28F4</v>
      </c>
      <c r="D2788" s="21" t="str">
        <f>IFERROR(__xludf.DUMMYFUNCTION("""COMPUTED_VALUE"""),"DIGITEC TECNOLOGIA DIGITAL E REPRES")</f>
        <v>DIGITEC TECNOLOGIA DIGITAL E REPRES</v>
      </c>
      <c r="E2788" s="21">
        <f>IFERROR(__xludf.DUMMYFUNCTION("""COMPUTED_VALUE"""),145359.0)</f>
        <v>145359</v>
      </c>
      <c r="F2788" s="21" t="str">
        <f>IFERROR(__xludf.DUMMYFUNCTION("""COMPUTED_VALUE"""),"TRANSITO REVERSA")</f>
        <v>TRANSITO REVERSA</v>
      </c>
      <c r="G2788" s="23">
        <f>IFERROR(__xludf.DUMMYFUNCTION("""COMPUTED_VALUE"""),45626.2987037037)</f>
        <v>45626.2987</v>
      </c>
      <c r="H2788" s="24" t="str">
        <f>IFERROR(VLOOKUP(B2788,material!A:D,3,0),"")</f>
        <v>3.1</v>
      </c>
    </row>
    <row r="2789" ht="11.25" customHeight="1">
      <c r="A2789" s="21" t="str">
        <f>IFERROR(__xludf.DUMMYFUNCTION("""COMPUTED_VALUE"""),"MODEM VOIPEMTA WIFI 3.1 CGA4233CLB")</f>
        <v>MODEM VOIPEMTA WIFI 3.1 CGA4233CLB</v>
      </c>
      <c r="B2789" s="22">
        <f>IFERROR(__xludf.DUMMYFUNCTION("""COMPUTED_VALUE"""),4.1001482E7)</f>
        <v>41001482</v>
      </c>
      <c r="C2789" s="21" t="str">
        <f>IFERROR(__xludf.DUMMYFUNCTION("""COMPUTED_VALUE"""),"484BD484B48C")</f>
        <v>484BD484B48C</v>
      </c>
      <c r="D2789" s="21" t="str">
        <f>IFERROR(__xludf.DUMMYFUNCTION("""COMPUTED_VALUE"""),"DIGITEC TECNOLOGIA DIGITAL E REPRES")</f>
        <v>DIGITEC TECNOLOGIA DIGITAL E REPRES</v>
      </c>
      <c r="E2789" s="21">
        <f>IFERROR(__xludf.DUMMYFUNCTION("""COMPUTED_VALUE"""),145359.0)</f>
        <v>145359</v>
      </c>
      <c r="F2789" s="21" t="str">
        <f>IFERROR(__xludf.DUMMYFUNCTION("""COMPUTED_VALUE"""),"TRANSITO REVERSA")</f>
        <v>TRANSITO REVERSA</v>
      </c>
      <c r="G2789" s="23">
        <f>IFERROR(__xludf.DUMMYFUNCTION("""COMPUTED_VALUE"""),45633.00341435186)</f>
        <v>45633.00341</v>
      </c>
      <c r="H2789" s="24" t="str">
        <f>IFERROR(VLOOKUP(B2789,material!A:D,3,0),"")</f>
        <v>3.1</v>
      </c>
    </row>
    <row r="2790" ht="11.25" customHeight="1">
      <c r="A2790" s="21" t="str">
        <f>IFERROR(__xludf.DUMMYFUNCTION("""COMPUTED_VALUE"""),"MODEM VOIPEMTA WIFI 3.1 CGA4233CLB")</f>
        <v>MODEM VOIPEMTA WIFI 3.1 CGA4233CLB</v>
      </c>
      <c r="B2790" s="22">
        <f>IFERROR(__xludf.DUMMYFUNCTION("""COMPUTED_VALUE"""),4.1001482E7)</f>
        <v>41001482</v>
      </c>
      <c r="C2790" s="21" t="str">
        <f>IFERROR(__xludf.DUMMYFUNCTION("""COMPUTED_VALUE"""),"484BD47F9094")</f>
        <v>484BD47F9094</v>
      </c>
      <c r="D2790" s="21" t="str">
        <f>IFERROR(__xludf.DUMMYFUNCTION("""COMPUTED_VALUE"""),"DIGITEC TECNOLOGIA DIGITAL E REPRES")</f>
        <v>DIGITEC TECNOLOGIA DIGITAL E REPRES</v>
      </c>
      <c r="E2790" s="21">
        <f>IFERROR(__xludf.DUMMYFUNCTION("""COMPUTED_VALUE"""),145359.0)</f>
        <v>145359</v>
      </c>
      <c r="F2790" s="21" t="str">
        <f>IFERROR(__xludf.DUMMYFUNCTION("""COMPUTED_VALUE"""),"TRANSITO REVERSA")</f>
        <v>TRANSITO REVERSA</v>
      </c>
      <c r="G2790" s="23">
        <f>IFERROR(__xludf.DUMMYFUNCTION("""COMPUTED_VALUE"""),45638.52113425926)</f>
        <v>45638.52113</v>
      </c>
      <c r="H2790" s="24" t="str">
        <f>IFERROR(VLOOKUP(B2790,material!A:D,3,0),"")</f>
        <v>3.1</v>
      </c>
    </row>
    <row r="2791" ht="11.25" customHeight="1">
      <c r="A2791" s="21" t="str">
        <f>IFERROR(__xludf.DUMMYFUNCTION("""COMPUTED_VALUE"""),"MODEM VOIPEMTA WIFI 3.1 CGA4233CLB")</f>
        <v>MODEM VOIPEMTA WIFI 3.1 CGA4233CLB</v>
      </c>
      <c r="B2791" s="22">
        <f>IFERROR(__xludf.DUMMYFUNCTION("""COMPUTED_VALUE"""),4.1001482E7)</f>
        <v>41001482</v>
      </c>
      <c r="C2791" s="21" t="str">
        <f>IFERROR(__xludf.DUMMYFUNCTION("""COMPUTED_VALUE"""),"484BD4821294")</f>
        <v>484BD4821294</v>
      </c>
      <c r="D2791" s="21" t="str">
        <f>IFERROR(__xludf.DUMMYFUNCTION("""COMPUTED_VALUE"""),"DIGITEC TECNOLOGIA DIGITAL E REPRES")</f>
        <v>DIGITEC TECNOLOGIA DIGITAL E REPRES</v>
      </c>
      <c r="E2791" s="21">
        <f>IFERROR(__xludf.DUMMYFUNCTION("""COMPUTED_VALUE"""),145359.0)</f>
        <v>145359</v>
      </c>
      <c r="F2791" s="21" t="str">
        <f>IFERROR(__xludf.DUMMYFUNCTION("""COMPUTED_VALUE"""),"TRANSITO REVERSA")</f>
        <v>TRANSITO REVERSA</v>
      </c>
      <c r="G2791" s="23">
        <f>IFERROR(__xludf.DUMMYFUNCTION("""COMPUTED_VALUE"""),45633.0033912037)</f>
        <v>45633.00339</v>
      </c>
      <c r="H2791" s="24" t="str">
        <f>IFERROR(VLOOKUP(B2791,material!A:D,3,0),"")</f>
        <v>3.1</v>
      </c>
    </row>
    <row r="2792" ht="11.25" customHeight="1">
      <c r="A2792" s="21" t="str">
        <f>IFERROR(__xludf.DUMMYFUNCTION("""COMPUTED_VALUE"""),"MODEM VOIPEMTA WIFI 3.1 CGA4233CLB")</f>
        <v>MODEM VOIPEMTA WIFI 3.1 CGA4233CLB</v>
      </c>
      <c r="B2792" s="22">
        <f>IFERROR(__xludf.DUMMYFUNCTION("""COMPUTED_VALUE"""),4.1001482E7)</f>
        <v>41001482</v>
      </c>
      <c r="C2792" s="21" t="str">
        <f>IFERROR(__xludf.DUMMYFUNCTION("""COMPUTED_VALUE"""),"484BD47CCA24")</f>
        <v>484BD47CCA24</v>
      </c>
      <c r="D2792" s="21" t="str">
        <f>IFERROR(__xludf.DUMMYFUNCTION("""COMPUTED_VALUE"""),"DIGITEC TECNOLOGIA DIGITAL E REPRES")</f>
        <v>DIGITEC TECNOLOGIA DIGITAL E REPRES</v>
      </c>
      <c r="E2792" s="21">
        <f>IFERROR(__xludf.DUMMYFUNCTION("""COMPUTED_VALUE"""),145359.0)</f>
        <v>145359</v>
      </c>
      <c r="F2792" s="21" t="str">
        <f>IFERROR(__xludf.DUMMYFUNCTION("""COMPUTED_VALUE"""),"TRANSITO REVERSA")</f>
        <v>TRANSITO REVERSA</v>
      </c>
      <c r="G2792" s="23">
        <f>IFERROR(__xludf.DUMMYFUNCTION("""COMPUTED_VALUE"""),45617.87138888889)</f>
        <v>45617.87139</v>
      </c>
      <c r="H2792" s="24" t="str">
        <f>IFERROR(VLOOKUP(B2792,material!A:D,3,0),"")</f>
        <v>3.1</v>
      </c>
    </row>
    <row r="2793" ht="11.25" customHeight="1">
      <c r="A2793" s="21" t="str">
        <f>IFERROR(__xludf.DUMMYFUNCTION("""COMPUTED_VALUE"""),"MODEM VOIPEMTA WIFI 3.1 CGA4233CLB")</f>
        <v>MODEM VOIPEMTA WIFI 3.1 CGA4233CLB</v>
      </c>
      <c r="B2793" s="22">
        <f>IFERROR(__xludf.DUMMYFUNCTION("""COMPUTED_VALUE"""),4.1001482E7)</f>
        <v>41001482</v>
      </c>
      <c r="C2793" s="21" t="str">
        <f>IFERROR(__xludf.DUMMYFUNCTION("""COMPUTED_VALUE"""),"484BD4A0A024")</f>
        <v>484BD4A0A024</v>
      </c>
      <c r="D2793" s="21" t="str">
        <f>IFERROR(__xludf.DUMMYFUNCTION("""COMPUTED_VALUE"""),"DIGITEC TECNOLOGIA DIGITAL E REPRES")</f>
        <v>DIGITEC TECNOLOGIA DIGITAL E REPRES</v>
      </c>
      <c r="E2793" s="21">
        <f>IFERROR(__xludf.DUMMYFUNCTION("""COMPUTED_VALUE"""),145359.0)</f>
        <v>145359</v>
      </c>
      <c r="F2793" s="21" t="str">
        <f>IFERROR(__xludf.DUMMYFUNCTION("""COMPUTED_VALUE"""),"TRANSITO REVERSA")</f>
        <v>TRANSITO REVERSA</v>
      </c>
      <c r="G2793" s="23">
        <f>IFERROR(__xludf.DUMMYFUNCTION("""COMPUTED_VALUE"""),45617.87143518518)</f>
        <v>45617.87144</v>
      </c>
      <c r="H2793" s="24" t="str">
        <f>IFERROR(VLOOKUP(B2793,material!A:D,3,0),"")</f>
        <v>3.1</v>
      </c>
    </row>
    <row r="2794" ht="11.25" customHeight="1">
      <c r="A2794" s="21" t="str">
        <f>IFERROR(__xludf.DUMMYFUNCTION("""COMPUTED_VALUE"""),"MODEM VOIPEMTA WIFI 3.1 CGA4233CLB")</f>
        <v>MODEM VOIPEMTA WIFI 3.1 CGA4233CLB</v>
      </c>
      <c r="B2794" s="22">
        <f>IFERROR(__xludf.DUMMYFUNCTION("""COMPUTED_VALUE"""),4.1001482E7)</f>
        <v>41001482</v>
      </c>
      <c r="C2794" s="21" t="str">
        <f>IFERROR(__xludf.DUMMYFUNCTION("""COMPUTED_VALUE"""),"484BD488EBB4")</f>
        <v>484BD488EBB4</v>
      </c>
      <c r="D2794" s="21" t="str">
        <f>IFERROR(__xludf.DUMMYFUNCTION("""COMPUTED_VALUE"""),"DIGITEC TECNOLOGIA DIGITAL E REPRES")</f>
        <v>DIGITEC TECNOLOGIA DIGITAL E REPRES</v>
      </c>
      <c r="E2794" s="21">
        <f>IFERROR(__xludf.DUMMYFUNCTION("""COMPUTED_VALUE"""),145359.0)</f>
        <v>145359</v>
      </c>
      <c r="F2794" s="21" t="str">
        <f>IFERROR(__xludf.DUMMYFUNCTION("""COMPUTED_VALUE"""),"TRANSITO REVERSA")</f>
        <v>TRANSITO REVERSA</v>
      </c>
      <c r="G2794" s="23">
        <f>IFERROR(__xludf.DUMMYFUNCTION("""COMPUTED_VALUE"""),45617.87143518518)</f>
        <v>45617.87144</v>
      </c>
      <c r="H2794" s="24" t="str">
        <f>IFERROR(VLOOKUP(B2794,material!A:D,3,0),"")</f>
        <v>3.1</v>
      </c>
    </row>
    <row r="2795" ht="11.25" customHeight="1">
      <c r="A2795" s="21" t="str">
        <f>IFERROR(__xludf.DUMMYFUNCTION("""COMPUTED_VALUE"""),"MODEM VOIP EMTA WIFI 3.1 CG3000")</f>
        <v>MODEM VOIP EMTA WIFI 3.1 CG3000</v>
      </c>
      <c r="B2795" s="22">
        <f>IFERROR(__xludf.DUMMYFUNCTION("""COMPUTED_VALUE"""),4.1001486E7)</f>
        <v>41001486</v>
      </c>
      <c r="C2795" s="21" t="str">
        <f>IFERROR(__xludf.DUMMYFUNCTION("""COMPUTED_VALUE"""),"840112039EDE")</f>
        <v>840112039EDE</v>
      </c>
      <c r="D2795" s="21" t="str">
        <f>IFERROR(__xludf.DUMMYFUNCTION("""COMPUTED_VALUE"""),"DIGITEC TECNOLOGIA DIGITAL E REPRES")</f>
        <v>DIGITEC TECNOLOGIA DIGITAL E REPRES</v>
      </c>
      <c r="E2795" s="21">
        <f>IFERROR(__xludf.DUMMYFUNCTION("""COMPUTED_VALUE"""),145359.0)</f>
        <v>145359</v>
      </c>
      <c r="F2795" s="21" t="str">
        <f>IFERROR(__xludf.DUMMYFUNCTION("""COMPUTED_VALUE"""),"TRANSITO REVERSA")</f>
        <v>TRANSITO REVERSA</v>
      </c>
      <c r="G2795" s="23">
        <f>IFERROR(__xludf.DUMMYFUNCTION("""COMPUTED_VALUE"""),45617.87140046296)</f>
        <v>45617.8714</v>
      </c>
      <c r="H2795" s="24" t="str">
        <f>IFERROR(VLOOKUP(B2795,material!A:D,3,0),"")</f>
        <v>3.1</v>
      </c>
    </row>
    <row r="2796" ht="11.25" customHeight="1">
      <c r="A2796" s="21" t="str">
        <f>IFERROR(__xludf.DUMMYFUNCTION("""COMPUTED_VALUE"""),"MODEM VOIP EMTA WIFI 3.1 CG3000")</f>
        <v>MODEM VOIP EMTA WIFI 3.1 CG3000</v>
      </c>
      <c r="B2796" s="22">
        <f>IFERROR(__xludf.DUMMYFUNCTION("""COMPUTED_VALUE"""),4.1001486E7)</f>
        <v>41001486</v>
      </c>
      <c r="C2796" s="21" t="str">
        <f>IFERROR(__xludf.DUMMYFUNCTION("""COMPUTED_VALUE"""),"84011203E785")</f>
        <v>84011203E785</v>
      </c>
      <c r="D2796" s="21" t="str">
        <f>IFERROR(__xludf.DUMMYFUNCTION("""COMPUTED_VALUE"""),"DIGITEC TECNOLOGIA DIGITAL E REPRES")</f>
        <v>DIGITEC TECNOLOGIA DIGITAL E REPRES</v>
      </c>
      <c r="E2796" s="21">
        <f>IFERROR(__xludf.DUMMYFUNCTION("""COMPUTED_VALUE"""),145359.0)</f>
        <v>145359</v>
      </c>
      <c r="F2796" s="21" t="str">
        <f>IFERROR(__xludf.DUMMYFUNCTION("""COMPUTED_VALUE"""),"TRANSITO REVERSA")</f>
        <v>TRANSITO REVERSA</v>
      </c>
      <c r="G2796" s="23">
        <f>IFERROR(__xludf.DUMMYFUNCTION("""COMPUTED_VALUE"""),45610.73043981481)</f>
        <v>45610.73044</v>
      </c>
      <c r="H2796" s="24" t="str">
        <f>IFERROR(VLOOKUP(B2796,material!A:D,3,0),"")</f>
        <v>3.1</v>
      </c>
    </row>
    <row r="2797" ht="11.25" customHeight="1">
      <c r="A2797" s="21" t="str">
        <f>IFERROR(__xludf.DUMMYFUNCTION("""COMPUTED_VALUE"""),"MODEM VOIP EMTA WIFI 3.1 CG3000")</f>
        <v>MODEM VOIP EMTA WIFI 3.1 CG3000</v>
      </c>
      <c r="B2797" s="22">
        <f>IFERROR(__xludf.DUMMYFUNCTION("""COMPUTED_VALUE"""),4.1001486E7)</f>
        <v>41001486</v>
      </c>
      <c r="C2797" s="21" t="str">
        <f>IFERROR(__xludf.DUMMYFUNCTION("""COMPUTED_VALUE"""),"8401123773B2")</f>
        <v>8401123773B2</v>
      </c>
      <c r="D2797" s="21" t="str">
        <f>IFERROR(__xludf.DUMMYFUNCTION("""COMPUTED_VALUE"""),"DIGITEC TECNOLOGIA DIGITAL E REPRES")</f>
        <v>DIGITEC TECNOLOGIA DIGITAL E REPRES</v>
      </c>
      <c r="E2797" s="21">
        <f>IFERROR(__xludf.DUMMYFUNCTION("""COMPUTED_VALUE"""),145359.0)</f>
        <v>145359</v>
      </c>
      <c r="F2797" s="21" t="str">
        <f>IFERROR(__xludf.DUMMYFUNCTION("""COMPUTED_VALUE"""),"TRANSITO REVERSA")</f>
        <v>TRANSITO REVERSA</v>
      </c>
      <c r="G2797" s="23">
        <f>IFERROR(__xludf.DUMMYFUNCTION("""COMPUTED_VALUE"""),45633.00396990741)</f>
        <v>45633.00397</v>
      </c>
      <c r="H2797" s="24" t="str">
        <f>IFERROR(VLOOKUP(B2797,material!A:D,3,0),"")</f>
        <v>3.1</v>
      </c>
    </row>
    <row r="2798" ht="11.25" customHeight="1">
      <c r="A2798" s="21" t="str">
        <f>IFERROR(__xludf.DUMMYFUNCTION("""COMPUTED_VALUE"""),"MODEM VOIP EMTA WIFI 3.1 CG3000")</f>
        <v>MODEM VOIP EMTA WIFI 3.1 CG3000</v>
      </c>
      <c r="B2798" s="22">
        <f>IFERROR(__xludf.DUMMYFUNCTION("""COMPUTED_VALUE"""),4.1001486E7)</f>
        <v>41001486</v>
      </c>
      <c r="C2798" s="21" t="str">
        <f>IFERROR(__xludf.DUMMYFUNCTION("""COMPUTED_VALUE"""),"84011204E3C4")</f>
        <v>84011204E3C4</v>
      </c>
      <c r="D2798" s="21" t="str">
        <f>IFERROR(__xludf.DUMMYFUNCTION("""COMPUTED_VALUE"""),"DIGITEC TECNOLOGIA DIGITAL E REPRES")</f>
        <v>DIGITEC TECNOLOGIA DIGITAL E REPRES</v>
      </c>
      <c r="E2798" s="21">
        <f>IFERROR(__xludf.DUMMYFUNCTION("""COMPUTED_VALUE"""),145359.0)</f>
        <v>145359</v>
      </c>
      <c r="F2798" s="21" t="str">
        <f>IFERROR(__xludf.DUMMYFUNCTION("""COMPUTED_VALUE"""),"TRANSITO REVERSA")</f>
        <v>TRANSITO REVERSA</v>
      </c>
      <c r="G2798" s="23">
        <f>IFERROR(__xludf.DUMMYFUNCTION("""COMPUTED_VALUE"""),45610.73043981481)</f>
        <v>45610.73044</v>
      </c>
      <c r="H2798" s="24" t="str">
        <f>IFERROR(VLOOKUP(B2798,material!A:D,3,0),"")</f>
        <v>3.1</v>
      </c>
    </row>
    <row r="2799" ht="11.25" customHeight="1">
      <c r="A2799" s="21" t="str">
        <f>IFERROR(__xludf.DUMMYFUNCTION("""COMPUTED_VALUE"""),"MODEM VOIP EMTA WIFI 3.1 CG3000")</f>
        <v>MODEM VOIP EMTA WIFI 3.1 CG3000</v>
      </c>
      <c r="B2799" s="22">
        <f>IFERROR(__xludf.DUMMYFUNCTION("""COMPUTED_VALUE"""),4.1001486E7)</f>
        <v>41001486</v>
      </c>
      <c r="C2799" s="21" t="str">
        <f>IFERROR(__xludf.DUMMYFUNCTION("""COMPUTED_VALUE"""),"8401120719F2")</f>
        <v>8401120719F2</v>
      </c>
      <c r="D2799" s="21" t="str">
        <f>IFERROR(__xludf.DUMMYFUNCTION("""COMPUTED_VALUE"""),"DIGITEC TECNOLOGIA DIGITAL E REPRES")</f>
        <v>DIGITEC TECNOLOGIA DIGITAL E REPRES</v>
      </c>
      <c r="E2799" s="21">
        <f>IFERROR(__xludf.DUMMYFUNCTION("""COMPUTED_VALUE"""),145359.0)</f>
        <v>145359</v>
      </c>
      <c r="F2799" s="21" t="str">
        <f>IFERROR(__xludf.DUMMYFUNCTION("""COMPUTED_VALUE"""),"TRANSITO REVERSA")</f>
        <v>TRANSITO REVERSA</v>
      </c>
      <c r="G2799" s="23">
        <f>IFERROR(__xludf.DUMMYFUNCTION("""COMPUTED_VALUE"""),45626.2987037037)</f>
        <v>45626.2987</v>
      </c>
      <c r="H2799" s="24" t="str">
        <f>IFERROR(VLOOKUP(B2799,material!A:D,3,0),"")</f>
        <v>3.1</v>
      </c>
    </row>
    <row r="2800" ht="11.25" customHeight="1">
      <c r="A2800" s="21" t="str">
        <f>IFERROR(__xludf.DUMMYFUNCTION("""COMPUTED_VALUE"""),"MODEM VOIP EMTA WIFI 3.1 CG3000")</f>
        <v>MODEM VOIP EMTA WIFI 3.1 CG3000</v>
      </c>
      <c r="B2800" s="22">
        <f>IFERROR(__xludf.DUMMYFUNCTION("""COMPUTED_VALUE"""),4.1001486E7)</f>
        <v>41001486</v>
      </c>
      <c r="C2800" s="21" t="str">
        <f>IFERROR(__xludf.DUMMYFUNCTION("""COMPUTED_VALUE"""),"9877E7BE6B39")</f>
        <v>9877E7BE6B39</v>
      </c>
      <c r="D2800" s="21" t="str">
        <f>IFERROR(__xludf.DUMMYFUNCTION("""COMPUTED_VALUE"""),"DIGITEC TECNOLOGIA DIGITAL E REPRES")</f>
        <v>DIGITEC TECNOLOGIA DIGITAL E REPRES</v>
      </c>
      <c r="E2800" s="21">
        <f>IFERROR(__xludf.DUMMYFUNCTION("""COMPUTED_VALUE"""),145359.0)</f>
        <v>145359</v>
      </c>
      <c r="F2800" s="21" t="str">
        <f>IFERROR(__xludf.DUMMYFUNCTION("""COMPUTED_VALUE"""),"TRANSITO REVERSA")</f>
        <v>TRANSITO REVERSA</v>
      </c>
      <c r="G2800" s="23">
        <f>IFERROR(__xludf.DUMMYFUNCTION("""COMPUTED_VALUE"""),45633.00341435186)</f>
        <v>45633.00341</v>
      </c>
      <c r="H2800" s="24" t="str">
        <f>IFERROR(VLOOKUP(B2800,material!A:D,3,0),"")</f>
        <v>3.1</v>
      </c>
    </row>
    <row r="2801" ht="11.25" customHeight="1">
      <c r="A2801" s="21" t="str">
        <f>IFERROR(__xludf.DUMMYFUNCTION("""COMPUTED_VALUE"""),"MODEM VOIP EMTA WIFI 3.1 CG3000")</f>
        <v>MODEM VOIP EMTA WIFI 3.1 CG3000</v>
      </c>
      <c r="B2801" s="22">
        <f>IFERROR(__xludf.DUMMYFUNCTION("""COMPUTED_VALUE"""),4.1001486E7)</f>
        <v>41001486</v>
      </c>
      <c r="C2801" s="21" t="str">
        <f>IFERROR(__xludf.DUMMYFUNCTION("""COMPUTED_VALUE"""),"9877E7BF88E9")</f>
        <v>9877E7BF88E9</v>
      </c>
      <c r="D2801" s="21" t="str">
        <f>IFERROR(__xludf.DUMMYFUNCTION("""COMPUTED_VALUE"""),"DIGITEC TECNOLOGIA DIGITAL E REPRES")</f>
        <v>DIGITEC TECNOLOGIA DIGITAL E REPRES</v>
      </c>
      <c r="E2801" s="21">
        <f>IFERROR(__xludf.DUMMYFUNCTION("""COMPUTED_VALUE"""),145359.0)</f>
        <v>145359</v>
      </c>
      <c r="F2801" s="21" t="str">
        <f>IFERROR(__xludf.DUMMYFUNCTION("""COMPUTED_VALUE"""),"TRANSITO REVERSA")</f>
        <v>TRANSITO REVERSA</v>
      </c>
      <c r="G2801" s="23">
        <f>IFERROR(__xludf.DUMMYFUNCTION("""COMPUTED_VALUE"""),45638.521099537036)</f>
        <v>45638.5211</v>
      </c>
      <c r="H2801" s="24" t="str">
        <f>IFERROR(VLOOKUP(B2801,material!A:D,3,0),"")</f>
        <v>3.1</v>
      </c>
    </row>
    <row r="2802" ht="11.25" customHeight="1">
      <c r="A2802" s="21" t="str">
        <f>IFERROR(__xludf.DUMMYFUNCTION("""COMPUTED_VALUE"""),"MODEM VOIP EMTA WIFI 3.1 CG3000")</f>
        <v>MODEM VOIP EMTA WIFI 3.1 CG3000</v>
      </c>
      <c r="B2802" s="22">
        <f>IFERROR(__xludf.DUMMYFUNCTION("""COMPUTED_VALUE"""),4.1001486E7)</f>
        <v>41001486</v>
      </c>
      <c r="C2802" s="21" t="str">
        <f>IFERROR(__xludf.DUMMYFUNCTION("""COMPUTED_VALUE"""),"9877E7BD7203")</f>
        <v>9877E7BD7203</v>
      </c>
      <c r="D2802" s="21" t="str">
        <f>IFERROR(__xludf.DUMMYFUNCTION("""COMPUTED_VALUE"""),"DIGITEC TECNOLOGIA DIGITAL E REPRES")</f>
        <v>DIGITEC TECNOLOGIA DIGITAL E REPRES</v>
      </c>
      <c r="E2802" s="21">
        <f>IFERROR(__xludf.DUMMYFUNCTION("""COMPUTED_VALUE"""),145359.0)</f>
        <v>145359</v>
      </c>
      <c r="F2802" s="21" t="str">
        <f>IFERROR(__xludf.DUMMYFUNCTION("""COMPUTED_VALUE"""),"TRANSITO REVERSA")</f>
        <v>TRANSITO REVERSA</v>
      </c>
      <c r="G2802" s="23">
        <f>IFERROR(__xludf.DUMMYFUNCTION("""COMPUTED_VALUE"""),45633.00398148148)</f>
        <v>45633.00398</v>
      </c>
      <c r="H2802" s="24" t="str">
        <f>IFERROR(VLOOKUP(B2802,material!A:D,3,0),"")</f>
        <v>3.1</v>
      </c>
    </row>
    <row r="2803" ht="11.25" customHeight="1">
      <c r="A2803" s="21" t="str">
        <f>IFERROR(__xludf.DUMMYFUNCTION("""COMPUTED_VALUE"""),"MODEM VOIP EMTA WIFI 3.1 CG3000")</f>
        <v>MODEM VOIP EMTA WIFI 3.1 CG3000</v>
      </c>
      <c r="B2803" s="22">
        <f>IFERROR(__xludf.DUMMYFUNCTION("""COMPUTED_VALUE"""),4.1001486E7)</f>
        <v>41001486</v>
      </c>
      <c r="C2803" s="21" t="str">
        <f>IFERROR(__xludf.DUMMYFUNCTION("""COMPUTED_VALUE"""),"9877E7BD79B2")</f>
        <v>9877E7BD79B2</v>
      </c>
      <c r="D2803" s="21" t="str">
        <f>IFERROR(__xludf.DUMMYFUNCTION("""COMPUTED_VALUE"""),"DIGITEC TECNOLOGIA DIGITAL E REPRES")</f>
        <v>DIGITEC TECNOLOGIA DIGITAL E REPRES</v>
      </c>
      <c r="E2803" s="21">
        <f>IFERROR(__xludf.DUMMYFUNCTION("""COMPUTED_VALUE"""),145359.0)</f>
        <v>145359</v>
      </c>
      <c r="F2803" s="21" t="str">
        <f>IFERROR(__xludf.DUMMYFUNCTION("""COMPUTED_VALUE"""),"TRANSITO REVERSA")</f>
        <v>TRANSITO REVERSA</v>
      </c>
      <c r="G2803" s="23">
        <f>IFERROR(__xludf.DUMMYFUNCTION("""COMPUTED_VALUE"""),45617.87143518518)</f>
        <v>45617.87144</v>
      </c>
      <c r="H2803" s="24" t="str">
        <f>IFERROR(VLOOKUP(B2803,material!A:D,3,0),"")</f>
        <v>3.1</v>
      </c>
    </row>
    <row r="2804" ht="11.25" customHeight="1">
      <c r="A2804" s="21" t="str">
        <f>IFERROR(__xludf.DUMMYFUNCTION("""COMPUTED_VALUE"""),"MODEM VOIP EMTA WIFI 3.1 CG3000")</f>
        <v>MODEM VOIP EMTA WIFI 3.1 CG3000</v>
      </c>
      <c r="B2804" s="22">
        <f>IFERROR(__xludf.DUMMYFUNCTION("""COMPUTED_VALUE"""),4.1001486E7)</f>
        <v>41001486</v>
      </c>
      <c r="C2804" s="21" t="str">
        <f>IFERROR(__xludf.DUMMYFUNCTION("""COMPUTED_VALUE"""),"84011237963B")</f>
        <v>84011237963B</v>
      </c>
      <c r="D2804" s="21" t="str">
        <f>IFERROR(__xludf.DUMMYFUNCTION("""COMPUTED_VALUE"""),"DIGITEC TECNOLOGIA DIGITAL E REPRES")</f>
        <v>DIGITEC TECNOLOGIA DIGITAL E REPRES</v>
      </c>
      <c r="E2804" s="21">
        <f>IFERROR(__xludf.DUMMYFUNCTION("""COMPUTED_VALUE"""),145359.0)</f>
        <v>145359</v>
      </c>
      <c r="F2804" s="21" t="str">
        <f>IFERROR(__xludf.DUMMYFUNCTION("""COMPUTED_VALUE"""),"TRANSITO REVERSA")</f>
        <v>TRANSITO REVERSA</v>
      </c>
      <c r="G2804" s="23">
        <f>IFERROR(__xludf.DUMMYFUNCTION("""COMPUTED_VALUE"""),45633.00398148148)</f>
        <v>45633.00398</v>
      </c>
      <c r="H2804" s="24" t="str">
        <f>IFERROR(VLOOKUP(B2804,material!A:D,3,0),"")</f>
        <v>3.1</v>
      </c>
    </row>
    <row r="2805" ht="11.25" customHeight="1">
      <c r="A2805" s="21" t="str">
        <f>IFERROR(__xludf.DUMMYFUNCTION("""COMPUTED_VALUE"""),"MODEM VOIP EMTA WIFI 3.1 CG3000")</f>
        <v>MODEM VOIP EMTA WIFI 3.1 CG3000</v>
      </c>
      <c r="B2805" s="22">
        <f>IFERROR(__xludf.DUMMYFUNCTION("""COMPUTED_VALUE"""),4.1001486E7)</f>
        <v>41001486</v>
      </c>
      <c r="C2805" s="21" t="str">
        <f>IFERROR(__xludf.DUMMYFUNCTION("""COMPUTED_VALUE"""),"840112378077")</f>
        <v>840112378077</v>
      </c>
      <c r="D2805" s="21" t="str">
        <f>IFERROR(__xludf.DUMMYFUNCTION("""COMPUTED_VALUE"""),"DIGITEC TECNOLOGIA DIGITAL E REPRES")</f>
        <v>DIGITEC TECNOLOGIA DIGITAL E REPRES</v>
      </c>
      <c r="E2805" s="21">
        <f>IFERROR(__xludf.DUMMYFUNCTION("""COMPUTED_VALUE"""),145359.0)</f>
        <v>145359</v>
      </c>
      <c r="F2805" s="21" t="str">
        <f>IFERROR(__xludf.DUMMYFUNCTION("""COMPUTED_VALUE"""),"TRANSITO REVERSA")</f>
        <v>TRANSITO REVERSA</v>
      </c>
      <c r="G2805" s="23">
        <f>IFERROR(__xludf.DUMMYFUNCTION("""COMPUTED_VALUE"""),45633.0033912037)</f>
        <v>45633.00339</v>
      </c>
      <c r="H2805" s="24" t="str">
        <f>IFERROR(VLOOKUP(B2805,material!A:D,3,0),"")</f>
        <v>3.1</v>
      </c>
    </row>
    <row r="2806" ht="11.25" customHeight="1">
      <c r="A2806" s="21" t="str">
        <f>IFERROR(__xludf.DUMMYFUNCTION("""COMPUTED_VALUE"""),"MODEM VOIP EMTA WIFI 3.1 CG3000")</f>
        <v>MODEM VOIP EMTA WIFI 3.1 CG3000</v>
      </c>
      <c r="B2806" s="22">
        <f>IFERROR(__xludf.DUMMYFUNCTION("""COMPUTED_VALUE"""),4.1001486E7)</f>
        <v>41001486</v>
      </c>
      <c r="C2806" s="21" t="str">
        <f>IFERROR(__xludf.DUMMYFUNCTION("""COMPUTED_VALUE"""),"840112375B47")</f>
        <v>840112375B47</v>
      </c>
      <c r="D2806" s="21" t="str">
        <f>IFERROR(__xludf.DUMMYFUNCTION("""COMPUTED_VALUE"""),"DIGITEC TECNOLOGIA DIGITAL E REPRES")</f>
        <v>DIGITEC TECNOLOGIA DIGITAL E REPRES</v>
      </c>
      <c r="E2806" s="21">
        <f>IFERROR(__xludf.DUMMYFUNCTION("""COMPUTED_VALUE"""),145359.0)</f>
        <v>145359</v>
      </c>
      <c r="F2806" s="21" t="str">
        <f>IFERROR(__xludf.DUMMYFUNCTION("""COMPUTED_VALUE"""),"TRANSITO REVERSA")</f>
        <v>TRANSITO REVERSA</v>
      </c>
      <c r="G2806" s="23">
        <f>IFERROR(__xludf.DUMMYFUNCTION("""COMPUTED_VALUE"""),45638.52060185185)</f>
        <v>45638.5206</v>
      </c>
      <c r="H2806" s="24" t="str">
        <f>IFERROR(VLOOKUP(B2806,material!A:D,3,0),"")</f>
        <v>3.1</v>
      </c>
    </row>
    <row r="2807" ht="11.25" customHeight="1">
      <c r="A2807" s="21" t="str">
        <f>IFERROR(__xludf.DUMMYFUNCTION("""COMPUTED_VALUE"""),"MODEM VOIP EMTA WIFI 3.1 CG3000")</f>
        <v>MODEM VOIP EMTA WIFI 3.1 CG3000</v>
      </c>
      <c r="B2807" s="22">
        <f>IFERROR(__xludf.DUMMYFUNCTION("""COMPUTED_VALUE"""),4.1001486E7)</f>
        <v>41001486</v>
      </c>
      <c r="C2807" s="21" t="str">
        <f>IFERROR(__xludf.DUMMYFUNCTION("""COMPUTED_VALUE"""),"8401122B4264")</f>
        <v>8401122B4264</v>
      </c>
      <c r="D2807" s="21" t="str">
        <f>IFERROR(__xludf.DUMMYFUNCTION("""COMPUTED_VALUE"""),"DIGITEC TECNOLOGIA DIGITAL E REPRES")</f>
        <v>DIGITEC TECNOLOGIA DIGITAL E REPRES</v>
      </c>
      <c r="E2807" s="21">
        <f>IFERROR(__xludf.DUMMYFUNCTION("""COMPUTED_VALUE"""),145359.0)</f>
        <v>145359</v>
      </c>
      <c r="F2807" s="21" t="str">
        <f>IFERROR(__xludf.DUMMYFUNCTION("""COMPUTED_VALUE"""),"TRANSITO REVERSA")</f>
        <v>TRANSITO REVERSA</v>
      </c>
      <c r="G2807" s="23">
        <f>IFERROR(__xludf.DUMMYFUNCTION("""COMPUTED_VALUE"""),45617.87140046296)</f>
        <v>45617.8714</v>
      </c>
      <c r="H2807" s="24" t="str">
        <f>IFERROR(VLOOKUP(B2807,material!A:D,3,0),"")</f>
        <v>3.1</v>
      </c>
    </row>
    <row r="2808" ht="11.25" customHeight="1">
      <c r="A2808" s="21" t="str">
        <f>IFERROR(__xludf.DUMMYFUNCTION("""COMPUTED_VALUE"""),"MODEM VOIP EMTA WIFI 3.1 CG3000")</f>
        <v>MODEM VOIP EMTA WIFI 3.1 CG3000</v>
      </c>
      <c r="B2808" s="22">
        <f>IFERROR(__xludf.DUMMYFUNCTION("""COMPUTED_VALUE"""),4.1001486E7)</f>
        <v>41001486</v>
      </c>
      <c r="C2808" s="21" t="str">
        <f>IFERROR(__xludf.DUMMYFUNCTION("""COMPUTED_VALUE"""),"840112393804")</f>
        <v>840112393804</v>
      </c>
      <c r="D2808" s="21" t="str">
        <f>IFERROR(__xludf.DUMMYFUNCTION("""COMPUTED_VALUE"""),"DIGITEC TECNOLOGIA DIGITAL E REPRES")</f>
        <v>DIGITEC TECNOLOGIA DIGITAL E REPRES</v>
      </c>
      <c r="E2808" s="21">
        <f>IFERROR(__xludf.DUMMYFUNCTION("""COMPUTED_VALUE"""),145359.0)</f>
        <v>145359</v>
      </c>
      <c r="F2808" s="21" t="str">
        <f>IFERROR(__xludf.DUMMYFUNCTION("""COMPUTED_VALUE"""),"TRANSITO REVERSA")</f>
        <v>TRANSITO REVERSA</v>
      </c>
      <c r="G2808" s="23">
        <f>IFERROR(__xludf.DUMMYFUNCTION("""COMPUTED_VALUE"""),45626.29871527778)</f>
        <v>45626.29872</v>
      </c>
      <c r="H2808" s="24" t="str">
        <f>IFERROR(VLOOKUP(B2808,material!A:D,3,0),"")</f>
        <v>3.1</v>
      </c>
    </row>
    <row r="2809" ht="11.25" customHeight="1">
      <c r="A2809" s="21" t="str">
        <f>IFERROR(__xludf.DUMMYFUNCTION("""COMPUTED_VALUE"""),"MODEM VOIP EMTA WIFI 3.1 CG3000")</f>
        <v>MODEM VOIP EMTA WIFI 3.1 CG3000</v>
      </c>
      <c r="B2809" s="22">
        <f>IFERROR(__xludf.DUMMYFUNCTION("""COMPUTED_VALUE"""),4.1001486E7)</f>
        <v>41001486</v>
      </c>
      <c r="C2809" s="21" t="str">
        <f>IFERROR(__xludf.DUMMYFUNCTION("""COMPUTED_VALUE"""),"840112374F38")</f>
        <v>840112374F38</v>
      </c>
      <c r="D2809" s="21" t="str">
        <f>IFERROR(__xludf.DUMMYFUNCTION("""COMPUTED_VALUE"""),"DIGITEC TECNOLOGIA DIGITAL E REPRES")</f>
        <v>DIGITEC TECNOLOGIA DIGITAL E REPRES</v>
      </c>
      <c r="E2809" s="21">
        <f>IFERROR(__xludf.DUMMYFUNCTION("""COMPUTED_VALUE"""),145359.0)</f>
        <v>145359</v>
      </c>
      <c r="F2809" s="21" t="str">
        <f>IFERROR(__xludf.DUMMYFUNCTION("""COMPUTED_VALUE"""),"TRANSITO REVERSA")</f>
        <v>TRANSITO REVERSA</v>
      </c>
      <c r="G2809" s="23">
        <f>IFERROR(__xludf.DUMMYFUNCTION("""COMPUTED_VALUE"""),45638.520578703705)</f>
        <v>45638.52058</v>
      </c>
      <c r="H2809" s="24" t="str">
        <f>IFERROR(VLOOKUP(B2809,material!A:D,3,0),"")</f>
        <v>3.1</v>
      </c>
    </row>
    <row r="2810" ht="11.25" customHeight="1">
      <c r="A2810" s="21" t="str">
        <f>IFERROR(__xludf.DUMMYFUNCTION("""COMPUTED_VALUE"""),"MODEM VOIP EMTA WIFI 3.1 CG3000")</f>
        <v>MODEM VOIP EMTA WIFI 3.1 CG3000</v>
      </c>
      <c r="B2810" s="22">
        <f>IFERROR(__xludf.DUMMYFUNCTION("""COMPUTED_VALUE"""),4.1001486E7)</f>
        <v>41001486</v>
      </c>
      <c r="C2810" s="21" t="str">
        <f>IFERROR(__xludf.DUMMYFUNCTION("""COMPUTED_VALUE"""),"9877E7BE9849")</f>
        <v>9877E7BE9849</v>
      </c>
      <c r="D2810" s="21" t="str">
        <f>IFERROR(__xludf.DUMMYFUNCTION("""COMPUTED_VALUE"""),"DIGITEC TECNOLOGIA DIGITAL E REPRES")</f>
        <v>DIGITEC TECNOLOGIA DIGITAL E REPRES</v>
      </c>
      <c r="E2810" s="21">
        <f>IFERROR(__xludf.DUMMYFUNCTION("""COMPUTED_VALUE"""),145359.0)</f>
        <v>145359</v>
      </c>
      <c r="F2810" s="21" t="str">
        <f>IFERROR(__xludf.DUMMYFUNCTION("""COMPUTED_VALUE"""),"TRANSITO REVERSA")</f>
        <v>TRANSITO REVERSA</v>
      </c>
      <c r="G2810" s="23">
        <f>IFERROR(__xludf.DUMMYFUNCTION("""COMPUTED_VALUE"""),45633.00399305555)</f>
        <v>45633.00399</v>
      </c>
      <c r="H2810" s="24" t="str">
        <f>IFERROR(VLOOKUP(B2810,material!A:D,3,0),"")</f>
        <v>3.1</v>
      </c>
    </row>
    <row r="2811" ht="11.25" customHeight="1">
      <c r="A2811" s="21" t="str">
        <f>IFERROR(__xludf.DUMMYFUNCTION("""COMPUTED_VALUE"""),"MODEM VOIP EMTA WIFI 3.1 CG3000")</f>
        <v>MODEM VOIP EMTA WIFI 3.1 CG3000</v>
      </c>
      <c r="B2811" s="22">
        <f>IFERROR(__xludf.DUMMYFUNCTION("""COMPUTED_VALUE"""),4.1001486E7)</f>
        <v>41001486</v>
      </c>
      <c r="C2811" s="21" t="str">
        <f>IFERROR(__xludf.DUMMYFUNCTION("""COMPUTED_VALUE"""),"840112036D75")</f>
        <v>840112036D75</v>
      </c>
      <c r="D2811" s="21" t="str">
        <f>IFERROR(__xludf.DUMMYFUNCTION("""COMPUTED_VALUE"""),"DIGITEC TECNOLOGIA DIGITAL E REPRES")</f>
        <v>DIGITEC TECNOLOGIA DIGITAL E REPRES</v>
      </c>
      <c r="E2811" s="21">
        <f>IFERROR(__xludf.DUMMYFUNCTION("""COMPUTED_VALUE"""),145359.0)</f>
        <v>145359</v>
      </c>
      <c r="F2811" s="21" t="str">
        <f>IFERROR(__xludf.DUMMYFUNCTION("""COMPUTED_VALUE"""),"TRANSITO REVERSA")</f>
        <v>TRANSITO REVERSA</v>
      </c>
      <c r="G2811" s="23">
        <f>IFERROR(__xludf.DUMMYFUNCTION("""COMPUTED_VALUE"""),45610.73043981481)</f>
        <v>45610.73044</v>
      </c>
      <c r="H2811" s="24" t="str">
        <f>IFERROR(VLOOKUP(B2811,material!A:D,3,0),"")</f>
        <v>3.1</v>
      </c>
    </row>
    <row r="2812" ht="11.25" customHeight="1">
      <c r="A2812" s="21" t="str">
        <f>IFERROR(__xludf.DUMMYFUNCTION("""COMPUTED_VALUE"""),"MODEM VOIP EMTA WIFI 3.1 CG3000")</f>
        <v>MODEM VOIP EMTA WIFI 3.1 CG3000</v>
      </c>
      <c r="B2812" s="22">
        <f>IFERROR(__xludf.DUMMYFUNCTION("""COMPUTED_VALUE"""),4.1001486E7)</f>
        <v>41001486</v>
      </c>
      <c r="C2812" s="21" t="str">
        <f>IFERROR(__xludf.DUMMYFUNCTION("""COMPUTED_VALUE"""),"8401122A9364")</f>
        <v>8401122A9364</v>
      </c>
      <c r="D2812" s="21" t="str">
        <f>IFERROR(__xludf.DUMMYFUNCTION("""COMPUTED_VALUE"""),"DIGITEC TECNOLOGIA DIGITAL E REPRES")</f>
        <v>DIGITEC TECNOLOGIA DIGITAL E REPRES</v>
      </c>
      <c r="E2812" s="21">
        <f>IFERROR(__xludf.DUMMYFUNCTION("""COMPUTED_VALUE"""),145359.0)</f>
        <v>145359</v>
      </c>
      <c r="F2812" s="21" t="str">
        <f>IFERROR(__xludf.DUMMYFUNCTION("""COMPUTED_VALUE"""),"TRANSITO REVERSA")</f>
        <v>TRANSITO REVERSA</v>
      </c>
      <c r="G2812" s="23">
        <f>IFERROR(__xludf.DUMMYFUNCTION("""COMPUTED_VALUE"""),45626.298692129625)</f>
        <v>45626.29869</v>
      </c>
      <c r="H2812" s="24" t="str">
        <f>IFERROR(VLOOKUP(B2812,material!A:D,3,0),"")</f>
        <v>3.1</v>
      </c>
    </row>
    <row r="2813" ht="11.25" customHeight="1">
      <c r="A2813" s="21" t="str">
        <f>IFERROR(__xludf.DUMMYFUNCTION("""COMPUTED_VALUE"""),"MODEM VOIP EMTA WIFI 3.1 CG3000")</f>
        <v>MODEM VOIP EMTA WIFI 3.1 CG3000</v>
      </c>
      <c r="B2813" s="22">
        <f>IFERROR(__xludf.DUMMYFUNCTION("""COMPUTED_VALUE"""),4.1001486E7)</f>
        <v>41001486</v>
      </c>
      <c r="C2813" s="21" t="str">
        <f>IFERROR(__xludf.DUMMYFUNCTION("""COMPUTED_VALUE"""),"8401123795FC")</f>
        <v>8401123795FC</v>
      </c>
      <c r="D2813" s="21" t="str">
        <f>IFERROR(__xludf.DUMMYFUNCTION("""COMPUTED_VALUE"""),"DIGITEC TECNOLOGIA DIGITAL E REPRES")</f>
        <v>DIGITEC TECNOLOGIA DIGITAL E REPRES</v>
      </c>
      <c r="E2813" s="21">
        <f>IFERROR(__xludf.DUMMYFUNCTION("""COMPUTED_VALUE"""),145359.0)</f>
        <v>145359</v>
      </c>
      <c r="F2813" s="21" t="str">
        <f>IFERROR(__xludf.DUMMYFUNCTION("""COMPUTED_VALUE"""),"TRANSITO REVERSA")</f>
        <v>TRANSITO REVERSA</v>
      </c>
      <c r="G2813" s="23">
        <f>IFERROR(__xludf.DUMMYFUNCTION("""COMPUTED_VALUE"""),45617.87138888889)</f>
        <v>45617.87139</v>
      </c>
      <c r="H2813" s="24" t="str">
        <f>IFERROR(VLOOKUP(B2813,material!A:D,3,0),"")</f>
        <v>3.1</v>
      </c>
    </row>
    <row r="2814" ht="11.25" customHeight="1">
      <c r="A2814" s="21" t="str">
        <f>IFERROR(__xludf.DUMMYFUNCTION("""COMPUTED_VALUE"""),"MODEM VOIP EMTA WIFI 3.1 CG3000")</f>
        <v>MODEM VOIP EMTA WIFI 3.1 CG3000</v>
      </c>
      <c r="B2814" s="22">
        <f>IFERROR(__xludf.DUMMYFUNCTION("""COMPUTED_VALUE"""),4.1001486E7)</f>
        <v>41001486</v>
      </c>
      <c r="C2814" s="21" t="str">
        <f>IFERROR(__xludf.DUMMYFUNCTION("""COMPUTED_VALUE"""),"840112378EA1")</f>
        <v>840112378EA1</v>
      </c>
      <c r="D2814" s="21" t="str">
        <f>IFERROR(__xludf.DUMMYFUNCTION("""COMPUTED_VALUE"""),"DIGITEC TECNOLOGIA DIGITAL E REPRES")</f>
        <v>DIGITEC TECNOLOGIA DIGITAL E REPRES</v>
      </c>
      <c r="E2814" s="21">
        <f>IFERROR(__xludf.DUMMYFUNCTION("""COMPUTED_VALUE"""),145359.0)</f>
        <v>145359</v>
      </c>
      <c r="F2814" s="21" t="str">
        <f>IFERROR(__xludf.DUMMYFUNCTION("""COMPUTED_VALUE"""),"TRANSITO REVERSA")</f>
        <v>TRANSITO REVERSA</v>
      </c>
      <c r="G2814" s="23">
        <f>IFERROR(__xludf.DUMMYFUNCTION("""COMPUTED_VALUE"""),45633.00340277777)</f>
        <v>45633.0034</v>
      </c>
      <c r="H2814" s="24" t="str">
        <f>IFERROR(VLOOKUP(B2814,material!A:D,3,0),"")</f>
        <v>3.1</v>
      </c>
    </row>
    <row r="2815" ht="11.25" customHeight="1">
      <c r="A2815" s="21" t="str">
        <f>IFERROR(__xludf.DUMMYFUNCTION("""COMPUTED_VALUE"""),"MODEM VOIP EMTA WIFI 3.1 CG3000")</f>
        <v>MODEM VOIP EMTA WIFI 3.1 CG3000</v>
      </c>
      <c r="B2815" s="22">
        <f>IFERROR(__xludf.DUMMYFUNCTION("""COMPUTED_VALUE"""),4.1001486E7)</f>
        <v>41001486</v>
      </c>
      <c r="C2815" s="21" t="str">
        <f>IFERROR(__xludf.DUMMYFUNCTION("""COMPUTED_VALUE"""),"84011284047A")</f>
        <v>84011284047A</v>
      </c>
      <c r="D2815" s="21" t="str">
        <f>IFERROR(__xludf.DUMMYFUNCTION("""COMPUTED_VALUE"""),"DIGITEC TECNOLOGIA DIGITAL E REPRES")</f>
        <v>DIGITEC TECNOLOGIA DIGITAL E REPRES</v>
      </c>
      <c r="E2815" s="21">
        <f>IFERROR(__xludf.DUMMYFUNCTION("""COMPUTED_VALUE"""),145359.0)</f>
        <v>145359</v>
      </c>
      <c r="F2815" s="21" t="str">
        <f>IFERROR(__xludf.DUMMYFUNCTION("""COMPUTED_VALUE"""),"TRANSITO REVERSA")</f>
        <v>TRANSITO REVERSA</v>
      </c>
      <c r="G2815" s="23">
        <f>IFERROR(__xludf.DUMMYFUNCTION("""COMPUTED_VALUE"""),45633.00396990741)</f>
        <v>45633.00397</v>
      </c>
      <c r="H2815" s="24" t="str">
        <f>IFERROR(VLOOKUP(B2815,material!A:D,3,0),"")</f>
        <v>3.1</v>
      </c>
    </row>
    <row r="2816" ht="11.25" customHeight="1">
      <c r="A2816" s="21" t="str">
        <f>IFERROR(__xludf.DUMMYFUNCTION("""COMPUTED_VALUE"""),"MODEM VOIP EMTA WIFI 3.1 CG3000")</f>
        <v>MODEM VOIP EMTA WIFI 3.1 CG3000</v>
      </c>
      <c r="B2816" s="22">
        <f>IFERROR(__xludf.DUMMYFUNCTION("""COMPUTED_VALUE"""),4.1001486E7)</f>
        <v>41001486</v>
      </c>
      <c r="C2816" s="21" t="str">
        <f>IFERROR(__xludf.DUMMYFUNCTION("""COMPUTED_VALUE"""),"840112377BDF")</f>
        <v>840112377BDF</v>
      </c>
      <c r="D2816" s="21" t="str">
        <f>IFERROR(__xludf.DUMMYFUNCTION("""COMPUTED_VALUE"""),"DIGITEC TECNOLOGIA DIGITAL E REPRES")</f>
        <v>DIGITEC TECNOLOGIA DIGITAL E REPRES</v>
      </c>
      <c r="E2816" s="21">
        <f>IFERROR(__xludf.DUMMYFUNCTION("""COMPUTED_VALUE"""),145359.0)</f>
        <v>145359</v>
      </c>
      <c r="F2816" s="21" t="str">
        <f>IFERROR(__xludf.DUMMYFUNCTION("""COMPUTED_VALUE"""),"TRANSITO REVERSA")</f>
        <v>TRANSITO REVERSA</v>
      </c>
      <c r="G2816" s="23">
        <f>IFERROR(__xludf.DUMMYFUNCTION("""COMPUTED_VALUE"""),45610.730416666665)</f>
        <v>45610.73042</v>
      </c>
      <c r="H2816" s="24" t="str">
        <f>IFERROR(VLOOKUP(B2816,material!A:D,3,0),"")</f>
        <v>3.1</v>
      </c>
    </row>
    <row r="2817" ht="11.25" customHeight="1">
      <c r="A2817" s="21" t="str">
        <f>IFERROR(__xludf.DUMMYFUNCTION("""COMPUTED_VALUE"""),"MODEM VOIP EMTA WIFI 3.1 CG3000")</f>
        <v>MODEM VOIP EMTA WIFI 3.1 CG3000</v>
      </c>
      <c r="B2817" s="22">
        <f>IFERROR(__xludf.DUMMYFUNCTION("""COMPUTED_VALUE"""),4.1001486E7)</f>
        <v>41001486</v>
      </c>
      <c r="C2817" s="21" t="str">
        <f>IFERROR(__xludf.DUMMYFUNCTION("""COMPUTED_VALUE"""),"743AEF5E5728")</f>
        <v>743AEF5E5728</v>
      </c>
      <c r="D2817" s="21" t="str">
        <f>IFERROR(__xludf.DUMMYFUNCTION("""COMPUTED_VALUE"""),"DIGITEC TECNOLOGIA DIGITAL E REPRES")</f>
        <v>DIGITEC TECNOLOGIA DIGITAL E REPRES</v>
      </c>
      <c r="E2817" s="21">
        <f>IFERROR(__xludf.DUMMYFUNCTION("""COMPUTED_VALUE"""),145359.0)</f>
        <v>145359</v>
      </c>
      <c r="F2817" s="21" t="str">
        <f>IFERROR(__xludf.DUMMYFUNCTION("""COMPUTED_VALUE"""),"TRANSITO REVERSA")</f>
        <v>TRANSITO REVERSA</v>
      </c>
      <c r="G2817" s="23">
        <f>IFERROR(__xludf.DUMMYFUNCTION("""COMPUTED_VALUE"""),45633.0033912037)</f>
        <v>45633.00339</v>
      </c>
      <c r="H2817" s="24" t="str">
        <f>IFERROR(VLOOKUP(B2817,material!A:D,3,0),"")</f>
        <v>3.1</v>
      </c>
    </row>
    <row r="2818" ht="11.25" customHeight="1">
      <c r="A2818" s="21" t="str">
        <f>IFERROR(__xludf.DUMMYFUNCTION("""COMPUTED_VALUE"""),"MODEM VOIP EMTA WIFI 3.1 CG3000")</f>
        <v>MODEM VOIP EMTA WIFI 3.1 CG3000</v>
      </c>
      <c r="B2818" s="22">
        <f>IFERROR(__xludf.DUMMYFUNCTION("""COMPUTED_VALUE"""),4.1001486E7)</f>
        <v>41001486</v>
      </c>
      <c r="C2818" s="21" t="str">
        <f>IFERROR(__xludf.DUMMYFUNCTION("""COMPUTED_VALUE"""),"840112804FDE")</f>
        <v>840112804FDE</v>
      </c>
      <c r="D2818" s="21" t="str">
        <f>IFERROR(__xludf.DUMMYFUNCTION("""COMPUTED_VALUE"""),"DIGITEC TECNOLOGIA DIGITAL E REPRES")</f>
        <v>DIGITEC TECNOLOGIA DIGITAL E REPRES</v>
      </c>
      <c r="E2818" s="21">
        <f>IFERROR(__xludf.DUMMYFUNCTION("""COMPUTED_VALUE"""),145359.0)</f>
        <v>145359</v>
      </c>
      <c r="F2818" s="21" t="str">
        <f>IFERROR(__xludf.DUMMYFUNCTION("""COMPUTED_VALUE"""),"TRANSITO REVERSA")</f>
        <v>TRANSITO REVERSA</v>
      </c>
      <c r="G2818" s="23">
        <f>IFERROR(__xludf.DUMMYFUNCTION("""COMPUTED_VALUE"""),45626.298692129625)</f>
        <v>45626.29869</v>
      </c>
      <c r="H2818" s="24" t="str">
        <f>IFERROR(VLOOKUP(B2818,material!A:D,3,0),"")</f>
        <v>3.1</v>
      </c>
    </row>
    <row r="2819" ht="11.25" customHeight="1">
      <c r="A2819" s="21" t="str">
        <f>IFERROR(__xludf.DUMMYFUNCTION("""COMPUTED_VALUE"""),"MODEM VOIP EMTA WIFI 3.1 CG3000")</f>
        <v>MODEM VOIP EMTA WIFI 3.1 CG3000</v>
      </c>
      <c r="B2819" s="22">
        <f>IFERROR(__xludf.DUMMYFUNCTION("""COMPUTED_VALUE"""),4.1001486E7)</f>
        <v>41001486</v>
      </c>
      <c r="C2819" s="21" t="str">
        <f>IFERROR(__xludf.DUMMYFUNCTION("""COMPUTED_VALUE"""),"8401127FA871")</f>
        <v>8401127FA871</v>
      </c>
      <c r="D2819" s="21" t="str">
        <f>IFERROR(__xludf.DUMMYFUNCTION("""COMPUTED_VALUE"""),"DIGITEC TECNOLOGIA DIGITAL E REPRES")</f>
        <v>DIGITEC TECNOLOGIA DIGITAL E REPRES</v>
      </c>
      <c r="E2819" s="21">
        <f>IFERROR(__xludf.DUMMYFUNCTION("""COMPUTED_VALUE"""),145359.0)</f>
        <v>145359</v>
      </c>
      <c r="F2819" s="21" t="str">
        <f>IFERROR(__xludf.DUMMYFUNCTION("""COMPUTED_VALUE"""),"TRANSITO REVERSA")</f>
        <v>TRANSITO REVERSA</v>
      </c>
      <c r="G2819" s="23">
        <f>IFERROR(__xludf.DUMMYFUNCTION("""COMPUTED_VALUE"""),45633.00341435186)</f>
        <v>45633.00341</v>
      </c>
      <c r="H2819" s="24" t="str">
        <f>IFERROR(VLOOKUP(B2819,material!A:D,3,0),"")</f>
        <v>3.1</v>
      </c>
    </row>
    <row r="2820" ht="11.25" customHeight="1">
      <c r="A2820" s="21" t="str">
        <f>IFERROR(__xludf.DUMMYFUNCTION("""COMPUTED_VALUE"""),"MODEM VOIP EMTA WIFI 3.1 CG3000")</f>
        <v>MODEM VOIP EMTA WIFI 3.1 CG3000</v>
      </c>
      <c r="B2820" s="22">
        <f>IFERROR(__xludf.DUMMYFUNCTION("""COMPUTED_VALUE"""),4.1001486E7)</f>
        <v>41001486</v>
      </c>
      <c r="C2820" s="21" t="str">
        <f>IFERROR(__xludf.DUMMYFUNCTION("""COMPUTED_VALUE"""),"8401128055B1")</f>
        <v>8401128055B1</v>
      </c>
      <c r="D2820" s="21" t="str">
        <f>IFERROR(__xludf.DUMMYFUNCTION("""COMPUTED_VALUE"""),"DIGITEC TECNOLOGIA DIGITAL E REPRES")</f>
        <v>DIGITEC TECNOLOGIA DIGITAL E REPRES</v>
      </c>
      <c r="E2820" s="21">
        <f>IFERROR(__xludf.DUMMYFUNCTION("""COMPUTED_VALUE"""),145359.0)</f>
        <v>145359</v>
      </c>
      <c r="F2820" s="21" t="str">
        <f>IFERROR(__xludf.DUMMYFUNCTION("""COMPUTED_VALUE"""),"TRANSITO REVERSA")</f>
        <v>TRANSITO REVERSA</v>
      </c>
      <c r="G2820" s="23">
        <f>IFERROR(__xludf.DUMMYFUNCTION("""COMPUTED_VALUE"""),45638.52060185185)</f>
        <v>45638.5206</v>
      </c>
      <c r="H2820" s="24" t="str">
        <f>IFERROR(VLOOKUP(B2820,material!A:D,3,0),"")</f>
        <v>3.1</v>
      </c>
    </row>
    <row r="2821" ht="11.25" customHeight="1">
      <c r="A2821" s="21" t="str">
        <f>IFERROR(__xludf.DUMMYFUNCTION("""COMPUTED_VALUE"""),"MODEM VOIP EMTA WIFI 3.1 CG3000")</f>
        <v>MODEM VOIP EMTA WIFI 3.1 CG3000</v>
      </c>
      <c r="B2821" s="22">
        <f>IFERROR(__xludf.DUMMYFUNCTION("""COMPUTED_VALUE"""),4.1001486E7)</f>
        <v>41001486</v>
      </c>
      <c r="C2821" s="21" t="str">
        <f>IFERROR(__xludf.DUMMYFUNCTION("""COMPUTED_VALUE"""),"84011280B366")</f>
        <v>84011280B366</v>
      </c>
      <c r="D2821" s="21" t="str">
        <f>IFERROR(__xludf.DUMMYFUNCTION("""COMPUTED_VALUE"""),"DIGITEC TECNOLOGIA DIGITAL E REPRES")</f>
        <v>DIGITEC TECNOLOGIA DIGITAL E REPRES</v>
      </c>
      <c r="E2821" s="21">
        <f>IFERROR(__xludf.DUMMYFUNCTION("""COMPUTED_VALUE"""),145359.0)</f>
        <v>145359</v>
      </c>
      <c r="F2821" s="21" t="str">
        <f>IFERROR(__xludf.DUMMYFUNCTION("""COMPUTED_VALUE"""),"TRANSITO REVERSA")</f>
        <v>TRANSITO REVERSA</v>
      </c>
      <c r="G2821" s="23">
        <f>IFERROR(__xludf.DUMMYFUNCTION("""COMPUTED_VALUE"""),45638.52061342592)</f>
        <v>45638.52061</v>
      </c>
      <c r="H2821" s="24" t="str">
        <f>IFERROR(VLOOKUP(B2821,material!A:D,3,0),"")</f>
        <v>3.1</v>
      </c>
    </row>
    <row r="2822" ht="11.25" customHeight="1">
      <c r="A2822" s="21" t="str">
        <f>IFERROR(__xludf.DUMMYFUNCTION("""COMPUTED_VALUE"""),"MODEM VOIP EMTA WIFI 3.1 CG3000")</f>
        <v>MODEM VOIP EMTA WIFI 3.1 CG3000</v>
      </c>
      <c r="B2822" s="22">
        <f>IFERROR(__xludf.DUMMYFUNCTION("""COMPUTED_VALUE"""),4.1001486E7)</f>
        <v>41001486</v>
      </c>
      <c r="C2822" s="21" t="str">
        <f>IFERROR(__xludf.DUMMYFUNCTION("""COMPUTED_VALUE"""),"840112837C4E")</f>
        <v>840112837C4E</v>
      </c>
      <c r="D2822" s="21" t="str">
        <f>IFERROR(__xludf.DUMMYFUNCTION("""COMPUTED_VALUE"""),"DIGITEC TECNOLOGIA DIGITAL E REPRES")</f>
        <v>DIGITEC TECNOLOGIA DIGITAL E REPRES</v>
      </c>
      <c r="E2822" s="21">
        <f>IFERROR(__xludf.DUMMYFUNCTION("""COMPUTED_VALUE"""),145359.0)</f>
        <v>145359</v>
      </c>
      <c r="F2822" s="21" t="str">
        <f>IFERROR(__xludf.DUMMYFUNCTION("""COMPUTED_VALUE"""),"TRANSITO REVERSA")</f>
        <v>TRANSITO REVERSA</v>
      </c>
      <c r="G2822" s="23">
        <f>IFERROR(__xludf.DUMMYFUNCTION("""COMPUTED_VALUE"""),45617.87180555555)</f>
        <v>45617.87181</v>
      </c>
      <c r="H2822" s="24" t="str">
        <f>IFERROR(VLOOKUP(B2822,material!A:D,3,0),"")</f>
        <v>3.1</v>
      </c>
    </row>
    <row r="2823" ht="11.25" customHeight="1">
      <c r="A2823" s="21" t="str">
        <f>IFERROR(__xludf.DUMMYFUNCTION("""COMPUTED_VALUE"""),"MODEM VOIP EMTA WIFI 3.1 CG3000")</f>
        <v>MODEM VOIP EMTA WIFI 3.1 CG3000</v>
      </c>
      <c r="B2823" s="22">
        <f>IFERROR(__xludf.DUMMYFUNCTION("""COMPUTED_VALUE"""),4.1001486E7)</f>
        <v>41001486</v>
      </c>
      <c r="C2823" s="21" t="str">
        <f>IFERROR(__xludf.DUMMYFUNCTION("""COMPUTED_VALUE"""),"840112BFDA83")</f>
        <v>840112BFDA83</v>
      </c>
      <c r="D2823" s="21" t="str">
        <f>IFERROR(__xludf.DUMMYFUNCTION("""COMPUTED_VALUE"""),"DIGITEC TECNOLOGIA DIGITAL E REPRES")</f>
        <v>DIGITEC TECNOLOGIA DIGITAL E REPRES</v>
      </c>
      <c r="E2823" s="21">
        <f>IFERROR(__xludf.DUMMYFUNCTION("""COMPUTED_VALUE"""),145359.0)</f>
        <v>145359</v>
      </c>
      <c r="F2823" s="21" t="str">
        <f>IFERROR(__xludf.DUMMYFUNCTION("""COMPUTED_VALUE"""),"TRANSITO REVERSA")</f>
        <v>TRANSITO REVERSA</v>
      </c>
      <c r="G2823" s="23">
        <f>IFERROR(__xludf.DUMMYFUNCTION("""COMPUTED_VALUE"""),45633.00398148148)</f>
        <v>45633.00398</v>
      </c>
      <c r="H2823" s="24" t="str">
        <f>IFERROR(VLOOKUP(B2823,material!A:D,3,0),"")</f>
        <v>3.1</v>
      </c>
    </row>
    <row r="2824" ht="11.25" customHeight="1">
      <c r="A2824" s="21" t="str">
        <f>IFERROR(__xludf.DUMMYFUNCTION("""COMPUTED_VALUE"""),"MODEM VOIP EMTA WIFI 3.1 CG3000")</f>
        <v>MODEM VOIP EMTA WIFI 3.1 CG3000</v>
      </c>
      <c r="B2824" s="22">
        <f>IFERROR(__xludf.DUMMYFUNCTION("""COMPUTED_VALUE"""),4.1001486E7)</f>
        <v>41001486</v>
      </c>
      <c r="C2824" s="21" t="str">
        <f>IFERROR(__xludf.DUMMYFUNCTION("""COMPUTED_VALUE"""),"840112BFE128")</f>
        <v>840112BFE128</v>
      </c>
      <c r="D2824" s="21" t="str">
        <f>IFERROR(__xludf.DUMMYFUNCTION("""COMPUTED_VALUE"""),"DIGITEC TECNOLOGIA DIGITAL E REPRES")</f>
        <v>DIGITEC TECNOLOGIA DIGITAL E REPRES</v>
      </c>
      <c r="E2824" s="21">
        <f>IFERROR(__xludf.DUMMYFUNCTION("""COMPUTED_VALUE"""),145359.0)</f>
        <v>145359</v>
      </c>
      <c r="F2824" s="21" t="str">
        <f>IFERROR(__xludf.DUMMYFUNCTION("""COMPUTED_VALUE"""),"TRANSITO REVERSA")</f>
        <v>TRANSITO REVERSA</v>
      </c>
      <c r="G2824" s="23">
        <f>IFERROR(__xludf.DUMMYFUNCTION("""COMPUTED_VALUE"""),45626.298680555556)</f>
        <v>45626.29868</v>
      </c>
      <c r="H2824" s="24" t="str">
        <f>IFERROR(VLOOKUP(B2824,material!A:D,3,0),"")</f>
        <v>3.1</v>
      </c>
    </row>
    <row r="2825" ht="11.25" customHeight="1">
      <c r="A2825" s="21" t="str">
        <f>IFERROR(__xludf.DUMMYFUNCTION("""COMPUTED_VALUE"""),"MODEM VOIP EMTA WIFI 3.1 CG3000")</f>
        <v>MODEM VOIP EMTA WIFI 3.1 CG3000</v>
      </c>
      <c r="B2825" s="22">
        <f>IFERROR(__xludf.DUMMYFUNCTION("""COMPUTED_VALUE"""),4.1001486E7)</f>
        <v>41001486</v>
      </c>
      <c r="C2825" s="21" t="str">
        <f>IFERROR(__xludf.DUMMYFUNCTION("""COMPUTED_VALUE"""),"840112BFE144")</f>
        <v>840112BFE144</v>
      </c>
      <c r="D2825" s="21" t="str">
        <f>IFERROR(__xludf.DUMMYFUNCTION("""COMPUTED_VALUE"""),"DIGITEC TECNOLOGIA DIGITAL E REPRES")</f>
        <v>DIGITEC TECNOLOGIA DIGITAL E REPRES</v>
      </c>
      <c r="E2825" s="21">
        <f>IFERROR(__xludf.DUMMYFUNCTION("""COMPUTED_VALUE"""),145359.0)</f>
        <v>145359</v>
      </c>
      <c r="F2825" s="21" t="str">
        <f>IFERROR(__xludf.DUMMYFUNCTION("""COMPUTED_VALUE"""),"TRANSITO REVERSA")</f>
        <v>TRANSITO REVERSA</v>
      </c>
      <c r="G2825" s="23">
        <f>IFERROR(__xludf.DUMMYFUNCTION("""COMPUTED_VALUE"""),45633.003379629634)</f>
        <v>45633.00338</v>
      </c>
      <c r="H2825" s="24" t="str">
        <f>IFERROR(VLOOKUP(B2825,material!A:D,3,0),"")</f>
        <v>3.1</v>
      </c>
    </row>
    <row r="2826" ht="11.25" customHeight="1">
      <c r="A2826" s="21" t="str">
        <f>IFERROR(__xludf.DUMMYFUNCTION("""COMPUTED_VALUE"""),"MODEM VOIP EMTA WIFI 3.1 CG3000")</f>
        <v>MODEM VOIP EMTA WIFI 3.1 CG3000</v>
      </c>
      <c r="B2826" s="22">
        <f>IFERROR(__xludf.DUMMYFUNCTION("""COMPUTED_VALUE"""),4.1001486E7)</f>
        <v>41001486</v>
      </c>
      <c r="C2826" s="21" t="str">
        <f>IFERROR(__xludf.DUMMYFUNCTION("""COMPUTED_VALUE"""),"840112BFF78D")</f>
        <v>840112BFF78D</v>
      </c>
      <c r="D2826" s="21" t="str">
        <f>IFERROR(__xludf.DUMMYFUNCTION("""COMPUTED_VALUE"""),"DIGITEC TECNOLOGIA DIGITAL E REPRES")</f>
        <v>DIGITEC TECNOLOGIA DIGITAL E REPRES</v>
      </c>
      <c r="E2826" s="21">
        <f>IFERROR(__xludf.DUMMYFUNCTION("""COMPUTED_VALUE"""),145359.0)</f>
        <v>145359</v>
      </c>
      <c r="F2826" s="21" t="str">
        <f>IFERROR(__xludf.DUMMYFUNCTION("""COMPUTED_VALUE"""),"TRANSITO REVERSA")</f>
        <v>TRANSITO REVERSA</v>
      </c>
      <c r="G2826" s="23">
        <f>IFERROR(__xludf.DUMMYFUNCTION("""COMPUTED_VALUE"""),45633.003379629634)</f>
        <v>45633.00338</v>
      </c>
      <c r="H2826" s="24" t="str">
        <f>IFERROR(VLOOKUP(B2826,material!A:D,3,0),"")</f>
        <v>3.1</v>
      </c>
    </row>
    <row r="2827" ht="11.25" customHeight="1">
      <c r="A2827" s="21" t="str">
        <f>IFERROR(__xludf.DUMMYFUNCTION("""COMPUTED_VALUE"""),"MODEM VOIP EMTA WIFI 3.1 CG3000")</f>
        <v>MODEM VOIP EMTA WIFI 3.1 CG3000</v>
      </c>
      <c r="B2827" s="22">
        <f>IFERROR(__xludf.DUMMYFUNCTION("""COMPUTED_VALUE"""),4.1001486E7)</f>
        <v>41001486</v>
      </c>
      <c r="C2827" s="21" t="str">
        <f>IFERROR(__xludf.DUMMYFUNCTION("""COMPUTED_VALUE"""),"840112942A31")</f>
        <v>840112942A31</v>
      </c>
      <c r="D2827" s="21" t="str">
        <f>IFERROR(__xludf.DUMMYFUNCTION("""COMPUTED_VALUE"""),"DIGITEC TECNOLOGIA DIGITAL E REPRES")</f>
        <v>DIGITEC TECNOLOGIA DIGITAL E REPRES</v>
      </c>
      <c r="E2827" s="21">
        <f>IFERROR(__xludf.DUMMYFUNCTION("""COMPUTED_VALUE"""),145359.0)</f>
        <v>145359</v>
      </c>
      <c r="F2827" s="21" t="str">
        <f>IFERROR(__xludf.DUMMYFUNCTION("""COMPUTED_VALUE"""),"TRANSITO REVERSA")</f>
        <v>TRANSITO REVERSA</v>
      </c>
      <c r="G2827" s="23">
        <f>IFERROR(__xludf.DUMMYFUNCTION("""COMPUTED_VALUE"""),45633.0033912037)</f>
        <v>45633.00339</v>
      </c>
      <c r="H2827" s="24" t="str">
        <f>IFERROR(VLOOKUP(B2827,material!A:D,3,0),"")</f>
        <v>3.1</v>
      </c>
    </row>
    <row r="2828" ht="11.25" customHeight="1">
      <c r="A2828" s="21" t="str">
        <f>IFERROR(__xludf.DUMMYFUNCTION("""COMPUTED_VALUE"""),"MODEM VOIP EMTA WIFI 3.1 CG3000")</f>
        <v>MODEM VOIP EMTA WIFI 3.1 CG3000</v>
      </c>
      <c r="B2828" s="22">
        <f>IFERROR(__xludf.DUMMYFUNCTION("""COMPUTED_VALUE"""),4.1001486E7)</f>
        <v>41001486</v>
      </c>
      <c r="C2828" s="21" t="str">
        <f>IFERROR(__xludf.DUMMYFUNCTION("""COMPUTED_VALUE"""),"840112937883")</f>
        <v>840112937883</v>
      </c>
      <c r="D2828" s="21" t="str">
        <f>IFERROR(__xludf.DUMMYFUNCTION("""COMPUTED_VALUE"""),"DIGITEC TECNOLOGIA DIGITAL E REPRES")</f>
        <v>DIGITEC TECNOLOGIA DIGITAL E REPRES</v>
      </c>
      <c r="E2828" s="21">
        <f>IFERROR(__xludf.DUMMYFUNCTION("""COMPUTED_VALUE"""),145359.0)</f>
        <v>145359</v>
      </c>
      <c r="F2828" s="21" t="str">
        <f>IFERROR(__xludf.DUMMYFUNCTION("""COMPUTED_VALUE"""),"TRANSITO REVERSA")</f>
        <v>TRANSITO REVERSA</v>
      </c>
      <c r="G2828" s="23">
        <f>IFERROR(__xludf.DUMMYFUNCTION("""COMPUTED_VALUE"""),45633.003958333335)</f>
        <v>45633.00396</v>
      </c>
      <c r="H2828" s="24" t="str">
        <f>IFERROR(VLOOKUP(B2828,material!A:D,3,0),"")</f>
        <v>3.1</v>
      </c>
    </row>
    <row r="2829" ht="11.25" customHeight="1">
      <c r="A2829" s="21" t="str">
        <f>IFERROR(__xludf.DUMMYFUNCTION("""COMPUTED_VALUE"""),"MODEM VOIP EMTA WIFI 3.1 CG3000")</f>
        <v>MODEM VOIP EMTA WIFI 3.1 CG3000</v>
      </c>
      <c r="B2829" s="22">
        <f>IFERROR(__xludf.DUMMYFUNCTION("""COMPUTED_VALUE"""),4.1001486E7)</f>
        <v>41001486</v>
      </c>
      <c r="C2829" s="21" t="str">
        <f>IFERROR(__xludf.DUMMYFUNCTION("""COMPUTED_VALUE"""),"743AEF5FB7E4")</f>
        <v>743AEF5FB7E4</v>
      </c>
      <c r="D2829" s="21" t="str">
        <f>IFERROR(__xludf.DUMMYFUNCTION("""COMPUTED_VALUE"""),"DIGITEC TECNOLOGIA DIGITAL E REPRES")</f>
        <v>DIGITEC TECNOLOGIA DIGITAL E REPRES</v>
      </c>
      <c r="E2829" s="21">
        <f>IFERROR(__xludf.DUMMYFUNCTION("""COMPUTED_VALUE"""),145359.0)</f>
        <v>145359</v>
      </c>
      <c r="F2829" s="21" t="str">
        <f>IFERROR(__xludf.DUMMYFUNCTION("""COMPUTED_VALUE"""),"TRANSITO REVERSA")</f>
        <v>TRANSITO REVERSA</v>
      </c>
      <c r="G2829" s="23">
        <f>IFERROR(__xludf.DUMMYFUNCTION("""COMPUTED_VALUE"""),45610.73040509259)</f>
        <v>45610.73041</v>
      </c>
      <c r="H2829" s="24" t="str">
        <f>IFERROR(VLOOKUP(B2829,material!A:D,3,0),"")</f>
        <v>3.1</v>
      </c>
    </row>
    <row r="2830" ht="11.25" customHeight="1">
      <c r="A2830" s="21" t="str">
        <f>IFERROR(__xludf.DUMMYFUNCTION("""COMPUTED_VALUE"""),"MODEM VOIP EMTA WIFI 3.1 CG3000")</f>
        <v>MODEM VOIP EMTA WIFI 3.1 CG3000</v>
      </c>
      <c r="B2830" s="22">
        <f>IFERROR(__xludf.DUMMYFUNCTION("""COMPUTED_VALUE"""),4.1001486E7)</f>
        <v>41001486</v>
      </c>
      <c r="C2830" s="21" t="str">
        <f>IFERROR(__xludf.DUMMYFUNCTION("""COMPUTED_VALUE"""),"1834AF9A39E1")</f>
        <v>1834AF9A39E1</v>
      </c>
      <c r="D2830" s="21" t="str">
        <f>IFERROR(__xludf.DUMMYFUNCTION("""COMPUTED_VALUE"""),"DIGITEC TECNOLOGIA DIGITAL E REPRES")</f>
        <v>DIGITEC TECNOLOGIA DIGITAL E REPRES</v>
      </c>
      <c r="E2830" s="21">
        <f>IFERROR(__xludf.DUMMYFUNCTION("""COMPUTED_VALUE"""),145359.0)</f>
        <v>145359</v>
      </c>
      <c r="F2830" s="21" t="str">
        <f>IFERROR(__xludf.DUMMYFUNCTION("""COMPUTED_VALUE"""),"TRANSITO REVERSA")</f>
        <v>TRANSITO REVERSA</v>
      </c>
      <c r="G2830" s="23">
        <f>IFERROR(__xludf.DUMMYFUNCTION("""COMPUTED_VALUE"""),45610.73043981481)</f>
        <v>45610.73044</v>
      </c>
      <c r="H2830" s="24" t="str">
        <f>IFERROR(VLOOKUP(B2830,material!A:D,3,0),"")</f>
        <v>3.1</v>
      </c>
    </row>
    <row r="2831" ht="11.25" customHeight="1">
      <c r="A2831" s="21" t="str">
        <f>IFERROR(__xludf.DUMMYFUNCTION("""COMPUTED_VALUE"""),"MODEM VOIP EMTA WIFI 3.1 CG3000")</f>
        <v>MODEM VOIP EMTA WIFI 3.1 CG3000</v>
      </c>
      <c r="B2831" s="22">
        <f>IFERROR(__xludf.DUMMYFUNCTION("""COMPUTED_VALUE"""),4.1001486E7)</f>
        <v>41001486</v>
      </c>
      <c r="C2831" s="21" t="str">
        <f>IFERROR(__xludf.DUMMYFUNCTION("""COMPUTED_VALUE"""),"1834AF9A3064")</f>
        <v>1834AF9A3064</v>
      </c>
      <c r="D2831" s="21" t="str">
        <f>IFERROR(__xludf.DUMMYFUNCTION("""COMPUTED_VALUE"""),"DIGITEC TECNOLOGIA DIGITAL E REPRES")</f>
        <v>DIGITEC TECNOLOGIA DIGITAL E REPRES</v>
      </c>
      <c r="E2831" s="21">
        <f>IFERROR(__xludf.DUMMYFUNCTION("""COMPUTED_VALUE"""),145359.0)</f>
        <v>145359</v>
      </c>
      <c r="F2831" s="21" t="str">
        <f>IFERROR(__xludf.DUMMYFUNCTION("""COMPUTED_VALUE"""),"TRANSITO REVERSA")</f>
        <v>TRANSITO REVERSA</v>
      </c>
      <c r="G2831" s="23">
        <f>IFERROR(__xludf.DUMMYFUNCTION("""COMPUTED_VALUE"""),45610.73040509259)</f>
        <v>45610.73041</v>
      </c>
      <c r="H2831" s="24" t="str">
        <f>IFERROR(VLOOKUP(B2831,material!A:D,3,0),"")</f>
        <v>3.1</v>
      </c>
    </row>
    <row r="2832" ht="11.25" customHeight="1">
      <c r="A2832" s="21" t="str">
        <f>IFERROR(__xludf.DUMMYFUNCTION("""COMPUTED_VALUE"""),"MODEM VOIP EMTA WIFI 3.1 CG3000")</f>
        <v>MODEM VOIP EMTA WIFI 3.1 CG3000</v>
      </c>
      <c r="B2832" s="22">
        <f>IFERROR(__xludf.DUMMYFUNCTION("""COMPUTED_VALUE"""),4.1001486E7)</f>
        <v>41001486</v>
      </c>
      <c r="C2832" s="21" t="str">
        <f>IFERROR(__xludf.DUMMYFUNCTION("""COMPUTED_VALUE"""),"1834AF9A37A3")</f>
        <v>1834AF9A37A3</v>
      </c>
      <c r="D2832" s="21" t="str">
        <f>IFERROR(__xludf.DUMMYFUNCTION("""COMPUTED_VALUE"""),"DIGITEC TECNOLOGIA DIGITAL E REPRES")</f>
        <v>DIGITEC TECNOLOGIA DIGITAL E REPRES</v>
      </c>
      <c r="E2832" s="21">
        <f>IFERROR(__xludf.DUMMYFUNCTION("""COMPUTED_VALUE"""),145359.0)</f>
        <v>145359</v>
      </c>
      <c r="F2832" s="21" t="str">
        <f>IFERROR(__xludf.DUMMYFUNCTION("""COMPUTED_VALUE"""),"TRANSITO REVERSA")</f>
        <v>TRANSITO REVERSA</v>
      </c>
      <c r="G2832" s="23">
        <f>IFERROR(__xludf.DUMMYFUNCTION("""COMPUTED_VALUE"""),45610.73043981481)</f>
        <v>45610.73044</v>
      </c>
      <c r="H2832" s="24" t="str">
        <f>IFERROR(VLOOKUP(B2832,material!A:D,3,0),"")</f>
        <v>3.1</v>
      </c>
    </row>
    <row r="2833" ht="11.25" customHeight="1">
      <c r="A2833" s="21" t="str">
        <f>IFERROR(__xludf.DUMMYFUNCTION("""COMPUTED_VALUE"""),"MODEM VOIP EMTA WIFI 3.1 CG3000")</f>
        <v>MODEM VOIP EMTA WIFI 3.1 CG3000</v>
      </c>
      <c r="B2833" s="22">
        <f>IFERROR(__xludf.DUMMYFUNCTION("""COMPUTED_VALUE"""),4.1001486E7)</f>
        <v>41001486</v>
      </c>
      <c r="C2833" s="21" t="str">
        <f>IFERROR(__xludf.DUMMYFUNCTION("""COMPUTED_VALUE"""),"840112DCE7E3")</f>
        <v>840112DCE7E3</v>
      </c>
      <c r="D2833" s="21" t="str">
        <f>IFERROR(__xludf.DUMMYFUNCTION("""COMPUTED_VALUE"""),"DIGITEC TECNOLOGIA DIGITAL E REPRES")</f>
        <v>DIGITEC TECNOLOGIA DIGITAL E REPRES</v>
      </c>
      <c r="E2833" s="21">
        <f>IFERROR(__xludf.DUMMYFUNCTION("""COMPUTED_VALUE"""),145359.0)</f>
        <v>145359</v>
      </c>
      <c r="F2833" s="21" t="str">
        <f>IFERROR(__xludf.DUMMYFUNCTION("""COMPUTED_VALUE"""),"TRANSITO REVERSA")</f>
        <v>TRANSITO REVERSA</v>
      </c>
      <c r="G2833" s="23">
        <f>IFERROR(__xludf.DUMMYFUNCTION("""COMPUTED_VALUE"""),45633.003379629634)</f>
        <v>45633.00338</v>
      </c>
      <c r="H2833" s="24" t="str">
        <f>IFERROR(VLOOKUP(B2833,material!A:D,3,0),"")</f>
        <v>3.1</v>
      </c>
    </row>
    <row r="2834" ht="11.25" customHeight="1">
      <c r="A2834" s="21" t="str">
        <f>IFERROR(__xludf.DUMMYFUNCTION("""COMPUTED_VALUE"""),"MODEM VOIP EMTA WIFI 3.1 CG3000")</f>
        <v>MODEM VOIP EMTA WIFI 3.1 CG3000</v>
      </c>
      <c r="B2834" s="22">
        <f>IFERROR(__xludf.DUMMYFUNCTION("""COMPUTED_VALUE"""),4.1001486E7)</f>
        <v>41001486</v>
      </c>
      <c r="C2834" s="21" t="str">
        <f>IFERROR(__xludf.DUMMYFUNCTION("""COMPUTED_VALUE"""),"743AEFC4D39E")</f>
        <v>743AEFC4D39E</v>
      </c>
      <c r="D2834" s="21" t="str">
        <f>IFERROR(__xludf.DUMMYFUNCTION("""COMPUTED_VALUE"""),"DIGITEC TECNOLOGIA DIGITAL E REPRES")</f>
        <v>DIGITEC TECNOLOGIA DIGITAL E REPRES</v>
      </c>
      <c r="E2834" s="21">
        <f>IFERROR(__xludf.DUMMYFUNCTION("""COMPUTED_VALUE"""),145359.0)</f>
        <v>145359</v>
      </c>
      <c r="F2834" s="21" t="str">
        <f>IFERROR(__xludf.DUMMYFUNCTION("""COMPUTED_VALUE"""),"TRANSITO REVERSA")</f>
        <v>TRANSITO REVERSA</v>
      </c>
      <c r="G2834" s="23">
        <f>IFERROR(__xludf.DUMMYFUNCTION("""COMPUTED_VALUE"""),45610.73043981481)</f>
        <v>45610.73044</v>
      </c>
      <c r="H2834" s="24" t="str">
        <f>IFERROR(VLOOKUP(B2834,material!A:D,3,0),"")</f>
        <v>3.1</v>
      </c>
    </row>
    <row r="2835" ht="11.25" customHeight="1">
      <c r="A2835" s="21" t="str">
        <f>IFERROR(__xludf.DUMMYFUNCTION("""COMPUTED_VALUE"""),"MODEM VOIP EMTA WIFI 3.1 CG3000")</f>
        <v>MODEM VOIP EMTA WIFI 3.1 CG3000</v>
      </c>
      <c r="B2835" s="22">
        <f>IFERROR(__xludf.DUMMYFUNCTION("""COMPUTED_VALUE"""),4.1001486E7)</f>
        <v>41001486</v>
      </c>
      <c r="C2835" s="21" t="str">
        <f>IFERROR(__xludf.DUMMYFUNCTION("""COMPUTED_VALUE"""),"743AEFADA0BD")</f>
        <v>743AEFADA0BD</v>
      </c>
      <c r="D2835" s="21" t="str">
        <f>IFERROR(__xludf.DUMMYFUNCTION("""COMPUTED_VALUE"""),"DIGITEC TECNOLOGIA DIGITAL E REPRES")</f>
        <v>DIGITEC TECNOLOGIA DIGITAL E REPRES</v>
      </c>
      <c r="E2835" s="21">
        <f>IFERROR(__xludf.DUMMYFUNCTION("""COMPUTED_VALUE"""),145359.0)</f>
        <v>145359</v>
      </c>
      <c r="F2835" s="21" t="str">
        <f>IFERROR(__xludf.DUMMYFUNCTION("""COMPUTED_VALUE"""),"TRANSITO REVERSA")</f>
        <v>TRANSITO REVERSA</v>
      </c>
      <c r="G2835" s="23">
        <f>IFERROR(__xludf.DUMMYFUNCTION("""COMPUTED_VALUE"""),45633.00341435186)</f>
        <v>45633.00341</v>
      </c>
      <c r="H2835" s="24" t="str">
        <f>IFERROR(VLOOKUP(B2835,material!A:D,3,0),"")</f>
        <v>3.1</v>
      </c>
    </row>
    <row r="2836" ht="11.25" customHeight="1">
      <c r="A2836" s="21" t="str">
        <f>IFERROR(__xludf.DUMMYFUNCTION("""COMPUTED_VALUE"""),"MODEM VOIP EMTA WIFI 3.1 CG3000")</f>
        <v>MODEM VOIP EMTA WIFI 3.1 CG3000</v>
      </c>
      <c r="B2836" s="22">
        <f>IFERROR(__xludf.DUMMYFUNCTION("""COMPUTED_VALUE"""),4.1001486E7)</f>
        <v>41001486</v>
      </c>
      <c r="C2836" s="21" t="str">
        <f>IFERROR(__xludf.DUMMYFUNCTION("""COMPUTED_VALUE"""),"743AEFAECB32")</f>
        <v>743AEFAECB32</v>
      </c>
      <c r="D2836" s="21" t="str">
        <f>IFERROR(__xludf.DUMMYFUNCTION("""COMPUTED_VALUE"""),"DIGITEC TECNOLOGIA DIGITAL E REPRES")</f>
        <v>DIGITEC TECNOLOGIA DIGITAL E REPRES</v>
      </c>
      <c r="E2836" s="21">
        <f>IFERROR(__xludf.DUMMYFUNCTION("""COMPUTED_VALUE"""),145359.0)</f>
        <v>145359</v>
      </c>
      <c r="F2836" s="21" t="str">
        <f>IFERROR(__xludf.DUMMYFUNCTION("""COMPUTED_VALUE"""),"TRANSITO REVERSA")</f>
        <v>TRANSITO REVERSA</v>
      </c>
      <c r="G2836" s="23">
        <f>IFERROR(__xludf.DUMMYFUNCTION("""COMPUTED_VALUE"""),45633.00341435186)</f>
        <v>45633.00341</v>
      </c>
      <c r="H2836" s="24" t="str">
        <f>IFERROR(VLOOKUP(B2836,material!A:D,3,0),"")</f>
        <v>3.1</v>
      </c>
    </row>
    <row r="2837" ht="11.25" customHeight="1">
      <c r="A2837" s="21" t="str">
        <f>IFERROR(__xludf.DUMMYFUNCTION("""COMPUTED_VALUE"""),"MODEM VOIP EMTA WIFI 3.1 CG3000")</f>
        <v>MODEM VOIP EMTA WIFI 3.1 CG3000</v>
      </c>
      <c r="B2837" s="22">
        <f>IFERROR(__xludf.DUMMYFUNCTION("""COMPUTED_VALUE"""),4.1001486E7)</f>
        <v>41001486</v>
      </c>
      <c r="C2837" s="21" t="str">
        <f>IFERROR(__xludf.DUMMYFUNCTION("""COMPUTED_VALUE"""),"743AEFAD0065")</f>
        <v>743AEFAD0065</v>
      </c>
      <c r="D2837" s="21" t="str">
        <f>IFERROR(__xludf.DUMMYFUNCTION("""COMPUTED_VALUE"""),"DIGITEC TECNOLOGIA DIGITAL E REPRES")</f>
        <v>DIGITEC TECNOLOGIA DIGITAL E REPRES</v>
      </c>
      <c r="E2837" s="21">
        <f>IFERROR(__xludf.DUMMYFUNCTION("""COMPUTED_VALUE"""),145359.0)</f>
        <v>145359</v>
      </c>
      <c r="F2837" s="21" t="str">
        <f>IFERROR(__xludf.DUMMYFUNCTION("""COMPUTED_VALUE"""),"TRANSITO REVERSA")</f>
        <v>TRANSITO REVERSA</v>
      </c>
      <c r="G2837" s="23">
        <f>IFERROR(__xludf.DUMMYFUNCTION("""COMPUTED_VALUE"""),45633.00399305555)</f>
        <v>45633.00399</v>
      </c>
      <c r="H2837" s="24" t="str">
        <f>IFERROR(VLOOKUP(B2837,material!A:D,3,0),"")</f>
        <v>3.1</v>
      </c>
    </row>
    <row r="2838" ht="11.25" customHeight="1">
      <c r="A2838" s="21" t="str">
        <f>IFERROR(__xludf.DUMMYFUNCTION("""COMPUTED_VALUE"""),"MODEM VOIP EMTA WIFI 3.1 CG3000")</f>
        <v>MODEM VOIP EMTA WIFI 3.1 CG3000</v>
      </c>
      <c r="B2838" s="22">
        <f>IFERROR(__xludf.DUMMYFUNCTION("""COMPUTED_VALUE"""),4.1001486E7)</f>
        <v>41001486</v>
      </c>
      <c r="C2838" s="21" t="str">
        <f>IFERROR(__xludf.DUMMYFUNCTION("""COMPUTED_VALUE"""),"743AEF73007E")</f>
        <v>743AEF73007E</v>
      </c>
      <c r="D2838" s="21" t="str">
        <f>IFERROR(__xludf.DUMMYFUNCTION("""COMPUTED_VALUE"""),"DIGITEC TECNOLOGIA DIGITAL E REPRES")</f>
        <v>DIGITEC TECNOLOGIA DIGITAL E REPRES</v>
      </c>
      <c r="E2838" s="21">
        <f>IFERROR(__xludf.DUMMYFUNCTION("""COMPUTED_VALUE"""),145359.0)</f>
        <v>145359</v>
      </c>
      <c r="F2838" s="21" t="str">
        <f>IFERROR(__xludf.DUMMYFUNCTION("""COMPUTED_VALUE"""),"TRANSITO REVERSA")</f>
        <v>TRANSITO REVERSA</v>
      </c>
      <c r="G2838" s="23">
        <f>IFERROR(__xludf.DUMMYFUNCTION("""COMPUTED_VALUE"""),45633.00399305555)</f>
        <v>45633.00399</v>
      </c>
      <c r="H2838" s="24" t="str">
        <f>IFERROR(VLOOKUP(B2838,material!A:D,3,0),"")</f>
        <v>3.1</v>
      </c>
    </row>
    <row r="2839" ht="11.25" customHeight="1">
      <c r="A2839" s="21" t="str">
        <f>IFERROR(__xludf.DUMMYFUNCTION("""COMPUTED_VALUE"""),"MODEM VOIP EMTA WIFI 3.1 CG3000")</f>
        <v>MODEM VOIP EMTA WIFI 3.1 CG3000</v>
      </c>
      <c r="B2839" s="22">
        <f>IFERROR(__xludf.DUMMYFUNCTION("""COMPUTED_VALUE"""),4.1001486E7)</f>
        <v>41001486</v>
      </c>
      <c r="C2839" s="21" t="str">
        <f>IFERROR(__xludf.DUMMYFUNCTION("""COMPUTED_VALUE"""),"743AEF7278A6")</f>
        <v>743AEF7278A6</v>
      </c>
      <c r="D2839" s="21" t="str">
        <f>IFERROR(__xludf.DUMMYFUNCTION("""COMPUTED_VALUE"""),"DIGITEC TECNOLOGIA DIGITAL E REPRES")</f>
        <v>DIGITEC TECNOLOGIA DIGITAL E REPRES</v>
      </c>
      <c r="E2839" s="21">
        <f>IFERROR(__xludf.DUMMYFUNCTION("""COMPUTED_VALUE"""),145359.0)</f>
        <v>145359</v>
      </c>
      <c r="F2839" s="21" t="str">
        <f>IFERROR(__xludf.DUMMYFUNCTION("""COMPUTED_VALUE"""),"TRANSITO REVERSA")</f>
        <v>TRANSITO REVERSA</v>
      </c>
      <c r="G2839" s="23">
        <f>IFERROR(__xludf.DUMMYFUNCTION("""COMPUTED_VALUE"""),45633.00340277777)</f>
        <v>45633.0034</v>
      </c>
      <c r="H2839" s="24" t="str">
        <f>IFERROR(VLOOKUP(B2839,material!A:D,3,0),"")</f>
        <v>3.1</v>
      </c>
    </row>
    <row r="2840" ht="11.25" customHeight="1">
      <c r="A2840" s="21" t="str">
        <f>IFERROR(__xludf.DUMMYFUNCTION("""COMPUTED_VALUE"""),"MODEM VOIP EMTA WIFI 3.1 CG3000")</f>
        <v>MODEM VOIP EMTA WIFI 3.1 CG3000</v>
      </c>
      <c r="B2840" s="22">
        <f>IFERROR(__xludf.DUMMYFUNCTION("""COMPUTED_VALUE"""),4.1001486E7)</f>
        <v>41001486</v>
      </c>
      <c r="C2840" s="21" t="str">
        <f>IFERROR(__xludf.DUMMYFUNCTION("""COMPUTED_VALUE"""),"840112C21A0B")</f>
        <v>840112C21A0B</v>
      </c>
      <c r="D2840" s="21" t="str">
        <f>IFERROR(__xludf.DUMMYFUNCTION("""COMPUTED_VALUE"""),"DIGITEC TECNOLOGIA DIGITAL E REPRES")</f>
        <v>DIGITEC TECNOLOGIA DIGITAL E REPRES</v>
      </c>
      <c r="E2840" s="21">
        <f>IFERROR(__xludf.DUMMYFUNCTION("""COMPUTED_VALUE"""),145359.0)</f>
        <v>145359</v>
      </c>
      <c r="F2840" s="21" t="str">
        <f>IFERROR(__xludf.DUMMYFUNCTION("""COMPUTED_VALUE"""),"TRANSITO REVERSA")</f>
        <v>TRANSITO REVERSA</v>
      </c>
      <c r="G2840" s="23">
        <f>IFERROR(__xludf.DUMMYFUNCTION("""COMPUTED_VALUE"""),45610.73043981481)</f>
        <v>45610.73044</v>
      </c>
      <c r="H2840" s="24" t="str">
        <f>IFERROR(VLOOKUP(B2840,material!A:D,3,0),"")</f>
        <v>3.1</v>
      </c>
    </row>
    <row r="2841" ht="11.25" customHeight="1">
      <c r="A2841" s="21" t="str">
        <f>IFERROR(__xludf.DUMMYFUNCTION("""COMPUTED_VALUE"""),"MODEM VOIP EMTA WIFI 3.1 CG3000")</f>
        <v>MODEM VOIP EMTA WIFI 3.1 CG3000</v>
      </c>
      <c r="B2841" s="22">
        <f>IFERROR(__xludf.DUMMYFUNCTION("""COMPUTED_VALUE"""),4.1001486E7)</f>
        <v>41001486</v>
      </c>
      <c r="C2841" s="21" t="str">
        <f>IFERROR(__xludf.DUMMYFUNCTION("""COMPUTED_VALUE"""),"743AEFC62423")</f>
        <v>743AEFC62423</v>
      </c>
      <c r="D2841" s="21" t="str">
        <f>IFERROR(__xludf.DUMMYFUNCTION("""COMPUTED_VALUE"""),"DIGITEC TECNOLOGIA DIGITAL E REPRES")</f>
        <v>DIGITEC TECNOLOGIA DIGITAL E REPRES</v>
      </c>
      <c r="E2841" s="21">
        <f>IFERROR(__xludf.DUMMYFUNCTION("""COMPUTED_VALUE"""),145359.0)</f>
        <v>145359</v>
      </c>
      <c r="F2841" s="21" t="str">
        <f>IFERROR(__xludf.DUMMYFUNCTION("""COMPUTED_VALUE"""),"TRANSITO REVERSA")</f>
        <v>TRANSITO REVERSA</v>
      </c>
      <c r="G2841" s="23">
        <f>IFERROR(__xludf.DUMMYFUNCTION("""COMPUTED_VALUE"""),45633.003379629634)</f>
        <v>45633.00338</v>
      </c>
      <c r="H2841" s="24" t="str">
        <f>IFERROR(VLOOKUP(B2841,material!A:D,3,0),"")</f>
        <v>3.1</v>
      </c>
    </row>
    <row r="2842" ht="11.25" customHeight="1">
      <c r="A2842" s="21" t="str">
        <f>IFERROR(__xludf.DUMMYFUNCTION("""COMPUTED_VALUE"""),"MODEM VOIP EMTA WIFI 3.1 CG3000")</f>
        <v>MODEM VOIP EMTA WIFI 3.1 CG3000</v>
      </c>
      <c r="B2842" s="22">
        <f>IFERROR(__xludf.DUMMYFUNCTION("""COMPUTED_VALUE"""),4.1001486E7)</f>
        <v>41001486</v>
      </c>
      <c r="C2842" s="21" t="str">
        <f>IFERROR(__xludf.DUMMYFUNCTION("""COMPUTED_VALUE"""),"743AEFC49A39")</f>
        <v>743AEFC49A39</v>
      </c>
      <c r="D2842" s="21" t="str">
        <f>IFERROR(__xludf.DUMMYFUNCTION("""COMPUTED_VALUE"""),"DIGITEC TECNOLOGIA DIGITAL E REPRES")</f>
        <v>DIGITEC TECNOLOGIA DIGITAL E REPRES</v>
      </c>
      <c r="E2842" s="21">
        <f>IFERROR(__xludf.DUMMYFUNCTION("""COMPUTED_VALUE"""),145359.0)</f>
        <v>145359</v>
      </c>
      <c r="F2842" s="21" t="str">
        <f>IFERROR(__xludf.DUMMYFUNCTION("""COMPUTED_VALUE"""),"TRANSITO REVERSA")</f>
        <v>TRANSITO REVERSA</v>
      </c>
      <c r="G2842" s="23">
        <f>IFERROR(__xludf.DUMMYFUNCTION("""COMPUTED_VALUE"""),45638.52060185185)</f>
        <v>45638.5206</v>
      </c>
      <c r="H2842" s="24" t="str">
        <f>IFERROR(VLOOKUP(B2842,material!A:D,3,0),"")</f>
        <v>3.1</v>
      </c>
    </row>
    <row r="2843" ht="11.25" customHeight="1">
      <c r="A2843" s="21" t="str">
        <f>IFERROR(__xludf.DUMMYFUNCTION("""COMPUTED_VALUE"""),"MODEM VOIP EMTA WIFI 3.1 CG3000")</f>
        <v>MODEM VOIP EMTA WIFI 3.1 CG3000</v>
      </c>
      <c r="B2843" s="22">
        <f>IFERROR(__xludf.DUMMYFUNCTION("""COMPUTED_VALUE"""),4.1001486E7)</f>
        <v>41001486</v>
      </c>
      <c r="C2843" s="21" t="str">
        <f>IFERROR(__xludf.DUMMYFUNCTION("""COMPUTED_VALUE"""),"743AEF9BA182")</f>
        <v>743AEF9BA182</v>
      </c>
      <c r="D2843" s="21" t="str">
        <f>IFERROR(__xludf.DUMMYFUNCTION("""COMPUTED_VALUE"""),"DIGITEC TECNOLOGIA DIGITAL E REPRES")</f>
        <v>DIGITEC TECNOLOGIA DIGITAL E REPRES</v>
      </c>
      <c r="E2843" s="21">
        <f>IFERROR(__xludf.DUMMYFUNCTION("""COMPUTED_VALUE"""),145359.0)</f>
        <v>145359</v>
      </c>
      <c r="F2843" s="21" t="str">
        <f>IFERROR(__xludf.DUMMYFUNCTION("""COMPUTED_VALUE"""),"TRANSITO REVERSA")</f>
        <v>TRANSITO REVERSA</v>
      </c>
      <c r="G2843" s="23">
        <f>IFERROR(__xludf.DUMMYFUNCTION("""COMPUTED_VALUE"""),45638.520625000005)</f>
        <v>45638.52063</v>
      </c>
      <c r="H2843" s="24" t="str">
        <f>IFERROR(VLOOKUP(B2843,material!A:D,3,0),"")</f>
        <v>3.1</v>
      </c>
    </row>
    <row r="2844" ht="11.25" customHeight="1">
      <c r="A2844" s="21" t="str">
        <f>IFERROR(__xludf.DUMMYFUNCTION("""COMPUTED_VALUE"""),"MODEM VOIP EMTA WIFI 3.1 CG3000")</f>
        <v>MODEM VOIP EMTA WIFI 3.1 CG3000</v>
      </c>
      <c r="B2844" s="22">
        <f>IFERROR(__xludf.DUMMYFUNCTION("""COMPUTED_VALUE"""),4.1001486E7)</f>
        <v>41001486</v>
      </c>
      <c r="C2844" s="21" t="str">
        <f>IFERROR(__xludf.DUMMYFUNCTION("""COMPUTED_VALUE"""),"9877E70289A8")</f>
        <v>9877E70289A8</v>
      </c>
      <c r="D2844" s="21" t="str">
        <f>IFERROR(__xludf.DUMMYFUNCTION("""COMPUTED_VALUE"""),"DIGITEC TECNOLOGIA DIGITAL E REPRES")</f>
        <v>DIGITEC TECNOLOGIA DIGITAL E REPRES</v>
      </c>
      <c r="E2844" s="21">
        <f>IFERROR(__xludf.DUMMYFUNCTION("""COMPUTED_VALUE"""),145359.0)</f>
        <v>145359</v>
      </c>
      <c r="F2844" s="21" t="str">
        <f>IFERROR(__xludf.DUMMYFUNCTION("""COMPUTED_VALUE"""),"TRANSITO REVERSA")</f>
        <v>TRANSITO REVERSA</v>
      </c>
      <c r="G2844" s="23">
        <f>IFERROR(__xludf.DUMMYFUNCTION("""COMPUTED_VALUE"""),45633.00340277777)</f>
        <v>45633.0034</v>
      </c>
      <c r="H2844" s="24" t="str">
        <f>IFERROR(VLOOKUP(B2844,material!A:D,3,0),"")</f>
        <v>3.1</v>
      </c>
    </row>
    <row r="2845" ht="11.25" customHeight="1">
      <c r="A2845" s="21" t="str">
        <f>IFERROR(__xludf.DUMMYFUNCTION("""COMPUTED_VALUE"""),"MODEM VOIP EMTA WIFI 3.1 CG3000")</f>
        <v>MODEM VOIP EMTA WIFI 3.1 CG3000</v>
      </c>
      <c r="B2845" s="22">
        <f>IFERROR(__xludf.DUMMYFUNCTION("""COMPUTED_VALUE"""),4.1001486E7)</f>
        <v>41001486</v>
      </c>
      <c r="C2845" s="21" t="str">
        <f>IFERROR(__xludf.DUMMYFUNCTION("""COMPUTED_VALUE"""),"9877E702FBCA")</f>
        <v>9877E702FBCA</v>
      </c>
      <c r="D2845" s="21" t="str">
        <f>IFERROR(__xludf.DUMMYFUNCTION("""COMPUTED_VALUE"""),"DIGITEC TECNOLOGIA DIGITAL E REPRES")</f>
        <v>DIGITEC TECNOLOGIA DIGITAL E REPRES</v>
      </c>
      <c r="E2845" s="21">
        <f>IFERROR(__xludf.DUMMYFUNCTION("""COMPUTED_VALUE"""),145359.0)</f>
        <v>145359</v>
      </c>
      <c r="F2845" s="21" t="str">
        <f>IFERROR(__xludf.DUMMYFUNCTION("""COMPUTED_VALUE"""),"TRANSITO REVERSA")</f>
        <v>TRANSITO REVERSA</v>
      </c>
      <c r="G2845" s="23">
        <f>IFERROR(__xludf.DUMMYFUNCTION("""COMPUTED_VALUE"""),45610.73043981481)</f>
        <v>45610.73044</v>
      </c>
      <c r="H2845" s="24" t="str">
        <f>IFERROR(VLOOKUP(B2845,material!A:D,3,0),"")</f>
        <v>3.1</v>
      </c>
    </row>
    <row r="2846" ht="11.25" customHeight="1">
      <c r="A2846" s="21" t="str">
        <f>IFERROR(__xludf.DUMMYFUNCTION("""COMPUTED_VALUE"""),"MODEM VOIP EMTA WIFI 3.1 CG3000")</f>
        <v>MODEM VOIP EMTA WIFI 3.1 CG3000</v>
      </c>
      <c r="B2846" s="22">
        <f>IFERROR(__xludf.DUMMYFUNCTION("""COMPUTED_VALUE"""),4.1001486E7)</f>
        <v>41001486</v>
      </c>
      <c r="C2846" s="21" t="str">
        <f>IFERROR(__xludf.DUMMYFUNCTION("""COMPUTED_VALUE"""),"9877E7052C63")</f>
        <v>9877E7052C63</v>
      </c>
      <c r="D2846" s="21" t="str">
        <f>IFERROR(__xludf.DUMMYFUNCTION("""COMPUTED_VALUE"""),"DIGITEC TECNOLOGIA DIGITAL E REPRES")</f>
        <v>DIGITEC TECNOLOGIA DIGITAL E REPRES</v>
      </c>
      <c r="E2846" s="21">
        <f>IFERROR(__xludf.DUMMYFUNCTION("""COMPUTED_VALUE"""),145359.0)</f>
        <v>145359</v>
      </c>
      <c r="F2846" s="21" t="str">
        <f>IFERROR(__xludf.DUMMYFUNCTION("""COMPUTED_VALUE"""),"TRANSITO REVERSA")</f>
        <v>TRANSITO REVERSA</v>
      </c>
      <c r="G2846" s="23">
        <f>IFERROR(__xludf.DUMMYFUNCTION("""COMPUTED_VALUE"""),45633.00399305555)</f>
        <v>45633.00399</v>
      </c>
      <c r="H2846" s="24" t="str">
        <f>IFERROR(VLOOKUP(B2846,material!A:D,3,0),"")</f>
        <v>3.1</v>
      </c>
    </row>
    <row r="2847" ht="11.25" customHeight="1">
      <c r="A2847" s="21" t="str">
        <f>IFERROR(__xludf.DUMMYFUNCTION("""COMPUTED_VALUE"""),"MODEM VOIP EMTA WIFI 3.1 CG3000")</f>
        <v>MODEM VOIP EMTA WIFI 3.1 CG3000</v>
      </c>
      <c r="B2847" s="22">
        <f>IFERROR(__xludf.DUMMYFUNCTION("""COMPUTED_VALUE"""),4.1001486E7)</f>
        <v>41001486</v>
      </c>
      <c r="C2847" s="21" t="str">
        <f>IFERROR(__xludf.DUMMYFUNCTION("""COMPUTED_VALUE"""),"9877E7030E2A")</f>
        <v>9877E7030E2A</v>
      </c>
      <c r="D2847" s="21" t="str">
        <f>IFERROR(__xludf.DUMMYFUNCTION("""COMPUTED_VALUE"""),"DIGITEC TECNOLOGIA DIGITAL E REPRES")</f>
        <v>DIGITEC TECNOLOGIA DIGITAL E REPRES</v>
      </c>
      <c r="E2847" s="21">
        <f>IFERROR(__xludf.DUMMYFUNCTION("""COMPUTED_VALUE"""),145359.0)</f>
        <v>145359</v>
      </c>
      <c r="F2847" s="21" t="str">
        <f>IFERROR(__xludf.DUMMYFUNCTION("""COMPUTED_VALUE"""),"TRANSITO REVERSA")</f>
        <v>TRANSITO REVERSA</v>
      </c>
      <c r="G2847" s="23">
        <f>IFERROR(__xludf.DUMMYFUNCTION("""COMPUTED_VALUE"""),45617.87138888889)</f>
        <v>45617.87139</v>
      </c>
      <c r="H2847" s="24" t="str">
        <f>IFERROR(VLOOKUP(B2847,material!A:D,3,0),"")</f>
        <v>3.1</v>
      </c>
    </row>
    <row r="2848" ht="11.25" customHeight="1">
      <c r="A2848" s="21" t="str">
        <f>IFERROR(__xludf.DUMMYFUNCTION("""COMPUTED_VALUE"""),"MODEM VOIP EMTA WIFI 3.1 CG3000")</f>
        <v>MODEM VOIP EMTA WIFI 3.1 CG3000</v>
      </c>
      <c r="B2848" s="22">
        <f>IFERROR(__xludf.DUMMYFUNCTION("""COMPUTED_VALUE"""),4.1001486E7)</f>
        <v>41001486</v>
      </c>
      <c r="C2848" s="21" t="str">
        <f>IFERROR(__xludf.DUMMYFUNCTION("""COMPUTED_VALUE"""),"1834AF616773")</f>
        <v>1834AF616773</v>
      </c>
      <c r="D2848" s="21" t="str">
        <f>IFERROR(__xludf.DUMMYFUNCTION("""COMPUTED_VALUE"""),"DIGITEC TECNOLOGIA DIGITAL E REPRES")</f>
        <v>DIGITEC TECNOLOGIA DIGITAL E REPRES</v>
      </c>
      <c r="E2848" s="21">
        <f>IFERROR(__xludf.DUMMYFUNCTION("""COMPUTED_VALUE"""),145359.0)</f>
        <v>145359</v>
      </c>
      <c r="F2848" s="21" t="str">
        <f>IFERROR(__xludf.DUMMYFUNCTION("""COMPUTED_VALUE"""),"TRANSITO REVERSA")</f>
        <v>TRANSITO REVERSA</v>
      </c>
      <c r="G2848" s="23">
        <f>IFERROR(__xludf.DUMMYFUNCTION("""COMPUTED_VALUE"""),45638.52112268518)</f>
        <v>45638.52112</v>
      </c>
      <c r="H2848" s="24" t="str">
        <f>IFERROR(VLOOKUP(B2848,material!A:D,3,0),"")</f>
        <v>3.1</v>
      </c>
    </row>
    <row r="2849" ht="11.25" customHeight="1">
      <c r="A2849" s="21" t="str">
        <f>IFERROR(__xludf.DUMMYFUNCTION("""COMPUTED_VALUE"""),"MODEM VOIP EMTA WIFI 3.1 CG3000")</f>
        <v>MODEM VOIP EMTA WIFI 3.1 CG3000</v>
      </c>
      <c r="B2849" s="22">
        <f>IFERROR(__xludf.DUMMYFUNCTION("""COMPUTED_VALUE"""),4.1001486E7)</f>
        <v>41001486</v>
      </c>
      <c r="C2849" s="21" t="str">
        <f>IFERROR(__xludf.DUMMYFUNCTION("""COMPUTED_VALUE"""),"1834AF6164B0")</f>
        <v>1834AF6164B0</v>
      </c>
      <c r="D2849" s="21" t="str">
        <f>IFERROR(__xludf.DUMMYFUNCTION("""COMPUTED_VALUE"""),"DIGITEC TECNOLOGIA DIGITAL E REPRES")</f>
        <v>DIGITEC TECNOLOGIA DIGITAL E REPRES</v>
      </c>
      <c r="E2849" s="21">
        <f>IFERROR(__xludf.DUMMYFUNCTION("""COMPUTED_VALUE"""),145359.0)</f>
        <v>145359</v>
      </c>
      <c r="F2849" s="21" t="str">
        <f>IFERROR(__xludf.DUMMYFUNCTION("""COMPUTED_VALUE"""),"TRANSITO REVERSA")</f>
        <v>TRANSITO REVERSA</v>
      </c>
      <c r="G2849" s="23">
        <f>IFERROR(__xludf.DUMMYFUNCTION("""COMPUTED_VALUE"""),45633.00336805556)</f>
        <v>45633.00337</v>
      </c>
      <c r="H2849" s="24" t="str">
        <f>IFERROR(VLOOKUP(B2849,material!A:D,3,0),"")</f>
        <v>3.1</v>
      </c>
    </row>
    <row r="2850" ht="11.25" customHeight="1">
      <c r="A2850" s="21" t="str">
        <f>IFERROR(__xludf.DUMMYFUNCTION("""COMPUTED_VALUE"""),"MODEM VOIP EMTA WIFI 3.1 CG3000")</f>
        <v>MODEM VOIP EMTA WIFI 3.1 CG3000</v>
      </c>
      <c r="B2850" s="22">
        <f>IFERROR(__xludf.DUMMYFUNCTION("""COMPUTED_VALUE"""),4.1001486E7)</f>
        <v>41001486</v>
      </c>
      <c r="C2850" s="21" t="str">
        <f>IFERROR(__xludf.DUMMYFUNCTION("""COMPUTED_VALUE"""),"1834AF24C7B9")</f>
        <v>1834AF24C7B9</v>
      </c>
      <c r="D2850" s="21" t="str">
        <f>IFERROR(__xludf.DUMMYFUNCTION("""COMPUTED_VALUE"""),"DIGITEC TECNOLOGIA DIGITAL E REPRES")</f>
        <v>DIGITEC TECNOLOGIA DIGITAL E REPRES</v>
      </c>
      <c r="E2850" s="21">
        <f>IFERROR(__xludf.DUMMYFUNCTION("""COMPUTED_VALUE"""),145359.0)</f>
        <v>145359</v>
      </c>
      <c r="F2850" s="21" t="str">
        <f>IFERROR(__xludf.DUMMYFUNCTION("""COMPUTED_VALUE"""),"TRANSITO REVERSA")</f>
        <v>TRANSITO REVERSA</v>
      </c>
      <c r="G2850" s="23">
        <f>IFERROR(__xludf.DUMMYFUNCTION("""COMPUTED_VALUE"""),45626.29872685185)</f>
        <v>45626.29873</v>
      </c>
      <c r="H2850" s="24" t="str">
        <f>IFERROR(VLOOKUP(B2850,material!A:D,3,0),"")</f>
        <v>3.1</v>
      </c>
    </row>
    <row r="2851" ht="11.25" customHeight="1">
      <c r="A2851" s="21" t="str">
        <f>IFERROR(__xludf.DUMMYFUNCTION("""COMPUTED_VALUE"""),"MODEM VOIP EMTA WIFI 3.1 CG3000")</f>
        <v>MODEM VOIP EMTA WIFI 3.1 CG3000</v>
      </c>
      <c r="B2851" s="22">
        <f>IFERROR(__xludf.DUMMYFUNCTION("""COMPUTED_VALUE"""),4.1001486E7)</f>
        <v>41001486</v>
      </c>
      <c r="C2851" s="21" t="str">
        <f>IFERROR(__xludf.DUMMYFUNCTION("""COMPUTED_VALUE"""),"1834AF252647")</f>
        <v>1834AF252647</v>
      </c>
      <c r="D2851" s="21" t="str">
        <f>IFERROR(__xludf.DUMMYFUNCTION("""COMPUTED_VALUE"""),"DIGITEC TECNOLOGIA DIGITAL E REPRES")</f>
        <v>DIGITEC TECNOLOGIA DIGITAL E REPRES</v>
      </c>
      <c r="E2851" s="21">
        <f>IFERROR(__xludf.DUMMYFUNCTION("""COMPUTED_VALUE"""),145359.0)</f>
        <v>145359</v>
      </c>
      <c r="F2851" s="21" t="str">
        <f>IFERROR(__xludf.DUMMYFUNCTION("""COMPUTED_VALUE"""),"TRANSITO REVERSA")</f>
        <v>TRANSITO REVERSA</v>
      </c>
      <c r="G2851" s="23">
        <f>IFERROR(__xludf.DUMMYFUNCTION("""COMPUTED_VALUE"""),45638.52112268518)</f>
        <v>45638.52112</v>
      </c>
      <c r="H2851" s="24" t="str">
        <f>IFERROR(VLOOKUP(B2851,material!A:D,3,0),"")</f>
        <v>3.1</v>
      </c>
    </row>
    <row r="2852" ht="11.25" customHeight="1">
      <c r="A2852" s="21" t="str">
        <f>IFERROR(__xludf.DUMMYFUNCTION("""COMPUTED_VALUE"""),"MODEM VOIP EMTA WIFI 3.1 CG3000")</f>
        <v>MODEM VOIP EMTA WIFI 3.1 CG3000</v>
      </c>
      <c r="B2852" s="22">
        <f>IFERROR(__xludf.DUMMYFUNCTION("""COMPUTED_VALUE"""),4.1001486E7)</f>
        <v>41001486</v>
      </c>
      <c r="C2852" s="21" t="str">
        <f>IFERROR(__xludf.DUMMYFUNCTION("""COMPUTED_VALUE"""),"9877E74E24E6")</f>
        <v>9877E74E24E6</v>
      </c>
      <c r="D2852" s="21" t="str">
        <f>IFERROR(__xludf.DUMMYFUNCTION("""COMPUTED_VALUE"""),"DIGITEC TECNOLOGIA DIGITAL E REPRES")</f>
        <v>DIGITEC TECNOLOGIA DIGITAL E REPRES</v>
      </c>
      <c r="E2852" s="21">
        <f>IFERROR(__xludf.DUMMYFUNCTION("""COMPUTED_VALUE"""),145359.0)</f>
        <v>145359</v>
      </c>
      <c r="F2852" s="21" t="str">
        <f>IFERROR(__xludf.DUMMYFUNCTION("""COMPUTED_VALUE"""),"TRANSITO REVERSA")</f>
        <v>TRANSITO REVERSA</v>
      </c>
      <c r="G2852" s="23">
        <f>IFERROR(__xludf.DUMMYFUNCTION("""COMPUTED_VALUE"""),45633.00398148148)</f>
        <v>45633.00398</v>
      </c>
      <c r="H2852" s="24" t="str">
        <f>IFERROR(VLOOKUP(B2852,material!A:D,3,0),"")</f>
        <v>3.1</v>
      </c>
    </row>
    <row r="2853" ht="11.25" customHeight="1">
      <c r="A2853" s="21" t="str">
        <f>IFERROR(__xludf.DUMMYFUNCTION("""COMPUTED_VALUE"""),"MODEM VOIP EMTA WIFI 3.1 CG3000")</f>
        <v>MODEM VOIP EMTA WIFI 3.1 CG3000</v>
      </c>
      <c r="B2853" s="22">
        <f>IFERROR(__xludf.DUMMYFUNCTION("""COMPUTED_VALUE"""),4.1001486E7)</f>
        <v>41001486</v>
      </c>
      <c r="C2853" s="21" t="str">
        <f>IFERROR(__xludf.DUMMYFUNCTION("""COMPUTED_VALUE"""),"9877E74A0DF6")</f>
        <v>9877E74A0DF6</v>
      </c>
      <c r="D2853" s="21" t="str">
        <f>IFERROR(__xludf.DUMMYFUNCTION("""COMPUTED_VALUE"""),"DIGITEC TECNOLOGIA DIGITAL E REPRES")</f>
        <v>DIGITEC TECNOLOGIA DIGITAL E REPRES</v>
      </c>
      <c r="E2853" s="21">
        <f>IFERROR(__xludf.DUMMYFUNCTION("""COMPUTED_VALUE"""),145359.0)</f>
        <v>145359</v>
      </c>
      <c r="F2853" s="21" t="str">
        <f>IFERROR(__xludf.DUMMYFUNCTION("""COMPUTED_VALUE"""),"TRANSITO REVERSA")</f>
        <v>TRANSITO REVERSA</v>
      </c>
      <c r="G2853" s="23">
        <f>IFERROR(__xludf.DUMMYFUNCTION("""COMPUTED_VALUE"""),45633.00398148148)</f>
        <v>45633.00398</v>
      </c>
      <c r="H2853" s="24" t="str">
        <f>IFERROR(VLOOKUP(B2853,material!A:D,3,0),"")</f>
        <v>3.1</v>
      </c>
    </row>
    <row r="2854" ht="11.25" customHeight="1">
      <c r="A2854" s="21" t="str">
        <f>IFERROR(__xludf.DUMMYFUNCTION("""COMPUTED_VALUE"""),"MODEM VOIP EMTA WIFI 3.1 CG3000")</f>
        <v>MODEM VOIP EMTA WIFI 3.1 CG3000</v>
      </c>
      <c r="B2854" s="22">
        <f>IFERROR(__xludf.DUMMYFUNCTION("""COMPUTED_VALUE"""),4.1001486E7)</f>
        <v>41001486</v>
      </c>
      <c r="C2854" s="21" t="str">
        <f>IFERROR(__xludf.DUMMYFUNCTION("""COMPUTED_VALUE"""),"1834AF250E61")</f>
        <v>1834AF250E61</v>
      </c>
      <c r="D2854" s="21" t="str">
        <f>IFERROR(__xludf.DUMMYFUNCTION("""COMPUTED_VALUE"""),"DIGITEC TECNOLOGIA DIGITAL E REPRES")</f>
        <v>DIGITEC TECNOLOGIA DIGITAL E REPRES</v>
      </c>
      <c r="E2854" s="21">
        <f>IFERROR(__xludf.DUMMYFUNCTION("""COMPUTED_VALUE"""),145359.0)</f>
        <v>145359</v>
      </c>
      <c r="F2854" s="21" t="str">
        <f>IFERROR(__xludf.DUMMYFUNCTION("""COMPUTED_VALUE"""),"TRANSITO REVERSA")</f>
        <v>TRANSITO REVERSA</v>
      </c>
      <c r="G2854" s="23">
        <f>IFERROR(__xludf.DUMMYFUNCTION("""COMPUTED_VALUE"""),45617.87142361111)</f>
        <v>45617.87142</v>
      </c>
      <c r="H2854" s="24" t="str">
        <f>IFERROR(VLOOKUP(B2854,material!A:D,3,0),"")</f>
        <v>3.1</v>
      </c>
    </row>
    <row r="2855" ht="11.25" customHeight="1">
      <c r="A2855" s="21" t="str">
        <f>IFERROR(__xludf.DUMMYFUNCTION("""COMPUTED_VALUE"""),"MODEM VOIP EMTA WIFI 3.1 CG3000")</f>
        <v>MODEM VOIP EMTA WIFI 3.1 CG3000</v>
      </c>
      <c r="B2855" s="22">
        <f>IFERROR(__xludf.DUMMYFUNCTION("""COMPUTED_VALUE"""),4.1001486E7)</f>
        <v>41001486</v>
      </c>
      <c r="C2855" s="21" t="str">
        <f>IFERROR(__xludf.DUMMYFUNCTION("""COMPUTED_VALUE"""),"9877E7B83735")</f>
        <v>9877E7B83735</v>
      </c>
      <c r="D2855" s="21" t="str">
        <f>IFERROR(__xludf.DUMMYFUNCTION("""COMPUTED_VALUE"""),"DIGITEC TECNOLOGIA DIGITAL E REPRES")</f>
        <v>DIGITEC TECNOLOGIA DIGITAL E REPRES</v>
      </c>
      <c r="E2855" s="21">
        <f>IFERROR(__xludf.DUMMYFUNCTION("""COMPUTED_VALUE"""),145359.0)</f>
        <v>145359</v>
      </c>
      <c r="F2855" s="21" t="str">
        <f>IFERROR(__xludf.DUMMYFUNCTION("""COMPUTED_VALUE"""),"TRANSITO REVERSA")</f>
        <v>TRANSITO REVERSA</v>
      </c>
      <c r="G2855" s="23">
        <f>IFERROR(__xludf.DUMMYFUNCTION("""COMPUTED_VALUE"""),45626.29871527778)</f>
        <v>45626.29872</v>
      </c>
      <c r="H2855" s="24" t="str">
        <f>IFERROR(VLOOKUP(B2855,material!A:D,3,0),"")</f>
        <v>3.1</v>
      </c>
    </row>
    <row r="2856" ht="11.25" customHeight="1">
      <c r="A2856" s="21" t="str">
        <f>IFERROR(__xludf.DUMMYFUNCTION("""COMPUTED_VALUE"""),"MODEM VOIP EMTA WIFI 3.1 CG3000")</f>
        <v>MODEM VOIP EMTA WIFI 3.1 CG3000</v>
      </c>
      <c r="B2856" s="22">
        <f>IFERROR(__xludf.DUMMYFUNCTION("""COMPUTED_VALUE"""),4.1001486E7)</f>
        <v>41001486</v>
      </c>
      <c r="C2856" s="21" t="str">
        <f>IFERROR(__xludf.DUMMYFUNCTION("""COMPUTED_VALUE"""),"9877E77D7767")</f>
        <v>9877E77D7767</v>
      </c>
      <c r="D2856" s="21" t="str">
        <f>IFERROR(__xludf.DUMMYFUNCTION("""COMPUTED_VALUE"""),"DIGITEC TECNOLOGIA DIGITAL E REPRES")</f>
        <v>DIGITEC TECNOLOGIA DIGITAL E REPRES</v>
      </c>
      <c r="E2856" s="21">
        <f>IFERROR(__xludf.DUMMYFUNCTION("""COMPUTED_VALUE"""),145359.0)</f>
        <v>145359</v>
      </c>
      <c r="F2856" s="21" t="str">
        <f>IFERROR(__xludf.DUMMYFUNCTION("""COMPUTED_VALUE"""),"TRANSITO REVERSA")</f>
        <v>TRANSITO REVERSA</v>
      </c>
      <c r="G2856" s="23">
        <f>IFERROR(__xludf.DUMMYFUNCTION("""COMPUTED_VALUE"""),45633.00398148148)</f>
        <v>45633.00398</v>
      </c>
      <c r="H2856" s="24" t="str">
        <f>IFERROR(VLOOKUP(B2856,material!A:D,3,0),"")</f>
        <v>3.1</v>
      </c>
    </row>
    <row r="2857" ht="11.25" customHeight="1">
      <c r="A2857" s="21" t="str">
        <f>IFERROR(__xludf.DUMMYFUNCTION("""COMPUTED_VALUE"""),"MODEM VOIP EMTA WIFI 3.1 HGJ310")</f>
        <v>MODEM VOIP EMTA WIFI 3.1 HGJ310</v>
      </c>
      <c r="B2857" s="22">
        <f>IFERROR(__xludf.DUMMYFUNCTION("""COMPUTED_VALUE"""),4.1001481E7)</f>
        <v>41001481</v>
      </c>
      <c r="C2857" s="21" t="str">
        <f>IFERROR(__xludf.DUMMYFUNCTION("""COMPUTED_VALUE"""),"8C444FDB193C")</f>
        <v>8C444FDB193C</v>
      </c>
      <c r="D2857" s="21" t="str">
        <f>IFERROR(__xludf.DUMMYFUNCTION("""COMPUTED_VALUE"""),"DIGITEC TECNOLOGIA DIGITAL E REPRES")</f>
        <v>DIGITEC TECNOLOGIA DIGITAL E REPRES</v>
      </c>
      <c r="E2857" s="21">
        <f>IFERROR(__xludf.DUMMYFUNCTION("""COMPUTED_VALUE"""),145359.0)</f>
        <v>145359</v>
      </c>
      <c r="F2857" s="21" t="str">
        <f>IFERROR(__xludf.DUMMYFUNCTION("""COMPUTED_VALUE"""),"TRANSITO REVERSA")</f>
        <v>TRANSITO REVERSA</v>
      </c>
      <c r="G2857" s="23">
        <f>IFERROR(__xludf.DUMMYFUNCTION("""COMPUTED_VALUE"""),45610.730416666665)</f>
        <v>45610.73042</v>
      </c>
      <c r="H2857" s="24" t="str">
        <f>IFERROR(VLOOKUP(B2857,material!A:D,3,0),"")</f>
        <v>3.1</v>
      </c>
    </row>
    <row r="2858" ht="11.25" customHeight="1">
      <c r="A2858" s="21" t="str">
        <f>IFERROR(__xludf.DUMMYFUNCTION("""COMPUTED_VALUE"""),"MODEM VOIP EMTA WIFI 3.1 HGJ310")</f>
        <v>MODEM VOIP EMTA WIFI 3.1 HGJ310</v>
      </c>
      <c r="B2858" s="22">
        <f>IFERROR(__xludf.DUMMYFUNCTION("""COMPUTED_VALUE"""),4.1001481E7)</f>
        <v>41001481</v>
      </c>
      <c r="C2858" s="21" t="str">
        <f>IFERROR(__xludf.DUMMYFUNCTION("""COMPUTED_VALUE"""),"C85D38D67737")</f>
        <v>C85D38D67737</v>
      </c>
      <c r="D2858" s="21" t="str">
        <f>IFERROR(__xludf.DUMMYFUNCTION("""COMPUTED_VALUE"""),"DIGITEC TECNOLOGIA DIGITAL E REPRES")</f>
        <v>DIGITEC TECNOLOGIA DIGITAL E REPRES</v>
      </c>
      <c r="E2858" s="21">
        <f>IFERROR(__xludf.DUMMYFUNCTION("""COMPUTED_VALUE"""),145359.0)</f>
        <v>145359</v>
      </c>
      <c r="F2858" s="21" t="str">
        <f>IFERROR(__xludf.DUMMYFUNCTION("""COMPUTED_VALUE"""),"TRANSITO REVERSA")</f>
        <v>TRANSITO REVERSA</v>
      </c>
      <c r="G2858" s="23">
        <f>IFERROR(__xludf.DUMMYFUNCTION("""COMPUTED_VALUE"""),45610.730416666665)</f>
        <v>45610.73042</v>
      </c>
      <c r="H2858" s="24" t="str">
        <f>IFERROR(VLOOKUP(B2858,material!A:D,3,0),"")</f>
        <v>3.1</v>
      </c>
    </row>
    <row r="2859" ht="11.25" customHeight="1">
      <c r="A2859" s="21" t="str">
        <f>IFERROR(__xludf.DUMMYFUNCTION("""COMPUTED_VALUE"""),"MODEM VOIP EMTA WIFI 3.1 HGJ310")</f>
        <v>MODEM VOIP EMTA WIFI 3.1 HGJ310</v>
      </c>
      <c r="B2859" s="22">
        <f>IFERROR(__xludf.DUMMYFUNCTION("""COMPUTED_VALUE"""),4.1001481E7)</f>
        <v>41001481</v>
      </c>
      <c r="C2859" s="21" t="str">
        <f>IFERROR(__xludf.DUMMYFUNCTION("""COMPUTED_VALUE"""),"C85D38D70146")</f>
        <v>C85D38D70146</v>
      </c>
      <c r="D2859" s="21" t="str">
        <f>IFERROR(__xludf.DUMMYFUNCTION("""COMPUTED_VALUE"""),"DIGITEC TECNOLOGIA DIGITAL E REPRES")</f>
        <v>DIGITEC TECNOLOGIA DIGITAL E REPRES</v>
      </c>
      <c r="E2859" s="21">
        <f>IFERROR(__xludf.DUMMYFUNCTION("""COMPUTED_VALUE"""),145359.0)</f>
        <v>145359</v>
      </c>
      <c r="F2859" s="21" t="str">
        <f>IFERROR(__xludf.DUMMYFUNCTION("""COMPUTED_VALUE"""),"TRANSITO REVERSA")</f>
        <v>TRANSITO REVERSA</v>
      </c>
      <c r="G2859" s="23">
        <f>IFERROR(__xludf.DUMMYFUNCTION("""COMPUTED_VALUE"""),45633.00399305555)</f>
        <v>45633.00399</v>
      </c>
      <c r="H2859" s="24" t="str">
        <f>IFERROR(VLOOKUP(B2859,material!A:D,3,0),"")</f>
        <v>3.1</v>
      </c>
    </row>
    <row r="2860" ht="11.25" customHeight="1">
      <c r="A2860" s="21" t="str">
        <f>IFERROR(__xludf.DUMMYFUNCTION("""COMPUTED_VALUE"""),"MODEM VOIP EMTA WIFI 3.1 HGJ310")</f>
        <v>MODEM VOIP EMTA WIFI 3.1 HGJ310</v>
      </c>
      <c r="B2860" s="22">
        <f>IFERROR(__xludf.DUMMYFUNCTION("""COMPUTED_VALUE"""),4.1001481E7)</f>
        <v>41001481</v>
      </c>
      <c r="C2860" s="21" t="str">
        <f>IFERROR(__xludf.DUMMYFUNCTION("""COMPUTED_VALUE"""),"C85D38E92A1F")</f>
        <v>C85D38E92A1F</v>
      </c>
      <c r="D2860" s="21" t="str">
        <f>IFERROR(__xludf.DUMMYFUNCTION("""COMPUTED_VALUE"""),"DIGITEC TECNOLOGIA DIGITAL E REPRES")</f>
        <v>DIGITEC TECNOLOGIA DIGITAL E REPRES</v>
      </c>
      <c r="E2860" s="21">
        <f>IFERROR(__xludf.DUMMYFUNCTION("""COMPUTED_VALUE"""),145359.0)</f>
        <v>145359</v>
      </c>
      <c r="F2860" s="21" t="str">
        <f>IFERROR(__xludf.DUMMYFUNCTION("""COMPUTED_VALUE"""),"TRANSITO REVERSA")</f>
        <v>TRANSITO REVERSA</v>
      </c>
      <c r="G2860" s="23">
        <f>IFERROR(__xludf.DUMMYFUNCTION("""COMPUTED_VALUE"""),45610.730416666665)</f>
        <v>45610.73042</v>
      </c>
      <c r="H2860" s="24" t="str">
        <f>IFERROR(VLOOKUP(B2860,material!A:D,3,0),"")</f>
        <v>3.1</v>
      </c>
    </row>
    <row r="2861" ht="11.25" customHeight="1">
      <c r="A2861" s="21" t="str">
        <f>IFERROR(__xludf.DUMMYFUNCTION("""COMPUTED_VALUE"""),"MODEM VOIP EMTA WIFI 3.1 HGJ310")</f>
        <v>MODEM VOIP EMTA WIFI 3.1 HGJ310</v>
      </c>
      <c r="B2861" s="22">
        <f>IFERROR(__xludf.DUMMYFUNCTION("""COMPUTED_VALUE"""),4.1001481E7)</f>
        <v>41001481</v>
      </c>
      <c r="C2861" s="21" t="str">
        <f>IFERROR(__xludf.DUMMYFUNCTION("""COMPUTED_VALUE"""),"C85D38668B98")</f>
        <v>C85D38668B98</v>
      </c>
      <c r="D2861" s="21" t="str">
        <f>IFERROR(__xludf.DUMMYFUNCTION("""COMPUTED_VALUE"""),"DIGITEC TECNOLOGIA DIGITAL E REPRES")</f>
        <v>DIGITEC TECNOLOGIA DIGITAL E REPRES</v>
      </c>
      <c r="E2861" s="21">
        <f>IFERROR(__xludf.DUMMYFUNCTION("""COMPUTED_VALUE"""),145359.0)</f>
        <v>145359</v>
      </c>
      <c r="F2861" s="21" t="str">
        <f>IFERROR(__xludf.DUMMYFUNCTION("""COMPUTED_VALUE"""),"TRANSITO REVERSA")</f>
        <v>TRANSITO REVERSA</v>
      </c>
      <c r="G2861" s="23">
        <f>IFERROR(__xludf.DUMMYFUNCTION("""COMPUTED_VALUE"""),45633.00398148148)</f>
        <v>45633.00398</v>
      </c>
      <c r="H2861" s="24" t="str">
        <f>IFERROR(VLOOKUP(B2861,material!A:D,3,0),"")</f>
        <v>3.1</v>
      </c>
    </row>
    <row r="2862" ht="11.25" customHeight="1">
      <c r="A2862" s="21" t="str">
        <f>IFERROR(__xludf.DUMMYFUNCTION("""COMPUTED_VALUE"""),"MODEM VOIP EMTA WIFI 3.1 HGJ310")</f>
        <v>MODEM VOIP EMTA WIFI 3.1 HGJ310</v>
      </c>
      <c r="B2862" s="22">
        <f>IFERROR(__xludf.DUMMYFUNCTION("""COMPUTED_VALUE"""),4.1001481E7)</f>
        <v>41001481</v>
      </c>
      <c r="C2862" s="21" t="str">
        <f>IFERROR(__xludf.DUMMYFUNCTION("""COMPUTED_VALUE"""),"C85D38E2AE36")</f>
        <v>C85D38E2AE36</v>
      </c>
      <c r="D2862" s="21" t="str">
        <f>IFERROR(__xludf.DUMMYFUNCTION("""COMPUTED_VALUE"""),"DIGITEC TECNOLOGIA DIGITAL E REPRES")</f>
        <v>DIGITEC TECNOLOGIA DIGITAL E REPRES</v>
      </c>
      <c r="E2862" s="21">
        <f>IFERROR(__xludf.DUMMYFUNCTION("""COMPUTED_VALUE"""),145359.0)</f>
        <v>145359</v>
      </c>
      <c r="F2862" s="21" t="str">
        <f>IFERROR(__xludf.DUMMYFUNCTION("""COMPUTED_VALUE"""),"TRANSITO REVERSA")</f>
        <v>TRANSITO REVERSA</v>
      </c>
      <c r="G2862" s="23">
        <f>IFERROR(__xludf.DUMMYFUNCTION("""COMPUTED_VALUE"""),45633.003379629634)</f>
        <v>45633.00338</v>
      </c>
      <c r="H2862" s="24" t="str">
        <f>IFERROR(VLOOKUP(B2862,material!A:D,3,0),"")</f>
        <v>3.1</v>
      </c>
    </row>
    <row r="2863" ht="11.25" customHeight="1">
      <c r="A2863" s="21" t="str">
        <f>IFERROR(__xludf.DUMMYFUNCTION("""COMPUTED_VALUE"""),"MODEM VOIP EMTA WIFI 3.1 HGJ310")</f>
        <v>MODEM VOIP EMTA WIFI 3.1 HGJ310</v>
      </c>
      <c r="B2863" s="22">
        <f>IFERROR(__xludf.DUMMYFUNCTION("""COMPUTED_VALUE"""),4.1001481E7)</f>
        <v>41001481</v>
      </c>
      <c r="C2863" s="21" t="str">
        <f>IFERROR(__xludf.DUMMYFUNCTION("""COMPUTED_VALUE"""),"C85D38FF0A97")</f>
        <v>C85D38FF0A97</v>
      </c>
      <c r="D2863" s="21" t="str">
        <f>IFERROR(__xludf.DUMMYFUNCTION("""COMPUTED_VALUE"""),"DIGITEC TECNOLOGIA DIGITAL E REPRES")</f>
        <v>DIGITEC TECNOLOGIA DIGITAL E REPRES</v>
      </c>
      <c r="E2863" s="21">
        <f>IFERROR(__xludf.DUMMYFUNCTION("""COMPUTED_VALUE"""),145359.0)</f>
        <v>145359</v>
      </c>
      <c r="F2863" s="21" t="str">
        <f>IFERROR(__xludf.DUMMYFUNCTION("""COMPUTED_VALUE"""),"TRANSITO REVERSA")</f>
        <v>TRANSITO REVERSA</v>
      </c>
      <c r="G2863" s="23">
        <f>IFERROR(__xludf.DUMMYFUNCTION("""COMPUTED_VALUE"""),45617.87141203704)</f>
        <v>45617.87141</v>
      </c>
      <c r="H2863" s="24" t="str">
        <f>IFERROR(VLOOKUP(B2863,material!A:D,3,0),"")</f>
        <v>3.1</v>
      </c>
    </row>
    <row r="2864" ht="11.25" customHeight="1">
      <c r="A2864" s="21" t="str">
        <f>IFERROR(__xludf.DUMMYFUNCTION("""COMPUTED_VALUE"""),"MODEM VOIP EMTA WIFI 3.1 HGJ310")</f>
        <v>MODEM VOIP EMTA WIFI 3.1 HGJ310</v>
      </c>
      <c r="B2864" s="22">
        <f>IFERROR(__xludf.DUMMYFUNCTION("""COMPUTED_VALUE"""),4.1001481E7)</f>
        <v>41001481</v>
      </c>
      <c r="C2864" s="21" t="str">
        <f>IFERROR(__xludf.DUMMYFUNCTION("""COMPUTED_VALUE"""),"C85D38FADA08")</f>
        <v>C85D38FADA08</v>
      </c>
      <c r="D2864" s="21" t="str">
        <f>IFERROR(__xludf.DUMMYFUNCTION("""COMPUTED_VALUE"""),"DIGITEC TECNOLOGIA DIGITAL E REPRES")</f>
        <v>DIGITEC TECNOLOGIA DIGITAL E REPRES</v>
      </c>
      <c r="E2864" s="21">
        <f>IFERROR(__xludf.DUMMYFUNCTION("""COMPUTED_VALUE"""),145359.0)</f>
        <v>145359</v>
      </c>
      <c r="F2864" s="21" t="str">
        <f>IFERROR(__xludf.DUMMYFUNCTION("""COMPUTED_VALUE"""),"TRANSITO REVERSA")</f>
        <v>TRANSITO REVERSA</v>
      </c>
      <c r="G2864" s="23">
        <f>IFERROR(__xludf.DUMMYFUNCTION("""COMPUTED_VALUE"""),45633.00396990741)</f>
        <v>45633.00397</v>
      </c>
      <c r="H2864" s="24" t="str">
        <f>IFERROR(VLOOKUP(B2864,material!A:D,3,0),"")</f>
        <v>3.1</v>
      </c>
    </row>
    <row r="2865" ht="11.25" customHeight="1">
      <c r="A2865" s="21" t="str">
        <f>IFERROR(__xludf.DUMMYFUNCTION("""COMPUTED_VALUE"""),"MODEM VOIP EMTA WIFI 3.1 HGJ310")</f>
        <v>MODEM VOIP EMTA WIFI 3.1 HGJ310</v>
      </c>
      <c r="B2865" s="22">
        <f>IFERROR(__xludf.DUMMYFUNCTION("""COMPUTED_VALUE"""),4.1001481E7)</f>
        <v>41001481</v>
      </c>
      <c r="C2865" s="21" t="str">
        <f>IFERROR(__xludf.DUMMYFUNCTION("""COMPUTED_VALUE"""),"D86C5A3DB4C8")</f>
        <v>D86C5A3DB4C8</v>
      </c>
      <c r="D2865" s="21" t="str">
        <f>IFERROR(__xludf.DUMMYFUNCTION("""COMPUTED_VALUE"""),"DIGITEC TECNOLOGIA DIGITAL E REPRES")</f>
        <v>DIGITEC TECNOLOGIA DIGITAL E REPRES</v>
      </c>
      <c r="E2865" s="21">
        <f>IFERROR(__xludf.DUMMYFUNCTION("""COMPUTED_VALUE"""),145359.0)</f>
        <v>145359</v>
      </c>
      <c r="F2865" s="21" t="str">
        <f>IFERROR(__xludf.DUMMYFUNCTION("""COMPUTED_VALUE"""),"TRANSITO REVERSA")</f>
        <v>TRANSITO REVERSA</v>
      </c>
      <c r="G2865" s="23">
        <f>IFERROR(__xludf.DUMMYFUNCTION("""COMPUTED_VALUE"""),45633.00396990741)</f>
        <v>45633.00397</v>
      </c>
      <c r="H2865" s="24" t="str">
        <f>IFERROR(VLOOKUP(B2865,material!A:D,3,0),"")</f>
        <v>3.1</v>
      </c>
    </row>
    <row r="2866" ht="11.25" customHeight="1">
      <c r="A2866" s="21" t="str">
        <f>IFERROR(__xludf.DUMMYFUNCTION("""COMPUTED_VALUE"""),"MODEM VOIP EMTA WIFI 3.1 HGJ310")</f>
        <v>MODEM VOIP EMTA WIFI 3.1 HGJ310</v>
      </c>
      <c r="B2866" s="22">
        <f>IFERROR(__xludf.DUMMYFUNCTION("""COMPUTED_VALUE"""),4.1001481E7)</f>
        <v>41001481</v>
      </c>
      <c r="C2866" s="21" t="str">
        <f>IFERROR(__xludf.DUMMYFUNCTION("""COMPUTED_VALUE"""),"D86C5A3BFAE1")</f>
        <v>D86C5A3BFAE1</v>
      </c>
      <c r="D2866" s="21" t="str">
        <f>IFERROR(__xludf.DUMMYFUNCTION("""COMPUTED_VALUE"""),"DIGITEC TECNOLOGIA DIGITAL E REPRES")</f>
        <v>DIGITEC TECNOLOGIA DIGITAL E REPRES</v>
      </c>
      <c r="E2866" s="21">
        <f>IFERROR(__xludf.DUMMYFUNCTION("""COMPUTED_VALUE"""),145359.0)</f>
        <v>145359</v>
      </c>
      <c r="F2866" s="21" t="str">
        <f>IFERROR(__xludf.DUMMYFUNCTION("""COMPUTED_VALUE"""),"TRANSITO REVERSA")</f>
        <v>TRANSITO REVERSA</v>
      </c>
      <c r="G2866" s="23">
        <f>IFERROR(__xludf.DUMMYFUNCTION("""COMPUTED_VALUE"""),45617.87180555555)</f>
        <v>45617.87181</v>
      </c>
      <c r="H2866" s="24" t="str">
        <f>IFERROR(VLOOKUP(B2866,material!A:D,3,0),"")</f>
        <v>3.1</v>
      </c>
    </row>
    <row r="2867" ht="11.25" customHeight="1">
      <c r="A2867" s="21" t="str">
        <f>IFERROR(__xludf.DUMMYFUNCTION("""COMPUTED_VALUE"""),"MODEM VOIP EMTA WIFI 3.1 HGJ310")</f>
        <v>MODEM VOIP EMTA WIFI 3.1 HGJ310</v>
      </c>
      <c r="B2867" s="22">
        <f>IFERROR(__xludf.DUMMYFUNCTION("""COMPUTED_VALUE"""),4.1001481E7)</f>
        <v>41001481</v>
      </c>
      <c r="C2867" s="21" t="str">
        <f>IFERROR(__xludf.DUMMYFUNCTION("""COMPUTED_VALUE"""),"C85D38FADA32")</f>
        <v>C85D38FADA32</v>
      </c>
      <c r="D2867" s="21" t="str">
        <f>IFERROR(__xludf.DUMMYFUNCTION("""COMPUTED_VALUE"""),"DIGITEC TECNOLOGIA DIGITAL E REPRES")</f>
        <v>DIGITEC TECNOLOGIA DIGITAL E REPRES</v>
      </c>
      <c r="E2867" s="21">
        <f>IFERROR(__xludf.DUMMYFUNCTION("""COMPUTED_VALUE"""),145359.0)</f>
        <v>145359</v>
      </c>
      <c r="F2867" s="21" t="str">
        <f>IFERROR(__xludf.DUMMYFUNCTION("""COMPUTED_VALUE"""),"TRANSITO REVERSA")</f>
        <v>TRANSITO REVERSA</v>
      </c>
      <c r="G2867" s="23">
        <f>IFERROR(__xludf.DUMMYFUNCTION("""COMPUTED_VALUE"""),45633.00340277777)</f>
        <v>45633.0034</v>
      </c>
      <c r="H2867" s="24" t="str">
        <f>IFERROR(VLOOKUP(B2867,material!A:D,3,0),"")</f>
        <v>3.1</v>
      </c>
    </row>
    <row r="2868" ht="11.25" customHeight="1">
      <c r="A2868" s="21" t="str">
        <f>IFERROR(__xludf.DUMMYFUNCTION("""COMPUTED_VALUE"""),"MODEM VOIP EMTA WIFI 3.1 HGJ310")</f>
        <v>MODEM VOIP EMTA WIFI 3.1 HGJ310</v>
      </c>
      <c r="B2868" s="22">
        <f>IFERROR(__xludf.DUMMYFUNCTION("""COMPUTED_VALUE"""),4.1001481E7)</f>
        <v>41001481</v>
      </c>
      <c r="C2868" s="21" t="str">
        <f>IFERROR(__xludf.DUMMYFUNCTION("""COMPUTED_VALUE"""),"D86C5A3C4A5E")</f>
        <v>D86C5A3C4A5E</v>
      </c>
      <c r="D2868" s="21" t="str">
        <f>IFERROR(__xludf.DUMMYFUNCTION("""COMPUTED_VALUE"""),"DIGITEC TECNOLOGIA DIGITAL E REPRES")</f>
        <v>DIGITEC TECNOLOGIA DIGITAL E REPRES</v>
      </c>
      <c r="E2868" s="21">
        <f>IFERROR(__xludf.DUMMYFUNCTION("""COMPUTED_VALUE"""),145359.0)</f>
        <v>145359</v>
      </c>
      <c r="F2868" s="21" t="str">
        <f>IFERROR(__xludf.DUMMYFUNCTION("""COMPUTED_VALUE"""),"TRANSITO REVERSA")</f>
        <v>TRANSITO REVERSA</v>
      </c>
      <c r="G2868" s="23">
        <f>IFERROR(__xludf.DUMMYFUNCTION("""COMPUTED_VALUE"""),45610.730416666665)</f>
        <v>45610.73042</v>
      </c>
      <c r="H2868" s="24" t="str">
        <f>IFERROR(VLOOKUP(B2868,material!A:D,3,0),"")</f>
        <v>3.1</v>
      </c>
    </row>
    <row r="2869" ht="11.25" customHeight="1">
      <c r="A2869" s="21" t="str">
        <f>IFERROR(__xludf.DUMMYFUNCTION("""COMPUTED_VALUE"""),"MODEM VOIP EMTA WIFI 3.1 HGJ310")</f>
        <v>MODEM VOIP EMTA WIFI 3.1 HGJ310</v>
      </c>
      <c r="B2869" s="22">
        <f>IFERROR(__xludf.DUMMYFUNCTION("""COMPUTED_VALUE"""),4.1001481E7)</f>
        <v>41001481</v>
      </c>
      <c r="C2869" s="21" t="str">
        <f>IFERROR(__xludf.DUMMYFUNCTION("""COMPUTED_VALUE"""),"D86C5A3C1CAD")</f>
        <v>D86C5A3C1CAD</v>
      </c>
      <c r="D2869" s="21" t="str">
        <f>IFERROR(__xludf.DUMMYFUNCTION("""COMPUTED_VALUE"""),"DIGITEC TECNOLOGIA DIGITAL E REPRES")</f>
        <v>DIGITEC TECNOLOGIA DIGITAL E REPRES</v>
      </c>
      <c r="E2869" s="21">
        <f>IFERROR(__xludf.DUMMYFUNCTION("""COMPUTED_VALUE"""),145359.0)</f>
        <v>145359</v>
      </c>
      <c r="F2869" s="21" t="str">
        <f>IFERROR(__xludf.DUMMYFUNCTION("""COMPUTED_VALUE"""),"TRANSITO REVERSA")</f>
        <v>TRANSITO REVERSA</v>
      </c>
      <c r="G2869" s="23">
        <f>IFERROR(__xludf.DUMMYFUNCTION("""COMPUTED_VALUE"""),45610.730416666665)</f>
        <v>45610.73042</v>
      </c>
      <c r="H2869" s="24" t="str">
        <f>IFERROR(VLOOKUP(B2869,material!A:D,3,0),"")</f>
        <v>3.1</v>
      </c>
    </row>
    <row r="2870" ht="11.25" customHeight="1">
      <c r="A2870" s="21" t="str">
        <f>IFERROR(__xludf.DUMMYFUNCTION("""COMPUTED_VALUE"""),"MODEM VOIP EMTA WIFI 3.1 HGJ310")</f>
        <v>MODEM VOIP EMTA WIFI 3.1 HGJ310</v>
      </c>
      <c r="B2870" s="22">
        <f>IFERROR(__xludf.DUMMYFUNCTION("""COMPUTED_VALUE"""),4.1001481E7)</f>
        <v>41001481</v>
      </c>
      <c r="C2870" s="21" t="str">
        <f>IFERROR(__xludf.DUMMYFUNCTION("""COMPUTED_VALUE"""),"C85D38669546")</f>
        <v>C85D38669546</v>
      </c>
      <c r="D2870" s="21" t="str">
        <f>IFERROR(__xludf.DUMMYFUNCTION("""COMPUTED_VALUE"""),"DIGITEC TECNOLOGIA DIGITAL E REPRES")</f>
        <v>DIGITEC TECNOLOGIA DIGITAL E REPRES</v>
      </c>
      <c r="E2870" s="21">
        <f>IFERROR(__xludf.DUMMYFUNCTION("""COMPUTED_VALUE"""),145359.0)</f>
        <v>145359</v>
      </c>
      <c r="F2870" s="21" t="str">
        <f>IFERROR(__xludf.DUMMYFUNCTION("""COMPUTED_VALUE"""),"TRANSITO REVERSA")</f>
        <v>TRANSITO REVERSA</v>
      </c>
      <c r="G2870" s="23">
        <f>IFERROR(__xludf.DUMMYFUNCTION("""COMPUTED_VALUE"""),45638.52061342592)</f>
        <v>45638.52061</v>
      </c>
      <c r="H2870" s="24" t="str">
        <f>IFERROR(VLOOKUP(B2870,material!A:D,3,0),"")</f>
        <v>3.1</v>
      </c>
    </row>
    <row r="2871" ht="11.25" customHeight="1">
      <c r="A2871" s="21" t="str">
        <f>IFERROR(__xludf.DUMMYFUNCTION("""COMPUTED_VALUE"""),"MODEM VOIP EMTA WIFI 3.1 HGJ310")</f>
        <v>MODEM VOIP EMTA WIFI 3.1 HGJ310</v>
      </c>
      <c r="B2871" s="22">
        <f>IFERROR(__xludf.DUMMYFUNCTION("""COMPUTED_VALUE"""),4.1001481E7)</f>
        <v>41001481</v>
      </c>
      <c r="C2871" s="21" t="str">
        <f>IFERROR(__xludf.DUMMYFUNCTION("""COMPUTED_VALUE"""),"C85D385FCEDA")</f>
        <v>C85D385FCEDA</v>
      </c>
      <c r="D2871" s="21" t="str">
        <f>IFERROR(__xludf.DUMMYFUNCTION("""COMPUTED_VALUE"""),"DIGITEC TECNOLOGIA DIGITAL E REPRES")</f>
        <v>DIGITEC TECNOLOGIA DIGITAL E REPRES</v>
      </c>
      <c r="E2871" s="21">
        <f>IFERROR(__xludf.DUMMYFUNCTION("""COMPUTED_VALUE"""),145359.0)</f>
        <v>145359</v>
      </c>
      <c r="F2871" s="21" t="str">
        <f>IFERROR(__xludf.DUMMYFUNCTION("""COMPUTED_VALUE"""),"TRANSITO REVERSA")</f>
        <v>TRANSITO REVERSA</v>
      </c>
      <c r="G2871" s="23">
        <f>IFERROR(__xludf.DUMMYFUNCTION("""COMPUTED_VALUE"""),45617.87143518518)</f>
        <v>45617.87144</v>
      </c>
      <c r="H2871" s="24" t="str">
        <f>IFERROR(VLOOKUP(B2871,material!A:D,3,0),"")</f>
        <v>3.1</v>
      </c>
    </row>
    <row r="2872" ht="11.25" customHeight="1">
      <c r="A2872" s="21" t="str">
        <f>IFERROR(__xludf.DUMMYFUNCTION("""COMPUTED_VALUE"""),"MODEM VOIP EMTA WIFI 3.1 HGJ310")</f>
        <v>MODEM VOIP EMTA WIFI 3.1 HGJ310</v>
      </c>
      <c r="B2872" s="22">
        <f>IFERROR(__xludf.DUMMYFUNCTION("""COMPUTED_VALUE"""),4.1001481E7)</f>
        <v>41001481</v>
      </c>
      <c r="C2872" s="21" t="str">
        <f>IFERROR(__xludf.DUMMYFUNCTION("""COMPUTED_VALUE"""),"C85D381F134E")</f>
        <v>C85D381F134E</v>
      </c>
      <c r="D2872" s="21" t="str">
        <f>IFERROR(__xludf.DUMMYFUNCTION("""COMPUTED_VALUE"""),"DIGITEC TECNOLOGIA DIGITAL E REPRES")</f>
        <v>DIGITEC TECNOLOGIA DIGITAL E REPRES</v>
      </c>
      <c r="E2872" s="21">
        <f>IFERROR(__xludf.DUMMYFUNCTION("""COMPUTED_VALUE"""),145359.0)</f>
        <v>145359</v>
      </c>
      <c r="F2872" s="21" t="str">
        <f>IFERROR(__xludf.DUMMYFUNCTION("""COMPUTED_VALUE"""),"TRANSITO REVERSA")</f>
        <v>TRANSITO REVERSA</v>
      </c>
      <c r="G2872" s="23">
        <f>IFERROR(__xludf.DUMMYFUNCTION("""COMPUTED_VALUE"""),45610.730416666665)</f>
        <v>45610.73042</v>
      </c>
      <c r="H2872" s="24" t="str">
        <f>IFERROR(VLOOKUP(B2872,material!A:D,3,0),"")</f>
        <v>3.1</v>
      </c>
    </row>
    <row r="2873" ht="11.25" customHeight="1">
      <c r="A2873" s="21" t="str">
        <f>IFERROR(__xludf.DUMMYFUNCTION("""COMPUTED_VALUE"""),"MODEM VOIP EMTA WIFI 3.1 HGJ310")</f>
        <v>MODEM VOIP EMTA WIFI 3.1 HGJ310</v>
      </c>
      <c r="B2873" s="22">
        <f>IFERROR(__xludf.DUMMYFUNCTION("""COMPUTED_VALUE"""),4.1001481E7)</f>
        <v>41001481</v>
      </c>
      <c r="C2873" s="21" t="str">
        <f>IFERROR(__xludf.DUMMYFUNCTION("""COMPUTED_VALUE"""),"D86C5A045280")</f>
        <v>D86C5A045280</v>
      </c>
      <c r="D2873" s="21" t="str">
        <f>IFERROR(__xludf.DUMMYFUNCTION("""COMPUTED_VALUE"""),"DIGITEC TECNOLOGIA DIGITAL E REPRES")</f>
        <v>DIGITEC TECNOLOGIA DIGITAL E REPRES</v>
      </c>
      <c r="E2873" s="21">
        <f>IFERROR(__xludf.DUMMYFUNCTION("""COMPUTED_VALUE"""),145359.0)</f>
        <v>145359</v>
      </c>
      <c r="F2873" s="21" t="str">
        <f>IFERROR(__xludf.DUMMYFUNCTION("""COMPUTED_VALUE"""),"TRANSITO REVERSA")</f>
        <v>TRANSITO REVERSA</v>
      </c>
      <c r="G2873" s="23">
        <f>IFERROR(__xludf.DUMMYFUNCTION("""COMPUTED_VALUE"""),45633.0033912037)</f>
        <v>45633.00339</v>
      </c>
      <c r="H2873" s="24" t="str">
        <f>IFERROR(VLOOKUP(B2873,material!A:D,3,0),"")</f>
        <v>3.1</v>
      </c>
    </row>
    <row r="2874" ht="11.25" customHeight="1">
      <c r="A2874" s="21" t="str">
        <f>IFERROR(__xludf.DUMMYFUNCTION("""COMPUTED_VALUE"""),"MODEM VOIP EMTA WIFI 3.1 HGJ310")</f>
        <v>MODEM VOIP EMTA WIFI 3.1 HGJ310</v>
      </c>
      <c r="B2874" s="22">
        <f>IFERROR(__xludf.DUMMYFUNCTION("""COMPUTED_VALUE"""),4.1001481E7)</f>
        <v>41001481</v>
      </c>
      <c r="C2874" s="21" t="str">
        <f>IFERROR(__xludf.DUMMYFUNCTION("""COMPUTED_VALUE"""),"C85D38FADF48")</f>
        <v>C85D38FADF48</v>
      </c>
      <c r="D2874" s="21" t="str">
        <f>IFERROR(__xludf.DUMMYFUNCTION("""COMPUTED_VALUE"""),"DIGITEC TECNOLOGIA DIGITAL E REPRES")</f>
        <v>DIGITEC TECNOLOGIA DIGITAL E REPRES</v>
      </c>
      <c r="E2874" s="21">
        <f>IFERROR(__xludf.DUMMYFUNCTION("""COMPUTED_VALUE"""),145359.0)</f>
        <v>145359</v>
      </c>
      <c r="F2874" s="21" t="str">
        <f>IFERROR(__xludf.DUMMYFUNCTION("""COMPUTED_VALUE"""),"TRANSITO REVERSA")</f>
        <v>TRANSITO REVERSA</v>
      </c>
      <c r="G2874" s="23">
        <f>IFERROR(__xludf.DUMMYFUNCTION("""COMPUTED_VALUE"""),45617.87138888889)</f>
        <v>45617.87139</v>
      </c>
      <c r="H2874" s="24" t="str">
        <f>IFERROR(VLOOKUP(B2874,material!A:D,3,0),"")</f>
        <v>3.1</v>
      </c>
    </row>
    <row r="2875" ht="11.25" customHeight="1">
      <c r="A2875" s="21" t="str">
        <f>IFERROR(__xludf.DUMMYFUNCTION("""COMPUTED_VALUE"""),"MODEM VOIP EMTA WIFI 3.1 HGJ310")</f>
        <v>MODEM VOIP EMTA WIFI 3.1 HGJ310</v>
      </c>
      <c r="B2875" s="22">
        <f>IFERROR(__xludf.DUMMYFUNCTION("""COMPUTED_VALUE"""),4.1001481E7)</f>
        <v>41001481</v>
      </c>
      <c r="C2875" s="21" t="str">
        <f>IFERROR(__xludf.DUMMYFUNCTION("""COMPUTED_VALUE"""),"8C444FE9DE77")</f>
        <v>8C444FE9DE77</v>
      </c>
      <c r="D2875" s="21" t="str">
        <f>IFERROR(__xludf.DUMMYFUNCTION("""COMPUTED_VALUE"""),"DIGITEC TECNOLOGIA DIGITAL E REPRES")</f>
        <v>DIGITEC TECNOLOGIA DIGITAL E REPRES</v>
      </c>
      <c r="E2875" s="21">
        <f>IFERROR(__xludf.DUMMYFUNCTION("""COMPUTED_VALUE"""),145359.0)</f>
        <v>145359</v>
      </c>
      <c r="F2875" s="21" t="str">
        <f>IFERROR(__xludf.DUMMYFUNCTION("""COMPUTED_VALUE"""),"TRANSITO REVERSA")</f>
        <v>TRANSITO REVERSA</v>
      </c>
      <c r="G2875" s="23">
        <f>IFERROR(__xludf.DUMMYFUNCTION("""COMPUTED_VALUE"""),45610.730416666665)</f>
        <v>45610.73042</v>
      </c>
      <c r="H2875" s="24" t="str">
        <f>IFERROR(VLOOKUP(B2875,material!A:D,3,0),"")</f>
        <v>3.1</v>
      </c>
    </row>
    <row r="2876" ht="11.25" customHeight="1">
      <c r="A2876" s="21" t="str">
        <f>IFERROR(__xludf.DUMMYFUNCTION("""COMPUTED_VALUE"""),"MODEM VOIP EMTA WIFI 3.1 HGJ310")</f>
        <v>MODEM VOIP EMTA WIFI 3.1 HGJ310</v>
      </c>
      <c r="B2876" s="22">
        <f>IFERROR(__xludf.DUMMYFUNCTION("""COMPUTED_VALUE"""),4.1001481E7)</f>
        <v>41001481</v>
      </c>
      <c r="C2876" s="21" t="str">
        <f>IFERROR(__xludf.DUMMYFUNCTION("""COMPUTED_VALUE"""),"C85D380798F5")</f>
        <v>C85D380798F5</v>
      </c>
      <c r="D2876" s="21" t="str">
        <f>IFERROR(__xludf.DUMMYFUNCTION("""COMPUTED_VALUE"""),"DIGITEC TECNOLOGIA DIGITAL E REPRES")</f>
        <v>DIGITEC TECNOLOGIA DIGITAL E REPRES</v>
      </c>
      <c r="E2876" s="21">
        <f>IFERROR(__xludf.DUMMYFUNCTION("""COMPUTED_VALUE"""),145359.0)</f>
        <v>145359</v>
      </c>
      <c r="F2876" s="21" t="str">
        <f>IFERROR(__xludf.DUMMYFUNCTION("""COMPUTED_VALUE"""),"TRANSITO REVERSA")</f>
        <v>TRANSITO REVERSA</v>
      </c>
      <c r="G2876" s="23">
        <f>IFERROR(__xludf.DUMMYFUNCTION("""COMPUTED_VALUE"""),45638.520578703705)</f>
        <v>45638.52058</v>
      </c>
      <c r="H2876" s="24" t="str">
        <f>IFERROR(VLOOKUP(B2876,material!A:D,3,0),"")</f>
        <v>3.1</v>
      </c>
    </row>
    <row r="2877" ht="11.25" customHeight="1">
      <c r="A2877" s="21" t="str">
        <f>IFERROR(__xludf.DUMMYFUNCTION("""COMPUTED_VALUE"""),"MODEM VOIP EMTA WIFI 3.1 HGJ310")</f>
        <v>MODEM VOIP EMTA WIFI 3.1 HGJ310</v>
      </c>
      <c r="B2877" s="22">
        <f>IFERROR(__xludf.DUMMYFUNCTION("""COMPUTED_VALUE"""),4.1001481E7)</f>
        <v>41001481</v>
      </c>
      <c r="C2877" s="21" t="str">
        <f>IFERROR(__xludf.DUMMYFUNCTION("""COMPUTED_VALUE"""),"D86C5A596A72")</f>
        <v>D86C5A596A72</v>
      </c>
      <c r="D2877" s="21" t="str">
        <f>IFERROR(__xludf.DUMMYFUNCTION("""COMPUTED_VALUE"""),"DIGITEC TECNOLOGIA DIGITAL E REPRES")</f>
        <v>DIGITEC TECNOLOGIA DIGITAL E REPRES</v>
      </c>
      <c r="E2877" s="21">
        <f>IFERROR(__xludf.DUMMYFUNCTION("""COMPUTED_VALUE"""),145359.0)</f>
        <v>145359</v>
      </c>
      <c r="F2877" s="21" t="str">
        <f>IFERROR(__xludf.DUMMYFUNCTION("""COMPUTED_VALUE"""),"TRANSITO REVERSA")</f>
        <v>TRANSITO REVERSA</v>
      </c>
      <c r="G2877" s="23">
        <f>IFERROR(__xludf.DUMMYFUNCTION("""COMPUTED_VALUE"""),45610.730416666665)</f>
        <v>45610.73042</v>
      </c>
      <c r="H2877" s="24" t="str">
        <f>IFERROR(VLOOKUP(B2877,material!A:D,3,0),"")</f>
        <v>3.1</v>
      </c>
    </row>
    <row r="2878" ht="11.25" customHeight="1">
      <c r="A2878" s="21" t="str">
        <f>IFERROR(__xludf.DUMMYFUNCTION("""COMPUTED_VALUE"""),"MODEM VOIP EMTA WIFI 3.1 HGJ310")</f>
        <v>MODEM VOIP EMTA WIFI 3.1 HGJ310</v>
      </c>
      <c r="B2878" s="22">
        <f>IFERROR(__xludf.DUMMYFUNCTION("""COMPUTED_VALUE"""),4.1001481E7)</f>
        <v>41001481</v>
      </c>
      <c r="C2878" s="21" t="str">
        <f>IFERROR(__xludf.DUMMYFUNCTION("""COMPUTED_VALUE"""),"D86C5A67763B")</f>
        <v>D86C5A67763B</v>
      </c>
      <c r="D2878" s="21" t="str">
        <f>IFERROR(__xludf.DUMMYFUNCTION("""COMPUTED_VALUE"""),"DIGITEC TECNOLOGIA DIGITAL E REPRES")</f>
        <v>DIGITEC TECNOLOGIA DIGITAL E REPRES</v>
      </c>
      <c r="E2878" s="21">
        <f>IFERROR(__xludf.DUMMYFUNCTION("""COMPUTED_VALUE"""),145359.0)</f>
        <v>145359</v>
      </c>
      <c r="F2878" s="21" t="str">
        <f>IFERROR(__xludf.DUMMYFUNCTION("""COMPUTED_VALUE"""),"TRANSITO REVERSA")</f>
        <v>TRANSITO REVERSA</v>
      </c>
      <c r="G2878" s="23">
        <f>IFERROR(__xludf.DUMMYFUNCTION("""COMPUTED_VALUE"""),45610.730416666665)</f>
        <v>45610.73042</v>
      </c>
      <c r="H2878" s="24" t="str">
        <f>IFERROR(VLOOKUP(B2878,material!A:D,3,0),"")</f>
        <v>3.1</v>
      </c>
    </row>
    <row r="2879" ht="11.25" customHeight="1">
      <c r="A2879" s="21" t="str">
        <f>IFERROR(__xludf.DUMMYFUNCTION("""COMPUTED_VALUE"""),"MODEM VOIP EMTA WIFI 3.1 HGJ310")</f>
        <v>MODEM VOIP EMTA WIFI 3.1 HGJ310</v>
      </c>
      <c r="B2879" s="22">
        <f>IFERROR(__xludf.DUMMYFUNCTION("""COMPUTED_VALUE"""),4.1001481E7)</f>
        <v>41001481</v>
      </c>
      <c r="C2879" s="21" t="str">
        <f>IFERROR(__xludf.DUMMYFUNCTION("""COMPUTED_VALUE"""),"C85D38030BF3")</f>
        <v>C85D38030BF3</v>
      </c>
      <c r="D2879" s="21" t="str">
        <f>IFERROR(__xludf.DUMMYFUNCTION("""COMPUTED_VALUE"""),"DIGITEC TECNOLOGIA DIGITAL E REPRES")</f>
        <v>DIGITEC TECNOLOGIA DIGITAL E REPRES</v>
      </c>
      <c r="E2879" s="21">
        <f>IFERROR(__xludf.DUMMYFUNCTION("""COMPUTED_VALUE"""),145359.0)</f>
        <v>145359</v>
      </c>
      <c r="F2879" s="21" t="str">
        <f>IFERROR(__xludf.DUMMYFUNCTION("""COMPUTED_VALUE"""),"TRANSITO REVERSA")</f>
        <v>TRANSITO REVERSA</v>
      </c>
      <c r="G2879" s="23">
        <f>IFERROR(__xludf.DUMMYFUNCTION("""COMPUTED_VALUE"""),45626.2987037037)</f>
        <v>45626.2987</v>
      </c>
      <c r="H2879" s="24" t="str">
        <f>IFERROR(VLOOKUP(B2879,material!A:D,3,0),"")</f>
        <v>3.1</v>
      </c>
    </row>
    <row r="2880" ht="11.25" customHeight="1">
      <c r="A2880" s="21" t="str">
        <f>IFERROR(__xludf.DUMMYFUNCTION("""COMPUTED_VALUE"""),"MODEM VOIP EMTA WIFI 3.1 HGJ310")</f>
        <v>MODEM VOIP EMTA WIFI 3.1 HGJ310</v>
      </c>
      <c r="B2880" s="22">
        <f>IFERROR(__xludf.DUMMYFUNCTION("""COMPUTED_VALUE"""),4.1001481E7)</f>
        <v>41001481</v>
      </c>
      <c r="C2880" s="21" t="str">
        <f>IFERROR(__xludf.DUMMYFUNCTION("""COMPUTED_VALUE"""),"C85D38772953")</f>
        <v>C85D38772953</v>
      </c>
      <c r="D2880" s="21" t="str">
        <f>IFERROR(__xludf.DUMMYFUNCTION("""COMPUTED_VALUE"""),"DIGITEC TECNOLOGIA DIGITAL E REPRES")</f>
        <v>DIGITEC TECNOLOGIA DIGITAL E REPRES</v>
      </c>
      <c r="E2880" s="21">
        <f>IFERROR(__xludf.DUMMYFUNCTION("""COMPUTED_VALUE"""),145359.0)</f>
        <v>145359</v>
      </c>
      <c r="F2880" s="21" t="str">
        <f>IFERROR(__xludf.DUMMYFUNCTION("""COMPUTED_VALUE"""),"TRANSITO REVERSA")</f>
        <v>TRANSITO REVERSA</v>
      </c>
      <c r="G2880" s="23">
        <f>IFERROR(__xludf.DUMMYFUNCTION("""COMPUTED_VALUE"""),45633.00399305555)</f>
        <v>45633.00399</v>
      </c>
      <c r="H2880" s="24" t="str">
        <f>IFERROR(VLOOKUP(B2880,material!A:D,3,0),"")</f>
        <v>3.1</v>
      </c>
    </row>
    <row r="2881" ht="11.25" customHeight="1">
      <c r="A2881" s="21" t="str">
        <f>IFERROR(__xludf.DUMMYFUNCTION("""COMPUTED_VALUE"""),"MODEM VOIP EMTA WIFI 3.1 HGJ310")</f>
        <v>MODEM VOIP EMTA WIFI 3.1 HGJ310</v>
      </c>
      <c r="B2881" s="22">
        <f>IFERROR(__xludf.DUMMYFUNCTION("""COMPUTED_VALUE"""),4.1001481E7)</f>
        <v>41001481</v>
      </c>
      <c r="C2881" s="21" t="str">
        <f>IFERROR(__xludf.DUMMYFUNCTION("""COMPUTED_VALUE"""),"C85D38047297")</f>
        <v>C85D38047297</v>
      </c>
      <c r="D2881" s="21" t="str">
        <f>IFERROR(__xludf.DUMMYFUNCTION("""COMPUTED_VALUE"""),"DIGITEC TECNOLOGIA DIGITAL E REPRES")</f>
        <v>DIGITEC TECNOLOGIA DIGITAL E REPRES</v>
      </c>
      <c r="E2881" s="21">
        <f>IFERROR(__xludf.DUMMYFUNCTION("""COMPUTED_VALUE"""),145359.0)</f>
        <v>145359</v>
      </c>
      <c r="F2881" s="21" t="str">
        <f>IFERROR(__xludf.DUMMYFUNCTION("""COMPUTED_VALUE"""),"TRANSITO REVERSA")</f>
        <v>TRANSITO REVERSA</v>
      </c>
      <c r="G2881" s="23">
        <f>IFERROR(__xludf.DUMMYFUNCTION("""COMPUTED_VALUE"""),45638.52112268518)</f>
        <v>45638.52112</v>
      </c>
      <c r="H2881" s="24" t="str">
        <f>IFERROR(VLOOKUP(B2881,material!A:D,3,0),"")</f>
        <v>3.1</v>
      </c>
    </row>
    <row r="2882" ht="11.25" customHeight="1">
      <c r="A2882" s="21" t="str">
        <f>IFERROR(__xludf.DUMMYFUNCTION("""COMPUTED_VALUE"""),"MODEM VOIP EMTA WIFI 3.1 HGJ310")</f>
        <v>MODEM VOIP EMTA WIFI 3.1 HGJ310</v>
      </c>
      <c r="B2882" s="22">
        <f>IFERROR(__xludf.DUMMYFUNCTION("""COMPUTED_VALUE"""),4.1001481E7)</f>
        <v>41001481</v>
      </c>
      <c r="C2882" s="21" t="str">
        <f>IFERROR(__xludf.DUMMYFUNCTION("""COMPUTED_VALUE"""),"C85D3801B842")</f>
        <v>C85D3801B842</v>
      </c>
      <c r="D2882" s="21" t="str">
        <f>IFERROR(__xludf.DUMMYFUNCTION("""COMPUTED_VALUE"""),"DIGITEC TECNOLOGIA DIGITAL E REPRES")</f>
        <v>DIGITEC TECNOLOGIA DIGITAL E REPRES</v>
      </c>
      <c r="E2882" s="21">
        <f>IFERROR(__xludf.DUMMYFUNCTION("""COMPUTED_VALUE"""),145359.0)</f>
        <v>145359</v>
      </c>
      <c r="F2882" s="21" t="str">
        <f>IFERROR(__xludf.DUMMYFUNCTION("""COMPUTED_VALUE"""),"TRANSITO REVERSA")</f>
        <v>TRANSITO REVERSA</v>
      </c>
      <c r="G2882" s="23">
        <f>IFERROR(__xludf.DUMMYFUNCTION("""COMPUTED_VALUE"""),45633.003379629634)</f>
        <v>45633.00338</v>
      </c>
      <c r="H2882" s="24" t="str">
        <f>IFERROR(VLOOKUP(B2882,material!A:D,3,0),"")</f>
        <v>3.1</v>
      </c>
    </row>
    <row r="2883" ht="11.25" customHeight="1">
      <c r="A2883" s="21" t="str">
        <f>IFERROR(__xludf.DUMMYFUNCTION("""COMPUTED_VALUE"""),"MODEM VOIP EMTA WIFI 3.1 HGJ310")</f>
        <v>MODEM VOIP EMTA WIFI 3.1 HGJ310</v>
      </c>
      <c r="B2883" s="22">
        <f>IFERROR(__xludf.DUMMYFUNCTION("""COMPUTED_VALUE"""),4.1001481E7)</f>
        <v>41001481</v>
      </c>
      <c r="C2883" s="21" t="str">
        <f>IFERROR(__xludf.DUMMYFUNCTION("""COMPUTED_VALUE"""),"C85D3879B969")</f>
        <v>C85D3879B969</v>
      </c>
      <c r="D2883" s="21" t="str">
        <f>IFERROR(__xludf.DUMMYFUNCTION("""COMPUTED_VALUE"""),"DIGITEC TECNOLOGIA DIGITAL E REPRES")</f>
        <v>DIGITEC TECNOLOGIA DIGITAL E REPRES</v>
      </c>
      <c r="E2883" s="21">
        <f>IFERROR(__xludf.DUMMYFUNCTION("""COMPUTED_VALUE"""),145359.0)</f>
        <v>145359</v>
      </c>
      <c r="F2883" s="21" t="str">
        <f>IFERROR(__xludf.DUMMYFUNCTION("""COMPUTED_VALUE"""),"TRANSITO REVERSA")</f>
        <v>TRANSITO REVERSA</v>
      </c>
      <c r="G2883" s="23">
        <f>IFERROR(__xludf.DUMMYFUNCTION("""COMPUTED_VALUE"""),45638.520578703705)</f>
        <v>45638.52058</v>
      </c>
      <c r="H2883" s="24" t="str">
        <f>IFERROR(VLOOKUP(B2883,material!A:D,3,0),"")</f>
        <v>3.1</v>
      </c>
    </row>
    <row r="2884" ht="11.25" customHeight="1">
      <c r="A2884" s="21" t="str">
        <f>IFERROR(__xludf.DUMMYFUNCTION("""COMPUTED_VALUE"""),"MODEM VOIP EMTA WIFI 3.1 HGJ310")</f>
        <v>MODEM VOIP EMTA WIFI 3.1 HGJ310</v>
      </c>
      <c r="B2884" s="22">
        <f>IFERROR(__xludf.DUMMYFUNCTION("""COMPUTED_VALUE"""),4.1001481E7)</f>
        <v>41001481</v>
      </c>
      <c r="C2884" s="21" t="str">
        <f>IFERROR(__xludf.DUMMYFUNCTION("""COMPUTED_VALUE"""),"D86C5A4EE7E4")</f>
        <v>D86C5A4EE7E4</v>
      </c>
      <c r="D2884" s="21" t="str">
        <f>IFERROR(__xludf.DUMMYFUNCTION("""COMPUTED_VALUE"""),"DIGITEC TECNOLOGIA DIGITAL E REPRES")</f>
        <v>DIGITEC TECNOLOGIA DIGITAL E REPRES</v>
      </c>
      <c r="E2884" s="21">
        <f>IFERROR(__xludf.DUMMYFUNCTION("""COMPUTED_VALUE"""),145359.0)</f>
        <v>145359</v>
      </c>
      <c r="F2884" s="21" t="str">
        <f>IFERROR(__xludf.DUMMYFUNCTION("""COMPUTED_VALUE"""),"TRANSITO REVERSA")</f>
        <v>TRANSITO REVERSA</v>
      </c>
      <c r="G2884" s="23">
        <f>IFERROR(__xludf.DUMMYFUNCTION("""COMPUTED_VALUE"""),45610.730416666665)</f>
        <v>45610.73042</v>
      </c>
      <c r="H2884" s="24" t="str">
        <f>IFERROR(VLOOKUP(B2884,material!A:D,3,0),"")</f>
        <v>3.1</v>
      </c>
    </row>
    <row r="2885" ht="11.25" customHeight="1">
      <c r="A2885" s="21" t="str">
        <f>IFERROR(__xludf.DUMMYFUNCTION("""COMPUTED_VALUE"""),"MODEM VOIP EMTA WIFI 3.1 HGJ310")</f>
        <v>MODEM VOIP EMTA WIFI 3.1 HGJ310</v>
      </c>
      <c r="B2885" s="22">
        <f>IFERROR(__xludf.DUMMYFUNCTION("""COMPUTED_VALUE"""),4.1001481E7)</f>
        <v>41001481</v>
      </c>
      <c r="C2885" s="21" t="str">
        <f>IFERROR(__xludf.DUMMYFUNCTION("""COMPUTED_VALUE"""),"D86C5A4ED06E")</f>
        <v>D86C5A4ED06E</v>
      </c>
      <c r="D2885" s="21" t="str">
        <f>IFERROR(__xludf.DUMMYFUNCTION("""COMPUTED_VALUE"""),"DIGITEC TECNOLOGIA DIGITAL E REPRES")</f>
        <v>DIGITEC TECNOLOGIA DIGITAL E REPRES</v>
      </c>
      <c r="E2885" s="21">
        <f>IFERROR(__xludf.DUMMYFUNCTION("""COMPUTED_VALUE"""),145359.0)</f>
        <v>145359</v>
      </c>
      <c r="F2885" s="21" t="str">
        <f>IFERROR(__xludf.DUMMYFUNCTION("""COMPUTED_VALUE"""),"TRANSITO REVERSA")</f>
        <v>TRANSITO REVERSA</v>
      </c>
      <c r="G2885" s="23">
        <f>IFERROR(__xludf.DUMMYFUNCTION("""COMPUTED_VALUE"""),45638.52112268518)</f>
        <v>45638.52112</v>
      </c>
      <c r="H2885" s="24" t="str">
        <f>IFERROR(VLOOKUP(B2885,material!A:D,3,0),"")</f>
        <v>3.1</v>
      </c>
    </row>
    <row r="2886" ht="11.25" customHeight="1">
      <c r="A2886" s="21" t="str">
        <f>IFERROR(__xludf.DUMMYFUNCTION("""COMPUTED_VALUE"""),"MODEM VOIP EMTA WIFI 3.1 HGJ310")</f>
        <v>MODEM VOIP EMTA WIFI 3.1 HGJ310</v>
      </c>
      <c r="B2886" s="22">
        <f>IFERROR(__xludf.DUMMYFUNCTION("""COMPUTED_VALUE"""),4.1001481E7)</f>
        <v>41001481</v>
      </c>
      <c r="C2886" s="21" t="str">
        <f>IFERROR(__xludf.DUMMYFUNCTION("""COMPUTED_VALUE"""),"D86C5A48A52A")</f>
        <v>D86C5A48A52A</v>
      </c>
      <c r="D2886" s="21" t="str">
        <f>IFERROR(__xludf.DUMMYFUNCTION("""COMPUTED_VALUE"""),"DIGITEC TECNOLOGIA DIGITAL E REPRES")</f>
        <v>DIGITEC TECNOLOGIA DIGITAL E REPRES</v>
      </c>
      <c r="E2886" s="21">
        <f>IFERROR(__xludf.DUMMYFUNCTION("""COMPUTED_VALUE"""),145359.0)</f>
        <v>145359</v>
      </c>
      <c r="F2886" s="21" t="str">
        <f>IFERROR(__xludf.DUMMYFUNCTION("""COMPUTED_VALUE"""),"TRANSITO REVERSA")</f>
        <v>TRANSITO REVERSA</v>
      </c>
      <c r="G2886" s="23">
        <f>IFERROR(__xludf.DUMMYFUNCTION("""COMPUTED_VALUE"""),45638.52112268518)</f>
        <v>45638.52112</v>
      </c>
      <c r="H2886" s="24" t="str">
        <f>IFERROR(VLOOKUP(B2886,material!A:D,3,0),"")</f>
        <v>3.1</v>
      </c>
    </row>
    <row r="2887" ht="11.25" customHeight="1">
      <c r="A2887" s="21" t="str">
        <f>IFERROR(__xludf.DUMMYFUNCTION("""COMPUTED_VALUE"""),"MODEM VOIP EMTA WIFI 3.1 HGJ310")</f>
        <v>MODEM VOIP EMTA WIFI 3.1 HGJ310</v>
      </c>
      <c r="B2887" s="22">
        <f>IFERROR(__xludf.DUMMYFUNCTION("""COMPUTED_VALUE"""),4.1001481E7)</f>
        <v>41001481</v>
      </c>
      <c r="C2887" s="21" t="str">
        <f>IFERROR(__xludf.DUMMYFUNCTION("""COMPUTED_VALUE"""),"D86C5A55B471")</f>
        <v>D86C5A55B471</v>
      </c>
      <c r="D2887" s="21" t="str">
        <f>IFERROR(__xludf.DUMMYFUNCTION("""COMPUTED_VALUE"""),"DIGITEC TECNOLOGIA DIGITAL E REPRES")</f>
        <v>DIGITEC TECNOLOGIA DIGITAL E REPRES</v>
      </c>
      <c r="E2887" s="21">
        <f>IFERROR(__xludf.DUMMYFUNCTION("""COMPUTED_VALUE"""),145359.0)</f>
        <v>145359</v>
      </c>
      <c r="F2887" s="21" t="str">
        <f>IFERROR(__xludf.DUMMYFUNCTION("""COMPUTED_VALUE"""),"TRANSITO REVERSA")</f>
        <v>TRANSITO REVERSA</v>
      </c>
      <c r="G2887" s="23">
        <f>IFERROR(__xludf.DUMMYFUNCTION("""COMPUTED_VALUE"""),45638.52111111111)</f>
        <v>45638.52111</v>
      </c>
      <c r="H2887" s="24" t="str">
        <f>IFERROR(VLOOKUP(B2887,material!A:D,3,0),"")</f>
        <v>3.1</v>
      </c>
    </row>
    <row r="2888" ht="11.25" customHeight="1">
      <c r="A2888" s="21" t="str">
        <f>IFERROR(__xludf.DUMMYFUNCTION("""COMPUTED_VALUE"""),"MODEM VOIP EMTA WIFI 3.1 HGJ310")</f>
        <v>MODEM VOIP EMTA WIFI 3.1 HGJ310</v>
      </c>
      <c r="B2888" s="22">
        <f>IFERROR(__xludf.DUMMYFUNCTION("""COMPUTED_VALUE"""),4.1001481E7)</f>
        <v>41001481</v>
      </c>
      <c r="C2888" s="21" t="str">
        <f>IFERROR(__xludf.DUMMYFUNCTION("""COMPUTED_VALUE"""),"D86C5A55D874")</f>
        <v>D86C5A55D874</v>
      </c>
      <c r="D2888" s="21" t="str">
        <f>IFERROR(__xludf.DUMMYFUNCTION("""COMPUTED_VALUE"""),"DIGITEC TECNOLOGIA DIGITAL E REPRES")</f>
        <v>DIGITEC TECNOLOGIA DIGITAL E REPRES</v>
      </c>
      <c r="E2888" s="21">
        <f>IFERROR(__xludf.DUMMYFUNCTION("""COMPUTED_VALUE"""),145359.0)</f>
        <v>145359</v>
      </c>
      <c r="F2888" s="21" t="str">
        <f>IFERROR(__xludf.DUMMYFUNCTION("""COMPUTED_VALUE"""),"TRANSITO REVERSA")</f>
        <v>TRANSITO REVERSA</v>
      </c>
      <c r="G2888" s="23">
        <f>IFERROR(__xludf.DUMMYFUNCTION("""COMPUTED_VALUE"""),45633.003958333335)</f>
        <v>45633.00396</v>
      </c>
      <c r="H2888" s="24" t="str">
        <f>IFERROR(VLOOKUP(B2888,material!A:D,3,0),"")</f>
        <v>3.1</v>
      </c>
    </row>
    <row r="2889" ht="11.25" customHeight="1">
      <c r="A2889" s="21" t="str">
        <f>IFERROR(__xludf.DUMMYFUNCTION("""COMPUTED_VALUE"""),"MODEM VOIP EMTA WIFI 3.1 HGJ310")</f>
        <v>MODEM VOIP EMTA WIFI 3.1 HGJ310</v>
      </c>
      <c r="B2889" s="22">
        <f>IFERROR(__xludf.DUMMYFUNCTION("""COMPUTED_VALUE"""),4.1001481E7)</f>
        <v>41001481</v>
      </c>
      <c r="C2889" s="21" t="str">
        <f>IFERROR(__xludf.DUMMYFUNCTION("""COMPUTED_VALUE"""),"D86C5A562995")</f>
        <v>D86C5A562995</v>
      </c>
      <c r="D2889" s="21" t="str">
        <f>IFERROR(__xludf.DUMMYFUNCTION("""COMPUTED_VALUE"""),"DIGITEC TECNOLOGIA DIGITAL E REPRES")</f>
        <v>DIGITEC TECNOLOGIA DIGITAL E REPRES</v>
      </c>
      <c r="E2889" s="21">
        <f>IFERROR(__xludf.DUMMYFUNCTION("""COMPUTED_VALUE"""),145359.0)</f>
        <v>145359</v>
      </c>
      <c r="F2889" s="21" t="str">
        <f>IFERROR(__xludf.DUMMYFUNCTION("""COMPUTED_VALUE"""),"TRANSITO REVERSA")</f>
        <v>TRANSITO REVERSA</v>
      </c>
      <c r="G2889" s="23">
        <f>IFERROR(__xludf.DUMMYFUNCTION("""COMPUTED_VALUE"""),45617.87141203704)</f>
        <v>45617.87141</v>
      </c>
      <c r="H2889" s="24" t="str">
        <f>IFERROR(VLOOKUP(B2889,material!A:D,3,0),"")</f>
        <v>3.1</v>
      </c>
    </row>
    <row r="2890" ht="11.25" customHeight="1">
      <c r="A2890" s="21" t="str">
        <f>IFERROR(__xludf.DUMMYFUNCTION("""COMPUTED_VALUE"""),"MODEM VOIP EMTA WIFI 3.1 HGJ310")</f>
        <v>MODEM VOIP EMTA WIFI 3.1 HGJ310</v>
      </c>
      <c r="B2890" s="22">
        <f>IFERROR(__xludf.DUMMYFUNCTION("""COMPUTED_VALUE"""),4.1001481E7)</f>
        <v>41001481</v>
      </c>
      <c r="C2890" s="21" t="str">
        <f>IFERROR(__xludf.DUMMYFUNCTION("""COMPUTED_VALUE"""),"D86C5A59A34B")</f>
        <v>D86C5A59A34B</v>
      </c>
      <c r="D2890" s="21" t="str">
        <f>IFERROR(__xludf.DUMMYFUNCTION("""COMPUTED_VALUE"""),"DIGITEC TECNOLOGIA DIGITAL E REPRES")</f>
        <v>DIGITEC TECNOLOGIA DIGITAL E REPRES</v>
      </c>
      <c r="E2890" s="21">
        <f>IFERROR(__xludf.DUMMYFUNCTION("""COMPUTED_VALUE"""),145359.0)</f>
        <v>145359</v>
      </c>
      <c r="F2890" s="21" t="str">
        <f>IFERROR(__xludf.DUMMYFUNCTION("""COMPUTED_VALUE"""),"TRANSITO REVERSA")</f>
        <v>TRANSITO REVERSA</v>
      </c>
      <c r="G2890" s="23">
        <f>IFERROR(__xludf.DUMMYFUNCTION("""COMPUTED_VALUE"""),45617.87141203704)</f>
        <v>45617.87141</v>
      </c>
      <c r="H2890" s="24" t="str">
        <f>IFERROR(VLOOKUP(B2890,material!A:D,3,0),"")</f>
        <v>3.1</v>
      </c>
    </row>
    <row r="2891" ht="11.25" customHeight="1">
      <c r="A2891" s="21" t="str">
        <f>IFERROR(__xludf.DUMMYFUNCTION("""COMPUTED_VALUE"""),"MODEM VOIP EMTA WIFI 3.1 HGJ310")</f>
        <v>MODEM VOIP EMTA WIFI 3.1 HGJ310</v>
      </c>
      <c r="B2891" s="22">
        <f>IFERROR(__xludf.DUMMYFUNCTION("""COMPUTED_VALUE"""),4.1001481E7)</f>
        <v>41001481</v>
      </c>
      <c r="C2891" s="21" t="str">
        <f>IFERROR(__xludf.DUMMYFUNCTION("""COMPUTED_VALUE"""),"C85D38DB6EE5")</f>
        <v>C85D38DB6EE5</v>
      </c>
      <c r="D2891" s="21" t="str">
        <f>IFERROR(__xludf.DUMMYFUNCTION("""COMPUTED_VALUE"""),"DIGITEC TECNOLOGIA DIGITAL E REPRES")</f>
        <v>DIGITEC TECNOLOGIA DIGITAL E REPRES</v>
      </c>
      <c r="E2891" s="21">
        <f>IFERROR(__xludf.DUMMYFUNCTION("""COMPUTED_VALUE"""),145359.0)</f>
        <v>145359</v>
      </c>
      <c r="F2891" s="21" t="str">
        <f>IFERROR(__xludf.DUMMYFUNCTION("""COMPUTED_VALUE"""),"TRANSITO REVERSA")</f>
        <v>TRANSITO REVERSA</v>
      </c>
      <c r="G2891" s="23">
        <f>IFERROR(__xludf.DUMMYFUNCTION("""COMPUTED_VALUE"""),45638.520636574074)</f>
        <v>45638.52064</v>
      </c>
      <c r="H2891" s="24" t="str">
        <f>IFERROR(VLOOKUP(B2891,material!A:D,3,0),"")</f>
        <v>3.1</v>
      </c>
    </row>
    <row r="2892" ht="11.25" customHeight="1">
      <c r="A2892" s="21" t="str">
        <f>IFERROR(__xludf.DUMMYFUNCTION("""COMPUTED_VALUE"""),"MODEM VOIP EMTA WIFI 3.1 HGJ310")</f>
        <v>MODEM VOIP EMTA WIFI 3.1 HGJ310</v>
      </c>
      <c r="B2892" s="22">
        <f>IFERROR(__xludf.DUMMYFUNCTION("""COMPUTED_VALUE"""),4.1001481E7)</f>
        <v>41001481</v>
      </c>
      <c r="C2892" s="21" t="str">
        <f>IFERROR(__xludf.DUMMYFUNCTION("""COMPUTED_VALUE"""),"C85D389FECFF")</f>
        <v>C85D389FECFF</v>
      </c>
      <c r="D2892" s="21" t="str">
        <f>IFERROR(__xludf.DUMMYFUNCTION("""COMPUTED_VALUE"""),"DIGITEC TECNOLOGIA DIGITAL E REPRES")</f>
        <v>DIGITEC TECNOLOGIA DIGITAL E REPRES</v>
      </c>
      <c r="E2892" s="21">
        <f>IFERROR(__xludf.DUMMYFUNCTION("""COMPUTED_VALUE"""),145359.0)</f>
        <v>145359</v>
      </c>
      <c r="F2892" s="21" t="str">
        <f>IFERROR(__xludf.DUMMYFUNCTION("""COMPUTED_VALUE"""),"TRANSITO REVERSA")</f>
        <v>TRANSITO REVERSA</v>
      </c>
      <c r="G2892" s="23">
        <f>IFERROR(__xludf.DUMMYFUNCTION("""COMPUTED_VALUE"""),45633.00341435186)</f>
        <v>45633.00341</v>
      </c>
      <c r="H2892" s="24" t="str">
        <f>IFERROR(VLOOKUP(B2892,material!A:D,3,0),"")</f>
        <v>3.1</v>
      </c>
    </row>
    <row r="2893" ht="11.25" customHeight="1">
      <c r="A2893" s="21" t="str">
        <f>IFERROR(__xludf.DUMMYFUNCTION("""COMPUTED_VALUE"""),"MODEM VOIP EMTA WIFI 3.1 HGJ310")</f>
        <v>MODEM VOIP EMTA WIFI 3.1 HGJ310</v>
      </c>
      <c r="B2893" s="22">
        <f>IFERROR(__xludf.DUMMYFUNCTION("""COMPUTED_VALUE"""),4.1001481E7)</f>
        <v>41001481</v>
      </c>
      <c r="C2893" s="21" t="str">
        <f>IFERROR(__xludf.DUMMYFUNCTION("""COMPUTED_VALUE"""),"C85D38A19DE0")</f>
        <v>C85D38A19DE0</v>
      </c>
      <c r="D2893" s="21" t="str">
        <f>IFERROR(__xludf.DUMMYFUNCTION("""COMPUTED_VALUE"""),"DIGITEC TECNOLOGIA DIGITAL E REPRES")</f>
        <v>DIGITEC TECNOLOGIA DIGITAL E REPRES</v>
      </c>
      <c r="E2893" s="21">
        <f>IFERROR(__xludf.DUMMYFUNCTION("""COMPUTED_VALUE"""),145359.0)</f>
        <v>145359</v>
      </c>
      <c r="F2893" s="21" t="str">
        <f>IFERROR(__xludf.DUMMYFUNCTION("""COMPUTED_VALUE"""),"TRANSITO REVERSA")</f>
        <v>TRANSITO REVERSA</v>
      </c>
      <c r="G2893" s="23">
        <f>IFERROR(__xludf.DUMMYFUNCTION("""COMPUTED_VALUE"""),45638.520636574074)</f>
        <v>45638.52064</v>
      </c>
      <c r="H2893" s="24" t="str">
        <f>IFERROR(VLOOKUP(B2893,material!A:D,3,0),"")</f>
        <v>3.1</v>
      </c>
    </row>
    <row r="2894" ht="11.25" customHeight="1">
      <c r="A2894" s="21" t="str">
        <f>IFERROR(__xludf.DUMMYFUNCTION("""COMPUTED_VALUE"""),"MODEM VOIP EMTA WIFI 3.1 HGJ310")</f>
        <v>MODEM VOIP EMTA WIFI 3.1 HGJ310</v>
      </c>
      <c r="B2894" s="22">
        <f>IFERROR(__xludf.DUMMYFUNCTION("""COMPUTED_VALUE"""),4.1001481E7)</f>
        <v>41001481</v>
      </c>
      <c r="C2894" s="21" t="str">
        <f>IFERROR(__xludf.DUMMYFUNCTION("""COMPUTED_VALUE"""),"C85D38A1AAAC")</f>
        <v>C85D38A1AAAC</v>
      </c>
      <c r="D2894" s="21" t="str">
        <f>IFERROR(__xludf.DUMMYFUNCTION("""COMPUTED_VALUE"""),"DIGITEC TECNOLOGIA DIGITAL E REPRES")</f>
        <v>DIGITEC TECNOLOGIA DIGITAL E REPRES</v>
      </c>
      <c r="E2894" s="21">
        <f>IFERROR(__xludf.DUMMYFUNCTION("""COMPUTED_VALUE"""),145359.0)</f>
        <v>145359</v>
      </c>
      <c r="F2894" s="21" t="str">
        <f>IFERROR(__xludf.DUMMYFUNCTION("""COMPUTED_VALUE"""),"TRANSITO REVERSA")</f>
        <v>TRANSITO REVERSA</v>
      </c>
      <c r="G2894" s="23">
        <f>IFERROR(__xludf.DUMMYFUNCTION("""COMPUTED_VALUE"""),45638.52111111111)</f>
        <v>45638.52111</v>
      </c>
      <c r="H2894" s="24" t="str">
        <f>IFERROR(VLOOKUP(B2894,material!A:D,3,0),"")</f>
        <v>3.1</v>
      </c>
    </row>
    <row r="2895" ht="11.25" customHeight="1">
      <c r="A2895" s="21" t="str">
        <f>IFERROR(__xludf.DUMMYFUNCTION("""COMPUTED_VALUE"""),"MODEM VOIP EMTA WIFI 3.1 HGJ310")</f>
        <v>MODEM VOIP EMTA WIFI 3.1 HGJ310</v>
      </c>
      <c r="B2895" s="22">
        <f>IFERROR(__xludf.DUMMYFUNCTION("""COMPUTED_VALUE"""),4.1001481E7)</f>
        <v>41001481</v>
      </c>
      <c r="C2895" s="21" t="str">
        <f>IFERROR(__xludf.DUMMYFUNCTION("""COMPUTED_VALUE"""),"C85D389741FC")</f>
        <v>C85D389741FC</v>
      </c>
      <c r="D2895" s="21" t="str">
        <f>IFERROR(__xludf.DUMMYFUNCTION("""COMPUTED_VALUE"""),"DIGITEC TECNOLOGIA DIGITAL E REPRES")</f>
        <v>DIGITEC TECNOLOGIA DIGITAL E REPRES</v>
      </c>
      <c r="E2895" s="21">
        <f>IFERROR(__xludf.DUMMYFUNCTION("""COMPUTED_VALUE"""),145359.0)</f>
        <v>145359</v>
      </c>
      <c r="F2895" s="21" t="str">
        <f>IFERROR(__xludf.DUMMYFUNCTION("""COMPUTED_VALUE"""),"TRANSITO REVERSA")</f>
        <v>TRANSITO REVERSA</v>
      </c>
      <c r="G2895" s="23">
        <f>IFERROR(__xludf.DUMMYFUNCTION("""COMPUTED_VALUE"""),45633.003379629634)</f>
        <v>45633.00338</v>
      </c>
      <c r="H2895" s="24" t="str">
        <f>IFERROR(VLOOKUP(B2895,material!A:D,3,0),"")</f>
        <v>3.1</v>
      </c>
    </row>
    <row r="2896" ht="11.25" customHeight="1">
      <c r="A2896" s="21" t="str">
        <f>IFERROR(__xludf.DUMMYFUNCTION("""COMPUTED_VALUE"""),"MODEM VOIP EMTA WIFI 3.1 HGJ310")</f>
        <v>MODEM VOIP EMTA WIFI 3.1 HGJ310</v>
      </c>
      <c r="B2896" s="22">
        <f>IFERROR(__xludf.DUMMYFUNCTION("""COMPUTED_VALUE"""),4.1001481E7)</f>
        <v>41001481</v>
      </c>
      <c r="C2896" s="21" t="str">
        <f>IFERROR(__xludf.DUMMYFUNCTION("""COMPUTED_VALUE"""),"C85D38D1CC83")</f>
        <v>C85D38D1CC83</v>
      </c>
      <c r="D2896" s="21" t="str">
        <f>IFERROR(__xludf.DUMMYFUNCTION("""COMPUTED_VALUE"""),"DIGITEC TECNOLOGIA DIGITAL E REPRES")</f>
        <v>DIGITEC TECNOLOGIA DIGITAL E REPRES</v>
      </c>
      <c r="E2896" s="21">
        <f>IFERROR(__xludf.DUMMYFUNCTION("""COMPUTED_VALUE"""),145359.0)</f>
        <v>145359</v>
      </c>
      <c r="F2896" s="21" t="str">
        <f>IFERROR(__xludf.DUMMYFUNCTION("""COMPUTED_VALUE"""),"TRANSITO REVERSA")</f>
        <v>TRANSITO REVERSA</v>
      </c>
      <c r="G2896" s="23">
        <f>IFERROR(__xludf.DUMMYFUNCTION("""COMPUTED_VALUE"""),45633.00341435186)</f>
        <v>45633.00341</v>
      </c>
      <c r="H2896" s="24" t="str">
        <f>IFERROR(VLOOKUP(B2896,material!A:D,3,0),"")</f>
        <v>3.1</v>
      </c>
    </row>
    <row r="2897" ht="11.25" customHeight="1">
      <c r="A2897" s="21" t="str">
        <f>IFERROR(__xludf.DUMMYFUNCTION("""COMPUTED_VALUE"""),"MODEM VOIP EMTA WIFI 3.1 HGJ310")</f>
        <v>MODEM VOIP EMTA WIFI 3.1 HGJ310</v>
      </c>
      <c r="B2897" s="22">
        <f>IFERROR(__xludf.DUMMYFUNCTION("""COMPUTED_VALUE"""),4.1001481E7)</f>
        <v>41001481</v>
      </c>
      <c r="C2897" s="21" t="str">
        <f>IFERROR(__xludf.DUMMYFUNCTION("""COMPUTED_VALUE"""),"C85D38CC46F3")</f>
        <v>C85D38CC46F3</v>
      </c>
      <c r="D2897" s="21" t="str">
        <f>IFERROR(__xludf.DUMMYFUNCTION("""COMPUTED_VALUE"""),"DIGITEC TECNOLOGIA DIGITAL E REPRES")</f>
        <v>DIGITEC TECNOLOGIA DIGITAL E REPRES</v>
      </c>
      <c r="E2897" s="21">
        <f>IFERROR(__xludf.DUMMYFUNCTION("""COMPUTED_VALUE"""),145359.0)</f>
        <v>145359</v>
      </c>
      <c r="F2897" s="21" t="str">
        <f>IFERROR(__xludf.DUMMYFUNCTION("""COMPUTED_VALUE"""),"TRANSITO REVERSA")</f>
        <v>TRANSITO REVERSA</v>
      </c>
      <c r="G2897" s="23">
        <f>IFERROR(__xludf.DUMMYFUNCTION("""COMPUTED_VALUE"""),45626.298680555556)</f>
        <v>45626.29868</v>
      </c>
      <c r="H2897" s="24" t="str">
        <f>IFERROR(VLOOKUP(B2897,material!A:D,3,0),"")</f>
        <v>3.1</v>
      </c>
    </row>
    <row r="2898" ht="11.25" customHeight="1">
      <c r="A2898" s="21" t="str">
        <f>IFERROR(__xludf.DUMMYFUNCTION("""COMPUTED_VALUE"""),"MODEM VOIP EMTA WIFI 3.1 HGJ310")</f>
        <v>MODEM VOIP EMTA WIFI 3.1 HGJ310</v>
      </c>
      <c r="B2898" s="22">
        <f>IFERROR(__xludf.DUMMYFUNCTION("""COMPUTED_VALUE"""),4.1001481E7)</f>
        <v>41001481</v>
      </c>
      <c r="C2898" s="21" t="str">
        <f>IFERROR(__xludf.DUMMYFUNCTION("""COMPUTED_VALUE"""),"C85D38C957CA")</f>
        <v>C85D38C957CA</v>
      </c>
      <c r="D2898" s="21" t="str">
        <f>IFERROR(__xludf.DUMMYFUNCTION("""COMPUTED_VALUE"""),"DIGITEC TECNOLOGIA DIGITAL E REPRES")</f>
        <v>DIGITEC TECNOLOGIA DIGITAL E REPRES</v>
      </c>
      <c r="E2898" s="21">
        <f>IFERROR(__xludf.DUMMYFUNCTION("""COMPUTED_VALUE"""),145359.0)</f>
        <v>145359</v>
      </c>
      <c r="F2898" s="21" t="str">
        <f>IFERROR(__xludf.DUMMYFUNCTION("""COMPUTED_VALUE"""),"TRANSITO REVERSA")</f>
        <v>TRANSITO REVERSA</v>
      </c>
      <c r="G2898" s="23">
        <f>IFERROR(__xludf.DUMMYFUNCTION("""COMPUTED_VALUE"""),45633.00398148148)</f>
        <v>45633.00398</v>
      </c>
      <c r="H2898" s="24" t="str">
        <f>IFERROR(VLOOKUP(B2898,material!A:D,3,0),"")</f>
        <v>3.1</v>
      </c>
    </row>
    <row r="2899" ht="11.25" customHeight="1">
      <c r="A2899" s="21" t="str">
        <f>IFERROR(__xludf.DUMMYFUNCTION("""COMPUTED_VALUE"""),"TERMINAL ONT WIFI HGU HP610")</f>
        <v>TERMINAL ONT WIFI HGU HP610</v>
      </c>
      <c r="B2899" s="22">
        <f>IFERROR(__xludf.DUMMYFUNCTION("""COMPUTED_VALUE"""),4.1001478E7)</f>
        <v>41001478</v>
      </c>
      <c r="C2899" s="21" t="str">
        <f>IFERROR(__xludf.DUMMYFUNCTION("""COMPUTED_VALUE"""),"4CD08A564474")</f>
        <v>4CD08A564474</v>
      </c>
      <c r="D2899" s="21" t="str">
        <f>IFERROR(__xludf.DUMMYFUNCTION("""COMPUTED_VALUE"""),"DIGITEC TECNOLOGIA DIGITAL E REPRES")</f>
        <v>DIGITEC TECNOLOGIA DIGITAL E REPRES</v>
      </c>
      <c r="E2899" s="21">
        <f>IFERROR(__xludf.DUMMYFUNCTION("""COMPUTED_VALUE"""),145359.0)</f>
        <v>145359</v>
      </c>
      <c r="F2899" s="21" t="str">
        <f>IFERROR(__xludf.DUMMYFUNCTION("""COMPUTED_VALUE"""),"TRANSITO REVERSA")</f>
        <v>TRANSITO REVERSA</v>
      </c>
      <c r="G2899" s="23">
        <f>IFERROR(__xludf.DUMMYFUNCTION("""COMPUTED_VALUE"""),45638.520648148144)</f>
        <v>45638.52065</v>
      </c>
      <c r="H2899" s="24" t="str">
        <f>IFERROR(VLOOKUP(B2899,material!A:D,3,0),"")</f>
        <v>ONT</v>
      </c>
    </row>
    <row r="2900" ht="11.25" customHeight="1">
      <c r="A2900" s="21" t="str">
        <f>IFERROR(__xludf.DUMMYFUNCTION("""COMPUTED_VALUE"""),"DECODER 4K ULTRA HD DGCI363 COM IG")</f>
        <v>DECODER 4K ULTRA HD DGCI363 COM IG</v>
      </c>
      <c r="B2900" s="22">
        <f>IFERROR(__xludf.DUMMYFUNCTION("""COMPUTED_VALUE"""),4.1001484E7)</f>
        <v>41001484</v>
      </c>
      <c r="C2900" s="21" t="str">
        <f>IFERROR(__xludf.DUMMYFUNCTION("""COMPUTED_VALUE"""),"229772017087")</f>
        <v>229772017087</v>
      </c>
      <c r="D2900" s="21" t="str">
        <f>IFERROR(__xludf.DUMMYFUNCTION("""COMPUTED_VALUE"""),"DIGITEC TECNOLOGIA DIGITAL E REPRES")</f>
        <v>DIGITEC TECNOLOGIA DIGITAL E REPRES</v>
      </c>
      <c r="E2900" s="21">
        <f>IFERROR(__xludf.DUMMYFUNCTION("""COMPUTED_VALUE"""),145359.0)</f>
        <v>145359</v>
      </c>
      <c r="F2900" s="21" t="str">
        <f>IFERROR(__xludf.DUMMYFUNCTION("""COMPUTED_VALUE"""),"TRANSITO REVERSA")</f>
        <v>TRANSITO REVERSA</v>
      </c>
      <c r="G2900" s="23">
        <f>IFERROR(__xludf.DUMMYFUNCTION("""COMPUTED_VALUE"""),45638.520625000005)</f>
        <v>45638.52063</v>
      </c>
      <c r="H2900" s="24" t="str">
        <f>IFERROR(VLOOKUP(B2900,material!A:D,3,0),"")</f>
        <v>4K</v>
      </c>
    </row>
    <row r="2901" ht="11.25" customHeight="1">
      <c r="A2901" s="21" t="str">
        <f>IFERROR(__xludf.DUMMYFUNCTION("""COMPUTED_VALUE"""),"DECODER 4K ULTRA HD DGCI363 COM IG")</f>
        <v>DECODER 4K ULTRA HD DGCI363 COM IG</v>
      </c>
      <c r="B2901" s="22">
        <f>IFERROR(__xludf.DUMMYFUNCTION("""COMPUTED_VALUE"""),4.1001484E7)</f>
        <v>41001484</v>
      </c>
      <c r="C2901" s="21" t="str">
        <f>IFERROR(__xludf.DUMMYFUNCTION("""COMPUTED_VALUE"""),"229789957188")</f>
        <v>229789957188</v>
      </c>
      <c r="D2901" s="21" t="str">
        <f>IFERROR(__xludf.DUMMYFUNCTION("""COMPUTED_VALUE"""),"DIGITEC TECNOLOGIA DIGITAL E REPRES")</f>
        <v>DIGITEC TECNOLOGIA DIGITAL E REPRES</v>
      </c>
      <c r="E2901" s="21">
        <f>IFERROR(__xludf.DUMMYFUNCTION("""COMPUTED_VALUE"""),145359.0)</f>
        <v>145359</v>
      </c>
      <c r="F2901" s="21" t="str">
        <f>IFERROR(__xludf.DUMMYFUNCTION("""COMPUTED_VALUE"""),"TRANSITO REVERSA")</f>
        <v>TRANSITO REVERSA</v>
      </c>
      <c r="G2901" s="23">
        <f>IFERROR(__xludf.DUMMYFUNCTION("""COMPUTED_VALUE"""),45638.520648148144)</f>
        <v>45638.52065</v>
      </c>
      <c r="H2901" s="24" t="str">
        <f>IFERROR(VLOOKUP(B2901,material!A:D,3,0),"")</f>
        <v>4K</v>
      </c>
    </row>
    <row r="2902" ht="11.25" customHeight="1">
      <c r="A2902" s="21" t="str">
        <f>IFERROR(__xludf.DUMMYFUNCTION("""COMPUTED_VALUE"""),"DECODER 4K ULTRA HD DGCI363 COM IG")</f>
        <v>DECODER 4K ULTRA HD DGCI363 COM IG</v>
      </c>
      <c r="B2902" s="22">
        <f>IFERROR(__xludf.DUMMYFUNCTION("""COMPUTED_VALUE"""),4.1001484E7)</f>
        <v>41001484</v>
      </c>
      <c r="C2902" s="21" t="str">
        <f>IFERROR(__xludf.DUMMYFUNCTION("""COMPUTED_VALUE"""),"229768875658")</f>
        <v>229768875658</v>
      </c>
      <c r="D2902" s="21" t="str">
        <f>IFERROR(__xludf.DUMMYFUNCTION("""COMPUTED_VALUE"""),"DIGITEC TECNOLOGIA DIGITAL E REPRES")</f>
        <v>DIGITEC TECNOLOGIA DIGITAL E REPRES</v>
      </c>
      <c r="E2902" s="21">
        <f>IFERROR(__xludf.DUMMYFUNCTION("""COMPUTED_VALUE"""),145359.0)</f>
        <v>145359</v>
      </c>
      <c r="F2902" s="21" t="str">
        <f>IFERROR(__xludf.DUMMYFUNCTION("""COMPUTED_VALUE"""),"TRANSITO REVERSA")</f>
        <v>TRANSITO REVERSA</v>
      </c>
      <c r="G2902" s="23">
        <f>IFERROR(__xludf.DUMMYFUNCTION("""COMPUTED_VALUE"""),45626.29871527778)</f>
        <v>45626.29872</v>
      </c>
      <c r="H2902" s="24" t="str">
        <f>IFERROR(VLOOKUP(B2902,material!A:D,3,0),"")</f>
        <v>4K</v>
      </c>
    </row>
    <row r="2903" ht="11.25" customHeight="1">
      <c r="A2903" s="21" t="str">
        <f>IFERROR(__xludf.DUMMYFUNCTION("""COMPUTED_VALUE"""),"DECODER 4K ULTRA HD DGCI363 COM IG")</f>
        <v>DECODER 4K ULTRA HD DGCI363 COM IG</v>
      </c>
      <c r="B2903" s="22">
        <f>IFERROR(__xludf.DUMMYFUNCTION("""COMPUTED_VALUE"""),4.1001484E7)</f>
        <v>41001484</v>
      </c>
      <c r="C2903" s="21" t="str">
        <f>IFERROR(__xludf.DUMMYFUNCTION("""COMPUTED_VALUE"""),"229789614652")</f>
        <v>229789614652</v>
      </c>
      <c r="D2903" s="21" t="str">
        <f>IFERROR(__xludf.DUMMYFUNCTION("""COMPUTED_VALUE"""),"DIGITEC TECNOLOGIA DIGITAL E REPRES")</f>
        <v>DIGITEC TECNOLOGIA DIGITAL E REPRES</v>
      </c>
      <c r="E2903" s="21">
        <f>IFERROR(__xludf.DUMMYFUNCTION("""COMPUTED_VALUE"""),145359.0)</f>
        <v>145359</v>
      </c>
      <c r="F2903" s="21" t="str">
        <f>IFERROR(__xludf.DUMMYFUNCTION("""COMPUTED_VALUE"""),"TRANSITO REVERSA")</f>
        <v>TRANSITO REVERSA</v>
      </c>
      <c r="G2903" s="23">
        <f>IFERROR(__xludf.DUMMYFUNCTION("""COMPUTED_VALUE"""),45626.298692129625)</f>
        <v>45626.29869</v>
      </c>
      <c r="H2903" s="24" t="str">
        <f>IFERROR(VLOOKUP(B2903,material!A:D,3,0),"")</f>
        <v>4K</v>
      </c>
    </row>
    <row r="2904" ht="11.25" customHeight="1">
      <c r="A2904" s="21" t="str">
        <f>IFERROR(__xludf.DUMMYFUNCTION("""COMPUTED_VALUE"""),"DECODER 4K ULTRA HD DGCI363 COM IG")</f>
        <v>DECODER 4K ULTRA HD DGCI363 COM IG</v>
      </c>
      <c r="B2904" s="22">
        <f>IFERROR(__xludf.DUMMYFUNCTION("""COMPUTED_VALUE"""),4.1001484E7)</f>
        <v>41001484</v>
      </c>
      <c r="C2904" s="21" t="str">
        <f>IFERROR(__xludf.DUMMYFUNCTION("""COMPUTED_VALUE"""),"229789385359")</f>
        <v>229789385359</v>
      </c>
      <c r="D2904" s="21" t="str">
        <f>IFERROR(__xludf.DUMMYFUNCTION("""COMPUTED_VALUE"""),"DIGITEC TECNOLOGIA DIGITAL E REPRES")</f>
        <v>DIGITEC TECNOLOGIA DIGITAL E REPRES</v>
      </c>
      <c r="E2904" s="21">
        <f>IFERROR(__xludf.DUMMYFUNCTION("""COMPUTED_VALUE"""),145359.0)</f>
        <v>145359</v>
      </c>
      <c r="F2904" s="21" t="str">
        <f>IFERROR(__xludf.DUMMYFUNCTION("""COMPUTED_VALUE"""),"TRANSITO REVERSA")</f>
        <v>TRANSITO REVERSA</v>
      </c>
      <c r="G2904" s="23">
        <f>IFERROR(__xludf.DUMMYFUNCTION("""COMPUTED_VALUE"""),45638.52061342592)</f>
        <v>45638.52061</v>
      </c>
      <c r="H2904" s="24" t="str">
        <f>IFERROR(VLOOKUP(B2904,material!A:D,3,0),"")</f>
        <v>4K</v>
      </c>
    </row>
    <row r="2905" ht="11.25" customHeight="1">
      <c r="A2905" s="21" t="str">
        <f>IFERROR(__xludf.DUMMYFUNCTION("""COMPUTED_VALUE"""),"DECODER 4K ULTRA HD DGCI363 COM IG")</f>
        <v>DECODER 4K ULTRA HD DGCI363 COM IG</v>
      </c>
      <c r="B2905" s="22">
        <f>IFERROR(__xludf.DUMMYFUNCTION("""COMPUTED_VALUE"""),4.1001484E7)</f>
        <v>41001484</v>
      </c>
      <c r="C2905" s="21" t="str">
        <f>IFERROR(__xludf.DUMMYFUNCTION("""COMPUTED_VALUE"""),"229878583840")</f>
        <v>229878583840</v>
      </c>
      <c r="D2905" s="21" t="str">
        <f>IFERROR(__xludf.DUMMYFUNCTION("""COMPUTED_VALUE"""),"DIGITEC TECNOLOGIA DIGITAL E REPRES")</f>
        <v>DIGITEC TECNOLOGIA DIGITAL E REPRES</v>
      </c>
      <c r="E2905" s="21">
        <f>IFERROR(__xludf.DUMMYFUNCTION("""COMPUTED_VALUE"""),145359.0)</f>
        <v>145359</v>
      </c>
      <c r="F2905" s="21" t="str">
        <f>IFERROR(__xludf.DUMMYFUNCTION("""COMPUTED_VALUE"""),"TRANSITO REVERSA")</f>
        <v>TRANSITO REVERSA</v>
      </c>
      <c r="G2905" s="23">
        <f>IFERROR(__xludf.DUMMYFUNCTION("""COMPUTED_VALUE"""),45638.52111111111)</f>
        <v>45638.52111</v>
      </c>
      <c r="H2905" s="24" t="str">
        <f>IFERROR(VLOOKUP(B2905,material!A:D,3,0),"")</f>
        <v>4K</v>
      </c>
    </row>
    <row r="2906" ht="11.25" customHeight="1">
      <c r="A2906" s="21" t="str">
        <f>IFERROR(__xludf.DUMMYFUNCTION("""COMPUTED_VALUE"""),"DECODER 4K ULTRA HD DGCI363 COM IG")</f>
        <v>DECODER 4K ULTRA HD DGCI363 COM IG</v>
      </c>
      <c r="B2906" s="22">
        <f>IFERROR(__xludf.DUMMYFUNCTION("""COMPUTED_VALUE"""),4.1001484E7)</f>
        <v>41001484</v>
      </c>
      <c r="C2906" s="21" t="str">
        <f>IFERROR(__xludf.DUMMYFUNCTION("""COMPUTED_VALUE"""),"229791619214")</f>
        <v>229791619214</v>
      </c>
      <c r="D2906" s="21" t="str">
        <f>IFERROR(__xludf.DUMMYFUNCTION("""COMPUTED_VALUE"""),"DIGITEC TECNOLOGIA DIGITAL E REPRES")</f>
        <v>DIGITEC TECNOLOGIA DIGITAL E REPRES</v>
      </c>
      <c r="E2906" s="21">
        <f>IFERROR(__xludf.DUMMYFUNCTION("""COMPUTED_VALUE"""),145359.0)</f>
        <v>145359</v>
      </c>
      <c r="F2906" s="21" t="str">
        <f>IFERROR(__xludf.DUMMYFUNCTION("""COMPUTED_VALUE"""),"TRANSITO REVERSA")</f>
        <v>TRANSITO REVERSA</v>
      </c>
      <c r="G2906" s="23">
        <f>IFERROR(__xludf.DUMMYFUNCTION("""COMPUTED_VALUE"""),45626.298680555556)</f>
        <v>45626.29868</v>
      </c>
      <c r="H2906" s="24" t="str">
        <f>IFERROR(VLOOKUP(B2906,material!A:D,3,0),"")</f>
        <v>4K</v>
      </c>
    </row>
    <row r="2907" ht="11.25" customHeight="1">
      <c r="A2907" s="21" t="str">
        <f>IFERROR(__xludf.DUMMYFUNCTION("""COMPUTED_VALUE"""),"DECODER 4K ULTRA HD DGCI363 COM IG")</f>
        <v>DECODER 4K ULTRA HD DGCI363 COM IG</v>
      </c>
      <c r="B2907" s="22">
        <f>IFERROR(__xludf.DUMMYFUNCTION("""COMPUTED_VALUE"""),4.1001484E7)</f>
        <v>41001484</v>
      </c>
      <c r="C2907" s="21" t="str">
        <f>IFERROR(__xludf.DUMMYFUNCTION("""COMPUTED_VALUE"""),"229791538296")</f>
        <v>229791538296</v>
      </c>
      <c r="D2907" s="21" t="str">
        <f>IFERROR(__xludf.DUMMYFUNCTION("""COMPUTED_VALUE"""),"DIGITEC TECNOLOGIA DIGITAL E REPRES")</f>
        <v>DIGITEC TECNOLOGIA DIGITAL E REPRES</v>
      </c>
      <c r="E2907" s="21">
        <f>IFERROR(__xludf.DUMMYFUNCTION("""COMPUTED_VALUE"""),145359.0)</f>
        <v>145359</v>
      </c>
      <c r="F2907" s="21" t="str">
        <f>IFERROR(__xludf.DUMMYFUNCTION("""COMPUTED_VALUE"""),"TRANSITO REVERSA")</f>
        <v>TRANSITO REVERSA</v>
      </c>
      <c r="G2907" s="23">
        <f>IFERROR(__xludf.DUMMYFUNCTION("""COMPUTED_VALUE"""),45626.29871527778)</f>
        <v>45626.29872</v>
      </c>
      <c r="H2907" s="24" t="str">
        <f>IFERROR(VLOOKUP(B2907,material!A:D,3,0),"")</f>
        <v>4K</v>
      </c>
    </row>
    <row r="2908" ht="11.25" customHeight="1">
      <c r="A2908" s="21" t="str">
        <f>IFERROR(__xludf.DUMMYFUNCTION("""COMPUTED_VALUE"""),"DECODER 4K ULTRA HD DGCI363 COM IG")</f>
        <v>DECODER 4K ULTRA HD DGCI363 COM IG</v>
      </c>
      <c r="B2908" s="22">
        <f>IFERROR(__xludf.DUMMYFUNCTION("""COMPUTED_VALUE"""),4.1001484E7)</f>
        <v>41001484</v>
      </c>
      <c r="C2908" s="21" t="str">
        <f>IFERROR(__xludf.DUMMYFUNCTION("""COMPUTED_VALUE"""),"229878580103")</f>
        <v>229878580103</v>
      </c>
      <c r="D2908" s="21" t="str">
        <f>IFERROR(__xludf.DUMMYFUNCTION("""COMPUTED_VALUE"""),"DIGITEC TECNOLOGIA DIGITAL E REPRES")</f>
        <v>DIGITEC TECNOLOGIA DIGITAL E REPRES</v>
      </c>
      <c r="E2908" s="21">
        <f>IFERROR(__xludf.DUMMYFUNCTION("""COMPUTED_VALUE"""),145359.0)</f>
        <v>145359</v>
      </c>
      <c r="F2908" s="21" t="str">
        <f>IFERROR(__xludf.DUMMYFUNCTION("""COMPUTED_VALUE"""),"TRANSITO REVERSA")</f>
        <v>TRANSITO REVERSA</v>
      </c>
      <c r="G2908" s="23">
        <f>IFERROR(__xludf.DUMMYFUNCTION("""COMPUTED_VALUE"""),45626.29872685185)</f>
        <v>45626.29873</v>
      </c>
      <c r="H2908" s="24" t="str">
        <f>IFERROR(VLOOKUP(B2908,material!A:D,3,0),"")</f>
        <v>4K</v>
      </c>
    </row>
    <row r="2909" ht="11.25" customHeight="1">
      <c r="A2909" s="21" t="str">
        <f>IFERROR(__xludf.DUMMYFUNCTION("""COMPUTED_VALUE"""),"DECODER 4K ULTRA HD DGCI363 COM IG")</f>
        <v>DECODER 4K ULTRA HD DGCI363 COM IG</v>
      </c>
      <c r="B2909" s="22">
        <f>IFERROR(__xludf.DUMMYFUNCTION("""COMPUTED_VALUE"""),4.1001484E7)</f>
        <v>41001484</v>
      </c>
      <c r="C2909" s="21" t="str">
        <f>IFERROR(__xludf.DUMMYFUNCTION("""COMPUTED_VALUE"""),"229904241126")</f>
        <v>229904241126</v>
      </c>
      <c r="D2909" s="21" t="str">
        <f>IFERROR(__xludf.DUMMYFUNCTION("""COMPUTED_VALUE"""),"DIGITEC TECNOLOGIA DIGITAL E REPRES")</f>
        <v>DIGITEC TECNOLOGIA DIGITAL E REPRES</v>
      </c>
      <c r="E2909" s="21">
        <f>IFERROR(__xludf.DUMMYFUNCTION("""COMPUTED_VALUE"""),145359.0)</f>
        <v>145359</v>
      </c>
      <c r="F2909" s="21" t="str">
        <f>IFERROR(__xludf.DUMMYFUNCTION("""COMPUTED_VALUE"""),"TRANSITO REVERSA")</f>
        <v>TRANSITO REVERSA</v>
      </c>
      <c r="G2909" s="23">
        <f>IFERROR(__xludf.DUMMYFUNCTION("""COMPUTED_VALUE"""),45633.00399305555)</f>
        <v>45633.00399</v>
      </c>
      <c r="H2909" s="24" t="str">
        <f>IFERROR(VLOOKUP(B2909,material!A:D,3,0),"")</f>
        <v>4K</v>
      </c>
    </row>
    <row r="2910" ht="11.25" customHeight="1">
      <c r="A2910" s="21" t="str">
        <f>IFERROR(__xludf.DUMMYFUNCTION("""COMPUTED_VALUE"""),"DECODER 4K ULTRA HD DGCI363 COM IG")</f>
        <v>DECODER 4K ULTRA HD DGCI363 COM IG</v>
      </c>
      <c r="B2910" s="22">
        <f>IFERROR(__xludf.DUMMYFUNCTION("""COMPUTED_VALUE"""),4.1001484E7)</f>
        <v>41001484</v>
      </c>
      <c r="C2910" s="21" t="str">
        <f>IFERROR(__xludf.DUMMYFUNCTION("""COMPUTED_VALUE"""),"229817285568")</f>
        <v>229817285568</v>
      </c>
      <c r="D2910" s="21" t="str">
        <f>IFERROR(__xludf.DUMMYFUNCTION("""COMPUTED_VALUE"""),"DIGITEC TECNOLOGIA DIGITAL E REPRES")</f>
        <v>DIGITEC TECNOLOGIA DIGITAL E REPRES</v>
      </c>
      <c r="E2910" s="21">
        <f>IFERROR(__xludf.DUMMYFUNCTION("""COMPUTED_VALUE"""),145359.0)</f>
        <v>145359</v>
      </c>
      <c r="F2910" s="21" t="str">
        <f>IFERROR(__xludf.DUMMYFUNCTION("""COMPUTED_VALUE"""),"TRANSITO REVERSA")</f>
        <v>TRANSITO REVERSA</v>
      </c>
      <c r="G2910" s="23">
        <f>IFERROR(__xludf.DUMMYFUNCTION("""COMPUTED_VALUE"""),45633.0033912037)</f>
        <v>45633.00339</v>
      </c>
      <c r="H2910" s="24" t="str">
        <f>IFERROR(VLOOKUP(B2910,material!A:D,3,0),"")</f>
        <v>4K</v>
      </c>
    </row>
    <row r="2911" ht="11.25" customHeight="1">
      <c r="A2911" s="21" t="str">
        <f>IFERROR(__xludf.DUMMYFUNCTION("""COMPUTED_VALUE"""),"DECODER 4K ULTRA HD DGCI363 COM IG")</f>
        <v>DECODER 4K ULTRA HD DGCI363 COM IG</v>
      </c>
      <c r="B2911" s="22">
        <f>IFERROR(__xludf.DUMMYFUNCTION("""COMPUTED_VALUE"""),4.1001484E7)</f>
        <v>41001484</v>
      </c>
      <c r="C2911" s="21" t="str">
        <f>IFERROR(__xludf.DUMMYFUNCTION("""COMPUTED_VALUE"""),"229819710710")</f>
        <v>229819710710</v>
      </c>
      <c r="D2911" s="21" t="str">
        <f>IFERROR(__xludf.DUMMYFUNCTION("""COMPUTED_VALUE"""),"DIGITEC TECNOLOGIA DIGITAL E REPRES")</f>
        <v>DIGITEC TECNOLOGIA DIGITAL E REPRES</v>
      </c>
      <c r="E2911" s="21">
        <f>IFERROR(__xludf.DUMMYFUNCTION("""COMPUTED_VALUE"""),145359.0)</f>
        <v>145359</v>
      </c>
      <c r="F2911" s="21" t="str">
        <f>IFERROR(__xludf.DUMMYFUNCTION("""COMPUTED_VALUE"""),"TRANSITO REVERSA")</f>
        <v>TRANSITO REVERSA</v>
      </c>
      <c r="G2911" s="23">
        <f>IFERROR(__xludf.DUMMYFUNCTION("""COMPUTED_VALUE"""),45633.00340277777)</f>
        <v>45633.0034</v>
      </c>
      <c r="H2911" s="24" t="str">
        <f>IFERROR(VLOOKUP(B2911,material!A:D,3,0),"")</f>
        <v>4K</v>
      </c>
    </row>
    <row r="2912" ht="11.25" customHeight="1">
      <c r="A2912" s="21" t="str">
        <f>IFERROR(__xludf.DUMMYFUNCTION("""COMPUTED_VALUE"""),"DECODER 4K ULTRA HD DGCI363 COM IG")</f>
        <v>DECODER 4K ULTRA HD DGCI363 COM IG</v>
      </c>
      <c r="B2912" s="22">
        <f>IFERROR(__xludf.DUMMYFUNCTION("""COMPUTED_VALUE"""),4.1001484E7)</f>
        <v>41001484</v>
      </c>
      <c r="C2912" s="21" t="str">
        <f>IFERROR(__xludf.DUMMYFUNCTION("""COMPUTED_VALUE"""),"229848670506")</f>
        <v>229848670506</v>
      </c>
      <c r="D2912" s="21" t="str">
        <f>IFERROR(__xludf.DUMMYFUNCTION("""COMPUTED_VALUE"""),"DIGITEC TECNOLOGIA DIGITAL E REPRES")</f>
        <v>DIGITEC TECNOLOGIA DIGITAL E REPRES</v>
      </c>
      <c r="E2912" s="21">
        <f>IFERROR(__xludf.DUMMYFUNCTION("""COMPUTED_VALUE"""),145359.0)</f>
        <v>145359</v>
      </c>
      <c r="F2912" s="21" t="str">
        <f>IFERROR(__xludf.DUMMYFUNCTION("""COMPUTED_VALUE"""),"TRANSITO REVERSA")</f>
        <v>TRANSITO REVERSA</v>
      </c>
      <c r="G2912" s="23">
        <f>IFERROR(__xludf.DUMMYFUNCTION("""COMPUTED_VALUE"""),45638.52061342592)</f>
        <v>45638.52061</v>
      </c>
      <c r="H2912" s="24" t="str">
        <f>IFERROR(VLOOKUP(B2912,material!A:D,3,0),"")</f>
        <v>4K</v>
      </c>
    </row>
    <row r="2913" ht="11.25" customHeight="1">
      <c r="A2913" s="21" t="str">
        <f>IFERROR(__xludf.DUMMYFUNCTION("""COMPUTED_VALUE"""),"DECODER 4K ULTRA HD DGCI363 COM IG")</f>
        <v>DECODER 4K ULTRA HD DGCI363 COM IG</v>
      </c>
      <c r="B2913" s="22">
        <f>IFERROR(__xludf.DUMMYFUNCTION("""COMPUTED_VALUE"""),4.1001484E7)</f>
        <v>41001484</v>
      </c>
      <c r="C2913" s="21" t="str">
        <f>IFERROR(__xludf.DUMMYFUNCTION("""COMPUTED_VALUE"""),"229848547485")</f>
        <v>229848547485</v>
      </c>
      <c r="D2913" s="21" t="str">
        <f>IFERROR(__xludf.DUMMYFUNCTION("""COMPUTED_VALUE"""),"DIGITEC TECNOLOGIA DIGITAL E REPRES")</f>
        <v>DIGITEC TECNOLOGIA DIGITAL E REPRES</v>
      </c>
      <c r="E2913" s="21">
        <f>IFERROR(__xludf.DUMMYFUNCTION("""COMPUTED_VALUE"""),145359.0)</f>
        <v>145359</v>
      </c>
      <c r="F2913" s="21" t="str">
        <f>IFERROR(__xludf.DUMMYFUNCTION("""COMPUTED_VALUE"""),"TRANSITO REVERSA")</f>
        <v>TRANSITO REVERSA</v>
      </c>
      <c r="G2913" s="23">
        <f>IFERROR(__xludf.DUMMYFUNCTION("""COMPUTED_VALUE"""),45626.2987037037)</f>
        <v>45626.2987</v>
      </c>
      <c r="H2913" s="24" t="str">
        <f>IFERROR(VLOOKUP(B2913,material!A:D,3,0),"")</f>
        <v>4K</v>
      </c>
    </row>
    <row r="2914" ht="11.25" customHeight="1">
      <c r="A2914" s="21" t="str">
        <f>IFERROR(__xludf.DUMMYFUNCTION("""COMPUTED_VALUE"""),"DECODER 4K ULTRA HD DGCI363 COM IG")</f>
        <v>DECODER 4K ULTRA HD DGCI363 COM IG</v>
      </c>
      <c r="B2914" s="22">
        <f>IFERROR(__xludf.DUMMYFUNCTION("""COMPUTED_VALUE"""),4.1001484E7)</f>
        <v>41001484</v>
      </c>
      <c r="C2914" s="21" t="str">
        <f>IFERROR(__xludf.DUMMYFUNCTION("""COMPUTED_VALUE"""),"229848516573")</f>
        <v>229848516573</v>
      </c>
      <c r="D2914" s="21" t="str">
        <f>IFERROR(__xludf.DUMMYFUNCTION("""COMPUTED_VALUE"""),"DIGITEC TECNOLOGIA DIGITAL E REPRES")</f>
        <v>DIGITEC TECNOLOGIA DIGITAL E REPRES</v>
      </c>
      <c r="E2914" s="21">
        <f>IFERROR(__xludf.DUMMYFUNCTION("""COMPUTED_VALUE"""),145359.0)</f>
        <v>145359</v>
      </c>
      <c r="F2914" s="21" t="str">
        <f>IFERROR(__xludf.DUMMYFUNCTION("""COMPUTED_VALUE"""),"TRANSITO REVERSA")</f>
        <v>TRANSITO REVERSA</v>
      </c>
      <c r="G2914" s="23">
        <f>IFERROR(__xludf.DUMMYFUNCTION("""COMPUTED_VALUE"""),45633.00396990741)</f>
        <v>45633.00397</v>
      </c>
      <c r="H2914" s="24" t="str">
        <f>IFERROR(VLOOKUP(B2914,material!A:D,3,0),"")</f>
        <v>4K</v>
      </c>
    </row>
    <row r="2915" ht="11.25" customHeight="1">
      <c r="A2915" s="21" t="str">
        <f>IFERROR(__xludf.DUMMYFUNCTION("""COMPUTED_VALUE"""),"KIT ONT HG8245Q2 DUAL BAND NACIONAL")</f>
        <v>KIT ONT HG8245Q2 DUAL BAND NACIONAL</v>
      </c>
      <c r="B2915" s="22">
        <f>IFERROR(__xludf.DUMMYFUNCTION("""COMPUTED_VALUE"""),4.1001434E7)</f>
        <v>41001434</v>
      </c>
      <c r="C2915" s="21" t="str">
        <f>IFERROR(__xludf.DUMMYFUNCTION("""COMPUTED_VALUE"""),"EC4D4726944C")</f>
        <v>EC4D4726944C</v>
      </c>
      <c r="D2915" s="21" t="str">
        <f>IFERROR(__xludf.DUMMYFUNCTION("""COMPUTED_VALUE"""),"DIGITEC TECNOLOGIA DIGITAL E REPRES")</f>
        <v>DIGITEC TECNOLOGIA DIGITAL E REPRES</v>
      </c>
      <c r="E2915" s="21">
        <f>IFERROR(__xludf.DUMMYFUNCTION("""COMPUTED_VALUE"""),145359.0)</f>
        <v>145359</v>
      </c>
      <c r="F2915" s="21" t="str">
        <f>IFERROR(__xludf.DUMMYFUNCTION("""COMPUTED_VALUE"""),"TRANSITO REVERSA")</f>
        <v>TRANSITO REVERSA</v>
      </c>
      <c r="G2915" s="23">
        <f>IFERROR(__xludf.DUMMYFUNCTION("""COMPUTED_VALUE"""),45638.520636574074)</f>
        <v>45638.52064</v>
      </c>
      <c r="H2915" s="24" t="str">
        <f>IFERROR(VLOOKUP(B2915,material!A:D,3,0),"")</f>
        <v>ONT</v>
      </c>
    </row>
    <row r="2916" ht="11.25" customHeight="1">
      <c r="A2916" s="21" t="str">
        <f>IFERROR(__xludf.DUMMYFUNCTION("""COMPUTED_VALUE"""),"DECODER HD HHDC2")</f>
        <v>DECODER HD HHDC2</v>
      </c>
      <c r="B2916" s="22">
        <f>IFERROR(__xludf.DUMMYFUNCTION("""COMPUTED_VALUE"""),4.1001048E7)</f>
        <v>41001048</v>
      </c>
      <c r="C2916" s="21" t="str">
        <f>IFERROR(__xludf.DUMMYFUNCTION("""COMPUTED_VALUE"""),"229707553344")</f>
        <v>229707553344</v>
      </c>
      <c r="D2916" s="21" t="str">
        <f>IFERROR(__xludf.DUMMYFUNCTION("""COMPUTED_VALUE"""),"DIGITEC TECNOLOGIA DIGITAL E REPRES")</f>
        <v>DIGITEC TECNOLOGIA DIGITAL E REPRES</v>
      </c>
      <c r="E2916" s="21">
        <f>IFERROR(__xludf.DUMMYFUNCTION("""COMPUTED_VALUE"""),145359.0)</f>
        <v>145359</v>
      </c>
      <c r="F2916" s="21" t="str">
        <f>IFERROR(__xludf.DUMMYFUNCTION("""COMPUTED_VALUE"""),"TRANSITO REVERSA")</f>
        <v>TRANSITO REVERSA</v>
      </c>
      <c r="G2916" s="23">
        <f>IFERROR(__xludf.DUMMYFUNCTION("""COMPUTED_VALUE"""),45633.00533564815)</f>
        <v>45633.00534</v>
      </c>
      <c r="H2916" s="24" t="str">
        <f>IFERROR(VLOOKUP(B2916,material!A:D,3,0),"")</f>
        <v>TOP MIX</v>
      </c>
    </row>
    <row r="2917" ht="11.25" customHeight="1">
      <c r="A2917" s="21" t="str">
        <f>IFERROR(__xludf.DUMMYFUNCTION("""COMPUTED_VALUE"""),"DECODER HD HHDC2")</f>
        <v>DECODER HD HHDC2</v>
      </c>
      <c r="B2917" s="22">
        <f>IFERROR(__xludf.DUMMYFUNCTION("""COMPUTED_VALUE"""),4.1001048E7)</f>
        <v>41001048</v>
      </c>
      <c r="C2917" s="21" t="str">
        <f>IFERROR(__xludf.DUMMYFUNCTION("""COMPUTED_VALUE"""),"229677804548")</f>
        <v>229677804548</v>
      </c>
      <c r="D2917" s="21" t="str">
        <f>IFERROR(__xludf.DUMMYFUNCTION("""COMPUTED_VALUE"""),"DIGITEC TECNOLOGIA DIGITAL E REPRES")</f>
        <v>DIGITEC TECNOLOGIA DIGITAL E REPRES</v>
      </c>
      <c r="E2917" s="21">
        <f>IFERROR(__xludf.DUMMYFUNCTION("""COMPUTED_VALUE"""),145359.0)</f>
        <v>145359</v>
      </c>
      <c r="F2917" s="21" t="str">
        <f>IFERROR(__xludf.DUMMYFUNCTION("""COMPUTED_VALUE"""),"TRANSITO REVERSA")</f>
        <v>TRANSITO REVERSA</v>
      </c>
      <c r="G2917" s="23">
        <f>IFERROR(__xludf.DUMMYFUNCTION("""COMPUTED_VALUE"""),45638.52113425926)</f>
        <v>45638.52113</v>
      </c>
      <c r="H2917" s="24" t="str">
        <f>IFERROR(VLOOKUP(B2917,material!A:D,3,0),"")</f>
        <v>TOP MIX</v>
      </c>
    </row>
    <row r="2918" ht="11.25" customHeight="1">
      <c r="A2918" s="21" t="str">
        <f>IFERROR(__xludf.DUMMYFUNCTION("""COMPUTED_VALUE"""),"DECODER HD HHDC2")</f>
        <v>DECODER HD HHDC2</v>
      </c>
      <c r="B2918" s="22">
        <f>IFERROR(__xludf.DUMMYFUNCTION("""COMPUTED_VALUE"""),4.1001048E7)</f>
        <v>41001048</v>
      </c>
      <c r="C2918" s="21" t="str">
        <f>IFERROR(__xludf.DUMMYFUNCTION("""COMPUTED_VALUE"""),"229677404251")</f>
        <v>229677404251</v>
      </c>
      <c r="D2918" s="21" t="str">
        <f>IFERROR(__xludf.DUMMYFUNCTION("""COMPUTED_VALUE"""),"DIGITEC TECNOLOGIA DIGITAL E REPRES")</f>
        <v>DIGITEC TECNOLOGIA DIGITAL E REPRES</v>
      </c>
      <c r="E2918" s="21">
        <f>IFERROR(__xludf.DUMMYFUNCTION("""COMPUTED_VALUE"""),145359.0)</f>
        <v>145359</v>
      </c>
      <c r="F2918" s="21" t="str">
        <f>IFERROR(__xludf.DUMMYFUNCTION("""COMPUTED_VALUE"""),"TRANSITO REVERSA")</f>
        <v>TRANSITO REVERSA</v>
      </c>
      <c r="G2918" s="23">
        <f>IFERROR(__xludf.DUMMYFUNCTION("""COMPUTED_VALUE"""),45638.52059027778)</f>
        <v>45638.52059</v>
      </c>
      <c r="H2918" s="24" t="str">
        <f>IFERROR(VLOOKUP(B2918,material!A:D,3,0),"")</f>
        <v>TOP MIX</v>
      </c>
    </row>
    <row r="2919" ht="11.25" customHeight="1">
      <c r="A2919" s="21" t="str">
        <f>IFERROR(__xludf.DUMMYFUNCTION("""COMPUTED_VALUE"""),"DECODER HD HHDC2")</f>
        <v>DECODER HD HHDC2</v>
      </c>
      <c r="B2919" s="22">
        <f>IFERROR(__xludf.DUMMYFUNCTION("""COMPUTED_VALUE"""),4.1001048E7)</f>
        <v>41001048</v>
      </c>
      <c r="C2919" s="21" t="str">
        <f>IFERROR(__xludf.DUMMYFUNCTION("""COMPUTED_VALUE"""),"229678225274")</f>
        <v>229678225274</v>
      </c>
      <c r="D2919" s="21" t="str">
        <f>IFERROR(__xludf.DUMMYFUNCTION("""COMPUTED_VALUE"""),"DIGITEC TECNOLOGIA DIGITAL E REPRES")</f>
        <v>DIGITEC TECNOLOGIA DIGITAL E REPRES</v>
      </c>
      <c r="E2919" s="21">
        <f>IFERROR(__xludf.DUMMYFUNCTION("""COMPUTED_VALUE"""),145359.0)</f>
        <v>145359</v>
      </c>
      <c r="F2919" s="21" t="str">
        <f>IFERROR(__xludf.DUMMYFUNCTION("""COMPUTED_VALUE"""),"TRANSITO REVERSA")</f>
        <v>TRANSITO REVERSA</v>
      </c>
      <c r="G2919" s="23">
        <f>IFERROR(__xludf.DUMMYFUNCTION("""COMPUTED_VALUE"""),45617.87240740741)</f>
        <v>45617.87241</v>
      </c>
      <c r="H2919" s="24" t="str">
        <f>IFERROR(VLOOKUP(B2919,material!A:D,3,0),"")</f>
        <v>TOP MIX</v>
      </c>
    </row>
    <row r="2920" ht="11.25" customHeight="1">
      <c r="A2920" s="21" t="str">
        <f>IFERROR(__xludf.DUMMYFUNCTION("""COMPUTED_VALUE"""),"DECODER HD HHDC2")</f>
        <v>DECODER HD HHDC2</v>
      </c>
      <c r="B2920" s="22">
        <f>IFERROR(__xludf.DUMMYFUNCTION("""COMPUTED_VALUE"""),4.1001048E7)</f>
        <v>41001048</v>
      </c>
      <c r="C2920" s="21" t="str">
        <f>IFERROR(__xludf.DUMMYFUNCTION("""COMPUTED_VALUE"""),"229676353958")</f>
        <v>229676353958</v>
      </c>
      <c r="D2920" s="21" t="str">
        <f>IFERROR(__xludf.DUMMYFUNCTION("""COMPUTED_VALUE"""),"DIGITEC TECNOLOGIA DIGITAL E REPRES")</f>
        <v>DIGITEC TECNOLOGIA DIGITAL E REPRES</v>
      </c>
      <c r="E2920" s="21">
        <f>IFERROR(__xludf.DUMMYFUNCTION("""COMPUTED_VALUE"""),145359.0)</f>
        <v>145359</v>
      </c>
      <c r="F2920" s="21" t="str">
        <f>IFERROR(__xludf.DUMMYFUNCTION("""COMPUTED_VALUE"""),"TRANSITO REVERSA")</f>
        <v>TRANSITO REVERSA</v>
      </c>
      <c r="G2920" s="23">
        <f>IFERROR(__xludf.DUMMYFUNCTION("""COMPUTED_VALUE"""),45633.00341435186)</f>
        <v>45633.00341</v>
      </c>
      <c r="H2920" s="24" t="str">
        <f>IFERROR(VLOOKUP(B2920,material!A:D,3,0),"")</f>
        <v>TOP MIX</v>
      </c>
    </row>
    <row r="2921" ht="11.25" customHeight="1">
      <c r="A2921" s="21" t="str">
        <f>IFERROR(__xludf.DUMMYFUNCTION("""COMPUTED_VALUE"""),"DECODER HD HHDC2")</f>
        <v>DECODER HD HHDC2</v>
      </c>
      <c r="B2921" s="22">
        <f>IFERROR(__xludf.DUMMYFUNCTION("""COMPUTED_VALUE"""),4.1001048E7)</f>
        <v>41001048</v>
      </c>
      <c r="C2921" s="21" t="str">
        <f>IFERROR(__xludf.DUMMYFUNCTION("""COMPUTED_VALUE"""),"229678231919")</f>
        <v>229678231919</v>
      </c>
      <c r="D2921" s="21" t="str">
        <f>IFERROR(__xludf.DUMMYFUNCTION("""COMPUTED_VALUE"""),"DIGITEC TECNOLOGIA DIGITAL E REPRES")</f>
        <v>DIGITEC TECNOLOGIA DIGITAL E REPRES</v>
      </c>
      <c r="E2921" s="21">
        <f>IFERROR(__xludf.DUMMYFUNCTION("""COMPUTED_VALUE"""),145359.0)</f>
        <v>145359</v>
      </c>
      <c r="F2921" s="21" t="str">
        <f>IFERROR(__xludf.DUMMYFUNCTION("""COMPUTED_VALUE"""),"TRANSITO REVERSA")</f>
        <v>TRANSITO REVERSA</v>
      </c>
      <c r="G2921" s="23">
        <f>IFERROR(__xludf.DUMMYFUNCTION("""COMPUTED_VALUE"""),45638.52113425926)</f>
        <v>45638.52113</v>
      </c>
      <c r="H2921" s="24" t="str">
        <f>IFERROR(VLOOKUP(B2921,material!A:D,3,0),"")</f>
        <v>TOP MIX</v>
      </c>
    </row>
    <row r="2922" ht="11.25" customHeight="1">
      <c r="A2922" s="21" t="str">
        <f>IFERROR(__xludf.DUMMYFUNCTION("""COMPUTED_VALUE"""),"DECODER HD HHDC2")</f>
        <v>DECODER HD HHDC2</v>
      </c>
      <c r="B2922" s="22">
        <f>IFERROR(__xludf.DUMMYFUNCTION("""COMPUTED_VALUE"""),4.1001048E7)</f>
        <v>41001048</v>
      </c>
      <c r="C2922" s="21" t="str">
        <f>IFERROR(__xludf.DUMMYFUNCTION("""COMPUTED_VALUE"""),"229702102442")</f>
        <v>229702102442</v>
      </c>
      <c r="D2922" s="21" t="str">
        <f>IFERROR(__xludf.DUMMYFUNCTION("""COMPUTED_VALUE"""),"DIGITEC TECNOLOGIA DIGITAL E REPRES")</f>
        <v>DIGITEC TECNOLOGIA DIGITAL E REPRES</v>
      </c>
      <c r="E2922" s="21">
        <f>IFERROR(__xludf.DUMMYFUNCTION("""COMPUTED_VALUE"""),145359.0)</f>
        <v>145359</v>
      </c>
      <c r="F2922" s="21" t="str">
        <f>IFERROR(__xludf.DUMMYFUNCTION("""COMPUTED_VALUE"""),"TRANSITO REVERSA")</f>
        <v>TRANSITO REVERSA</v>
      </c>
      <c r="G2922" s="23">
        <f>IFERROR(__xludf.DUMMYFUNCTION("""COMPUTED_VALUE"""),45617.87142361111)</f>
        <v>45617.87142</v>
      </c>
      <c r="H2922" s="24" t="str">
        <f>IFERROR(VLOOKUP(B2922,material!A:D,3,0),"")</f>
        <v>TOP MIX</v>
      </c>
    </row>
    <row r="2923" ht="11.25" customHeight="1">
      <c r="A2923" s="21" t="str">
        <f>IFERROR(__xludf.DUMMYFUNCTION("""COMPUTED_VALUE"""),"DECODER HD HHDC2")</f>
        <v>DECODER HD HHDC2</v>
      </c>
      <c r="B2923" s="22">
        <f>IFERROR(__xludf.DUMMYFUNCTION("""COMPUTED_VALUE"""),4.1001048E7)</f>
        <v>41001048</v>
      </c>
      <c r="C2923" s="21" t="str">
        <f>IFERROR(__xludf.DUMMYFUNCTION("""COMPUTED_VALUE"""),"229733344761")</f>
        <v>229733344761</v>
      </c>
      <c r="D2923" s="21" t="str">
        <f>IFERROR(__xludf.DUMMYFUNCTION("""COMPUTED_VALUE"""),"DIGITEC TECNOLOGIA DIGITAL E REPRES")</f>
        <v>DIGITEC TECNOLOGIA DIGITAL E REPRES</v>
      </c>
      <c r="E2923" s="21">
        <f>IFERROR(__xludf.DUMMYFUNCTION("""COMPUTED_VALUE"""),145359.0)</f>
        <v>145359</v>
      </c>
      <c r="F2923" s="21" t="str">
        <f>IFERROR(__xludf.DUMMYFUNCTION("""COMPUTED_VALUE"""),"TRANSITO REVERSA")</f>
        <v>TRANSITO REVERSA</v>
      </c>
      <c r="G2923" s="23">
        <f>IFERROR(__xludf.DUMMYFUNCTION("""COMPUTED_VALUE"""),45638.520648148144)</f>
        <v>45638.52065</v>
      </c>
      <c r="H2923" s="24" t="str">
        <f>IFERROR(VLOOKUP(B2923,material!A:D,3,0),"")</f>
        <v>TOP MIX</v>
      </c>
    </row>
    <row r="2924" ht="11.25" customHeight="1">
      <c r="A2924" s="21" t="str">
        <f>IFERROR(__xludf.DUMMYFUNCTION("""COMPUTED_VALUE"""),"DECODER HD HHDC2")</f>
        <v>DECODER HD HHDC2</v>
      </c>
      <c r="B2924" s="22">
        <f>IFERROR(__xludf.DUMMYFUNCTION("""COMPUTED_VALUE"""),4.1001048E7)</f>
        <v>41001048</v>
      </c>
      <c r="C2924" s="21" t="str">
        <f>IFERROR(__xludf.DUMMYFUNCTION("""COMPUTED_VALUE"""),"229763862431")</f>
        <v>229763862431</v>
      </c>
      <c r="D2924" s="21" t="str">
        <f>IFERROR(__xludf.DUMMYFUNCTION("""COMPUTED_VALUE"""),"DIGITEC TECNOLOGIA DIGITAL E REPRES")</f>
        <v>DIGITEC TECNOLOGIA DIGITAL E REPRES</v>
      </c>
      <c r="E2924" s="21">
        <f>IFERROR(__xludf.DUMMYFUNCTION("""COMPUTED_VALUE"""),145359.0)</f>
        <v>145359</v>
      </c>
      <c r="F2924" s="21" t="str">
        <f>IFERROR(__xludf.DUMMYFUNCTION("""COMPUTED_VALUE"""),"TRANSITO REVERSA")</f>
        <v>TRANSITO REVERSA</v>
      </c>
      <c r="G2924" s="23">
        <f>IFERROR(__xludf.DUMMYFUNCTION("""COMPUTED_VALUE"""),45633.00396990741)</f>
        <v>45633.00397</v>
      </c>
      <c r="H2924" s="24" t="str">
        <f>IFERROR(VLOOKUP(B2924,material!A:D,3,0),"")</f>
        <v>TOP MIX</v>
      </c>
    </row>
    <row r="2925" ht="11.25" customHeight="1">
      <c r="A2925" s="21" t="str">
        <f>IFERROR(__xludf.DUMMYFUNCTION("""COMPUTED_VALUE"""),"DECODER HD HHDC2")</f>
        <v>DECODER HD HHDC2</v>
      </c>
      <c r="B2925" s="22">
        <f>IFERROR(__xludf.DUMMYFUNCTION("""COMPUTED_VALUE"""),4.1001048E7)</f>
        <v>41001048</v>
      </c>
      <c r="C2925" s="21" t="str">
        <f>IFERROR(__xludf.DUMMYFUNCTION("""COMPUTED_VALUE"""),"229763864249")</f>
        <v>229763864249</v>
      </c>
      <c r="D2925" s="21" t="str">
        <f>IFERROR(__xludf.DUMMYFUNCTION("""COMPUTED_VALUE"""),"DIGITEC TECNOLOGIA DIGITAL E REPRES")</f>
        <v>DIGITEC TECNOLOGIA DIGITAL E REPRES</v>
      </c>
      <c r="E2925" s="21">
        <f>IFERROR(__xludf.DUMMYFUNCTION("""COMPUTED_VALUE"""),145359.0)</f>
        <v>145359</v>
      </c>
      <c r="F2925" s="21" t="str">
        <f>IFERROR(__xludf.DUMMYFUNCTION("""COMPUTED_VALUE"""),"TRANSITO REVERSA")</f>
        <v>TRANSITO REVERSA</v>
      </c>
      <c r="G2925" s="23">
        <f>IFERROR(__xludf.DUMMYFUNCTION("""COMPUTED_VALUE"""),45626.298680555556)</f>
        <v>45626.29868</v>
      </c>
      <c r="H2925" s="24" t="str">
        <f>IFERROR(VLOOKUP(B2925,material!A:D,3,0),"")</f>
        <v>TOP MIX</v>
      </c>
    </row>
    <row r="2926" ht="11.25" customHeight="1">
      <c r="A2926" s="21" t="str">
        <f>IFERROR(__xludf.DUMMYFUNCTION("""COMPUTED_VALUE"""),"DECODER HD HHDC2")</f>
        <v>DECODER HD HHDC2</v>
      </c>
      <c r="B2926" s="22">
        <f>IFERROR(__xludf.DUMMYFUNCTION("""COMPUTED_VALUE"""),4.1001048E7)</f>
        <v>41001048</v>
      </c>
      <c r="C2926" s="21" t="str">
        <f>IFERROR(__xludf.DUMMYFUNCTION("""COMPUTED_VALUE"""),"229733639313")</f>
        <v>229733639313</v>
      </c>
      <c r="D2926" s="21" t="str">
        <f>IFERROR(__xludf.DUMMYFUNCTION("""COMPUTED_VALUE"""),"DIGITEC TECNOLOGIA DIGITAL E REPRES")</f>
        <v>DIGITEC TECNOLOGIA DIGITAL E REPRES</v>
      </c>
      <c r="E2926" s="21">
        <f>IFERROR(__xludf.DUMMYFUNCTION("""COMPUTED_VALUE"""),145359.0)</f>
        <v>145359</v>
      </c>
      <c r="F2926" s="21" t="str">
        <f>IFERROR(__xludf.DUMMYFUNCTION("""COMPUTED_VALUE"""),"TRANSITO REVERSA")</f>
        <v>TRANSITO REVERSA</v>
      </c>
      <c r="G2926" s="23">
        <f>IFERROR(__xludf.DUMMYFUNCTION("""COMPUTED_VALUE"""),45626.29872685185)</f>
        <v>45626.29873</v>
      </c>
      <c r="H2926" s="24" t="str">
        <f>IFERROR(VLOOKUP(B2926,material!A:D,3,0),"")</f>
        <v>TOP MIX</v>
      </c>
    </row>
    <row r="2927" ht="11.25" customHeight="1">
      <c r="A2927" s="21" t="str">
        <f>IFERROR(__xludf.DUMMYFUNCTION("""COMPUTED_VALUE"""),"DECODER HD HHDC2")</f>
        <v>DECODER HD HHDC2</v>
      </c>
      <c r="B2927" s="22">
        <f>IFERROR(__xludf.DUMMYFUNCTION("""COMPUTED_VALUE"""),4.1001048E7)</f>
        <v>41001048</v>
      </c>
      <c r="C2927" s="21" t="str">
        <f>IFERROR(__xludf.DUMMYFUNCTION("""COMPUTED_VALUE"""),"229765865353")</f>
        <v>229765865353</v>
      </c>
      <c r="D2927" s="21" t="str">
        <f>IFERROR(__xludf.DUMMYFUNCTION("""COMPUTED_VALUE"""),"DIGITEC TECNOLOGIA DIGITAL E REPRES")</f>
        <v>DIGITEC TECNOLOGIA DIGITAL E REPRES</v>
      </c>
      <c r="E2927" s="21">
        <f>IFERROR(__xludf.DUMMYFUNCTION("""COMPUTED_VALUE"""),145359.0)</f>
        <v>145359</v>
      </c>
      <c r="F2927" s="21" t="str">
        <f>IFERROR(__xludf.DUMMYFUNCTION("""COMPUTED_VALUE"""),"TRANSITO REVERSA")</f>
        <v>TRANSITO REVERSA</v>
      </c>
      <c r="G2927" s="23">
        <f>IFERROR(__xludf.DUMMYFUNCTION("""COMPUTED_VALUE"""),45633.00533564815)</f>
        <v>45633.00534</v>
      </c>
      <c r="H2927" s="24" t="str">
        <f>IFERROR(VLOOKUP(B2927,material!A:D,3,0),"")</f>
        <v>TOP MIX</v>
      </c>
    </row>
    <row r="2928" ht="11.25" customHeight="1">
      <c r="A2928" s="21" t="str">
        <f>IFERROR(__xludf.DUMMYFUNCTION("""COMPUTED_VALUE"""),"DECODER HD HHDC2")</f>
        <v>DECODER HD HHDC2</v>
      </c>
      <c r="B2928" s="22">
        <f>IFERROR(__xludf.DUMMYFUNCTION("""COMPUTED_VALUE"""),4.1001048E7)</f>
        <v>41001048</v>
      </c>
      <c r="C2928" s="21" t="str">
        <f>IFERROR(__xludf.DUMMYFUNCTION("""COMPUTED_VALUE"""),"229766329595")</f>
        <v>229766329595</v>
      </c>
      <c r="D2928" s="21" t="str">
        <f>IFERROR(__xludf.DUMMYFUNCTION("""COMPUTED_VALUE"""),"DIGITEC TECNOLOGIA DIGITAL E REPRES")</f>
        <v>DIGITEC TECNOLOGIA DIGITAL E REPRES</v>
      </c>
      <c r="E2928" s="21">
        <f>IFERROR(__xludf.DUMMYFUNCTION("""COMPUTED_VALUE"""),145359.0)</f>
        <v>145359</v>
      </c>
      <c r="F2928" s="21" t="str">
        <f>IFERROR(__xludf.DUMMYFUNCTION("""COMPUTED_VALUE"""),"TRANSITO REVERSA")</f>
        <v>TRANSITO REVERSA</v>
      </c>
      <c r="G2928" s="23">
        <f>IFERROR(__xludf.DUMMYFUNCTION("""COMPUTED_VALUE"""),45617.87138888889)</f>
        <v>45617.87139</v>
      </c>
      <c r="H2928" s="24" t="str">
        <f>IFERROR(VLOOKUP(B2928,material!A:D,3,0),"")</f>
        <v>TOP MIX</v>
      </c>
    </row>
    <row r="2929" ht="11.25" customHeight="1">
      <c r="A2929" s="21" t="str">
        <f>IFERROR(__xludf.DUMMYFUNCTION("""COMPUTED_VALUE"""),"DECODER HD HHDC2")</f>
        <v>DECODER HD HHDC2</v>
      </c>
      <c r="B2929" s="22">
        <f>IFERROR(__xludf.DUMMYFUNCTION("""COMPUTED_VALUE"""),4.1001048E7)</f>
        <v>41001048</v>
      </c>
      <c r="C2929" s="21" t="str">
        <f>IFERROR(__xludf.DUMMYFUNCTION("""COMPUTED_VALUE"""),"229763888089")</f>
        <v>229763888089</v>
      </c>
      <c r="D2929" s="21" t="str">
        <f>IFERROR(__xludf.DUMMYFUNCTION("""COMPUTED_VALUE"""),"DIGITEC TECNOLOGIA DIGITAL E REPRES")</f>
        <v>DIGITEC TECNOLOGIA DIGITAL E REPRES</v>
      </c>
      <c r="E2929" s="21">
        <f>IFERROR(__xludf.DUMMYFUNCTION("""COMPUTED_VALUE"""),145359.0)</f>
        <v>145359</v>
      </c>
      <c r="F2929" s="21" t="str">
        <f>IFERROR(__xludf.DUMMYFUNCTION("""COMPUTED_VALUE"""),"TRANSITO REVERSA")</f>
        <v>TRANSITO REVERSA</v>
      </c>
      <c r="G2929" s="23">
        <f>IFERROR(__xludf.DUMMYFUNCTION("""COMPUTED_VALUE"""),45638.520578703705)</f>
        <v>45638.52058</v>
      </c>
      <c r="H2929" s="24" t="str">
        <f>IFERROR(VLOOKUP(B2929,material!A:D,3,0),"")</f>
        <v>TOP MIX</v>
      </c>
    </row>
    <row r="2930" ht="11.25" customHeight="1">
      <c r="A2930" s="21" t="str">
        <f>IFERROR(__xludf.DUMMYFUNCTION("""COMPUTED_VALUE"""),"DECODER HD HHDC2")</f>
        <v>DECODER HD HHDC2</v>
      </c>
      <c r="B2930" s="22">
        <f>IFERROR(__xludf.DUMMYFUNCTION("""COMPUTED_VALUE"""),4.1001048E7)</f>
        <v>41001048</v>
      </c>
      <c r="C2930" s="21" t="str">
        <f>IFERROR(__xludf.DUMMYFUNCTION("""COMPUTED_VALUE"""),"229731824949")</f>
        <v>229731824949</v>
      </c>
      <c r="D2930" s="21" t="str">
        <f>IFERROR(__xludf.DUMMYFUNCTION("""COMPUTED_VALUE"""),"DIGITEC TECNOLOGIA DIGITAL E REPRES")</f>
        <v>DIGITEC TECNOLOGIA DIGITAL E REPRES</v>
      </c>
      <c r="E2930" s="21">
        <f>IFERROR(__xludf.DUMMYFUNCTION("""COMPUTED_VALUE"""),145359.0)</f>
        <v>145359</v>
      </c>
      <c r="F2930" s="21" t="str">
        <f>IFERROR(__xludf.DUMMYFUNCTION("""COMPUTED_VALUE"""),"TRANSITO REVERSA")</f>
        <v>TRANSITO REVERSA</v>
      </c>
      <c r="G2930" s="23">
        <f>IFERROR(__xludf.DUMMYFUNCTION("""COMPUTED_VALUE"""),45638.520648148144)</f>
        <v>45638.52065</v>
      </c>
      <c r="H2930" s="24" t="str">
        <f>IFERROR(VLOOKUP(B2930,material!A:D,3,0),"")</f>
        <v>TOP MIX</v>
      </c>
    </row>
    <row r="2931" ht="11.25" customHeight="1">
      <c r="A2931" s="21" t="str">
        <f>IFERROR(__xludf.DUMMYFUNCTION("""COMPUTED_VALUE"""),"DECODER HD HHDC2")</f>
        <v>DECODER HD HHDC2</v>
      </c>
      <c r="B2931" s="22">
        <f>IFERROR(__xludf.DUMMYFUNCTION("""COMPUTED_VALUE"""),4.1001048E7)</f>
        <v>41001048</v>
      </c>
      <c r="C2931" s="21" t="str">
        <f>IFERROR(__xludf.DUMMYFUNCTION("""COMPUTED_VALUE"""),"229714009002")</f>
        <v>229714009002</v>
      </c>
      <c r="D2931" s="21" t="str">
        <f>IFERROR(__xludf.DUMMYFUNCTION("""COMPUTED_VALUE"""),"DIGITEC TECNOLOGIA DIGITAL E REPRES")</f>
        <v>DIGITEC TECNOLOGIA DIGITAL E REPRES</v>
      </c>
      <c r="E2931" s="21">
        <f>IFERROR(__xludf.DUMMYFUNCTION("""COMPUTED_VALUE"""),145359.0)</f>
        <v>145359</v>
      </c>
      <c r="F2931" s="21" t="str">
        <f>IFERROR(__xludf.DUMMYFUNCTION("""COMPUTED_VALUE"""),"TRANSITO REVERSA")</f>
        <v>TRANSITO REVERSA</v>
      </c>
      <c r="G2931" s="23">
        <f>IFERROR(__xludf.DUMMYFUNCTION("""COMPUTED_VALUE"""),45633.00396990741)</f>
        <v>45633.00397</v>
      </c>
      <c r="H2931" s="24" t="str">
        <f>IFERROR(VLOOKUP(B2931,material!A:D,3,0),"")</f>
        <v>TOP MIX</v>
      </c>
    </row>
    <row r="2932" ht="11.25" customHeight="1">
      <c r="A2932" s="21" t="str">
        <f>IFERROR(__xludf.DUMMYFUNCTION("""COMPUTED_VALUE"""),"DECODER HD HHDC2")</f>
        <v>DECODER HD HHDC2</v>
      </c>
      <c r="B2932" s="22">
        <f>IFERROR(__xludf.DUMMYFUNCTION("""COMPUTED_VALUE"""),4.1001048E7)</f>
        <v>41001048</v>
      </c>
      <c r="C2932" s="21" t="str">
        <f>IFERROR(__xludf.DUMMYFUNCTION("""COMPUTED_VALUE"""),"229713959603")</f>
        <v>229713959603</v>
      </c>
      <c r="D2932" s="21" t="str">
        <f>IFERROR(__xludf.DUMMYFUNCTION("""COMPUTED_VALUE"""),"DIGITEC TECNOLOGIA DIGITAL E REPRES")</f>
        <v>DIGITEC TECNOLOGIA DIGITAL E REPRES</v>
      </c>
      <c r="E2932" s="21">
        <f>IFERROR(__xludf.DUMMYFUNCTION("""COMPUTED_VALUE"""),145359.0)</f>
        <v>145359</v>
      </c>
      <c r="F2932" s="21" t="str">
        <f>IFERROR(__xludf.DUMMYFUNCTION("""COMPUTED_VALUE"""),"TRANSITO REVERSA")</f>
        <v>TRANSITO REVERSA</v>
      </c>
      <c r="G2932" s="23">
        <f>IFERROR(__xludf.DUMMYFUNCTION("""COMPUTED_VALUE"""),45638.52059027778)</f>
        <v>45638.52059</v>
      </c>
      <c r="H2932" s="24" t="str">
        <f>IFERROR(VLOOKUP(B2932,material!A:D,3,0),"")</f>
        <v>TOP MIX</v>
      </c>
    </row>
    <row r="2933" ht="11.25" customHeight="1">
      <c r="A2933" s="21" t="str">
        <f>IFERROR(__xludf.DUMMYFUNCTION("""COMPUTED_VALUE"""),"DECODER HD HHDC2")</f>
        <v>DECODER HD HHDC2</v>
      </c>
      <c r="B2933" s="22">
        <f>IFERROR(__xludf.DUMMYFUNCTION("""COMPUTED_VALUE"""),4.1001048E7)</f>
        <v>41001048</v>
      </c>
      <c r="C2933" s="21" t="str">
        <f>IFERROR(__xludf.DUMMYFUNCTION("""COMPUTED_VALUE"""),"229716255360")</f>
        <v>229716255360</v>
      </c>
      <c r="D2933" s="21" t="str">
        <f>IFERROR(__xludf.DUMMYFUNCTION("""COMPUTED_VALUE"""),"DIGITEC TECNOLOGIA DIGITAL E REPRES")</f>
        <v>DIGITEC TECNOLOGIA DIGITAL E REPRES</v>
      </c>
      <c r="E2933" s="21">
        <f>IFERROR(__xludf.DUMMYFUNCTION("""COMPUTED_VALUE"""),145359.0)</f>
        <v>145359</v>
      </c>
      <c r="F2933" s="21" t="str">
        <f>IFERROR(__xludf.DUMMYFUNCTION("""COMPUTED_VALUE"""),"TRANSITO REVERSA")</f>
        <v>TRANSITO REVERSA</v>
      </c>
      <c r="G2933" s="23">
        <f>IFERROR(__xludf.DUMMYFUNCTION("""COMPUTED_VALUE"""),45633.00399305555)</f>
        <v>45633.00399</v>
      </c>
      <c r="H2933" s="24" t="str">
        <f>IFERROR(VLOOKUP(B2933,material!A:D,3,0),"")</f>
        <v>TOP MIX</v>
      </c>
    </row>
    <row r="2934" ht="11.25" customHeight="1">
      <c r="A2934" s="21" t="str">
        <f>IFERROR(__xludf.DUMMYFUNCTION("""COMPUTED_VALUE"""),"DECODER HD HHDC2")</f>
        <v>DECODER HD HHDC2</v>
      </c>
      <c r="B2934" s="22">
        <f>IFERROR(__xludf.DUMMYFUNCTION("""COMPUTED_VALUE"""),4.1001048E7)</f>
        <v>41001048</v>
      </c>
      <c r="C2934" s="21" t="str">
        <f>IFERROR(__xludf.DUMMYFUNCTION("""COMPUTED_VALUE"""),"229711030014")</f>
        <v>229711030014</v>
      </c>
      <c r="D2934" s="21" t="str">
        <f>IFERROR(__xludf.DUMMYFUNCTION("""COMPUTED_VALUE"""),"DIGITEC TECNOLOGIA DIGITAL E REPRES")</f>
        <v>DIGITEC TECNOLOGIA DIGITAL E REPRES</v>
      </c>
      <c r="E2934" s="21">
        <f>IFERROR(__xludf.DUMMYFUNCTION("""COMPUTED_VALUE"""),145359.0)</f>
        <v>145359</v>
      </c>
      <c r="F2934" s="21" t="str">
        <f>IFERROR(__xludf.DUMMYFUNCTION("""COMPUTED_VALUE"""),"TRANSITO REVERSA")</f>
        <v>TRANSITO REVERSA</v>
      </c>
      <c r="G2934" s="23">
        <f>IFERROR(__xludf.DUMMYFUNCTION("""COMPUTED_VALUE"""),45617.87143518518)</f>
        <v>45617.87144</v>
      </c>
      <c r="H2934" s="24" t="str">
        <f>IFERROR(VLOOKUP(B2934,material!A:D,3,0),"")</f>
        <v>TOP MIX</v>
      </c>
    </row>
    <row r="2935" ht="11.25" customHeight="1">
      <c r="A2935" s="21" t="str">
        <f>IFERROR(__xludf.DUMMYFUNCTION("""COMPUTED_VALUE"""),"DECODER HD HHDC2")</f>
        <v>DECODER HD HHDC2</v>
      </c>
      <c r="B2935" s="22">
        <f>IFERROR(__xludf.DUMMYFUNCTION("""COMPUTED_VALUE"""),4.1001048E7)</f>
        <v>41001048</v>
      </c>
      <c r="C2935" s="21" t="str">
        <f>IFERROR(__xludf.DUMMYFUNCTION("""COMPUTED_VALUE"""),"229716007681")</f>
        <v>229716007681</v>
      </c>
      <c r="D2935" s="21" t="str">
        <f>IFERROR(__xludf.DUMMYFUNCTION("""COMPUTED_VALUE"""),"DIGITEC TECNOLOGIA DIGITAL E REPRES")</f>
        <v>DIGITEC TECNOLOGIA DIGITAL E REPRES</v>
      </c>
      <c r="E2935" s="21">
        <f>IFERROR(__xludf.DUMMYFUNCTION("""COMPUTED_VALUE"""),145359.0)</f>
        <v>145359</v>
      </c>
      <c r="F2935" s="21" t="str">
        <f>IFERROR(__xludf.DUMMYFUNCTION("""COMPUTED_VALUE"""),"TRANSITO REVERSA")</f>
        <v>TRANSITO REVERSA</v>
      </c>
      <c r="G2935" s="23">
        <f>IFERROR(__xludf.DUMMYFUNCTION("""COMPUTED_VALUE"""),45626.2987037037)</f>
        <v>45626.2987</v>
      </c>
      <c r="H2935" s="24" t="str">
        <f>IFERROR(VLOOKUP(B2935,material!A:D,3,0),"")</f>
        <v>TOP MIX</v>
      </c>
    </row>
    <row r="2936" ht="11.25" customHeight="1">
      <c r="A2936" s="21" t="str">
        <f>IFERROR(__xludf.DUMMYFUNCTION("""COMPUTED_VALUE"""),"DECODER HD HHDC2")</f>
        <v>DECODER HD HHDC2</v>
      </c>
      <c r="B2936" s="22">
        <f>IFERROR(__xludf.DUMMYFUNCTION("""COMPUTED_VALUE"""),4.1001048E7)</f>
        <v>41001048</v>
      </c>
      <c r="C2936" s="21" t="str">
        <f>IFERROR(__xludf.DUMMYFUNCTION("""COMPUTED_VALUE"""),"229715046869")</f>
        <v>229715046869</v>
      </c>
      <c r="D2936" s="21" t="str">
        <f>IFERROR(__xludf.DUMMYFUNCTION("""COMPUTED_VALUE"""),"DIGITEC TECNOLOGIA DIGITAL E REPRES")</f>
        <v>DIGITEC TECNOLOGIA DIGITAL E REPRES</v>
      </c>
      <c r="E2936" s="21">
        <f>IFERROR(__xludf.DUMMYFUNCTION("""COMPUTED_VALUE"""),145359.0)</f>
        <v>145359</v>
      </c>
      <c r="F2936" s="21" t="str">
        <f>IFERROR(__xludf.DUMMYFUNCTION("""COMPUTED_VALUE"""),"TRANSITO REVERSA")</f>
        <v>TRANSITO REVERSA</v>
      </c>
      <c r="G2936" s="23">
        <f>IFERROR(__xludf.DUMMYFUNCTION("""COMPUTED_VALUE"""),45617.87143518518)</f>
        <v>45617.87144</v>
      </c>
      <c r="H2936" s="24" t="str">
        <f>IFERROR(VLOOKUP(B2936,material!A:D,3,0),"")</f>
        <v>TOP MIX</v>
      </c>
    </row>
    <row r="2937" ht="11.25" customHeight="1">
      <c r="A2937" s="21" t="str">
        <f>IFERROR(__xludf.DUMMYFUNCTION("""COMPUTED_VALUE"""),"DECODER HD HHDC2")</f>
        <v>DECODER HD HHDC2</v>
      </c>
      <c r="B2937" s="22">
        <f>IFERROR(__xludf.DUMMYFUNCTION("""COMPUTED_VALUE"""),4.1001048E7)</f>
        <v>41001048</v>
      </c>
      <c r="C2937" s="21" t="str">
        <f>IFERROR(__xludf.DUMMYFUNCTION("""COMPUTED_VALUE"""),"229713390020")</f>
        <v>229713390020</v>
      </c>
      <c r="D2937" s="21" t="str">
        <f>IFERROR(__xludf.DUMMYFUNCTION("""COMPUTED_VALUE"""),"DIGITEC TECNOLOGIA DIGITAL E REPRES")</f>
        <v>DIGITEC TECNOLOGIA DIGITAL E REPRES</v>
      </c>
      <c r="E2937" s="21">
        <f>IFERROR(__xludf.DUMMYFUNCTION("""COMPUTED_VALUE"""),145359.0)</f>
        <v>145359</v>
      </c>
      <c r="F2937" s="21" t="str">
        <f>IFERROR(__xludf.DUMMYFUNCTION("""COMPUTED_VALUE"""),"TRANSITO REVERSA")</f>
        <v>TRANSITO REVERSA</v>
      </c>
      <c r="G2937" s="23">
        <f>IFERROR(__xludf.DUMMYFUNCTION("""COMPUTED_VALUE"""),45638.520625000005)</f>
        <v>45638.52063</v>
      </c>
      <c r="H2937" s="24" t="str">
        <f>IFERROR(VLOOKUP(B2937,material!A:D,3,0),"")</f>
        <v>TOP MIX</v>
      </c>
    </row>
    <row r="2938" ht="11.25" customHeight="1">
      <c r="A2938" s="21" t="str">
        <f>IFERROR(__xludf.DUMMYFUNCTION("""COMPUTED_VALUE"""),"DECODER HD HHDC2")</f>
        <v>DECODER HD HHDC2</v>
      </c>
      <c r="B2938" s="22">
        <f>IFERROR(__xludf.DUMMYFUNCTION("""COMPUTED_VALUE"""),4.1001048E7)</f>
        <v>41001048</v>
      </c>
      <c r="C2938" s="21" t="str">
        <f>IFERROR(__xludf.DUMMYFUNCTION("""COMPUTED_VALUE"""),"229714468294")</f>
        <v>229714468294</v>
      </c>
      <c r="D2938" s="21" t="str">
        <f>IFERROR(__xludf.DUMMYFUNCTION("""COMPUTED_VALUE"""),"DIGITEC TECNOLOGIA DIGITAL E REPRES")</f>
        <v>DIGITEC TECNOLOGIA DIGITAL E REPRES</v>
      </c>
      <c r="E2938" s="21">
        <f>IFERROR(__xludf.DUMMYFUNCTION("""COMPUTED_VALUE"""),145359.0)</f>
        <v>145359</v>
      </c>
      <c r="F2938" s="21" t="str">
        <f>IFERROR(__xludf.DUMMYFUNCTION("""COMPUTED_VALUE"""),"TRANSITO REVERSA")</f>
        <v>TRANSITO REVERSA</v>
      </c>
      <c r="G2938" s="23">
        <f>IFERROR(__xludf.DUMMYFUNCTION("""COMPUTED_VALUE"""),45617.87140046296)</f>
        <v>45617.8714</v>
      </c>
      <c r="H2938" s="24" t="str">
        <f>IFERROR(VLOOKUP(B2938,material!A:D,3,0),"")</f>
        <v>TOP MIX</v>
      </c>
    </row>
    <row r="2939" ht="11.25" customHeight="1">
      <c r="A2939" s="21" t="str">
        <f>IFERROR(__xludf.DUMMYFUNCTION("""COMPUTED_VALUE"""),"DECODER HD HHDC2")</f>
        <v>DECODER HD HHDC2</v>
      </c>
      <c r="B2939" s="22">
        <f>IFERROR(__xludf.DUMMYFUNCTION("""COMPUTED_VALUE"""),4.1001048E7)</f>
        <v>41001048</v>
      </c>
      <c r="C2939" s="21" t="str">
        <f>IFERROR(__xludf.DUMMYFUNCTION("""COMPUTED_VALUE"""),"229707093445")</f>
        <v>229707093445</v>
      </c>
      <c r="D2939" s="21" t="str">
        <f>IFERROR(__xludf.DUMMYFUNCTION("""COMPUTED_VALUE"""),"DIGITEC TECNOLOGIA DIGITAL E REPRES")</f>
        <v>DIGITEC TECNOLOGIA DIGITAL E REPRES</v>
      </c>
      <c r="E2939" s="21">
        <f>IFERROR(__xludf.DUMMYFUNCTION("""COMPUTED_VALUE"""),145359.0)</f>
        <v>145359</v>
      </c>
      <c r="F2939" s="21" t="str">
        <f>IFERROR(__xludf.DUMMYFUNCTION("""COMPUTED_VALUE"""),"TRANSITO REVERSA")</f>
        <v>TRANSITO REVERSA</v>
      </c>
      <c r="G2939" s="23">
        <f>IFERROR(__xludf.DUMMYFUNCTION("""COMPUTED_VALUE"""),45617.87138888889)</f>
        <v>45617.87139</v>
      </c>
      <c r="H2939" s="24" t="str">
        <f>IFERROR(VLOOKUP(B2939,material!A:D,3,0),"")</f>
        <v>TOP MIX</v>
      </c>
    </row>
    <row r="2940" ht="11.25" customHeight="1">
      <c r="A2940" s="21" t="str">
        <f>IFERROR(__xludf.DUMMYFUNCTION("""COMPUTED_VALUE"""),"DECODER HD HHDC2")</f>
        <v>DECODER HD HHDC2</v>
      </c>
      <c r="B2940" s="22">
        <f>IFERROR(__xludf.DUMMYFUNCTION("""COMPUTED_VALUE"""),4.1001048E7)</f>
        <v>41001048</v>
      </c>
      <c r="C2940" s="21" t="str">
        <f>IFERROR(__xludf.DUMMYFUNCTION("""COMPUTED_VALUE"""),"229706550104")</f>
        <v>229706550104</v>
      </c>
      <c r="D2940" s="21" t="str">
        <f>IFERROR(__xludf.DUMMYFUNCTION("""COMPUTED_VALUE"""),"DIGITEC TECNOLOGIA DIGITAL E REPRES")</f>
        <v>DIGITEC TECNOLOGIA DIGITAL E REPRES</v>
      </c>
      <c r="E2940" s="21">
        <f>IFERROR(__xludf.DUMMYFUNCTION("""COMPUTED_VALUE"""),145359.0)</f>
        <v>145359</v>
      </c>
      <c r="F2940" s="21" t="str">
        <f>IFERROR(__xludf.DUMMYFUNCTION("""COMPUTED_VALUE"""),"TRANSITO REVERSA")</f>
        <v>TRANSITO REVERSA</v>
      </c>
      <c r="G2940" s="23">
        <f>IFERROR(__xludf.DUMMYFUNCTION("""COMPUTED_VALUE"""),45633.00399305555)</f>
        <v>45633.00399</v>
      </c>
      <c r="H2940" s="24" t="str">
        <f>IFERROR(VLOOKUP(B2940,material!A:D,3,0),"")</f>
        <v>TOP MIX</v>
      </c>
    </row>
    <row r="2941" ht="11.25" customHeight="1">
      <c r="A2941" s="21" t="str">
        <f>IFERROR(__xludf.DUMMYFUNCTION("""COMPUTED_VALUE"""),"DECODER HD HHDC2")</f>
        <v>DECODER HD HHDC2</v>
      </c>
      <c r="B2941" s="22">
        <f>IFERROR(__xludf.DUMMYFUNCTION("""COMPUTED_VALUE"""),4.1001048E7)</f>
        <v>41001048</v>
      </c>
      <c r="C2941" s="21" t="str">
        <f>IFERROR(__xludf.DUMMYFUNCTION("""COMPUTED_VALUE"""),"229700429405")</f>
        <v>229700429405</v>
      </c>
      <c r="D2941" s="21" t="str">
        <f>IFERROR(__xludf.DUMMYFUNCTION("""COMPUTED_VALUE"""),"DIGITEC TECNOLOGIA DIGITAL E REPRES")</f>
        <v>DIGITEC TECNOLOGIA DIGITAL E REPRES</v>
      </c>
      <c r="E2941" s="21">
        <f>IFERROR(__xludf.DUMMYFUNCTION("""COMPUTED_VALUE"""),145359.0)</f>
        <v>145359</v>
      </c>
      <c r="F2941" s="21" t="str">
        <f>IFERROR(__xludf.DUMMYFUNCTION("""COMPUTED_VALUE"""),"TRANSITO REVERSA")</f>
        <v>TRANSITO REVERSA</v>
      </c>
      <c r="G2941" s="23">
        <f>IFERROR(__xludf.DUMMYFUNCTION("""COMPUTED_VALUE"""),45626.2987037037)</f>
        <v>45626.2987</v>
      </c>
      <c r="H2941" s="24" t="str">
        <f>IFERROR(VLOOKUP(B2941,material!A:D,3,0),"")</f>
        <v>TOP MIX</v>
      </c>
    </row>
    <row r="2942" ht="11.25" customHeight="1">
      <c r="A2942" s="21" t="str">
        <f>IFERROR(__xludf.DUMMYFUNCTION("""COMPUTED_VALUE"""),"DECODER HD HHDC2")</f>
        <v>DECODER HD HHDC2</v>
      </c>
      <c r="B2942" s="22">
        <f>IFERROR(__xludf.DUMMYFUNCTION("""COMPUTED_VALUE"""),4.1001048E7)</f>
        <v>41001048</v>
      </c>
      <c r="C2942" s="21" t="str">
        <f>IFERROR(__xludf.DUMMYFUNCTION("""COMPUTED_VALUE"""),"229703961232")</f>
        <v>229703961232</v>
      </c>
      <c r="D2942" s="21" t="str">
        <f>IFERROR(__xludf.DUMMYFUNCTION("""COMPUTED_VALUE"""),"DIGITEC TECNOLOGIA DIGITAL E REPRES")</f>
        <v>DIGITEC TECNOLOGIA DIGITAL E REPRES</v>
      </c>
      <c r="E2942" s="21">
        <f>IFERROR(__xludf.DUMMYFUNCTION("""COMPUTED_VALUE"""),145359.0)</f>
        <v>145359</v>
      </c>
      <c r="F2942" s="21" t="str">
        <f>IFERROR(__xludf.DUMMYFUNCTION("""COMPUTED_VALUE"""),"TRANSITO REVERSA")</f>
        <v>TRANSITO REVERSA</v>
      </c>
      <c r="G2942" s="23">
        <f>IFERROR(__xludf.DUMMYFUNCTION("""COMPUTED_VALUE"""),45626.29872685185)</f>
        <v>45626.29873</v>
      </c>
      <c r="H2942" s="24" t="str">
        <f>IFERROR(VLOOKUP(B2942,material!A:D,3,0),"")</f>
        <v>TOP MIX</v>
      </c>
    </row>
    <row r="2943" ht="11.25" customHeight="1">
      <c r="A2943" s="21" t="str">
        <f>IFERROR(__xludf.DUMMYFUNCTION("""COMPUTED_VALUE"""),"DECODER HD HHDC2")</f>
        <v>DECODER HD HHDC2</v>
      </c>
      <c r="B2943" s="22">
        <f>IFERROR(__xludf.DUMMYFUNCTION("""COMPUTED_VALUE"""),4.1001048E7)</f>
        <v>41001048</v>
      </c>
      <c r="C2943" s="21" t="str">
        <f>IFERROR(__xludf.DUMMYFUNCTION("""COMPUTED_VALUE"""),"229707608197")</f>
        <v>229707608197</v>
      </c>
      <c r="D2943" s="21" t="str">
        <f>IFERROR(__xludf.DUMMYFUNCTION("""COMPUTED_VALUE"""),"DIGITEC TECNOLOGIA DIGITAL E REPRES")</f>
        <v>DIGITEC TECNOLOGIA DIGITAL E REPRES</v>
      </c>
      <c r="E2943" s="21">
        <f>IFERROR(__xludf.DUMMYFUNCTION("""COMPUTED_VALUE"""),145359.0)</f>
        <v>145359</v>
      </c>
      <c r="F2943" s="21" t="str">
        <f>IFERROR(__xludf.DUMMYFUNCTION("""COMPUTED_VALUE"""),"TRANSITO REVERSA")</f>
        <v>TRANSITO REVERSA</v>
      </c>
      <c r="G2943" s="23">
        <f>IFERROR(__xludf.DUMMYFUNCTION("""COMPUTED_VALUE"""),45633.00399305555)</f>
        <v>45633.00399</v>
      </c>
      <c r="H2943" s="24" t="str">
        <f>IFERROR(VLOOKUP(B2943,material!A:D,3,0),"")</f>
        <v>TOP MIX</v>
      </c>
    </row>
    <row r="2944" ht="11.25" customHeight="1">
      <c r="A2944" s="21" t="str">
        <f>IFERROR(__xludf.DUMMYFUNCTION("""COMPUTED_VALUE"""),"DECODER HD HHDC2")</f>
        <v>DECODER HD HHDC2</v>
      </c>
      <c r="B2944" s="22">
        <f>IFERROR(__xludf.DUMMYFUNCTION("""COMPUTED_VALUE"""),4.1001048E7)</f>
        <v>41001048</v>
      </c>
      <c r="C2944" s="21" t="str">
        <f>IFERROR(__xludf.DUMMYFUNCTION("""COMPUTED_VALUE"""),"229693848303")</f>
        <v>229693848303</v>
      </c>
      <c r="D2944" s="21" t="str">
        <f>IFERROR(__xludf.DUMMYFUNCTION("""COMPUTED_VALUE"""),"DIGITEC TECNOLOGIA DIGITAL E REPRES")</f>
        <v>DIGITEC TECNOLOGIA DIGITAL E REPRES</v>
      </c>
      <c r="E2944" s="21">
        <f>IFERROR(__xludf.DUMMYFUNCTION("""COMPUTED_VALUE"""),145359.0)</f>
        <v>145359</v>
      </c>
      <c r="F2944" s="21" t="str">
        <f>IFERROR(__xludf.DUMMYFUNCTION("""COMPUTED_VALUE"""),"TRANSITO REVERSA")</f>
        <v>TRANSITO REVERSA</v>
      </c>
      <c r="G2944" s="23">
        <f>IFERROR(__xludf.DUMMYFUNCTION("""COMPUTED_VALUE"""),45617.87142361111)</f>
        <v>45617.87142</v>
      </c>
      <c r="H2944" s="24" t="str">
        <f>IFERROR(VLOOKUP(B2944,material!A:D,3,0),"")</f>
        <v>TOP MIX</v>
      </c>
    </row>
    <row r="2945" ht="11.25" customHeight="1">
      <c r="A2945" s="21" t="str">
        <f>IFERROR(__xludf.DUMMYFUNCTION("""COMPUTED_VALUE"""),"DECODER HD HHDC2")</f>
        <v>DECODER HD HHDC2</v>
      </c>
      <c r="B2945" s="22">
        <f>IFERROR(__xludf.DUMMYFUNCTION("""COMPUTED_VALUE"""),4.1001048E7)</f>
        <v>41001048</v>
      </c>
      <c r="C2945" s="21" t="str">
        <f>IFERROR(__xludf.DUMMYFUNCTION("""COMPUTED_VALUE"""),"229695210928")</f>
        <v>229695210928</v>
      </c>
      <c r="D2945" s="21" t="str">
        <f>IFERROR(__xludf.DUMMYFUNCTION("""COMPUTED_VALUE"""),"DIGITEC TECNOLOGIA DIGITAL E REPRES")</f>
        <v>DIGITEC TECNOLOGIA DIGITAL E REPRES</v>
      </c>
      <c r="E2945" s="21">
        <f>IFERROR(__xludf.DUMMYFUNCTION("""COMPUTED_VALUE"""),145359.0)</f>
        <v>145359</v>
      </c>
      <c r="F2945" s="21" t="str">
        <f>IFERROR(__xludf.DUMMYFUNCTION("""COMPUTED_VALUE"""),"TRANSITO REVERSA")</f>
        <v>TRANSITO REVERSA</v>
      </c>
      <c r="G2945" s="23">
        <f>IFERROR(__xludf.DUMMYFUNCTION("""COMPUTED_VALUE"""),45626.29871527778)</f>
        <v>45626.29872</v>
      </c>
      <c r="H2945" s="24" t="str">
        <f>IFERROR(VLOOKUP(B2945,material!A:D,3,0),"")</f>
        <v>TOP MIX</v>
      </c>
    </row>
    <row r="2946" ht="11.25" customHeight="1">
      <c r="A2946" s="21" t="str">
        <f>IFERROR(__xludf.DUMMYFUNCTION("""COMPUTED_VALUE"""),"DECODER HD HHDC2")</f>
        <v>DECODER HD HHDC2</v>
      </c>
      <c r="B2946" s="22">
        <f>IFERROR(__xludf.DUMMYFUNCTION("""COMPUTED_VALUE"""),4.1001048E7)</f>
        <v>41001048</v>
      </c>
      <c r="C2946" s="21" t="str">
        <f>IFERROR(__xludf.DUMMYFUNCTION("""COMPUTED_VALUE"""),"229691830205")</f>
        <v>229691830205</v>
      </c>
      <c r="D2946" s="21" t="str">
        <f>IFERROR(__xludf.DUMMYFUNCTION("""COMPUTED_VALUE"""),"DIGITEC TECNOLOGIA DIGITAL E REPRES")</f>
        <v>DIGITEC TECNOLOGIA DIGITAL E REPRES</v>
      </c>
      <c r="E2946" s="21">
        <f>IFERROR(__xludf.DUMMYFUNCTION("""COMPUTED_VALUE"""),145359.0)</f>
        <v>145359</v>
      </c>
      <c r="F2946" s="21" t="str">
        <f>IFERROR(__xludf.DUMMYFUNCTION("""COMPUTED_VALUE"""),"TRANSITO REVERSA")</f>
        <v>TRANSITO REVERSA</v>
      </c>
      <c r="G2946" s="23">
        <f>IFERROR(__xludf.DUMMYFUNCTION("""COMPUTED_VALUE"""),45638.52061342592)</f>
        <v>45638.52061</v>
      </c>
      <c r="H2946" s="24" t="str">
        <f>IFERROR(VLOOKUP(B2946,material!A:D,3,0),"")</f>
        <v>TOP MIX</v>
      </c>
    </row>
    <row r="2947" ht="11.25" customHeight="1">
      <c r="A2947" s="21" t="str">
        <f>IFERROR(__xludf.DUMMYFUNCTION("""COMPUTED_VALUE"""),"DECODER HD HHDC2")</f>
        <v>DECODER HD HHDC2</v>
      </c>
      <c r="B2947" s="22">
        <f>IFERROR(__xludf.DUMMYFUNCTION("""COMPUTED_VALUE"""),4.1001048E7)</f>
        <v>41001048</v>
      </c>
      <c r="C2947" s="21" t="str">
        <f>IFERROR(__xludf.DUMMYFUNCTION("""COMPUTED_VALUE"""),"229793230202")</f>
        <v>229793230202</v>
      </c>
      <c r="D2947" s="21" t="str">
        <f>IFERROR(__xludf.DUMMYFUNCTION("""COMPUTED_VALUE"""),"DIGITEC TECNOLOGIA DIGITAL E REPRES")</f>
        <v>DIGITEC TECNOLOGIA DIGITAL E REPRES</v>
      </c>
      <c r="E2947" s="21">
        <f>IFERROR(__xludf.DUMMYFUNCTION("""COMPUTED_VALUE"""),145359.0)</f>
        <v>145359</v>
      </c>
      <c r="F2947" s="21" t="str">
        <f>IFERROR(__xludf.DUMMYFUNCTION("""COMPUTED_VALUE"""),"TRANSITO REVERSA")</f>
        <v>TRANSITO REVERSA</v>
      </c>
      <c r="G2947" s="23">
        <f>IFERROR(__xludf.DUMMYFUNCTION("""COMPUTED_VALUE"""),45626.29871527778)</f>
        <v>45626.29872</v>
      </c>
      <c r="H2947" s="24" t="str">
        <f>IFERROR(VLOOKUP(B2947,material!A:D,3,0),"")</f>
        <v>TOP MIX</v>
      </c>
    </row>
    <row r="2948" ht="11.25" customHeight="1">
      <c r="A2948" s="21" t="str">
        <f>IFERROR(__xludf.DUMMYFUNCTION("""COMPUTED_VALUE"""),"DECODER HD HHDC2")</f>
        <v>DECODER HD HHDC2</v>
      </c>
      <c r="B2948" s="22">
        <f>IFERROR(__xludf.DUMMYFUNCTION("""COMPUTED_VALUE"""),4.1001048E7)</f>
        <v>41001048</v>
      </c>
      <c r="C2948" s="21" t="str">
        <f>IFERROR(__xludf.DUMMYFUNCTION("""COMPUTED_VALUE"""),"229768277687")</f>
        <v>229768277687</v>
      </c>
      <c r="D2948" s="21" t="str">
        <f>IFERROR(__xludf.DUMMYFUNCTION("""COMPUTED_VALUE"""),"DIGITEC TECNOLOGIA DIGITAL E REPRES")</f>
        <v>DIGITEC TECNOLOGIA DIGITAL E REPRES</v>
      </c>
      <c r="E2948" s="21">
        <f>IFERROR(__xludf.DUMMYFUNCTION("""COMPUTED_VALUE"""),145359.0)</f>
        <v>145359</v>
      </c>
      <c r="F2948" s="21" t="str">
        <f>IFERROR(__xludf.DUMMYFUNCTION("""COMPUTED_VALUE"""),"TRANSITO REVERSA")</f>
        <v>TRANSITO REVERSA</v>
      </c>
      <c r="G2948" s="23">
        <f>IFERROR(__xludf.DUMMYFUNCTION("""COMPUTED_VALUE"""),45617.87138888889)</f>
        <v>45617.87139</v>
      </c>
      <c r="H2948" s="24" t="str">
        <f>IFERROR(VLOOKUP(B2948,material!A:D,3,0),"")</f>
        <v>TOP MIX</v>
      </c>
    </row>
    <row r="2949" ht="11.25" customHeight="1">
      <c r="A2949" s="21" t="str">
        <f>IFERROR(__xludf.DUMMYFUNCTION("""COMPUTED_VALUE"""),"DECODER HD HHDC2")</f>
        <v>DECODER HD HHDC2</v>
      </c>
      <c r="B2949" s="22">
        <f>IFERROR(__xludf.DUMMYFUNCTION("""COMPUTED_VALUE"""),4.1001048E7)</f>
        <v>41001048</v>
      </c>
      <c r="C2949" s="21" t="str">
        <f>IFERROR(__xludf.DUMMYFUNCTION("""COMPUTED_VALUE"""),"229768297083")</f>
        <v>229768297083</v>
      </c>
      <c r="D2949" s="21" t="str">
        <f>IFERROR(__xludf.DUMMYFUNCTION("""COMPUTED_VALUE"""),"DIGITEC TECNOLOGIA DIGITAL E REPRES")</f>
        <v>DIGITEC TECNOLOGIA DIGITAL E REPRES</v>
      </c>
      <c r="E2949" s="21">
        <f>IFERROR(__xludf.DUMMYFUNCTION("""COMPUTED_VALUE"""),145359.0)</f>
        <v>145359</v>
      </c>
      <c r="F2949" s="21" t="str">
        <f>IFERROR(__xludf.DUMMYFUNCTION("""COMPUTED_VALUE"""),"TRANSITO REVERSA")</f>
        <v>TRANSITO REVERSA</v>
      </c>
      <c r="G2949" s="23">
        <f>IFERROR(__xludf.DUMMYFUNCTION("""COMPUTED_VALUE"""),45633.00398148148)</f>
        <v>45633.00398</v>
      </c>
      <c r="H2949" s="24" t="str">
        <f>IFERROR(VLOOKUP(B2949,material!A:D,3,0),"")</f>
        <v>TOP MIX</v>
      </c>
    </row>
    <row r="2950" ht="11.25" customHeight="1">
      <c r="A2950" s="21" t="str">
        <f>IFERROR(__xludf.DUMMYFUNCTION("""COMPUTED_VALUE"""),"DECODER HD HHDC2")</f>
        <v>DECODER HD HHDC2</v>
      </c>
      <c r="B2950" s="22">
        <f>IFERROR(__xludf.DUMMYFUNCTION("""COMPUTED_VALUE"""),4.1001048E7)</f>
        <v>41001048</v>
      </c>
      <c r="C2950" s="21" t="str">
        <f>IFERROR(__xludf.DUMMYFUNCTION("""COMPUTED_VALUE"""),"229773749298")</f>
        <v>229773749298</v>
      </c>
      <c r="D2950" s="21" t="str">
        <f>IFERROR(__xludf.DUMMYFUNCTION("""COMPUTED_VALUE"""),"DIGITEC TECNOLOGIA DIGITAL E REPRES")</f>
        <v>DIGITEC TECNOLOGIA DIGITAL E REPRES</v>
      </c>
      <c r="E2950" s="21">
        <f>IFERROR(__xludf.DUMMYFUNCTION("""COMPUTED_VALUE"""),145359.0)</f>
        <v>145359</v>
      </c>
      <c r="F2950" s="21" t="str">
        <f>IFERROR(__xludf.DUMMYFUNCTION("""COMPUTED_VALUE"""),"TRANSITO REVERSA")</f>
        <v>TRANSITO REVERSA</v>
      </c>
      <c r="G2950" s="23">
        <f>IFERROR(__xludf.DUMMYFUNCTION("""COMPUTED_VALUE"""),45633.003958333335)</f>
        <v>45633.00396</v>
      </c>
      <c r="H2950" s="24" t="str">
        <f>IFERROR(VLOOKUP(B2950,material!A:D,3,0),"")</f>
        <v>TOP MIX</v>
      </c>
    </row>
    <row r="2951" ht="11.25" customHeight="1">
      <c r="A2951" s="21" t="str">
        <f>IFERROR(__xludf.DUMMYFUNCTION("""COMPUTED_VALUE"""),"DECODER HD HHDC2")</f>
        <v>DECODER HD HHDC2</v>
      </c>
      <c r="B2951" s="22">
        <f>IFERROR(__xludf.DUMMYFUNCTION("""COMPUTED_VALUE"""),4.1001048E7)</f>
        <v>41001048</v>
      </c>
      <c r="C2951" s="21" t="str">
        <f>IFERROR(__xludf.DUMMYFUNCTION("""COMPUTED_VALUE"""),"229798424861")</f>
        <v>229798424861</v>
      </c>
      <c r="D2951" s="21" t="str">
        <f>IFERROR(__xludf.DUMMYFUNCTION("""COMPUTED_VALUE"""),"DIGITEC TECNOLOGIA DIGITAL E REPRES")</f>
        <v>DIGITEC TECNOLOGIA DIGITAL E REPRES</v>
      </c>
      <c r="E2951" s="21">
        <f>IFERROR(__xludf.DUMMYFUNCTION("""COMPUTED_VALUE"""),145359.0)</f>
        <v>145359</v>
      </c>
      <c r="F2951" s="21" t="str">
        <f>IFERROR(__xludf.DUMMYFUNCTION("""COMPUTED_VALUE"""),"TRANSITO REVERSA")</f>
        <v>TRANSITO REVERSA</v>
      </c>
      <c r="G2951" s="23">
        <f>IFERROR(__xludf.DUMMYFUNCTION("""COMPUTED_VALUE"""),45638.520578703705)</f>
        <v>45638.52058</v>
      </c>
      <c r="H2951" s="24" t="str">
        <f>IFERROR(VLOOKUP(B2951,material!A:D,3,0),"")</f>
        <v>TOP MIX</v>
      </c>
    </row>
    <row r="2952" ht="11.25" customHeight="1">
      <c r="A2952" s="21" t="str">
        <f>IFERROR(__xludf.DUMMYFUNCTION("""COMPUTED_VALUE"""),"DECODER HD HHDC2")</f>
        <v>DECODER HD HHDC2</v>
      </c>
      <c r="B2952" s="22">
        <f>IFERROR(__xludf.DUMMYFUNCTION("""COMPUTED_VALUE"""),4.1001048E7)</f>
        <v>41001048</v>
      </c>
      <c r="C2952" s="21" t="str">
        <f>IFERROR(__xludf.DUMMYFUNCTION("""COMPUTED_VALUE"""),"229825722733")</f>
        <v>229825722733</v>
      </c>
      <c r="D2952" s="21" t="str">
        <f>IFERROR(__xludf.DUMMYFUNCTION("""COMPUTED_VALUE"""),"DIGITEC TECNOLOGIA DIGITAL E REPRES")</f>
        <v>DIGITEC TECNOLOGIA DIGITAL E REPRES</v>
      </c>
      <c r="E2952" s="21">
        <f>IFERROR(__xludf.DUMMYFUNCTION("""COMPUTED_VALUE"""),145359.0)</f>
        <v>145359</v>
      </c>
      <c r="F2952" s="21" t="str">
        <f>IFERROR(__xludf.DUMMYFUNCTION("""COMPUTED_VALUE"""),"TRANSITO REVERSA")</f>
        <v>TRANSITO REVERSA</v>
      </c>
      <c r="G2952" s="23">
        <f>IFERROR(__xludf.DUMMYFUNCTION("""COMPUTED_VALUE"""),45633.003379629634)</f>
        <v>45633.00338</v>
      </c>
      <c r="H2952" s="24" t="str">
        <f>IFERROR(VLOOKUP(B2952,material!A:D,3,0),"")</f>
        <v>TOP MIX</v>
      </c>
    </row>
    <row r="2953" ht="11.25" customHeight="1">
      <c r="A2953" s="21" t="str">
        <f>IFERROR(__xludf.DUMMYFUNCTION("""COMPUTED_VALUE"""),"DECODER HD HHDC2")</f>
        <v>DECODER HD HHDC2</v>
      </c>
      <c r="B2953" s="22">
        <f>IFERROR(__xludf.DUMMYFUNCTION("""COMPUTED_VALUE"""),4.1001048E7)</f>
        <v>41001048</v>
      </c>
      <c r="C2953" s="21" t="str">
        <f>IFERROR(__xludf.DUMMYFUNCTION("""COMPUTED_VALUE"""),"229834351634")</f>
        <v>229834351634</v>
      </c>
      <c r="D2953" s="21" t="str">
        <f>IFERROR(__xludf.DUMMYFUNCTION("""COMPUTED_VALUE"""),"DIGITEC TECNOLOGIA DIGITAL E REPRES")</f>
        <v>DIGITEC TECNOLOGIA DIGITAL E REPRES</v>
      </c>
      <c r="E2953" s="21">
        <f>IFERROR(__xludf.DUMMYFUNCTION("""COMPUTED_VALUE"""),145359.0)</f>
        <v>145359</v>
      </c>
      <c r="F2953" s="21" t="str">
        <f>IFERROR(__xludf.DUMMYFUNCTION("""COMPUTED_VALUE"""),"TRANSITO REVERSA")</f>
        <v>TRANSITO REVERSA</v>
      </c>
      <c r="G2953" s="23">
        <f>IFERROR(__xludf.DUMMYFUNCTION("""COMPUTED_VALUE"""),45638.52061342592)</f>
        <v>45638.52061</v>
      </c>
      <c r="H2953" s="24" t="str">
        <f>IFERROR(VLOOKUP(B2953,material!A:D,3,0),"")</f>
        <v>TOP MIX</v>
      </c>
    </row>
    <row r="2954" ht="11.25" customHeight="1">
      <c r="A2954" s="21" t="str">
        <f>IFERROR(__xludf.DUMMYFUNCTION("""COMPUTED_VALUE"""),"DECODER HD HHDC2")</f>
        <v>DECODER HD HHDC2</v>
      </c>
      <c r="B2954" s="22">
        <f>IFERROR(__xludf.DUMMYFUNCTION("""COMPUTED_VALUE"""),4.1001048E7)</f>
        <v>41001048</v>
      </c>
      <c r="C2954" s="21" t="str">
        <f>IFERROR(__xludf.DUMMYFUNCTION("""COMPUTED_VALUE"""),"229823286075")</f>
        <v>229823286075</v>
      </c>
      <c r="D2954" s="21" t="str">
        <f>IFERROR(__xludf.DUMMYFUNCTION("""COMPUTED_VALUE"""),"DIGITEC TECNOLOGIA DIGITAL E REPRES")</f>
        <v>DIGITEC TECNOLOGIA DIGITAL E REPRES</v>
      </c>
      <c r="E2954" s="21">
        <f>IFERROR(__xludf.DUMMYFUNCTION("""COMPUTED_VALUE"""),145359.0)</f>
        <v>145359</v>
      </c>
      <c r="F2954" s="21" t="str">
        <f>IFERROR(__xludf.DUMMYFUNCTION("""COMPUTED_VALUE"""),"TRANSITO REVERSA")</f>
        <v>TRANSITO REVERSA</v>
      </c>
      <c r="G2954" s="23">
        <f>IFERROR(__xludf.DUMMYFUNCTION("""COMPUTED_VALUE"""),45633.003379629634)</f>
        <v>45633.00338</v>
      </c>
      <c r="H2954" s="24" t="str">
        <f>IFERROR(VLOOKUP(B2954,material!A:D,3,0),"")</f>
        <v>TOP MIX</v>
      </c>
    </row>
    <row r="2955" ht="11.25" customHeight="1">
      <c r="A2955" s="21" t="str">
        <f>IFERROR(__xludf.DUMMYFUNCTION("""COMPUTED_VALUE"""),"DECODER HD HHDC2")</f>
        <v>DECODER HD HHDC2</v>
      </c>
      <c r="B2955" s="22">
        <f>IFERROR(__xludf.DUMMYFUNCTION("""COMPUTED_VALUE"""),4.1001048E7)</f>
        <v>41001048</v>
      </c>
      <c r="C2955" s="21" t="str">
        <f>IFERROR(__xludf.DUMMYFUNCTION("""COMPUTED_VALUE"""),"229836252122")</f>
        <v>229836252122</v>
      </c>
      <c r="D2955" s="21" t="str">
        <f>IFERROR(__xludf.DUMMYFUNCTION("""COMPUTED_VALUE"""),"DIGITEC TECNOLOGIA DIGITAL E REPRES")</f>
        <v>DIGITEC TECNOLOGIA DIGITAL E REPRES</v>
      </c>
      <c r="E2955" s="21">
        <f>IFERROR(__xludf.DUMMYFUNCTION("""COMPUTED_VALUE"""),145359.0)</f>
        <v>145359</v>
      </c>
      <c r="F2955" s="21" t="str">
        <f>IFERROR(__xludf.DUMMYFUNCTION("""COMPUTED_VALUE"""),"TRANSITO REVERSA")</f>
        <v>TRANSITO REVERSA</v>
      </c>
      <c r="G2955" s="23">
        <f>IFERROR(__xludf.DUMMYFUNCTION("""COMPUTED_VALUE"""),45633.00398148148)</f>
        <v>45633.00398</v>
      </c>
      <c r="H2955" s="24" t="str">
        <f>IFERROR(VLOOKUP(B2955,material!A:D,3,0),"")</f>
        <v>TOP MIX</v>
      </c>
    </row>
    <row r="2956" ht="11.25" customHeight="1">
      <c r="A2956" s="21" t="str">
        <f>IFERROR(__xludf.DUMMYFUNCTION("""COMPUTED_VALUE"""),"DECODER HD HHDC2")</f>
        <v>DECODER HD HHDC2</v>
      </c>
      <c r="B2956" s="22">
        <f>IFERROR(__xludf.DUMMYFUNCTION("""COMPUTED_VALUE"""),4.1001048E7)</f>
        <v>41001048</v>
      </c>
      <c r="C2956" s="21" t="str">
        <f>IFERROR(__xludf.DUMMYFUNCTION("""COMPUTED_VALUE"""),"229880765770")</f>
        <v>229880765770</v>
      </c>
      <c r="D2956" s="21" t="str">
        <f>IFERROR(__xludf.DUMMYFUNCTION("""COMPUTED_VALUE"""),"DIGITEC TECNOLOGIA DIGITAL E REPRES")</f>
        <v>DIGITEC TECNOLOGIA DIGITAL E REPRES</v>
      </c>
      <c r="E2956" s="21">
        <f>IFERROR(__xludf.DUMMYFUNCTION("""COMPUTED_VALUE"""),145359.0)</f>
        <v>145359</v>
      </c>
      <c r="F2956" s="21" t="str">
        <f>IFERROR(__xludf.DUMMYFUNCTION("""COMPUTED_VALUE"""),"TRANSITO REVERSA")</f>
        <v>TRANSITO REVERSA</v>
      </c>
      <c r="G2956" s="23">
        <f>IFERROR(__xludf.DUMMYFUNCTION("""COMPUTED_VALUE"""),45626.2987037037)</f>
        <v>45626.2987</v>
      </c>
      <c r="H2956" s="24" t="str">
        <f>IFERROR(VLOOKUP(B2956,material!A:D,3,0),"")</f>
        <v>TOP MIX</v>
      </c>
    </row>
    <row r="2957" ht="11.25" customHeight="1">
      <c r="A2957" s="21" t="str">
        <f>IFERROR(__xludf.DUMMYFUNCTION("""COMPUTED_VALUE"""),"DECODER HD HHDC2")</f>
        <v>DECODER HD HHDC2</v>
      </c>
      <c r="B2957" s="22">
        <f>IFERROR(__xludf.DUMMYFUNCTION("""COMPUTED_VALUE"""),4.1001048E7)</f>
        <v>41001048</v>
      </c>
      <c r="C2957" s="21" t="str">
        <f>IFERROR(__xludf.DUMMYFUNCTION("""COMPUTED_VALUE"""),"229834205457")</f>
        <v>229834205457</v>
      </c>
      <c r="D2957" s="21" t="str">
        <f>IFERROR(__xludf.DUMMYFUNCTION("""COMPUTED_VALUE"""),"DIGITEC TECNOLOGIA DIGITAL E REPRES")</f>
        <v>DIGITEC TECNOLOGIA DIGITAL E REPRES</v>
      </c>
      <c r="E2957" s="21">
        <f>IFERROR(__xludf.DUMMYFUNCTION("""COMPUTED_VALUE"""),145359.0)</f>
        <v>145359</v>
      </c>
      <c r="F2957" s="21" t="str">
        <f>IFERROR(__xludf.DUMMYFUNCTION("""COMPUTED_VALUE"""),"TRANSITO REVERSA")</f>
        <v>TRANSITO REVERSA</v>
      </c>
      <c r="G2957" s="23">
        <f>IFERROR(__xludf.DUMMYFUNCTION("""COMPUTED_VALUE"""),45638.520625000005)</f>
        <v>45638.52063</v>
      </c>
      <c r="H2957" s="24" t="str">
        <f>IFERROR(VLOOKUP(B2957,material!A:D,3,0),"")</f>
        <v>TOP MIX</v>
      </c>
    </row>
    <row r="2958" ht="11.25" customHeight="1">
      <c r="A2958" s="21" t="str">
        <f>IFERROR(__xludf.DUMMYFUNCTION("""COMPUTED_VALUE"""),"DECODER HD HHDC2")</f>
        <v>DECODER HD HHDC2</v>
      </c>
      <c r="B2958" s="22">
        <f>IFERROR(__xludf.DUMMYFUNCTION("""COMPUTED_VALUE"""),4.1001048E7)</f>
        <v>41001048</v>
      </c>
      <c r="C2958" s="21" t="str">
        <f>IFERROR(__xludf.DUMMYFUNCTION("""COMPUTED_VALUE"""),"229827676279")</f>
        <v>229827676279</v>
      </c>
      <c r="D2958" s="21" t="str">
        <f>IFERROR(__xludf.DUMMYFUNCTION("""COMPUTED_VALUE"""),"DIGITEC TECNOLOGIA DIGITAL E REPRES")</f>
        <v>DIGITEC TECNOLOGIA DIGITAL E REPRES</v>
      </c>
      <c r="E2958" s="21">
        <f>IFERROR(__xludf.DUMMYFUNCTION("""COMPUTED_VALUE"""),145359.0)</f>
        <v>145359</v>
      </c>
      <c r="F2958" s="21" t="str">
        <f>IFERROR(__xludf.DUMMYFUNCTION("""COMPUTED_VALUE"""),"TRANSITO REVERSA")</f>
        <v>TRANSITO REVERSA</v>
      </c>
      <c r="G2958" s="23">
        <f>IFERROR(__xludf.DUMMYFUNCTION("""COMPUTED_VALUE"""),45617.87143518518)</f>
        <v>45617.87144</v>
      </c>
      <c r="H2958" s="24" t="str">
        <f>IFERROR(VLOOKUP(B2958,material!A:D,3,0),"")</f>
        <v>TOP MIX</v>
      </c>
    </row>
    <row r="2959" ht="11.25" customHeight="1">
      <c r="A2959" s="21" t="str">
        <f>IFERROR(__xludf.DUMMYFUNCTION("""COMPUTED_VALUE"""),"DECODER HD HHDC2")</f>
        <v>DECODER HD HHDC2</v>
      </c>
      <c r="B2959" s="22">
        <f>IFERROR(__xludf.DUMMYFUNCTION("""COMPUTED_VALUE"""),4.1001048E7)</f>
        <v>41001048</v>
      </c>
      <c r="C2959" s="21" t="str">
        <f>IFERROR(__xludf.DUMMYFUNCTION("""COMPUTED_VALUE"""),"229827815361")</f>
        <v>229827815361</v>
      </c>
      <c r="D2959" s="21" t="str">
        <f>IFERROR(__xludf.DUMMYFUNCTION("""COMPUTED_VALUE"""),"DIGITEC TECNOLOGIA DIGITAL E REPRES")</f>
        <v>DIGITEC TECNOLOGIA DIGITAL E REPRES</v>
      </c>
      <c r="E2959" s="21">
        <f>IFERROR(__xludf.DUMMYFUNCTION("""COMPUTED_VALUE"""),145359.0)</f>
        <v>145359</v>
      </c>
      <c r="F2959" s="21" t="str">
        <f>IFERROR(__xludf.DUMMYFUNCTION("""COMPUTED_VALUE"""),"TRANSITO REVERSA")</f>
        <v>TRANSITO REVERSA</v>
      </c>
      <c r="G2959" s="23">
        <f>IFERROR(__xludf.DUMMYFUNCTION("""COMPUTED_VALUE"""),45638.52059027778)</f>
        <v>45638.52059</v>
      </c>
      <c r="H2959" s="24" t="str">
        <f>IFERROR(VLOOKUP(B2959,material!A:D,3,0),"")</f>
        <v>TOP MIX</v>
      </c>
    </row>
    <row r="2960" ht="11.25" customHeight="1">
      <c r="A2960" s="21" t="str">
        <f>IFERROR(__xludf.DUMMYFUNCTION("""COMPUTED_VALUE"""),"DECODER HD HHDC2")</f>
        <v>DECODER HD HHDC2</v>
      </c>
      <c r="B2960" s="22">
        <f>IFERROR(__xludf.DUMMYFUNCTION("""COMPUTED_VALUE"""),4.1001048E7)</f>
        <v>41001048</v>
      </c>
      <c r="C2960" s="21" t="str">
        <f>IFERROR(__xludf.DUMMYFUNCTION("""COMPUTED_VALUE"""),"229708651016")</f>
        <v>229708651016</v>
      </c>
      <c r="D2960" s="21" t="str">
        <f>IFERROR(__xludf.DUMMYFUNCTION("""COMPUTED_VALUE"""),"DIGITEC TECNOLOGIA DIGITAL E REPRES")</f>
        <v>DIGITEC TECNOLOGIA DIGITAL E REPRES</v>
      </c>
      <c r="E2960" s="21">
        <f>IFERROR(__xludf.DUMMYFUNCTION("""COMPUTED_VALUE"""),145359.0)</f>
        <v>145359</v>
      </c>
      <c r="F2960" s="21" t="str">
        <f>IFERROR(__xludf.DUMMYFUNCTION("""COMPUTED_VALUE"""),"TRANSITO REVERSA")</f>
        <v>TRANSITO REVERSA</v>
      </c>
      <c r="G2960" s="23">
        <f>IFERROR(__xludf.DUMMYFUNCTION("""COMPUTED_VALUE"""),45638.52061342592)</f>
        <v>45638.52061</v>
      </c>
      <c r="H2960" s="24" t="str">
        <f>IFERROR(VLOOKUP(B2960,material!A:D,3,0),"")</f>
        <v>TOP MIX</v>
      </c>
    </row>
    <row r="2961" ht="11.25" customHeight="1">
      <c r="A2961" s="21" t="str">
        <f>IFERROR(__xludf.DUMMYFUNCTION("""COMPUTED_VALUE"""),"DECODER HD HHDC2")</f>
        <v>DECODER HD HHDC2</v>
      </c>
      <c r="B2961" s="22">
        <f>IFERROR(__xludf.DUMMYFUNCTION("""COMPUTED_VALUE"""),4.1001048E7)</f>
        <v>41001048</v>
      </c>
      <c r="C2961" s="21" t="str">
        <f>IFERROR(__xludf.DUMMYFUNCTION("""COMPUTED_VALUE"""),"216929119091")</f>
        <v>216929119091</v>
      </c>
      <c r="D2961" s="21" t="str">
        <f>IFERROR(__xludf.DUMMYFUNCTION("""COMPUTED_VALUE"""),"DIGITEC TECNOLOGIA DIGITAL E REPRES")</f>
        <v>DIGITEC TECNOLOGIA DIGITAL E REPRES</v>
      </c>
      <c r="E2961" s="21">
        <f>IFERROR(__xludf.DUMMYFUNCTION("""COMPUTED_VALUE"""),145359.0)</f>
        <v>145359</v>
      </c>
      <c r="F2961" s="21" t="str">
        <f>IFERROR(__xludf.DUMMYFUNCTION("""COMPUTED_VALUE"""),"TRANSITO REVERSA")</f>
        <v>TRANSITO REVERSA</v>
      </c>
      <c r="G2961" s="23">
        <f>IFERROR(__xludf.DUMMYFUNCTION("""COMPUTED_VALUE"""),45617.87142361111)</f>
        <v>45617.87142</v>
      </c>
      <c r="H2961" s="24" t="str">
        <f>IFERROR(VLOOKUP(B2961,material!A:D,3,0),"")</f>
        <v>TOP MIX</v>
      </c>
    </row>
    <row r="2962" ht="11.25" customHeight="1">
      <c r="A2962" s="21" t="str">
        <f>IFERROR(__xludf.DUMMYFUNCTION("""COMPUTED_VALUE"""),"DECODER HD HHDC2")</f>
        <v>DECODER HD HHDC2</v>
      </c>
      <c r="B2962" s="22">
        <f>IFERROR(__xludf.DUMMYFUNCTION("""COMPUTED_VALUE"""),4.1001048E7)</f>
        <v>41001048</v>
      </c>
      <c r="C2962" s="21" t="str">
        <f>IFERROR(__xludf.DUMMYFUNCTION("""COMPUTED_VALUE"""),"229640968709")</f>
        <v>229640968709</v>
      </c>
      <c r="D2962" s="21" t="str">
        <f>IFERROR(__xludf.DUMMYFUNCTION("""COMPUTED_VALUE"""),"DIGITEC TECNOLOGIA DIGITAL E REPRES")</f>
        <v>DIGITEC TECNOLOGIA DIGITAL E REPRES</v>
      </c>
      <c r="E2962" s="21">
        <f>IFERROR(__xludf.DUMMYFUNCTION("""COMPUTED_VALUE"""),145359.0)</f>
        <v>145359</v>
      </c>
      <c r="F2962" s="21" t="str">
        <f>IFERROR(__xludf.DUMMYFUNCTION("""COMPUTED_VALUE"""),"TRANSITO REVERSA")</f>
        <v>TRANSITO REVERSA</v>
      </c>
      <c r="G2962" s="23">
        <f>IFERROR(__xludf.DUMMYFUNCTION("""COMPUTED_VALUE"""),45638.52059027778)</f>
        <v>45638.52059</v>
      </c>
      <c r="H2962" s="24" t="str">
        <f>IFERROR(VLOOKUP(B2962,material!A:D,3,0),"")</f>
        <v>TOP MIX</v>
      </c>
    </row>
    <row r="2963" ht="11.25" customHeight="1">
      <c r="A2963" s="21" t="str">
        <f>IFERROR(__xludf.DUMMYFUNCTION("""COMPUTED_VALUE"""),"DECODER HD HHDC2")</f>
        <v>DECODER HD HHDC2</v>
      </c>
      <c r="B2963" s="22">
        <f>IFERROR(__xludf.DUMMYFUNCTION("""COMPUTED_VALUE"""),4.1001048E7)</f>
        <v>41001048</v>
      </c>
      <c r="C2963" s="21" t="str">
        <f>IFERROR(__xludf.DUMMYFUNCTION("""COMPUTED_VALUE"""),"229645341919")</f>
        <v>229645341919</v>
      </c>
      <c r="D2963" s="21" t="str">
        <f>IFERROR(__xludf.DUMMYFUNCTION("""COMPUTED_VALUE"""),"DIGITEC TECNOLOGIA DIGITAL E REPRES")</f>
        <v>DIGITEC TECNOLOGIA DIGITAL E REPRES</v>
      </c>
      <c r="E2963" s="21">
        <f>IFERROR(__xludf.DUMMYFUNCTION("""COMPUTED_VALUE"""),145359.0)</f>
        <v>145359</v>
      </c>
      <c r="F2963" s="21" t="str">
        <f>IFERROR(__xludf.DUMMYFUNCTION("""COMPUTED_VALUE"""),"TRANSITO REVERSA")</f>
        <v>TRANSITO REVERSA</v>
      </c>
      <c r="G2963" s="23">
        <f>IFERROR(__xludf.DUMMYFUNCTION("""COMPUTED_VALUE"""),45638.520648148144)</f>
        <v>45638.52065</v>
      </c>
      <c r="H2963" s="24" t="str">
        <f>IFERROR(VLOOKUP(B2963,material!A:D,3,0),"")</f>
        <v>TOP MIX</v>
      </c>
    </row>
    <row r="2964" ht="11.25" customHeight="1">
      <c r="A2964" s="21" t="str">
        <f>IFERROR(__xludf.DUMMYFUNCTION("""COMPUTED_VALUE"""),"DECODER HD HHDC2")</f>
        <v>DECODER HD HHDC2</v>
      </c>
      <c r="B2964" s="22">
        <f>IFERROR(__xludf.DUMMYFUNCTION("""COMPUTED_VALUE"""),4.1001048E7)</f>
        <v>41001048</v>
      </c>
      <c r="C2964" s="21" t="str">
        <f>IFERROR(__xludf.DUMMYFUNCTION("""COMPUTED_VALUE"""),"216928405779")</f>
        <v>216928405779</v>
      </c>
      <c r="D2964" s="21" t="str">
        <f>IFERROR(__xludf.DUMMYFUNCTION("""COMPUTED_VALUE"""),"DIGITEC TECNOLOGIA DIGITAL E REPRES")</f>
        <v>DIGITEC TECNOLOGIA DIGITAL E REPRES</v>
      </c>
      <c r="E2964" s="21">
        <f>IFERROR(__xludf.DUMMYFUNCTION("""COMPUTED_VALUE"""),145359.0)</f>
        <v>145359</v>
      </c>
      <c r="F2964" s="21" t="str">
        <f>IFERROR(__xludf.DUMMYFUNCTION("""COMPUTED_VALUE"""),"TRANSITO REVERSA")</f>
        <v>TRANSITO REVERSA</v>
      </c>
      <c r="G2964" s="23">
        <f>IFERROR(__xludf.DUMMYFUNCTION("""COMPUTED_VALUE"""),45633.003958333335)</f>
        <v>45633.00396</v>
      </c>
      <c r="H2964" s="24" t="str">
        <f>IFERROR(VLOOKUP(B2964,material!A:D,3,0),"")</f>
        <v>TOP MIX</v>
      </c>
    </row>
    <row r="2965" ht="11.25" customHeight="1">
      <c r="A2965" s="21" t="str">
        <f>IFERROR(__xludf.DUMMYFUNCTION("""COMPUTED_VALUE"""),"DECODER HD HHDC2")</f>
        <v>DECODER HD HHDC2</v>
      </c>
      <c r="B2965" s="22">
        <f>IFERROR(__xludf.DUMMYFUNCTION("""COMPUTED_VALUE"""),4.1001048E7)</f>
        <v>41001048</v>
      </c>
      <c r="C2965" s="21" t="str">
        <f>IFERROR(__xludf.DUMMYFUNCTION("""COMPUTED_VALUE"""),"229702136081")</f>
        <v>229702136081</v>
      </c>
      <c r="D2965" s="21" t="str">
        <f>IFERROR(__xludf.DUMMYFUNCTION("""COMPUTED_VALUE"""),"DIGITEC TECNOLOGIA DIGITAL E REPRES")</f>
        <v>DIGITEC TECNOLOGIA DIGITAL E REPRES</v>
      </c>
      <c r="E2965" s="21">
        <f>IFERROR(__xludf.DUMMYFUNCTION("""COMPUTED_VALUE"""),145359.0)</f>
        <v>145359</v>
      </c>
      <c r="F2965" s="21" t="str">
        <f>IFERROR(__xludf.DUMMYFUNCTION("""COMPUTED_VALUE"""),"TRANSITO REVERSA")</f>
        <v>TRANSITO REVERSA</v>
      </c>
      <c r="G2965" s="23">
        <f>IFERROR(__xludf.DUMMYFUNCTION("""COMPUTED_VALUE"""),45617.87138888889)</f>
        <v>45617.87139</v>
      </c>
      <c r="H2965" s="24" t="str">
        <f>IFERROR(VLOOKUP(B2965,material!A:D,3,0),"")</f>
        <v>TOP MIX</v>
      </c>
    </row>
    <row r="2966" ht="11.25" customHeight="1">
      <c r="A2966" s="21" t="str">
        <f>IFERROR(__xludf.DUMMYFUNCTION("""COMPUTED_VALUE"""),"DECODER HD HHDC2")</f>
        <v>DECODER HD HHDC2</v>
      </c>
      <c r="B2966" s="22">
        <f>IFERROR(__xludf.DUMMYFUNCTION("""COMPUTED_VALUE"""),4.1001048E7)</f>
        <v>41001048</v>
      </c>
      <c r="C2966" s="21" t="str">
        <f>IFERROR(__xludf.DUMMYFUNCTION("""COMPUTED_VALUE"""),"229702294155")</f>
        <v>229702294155</v>
      </c>
      <c r="D2966" s="21" t="str">
        <f>IFERROR(__xludf.DUMMYFUNCTION("""COMPUTED_VALUE"""),"DIGITEC TECNOLOGIA DIGITAL E REPRES")</f>
        <v>DIGITEC TECNOLOGIA DIGITAL E REPRES</v>
      </c>
      <c r="E2966" s="21">
        <f>IFERROR(__xludf.DUMMYFUNCTION("""COMPUTED_VALUE"""),145359.0)</f>
        <v>145359</v>
      </c>
      <c r="F2966" s="21" t="str">
        <f>IFERROR(__xludf.DUMMYFUNCTION("""COMPUTED_VALUE"""),"TRANSITO REVERSA")</f>
        <v>TRANSITO REVERSA</v>
      </c>
      <c r="G2966" s="23">
        <f>IFERROR(__xludf.DUMMYFUNCTION("""COMPUTED_VALUE"""),45633.00340277777)</f>
        <v>45633.0034</v>
      </c>
      <c r="H2966" s="24" t="str">
        <f>IFERROR(VLOOKUP(B2966,material!A:D,3,0),"")</f>
        <v>TOP MIX</v>
      </c>
    </row>
    <row r="2967" ht="11.25" customHeight="1">
      <c r="A2967" s="21" t="str">
        <f>IFERROR(__xludf.DUMMYFUNCTION("""COMPUTED_VALUE"""),"DECODER HD THDC4")</f>
        <v>DECODER HD THDC4</v>
      </c>
      <c r="B2967" s="22">
        <f>IFERROR(__xludf.DUMMYFUNCTION("""COMPUTED_VALUE"""),4.1001047E7)</f>
        <v>41001047</v>
      </c>
      <c r="C2967" s="21" t="str">
        <f>IFERROR(__xludf.DUMMYFUNCTION("""COMPUTED_VALUE"""),"229850341118")</f>
        <v>229850341118</v>
      </c>
      <c r="D2967" s="21" t="str">
        <f>IFERROR(__xludf.DUMMYFUNCTION("""COMPUTED_VALUE"""),"DIGITEC TECNOLOGIA DIGITAL E REPRES")</f>
        <v>DIGITEC TECNOLOGIA DIGITAL E REPRES</v>
      </c>
      <c r="E2967" s="21">
        <f>IFERROR(__xludf.DUMMYFUNCTION("""COMPUTED_VALUE"""),145359.0)</f>
        <v>145359</v>
      </c>
      <c r="F2967" s="21" t="str">
        <f>IFERROR(__xludf.DUMMYFUNCTION("""COMPUTED_VALUE"""),"TRANSITO REVERSA")</f>
        <v>TRANSITO REVERSA</v>
      </c>
      <c r="G2967" s="23">
        <f>IFERROR(__xludf.DUMMYFUNCTION("""COMPUTED_VALUE"""),45626.29923611111)</f>
        <v>45626.29924</v>
      </c>
      <c r="H2967" s="24" t="str">
        <f>IFERROR(VLOOKUP(B2967,material!A:D,3,0),"")</f>
        <v>TOP MIX</v>
      </c>
    </row>
    <row r="2968" ht="11.25" customHeight="1">
      <c r="A2968" s="21" t="str">
        <f>IFERROR(__xludf.DUMMYFUNCTION("""COMPUTED_VALUE"""),"DECODER HD THDC4")</f>
        <v>DECODER HD THDC4</v>
      </c>
      <c r="B2968" s="22">
        <f>IFERROR(__xludf.DUMMYFUNCTION("""COMPUTED_VALUE"""),4.1001047E7)</f>
        <v>41001047</v>
      </c>
      <c r="C2968" s="21" t="str">
        <f>IFERROR(__xludf.DUMMYFUNCTION("""COMPUTED_VALUE"""),"229665613942")</f>
        <v>229665613942</v>
      </c>
      <c r="D2968" s="21" t="str">
        <f>IFERROR(__xludf.DUMMYFUNCTION("""COMPUTED_VALUE"""),"DIGITEC TECNOLOGIA DIGITAL E REPRES")</f>
        <v>DIGITEC TECNOLOGIA DIGITAL E REPRES</v>
      </c>
      <c r="E2968" s="21">
        <f>IFERROR(__xludf.DUMMYFUNCTION("""COMPUTED_VALUE"""),145359.0)</f>
        <v>145359</v>
      </c>
      <c r="F2968" s="21" t="str">
        <f>IFERROR(__xludf.DUMMYFUNCTION("""COMPUTED_VALUE"""),"TRANSITO REVERSA")</f>
        <v>TRANSITO REVERSA</v>
      </c>
      <c r="G2968" s="23">
        <f>IFERROR(__xludf.DUMMYFUNCTION("""COMPUTED_VALUE"""),45626.298692129625)</f>
        <v>45626.29869</v>
      </c>
      <c r="H2968" s="24" t="str">
        <f>IFERROR(VLOOKUP(B2968,material!A:D,3,0),"")</f>
        <v>TOP MIX</v>
      </c>
    </row>
    <row r="2969" ht="11.25" customHeight="1">
      <c r="A2969" s="21" t="str">
        <f>IFERROR(__xludf.DUMMYFUNCTION("""COMPUTED_VALUE"""),"DECODER HD THDC4")</f>
        <v>DECODER HD THDC4</v>
      </c>
      <c r="B2969" s="22">
        <f>IFERROR(__xludf.DUMMYFUNCTION("""COMPUTED_VALUE"""),4.1001047E7)</f>
        <v>41001047</v>
      </c>
      <c r="C2969" s="21" t="str">
        <f>IFERROR(__xludf.DUMMYFUNCTION("""COMPUTED_VALUE"""),"229669949113")</f>
        <v>229669949113</v>
      </c>
      <c r="D2969" s="21" t="str">
        <f>IFERROR(__xludf.DUMMYFUNCTION("""COMPUTED_VALUE"""),"DIGITEC TECNOLOGIA DIGITAL E REPRES")</f>
        <v>DIGITEC TECNOLOGIA DIGITAL E REPRES</v>
      </c>
      <c r="E2969" s="21">
        <f>IFERROR(__xludf.DUMMYFUNCTION("""COMPUTED_VALUE"""),145359.0)</f>
        <v>145359</v>
      </c>
      <c r="F2969" s="21" t="str">
        <f>IFERROR(__xludf.DUMMYFUNCTION("""COMPUTED_VALUE"""),"TRANSITO REVERSA")</f>
        <v>TRANSITO REVERSA</v>
      </c>
      <c r="G2969" s="23">
        <f>IFERROR(__xludf.DUMMYFUNCTION("""COMPUTED_VALUE"""),45638.52113425926)</f>
        <v>45638.52113</v>
      </c>
      <c r="H2969" s="24" t="str">
        <f>IFERROR(VLOOKUP(B2969,material!A:D,3,0),"")</f>
        <v>TOP MIX</v>
      </c>
    </row>
    <row r="2970" ht="11.25" customHeight="1">
      <c r="A2970" s="21" t="str">
        <f>IFERROR(__xludf.DUMMYFUNCTION("""COMPUTED_VALUE"""),"DECODER HD THDC4")</f>
        <v>DECODER HD THDC4</v>
      </c>
      <c r="B2970" s="22">
        <f>IFERROR(__xludf.DUMMYFUNCTION("""COMPUTED_VALUE"""),4.1001047E7)</f>
        <v>41001047</v>
      </c>
      <c r="C2970" s="21" t="str">
        <f>IFERROR(__xludf.DUMMYFUNCTION("""COMPUTED_VALUE"""),"229737444858")</f>
        <v>229737444858</v>
      </c>
      <c r="D2970" s="21" t="str">
        <f>IFERROR(__xludf.DUMMYFUNCTION("""COMPUTED_VALUE"""),"DIGITEC TECNOLOGIA DIGITAL E REPRES")</f>
        <v>DIGITEC TECNOLOGIA DIGITAL E REPRES</v>
      </c>
      <c r="E2970" s="21">
        <f>IFERROR(__xludf.DUMMYFUNCTION("""COMPUTED_VALUE"""),145359.0)</f>
        <v>145359</v>
      </c>
      <c r="F2970" s="21" t="str">
        <f>IFERROR(__xludf.DUMMYFUNCTION("""COMPUTED_VALUE"""),"TRANSITO REVERSA")</f>
        <v>TRANSITO REVERSA</v>
      </c>
      <c r="G2970" s="23">
        <f>IFERROR(__xludf.DUMMYFUNCTION("""COMPUTED_VALUE"""),45626.29872685185)</f>
        <v>45626.29873</v>
      </c>
      <c r="H2970" s="24" t="str">
        <f>IFERROR(VLOOKUP(B2970,material!A:D,3,0),"")</f>
        <v>TOP MIX</v>
      </c>
    </row>
    <row r="2971" ht="11.25" customHeight="1">
      <c r="A2971" s="21" t="str">
        <f>IFERROR(__xludf.DUMMYFUNCTION("""COMPUTED_VALUE"""),"DECODER HD THDC4")</f>
        <v>DECODER HD THDC4</v>
      </c>
      <c r="B2971" s="22">
        <f>IFERROR(__xludf.DUMMYFUNCTION("""COMPUTED_VALUE"""),4.1001047E7)</f>
        <v>41001047</v>
      </c>
      <c r="C2971" s="21" t="str">
        <f>IFERROR(__xludf.DUMMYFUNCTION("""COMPUTED_VALUE"""),"229753501723")</f>
        <v>229753501723</v>
      </c>
      <c r="D2971" s="21" t="str">
        <f>IFERROR(__xludf.DUMMYFUNCTION("""COMPUTED_VALUE"""),"DIGITEC TECNOLOGIA DIGITAL E REPRES")</f>
        <v>DIGITEC TECNOLOGIA DIGITAL E REPRES</v>
      </c>
      <c r="E2971" s="21">
        <f>IFERROR(__xludf.DUMMYFUNCTION("""COMPUTED_VALUE"""),145359.0)</f>
        <v>145359</v>
      </c>
      <c r="F2971" s="21" t="str">
        <f>IFERROR(__xludf.DUMMYFUNCTION("""COMPUTED_VALUE"""),"TRANSITO REVERSA")</f>
        <v>TRANSITO REVERSA</v>
      </c>
      <c r="G2971" s="23">
        <f>IFERROR(__xludf.DUMMYFUNCTION("""COMPUTED_VALUE"""),45626.298680555556)</f>
        <v>45626.29868</v>
      </c>
      <c r="H2971" s="24" t="str">
        <f>IFERROR(VLOOKUP(B2971,material!A:D,3,0),"")</f>
        <v>TOP MIX</v>
      </c>
    </row>
    <row r="2972" ht="11.25" customHeight="1">
      <c r="A2972" s="21" t="str">
        <f>IFERROR(__xludf.DUMMYFUNCTION("""COMPUTED_VALUE"""),"DECODER HD THDC4")</f>
        <v>DECODER HD THDC4</v>
      </c>
      <c r="B2972" s="22">
        <f>IFERROR(__xludf.DUMMYFUNCTION("""COMPUTED_VALUE"""),4.1001047E7)</f>
        <v>41001047</v>
      </c>
      <c r="C2972" s="21" t="str">
        <f>IFERROR(__xludf.DUMMYFUNCTION("""COMPUTED_VALUE"""),"229746892840")</f>
        <v>229746892840</v>
      </c>
      <c r="D2972" s="21" t="str">
        <f>IFERROR(__xludf.DUMMYFUNCTION("""COMPUTED_VALUE"""),"DIGITEC TECNOLOGIA DIGITAL E REPRES")</f>
        <v>DIGITEC TECNOLOGIA DIGITAL E REPRES</v>
      </c>
      <c r="E2972" s="21">
        <f>IFERROR(__xludf.DUMMYFUNCTION("""COMPUTED_VALUE"""),145359.0)</f>
        <v>145359</v>
      </c>
      <c r="F2972" s="21" t="str">
        <f>IFERROR(__xludf.DUMMYFUNCTION("""COMPUTED_VALUE"""),"TRANSITO REVERSA")</f>
        <v>TRANSITO REVERSA</v>
      </c>
      <c r="G2972" s="23">
        <f>IFERROR(__xludf.DUMMYFUNCTION("""COMPUTED_VALUE"""),45626.29872685185)</f>
        <v>45626.29873</v>
      </c>
      <c r="H2972" s="24" t="str">
        <f>IFERROR(VLOOKUP(B2972,material!A:D,3,0),"")</f>
        <v>TOP MIX</v>
      </c>
    </row>
    <row r="2973" ht="11.25" customHeight="1">
      <c r="A2973" s="21" t="str">
        <f>IFERROR(__xludf.DUMMYFUNCTION("""COMPUTED_VALUE"""),"DECODER HD THDC4")</f>
        <v>DECODER HD THDC4</v>
      </c>
      <c r="B2973" s="22">
        <f>IFERROR(__xludf.DUMMYFUNCTION("""COMPUTED_VALUE"""),4.1001047E7)</f>
        <v>41001047</v>
      </c>
      <c r="C2973" s="21" t="str">
        <f>IFERROR(__xludf.DUMMYFUNCTION("""COMPUTED_VALUE"""),"229748711525")</f>
        <v>229748711525</v>
      </c>
      <c r="D2973" s="21" t="str">
        <f>IFERROR(__xludf.DUMMYFUNCTION("""COMPUTED_VALUE"""),"DIGITEC TECNOLOGIA DIGITAL E REPRES")</f>
        <v>DIGITEC TECNOLOGIA DIGITAL E REPRES</v>
      </c>
      <c r="E2973" s="21">
        <f>IFERROR(__xludf.DUMMYFUNCTION("""COMPUTED_VALUE"""),145359.0)</f>
        <v>145359</v>
      </c>
      <c r="F2973" s="21" t="str">
        <f>IFERROR(__xludf.DUMMYFUNCTION("""COMPUTED_VALUE"""),"TRANSITO REVERSA")</f>
        <v>TRANSITO REVERSA</v>
      </c>
      <c r="G2973" s="23">
        <f>IFERROR(__xludf.DUMMYFUNCTION("""COMPUTED_VALUE"""),45638.52111111111)</f>
        <v>45638.52111</v>
      </c>
      <c r="H2973" s="24" t="str">
        <f>IFERROR(VLOOKUP(B2973,material!A:D,3,0),"")</f>
        <v>TOP MIX</v>
      </c>
    </row>
    <row r="2974" ht="11.25" customHeight="1">
      <c r="A2974" s="21" t="str">
        <f>IFERROR(__xludf.DUMMYFUNCTION("""COMPUTED_VALUE"""),"DECODER HD THDC4")</f>
        <v>DECODER HD THDC4</v>
      </c>
      <c r="B2974" s="22">
        <f>IFERROR(__xludf.DUMMYFUNCTION("""COMPUTED_VALUE"""),4.1001047E7)</f>
        <v>41001047</v>
      </c>
      <c r="C2974" s="21" t="str">
        <f>IFERROR(__xludf.DUMMYFUNCTION("""COMPUTED_VALUE"""),"229728470414")</f>
        <v>229728470414</v>
      </c>
      <c r="D2974" s="21" t="str">
        <f>IFERROR(__xludf.DUMMYFUNCTION("""COMPUTED_VALUE"""),"DIGITEC TECNOLOGIA DIGITAL E REPRES")</f>
        <v>DIGITEC TECNOLOGIA DIGITAL E REPRES</v>
      </c>
      <c r="E2974" s="21">
        <f>IFERROR(__xludf.DUMMYFUNCTION("""COMPUTED_VALUE"""),145359.0)</f>
        <v>145359</v>
      </c>
      <c r="F2974" s="21" t="str">
        <f>IFERROR(__xludf.DUMMYFUNCTION("""COMPUTED_VALUE"""),"TRANSITO REVERSA")</f>
        <v>TRANSITO REVERSA</v>
      </c>
      <c r="G2974" s="23">
        <f>IFERROR(__xludf.DUMMYFUNCTION("""COMPUTED_VALUE"""),45638.52113425926)</f>
        <v>45638.52113</v>
      </c>
      <c r="H2974" s="24" t="str">
        <f>IFERROR(VLOOKUP(B2974,material!A:D,3,0),"")</f>
        <v>TOP MIX</v>
      </c>
    </row>
    <row r="2975" ht="11.25" customHeight="1">
      <c r="A2975" s="21" t="str">
        <f>IFERROR(__xludf.DUMMYFUNCTION("""COMPUTED_VALUE"""),"DECODER HD THDC4")</f>
        <v>DECODER HD THDC4</v>
      </c>
      <c r="B2975" s="22">
        <f>IFERROR(__xludf.DUMMYFUNCTION("""COMPUTED_VALUE"""),4.1001047E7)</f>
        <v>41001047</v>
      </c>
      <c r="C2975" s="21" t="str">
        <f>IFERROR(__xludf.DUMMYFUNCTION("""COMPUTED_VALUE"""),"229734123434")</f>
        <v>229734123434</v>
      </c>
      <c r="D2975" s="21" t="str">
        <f>IFERROR(__xludf.DUMMYFUNCTION("""COMPUTED_VALUE"""),"DIGITEC TECNOLOGIA DIGITAL E REPRES")</f>
        <v>DIGITEC TECNOLOGIA DIGITAL E REPRES</v>
      </c>
      <c r="E2975" s="21">
        <f>IFERROR(__xludf.DUMMYFUNCTION("""COMPUTED_VALUE"""),145359.0)</f>
        <v>145359</v>
      </c>
      <c r="F2975" s="21" t="str">
        <f>IFERROR(__xludf.DUMMYFUNCTION("""COMPUTED_VALUE"""),"TRANSITO REVERSA")</f>
        <v>TRANSITO REVERSA</v>
      </c>
      <c r="G2975" s="23">
        <f>IFERROR(__xludf.DUMMYFUNCTION("""COMPUTED_VALUE"""),45638.52113425926)</f>
        <v>45638.52113</v>
      </c>
      <c r="H2975" s="24" t="str">
        <f>IFERROR(VLOOKUP(B2975,material!A:D,3,0),"")</f>
        <v>TOP MIX</v>
      </c>
    </row>
    <row r="2976" ht="11.25" customHeight="1">
      <c r="A2976" s="21" t="str">
        <f>IFERROR(__xludf.DUMMYFUNCTION("""COMPUTED_VALUE"""),"DECODER HD THDC4")</f>
        <v>DECODER HD THDC4</v>
      </c>
      <c r="B2976" s="22">
        <f>IFERROR(__xludf.DUMMYFUNCTION("""COMPUTED_VALUE"""),4.1001047E7)</f>
        <v>41001047</v>
      </c>
      <c r="C2976" s="21" t="str">
        <f>IFERROR(__xludf.DUMMYFUNCTION("""COMPUTED_VALUE"""),"229734165862")</f>
        <v>229734165862</v>
      </c>
      <c r="D2976" s="21" t="str">
        <f>IFERROR(__xludf.DUMMYFUNCTION("""COMPUTED_VALUE"""),"DIGITEC TECNOLOGIA DIGITAL E REPRES")</f>
        <v>DIGITEC TECNOLOGIA DIGITAL E REPRES</v>
      </c>
      <c r="E2976" s="21">
        <f>IFERROR(__xludf.DUMMYFUNCTION("""COMPUTED_VALUE"""),145359.0)</f>
        <v>145359</v>
      </c>
      <c r="F2976" s="21" t="str">
        <f>IFERROR(__xludf.DUMMYFUNCTION("""COMPUTED_VALUE"""),"TRANSITO REVERSA")</f>
        <v>TRANSITO REVERSA</v>
      </c>
      <c r="G2976" s="23">
        <f>IFERROR(__xludf.DUMMYFUNCTION("""COMPUTED_VALUE"""),45626.29923611111)</f>
        <v>45626.29924</v>
      </c>
      <c r="H2976" s="24" t="str">
        <f>IFERROR(VLOOKUP(B2976,material!A:D,3,0),"")</f>
        <v>TOP MIX</v>
      </c>
    </row>
    <row r="2977" ht="11.25" customHeight="1">
      <c r="A2977" s="21" t="str">
        <f>IFERROR(__xludf.DUMMYFUNCTION("""COMPUTED_VALUE"""),"DECODER HD THDC4")</f>
        <v>DECODER HD THDC4</v>
      </c>
      <c r="B2977" s="22">
        <f>IFERROR(__xludf.DUMMYFUNCTION("""COMPUTED_VALUE"""),4.1001047E7)</f>
        <v>41001047</v>
      </c>
      <c r="C2977" s="21" t="str">
        <f>IFERROR(__xludf.DUMMYFUNCTION("""COMPUTED_VALUE"""),"229745081833")</f>
        <v>229745081833</v>
      </c>
      <c r="D2977" s="21" t="str">
        <f>IFERROR(__xludf.DUMMYFUNCTION("""COMPUTED_VALUE"""),"DIGITEC TECNOLOGIA DIGITAL E REPRES")</f>
        <v>DIGITEC TECNOLOGIA DIGITAL E REPRES</v>
      </c>
      <c r="E2977" s="21">
        <f>IFERROR(__xludf.DUMMYFUNCTION("""COMPUTED_VALUE"""),145359.0)</f>
        <v>145359</v>
      </c>
      <c r="F2977" s="21" t="str">
        <f>IFERROR(__xludf.DUMMYFUNCTION("""COMPUTED_VALUE"""),"TRANSITO REVERSA")</f>
        <v>TRANSITO REVERSA</v>
      </c>
      <c r="G2977" s="23">
        <f>IFERROR(__xludf.DUMMYFUNCTION("""COMPUTED_VALUE"""),45626.29872685185)</f>
        <v>45626.29873</v>
      </c>
      <c r="H2977" s="24" t="str">
        <f>IFERROR(VLOOKUP(B2977,material!A:D,3,0),"")</f>
        <v>TOP MIX</v>
      </c>
    </row>
    <row r="2978" ht="11.25" customHeight="1">
      <c r="A2978" s="21" t="str">
        <f>IFERROR(__xludf.DUMMYFUNCTION("""COMPUTED_VALUE"""),"DECODER HD THDC4")</f>
        <v>DECODER HD THDC4</v>
      </c>
      <c r="B2978" s="22">
        <f>IFERROR(__xludf.DUMMYFUNCTION("""COMPUTED_VALUE"""),4.1001047E7)</f>
        <v>41001047</v>
      </c>
      <c r="C2978" s="21" t="str">
        <f>IFERROR(__xludf.DUMMYFUNCTION("""COMPUTED_VALUE"""),"229734922536")</f>
        <v>229734922536</v>
      </c>
      <c r="D2978" s="21" t="str">
        <f>IFERROR(__xludf.DUMMYFUNCTION("""COMPUTED_VALUE"""),"DIGITEC TECNOLOGIA DIGITAL E REPRES")</f>
        <v>DIGITEC TECNOLOGIA DIGITAL E REPRES</v>
      </c>
      <c r="E2978" s="21">
        <f>IFERROR(__xludf.DUMMYFUNCTION("""COMPUTED_VALUE"""),145359.0)</f>
        <v>145359</v>
      </c>
      <c r="F2978" s="21" t="str">
        <f>IFERROR(__xludf.DUMMYFUNCTION("""COMPUTED_VALUE"""),"TRANSITO REVERSA")</f>
        <v>TRANSITO REVERSA</v>
      </c>
      <c r="G2978" s="23">
        <f>IFERROR(__xludf.DUMMYFUNCTION("""COMPUTED_VALUE"""),45638.521099537036)</f>
        <v>45638.5211</v>
      </c>
      <c r="H2978" s="24" t="str">
        <f>IFERROR(VLOOKUP(B2978,material!A:D,3,0),"")</f>
        <v>TOP MIX</v>
      </c>
    </row>
    <row r="2979" ht="11.25" customHeight="1">
      <c r="A2979" s="21" t="str">
        <f>IFERROR(__xludf.DUMMYFUNCTION("""COMPUTED_VALUE"""),"DECODER HD THDC4")</f>
        <v>DECODER HD THDC4</v>
      </c>
      <c r="B2979" s="22">
        <f>IFERROR(__xludf.DUMMYFUNCTION("""COMPUTED_VALUE"""),4.1001047E7)</f>
        <v>41001047</v>
      </c>
      <c r="C2979" s="21" t="str">
        <f>IFERROR(__xludf.DUMMYFUNCTION("""COMPUTED_VALUE"""),"229689009413")</f>
        <v>229689009413</v>
      </c>
      <c r="D2979" s="21" t="str">
        <f>IFERROR(__xludf.DUMMYFUNCTION("""COMPUTED_VALUE"""),"DIGITEC TECNOLOGIA DIGITAL E REPRES")</f>
        <v>DIGITEC TECNOLOGIA DIGITAL E REPRES</v>
      </c>
      <c r="E2979" s="21">
        <f>IFERROR(__xludf.DUMMYFUNCTION("""COMPUTED_VALUE"""),145359.0)</f>
        <v>145359</v>
      </c>
      <c r="F2979" s="21" t="str">
        <f>IFERROR(__xludf.DUMMYFUNCTION("""COMPUTED_VALUE"""),"TRANSITO REVERSA")</f>
        <v>TRANSITO REVERSA</v>
      </c>
      <c r="G2979" s="23">
        <f>IFERROR(__xludf.DUMMYFUNCTION("""COMPUTED_VALUE"""),45638.520578703705)</f>
        <v>45638.52058</v>
      </c>
      <c r="H2979" s="24" t="str">
        <f>IFERROR(VLOOKUP(B2979,material!A:D,3,0),"")</f>
        <v>TOP MIX</v>
      </c>
    </row>
    <row r="2980" ht="11.25" customHeight="1">
      <c r="A2980" s="21" t="str">
        <f>IFERROR(__xludf.DUMMYFUNCTION("""COMPUTED_VALUE"""),"DECODER HD THDC4")</f>
        <v>DECODER HD THDC4</v>
      </c>
      <c r="B2980" s="22">
        <f>IFERROR(__xludf.DUMMYFUNCTION("""COMPUTED_VALUE"""),4.1001047E7)</f>
        <v>41001047</v>
      </c>
      <c r="C2980" s="21" t="str">
        <f>IFERROR(__xludf.DUMMYFUNCTION("""COMPUTED_VALUE"""),"229672386982")</f>
        <v>229672386982</v>
      </c>
      <c r="D2980" s="21" t="str">
        <f>IFERROR(__xludf.DUMMYFUNCTION("""COMPUTED_VALUE"""),"DIGITEC TECNOLOGIA DIGITAL E REPRES")</f>
        <v>DIGITEC TECNOLOGIA DIGITAL E REPRES</v>
      </c>
      <c r="E2980" s="21">
        <f>IFERROR(__xludf.DUMMYFUNCTION("""COMPUTED_VALUE"""),145359.0)</f>
        <v>145359</v>
      </c>
      <c r="F2980" s="21" t="str">
        <f>IFERROR(__xludf.DUMMYFUNCTION("""COMPUTED_VALUE"""),"TRANSITO REVERSA")</f>
        <v>TRANSITO REVERSA</v>
      </c>
      <c r="G2980" s="23">
        <f>IFERROR(__xludf.DUMMYFUNCTION("""COMPUTED_VALUE"""),45638.520648148144)</f>
        <v>45638.52065</v>
      </c>
      <c r="H2980" s="24" t="str">
        <f>IFERROR(VLOOKUP(B2980,material!A:D,3,0),"")</f>
        <v>TOP MIX</v>
      </c>
    </row>
    <row r="2981" ht="11.25" customHeight="1">
      <c r="A2981" s="21" t="str">
        <f>IFERROR(__xludf.DUMMYFUNCTION("""COMPUTED_VALUE"""),"DECODER HD THDC4")</f>
        <v>DECODER HD THDC4</v>
      </c>
      <c r="B2981" s="22">
        <f>IFERROR(__xludf.DUMMYFUNCTION("""COMPUTED_VALUE"""),4.1001047E7)</f>
        <v>41001047</v>
      </c>
      <c r="C2981" s="21" t="str">
        <f>IFERROR(__xludf.DUMMYFUNCTION("""COMPUTED_VALUE"""),"229673838606")</f>
        <v>229673838606</v>
      </c>
      <c r="D2981" s="21" t="str">
        <f>IFERROR(__xludf.DUMMYFUNCTION("""COMPUTED_VALUE"""),"DIGITEC TECNOLOGIA DIGITAL E REPRES")</f>
        <v>DIGITEC TECNOLOGIA DIGITAL E REPRES</v>
      </c>
      <c r="E2981" s="21">
        <f>IFERROR(__xludf.DUMMYFUNCTION("""COMPUTED_VALUE"""),145359.0)</f>
        <v>145359</v>
      </c>
      <c r="F2981" s="21" t="str">
        <f>IFERROR(__xludf.DUMMYFUNCTION("""COMPUTED_VALUE"""),"TRANSITO REVERSA")</f>
        <v>TRANSITO REVERSA</v>
      </c>
      <c r="G2981" s="23">
        <f>IFERROR(__xludf.DUMMYFUNCTION("""COMPUTED_VALUE"""),45638.52113425926)</f>
        <v>45638.52113</v>
      </c>
      <c r="H2981" s="24" t="str">
        <f>IFERROR(VLOOKUP(B2981,material!A:D,3,0),"")</f>
        <v>TOP MIX</v>
      </c>
    </row>
    <row r="2982" ht="11.25" customHeight="1">
      <c r="A2982" s="21" t="str">
        <f>IFERROR(__xludf.DUMMYFUNCTION("""COMPUTED_VALUE"""),"DECODER HD THDC4")</f>
        <v>DECODER HD THDC4</v>
      </c>
      <c r="B2982" s="22">
        <f>IFERROR(__xludf.DUMMYFUNCTION("""COMPUTED_VALUE"""),4.1001047E7)</f>
        <v>41001047</v>
      </c>
      <c r="C2982" s="21" t="str">
        <f>IFERROR(__xludf.DUMMYFUNCTION("""COMPUTED_VALUE"""),"229670865476")</f>
        <v>229670865476</v>
      </c>
      <c r="D2982" s="21" t="str">
        <f>IFERROR(__xludf.DUMMYFUNCTION("""COMPUTED_VALUE"""),"DIGITEC TECNOLOGIA DIGITAL E REPRES")</f>
        <v>DIGITEC TECNOLOGIA DIGITAL E REPRES</v>
      </c>
      <c r="E2982" s="21">
        <f>IFERROR(__xludf.DUMMYFUNCTION("""COMPUTED_VALUE"""),145359.0)</f>
        <v>145359</v>
      </c>
      <c r="F2982" s="21" t="str">
        <f>IFERROR(__xludf.DUMMYFUNCTION("""COMPUTED_VALUE"""),"TRANSITO REVERSA")</f>
        <v>TRANSITO REVERSA</v>
      </c>
      <c r="G2982" s="23">
        <f>IFERROR(__xludf.DUMMYFUNCTION("""COMPUTED_VALUE"""),45626.29871527778)</f>
        <v>45626.29872</v>
      </c>
      <c r="H2982" s="24" t="str">
        <f>IFERROR(VLOOKUP(B2982,material!A:D,3,0),"")</f>
        <v>TOP MIX</v>
      </c>
    </row>
    <row r="2983" ht="11.25" customHeight="1">
      <c r="A2983" s="21" t="str">
        <f>IFERROR(__xludf.DUMMYFUNCTION("""COMPUTED_VALUE"""),"DECODER HD THDC4")</f>
        <v>DECODER HD THDC4</v>
      </c>
      <c r="B2983" s="22">
        <f>IFERROR(__xludf.DUMMYFUNCTION("""COMPUTED_VALUE"""),4.1001047E7)</f>
        <v>41001047</v>
      </c>
      <c r="C2983" s="21" t="str">
        <f>IFERROR(__xludf.DUMMYFUNCTION("""COMPUTED_VALUE"""),"229672991722")</f>
        <v>229672991722</v>
      </c>
      <c r="D2983" s="21" t="str">
        <f>IFERROR(__xludf.DUMMYFUNCTION("""COMPUTED_VALUE"""),"DIGITEC TECNOLOGIA DIGITAL E REPRES")</f>
        <v>DIGITEC TECNOLOGIA DIGITAL E REPRES</v>
      </c>
      <c r="E2983" s="21">
        <f>IFERROR(__xludf.DUMMYFUNCTION("""COMPUTED_VALUE"""),145359.0)</f>
        <v>145359</v>
      </c>
      <c r="F2983" s="21" t="str">
        <f>IFERROR(__xludf.DUMMYFUNCTION("""COMPUTED_VALUE"""),"TRANSITO REVERSA")</f>
        <v>TRANSITO REVERSA</v>
      </c>
      <c r="G2983" s="23">
        <f>IFERROR(__xludf.DUMMYFUNCTION("""COMPUTED_VALUE"""),45626.298680555556)</f>
        <v>45626.29868</v>
      </c>
      <c r="H2983" s="24" t="str">
        <f>IFERROR(VLOOKUP(B2983,material!A:D,3,0),"")</f>
        <v>TOP MIX</v>
      </c>
    </row>
    <row r="2984" ht="11.25" customHeight="1">
      <c r="A2984" s="21" t="str">
        <f>IFERROR(__xludf.DUMMYFUNCTION("""COMPUTED_VALUE"""),"DECODER HD THDC4")</f>
        <v>DECODER HD THDC4</v>
      </c>
      <c r="B2984" s="22">
        <f>IFERROR(__xludf.DUMMYFUNCTION("""COMPUTED_VALUE"""),4.1001047E7)</f>
        <v>41001047</v>
      </c>
      <c r="C2984" s="21" t="str">
        <f>IFERROR(__xludf.DUMMYFUNCTION("""COMPUTED_VALUE"""),"229671219304")</f>
        <v>229671219304</v>
      </c>
      <c r="D2984" s="21" t="str">
        <f>IFERROR(__xludf.DUMMYFUNCTION("""COMPUTED_VALUE"""),"DIGITEC TECNOLOGIA DIGITAL E REPRES")</f>
        <v>DIGITEC TECNOLOGIA DIGITAL E REPRES</v>
      </c>
      <c r="E2984" s="21">
        <f>IFERROR(__xludf.DUMMYFUNCTION("""COMPUTED_VALUE"""),145359.0)</f>
        <v>145359</v>
      </c>
      <c r="F2984" s="21" t="str">
        <f>IFERROR(__xludf.DUMMYFUNCTION("""COMPUTED_VALUE"""),"TRANSITO REVERSA")</f>
        <v>TRANSITO REVERSA</v>
      </c>
      <c r="G2984" s="23">
        <f>IFERROR(__xludf.DUMMYFUNCTION("""COMPUTED_VALUE"""),45638.521099537036)</f>
        <v>45638.5211</v>
      </c>
      <c r="H2984" s="24" t="str">
        <f>IFERROR(VLOOKUP(B2984,material!A:D,3,0),"")</f>
        <v>TOP MIX</v>
      </c>
    </row>
    <row r="2985" ht="11.25" customHeight="1">
      <c r="A2985" s="21" t="str">
        <f>IFERROR(__xludf.DUMMYFUNCTION("""COMPUTED_VALUE"""),"DECODER HD THDC4")</f>
        <v>DECODER HD THDC4</v>
      </c>
      <c r="B2985" s="22">
        <f>IFERROR(__xludf.DUMMYFUNCTION("""COMPUTED_VALUE"""),4.1001047E7)</f>
        <v>41001047</v>
      </c>
      <c r="C2985" s="21" t="str">
        <f>IFERROR(__xludf.DUMMYFUNCTION("""COMPUTED_VALUE"""),"229671029106")</f>
        <v>229671029106</v>
      </c>
      <c r="D2985" s="21" t="str">
        <f>IFERROR(__xludf.DUMMYFUNCTION("""COMPUTED_VALUE"""),"DIGITEC TECNOLOGIA DIGITAL E REPRES")</f>
        <v>DIGITEC TECNOLOGIA DIGITAL E REPRES</v>
      </c>
      <c r="E2985" s="21">
        <f>IFERROR(__xludf.DUMMYFUNCTION("""COMPUTED_VALUE"""),145359.0)</f>
        <v>145359</v>
      </c>
      <c r="F2985" s="21" t="str">
        <f>IFERROR(__xludf.DUMMYFUNCTION("""COMPUTED_VALUE"""),"TRANSITO REVERSA")</f>
        <v>TRANSITO REVERSA</v>
      </c>
      <c r="G2985" s="23">
        <f>IFERROR(__xludf.DUMMYFUNCTION("""COMPUTED_VALUE"""),45638.520625000005)</f>
        <v>45638.52063</v>
      </c>
      <c r="H2985" s="24" t="str">
        <f>IFERROR(VLOOKUP(B2985,material!A:D,3,0),"")</f>
        <v>TOP MIX</v>
      </c>
    </row>
    <row r="2986" ht="11.25" customHeight="1">
      <c r="A2986" s="21" t="str">
        <f>IFERROR(__xludf.DUMMYFUNCTION("""COMPUTED_VALUE"""),"DECODER HD THDC4")</f>
        <v>DECODER HD THDC4</v>
      </c>
      <c r="B2986" s="22">
        <f>IFERROR(__xludf.DUMMYFUNCTION("""COMPUTED_VALUE"""),4.1001047E7)</f>
        <v>41001047</v>
      </c>
      <c r="C2986" s="21" t="str">
        <f>IFERROR(__xludf.DUMMYFUNCTION("""COMPUTED_VALUE"""),"229672289497")</f>
        <v>229672289497</v>
      </c>
      <c r="D2986" s="21" t="str">
        <f>IFERROR(__xludf.DUMMYFUNCTION("""COMPUTED_VALUE"""),"DIGITEC TECNOLOGIA DIGITAL E REPRES")</f>
        <v>DIGITEC TECNOLOGIA DIGITAL E REPRES</v>
      </c>
      <c r="E2986" s="21">
        <f>IFERROR(__xludf.DUMMYFUNCTION("""COMPUTED_VALUE"""),145359.0)</f>
        <v>145359</v>
      </c>
      <c r="F2986" s="21" t="str">
        <f>IFERROR(__xludf.DUMMYFUNCTION("""COMPUTED_VALUE"""),"TRANSITO REVERSA")</f>
        <v>TRANSITO REVERSA</v>
      </c>
      <c r="G2986" s="23">
        <f>IFERROR(__xludf.DUMMYFUNCTION("""COMPUTED_VALUE"""),45626.29872685185)</f>
        <v>45626.29873</v>
      </c>
      <c r="H2986" s="24" t="str">
        <f>IFERROR(VLOOKUP(B2986,material!A:D,3,0),"")</f>
        <v>TOP MIX</v>
      </c>
    </row>
    <row r="2987" ht="11.25" customHeight="1">
      <c r="A2987" s="21" t="str">
        <f>IFERROR(__xludf.DUMMYFUNCTION("""COMPUTED_VALUE"""),"DECODER HD THDC4")</f>
        <v>DECODER HD THDC4</v>
      </c>
      <c r="B2987" s="22">
        <f>IFERROR(__xludf.DUMMYFUNCTION("""COMPUTED_VALUE"""),4.1001047E7)</f>
        <v>41001047</v>
      </c>
      <c r="C2987" s="21" t="str">
        <f>IFERROR(__xludf.DUMMYFUNCTION("""COMPUTED_VALUE"""),"229784849810")</f>
        <v>229784849810</v>
      </c>
      <c r="D2987" s="21" t="str">
        <f>IFERROR(__xludf.DUMMYFUNCTION("""COMPUTED_VALUE"""),"DIGITEC TECNOLOGIA DIGITAL E REPRES")</f>
        <v>DIGITEC TECNOLOGIA DIGITAL E REPRES</v>
      </c>
      <c r="E2987" s="21">
        <f>IFERROR(__xludf.DUMMYFUNCTION("""COMPUTED_VALUE"""),145359.0)</f>
        <v>145359</v>
      </c>
      <c r="F2987" s="21" t="str">
        <f>IFERROR(__xludf.DUMMYFUNCTION("""COMPUTED_VALUE"""),"TRANSITO REVERSA")</f>
        <v>TRANSITO REVERSA</v>
      </c>
      <c r="G2987" s="23">
        <f>IFERROR(__xludf.DUMMYFUNCTION("""COMPUTED_VALUE"""),45626.29871527778)</f>
        <v>45626.29872</v>
      </c>
      <c r="H2987" s="24" t="str">
        <f>IFERROR(VLOOKUP(B2987,material!A:D,3,0),"")</f>
        <v>TOP MIX</v>
      </c>
    </row>
    <row r="2988" ht="11.25" customHeight="1">
      <c r="A2988" s="21" t="str">
        <f>IFERROR(__xludf.DUMMYFUNCTION("""COMPUTED_VALUE"""),"DECODER HD THDC4")</f>
        <v>DECODER HD THDC4</v>
      </c>
      <c r="B2988" s="22">
        <f>IFERROR(__xludf.DUMMYFUNCTION("""COMPUTED_VALUE"""),4.1001047E7)</f>
        <v>41001047</v>
      </c>
      <c r="C2988" s="21" t="str">
        <f>IFERROR(__xludf.DUMMYFUNCTION("""COMPUTED_VALUE"""),"229781112734")</f>
        <v>229781112734</v>
      </c>
      <c r="D2988" s="21" t="str">
        <f>IFERROR(__xludf.DUMMYFUNCTION("""COMPUTED_VALUE"""),"DIGITEC TECNOLOGIA DIGITAL E REPRES")</f>
        <v>DIGITEC TECNOLOGIA DIGITAL E REPRES</v>
      </c>
      <c r="E2988" s="21">
        <f>IFERROR(__xludf.DUMMYFUNCTION("""COMPUTED_VALUE"""),145359.0)</f>
        <v>145359</v>
      </c>
      <c r="F2988" s="21" t="str">
        <f>IFERROR(__xludf.DUMMYFUNCTION("""COMPUTED_VALUE"""),"TRANSITO REVERSA")</f>
        <v>TRANSITO REVERSA</v>
      </c>
      <c r="G2988" s="23">
        <f>IFERROR(__xludf.DUMMYFUNCTION("""COMPUTED_VALUE"""),45638.52059027778)</f>
        <v>45638.52059</v>
      </c>
      <c r="H2988" s="24" t="str">
        <f>IFERROR(VLOOKUP(B2988,material!A:D,3,0),"")</f>
        <v>TOP MIX</v>
      </c>
    </row>
    <row r="2989" ht="11.25" customHeight="1">
      <c r="A2989" s="21" t="str">
        <f>IFERROR(__xludf.DUMMYFUNCTION("""COMPUTED_VALUE"""),"DECODER HD THDC4")</f>
        <v>DECODER HD THDC4</v>
      </c>
      <c r="B2989" s="22">
        <f>IFERROR(__xludf.DUMMYFUNCTION("""COMPUTED_VALUE"""),4.1001047E7)</f>
        <v>41001047</v>
      </c>
      <c r="C2989" s="21" t="str">
        <f>IFERROR(__xludf.DUMMYFUNCTION("""COMPUTED_VALUE"""),"229784858700")</f>
        <v>229784858700</v>
      </c>
      <c r="D2989" s="21" t="str">
        <f>IFERROR(__xludf.DUMMYFUNCTION("""COMPUTED_VALUE"""),"DIGITEC TECNOLOGIA DIGITAL E REPRES")</f>
        <v>DIGITEC TECNOLOGIA DIGITAL E REPRES</v>
      </c>
      <c r="E2989" s="21">
        <f>IFERROR(__xludf.DUMMYFUNCTION("""COMPUTED_VALUE"""),145359.0)</f>
        <v>145359</v>
      </c>
      <c r="F2989" s="21" t="str">
        <f>IFERROR(__xludf.DUMMYFUNCTION("""COMPUTED_VALUE"""),"TRANSITO REVERSA")</f>
        <v>TRANSITO REVERSA</v>
      </c>
      <c r="G2989" s="23">
        <f>IFERROR(__xludf.DUMMYFUNCTION("""COMPUTED_VALUE"""),45626.2987037037)</f>
        <v>45626.2987</v>
      </c>
      <c r="H2989" s="24" t="str">
        <f>IFERROR(VLOOKUP(B2989,material!A:D,3,0),"")</f>
        <v>TOP MIX</v>
      </c>
    </row>
    <row r="2990" ht="11.25" customHeight="1">
      <c r="A2990" s="21" t="str">
        <f>IFERROR(__xludf.DUMMYFUNCTION("""COMPUTED_VALUE"""),"DECODER HD THDC4")</f>
        <v>DECODER HD THDC4</v>
      </c>
      <c r="B2990" s="22">
        <f>IFERROR(__xludf.DUMMYFUNCTION("""COMPUTED_VALUE"""),4.1001047E7)</f>
        <v>41001047</v>
      </c>
      <c r="C2990" s="21" t="str">
        <f>IFERROR(__xludf.DUMMYFUNCTION("""COMPUTED_VALUE"""),"229739020007")</f>
        <v>229739020007</v>
      </c>
      <c r="D2990" s="21" t="str">
        <f>IFERROR(__xludf.DUMMYFUNCTION("""COMPUTED_VALUE"""),"DIGITEC TECNOLOGIA DIGITAL E REPRES")</f>
        <v>DIGITEC TECNOLOGIA DIGITAL E REPRES</v>
      </c>
      <c r="E2990" s="21">
        <f>IFERROR(__xludf.DUMMYFUNCTION("""COMPUTED_VALUE"""),145359.0)</f>
        <v>145359</v>
      </c>
      <c r="F2990" s="21" t="str">
        <f>IFERROR(__xludf.DUMMYFUNCTION("""COMPUTED_VALUE"""),"TRANSITO REVERSA")</f>
        <v>TRANSITO REVERSA</v>
      </c>
      <c r="G2990" s="23">
        <f>IFERROR(__xludf.DUMMYFUNCTION("""COMPUTED_VALUE"""),45638.520578703705)</f>
        <v>45638.52058</v>
      </c>
      <c r="H2990" s="24" t="str">
        <f>IFERROR(VLOOKUP(B2990,material!A:D,3,0),"")</f>
        <v>TOP MIX</v>
      </c>
    </row>
    <row r="2991" ht="11.25" customHeight="1">
      <c r="A2991" s="21" t="str">
        <f>IFERROR(__xludf.DUMMYFUNCTION("""COMPUTED_VALUE"""),"EMTA WIFI 3.0 FST3486 16X4")</f>
        <v>EMTA WIFI 3.0 FST3486 16X4</v>
      </c>
      <c r="B2991" s="22">
        <f>IFERROR(__xludf.DUMMYFUNCTION("""COMPUTED_VALUE"""),4.1001095E7)</f>
        <v>41001095</v>
      </c>
      <c r="C2991" s="21" t="str">
        <f>IFERROR(__xludf.DUMMYFUNCTION("""COMPUTED_VALUE"""),"981E19B9ADFC")</f>
        <v>981E19B9ADFC</v>
      </c>
      <c r="D2991" s="21" t="str">
        <f>IFERROR(__xludf.DUMMYFUNCTION("""COMPUTED_VALUE"""),"DIGITEC TECNOLOGIA DIGITAL E REPRES")</f>
        <v>DIGITEC TECNOLOGIA DIGITAL E REPRES</v>
      </c>
      <c r="E2991" s="21">
        <f>IFERROR(__xludf.DUMMYFUNCTION("""COMPUTED_VALUE"""),145359.0)</f>
        <v>145359</v>
      </c>
      <c r="F2991" s="21" t="str">
        <f>IFERROR(__xludf.DUMMYFUNCTION("""COMPUTED_VALUE"""),"TRANSITO REVERSA")</f>
        <v>TRANSITO REVERSA</v>
      </c>
      <c r="G2991" s="23">
        <f>IFERROR(__xludf.DUMMYFUNCTION("""COMPUTED_VALUE"""),45626.29923611111)</f>
        <v>45626.29924</v>
      </c>
      <c r="H2991" s="24" t="str">
        <f>IFERROR(VLOOKUP(B2991,material!A:D,3,0),"")</f>
        <v>DUAL</v>
      </c>
    </row>
    <row r="2992" ht="11.25" customHeight="1">
      <c r="A2992" s="21" t="str">
        <f>IFERROR(__xludf.DUMMYFUNCTION("""COMPUTED_VALUE"""),"EMTA WIFI 3.0 FST3486 16X4")</f>
        <v>EMTA WIFI 3.0 FST3486 16X4</v>
      </c>
      <c r="B2992" s="22">
        <f>IFERROR(__xludf.DUMMYFUNCTION("""COMPUTED_VALUE"""),4.1001095E7)</f>
        <v>41001095</v>
      </c>
      <c r="C2992" s="21" t="str">
        <f>IFERROR(__xludf.DUMMYFUNCTION("""COMPUTED_VALUE"""),"981E1912E47D")</f>
        <v>981E1912E47D</v>
      </c>
      <c r="D2992" s="21" t="str">
        <f>IFERROR(__xludf.DUMMYFUNCTION("""COMPUTED_VALUE"""),"DIGITEC TECNOLOGIA DIGITAL E REPRES")</f>
        <v>DIGITEC TECNOLOGIA DIGITAL E REPRES</v>
      </c>
      <c r="E2992" s="21">
        <f>IFERROR(__xludf.DUMMYFUNCTION("""COMPUTED_VALUE"""),145359.0)</f>
        <v>145359</v>
      </c>
      <c r="F2992" s="21" t="str">
        <f>IFERROR(__xludf.DUMMYFUNCTION("""COMPUTED_VALUE"""),"TRANSITO REVERSA")</f>
        <v>TRANSITO REVERSA</v>
      </c>
      <c r="G2992" s="23">
        <f>IFERROR(__xludf.DUMMYFUNCTION("""COMPUTED_VALUE"""),45633.003379629634)</f>
        <v>45633.00338</v>
      </c>
      <c r="H2992" s="24" t="str">
        <f>IFERROR(VLOOKUP(B2992,material!A:D,3,0),"")</f>
        <v>DUAL</v>
      </c>
    </row>
    <row r="2993" ht="11.25" customHeight="1">
      <c r="A2993" s="21" t="str">
        <f>IFERROR(__xludf.DUMMYFUNCTION("""COMPUTED_VALUE"""),"EMTA WIFI 3.0 FST3486 16X4")</f>
        <v>EMTA WIFI 3.0 FST3486 16X4</v>
      </c>
      <c r="B2993" s="22">
        <f>IFERROR(__xludf.DUMMYFUNCTION("""COMPUTED_VALUE"""),4.1001095E7)</f>
        <v>41001095</v>
      </c>
      <c r="C2993" s="21" t="str">
        <f>IFERROR(__xludf.DUMMYFUNCTION("""COMPUTED_VALUE"""),"3093BC4B687B")</f>
        <v>3093BC4B687B</v>
      </c>
      <c r="D2993" s="21" t="str">
        <f>IFERROR(__xludf.DUMMYFUNCTION("""COMPUTED_VALUE"""),"DIGITEC TECNOLOGIA DIGITAL E REPRES")</f>
        <v>DIGITEC TECNOLOGIA DIGITAL E REPRES</v>
      </c>
      <c r="E2993" s="21">
        <f>IFERROR(__xludf.DUMMYFUNCTION("""COMPUTED_VALUE"""),145359.0)</f>
        <v>145359</v>
      </c>
      <c r="F2993" s="21" t="str">
        <f>IFERROR(__xludf.DUMMYFUNCTION("""COMPUTED_VALUE"""),"TRANSITO REVERSA")</f>
        <v>TRANSITO REVERSA</v>
      </c>
      <c r="G2993" s="23">
        <f>IFERROR(__xludf.DUMMYFUNCTION("""COMPUTED_VALUE"""),45633.00398148148)</f>
        <v>45633.00398</v>
      </c>
      <c r="H2993" s="24" t="str">
        <f>IFERROR(VLOOKUP(B2993,material!A:D,3,0),"")</f>
        <v>DUAL</v>
      </c>
    </row>
    <row r="2994" ht="11.25" customHeight="1">
      <c r="A2994" s="21" t="str">
        <f>IFERROR(__xludf.DUMMYFUNCTION("""COMPUTED_VALUE"""),"EMTA WIFI 3.0 FST3486 16X4")</f>
        <v>EMTA WIFI 3.0 FST3486 16X4</v>
      </c>
      <c r="B2994" s="22">
        <f>IFERROR(__xludf.DUMMYFUNCTION("""COMPUTED_VALUE"""),4.1001095E7)</f>
        <v>41001095</v>
      </c>
      <c r="C2994" s="21" t="str">
        <f>IFERROR(__xludf.DUMMYFUNCTION("""COMPUTED_VALUE"""),"3093BC4B1848")</f>
        <v>3093BC4B1848</v>
      </c>
      <c r="D2994" s="21" t="str">
        <f>IFERROR(__xludf.DUMMYFUNCTION("""COMPUTED_VALUE"""),"DIGITEC TECNOLOGIA DIGITAL E REPRES")</f>
        <v>DIGITEC TECNOLOGIA DIGITAL E REPRES</v>
      </c>
      <c r="E2994" s="21">
        <f>IFERROR(__xludf.DUMMYFUNCTION("""COMPUTED_VALUE"""),145359.0)</f>
        <v>145359</v>
      </c>
      <c r="F2994" s="21" t="str">
        <f>IFERROR(__xludf.DUMMYFUNCTION("""COMPUTED_VALUE"""),"TRANSITO REVERSA")</f>
        <v>TRANSITO REVERSA</v>
      </c>
      <c r="G2994" s="23">
        <f>IFERROR(__xludf.DUMMYFUNCTION("""COMPUTED_VALUE"""),45633.003958333335)</f>
        <v>45633.00396</v>
      </c>
      <c r="H2994" s="24" t="str">
        <f>IFERROR(VLOOKUP(B2994,material!A:D,3,0),"")</f>
        <v>DUAL</v>
      </c>
    </row>
    <row r="2995" ht="11.25" customHeight="1">
      <c r="A2995" s="21" t="str">
        <f>IFERROR(__xludf.DUMMYFUNCTION("""COMPUTED_VALUE"""),"EMTA WIFI 3.0 FST3486 16X4")</f>
        <v>EMTA WIFI 3.0 FST3486 16X4</v>
      </c>
      <c r="B2995" s="22">
        <f>IFERROR(__xludf.DUMMYFUNCTION("""COMPUTED_VALUE"""),4.1001095E7)</f>
        <v>41001095</v>
      </c>
      <c r="C2995" s="21" t="str">
        <f>IFERROR(__xludf.DUMMYFUNCTION("""COMPUTED_VALUE"""),"D05794FFD829")</f>
        <v>D05794FFD829</v>
      </c>
      <c r="D2995" s="21" t="str">
        <f>IFERROR(__xludf.DUMMYFUNCTION("""COMPUTED_VALUE"""),"DIGITEC TECNOLOGIA DIGITAL E REPRES")</f>
        <v>DIGITEC TECNOLOGIA DIGITAL E REPRES</v>
      </c>
      <c r="E2995" s="21">
        <f>IFERROR(__xludf.DUMMYFUNCTION("""COMPUTED_VALUE"""),145359.0)</f>
        <v>145359</v>
      </c>
      <c r="F2995" s="21" t="str">
        <f>IFERROR(__xludf.DUMMYFUNCTION("""COMPUTED_VALUE"""),"TRANSITO REVERSA")</f>
        <v>TRANSITO REVERSA</v>
      </c>
      <c r="G2995" s="23">
        <f>IFERROR(__xludf.DUMMYFUNCTION("""COMPUTED_VALUE"""),45617.87140046296)</f>
        <v>45617.8714</v>
      </c>
      <c r="H2995" s="24" t="str">
        <f>IFERROR(VLOOKUP(B2995,material!A:D,3,0),"")</f>
        <v>DUAL</v>
      </c>
    </row>
    <row r="2996" ht="11.25" customHeight="1">
      <c r="A2996" s="21" t="str">
        <f>IFERROR(__xludf.DUMMYFUNCTION("""COMPUTED_VALUE"""),"EMTA WIFI 3.0 FST3486 16X4")</f>
        <v>EMTA WIFI 3.0 FST3486 16X4</v>
      </c>
      <c r="B2996" s="22">
        <f>IFERROR(__xludf.DUMMYFUNCTION("""COMPUTED_VALUE"""),4.1001095E7)</f>
        <v>41001095</v>
      </c>
      <c r="C2996" s="21" t="str">
        <f>IFERROR(__xludf.DUMMYFUNCTION("""COMPUTED_VALUE"""),"34495B8EFB2B")</f>
        <v>34495B8EFB2B</v>
      </c>
      <c r="D2996" s="21" t="str">
        <f>IFERROR(__xludf.DUMMYFUNCTION("""COMPUTED_VALUE"""),"DIGITEC TECNOLOGIA DIGITAL E REPRES")</f>
        <v>DIGITEC TECNOLOGIA DIGITAL E REPRES</v>
      </c>
      <c r="E2996" s="21">
        <f>IFERROR(__xludf.DUMMYFUNCTION("""COMPUTED_VALUE"""),145359.0)</f>
        <v>145359</v>
      </c>
      <c r="F2996" s="21" t="str">
        <f>IFERROR(__xludf.DUMMYFUNCTION("""COMPUTED_VALUE"""),"TRANSITO REVERSA")</f>
        <v>TRANSITO REVERSA</v>
      </c>
      <c r="G2996" s="23">
        <f>IFERROR(__xludf.DUMMYFUNCTION("""COMPUTED_VALUE"""),45617.87138888889)</f>
        <v>45617.87139</v>
      </c>
      <c r="H2996" s="24" t="str">
        <f>IFERROR(VLOOKUP(B2996,material!A:D,3,0),"")</f>
        <v>DUAL</v>
      </c>
    </row>
    <row r="2997" ht="11.25" customHeight="1">
      <c r="A2997" s="21" t="str">
        <f>IFERROR(__xludf.DUMMYFUNCTION("""COMPUTED_VALUE"""),"EMTA WIFI 3.0 FST3486 16X4")</f>
        <v>EMTA WIFI 3.0 FST3486 16X4</v>
      </c>
      <c r="B2997" s="22">
        <f>IFERROR(__xludf.DUMMYFUNCTION("""COMPUTED_VALUE"""),4.1001095E7)</f>
        <v>41001095</v>
      </c>
      <c r="C2997" s="21" t="str">
        <f>IFERROR(__xludf.DUMMYFUNCTION("""COMPUTED_VALUE"""),"3093BC4BF363")</f>
        <v>3093BC4BF363</v>
      </c>
      <c r="D2997" s="21" t="str">
        <f>IFERROR(__xludf.DUMMYFUNCTION("""COMPUTED_VALUE"""),"DIGITEC TECNOLOGIA DIGITAL E REPRES")</f>
        <v>DIGITEC TECNOLOGIA DIGITAL E REPRES</v>
      </c>
      <c r="E2997" s="21">
        <f>IFERROR(__xludf.DUMMYFUNCTION("""COMPUTED_VALUE"""),145359.0)</f>
        <v>145359</v>
      </c>
      <c r="F2997" s="21" t="str">
        <f>IFERROR(__xludf.DUMMYFUNCTION("""COMPUTED_VALUE"""),"TRANSITO REVERSA")</f>
        <v>TRANSITO REVERSA</v>
      </c>
      <c r="G2997" s="23">
        <f>IFERROR(__xludf.DUMMYFUNCTION("""COMPUTED_VALUE"""),45633.00398148148)</f>
        <v>45633.00398</v>
      </c>
      <c r="H2997" s="24" t="str">
        <f>IFERROR(VLOOKUP(B2997,material!A:D,3,0),"")</f>
        <v>DUAL</v>
      </c>
    </row>
    <row r="2998" ht="11.25" customHeight="1">
      <c r="A2998" s="21" t="str">
        <f>IFERROR(__xludf.DUMMYFUNCTION("""COMPUTED_VALUE"""),"EMTA WIFI 3.0 FST3486 16X4")</f>
        <v>EMTA WIFI 3.0 FST3486 16X4</v>
      </c>
      <c r="B2998" s="22">
        <f>IFERROR(__xludf.DUMMYFUNCTION("""COMPUTED_VALUE"""),4.1001095E7)</f>
        <v>41001095</v>
      </c>
      <c r="C2998" s="21" t="str">
        <f>IFERROR(__xludf.DUMMYFUNCTION("""COMPUTED_VALUE"""),"34495B946E60")</f>
        <v>34495B946E60</v>
      </c>
      <c r="D2998" s="21" t="str">
        <f>IFERROR(__xludf.DUMMYFUNCTION("""COMPUTED_VALUE"""),"DIGITEC TECNOLOGIA DIGITAL E REPRES")</f>
        <v>DIGITEC TECNOLOGIA DIGITAL E REPRES</v>
      </c>
      <c r="E2998" s="21">
        <f>IFERROR(__xludf.DUMMYFUNCTION("""COMPUTED_VALUE"""),145359.0)</f>
        <v>145359</v>
      </c>
      <c r="F2998" s="21" t="str">
        <f>IFERROR(__xludf.DUMMYFUNCTION("""COMPUTED_VALUE"""),"TRANSITO REVERSA")</f>
        <v>TRANSITO REVERSA</v>
      </c>
      <c r="G2998" s="23">
        <f>IFERROR(__xludf.DUMMYFUNCTION("""COMPUTED_VALUE"""),45633.00398148148)</f>
        <v>45633.00398</v>
      </c>
      <c r="H2998" s="24" t="str">
        <f>IFERROR(VLOOKUP(B2998,material!A:D,3,0),"")</f>
        <v>DUAL</v>
      </c>
    </row>
    <row r="2999" ht="11.25" customHeight="1">
      <c r="A2999" s="21" t="str">
        <f>IFERROR(__xludf.DUMMYFUNCTION("""COMPUTED_VALUE"""),"EMTA WIFI 3.0 FST3486 16X4")</f>
        <v>EMTA WIFI 3.0 FST3486 16X4</v>
      </c>
      <c r="B2999" s="22">
        <f>IFERROR(__xludf.DUMMYFUNCTION("""COMPUTED_VALUE"""),4.1001095E7)</f>
        <v>41001095</v>
      </c>
      <c r="C2999" s="21" t="str">
        <f>IFERROR(__xludf.DUMMYFUNCTION("""COMPUTED_VALUE"""),"ECBEDDFFF5A1")</f>
        <v>ECBEDDFFF5A1</v>
      </c>
      <c r="D2999" s="21" t="str">
        <f>IFERROR(__xludf.DUMMYFUNCTION("""COMPUTED_VALUE"""),"DIGITEC TECNOLOGIA DIGITAL E REPRES")</f>
        <v>DIGITEC TECNOLOGIA DIGITAL E REPRES</v>
      </c>
      <c r="E2999" s="21">
        <f>IFERROR(__xludf.DUMMYFUNCTION("""COMPUTED_VALUE"""),145359.0)</f>
        <v>145359</v>
      </c>
      <c r="F2999" s="21" t="str">
        <f>IFERROR(__xludf.DUMMYFUNCTION("""COMPUTED_VALUE"""),"TRANSITO REVERSA")</f>
        <v>TRANSITO REVERSA</v>
      </c>
      <c r="G2999" s="23">
        <f>IFERROR(__xludf.DUMMYFUNCTION("""COMPUTED_VALUE"""),45626.29871527778)</f>
        <v>45626.29872</v>
      </c>
      <c r="H2999" s="24" t="str">
        <f>IFERROR(VLOOKUP(B2999,material!A:D,3,0),"")</f>
        <v>DUAL</v>
      </c>
    </row>
    <row r="3000" ht="11.25" customHeight="1">
      <c r="A3000" s="21" t="str">
        <f>IFERROR(__xludf.DUMMYFUNCTION("""COMPUTED_VALUE"""),"EMTA WIFI 3.0 FST3486 16X4")</f>
        <v>EMTA WIFI 3.0 FST3486 16X4</v>
      </c>
      <c r="B3000" s="22">
        <f>IFERROR(__xludf.DUMMYFUNCTION("""COMPUTED_VALUE"""),4.1001095E7)</f>
        <v>41001095</v>
      </c>
      <c r="C3000" s="21" t="str">
        <f>IFERROR(__xludf.DUMMYFUNCTION("""COMPUTED_VALUE"""),"F8084F49DB19")</f>
        <v>F8084F49DB19</v>
      </c>
      <c r="D3000" s="21" t="str">
        <f>IFERROR(__xludf.DUMMYFUNCTION("""COMPUTED_VALUE"""),"DIGITEC TECNOLOGIA DIGITAL E REPRES")</f>
        <v>DIGITEC TECNOLOGIA DIGITAL E REPRES</v>
      </c>
      <c r="E3000" s="21">
        <f>IFERROR(__xludf.DUMMYFUNCTION("""COMPUTED_VALUE"""),145359.0)</f>
        <v>145359</v>
      </c>
      <c r="F3000" s="21" t="str">
        <f>IFERROR(__xludf.DUMMYFUNCTION("""COMPUTED_VALUE"""),"TRANSITO REVERSA")</f>
        <v>TRANSITO REVERSA</v>
      </c>
      <c r="G3000" s="23">
        <f>IFERROR(__xludf.DUMMYFUNCTION("""COMPUTED_VALUE"""),45617.87138888889)</f>
        <v>45617.87139</v>
      </c>
      <c r="H3000" s="24" t="str">
        <f>IFERROR(VLOOKUP(B3000,material!A:D,3,0),"")</f>
        <v>DUAL</v>
      </c>
    </row>
    <row r="3001" ht="11.25" customHeight="1">
      <c r="A3001" s="21" t="str">
        <f>IFERROR(__xludf.DUMMYFUNCTION("""COMPUTED_VALUE"""),"EMTA WIFI 3.0 FST3486 16X4")</f>
        <v>EMTA WIFI 3.0 FST3486 16X4</v>
      </c>
      <c r="B3001" s="22">
        <f>IFERROR(__xludf.DUMMYFUNCTION("""COMPUTED_VALUE"""),4.1001095E7)</f>
        <v>41001095</v>
      </c>
      <c r="C3001" s="21" t="str">
        <f>IFERROR(__xludf.DUMMYFUNCTION("""COMPUTED_VALUE"""),"8020DA4CBFA2")</f>
        <v>8020DA4CBFA2</v>
      </c>
      <c r="D3001" s="21" t="str">
        <f>IFERROR(__xludf.DUMMYFUNCTION("""COMPUTED_VALUE"""),"DIGITEC TECNOLOGIA DIGITAL E REPRES")</f>
        <v>DIGITEC TECNOLOGIA DIGITAL E REPRES</v>
      </c>
      <c r="E3001" s="21">
        <f>IFERROR(__xludf.DUMMYFUNCTION("""COMPUTED_VALUE"""),145359.0)</f>
        <v>145359</v>
      </c>
      <c r="F3001" s="21" t="str">
        <f>IFERROR(__xludf.DUMMYFUNCTION("""COMPUTED_VALUE"""),"TRANSITO REVERSA")</f>
        <v>TRANSITO REVERSA</v>
      </c>
      <c r="G3001" s="23">
        <f>IFERROR(__xludf.DUMMYFUNCTION("""COMPUTED_VALUE"""),45626.29923611111)</f>
        <v>45626.29924</v>
      </c>
      <c r="H3001" s="24" t="str">
        <f>IFERROR(VLOOKUP(B3001,material!A:D,3,0),"")</f>
        <v>DUAL</v>
      </c>
    </row>
    <row r="3002" ht="11.25" customHeight="1">
      <c r="A3002" s="21" t="str">
        <f>IFERROR(__xludf.DUMMYFUNCTION("""COMPUTED_VALUE"""),"EMTA WIFI 3.0 FST3486 16X4")</f>
        <v>EMTA WIFI 3.0 FST3486 16X4</v>
      </c>
      <c r="B3002" s="22">
        <f>IFERROR(__xludf.DUMMYFUNCTION("""COMPUTED_VALUE"""),4.1001095E7)</f>
        <v>41001095</v>
      </c>
      <c r="C3002" s="21" t="str">
        <f>IFERROR(__xludf.DUMMYFUNCTION("""COMPUTED_VALUE"""),"981E19B99E66")</f>
        <v>981E19B99E66</v>
      </c>
      <c r="D3002" s="21" t="str">
        <f>IFERROR(__xludf.DUMMYFUNCTION("""COMPUTED_VALUE"""),"DIGITEC TECNOLOGIA DIGITAL E REPRES")</f>
        <v>DIGITEC TECNOLOGIA DIGITAL E REPRES</v>
      </c>
      <c r="E3002" s="21">
        <f>IFERROR(__xludf.DUMMYFUNCTION("""COMPUTED_VALUE"""),145359.0)</f>
        <v>145359</v>
      </c>
      <c r="F3002" s="21" t="str">
        <f>IFERROR(__xludf.DUMMYFUNCTION("""COMPUTED_VALUE"""),"TRANSITO REVERSA")</f>
        <v>TRANSITO REVERSA</v>
      </c>
      <c r="G3002" s="23">
        <f>IFERROR(__xludf.DUMMYFUNCTION("""COMPUTED_VALUE"""),45633.0033912037)</f>
        <v>45633.00339</v>
      </c>
      <c r="H3002" s="24" t="str">
        <f>IFERROR(VLOOKUP(B3002,material!A:D,3,0),"")</f>
        <v>DUAL</v>
      </c>
    </row>
    <row r="3003" ht="11.25" customHeight="1">
      <c r="A3003" s="21" t="str">
        <f>IFERROR(__xludf.DUMMYFUNCTION("""COMPUTED_VALUE"""),"EMTA WIFI 3.0 FST3486 16X4")</f>
        <v>EMTA WIFI 3.0 FST3486 16X4</v>
      </c>
      <c r="B3003" s="22">
        <f>IFERROR(__xludf.DUMMYFUNCTION("""COMPUTED_VALUE"""),4.1001095E7)</f>
        <v>41001095</v>
      </c>
      <c r="C3003" s="21" t="str">
        <f>IFERROR(__xludf.DUMMYFUNCTION("""COMPUTED_VALUE"""),"84A06E65F730")</f>
        <v>84A06E65F730</v>
      </c>
      <c r="D3003" s="21" t="str">
        <f>IFERROR(__xludf.DUMMYFUNCTION("""COMPUTED_VALUE"""),"DIGITEC TECNOLOGIA DIGITAL E REPRES")</f>
        <v>DIGITEC TECNOLOGIA DIGITAL E REPRES</v>
      </c>
      <c r="E3003" s="21">
        <f>IFERROR(__xludf.DUMMYFUNCTION("""COMPUTED_VALUE"""),145359.0)</f>
        <v>145359</v>
      </c>
      <c r="F3003" s="21" t="str">
        <f>IFERROR(__xludf.DUMMYFUNCTION("""COMPUTED_VALUE"""),"TRANSITO REVERSA")</f>
        <v>TRANSITO REVERSA</v>
      </c>
      <c r="G3003" s="23">
        <f>IFERROR(__xludf.DUMMYFUNCTION("""COMPUTED_VALUE"""),45633.0033912037)</f>
        <v>45633.00339</v>
      </c>
      <c r="H3003" s="24" t="str">
        <f>IFERROR(VLOOKUP(B3003,material!A:D,3,0),"")</f>
        <v>DUAL</v>
      </c>
    </row>
    <row r="3004" ht="11.25" customHeight="1">
      <c r="A3004" s="21" t="str">
        <f>IFERROR(__xludf.DUMMYFUNCTION("""COMPUTED_VALUE"""),"EMTA WIFI 3.0 FST3486 16X4")</f>
        <v>EMTA WIFI 3.0 FST3486 16X4</v>
      </c>
      <c r="B3004" s="22">
        <f>IFERROR(__xludf.DUMMYFUNCTION("""COMPUTED_VALUE"""),4.1001095E7)</f>
        <v>41001095</v>
      </c>
      <c r="C3004" s="21" t="str">
        <f>IFERROR(__xludf.DUMMYFUNCTION("""COMPUTED_VALUE"""),"F081752D18AE")</f>
        <v>F081752D18AE</v>
      </c>
      <c r="D3004" s="21" t="str">
        <f>IFERROR(__xludf.DUMMYFUNCTION("""COMPUTED_VALUE"""),"DIGITEC TECNOLOGIA DIGITAL E REPRES")</f>
        <v>DIGITEC TECNOLOGIA DIGITAL E REPRES</v>
      </c>
      <c r="E3004" s="21">
        <f>IFERROR(__xludf.DUMMYFUNCTION("""COMPUTED_VALUE"""),145359.0)</f>
        <v>145359</v>
      </c>
      <c r="F3004" s="21" t="str">
        <f>IFERROR(__xludf.DUMMYFUNCTION("""COMPUTED_VALUE"""),"TRANSITO REVERSA")</f>
        <v>TRANSITO REVERSA</v>
      </c>
      <c r="G3004" s="23">
        <f>IFERROR(__xludf.DUMMYFUNCTION("""COMPUTED_VALUE"""),45617.871817129635)</f>
        <v>45617.87182</v>
      </c>
      <c r="H3004" s="24" t="str">
        <f>IFERROR(VLOOKUP(B3004,material!A:D,3,0),"")</f>
        <v>DUAL</v>
      </c>
    </row>
    <row r="3005" ht="11.25" customHeight="1">
      <c r="A3005" s="21" t="str">
        <f>IFERROR(__xludf.DUMMYFUNCTION("""COMPUTED_VALUE"""),"EMTA WIFI 3.0 FST3486 16X4")</f>
        <v>EMTA WIFI 3.0 FST3486 16X4</v>
      </c>
      <c r="B3005" s="22">
        <f>IFERROR(__xludf.DUMMYFUNCTION("""COMPUTED_VALUE"""),4.1001095E7)</f>
        <v>41001095</v>
      </c>
      <c r="C3005" s="21" t="str">
        <f>IFERROR(__xludf.DUMMYFUNCTION("""COMPUTED_VALUE"""),"F081752D1BBE")</f>
        <v>F081752D1BBE</v>
      </c>
      <c r="D3005" s="21" t="str">
        <f>IFERROR(__xludf.DUMMYFUNCTION("""COMPUTED_VALUE"""),"DIGITEC TECNOLOGIA DIGITAL E REPRES")</f>
        <v>DIGITEC TECNOLOGIA DIGITAL E REPRES</v>
      </c>
      <c r="E3005" s="21">
        <f>IFERROR(__xludf.DUMMYFUNCTION("""COMPUTED_VALUE"""),145359.0)</f>
        <v>145359</v>
      </c>
      <c r="F3005" s="21" t="str">
        <f>IFERROR(__xludf.DUMMYFUNCTION("""COMPUTED_VALUE"""),"TRANSITO REVERSA")</f>
        <v>TRANSITO REVERSA</v>
      </c>
      <c r="G3005" s="23">
        <f>IFERROR(__xludf.DUMMYFUNCTION("""COMPUTED_VALUE"""),45617.87141203704)</f>
        <v>45617.87141</v>
      </c>
      <c r="H3005" s="24" t="str">
        <f>IFERROR(VLOOKUP(B3005,material!A:D,3,0),"")</f>
        <v>DUAL</v>
      </c>
    </row>
    <row r="3006" ht="11.25" customHeight="1">
      <c r="A3006" s="21" t="str">
        <f>IFERROR(__xludf.DUMMYFUNCTION("""COMPUTED_VALUE"""),"EMTA WIFI 3.0 FST3486 16X4")</f>
        <v>EMTA WIFI 3.0 FST3486 16X4</v>
      </c>
      <c r="B3006" s="22">
        <f>IFERROR(__xludf.DUMMYFUNCTION("""COMPUTED_VALUE"""),4.1001095E7)</f>
        <v>41001095</v>
      </c>
      <c r="C3006" s="21" t="str">
        <f>IFERROR(__xludf.DUMMYFUNCTION("""COMPUTED_VALUE"""),"A86ABBD13044")</f>
        <v>A86ABBD13044</v>
      </c>
      <c r="D3006" s="21" t="str">
        <f>IFERROR(__xludf.DUMMYFUNCTION("""COMPUTED_VALUE"""),"DIGITEC TECNOLOGIA DIGITAL E REPRES")</f>
        <v>DIGITEC TECNOLOGIA DIGITAL E REPRES</v>
      </c>
      <c r="E3006" s="21">
        <f>IFERROR(__xludf.DUMMYFUNCTION("""COMPUTED_VALUE"""),145359.0)</f>
        <v>145359</v>
      </c>
      <c r="F3006" s="21" t="str">
        <f>IFERROR(__xludf.DUMMYFUNCTION("""COMPUTED_VALUE"""),"TRANSITO REVERSA")</f>
        <v>TRANSITO REVERSA</v>
      </c>
      <c r="G3006" s="23">
        <f>IFERROR(__xludf.DUMMYFUNCTION("""COMPUTED_VALUE"""),45633.00341435186)</f>
        <v>45633.00341</v>
      </c>
      <c r="H3006" s="24" t="str">
        <f>IFERROR(VLOOKUP(B3006,material!A:D,3,0),"")</f>
        <v>DUAL</v>
      </c>
    </row>
    <row r="3007" ht="11.25" customHeight="1">
      <c r="A3007" s="21" t="str">
        <f>IFERROR(__xludf.DUMMYFUNCTION("""COMPUTED_VALUE"""),"EMTA WIFI 3.0 FST3486 16X4")</f>
        <v>EMTA WIFI 3.0 FST3486 16X4</v>
      </c>
      <c r="B3007" s="22">
        <f>IFERROR(__xludf.DUMMYFUNCTION("""COMPUTED_VALUE"""),4.1001095E7)</f>
        <v>41001095</v>
      </c>
      <c r="C3007" s="21" t="str">
        <f>IFERROR(__xludf.DUMMYFUNCTION("""COMPUTED_VALUE"""),"A86ABBD0C274")</f>
        <v>A86ABBD0C274</v>
      </c>
      <c r="D3007" s="21" t="str">
        <f>IFERROR(__xludf.DUMMYFUNCTION("""COMPUTED_VALUE"""),"DIGITEC TECNOLOGIA DIGITAL E REPRES")</f>
        <v>DIGITEC TECNOLOGIA DIGITAL E REPRES</v>
      </c>
      <c r="E3007" s="21">
        <f>IFERROR(__xludf.DUMMYFUNCTION("""COMPUTED_VALUE"""),145359.0)</f>
        <v>145359</v>
      </c>
      <c r="F3007" s="21" t="str">
        <f>IFERROR(__xludf.DUMMYFUNCTION("""COMPUTED_VALUE"""),"TRANSITO REVERSA")</f>
        <v>TRANSITO REVERSA</v>
      </c>
      <c r="G3007" s="23">
        <f>IFERROR(__xludf.DUMMYFUNCTION("""COMPUTED_VALUE"""),45626.29872685185)</f>
        <v>45626.29873</v>
      </c>
      <c r="H3007" s="24" t="str">
        <f>IFERROR(VLOOKUP(B3007,material!A:D,3,0),"")</f>
        <v>DUAL</v>
      </c>
    </row>
    <row r="3008" ht="11.25" customHeight="1">
      <c r="A3008" s="21" t="str">
        <f>IFERROR(__xludf.DUMMYFUNCTION("""COMPUTED_VALUE"""),"EMTA WIFI 3.0 FST3486 16X4")</f>
        <v>EMTA WIFI 3.0 FST3486 16X4</v>
      </c>
      <c r="B3008" s="22">
        <f>IFERROR(__xludf.DUMMYFUNCTION("""COMPUTED_VALUE"""),4.1001095E7)</f>
        <v>41001095</v>
      </c>
      <c r="C3008" s="21" t="str">
        <f>IFERROR(__xludf.DUMMYFUNCTION("""COMPUTED_VALUE"""),"D06EDE78B822")</f>
        <v>D06EDE78B822</v>
      </c>
      <c r="D3008" s="21" t="str">
        <f>IFERROR(__xludf.DUMMYFUNCTION("""COMPUTED_VALUE"""),"DIGITEC TECNOLOGIA DIGITAL E REPRES")</f>
        <v>DIGITEC TECNOLOGIA DIGITAL E REPRES</v>
      </c>
      <c r="E3008" s="21">
        <f>IFERROR(__xludf.DUMMYFUNCTION("""COMPUTED_VALUE"""),145359.0)</f>
        <v>145359</v>
      </c>
      <c r="F3008" s="21" t="str">
        <f>IFERROR(__xludf.DUMMYFUNCTION("""COMPUTED_VALUE"""),"TRANSITO REVERSA")</f>
        <v>TRANSITO REVERSA</v>
      </c>
      <c r="G3008" s="23">
        <f>IFERROR(__xludf.DUMMYFUNCTION("""COMPUTED_VALUE"""),45633.00396990741)</f>
        <v>45633.00397</v>
      </c>
      <c r="H3008" s="24" t="str">
        <f>IFERROR(VLOOKUP(B3008,material!A:D,3,0),"")</f>
        <v>DUAL</v>
      </c>
    </row>
    <row r="3009" ht="11.25" customHeight="1">
      <c r="A3009" s="21" t="str">
        <f>IFERROR(__xludf.DUMMYFUNCTION("""COMPUTED_VALUE"""),"EMTA WIFI 3.0 FST3486 16X4")</f>
        <v>EMTA WIFI 3.0 FST3486 16X4</v>
      </c>
      <c r="B3009" s="22">
        <f>IFERROR(__xludf.DUMMYFUNCTION("""COMPUTED_VALUE"""),4.1001095E7)</f>
        <v>41001095</v>
      </c>
      <c r="C3009" s="21" t="str">
        <f>IFERROR(__xludf.DUMMYFUNCTION("""COMPUTED_VALUE"""),"D06EDE78D10B")</f>
        <v>D06EDE78D10B</v>
      </c>
      <c r="D3009" s="21" t="str">
        <f>IFERROR(__xludf.DUMMYFUNCTION("""COMPUTED_VALUE"""),"DIGITEC TECNOLOGIA DIGITAL E REPRES")</f>
        <v>DIGITEC TECNOLOGIA DIGITAL E REPRES</v>
      </c>
      <c r="E3009" s="21">
        <f>IFERROR(__xludf.DUMMYFUNCTION("""COMPUTED_VALUE"""),145359.0)</f>
        <v>145359</v>
      </c>
      <c r="F3009" s="21" t="str">
        <f>IFERROR(__xludf.DUMMYFUNCTION("""COMPUTED_VALUE"""),"TRANSITO REVERSA")</f>
        <v>TRANSITO REVERSA</v>
      </c>
      <c r="G3009" s="23">
        <f>IFERROR(__xludf.DUMMYFUNCTION("""COMPUTED_VALUE"""),45633.00399305555)</f>
        <v>45633.00399</v>
      </c>
      <c r="H3009" s="24" t="str">
        <f>IFERROR(VLOOKUP(B3009,material!A:D,3,0),"")</f>
        <v>DUAL</v>
      </c>
    </row>
    <row r="3010" ht="11.25" customHeight="1">
      <c r="A3010" s="21" t="str">
        <f>IFERROR(__xludf.DUMMYFUNCTION("""COMPUTED_VALUE"""),"EMTA WIFI 3.0 FST3486 16X4")</f>
        <v>EMTA WIFI 3.0 FST3486 16X4</v>
      </c>
      <c r="B3010" s="22">
        <f>IFERROR(__xludf.DUMMYFUNCTION("""COMPUTED_VALUE"""),4.1001095E7)</f>
        <v>41001095</v>
      </c>
      <c r="C3010" s="21" t="str">
        <f>IFERROR(__xludf.DUMMYFUNCTION("""COMPUTED_VALUE"""),"3024786637E7")</f>
        <v>3024786637E7</v>
      </c>
      <c r="D3010" s="21" t="str">
        <f>IFERROR(__xludf.DUMMYFUNCTION("""COMPUTED_VALUE"""),"DIGITEC TECNOLOGIA DIGITAL E REPRES")</f>
        <v>DIGITEC TECNOLOGIA DIGITAL E REPRES</v>
      </c>
      <c r="E3010" s="21">
        <f>IFERROR(__xludf.DUMMYFUNCTION("""COMPUTED_VALUE"""),145359.0)</f>
        <v>145359</v>
      </c>
      <c r="F3010" s="21" t="str">
        <f>IFERROR(__xludf.DUMMYFUNCTION("""COMPUTED_VALUE"""),"TRANSITO REVERSA")</f>
        <v>TRANSITO REVERSA</v>
      </c>
      <c r="G3010" s="23">
        <f>IFERROR(__xludf.DUMMYFUNCTION("""COMPUTED_VALUE"""),45638.521099537036)</f>
        <v>45638.5211</v>
      </c>
      <c r="H3010" s="24" t="str">
        <f>IFERROR(VLOOKUP(B3010,material!A:D,3,0),"")</f>
        <v>DUAL</v>
      </c>
    </row>
    <row r="3011" ht="11.25" customHeight="1">
      <c r="A3011" s="21" t="str">
        <f>IFERROR(__xludf.DUMMYFUNCTION("""COMPUTED_VALUE"""),"SMART SIM CARD NAGRA")</f>
        <v>SMART SIM CARD NAGRA</v>
      </c>
      <c r="B3011" s="22">
        <f>IFERROR(__xludf.DUMMYFUNCTION("""COMPUTED_VALUE"""),4.1000805E7)</f>
        <v>41000805</v>
      </c>
      <c r="C3011" s="21" t="str">
        <f>IFERROR(__xludf.DUMMYFUNCTION("""COMPUTED_VALUE"""),"246640029718")</f>
        <v>246640029718</v>
      </c>
      <c r="D3011" s="21" t="str">
        <f>IFERROR(__xludf.DUMMYFUNCTION("""COMPUTED_VALUE"""),"DIGITEC TECNOLOGIA DIGITAL E REPRES")</f>
        <v>DIGITEC TECNOLOGIA DIGITAL E REPRES</v>
      </c>
      <c r="E3011" s="21">
        <f>IFERROR(__xludf.DUMMYFUNCTION("""COMPUTED_VALUE"""),145359.0)</f>
        <v>145359</v>
      </c>
      <c r="F3011" s="21" t="str">
        <f>IFERROR(__xludf.DUMMYFUNCTION("""COMPUTED_VALUE"""),"TRANSITO REVERSA")</f>
        <v>TRANSITO REVERSA</v>
      </c>
      <c r="G3011" s="23">
        <f>IFERROR(__xludf.DUMMYFUNCTION("""COMPUTED_VALUE"""),45626.29923611111)</f>
        <v>45626.29924</v>
      </c>
      <c r="H3011" s="24" t="str">
        <f>IFERROR(VLOOKUP(B3011,material!A:D,3,0),"")</f>
        <v>SIM CARD</v>
      </c>
    </row>
    <row r="3012" ht="11.25" customHeight="1">
      <c r="A3012" s="21" t="str">
        <f>IFERROR(__xludf.DUMMYFUNCTION("""COMPUTED_VALUE"""),"SMART SIM CARD NAGRA")</f>
        <v>SMART SIM CARD NAGRA</v>
      </c>
      <c r="B3012" s="22">
        <f>IFERROR(__xludf.DUMMYFUNCTION("""COMPUTED_VALUE"""),4.1000805E7)</f>
        <v>41000805</v>
      </c>
      <c r="C3012" s="21" t="str">
        <f>IFERROR(__xludf.DUMMYFUNCTION("""COMPUTED_VALUE"""),"246493272949")</f>
        <v>246493272949</v>
      </c>
      <c r="D3012" s="21" t="str">
        <f>IFERROR(__xludf.DUMMYFUNCTION("""COMPUTED_VALUE"""),"DIGITEC TECNOLOGIA DIGITAL E REPRES")</f>
        <v>DIGITEC TECNOLOGIA DIGITAL E REPRES</v>
      </c>
      <c r="E3012" s="21">
        <f>IFERROR(__xludf.DUMMYFUNCTION("""COMPUTED_VALUE"""),145359.0)</f>
        <v>145359</v>
      </c>
      <c r="F3012" s="21" t="str">
        <f>IFERROR(__xludf.DUMMYFUNCTION("""COMPUTED_VALUE"""),"TRANSITO REVERSA")</f>
        <v>TRANSITO REVERSA</v>
      </c>
      <c r="G3012" s="23">
        <f>IFERROR(__xludf.DUMMYFUNCTION("""COMPUTED_VALUE"""),45638.52060185185)</f>
        <v>45638.5206</v>
      </c>
      <c r="H3012" s="24" t="str">
        <f>IFERROR(VLOOKUP(B3012,material!A:D,3,0),"")</f>
        <v>SIM CARD</v>
      </c>
    </row>
    <row r="3013" ht="11.25" customHeight="1">
      <c r="A3013" s="21" t="str">
        <f>IFERROR(__xludf.DUMMYFUNCTION("""COMPUTED_VALUE"""),"SMART SIM CARD NAGRA")</f>
        <v>SMART SIM CARD NAGRA</v>
      </c>
      <c r="B3013" s="22">
        <f>IFERROR(__xludf.DUMMYFUNCTION("""COMPUTED_VALUE"""),4.1000805E7)</f>
        <v>41000805</v>
      </c>
      <c r="C3013" s="21" t="str">
        <f>IFERROR(__xludf.DUMMYFUNCTION("""COMPUTED_VALUE"""),"246459996266")</f>
        <v>246459996266</v>
      </c>
      <c r="D3013" s="21" t="str">
        <f>IFERROR(__xludf.DUMMYFUNCTION("""COMPUTED_VALUE"""),"DIGITEC TECNOLOGIA DIGITAL E REPRES")</f>
        <v>DIGITEC TECNOLOGIA DIGITAL E REPRES</v>
      </c>
      <c r="E3013" s="21">
        <f>IFERROR(__xludf.DUMMYFUNCTION("""COMPUTED_VALUE"""),145359.0)</f>
        <v>145359</v>
      </c>
      <c r="F3013" s="21" t="str">
        <f>IFERROR(__xludf.DUMMYFUNCTION("""COMPUTED_VALUE"""),"TRANSITO REVERSA")</f>
        <v>TRANSITO REVERSA</v>
      </c>
      <c r="G3013" s="23">
        <f>IFERROR(__xludf.DUMMYFUNCTION("""COMPUTED_VALUE"""),45617.87240740741)</f>
        <v>45617.87241</v>
      </c>
      <c r="H3013" s="24" t="str">
        <f>IFERROR(VLOOKUP(B3013,material!A:D,3,0),"")</f>
        <v>SIM CARD</v>
      </c>
    </row>
    <row r="3014" ht="11.25" customHeight="1">
      <c r="A3014" s="21" t="str">
        <f>IFERROR(__xludf.DUMMYFUNCTION("""COMPUTED_VALUE"""),"SMART SIM CARD NAGRA")</f>
        <v>SMART SIM CARD NAGRA</v>
      </c>
      <c r="B3014" s="22">
        <f>IFERROR(__xludf.DUMMYFUNCTION("""COMPUTED_VALUE"""),4.1000805E7)</f>
        <v>41000805</v>
      </c>
      <c r="C3014" s="21" t="str">
        <f>IFERROR(__xludf.DUMMYFUNCTION("""COMPUTED_VALUE"""),"246460762941")</f>
        <v>246460762941</v>
      </c>
      <c r="D3014" s="21" t="str">
        <f>IFERROR(__xludf.DUMMYFUNCTION("""COMPUTED_VALUE"""),"DIGITEC TECNOLOGIA DIGITAL E REPRES")</f>
        <v>DIGITEC TECNOLOGIA DIGITAL E REPRES</v>
      </c>
      <c r="E3014" s="21">
        <f>IFERROR(__xludf.DUMMYFUNCTION("""COMPUTED_VALUE"""),145359.0)</f>
        <v>145359</v>
      </c>
      <c r="F3014" s="21" t="str">
        <f>IFERROR(__xludf.DUMMYFUNCTION("""COMPUTED_VALUE"""),"TRANSITO REVERSA")</f>
        <v>TRANSITO REVERSA</v>
      </c>
      <c r="G3014" s="23">
        <f>IFERROR(__xludf.DUMMYFUNCTION("""COMPUTED_VALUE"""),45638.52059027778)</f>
        <v>45638.52059</v>
      </c>
      <c r="H3014" s="24" t="str">
        <f>IFERROR(VLOOKUP(B3014,material!A:D,3,0),"")</f>
        <v>SIM CARD</v>
      </c>
    </row>
    <row r="3015" ht="11.25" customHeight="1">
      <c r="A3015" s="21" t="str">
        <f>IFERROR(__xludf.DUMMYFUNCTION("""COMPUTED_VALUE"""),"SMART SIM CARD NAGRA")</f>
        <v>SMART SIM CARD NAGRA</v>
      </c>
      <c r="B3015" s="22">
        <f>IFERROR(__xludf.DUMMYFUNCTION("""COMPUTED_VALUE"""),4.1000805E7)</f>
        <v>41000805</v>
      </c>
      <c r="C3015" s="21" t="str">
        <f>IFERROR(__xludf.DUMMYFUNCTION("""COMPUTED_VALUE"""),"246460158505")</f>
        <v>246460158505</v>
      </c>
      <c r="D3015" s="21" t="str">
        <f>IFERROR(__xludf.DUMMYFUNCTION("""COMPUTED_VALUE"""),"DIGITEC TECNOLOGIA DIGITAL E REPRES")</f>
        <v>DIGITEC TECNOLOGIA DIGITAL E REPRES</v>
      </c>
      <c r="E3015" s="21">
        <f>IFERROR(__xludf.DUMMYFUNCTION("""COMPUTED_VALUE"""),145359.0)</f>
        <v>145359</v>
      </c>
      <c r="F3015" s="21" t="str">
        <f>IFERROR(__xludf.DUMMYFUNCTION("""COMPUTED_VALUE"""),"TRANSITO REVERSA")</f>
        <v>TRANSITO REVERSA</v>
      </c>
      <c r="G3015" s="23">
        <f>IFERROR(__xludf.DUMMYFUNCTION("""COMPUTED_VALUE"""),45633.003958333335)</f>
        <v>45633.00396</v>
      </c>
      <c r="H3015" s="24" t="str">
        <f>IFERROR(VLOOKUP(B3015,material!A:D,3,0),"")</f>
        <v>SIM CARD</v>
      </c>
    </row>
    <row r="3016" ht="11.25" customHeight="1">
      <c r="A3016" s="21" t="str">
        <f>IFERROR(__xludf.DUMMYFUNCTION("""COMPUTED_VALUE"""),"SMART SIM CARD NAGRA")</f>
        <v>SMART SIM CARD NAGRA</v>
      </c>
      <c r="B3016" s="22">
        <f>IFERROR(__xludf.DUMMYFUNCTION("""COMPUTED_VALUE"""),4.1000805E7)</f>
        <v>41000805</v>
      </c>
      <c r="C3016" s="21" t="str">
        <f>IFERROR(__xludf.DUMMYFUNCTION("""COMPUTED_VALUE"""),"246515200813")</f>
        <v>246515200813</v>
      </c>
      <c r="D3016" s="21" t="str">
        <f>IFERROR(__xludf.DUMMYFUNCTION("""COMPUTED_VALUE"""),"DIGITEC TECNOLOGIA DIGITAL E REPRES")</f>
        <v>DIGITEC TECNOLOGIA DIGITAL E REPRES</v>
      </c>
      <c r="E3016" s="21">
        <f>IFERROR(__xludf.DUMMYFUNCTION("""COMPUTED_VALUE"""),145359.0)</f>
        <v>145359</v>
      </c>
      <c r="F3016" s="21" t="str">
        <f>IFERROR(__xludf.DUMMYFUNCTION("""COMPUTED_VALUE"""),"TRANSITO REVERSA")</f>
        <v>TRANSITO REVERSA</v>
      </c>
      <c r="G3016" s="23">
        <f>IFERROR(__xludf.DUMMYFUNCTION("""COMPUTED_VALUE"""),45638.520636574074)</f>
        <v>45638.52064</v>
      </c>
      <c r="H3016" s="24" t="str">
        <f>IFERROR(VLOOKUP(B3016,material!A:D,3,0),"")</f>
        <v>SIM CARD</v>
      </c>
    </row>
    <row r="3017" ht="11.25" customHeight="1">
      <c r="A3017" s="21" t="str">
        <f>IFERROR(__xludf.DUMMYFUNCTION("""COMPUTED_VALUE"""),"SMART SIM CARD NAGRA")</f>
        <v>SMART SIM CARD NAGRA</v>
      </c>
      <c r="B3017" s="22">
        <f>IFERROR(__xludf.DUMMYFUNCTION("""COMPUTED_VALUE"""),4.1000805E7)</f>
        <v>41000805</v>
      </c>
      <c r="C3017" s="21" t="str">
        <f>IFERROR(__xludf.DUMMYFUNCTION("""COMPUTED_VALUE"""),"246519392535")</f>
        <v>246519392535</v>
      </c>
      <c r="D3017" s="21" t="str">
        <f>IFERROR(__xludf.DUMMYFUNCTION("""COMPUTED_VALUE"""),"DIGITEC TECNOLOGIA DIGITAL E REPRES")</f>
        <v>DIGITEC TECNOLOGIA DIGITAL E REPRES</v>
      </c>
      <c r="E3017" s="21">
        <f>IFERROR(__xludf.DUMMYFUNCTION("""COMPUTED_VALUE"""),145359.0)</f>
        <v>145359</v>
      </c>
      <c r="F3017" s="21" t="str">
        <f>IFERROR(__xludf.DUMMYFUNCTION("""COMPUTED_VALUE"""),"TRANSITO REVERSA")</f>
        <v>TRANSITO REVERSA</v>
      </c>
      <c r="G3017" s="23">
        <f>IFERROR(__xludf.DUMMYFUNCTION("""COMPUTED_VALUE"""),45617.87137731482)</f>
        <v>45617.87138</v>
      </c>
      <c r="H3017" s="24" t="str">
        <f>IFERROR(VLOOKUP(B3017,material!A:D,3,0),"")</f>
        <v>SIM CARD</v>
      </c>
    </row>
    <row r="3018" ht="11.25" customHeight="1">
      <c r="A3018" s="21" t="str">
        <f>IFERROR(__xludf.DUMMYFUNCTION("""COMPUTED_VALUE"""),"SMART SIM CARD NAGRA")</f>
        <v>SMART SIM CARD NAGRA</v>
      </c>
      <c r="B3018" s="22">
        <f>IFERROR(__xludf.DUMMYFUNCTION("""COMPUTED_VALUE"""),4.1000805E7)</f>
        <v>41000805</v>
      </c>
      <c r="C3018" s="21" t="str">
        <f>IFERROR(__xludf.DUMMYFUNCTION("""COMPUTED_VALUE"""),"246505874156")</f>
        <v>246505874156</v>
      </c>
      <c r="D3018" s="21" t="str">
        <f>IFERROR(__xludf.DUMMYFUNCTION("""COMPUTED_VALUE"""),"DIGITEC TECNOLOGIA DIGITAL E REPRES")</f>
        <v>DIGITEC TECNOLOGIA DIGITAL E REPRES</v>
      </c>
      <c r="E3018" s="21">
        <f>IFERROR(__xludf.DUMMYFUNCTION("""COMPUTED_VALUE"""),145359.0)</f>
        <v>145359</v>
      </c>
      <c r="F3018" s="21" t="str">
        <f>IFERROR(__xludf.DUMMYFUNCTION("""COMPUTED_VALUE"""),"TRANSITO REVERSA")</f>
        <v>TRANSITO REVERSA</v>
      </c>
      <c r="G3018" s="23">
        <f>IFERROR(__xludf.DUMMYFUNCTION("""COMPUTED_VALUE"""),45626.29872685185)</f>
        <v>45626.29873</v>
      </c>
      <c r="H3018" s="24" t="str">
        <f>IFERROR(VLOOKUP(B3018,material!A:D,3,0),"")</f>
        <v>SIM CARD</v>
      </c>
    </row>
    <row r="3019" ht="11.25" customHeight="1">
      <c r="A3019" s="21" t="str">
        <f>IFERROR(__xludf.DUMMYFUNCTION("""COMPUTED_VALUE"""),"SMART SIM CARD NAGRA")</f>
        <v>SMART SIM CARD NAGRA</v>
      </c>
      <c r="B3019" s="22">
        <f>IFERROR(__xludf.DUMMYFUNCTION("""COMPUTED_VALUE"""),4.1000805E7)</f>
        <v>41000805</v>
      </c>
      <c r="C3019" s="21" t="str">
        <f>IFERROR(__xludf.DUMMYFUNCTION("""COMPUTED_VALUE"""),"246427035070")</f>
        <v>246427035070</v>
      </c>
      <c r="D3019" s="21" t="str">
        <f>IFERROR(__xludf.DUMMYFUNCTION("""COMPUTED_VALUE"""),"DIGITEC TECNOLOGIA DIGITAL E REPRES")</f>
        <v>DIGITEC TECNOLOGIA DIGITAL E REPRES</v>
      </c>
      <c r="E3019" s="21">
        <f>IFERROR(__xludf.DUMMYFUNCTION("""COMPUTED_VALUE"""),145359.0)</f>
        <v>145359</v>
      </c>
      <c r="F3019" s="21" t="str">
        <f>IFERROR(__xludf.DUMMYFUNCTION("""COMPUTED_VALUE"""),"TRANSITO REVERSA")</f>
        <v>TRANSITO REVERSA</v>
      </c>
      <c r="G3019" s="23">
        <f>IFERROR(__xludf.DUMMYFUNCTION("""COMPUTED_VALUE"""),45638.520578703705)</f>
        <v>45638.52058</v>
      </c>
      <c r="H3019" s="24" t="str">
        <f>IFERROR(VLOOKUP(B3019,material!A:D,3,0),"")</f>
        <v>SIM CARD</v>
      </c>
    </row>
    <row r="3020" ht="11.25" customHeight="1">
      <c r="A3020" s="21" t="str">
        <f>IFERROR(__xludf.DUMMYFUNCTION("""COMPUTED_VALUE"""),"SMART SIM CARD NAGRA")</f>
        <v>SMART SIM CARD NAGRA</v>
      </c>
      <c r="B3020" s="22">
        <f>IFERROR(__xludf.DUMMYFUNCTION("""COMPUTED_VALUE"""),4.1000805E7)</f>
        <v>41000805</v>
      </c>
      <c r="C3020" s="21" t="str">
        <f>IFERROR(__xludf.DUMMYFUNCTION("""COMPUTED_VALUE"""),"246427480827")</f>
        <v>246427480827</v>
      </c>
      <c r="D3020" s="21" t="str">
        <f>IFERROR(__xludf.DUMMYFUNCTION("""COMPUTED_VALUE"""),"DIGITEC TECNOLOGIA DIGITAL E REPRES")</f>
        <v>DIGITEC TECNOLOGIA DIGITAL E REPRES</v>
      </c>
      <c r="E3020" s="21">
        <f>IFERROR(__xludf.DUMMYFUNCTION("""COMPUTED_VALUE"""),145359.0)</f>
        <v>145359</v>
      </c>
      <c r="F3020" s="21" t="str">
        <f>IFERROR(__xludf.DUMMYFUNCTION("""COMPUTED_VALUE"""),"TRANSITO REVERSA")</f>
        <v>TRANSITO REVERSA</v>
      </c>
      <c r="G3020" s="23">
        <f>IFERROR(__xludf.DUMMYFUNCTION("""COMPUTED_VALUE"""),45633.00396990741)</f>
        <v>45633.00397</v>
      </c>
      <c r="H3020" s="24" t="str">
        <f>IFERROR(VLOOKUP(B3020,material!A:D,3,0),"")</f>
        <v>SIM CARD</v>
      </c>
    </row>
    <row r="3021" ht="11.25" customHeight="1">
      <c r="A3021" s="21" t="str">
        <f>IFERROR(__xludf.DUMMYFUNCTION("""COMPUTED_VALUE"""),"SMART SIM CARD NAGRA")</f>
        <v>SMART SIM CARD NAGRA</v>
      </c>
      <c r="B3021" s="22">
        <f>IFERROR(__xludf.DUMMYFUNCTION("""COMPUTED_VALUE"""),4.1000805E7)</f>
        <v>41000805</v>
      </c>
      <c r="C3021" s="21" t="str">
        <f>IFERROR(__xludf.DUMMYFUNCTION("""COMPUTED_VALUE"""),"246589737177")</f>
        <v>246589737177</v>
      </c>
      <c r="D3021" s="21" t="str">
        <f>IFERROR(__xludf.DUMMYFUNCTION("""COMPUTED_VALUE"""),"DIGITEC TECNOLOGIA DIGITAL E REPRES")</f>
        <v>DIGITEC TECNOLOGIA DIGITAL E REPRES</v>
      </c>
      <c r="E3021" s="21">
        <f>IFERROR(__xludf.DUMMYFUNCTION("""COMPUTED_VALUE"""),145359.0)</f>
        <v>145359</v>
      </c>
      <c r="F3021" s="21" t="str">
        <f>IFERROR(__xludf.DUMMYFUNCTION("""COMPUTED_VALUE"""),"TRANSITO REVERSA")</f>
        <v>TRANSITO REVERSA</v>
      </c>
      <c r="G3021" s="23">
        <f>IFERROR(__xludf.DUMMYFUNCTION("""COMPUTED_VALUE"""),45638.52060185185)</f>
        <v>45638.5206</v>
      </c>
      <c r="H3021" s="24" t="str">
        <f>IFERROR(VLOOKUP(B3021,material!A:D,3,0),"")</f>
        <v>SIM CARD</v>
      </c>
    </row>
    <row r="3022" ht="11.25" customHeight="1">
      <c r="A3022" s="21" t="str">
        <f>IFERROR(__xludf.DUMMYFUNCTION("""COMPUTED_VALUE"""),"SMART SIM CARD NAGRA")</f>
        <v>SMART SIM CARD NAGRA</v>
      </c>
      <c r="B3022" s="22">
        <f>IFERROR(__xludf.DUMMYFUNCTION("""COMPUTED_VALUE"""),4.1000805E7)</f>
        <v>41000805</v>
      </c>
      <c r="C3022" s="21" t="str">
        <f>IFERROR(__xludf.DUMMYFUNCTION("""COMPUTED_VALUE"""),"246590430512")</f>
        <v>246590430512</v>
      </c>
      <c r="D3022" s="21" t="str">
        <f>IFERROR(__xludf.DUMMYFUNCTION("""COMPUTED_VALUE"""),"DIGITEC TECNOLOGIA DIGITAL E REPRES")</f>
        <v>DIGITEC TECNOLOGIA DIGITAL E REPRES</v>
      </c>
      <c r="E3022" s="21">
        <f>IFERROR(__xludf.DUMMYFUNCTION("""COMPUTED_VALUE"""),145359.0)</f>
        <v>145359</v>
      </c>
      <c r="F3022" s="21" t="str">
        <f>IFERROR(__xludf.DUMMYFUNCTION("""COMPUTED_VALUE"""),"TRANSITO REVERSA")</f>
        <v>TRANSITO REVERSA</v>
      </c>
      <c r="G3022" s="23">
        <f>IFERROR(__xludf.DUMMYFUNCTION("""COMPUTED_VALUE"""),45638.520636574074)</f>
        <v>45638.52064</v>
      </c>
      <c r="H3022" s="24" t="str">
        <f>IFERROR(VLOOKUP(B3022,material!A:D,3,0),"")</f>
        <v>SIM CARD</v>
      </c>
    </row>
    <row r="3023" ht="11.25" customHeight="1">
      <c r="A3023" s="21" t="str">
        <f>IFERROR(__xludf.DUMMYFUNCTION("""COMPUTED_VALUE"""),"SMART SIM CARD NAGRA")</f>
        <v>SMART SIM CARD NAGRA</v>
      </c>
      <c r="B3023" s="22">
        <f>IFERROR(__xludf.DUMMYFUNCTION("""COMPUTED_VALUE"""),4.1000805E7)</f>
        <v>41000805</v>
      </c>
      <c r="C3023" s="21" t="str">
        <f>IFERROR(__xludf.DUMMYFUNCTION("""COMPUTED_VALUE"""),"246589793345")</f>
        <v>246589793345</v>
      </c>
      <c r="D3023" s="21" t="str">
        <f>IFERROR(__xludf.DUMMYFUNCTION("""COMPUTED_VALUE"""),"DIGITEC TECNOLOGIA DIGITAL E REPRES")</f>
        <v>DIGITEC TECNOLOGIA DIGITAL E REPRES</v>
      </c>
      <c r="E3023" s="21">
        <f>IFERROR(__xludf.DUMMYFUNCTION("""COMPUTED_VALUE"""),145359.0)</f>
        <v>145359</v>
      </c>
      <c r="F3023" s="21" t="str">
        <f>IFERROR(__xludf.DUMMYFUNCTION("""COMPUTED_VALUE"""),"TRANSITO REVERSA")</f>
        <v>TRANSITO REVERSA</v>
      </c>
      <c r="G3023" s="23">
        <f>IFERROR(__xludf.DUMMYFUNCTION("""COMPUTED_VALUE"""),45626.298692129625)</f>
        <v>45626.29869</v>
      </c>
      <c r="H3023" s="24" t="str">
        <f>IFERROR(VLOOKUP(B3023,material!A:D,3,0),"")</f>
        <v>SIM CARD</v>
      </c>
    </row>
    <row r="3024" ht="11.25" customHeight="1">
      <c r="A3024" s="21" t="str">
        <f>IFERROR(__xludf.DUMMYFUNCTION("""COMPUTED_VALUE"""),"SMART SIM CARD NAGRA")</f>
        <v>SMART SIM CARD NAGRA</v>
      </c>
      <c r="B3024" s="22">
        <f>IFERROR(__xludf.DUMMYFUNCTION("""COMPUTED_VALUE"""),4.1000805E7)</f>
        <v>41000805</v>
      </c>
      <c r="C3024" s="21" t="str">
        <f>IFERROR(__xludf.DUMMYFUNCTION("""COMPUTED_VALUE"""),"246567603940")</f>
        <v>246567603940</v>
      </c>
      <c r="D3024" s="21" t="str">
        <f>IFERROR(__xludf.DUMMYFUNCTION("""COMPUTED_VALUE"""),"DIGITEC TECNOLOGIA DIGITAL E REPRES")</f>
        <v>DIGITEC TECNOLOGIA DIGITAL E REPRES</v>
      </c>
      <c r="E3024" s="21">
        <f>IFERROR(__xludf.DUMMYFUNCTION("""COMPUTED_VALUE"""),145359.0)</f>
        <v>145359</v>
      </c>
      <c r="F3024" s="21" t="str">
        <f>IFERROR(__xludf.DUMMYFUNCTION("""COMPUTED_VALUE"""),"TRANSITO REVERSA")</f>
        <v>TRANSITO REVERSA</v>
      </c>
      <c r="G3024" s="23">
        <f>IFERROR(__xludf.DUMMYFUNCTION("""COMPUTED_VALUE"""),45638.52059027778)</f>
        <v>45638.52059</v>
      </c>
      <c r="H3024" s="24" t="str">
        <f>IFERROR(VLOOKUP(B3024,material!A:D,3,0),"")</f>
        <v>SIM CARD</v>
      </c>
    </row>
    <row r="3025" ht="11.25" customHeight="1">
      <c r="A3025" s="21" t="str">
        <f>IFERROR(__xludf.DUMMYFUNCTION("""COMPUTED_VALUE"""),"SMART SIM CARD NAGRA")</f>
        <v>SMART SIM CARD NAGRA</v>
      </c>
      <c r="B3025" s="22">
        <f>IFERROR(__xludf.DUMMYFUNCTION("""COMPUTED_VALUE"""),4.1000805E7)</f>
        <v>41000805</v>
      </c>
      <c r="C3025" s="21" t="str">
        <f>IFERROR(__xludf.DUMMYFUNCTION("""COMPUTED_VALUE"""),"246555123351")</f>
        <v>246555123351</v>
      </c>
      <c r="D3025" s="21" t="str">
        <f>IFERROR(__xludf.DUMMYFUNCTION("""COMPUTED_VALUE"""),"DIGITEC TECNOLOGIA DIGITAL E REPRES")</f>
        <v>DIGITEC TECNOLOGIA DIGITAL E REPRES</v>
      </c>
      <c r="E3025" s="21">
        <f>IFERROR(__xludf.DUMMYFUNCTION("""COMPUTED_VALUE"""),145359.0)</f>
        <v>145359</v>
      </c>
      <c r="F3025" s="21" t="str">
        <f>IFERROR(__xludf.DUMMYFUNCTION("""COMPUTED_VALUE"""),"TRANSITO REVERSA")</f>
        <v>TRANSITO REVERSA</v>
      </c>
      <c r="G3025" s="23">
        <f>IFERROR(__xludf.DUMMYFUNCTION("""COMPUTED_VALUE"""),45617.87142361111)</f>
        <v>45617.87142</v>
      </c>
      <c r="H3025" s="24" t="str">
        <f>IFERROR(VLOOKUP(B3025,material!A:D,3,0),"")</f>
        <v>SIM CARD</v>
      </c>
    </row>
    <row r="3026" ht="11.25" customHeight="1">
      <c r="A3026" s="21" t="str">
        <f>IFERROR(__xludf.DUMMYFUNCTION("""COMPUTED_VALUE"""),"SMART SIM CARD NAGRA")</f>
        <v>SMART SIM CARD NAGRA</v>
      </c>
      <c r="B3026" s="22">
        <f>IFERROR(__xludf.DUMMYFUNCTION("""COMPUTED_VALUE"""),4.1000805E7)</f>
        <v>41000805</v>
      </c>
      <c r="C3026" s="21" t="str">
        <f>IFERROR(__xludf.DUMMYFUNCTION("""COMPUTED_VALUE"""),"246584373456")</f>
        <v>246584373456</v>
      </c>
      <c r="D3026" s="21" t="str">
        <f>IFERROR(__xludf.DUMMYFUNCTION("""COMPUTED_VALUE"""),"DIGITEC TECNOLOGIA DIGITAL E REPRES")</f>
        <v>DIGITEC TECNOLOGIA DIGITAL E REPRES</v>
      </c>
      <c r="E3026" s="21">
        <f>IFERROR(__xludf.DUMMYFUNCTION("""COMPUTED_VALUE"""),145359.0)</f>
        <v>145359</v>
      </c>
      <c r="F3026" s="21" t="str">
        <f>IFERROR(__xludf.DUMMYFUNCTION("""COMPUTED_VALUE"""),"TRANSITO REVERSA")</f>
        <v>TRANSITO REVERSA</v>
      </c>
      <c r="G3026" s="23">
        <f>IFERROR(__xludf.DUMMYFUNCTION("""COMPUTED_VALUE"""),45638.52112268518)</f>
        <v>45638.52112</v>
      </c>
      <c r="H3026" s="24" t="str">
        <f>IFERROR(VLOOKUP(B3026,material!A:D,3,0),"")</f>
        <v>SIM CARD</v>
      </c>
    </row>
    <row r="3027" ht="11.25" customHeight="1">
      <c r="A3027" s="21" t="str">
        <f>IFERROR(__xludf.DUMMYFUNCTION("""COMPUTED_VALUE"""),"SMART SIM CARD NAGRA")</f>
        <v>SMART SIM CARD NAGRA</v>
      </c>
      <c r="B3027" s="22">
        <f>IFERROR(__xludf.DUMMYFUNCTION("""COMPUTED_VALUE"""),4.1000805E7)</f>
        <v>41000805</v>
      </c>
      <c r="C3027" s="21" t="str">
        <f>IFERROR(__xludf.DUMMYFUNCTION("""COMPUTED_VALUE"""),"246567610002")</f>
        <v>246567610002</v>
      </c>
      <c r="D3027" s="21" t="str">
        <f>IFERROR(__xludf.DUMMYFUNCTION("""COMPUTED_VALUE"""),"DIGITEC TECNOLOGIA DIGITAL E REPRES")</f>
        <v>DIGITEC TECNOLOGIA DIGITAL E REPRES</v>
      </c>
      <c r="E3027" s="21">
        <f>IFERROR(__xludf.DUMMYFUNCTION("""COMPUTED_VALUE"""),145359.0)</f>
        <v>145359</v>
      </c>
      <c r="F3027" s="21" t="str">
        <f>IFERROR(__xludf.DUMMYFUNCTION("""COMPUTED_VALUE"""),"TRANSITO REVERSA")</f>
        <v>TRANSITO REVERSA</v>
      </c>
      <c r="G3027" s="23">
        <f>IFERROR(__xludf.DUMMYFUNCTION("""COMPUTED_VALUE"""),45626.298692129625)</f>
        <v>45626.29869</v>
      </c>
      <c r="H3027" s="24" t="str">
        <f>IFERROR(VLOOKUP(B3027,material!A:D,3,0),"")</f>
        <v>SIM CARD</v>
      </c>
    </row>
    <row r="3028" ht="11.25" customHeight="1">
      <c r="A3028" s="21" t="str">
        <f>IFERROR(__xludf.DUMMYFUNCTION("""COMPUTED_VALUE"""),"SMART SIM CARD NAGRA")</f>
        <v>SMART SIM CARD NAGRA</v>
      </c>
      <c r="B3028" s="22">
        <f>IFERROR(__xludf.DUMMYFUNCTION("""COMPUTED_VALUE"""),4.1000805E7)</f>
        <v>41000805</v>
      </c>
      <c r="C3028" s="21" t="str">
        <f>IFERROR(__xludf.DUMMYFUNCTION("""COMPUTED_VALUE"""),"246565359399")</f>
        <v>246565359399</v>
      </c>
      <c r="D3028" s="21" t="str">
        <f>IFERROR(__xludf.DUMMYFUNCTION("""COMPUTED_VALUE"""),"DIGITEC TECNOLOGIA DIGITAL E REPRES")</f>
        <v>DIGITEC TECNOLOGIA DIGITAL E REPRES</v>
      </c>
      <c r="E3028" s="21">
        <f>IFERROR(__xludf.DUMMYFUNCTION("""COMPUTED_VALUE"""),145359.0)</f>
        <v>145359</v>
      </c>
      <c r="F3028" s="21" t="str">
        <f>IFERROR(__xludf.DUMMYFUNCTION("""COMPUTED_VALUE"""),"TRANSITO REVERSA")</f>
        <v>TRANSITO REVERSA</v>
      </c>
      <c r="G3028" s="23">
        <f>IFERROR(__xludf.DUMMYFUNCTION("""COMPUTED_VALUE"""),45638.52112268518)</f>
        <v>45638.52112</v>
      </c>
      <c r="H3028" s="24" t="str">
        <f>IFERROR(VLOOKUP(B3028,material!A:D,3,0),"")</f>
        <v>SIM CARD</v>
      </c>
    </row>
    <row r="3029" ht="11.25" customHeight="1">
      <c r="A3029" s="21" t="str">
        <f>IFERROR(__xludf.DUMMYFUNCTION("""COMPUTED_VALUE"""),"SMART SIM CARD NAGRA")</f>
        <v>SMART SIM CARD NAGRA</v>
      </c>
      <c r="B3029" s="22">
        <f>IFERROR(__xludf.DUMMYFUNCTION("""COMPUTED_VALUE"""),4.1000805E7)</f>
        <v>41000805</v>
      </c>
      <c r="C3029" s="21" t="str">
        <f>IFERROR(__xludf.DUMMYFUNCTION("""COMPUTED_VALUE"""),"246572650505")</f>
        <v>246572650505</v>
      </c>
      <c r="D3029" s="21" t="str">
        <f>IFERROR(__xludf.DUMMYFUNCTION("""COMPUTED_VALUE"""),"DIGITEC TECNOLOGIA DIGITAL E REPRES")</f>
        <v>DIGITEC TECNOLOGIA DIGITAL E REPRES</v>
      </c>
      <c r="E3029" s="21">
        <f>IFERROR(__xludf.DUMMYFUNCTION("""COMPUTED_VALUE"""),145359.0)</f>
        <v>145359</v>
      </c>
      <c r="F3029" s="21" t="str">
        <f>IFERROR(__xludf.DUMMYFUNCTION("""COMPUTED_VALUE"""),"TRANSITO REVERSA")</f>
        <v>TRANSITO REVERSA</v>
      </c>
      <c r="G3029" s="23">
        <f>IFERROR(__xludf.DUMMYFUNCTION("""COMPUTED_VALUE"""),45626.29871527778)</f>
        <v>45626.29872</v>
      </c>
      <c r="H3029" s="24" t="str">
        <f>IFERROR(VLOOKUP(B3029,material!A:D,3,0),"")</f>
        <v>SIM CARD</v>
      </c>
    </row>
    <row r="3030" ht="11.25" customHeight="1">
      <c r="A3030" s="21" t="str">
        <f>IFERROR(__xludf.DUMMYFUNCTION("""COMPUTED_VALUE"""),"SMART SIM CARD NAGRA")</f>
        <v>SMART SIM CARD NAGRA</v>
      </c>
      <c r="B3030" s="22">
        <f>IFERROR(__xludf.DUMMYFUNCTION("""COMPUTED_VALUE"""),4.1000805E7)</f>
        <v>41000805</v>
      </c>
      <c r="C3030" s="21" t="str">
        <f>IFERROR(__xludf.DUMMYFUNCTION("""COMPUTED_VALUE"""),"246555135170")</f>
        <v>246555135170</v>
      </c>
      <c r="D3030" s="21" t="str">
        <f>IFERROR(__xludf.DUMMYFUNCTION("""COMPUTED_VALUE"""),"DIGITEC TECNOLOGIA DIGITAL E REPRES")</f>
        <v>DIGITEC TECNOLOGIA DIGITAL E REPRES</v>
      </c>
      <c r="E3030" s="21">
        <f>IFERROR(__xludf.DUMMYFUNCTION("""COMPUTED_VALUE"""),145359.0)</f>
        <v>145359</v>
      </c>
      <c r="F3030" s="21" t="str">
        <f>IFERROR(__xludf.DUMMYFUNCTION("""COMPUTED_VALUE"""),"TRANSITO REVERSA")</f>
        <v>TRANSITO REVERSA</v>
      </c>
      <c r="G3030" s="23">
        <f>IFERROR(__xludf.DUMMYFUNCTION("""COMPUTED_VALUE"""),45633.00533564815)</f>
        <v>45633.00534</v>
      </c>
      <c r="H3030" s="24" t="str">
        <f>IFERROR(VLOOKUP(B3030,material!A:D,3,0),"")</f>
        <v>SIM CARD</v>
      </c>
    </row>
    <row r="3031" ht="11.25" customHeight="1">
      <c r="A3031" s="21" t="str">
        <f>IFERROR(__xludf.DUMMYFUNCTION("""COMPUTED_VALUE"""),"SMART SIM CARD NAGRA")</f>
        <v>SMART SIM CARD NAGRA</v>
      </c>
      <c r="B3031" s="22">
        <f>IFERROR(__xludf.DUMMYFUNCTION("""COMPUTED_VALUE"""),4.1000805E7)</f>
        <v>41000805</v>
      </c>
      <c r="C3031" s="21" t="str">
        <f>IFERROR(__xludf.DUMMYFUNCTION("""COMPUTED_VALUE"""),"246559904154")</f>
        <v>246559904154</v>
      </c>
      <c r="D3031" s="21" t="str">
        <f>IFERROR(__xludf.DUMMYFUNCTION("""COMPUTED_VALUE"""),"DIGITEC TECNOLOGIA DIGITAL E REPRES")</f>
        <v>DIGITEC TECNOLOGIA DIGITAL E REPRES</v>
      </c>
      <c r="E3031" s="21">
        <f>IFERROR(__xludf.DUMMYFUNCTION("""COMPUTED_VALUE"""),145359.0)</f>
        <v>145359</v>
      </c>
      <c r="F3031" s="21" t="str">
        <f>IFERROR(__xludf.DUMMYFUNCTION("""COMPUTED_VALUE"""),"TRANSITO REVERSA")</f>
        <v>TRANSITO REVERSA</v>
      </c>
      <c r="G3031" s="23">
        <f>IFERROR(__xludf.DUMMYFUNCTION("""COMPUTED_VALUE"""),45626.2987037037)</f>
        <v>45626.2987</v>
      </c>
      <c r="H3031" s="24" t="str">
        <f>IFERROR(VLOOKUP(B3031,material!A:D,3,0),"")</f>
        <v>SIM CARD</v>
      </c>
    </row>
    <row r="3032" ht="11.25" customHeight="1">
      <c r="A3032" s="21" t="str">
        <f>IFERROR(__xludf.DUMMYFUNCTION("""COMPUTED_VALUE"""),"SMART SIM CARD NAGRA")</f>
        <v>SMART SIM CARD NAGRA</v>
      </c>
      <c r="B3032" s="22">
        <f>IFERROR(__xludf.DUMMYFUNCTION("""COMPUTED_VALUE"""),4.1000805E7)</f>
        <v>41000805</v>
      </c>
      <c r="C3032" s="21" t="str">
        <f>IFERROR(__xludf.DUMMYFUNCTION("""COMPUTED_VALUE"""),"246566868807")</f>
        <v>246566868807</v>
      </c>
      <c r="D3032" s="21" t="str">
        <f>IFERROR(__xludf.DUMMYFUNCTION("""COMPUTED_VALUE"""),"DIGITEC TECNOLOGIA DIGITAL E REPRES")</f>
        <v>DIGITEC TECNOLOGIA DIGITAL E REPRES</v>
      </c>
      <c r="E3032" s="21">
        <f>IFERROR(__xludf.DUMMYFUNCTION("""COMPUTED_VALUE"""),145359.0)</f>
        <v>145359</v>
      </c>
      <c r="F3032" s="21" t="str">
        <f>IFERROR(__xludf.DUMMYFUNCTION("""COMPUTED_VALUE"""),"TRANSITO REVERSA")</f>
        <v>TRANSITO REVERSA</v>
      </c>
      <c r="G3032" s="23">
        <f>IFERROR(__xludf.DUMMYFUNCTION("""COMPUTED_VALUE"""),45638.520636574074)</f>
        <v>45638.52064</v>
      </c>
      <c r="H3032" s="24" t="str">
        <f>IFERROR(VLOOKUP(B3032,material!A:D,3,0),"")</f>
        <v>SIM CARD</v>
      </c>
    </row>
    <row r="3033" ht="11.25" customHeight="1">
      <c r="A3033" s="21" t="str">
        <f>IFERROR(__xludf.DUMMYFUNCTION("""COMPUTED_VALUE"""),"SMART SIM CARD NAGRA")</f>
        <v>SMART SIM CARD NAGRA</v>
      </c>
      <c r="B3033" s="22">
        <f>IFERROR(__xludf.DUMMYFUNCTION("""COMPUTED_VALUE"""),4.1000805E7)</f>
        <v>41000805</v>
      </c>
      <c r="C3033" s="21" t="str">
        <f>IFERROR(__xludf.DUMMYFUNCTION("""COMPUTED_VALUE"""),"246568143746")</f>
        <v>246568143746</v>
      </c>
      <c r="D3033" s="21" t="str">
        <f>IFERROR(__xludf.DUMMYFUNCTION("""COMPUTED_VALUE"""),"DIGITEC TECNOLOGIA DIGITAL E REPRES")</f>
        <v>DIGITEC TECNOLOGIA DIGITAL E REPRES</v>
      </c>
      <c r="E3033" s="21">
        <f>IFERROR(__xludf.DUMMYFUNCTION("""COMPUTED_VALUE"""),145359.0)</f>
        <v>145359</v>
      </c>
      <c r="F3033" s="21" t="str">
        <f>IFERROR(__xludf.DUMMYFUNCTION("""COMPUTED_VALUE"""),"TRANSITO REVERSA")</f>
        <v>TRANSITO REVERSA</v>
      </c>
      <c r="G3033" s="23">
        <f>IFERROR(__xludf.DUMMYFUNCTION("""COMPUTED_VALUE"""),45633.0033912037)</f>
        <v>45633.00339</v>
      </c>
      <c r="H3033" s="24" t="str">
        <f>IFERROR(VLOOKUP(B3033,material!A:D,3,0),"")</f>
        <v>SIM CARD</v>
      </c>
    </row>
    <row r="3034" ht="11.25" customHeight="1">
      <c r="A3034" s="21" t="str">
        <f>IFERROR(__xludf.DUMMYFUNCTION("""COMPUTED_VALUE"""),"SMART SIM CARD NAGRA")</f>
        <v>SMART SIM CARD NAGRA</v>
      </c>
      <c r="B3034" s="22">
        <f>IFERROR(__xludf.DUMMYFUNCTION("""COMPUTED_VALUE"""),4.1000805E7)</f>
        <v>41000805</v>
      </c>
      <c r="C3034" s="21" t="str">
        <f>IFERROR(__xludf.DUMMYFUNCTION("""COMPUTED_VALUE"""),"246566693537")</f>
        <v>246566693537</v>
      </c>
      <c r="D3034" s="21" t="str">
        <f>IFERROR(__xludf.DUMMYFUNCTION("""COMPUTED_VALUE"""),"DIGITEC TECNOLOGIA DIGITAL E REPRES")</f>
        <v>DIGITEC TECNOLOGIA DIGITAL E REPRES</v>
      </c>
      <c r="E3034" s="21">
        <f>IFERROR(__xludf.DUMMYFUNCTION("""COMPUTED_VALUE"""),145359.0)</f>
        <v>145359</v>
      </c>
      <c r="F3034" s="21" t="str">
        <f>IFERROR(__xludf.DUMMYFUNCTION("""COMPUTED_VALUE"""),"TRANSITO REVERSA")</f>
        <v>TRANSITO REVERSA</v>
      </c>
      <c r="G3034" s="23">
        <f>IFERROR(__xludf.DUMMYFUNCTION("""COMPUTED_VALUE"""),45626.298692129625)</f>
        <v>45626.29869</v>
      </c>
      <c r="H3034" s="24" t="str">
        <f>IFERROR(VLOOKUP(B3034,material!A:D,3,0),"")</f>
        <v>SIM CARD</v>
      </c>
    </row>
    <row r="3035" ht="11.25" customHeight="1">
      <c r="A3035" s="21" t="str">
        <f>IFERROR(__xludf.DUMMYFUNCTION("""COMPUTED_VALUE"""),"SMART SIM CARD NAGRA")</f>
        <v>SMART SIM CARD NAGRA</v>
      </c>
      <c r="B3035" s="22">
        <f>IFERROR(__xludf.DUMMYFUNCTION("""COMPUTED_VALUE"""),4.1000805E7)</f>
        <v>41000805</v>
      </c>
      <c r="C3035" s="21" t="str">
        <f>IFERROR(__xludf.DUMMYFUNCTION("""COMPUTED_VALUE"""),"246543014851")</f>
        <v>246543014851</v>
      </c>
      <c r="D3035" s="21" t="str">
        <f>IFERROR(__xludf.DUMMYFUNCTION("""COMPUTED_VALUE"""),"DIGITEC TECNOLOGIA DIGITAL E REPRES")</f>
        <v>DIGITEC TECNOLOGIA DIGITAL E REPRES</v>
      </c>
      <c r="E3035" s="21">
        <f>IFERROR(__xludf.DUMMYFUNCTION("""COMPUTED_VALUE"""),145359.0)</f>
        <v>145359</v>
      </c>
      <c r="F3035" s="21" t="str">
        <f>IFERROR(__xludf.DUMMYFUNCTION("""COMPUTED_VALUE"""),"TRANSITO REVERSA")</f>
        <v>TRANSITO REVERSA</v>
      </c>
      <c r="G3035" s="23">
        <f>IFERROR(__xludf.DUMMYFUNCTION("""COMPUTED_VALUE"""),45638.520625000005)</f>
        <v>45638.52063</v>
      </c>
      <c r="H3035" s="24" t="str">
        <f>IFERROR(VLOOKUP(B3035,material!A:D,3,0),"")</f>
        <v>SIM CARD</v>
      </c>
    </row>
    <row r="3036" ht="11.25" customHeight="1">
      <c r="A3036" s="21" t="str">
        <f>IFERROR(__xludf.DUMMYFUNCTION("""COMPUTED_VALUE"""),"SMART SIM CARD NAGRA")</f>
        <v>SMART SIM CARD NAGRA</v>
      </c>
      <c r="B3036" s="22">
        <f>IFERROR(__xludf.DUMMYFUNCTION("""COMPUTED_VALUE"""),4.1000805E7)</f>
        <v>41000805</v>
      </c>
      <c r="C3036" s="21" t="str">
        <f>IFERROR(__xludf.DUMMYFUNCTION("""COMPUTED_VALUE"""),"246553047794")</f>
        <v>246553047794</v>
      </c>
      <c r="D3036" s="21" t="str">
        <f>IFERROR(__xludf.DUMMYFUNCTION("""COMPUTED_VALUE"""),"DIGITEC TECNOLOGIA DIGITAL E REPRES")</f>
        <v>DIGITEC TECNOLOGIA DIGITAL E REPRES</v>
      </c>
      <c r="E3036" s="21">
        <f>IFERROR(__xludf.DUMMYFUNCTION("""COMPUTED_VALUE"""),145359.0)</f>
        <v>145359</v>
      </c>
      <c r="F3036" s="21" t="str">
        <f>IFERROR(__xludf.DUMMYFUNCTION("""COMPUTED_VALUE"""),"TRANSITO REVERSA")</f>
        <v>TRANSITO REVERSA</v>
      </c>
      <c r="G3036" s="23">
        <f>IFERROR(__xludf.DUMMYFUNCTION("""COMPUTED_VALUE"""),45638.52111111111)</f>
        <v>45638.52111</v>
      </c>
      <c r="H3036" s="24" t="str">
        <f>IFERROR(VLOOKUP(B3036,material!A:D,3,0),"")</f>
        <v>SIM CARD</v>
      </c>
    </row>
    <row r="3037" ht="11.25" customHeight="1">
      <c r="A3037" s="21" t="str">
        <f>IFERROR(__xludf.DUMMYFUNCTION("""COMPUTED_VALUE"""),"SMART SIM CARD NAGRA")</f>
        <v>SMART SIM CARD NAGRA</v>
      </c>
      <c r="B3037" s="22">
        <f>IFERROR(__xludf.DUMMYFUNCTION("""COMPUTED_VALUE"""),4.1000805E7)</f>
        <v>41000805</v>
      </c>
      <c r="C3037" s="21" t="str">
        <f>IFERROR(__xludf.DUMMYFUNCTION("""COMPUTED_VALUE"""),"246552647474")</f>
        <v>246552647474</v>
      </c>
      <c r="D3037" s="21" t="str">
        <f>IFERROR(__xludf.DUMMYFUNCTION("""COMPUTED_VALUE"""),"DIGITEC TECNOLOGIA DIGITAL E REPRES")</f>
        <v>DIGITEC TECNOLOGIA DIGITAL E REPRES</v>
      </c>
      <c r="E3037" s="21">
        <f>IFERROR(__xludf.DUMMYFUNCTION("""COMPUTED_VALUE"""),145359.0)</f>
        <v>145359</v>
      </c>
      <c r="F3037" s="21" t="str">
        <f>IFERROR(__xludf.DUMMYFUNCTION("""COMPUTED_VALUE"""),"TRANSITO REVERSA")</f>
        <v>TRANSITO REVERSA</v>
      </c>
      <c r="G3037" s="23">
        <f>IFERROR(__xludf.DUMMYFUNCTION("""COMPUTED_VALUE"""),45633.00340277777)</f>
        <v>45633.0034</v>
      </c>
      <c r="H3037" s="24" t="str">
        <f>IFERROR(VLOOKUP(B3037,material!A:D,3,0),"")</f>
        <v>SIM CARD</v>
      </c>
    </row>
    <row r="3038" ht="11.25" customHeight="1">
      <c r="A3038" s="21" t="str">
        <f>IFERROR(__xludf.DUMMYFUNCTION("""COMPUTED_VALUE"""),"SMART SIM CARD NAGRA")</f>
        <v>SMART SIM CARD NAGRA</v>
      </c>
      <c r="B3038" s="22">
        <f>IFERROR(__xludf.DUMMYFUNCTION("""COMPUTED_VALUE"""),4.1000805E7)</f>
        <v>41000805</v>
      </c>
      <c r="C3038" s="21" t="str">
        <f>IFERROR(__xludf.DUMMYFUNCTION("""COMPUTED_VALUE"""),"246550478396")</f>
        <v>246550478396</v>
      </c>
      <c r="D3038" s="21" t="str">
        <f>IFERROR(__xludf.DUMMYFUNCTION("""COMPUTED_VALUE"""),"DIGITEC TECNOLOGIA DIGITAL E REPRES")</f>
        <v>DIGITEC TECNOLOGIA DIGITAL E REPRES</v>
      </c>
      <c r="E3038" s="21">
        <f>IFERROR(__xludf.DUMMYFUNCTION("""COMPUTED_VALUE"""),145359.0)</f>
        <v>145359</v>
      </c>
      <c r="F3038" s="21" t="str">
        <f>IFERROR(__xludf.DUMMYFUNCTION("""COMPUTED_VALUE"""),"TRANSITO REVERSA")</f>
        <v>TRANSITO REVERSA</v>
      </c>
      <c r="G3038" s="23">
        <f>IFERROR(__xludf.DUMMYFUNCTION("""COMPUTED_VALUE"""),45633.00341435186)</f>
        <v>45633.00341</v>
      </c>
      <c r="H3038" s="24" t="str">
        <f>IFERROR(VLOOKUP(B3038,material!A:D,3,0),"")</f>
        <v>SIM CARD</v>
      </c>
    </row>
    <row r="3039" ht="11.25" customHeight="1">
      <c r="A3039" s="21" t="str">
        <f>IFERROR(__xludf.DUMMYFUNCTION("""COMPUTED_VALUE"""),"SMART SIM CARD NAGRA")</f>
        <v>SMART SIM CARD NAGRA</v>
      </c>
      <c r="B3039" s="22">
        <f>IFERROR(__xludf.DUMMYFUNCTION("""COMPUTED_VALUE"""),4.1000805E7)</f>
        <v>41000805</v>
      </c>
      <c r="C3039" s="21" t="str">
        <f>IFERROR(__xludf.DUMMYFUNCTION("""COMPUTED_VALUE"""),"246545918704")</f>
        <v>246545918704</v>
      </c>
      <c r="D3039" s="21" t="str">
        <f>IFERROR(__xludf.DUMMYFUNCTION("""COMPUTED_VALUE"""),"DIGITEC TECNOLOGIA DIGITAL E REPRES")</f>
        <v>DIGITEC TECNOLOGIA DIGITAL E REPRES</v>
      </c>
      <c r="E3039" s="21">
        <f>IFERROR(__xludf.DUMMYFUNCTION("""COMPUTED_VALUE"""),145359.0)</f>
        <v>145359</v>
      </c>
      <c r="F3039" s="21" t="str">
        <f>IFERROR(__xludf.DUMMYFUNCTION("""COMPUTED_VALUE"""),"TRANSITO REVERSA")</f>
        <v>TRANSITO REVERSA</v>
      </c>
      <c r="G3039" s="23">
        <f>IFERROR(__xludf.DUMMYFUNCTION("""COMPUTED_VALUE"""),45626.298680555556)</f>
        <v>45626.29868</v>
      </c>
      <c r="H3039" s="24" t="str">
        <f>IFERROR(VLOOKUP(B3039,material!A:D,3,0),"")</f>
        <v>SIM CARD</v>
      </c>
    </row>
    <row r="3040" ht="11.25" customHeight="1">
      <c r="A3040" s="21" t="str">
        <f>IFERROR(__xludf.DUMMYFUNCTION("""COMPUTED_VALUE"""),"SMART SIM CARD NAGRA")</f>
        <v>SMART SIM CARD NAGRA</v>
      </c>
      <c r="B3040" s="22">
        <f>IFERROR(__xludf.DUMMYFUNCTION("""COMPUTED_VALUE"""),4.1000805E7)</f>
        <v>41000805</v>
      </c>
      <c r="C3040" s="21" t="str">
        <f>IFERROR(__xludf.DUMMYFUNCTION("""COMPUTED_VALUE"""),"246552391637")</f>
        <v>246552391637</v>
      </c>
      <c r="D3040" s="21" t="str">
        <f>IFERROR(__xludf.DUMMYFUNCTION("""COMPUTED_VALUE"""),"DIGITEC TECNOLOGIA DIGITAL E REPRES")</f>
        <v>DIGITEC TECNOLOGIA DIGITAL E REPRES</v>
      </c>
      <c r="E3040" s="21">
        <f>IFERROR(__xludf.DUMMYFUNCTION("""COMPUTED_VALUE"""),145359.0)</f>
        <v>145359</v>
      </c>
      <c r="F3040" s="21" t="str">
        <f>IFERROR(__xludf.DUMMYFUNCTION("""COMPUTED_VALUE"""),"TRANSITO REVERSA")</f>
        <v>TRANSITO REVERSA</v>
      </c>
      <c r="G3040" s="23">
        <f>IFERROR(__xludf.DUMMYFUNCTION("""COMPUTED_VALUE"""),45638.52112268518)</f>
        <v>45638.52112</v>
      </c>
      <c r="H3040" s="24" t="str">
        <f>IFERROR(VLOOKUP(B3040,material!A:D,3,0),"")</f>
        <v>SIM CARD</v>
      </c>
    </row>
    <row r="3041" ht="11.25" customHeight="1">
      <c r="A3041" s="21" t="str">
        <f>IFERROR(__xludf.DUMMYFUNCTION("""COMPUTED_VALUE"""),"SMART SIM CARD NAGRA")</f>
        <v>SMART SIM CARD NAGRA</v>
      </c>
      <c r="B3041" s="22">
        <f>IFERROR(__xludf.DUMMYFUNCTION("""COMPUTED_VALUE"""),4.1000805E7)</f>
        <v>41000805</v>
      </c>
      <c r="C3041" s="21" t="str">
        <f>IFERROR(__xludf.DUMMYFUNCTION("""COMPUTED_VALUE"""),"246534544350")</f>
        <v>246534544350</v>
      </c>
      <c r="D3041" s="21" t="str">
        <f>IFERROR(__xludf.DUMMYFUNCTION("""COMPUTED_VALUE"""),"DIGITEC TECNOLOGIA DIGITAL E REPRES")</f>
        <v>DIGITEC TECNOLOGIA DIGITAL E REPRES</v>
      </c>
      <c r="E3041" s="21">
        <f>IFERROR(__xludf.DUMMYFUNCTION("""COMPUTED_VALUE"""),145359.0)</f>
        <v>145359</v>
      </c>
      <c r="F3041" s="21" t="str">
        <f>IFERROR(__xludf.DUMMYFUNCTION("""COMPUTED_VALUE"""),"TRANSITO REVERSA")</f>
        <v>TRANSITO REVERSA</v>
      </c>
      <c r="G3041" s="23">
        <f>IFERROR(__xludf.DUMMYFUNCTION("""COMPUTED_VALUE"""),45638.52059027778)</f>
        <v>45638.52059</v>
      </c>
      <c r="H3041" s="24" t="str">
        <f>IFERROR(VLOOKUP(B3041,material!A:D,3,0),"")</f>
        <v>SIM CARD</v>
      </c>
    </row>
    <row r="3042" ht="11.25" customHeight="1">
      <c r="A3042" s="21" t="str">
        <f>IFERROR(__xludf.DUMMYFUNCTION("""COMPUTED_VALUE"""),"SMART SIM CARD NAGRA")</f>
        <v>SMART SIM CARD NAGRA</v>
      </c>
      <c r="B3042" s="22">
        <f>IFERROR(__xludf.DUMMYFUNCTION("""COMPUTED_VALUE"""),4.1000805E7)</f>
        <v>41000805</v>
      </c>
      <c r="C3042" s="21" t="str">
        <f>IFERROR(__xludf.DUMMYFUNCTION("""COMPUTED_VALUE"""),"246578947785")</f>
        <v>246578947785</v>
      </c>
      <c r="D3042" s="21" t="str">
        <f>IFERROR(__xludf.DUMMYFUNCTION("""COMPUTED_VALUE"""),"DIGITEC TECNOLOGIA DIGITAL E REPRES")</f>
        <v>DIGITEC TECNOLOGIA DIGITAL E REPRES</v>
      </c>
      <c r="E3042" s="21">
        <f>IFERROR(__xludf.DUMMYFUNCTION("""COMPUTED_VALUE"""),145359.0)</f>
        <v>145359</v>
      </c>
      <c r="F3042" s="21" t="str">
        <f>IFERROR(__xludf.DUMMYFUNCTION("""COMPUTED_VALUE"""),"TRANSITO REVERSA")</f>
        <v>TRANSITO REVERSA</v>
      </c>
      <c r="G3042" s="23">
        <f>IFERROR(__xludf.DUMMYFUNCTION("""COMPUTED_VALUE"""),45633.00340277777)</f>
        <v>45633.0034</v>
      </c>
      <c r="H3042" s="24" t="str">
        <f>IFERROR(VLOOKUP(B3042,material!A:D,3,0),"")</f>
        <v>SIM CARD</v>
      </c>
    </row>
    <row r="3043" ht="11.25" customHeight="1">
      <c r="A3043" s="21" t="str">
        <f>IFERROR(__xludf.DUMMYFUNCTION("""COMPUTED_VALUE"""),"SMART SIM CARD NAGRA")</f>
        <v>SMART SIM CARD NAGRA</v>
      </c>
      <c r="B3043" s="22">
        <f>IFERROR(__xludf.DUMMYFUNCTION("""COMPUTED_VALUE"""),4.1000805E7)</f>
        <v>41000805</v>
      </c>
      <c r="C3043" s="21" t="str">
        <f>IFERROR(__xludf.DUMMYFUNCTION("""COMPUTED_VALUE"""),"246551121827")</f>
        <v>246551121827</v>
      </c>
      <c r="D3043" s="21" t="str">
        <f>IFERROR(__xludf.DUMMYFUNCTION("""COMPUTED_VALUE"""),"DIGITEC TECNOLOGIA DIGITAL E REPRES")</f>
        <v>DIGITEC TECNOLOGIA DIGITAL E REPRES</v>
      </c>
      <c r="E3043" s="21">
        <f>IFERROR(__xludf.DUMMYFUNCTION("""COMPUTED_VALUE"""),145359.0)</f>
        <v>145359</v>
      </c>
      <c r="F3043" s="21" t="str">
        <f>IFERROR(__xludf.DUMMYFUNCTION("""COMPUTED_VALUE"""),"TRANSITO REVERSA")</f>
        <v>TRANSITO REVERSA</v>
      </c>
      <c r="G3043" s="23">
        <f>IFERROR(__xludf.DUMMYFUNCTION("""COMPUTED_VALUE"""),45626.298680555556)</f>
        <v>45626.29868</v>
      </c>
      <c r="H3043" s="24" t="str">
        <f>IFERROR(VLOOKUP(B3043,material!A:D,3,0),"")</f>
        <v>SIM CARD</v>
      </c>
    </row>
    <row r="3044" ht="11.25" customHeight="1">
      <c r="A3044" s="21" t="str">
        <f>IFERROR(__xludf.DUMMYFUNCTION("""COMPUTED_VALUE"""),"SMART SIM CARD NAGRA")</f>
        <v>SMART SIM CARD NAGRA</v>
      </c>
      <c r="B3044" s="22">
        <f>IFERROR(__xludf.DUMMYFUNCTION("""COMPUTED_VALUE"""),4.1000805E7)</f>
        <v>41000805</v>
      </c>
      <c r="C3044" s="21" t="str">
        <f>IFERROR(__xludf.DUMMYFUNCTION("""COMPUTED_VALUE"""),"246545848898")</f>
        <v>246545848898</v>
      </c>
      <c r="D3044" s="21" t="str">
        <f>IFERROR(__xludf.DUMMYFUNCTION("""COMPUTED_VALUE"""),"DIGITEC TECNOLOGIA DIGITAL E REPRES")</f>
        <v>DIGITEC TECNOLOGIA DIGITAL E REPRES</v>
      </c>
      <c r="E3044" s="21">
        <f>IFERROR(__xludf.DUMMYFUNCTION("""COMPUTED_VALUE"""),145359.0)</f>
        <v>145359</v>
      </c>
      <c r="F3044" s="21" t="str">
        <f>IFERROR(__xludf.DUMMYFUNCTION("""COMPUTED_VALUE"""),"TRANSITO REVERSA")</f>
        <v>TRANSITO REVERSA</v>
      </c>
      <c r="G3044" s="23">
        <f>IFERROR(__xludf.DUMMYFUNCTION("""COMPUTED_VALUE"""),45638.520625000005)</f>
        <v>45638.52063</v>
      </c>
      <c r="H3044" s="24" t="str">
        <f>IFERROR(VLOOKUP(B3044,material!A:D,3,0),"")</f>
        <v>SIM CARD</v>
      </c>
    </row>
    <row r="3045" ht="11.25" customHeight="1">
      <c r="A3045" s="21" t="str">
        <f>IFERROR(__xludf.DUMMYFUNCTION("""COMPUTED_VALUE"""),"SMART SIM CARD NAGRA")</f>
        <v>SMART SIM CARD NAGRA</v>
      </c>
      <c r="B3045" s="22">
        <f>IFERROR(__xludf.DUMMYFUNCTION("""COMPUTED_VALUE"""),4.1000805E7)</f>
        <v>41000805</v>
      </c>
      <c r="C3045" s="21" t="str">
        <f>IFERROR(__xludf.DUMMYFUNCTION("""COMPUTED_VALUE"""),"246550416168")</f>
        <v>246550416168</v>
      </c>
      <c r="D3045" s="21" t="str">
        <f>IFERROR(__xludf.DUMMYFUNCTION("""COMPUTED_VALUE"""),"DIGITEC TECNOLOGIA DIGITAL E REPRES")</f>
        <v>DIGITEC TECNOLOGIA DIGITAL E REPRES</v>
      </c>
      <c r="E3045" s="21">
        <f>IFERROR(__xludf.DUMMYFUNCTION("""COMPUTED_VALUE"""),145359.0)</f>
        <v>145359</v>
      </c>
      <c r="F3045" s="21" t="str">
        <f>IFERROR(__xludf.DUMMYFUNCTION("""COMPUTED_VALUE"""),"TRANSITO REVERSA")</f>
        <v>TRANSITO REVERSA</v>
      </c>
      <c r="G3045" s="23">
        <f>IFERROR(__xludf.DUMMYFUNCTION("""COMPUTED_VALUE"""),45617.87138888889)</f>
        <v>45617.87139</v>
      </c>
      <c r="H3045" s="24" t="str">
        <f>IFERROR(VLOOKUP(B3045,material!A:D,3,0),"")</f>
        <v>SIM CARD</v>
      </c>
    </row>
    <row r="3046" ht="11.25" customHeight="1">
      <c r="A3046" s="21" t="str">
        <f>IFERROR(__xludf.DUMMYFUNCTION("""COMPUTED_VALUE"""),"SMART SIM CARD NAGRA")</f>
        <v>SMART SIM CARD NAGRA</v>
      </c>
      <c r="B3046" s="22">
        <f>IFERROR(__xludf.DUMMYFUNCTION("""COMPUTED_VALUE"""),4.1000805E7)</f>
        <v>41000805</v>
      </c>
      <c r="C3046" s="21" t="str">
        <f>IFERROR(__xludf.DUMMYFUNCTION("""COMPUTED_VALUE"""),"246533960523")</f>
        <v>246533960523</v>
      </c>
      <c r="D3046" s="21" t="str">
        <f>IFERROR(__xludf.DUMMYFUNCTION("""COMPUTED_VALUE"""),"DIGITEC TECNOLOGIA DIGITAL E REPRES")</f>
        <v>DIGITEC TECNOLOGIA DIGITAL E REPRES</v>
      </c>
      <c r="E3046" s="21">
        <f>IFERROR(__xludf.DUMMYFUNCTION("""COMPUTED_VALUE"""),145359.0)</f>
        <v>145359</v>
      </c>
      <c r="F3046" s="21" t="str">
        <f>IFERROR(__xludf.DUMMYFUNCTION("""COMPUTED_VALUE"""),"TRANSITO REVERSA")</f>
        <v>TRANSITO REVERSA</v>
      </c>
      <c r="G3046" s="23">
        <f>IFERROR(__xludf.DUMMYFUNCTION("""COMPUTED_VALUE"""),45617.87142361111)</f>
        <v>45617.87142</v>
      </c>
      <c r="H3046" s="24" t="str">
        <f>IFERROR(VLOOKUP(B3046,material!A:D,3,0),"")</f>
        <v>SIM CARD</v>
      </c>
    </row>
    <row r="3047" ht="11.25" customHeight="1">
      <c r="A3047" s="21" t="str">
        <f>IFERROR(__xludf.DUMMYFUNCTION("""COMPUTED_VALUE"""),"SMART SIM CARD NAGRA")</f>
        <v>SMART SIM CARD NAGRA</v>
      </c>
      <c r="B3047" s="22">
        <f>IFERROR(__xludf.DUMMYFUNCTION("""COMPUTED_VALUE"""),4.1000805E7)</f>
        <v>41000805</v>
      </c>
      <c r="C3047" s="21" t="str">
        <f>IFERROR(__xludf.DUMMYFUNCTION("""COMPUTED_VALUE"""),"246534964851")</f>
        <v>246534964851</v>
      </c>
      <c r="D3047" s="21" t="str">
        <f>IFERROR(__xludf.DUMMYFUNCTION("""COMPUTED_VALUE"""),"DIGITEC TECNOLOGIA DIGITAL E REPRES")</f>
        <v>DIGITEC TECNOLOGIA DIGITAL E REPRES</v>
      </c>
      <c r="E3047" s="21">
        <f>IFERROR(__xludf.DUMMYFUNCTION("""COMPUTED_VALUE"""),145359.0)</f>
        <v>145359</v>
      </c>
      <c r="F3047" s="21" t="str">
        <f>IFERROR(__xludf.DUMMYFUNCTION("""COMPUTED_VALUE"""),"TRANSITO REVERSA")</f>
        <v>TRANSITO REVERSA</v>
      </c>
      <c r="G3047" s="23">
        <f>IFERROR(__xludf.DUMMYFUNCTION("""COMPUTED_VALUE"""),45617.87142361111)</f>
        <v>45617.87142</v>
      </c>
      <c r="H3047" s="24" t="str">
        <f>IFERROR(VLOOKUP(B3047,material!A:D,3,0),"")</f>
        <v>SIM CARD</v>
      </c>
    </row>
    <row r="3048" ht="11.25" customHeight="1">
      <c r="A3048" s="21" t="str">
        <f>IFERROR(__xludf.DUMMYFUNCTION("""COMPUTED_VALUE"""),"SMART SIM CARD NAGRA")</f>
        <v>SMART SIM CARD NAGRA</v>
      </c>
      <c r="B3048" s="22">
        <f>IFERROR(__xludf.DUMMYFUNCTION("""COMPUTED_VALUE"""),4.1000805E7)</f>
        <v>41000805</v>
      </c>
      <c r="C3048" s="21" t="str">
        <f>IFERROR(__xludf.DUMMYFUNCTION("""COMPUTED_VALUE"""),"246539341923")</f>
        <v>246539341923</v>
      </c>
      <c r="D3048" s="21" t="str">
        <f>IFERROR(__xludf.DUMMYFUNCTION("""COMPUTED_VALUE"""),"DIGITEC TECNOLOGIA DIGITAL E REPRES")</f>
        <v>DIGITEC TECNOLOGIA DIGITAL E REPRES</v>
      </c>
      <c r="E3048" s="21">
        <f>IFERROR(__xludf.DUMMYFUNCTION("""COMPUTED_VALUE"""),145359.0)</f>
        <v>145359</v>
      </c>
      <c r="F3048" s="21" t="str">
        <f>IFERROR(__xludf.DUMMYFUNCTION("""COMPUTED_VALUE"""),"TRANSITO REVERSA")</f>
        <v>TRANSITO REVERSA</v>
      </c>
      <c r="G3048" s="23">
        <f>IFERROR(__xludf.DUMMYFUNCTION("""COMPUTED_VALUE"""),45626.29923611111)</f>
        <v>45626.29924</v>
      </c>
      <c r="H3048" s="24" t="str">
        <f>IFERROR(VLOOKUP(B3048,material!A:D,3,0),"")</f>
        <v>SIM CARD</v>
      </c>
    </row>
    <row r="3049" ht="11.25" customHeight="1">
      <c r="A3049" s="21" t="str">
        <f>IFERROR(__xludf.DUMMYFUNCTION("""COMPUTED_VALUE"""),"SMART SIM CARD NAGRA")</f>
        <v>SMART SIM CARD NAGRA</v>
      </c>
      <c r="B3049" s="22">
        <f>IFERROR(__xludf.DUMMYFUNCTION("""COMPUTED_VALUE"""),4.1000805E7)</f>
        <v>41000805</v>
      </c>
      <c r="C3049" s="21" t="str">
        <f>IFERROR(__xludf.DUMMYFUNCTION("""COMPUTED_VALUE"""),"246504032843")</f>
        <v>246504032843</v>
      </c>
      <c r="D3049" s="21" t="str">
        <f>IFERROR(__xludf.DUMMYFUNCTION("""COMPUTED_VALUE"""),"DIGITEC TECNOLOGIA DIGITAL E REPRES")</f>
        <v>DIGITEC TECNOLOGIA DIGITAL E REPRES</v>
      </c>
      <c r="E3049" s="21">
        <f>IFERROR(__xludf.DUMMYFUNCTION("""COMPUTED_VALUE"""),145359.0)</f>
        <v>145359</v>
      </c>
      <c r="F3049" s="21" t="str">
        <f>IFERROR(__xludf.DUMMYFUNCTION("""COMPUTED_VALUE"""),"TRANSITO REVERSA")</f>
        <v>TRANSITO REVERSA</v>
      </c>
      <c r="G3049" s="23">
        <f>IFERROR(__xludf.DUMMYFUNCTION("""COMPUTED_VALUE"""),45638.52112268518)</f>
        <v>45638.52112</v>
      </c>
      <c r="H3049" s="24" t="str">
        <f>IFERROR(VLOOKUP(B3049,material!A:D,3,0),"")</f>
        <v>SIM CARD</v>
      </c>
    </row>
    <row r="3050" ht="11.25" customHeight="1">
      <c r="A3050" s="21" t="str">
        <f>IFERROR(__xludf.DUMMYFUNCTION("""COMPUTED_VALUE"""),"SMART SIM CARD NAGRA")</f>
        <v>SMART SIM CARD NAGRA</v>
      </c>
      <c r="B3050" s="22">
        <f>IFERROR(__xludf.DUMMYFUNCTION("""COMPUTED_VALUE"""),4.1000805E7)</f>
        <v>41000805</v>
      </c>
      <c r="C3050" s="21" t="str">
        <f>IFERROR(__xludf.DUMMYFUNCTION("""COMPUTED_VALUE"""),"246552673538")</f>
        <v>246552673538</v>
      </c>
      <c r="D3050" s="21" t="str">
        <f>IFERROR(__xludf.DUMMYFUNCTION("""COMPUTED_VALUE"""),"DIGITEC TECNOLOGIA DIGITAL E REPRES")</f>
        <v>DIGITEC TECNOLOGIA DIGITAL E REPRES</v>
      </c>
      <c r="E3050" s="21">
        <f>IFERROR(__xludf.DUMMYFUNCTION("""COMPUTED_VALUE"""),145359.0)</f>
        <v>145359</v>
      </c>
      <c r="F3050" s="21" t="str">
        <f>IFERROR(__xludf.DUMMYFUNCTION("""COMPUTED_VALUE"""),"TRANSITO REVERSA")</f>
        <v>TRANSITO REVERSA</v>
      </c>
      <c r="G3050" s="23">
        <f>IFERROR(__xludf.DUMMYFUNCTION("""COMPUTED_VALUE"""),45626.298680555556)</f>
        <v>45626.29868</v>
      </c>
      <c r="H3050" s="24" t="str">
        <f>IFERROR(VLOOKUP(B3050,material!A:D,3,0),"")</f>
        <v>SIM CARD</v>
      </c>
    </row>
    <row r="3051" ht="11.25" customHeight="1">
      <c r="A3051" s="21" t="str">
        <f>IFERROR(__xludf.DUMMYFUNCTION("""COMPUTED_VALUE"""),"SMART SIM CARD NAGRA")</f>
        <v>SMART SIM CARD NAGRA</v>
      </c>
      <c r="B3051" s="22">
        <f>IFERROR(__xludf.DUMMYFUNCTION("""COMPUTED_VALUE"""),4.1000805E7)</f>
        <v>41000805</v>
      </c>
      <c r="C3051" s="21" t="str">
        <f>IFERROR(__xludf.DUMMYFUNCTION("""COMPUTED_VALUE"""),"246485688404")</f>
        <v>246485688404</v>
      </c>
      <c r="D3051" s="21" t="str">
        <f>IFERROR(__xludf.DUMMYFUNCTION("""COMPUTED_VALUE"""),"DIGITEC TECNOLOGIA DIGITAL E REPRES")</f>
        <v>DIGITEC TECNOLOGIA DIGITAL E REPRES</v>
      </c>
      <c r="E3051" s="21">
        <f>IFERROR(__xludf.DUMMYFUNCTION("""COMPUTED_VALUE"""),145359.0)</f>
        <v>145359</v>
      </c>
      <c r="F3051" s="21" t="str">
        <f>IFERROR(__xludf.DUMMYFUNCTION("""COMPUTED_VALUE"""),"TRANSITO REVERSA")</f>
        <v>TRANSITO REVERSA</v>
      </c>
      <c r="G3051" s="23">
        <f>IFERROR(__xludf.DUMMYFUNCTION("""COMPUTED_VALUE"""),45408.61414351852)</f>
        <v>45408.61414</v>
      </c>
      <c r="H3051" s="24" t="str">
        <f>IFERROR(VLOOKUP(B3051,material!A:D,3,0),"")</f>
        <v>SIM CARD</v>
      </c>
    </row>
    <row r="3052" ht="11.25" customHeight="1">
      <c r="A3052" s="21" t="str">
        <f>IFERROR(__xludf.DUMMYFUNCTION("""COMPUTED_VALUE"""),"SMART SIM CARD NAGRA")</f>
        <v>SMART SIM CARD NAGRA</v>
      </c>
      <c r="B3052" s="22">
        <f>IFERROR(__xludf.DUMMYFUNCTION("""COMPUTED_VALUE"""),4.1000805E7)</f>
        <v>41000805</v>
      </c>
      <c r="C3052" s="21" t="str">
        <f>IFERROR(__xludf.DUMMYFUNCTION("""COMPUTED_VALUE"""),"246540900830")</f>
        <v>246540900830</v>
      </c>
      <c r="D3052" s="21" t="str">
        <f>IFERROR(__xludf.DUMMYFUNCTION("""COMPUTED_VALUE"""),"DIGITEC TECNOLOGIA DIGITAL E REPRES")</f>
        <v>DIGITEC TECNOLOGIA DIGITAL E REPRES</v>
      </c>
      <c r="E3052" s="21">
        <f>IFERROR(__xludf.DUMMYFUNCTION("""COMPUTED_VALUE"""),145359.0)</f>
        <v>145359</v>
      </c>
      <c r="F3052" s="21" t="str">
        <f>IFERROR(__xludf.DUMMYFUNCTION("""COMPUTED_VALUE"""),"TRANSITO REVERSA")</f>
        <v>TRANSITO REVERSA</v>
      </c>
      <c r="G3052" s="23">
        <f>IFERROR(__xludf.DUMMYFUNCTION("""COMPUTED_VALUE"""),45633.00396990741)</f>
        <v>45633.00397</v>
      </c>
      <c r="H3052" s="24" t="str">
        <f>IFERROR(VLOOKUP(B3052,material!A:D,3,0),"")</f>
        <v>SIM CARD</v>
      </c>
    </row>
    <row r="3053" ht="11.25" customHeight="1">
      <c r="A3053" s="21" t="str">
        <f>IFERROR(__xludf.DUMMYFUNCTION("""COMPUTED_VALUE"""),"SMART SIM CARD NAGRA")</f>
        <v>SMART SIM CARD NAGRA</v>
      </c>
      <c r="B3053" s="22">
        <f>IFERROR(__xludf.DUMMYFUNCTION("""COMPUTED_VALUE"""),4.1000805E7)</f>
        <v>41000805</v>
      </c>
      <c r="C3053" s="21" t="str">
        <f>IFERROR(__xludf.DUMMYFUNCTION("""COMPUTED_VALUE"""),"246541957789")</f>
        <v>246541957789</v>
      </c>
      <c r="D3053" s="21" t="str">
        <f>IFERROR(__xludf.DUMMYFUNCTION("""COMPUTED_VALUE"""),"DIGITEC TECNOLOGIA DIGITAL E REPRES")</f>
        <v>DIGITEC TECNOLOGIA DIGITAL E REPRES</v>
      </c>
      <c r="E3053" s="21">
        <f>IFERROR(__xludf.DUMMYFUNCTION("""COMPUTED_VALUE"""),145359.0)</f>
        <v>145359</v>
      </c>
      <c r="F3053" s="21" t="str">
        <f>IFERROR(__xludf.DUMMYFUNCTION("""COMPUTED_VALUE"""),"TRANSITO REVERSA")</f>
        <v>TRANSITO REVERSA</v>
      </c>
      <c r="G3053" s="23">
        <f>IFERROR(__xludf.DUMMYFUNCTION("""COMPUTED_VALUE"""),45633.00533564815)</f>
        <v>45633.00534</v>
      </c>
      <c r="H3053" s="24" t="str">
        <f>IFERROR(VLOOKUP(B3053,material!A:D,3,0),"")</f>
        <v>SIM CARD</v>
      </c>
    </row>
    <row r="3054" ht="11.25" customHeight="1">
      <c r="A3054" s="21" t="str">
        <f>IFERROR(__xludf.DUMMYFUNCTION("""COMPUTED_VALUE"""),"SMART SIM CARD NAGRA")</f>
        <v>SMART SIM CARD NAGRA</v>
      </c>
      <c r="B3054" s="22">
        <f>IFERROR(__xludf.DUMMYFUNCTION("""COMPUTED_VALUE"""),4.1000805E7)</f>
        <v>41000805</v>
      </c>
      <c r="C3054" s="21" t="str">
        <f>IFERROR(__xludf.DUMMYFUNCTION("""COMPUTED_VALUE"""),"246487548103")</f>
        <v>246487548103</v>
      </c>
      <c r="D3054" s="21" t="str">
        <f>IFERROR(__xludf.DUMMYFUNCTION("""COMPUTED_VALUE"""),"DIGITEC TECNOLOGIA DIGITAL E REPRES")</f>
        <v>DIGITEC TECNOLOGIA DIGITAL E REPRES</v>
      </c>
      <c r="E3054" s="21">
        <f>IFERROR(__xludf.DUMMYFUNCTION("""COMPUTED_VALUE"""),145359.0)</f>
        <v>145359</v>
      </c>
      <c r="F3054" s="21" t="str">
        <f>IFERROR(__xludf.DUMMYFUNCTION("""COMPUTED_VALUE"""),"TRANSITO REVERSA")</f>
        <v>TRANSITO REVERSA</v>
      </c>
      <c r="G3054" s="23">
        <f>IFERROR(__xludf.DUMMYFUNCTION("""COMPUTED_VALUE"""),45499.62813657407)</f>
        <v>45499.62814</v>
      </c>
      <c r="H3054" s="24" t="str">
        <f>IFERROR(VLOOKUP(B3054,material!A:D,3,0),"")</f>
        <v>SIM CARD</v>
      </c>
    </row>
    <row r="3055" ht="11.25" customHeight="1">
      <c r="A3055" s="21" t="str">
        <f>IFERROR(__xludf.DUMMYFUNCTION("""COMPUTED_VALUE"""),"SMART SIM CARD NAGRA")</f>
        <v>SMART SIM CARD NAGRA</v>
      </c>
      <c r="B3055" s="22">
        <f>IFERROR(__xludf.DUMMYFUNCTION("""COMPUTED_VALUE"""),4.1000805E7)</f>
        <v>41000805</v>
      </c>
      <c r="C3055" s="21" t="str">
        <f>IFERROR(__xludf.DUMMYFUNCTION("""COMPUTED_VALUE"""),"246541957890")</f>
        <v>246541957890</v>
      </c>
      <c r="D3055" s="21" t="str">
        <f>IFERROR(__xludf.DUMMYFUNCTION("""COMPUTED_VALUE"""),"DIGITEC TECNOLOGIA DIGITAL E REPRES")</f>
        <v>DIGITEC TECNOLOGIA DIGITAL E REPRES</v>
      </c>
      <c r="E3055" s="21">
        <f>IFERROR(__xludf.DUMMYFUNCTION("""COMPUTED_VALUE"""),145359.0)</f>
        <v>145359</v>
      </c>
      <c r="F3055" s="21" t="str">
        <f>IFERROR(__xludf.DUMMYFUNCTION("""COMPUTED_VALUE"""),"TRANSITO REVERSA")</f>
        <v>TRANSITO REVERSA</v>
      </c>
      <c r="G3055" s="23">
        <f>IFERROR(__xludf.DUMMYFUNCTION("""COMPUTED_VALUE"""),45617.87140046296)</f>
        <v>45617.8714</v>
      </c>
      <c r="H3055" s="24" t="str">
        <f>IFERROR(VLOOKUP(B3055,material!A:D,3,0),"")</f>
        <v>SIM CARD</v>
      </c>
    </row>
    <row r="3056" ht="11.25" customHeight="1">
      <c r="A3056" s="21" t="str">
        <f>IFERROR(__xludf.DUMMYFUNCTION("""COMPUTED_VALUE"""),"SMART SIM CARD NAGRA")</f>
        <v>SMART SIM CARD NAGRA</v>
      </c>
      <c r="B3056" s="22">
        <f>IFERROR(__xludf.DUMMYFUNCTION("""COMPUTED_VALUE"""),4.1000805E7)</f>
        <v>41000805</v>
      </c>
      <c r="C3056" s="21" t="str">
        <f>IFERROR(__xludf.DUMMYFUNCTION("""COMPUTED_VALUE"""),"246537362033")</f>
        <v>246537362033</v>
      </c>
      <c r="D3056" s="21" t="str">
        <f>IFERROR(__xludf.DUMMYFUNCTION("""COMPUTED_VALUE"""),"DIGITEC TECNOLOGIA DIGITAL E REPRES")</f>
        <v>DIGITEC TECNOLOGIA DIGITAL E REPRES</v>
      </c>
      <c r="E3056" s="21">
        <f>IFERROR(__xludf.DUMMYFUNCTION("""COMPUTED_VALUE"""),145359.0)</f>
        <v>145359</v>
      </c>
      <c r="F3056" s="21" t="str">
        <f>IFERROR(__xludf.DUMMYFUNCTION("""COMPUTED_VALUE"""),"TRANSITO REVERSA")</f>
        <v>TRANSITO REVERSA</v>
      </c>
      <c r="G3056" s="23">
        <f>IFERROR(__xludf.DUMMYFUNCTION("""COMPUTED_VALUE"""),45633.00341435186)</f>
        <v>45633.00341</v>
      </c>
      <c r="H3056" s="24" t="str">
        <f>IFERROR(VLOOKUP(B3056,material!A:D,3,0),"")</f>
        <v>SIM CARD</v>
      </c>
    </row>
    <row r="3057" ht="11.25" customHeight="1">
      <c r="A3057" s="21" t="str">
        <f>IFERROR(__xludf.DUMMYFUNCTION("""COMPUTED_VALUE"""),"SMART SIM CARD NAGRA")</f>
        <v>SMART SIM CARD NAGRA</v>
      </c>
      <c r="B3057" s="22">
        <f>IFERROR(__xludf.DUMMYFUNCTION("""COMPUTED_VALUE"""),4.1000805E7)</f>
        <v>41000805</v>
      </c>
      <c r="C3057" s="21" t="str">
        <f>IFERROR(__xludf.DUMMYFUNCTION("""COMPUTED_VALUE"""),"246526570823")</f>
        <v>246526570823</v>
      </c>
      <c r="D3057" s="21" t="str">
        <f>IFERROR(__xludf.DUMMYFUNCTION("""COMPUTED_VALUE"""),"DIGITEC TECNOLOGIA DIGITAL E REPRES")</f>
        <v>DIGITEC TECNOLOGIA DIGITAL E REPRES</v>
      </c>
      <c r="E3057" s="21">
        <f>IFERROR(__xludf.DUMMYFUNCTION("""COMPUTED_VALUE"""),145359.0)</f>
        <v>145359</v>
      </c>
      <c r="F3057" s="21" t="str">
        <f>IFERROR(__xludf.DUMMYFUNCTION("""COMPUTED_VALUE"""),"TRANSITO REVERSA")</f>
        <v>TRANSITO REVERSA</v>
      </c>
      <c r="G3057" s="23">
        <f>IFERROR(__xludf.DUMMYFUNCTION("""COMPUTED_VALUE"""),45626.2987037037)</f>
        <v>45626.2987</v>
      </c>
      <c r="H3057" s="24" t="str">
        <f>IFERROR(VLOOKUP(B3057,material!A:D,3,0),"")</f>
        <v>SIM CARD</v>
      </c>
    </row>
    <row r="3058" ht="11.25" customHeight="1">
      <c r="A3058" s="21" t="str">
        <f>IFERROR(__xludf.DUMMYFUNCTION("""COMPUTED_VALUE"""),"SMART SIM CARD NAGRA")</f>
        <v>SMART SIM CARD NAGRA</v>
      </c>
      <c r="B3058" s="22">
        <f>IFERROR(__xludf.DUMMYFUNCTION("""COMPUTED_VALUE"""),4.1000805E7)</f>
        <v>41000805</v>
      </c>
      <c r="C3058" s="21" t="str">
        <f>IFERROR(__xludf.DUMMYFUNCTION("""COMPUTED_VALUE"""),"246483363856")</f>
        <v>246483363856</v>
      </c>
      <c r="D3058" s="21" t="str">
        <f>IFERROR(__xludf.DUMMYFUNCTION("""COMPUTED_VALUE"""),"DIGITEC TECNOLOGIA DIGITAL E REPRES")</f>
        <v>DIGITEC TECNOLOGIA DIGITAL E REPRES</v>
      </c>
      <c r="E3058" s="21">
        <f>IFERROR(__xludf.DUMMYFUNCTION("""COMPUTED_VALUE"""),145359.0)</f>
        <v>145359</v>
      </c>
      <c r="F3058" s="21" t="str">
        <f>IFERROR(__xludf.DUMMYFUNCTION("""COMPUTED_VALUE"""),"TRANSITO REVERSA")</f>
        <v>TRANSITO REVERSA</v>
      </c>
      <c r="G3058" s="23">
        <f>IFERROR(__xludf.DUMMYFUNCTION("""COMPUTED_VALUE"""),45352.763182870374)</f>
        <v>45352.76318</v>
      </c>
      <c r="H3058" s="24" t="str">
        <f>IFERROR(VLOOKUP(B3058,material!A:D,3,0),"")</f>
        <v>SIM CARD</v>
      </c>
    </row>
    <row r="3059" ht="11.25" customHeight="1">
      <c r="A3059" s="21" t="str">
        <f>IFERROR(__xludf.DUMMYFUNCTION("""COMPUTED_VALUE"""),"SMART SIM CARD NAGRA")</f>
        <v>SMART SIM CARD NAGRA</v>
      </c>
      <c r="B3059" s="22">
        <f>IFERROR(__xludf.DUMMYFUNCTION("""COMPUTED_VALUE"""),4.1000805E7)</f>
        <v>41000805</v>
      </c>
      <c r="C3059" s="21" t="str">
        <f>IFERROR(__xludf.DUMMYFUNCTION("""COMPUTED_VALUE"""),"246531436987")</f>
        <v>246531436987</v>
      </c>
      <c r="D3059" s="21" t="str">
        <f>IFERROR(__xludf.DUMMYFUNCTION("""COMPUTED_VALUE"""),"DIGITEC TECNOLOGIA DIGITAL E REPRES")</f>
        <v>DIGITEC TECNOLOGIA DIGITAL E REPRES</v>
      </c>
      <c r="E3059" s="21">
        <f>IFERROR(__xludf.DUMMYFUNCTION("""COMPUTED_VALUE"""),145359.0)</f>
        <v>145359</v>
      </c>
      <c r="F3059" s="21" t="str">
        <f>IFERROR(__xludf.DUMMYFUNCTION("""COMPUTED_VALUE"""),"TRANSITO REVERSA")</f>
        <v>TRANSITO REVERSA</v>
      </c>
      <c r="G3059" s="23">
        <f>IFERROR(__xludf.DUMMYFUNCTION("""COMPUTED_VALUE"""),45638.52112268518)</f>
        <v>45638.52112</v>
      </c>
      <c r="H3059" s="24" t="str">
        <f>IFERROR(VLOOKUP(B3059,material!A:D,3,0),"")</f>
        <v>SIM CARD</v>
      </c>
    </row>
    <row r="3060" ht="11.25" customHeight="1">
      <c r="A3060" s="21" t="str">
        <f>IFERROR(__xludf.DUMMYFUNCTION("""COMPUTED_VALUE"""),"SMART SIM CARD NAGRA")</f>
        <v>SMART SIM CARD NAGRA</v>
      </c>
      <c r="B3060" s="22">
        <f>IFERROR(__xludf.DUMMYFUNCTION("""COMPUTED_VALUE"""),4.1000805E7)</f>
        <v>41000805</v>
      </c>
      <c r="C3060" s="21" t="str">
        <f>IFERROR(__xludf.DUMMYFUNCTION("""COMPUTED_VALUE"""),"246519244260")</f>
        <v>246519244260</v>
      </c>
      <c r="D3060" s="21" t="str">
        <f>IFERROR(__xludf.DUMMYFUNCTION("""COMPUTED_VALUE"""),"DIGITEC TECNOLOGIA DIGITAL E REPRES")</f>
        <v>DIGITEC TECNOLOGIA DIGITAL E REPRES</v>
      </c>
      <c r="E3060" s="21">
        <f>IFERROR(__xludf.DUMMYFUNCTION("""COMPUTED_VALUE"""),145359.0)</f>
        <v>145359</v>
      </c>
      <c r="F3060" s="21" t="str">
        <f>IFERROR(__xludf.DUMMYFUNCTION("""COMPUTED_VALUE"""),"TRANSITO REVERSA")</f>
        <v>TRANSITO REVERSA</v>
      </c>
      <c r="G3060" s="23">
        <f>IFERROR(__xludf.DUMMYFUNCTION("""COMPUTED_VALUE"""),45633.00340277777)</f>
        <v>45633.0034</v>
      </c>
      <c r="H3060" s="24" t="str">
        <f>IFERROR(VLOOKUP(B3060,material!A:D,3,0),"")</f>
        <v>SIM CARD</v>
      </c>
    </row>
    <row r="3061" ht="11.25" customHeight="1">
      <c r="A3061" s="21" t="str">
        <f>IFERROR(__xludf.DUMMYFUNCTION("""COMPUTED_VALUE"""),"SMART SIM CARD NAGRA")</f>
        <v>SMART SIM CARD NAGRA</v>
      </c>
      <c r="B3061" s="22">
        <f>IFERROR(__xludf.DUMMYFUNCTION("""COMPUTED_VALUE"""),4.1000805E7)</f>
        <v>41000805</v>
      </c>
      <c r="C3061" s="21" t="str">
        <f>IFERROR(__xludf.DUMMYFUNCTION("""COMPUTED_VALUE"""),"246537921414")</f>
        <v>246537921414</v>
      </c>
      <c r="D3061" s="21" t="str">
        <f>IFERROR(__xludf.DUMMYFUNCTION("""COMPUTED_VALUE"""),"DIGITEC TECNOLOGIA DIGITAL E REPRES")</f>
        <v>DIGITEC TECNOLOGIA DIGITAL E REPRES</v>
      </c>
      <c r="E3061" s="21">
        <f>IFERROR(__xludf.DUMMYFUNCTION("""COMPUTED_VALUE"""),145359.0)</f>
        <v>145359</v>
      </c>
      <c r="F3061" s="21" t="str">
        <f>IFERROR(__xludf.DUMMYFUNCTION("""COMPUTED_VALUE"""),"TRANSITO REVERSA")</f>
        <v>TRANSITO REVERSA</v>
      </c>
      <c r="G3061" s="23">
        <f>IFERROR(__xludf.DUMMYFUNCTION("""COMPUTED_VALUE"""),45422.812789351854)</f>
        <v>45422.81279</v>
      </c>
      <c r="H3061" s="24" t="str">
        <f>IFERROR(VLOOKUP(B3061,material!A:D,3,0),"")</f>
        <v>SIM CARD</v>
      </c>
    </row>
    <row r="3062" ht="11.25" customHeight="1">
      <c r="A3062" s="21" t="str">
        <f>IFERROR(__xludf.DUMMYFUNCTION("""COMPUTED_VALUE"""),"SMART SIM CARD NAGRA")</f>
        <v>SMART SIM CARD NAGRA</v>
      </c>
      <c r="B3062" s="22">
        <f>IFERROR(__xludf.DUMMYFUNCTION("""COMPUTED_VALUE"""),4.1000805E7)</f>
        <v>41000805</v>
      </c>
      <c r="C3062" s="21" t="str">
        <f>IFERROR(__xludf.DUMMYFUNCTION("""COMPUTED_VALUE"""),"246514629511")</f>
        <v>246514629511</v>
      </c>
      <c r="D3062" s="21" t="str">
        <f>IFERROR(__xludf.DUMMYFUNCTION("""COMPUTED_VALUE"""),"DIGITEC TECNOLOGIA DIGITAL E REPRES")</f>
        <v>DIGITEC TECNOLOGIA DIGITAL E REPRES</v>
      </c>
      <c r="E3062" s="21">
        <f>IFERROR(__xludf.DUMMYFUNCTION("""COMPUTED_VALUE"""),145359.0)</f>
        <v>145359</v>
      </c>
      <c r="F3062" s="21" t="str">
        <f>IFERROR(__xludf.DUMMYFUNCTION("""COMPUTED_VALUE"""),"TRANSITO REVERSA")</f>
        <v>TRANSITO REVERSA</v>
      </c>
      <c r="G3062" s="23">
        <f>IFERROR(__xludf.DUMMYFUNCTION("""COMPUTED_VALUE"""),45638.52059027778)</f>
        <v>45638.52059</v>
      </c>
      <c r="H3062" s="24" t="str">
        <f>IFERROR(VLOOKUP(B3062,material!A:D,3,0),"")</f>
        <v>SIM CARD</v>
      </c>
    </row>
    <row r="3063" ht="11.25" customHeight="1">
      <c r="A3063" s="21" t="str">
        <f>IFERROR(__xludf.DUMMYFUNCTION("""COMPUTED_VALUE"""),"SMART SIM CARD NAGRA")</f>
        <v>SMART SIM CARD NAGRA</v>
      </c>
      <c r="B3063" s="22">
        <f>IFERROR(__xludf.DUMMYFUNCTION("""COMPUTED_VALUE"""),4.1000805E7)</f>
        <v>41000805</v>
      </c>
      <c r="C3063" s="21" t="str">
        <f>IFERROR(__xludf.DUMMYFUNCTION("""COMPUTED_VALUE"""),"246501545877")</f>
        <v>246501545877</v>
      </c>
      <c r="D3063" s="21" t="str">
        <f>IFERROR(__xludf.DUMMYFUNCTION("""COMPUTED_VALUE"""),"DIGITEC TECNOLOGIA DIGITAL E REPRES")</f>
        <v>DIGITEC TECNOLOGIA DIGITAL E REPRES</v>
      </c>
      <c r="E3063" s="21">
        <f>IFERROR(__xludf.DUMMYFUNCTION("""COMPUTED_VALUE"""),145359.0)</f>
        <v>145359</v>
      </c>
      <c r="F3063" s="21" t="str">
        <f>IFERROR(__xludf.DUMMYFUNCTION("""COMPUTED_VALUE"""),"TRANSITO REVERSA")</f>
        <v>TRANSITO REVERSA</v>
      </c>
      <c r="G3063" s="23">
        <f>IFERROR(__xludf.DUMMYFUNCTION("""COMPUTED_VALUE"""),45638.520625000005)</f>
        <v>45638.52063</v>
      </c>
      <c r="H3063" s="24" t="str">
        <f>IFERROR(VLOOKUP(B3063,material!A:D,3,0),"")</f>
        <v>SIM CARD</v>
      </c>
    </row>
    <row r="3064" ht="11.25" customHeight="1">
      <c r="A3064" s="21" t="str">
        <f>IFERROR(__xludf.DUMMYFUNCTION("""COMPUTED_VALUE"""),"SMART SIM CARD NAGRA")</f>
        <v>SMART SIM CARD NAGRA</v>
      </c>
      <c r="B3064" s="22">
        <f>IFERROR(__xludf.DUMMYFUNCTION("""COMPUTED_VALUE"""),4.1000805E7)</f>
        <v>41000805</v>
      </c>
      <c r="C3064" s="21" t="str">
        <f>IFERROR(__xludf.DUMMYFUNCTION("""COMPUTED_VALUE"""),"246494131529")</f>
        <v>246494131529</v>
      </c>
      <c r="D3064" s="21" t="str">
        <f>IFERROR(__xludf.DUMMYFUNCTION("""COMPUTED_VALUE"""),"DIGITEC TECNOLOGIA DIGITAL E REPRES")</f>
        <v>DIGITEC TECNOLOGIA DIGITAL E REPRES</v>
      </c>
      <c r="E3064" s="21">
        <f>IFERROR(__xludf.DUMMYFUNCTION("""COMPUTED_VALUE"""),145359.0)</f>
        <v>145359</v>
      </c>
      <c r="F3064" s="21" t="str">
        <f>IFERROR(__xludf.DUMMYFUNCTION("""COMPUTED_VALUE"""),"TRANSITO REVERSA")</f>
        <v>TRANSITO REVERSA</v>
      </c>
      <c r="G3064" s="23">
        <f>IFERROR(__xludf.DUMMYFUNCTION("""COMPUTED_VALUE"""),45638.52112268518)</f>
        <v>45638.52112</v>
      </c>
      <c r="H3064" s="24" t="str">
        <f>IFERROR(VLOOKUP(B3064,material!A:D,3,0),"")</f>
        <v>SIM CARD</v>
      </c>
    </row>
    <row r="3065" ht="11.25" customHeight="1">
      <c r="A3065" s="21" t="str">
        <f>IFERROR(__xludf.DUMMYFUNCTION("""COMPUTED_VALUE"""),"SMART SIM CARD NAGRA")</f>
        <v>SMART SIM CARD NAGRA</v>
      </c>
      <c r="B3065" s="22">
        <f>IFERROR(__xludf.DUMMYFUNCTION("""COMPUTED_VALUE"""),4.1000805E7)</f>
        <v>41000805</v>
      </c>
      <c r="C3065" s="21" t="str">
        <f>IFERROR(__xludf.DUMMYFUNCTION("""COMPUTED_VALUE"""),"246499135159")</f>
        <v>246499135159</v>
      </c>
      <c r="D3065" s="21" t="str">
        <f>IFERROR(__xludf.DUMMYFUNCTION("""COMPUTED_VALUE"""),"DIGITEC TECNOLOGIA DIGITAL E REPRES")</f>
        <v>DIGITEC TECNOLOGIA DIGITAL E REPRES</v>
      </c>
      <c r="E3065" s="21">
        <f>IFERROR(__xludf.DUMMYFUNCTION("""COMPUTED_VALUE"""),145359.0)</f>
        <v>145359</v>
      </c>
      <c r="F3065" s="21" t="str">
        <f>IFERROR(__xludf.DUMMYFUNCTION("""COMPUTED_VALUE"""),"TRANSITO REVERSA")</f>
        <v>TRANSITO REVERSA</v>
      </c>
      <c r="G3065" s="23">
        <f>IFERROR(__xludf.DUMMYFUNCTION("""COMPUTED_VALUE"""),45626.298680555556)</f>
        <v>45626.29868</v>
      </c>
      <c r="H3065" s="24" t="str">
        <f>IFERROR(VLOOKUP(B3065,material!A:D,3,0),"")</f>
        <v>SIM CARD</v>
      </c>
    </row>
    <row r="3066" ht="11.25" customHeight="1">
      <c r="A3066" s="21" t="str">
        <f>IFERROR(__xludf.DUMMYFUNCTION("""COMPUTED_VALUE"""),"SMART SIM CARD NAGRA")</f>
        <v>SMART SIM CARD NAGRA</v>
      </c>
      <c r="B3066" s="22">
        <f>IFERROR(__xludf.DUMMYFUNCTION("""COMPUTED_VALUE"""),4.1000805E7)</f>
        <v>41000805</v>
      </c>
      <c r="C3066" s="21" t="str">
        <f>IFERROR(__xludf.DUMMYFUNCTION("""COMPUTED_VALUE"""),"246494786979")</f>
        <v>246494786979</v>
      </c>
      <c r="D3066" s="21" t="str">
        <f>IFERROR(__xludf.DUMMYFUNCTION("""COMPUTED_VALUE"""),"DIGITEC TECNOLOGIA DIGITAL E REPRES")</f>
        <v>DIGITEC TECNOLOGIA DIGITAL E REPRES</v>
      </c>
      <c r="E3066" s="21">
        <f>IFERROR(__xludf.DUMMYFUNCTION("""COMPUTED_VALUE"""),145359.0)</f>
        <v>145359</v>
      </c>
      <c r="F3066" s="21" t="str">
        <f>IFERROR(__xludf.DUMMYFUNCTION("""COMPUTED_VALUE"""),"TRANSITO REVERSA")</f>
        <v>TRANSITO REVERSA</v>
      </c>
      <c r="G3066" s="23">
        <f>IFERROR(__xludf.DUMMYFUNCTION("""COMPUTED_VALUE"""),45638.52186342592)</f>
        <v>45638.52186</v>
      </c>
      <c r="H3066" s="24" t="str">
        <f>IFERROR(VLOOKUP(B3066,material!A:D,3,0),"")</f>
        <v>SIM CARD</v>
      </c>
    </row>
    <row r="3067" ht="11.25" customHeight="1">
      <c r="A3067" s="21" t="str">
        <f>IFERROR(__xludf.DUMMYFUNCTION("""COMPUTED_VALUE"""),"SMART SIM CARD NAGRA")</f>
        <v>SMART SIM CARD NAGRA</v>
      </c>
      <c r="B3067" s="22">
        <f>IFERROR(__xludf.DUMMYFUNCTION("""COMPUTED_VALUE"""),4.1000805E7)</f>
        <v>41000805</v>
      </c>
      <c r="C3067" s="21" t="str">
        <f>IFERROR(__xludf.DUMMYFUNCTION("""COMPUTED_VALUE"""),"246495055266")</f>
        <v>246495055266</v>
      </c>
      <c r="D3067" s="21" t="str">
        <f>IFERROR(__xludf.DUMMYFUNCTION("""COMPUTED_VALUE"""),"DIGITEC TECNOLOGIA DIGITAL E REPRES")</f>
        <v>DIGITEC TECNOLOGIA DIGITAL E REPRES</v>
      </c>
      <c r="E3067" s="21">
        <f>IFERROR(__xludf.DUMMYFUNCTION("""COMPUTED_VALUE"""),145359.0)</f>
        <v>145359</v>
      </c>
      <c r="F3067" s="21" t="str">
        <f>IFERROR(__xludf.DUMMYFUNCTION("""COMPUTED_VALUE"""),"TRANSITO REVERSA")</f>
        <v>TRANSITO REVERSA</v>
      </c>
      <c r="G3067" s="23">
        <f>IFERROR(__xludf.DUMMYFUNCTION("""COMPUTED_VALUE"""),45626.298692129625)</f>
        <v>45626.29869</v>
      </c>
      <c r="H3067" s="24" t="str">
        <f>IFERROR(VLOOKUP(B3067,material!A:D,3,0),"")</f>
        <v>SIM CARD</v>
      </c>
    </row>
    <row r="3068" ht="11.25" customHeight="1">
      <c r="A3068" s="21" t="str">
        <f>IFERROR(__xludf.DUMMYFUNCTION("""COMPUTED_VALUE"""),"SMART SIM CARD NAGRA")</f>
        <v>SMART SIM CARD NAGRA</v>
      </c>
      <c r="B3068" s="22">
        <f>IFERROR(__xludf.DUMMYFUNCTION("""COMPUTED_VALUE"""),4.1000805E7)</f>
        <v>41000805</v>
      </c>
      <c r="C3068" s="21" t="str">
        <f>IFERROR(__xludf.DUMMYFUNCTION("""COMPUTED_VALUE"""),"246514172542")</f>
        <v>246514172542</v>
      </c>
      <c r="D3068" s="21" t="str">
        <f>IFERROR(__xludf.DUMMYFUNCTION("""COMPUTED_VALUE"""),"DIGITEC TECNOLOGIA DIGITAL E REPRES")</f>
        <v>DIGITEC TECNOLOGIA DIGITAL E REPRES</v>
      </c>
      <c r="E3068" s="21">
        <f>IFERROR(__xludf.DUMMYFUNCTION("""COMPUTED_VALUE"""),145359.0)</f>
        <v>145359</v>
      </c>
      <c r="F3068" s="21" t="str">
        <f>IFERROR(__xludf.DUMMYFUNCTION("""COMPUTED_VALUE"""),"TRANSITO REVERSA")</f>
        <v>TRANSITO REVERSA</v>
      </c>
      <c r="G3068" s="23">
        <f>IFERROR(__xludf.DUMMYFUNCTION("""COMPUTED_VALUE"""),45626.298692129625)</f>
        <v>45626.29869</v>
      </c>
      <c r="H3068" s="24" t="str">
        <f>IFERROR(VLOOKUP(B3068,material!A:D,3,0),"")</f>
        <v>SIM CARD</v>
      </c>
    </row>
    <row r="3069" ht="11.25" customHeight="1">
      <c r="A3069" s="21" t="str">
        <f>IFERROR(__xludf.DUMMYFUNCTION("""COMPUTED_VALUE"""),"SMART SIM CARD NAGRA")</f>
        <v>SMART SIM CARD NAGRA</v>
      </c>
      <c r="B3069" s="22">
        <f>IFERROR(__xludf.DUMMYFUNCTION("""COMPUTED_VALUE"""),4.1000805E7)</f>
        <v>41000805</v>
      </c>
      <c r="C3069" s="21" t="str">
        <f>IFERROR(__xludf.DUMMYFUNCTION("""COMPUTED_VALUE"""),"246501361213")</f>
        <v>246501361213</v>
      </c>
      <c r="D3069" s="21" t="str">
        <f>IFERROR(__xludf.DUMMYFUNCTION("""COMPUTED_VALUE"""),"DIGITEC TECNOLOGIA DIGITAL E REPRES")</f>
        <v>DIGITEC TECNOLOGIA DIGITAL E REPRES</v>
      </c>
      <c r="E3069" s="21">
        <f>IFERROR(__xludf.DUMMYFUNCTION("""COMPUTED_VALUE"""),145359.0)</f>
        <v>145359</v>
      </c>
      <c r="F3069" s="21" t="str">
        <f>IFERROR(__xludf.DUMMYFUNCTION("""COMPUTED_VALUE"""),"TRANSITO REVERSA")</f>
        <v>TRANSITO REVERSA</v>
      </c>
      <c r="G3069" s="23">
        <f>IFERROR(__xludf.DUMMYFUNCTION("""COMPUTED_VALUE"""),45617.87180555555)</f>
        <v>45617.87181</v>
      </c>
      <c r="H3069" s="24" t="str">
        <f>IFERROR(VLOOKUP(B3069,material!A:D,3,0),"")</f>
        <v>SIM CARD</v>
      </c>
    </row>
    <row r="3070" ht="11.25" customHeight="1">
      <c r="A3070" s="21" t="str">
        <f>IFERROR(__xludf.DUMMYFUNCTION("""COMPUTED_VALUE"""),"SMART SIM CARD NAGRA")</f>
        <v>SMART SIM CARD NAGRA</v>
      </c>
      <c r="B3070" s="22">
        <f>IFERROR(__xludf.DUMMYFUNCTION("""COMPUTED_VALUE"""),4.1000805E7)</f>
        <v>41000805</v>
      </c>
      <c r="C3070" s="21" t="str">
        <f>IFERROR(__xludf.DUMMYFUNCTION("""COMPUTED_VALUE"""),"246501428693")</f>
        <v>246501428693</v>
      </c>
      <c r="D3070" s="21" t="str">
        <f>IFERROR(__xludf.DUMMYFUNCTION("""COMPUTED_VALUE"""),"DIGITEC TECNOLOGIA DIGITAL E REPRES")</f>
        <v>DIGITEC TECNOLOGIA DIGITAL E REPRES</v>
      </c>
      <c r="E3070" s="21">
        <f>IFERROR(__xludf.DUMMYFUNCTION("""COMPUTED_VALUE"""),145359.0)</f>
        <v>145359</v>
      </c>
      <c r="F3070" s="21" t="str">
        <f>IFERROR(__xludf.DUMMYFUNCTION("""COMPUTED_VALUE"""),"TRANSITO REVERSA")</f>
        <v>TRANSITO REVERSA</v>
      </c>
      <c r="G3070" s="23">
        <f>IFERROR(__xludf.DUMMYFUNCTION("""COMPUTED_VALUE"""),45626.29871527778)</f>
        <v>45626.29872</v>
      </c>
      <c r="H3070" s="24" t="str">
        <f>IFERROR(VLOOKUP(B3070,material!A:D,3,0),"")</f>
        <v>SIM CARD</v>
      </c>
    </row>
    <row r="3071" ht="11.25" customHeight="1">
      <c r="A3071" s="21" t="str">
        <f>IFERROR(__xludf.DUMMYFUNCTION("""COMPUTED_VALUE"""),"SMART SIM CARD NAGRA")</f>
        <v>SMART SIM CARD NAGRA</v>
      </c>
      <c r="B3071" s="22">
        <f>IFERROR(__xludf.DUMMYFUNCTION("""COMPUTED_VALUE"""),4.1000805E7)</f>
        <v>41000805</v>
      </c>
      <c r="C3071" s="21" t="str">
        <f>IFERROR(__xludf.DUMMYFUNCTION("""COMPUTED_VALUE"""),"246431275966")</f>
        <v>246431275966</v>
      </c>
      <c r="D3071" s="21" t="str">
        <f>IFERROR(__xludf.DUMMYFUNCTION("""COMPUTED_VALUE"""),"DIGITEC TECNOLOGIA DIGITAL E REPRES")</f>
        <v>DIGITEC TECNOLOGIA DIGITAL E REPRES</v>
      </c>
      <c r="E3071" s="21">
        <f>IFERROR(__xludf.DUMMYFUNCTION("""COMPUTED_VALUE"""),145359.0)</f>
        <v>145359</v>
      </c>
      <c r="F3071" s="21" t="str">
        <f>IFERROR(__xludf.DUMMYFUNCTION("""COMPUTED_VALUE"""),"TRANSITO REVERSA")</f>
        <v>TRANSITO REVERSA</v>
      </c>
      <c r="G3071" s="23">
        <f>IFERROR(__xludf.DUMMYFUNCTION("""COMPUTED_VALUE"""),45626.298680555556)</f>
        <v>45626.29868</v>
      </c>
      <c r="H3071" s="24" t="str">
        <f>IFERROR(VLOOKUP(B3071,material!A:D,3,0),"")</f>
        <v>SIM CARD</v>
      </c>
    </row>
    <row r="3072" ht="11.25" customHeight="1">
      <c r="A3072" s="21" t="str">
        <f>IFERROR(__xludf.DUMMYFUNCTION("""COMPUTED_VALUE"""),"SMART SIM CARD NAGRA")</f>
        <v>SMART SIM CARD NAGRA</v>
      </c>
      <c r="B3072" s="22">
        <f>IFERROR(__xludf.DUMMYFUNCTION("""COMPUTED_VALUE"""),4.1000805E7)</f>
        <v>41000805</v>
      </c>
      <c r="C3072" s="21" t="str">
        <f>IFERROR(__xludf.DUMMYFUNCTION("""COMPUTED_VALUE"""),"246437742636")</f>
        <v>246437742636</v>
      </c>
      <c r="D3072" s="21" t="str">
        <f>IFERROR(__xludf.DUMMYFUNCTION("""COMPUTED_VALUE"""),"DIGITEC TECNOLOGIA DIGITAL E REPRES")</f>
        <v>DIGITEC TECNOLOGIA DIGITAL E REPRES</v>
      </c>
      <c r="E3072" s="21">
        <f>IFERROR(__xludf.DUMMYFUNCTION("""COMPUTED_VALUE"""),145359.0)</f>
        <v>145359</v>
      </c>
      <c r="F3072" s="21" t="str">
        <f>IFERROR(__xludf.DUMMYFUNCTION("""COMPUTED_VALUE"""),"TRANSITO REVERSA")</f>
        <v>TRANSITO REVERSA</v>
      </c>
      <c r="G3072" s="23">
        <f>IFERROR(__xludf.DUMMYFUNCTION("""COMPUTED_VALUE"""),45626.298680555556)</f>
        <v>45626.29868</v>
      </c>
      <c r="H3072" s="24" t="str">
        <f>IFERROR(VLOOKUP(B3072,material!A:D,3,0),"")</f>
        <v>SIM CARD</v>
      </c>
    </row>
    <row r="3073" ht="11.25" customHeight="1">
      <c r="A3073" s="21" t="str">
        <f>IFERROR(__xludf.DUMMYFUNCTION("""COMPUTED_VALUE"""),"SMART SIM CARD NAGRA")</f>
        <v>SMART SIM CARD NAGRA</v>
      </c>
      <c r="B3073" s="22">
        <f>IFERROR(__xludf.DUMMYFUNCTION("""COMPUTED_VALUE"""),4.1000805E7)</f>
        <v>41000805</v>
      </c>
      <c r="C3073" s="21" t="str">
        <f>IFERROR(__xludf.DUMMYFUNCTION("""COMPUTED_VALUE"""),"246437149413")</f>
        <v>246437149413</v>
      </c>
      <c r="D3073" s="21" t="str">
        <f>IFERROR(__xludf.DUMMYFUNCTION("""COMPUTED_VALUE"""),"DIGITEC TECNOLOGIA DIGITAL E REPRES")</f>
        <v>DIGITEC TECNOLOGIA DIGITAL E REPRES</v>
      </c>
      <c r="E3073" s="21">
        <f>IFERROR(__xludf.DUMMYFUNCTION("""COMPUTED_VALUE"""),145359.0)</f>
        <v>145359</v>
      </c>
      <c r="F3073" s="21" t="str">
        <f>IFERROR(__xludf.DUMMYFUNCTION("""COMPUTED_VALUE"""),"TRANSITO REVERSA")</f>
        <v>TRANSITO REVERSA</v>
      </c>
      <c r="G3073" s="23">
        <f>IFERROR(__xludf.DUMMYFUNCTION("""COMPUTED_VALUE"""),45633.003958333335)</f>
        <v>45633.00396</v>
      </c>
      <c r="H3073" s="24" t="str">
        <f>IFERROR(VLOOKUP(B3073,material!A:D,3,0),"")</f>
        <v>SIM CARD</v>
      </c>
    </row>
    <row r="3074" ht="11.25" customHeight="1">
      <c r="A3074" s="21" t="str">
        <f>IFERROR(__xludf.DUMMYFUNCTION("""COMPUTED_VALUE"""),"SMART SIM CARD NAGRA")</f>
        <v>SMART SIM CARD NAGRA</v>
      </c>
      <c r="B3074" s="22">
        <f>IFERROR(__xludf.DUMMYFUNCTION("""COMPUTED_VALUE"""),4.1000805E7)</f>
        <v>41000805</v>
      </c>
      <c r="C3074" s="21" t="str">
        <f>IFERROR(__xludf.DUMMYFUNCTION("""COMPUTED_VALUE"""),"246436450524")</f>
        <v>246436450524</v>
      </c>
      <c r="D3074" s="21" t="str">
        <f>IFERROR(__xludf.DUMMYFUNCTION("""COMPUTED_VALUE"""),"DIGITEC TECNOLOGIA DIGITAL E REPRES")</f>
        <v>DIGITEC TECNOLOGIA DIGITAL E REPRES</v>
      </c>
      <c r="E3074" s="21">
        <f>IFERROR(__xludf.DUMMYFUNCTION("""COMPUTED_VALUE"""),145359.0)</f>
        <v>145359</v>
      </c>
      <c r="F3074" s="21" t="str">
        <f>IFERROR(__xludf.DUMMYFUNCTION("""COMPUTED_VALUE"""),"TRANSITO REVERSA")</f>
        <v>TRANSITO REVERSA</v>
      </c>
      <c r="G3074" s="23">
        <f>IFERROR(__xludf.DUMMYFUNCTION("""COMPUTED_VALUE"""),45633.0033912037)</f>
        <v>45633.00339</v>
      </c>
      <c r="H3074" s="24" t="str">
        <f>IFERROR(VLOOKUP(B3074,material!A:D,3,0),"")</f>
        <v>SIM CARD</v>
      </c>
    </row>
    <row r="3075" ht="11.25" customHeight="1">
      <c r="A3075" s="21" t="str">
        <f>IFERROR(__xludf.DUMMYFUNCTION("""COMPUTED_VALUE"""),"SMART SIM CARD NAGRA")</f>
        <v>SMART SIM CARD NAGRA</v>
      </c>
      <c r="B3075" s="22">
        <f>IFERROR(__xludf.DUMMYFUNCTION("""COMPUTED_VALUE"""),4.1000805E7)</f>
        <v>41000805</v>
      </c>
      <c r="C3075" s="21" t="str">
        <f>IFERROR(__xludf.DUMMYFUNCTION("""COMPUTED_VALUE"""),"246592354762")</f>
        <v>246592354762</v>
      </c>
      <c r="D3075" s="21" t="str">
        <f>IFERROR(__xludf.DUMMYFUNCTION("""COMPUTED_VALUE"""),"DIGITEC TECNOLOGIA DIGITAL E REPRES")</f>
        <v>DIGITEC TECNOLOGIA DIGITAL E REPRES</v>
      </c>
      <c r="E3075" s="21">
        <f>IFERROR(__xludf.DUMMYFUNCTION("""COMPUTED_VALUE"""),145359.0)</f>
        <v>145359</v>
      </c>
      <c r="F3075" s="21" t="str">
        <f>IFERROR(__xludf.DUMMYFUNCTION("""COMPUTED_VALUE"""),"TRANSITO REVERSA")</f>
        <v>TRANSITO REVERSA</v>
      </c>
      <c r="G3075" s="23">
        <f>IFERROR(__xludf.DUMMYFUNCTION("""COMPUTED_VALUE"""),45626.29871527778)</f>
        <v>45626.29872</v>
      </c>
      <c r="H3075" s="24" t="str">
        <f>IFERROR(VLOOKUP(B3075,material!A:D,3,0),"")</f>
        <v>SIM CARD</v>
      </c>
    </row>
    <row r="3076" ht="11.25" customHeight="1">
      <c r="A3076" s="21" t="str">
        <f>IFERROR(__xludf.DUMMYFUNCTION("""COMPUTED_VALUE"""),"SMART SIM CARD NAGRA")</f>
        <v>SMART SIM CARD NAGRA</v>
      </c>
      <c r="B3076" s="22">
        <f>IFERROR(__xludf.DUMMYFUNCTION("""COMPUTED_VALUE"""),4.1000805E7)</f>
        <v>41000805</v>
      </c>
      <c r="C3076" s="21" t="str">
        <f>IFERROR(__xludf.DUMMYFUNCTION("""COMPUTED_VALUE"""),"246593786282")</f>
        <v>246593786282</v>
      </c>
      <c r="D3076" s="21" t="str">
        <f>IFERROR(__xludf.DUMMYFUNCTION("""COMPUTED_VALUE"""),"DIGITEC TECNOLOGIA DIGITAL E REPRES")</f>
        <v>DIGITEC TECNOLOGIA DIGITAL E REPRES</v>
      </c>
      <c r="E3076" s="21">
        <f>IFERROR(__xludf.DUMMYFUNCTION("""COMPUTED_VALUE"""),145359.0)</f>
        <v>145359</v>
      </c>
      <c r="F3076" s="21" t="str">
        <f>IFERROR(__xludf.DUMMYFUNCTION("""COMPUTED_VALUE"""),"TRANSITO REVERSA")</f>
        <v>TRANSITO REVERSA</v>
      </c>
      <c r="G3076" s="23">
        <f>IFERROR(__xludf.DUMMYFUNCTION("""COMPUTED_VALUE"""),45626.298680555556)</f>
        <v>45626.29868</v>
      </c>
      <c r="H3076" s="24" t="str">
        <f>IFERROR(VLOOKUP(B3076,material!A:D,3,0),"")</f>
        <v>SIM CARD</v>
      </c>
    </row>
    <row r="3077" ht="11.25" customHeight="1">
      <c r="A3077" s="21" t="str">
        <f>IFERROR(__xludf.DUMMYFUNCTION("""COMPUTED_VALUE"""),"SMART SIM CARD NAGRA")</f>
        <v>SMART SIM CARD NAGRA</v>
      </c>
      <c r="B3077" s="22">
        <f>IFERROR(__xludf.DUMMYFUNCTION("""COMPUTED_VALUE"""),4.1000805E7)</f>
        <v>41000805</v>
      </c>
      <c r="C3077" s="21" t="str">
        <f>IFERROR(__xludf.DUMMYFUNCTION("""COMPUTED_VALUE"""),"246575510919")</f>
        <v>246575510919</v>
      </c>
      <c r="D3077" s="21" t="str">
        <f>IFERROR(__xludf.DUMMYFUNCTION("""COMPUTED_VALUE"""),"DIGITEC TECNOLOGIA DIGITAL E REPRES")</f>
        <v>DIGITEC TECNOLOGIA DIGITAL E REPRES</v>
      </c>
      <c r="E3077" s="21">
        <f>IFERROR(__xludf.DUMMYFUNCTION("""COMPUTED_VALUE"""),145359.0)</f>
        <v>145359</v>
      </c>
      <c r="F3077" s="21" t="str">
        <f>IFERROR(__xludf.DUMMYFUNCTION("""COMPUTED_VALUE"""),"TRANSITO REVERSA")</f>
        <v>TRANSITO REVERSA</v>
      </c>
      <c r="G3077" s="23">
        <f>IFERROR(__xludf.DUMMYFUNCTION("""COMPUTED_VALUE"""),45633.00341435186)</f>
        <v>45633.00341</v>
      </c>
      <c r="H3077" s="24" t="str">
        <f>IFERROR(VLOOKUP(B3077,material!A:D,3,0),"")</f>
        <v>SIM CARD</v>
      </c>
    </row>
    <row r="3078" ht="11.25" customHeight="1">
      <c r="A3078" s="21" t="str">
        <f>IFERROR(__xludf.DUMMYFUNCTION("""COMPUTED_VALUE"""),"SMART SIM CARD NAGRA")</f>
        <v>SMART SIM CARD NAGRA</v>
      </c>
      <c r="B3078" s="22">
        <f>IFERROR(__xludf.DUMMYFUNCTION("""COMPUTED_VALUE"""),4.1000805E7)</f>
        <v>41000805</v>
      </c>
      <c r="C3078" s="21" t="str">
        <f>IFERROR(__xludf.DUMMYFUNCTION("""COMPUTED_VALUE"""),"246583699898")</f>
        <v>246583699898</v>
      </c>
      <c r="D3078" s="21" t="str">
        <f>IFERROR(__xludf.DUMMYFUNCTION("""COMPUTED_VALUE"""),"DIGITEC TECNOLOGIA DIGITAL E REPRES")</f>
        <v>DIGITEC TECNOLOGIA DIGITAL E REPRES</v>
      </c>
      <c r="E3078" s="21">
        <f>IFERROR(__xludf.DUMMYFUNCTION("""COMPUTED_VALUE"""),145359.0)</f>
        <v>145359</v>
      </c>
      <c r="F3078" s="21" t="str">
        <f>IFERROR(__xludf.DUMMYFUNCTION("""COMPUTED_VALUE"""),"TRANSITO REVERSA")</f>
        <v>TRANSITO REVERSA</v>
      </c>
      <c r="G3078" s="23">
        <f>IFERROR(__xludf.DUMMYFUNCTION("""COMPUTED_VALUE"""),45626.298692129625)</f>
        <v>45626.29869</v>
      </c>
      <c r="H3078" s="24" t="str">
        <f>IFERROR(VLOOKUP(B3078,material!A:D,3,0),"")</f>
        <v>SIM CARD</v>
      </c>
    </row>
    <row r="3079" ht="11.25" customHeight="1">
      <c r="A3079" s="21" t="str">
        <f>IFERROR(__xludf.DUMMYFUNCTION("""COMPUTED_VALUE"""),"SMART SIM CARD NAGRA")</f>
        <v>SMART SIM CARD NAGRA</v>
      </c>
      <c r="B3079" s="22">
        <f>IFERROR(__xludf.DUMMYFUNCTION("""COMPUTED_VALUE"""),4.1000805E7)</f>
        <v>41000805</v>
      </c>
      <c r="C3079" s="21" t="str">
        <f>IFERROR(__xludf.DUMMYFUNCTION("""COMPUTED_VALUE"""),"246584717383")</f>
        <v>246584717383</v>
      </c>
      <c r="D3079" s="21" t="str">
        <f>IFERROR(__xludf.DUMMYFUNCTION("""COMPUTED_VALUE"""),"DIGITEC TECNOLOGIA DIGITAL E REPRES")</f>
        <v>DIGITEC TECNOLOGIA DIGITAL E REPRES</v>
      </c>
      <c r="E3079" s="21">
        <f>IFERROR(__xludf.DUMMYFUNCTION("""COMPUTED_VALUE"""),145359.0)</f>
        <v>145359</v>
      </c>
      <c r="F3079" s="21" t="str">
        <f>IFERROR(__xludf.DUMMYFUNCTION("""COMPUTED_VALUE"""),"TRANSITO REVERSA")</f>
        <v>TRANSITO REVERSA</v>
      </c>
      <c r="G3079" s="23">
        <f>IFERROR(__xludf.DUMMYFUNCTION("""COMPUTED_VALUE"""),45626.298680555556)</f>
        <v>45626.29868</v>
      </c>
      <c r="H3079" s="24" t="str">
        <f>IFERROR(VLOOKUP(B3079,material!A:D,3,0),"")</f>
        <v>SIM CARD</v>
      </c>
    </row>
    <row r="3080" ht="11.25" customHeight="1">
      <c r="A3080" s="21" t="str">
        <f>IFERROR(__xludf.DUMMYFUNCTION("""COMPUTED_VALUE"""),"SMART SIM CARD NAGRA")</f>
        <v>SMART SIM CARD NAGRA</v>
      </c>
      <c r="B3080" s="22">
        <f>IFERROR(__xludf.DUMMYFUNCTION("""COMPUTED_VALUE"""),4.1000805E7)</f>
        <v>41000805</v>
      </c>
      <c r="C3080" s="21" t="str">
        <f>IFERROR(__xludf.DUMMYFUNCTION("""COMPUTED_VALUE"""),"246601492231")</f>
        <v>246601492231</v>
      </c>
      <c r="D3080" s="21" t="str">
        <f>IFERROR(__xludf.DUMMYFUNCTION("""COMPUTED_VALUE"""),"DIGITEC TECNOLOGIA DIGITAL E REPRES")</f>
        <v>DIGITEC TECNOLOGIA DIGITAL E REPRES</v>
      </c>
      <c r="E3080" s="21">
        <f>IFERROR(__xludf.DUMMYFUNCTION("""COMPUTED_VALUE"""),145359.0)</f>
        <v>145359</v>
      </c>
      <c r="F3080" s="21" t="str">
        <f>IFERROR(__xludf.DUMMYFUNCTION("""COMPUTED_VALUE"""),"TRANSITO REVERSA")</f>
        <v>TRANSITO REVERSA</v>
      </c>
      <c r="G3080" s="23">
        <f>IFERROR(__xludf.DUMMYFUNCTION("""COMPUTED_VALUE"""),45449.62335648148)</f>
        <v>45449.62336</v>
      </c>
      <c r="H3080" s="24" t="str">
        <f>IFERROR(VLOOKUP(B3080,material!A:D,3,0),"")</f>
        <v>SIM CARD</v>
      </c>
    </row>
    <row r="3081" ht="11.25" customHeight="1">
      <c r="A3081" s="21" t="str">
        <f>IFERROR(__xludf.DUMMYFUNCTION("""COMPUTED_VALUE"""),"SMART SIM CARD NAGRA")</f>
        <v>SMART SIM CARD NAGRA</v>
      </c>
      <c r="B3081" s="22">
        <f>IFERROR(__xludf.DUMMYFUNCTION("""COMPUTED_VALUE"""),4.1000805E7)</f>
        <v>41000805</v>
      </c>
      <c r="C3081" s="21" t="str">
        <f>IFERROR(__xludf.DUMMYFUNCTION("""COMPUTED_VALUE"""),"246606992936")</f>
        <v>246606992936</v>
      </c>
      <c r="D3081" s="21" t="str">
        <f>IFERROR(__xludf.DUMMYFUNCTION("""COMPUTED_VALUE"""),"DIGITEC TECNOLOGIA DIGITAL E REPRES")</f>
        <v>DIGITEC TECNOLOGIA DIGITAL E REPRES</v>
      </c>
      <c r="E3081" s="21">
        <f>IFERROR(__xludf.DUMMYFUNCTION("""COMPUTED_VALUE"""),145359.0)</f>
        <v>145359</v>
      </c>
      <c r="F3081" s="21" t="str">
        <f>IFERROR(__xludf.DUMMYFUNCTION("""COMPUTED_VALUE"""),"TRANSITO REVERSA")</f>
        <v>TRANSITO REVERSA</v>
      </c>
      <c r="G3081" s="23">
        <f>IFERROR(__xludf.DUMMYFUNCTION("""COMPUTED_VALUE"""),45626.298680555556)</f>
        <v>45626.29868</v>
      </c>
      <c r="H3081" s="24" t="str">
        <f>IFERROR(VLOOKUP(B3081,material!A:D,3,0),"")</f>
        <v>SIM CARD</v>
      </c>
    </row>
    <row r="3082" ht="11.25" customHeight="1">
      <c r="A3082" s="21" t="str">
        <f>IFERROR(__xludf.DUMMYFUNCTION("""COMPUTED_VALUE"""),"SMART SIM CARD NAGRA")</f>
        <v>SMART SIM CARD NAGRA</v>
      </c>
      <c r="B3082" s="22">
        <f>IFERROR(__xludf.DUMMYFUNCTION("""COMPUTED_VALUE"""),4.1000805E7)</f>
        <v>41000805</v>
      </c>
      <c r="C3082" s="21" t="str">
        <f>IFERROR(__xludf.DUMMYFUNCTION("""COMPUTED_VALUE"""),"246553445263")</f>
        <v>246553445263</v>
      </c>
      <c r="D3082" s="21" t="str">
        <f>IFERROR(__xludf.DUMMYFUNCTION("""COMPUTED_VALUE"""),"DIGITEC TECNOLOGIA DIGITAL E REPRES")</f>
        <v>DIGITEC TECNOLOGIA DIGITAL E REPRES</v>
      </c>
      <c r="E3082" s="21">
        <f>IFERROR(__xludf.DUMMYFUNCTION("""COMPUTED_VALUE"""),145359.0)</f>
        <v>145359</v>
      </c>
      <c r="F3082" s="21" t="str">
        <f>IFERROR(__xludf.DUMMYFUNCTION("""COMPUTED_VALUE"""),"TRANSITO REVERSA")</f>
        <v>TRANSITO REVERSA</v>
      </c>
      <c r="G3082" s="23">
        <f>IFERROR(__xludf.DUMMYFUNCTION("""COMPUTED_VALUE"""),45633.003958333335)</f>
        <v>45633.00396</v>
      </c>
      <c r="H3082" s="24" t="str">
        <f>IFERROR(VLOOKUP(B3082,material!A:D,3,0),"")</f>
        <v>SIM CARD</v>
      </c>
    </row>
    <row r="3083" ht="11.25" customHeight="1">
      <c r="A3083" s="21" t="str">
        <f>IFERROR(__xludf.DUMMYFUNCTION("""COMPUTED_VALUE"""),"SMART SIM CARD NAGRA")</f>
        <v>SMART SIM CARD NAGRA</v>
      </c>
      <c r="B3083" s="22">
        <f>IFERROR(__xludf.DUMMYFUNCTION("""COMPUTED_VALUE"""),4.1000805E7)</f>
        <v>41000805</v>
      </c>
      <c r="C3083" s="21" t="str">
        <f>IFERROR(__xludf.DUMMYFUNCTION("""COMPUTED_VALUE"""),"246575508089")</f>
        <v>246575508089</v>
      </c>
      <c r="D3083" s="21" t="str">
        <f>IFERROR(__xludf.DUMMYFUNCTION("""COMPUTED_VALUE"""),"DIGITEC TECNOLOGIA DIGITAL E REPRES")</f>
        <v>DIGITEC TECNOLOGIA DIGITAL E REPRES</v>
      </c>
      <c r="E3083" s="21">
        <f>IFERROR(__xludf.DUMMYFUNCTION("""COMPUTED_VALUE"""),145359.0)</f>
        <v>145359</v>
      </c>
      <c r="F3083" s="21" t="str">
        <f>IFERROR(__xludf.DUMMYFUNCTION("""COMPUTED_VALUE"""),"TRANSITO REVERSA")</f>
        <v>TRANSITO REVERSA</v>
      </c>
      <c r="G3083" s="23">
        <f>IFERROR(__xludf.DUMMYFUNCTION("""COMPUTED_VALUE"""),45617.87180555555)</f>
        <v>45617.87181</v>
      </c>
      <c r="H3083" s="24" t="str">
        <f>IFERROR(VLOOKUP(B3083,material!A:D,3,0),"")</f>
        <v>SIM CARD</v>
      </c>
    </row>
    <row r="3084" ht="11.25" customHeight="1">
      <c r="A3084" s="21" t="str">
        <f>IFERROR(__xludf.DUMMYFUNCTION("""COMPUTED_VALUE"""),"SMART SIM CARD NAGRA")</f>
        <v>SMART SIM CARD NAGRA</v>
      </c>
      <c r="B3084" s="22">
        <f>IFERROR(__xludf.DUMMYFUNCTION("""COMPUTED_VALUE"""),4.1000805E7)</f>
        <v>41000805</v>
      </c>
      <c r="C3084" s="21" t="str">
        <f>IFERROR(__xludf.DUMMYFUNCTION("""COMPUTED_VALUE"""),"246585376269")</f>
        <v>246585376269</v>
      </c>
      <c r="D3084" s="21" t="str">
        <f>IFERROR(__xludf.DUMMYFUNCTION("""COMPUTED_VALUE"""),"DIGITEC TECNOLOGIA DIGITAL E REPRES")</f>
        <v>DIGITEC TECNOLOGIA DIGITAL E REPRES</v>
      </c>
      <c r="E3084" s="21">
        <f>IFERROR(__xludf.DUMMYFUNCTION("""COMPUTED_VALUE"""),145359.0)</f>
        <v>145359</v>
      </c>
      <c r="F3084" s="21" t="str">
        <f>IFERROR(__xludf.DUMMYFUNCTION("""COMPUTED_VALUE"""),"TRANSITO REVERSA")</f>
        <v>TRANSITO REVERSA</v>
      </c>
      <c r="G3084" s="23">
        <f>IFERROR(__xludf.DUMMYFUNCTION("""COMPUTED_VALUE"""),45638.52112268518)</f>
        <v>45638.52112</v>
      </c>
      <c r="H3084" s="24" t="str">
        <f>IFERROR(VLOOKUP(B3084,material!A:D,3,0),"")</f>
        <v>SIM CARD</v>
      </c>
    </row>
    <row r="3085" ht="11.25" customHeight="1">
      <c r="A3085" s="21" t="str">
        <f>IFERROR(__xludf.DUMMYFUNCTION("""COMPUTED_VALUE"""),"SMART SIM CARD NAGRA")</f>
        <v>SMART SIM CARD NAGRA</v>
      </c>
      <c r="B3085" s="22">
        <f>IFERROR(__xludf.DUMMYFUNCTION("""COMPUTED_VALUE"""),4.1000805E7)</f>
        <v>41000805</v>
      </c>
      <c r="C3085" s="21" t="str">
        <f>IFERROR(__xludf.DUMMYFUNCTION("""COMPUTED_VALUE"""),"246644218689")</f>
        <v>246644218689</v>
      </c>
      <c r="D3085" s="21" t="str">
        <f>IFERROR(__xludf.DUMMYFUNCTION("""COMPUTED_VALUE"""),"DIGITEC TECNOLOGIA DIGITAL E REPRES")</f>
        <v>DIGITEC TECNOLOGIA DIGITAL E REPRES</v>
      </c>
      <c r="E3085" s="21">
        <f>IFERROR(__xludf.DUMMYFUNCTION("""COMPUTED_VALUE"""),145359.0)</f>
        <v>145359</v>
      </c>
      <c r="F3085" s="21" t="str">
        <f>IFERROR(__xludf.DUMMYFUNCTION("""COMPUTED_VALUE"""),"TRANSITO REVERSA")</f>
        <v>TRANSITO REVERSA</v>
      </c>
      <c r="G3085" s="23">
        <f>IFERROR(__xludf.DUMMYFUNCTION("""COMPUTED_VALUE"""),45638.52059027778)</f>
        <v>45638.52059</v>
      </c>
      <c r="H3085" s="24" t="str">
        <f>IFERROR(VLOOKUP(B3085,material!A:D,3,0),"")</f>
        <v>SIM CARD</v>
      </c>
    </row>
    <row r="3086" ht="11.25" customHeight="1">
      <c r="A3086" s="21" t="str">
        <f>IFERROR(__xludf.DUMMYFUNCTION("""COMPUTED_VALUE"""),"SMART SIM CARD NAGRA")</f>
        <v>SMART SIM CARD NAGRA</v>
      </c>
      <c r="B3086" s="22">
        <f>IFERROR(__xludf.DUMMYFUNCTION("""COMPUTED_VALUE"""),4.1000805E7)</f>
        <v>41000805</v>
      </c>
      <c r="C3086" s="21" t="str">
        <f>IFERROR(__xludf.DUMMYFUNCTION("""COMPUTED_VALUE"""),"246617562228")</f>
        <v>246617562228</v>
      </c>
      <c r="D3086" s="21" t="str">
        <f>IFERROR(__xludf.DUMMYFUNCTION("""COMPUTED_VALUE"""),"DIGITEC TECNOLOGIA DIGITAL E REPRES")</f>
        <v>DIGITEC TECNOLOGIA DIGITAL E REPRES</v>
      </c>
      <c r="E3086" s="21">
        <f>IFERROR(__xludf.DUMMYFUNCTION("""COMPUTED_VALUE"""),145359.0)</f>
        <v>145359</v>
      </c>
      <c r="F3086" s="21" t="str">
        <f>IFERROR(__xludf.DUMMYFUNCTION("""COMPUTED_VALUE"""),"TRANSITO REVERSA")</f>
        <v>TRANSITO REVERSA</v>
      </c>
      <c r="G3086" s="23">
        <f>IFERROR(__xludf.DUMMYFUNCTION("""COMPUTED_VALUE"""),45638.520625000005)</f>
        <v>45638.52063</v>
      </c>
      <c r="H3086" s="24" t="str">
        <f>IFERROR(VLOOKUP(B3086,material!A:D,3,0),"")</f>
        <v>SIM CARD</v>
      </c>
    </row>
    <row r="3087" ht="11.25" customHeight="1">
      <c r="A3087" s="21" t="str">
        <f>IFERROR(__xludf.DUMMYFUNCTION("""COMPUTED_VALUE"""),"SMART SIM CARD NAGRA")</f>
        <v>SMART SIM CARD NAGRA</v>
      </c>
      <c r="B3087" s="22">
        <f>IFERROR(__xludf.DUMMYFUNCTION("""COMPUTED_VALUE"""),4.1000805E7)</f>
        <v>41000805</v>
      </c>
      <c r="C3087" s="21" t="str">
        <f>IFERROR(__xludf.DUMMYFUNCTION("""COMPUTED_VALUE"""),"246608723958")</f>
        <v>246608723958</v>
      </c>
      <c r="D3087" s="21" t="str">
        <f>IFERROR(__xludf.DUMMYFUNCTION("""COMPUTED_VALUE"""),"DIGITEC TECNOLOGIA DIGITAL E REPRES")</f>
        <v>DIGITEC TECNOLOGIA DIGITAL E REPRES</v>
      </c>
      <c r="E3087" s="21">
        <f>IFERROR(__xludf.DUMMYFUNCTION("""COMPUTED_VALUE"""),145359.0)</f>
        <v>145359</v>
      </c>
      <c r="F3087" s="21" t="str">
        <f>IFERROR(__xludf.DUMMYFUNCTION("""COMPUTED_VALUE"""),"TRANSITO REVERSA")</f>
        <v>TRANSITO REVERSA</v>
      </c>
      <c r="G3087" s="23">
        <f>IFERROR(__xludf.DUMMYFUNCTION("""COMPUTED_VALUE"""),45633.0033912037)</f>
        <v>45633.00339</v>
      </c>
      <c r="H3087" s="24" t="str">
        <f>IFERROR(VLOOKUP(B3087,material!A:D,3,0),"")</f>
        <v>SIM CARD</v>
      </c>
    </row>
    <row r="3088" ht="11.25" customHeight="1">
      <c r="A3088" s="21" t="str">
        <f>IFERROR(__xludf.DUMMYFUNCTION("""COMPUTED_VALUE"""),"SMART SIM CARD NAGRA")</f>
        <v>SMART SIM CARD NAGRA</v>
      </c>
      <c r="B3088" s="22">
        <f>IFERROR(__xludf.DUMMYFUNCTION("""COMPUTED_VALUE"""),4.1000805E7)</f>
        <v>41000805</v>
      </c>
      <c r="C3088" s="21" t="str">
        <f>IFERROR(__xludf.DUMMYFUNCTION("""COMPUTED_VALUE"""),"246626442848")</f>
        <v>246626442848</v>
      </c>
      <c r="D3088" s="21" t="str">
        <f>IFERROR(__xludf.DUMMYFUNCTION("""COMPUTED_VALUE"""),"DIGITEC TECNOLOGIA DIGITAL E REPRES")</f>
        <v>DIGITEC TECNOLOGIA DIGITAL E REPRES</v>
      </c>
      <c r="E3088" s="21">
        <f>IFERROR(__xludf.DUMMYFUNCTION("""COMPUTED_VALUE"""),145359.0)</f>
        <v>145359</v>
      </c>
      <c r="F3088" s="21" t="str">
        <f>IFERROR(__xludf.DUMMYFUNCTION("""COMPUTED_VALUE"""),"TRANSITO REVERSA")</f>
        <v>TRANSITO REVERSA</v>
      </c>
      <c r="G3088" s="23">
        <f>IFERROR(__xludf.DUMMYFUNCTION("""COMPUTED_VALUE"""),45633.00396990741)</f>
        <v>45633.00397</v>
      </c>
      <c r="H3088" s="24" t="str">
        <f>IFERROR(VLOOKUP(B3088,material!A:D,3,0),"")</f>
        <v>SIM CARD</v>
      </c>
    </row>
    <row r="3089" ht="11.25" customHeight="1">
      <c r="A3089" s="21" t="str">
        <f>IFERROR(__xludf.DUMMYFUNCTION("""COMPUTED_VALUE"""),"SMART SIM CARD NAGRA")</f>
        <v>SMART SIM CARD NAGRA</v>
      </c>
      <c r="B3089" s="22">
        <f>IFERROR(__xludf.DUMMYFUNCTION("""COMPUTED_VALUE"""),4.1000805E7)</f>
        <v>41000805</v>
      </c>
      <c r="C3089" s="21" t="str">
        <f>IFERROR(__xludf.DUMMYFUNCTION("""COMPUTED_VALUE"""),"246627087085")</f>
        <v>246627087085</v>
      </c>
      <c r="D3089" s="21" t="str">
        <f>IFERROR(__xludf.DUMMYFUNCTION("""COMPUTED_VALUE"""),"DIGITEC TECNOLOGIA DIGITAL E REPRES")</f>
        <v>DIGITEC TECNOLOGIA DIGITAL E REPRES</v>
      </c>
      <c r="E3089" s="21">
        <f>IFERROR(__xludf.DUMMYFUNCTION("""COMPUTED_VALUE"""),145359.0)</f>
        <v>145359</v>
      </c>
      <c r="F3089" s="21" t="str">
        <f>IFERROR(__xludf.DUMMYFUNCTION("""COMPUTED_VALUE"""),"TRANSITO REVERSA")</f>
        <v>TRANSITO REVERSA</v>
      </c>
      <c r="G3089" s="23">
        <f>IFERROR(__xludf.DUMMYFUNCTION("""COMPUTED_VALUE"""),45633.003958333335)</f>
        <v>45633.00396</v>
      </c>
      <c r="H3089" s="24" t="str">
        <f>IFERROR(VLOOKUP(B3089,material!A:D,3,0),"")</f>
        <v>SIM CARD</v>
      </c>
    </row>
    <row r="3090" ht="11.25" customHeight="1">
      <c r="A3090" s="21" t="str">
        <f>IFERROR(__xludf.DUMMYFUNCTION("""COMPUTED_VALUE"""),"SMART SIM CARD NAGRA")</f>
        <v>SMART SIM CARD NAGRA</v>
      </c>
      <c r="B3090" s="22">
        <f>IFERROR(__xludf.DUMMYFUNCTION("""COMPUTED_VALUE"""),4.1000805E7)</f>
        <v>41000805</v>
      </c>
      <c r="C3090" s="21" t="str">
        <f>IFERROR(__xludf.DUMMYFUNCTION("""COMPUTED_VALUE"""),"246624993649")</f>
        <v>246624993649</v>
      </c>
      <c r="D3090" s="21" t="str">
        <f>IFERROR(__xludf.DUMMYFUNCTION("""COMPUTED_VALUE"""),"DIGITEC TECNOLOGIA DIGITAL E REPRES")</f>
        <v>DIGITEC TECNOLOGIA DIGITAL E REPRES</v>
      </c>
      <c r="E3090" s="21">
        <f>IFERROR(__xludf.DUMMYFUNCTION("""COMPUTED_VALUE"""),145359.0)</f>
        <v>145359</v>
      </c>
      <c r="F3090" s="21" t="str">
        <f>IFERROR(__xludf.DUMMYFUNCTION("""COMPUTED_VALUE"""),"TRANSITO REVERSA")</f>
        <v>TRANSITO REVERSA</v>
      </c>
      <c r="G3090" s="23">
        <f>IFERROR(__xludf.DUMMYFUNCTION("""COMPUTED_VALUE"""),45638.520625000005)</f>
        <v>45638.52063</v>
      </c>
      <c r="H3090" s="24" t="str">
        <f>IFERROR(VLOOKUP(B3090,material!A:D,3,0),"")</f>
        <v>SIM CARD</v>
      </c>
    </row>
    <row r="3091" ht="11.25" customHeight="1">
      <c r="A3091" s="21" t="str">
        <f>IFERROR(__xludf.DUMMYFUNCTION("""COMPUTED_VALUE"""),"SMART SIM CARD NAGRA")</f>
        <v>SMART SIM CARD NAGRA</v>
      </c>
      <c r="B3091" s="22">
        <f>IFERROR(__xludf.DUMMYFUNCTION("""COMPUTED_VALUE"""),4.1000805E7)</f>
        <v>41000805</v>
      </c>
      <c r="C3091" s="21" t="str">
        <f>IFERROR(__xludf.DUMMYFUNCTION("""COMPUTED_VALUE"""),"246625128386")</f>
        <v>246625128386</v>
      </c>
      <c r="D3091" s="21" t="str">
        <f>IFERROR(__xludf.DUMMYFUNCTION("""COMPUTED_VALUE"""),"DIGITEC TECNOLOGIA DIGITAL E REPRES")</f>
        <v>DIGITEC TECNOLOGIA DIGITAL E REPRES</v>
      </c>
      <c r="E3091" s="21">
        <f>IFERROR(__xludf.DUMMYFUNCTION("""COMPUTED_VALUE"""),145359.0)</f>
        <v>145359</v>
      </c>
      <c r="F3091" s="21" t="str">
        <f>IFERROR(__xludf.DUMMYFUNCTION("""COMPUTED_VALUE"""),"TRANSITO REVERSA")</f>
        <v>TRANSITO REVERSA</v>
      </c>
      <c r="G3091" s="23">
        <f>IFERROR(__xludf.DUMMYFUNCTION("""COMPUTED_VALUE"""),45617.87138888889)</f>
        <v>45617.87139</v>
      </c>
      <c r="H3091" s="24" t="str">
        <f>IFERROR(VLOOKUP(B3091,material!A:D,3,0),"")</f>
        <v>SIM CARD</v>
      </c>
    </row>
    <row r="3092" ht="11.25" customHeight="1">
      <c r="A3092" s="21" t="str">
        <f>IFERROR(__xludf.DUMMYFUNCTION("""COMPUTED_VALUE"""),"SMART SIM CARD NAGRA")</f>
        <v>SMART SIM CARD NAGRA</v>
      </c>
      <c r="B3092" s="22">
        <f>IFERROR(__xludf.DUMMYFUNCTION("""COMPUTED_VALUE"""),4.1000805E7)</f>
        <v>41000805</v>
      </c>
      <c r="C3092" s="21" t="str">
        <f>IFERROR(__xludf.DUMMYFUNCTION("""COMPUTED_VALUE"""),"246616245264")</f>
        <v>246616245264</v>
      </c>
      <c r="D3092" s="21" t="str">
        <f>IFERROR(__xludf.DUMMYFUNCTION("""COMPUTED_VALUE"""),"DIGITEC TECNOLOGIA DIGITAL E REPRES")</f>
        <v>DIGITEC TECNOLOGIA DIGITAL E REPRES</v>
      </c>
      <c r="E3092" s="21">
        <f>IFERROR(__xludf.DUMMYFUNCTION("""COMPUTED_VALUE"""),145359.0)</f>
        <v>145359</v>
      </c>
      <c r="F3092" s="21" t="str">
        <f>IFERROR(__xludf.DUMMYFUNCTION("""COMPUTED_VALUE"""),"TRANSITO REVERSA")</f>
        <v>TRANSITO REVERSA</v>
      </c>
      <c r="G3092" s="23">
        <f>IFERROR(__xludf.DUMMYFUNCTION("""COMPUTED_VALUE"""),45638.520636574074)</f>
        <v>45638.52064</v>
      </c>
      <c r="H3092" s="24" t="str">
        <f>IFERROR(VLOOKUP(B3092,material!A:D,3,0),"")</f>
        <v>SIM CARD</v>
      </c>
    </row>
    <row r="3093" ht="11.25" customHeight="1">
      <c r="A3093" s="21" t="str">
        <f>IFERROR(__xludf.DUMMYFUNCTION("""COMPUTED_VALUE"""),"SMART SIM CARD NAGRA")</f>
        <v>SMART SIM CARD NAGRA</v>
      </c>
      <c r="B3093" s="22">
        <f>IFERROR(__xludf.DUMMYFUNCTION("""COMPUTED_VALUE"""),4.1000805E7)</f>
        <v>41000805</v>
      </c>
      <c r="C3093" s="21" t="str">
        <f>IFERROR(__xludf.DUMMYFUNCTION("""COMPUTED_VALUE"""),"246617617788")</f>
        <v>246617617788</v>
      </c>
      <c r="D3093" s="21" t="str">
        <f>IFERROR(__xludf.DUMMYFUNCTION("""COMPUTED_VALUE"""),"DIGITEC TECNOLOGIA DIGITAL E REPRES")</f>
        <v>DIGITEC TECNOLOGIA DIGITAL E REPRES</v>
      </c>
      <c r="E3093" s="21">
        <f>IFERROR(__xludf.DUMMYFUNCTION("""COMPUTED_VALUE"""),145359.0)</f>
        <v>145359</v>
      </c>
      <c r="F3093" s="21" t="str">
        <f>IFERROR(__xludf.DUMMYFUNCTION("""COMPUTED_VALUE"""),"TRANSITO REVERSA")</f>
        <v>TRANSITO REVERSA</v>
      </c>
      <c r="G3093" s="23">
        <f>IFERROR(__xludf.DUMMYFUNCTION("""COMPUTED_VALUE"""),45633.0033912037)</f>
        <v>45633.00339</v>
      </c>
      <c r="H3093" s="24" t="str">
        <f>IFERROR(VLOOKUP(B3093,material!A:D,3,0),"")</f>
        <v>SIM CARD</v>
      </c>
    </row>
    <row r="3094" ht="11.25" customHeight="1">
      <c r="A3094" s="21" t="str">
        <f>IFERROR(__xludf.DUMMYFUNCTION("""COMPUTED_VALUE"""),"SMART SIM CARD NAGRA")</f>
        <v>SMART SIM CARD NAGRA</v>
      </c>
      <c r="B3094" s="22">
        <f>IFERROR(__xludf.DUMMYFUNCTION("""COMPUTED_VALUE"""),4.1000805E7)</f>
        <v>41000805</v>
      </c>
      <c r="C3094" s="21" t="str">
        <f>IFERROR(__xludf.DUMMYFUNCTION("""COMPUTED_VALUE"""),"246617662844")</f>
        <v>246617662844</v>
      </c>
      <c r="D3094" s="21" t="str">
        <f>IFERROR(__xludf.DUMMYFUNCTION("""COMPUTED_VALUE"""),"DIGITEC TECNOLOGIA DIGITAL E REPRES")</f>
        <v>DIGITEC TECNOLOGIA DIGITAL E REPRES</v>
      </c>
      <c r="E3094" s="21">
        <f>IFERROR(__xludf.DUMMYFUNCTION("""COMPUTED_VALUE"""),145359.0)</f>
        <v>145359</v>
      </c>
      <c r="F3094" s="21" t="str">
        <f>IFERROR(__xludf.DUMMYFUNCTION("""COMPUTED_VALUE"""),"TRANSITO REVERSA")</f>
        <v>TRANSITO REVERSA</v>
      </c>
      <c r="G3094" s="23">
        <f>IFERROR(__xludf.DUMMYFUNCTION("""COMPUTED_VALUE"""),45626.298692129625)</f>
        <v>45626.29869</v>
      </c>
      <c r="H3094" s="24" t="str">
        <f>IFERROR(VLOOKUP(B3094,material!A:D,3,0),"")</f>
        <v>SIM CARD</v>
      </c>
    </row>
    <row r="3095" ht="11.25" customHeight="1">
      <c r="A3095" s="21" t="str">
        <f>IFERROR(__xludf.DUMMYFUNCTION("""COMPUTED_VALUE"""),"SMART SIM CARD NAGRA")</f>
        <v>SMART SIM CARD NAGRA</v>
      </c>
      <c r="B3095" s="22">
        <f>IFERROR(__xludf.DUMMYFUNCTION("""COMPUTED_VALUE"""),4.1000805E7)</f>
        <v>41000805</v>
      </c>
      <c r="C3095" s="21" t="str">
        <f>IFERROR(__xludf.DUMMYFUNCTION("""COMPUTED_VALUE"""),"246543710105")</f>
        <v>246543710105</v>
      </c>
      <c r="D3095" s="21" t="str">
        <f>IFERROR(__xludf.DUMMYFUNCTION("""COMPUTED_VALUE"""),"DIGITEC TECNOLOGIA DIGITAL E REPRES")</f>
        <v>DIGITEC TECNOLOGIA DIGITAL E REPRES</v>
      </c>
      <c r="E3095" s="21">
        <f>IFERROR(__xludf.DUMMYFUNCTION("""COMPUTED_VALUE"""),145359.0)</f>
        <v>145359</v>
      </c>
      <c r="F3095" s="21" t="str">
        <f>IFERROR(__xludf.DUMMYFUNCTION("""COMPUTED_VALUE"""),"TRANSITO REVERSA")</f>
        <v>TRANSITO REVERSA</v>
      </c>
      <c r="G3095" s="23">
        <f>IFERROR(__xludf.DUMMYFUNCTION("""COMPUTED_VALUE"""),45638.52112268518)</f>
        <v>45638.52112</v>
      </c>
      <c r="H3095" s="24" t="str">
        <f>IFERROR(VLOOKUP(B3095,material!A:D,3,0),"")</f>
        <v>SIM CARD</v>
      </c>
    </row>
    <row r="3096" ht="11.25" customHeight="1">
      <c r="A3096" s="21" t="str">
        <f>IFERROR(__xludf.DUMMYFUNCTION("""COMPUTED_VALUE"""),"SMART SIM CARD NAGRA")</f>
        <v>SMART SIM CARD NAGRA</v>
      </c>
      <c r="B3096" s="22">
        <f>IFERROR(__xludf.DUMMYFUNCTION("""COMPUTED_VALUE"""),4.1000805E7)</f>
        <v>41000805</v>
      </c>
      <c r="C3096" s="21" t="str">
        <f>IFERROR(__xludf.DUMMYFUNCTION("""COMPUTED_VALUE"""),"246476134957")</f>
        <v>246476134957</v>
      </c>
      <c r="D3096" s="21" t="str">
        <f>IFERROR(__xludf.DUMMYFUNCTION("""COMPUTED_VALUE"""),"DIGITEC TECNOLOGIA DIGITAL E REPRES")</f>
        <v>DIGITEC TECNOLOGIA DIGITAL E REPRES</v>
      </c>
      <c r="E3096" s="21">
        <f>IFERROR(__xludf.DUMMYFUNCTION("""COMPUTED_VALUE"""),145359.0)</f>
        <v>145359</v>
      </c>
      <c r="F3096" s="21" t="str">
        <f>IFERROR(__xludf.DUMMYFUNCTION("""COMPUTED_VALUE"""),"TRANSITO REVERSA")</f>
        <v>TRANSITO REVERSA</v>
      </c>
      <c r="G3096" s="23">
        <f>IFERROR(__xludf.DUMMYFUNCTION("""COMPUTED_VALUE"""),45638.52111111111)</f>
        <v>45638.52111</v>
      </c>
      <c r="H3096" s="24" t="str">
        <f>IFERROR(VLOOKUP(B3096,material!A:D,3,0),"")</f>
        <v>SIM CARD</v>
      </c>
    </row>
    <row r="3097" ht="11.25" customHeight="1">
      <c r="A3097" s="21" t="str">
        <f>IFERROR(__xludf.DUMMYFUNCTION("""COMPUTED_VALUE"""),"SMART SIM CARD NAGRA")</f>
        <v>SMART SIM CARD NAGRA</v>
      </c>
      <c r="B3097" s="22">
        <f>IFERROR(__xludf.DUMMYFUNCTION("""COMPUTED_VALUE"""),4.1000805E7)</f>
        <v>41000805</v>
      </c>
      <c r="C3097" s="21" t="str">
        <f>IFERROR(__xludf.DUMMYFUNCTION("""COMPUTED_VALUE"""),"246469417679")</f>
        <v>246469417679</v>
      </c>
      <c r="D3097" s="21" t="str">
        <f>IFERROR(__xludf.DUMMYFUNCTION("""COMPUTED_VALUE"""),"DIGITEC TECNOLOGIA DIGITAL E REPRES")</f>
        <v>DIGITEC TECNOLOGIA DIGITAL E REPRES</v>
      </c>
      <c r="E3097" s="21">
        <f>IFERROR(__xludf.DUMMYFUNCTION("""COMPUTED_VALUE"""),145359.0)</f>
        <v>145359</v>
      </c>
      <c r="F3097" s="21" t="str">
        <f>IFERROR(__xludf.DUMMYFUNCTION("""COMPUTED_VALUE"""),"TRANSITO REVERSA")</f>
        <v>TRANSITO REVERSA</v>
      </c>
      <c r="G3097" s="23">
        <f>IFERROR(__xludf.DUMMYFUNCTION("""COMPUTED_VALUE"""),45626.298680555556)</f>
        <v>45626.29868</v>
      </c>
      <c r="H3097" s="24" t="str">
        <f>IFERROR(VLOOKUP(B3097,material!A:D,3,0),"")</f>
        <v>SIM CARD</v>
      </c>
    </row>
    <row r="3098" ht="11.25" customHeight="1">
      <c r="A3098" s="21" t="str">
        <f>IFERROR(__xludf.DUMMYFUNCTION("""COMPUTED_VALUE"""),"SMART SIM CARD NAGRA")</f>
        <v>SMART SIM CARD NAGRA</v>
      </c>
      <c r="B3098" s="22">
        <f>IFERROR(__xludf.DUMMYFUNCTION("""COMPUTED_VALUE"""),4.1000805E7)</f>
        <v>41000805</v>
      </c>
      <c r="C3098" s="21" t="str">
        <f>IFERROR(__xludf.DUMMYFUNCTION("""COMPUTED_VALUE"""),"246474962733")</f>
        <v>246474962733</v>
      </c>
      <c r="D3098" s="21" t="str">
        <f>IFERROR(__xludf.DUMMYFUNCTION("""COMPUTED_VALUE"""),"DIGITEC TECNOLOGIA DIGITAL E REPRES")</f>
        <v>DIGITEC TECNOLOGIA DIGITAL E REPRES</v>
      </c>
      <c r="E3098" s="21">
        <f>IFERROR(__xludf.DUMMYFUNCTION("""COMPUTED_VALUE"""),145359.0)</f>
        <v>145359</v>
      </c>
      <c r="F3098" s="21" t="str">
        <f>IFERROR(__xludf.DUMMYFUNCTION("""COMPUTED_VALUE"""),"TRANSITO REVERSA")</f>
        <v>TRANSITO REVERSA</v>
      </c>
      <c r="G3098" s="23">
        <f>IFERROR(__xludf.DUMMYFUNCTION("""COMPUTED_VALUE"""),45513.77505787037)</f>
        <v>45513.77506</v>
      </c>
      <c r="H3098" s="24" t="str">
        <f>IFERROR(VLOOKUP(B3098,material!A:D,3,0),"")</f>
        <v>SIM CARD</v>
      </c>
    </row>
    <row r="3099" ht="11.25" customHeight="1">
      <c r="A3099" s="21" t="str">
        <f>IFERROR(__xludf.DUMMYFUNCTION("""COMPUTED_VALUE"""),"SMART SIM CARD NAGRA")</f>
        <v>SMART SIM CARD NAGRA</v>
      </c>
      <c r="B3099" s="22">
        <f>IFERROR(__xludf.DUMMYFUNCTION("""COMPUTED_VALUE"""),4.1000805E7)</f>
        <v>41000805</v>
      </c>
      <c r="C3099" s="21" t="str">
        <f>IFERROR(__xludf.DUMMYFUNCTION("""COMPUTED_VALUE"""),"246476268910")</f>
        <v>246476268910</v>
      </c>
      <c r="D3099" s="21" t="str">
        <f>IFERROR(__xludf.DUMMYFUNCTION("""COMPUTED_VALUE"""),"DIGITEC TECNOLOGIA DIGITAL E REPRES")</f>
        <v>DIGITEC TECNOLOGIA DIGITAL E REPRES</v>
      </c>
      <c r="E3099" s="21">
        <f>IFERROR(__xludf.DUMMYFUNCTION("""COMPUTED_VALUE"""),145359.0)</f>
        <v>145359</v>
      </c>
      <c r="F3099" s="21" t="str">
        <f>IFERROR(__xludf.DUMMYFUNCTION("""COMPUTED_VALUE"""),"TRANSITO REVERSA")</f>
        <v>TRANSITO REVERSA</v>
      </c>
      <c r="G3099" s="23">
        <f>IFERROR(__xludf.DUMMYFUNCTION("""COMPUTED_VALUE"""),45638.52059027778)</f>
        <v>45638.52059</v>
      </c>
      <c r="H3099" s="24" t="str">
        <f>IFERROR(VLOOKUP(B3099,material!A:D,3,0),"")</f>
        <v>SIM CARD</v>
      </c>
    </row>
    <row r="3100" ht="11.25" customHeight="1">
      <c r="A3100" s="21" t="str">
        <f>IFERROR(__xludf.DUMMYFUNCTION("""COMPUTED_VALUE"""),"SMART SIM CARD NAGRA")</f>
        <v>SMART SIM CARD NAGRA</v>
      </c>
      <c r="B3100" s="22">
        <f>IFERROR(__xludf.DUMMYFUNCTION("""COMPUTED_VALUE"""),4.1000805E7)</f>
        <v>41000805</v>
      </c>
      <c r="C3100" s="21" t="str">
        <f>IFERROR(__xludf.DUMMYFUNCTION("""COMPUTED_VALUE"""),"246447735272")</f>
        <v>246447735272</v>
      </c>
      <c r="D3100" s="21" t="str">
        <f>IFERROR(__xludf.DUMMYFUNCTION("""COMPUTED_VALUE"""),"DIGITEC TECNOLOGIA DIGITAL E REPRES")</f>
        <v>DIGITEC TECNOLOGIA DIGITAL E REPRES</v>
      </c>
      <c r="E3100" s="21">
        <f>IFERROR(__xludf.DUMMYFUNCTION("""COMPUTED_VALUE"""),145359.0)</f>
        <v>145359</v>
      </c>
      <c r="F3100" s="21" t="str">
        <f>IFERROR(__xludf.DUMMYFUNCTION("""COMPUTED_VALUE"""),"TRANSITO REVERSA")</f>
        <v>TRANSITO REVERSA</v>
      </c>
      <c r="G3100" s="23">
        <f>IFERROR(__xludf.DUMMYFUNCTION("""COMPUTED_VALUE"""),45633.00336805556)</f>
        <v>45633.00337</v>
      </c>
      <c r="H3100" s="24" t="str">
        <f>IFERROR(VLOOKUP(B3100,material!A:D,3,0),"")</f>
        <v>SIM CARD</v>
      </c>
    </row>
    <row r="3101" ht="11.25" customHeight="1">
      <c r="A3101" s="21" t="str">
        <f>IFERROR(__xludf.DUMMYFUNCTION("""COMPUTED_VALUE"""),"SMART SIM CARD NAGRA")</f>
        <v>SMART SIM CARD NAGRA</v>
      </c>
      <c r="B3101" s="22">
        <f>IFERROR(__xludf.DUMMYFUNCTION("""COMPUTED_VALUE"""),4.1000805E7)</f>
        <v>41000805</v>
      </c>
      <c r="C3101" s="21" t="str">
        <f>IFERROR(__xludf.DUMMYFUNCTION("""COMPUTED_VALUE"""),"246447733151")</f>
        <v>246447733151</v>
      </c>
      <c r="D3101" s="21" t="str">
        <f>IFERROR(__xludf.DUMMYFUNCTION("""COMPUTED_VALUE"""),"DIGITEC TECNOLOGIA DIGITAL E REPRES")</f>
        <v>DIGITEC TECNOLOGIA DIGITAL E REPRES</v>
      </c>
      <c r="E3101" s="21">
        <f>IFERROR(__xludf.DUMMYFUNCTION("""COMPUTED_VALUE"""),145359.0)</f>
        <v>145359</v>
      </c>
      <c r="F3101" s="21" t="str">
        <f>IFERROR(__xludf.DUMMYFUNCTION("""COMPUTED_VALUE"""),"TRANSITO REVERSA")</f>
        <v>TRANSITO REVERSA</v>
      </c>
      <c r="G3101" s="23">
        <f>IFERROR(__xludf.DUMMYFUNCTION("""COMPUTED_VALUE"""),45617.87142361111)</f>
        <v>45617.87142</v>
      </c>
      <c r="H3101" s="24" t="str">
        <f>IFERROR(VLOOKUP(B3101,material!A:D,3,0),"")</f>
        <v>SIM CARD</v>
      </c>
    </row>
    <row r="3102" ht="11.25" customHeight="1">
      <c r="A3102" s="21" t="str">
        <f>IFERROR(__xludf.DUMMYFUNCTION("""COMPUTED_VALUE"""),"SMART SIM CARD NAGRA")</f>
        <v>SMART SIM CARD NAGRA</v>
      </c>
      <c r="B3102" s="22">
        <f>IFERROR(__xludf.DUMMYFUNCTION("""COMPUTED_VALUE"""),4.1000805E7)</f>
        <v>41000805</v>
      </c>
      <c r="C3102" s="21" t="str">
        <f>IFERROR(__xludf.DUMMYFUNCTION("""COMPUTED_VALUE"""),"246455543958")</f>
        <v>246455543958</v>
      </c>
      <c r="D3102" s="21" t="str">
        <f>IFERROR(__xludf.DUMMYFUNCTION("""COMPUTED_VALUE"""),"DIGITEC TECNOLOGIA DIGITAL E REPRES")</f>
        <v>DIGITEC TECNOLOGIA DIGITAL E REPRES</v>
      </c>
      <c r="E3102" s="21">
        <f>IFERROR(__xludf.DUMMYFUNCTION("""COMPUTED_VALUE"""),145359.0)</f>
        <v>145359</v>
      </c>
      <c r="F3102" s="21" t="str">
        <f>IFERROR(__xludf.DUMMYFUNCTION("""COMPUTED_VALUE"""),"TRANSITO REVERSA")</f>
        <v>TRANSITO REVERSA</v>
      </c>
      <c r="G3102" s="23">
        <f>IFERROR(__xludf.DUMMYFUNCTION("""COMPUTED_VALUE"""),45638.52112268518)</f>
        <v>45638.52112</v>
      </c>
      <c r="H3102" s="24" t="str">
        <f>IFERROR(VLOOKUP(B3102,material!A:D,3,0),"")</f>
        <v>SIM CARD</v>
      </c>
    </row>
    <row r="3103" ht="11.25" customHeight="1">
      <c r="A3103" s="21" t="str">
        <f>IFERROR(__xludf.DUMMYFUNCTION("""COMPUTED_VALUE"""),"SMART SIM CARD NAGRA")</f>
        <v>SMART SIM CARD NAGRA</v>
      </c>
      <c r="B3103" s="22">
        <f>IFERROR(__xludf.DUMMYFUNCTION("""COMPUTED_VALUE"""),4.1000805E7)</f>
        <v>41000805</v>
      </c>
      <c r="C3103" s="21" t="str">
        <f>IFERROR(__xludf.DUMMYFUNCTION("""COMPUTED_VALUE"""),"246443421922")</f>
        <v>246443421922</v>
      </c>
      <c r="D3103" s="21" t="str">
        <f>IFERROR(__xludf.DUMMYFUNCTION("""COMPUTED_VALUE"""),"DIGITEC TECNOLOGIA DIGITAL E REPRES")</f>
        <v>DIGITEC TECNOLOGIA DIGITAL E REPRES</v>
      </c>
      <c r="E3103" s="21">
        <f>IFERROR(__xludf.DUMMYFUNCTION("""COMPUTED_VALUE"""),145359.0)</f>
        <v>145359</v>
      </c>
      <c r="F3103" s="21" t="str">
        <f>IFERROR(__xludf.DUMMYFUNCTION("""COMPUTED_VALUE"""),"TRANSITO REVERSA")</f>
        <v>TRANSITO REVERSA</v>
      </c>
      <c r="G3103" s="23">
        <f>IFERROR(__xludf.DUMMYFUNCTION("""COMPUTED_VALUE"""),45366.85469907407)</f>
        <v>45366.8547</v>
      </c>
      <c r="H3103" s="24" t="str">
        <f>IFERROR(VLOOKUP(B3103,material!A:D,3,0),"")</f>
        <v>SIM CARD</v>
      </c>
    </row>
    <row r="3104" ht="11.25" customHeight="1">
      <c r="A3104" s="21" t="str">
        <f>IFERROR(__xludf.DUMMYFUNCTION("""COMPUTED_VALUE"""),"SMART SIM CARD NAGRA")</f>
        <v>SMART SIM CARD NAGRA</v>
      </c>
      <c r="B3104" s="22">
        <f>IFERROR(__xludf.DUMMYFUNCTION("""COMPUTED_VALUE"""),4.1000805E7)</f>
        <v>41000805</v>
      </c>
      <c r="C3104" s="21" t="str">
        <f>IFERROR(__xludf.DUMMYFUNCTION("""COMPUTED_VALUE"""),"246455437482")</f>
        <v>246455437482</v>
      </c>
      <c r="D3104" s="21" t="str">
        <f>IFERROR(__xludf.DUMMYFUNCTION("""COMPUTED_VALUE"""),"DIGITEC TECNOLOGIA DIGITAL E REPRES")</f>
        <v>DIGITEC TECNOLOGIA DIGITAL E REPRES</v>
      </c>
      <c r="E3104" s="21">
        <f>IFERROR(__xludf.DUMMYFUNCTION("""COMPUTED_VALUE"""),145359.0)</f>
        <v>145359</v>
      </c>
      <c r="F3104" s="21" t="str">
        <f>IFERROR(__xludf.DUMMYFUNCTION("""COMPUTED_VALUE"""),"TRANSITO REVERSA")</f>
        <v>TRANSITO REVERSA</v>
      </c>
      <c r="G3104" s="23">
        <f>IFERROR(__xludf.DUMMYFUNCTION("""COMPUTED_VALUE"""),45626.2987037037)</f>
        <v>45626.2987</v>
      </c>
      <c r="H3104" s="24" t="str">
        <f>IFERROR(VLOOKUP(B3104,material!A:D,3,0),"")</f>
        <v>SIM CARD</v>
      </c>
    </row>
    <row r="3105" ht="11.25" customHeight="1">
      <c r="A3105" s="21" t="str">
        <f>IFERROR(__xludf.DUMMYFUNCTION("""COMPUTED_VALUE"""),"SMART SIM CARD NAGRA")</f>
        <v>SMART SIM CARD NAGRA</v>
      </c>
      <c r="B3105" s="22">
        <f>IFERROR(__xludf.DUMMYFUNCTION("""COMPUTED_VALUE"""),4.1000805E7)</f>
        <v>41000805</v>
      </c>
      <c r="C3105" s="21" t="str">
        <f>IFERROR(__xludf.DUMMYFUNCTION("""COMPUTED_VALUE"""),"246522957495")</f>
        <v>246522957495</v>
      </c>
      <c r="D3105" s="21" t="str">
        <f>IFERROR(__xludf.DUMMYFUNCTION("""COMPUTED_VALUE"""),"DIGITEC TECNOLOGIA DIGITAL E REPRES")</f>
        <v>DIGITEC TECNOLOGIA DIGITAL E REPRES</v>
      </c>
      <c r="E3105" s="21">
        <f>IFERROR(__xludf.DUMMYFUNCTION("""COMPUTED_VALUE"""),145359.0)</f>
        <v>145359</v>
      </c>
      <c r="F3105" s="21" t="str">
        <f>IFERROR(__xludf.DUMMYFUNCTION("""COMPUTED_VALUE"""),"TRANSITO REVERSA")</f>
        <v>TRANSITO REVERSA</v>
      </c>
      <c r="G3105" s="23">
        <f>IFERROR(__xludf.DUMMYFUNCTION("""COMPUTED_VALUE"""),45617.87143518518)</f>
        <v>45617.87144</v>
      </c>
      <c r="H3105" s="24" t="str">
        <f>IFERROR(VLOOKUP(B3105,material!A:D,3,0),"")</f>
        <v>SIM CARD</v>
      </c>
    </row>
    <row r="3106" ht="11.25" customHeight="1">
      <c r="A3106" s="21" t="str">
        <f>IFERROR(__xludf.DUMMYFUNCTION("""COMPUTED_VALUE"""),"SMART SIM CARD NAGRA")</f>
        <v>SMART SIM CARD NAGRA</v>
      </c>
      <c r="B3106" s="22">
        <f>IFERROR(__xludf.DUMMYFUNCTION("""COMPUTED_VALUE"""),4.1000805E7)</f>
        <v>41000805</v>
      </c>
      <c r="C3106" s="21" t="str">
        <f>IFERROR(__xludf.DUMMYFUNCTION("""COMPUTED_VALUE"""),"246519483150")</f>
        <v>246519483150</v>
      </c>
      <c r="D3106" s="21" t="str">
        <f>IFERROR(__xludf.DUMMYFUNCTION("""COMPUTED_VALUE"""),"DIGITEC TECNOLOGIA DIGITAL E REPRES")</f>
        <v>DIGITEC TECNOLOGIA DIGITAL E REPRES</v>
      </c>
      <c r="E3106" s="21">
        <f>IFERROR(__xludf.DUMMYFUNCTION("""COMPUTED_VALUE"""),145359.0)</f>
        <v>145359</v>
      </c>
      <c r="F3106" s="21" t="str">
        <f>IFERROR(__xludf.DUMMYFUNCTION("""COMPUTED_VALUE"""),"TRANSITO REVERSA")</f>
        <v>TRANSITO REVERSA</v>
      </c>
      <c r="G3106" s="23">
        <f>IFERROR(__xludf.DUMMYFUNCTION("""COMPUTED_VALUE"""),45638.520636574074)</f>
        <v>45638.52064</v>
      </c>
      <c r="H3106" s="24" t="str">
        <f>IFERROR(VLOOKUP(B3106,material!A:D,3,0),"")</f>
        <v>SIM CARD</v>
      </c>
    </row>
    <row r="3107" ht="11.25" customHeight="1">
      <c r="A3107" s="21" t="str">
        <f>IFERROR(__xludf.DUMMYFUNCTION("""COMPUTED_VALUE"""),"SAG4KC362")</f>
        <v>SAG4KC362</v>
      </c>
      <c r="B3107" s="22">
        <f>IFERROR(__xludf.DUMMYFUNCTION("""COMPUTED_VALUE"""),4.1001068E7)</f>
        <v>41001068</v>
      </c>
      <c r="C3107" s="21" t="str">
        <f>IFERROR(__xludf.DUMMYFUNCTION("""COMPUTED_VALUE"""),"229723361217")</f>
        <v>229723361217</v>
      </c>
      <c r="D3107" s="21" t="str">
        <f>IFERROR(__xludf.DUMMYFUNCTION("""COMPUTED_VALUE"""),"DIGITEC TECNOLOGIA DIGITAL E REPRES")</f>
        <v>DIGITEC TECNOLOGIA DIGITAL E REPRES</v>
      </c>
      <c r="E3107" s="21">
        <f>IFERROR(__xludf.DUMMYFUNCTION("""COMPUTED_VALUE"""),145359.0)</f>
        <v>145359</v>
      </c>
      <c r="F3107" s="21" t="str">
        <f>IFERROR(__xludf.DUMMYFUNCTION("""COMPUTED_VALUE"""),"TRANSITO REVERSA")</f>
        <v>TRANSITO REVERSA</v>
      </c>
      <c r="G3107" s="23">
        <f>IFERROR(__xludf.DUMMYFUNCTION("""COMPUTED_VALUE"""),45638.52111111111)</f>
        <v>45638.52111</v>
      </c>
      <c r="H3107" s="24" t="str">
        <f>IFERROR(VLOOKUP(B3107,material!A:D,3,0),"")</f>
        <v>4K</v>
      </c>
    </row>
    <row r="3108" ht="11.25" customHeight="1">
      <c r="A3108" s="21" t="str">
        <f>IFERROR(__xludf.DUMMYFUNCTION("""COMPUTED_VALUE"""),"SAG4KC362")</f>
        <v>SAG4KC362</v>
      </c>
      <c r="B3108" s="22">
        <f>IFERROR(__xludf.DUMMYFUNCTION("""COMPUTED_VALUE"""),4.1001068E7)</f>
        <v>41001068</v>
      </c>
      <c r="C3108" s="21" t="str">
        <f>IFERROR(__xludf.DUMMYFUNCTION("""COMPUTED_VALUE"""),"229723735776")</f>
        <v>229723735776</v>
      </c>
      <c r="D3108" s="21" t="str">
        <f>IFERROR(__xludf.DUMMYFUNCTION("""COMPUTED_VALUE"""),"DIGITEC TECNOLOGIA DIGITAL E REPRES")</f>
        <v>DIGITEC TECNOLOGIA DIGITAL E REPRES</v>
      </c>
      <c r="E3108" s="21">
        <f>IFERROR(__xludf.DUMMYFUNCTION("""COMPUTED_VALUE"""),145359.0)</f>
        <v>145359</v>
      </c>
      <c r="F3108" s="21" t="str">
        <f>IFERROR(__xludf.DUMMYFUNCTION("""COMPUTED_VALUE"""),"TRANSITO REVERSA")</f>
        <v>TRANSITO REVERSA</v>
      </c>
      <c r="G3108" s="23">
        <f>IFERROR(__xludf.DUMMYFUNCTION("""COMPUTED_VALUE"""),45633.00399305555)</f>
        <v>45633.00399</v>
      </c>
      <c r="H3108" s="24" t="str">
        <f>IFERROR(VLOOKUP(B3108,material!A:D,3,0),"")</f>
        <v>4K</v>
      </c>
    </row>
    <row r="3109" ht="11.25" customHeight="1">
      <c r="A3109" s="21" t="str">
        <f>IFERROR(__xludf.DUMMYFUNCTION("""COMPUTED_VALUE"""),"SAG4KC362")</f>
        <v>SAG4KC362</v>
      </c>
      <c r="B3109" s="22">
        <f>IFERROR(__xludf.DUMMYFUNCTION("""COMPUTED_VALUE"""),4.1001068E7)</f>
        <v>41001068</v>
      </c>
      <c r="C3109" s="21" t="str">
        <f>IFERROR(__xludf.DUMMYFUNCTION("""COMPUTED_VALUE"""),"216904105461")</f>
        <v>216904105461</v>
      </c>
      <c r="D3109" s="21" t="str">
        <f>IFERROR(__xludf.DUMMYFUNCTION("""COMPUTED_VALUE"""),"DIGITEC TECNOLOGIA DIGITAL E REPRES")</f>
        <v>DIGITEC TECNOLOGIA DIGITAL E REPRES</v>
      </c>
      <c r="E3109" s="21">
        <f>IFERROR(__xludf.DUMMYFUNCTION("""COMPUTED_VALUE"""),145359.0)</f>
        <v>145359</v>
      </c>
      <c r="F3109" s="21" t="str">
        <f>IFERROR(__xludf.DUMMYFUNCTION("""COMPUTED_VALUE"""),"TRANSITO REVERSA")</f>
        <v>TRANSITO REVERSA</v>
      </c>
      <c r="G3109" s="23">
        <f>IFERROR(__xludf.DUMMYFUNCTION("""COMPUTED_VALUE"""),45633.003958333335)</f>
        <v>45633.00396</v>
      </c>
      <c r="H3109" s="24" t="str">
        <f>IFERROR(VLOOKUP(B3109,material!A:D,3,0),"")</f>
        <v>4K</v>
      </c>
    </row>
    <row r="3110" ht="11.25" customHeight="1">
      <c r="A3110" s="21" t="str">
        <f>IFERROR(__xludf.DUMMYFUNCTION("""COMPUTED_VALUE"""),"SAG4KC362")</f>
        <v>SAG4KC362</v>
      </c>
      <c r="B3110" s="22">
        <f>IFERROR(__xludf.DUMMYFUNCTION("""COMPUTED_VALUE"""),4.1001068E7)</f>
        <v>41001068</v>
      </c>
      <c r="C3110" s="21" t="str">
        <f>IFERROR(__xludf.DUMMYFUNCTION("""COMPUTED_VALUE"""),"216904166376")</f>
        <v>216904166376</v>
      </c>
      <c r="D3110" s="21" t="str">
        <f>IFERROR(__xludf.DUMMYFUNCTION("""COMPUTED_VALUE"""),"DIGITEC TECNOLOGIA DIGITAL E REPRES")</f>
        <v>DIGITEC TECNOLOGIA DIGITAL E REPRES</v>
      </c>
      <c r="E3110" s="21">
        <f>IFERROR(__xludf.DUMMYFUNCTION("""COMPUTED_VALUE"""),145359.0)</f>
        <v>145359</v>
      </c>
      <c r="F3110" s="21" t="str">
        <f>IFERROR(__xludf.DUMMYFUNCTION("""COMPUTED_VALUE"""),"TRANSITO REVERSA")</f>
        <v>TRANSITO REVERSA</v>
      </c>
      <c r="G3110" s="23">
        <f>IFERROR(__xludf.DUMMYFUNCTION("""COMPUTED_VALUE"""),45626.298680555556)</f>
        <v>45626.29868</v>
      </c>
      <c r="H3110" s="24" t="str">
        <f>IFERROR(VLOOKUP(B3110,material!A:D,3,0),"")</f>
        <v>4K</v>
      </c>
    </row>
    <row r="3111" ht="11.25" customHeight="1">
      <c r="A3111" s="21" t="str">
        <f>IFERROR(__xludf.DUMMYFUNCTION("""COMPUTED_VALUE"""),"SAG4KC362")</f>
        <v>SAG4KC362</v>
      </c>
      <c r="B3111" s="22">
        <f>IFERROR(__xludf.DUMMYFUNCTION("""COMPUTED_VALUE"""),4.1001068E7)</f>
        <v>41001068</v>
      </c>
      <c r="C3111" s="21" t="str">
        <f>IFERROR(__xludf.DUMMYFUNCTION("""COMPUTED_VALUE"""),"216897101333")</f>
        <v>216897101333</v>
      </c>
      <c r="D3111" s="21" t="str">
        <f>IFERROR(__xludf.DUMMYFUNCTION("""COMPUTED_VALUE"""),"DIGITEC TECNOLOGIA DIGITAL E REPRES")</f>
        <v>DIGITEC TECNOLOGIA DIGITAL E REPRES</v>
      </c>
      <c r="E3111" s="21">
        <f>IFERROR(__xludf.DUMMYFUNCTION("""COMPUTED_VALUE"""),145359.0)</f>
        <v>145359</v>
      </c>
      <c r="F3111" s="21" t="str">
        <f>IFERROR(__xludf.DUMMYFUNCTION("""COMPUTED_VALUE"""),"TRANSITO REVERSA")</f>
        <v>TRANSITO REVERSA</v>
      </c>
      <c r="G3111" s="23">
        <f>IFERROR(__xludf.DUMMYFUNCTION("""COMPUTED_VALUE"""),45638.52059027778)</f>
        <v>45638.52059</v>
      </c>
      <c r="H3111" s="24" t="str">
        <f>IFERROR(VLOOKUP(B3111,material!A:D,3,0),"")</f>
        <v>4K</v>
      </c>
    </row>
    <row r="3112" ht="11.25" customHeight="1">
      <c r="A3112" s="21" t="str">
        <f>IFERROR(__xludf.DUMMYFUNCTION("""COMPUTED_VALUE"""),"SAG4KC362")</f>
        <v>SAG4KC362</v>
      </c>
      <c r="B3112" s="22">
        <f>IFERROR(__xludf.DUMMYFUNCTION("""COMPUTED_VALUE"""),4.1001068E7)</f>
        <v>41001068</v>
      </c>
      <c r="C3112" s="21" t="str">
        <f>IFERROR(__xludf.DUMMYFUNCTION("""COMPUTED_VALUE"""),"216897304158")</f>
        <v>216897304158</v>
      </c>
      <c r="D3112" s="21" t="str">
        <f>IFERROR(__xludf.DUMMYFUNCTION("""COMPUTED_VALUE"""),"DIGITEC TECNOLOGIA DIGITAL E REPRES")</f>
        <v>DIGITEC TECNOLOGIA DIGITAL E REPRES</v>
      </c>
      <c r="E3112" s="21">
        <f>IFERROR(__xludf.DUMMYFUNCTION("""COMPUTED_VALUE"""),145359.0)</f>
        <v>145359</v>
      </c>
      <c r="F3112" s="21" t="str">
        <f>IFERROR(__xludf.DUMMYFUNCTION("""COMPUTED_VALUE"""),"TRANSITO REVERSA")</f>
        <v>TRANSITO REVERSA</v>
      </c>
      <c r="G3112" s="23">
        <f>IFERROR(__xludf.DUMMYFUNCTION("""COMPUTED_VALUE"""),45638.52111111111)</f>
        <v>45638.52111</v>
      </c>
      <c r="H3112" s="24" t="str">
        <f>IFERROR(VLOOKUP(B3112,material!A:D,3,0),"")</f>
        <v>4K</v>
      </c>
    </row>
    <row r="3113" ht="11.25" customHeight="1">
      <c r="A3113" s="21" t="str">
        <f>IFERROR(__xludf.DUMMYFUNCTION("""COMPUTED_VALUE"""),"SAG4KC362")</f>
        <v>SAG4KC362</v>
      </c>
      <c r="B3113" s="22">
        <f>IFERROR(__xludf.DUMMYFUNCTION("""COMPUTED_VALUE"""),4.1001068E7)</f>
        <v>41001068</v>
      </c>
      <c r="C3113" s="21" t="str">
        <f>IFERROR(__xludf.DUMMYFUNCTION("""COMPUTED_VALUE"""),"216897925666")</f>
        <v>216897925666</v>
      </c>
      <c r="D3113" s="21" t="str">
        <f>IFERROR(__xludf.DUMMYFUNCTION("""COMPUTED_VALUE"""),"DIGITEC TECNOLOGIA DIGITAL E REPRES")</f>
        <v>DIGITEC TECNOLOGIA DIGITAL E REPRES</v>
      </c>
      <c r="E3113" s="21">
        <f>IFERROR(__xludf.DUMMYFUNCTION("""COMPUTED_VALUE"""),145359.0)</f>
        <v>145359</v>
      </c>
      <c r="F3113" s="21" t="str">
        <f>IFERROR(__xludf.DUMMYFUNCTION("""COMPUTED_VALUE"""),"TRANSITO REVERSA")</f>
        <v>TRANSITO REVERSA</v>
      </c>
      <c r="G3113" s="23">
        <f>IFERROR(__xludf.DUMMYFUNCTION("""COMPUTED_VALUE"""),45633.00396990741)</f>
        <v>45633.00397</v>
      </c>
      <c r="H3113" s="24" t="str">
        <f>IFERROR(VLOOKUP(B3113,material!A:D,3,0),"")</f>
        <v>4K</v>
      </c>
    </row>
    <row r="3114" ht="11.25" customHeight="1">
      <c r="A3114" s="21" t="str">
        <f>IFERROR(__xludf.DUMMYFUNCTION("""COMPUTED_VALUE"""),"SAG4KC362")</f>
        <v>SAG4KC362</v>
      </c>
      <c r="B3114" s="22">
        <f>IFERROR(__xludf.DUMMYFUNCTION("""COMPUTED_VALUE"""),4.1001068E7)</f>
        <v>41001068</v>
      </c>
      <c r="C3114" s="21" t="str">
        <f>IFERROR(__xludf.DUMMYFUNCTION("""COMPUTED_VALUE"""),"229718183450")</f>
        <v>229718183450</v>
      </c>
      <c r="D3114" s="21" t="str">
        <f>IFERROR(__xludf.DUMMYFUNCTION("""COMPUTED_VALUE"""),"DIGITEC TECNOLOGIA DIGITAL E REPRES")</f>
        <v>DIGITEC TECNOLOGIA DIGITAL E REPRES</v>
      </c>
      <c r="E3114" s="21">
        <f>IFERROR(__xludf.DUMMYFUNCTION("""COMPUTED_VALUE"""),145359.0)</f>
        <v>145359</v>
      </c>
      <c r="F3114" s="21" t="str">
        <f>IFERROR(__xludf.DUMMYFUNCTION("""COMPUTED_VALUE"""),"TRANSITO REVERSA")</f>
        <v>TRANSITO REVERSA</v>
      </c>
      <c r="G3114" s="23">
        <f>IFERROR(__xludf.DUMMYFUNCTION("""COMPUTED_VALUE"""),45626.29872685185)</f>
        <v>45626.29873</v>
      </c>
      <c r="H3114" s="24" t="str">
        <f>IFERROR(VLOOKUP(B3114,material!A:D,3,0),"")</f>
        <v>4K</v>
      </c>
    </row>
    <row r="3115" ht="11.25" customHeight="1">
      <c r="A3115" s="21" t="str">
        <f>IFERROR(__xludf.DUMMYFUNCTION("""COMPUTED_VALUE"""),"SAG4KC362")</f>
        <v>SAG4KC362</v>
      </c>
      <c r="B3115" s="22">
        <f>IFERROR(__xludf.DUMMYFUNCTION("""COMPUTED_VALUE"""),4.1001068E7)</f>
        <v>41001068</v>
      </c>
      <c r="C3115" s="21" t="str">
        <f>IFERROR(__xludf.DUMMYFUNCTION("""COMPUTED_VALUE"""),"216918215974")</f>
        <v>216918215974</v>
      </c>
      <c r="D3115" s="21" t="str">
        <f>IFERROR(__xludf.DUMMYFUNCTION("""COMPUTED_VALUE"""),"DIGITEC TECNOLOGIA DIGITAL E REPRES")</f>
        <v>DIGITEC TECNOLOGIA DIGITAL E REPRES</v>
      </c>
      <c r="E3115" s="21">
        <f>IFERROR(__xludf.DUMMYFUNCTION("""COMPUTED_VALUE"""),145359.0)</f>
        <v>145359</v>
      </c>
      <c r="F3115" s="21" t="str">
        <f>IFERROR(__xludf.DUMMYFUNCTION("""COMPUTED_VALUE"""),"TRANSITO REVERSA")</f>
        <v>TRANSITO REVERSA</v>
      </c>
      <c r="G3115" s="23">
        <f>IFERROR(__xludf.DUMMYFUNCTION("""COMPUTED_VALUE"""),45638.520648148144)</f>
        <v>45638.52065</v>
      </c>
      <c r="H3115" s="24" t="str">
        <f>IFERROR(VLOOKUP(B3115,material!A:D,3,0),"")</f>
        <v>4K</v>
      </c>
    </row>
    <row r="3116" ht="11.25" customHeight="1">
      <c r="A3116" s="21" t="str">
        <f>IFERROR(__xludf.DUMMYFUNCTION("""COMPUTED_VALUE"""),"SAG4KC362")</f>
        <v>SAG4KC362</v>
      </c>
      <c r="B3116" s="22">
        <f>IFERROR(__xludf.DUMMYFUNCTION("""COMPUTED_VALUE"""),4.1001068E7)</f>
        <v>41001068</v>
      </c>
      <c r="C3116" s="21" t="str">
        <f>IFERROR(__xludf.DUMMYFUNCTION("""COMPUTED_VALUE"""),"216917875054")</f>
        <v>216917875054</v>
      </c>
      <c r="D3116" s="21" t="str">
        <f>IFERROR(__xludf.DUMMYFUNCTION("""COMPUTED_VALUE"""),"DIGITEC TECNOLOGIA DIGITAL E REPRES")</f>
        <v>DIGITEC TECNOLOGIA DIGITAL E REPRES</v>
      </c>
      <c r="E3116" s="21">
        <f>IFERROR(__xludf.DUMMYFUNCTION("""COMPUTED_VALUE"""),145359.0)</f>
        <v>145359</v>
      </c>
      <c r="F3116" s="21" t="str">
        <f>IFERROR(__xludf.DUMMYFUNCTION("""COMPUTED_VALUE"""),"TRANSITO REVERSA")</f>
        <v>TRANSITO REVERSA</v>
      </c>
      <c r="G3116" s="23">
        <f>IFERROR(__xludf.DUMMYFUNCTION("""COMPUTED_VALUE"""),45626.2987037037)</f>
        <v>45626.2987</v>
      </c>
      <c r="H3116" s="24" t="str">
        <f>IFERROR(VLOOKUP(B3116,material!A:D,3,0),"")</f>
        <v>4K</v>
      </c>
    </row>
    <row r="3117" ht="11.25" customHeight="1">
      <c r="A3117" s="21" t="str">
        <f>IFERROR(__xludf.DUMMYFUNCTION("""COMPUTED_VALUE"""),"TECHNICOLOR TC7337NET")</f>
        <v>TECHNICOLOR TC7337NET</v>
      </c>
      <c r="B3117" s="22">
        <f>IFERROR(__xludf.DUMMYFUNCTION("""COMPUTED_VALUE"""),4.1001294E7)</f>
        <v>41001294</v>
      </c>
      <c r="C3117" s="21" t="str">
        <f>IFERROR(__xludf.DUMMYFUNCTION("""COMPUTED_VALUE"""),"BC9B6896DCFF")</f>
        <v>BC9B6896DCFF</v>
      </c>
      <c r="D3117" s="21" t="str">
        <f>IFERROR(__xludf.DUMMYFUNCTION("""COMPUTED_VALUE"""),"DIGITEC TECNOLOGIA DIGITAL E REPRES")</f>
        <v>DIGITEC TECNOLOGIA DIGITAL E REPRES</v>
      </c>
      <c r="E3117" s="21">
        <f>IFERROR(__xludf.DUMMYFUNCTION("""COMPUTED_VALUE"""),145359.0)</f>
        <v>145359</v>
      </c>
      <c r="F3117" s="21" t="str">
        <f>IFERROR(__xludf.DUMMYFUNCTION("""COMPUTED_VALUE"""),"TRANSITO REVERSA")</f>
        <v>TRANSITO REVERSA</v>
      </c>
      <c r="G3117" s="23">
        <f>IFERROR(__xludf.DUMMYFUNCTION("""COMPUTED_VALUE"""),45633.00398148148)</f>
        <v>45633.00398</v>
      </c>
      <c r="H3117" s="24" t="str">
        <f>IFERROR(VLOOKUP(B3117,material!A:D,3,0),"")</f>
        <v>DUAL</v>
      </c>
    </row>
    <row r="3118" ht="11.25" customHeight="1">
      <c r="A3118" s="21" t="str">
        <f>IFERROR(__xludf.DUMMYFUNCTION("""COMPUTED_VALUE"""),"TECHNICOLOR TC7337NET")</f>
        <v>TECHNICOLOR TC7337NET</v>
      </c>
      <c r="B3118" s="22">
        <f>IFERROR(__xludf.DUMMYFUNCTION("""COMPUTED_VALUE"""),4.1001294E7)</f>
        <v>41001294</v>
      </c>
      <c r="C3118" s="21" t="str">
        <f>IFERROR(__xludf.DUMMYFUNCTION("""COMPUTED_VALUE"""),"80D04A91E315")</f>
        <v>80D04A91E315</v>
      </c>
      <c r="D3118" s="21" t="str">
        <f>IFERROR(__xludf.DUMMYFUNCTION("""COMPUTED_VALUE"""),"DIGITEC TECNOLOGIA DIGITAL E REPRES")</f>
        <v>DIGITEC TECNOLOGIA DIGITAL E REPRES</v>
      </c>
      <c r="E3118" s="21">
        <f>IFERROR(__xludf.DUMMYFUNCTION("""COMPUTED_VALUE"""),145359.0)</f>
        <v>145359</v>
      </c>
      <c r="F3118" s="21" t="str">
        <f>IFERROR(__xludf.DUMMYFUNCTION("""COMPUTED_VALUE"""),"TRANSITO REVERSA")</f>
        <v>TRANSITO REVERSA</v>
      </c>
      <c r="G3118" s="23">
        <f>IFERROR(__xludf.DUMMYFUNCTION("""COMPUTED_VALUE"""),45633.00396990741)</f>
        <v>45633.00397</v>
      </c>
      <c r="H3118" s="24" t="str">
        <f>IFERROR(VLOOKUP(B3118,material!A:D,3,0),"")</f>
        <v>DUAL</v>
      </c>
    </row>
    <row r="3119" ht="11.25" customHeight="1">
      <c r="A3119" s="21" t="str">
        <f>IFERROR(__xludf.DUMMYFUNCTION("""COMPUTED_VALUE"""),"TECHNICOLOR TC7337NET")</f>
        <v>TECHNICOLOR TC7337NET</v>
      </c>
      <c r="B3119" s="22">
        <f>IFERROR(__xludf.DUMMYFUNCTION("""COMPUTED_VALUE"""),4.1001294E7)</f>
        <v>41001294</v>
      </c>
      <c r="C3119" s="21" t="str">
        <f>IFERROR(__xludf.DUMMYFUNCTION("""COMPUTED_VALUE"""),"80D04AB74822")</f>
        <v>80D04AB74822</v>
      </c>
      <c r="D3119" s="21" t="str">
        <f>IFERROR(__xludf.DUMMYFUNCTION("""COMPUTED_VALUE"""),"DIGITEC TECNOLOGIA DIGITAL E REPRES")</f>
        <v>DIGITEC TECNOLOGIA DIGITAL E REPRES</v>
      </c>
      <c r="E3119" s="21">
        <f>IFERROR(__xludf.DUMMYFUNCTION("""COMPUTED_VALUE"""),145359.0)</f>
        <v>145359</v>
      </c>
      <c r="F3119" s="21" t="str">
        <f>IFERROR(__xludf.DUMMYFUNCTION("""COMPUTED_VALUE"""),"TRANSITO REVERSA")</f>
        <v>TRANSITO REVERSA</v>
      </c>
      <c r="G3119" s="23">
        <f>IFERROR(__xludf.DUMMYFUNCTION("""COMPUTED_VALUE"""),45626.29872685185)</f>
        <v>45626.29873</v>
      </c>
      <c r="H3119" s="24" t="str">
        <f>IFERROR(VLOOKUP(B3119,material!A:D,3,0),"")</f>
        <v>DUAL</v>
      </c>
    </row>
    <row r="3120" ht="11.25" customHeight="1">
      <c r="A3120" s="21" t="str">
        <f>IFERROR(__xludf.DUMMYFUNCTION("""COMPUTED_VALUE"""),"TECHNICOLOR TC7337NET")</f>
        <v>TECHNICOLOR TC7337NET</v>
      </c>
      <c r="B3120" s="22">
        <f>IFERROR(__xludf.DUMMYFUNCTION("""COMPUTED_VALUE"""),4.1001294E7)</f>
        <v>41001294</v>
      </c>
      <c r="C3120" s="21" t="str">
        <f>IFERROR(__xludf.DUMMYFUNCTION("""COMPUTED_VALUE"""),"80D04A9584C5")</f>
        <v>80D04A9584C5</v>
      </c>
      <c r="D3120" s="21" t="str">
        <f>IFERROR(__xludf.DUMMYFUNCTION("""COMPUTED_VALUE"""),"DIGITEC TECNOLOGIA DIGITAL E REPRES")</f>
        <v>DIGITEC TECNOLOGIA DIGITAL E REPRES</v>
      </c>
      <c r="E3120" s="21">
        <f>IFERROR(__xludf.DUMMYFUNCTION("""COMPUTED_VALUE"""),145359.0)</f>
        <v>145359</v>
      </c>
      <c r="F3120" s="21" t="str">
        <f>IFERROR(__xludf.DUMMYFUNCTION("""COMPUTED_VALUE"""),"TRANSITO REVERSA")</f>
        <v>TRANSITO REVERSA</v>
      </c>
      <c r="G3120" s="23">
        <f>IFERROR(__xludf.DUMMYFUNCTION("""COMPUTED_VALUE"""),45626.29871527778)</f>
        <v>45626.29872</v>
      </c>
      <c r="H3120" s="24" t="str">
        <f>IFERROR(VLOOKUP(B3120,material!A:D,3,0),"")</f>
        <v>DUAL</v>
      </c>
    </row>
    <row r="3121" ht="11.25" customHeight="1">
      <c r="A3121" s="21" t="str">
        <f>IFERROR(__xludf.DUMMYFUNCTION("""COMPUTED_VALUE"""),"TECHNICOLOR TC7337NET")</f>
        <v>TECHNICOLOR TC7337NET</v>
      </c>
      <c r="B3121" s="22">
        <f>IFERROR(__xludf.DUMMYFUNCTION("""COMPUTED_VALUE"""),4.1001294E7)</f>
        <v>41001294</v>
      </c>
      <c r="C3121" s="21" t="str">
        <f>IFERROR(__xludf.DUMMYFUNCTION("""COMPUTED_VALUE"""),"905851ACB24E")</f>
        <v>905851ACB24E</v>
      </c>
      <c r="D3121" s="21" t="str">
        <f>IFERROR(__xludf.DUMMYFUNCTION("""COMPUTED_VALUE"""),"DIGITEC TECNOLOGIA DIGITAL E REPRES")</f>
        <v>DIGITEC TECNOLOGIA DIGITAL E REPRES</v>
      </c>
      <c r="E3121" s="21">
        <f>IFERROR(__xludf.DUMMYFUNCTION("""COMPUTED_VALUE"""),145359.0)</f>
        <v>145359</v>
      </c>
      <c r="F3121" s="21" t="str">
        <f>IFERROR(__xludf.DUMMYFUNCTION("""COMPUTED_VALUE"""),"TRANSITO REVERSA")</f>
        <v>TRANSITO REVERSA</v>
      </c>
      <c r="G3121" s="23">
        <f>IFERROR(__xludf.DUMMYFUNCTION("""COMPUTED_VALUE"""),45633.00341435186)</f>
        <v>45633.00341</v>
      </c>
      <c r="H3121" s="24" t="str">
        <f>IFERROR(VLOOKUP(B3121,material!A:D,3,0),"")</f>
        <v>DUAL</v>
      </c>
    </row>
    <row r="3122" ht="11.25" customHeight="1">
      <c r="A3122" s="21" t="str">
        <f>IFERROR(__xludf.DUMMYFUNCTION("""COMPUTED_VALUE"""),"TECHNICOLOR TC7337NET")</f>
        <v>TECHNICOLOR TC7337NET</v>
      </c>
      <c r="B3122" s="22">
        <f>IFERROR(__xludf.DUMMYFUNCTION("""COMPUTED_VALUE"""),4.1001294E7)</f>
        <v>41001294</v>
      </c>
      <c r="C3122" s="21" t="str">
        <f>IFERROR(__xludf.DUMMYFUNCTION("""COMPUTED_VALUE"""),"BC9B6896A51B")</f>
        <v>BC9B6896A51B</v>
      </c>
      <c r="D3122" s="21" t="str">
        <f>IFERROR(__xludf.DUMMYFUNCTION("""COMPUTED_VALUE"""),"DIGITEC TECNOLOGIA DIGITAL E REPRES")</f>
        <v>DIGITEC TECNOLOGIA DIGITAL E REPRES</v>
      </c>
      <c r="E3122" s="21">
        <f>IFERROR(__xludf.DUMMYFUNCTION("""COMPUTED_VALUE"""),145359.0)</f>
        <v>145359</v>
      </c>
      <c r="F3122" s="21" t="str">
        <f>IFERROR(__xludf.DUMMYFUNCTION("""COMPUTED_VALUE"""),"TRANSITO REVERSA")</f>
        <v>TRANSITO REVERSA</v>
      </c>
      <c r="G3122" s="23">
        <f>IFERROR(__xludf.DUMMYFUNCTION("""COMPUTED_VALUE"""),45633.00398148148)</f>
        <v>45633.00398</v>
      </c>
      <c r="H3122" s="24" t="str">
        <f>IFERROR(VLOOKUP(B3122,material!A:D,3,0),"")</f>
        <v>DUAL</v>
      </c>
    </row>
    <row r="3123" ht="11.25" customHeight="1">
      <c r="A3123" s="21" t="str">
        <f>IFERROR(__xludf.DUMMYFUNCTION("""COMPUTED_VALUE"""),"TECHNICOLOR TC7337NET")</f>
        <v>TECHNICOLOR TC7337NET</v>
      </c>
      <c r="B3123" s="22">
        <f>IFERROR(__xludf.DUMMYFUNCTION("""COMPUTED_VALUE"""),4.1001294E7)</f>
        <v>41001294</v>
      </c>
      <c r="C3123" s="21" t="str">
        <f>IFERROR(__xludf.DUMMYFUNCTION("""COMPUTED_VALUE"""),"70037E9DF271")</f>
        <v>70037E9DF271</v>
      </c>
      <c r="D3123" s="21" t="str">
        <f>IFERROR(__xludf.DUMMYFUNCTION("""COMPUTED_VALUE"""),"DIGITEC TECNOLOGIA DIGITAL E REPRES")</f>
        <v>DIGITEC TECNOLOGIA DIGITAL E REPRES</v>
      </c>
      <c r="E3123" s="21">
        <f>IFERROR(__xludf.DUMMYFUNCTION("""COMPUTED_VALUE"""),145359.0)</f>
        <v>145359</v>
      </c>
      <c r="F3123" s="21" t="str">
        <f>IFERROR(__xludf.DUMMYFUNCTION("""COMPUTED_VALUE"""),"TRANSITO REVERSA")</f>
        <v>TRANSITO REVERSA</v>
      </c>
      <c r="G3123" s="23">
        <f>IFERROR(__xludf.DUMMYFUNCTION("""COMPUTED_VALUE"""),45638.520625000005)</f>
        <v>45638.52063</v>
      </c>
      <c r="H3123" s="24" t="str">
        <f>IFERROR(VLOOKUP(B3123,material!A:D,3,0),"")</f>
        <v>DUAL</v>
      </c>
    </row>
    <row r="3124" ht="11.25" customHeight="1">
      <c r="A3124" s="21" t="str">
        <f>IFERROR(__xludf.DUMMYFUNCTION("""COMPUTED_VALUE"""),"TECHNICOLOR TC7337NET")</f>
        <v>TECHNICOLOR TC7337NET</v>
      </c>
      <c r="B3124" s="22">
        <f>IFERROR(__xludf.DUMMYFUNCTION("""COMPUTED_VALUE"""),4.1001294E7)</f>
        <v>41001294</v>
      </c>
      <c r="C3124" s="21" t="str">
        <f>IFERROR(__xludf.DUMMYFUNCTION("""COMPUTED_VALUE"""),"70037E9E0476")</f>
        <v>70037E9E0476</v>
      </c>
      <c r="D3124" s="21" t="str">
        <f>IFERROR(__xludf.DUMMYFUNCTION("""COMPUTED_VALUE"""),"DIGITEC TECNOLOGIA DIGITAL E REPRES")</f>
        <v>DIGITEC TECNOLOGIA DIGITAL E REPRES</v>
      </c>
      <c r="E3124" s="21">
        <f>IFERROR(__xludf.DUMMYFUNCTION("""COMPUTED_VALUE"""),145359.0)</f>
        <v>145359</v>
      </c>
      <c r="F3124" s="21" t="str">
        <f>IFERROR(__xludf.DUMMYFUNCTION("""COMPUTED_VALUE"""),"TRANSITO REVERSA")</f>
        <v>TRANSITO REVERSA</v>
      </c>
      <c r="G3124" s="23">
        <f>IFERROR(__xludf.DUMMYFUNCTION("""COMPUTED_VALUE"""),45633.003379629634)</f>
        <v>45633.00338</v>
      </c>
      <c r="H3124" s="24" t="str">
        <f>IFERROR(VLOOKUP(B3124,material!A:D,3,0),"")</f>
        <v>DUAL</v>
      </c>
    </row>
    <row r="3125" ht="11.25" customHeight="1">
      <c r="A3125" s="21" t="str">
        <f>IFERROR(__xludf.DUMMYFUNCTION("""COMPUTED_VALUE"""),"TECHNICOLOR TC7337NET")</f>
        <v>TECHNICOLOR TC7337NET</v>
      </c>
      <c r="B3125" s="22">
        <f>IFERROR(__xludf.DUMMYFUNCTION("""COMPUTED_VALUE"""),4.1001294E7)</f>
        <v>41001294</v>
      </c>
      <c r="C3125" s="21" t="str">
        <f>IFERROR(__xludf.DUMMYFUNCTION("""COMPUTED_VALUE"""),"087E6483291A")</f>
        <v>087E6483291A</v>
      </c>
      <c r="D3125" s="21" t="str">
        <f>IFERROR(__xludf.DUMMYFUNCTION("""COMPUTED_VALUE"""),"DIGITEC TECNOLOGIA DIGITAL E REPRES")</f>
        <v>DIGITEC TECNOLOGIA DIGITAL E REPRES</v>
      </c>
      <c r="E3125" s="21">
        <f>IFERROR(__xludf.DUMMYFUNCTION("""COMPUTED_VALUE"""),145359.0)</f>
        <v>145359</v>
      </c>
      <c r="F3125" s="21" t="str">
        <f>IFERROR(__xludf.DUMMYFUNCTION("""COMPUTED_VALUE"""),"TRANSITO REVERSA")</f>
        <v>TRANSITO REVERSA</v>
      </c>
      <c r="G3125" s="23">
        <f>IFERROR(__xludf.DUMMYFUNCTION("""COMPUTED_VALUE"""),45633.00341435186)</f>
        <v>45633.00341</v>
      </c>
      <c r="H3125" s="24" t="str">
        <f>IFERROR(VLOOKUP(B3125,material!A:D,3,0),"")</f>
        <v>DUAL</v>
      </c>
    </row>
    <row r="3126" ht="11.25" customHeight="1">
      <c r="A3126" s="21" t="str">
        <f>IFERROR(__xludf.DUMMYFUNCTION("""COMPUTED_VALUE"""),"TECHNICOLOR TC7337NET")</f>
        <v>TECHNICOLOR TC7337NET</v>
      </c>
      <c r="B3126" s="22">
        <f>IFERROR(__xludf.DUMMYFUNCTION("""COMPUTED_VALUE"""),4.1001294E7)</f>
        <v>41001294</v>
      </c>
      <c r="C3126" s="21" t="str">
        <f>IFERROR(__xludf.DUMMYFUNCTION("""COMPUTED_VALUE"""),"D4B92F2E67F7")</f>
        <v>D4B92F2E67F7</v>
      </c>
      <c r="D3126" s="21" t="str">
        <f>IFERROR(__xludf.DUMMYFUNCTION("""COMPUTED_VALUE"""),"DIGITEC TECNOLOGIA DIGITAL E REPRES")</f>
        <v>DIGITEC TECNOLOGIA DIGITAL E REPRES</v>
      </c>
      <c r="E3126" s="21">
        <f>IFERROR(__xludf.DUMMYFUNCTION("""COMPUTED_VALUE"""),145359.0)</f>
        <v>145359</v>
      </c>
      <c r="F3126" s="21" t="str">
        <f>IFERROR(__xludf.DUMMYFUNCTION("""COMPUTED_VALUE"""),"TRANSITO REVERSA")</f>
        <v>TRANSITO REVERSA</v>
      </c>
      <c r="G3126" s="23">
        <f>IFERROR(__xludf.DUMMYFUNCTION("""COMPUTED_VALUE"""),45638.52112268518)</f>
        <v>45638.52112</v>
      </c>
      <c r="H3126" s="24" t="str">
        <f>IFERROR(VLOOKUP(B3126,material!A:D,3,0),"")</f>
        <v>DUAL</v>
      </c>
    </row>
    <row r="3127" ht="11.25" customHeight="1">
      <c r="A3127" s="21" t="str">
        <f>IFERROR(__xludf.DUMMYFUNCTION("""COMPUTED_VALUE"""),"TECHNICOLOR TC7337NET")</f>
        <v>TECHNICOLOR TC7337NET</v>
      </c>
      <c r="B3127" s="22">
        <f>IFERROR(__xludf.DUMMYFUNCTION("""COMPUTED_VALUE"""),4.1001294E7)</f>
        <v>41001294</v>
      </c>
      <c r="C3127" s="21" t="str">
        <f>IFERROR(__xludf.DUMMYFUNCTION("""COMPUTED_VALUE"""),"946A7727447D")</f>
        <v>946A7727447D</v>
      </c>
      <c r="D3127" s="21" t="str">
        <f>IFERROR(__xludf.DUMMYFUNCTION("""COMPUTED_VALUE"""),"DIGITEC TECNOLOGIA DIGITAL E REPRES")</f>
        <v>DIGITEC TECNOLOGIA DIGITAL E REPRES</v>
      </c>
      <c r="E3127" s="21">
        <f>IFERROR(__xludf.DUMMYFUNCTION("""COMPUTED_VALUE"""),145359.0)</f>
        <v>145359</v>
      </c>
      <c r="F3127" s="21" t="str">
        <f>IFERROR(__xludf.DUMMYFUNCTION("""COMPUTED_VALUE"""),"TRANSITO REVERSA")</f>
        <v>TRANSITO REVERSA</v>
      </c>
      <c r="G3127" s="23">
        <f>IFERROR(__xludf.DUMMYFUNCTION("""COMPUTED_VALUE"""),45633.003379629634)</f>
        <v>45633.00338</v>
      </c>
      <c r="H3127" s="24" t="str">
        <f>IFERROR(VLOOKUP(B3127,material!A:D,3,0),"")</f>
        <v>DUAL</v>
      </c>
    </row>
    <row r="3128" ht="11.25" customHeight="1">
      <c r="A3128" s="21" t="str">
        <f>IFERROR(__xludf.DUMMYFUNCTION("""COMPUTED_VALUE"""),"TECHNICOLOR TC7337NET")</f>
        <v>TECHNICOLOR TC7337NET</v>
      </c>
      <c r="B3128" s="22">
        <f>IFERROR(__xludf.DUMMYFUNCTION("""COMPUTED_VALUE"""),4.1001294E7)</f>
        <v>41001294</v>
      </c>
      <c r="C3128" s="21" t="str">
        <f>IFERROR(__xludf.DUMMYFUNCTION("""COMPUTED_VALUE"""),"D4B92F2C011D")</f>
        <v>D4B92F2C011D</v>
      </c>
      <c r="D3128" s="21" t="str">
        <f>IFERROR(__xludf.DUMMYFUNCTION("""COMPUTED_VALUE"""),"DIGITEC TECNOLOGIA DIGITAL E REPRES")</f>
        <v>DIGITEC TECNOLOGIA DIGITAL E REPRES</v>
      </c>
      <c r="E3128" s="21">
        <f>IFERROR(__xludf.DUMMYFUNCTION("""COMPUTED_VALUE"""),145359.0)</f>
        <v>145359</v>
      </c>
      <c r="F3128" s="21" t="str">
        <f>IFERROR(__xludf.DUMMYFUNCTION("""COMPUTED_VALUE"""),"TRANSITO REVERSA")</f>
        <v>TRANSITO REVERSA</v>
      </c>
      <c r="G3128" s="23">
        <f>IFERROR(__xludf.DUMMYFUNCTION("""COMPUTED_VALUE"""),45638.52111111111)</f>
        <v>45638.52111</v>
      </c>
      <c r="H3128" s="24" t="str">
        <f>IFERROR(VLOOKUP(B3128,material!A:D,3,0),"")</f>
        <v>DUAL</v>
      </c>
    </row>
    <row r="3129" ht="11.25" customHeight="1">
      <c r="A3129" s="21" t="str">
        <f>IFERROR(__xludf.DUMMYFUNCTION("""COMPUTED_VALUE"""),"TECHNICOLOR TC7337NET")</f>
        <v>TECHNICOLOR TC7337NET</v>
      </c>
      <c r="B3129" s="22">
        <f>IFERROR(__xludf.DUMMYFUNCTION("""COMPUTED_VALUE"""),4.1001294E7)</f>
        <v>41001294</v>
      </c>
      <c r="C3129" s="21" t="str">
        <f>IFERROR(__xludf.DUMMYFUNCTION("""COMPUTED_VALUE"""),"BC9B6897DBC2")</f>
        <v>BC9B6897DBC2</v>
      </c>
      <c r="D3129" s="21" t="str">
        <f>IFERROR(__xludf.DUMMYFUNCTION("""COMPUTED_VALUE"""),"DIGITEC TECNOLOGIA DIGITAL E REPRES")</f>
        <v>DIGITEC TECNOLOGIA DIGITAL E REPRES</v>
      </c>
      <c r="E3129" s="21">
        <f>IFERROR(__xludf.DUMMYFUNCTION("""COMPUTED_VALUE"""),145359.0)</f>
        <v>145359</v>
      </c>
      <c r="F3129" s="21" t="str">
        <f>IFERROR(__xludf.DUMMYFUNCTION("""COMPUTED_VALUE"""),"TRANSITO REVERSA")</f>
        <v>TRANSITO REVERSA</v>
      </c>
      <c r="G3129" s="23">
        <f>IFERROR(__xludf.DUMMYFUNCTION("""COMPUTED_VALUE"""),45638.52113425926)</f>
        <v>45638.52113</v>
      </c>
      <c r="H3129" s="24" t="str">
        <f>IFERROR(VLOOKUP(B3129,material!A:D,3,0),"")</f>
        <v>DUAL</v>
      </c>
    </row>
    <row r="3130" ht="11.25" customHeight="1">
      <c r="A3130" s="21" t="str">
        <f>IFERROR(__xludf.DUMMYFUNCTION("""COMPUTED_VALUE"""),"TECHNICOLOR TC7337NET")</f>
        <v>TECHNICOLOR TC7337NET</v>
      </c>
      <c r="B3130" s="22">
        <f>IFERROR(__xludf.DUMMYFUNCTION("""COMPUTED_VALUE"""),4.1001294E7)</f>
        <v>41001294</v>
      </c>
      <c r="C3130" s="21" t="str">
        <f>IFERROR(__xludf.DUMMYFUNCTION("""COMPUTED_VALUE"""),"946A7725A593")</f>
        <v>946A7725A593</v>
      </c>
      <c r="D3130" s="21" t="str">
        <f>IFERROR(__xludf.DUMMYFUNCTION("""COMPUTED_VALUE"""),"DIGITEC TECNOLOGIA DIGITAL E REPRES")</f>
        <v>DIGITEC TECNOLOGIA DIGITAL E REPRES</v>
      </c>
      <c r="E3130" s="21">
        <f>IFERROR(__xludf.DUMMYFUNCTION("""COMPUTED_VALUE"""),145359.0)</f>
        <v>145359</v>
      </c>
      <c r="F3130" s="21" t="str">
        <f>IFERROR(__xludf.DUMMYFUNCTION("""COMPUTED_VALUE"""),"TRANSITO REVERSA")</f>
        <v>TRANSITO REVERSA</v>
      </c>
      <c r="G3130" s="23">
        <f>IFERROR(__xludf.DUMMYFUNCTION("""COMPUTED_VALUE"""),45633.00340277777)</f>
        <v>45633.0034</v>
      </c>
      <c r="H3130" s="24" t="str">
        <f>IFERROR(VLOOKUP(B3130,material!A:D,3,0),"")</f>
        <v>DUAL</v>
      </c>
    </row>
    <row r="3131" ht="11.25" customHeight="1">
      <c r="A3131" s="21" t="str">
        <f>IFERROR(__xludf.DUMMYFUNCTION("""COMPUTED_VALUE"""),"ARRIS TG1692A")</f>
        <v>ARRIS TG1692A</v>
      </c>
      <c r="B3131" s="22">
        <f>IFERROR(__xludf.DUMMYFUNCTION("""COMPUTED_VALUE"""),4.1001293E7)</f>
        <v>41001293</v>
      </c>
      <c r="C3131" s="21" t="str">
        <f>IFERROR(__xludf.DUMMYFUNCTION("""COMPUTED_VALUE"""),"4C1265E78642")</f>
        <v>4C1265E78642</v>
      </c>
      <c r="D3131" s="21" t="str">
        <f>IFERROR(__xludf.DUMMYFUNCTION("""COMPUTED_VALUE"""),"DIGITEC TECNOLOGIA DIGITAL E REPRES")</f>
        <v>DIGITEC TECNOLOGIA DIGITAL E REPRES</v>
      </c>
      <c r="E3131" s="21">
        <f>IFERROR(__xludf.DUMMYFUNCTION("""COMPUTED_VALUE"""),145359.0)</f>
        <v>145359</v>
      </c>
      <c r="F3131" s="21" t="str">
        <f>IFERROR(__xludf.DUMMYFUNCTION("""COMPUTED_VALUE"""),"TRANSITO REVERSA")</f>
        <v>TRANSITO REVERSA</v>
      </c>
      <c r="G3131" s="23">
        <f>IFERROR(__xludf.DUMMYFUNCTION("""COMPUTED_VALUE"""),45633.00398148148)</f>
        <v>45633.00398</v>
      </c>
      <c r="H3131" s="24" t="str">
        <f>IFERROR(VLOOKUP(B3131,material!A:D,3,0),"")</f>
        <v>DUAL</v>
      </c>
    </row>
    <row r="3132" ht="11.25" customHeight="1">
      <c r="A3132" s="21" t="str">
        <f>IFERROR(__xludf.DUMMYFUNCTION("""COMPUTED_VALUE"""),"ARRIS TG1692A")</f>
        <v>ARRIS TG1692A</v>
      </c>
      <c r="B3132" s="22">
        <f>IFERROR(__xludf.DUMMYFUNCTION("""COMPUTED_VALUE"""),4.1001293E7)</f>
        <v>41001293</v>
      </c>
      <c r="C3132" s="21" t="str">
        <f>IFERROR(__xludf.DUMMYFUNCTION("""COMPUTED_VALUE"""),"4C1265E5006B")</f>
        <v>4C1265E5006B</v>
      </c>
      <c r="D3132" s="21" t="str">
        <f>IFERROR(__xludf.DUMMYFUNCTION("""COMPUTED_VALUE"""),"DIGITEC TECNOLOGIA DIGITAL E REPRES")</f>
        <v>DIGITEC TECNOLOGIA DIGITAL E REPRES</v>
      </c>
      <c r="E3132" s="21">
        <f>IFERROR(__xludf.DUMMYFUNCTION("""COMPUTED_VALUE"""),145359.0)</f>
        <v>145359</v>
      </c>
      <c r="F3132" s="21" t="str">
        <f>IFERROR(__xludf.DUMMYFUNCTION("""COMPUTED_VALUE"""),"TRANSITO REVERSA")</f>
        <v>TRANSITO REVERSA</v>
      </c>
      <c r="G3132" s="23">
        <f>IFERROR(__xludf.DUMMYFUNCTION("""COMPUTED_VALUE"""),45610.730416666665)</f>
        <v>45610.73042</v>
      </c>
      <c r="H3132" s="24" t="str">
        <f>IFERROR(VLOOKUP(B3132,material!A:D,3,0),"")</f>
        <v>DUAL</v>
      </c>
    </row>
    <row r="3133" ht="11.25" customHeight="1">
      <c r="A3133" s="21" t="str">
        <f>IFERROR(__xludf.DUMMYFUNCTION("""COMPUTED_VALUE"""),"ARRIS TG1692A")</f>
        <v>ARRIS TG1692A</v>
      </c>
      <c r="B3133" s="22">
        <f>IFERROR(__xludf.DUMMYFUNCTION("""COMPUTED_VALUE"""),4.1001293E7)</f>
        <v>41001293</v>
      </c>
      <c r="C3133" s="21" t="str">
        <f>IFERROR(__xludf.DUMMYFUNCTION("""COMPUTED_VALUE"""),"4C1265E74BD7")</f>
        <v>4C1265E74BD7</v>
      </c>
      <c r="D3133" s="21" t="str">
        <f>IFERROR(__xludf.DUMMYFUNCTION("""COMPUTED_VALUE"""),"DIGITEC TECNOLOGIA DIGITAL E REPRES")</f>
        <v>DIGITEC TECNOLOGIA DIGITAL E REPRES</v>
      </c>
      <c r="E3133" s="21">
        <f>IFERROR(__xludf.DUMMYFUNCTION("""COMPUTED_VALUE"""),145359.0)</f>
        <v>145359</v>
      </c>
      <c r="F3133" s="21" t="str">
        <f>IFERROR(__xludf.DUMMYFUNCTION("""COMPUTED_VALUE"""),"TRANSITO REVERSA")</f>
        <v>TRANSITO REVERSA</v>
      </c>
      <c r="G3133" s="23">
        <f>IFERROR(__xludf.DUMMYFUNCTION("""COMPUTED_VALUE"""),45633.003958333335)</f>
        <v>45633.00396</v>
      </c>
      <c r="H3133" s="24" t="str">
        <f>IFERROR(VLOOKUP(B3133,material!A:D,3,0),"")</f>
        <v>DUAL</v>
      </c>
    </row>
    <row r="3134" ht="11.25" customHeight="1">
      <c r="A3134" s="21" t="str">
        <f>IFERROR(__xludf.DUMMYFUNCTION("""COMPUTED_VALUE"""),"ARRIS TG1692A")</f>
        <v>ARRIS TG1692A</v>
      </c>
      <c r="B3134" s="22">
        <f>IFERROR(__xludf.DUMMYFUNCTION("""COMPUTED_VALUE"""),4.1001293E7)</f>
        <v>41001293</v>
      </c>
      <c r="C3134" s="21" t="str">
        <f>IFERROR(__xludf.DUMMYFUNCTION("""COMPUTED_VALUE"""),"4C1265EA4972")</f>
        <v>4C1265EA4972</v>
      </c>
      <c r="D3134" s="21" t="str">
        <f>IFERROR(__xludf.DUMMYFUNCTION("""COMPUTED_VALUE"""),"DIGITEC TECNOLOGIA DIGITAL E REPRES")</f>
        <v>DIGITEC TECNOLOGIA DIGITAL E REPRES</v>
      </c>
      <c r="E3134" s="21">
        <f>IFERROR(__xludf.DUMMYFUNCTION("""COMPUTED_VALUE"""),145359.0)</f>
        <v>145359</v>
      </c>
      <c r="F3134" s="21" t="str">
        <f>IFERROR(__xludf.DUMMYFUNCTION("""COMPUTED_VALUE"""),"TRANSITO REVERSA")</f>
        <v>TRANSITO REVERSA</v>
      </c>
      <c r="G3134" s="23">
        <f>IFERROR(__xludf.DUMMYFUNCTION("""COMPUTED_VALUE"""),45638.520648148144)</f>
        <v>45638.52065</v>
      </c>
      <c r="H3134" s="24" t="str">
        <f>IFERROR(VLOOKUP(B3134,material!A:D,3,0),"")</f>
        <v>DUAL</v>
      </c>
    </row>
    <row r="3135" ht="11.25" customHeight="1">
      <c r="A3135" s="21" t="str">
        <f>IFERROR(__xludf.DUMMYFUNCTION("""COMPUTED_VALUE"""),"ARRIS TG1692A")</f>
        <v>ARRIS TG1692A</v>
      </c>
      <c r="B3135" s="22">
        <f>IFERROR(__xludf.DUMMYFUNCTION("""COMPUTED_VALUE"""),4.1001293E7)</f>
        <v>41001293</v>
      </c>
      <c r="C3135" s="21" t="str">
        <f>IFERROR(__xludf.DUMMYFUNCTION("""COMPUTED_VALUE"""),"F8F5325915F9")</f>
        <v>F8F5325915F9</v>
      </c>
      <c r="D3135" s="21" t="str">
        <f>IFERROR(__xludf.DUMMYFUNCTION("""COMPUTED_VALUE"""),"DIGITEC TECNOLOGIA DIGITAL E REPRES")</f>
        <v>DIGITEC TECNOLOGIA DIGITAL E REPRES</v>
      </c>
      <c r="E3135" s="21">
        <f>IFERROR(__xludf.DUMMYFUNCTION("""COMPUTED_VALUE"""),145359.0)</f>
        <v>145359</v>
      </c>
      <c r="F3135" s="21" t="str">
        <f>IFERROR(__xludf.DUMMYFUNCTION("""COMPUTED_VALUE"""),"TRANSITO REVERSA")</f>
        <v>TRANSITO REVERSA</v>
      </c>
      <c r="G3135" s="23">
        <f>IFERROR(__xludf.DUMMYFUNCTION("""COMPUTED_VALUE"""),45633.00341435186)</f>
        <v>45633.00341</v>
      </c>
      <c r="H3135" s="24" t="str">
        <f>IFERROR(VLOOKUP(B3135,material!A:D,3,0),"")</f>
        <v>DUAL</v>
      </c>
    </row>
    <row r="3136" ht="11.25" customHeight="1">
      <c r="A3136" s="21" t="str">
        <f>IFERROR(__xludf.DUMMYFUNCTION("""COMPUTED_VALUE"""),"ARRIS TG1692A")</f>
        <v>ARRIS TG1692A</v>
      </c>
      <c r="B3136" s="22">
        <f>IFERROR(__xludf.DUMMYFUNCTION("""COMPUTED_VALUE"""),4.1001293E7)</f>
        <v>41001293</v>
      </c>
      <c r="C3136" s="21" t="str">
        <f>IFERROR(__xludf.DUMMYFUNCTION("""COMPUTED_VALUE"""),"2C584F3138FC")</f>
        <v>2C584F3138FC</v>
      </c>
      <c r="D3136" s="21" t="str">
        <f>IFERROR(__xludf.DUMMYFUNCTION("""COMPUTED_VALUE"""),"DIGITEC TECNOLOGIA DIGITAL E REPRES")</f>
        <v>DIGITEC TECNOLOGIA DIGITAL E REPRES</v>
      </c>
      <c r="E3136" s="21">
        <f>IFERROR(__xludf.DUMMYFUNCTION("""COMPUTED_VALUE"""),145359.0)</f>
        <v>145359</v>
      </c>
      <c r="F3136" s="21" t="str">
        <f>IFERROR(__xludf.DUMMYFUNCTION("""COMPUTED_VALUE"""),"TRANSITO REVERSA")</f>
        <v>TRANSITO REVERSA</v>
      </c>
      <c r="G3136" s="23">
        <f>IFERROR(__xludf.DUMMYFUNCTION("""COMPUTED_VALUE"""),45633.00398148148)</f>
        <v>45633.00398</v>
      </c>
      <c r="H3136" s="24" t="str">
        <f>IFERROR(VLOOKUP(B3136,material!A:D,3,0),"")</f>
        <v>DUAL</v>
      </c>
    </row>
    <row r="3137" ht="11.25" customHeight="1">
      <c r="A3137" s="21" t="str">
        <f>IFERROR(__xludf.DUMMYFUNCTION("""COMPUTED_VALUE"""),"ARRIS TG1692A")</f>
        <v>ARRIS TG1692A</v>
      </c>
      <c r="B3137" s="22">
        <f>IFERROR(__xludf.DUMMYFUNCTION("""COMPUTED_VALUE"""),4.1001293E7)</f>
        <v>41001293</v>
      </c>
      <c r="C3137" s="21" t="str">
        <f>IFERROR(__xludf.DUMMYFUNCTION("""COMPUTED_VALUE"""),"2C9569F663EB")</f>
        <v>2C9569F663EB</v>
      </c>
      <c r="D3137" s="21" t="str">
        <f>IFERROR(__xludf.DUMMYFUNCTION("""COMPUTED_VALUE"""),"DIGITEC TECNOLOGIA DIGITAL E REPRES")</f>
        <v>DIGITEC TECNOLOGIA DIGITAL E REPRES</v>
      </c>
      <c r="E3137" s="21">
        <f>IFERROR(__xludf.DUMMYFUNCTION("""COMPUTED_VALUE"""),145359.0)</f>
        <v>145359</v>
      </c>
      <c r="F3137" s="21" t="str">
        <f>IFERROR(__xludf.DUMMYFUNCTION("""COMPUTED_VALUE"""),"TRANSITO REVERSA")</f>
        <v>TRANSITO REVERSA</v>
      </c>
      <c r="G3137" s="23">
        <f>IFERROR(__xludf.DUMMYFUNCTION("""COMPUTED_VALUE"""),45638.52111111111)</f>
        <v>45638.52111</v>
      </c>
      <c r="H3137" s="24" t="str">
        <f>IFERROR(VLOOKUP(B3137,material!A:D,3,0),"")</f>
        <v>DUAL</v>
      </c>
    </row>
    <row r="3138" ht="11.25" customHeight="1">
      <c r="A3138" s="21" t="str">
        <f>IFERROR(__xludf.DUMMYFUNCTION("""COMPUTED_VALUE"""),"ARRIS TG1692A")</f>
        <v>ARRIS TG1692A</v>
      </c>
      <c r="B3138" s="22">
        <f>IFERROR(__xludf.DUMMYFUNCTION("""COMPUTED_VALUE"""),4.1001293E7)</f>
        <v>41001293</v>
      </c>
      <c r="C3138" s="21" t="str">
        <f>IFERROR(__xludf.DUMMYFUNCTION("""COMPUTED_VALUE"""),"F8F532517281")</f>
        <v>F8F532517281</v>
      </c>
      <c r="D3138" s="21" t="str">
        <f>IFERROR(__xludf.DUMMYFUNCTION("""COMPUTED_VALUE"""),"DIGITEC TECNOLOGIA DIGITAL E REPRES")</f>
        <v>DIGITEC TECNOLOGIA DIGITAL E REPRES</v>
      </c>
      <c r="E3138" s="21">
        <f>IFERROR(__xludf.DUMMYFUNCTION("""COMPUTED_VALUE"""),145359.0)</f>
        <v>145359</v>
      </c>
      <c r="F3138" s="21" t="str">
        <f>IFERROR(__xludf.DUMMYFUNCTION("""COMPUTED_VALUE"""),"TRANSITO REVERSA")</f>
        <v>TRANSITO REVERSA</v>
      </c>
      <c r="G3138" s="23">
        <f>IFERROR(__xludf.DUMMYFUNCTION("""COMPUTED_VALUE"""),45638.52111111111)</f>
        <v>45638.52111</v>
      </c>
      <c r="H3138" s="24" t="str">
        <f>IFERROR(VLOOKUP(B3138,material!A:D,3,0),"")</f>
        <v>DUAL</v>
      </c>
    </row>
    <row r="3139" ht="11.25" customHeight="1">
      <c r="A3139" s="21" t="str">
        <f>IFERROR(__xludf.DUMMYFUNCTION("""COMPUTED_VALUE"""),"ARRIS TG1692A")</f>
        <v>ARRIS TG1692A</v>
      </c>
      <c r="B3139" s="22">
        <f>IFERROR(__xludf.DUMMYFUNCTION("""COMPUTED_VALUE"""),4.1001293E7)</f>
        <v>41001293</v>
      </c>
      <c r="C3139" s="21" t="str">
        <f>IFERROR(__xludf.DUMMYFUNCTION("""COMPUTED_VALUE"""),"F8F532533846")</f>
        <v>F8F532533846</v>
      </c>
      <c r="D3139" s="21" t="str">
        <f>IFERROR(__xludf.DUMMYFUNCTION("""COMPUTED_VALUE"""),"DIGITEC TECNOLOGIA DIGITAL E REPRES")</f>
        <v>DIGITEC TECNOLOGIA DIGITAL E REPRES</v>
      </c>
      <c r="E3139" s="21">
        <f>IFERROR(__xludf.DUMMYFUNCTION("""COMPUTED_VALUE"""),145359.0)</f>
        <v>145359</v>
      </c>
      <c r="F3139" s="21" t="str">
        <f>IFERROR(__xludf.DUMMYFUNCTION("""COMPUTED_VALUE"""),"TRANSITO REVERSA")</f>
        <v>TRANSITO REVERSA</v>
      </c>
      <c r="G3139" s="23">
        <f>IFERROR(__xludf.DUMMYFUNCTION("""COMPUTED_VALUE"""),45638.52113425926)</f>
        <v>45638.52113</v>
      </c>
      <c r="H3139" s="24" t="str">
        <f>IFERROR(VLOOKUP(B3139,material!A:D,3,0),"")</f>
        <v>DUAL</v>
      </c>
    </row>
    <row r="3140" ht="11.25" customHeight="1">
      <c r="A3140" s="21" t="str">
        <f>IFERROR(__xludf.DUMMYFUNCTION("""COMPUTED_VALUE"""),"ARRIS TG1692A")</f>
        <v>ARRIS TG1692A</v>
      </c>
      <c r="B3140" s="22">
        <f>IFERROR(__xludf.DUMMYFUNCTION("""COMPUTED_VALUE"""),4.1001293E7)</f>
        <v>41001293</v>
      </c>
      <c r="C3140" s="21" t="str">
        <f>IFERROR(__xludf.DUMMYFUNCTION("""COMPUTED_VALUE"""),"F8F53253F88A")</f>
        <v>F8F53253F88A</v>
      </c>
      <c r="D3140" s="21" t="str">
        <f>IFERROR(__xludf.DUMMYFUNCTION("""COMPUTED_VALUE"""),"DIGITEC TECNOLOGIA DIGITAL E REPRES")</f>
        <v>DIGITEC TECNOLOGIA DIGITAL E REPRES</v>
      </c>
      <c r="E3140" s="21">
        <f>IFERROR(__xludf.DUMMYFUNCTION("""COMPUTED_VALUE"""),145359.0)</f>
        <v>145359</v>
      </c>
      <c r="F3140" s="21" t="str">
        <f>IFERROR(__xludf.DUMMYFUNCTION("""COMPUTED_VALUE"""),"TRANSITO REVERSA")</f>
        <v>TRANSITO REVERSA</v>
      </c>
      <c r="G3140" s="23">
        <f>IFERROR(__xludf.DUMMYFUNCTION("""COMPUTED_VALUE"""),45638.52060185185)</f>
        <v>45638.5206</v>
      </c>
      <c r="H3140" s="24" t="str">
        <f>IFERROR(VLOOKUP(B3140,material!A:D,3,0),"")</f>
        <v>DUAL</v>
      </c>
    </row>
    <row r="3141" ht="11.25" customHeight="1">
      <c r="A3141" s="21" t="str">
        <f>IFERROR(__xludf.DUMMYFUNCTION("""COMPUTED_VALUE"""),"ARRIS TG1692A")</f>
        <v>ARRIS TG1692A</v>
      </c>
      <c r="B3141" s="22">
        <f>IFERROR(__xludf.DUMMYFUNCTION("""COMPUTED_VALUE"""),4.1001293E7)</f>
        <v>41001293</v>
      </c>
      <c r="C3141" s="21" t="str">
        <f>IFERROR(__xludf.DUMMYFUNCTION("""COMPUTED_VALUE"""),"F8F53251D023")</f>
        <v>F8F53251D023</v>
      </c>
      <c r="D3141" s="21" t="str">
        <f>IFERROR(__xludf.DUMMYFUNCTION("""COMPUTED_VALUE"""),"DIGITEC TECNOLOGIA DIGITAL E REPRES")</f>
        <v>DIGITEC TECNOLOGIA DIGITAL E REPRES</v>
      </c>
      <c r="E3141" s="21">
        <f>IFERROR(__xludf.DUMMYFUNCTION("""COMPUTED_VALUE"""),145359.0)</f>
        <v>145359</v>
      </c>
      <c r="F3141" s="21" t="str">
        <f>IFERROR(__xludf.DUMMYFUNCTION("""COMPUTED_VALUE"""),"TRANSITO REVERSA")</f>
        <v>TRANSITO REVERSA</v>
      </c>
      <c r="G3141" s="23">
        <f>IFERROR(__xludf.DUMMYFUNCTION("""COMPUTED_VALUE"""),45638.52111111111)</f>
        <v>45638.52111</v>
      </c>
      <c r="H3141" s="24" t="str">
        <f>IFERROR(VLOOKUP(B3141,material!A:D,3,0),"")</f>
        <v>DUAL</v>
      </c>
    </row>
    <row r="3142" ht="11.25" customHeight="1">
      <c r="A3142" s="21" t="str">
        <f>IFERROR(__xludf.DUMMYFUNCTION("""COMPUTED_VALUE"""),"ARRIS TG1692A")</f>
        <v>ARRIS TG1692A</v>
      </c>
      <c r="B3142" s="22">
        <f>IFERROR(__xludf.DUMMYFUNCTION("""COMPUTED_VALUE"""),4.1001293E7)</f>
        <v>41001293</v>
      </c>
      <c r="C3142" s="21" t="str">
        <f>IFERROR(__xludf.DUMMYFUNCTION("""COMPUTED_VALUE"""),"F8F53253CA6D")</f>
        <v>F8F53253CA6D</v>
      </c>
      <c r="D3142" s="21" t="str">
        <f>IFERROR(__xludf.DUMMYFUNCTION("""COMPUTED_VALUE"""),"DIGITEC TECNOLOGIA DIGITAL E REPRES")</f>
        <v>DIGITEC TECNOLOGIA DIGITAL E REPRES</v>
      </c>
      <c r="E3142" s="21">
        <f>IFERROR(__xludf.DUMMYFUNCTION("""COMPUTED_VALUE"""),145359.0)</f>
        <v>145359</v>
      </c>
      <c r="F3142" s="21" t="str">
        <f>IFERROR(__xludf.DUMMYFUNCTION("""COMPUTED_VALUE"""),"TRANSITO REVERSA")</f>
        <v>TRANSITO REVERSA</v>
      </c>
      <c r="G3142" s="23">
        <f>IFERROR(__xludf.DUMMYFUNCTION("""COMPUTED_VALUE"""),45638.52112268518)</f>
        <v>45638.52112</v>
      </c>
      <c r="H3142" s="24" t="str">
        <f>IFERROR(VLOOKUP(B3142,material!A:D,3,0),"")</f>
        <v>DUAL</v>
      </c>
    </row>
    <row r="3143" ht="11.25" customHeight="1">
      <c r="A3143" s="21" t="str">
        <f>IFERROR(__xludf.DUMMYFUNCTION("""COMPUTED_VALUE"""),"ARRIS TG1692A")</f>
        <v>ARRIS TG1692A</v>
      </c>
      <c r="B3143" s="22">
        <f>IFERROR(__xludf.DUMMYFUNCTION("""COMPUTED_VALUE"""),4.1001293E7)</f>
        <v>41001293</v>
      </c>
      <c r="C3143" s="21" t="str">
        <f>IFERROR(__xludf.DUMMYFUNCTION("""COMPUTED_VALUE"""),"2C9569F61418")</f>
        <v>2C9569F61418</v>
      </c>
      <c r="D3143" s="21" t="str">
        <f>IFERROR(__xludf.DUMMYFUNCTION("""COMPUTED_VALUE"""),"DIGITEC TECNOLOGIA DIGITAL E REPRES")</f>
        <v>DIGITEC TECNOLOGIA DIGITAL E REPRES</v>
      </c>
      <c r="E3143" s="21">
        <f>IFERROR(__xludf.DUMMYFUNCTION("""COMPUTED_VALUE"""),145359.0)</f>
        <v>145359</v>
      </c>
      <c r="F3143" s="21" t="str">
        <f>IFERROR(__xludf.DUMMYFUNCTION("""COMPUTED_VALUE"""),"TRANSITO REVERSA")</f>
        <v>TRANSITO REVERSA</v>
      </c>
      <c r="G3143" s="23">
        <f>IFERROR(__xludf.DUMMYFUNCTION("""COMPUTED_VALUE"""),45610.73042824074)</f>
        <v>45610.73043</v>
      </c>
      <c r="H3143" s="24" t="str">
        <f>IFERROR(VLOOKUP(B3143,material!A:D,3,0),"")</f>
        <v>DUAL</v>
      </c>
    </row>
    <row r="3144" ht="11.25" customHeight="1">
      <c r="A3144" s="21" t="str">
        <f>IFERROR(__xludf.DUMMYFUNCTION("""COMPUTED_VALUE"""),"ARRIS TG1692A")</f>
        <v>ARRIS TG1692A</v>
      </c>
      <c r="B3144" s="22">
        <f>IFERROR(__xludf.DUMMYFUNCTION("""COMPUTED_VALUE"""),4.1001293E7)</f>
        <v>41001293</v>
      </c>
      <c r="C3144" s="21" t="str">
        <f>IFERROR(__xludf.DUMMYFUNCTION("""COMPUTED_VALUE"""),"F8F532546252")</f>
        <v>F8F532546252</v>
      </c>
      <c r="D3144" s="21" t="str">
        <f>IFERROR(__xludf.DUMMYFUNCTION("""COMPUTED_VALUE"""),"DIGITEC TECNOLOGIA DIGITAL E REPRES")</f>
        <v>DIGITEC TECNOLOGIA DIGITAL E REPRES</v>
      </c>
      <c r="E3144" s="21">
        <f>IFERROR(__xludf.DUMMYFUNCTION("""COMPUTED_VALUE"""),145359.0)</f>
        <v>145359</v>
      </c>
      <c r="F3144" s="21" t="str">
        <f>IFERROR(__xludf.DUMMYFUNCTION("""COMPUTED_VALUE"""),"TRANSITO REVERSA")</f>
        <v>TRANSITO REVERSA</v>
      </c>
      <c r="G3144" s="23">
        <f>IFERROR(__xludf.DUMMYFUNCTION("""COMPUTED_VALUE"""),45617.87140046296)</f>
        <v>45617.8714</v>
      </c>
      <c r="H3144" s="24" t="str">
        <f>IFERROR(VLOOKUP(B3144,material!A:D,3,0),"")</f>
        <v>DUAL</v>
      </c>
    </row>
    <row r="3145" ht="11.25" customHeight="1">
      <c r="A3145" s="21" t="str">
        <f>IFERROR(__xludf.DUMMYFUNCTION("""COMPUTED_VALUE"""),"ARRIS TG1692A")</f>
        <v>ARRIS TG1692A</v>
      </c>
      <c r="B3145" s="22">
        <f>IFERROR(__xludf.DUMMYFUNCTION("""COMPUTED_VALUE"""),4.1001293E7)</f>
        <v>41001293</v>
      </c>
      <c r="C3145" s="21" t="str">
        <f>IFERROR(__xludf.DUMMYFUNCTION("""COMPUTED_VALUE"""),"F8F53250BD19")</f>
        <v>F8F53250BD19</v>
      </c>
      <c r="D3145" s="21" t="str">
        <f>IFERROR(__xludf.DUMMYFUNCTION("""COMPUTED_VALUE"""),"DIGITEC TECNOLOGIA DIGITAL E REPRES")</f>
        <v>DIGITEC TECNOLOGIA DIGITAL E REPRES</v>
      </c>
      <c r="E3145" s="21">
        <f>IFERROR(__xludf.DUMMYFUNCTION("""COMPUTED_VALUE"""),145359.0)</f>
        <v>145359</v>
      </c>
      <c r="F3145" s="21" t="str">
        <f>IFERROR(__xludf.DUMMYFUNCTION("""COMPUTED_VALUE"""),"TRANSITO REVERSA")</f>
        <v>TRANSITO REVERSA</v>
      </c>
      <c r="G3145" s="23">
        <f>IFERROR(__xludf.DUMMYFUNCTION("""COMPUTED_VALUE"""),45617.87240740741)</f>
        <v>45617.87241</v>
      </c>
      <c r="H3145" s="24" t="str">
        <f>IFERROR(VLOOKUP(B3145,material!A:D,3,0),"")</f>
        <v>DUAL</v>
      </c>
    </row>
    <row r="3146" ht="11.25" customHeight="1">
      <c r="A3146" s="21" t="str">
        <f>IFERROR(__xludf.DUMMYFUNCTION("""COMPUTED_VALUE"""),"ARRIS TG1692A")</f>
        <v>ARRIS TG1692A</v>
      </c>
      <c r="B3146" s="22">
        <f>IFERROR(__xludf.DUMMYFUNCTION("""COMPUTED_VALUE"""),4.1001293E7)</f>
        <v>41001293</v>
      </c>
      <c r="C3146" s="21" t="str">
        <f>IFERROR(__xludf.DUMMYFUNCTION("""COMPUTED_VALUE"""),"F8F53250F8A1")</f>
        <v>F8F53250F8A1</v>
      </c>
      <c r="D3146" s="21" t="str">
        <f>IFERROR(__xludf.DUMMYFUNCTION("""COMPUTED_VALUE"""),"DIGITEC TECNOLOGIA DIGITAL E REPRES")</f>
        <v>DIGITEC TECNOLOGIA DIGITAL E REPRES</v>
      </c>
      <c r="E3146" s="21">
        <f>IFERROR(__xludf.DUMMYFUNCTION("""COMPUTED_VALUE"""),145359.0)</f>
        <v>145359</v>
      </c>
      <c r="F3146" s="21" t="str">
        <f>IFERROR(__xludf.DUMMYFUNCTION("""COMPUTED_VALUE"""),"TRANSITO REVERSA")</f>
        <v>TRANSITO REVERSA</v>
      </c>
      <c r="G3146" s="23">
        <f>IFERROR(__xludf.DUMMYFUNCTION("""COMPUTED_VALUE"""),45617.871817129635)</f>
        <v>45617.87182</v>
      </c>
      <c r="H3146" s="24" t="str">
        <f>IFERROR(VLOOKUP(B3146,material!A:D,3,0),"")</f>
        <v>DUAL</v>
      </c>
    </row>
    <row r="3147" ht="11.25" customHeight="1">
      <c r="A3147" s="21" t="str">
        <f>IFERROR(__xludf.DUMMYFUNCTION("""COMPUTED_VALUE"""),"ARRIS TG1692A")</f>
        <v>ARRIS TG1692A</v>
      </c>
      <c r="B3147" s="22">
        <f>IFERROR(__xludf.DUMMYFUNCTION("""COMPUTED_VALUE"""),4.1001293E7)</f>
        <v>41001293</v>
      </c>
      <c r="C3147" s="21" t="str">
        <f>IFERROR(__xludf.DUMMYFUNCTION("""COMPUTED_VALUE"""),"2C9569F28483")</f>
        <v>2C9569F28483</v>
      </c>
      <c r="D3147" s="21" t="str">
        <f>IFERROR(__xludf.DUMMYFUNCTION("""COMPUTED_VALUE"""),"DIGITEC TECNOLOGIA DIGITAL E REPRES")</f>
        <v>DIGITEC TECNOLOGIA DIGITAL E REPRES</v>
      </c>
      <c r="E3147" s="21">
        <f>IFERROR(__xludf.DUMMYFUNCTION("""COMPUTED_VALUE"""),145359.0)</f>
        <v>145359</v>
      </c>
      <c r="F3147" s="21" t="str">
        <f>IFERROR(__xludf.DUMMYFUNCTION("""COMPUTED_VALUE"""),"TRANSITO REVERSA")</f>
        <v>TRANSITO REVERSA</v>
      </c>
      <c r="G3147" s="23">
        <f>IFERROR(__xludf.DUMMYFUNCTION("""COMPUTED_VALUE"""),45617.87140046296)</f>
        <v>45617.8714</v>
      </c>
      <c r="H3147" s="24" t="str">
        <f>IFERROR(VLOOKUP(B3147,material!A:D,3,0),"")</f>
        <v>DUAL</v>
      </c>
    </row>
    <row r="3148" ht="11.25" customHeight="1">
      <c r="A3148" s="21" t="str">
        <f>IFERROR(__xludf.DUMMYFUNCTION("""COMPUTED_VALUE"""),"ARRIS TG1692A")</f>
        <v>ARRIS TG1692A</v>
      </c>
      <c r="B3148" s="22">
        <f>IFERROR(__xludf.DUMMYFUNCTION("""COMPUTED_VALUE"""),4.1001293E7)</f>
        <v>41001293</v>
      </c>
      <c r="C3148" s="21" t="str">
        <f>IFERROR(__xludf.DUMMYFUNCTION("""COMPUTED_VALUE"""),"CC75E2BB8F00")</f>
        <v>CC75E2BB8F00</v>
      </c>
      <c r="D3148" s="21" t="str">
        <f>IFERROR(__xludf.DUMMYFUNCTION("""COMPUTED_VALUE"""),"DIGITEC TECNOLOGIA DIGITAL E REPRES")</f>
        <v>DIGITEC TECNOLOGIA DIGITAL E REPRES</v>
      </c>
      <c r="E3148" s="21">
        <f>IFERROR(__xludf.DUMMYFUNCTION("""COMPUTED_VALUE"""),145359.0)</f>
        <v>145359</v>
      </c>
      <c r="F3148" s="21" t="str">
        <f>IFERROR(__xludf.DUMMYFUNCTION("""COMPUTED_VALUE"""),"TRANSITO REVERSA")</f>
        <v>TRANSITO REVERSA</v>
      </c>
      <c r="G3148" s="23">
        <f>IFERROR(__xludf.DUMMYFUNCTION("""COMPUTED_VALUE"""),45633.003958333335)</f>
        <v>45633.00396</v>
      </c>
      <c r="H3148" s="24" t="str">
        <f>IFERROR(VLOOKUP(B3148,material!A:D,3,0),"")</f>
        <v>DUAL</v>
      </c>
    </row>
    <row r="3149" ht="11.25" customHeight="1">
      <c r="A3149" s="21" t="str">
        <f>IFERROR(__xludf.DUMMYFUNCTION("""COMPUTED_VALUE"""),"ARRIS TG1692A")</f>
        <v>ARRIS TG1692A</v>
      </c>
      <c r="B3149" s="22">
        <f>IFERROR(__xludf.DUMMYFUNCTION("""COMPUTED_VALUE"""),4.1001293E7)</f>
        <v>41001293</v>
      </c>
      <c r="C3149" s="21" t="str">
        <f>IFERROR(__xludf.DUMMYFUNCTION("""COMPUTED_VALUE"""),"A8F5DDE47AC1")</f>
        <v>A8F5DDE47AC1</v>
      </c>
      <c r="D3149" s="21" t="str">
        <f>IFERROR(__xludf.DUMMYFUNCTION("""COMPUTED_VALUE"""),"DIGITEC TECNOLOGIA DIGITAL E REPRES")</f>
        <v>DIGITEC TECNOLOGIA DIGITAL E REPRES</v>
      </c>
      <c r="E3149" s="21">
        <f>IFERROR(__xludf.DUMMYFUNCTION("""COMPUTED_VALUE"""),145359.0)</f>
        <v>145359</v>
      </c>
      <c r="F3149" s="21" t="str">
        <f>IFERROR(__xludf.DUMMYFUNCTION("""COMPUTED_VALUE"""),"TRANSITO REVERSA")</f>
        <v>TRANSITO REVERSA</v>
      </c>
      <c r="G3149" s="23">
        <f>IFERROR(__xludf.DUMMYFUNCTION("""COMPUTED_VALUE"""),45610.730416666665)</f>
        <v>45610.73042</v>
      </c>
      <c r="H3149" s="24" t="str">
        <f>IFERROR(VLOOKUP(B3149,material!A:D,3,0),"")</f>
        <v>DUAL</v>
      </c>
    </row>
    <row r="3150" ht="11.25" customHeight="1">
      <c r="A3150" s="21" t="str">
        <f>IFERROR(__xludf.DUMMYFUNCTION("""COMPUTED_VALUE"""),"ARRIS TG1692A")</f>
        <v>ARRIS TG1692A</v>
      </c>
      <c r="B3150" s="22">
        <f>IFERROR(__xludf.DUMMYFUNCTION("""COMPUTED_VALUE"""),4.1001293E7)</f>
        <v>41001293</v>
      </c>
      <c r="C3150" s="21" t="str">
        <f>IFERROR(__xludf.DUMMYFUNCTION("""COMPUTED_VALUE"""),"4C1265E97B14")</f>
        <v>4C1265E97B14</v>
      </c>
      <c r="D3150" s="21" t="str">
        <f>IFERROR(__xludf.DUMMYFUNCTION("""COMPUTED_VALUE"""),"DIGITEC TECNOLOGIA DIGITAL E REPRES")</f>
        <v>DIGITEC TECNOLOGIA DIGITAL E REPRES</v>
      </c>
      <c r="E3150" s="21">
        <f>IFERROR(__xludf.DUMMYFUNCTION("""COMPUTED_VALUE"""),145359.0)</f>
        <v>145359</v>
      </c>
      <c r="F3150" s="21" t="str">
        <f>IFERROR(__xludf.DUMMYFUNCTION("""COMPUTED_VALUE"""),"TRANSITO REVERSA")</f>
        <v>TRANSITO REVERSA</v>
      </c>
      <c r="G3150" s="23">
        <f>IFERROR(__xludf.DUMMYFUNCTION("""COMPUTED_VALUE"""),45633.0033912037)</f>
        <v>45633.00339</v>
      </c>
      <c r="H3150" s="24" t="str">
        <f>IFERROR(VLOOKUP(B3150,material!A:D,3,0),"")</f>
        <v>DUAL</v>
      </c>
    </row>
    <row r="3151" ht="11.25" customHeight="1">
      <c r="A3151" s="21" t="str">
        <f>IFERROR(__xludf.DUMMYFUNCTION("""COMPUTED_VALUE"""),"ARRIS TG1692A")</f>
        <v>ARRIS TG1692A</v>
      </c>
      <c r="B3151" s="22">
        <f>IFERROR(__xludf.DUMMYFUNCTION("""COMPUTED_VALUE"""),4.1001293E7)</f>
        <v>41001293</v>
      </c>
      <c r="C3151" s="21" t="str">
        <f>IFERROR(__xludf.DUMMYFUNCTION("""COMPUTED_VALUE"""),"4C12653E4686")</f>
        <v>4C12653E4686</v>
      </c>
      <c r="D3151" s="21" t="str">
        <f>IFERROR(__xludf.DUMMYFUNCTION("""COMPUTED_VALUE"""),"DIGITEC TECNOLOGIA DIGITAL E REPRES")</f>
        <v>DIGITEC TECNOLOGIA DIGITAL E REPRES</v>
      </c>
      <c r="E3151" s="21">
        <f>IFERROR(__xludf.DUMMYFUNCTION("""COMPUTED_VALUE"""),145359.0)</f>
        <v>145359</v>
      </c>
      <c r="F3151" s="21" t="str">
        <f>IFERROR(__xludf.DUMMYFUNCTION("""COMPUTED_VALUE"""),"TRANSITO REVERSA")</f>
        <v>TRANSITO REVERSA</v>
      </c>
      <c r="G3151" s="23">
        <f>IFERROR(__xludf.DUMMYFUNCTION("""COMPUTED_VALUE"""),45633.0033912037)</f>
        <v>45633.00339</v>
      </c>
      <c r="H3151" s="24" t="str">
        <f>IFERROR(VLOOKUP(B3151,material!A:D,3,0),"")</f>
        <v>DUAL</v>
      </c>
    </row>
    <row r="3152" ht="11.25" customHeight="1">
      <c r="A3152" s="21" t="str">
        <f>IFERROR(__xludf.DUMMYFUNCTION("""COMPUTED_VALUE"""),"ARRIS TG1692A")</f>
        <v>ARRIS TG1692A</v>
      </c>
      <c r="B3152" s="22">
        <f>IFERROR(__xludf.DUMMYFUNCTION("""COMPUTED_VALUE"""),4.1001293E7)</f>
        <v>41001293</v>
      </c>
      <c r="C3152" s="21" t="str">
        <f>IFERROR(__xludf.DUMMYFUNCTION("""COMPUTED_VALUE"""),"F8F53259105E")</f>
        <v>F8F53259105E</v>
      </c>
      <c r="D3152" s="21" t="str">
        <f>IFERROR(__xludf.DUMMYFUNCTION("""COMPUTED_VALUE"""),"DIGITEC TECNOLOGIA DIGITAL E REPRES")</f>
        <v>DIGITEC TECNOLOGIA DIGITAL E REPRES</v>
      </c>
      <c r="E3152" s="21">
        <f>IFERROR(__xludf.DUMMYFUNCTION("""COMPUTED_VALUE"""),145359.0)</f>
        <v>145359</v>
      </c>
      <c r="F3152" s="21" t="str">
        <f>IFERROR(__xludf.DUMMYFUNCTION("""COMPUTED_VALUE"""),"TRANSITO REVERSA")</f>
        <v>TRANSITO REVERSA</v>
      </c>
      <c r="G3152" s="23">
        <f>IFERROR(__xludf.DUMMYFUNCTION("""COMPUTED_VALUE"""),45638.52186342592)</f>
        <v>45638.52186</v>
      </c>
      <c r="H3152" s="24" t="str">
        <f>IFERROR(VLOOKUP(B3152,material!A:D,3,0),"")</f>
        <v>DUAL</v>
      </c>
    </row>
    <row r="3153" ht="11.25" customHeight="1">
      <c r="A3153" s="21" t="str">
        <f>IFERROR(__xludf.DUMMYFUNCTION("""COMPUTED_VALUE"""),"ARRIS TG1692A")</f>
        <v>ARRIS TG1692A</v>
      </c>
      <c r="B3153" s="22">
        <f>IFERROR(__xludf.DUMMYFUNCTION("""COMPUTED_VALUE"""),4.1001293E7)</f>
        <v>41001293</v>
      </c>
      <c r="C3153" s="21" t="str">
        <f>IFERROR(__xludf.DUMMYFUNCTION("""COMPUTED_VALUE"""),"2C584F31568E")</f>
        <v>2C584F31568E</v>
      </c>
      <c r="D3153" s="21" t="str">
        <f>IFERROR(__xludf.DUMMYFUNCTION("""COMPUTED_VALUE"""),"DIGITEC TECNOLOGIA DIGITAL E REPRES")</f>
        <v>DIGITEC TECNOLOGIA DIGITAL E REPRES</v>
      </c>
      <c r="E3153" s="21">
        <f>IFERROR(__xludf.DUMMYFUNCTION("""COMPUTED_VALUE"""),145359.0)</f>
        <v>145359</v>
      </c>
      <c r="F3153" s="21" t="str">
        <f>IFERROR(__xludf.DUMMYFUNCTION("""COMPUTED_VALUE"""),"TRANSITO REVERSA")</f>
        <v>TRANSITO REVERSA</v>
      </c>
      <c r="G3153" s="23">
        <f>IFERROR(__xludf.DUMMYFUNCTION("""COMPUTED_VALUE"""),45626.29871527778)</f>
        <v>45626.29872</v>
      </c>
      <c r="H3153" s="24" t="str">
        <f>IFERROR(VLOOKUP(B3153,material!A:D,3,0),"")</f>
        <v>DUAL</v>
      </c>
    </row>
    <row r="3154" ht="11.25" customHeight="1">
      <c r="A3154" s="21" t="str">
        <f>IFERROR(__xludf.DUMMYFUNCTION("""COMPUTED_VALUE"""),"ARRIS TG1692A")</f>
        <v>ARRIS TG1692A</v>
      </c>
      <c r="B3154" s="22">
        <f>IFERROR(__xludf.DUMMYFUNCTION("""COMPUTED_VALUE"""),4.1001293E7)</f>
        <v>41001293</v>
      </c>
      <c r="C3154" s="21" t="str">
        <f>IFERROR(__xludf.DUMMYFUNCTION("""COMPUTED_VALUE"""),"2C584F31E248")</f>
        <v>2C584F31E248</v>
      </c>
      <c r="D3154" s="21" t="str">
        <f>IFERROR(__xludf.DUMMYFUNCTION("""COMPUTED_VALUE"""),"DIGITEC TECNOLOGIA DIGITAL E REPRES")</f>
        <v>DIGITEC TECNOLOGIA DIGITAL E REPRES</v>
      </c>
      <c r="E3154" s="21">
        <f>IFERROR(__xludf.DUMMYFUNCTION("""COMPUTED_VALUE"""),145359.0)</f>
        <v>145359</v>
      </c>
      <c r="F3154" s="21" t="str">
        <f>IFERROR(__xludf.DUMMYFUNCTION("""COMPUTED_VALUE"""),"TRANSITO REVERSA")</f>
        <v>TRANSITO REVERSA</v>
      </c>
      <c r="G3154" s="23">
        <f>IFERROR(__xludf.DUMMYFUNCTION("""COMPUTED_VALUE"""),45626.29871527778)</f>
        <v>45626.29872</v>
      </c>
      <c r="H3154" s="24" t="str">
        <f>IFERROR(VLOOKUP(B3154,material!A:D,3,0),"")</f>
        <v>DUAL</v>
      </c>
    </row>
    <row r="3155" ht="11.25" customHeight="1">
      <c r="A3155" s="21" t="str">
        <f>IFERROR(__xludf.DUMMYFUNCTION("""COMPUTED_VALUE"""),"ARRIS TG1692A")</f>
        <v>ARRIS TG1692A</v>
      </c>
      <c r="B3155" s="22">
        <f>IFERROR(__xludf.DUMMYFUNCTION("""COMPUTED_VALUE"""),4.1001293E7)</f>
        <v>41001293</v>
      </c>
      <c r="C3155" s="21" t="str">
        <f>IFERROR(__xludf.DUMMYFUNCTION("""COMPUTED_VALUE"""),"F8F532585CB3")</f>
        <v>F8F532585CB3</v>
      </c>
      <c r="D3155" s="21" t="str">
        <f>IFERROR(__xludf.DUMMYFUNCTION("""COMPUTED_VALUE"""),"DIGITEC TECNOLOGIA DIGITAL E REPRES")</f>
        <v>DIGITEC TECNOLOGIA DIGITAL E REPRES</v>
      </c>
      <c r="E3155" s="21">
        <f>IFERROR(__xludf.DUMMYFUNCTION("""COMPUTED_VALUE"""),145359.0)</f>
        <v>145359</v>
      </c>
      <c r="F3155" s="21" t="str">
        <f>IFERROR(__xludf.DUMMYFUNCTION("""COMPUTED_VALUE"""),"TRANSITO REVERSA")</f>
        <v>TRANSITO REVERSA</v>
      </c>
      <c r="G3155" s="23">
        <f>IFERROR(__xludf.DUMMYFUNCTION("""COMPUTED_VALUE"""),45626.298692129625)</f>
        <v>45626.29869</v>
      </c>
      <c r="H3155" s="24" t="str">
        <f>IFERROR(VLOOKUP(B3155,material!A:D,3,0),"")</f>
        <v>DUAL</v>
      </c>
    </row>
    <row r="3156" ht="11.25" customHeight="1">
      <c r="A3156" s="21" t="str">
        <f>IFERROR(__xludf.DUMMYFUNCTION("""COMPUTED_VALUE"""),"ARRIS TG1692A")</f>
        <v>ARRIS TG1692A</v>
      </c>
      <c r="B3156" s="22">
        <f>IFERROR(__xludf.DUMMYFUNCTION("""COMPUTED_VALUE"""),4.1001293E7)</f>
        <v>41001293</v>
      </c>
      <c r="C3156" s="21" t="str">
        <f>IFERROR(__xludf.DUMMYFUNCTION("""COMPUTED_VALUE"""),"2C9569F59C8B")</f>
        <v>2C9569F59C8B</v>
      </c>
      <c r="D3156" s="21" t="str">
        <f>IFERROR(__xludf.DUMMYFUNCTION("""COMPUTED_VALUE"""),"DIGITEC TECNOLOGIA DIGITAL E REPRES")</f>
        <v>DIGITEC TECNOLOGIA DIGITAL E REPRES</v>
      </c>
      <c r="E3156" s="21">
        <f>IFERROR(__xludf.DUMMYFUNCTION("""COMPUTED_VALUE"""),145359.0)</f>
        <v>145359</v>
      </c>
      <c r="F3156" s="21" t="str">
        <f>IFERROR(__xludf.DUMMYFUNCTION("""COMPUTED_VALUE"""),"TRANSITO REVERSA")</f>
        <v>TRANSITO REVERSA</v>
      </c>
      <c r="G3156" s="23">
        <f>IFERROR(__xludf.DUMMYFUNCTION("""COMPUTED_VALUE"""),45626.298692129625)</f>
        <v>45626.29869</v>
      </c>
      <c r="H3156" s="24" t="str">
        <f>IFERROR(VLOOKUP(B3156,material!A:D,3,0),"")</f>
        <v>DUAL</v>
      </c>
    </row>
    <row r="3157" ht="11.25" customHeight="1">
      <c r="A3157" s="21" t="str">
        <f>IFERROR(__xludf.DUMMYFUNCTION("""COMPUTED_VALUE"""),"ARRIS TG1692A")</f>
        <v>ARRIS TG1692A</v>
      </c>
      <c r="B3157" s="22">
        <f>IFERROR(__xludf.DUMMYFUNCTION("""COMPUTED_VALUE"""),4.1001293E7)</f>
        <v>41001293</v>
      </c>
      <c r="C3157" s="21" t="str">
        <f>IFERROR(__xludf.DUMMYFUNCTION("""COMPUTED_VALUE"""),"F8F53256975C")</f>
        <v>F8F53256975C</v>
      </c>
      <c r="D3157" s="21" t="str">
        <f>IFERROR(__xludf.DUMMYFUNCTION("""COMPUTED_VALUE"""),"DIGITEC TECNOLOGIA DIGITAL E REPRES")</f>
        <v>DIGITEC TECNOLOGIA DIGITAL E REPRES</v>
      </c>
      <c r="E3157" s="21">
        <f>IFERROR(__xludf.DUMMYFUNCTION("""COMPUTED_VALUE"""),145359.0)</f>
        <v>145359</v>
      </c>
      <c r="F3157" s="21" t="str">
        <f>IFERROR(__xludf.DUMMYFUNCTION("""COMPUTED_VALUE"""),"TRANSITO REVERSA")</f>
        <v>TRANSITO REVERSA</v>
      </c>
      <c r="G3157" s="23">
        <f>IFERROR(__xludf.DUMMYFUNCTION("""COMPUTED_VALUE"""),45610.730416666665)</f>
        <v>45610.73042</v>
      </c>
      <c r="H3157" s="24" t="str">
        <f>IFERROR(VLOOKUP(B3157,material!A:D,3,0),"")</f>
        <v>DUAL</v>
      </c>
    </row>
    <row r="3158" ht="11.25" customHeight="1">
      <c r="A3158" s="21" t="str">
        <f>IFERROR(__xludf.DUMMYFUNCTION("""COMPUTED_VALUE"""),"ARRIS TG1692A")</f>
        <v>ARRIS TG1692A</v>
      </c>
      <c r="B3158" s="22">
        <f>IFERROR(__xludf.DUMMYFUNCTION("""COMPUTED_VALUE"""),4.1001293E7)</f>
        <v>41001293</v>
      </c>
      <c r="C3158" s="21" t="str">
        <f>IFERROR(__xludf.DUMMYFUNCTION("""COMPUTED_VALUE"""),"F8F53257B9FC")</f>
        <v>F8F53257B9FC</v>
      </c>
      <c r="D3158" s="21" t="str">
        <f>IFERROR(__xludf.DUMMYFUNCTION("""COMPUTED_VALUE"""),"DIGITEC TECNOLOGIA DIGITAL E REPRES")</f>
        <v>DIGITEC TECNOLOGIA DIGITAL E REPRES</v>
      </c>
      <c r="E3158" s="21">
        <f>IFERROR(__xludf.DUMMYFUNCTION("""COMPUTED_VALUE"""),145359.0)</f>
        <v>145359</v>
      </c>
      <c r="F3158" s="21" t="str">
        <f>IFERROR(__xludf.DUMMYFUNCTION("""COMPUTED_VALUE"""),"TRANSITO REVERSA")</f>
        <v>TRANSITO REVERSA</v>
      </c>
      <c r="G3158" s="23">
        <f>IFERROR(__xludf.DUMMYFUNCTION("""COMPUTED_VALUE"""),45633.003958333335)</f>
        <v>45633.00396</v>
      </c>
      <c r="H3158" s="24" t="str">
        <f>IFERROR(VLOOKUP(B3158,material!A:D,3,0),"")</f>
        <v>DUAL</v>
      </c>
    </row>
    <row r="3159" ht="11.25" customHeight="1">
      <c r="A3159" s="21" t="str">
        <f>IFERROR(__xludf.DUMMYFUNCTION("""COMPUTED_VALUE"""),"ARRIS TG1692A")</f>
        <v>ARRIS TG1692A</v>
      </c>
      <c r="B3159" s="22">
        <f>IFERROR(__xludf.DUMMYFUNCTION("""COMPUTED_VALUE"""),4.1001293E7)</f>
        <v>41001293</v>
      </c>
      <c r="C3159" s="21" t="str">
        <f>IFERROR(__xludf.DUMMYFUNCTION("""COMPUTED_VALUE"""),"CC75E2BF101C")</f>
        <v>CC75E2BF101C</v>
      </c>
      <c r="D3159" s="21" t="str">
        <f>IFERROR(__xludf.DUMMYFUNCTION("""COMPUTED_VALUE"""),"DIGITEC TECNOLOGIA DIGITAL E REPRES")</f>
        <v>DIGITEC TECNOLOGIA DIGITAL E REPRES</v>
      </c>
      <c r="E3159" s="21">
        <f>IFERROR(__xludf.DUMMYFUNCTION("""COMPUTED_VALUE"""),145359.0)</f>
        <v>145359</v>
      </c>
      <c r="F3159" s="21" t="str">
        <f>IFERROR(__xludf.DUMMYFUNCTION("""COMPUTED_VALUE"""),"TRANSITO REVERSA")</f>
        <v>TRANSITO REVERSA</v>
      </c>
      <c r="G3159" s="23">
        <f>IFERROR(__xludf.DUMMYFUNCTION("""COMPUTED_VALUE"""),45626.29871527778)</f>
        <v>45626.29872</v>
      </c>
      <c r="H3159" s="24" t="str">
        <f>IFERROR(VLOOKUP(B3159,material!A:D,3,0),"")</f>
        <v>DUAL</v>
      </c>
    </row>
    <row r="3160" ht="11.25" customHeight="1">
      <c r="A3160" s="21" t="str">
        <f>IFERROR(__xludf.DUMMYFUNCTION("""COMPUTED_VALUE"""),"ARRIS TG1692A")</f>
        <v>ARRIS TG1692A</v>
      </c>
      <c r="B3160" s="22">
        <f>IFERROR(__xludf.DUMMYFUNCTION("""COMPUTED_VALUE"""),4.1001293E7)</f>
        <v>41001293</v>
      </c>
      <c r="C3160" s="21" t="str">
        <f>IFERROR(__xludf.DUMMYFUNCTION("""COMPUTED_VALUE"""),"A8F5DDEB0F7B")</f>
        <v>A8F5DDEB0F7B</v>
      </c>
      <c r="D3160" s="21" t="str">
        <f>IFERROR(__xludf.DUMMYFUNCTION("""COMPUTED_VALUE"""),"DIGITEC TECNOLOGIA DIGITAL E REPRES")</f>
        <v>DIGITEC TECNOLOGIA DIGITAL E REPRES</v>
      </c>
      <c r="E3160" s="21">
        <f>IFERROR(__xludf.DUMMYFUNCTION("""COMPUTED_VALUE"""),145359.0)</f>
        <v>145359</v>
      </c>
      <c r="F3160" s="21" t="str">
        <f>IFERROR(__xludf.DUMMYFUNCTION("""COMPUTED_VALUE"""),"TRANSITO REVERSA")</f>
        <v>TRANSITO REVERSA</v>
      </c>
      <c r="G3160" s="23">
        <f>IFERROR(__xludf.DUMMYFUNCTION("""COMPUTED_VALUE"""),45626.298668981486)</f>
        <v>45626.29867</v>
      </c>
      <c r="H3160" s="24" t="str">
        <f>IFERROR(VLOOKUP(B3160,material!A:D,3,0),"")</f>
        <v>DUAL</v>
      </c>
    </row>
    <row r="3161" ht="11.25" customHeight="1">
      <c r="A3161" s="21" t="str">
        <f>IFERROR(__xludf.DUMMYFUNCTION("""COMPUTED_VALUE"""),"ARRIS TG1692A")</f>
        <v>ARRIS TG1692A</v>
      </c>
      <c r="B3161" s="22">
        <f>IFERROR(__xludf.DUMMYFUNCTION("""COMPUTED_VALUE"""),4.1001293E7)</f>
        <v>41001293</v>
      </c>
      <c r="C3161" s="21" t="str">
        <f>IFERROR(__xludf.DUMMYFUNCTION("""COMPUTED_VALUE"""),"A8F5DDED3913")</f>
        <v>A8F5DDED3913</v>
      </c>
      <c r="D3161" s="21" t="str">
        <f>IFERROR(__xludf.DUMMYFUNCTION("""COMPUTED_VALUE"""),"DIGITEC TECNOLOGIA DIGITAL E REPRES")</f>
        <v>DIGITEC TECNOLOGIA DIGITAL E REPRES</v>
      </c>
      <c r="E3161" s="21">
        <f>IFERROR(__xludf.DUMMYFUNCTION("""COMPUTED_VALUE"""),145359.0)</f>
        <v>145359</v>
      </c>
      <c r="F3161" s="21" t="str">
        <f>IFERROR(__xludf.DUMMYFUNCTION("""COMPUTED_VALUE"""),"TRANSITO REVERSA")</f>
        <v>TRANSITO REVERSA</v>
      </c>
      <c r="G3161" s="23">
        <f>IFERROR(__xludf.DUMMYFUNCTION("""COMPUTED_VALUE"""),45638.52060185185)</f>
        <v>45638.5206</v>
      </c>
      <c r="H3161" s="24" t="str">
        <f>IFERROR(VLOOKUP(B3161,material!A:D,3,0),"")</f>
        <v>DUAL</v>
      </c>
    </row>
    <row r="3162" ht="11.25" customHeight="1">
      <c r="A3162" s="21" t="str">
        <f>IFERROR(__xludf.DUMMYFUNCTION("""COMPUTED_VALUE"""),"ARRIS TG1692A")</f>
        <v>ARRIS TG1692A</v>
      </c>
      <c r="B3162" s="22">
        <f>IFERROR(__xludf.DUMMYFUNCTION("""COMPUTED_VALUE"""),4.1001293E7)</f>
        <v>41001293</v>
      </c>
      <c r="C3162" s="21" t="str">
        <f>IFERROR(__xludf.DUMMYFUNCTION("""COMPUTED_VALUE"""),"CC75E2BF0DDD")</f>
        <v>CC75E2BF0DDD</v>
      </c>
      <c r="D3162" s="21" t="str">
        <f>IFERROR(__xludf.DUMMYFUNCTION("""COMPUTED_VALUE"""),"DIGITEC TECNOLOGIA DIGITAL E REPRES")</f>
        <v>DIGITEC TECNOLOGIA DIGITAL E REPRES</v>
      </c>
      <c r="E3162" s="21">
        <f>IFERROR(__xludf.DUMMYFUNCTION("""COMPUTED_VALUE"""),145359.0)</f>
        <v>145359</v>
      </c>
      <c r="F3162" s="21" t="str">
        <f>IFERROR(__xludf.DUMMYFUNCTION("""COMPUTED_VALUE"""),"TRANSITO REVERSA")</f>
        <v>TRANSITO REVERSA</v>
      </c>
      <c r="G3162" s="23">
        <f>IFERROR(__xludf.DUMMYFUNCTION("""COMPUTED_VALUE"""),45633.00396990741)</f>
        <v>45633.00397</v>
      </c>
      <c r="H3162" s="24" t="str">
        <f>IFERROR(VLOOKUP(B3162,material!A:D,3,0),"")</f>
        <v>DUAL</v>
      </c>
    </row>
    <row r="3163" ht="11.25" customHeight="1">
      <c r="A3163" s="21" t="str">
        <f>IFERROR(__xludf.DUMMYFUNCTION("""COMPUTED_VALUE"""),"ARRIS TG1692A")</f>
        <v>ARRIS TG1692A</v>
      </c>
      <c r="B3163" s="22">
        <f>IFERROR(__xludf.DUMMYFUNCTION("""COMPUTED_VALUE"""),4.1001293E7)</f>
        <v>41001293</v>
      </c>
      <c r="C3163" s="21" t="str">
        <f>IFERROR(__xludf.DUMMYFUNCTION("""COMPUTED_VALUE"""),"A8F5DDEAD29A")</f>
        <v>A8F5DDEAD29A</v>
      </c>
      <c r="D3163" s="21" t="str">
        <f>IFERROR(__xludf.DUMMYFUNCTION("""COMPUTED_VALUE"""),"DIGITEC TECNOLOGIA DIGITAL E REPRES")</f>
        <v>DIGITEC TECNOLOGIA DIGITAL E REPRES</v>
      </c>
      <c r="E3163" s="21">
        <f>IFERROR(__xludf.DUMMYFUNCTION("""COMPUTED_VALUE"""),145359.0)</f>
        <v>145359</v>
      </c>
      <c r="F3163" s="21" t="str">
        <f>IFERROR(__xludf.DUMMYFUNCTION("""COMPUTED_VALUE"""),"TRANSITO REVERSA")</f>
        <v>TRANSITO REVERSA</v>
      </c>
      <c r="G3163" s="23">
        <f>IFERROR(__xludf.DUMMYFUNCTION("""COMPUTED_VALUE"""),45626.29872685185)</f>
        <v>45626.29873</v>
      </c>
      <c r="H3163" s="24" t="str">
        <f>IFERROR(VLOOKUP(B3163,material!A:D,3,0),"")</f>
        <v>DUAL</v>
      </c>
    </row>
    <row r="3164" ht="11.25" customHeight="1">
      <c r="A3164" s="21" t="str">
        <f>IFERROR(__xludf.DUMMYFUNCTION("""COMPUTED_VALUE"""),"ARRIS TG1692A")</f>
        <v>ARRIS TG1692A</v>
      </c>
      <c r="B3164" s="22">
        <f>IFERROR(__xludf.DUMMYFUNCTION("""COMPUTED_VALUE"""),4.1001293E7)</f>
        <v>41001293</v>
      </c>
      <c r="C3164" s="21" t="str">
        <f>IFERROR(__xludf.DUMMYFUNCTION("""COMPUTED_VALUE"""),"A8F5DDEC9143")</f>
        <v>A8F5DDEC9143</v>
      </c>
      <c r="D3164" s="21" t="str">
        <f>IFERROR(__xludf.DUMMYFUNCTION("""COMPUTED_VALUE"""),"DIGITEC TECNOLOGIA DIGITAL E REPRES")</f>
        <v>DIGITEC TECNOLOGIA DIGITAL E REPRES</v>
      </c>
      <c r="E3164" s="21">
        <f>IFERROR(__xludf.DUMMYFUNCTION("""COMPUTED_VALUE"""),145359.0)</f>
        <v>145359</v>
      </c>
      <c r="F3164" s="21" t="str">
        <f>IFERROR(__xludf.DUMMYFUNCTION("""COMPUTED_VALUE"""),"TRANSITO REVERSA")</f>
        <v>TRANSITO REVERSA</v>
      </c>
      <c r="G3164" s="23">
        <f>IFERROR(__xludf.DUMMYFUNCTION("""COMPUTED_VALUE"""),45633.00399305555)</f>
        <v>45633.00399</v>
      </c>
      <c r="H3164" s="24" t="str">
        <f>IFERROR(VLOOKUP(B3164,material!A:D,3,0),"")</f>
        <v>DUAL</v>
      </c>
    </row>
    <row r="3165" ht="11.25" customHeight="1">
      <c r="A3165" s="21" t="str">
        <f>IFERROR(__xludf.DUMMYFUNCTION("""COMPUTED_VALUE"""),"ARRIS TG1692A")</f>
        <v>ARRIS TG1692A</v>
      </c>
      <c r="B3165" s="22">
        <f>IFERROR(__xludf.DUMMYFUNCTION("""COMPUTED_VALUE"""),4.1001293E7)</f>
        <v>41001293</v>
      </c>
      <c r="C3165" s="21" t="str">
        <f>IFERROR(__xludf.DUMMYFUNCTION("""COMPUTED_VALUE"""),"CC75E2BFA329")</f>
        <v>CC75E2BFA329</v>
      </c>
      <c r="D3165" s="21" t="str">
        <f>IFERROR(__xludf.DUMMYFUNCTION("""COMPUTED_VALUE"""),"DIGITEC TECNOLOGIA DIGITAL E REPRES")</f>
        <v>DIGITEC TECNOLOGIA DIGITAL E REPRES</v>
      </c>
      <c r="E3165" s="21">
        <f>IFERROR(__xludf.DUMMYFUNCTION("""COMPUTED_VALUE"""),145359.0)</f>
        <v>145359</v>
      </c>
      <c r="F3165" s="21" t="str">
        <f>IFERROR(__xludf.DUMMYFUNCTION("""COMPUTED_VALUE"""),"TRANSITO REVERSA")</f>
        <v>TRANSITO REVERSA</v>
      </c>
      <c r="G3165" s="23">
        <f>IFERROR(__xludf.DUMMYFUNCTION("""COMPUTED_VALUE"""),45638.52112268518)</f>
        <v>45638.52112</v>
      </c>
      <c r="H3165" s="24" t="str">
        <f>IFERROR(VLOOKUP(B3165,material!A:D,3,0),"")</f>
        <v>DUAL</v>
      </c>
    </row>
    <row r="3166" ht="11.25" customHeight="1">
      <c r="A3166" s="21" t="str">
        <f>IFERROR(__xludf.DUMMYFUNCTION("""COMPUTED_VALUE"""),"ARRIS TG1692A")</f>
        <v>ARRIS TG1692A</v>
      </c>
      <c r="B3166" s="22">
        <f>IFERROR(__xludf.DUMMYFUNCTION("""COMPUTED_VALUE"""),4.1001293E7)</f>
        <v>41001293</v>
      </c>
      <c r="C3166" s="21" t="str">
        <f>IFERROR(__xludf.DUMMYFUNCTION("""COMPUTED_VALUE"""),"A8F5DDED0466")</f>
        <v>A8F5DDED0466</v>
      </c>
      <c r="D3166" s="21" t="str">
        <f>IFERROR(__xludf.DUMMYFUNCTION("""COMPUTED_VALUE"""),"DIGITEC TECNOLOGIA DIGITAL E REPRES")</f>
        <v>DIGITEC TECNOLOGIA DIGITAL E REPRES</v>
      </c>
      <c r="E3166" s="21">
        <f>IFERROR(__xludf.DUMMYFUNCTION("""COMPUTED_VALUE"""),145359.0)</f>
        <v>145359</v>
      </c>
      <c r="F3166" s="21" t="str">
        <f>IFERROR(__xludf.DUMMYFUNCTION("""COMPUTED_VALUE"""),"TRANSITO REVERSA")</f>
        <v>TRANSITO REVERSA</v>
      </c>
      <c r="G3166" s="23">
        <f>IFERROR(__xludf.DUMMYFUNCTION("""COMPUTED_VALUE"""),45617.87143518518)</f>
        <v>45617.87144</v>
      </c>
      <c r="H3166" s="24" t="str">
        <f>IFERROR(VLOOKUP(B3166,material!A:D,3,0),"")</f>
        <v>DUAL</v>
      </c>
    </row>
    <row r="3167" ht="11.25" customHeight="1">
      <c r="A3167" s="21" t="str">
        <f>IFERROR(__xludf.DUMMYFUNCTION("""COMPUTED_VALUE"""),"ARRIS TG1692A")</f>
        <v>ARRIS TG1692A</v>
      </c>
      <c r="B3167" s="22">
        <f>IFERROR(__xludf.DUMMYFUNCTION("""COMPUTED_VALUE"""),4.1001293E7)</f>
        <v>41001293</v>
      </c>
      <c r="C3167" s="21" t="str">
        <f>IFERROR(__xludf.DUMMYFUNCTION("""COMPUTED_VALUE"""),"CC75E2B93787")</f>
        <v>CC75E2B93787</v>
      </c>
      <c r="D3167" s="21" t="str">
        <f>IFERROR(__xludf.DUMMYFUNCTION("""COMPUTED_VALUE"""),"DIGITEC TECNOLOGIA DIGITAL E REPRES")</f>
        <v>DIGITEC TECNOLOGIA DIGITAL E REPRES</v>
      </c>
      <c r="E3167" s="21">
        <f>IFERROR(__xludf.DUMMYFUNCTION("""COMPUTED_VALUE"""),145359.0)</f>
        <v>145359</v>
      </c>
      <c r="F3167" s="21" t="str">
        <f>IFERROR(__xludf.DUMMYFUNCTION("""COMPUTED_VALUE"""),"TRANSITO REVERSA")</f>
        <v>TRANSITO REVERSA</v>
      </c>
      <c r="G3167" s="23">
        <f>IFERROR(__xludf.DUMMYFUNCTION("""COMPUTED_VALUE"""),45626.29871527778)</f>
        <v>45626.29872</v>
      </c>
      <c r="H3167" s="24" t="str">
        <f>IFERROR(VLOOKUP(B3167,material!A:D,3,0),"")</f>
        <v>DUAL</v>
      </c>
    </row>
    <row r="3168" ht="11.25" customHeight="1">
      <c r="A3168" s="21" t="str">
        <f>IFERROR(__xludf.DUMMYFUNCTION("""COMPUTED_VALUE"""),"ARRIS TG1692A")</f>
        <v>ARRIS TG1692A</v>
      </c>
      <c r="B3168" s="22">
        <f>IFERROR(__xludf.DUMMYFUNCTION("""COMPUTED_VALUE"""),4.1001293E7)</f>
        <v>41001293</v>
      </c>
      <c r="C3168" s="21" t="str">
        <f>IFERROR(__xludf.DUMMYFUNCTION("""COMPUTED_VALUE"""),"4C126539F978")</f>
        <v>4C126539F978</v>
      </c>
      <c r="D3168" s="21" t="str">
        <f>IFERROR(__xludf.DUMMYFUNCTION("""COMPUTED_VALUE"""),"DIGITEC TECNOLOGIA DIGITAL E REPRES")</f>
        <v>DIGITEC TECNOLOGIA DIGITAL E REPRES</v>
      </c>
      <c r="E3168" s="21">
        <f>IFERROR(__xludf.DUMMYFUNCTION("""COMPUTED_VALUE"""),145359.0)</f>
        <v>145359</v>
      </c>
      <c r="F3168" s="21" t="str">
        <f>IFERROR(__xludf.DUMMYFUNCTION("""COMPUTED_VALUE"""),"TRANSITO REVERSA")</f>
        <v>TRANSITO REVERSA</v>
      </c>
      <c r="G3168" s="23">
        <f>IFERROR(__xludf.DUMMYFUNCTION("""COMPUTED_VALUE"""),45638.52061342592)</f>
        <v>45638.52061</v>
      </c>
      <c r="H3168" s="24" t="str">
        <f>IFERROR(VLOOKUP(B3168,material!A:D,3,0),"")</f>
        <v>DUAL</v>
      </c>
    </row>
    <row r="3169" ht="11.25" customHeight="1">
      <c r="A3169" s="21" t="str">
        <f>IFERROR(__xludf.DUMMYFUNCTION("""COMPUTED_VALUE"""),"ARRIS TG1692A")</f>
        <v>ARRIS TG1692A</v>
      </c>
      <c r="B3169" s="22">
        <f>IFERROR(__xludf.DUMMYFUNCTION("""COMPUTED_VALUE"""),4.1001293E7)</f>
        <v>41001293</v>
      </c>
      <c r="C3169" s="21" t="str">
        <f>IFERROR(__xludf.DUMMYFUNCTION("""COMPUTED_VALUE"""),"4C12653A15F7")</f>
        <v>4C12653A15F7</v>
      </c>
      <c r="D3169" s="21" t="str">
        <f>IFERROR(__xludf.DUMMYFUNCTION("""COMPUTED_VALUE"""),"DIGITEC TECNOLOGIA DIGITAL E REPRES")</f>
        <v>DIGITEC TECNOLOGIA DIGITAL E REPRES</v>
      </c>
      <c r="E3169" s="21">
        <f>IFERROR(__xludf.DUMMYFUNCTION("""COMPUTED_VALUE"""),145359.0)</f>
        <v>145359</v>
      </c>
      <c r="F3169" s="21" t="str">
        <f>IFERROR(__xludf.DUMMYFUNCTION("""COMPUTED_VALUE"""),"TRANSITO REVERSA")</f>
        <v>TRANSITO REVERSA</v>
      </c>
      <c r="G3169" s="23">
        <f>IFERROR(__xludf.DUMMYFUNCTION("""COMPUTED_VALUE"""),45617.87138888889)</f>
        <v>45617.87139</v>
      </c>
      <c r="H3169" s="24" t="str">
        <f>IFERROR(VLOOKUP(B3169,material!A:D,3,0),"")</f>
        <v>DUAL</v>
      </c>
    </row>
    <row r="3170" ht="11.25" customHeight="1">
      <c r="A3170" s="21" t="str">
        <f>IFERROR(__xludf.DUMMYFUNCTION("""COMPUTED_VALUE"""),"ARRIS TG1692A")</f>
        <v>ARRIS TG1692A</v>
      </c>
      <c r="B3170" s="22">
        <f>IFERROR(__xludf.DUMMYFUNCTION("""COMPUTED_VALUE"""),4.1001293E7)</f>
        <v>41001293</v>
      </c>
      <c r="C3170" s="21" t="str">
        <f>IFERROR(__xludf.DUMMYFUNCTION("""COMPUTED_VALUE"""),"4C1265E45A8F")</f>
        <v>4C1265E45A8F</v>
      </c>
      <c r="D3170" s="21" t="str">
        <f>IFERROR(__xludf.DUMMYFUNCTION("""COMPUTED_VALUE"""),"DIGITEC TECNOLOGIA DIGITAL E REPRES")</f>
        <v>DIGITEC TECNOLOGIA DIGITAL E REPRES</v>
      </c>
      <c r="E3170" s="21">
        <f>IFERROR(__xludf.DUMMYFUNCTION("""COMPUTED_VALUE"""),145359.0)</f>
        <v>145359</v>
      </c>
      <c r="F3170" s="21" t="str">
        <f>IFERROR(__xludf.DUMMYFUNCTION("""COMPUTED_VALUE"""),"TRANSITO REVERSA")</f>
        <v>TRANSITO REVERSA</v>
      </c>
      <c r="G3170" s="23">
        <f>IFERROR(__xludf.DUMMYFUNCTION("""COMPUTED_VALUE"""),45617.87138888889)</f>
        <v>45617.87139</v>
      </c>
      <c r="H3170" s="24" t="str">
        <f>IFERROR(VLOOKUP(B3170,material!A:D,3,0),"")</f>
        <v>DUAL</v>
      </c>
    </row>
    <row r="3171" ht="11.25" customHeight="1">
      <c r="A3171" s="21" t="str">
        <f>IFERROR(__xludf.DUMMYFUNCTION("""COMPUTED_VALUE"""),"ARRIS TG1692A")</f>
        <v>ARRIS TG1692A</v>
      </c>
      <c r="B3171" s="22">
        <f>IFERROR(__xludf.DUMMYFUNCTION("""COMPUTED_VALUE"""),4.1001293E7)</f>
        <v>41001293</v>
      </c>
      <c r="C3171" s="21" t="str">
        <f>IFERROR(__xludf.DUMMYFUNCTION("""COMPUTED_VALUE"""),"4C12653858CA")</f>
        <v>4C12653858CA</v>
      </c>
      <c r="D3171" s="21" t="str">
        <f>IFERROR(__xludf.DUMMYFUNCTION("""COMPUTED_VALUE"""),"DIGITEC TECNOLOGIA DIGITAL E REPRES")</f>
        <v>DIGITEC TECNOLOGIA DIGITAL E REPRES</v>
      </c>
      <c r="E3171" s="21">
        <f>IFERROR(__xludf.DUMMYFUNCTION("""COMPUTED_VALUE"""),145359.0)</f>
        <v>145359</v>
      </c>
      <c r="F3171" s="21" t="str">
        <f>IFERROR(__xludf.DUMMYFUNCTION("""COMPUTED_VALUE"""),"TRANSITO REVERSA")</f>
        <v>TRANSITO REVERSA</v>
      </c>
      <c r="G3171" s="23">
        <f>IFERROR(__xludf.DUMMYFUNCTION("""COMPUTED_VALUE"""),45633.0033912037)</f>
        <v>45633.00339</v>
      </c>
      <c r="H3171" s="24" t="str">
        <f>IFERROR(VLOOKUP(B3171,material!A:D,3,0),"")</f>
        <v>DUAL</v>
      </c>
    </row>
    <row r="3172" ht="11.25" customHeight="1">
      <c r="A3172" s="21" t="str">
        <f>IFERROR(__xludf.DUMMYFUNCTION("""COMPUTED_VALUE"""),"ARRIS TG1692A")</f>
        <v>ARRIS TG1692A</v>
      </c>
      <c r="B3172" s="22">
        <f>IFERROR(__xludf.DUMMYFUNCTION("""COMPUTED_VALUE"""),4.1001293E7)</f>
        <v>41001293</v>
      </c>
      <c r="C3172" s="21" t="str">
        <f>IFERROR(__xludf.DUMMYFUNCTION("""COMPUTED_VALUE"""),"4C126538F9FB")</f>
        <v>4C126538F9FB</v>
      </c>
      <c r="D3172" s="21" t="str">
        <f>IFERROR(__xludf.DUMMYFUNCTION("""COMPUTED_VALUE"""),"DIGITEC TECNOLOGIA DIGITAL E REPRES")</f>
        <v>DIGITEC TECNOLOGIA DIGITAL E REPRES</v>
      </c>
      <c r="E3172" s="21">
        <f>IFERROR(__xludf.DUMMYFUNCTION("""COMPUTED_VALUE"""),145359.0)</f>
        <v>145359</v>
      </c>
      <c r="F3172" s="21" t="str">
        <f>IFERROR(__xludf.DUMMYFUNCTION("""COMPUTED_VALUE"""),"TRANSITO REVERSA")</f>
        <v>TRANSITO REVERSA</v>
      </c>
      <c r="G3172" s="23">
        <f>IFERROR(__xludf.DUMMYFUNCTION("""COMPUTED_VALUE"""),45610.730416666665)</f>
        <v>45610.73042</v>
      </c>
      <c r="H3172" s="24" t="str">
        <f>IFERROR(VLOOKUP(B3172,material!A:D,3,0),"")</f>
        <v>DUAL</v>
      </c>
    </row>
    <row r="3173" ht="11.25" customHeight="1">
      <c r="A3173" s="21" t="str">
        <f>IFERROR(__xludf.DUMMYFUNCTION("""COMPUTED_VALUE"""),"ARRIS TG1692A")</f>
        <v>ARRIS TG1692A</v>
      </c>
      <c r="B3173" s="22">
        <f>IFERROR(__xludf.DUMMYFUNCTION("""COMPUTED_VALUE"""),4.1001293E7)</f>
        <v>41001293</v>
      </c>
      <c r="C3173" s="21" t="str">
        <f>IFERROR(__xludf.DUMMYFUNCTION("""COMPUTED_VALUE"""),"4C126539EDED")</f>
        <v>4C126539EDED</v>
      </c>
      <c r="D3173" s="21" t="str">
        <f>IFERROR(__xludf.DUMMYFUNCTION("""COMPUTED_VALUE"""),"DIGITEC TECNOLOGIA DIGITAL E REPRES")</f>
        <v>DIGITEC TECNOLOGIA DIGITAL E REPRES</v>
      </c>
      <c r="E3173" s="21">
        <f>IFERROR(__xludf.DUMMYFUNCTION("""COMPUTED_VALUE"""),145359.0)</f>
        <v>145359</v>
      </c>
      <c r="F3173" s="21" t="str">
        <f>IFERROR(__xludf.DUMMYFUNCTION("""COMPUTED_VALUE"""),"TRANSITO REVERSA")</f>
        <v>TRANSITO REVERSA</v>
      </c>
      <c r="G3173" s="23">
        <f>IFERROR(__xludf.DUMMYFUNCTION("""COMPUTED_VALUE"""),45626.298668981486)</f>
        <v>45626.29867</v>
      </c>
      <c r="H3173" s="24" t="str">
        <f>IFERROR(VLOOKUP(B3173,material!A:D,3,0),"")</f>
        <v>DUAL</v>
      </c>
    </row>
    <row r="3174" ht="11.25" customHeight="1">
      <c r="A3174" s="21" t="str">
        <f>IFERROR(__xludf.DUMMYFUNCTION("""COMPUTED_VALUE"""),"ARRIS TG1692A")</f>
        <v>ARRIS TG1692A</v>
      </c>
      <c r="B3174" s="22">
        <f>IFERROR(__xludf.DUMMYFUNCTION("""COMPUTED_VALUE"""),4.1001293E7)</f>
        <v>41001293</v>
      </c>
      <c r="C3174" s="21" t="str">
        <f>IFERROR(__xludf.DUMMYFUNCTION("""COMPUTED_VALUE"""),"4C12653A5C51")</f>
        <v>4C12653A5C51</v>
      </c>
      <c r="D3174" s="21" t="str">
        <f>IFERROR(__xludf.DUMMYFUNCTION("""COMPUTED_VALUE"""),"DIGITEC TECNOLOGIA DIGITAL E REPRES")</f>
        <v>DIGITEC TECNOLOGIA DIGITAL E REPRES</v>
      </c>
      <c r="E3174" s="21">
        <f>IFERROR(__xludf.DUMMYFUNCTION("""COMPUTED_VALUE"""),145359.0)</f>
        <v>145359</v>
      </c>
      <c r="F3174" s="21" t="str">
        <f>IFERROR(__xludf.DUMMYFUNCTION("""COMPUTED_VALUE"""),"TRANSITO REVERSA")</f>
        <v>TRANSITO REVERSA</v>
      </c>
      <c r="G3174" s="23">
        <f>IFERROR(__xludf.DUMMYFUNCTION("""COMPUTED_VALUE"""),45610.73042824074)</f>
        <v>45610.73043</v>
      </c>
      <c r="H3174" s="24" t="str">
        <f>IFERROR(VLOOKUP(B3174,material!A:D,3,0),"")</f>
        <v>DUAL</v>
      </c>
    </row>
    <row r="3175" ht="11.25" customHeight="1">
      <c r="A3175" s="21" t="str">
        <f>IFERROR(__xludf.DUMMYFUNCTION("""COMPUTED_VALUE"""),"ARRIS TG1692A")</f>
        <v>ARRIS TG1692A</v>
      </c>
      <c r="B3175" s="22">
        <f>IFERROR(__xludf.DUMMYFUNCTION("""COMPUTED_VALUE"""),4.1001293E7)</f>
        <v>41001293</v>
      </c>
      <c r="C3175" s="21" t="str">
        <f>IFERROR(__xludf.DUMMYFUNCTION("""COMPUTED_VALUE"""),"4C126536F435")</f>
        <v>4C126536F435</v>
      </c>
      <c r="D3175" s="21" t="str">
        <f>IFERROR(__xludf.DUMMYFUNCTION("""COMPUTED_VALUE"""),"DIGITEC TECNOLOGIA DIGITAL E REPRES")</f>
        <v>DIGITEC TECNOLOGIA DIGITAL E REPRES</v>
      </c>
      <c r="E3175" s="21">
        <f>IFERROR(__xludf.DUMMYFUNCTION("""COMPUTED_VALUE"""),145359.0)</f>
        <v>145359</v>
      </c>
      <c r="F3175" s="21" t="str">
        <f>IFERROR(__xludf.DUMMYFUNCTION("""COMPUTED_VALUE"""),"TRANSITO REVERSA")</f>
        <v>TRANSITO REVERSA</v>
      </c>
      <c r="G3175" s="23">
        <f>IFERROR(__xludf.DUMMYFUNCTION("""COMPUTED_VALUE"""),45626.29871527778)</f>
        <v>45626.29872</v>
      </c>
      <c r="H3175" s="24" t="str">
        <f>IFERROR(VLOOKUP(B3175,material!A:D,3,0),"")</f>
        <v>DUAL</v>
      </c>
    </row>
    <row r="3176" ht="11.25" customHeight="1">
      <c r="A3176" s="21" t="str">
        <f>IFERROR(__xludf.DUMMYFUNCTION("""COMPUTED_VALUE"""),"ARRIS TG1692A")</f>
        <v>ARRIS TG1692A</v>
      </c>
      <c r="B3176" s="22">
        <f>IFERROR(__xludf.DUMMYFUNCTION("""COMPUTED_VALUE"""),4.1001293E7)</f>
        <v>41001293</v>
      </c>
      <c r="C3176" s="21" t="str">
        <f>IFERROR(__xludf.DUMMYFUNCTION("""COMPUTED_VALUE"""),"4C126536FF8E")</f>
        <v>4C126536FF8E</v>
      </c>
      <c r="D3176" s="21" t="str">
        <f>IFERROR(__xludf.DUMMYFUNCTION("""COMPUTED_VALUE"""),"DIGITEC TECNOLOGIA DIGITAL E REPRES")</f>
        <v>DIGITEC TECNOLOGIA DIGITAL E REPRES</v>
      </c>
      <c r="E3176" s="21">
        <f>IFERROR(__xludf.DUMMYFUNCTION("""COMPUTED_VALUE"""),145359.0)</f>
        <v>145359</v>
      </c>
      <c r="F3176" s="21" t="str">
        <f>IFERROR(__xludf.DUMMYFUNCTION("""COMPUTED_VALUE"""),"TRANSITO REVERSA")</f>
        <v>TRANSITO REVERSA</v>
      </c>
      <c r="G3176" s="23">
        <f>IFERROR(__xludf.DUMMYFUNCTION("""COMPUTED_VALUE"""),45638.520648148144)</f>
        <v>45638.52065</v>
      </c>
      <c r="H3176" s="24" t="str">
        <f>IFERROR(VLOOKUP(B3176,material!A:D,3,0),"")</f>
        <v>DUAL</v>
      </c>
    </row>
    <row r="3177" ht="11.25" customHeight="1">
      <c r="A3177" s="21" t="str">
        <f>IFERROR(__xludf.DUMMYFUNCTION("""COMPUTED_VALUE"""),"ARRIS TG1692A")</f>
        <v>ARRIS TG1692A</v>
      </c>
      <c r="B3177" s="22">
        <f>IFERROR(__xludf.DUMMYFUNCTION("""COMPUTED_VALUE"""),4.1001293E7)</f>
        <v>41001293</v>
      </c>
      <c r="C3177" s="21" t="str">
        <f>IFERROR(__xludf.DUMMYFUNCTION("""COMPUTED_VALUE"""),"4C126537016E")</f>
        <v>4C126537016E</v>
      </c>
      <c r="D3177" s="21" t="str">
        <f>IFERROR(__xludf.DUMMYFUNCTION("""COMPUTED_VALUE"""),"DIGITEC TECNOLOGIA DIGITAL E REPRES")</f>
        <v>DIGITEC TECNOLOGIA DIGITAL E REPRES</v>
      </c>
      <c r="E3177" s="21">
        <f>IFERROR(__xludf.DUMMYFUNCTION("""COMPUTED_VALUE"""),145359.0)</f>
        <v>145359</v>
      </c>
      <c r="F3177" s="21" t="str">
        <f>IFERROR(__xludf.DUMMYFUNCTION("""COMPUTED_VALUE"""),"TRANSITO REVERSA")</f>
        <v>TRANSITO REVERSA</v>
      </c>
      <c r="G3177" s="23">
        <f>IFERROR(__xludf.DUMMYFUNCTION("""COMPUTED_VALUE"""),45626.29872685185)</f>
        <v>45626.29873</v>
      </c>
      <c r="H3177" s="24" t="str">
        <f>IFERROR(VLOOKUP(B3177,material!A:D,3,0),"")</f>
        <v>DUAL</v>
      </c>
    </row>
    <row r="3178" ht="11.25" customHeight="1">
      <c r="A3178" s="21" t="str">
        <f>IFERROR(__xludf.DUMMYFUNCTION("""COMPUTED_VALUE"""),"ARRIS TG1692A")</f>
        <v>ARRIS TG1692A</v>
      </c>
      <c r="B3178" s="22">
        <f>IFERROR(__xludf.DUMMYFUNCTION("""COMPUTED_VALUE"""),4.1001293E7)</f>
        <v>41001293</v>
      </c>
      <c r="C3178" s="21" t="str">
        <f>IFERROR(__xludf.DUMMYFUNCTION("""COMPUTED_VALUE"""),"4C1265347DE5")</f>
        <v>4C1265347DE5</v>
      </c>
      <c r="D3178" s="21" t="str">
        <f>IFERROR(__xludf.DUMMYFUNCTION("""COMPUTED_VALUE"""),"DIGITEC TECNOLOGIA DIGITAL E REPRES")</f>
        <v>DIGITEC TECNOLOGIA DIGITAL E REPRES</v>
      </c>
      <c r="E3178" s="21">
        <f>IFERROR(__xludf.DUMMYFUNCTION("""COMPUTED_VALUE"""),145359.0)</f>
        <v>145359</v>
      </c>
      <c r="F3178" s="21" t="str">
        <f>IFERROR(__xludf.DUMMYFUNCTION("""COMPUTED_VALUE"""),"TRANSITO REVERSA")</f>
        <v>TRANSITO REVERSA</v>
      </c>
      <c r="G3178" s="23">
        <f>IFERROR(__xludf.DUMMYFUNCTION("""COMPUTED_VALUE"""),45626.298680555556)</f>
        <v>45626.29868</v>
      </c>
      <c r="H3178" s="24" t="str">
        <f>IFERROR(VLOOKUP(B3178,material!A:D,3,0),"")</f>
        <v>DUAL</v>
      </c>
    </row>
    <row r="3179" ht="11.25" customHeight="1">
      <c r="A3179" s="21" t="str">
        <f>IFERROR(__xludf.DUMMYFUNCTION("""COMPUTED_VALUE"""),"ARRIS TG1692A")</f>
        <v>ARRIS TG1692A</v>
      </c>
      <c r="B3179" s="22">
        <f>IFERROR(__xludf.DUMMYFUNCTION("""COMPUTED_VALUE"""),4.1001293E7)</f>
        <v>41001293</v>
      </c>
      <c r="C3179" s="21" t="str">
        <f>IFERROR(__xludf.DUMMYFUNCTION("""COMPUTED_VALUE"""),"4C126534A329")</f>
        <v>4C126534A329</v>
      </c>
      <c r="D3179" s="21" t="str">
        <f>IFERROR(__xludf.DUMMYFUNCTION("""COMPUTED_VALUE"""),"DIGITEC TECNOLOGIA DIGITAL E REPRES")</f>
        <v>DIGITEC TECNOLOGIA DIGITAL E REPRES</v>
      </c>
      <c r="E3179" s="21">
        <f>IFERROR(__xludf.DUMMYFUNCTION("""COMPUTED_VALUE"""),145359.0)</f>
        <v>145359</v>
      </c>
      <c r="F3179" s="21" t="str">
        <f>IFERROR(__xludf.DUMMYFUNCTION("""COMPUTED_VALUE"""),"TRANSITO REVERSA")</f>
        <v>TRANSITO REVERSA</v>
      </c>
      <c r="G3179" s="23">
        <f>IFERROR(__xludf.DUMMYFUNCTION("""COMPUTED_VALUE"""),45610.730416666665)</f>
        <v>45610.73042</v>
      </c>
      <c r="H3179" s="24" t="str">
        <f>IFERROR(VLOOKUP(B3179,material!A:D,3,0),"")</f>
        <v>DUAL</v>
      </c>
    </row>
    <row r="3180" ht="11.25" customHeight="1">
      <c r="A3180" s="21" t="str">
        <f>IFERROR(__xludf.DUMMYFUNCTION("""COMPUTED_VALUE"""),"ARRIS TG1692A")</f>
        <v>ARRIS TG1692A</v>
      </c>
      <c r="B3180" s="22">
        <f>IFERROR(__xludf.DUMMYFUNCTION("""COMPUTED_VALUE"""),4.1001293E7)</f>
        <v>41001293</v>
      </c>
      <c r="C3180" s="21" t="str">
        <f>IFERROR(__xludf.DUMMYFUNCTION("""COMPUTED_VALUE"""),"4C126536C9A1")</f>
        <v>4C126536C9A1</v>
      </c>
      <c r="D3180" s="21" t="str">
        <f>IFERROR(__xludf.DUMMYFUNCTION("""COMPUTED_VALUE"""),"DIGITEC TECNOLOGIA DIGITAL E REPRES")</f>
        <v>DIGITEC TECNOLOGIA DIGITAL E REPRES</v>
      </c>
      <c r="E3180" s="21">
        <f>IFERROR(__xludf.DUMMYFUNCTION("""COMPUTED_VALUE"""),145359.0)</f>
        <v>145359</v>
      </c>
      <c r="F3180" s="21" t="str">
        <f>IFERROR(__xludf.DUMMYFUNCTION("""COMPUTED_VALUE"""),"TRANSITO REVERSA")</f>
        <v>TRANSITO REVERSA</v>
      </c>
      <c r="G3180" s="23">
        <f>IFERROR(__xludf.DUMMYFUNCTION("""COMPUTED_VALUE"""),45633.00340277777)</f>
        <v>45633.0034</v>
      </c>
      <c r="H3180" s="24" t="str">
        <f>IFERROR(VLOOKUP(B3180,material!A:D,3,0),"")</f>
        <v>DUAL</v>
      </c>
    </row>
    <row r="3181" ht="11.25" customHeight="1">
      <c r="A3181" s="21" t="str">
        <f>IFERROR(__xludf.DUMMYFUNCTION("""COMPUTED_VALUE"""),"ARRIS TG1692A")</f>
        <v>ARRIS TG1692A</v>
      </c>
      <c r="B3181" s="22">
        <f>IFERROR(__xludf.DUMMYFUNCTION("""COMPUTED_VALUE"""),4.1001293E7)</f>
        <v>41001293</v>
      </c>
      <c r="C3181" s="21" t="str">
        <f>IFERROR(__xludf.DUMMYFUNCTION("""COMPUTED_VALUE"""),"4C1265EB64EC")</f>
        <v>4C1265EB64EC</v>
      </c>
      <c r="D3181" s="21" t="str">
        <f>IFERROR(__xludf.DUMMYFUNCTION("""COMPUTED_VALUE"""),"DIGITEC TECNOLOGIA DIGITAL E REPRES")</f>
        <v>DIGITEC TECNOLOGIA DIGITAL E REPRES</v>
      </c>
      <c r="E3181" s="21">
        <f>IFERROR(__xludf.DUMMYFUNCTION("""COMPUTED_VALUE"""),145359.0)</f>
        <v>145359</v>
      </c>
      <c r="F3181" s="21" t="str">
        <f>IFERROR(__xludf.DUMMYFUNCTION("""COMPUTED_VALUE"""),"TRANSITO REVERSA")</f>
        <v>TRANSITO REVERSA</v>
      </c>
      <c r="G3181" s="23">
        <f>IFERROR(__xludf.DUMMYFUNCTION("""COMPUTED_VALUE"""),45617.87138888889)</f>
        <v>45617.87139</v>
      </c>
      <c r="H3181" s="24" t="str">
        <f>IFERROR(VLOOKUP(B3181,material!A:D,3,0),"")</f>
        <v>DUAL</v>
      </c>
    </row>
    <row r="3182" ht="11.25" customHeight="1">
      <c r="A3182" s="21" t="str">
        <f>IFERROR(__xludf.DUMMYFUNCTION("""COMPUTED_VALUE"""),"ARRIS TG1692A")</f>
        <v>ARRIS TG1692A</v>
      </c>
      <c r="B3182" s="22">
        <f>IFERROR(__xludf.DUMMYFUNCTION("""COMPUTED_VALUE"""),4.1001293E7)</f>
        <v>41001293</v>
      </c>
      <c r="C3182" s="21" t="str">
        <f>IFERROR(__xludf.DUMMYFUNCTION("""COMPUTED_VALUE"""),"A8F5DDE400DC")</f>
        <v>A8F5DDE400DC</v>
      </c>
      <c r="D3182" s="21" t="str">
        <f>IFERROR(__xludf.DUMMYFUNCTION("""COMPUTED_VALUE"""),"DIGITEC TECNOLOGIA DIGITAL E REPRES")</f>
        <v>DIGITEC TECNOLOGIA DIGITAL E REPRES</v>
      </c>
      <c r="E3182" s="21">
        <f>IFERROR(__xludf.DUMMYFUNCTION("""COMPUTED_VALUE"""),145359.0)</f>
        <v>145359</v>
      </c>
      <c r="F3182" s="21" t="str">
        <f>IFERROR(__xludf.DUMMYFUNCTION("""COMPUTED_VALUE"""),"TRANSITO REVERSA")</f>
        <v>TRANSITO REVERSA</v>
      </c>
      <c r="G3182" s="23">
        <f>IFERROR(__xludf.DUMMYFUNCTION("""COMPUTED_VALUE"""),45626.298668981486)</f>
        <v>45626.29867</v>
      </c>
      <c r="H3182" s="24" t="str">
        <f>IFERROR(VLOOKUP(B3182,material!A:D,3,0),"")</f>
        <v>DUAL</v>
      </c>
    </row>
    <row r="3183" ht="11.25" customHeight="1">
      <c r="A3183" s="21" t="str">
        <f>IFERROR(__xludf.DUMMYFUNCTION("""COMPUTED_VALUE"""),"ARRIS TG1692A")</f>
        <v>ARRIS TG1692A</v>
      </c>
      <c r="B3183" s="22">
        <f>IFERROR(__xludf.DUMMYFUNCTION("""COMPUTED_VALUE"""),4.1001293E7)</f>
        <v>41001293</v>
      </c>
      <c r="C3183" s="21" t="str">
        <f>IFERROR(__xludf.DUMMYFUNCTION("""COMPUTED_VALUE"""),"4C1265EA445E")</f>
        <v>4C1265EA445E</v>
      </c>
      <c r="D3183" s="21" t="str">
        <f>IFERROR(__xludf.DUMMYFUNCTION("""COMPUTED_VALUE"""),"DIGITEC TECNOLOGIA DIGITAL E REPRES")</f>
        <v>DIGITEC TECNOLOGIA DIGITAL E REPRES</v>
      </c>
      <c r="E3183" s="21">
        <f>IFERROR(__xludf.DUMMYFUNCTION("""COMPUTED_VALUE"""),145359.0)</f>
        <v>145359</v>
      </c>
      <c r="F3183" s="21" t="str">
        <f>IFERROR(__xludf.DUMMYFUNCTION("""COMPUTED_VALUE"""),"TRANSITO REVERSA")</f>
        <v>TRANSITO REVERSA</v>
      </c>
      <c r="G3183" s="23">
        <f>IFERROR(__xludf.DUMMYFUNCTION("""COMPUTED_VALUE"""),45633.0033912037)</f>
        <v>45633.00339</v>
      </c>
      <c r="H3183" s="24" t="str">
        <f>IFERROR(VLOOKUP(B3183,material!A:D,3,0),"")</f>
        <v>DUAL</v>
      </c>
    </row>
    <row r="3184" ht="11.25" customHeight="1">
      <c r="A3184" s="21" t="str">
        <f>IFERROR(__xludf.DUMMYFUNCTION("""COMPUTED_VALUE"""),"ARRIS TG1692A")</f>
        <v>ARRIS TG1692A</v>
      </c>
      <c r="B3184" s="22">
        <f>IFERROR(__xludf.DUMMYFUNCTION("""COMPUTED_VALUE"""),4.1001293E7)</f>
        <v>41001293</v>
      </c>
      <c r="C3184" s="21" t="str">
        <f>IFERROR(__xludf.DUMMYFUNCTION("""COMPUTED_VALUE"""),"5819F845F563")</f>
        <v>5819F845F563</v>
      </c>
      <c r="D3184" s="21" t="str">
        <f>IFERROR(__xludf.DUMMYFUNCTION("""COMPUTED_VALUE"""),"DIGITEC TECNOLOGIA DIGITAL E REPRES")</f>
        <v>DIGITEC TECNOLOGIA DIGITAL E REPRES</v>
      </c>
      <c r="E3184" s="21">
        <f>IFERROR(__xludf.DUMMYFUNCTION("""COMPUTED_VALUE"""),145359.0)</f>
        <v>145359</v>
      </c>
      <c r="F3184" s="21" t="str">
        <f>IFERROR(__xludf.DUMMYFUNCTION("""COMPUTED_VALUE"""),"TRANSITO REVERSA")</f>
        <v>TRANSITO REVERSA</v>
      </c>
      <c r="G3184" s="23">
        <f>IFERROR(__xludf.DUMMYFUNCTION("""COMPUTED_VALUE"""),45638.521099537036)</f>
        <v>45638.5211</v>
      </c>
      <c r="H3184" s="24" t="str">
        <f>IFERROR(VLOOKUP(B3184,material!A:D,3,0),"")</f>
        <v>DUAL</v>
      </c>
    </row>
    <row r="3185" ht="11.25" customHeight="1">
      <c r="A3185" s="21" t="str">
        <f>IFERROR(__xludf.DUMMYFUNCTION("""COMPUTED_VALUE"""),"HUMAX HGB10R-02")</f>
        <v>HUMAX HGB10R-02</v>
      </c>
      <c r="B3185" s="22">
        <f>IFERROR(__xludf.DUMMYFUNCTION("""COMPUTED_VALUE"""),4.1001292E7)</f>
        <v>41001292</v>
      </c>
      <c r="C3185" s="21" t="str">
        <f>IFERROR(__xludf.DUMMYFUNCTION("""COMPUTED_VALUE"""),"8C444F5C0C4C")</f>
        <v>8C444F5C0C4C</v>
      </c>
      <c r="D3185" s="21" t="str">
        <f>IFERROR(__xludf.DUMMYFUNCTION("""COMPUTED_VALUE"""),"DIGITEC TECNOLOGIA DIGITAL E REPRES")</f>
        <v>DIGITEC TECNOLOGIA DIGITAL E REPRES</v>
      </c>
      <c r="E3185" s="21">
        <f>IFERROR(__xludf.DUMMYFUNCTION("""COMPUTED_VALUE"""),145359.0)</f>
        <v>145359</v>
      </c>
      <c r="F3185" s="21" t="str">
        <f>IFERROR(__xludf.DUMMYFUNCTION("""COMPUTED_VALUE"""),"TRANSITO REVERSA")</f>
        <v>TRANSITO REVERSA</v>
      </c>
      <c r="G3185" s="23">
        <f>IFERROR(__xludf.DUMMYFUNCTION("""COMPUTED_VALUE"""),45604.4906712963)</f>
        <v>45604.49067</v>
      </c>
      <c r="H3185" s="24" t="str">
        <f>IFERROR(VLOOKUP(B3185,material!A:D,3,0),"")</f>
        <v>DUAL</v>
      </c>
    </row>
    <row r="3186" ht="11.25" customHeight="1">
      <c r="A3186" s="21" t="str">
        <f>IFERROR(__xludf.DUMMYFUNCTION("""COMPUTED_VALUE"""),"HUMAX HGB10R-02")</f>
        <v>HUMAX HGB10R-02</v>
      </c>
      <c r="B3186" s="22">
        <f>IFERROR(__xludf.DUMMYFUNCTION("""COMPUTED_VALUE"""),4.1001292E7)</f>
        <v>41001292</v>
      </c>
      <c r="C3186" s="21" t="str">
        <f>IFERROR(__xludf.DUMMYFUNCTION("""COMPUTED_VALUE"""),"8C444F59FFCA")</f>
        <v>8C444F59FFCA</v>
      </c>
      <c r="D3186" s="21" t="str">
        <f>IFERROR(__xludf.DUMMYFUNCTION("""COMPUTED_VALUE"""),"DIGITEC TECNOLOGIA DIGITAL E REPRES")</f>
        <v>DIGITEC TECNOLOGIA DIGITAL E REPRES</v>
      </c>
      <c r="E3186" s="21">
        <f>IFERROR(__xludf.DUMMYFUNCTION("""COMPUTED_VALUE"""),145359.0)</f>
        <v>145359</v>
      </c>
      <c r="F3186" s="21" t="str">
        <f>IFERROR(__xludf.DUMMYFUNCTION("""COMPUTED_VALUE"""),"TRANSITO REVERSA")</f>
        <v>TRANSITO REVERSA</v>
      </c>
      <c r="G3186" s="23">
        <f>IFERROR(__xludf.DUMMYFUNCTION("""COMPUTED_VALUE"""),45633.00340277777)</f>
        <v>45633.0034</v>
      </c>
      <c r="H3186" s="24" t="str">
        <f>IFERROR(VLOOKUP(B3186,material!A:D,3,0),"")</f>
        <v>DUAL</v>
      </c>
    </row>
    <row r="3187" ht="11.25" customHeight="1">
      <c r="A3187" s="21" t="str">
        <f>IFERROR(__xludf.DUMMYFUNCTION("""COMPUTED_VALUE"""),"HUMAX HGB10R-02")</f>
        <v>HUMAX HGB10R-02</v>
      </c>
      <c r="B3187" s="22">
        <f>IFERROR(__xludf.DUMMYFUNCTION("""COMPUTED_VALUE"""),4.1001292E7)</f>
        <v>41001292</v>
      </c>
      <c r="C3187" s="21" t="str">
        <f>IFERROR(__xludf.DUMMYFUNCTION("""COMPUTED_VALUE"""),"8C444F3F88FE")</f>
        <v>8C444F3F88FE</v>
      </c>
      <c r="D3187" s="21" t="str">
        <f>IFERROR(__xludf.DUMMYFUNCTION("""COMPUTED_VALUE"""),"DIGITEC TECNOLOGIA DIGITAL E REPRES")</f>
        <v>DIGITEC TECNOLOGIA DIGITAL E REPRES</v>
      </c>
      <c r="E3187" s="21">
        <f>IFERROR(__xludf.DUMMYFUNCTION("""COMPUTED_VALUE"""),145359.0)</f>
        <v>145359</v>
      </c>
      <c r="F3187" s="21" t="str">
        <f>IFERROR(__xludf.DUMMYFUNCTION("""COMPUTED_VALUE"""),"TRANSITO REVERSA")</f>
        <v>TRANSITO REVERSA</v>
      </c>
      <c r="G3187" s="23">
        <f>IFERROR(__xludf.DUMMYFUNCTION("""COMPUTED_VALUE"""),45604.49068287037)</f>
        <v>45604.49068</v>
      </c>
      <c r="H3187" s="24" t="str">
        <f>IFERROR(VLOOKUP(B3187,material!A:D,3,0),"")</f>
        <v>DUAL</v>
      </c>
    </row>
    <row r="3188" ht="11.25" customHeight="1">
      <c r="A3188" s="21" t="str">
        <f>IFERROR(__xludf.DUMMYFUNCTION("""COMPUTED_VALUE"""),"HUMAX HGB10R-02")</f>
        <v>HUMAX HGB10R-02</v>
      </c>
      <c r="B3188" s="22">
        <f>IFERROR(__xludf.DUMMYFUNCTION("""COMPUTED_VALUE"""),4.1001292E7)</f>
        <v>41001292</v>
      </c>
      <c r="C3188" s="21" t="str">
        <f>IFERROR(__xludf.DUMMYFUNCTION("""COMPUTED_VALUE"""),"8C444F3C5F2E")</f>
        <v>8C444F3C5F2E</v>
      </c>
      <c r="D3188" s="21" t="str">
        <f>IFERROR(__xludf.DUMMYFUNCTION("""COMPUTED_VALUE"""),"DIGITEC TECNOLOGIA DIGITAL E REPRES")</f>
        <v>DIGITEC TECNOLOGIA DIGITAL E REPRES</v>
      </c>
      <c r="E3188" s="21">
        <f>IFERROR(__xludf.DUMMYFUNCTION("""COMPUTED_VALUE"""),145359.0)</f>
        <v>145359</v>
      </c>
      <c r="F3188" s="21" t="str">
        <f>IFERROR(__xludf.DUMMYFUNCTION("""COMPUTED_VALUE"""),"TRANSITO REVERSA")</f>
        <v>TRANSITO REVERSA</v>
      </c>
      <c r="G3188" s="23">
        <f>IFERROR(__xludf.DUMMYFUNCTION("""COMPUTED_VALUE"""),45610.730416666665)</f>
        <v>45610.73042</v>
      </c>
      <c r="H3188" s="24" t="str">
        <f>IFERROR(VLOOKUP(B3188,material!A:D,3,0),"")</f>
        <v>DUAL</v>
      </c>
    </row>
    <row r="3189" ht="11.25" customHeight="1">
      <c r="A3189" s="21" t="str">
        <f>IFERROR(__xludf.DUMMYFUNCTION("""COMPUTED_VALUE"""),"HUMAX HGB10R-02")</f>
        <v>HUMAX HGB10R-02</v>
      </c>
      <c r="B3189" s="22">
        <f>IFERROR(__xludf.DUMMYFUNCTION("""COMPUTED_VALUE"""),4.1001292E7)</f>
        <v>41001292</v>
      </c>
      <c r="C3189" s="21" t="str">
        <f>IFERROR(__xludf.DUMMYFUNCTION("""COMPUTED_VALUE"""),"8C444F37A2EC")</f>
        <v>8C444F37A2EC</v>
      </c>
      <c r="D3189" s="21" t="str">
        <f>IFERROR(__xludf.DUMMYFUNCTION("""COMPUTED_VALUE"""),"DIGITEC TECNOLOGIA DIGITAL E REPRES")</f>
        <v>DIGITEC TECNOLOGIA DIGITAL E REPRES</v>
      </c>
      <c r="E3189" s="21">
        <f>IFERROR(__xludf.DUMMYFUNCTION("""COMPUTED_VALUE"""),145359.0)</f>
        <v>145359</v>
      </c>
      <c r="F3189" s="21" t="str">
        <f>IFERROR(__xludf.DUMMYFUNCTION("""COMPUTED_VALUE"""),"TRANSITO REVERSA")</f>
        <v>TRANSITO REVERSA</v>
      </c>
      <c r="G3189" s="23">
        <f>IFERROR(__xludf.DUMMYFUNCTION("""COMPUTED_VALUE"""),45626.298692129625)</f>
        <v>45626.29869</v>
      </c>
      <c r="H3189" s="24" t="str">
        <f>IFERROR(VLOOKUP(B3189,material!A:D,3,0),"")</f>
        <v>DUAL</v>
      </c>
    </row>
    <row r="3190" ht="11.25" customHeight="1">
      <c r="A3190" s="21" t="str">
        <f>IFERROR(__xludf.DUMMYFUNCTION("""COMPUTED_VALUE"""),"HUMAX HGB10R-02")</f>
        <v>HUMAX HGB10R-02</v>
      </c>
      <c r="B3190" s="22">
        <f>IFERROR(__xludf.DUMMYFUNCTION("""COMPUTED_VALUE"""),4.1001292E7)</f>
        <v>41001292</v>
      </c>
      <c r="C3190" s="21" t="str">
        <f>IFERROR(__xludf.DUMMYFUNCTION("""COMPUTED_VALUE"""),"8C444F403F83")</f>
        <v>8C444F403F83</v>
      </c>
      <c r="D3190" s="21" t="str">
        <f>IFERROR(__xludf.DUMMYFUNCTION("""COMPUTED_VALUE"""),"DIGITEC TECNOLOGIA DIGITAL E REPRES")</f>
        <v>DIGITEC TECNOLOGIA DIGITAL E REPRES</v>
      </c>
      <c r="E3190" s="21">
        <f>IFERROR(__xludf.DUMMYFUNCTION("""COMPUTED_VALUE"""),145359.0)</f>
        <v>145359</v>
      </c>
      <c r="F3190" s="21" t="str">
        <f>IFERROR(__xludf.DUMMYFUNCTION("""COMPUTED_VALUE"""),"TRANSITO REVERSA")</f>
        <v>TRANSITO REVERSA</v>
      </c>
      <c r="G3190" s="23">
        <f>IFERROR(__xludf.DUMMYFUNCTION("""COMPUTED_VALUE"""),45633.003379629634)</f>
        <v>45633.00338</v>
      </c>
      <c r="H3190" s="24" t="str">
        <f>IFERROR(VLOOKUP(B3190,material!A:D,3,0),"")</f>
        <v>DUAL</v>
      </c>
    </row>
    <row r="3191" ht="11.25" customHeight="1">
      <c r="A3191" s="21" t="str">
        <f>IFERROR(__xludf.DUMMYFUNCTION("""COMPUTED_VALUE"""),"HUMAX HGB10R-02")</f>
        <v>HUMAX HGB10R-02</v>
      </c>
      <c r="B3191" s="22">
        <f>IFERROR(__xludf.DUMMYFUNCTION("""COMPUTED_VALUE"""),4.1001292E7)</f>
        <v>41001292</v>
      </c>
      <c r="C3191" s="21" t="str">
        <f>IFERROR(__xludf.DUMMYFUNCTION("""COMPUTED_VALUE"""),"8C444F3F1FFE")</f>
        <v>8C444F3F1FFE</v>
      </c>
      <c r="D3191" s="21" t="str">
        <f>IFERROR(__xludf.DUMMYFUNCTION("""COMPUTED_VALUE"""),"DIGITEC TECNOLOGIA DIGITAL E REPRES")</f>
        <v>DIGITEC TECNOLOGIA DIGITAL E REPRES</v>
      </c>
      <c r="E3191" s="21">
        <f>IFERROR(__xludf.DUMMYFUNCTION("""COMPUTED_VALUE"""),145359.0)</f>
        <v>145359</v>
      </c>
      <c r="F3191" s="21" t="str">
        <f>IFERROR(__xludf.DUMMYFUNCTION("""COMPUTED_VALUE"""),"TRANSITO REVERSA")</f>
        <v>TRANSITO REVERSA</v>
      </c>
      <c r="G3191" s="23">
        <f>IFERROR(__xludf.DUMMYFUNCTION("""COMPUTED_VALUE"""),45633.00340277777)</f>
        <v>45633.0034</v>
      </c>
      <c r="H3191" s="24" t="str">
        <f>IFERROR(VLOOKUP(B3191,material!A:D,3,0),"")</f>
        <v>DUAL</v>
      </c>
    </row>
    <row r="3192" ht="11.25" customHeight="1">
      <c r="A3192" s="21" t="str">
        <f>IFERROR(__xludf.DUMMYFUNCTION("""COMPUTED_VALUE"""),"HUMAX HGB10R-02")</f>
        <v>HUMAX HGB10R-02</v>
      </c>
      <c r="B3192" s="22">
        <f>IFERROR(__xludf.DUMMYFUNCTION("""COMPUTED_VALUE"""),4.1001292E7)</f>
        <v>41001292</v>
      </c>
      <c r="C3192" s="21" t="str">
        <f>IFERROR(__xludf.DUMMYFUNCTION("""COMPUTED_VALUE"""),"8C444F397E36")</f>
        <v>8C444F397E36</v>
      </c>
      <c r="D3192" s="21" t="str">
        <f>IFERROR(__xludf.DUMMYFUNCTION("""COMPUTED_VALUE"""),"DIGITEC TECNOLOGIA DIGITAL E REPRES")</f>
        <v>DIGITEC TECNOLOGIA DIGITAL E REPRES</v>
      </c>
      <c r="E3192" s="21">
        <f>IFERROR(__xludf.DUMMYFUNCTION("""COMPUTED_VALUE"""),145359.0)</f>
        <v>145359</v>
      </c>
      <c r="F3192" s="21" t="str">
        <f>IFERROR(__xludf.DUMMYFUNCTION("""COMPUTED_VALUE"""),"TRANSITO REVERSA")</f>
        <v>TRANSITO REVERSA</v>
      </c>
      <c r="G3192" s="23">
        <f>IFERROR(__xludf.DUMMYFUNCTION("""COMPUTED_VALUE"""),45638.52112268518)</f>
        <v>45638.52112</v>
      </c>
      <c r="H3192" s="24" t="str">
        <f>IFERROR(VLOOKUP(B3192,material!A:D,3,0),"")</f>
        <v>DUAL</v>
      </c>
    </row>
    <row r="3193" ht="11.25" customHeight="1">
      <c r="A3193" s="21" t="str">
        <f>IFERROR(__xludf.DUMMYFUNCTION("""COMPUTED_VALUE"""),"HUMAX HGB10R-02")</f>
        <v>HUMAX HGB10R-02</v>
      </c>
      <c r="B3193" s="22">
        <f>IFERROR(__xludf.DUMMYFUNCTION("""COMPUTED_VALUE"""),4.1001292E7)</f>
        <v>41001292</v>
      </c>
      <c r="C3193" s="21" t="str">
        <f>IFERROR(__xludf.DUMMYFUNCTION("""COMPUTED_VALUE"""),"E820E2CD12AB")</f>
        <v>E820E2CD12AB</v>
      </c>
      <c r="D3193" s="21" t="str">
        <f>IFERROR(__xludf.DUMMYFUNCTION("""COMPUTED_VALUE"""),"DIGITEC TECNOLOGIA DIGITAL E REPRES")</f>
        <v>DIGITEC TECNOLOGIA DIGITAL E REPRES</v>
      </c>
      <c r="E3193" s="21">
        <f>IFERROR(__xludf.DUMMYFUNCTION("""COMPUTED_VALUE"""),145359.0)</f>
        <v>145359</v>
      </c>
      <c r="F3193" s="21" t="str">
        <f>IFERROR(__xludf.DUMMYFUNCTION("""COMPUTED_VALUE"""),"TRANSITO REVERSA")</f>
        <v>TRANSITO REVERSA</v>
      </c>
      <c r="G3193" s="23">
        <f>IFERROR(__xludf.DUMMYFUNCTION("""COMPUTED_VALUE"""),45633.00340277777)</f>
        <v>45633.0034</v>
      </c>
      <c r="H3193" s="24" t="str">
        <f>IFERROR(VLOOKUP(B3193,material!A:D,3,0),"")</f>
        <v>DUAL</v>
      </c>
    </row>
    <row r="3194" ht="11.25" customHeight="1">
      <c r="A3194" s="21" t="str">
        <f>IFERROR(__xludf.DUMMYFUNCTION("""COMPUTED_VALUE"""),"HUMAX HGB10R-02")</f>
        <v>HUMAX HGB10R-02</v>
      </c>
      <c r="B3194" s="22">
        <f>IFERROR(__xludf.DUMMYFUNCTION("""COMPUTED_VALUE"""),4.1001292E7)</f>
        <v>41001292</v>
      </c>
      <c r="C3194" s="21" t="str">
        <f>IFERROR(__xludf.DUMMYFUNCTION("""COMPUTED_VALUE"""),"E820E2E9493A")</f>
        <v>E820E2E9493A</v>
      </c>
      <c r="D3194" s="21" t="str">
        <f>IFERROR(__xludf.DUMMYFUNCTION("""COMPUTED_VALUE"""),"DIGITEC TECNOLOGIA DIGITAL E REPRES")</f>
        <v>DIGITEC TECNOLOGIA DIGITAL E REPRES</v>
      </c>
      <c r="E3194" s="21">
        <f>IFERROR(__xludf.DUMMYFUNCTION("""COMPUTED_VALUE"""),145359.0)</f>
        <v>145359</v>
      </c>
      <c r="F3194" s="21" t="str">
        <f>IFERROR(__xludf.DUMMYFUNCTION("""COMPUTED_VALUE"""),"TRANSITO REVERSA")</f>
        <v>TRANSITO REVERSA</v>
      </c>
      <c r="G3194" s="23">
        <f>IFERROR(__xludf.DUMMYFUNCTION("""COMPUTED_VALUE"""),45633.00341435186)</f>
        <v>45633.00341</v>
      </c>
      <c r="H3194" s="24" t="str">
        <f>IFERROR(VLOOKUP(B3194,material!A:D,3,0),"")</f>
        <v>DUAL</v>
      </c>
    </row>
    <row r="3195" ht="11.25" customHeight="1">
      <c r="A3195" s="21" t="str">
        <f>IFERROR(__xludf.DUMMYFUNCTION("""COMPUTED_VALUE"""),"HUMAX HGB10R-02")</f>
        <v>HUMAX HGB10R-02</v>
      </c>
      <c r="B3195" s="22">
        <f>IFERROR(__xludf.DUMMYFUNCTION("""COMPUTED_VALUE"""),4.1001292E7)</f>
        <v>41001292</v>
      </c>
      <c r="C3195" s="21" t="str">
        <f>IFERROR(__xludf.DUMMYFUNCTION("""COMPUTED_VALUE"""),"E820E299B5B2")</f>
        <v>E820E299B5B2</v>
      </c>
      <c r="D3195" s="21" t="str">
        <f>IFERROR(__xludf.DUMMYFUNCTION("""COMPUTED_VALUE"""),"DIGITEC TECNOLOGIA DIGITAL E REPRES")</f>
        <v>DIGITEC TECNOLOGIA DIGITAL E REPRES</v>
      </c>
      <c r="E3195" s="21">
        <f>IFERROR(__xludf.DUMMYFUNCTION("""COMPUTED_VALUE"""),145359.0)</f>
        <v>145359</v>
      </c>
      <c r="F3195" s="21" t="str">
        <f>IFERROR(__xludf.DUMMYFUNCTION("""COMPUTED_VALUE"""),"TRANSITO REVERSA")</f>
        <v>TRANSITO REVERSA</v>
      </c>
      <c r="G3195" s="23">
        <f>IFERROR(__xludf.DUMMYFUNCTION("""COMPUTED_VALUE"""),45617.87143518518)</f>
        <v>45617.87144</v>
      </c>
      <c r="H3195" s="24" t="str">
        <f>IFERROR(VLOOKUP(B3195,material!A:D,3,0),"")</f>
        <v>DUAL</v>
      </c>
    </row>
    <row r="3196" ht="11.25" customHeight="1">
      <c r="A3196" s="21" t="str">
        <f>IFERROR(__xludf.DUMMYFUNCTION("""COMPUTED_VALUE"""),"HUMAX HGB10R-02")</f>
        <v>HUMAX HGB10R-02</v>
      </c>
      <c r="B3196" s="22">
        <f>IFERROR(__xludf.DUMMYFUNCTION("""COMPUTED_VALUE"""),4.1001292E7)</f>
        <v>41001292</v>
      </c>
      <c r="C3196" s="21" t="str">
        <f>IFERROR(__xludf.DUMMYFUNCTION("""COMPUTED_VALUE"""),"8C444F7C1853")</f>
        <v>8C444F7C1853</v>
      </c>
      <c r="D3196" s="21" t="str">
        <f>IFERROR(__xludf.DUMMYFUNCTION("""COMPUTED_VALUE"""),"DIGITEC TECNOLOGIA DIGITAL E REPRES")</f>
        <v>DIGITEC TECNOLOGIA DIGITAL E REPRES</v>
      </c>
      <c r="E3196" s="21">
        <f>IFERROR(__xludf.DUMMYFUNCTION("""COMPUTED_VALUE"""),145359.0)</f>
        <v>145359</v>
      </c>
      <c r="F3196" s="21" t="str">
        <f>IFERROR(__xludf.DUMMYFUNCTION("""COMPUTED_VALUE"""),"TRANSITO REVERSA")</f>
        <v>TRANSITO REVERSA</v>
      </c>
      <c r="G3196" s="23">
        <f>IFERROR(__xludf.DUMMYFUNCTION("""COMPUTED_VALUE"""),45633.00396990741)</f>
        <v>45633.00397</v>
      </c>
      <c r="H3196" s="24" t="str">
        <f>IFERROR(VLOOKUP(B3196,material!A:D,3,0),"")</f>
        <v>DUAL</v>
      </c>
    </row>
    <row r="3197" ht="11.25" customHeight="1">
      <c r="A3197" s="21" t="str">
        <f>IFERROR(__xludf.DUMMYFUNCTION("""COMPUTED_VALUE"""),"HUMAX HGB10R-02")</f>
        <v>HUMAX HGB10R-02</v>
      </c>
      <c r="B3197" s="22">
        <f>IFERROR(__xludf.DUMMYFUNCTION("""COMPUTED_VALUE"""),4.1001292E7)</f>
        <v>41001292</v>
      </c>
      <c r="C3197" s="21" t="str">
        <f>IFERROR(__xludf.DUMMYFUNCTION("""COMPUTED_VALUE"""),"8C444F7DF8B3")</f>
        <v>8C444F7DF8B3</v>
      </c>
      <c r="D3197" s="21" t="str">
        <f>IFERROR(__xludf.DUMMYFUNCTION("""COMPUTED_VALUE"""),"DIGITEC TECNOLOGIA DIGITAL E REPRES")</f>
        <v>DIGITEC TECNOLOGIA DIGITAL E REPRES</v>
      </c>
      <c r="E3197" s="21">
        <f>IFERROR(__xludf.DUMMYFUNCTION("""COMPUTED_VALUE"""),145359.0)</f>
        <v>145359</v>
      </c>
      <c r="F3197" s="21" t="str">
        <f>IFERROR(__xludf.DUMMYFUNCTION("""COMPUTED_VALUE"""),"TRANSITO REVERSA")</f>
        <v>TRANSITO REVERSA</v>
      </c>
      <c r="G3197" s="23">
        <f>IFERROR(__xludf.DUMMYFUNCTION("""COMPUTED_VALUE"""),45633.00399305555)</f>
        <v>45633.00399</v>
      </c>
      <c r="H3197" s="24" t="str">
        <f>IFERROR(VLOOKUP(B3197,material!A:D,3,0),"")</f>
        <v>DUAL</v>
      </c>
    </row>
    <row r="3198" ht="11.25" customHeight="1">
      <c r="A3198" s="21" t="str">
        <f>IFERROR(__xludf.DUMMYFUNCTION("""COMPUTED_VALUE"""),"HUMAX HGB10R-02")</f>
        <v>HUMAX HGB10R-02</v>
      </c>
      <c r="B3198" s="22">
        <f>IFERROR(__xludf.DUMMYFUNCTION("""COMPUTED_VALUE"""),4.1001292E7)</f>
        <v>41001292</v>
      </c>
      <c r="C3198" s="21" t="str">
        <f>IFERROR(__xludf.DUMMYFUNCTION("""COMPUTED_VALUE"""),"8C444F9AD18A")</f>
        <v>8C444F9AD18A</v>
      </c>
      <c r="D3198" s="21" t="str">
        <f>IFERROR(__xludf.DUMMYFUNCTION("""COMPUTED_VALUE"""),"DIGITEC TECNOLOGIA DIGITAL E REPRES")</f>
        <v>DIGITEC TECNOLOGIA DIGITAL E REPRES</v>
      </c>
      <c r="E3198" s="21">
        <f>IFERROR(__xludf.DUMMYFUNCTION("""COMPUTED_VALUE"""),145359.0)</f>
        <v>145359</v>
      </c>
      <c r="F3198" s="21" t="str">
        <f>IFERROR(__xludf.DUMMYFUNCTION("""COMPUTED_VALUE"""),"TRANSITO REVERSA")</f>
        <v>TRANSITO REVERSA</v>
      </c>
      <c r="G3198" s="23">
        <f>IFERROR(__xludf.DUMMYFUNCTION("""COMPUTED_VALUE"""),45626.2987037037)</f>
        <v>45626.2987</v>
      </c>
      <c r="H3198" s="24" t="str">
        <f>IFERROR(VLOOKUP(B3198,material!A:D,3,0),"")</f>
        <v>DUAL</v>
      </c>
    </row>
    <row r="3199" ht="11.25" customHeight="1">
      <c r="A3199" s="21" t="str">
        <f>IFERROR(__xludf.DUMMYFUNCTION("""COMPUTED_VALUE"""),"HUMAX HGB10R-02")</f>
        <v>HUMAX HGB10R-02</v>
      </c>
      <c r="B3199" s="22">
        <f>IFERROR(__xludf.DUMMYFUNCTION("""COMPUTED_VALUE"""),4.1001292E7)</f>
        <v>41001292</v>
      </c>
      <c r="C3199" s="21" t="str">
        <f>IFERROR(__xludf.DUMMYFUNCTION("""COMPUTED_VALUE"""),"8C444F9B7CA8")</f>
        <v>8C444F9B7CA8</v>
      </c>
      <c r="D3199" s="21" t="str">
        <f>IFERROR(__xludf.DUMMYFUNCTION("""COMPUTED_VALUE"""),"DIGITEC TECNOLOGIA DIGITAL E REPRES")</f>
        <v>DIGITEC TECNOLOGIA DIGITAL E REPRES</v>
      </c>
      <c r="E3199" s="21">
        <f>IFERROR(__xludf.DUMMYFUNCTION("""COMPUTED_VALUE"""),145359.0)</f>
        <v>145359</v>
      </c>
      <c r="F3199" s="21" t="str">
        <f>IFERROR(__xludf.DUMMYFUNCTION("""COMPUTED_VALUE"""),"TRANSITO REVERSA")</f>
        <v>TRANSITO REVERSA</v>
      </c>
      <c r="G3199" s="23">
        <f>IFERROR(__xludf.DUMMYFUNCTION("""COMPUTED_VALUE"""),45633.00340277777)</f>
        <v>45633.0034</v>
      </c>
      <c r="H3199" s="24" t="str">
        <f>IFERROR(VLOOKUP(B3199,material!A:D,3,0),"")</f>
        <v>DUAL</v>
      </c>
    </row>
    <row r="3200" ht="11.25" customHeight="1">
      <c r="A3200" s="21" t="str">
        <f>IFERROR(__xludf.DUMMYFUNCTION("""COMPUTED_VALUE"""),"HUMAX HGB10R-02")</f>
        <v>HUMAX HGB10R-02</v>
      </c>
      <c r="B3200" s="22">
        <f>IFERROR(__xludf.DUMMYFUNCTION("""COMPUTED_VALUE"""),4.1001292E7)</f>
        <v>41001292</v>
      </c>
      <c r="C3200" s="21" t="str">
        <f>IFERROR(__xludf.DUMMYFUNCTION("""COMPUTED_VALUE"""),"8C444F9BEE1B")</f>
        <v>8C444F9BEE1B</v>
      </c>
      <c r="D3200" s="21" t="str">
        <f>IFERROR(__xludf.DUMMYFUNCTION("""COMPUTED_VALUE"""),"DIGITEC TECNOLOGIA DIGITAL E REPRES")</f>
        <v>DIGITEC TECNOLOGIA DIGITAL E REPRES</v>
      </c>
      <c r="E3200" s="21">
        <f>IFERROR(__xludf.DUMMYFUNCTION("""COMPUTED_VALUE"""),145359.0)</f>
        <v>145359</v>
      </c>
      <c r="F3200" s="21" t="str">
        <f>IFERROR(__xludf.DUMMYFUNCTION("""COMPUTED_VALUE"""),"TRANSITO REVERSA")</f>
        <v>TRANSITO REVERSA</v>
      </c>
      <c r="G3200" s="23">
        <f>IFERROR(__xludf.DUMMYFUNCTION("""COMPUTED_VALUE"""),45633.00341435186)</f>
        <v>45633.00341</v>
      </c>
      <c r="H3200" s="24" t="str">
        <f>IFERROR(VLOOKUP(B3200,material!A:D,3,0),"")</f>
        <v>DUAL</v>
      </c>
    </row>
    <row r="3201" ht="11.25" customHeight="1">
      <c r="A3201" s="21" t="str">
        <f>IFERROR(__xludf.DUMMYFUNCTION("""COMPUTED_VALUE"""),"HUMAX HGB10R-02")</f>
        <v>HUMAX HGB10R-02</v>
      </c>
      <c r="B3201" s="22">
        <f>IFERROR(__xludf.DUMMYFUNCTION("""COMPUTED_VALUE"""),4.1001292E7)</f>
        <v>41001292</v>
      </c>
      <c r="C3201" s="21" t="str">
        <f>IFERROR(__xludf.DUMMYFUNCTION("""COMPUTED_VALUE"""),"8C444F9B1036")</f>
        <v>8C444F9B1036</v>
      </c>
      <c r="D3201" s="21" t="str">
        <f>IFERROR(__xludf.DUMMYFUNCTION("""COMPUTED_VALUE"""),"DIGITEC TECNOLOGIA DIGITAL E REPRES")</f>
        <v>DIGITEC TECNOLOGIA DIGITAL E REPRES</v>
      </c>
      <c r="E3201" s="21">
        <f>IFERROR(__xludf.DUMMYFUNCTION("""COMPUTED_VALUE"""),145359.0)</f>
        <v>145359</v>
      </c>
      <c r="F3201" s="21" t="str">
        <f>IFERROR(__xludf.DUMMYFUNCTION("""COMPUTED_VALUE"""),"TRANSITO REVERSA")</f>
        <v>TRANSITO REVERSA</v>
      </c>
      <c r="G3201" s="23">
        <f>IFERROR(__xludf.DUMMYFUNCTION("""COMPUTED_VALUE"""),45633.00396990741)</f>
        <v>45633.00397</v>
      </c>
      <c r="H3201" s="24" t="str">
        <f>IFERROR(VLOOKUP(B3201,material!A:D,3,0),"")</f>
        <v>DUAL</v>
      </c>
    </row>
    <row r="3202" ht="11.25" customHeight="1">
      <c r="A3202" s="21" t="str">
        <f>IFERROR(__xludf.DUMMYFUNCTION("""COMPUTED_VALUE"""),"HUMAX HGB10R-02")</f>
        <v>HUMAX HGB10R-02</v>
      </c>
      <c r="B3202" s="22">
        <f>IFERROR(__xludf.DUMMYFUNCTION("""COMPUTED_VALUE"""),4.1001292E7)</f>
        <v>41001292</v>
      </c>
      <c r="C3202" s="21" t="str">
        <f>IFERROR(__xludf.DUMMYFUNCTION("""COMPUTED_VALUE"""),"8C444F7E64A7")</f>
        <v>8C444F7E64A7</v>
      </c>
      <c r="D3202" s="21" t="str">
        <f>IFERROR(__xludf.DUMMYFUNCTION("""COMPUTED_VALUE"""),"DIGITEC TECNOLOGIA DIGITAL E REPRES")</f>
        <v>DIGITEC TECNOLOGIA DIGITAL E REPRES</v>
      </c>
      <c r="E3202" s="21">
        <f>IFERROR(__xludf.DUMMYFUNCTION("""COMPUTED_VALUE"""),145359.0)</f>
        <v>145359</v>
      </c>
      <c r="F3202" s="21" t="str">
        <f>IFERROR(__xludf.DUMMYFUNCTION("""COMPUTED_VALUE"""),"TRANSITO REVERSA")</f>
        <v>TRANSITO REVERSA</v>
      </c>
      <c r="G3202" s="23">
        <f>IFERROR(__xludf.DUMMYFUNCTION("""COMPUTED_VALUE"""),45617.87138888889)</f>
        <v>45617.87139</v>
      </c>
      <c r="H3202" s="24" t="str">
        <f>IFERROR(VLOOKUP(B3202,material!A:D,3,0),"")</f>
        <v>DUAL</v>
      </c>
    </row>
    <row r="3203" ht="11.25" customHeight="1">
      <c r="A3203" s="21" t="str">
        <f>IFERROR(__xludf.DUMMYFUNCTION("""COMPUTED_VALUE"""),"HUMAX HGB10R-02")</f>
        <v>HUMAX HGB10R-02</v>
      </c>
      <c r="B3203" s="22">
        <f>IFERROR(__xludf.DUMMYFUNCTION("""COMPUTED_VALUE"""),4.1001292E7)</f>
        <v>41001292</v>
      </c>
      <c r="C3203" s="21" t="str">
        <f>IFERROR(__xludf.DUMMYFUNCTION("""COMPUTED_VALUE"""),"8C444F7E5787")</f>
        <v>8C444F7E5787</v>
      </c>
      <c r="D3203" s="21" t="str">
        <f>IFERROR(__xludf.DUMMYFUNCTION("""COMPUTED_VALUE"""),"DIGITEC TECNOLOGIA DIGITAL E REPRES")</f>
        <v>DIGITEC TECNOLOGIA DIGITAL E REPRES</v>
      </c>
      <c r="E3203" s="21">
        <f>IFERROR(__xludf.DUMMYFUNCTION("""COMPUTED_VALUE"""),145359.0)</f>
        <v>145359</v>
      </c>
      <c r="F3203" s="21" t="str">
        <f>IFERROR(__xludf.DUMMYFUNCTION("""COMPUTED_VALUE"""),"TRANSITO REVERSA")</f>
        <v>TRANSITO REVERSA</v>
      </c>
      <c r="G3203" s="23">
        <f>IFERROR(__xludf.DUMMYFUNCTION("""COMPUTED_VALUE"""),45617.87140046296)</f>
        <v>45617.8714</v>
      </c>
      <c r="H3203" s="24" t="str">
        <f>IFERROR(VLOOKUP(B3203,material!A:D,3,0),"")</f>
        <v>DUAL</v>
      </c>
    </row>
    <row r="3204" ht="11.25" customHeight="1">
      <c r="A3204" s="21" t="str">
        <f>IFERROR(__xludf.DUMMYFUNCTION("""COMPUTED_VALUE"""),"HUMAX HGB10R-02")</f>
        <v>HUMAX HGB10R-02</v>
      </c>
      <c r="B3204" s="22">
        <f>IFERROR(__xludf.DUMMYFUNCTION("""COMPUTED_VALUE"""),4.1001292E7)</f>
        <v>41001292</v>
      </c>
      <c r="C3204" s="21" t="str">
        <f>IFERROR(__xludf.DUMMYFUNCTION("""COMPUTED_VALUE"""),"8C444F7133C1")</f>
        <v>8C444F7133C1</v>
      </c>
      <c r="D3204" s="21" t="str">
        <f>IFERROR(__xludf.DUMMYFUNCTION("""COMPUTED_VALUE"""),"DIGITEC TECNOLOGIA DIGITAL E REPRES")</f>
        <v>DIGITEC TECNOLOGIA DIGITAL E REPRES</v>
      </c>
      <c r="E3204" s="21">
        <f>IFERROR(__xludf.DUMMYFUNCTION("""COMPUTED_VALUE"""),145359.0)</f>
        <v>145359</v>
      </c>
      <c r="F3204" s="21" t="str">
        <f>IFERROR(__xludf.DUMMYFUNCTION("""COMPUTED_VALUE"""),"TRANSITO REVERSA")</f>
        <v>TRANSITO REVERSA</v>
      </c>
      <c r="G3204" s="23">
        <f>IFERROR(__xludf.DUMMYFUNCTION("""COMPUTED_VALUE"""),45633.00399305555)</f>
        <v>45633.00399</v>
      </c>
      <c r="H3204" s="24" t="str">
        <f>IFERROR(VLOOKUP(B3204,material!A:D,3,0),"")</f>
        <v>DUAL</v>
      </c>
    </row>
    <row r="3205" ht="11.25" customHeight="1">
      <c r="A3205" s="21" t="str">
        <f>IFERROR(__xludf.DUMMYFUNCTION("""COMPUTED_VALUE"""),"HUMAX HGB10R-02")</f>
        <v>HUMAX HGB10R-02</v>
      </c>
      <c r="B3205" s="22">
        <f>IFERROR(__xludf.DUMMYFUNCTION("""COMPUTED_VALUE"""),4.1001292E7)</f>
        <v>41001292</v>
      </c>
      <c r="C3205" s="21" t="str">
        <f>IFERROR(__xludf.DUMMYFUNCTION("""COMPUTED_VALUE"""),"8C444F57D041")</f>
        <v>8C444F57D041</v>
      </c>
      <c r="D3205" s="21" t="str">
        <f>IFERROR(__xludf.DUMMYFUNCTION("""COMPUTED_VALUE"""),"DIGITEC TECNOLOGIA DIGITAL E REPRES")</f>
        <v>DIGITEC TECNOLOGIA DIGITAL E REPRES</v>
      </c>
      <c r="E3205" s="21">
        <f>IFERROR(__xludf.DUMMYFUNCTION("""COMPUTED_VALUE"""),145359.0)</f>
        <v>145359</v>
      </c>
      <c r="F3205" s="21" t="str">
        <f>IFERROR(__xludf.DUMMYFUNCTION("""COMPUTED_VALUE"""),"TRANSITO REVERSA")</f>
        <v>TRANSITO REVERSA</v>
      </c>
      <c r="G3205" s="23">
        <f>IFERROR(__xludf.DUMMYFUNCTION("""COMPUTED_VALUE"""),45638.52061342592)</f>
        <v>45638.52061</v>
      </c>
      <c r="H3205" s="24" t="str">
        <f>IFERROR(VLOOKUP(B3205,material!A:D,3,0),"")</f>
        <v>DUAL</v>
      </c>
    </row>
    <row r="3206" ht="11.25" customHeight="1">
      <c r="A3206" s="21" t="str">
        <f>IFERROR(__xludf.DUMMYFUNCTION("""COMPUTED_VALUE"""),"HUMAX HGB10R-02")</f>
        <v>HUMAX HGB10R-02</v>
      </c>
      <c r="B3206" s="22">
        <f>IFERROR(__xludf.DUMMYFUNCTION("""COMPUTED_VALUE"""),4.1001292E7)</f>
        <v>41001292</v>
      </c>
      <c r="C3206" s="21" t="str">
        <f>IFERROR(__xludf.DUMMYFUNCTION("""COMPUTED_VALUE"""),"8C444F5E1715")</f>
        <v>8C444F5E1715</v>
      </c>
      <c r="D3206" s="21" t="str">
        <f>IFERROR(__xludf.DUMMYFUNCTION("""COMPUTED_VALUE"""),"DIGITEC TECNOLOGIA DIGITAL E REPRES")</f>
        <v>DIGITEC TECNOLOGIA DIGITAL E REPRES</v>
      </c>
      <c r="E3206" s="21">
        <f>IFERROR(__xludf.DUMMYFUNCTION("""COMPUTED_VALUE"""),145359.0)</f>
        <v>145359</v>
      </c>
      <c r="F3206" s="21" t="str">
        <f>IFERROR(__xludf.DUMMYFUNCTION("""COMPUTED_VALUE"""),"TRANSITO REVERSA")</f>
        <v>TRANSITO REVERSA</v>
      </c>
      <c r="G3206" s="23">
        <f>IFERROR(__xludf.DUMMYFUNCTION("""COMPUTED_VALUE"""),45617.87143518518)</f>
        <v>45617.87144</v>
      </c>
      <c r="H3206" s="24" t="str">
        <f>IFERROR(VLOOKUP(B3206,material!A:D,3,0),"")</f>
        <v>DUAL</v>
      </c>
    </row>
    <row r="3207" ht="11.25" customHeight="1">
      <c r="A3207" s="21" t="str">
        <f>IFERROR(__xludf.DUMMYFUNCTION("""COMPUTED_VALUE"""),"HUMAX HGB10R-02")</f>
        <v>HUMAX HGB10R-02</v>
      </c>
      <c r="B3207" s="22">
        <f>IFERROR(__xludf.DUMMYFUNCTION("""COMPUTED_VALUE"""),4.1001292E7)</f>
        <v>41001292</v>
      </c>
      <c r="C3207" s="21" t="str">
        <f>IFERROR(__xludf.DUMMYFUNCTION("""COMPUTED_VALUE"""),"8C444F5AE676")</f>
        <v>8C444F5AE676</v>
      </c>
      <c r="D3207" s="21" t="str">
        <f>IFERROR(__xludf.DUMMYFUNCTION("""COMPUTED_VALUE"""),"DIGITEC TECNOLOGIA DIGITAL E REPRES")</f>
        <v>DIGITEC TECNOLOGIA DIGITAL E REPRES</v>
      </c>
      <c r="E3207" s="21">
        <f>IFERROR(__xludf.DUMMYFUNCTION("""COMPUTED_VALUE"""),145359.0)</f>
        <v>145359</v>
      </c>
      <c r="F3207" s="21" t="str">
        <f>IFERROR(__xludf.DUMMYFUNCTION("""COMPUTED_VALUE"""),"TRANSITO REVERSA")</f>
        <v>TRANSITO REVERSA</v>
      </c>
      <c r="G3207" s="23">
        <f>IFERROR(__xludf.DUMMYFUNCTION("""COMPUTED_VALUE"""),45604.4906712963)</f>
        <v>45604.49067</v>
      </c>
      <c r="H3207" s="24" t="str">
        <f>IFERROR(VLOOKUP(B3207,material!A:D,3,0),"")</f>
        <v>DUAL</v>
      </c>
    </row>
    <row r="3208" ht="11.25" customHeight="1">
      <c r="A3208" s="21" t="str">
        <f>IFERROR(__xludf.DUMMYFUNCTION("""COMPUTED_VALUE"""),"HUMAX HGB10R-02")</f>
        <v>HUMAX HGB10R-02</v>
      </c>
      <c r="B3208" s="22">
        <f>IFERROR(__xludf.DUMMYFUNCTION("""COMPUTED_VALUE"""),4.1001292E7)</f>
        <v>41001292</v>
      </c>
      <c r="C3208" s="21" t="str">
        <f>IFERROR(__xludf.DUMMYFUNCTION("""COMPUTED_VALUE"""),"8C444F5CE12B")</f>
        <v>8C444F5CE12B</v>
      </c>
      <c r="D3208" s="21" t="str">
        <f>IFERROR(__xludf.DUMMYFUNCTION("""COMPUTED_VALUE"""),"DIGITEC TECNOLOGIA DIGITAL E REPRES")</f>
        <v>DIGITEC TECNOLOGIA DIGITAL E REPRES</v>
      </c>
      <c r="E3208" s="21">
        <f>IFERROR(__xludf.DUMMYFUNCTION("""COMPUTED_VALUE"""),145359.0)</f>
        <v>145359</v>
      </c>
      <c r="F3208" s="21" t="str">
        <f>IFERROR(__xludf.DUMMYFUNCTION("""COMPUTED_VALUE"""),"TRANSITO REVERSA")</f>
        <v>TRANSITO REVERSA</v>
      </c>
      <c r="G3208" s="23">
        <f>IFERROR(__xludf.DUMMYFUNCTION("""COMPUTED_VALUE"""),45626.29872685185)</f>
        <v>45626.29873</v>
      </c>
      <c r="H3208" s="24" t="str">
        <f>IFERROR(VLOOKUP(B3208,material!A:D,3,0),"")</f>
        <v>DUAL</v>
      </c>
    </row>
    <row r="3209" ht="11.25" customHeight="1">
      <c r="A3209" s="21" t="str">
        <f>IFERROR(__xludf.DUMMYFUNCTION("""COMPUTED_VALUE"""),"HUMAX HGB10R-02")</f>
        <v>HUMAX HGB10R-02</v>
      </c>
      <c r="B3209" s="22">
        <f>IFERROR(__xludf.DUMMYFUNCTION("""COMPUTED_VALUE"""),4.1001292E7)</f>
        <v>41001292</v>
      </c>
      <c r="C3209" s="21" t="str">
        <f>IFERROR(__xludf.DUMMYFUNCTION("""COMPUTED_VALUE"""),"8C444F41140E")</f>
        <v>8C444F41140E</v>
      </c>
      <c r="D3209" s="21" t="str">
        <f>IFERROR(__xludf.DUMMYFUNCTION("""COMPUTED_VALUE"""),"DIGITEC TECNOLOGIA DIGITAL E REPRES")</f>
        <v>DIGITEC TECNOLOGIA DIGITAL E REPRES</v>
      </c>
      <c r="E3209" s="21">
        <f>IFERROR(__xludf.DUMMYFUNCTION("""COMPUTED_VALUE"""),145359.0)</f>
        <v>145359</v>
      </c>
      <c r="F3209" s="21" t="str">
        <f>IFERROR(__xludf.DUMMYFUNCTION("""COMPUTED_VALUE"""),"TRANSITO REVERSA")</f>
        <v>TRANSITO REVERSA</v>
      </c>
      <c r="G3209" s="23">
        <f>IFERROR(__xludf.DUMMYFUNCTION("""COMPUTED_VALUE"""),45633.00396990741)</f>
        <v>45633.00397</v>
      </c>
      <c r="H3209" s="24" t="str">
        <f>IFERROR(VLOOKUP(B3209,material!A:D,3,0),"")</f>
        <v>DUAL</v>
      </c>
    </row>
    <row r="3210" ht="11.25" customHeight="1">
      <c r="A3210" s="21" t="str">
        <f>IFERROR(__xludf.DUMMYFUNCTION("""COMPUTED_VALUE"""),"HUMAX HGB10R-02")</f>
        <v>HUMAX HGB10R-02</v>
      </c>
      <c r="B3210" s="22">
        <f>IFERROR(__xludf.DUMMYFUNCTION("""COMPUTED_VALUE"""),4.1001292E7)</f>
        <v>41001292</v>
      </c>
      <c r="C3210" s="21" t="str">
        <f>IFERROR(__xludf.DUMMYFUNCTION("""COMPUTED_VALUE"""),"8C444F42ED75")</f>
        <v>8C444F42ED75</v>
      </c>
      <c r="D3210" s="21" t="str">
        <f>IFERROR(__xludf.DUMMYFUNCTION("""COMPUTED_VALUE"""),"DIGITEC TECNOLOGIA DIGITAL E REPRES")</f>
        <v>DIGITEC TECNOLOGIA DIGITAL E REPRES</v>
      </c>
      <c r="E3210" s="21">
        <f>IFERROR(__xludf.DUMMYFUNCTION("""COMPUTED_VALUE"""),145359.0)</f>
        <v>145359</v>
      </c>
      <c r="F3210" s="21" t="str">
        <f>IFERROR(__xludf.DUMMYFUNCTION("""COMPUTED_VALUE"""),"TRANSITO REVERSA")</f>
        <v>TRANSITO REVERSA</v>
      </c>
      <c r="G3210" s="23">
        <f>IFERROR(__xludf.DUMMYFUNCTION("""COMPUTED_VALUE"""),45626.298692129625)</f>
        <v>45626.29869</v>
      </c>
      <c r="H3210" s="24" t="str">
        <f>IFERROR(VLOOKUP(B3210,material!A:D,3,0),"")</f>
        <v>DUAL</v>
      </c>
    </row>
    <row r="3211" ht="11.25" customHeight="1">
      <c r="A3211" s="21" t="str">
        <f>IFERROR(__xludf.DUMMYFUNCTION("""COMPUTED_VALUE"""),"HUMAX HGB10R-02")</f>
        <v>HUMAX HGB10R-02</v>
      </c>
      <c r="B3211" s="22">
        <f>IFERROR(__xludf.DUMMYFUNCTION("""COMPUTED_VALUE"""),4.1001292E7)</f>
        <v>41001292</v>
      </c>
      <c r="C3211" s="21" t="str">
        <f>IFERROR(__xludf.DUMMYFUNCTION("""COMPUTED_VALUE"""),"E820E2CD2703")</f>
        <v>E820E2CD2703</v>
      </c>
      <c r="D3211" s="21" t="str">
        <f>IFERROR(__xludf.DUMMYFUNCTION("""COMPUTED_VALUE"""),"DIGITEC TECNOLOGIA DIGITAL E REPRES")</f>
        <v>DIGITEC TECNOLOGIA DIGITAL E REPRES</v>
      </c>
      <c r="E3211" s="21">
        <f>IFERROR(__xludf.DUMMYFUNCTION("""COMPUTED_VALUE"""),145359.0)</f>
        <v>145359</v>
      </c>
      <c r="F3211" s="21" t="str">
        <f>IFERROR(__xludf.DUMMYFUNCTION("""COMPUTED_VALUE"""),"TRANSITO REVERSA")</f>
        <v>TRANSITO REVERSA</v>
      </c>
      <c r="G3211" s="23">
        <f>IFERROR(__xludf.DUMMYFUNCTION("""COMPUTED_VALUE"""),45633.0033912037)</f>
        <v>45633.00339</v>
      </c>
      <c r="H3211" s="24" t="str">
        <f>IFERROR(VLOOKUP(B3211,material!A:D,3,0),"")</f>
        <v>DUAL</v>
      </c>
    </row>
    <row r="3212" ht="11.25" customHeight="1">
      <c r="A3212" s="21" t="str">
        <f>IFERROR(__xludf.DUMMYFUNCTION("""COMPUTED_VALUE"""),"HUMAX HGB10R-02")</f>
        <v>HUMAX HGB10R-02</v>
      </c>
      <c r="B3212" s="22">
        <f>IFERROR(__xludf.DUMMYFUNCTION("""COMPUTED_VALUE"""),4.1001292E7)</f>
        <v>41001292</v>
      </c>
      <c r="C3212" s="21" t="str">
        <f>IFERROR(__xludf.DUMMYFUNCTION("""COMPUTED_VALUE"""),"E820E2D13DD0")</f>
        <v>E820E2D13DD0</v>
      </c>
      <c r="D3212" s="21" t="str">
        <f>IFERROR(__xludf.DUMMYFUNCTION("""COMPUTED_VALUE"""),"DIGITEC TECNOLOGIA DIGITAL E REPRES")</f>
        <v>DIGITEC TECNOLOGIA DIGITAL E REPRES</v>
      </c>
      <c r="E3212" s="21">
        <f>IFERROR(__xludf.DUMMYFUNCTION("""COMPUTED_VALUE"""),145359.0)</f>
        <v>145359</v>
      </c>
      <c r="F3212" s="21" t="str">
        <f>IFERROR(__xludf.DUMMYFUNCTION("""COMPUTED_VALUE"""),"TRANSITO REVERSA")</f>
        <v>TRANSITO REVERSA</v>
      </c>
      <c r="G3212" s="23">
        <f>IFERROR(__xludf.DUMMYFUNCTION("""COMPUTED_VALUE"""),45610.73042824074)</f>
        <v>45610.73043</v>
      </c>
      <c r="H3212" s="24" t="str">
        <f>IFERROR(VLOOKUP(B3212,material!A:D,3,0),"")</f>
        <v>DUAL</v>
      </c>
    </row>
    <row r="3213" ht="11.25" customHeight="1">
      <c r="A3213" s="21" t="str">
        <f>IFERROR(__xludf.DUMMYFUNCTION("""COMPUTED_VALUE"""),"HUMAX HGB10R-02")</f>
        <v>HUMAX HGB10R-02</v>
      </c>
      <c r="B3213" s="22">
        <f>IFERROR(__xludf.DUMMYFUNCTION("""COMPUTED_VALUE"""),4.1001292E7)</f>
        <v>41001292</v>
      </c>
      <c r="C3213" s="21" t="str">
        <f>IFERROR(__xludf.DUMMYFUNCTION("""COMPUTED_VALUE"""),"E820E2B5D43B")</f>
        <v>E820E2B5D43B</v>
      </c>
      <c r="D3213" s="21" t="str">
        <f>IFERROR(__xludf.DUMMYFUNCTION("""COMPUTED_VALUE"""),"DIGITEC TECNOLOGIA DIGITAL E REPRES")</f>
        <v>DIGITEC TECNOLOGIA DIGITAL E REPRES</v>
      </c>
      <c r="E3213" s="21">
        <f>IFERROR(__xludf.DUMMYFUNCTION("""COMPUTED_VALUE"""),145359.0)</f>
        <v>145359</v>
      </c>
      <c r="F3213" s="21" t="str">
        <f>IFERROR(__xludf.DUMMYFUNCTION("""COMPUTED_VALUE"""),"TRANSITO REVERSA")</f>
        <v>TRANSITO REVERSA</v>
      </c>
      <c r="G3213" s="23">
        <f>IFERROR(__xludf.DUMMYFUNCTION("""COMPUTED_VALUE"""),45626.29924768519)</f>
        <v>45626.29925</v>
      </c>
      <c r="H3213" s="24" t="str">
        <f>IFERROR(VLOOKUP(B3213,material!A:D,3,0),"")</f>
        <v>DUAL</v>
      </c>
    </row>
    <row r="3214" ht="11.25" customHeight="1">
      <c r="A3214" s="21" t="str">
        <f>IFERROR(__xludf.DUMMYFUNCTION("""COMPUTED_VALUE"""),"HUMAX HGB10R-02")</f>
        <v>HUMAX HGB10R-02</v>
      </c>
      <c r="B3214" s="22">
        <f>IFERROR(__xludf.DUMMYFUNCTION("""COMPUTED_VALUE"""),4.1001292E7)</f>
        <v>41001292</v>
      </c>
      <c r="C3214" s="21" t="str">
        <f>IFERROR(__xludf.DUMMYFUNCTION("""COMPUTED_VALUE"""),"E820E2AFC62B")</f>
        <v>E820E2AFC62B</v>
      </c>
      <c r="D3214" s="21" t="str">
        <f>IFERROR(__xludf.DUMMYFUNCTION("""COMPUTED_VALUE"""),"DIGITEC TECNOLOGIA DIGITAL E REPRES")</f>
        <v>DIGITEC TECNOLOGIA DIGITAL E REPRES</v>
      </c>
      <c r="E3214" s="21">
        <f>IFERROR(__xludf.DUMMYFUNCTION("""COMPUTED_VALUE"""),145359.0)</f>
        <v>145359</v>
      </c>
      <c r="F3214" s="21" t="str">
        <f>IFERROR(__xludf.DUMMYFUNCTION("""COMPUTED_VALUE"""),"TRANSITO REVERSA")</f>
        <v>TRANSITO REVERSA</v>
      </c>
      <c r="G3214" s="23">
        <f>IFERROR(__xludf.DUMMYFUNCTION("""COMPUTED_VALUE"""),45633.003958333335)</f>
        <v>45633.00396</v>
      </c>
      <c r="H3214" s="24" t="str">
        <f>IFERROR(VLOOKUP(B3214,material!A:D,3,0),"")</f>
        <v>DUAL</v>
      </c>
    </row>
    <row r="3215" ht="11.25" customHeight="1">
      <c r="A3215" s="21" t="str">
        <f>IFERROR(__xludf.DUMMYFUNCTION("""COMPUTED_VALUE"""),"HUMAX HGB10R-02")</f>
        <v>HUMAX HGB10R-02</v>
      </c>
      <c r="B3215" s="22">
        <f>IFERROR(__xludf.DUMMYFUNCTION("""COMPUTED_VALUE"""),4.1001292E7)</f>
        <v>41001292</v>
      </c>
      <c r="C3215" s="21" t="str">
        <f>IFERROR(__xludf.DUMMYFUNCTION("""COMPUTED_VALUE"""),"E820E2AD4E5D")</f>
        <v>E820E2AD4E5D</v>
      </c>
      <c r="D3215" s="21" t="str">
        <f>IFERROR(__xludf.DUMMYFUNCTION("""COMPUTED_VALUE"""),"DIGITEC TECNOLOGIA DIGITAL E REPRES")</f>
        <v>DIGITEC TECNOLOGIA DIGITAL E REPRES</v>
      </c>
      <c r="E3215" s="21">
        <f>IFERROR(__xludf.DUMMYFUNCTION("""COMPUTED_VALUE"""),145359.0)</f>
        <v>145359</v>
      </c>
      <c r="F3215" s="21" t="str">
        <f>IFERROR(__xludf.DUMMYFUNCTION("""COMPUTED_VALUE"""),"TRANSITO REVERSA")</f>
        <v>TRANSITO REVERSA</v>
      </c>
      <c r="G3215" s="23">
        <f>IFERROR(__xludf.DUMMYFUNCTION("""COMPUTED_VALUE"""),45626.29871527778)</f>
        <v>45626.29872</v>
      </c>
      <c r="H3215" s="24" t="str">
        <f>IFERROR(VLOOKUP(B3215,material!A:D,3,0),"")</f>
        <v>DUAL</v>
      </c>
    </row>
    <row r="3216" ht="11.25" customHeight="1">
      <c r="A3216" s="21" t="str">
        <f>IFERROR(__xludf.DUMMYFUNCTION("""COMPUTED_VALUE"""),"HUMAX HGB10R-02")</f>
        <v>HUMAX HGB10R-02</v>
      </c>
      <c r="B3216" s="22">
        <f>IFERROR(__xludf.DUMMYFUNCTION("""COMPUTED_VALUE"""),4.1001292E7)</f>
        <v>41001292</v>
      </c>
      <c r="C3216" s="21" t="str">
        <f>IFERROR(__xludf.DUMMYFUNCTION("""COMPUTED_VALUE"""),"E820E2AD3B7F")</f>
        <v>E820E2AD3B7F</v>
      </c>
      <c r="D3216" s="21" t="str">
        <f>IFERROR(__xludf.DUMMYFUNCTION("""COMPUTED_VALUE"""),"DIGITEC TECNOLOGIA DIGITAL E REPRES")</f>
        <v>DIGITEC TECNOLOGIA DIGITAL E REPRES</v>
      </c>
      <c r="E3216" s="21">
        <f>IFERROR(__xludf.DUMMYFUNCTION("""COMPUTED_VALUE"""),145359.0)</f>
        <v>145359</v>
      </c>
      <c r="F3216" s="21" t="str">
        <f>IFERROR(__xludf.DUMMYFUNCTION("""COMPUTED_VALUE"""),"TRANSITO REVERSA")</f>
        <v>TRANSITO REVERSA</v>
      </c>
      <c r="G3216" s="23">
        <f>IFERROR(__xludf.DUMMYFUNCTION("""COMPUTED_VALUE"""),45610.73042824074)</f>
        <v>45610.73043</v>
      </c>
      <c r="H3216" s="24" t="str">
        <f>IFERROR(VLOOKUP(B3216,material!A:D,3,0),"")</f>
        <v>DUAL</v>
      </c>
    </row>
    <row r="3217" ht="11.25" customHeight="1">
      <c r="A3217" s="21" t="str">
        <f>IFERROR(__xludf.DUMMYFUNCTION("""COMPUTED_VALUE"""),"HUMAX HGB10R-02")</f>
        <v>HUMAX HGB10R-02</v>
      </c>
      <c r="B3217" s="22">
        <f>IFERROR(__xludf.DUMMYFUNCTION("""COMPUTED_VALUE"""),4.1001292E7)</f>
        <v>41001292</v>
      </c>
      <c r="C3217" s="21" t="str">
        <f>IFERROR(__xludf.DUMMYFUNCTION("""COMPUTED_VALUE"""),"E820E2B9AA8E")</f>
        <v>E820E2B9AA8E</v>
      </c>
      <c r="D3217" s="21" t="str">
        <f>IFERROR(__xludf.DUMMYFUNCTION("""COMPUTED_VALUE"""),"DIGITEC TECNOLOGIA DIGITAL E REPRES")</f>
        <v>DIGITEC TECNOLOGIA DIGITAL E REPRES</v>
      </c>
      <c r="E3217" s="21">
        <f>IFERROR(__xludf.DUMMYFUNCTION("""COMPUTED_VALUE"""),145359.0)</f>
        <v>145359</v>
      </c>
      <c r="F3217" s="21" t="str">
        <f>IFERROR(__xludf.DUMMYFUNCTION("""COMPUTED_VALUE"""),"TRANSITO REVERSA")</f>
        <v>TRANSITO REVERSA</v>
      </c>
      <c r="G3217" s="23">
        <f>IFERROR(__xludf.DUMMYFUNCTION("""COMPUTED_VALUE"""),45626.298692129625)</f>
        <v>45626.29869</v>
      </c>
      <c r="H3217" s="24" t="str">
        <f>IFERROR(VLOOKUP(B3217,material!A:D,3,0),"")</f>
        <v>DUAL</v>
      </c>
    </row>
    <row r="3218" ht="11.25" customHeight="1">
      <c r="A3218" s="21" t="str">
        <f>IFERROR(__xludf.DUMMYFUNCTION("""COMPUTED_VALUE"""),"HUMAX HGB10R-02")</f>
        <v>HUMAX HGB10R-02</v>
      </c>
      <c r="B3218" s="22">
        <f>IFERROR(__xludf.DUMMYFUNCTION("""COMPUTED_VALUE"""),4.1001292E7)</f>
        <v>41001292</v>
      </c>
      <c r="C3218" s="21" t="str">
        <f>IFERROR(__xludf.DUMMYFUNCTION("""COMPUTED_VALUE"""),"8C444FB99EF2")</f>
        <v>8C444FB99EF2</v>
      </c>
      <c r="D3218" s="21" t="str">
        <f>IFERROR(__xludf.DUMMYFUNCTION("""COMPUTED_VALUE"""),"DIGITEC TECNOLOGIA DIGITAL E REPRES")</f>
        <v>DIGITEC TECNOLOGIA DIGITAL E REPRES</v>
      </c>
      <c r="E3218" s="21">
        <f>IFERROR(__xludf.DUMMYFUNCTION("""COMPUTED_VALUE"""),145359.0)</f>
        <v>145359</v>
      </c>
      <c r="F3218" s="21" t="str">
        <f>IFERROR(__xludf.DUMMYFUNCTION("""COMPUTED_VALUE"""),"TRANSITO REVERSA")</f>
        <v>TRANSITO REVERSA</v>
      </c>
      <c r="G3218" s="23">
        <f>IFERROR(__xludf.DUMMYFUNCTION("""COMPUTED_VALUE"""),45633.00340277777)</f>
        <v>45633.0034</v>
      </c>
      <c r="H3218" s="24" t="str">
        <f>IFERROR(VLOOKUP(B3218,material!A:D,3,0),"")</f>
        <v>DUAL</v>
      </c>
    </row>
    <row r="3219" ht="11.25" customHeight="1">
      <c r="A3219" s="21" t="str">
        <f>IFERROR(__xludf.DUMMYFUNCTION("""COMPUTED_VALUE"""),"HUMAX HGB10R-02")</f>
        <v>HUMAX HGB10R-02</v>
      </c>
      <c r="B3219" s="22">
        <f>IFERROR(__xludf.DUMMYFUNCTION("""COMPUTED_VALUE"""),4.1001292E7)</f>
        <v>41001292</v>
      </c>
      <c r="C3219" s="21" t="str">
        <f>IFERROR(__xludf.DUMMYFUNCTION("""COMPUTED_VALUE"""),"8C444FA3623C")</f>
        <v>8C444FA3623C</v>
      </c>
      <c r="D3219" s="21" t="str">
        <f>IFERROR(__xludf.DUMMYFUNCTION("""COMPUTED_VALUE"""),"DIGITEC TECNOLOGIA DIGITAL E REPRES")</f>
        <v>DIGITEC TECNOLOGIA DIGITAL E REPRES</v>
      </c>
      <c r="E3219" s="21">
        <f>IFERROR(__xludf.DUMMYFUNCTION("""COMPUTED_VALUE"""),145359.0)</f>
        <v>145359</v>
      </c>
      <c r="F3219" s="21" t="str">
        <f>IFERROR(__xludf.DUMMYFUNCTION("""COMPUTED_VALUE"""),"TRANSITO REVERSA")</f>
        <v>TRANSITO REVERSA</v>
      </c>
      <c r="G3219" s="23">
        <f>IFERROR(__xludf.DUMMYFUNCTION("""COMPUTED_VALUE"""),45610.73042824074)</f>
        <v>45610.73043</v>
      </c>
      <c r="H3219" s="24" t="str">
        <f>IFERROR(VLOOKUP(B3219,material!A:D,3,0),"")</f>
        <v>DUAL</v>
      </c>
    </row>
    <row r="3220" ht="11.25" customHeight="1">
      <c r="A3220" s="21" t="str">
        <f>IFERROR(__xludf.DUMMYFUNCTION("""COMPUTED_VALUE"""),"HUMAX HGB10R-02")</f>
        <v>HUMAX HGB10R-02</v>
      </c>
      <c r="B3220" s="22">
        <f>IFERROR(__xludf.DUMMYFUNCTION("""COMPUTED_VALUE"""),4.1001292E7)</f>
        <v>41001292</v>
      </c>
      <c r="C3220" s="21" t="str">
        <f>IFERROR(__xludf.DUMMYFUNCTION("""COMPUTED_VALUE"""),"8C444FC53EE0")</f>
        <v>8C444FC53EE0</v>
      </c>
      <c r="D3220" s="21" t="str">
        <f>IFERROR(__xludf.DUMMYFUNCTION("""COMPUTED_VALUE"""),"DIGITEC TECNOLOGIA DIGITAL E REPRES")</f>
        <v>DIGITEC TECNOLOGIA DIGITAL E REPRES</v>
      </c>
      <c r="E3220" s="21">
        <f>IFERROR(__xludf.DUMMYFUNCTION("""COMPUTED_VALUE"""),145359.0)</f>
        <v>145359</v>
      </c>
      <c r="F3220" s="21" t="str">
        <f>IFERROR(__xludf.DUMMYFUNCTION("""COMPUTED_VALUE"""),"TRANSITO REVERSA")</f>
        <v>TRANSITO REVERSA</v>
      </c>
      <c r="G3220" s="23">
        <f>IFERROR(__xludf.DUMMYFUNCTION("""COMPUTED_VALUE"""),45638.520625000005)</f>
        <v>45638.52063</v>
      </c>
      <c r="H3220" s="24" t="str">
        <f>IFERROR(VLOOKUP(B3220,material!A:D,3,0),"")</f>
        <v>DUAL</v>
      </c>
    </row>
    <row r="3221" ht="11.25" customHeight="1">
      <c r="A3221" s="21" t="str">
        <f>IFERROR(__xludf.DUMMYFUNCTION("""COMPUTED_VALUE"""),"HUMAX HGB10R-02")</f>
        <v>HUMAX HGB10R-02</v>
      </c>
      <c r="B3221" s="22">
        <f>IFERROR(__xludf.DUMMYFUNCTION("""COMPUTED_VALUE"""),4.1001292E7)</f>
        <v>41001292</v>
      </c>
      <c r="C3221" s="21" t="str">
        <f>IFERROR(__xludf.DUMMYFUNCTION("""COMPUTED_VALUE"""),"8C444FF28240")</f>
        <v>8C444FF28240</v>
      </c>
      <c r="D3221" s="21" t="str">
        <f>IFERROR(__xludf.DUMMYFUNCTION("""COMPUTED_VALUE"""),"DIGITEC TECNOLOGIA DIGITAL E REPRES")</f>
        <v>DIGITEC TECNOLOGIA DIGITAL E REPRES</v>
      </c>
      <c r="E3221" s="21">
        <f>IFERROR(__xludf.DUMMYFUNCTION("""COMPUTED_VALUE"""),145359.0)</f>
        <v>145359</v>
      </c>
      <c r="F3221" s="21" t="str">
        <f>IFERROR(__xludf.DUMMYFUNCTION("""COMPUTED_VALUE"""),"TRANSITO REVERSA")</f>
        <v>TRANSITO REVERSA</v>
      </c>
      <c r="G3221" s="23">
        <f>IFERROR(__xludf.DUMMYFUNCTION("""COMPUTED_VALUE"""),45604.4906712963)</f>
        <v>45604.49067</v>
      </c>
      <c r="H3221" s="24" t="str">
        <f>IFERROR(VLOOKUP(B3221,material!A:D,3,0),"")</f>
        <v>DUAL</v>
      </c>
    </row>
    <row r="3222" ht="11.25" customHeight="1">
      <c r="A3222" s="21" t="str">
        <f>IFERROR(__xludf.DUMMYFUNCTION("""COMPUTED_VALUE"""),"HUMAX HGB10R-02")</f>
        <v>HUMAX HGB10R-02</v>
      </c>
      <c r="B3222" s="22">
        <f>IFERROR(__xludf.DUMMYFUNCTION("""COMPUTED_VALUE"""),4.1001292E7)</f>
        <v>41001292</v>
      </c>
      <c r="C3222" s="21" t="str">
        <f>IFERROR(__xludf.DUMMYFUNCTION("""COMPUTED_VALUE"""),"8C444FC88050")</f>
        <v>8C444FC88050</v>
      </c>
      <c r="D3222" s="21" t="str">
        <f>IFERROR(__xludf.DUMMYFUNCTION("""COMPUTED_VALUE"""),"DIGITEC TECNOLOGIA DIGITAL E REPRES")</f>
        <v>DIGITEC TECNOLOGIA DIGITAL E REPRES</v>
      </c>
      <c r="E3222" s="21">
        <f>IFERROR(__xludf.DUMMYFUNCTION("""COMPUTED_VALUE"""),145359.0)</f>
        <v>145359</v>
      </c>
      <c r="F3222" s="21" t="str">
        <f>IFERROR(__xludf.DUMMYFUNCTION("""COMPUTED_VALUE"""),"TRANSITO REVERSA")</f>
        <v>TRANSITO REVERSA</v>
      </c>
      <c r="G3222" s="23">
        <f>IFERROR(__xludf.DUMMYFUNCTION("""COMPUTED_VALUE"""),45610.73042824074)</f>
        <v>45610.73043</v>
      </c>
      <c r="H3222" s="24" t="str">
        <f>IFERROR(VLOOKUP(B3222,material!A:D,3,0),"")</f>
        <v>DUAL</v>
      </c>
    </row>
    <row r="3223" ht="11.25" customHeight="1">
      <c r="A3223" s="21" t="str">
        <f>IFERROR(__xludf.DUMMYFUNCTION("""COMPUTED_VALUE"""),"HUMAX HGB10R-02")</f>
        <v>HUMAX HGB10R-02</v>
      </c>
      <c r="B3223" s="22">
        <f>IFERROR(__xludf.DUMMYFUNCTION("""COMPUTED_VALUE"""),4.1001292E7)</f>
        <v>41001292</v>
      </c>
      <c r="C3223" s="21" t="str">
        <f>IFERROR(__xludf.DUMMYFUNCTION("""COMPUTED_VALUE"""),"8C444F5D914A")</f>
        <v>8C444F5D914A</v>
      </c>
      <c r="D3223" s="21" t="str">
        <f>IFERROR(__xludf.DUMMYFUNCTION("""COMPUTED_VALUE"""),"DIGITEC TECNOLOGIA DIGITAL E REPRES")</f>
        <v>DIGITEC TECNOLOGIA DIGITAL E REPRES</v>
      </c>
      <c r="E3223" s="21">
        <f>IFERROR(__xludf.DUMMYFUNCTION("""COMPUTED_VALUE"""),145359.0)</f>
        <v>145359</v>
      </c>
      <c r="F3223" s="21" t="str">
        <f>IFERROR(__xludf.DUMMYFUNCTION("""COMPUTED_VALUE"""),"TRANSITO REVERSA")</f>
        <v>TRANSITO REVERSA</v>
      </c>
      <c r="G3223" s="23">
        <f>IFERROR(__xludf.DUMMYFUNCTION("""COMPUTED_VALUE"""),45604.4906712963)</f>
        <v>45604.49067</v>
      </c>
      <c r="H3223" s="24" t="str">
        <f>IFERROR(VLOOKUP(B3223,material!A:D,3,0),"")</f>
        <v>DUAL</v>
      </c>
    </row>
    <row r="3224" ht="11.25" customHeight="1">
      <c r="A3224" s="21" t="str">
        <f>IFERROR(__xludf.DUMMYFUNCTION("""COMPUTED_VALUE"""),"HUMAX HGB10R-02")</f>
        <v>HUMAX HGB10R-02</v>
      </c>
      <c r="B3224" s="22">
        <f>IFERROR(__xludf.DUMMYFUNCTION("""COMPUTED_VALUE"""),4.1001292E7)</f>
        <v>41001292</v>
      </c>
      <c r="C3224" s="21" t="str">
        <f>IFERROR(__xludf.DUMMYFUNCTION("""COMPUTED_VALUE"""),"8C444F5DA9D1")</f>
        <v>8C444F5DA9D1</v>
      </c>
      <c r="D3224" s="21" t="str">
        <f>IFERROR(__xludf.DUMMYFUNCTION("""COMPUTED_VALUE"""),"DIGITEC TECNOLOGIA DIGITAL E REPRES")</f>
        <v>DIGITEC TECNOLOGIA DIGITAL E REPRES</v>
      </c>
      <c r="E3224" s="21">
        <f>IFERROR(__xludf.DUMMYFUNCTION("""COMPUTED_VALUE"""),145359.0)</f>
        <v>145359</v>
      </c>
      <c r="F3224" s="21" t="str">
        <f>IFERROR(__xludf.DUMMYFUNCTION("""COMPUTED_VALUE"""),"TRANSITO REVERSA")</f>
        <v>TRANSITO REVERSA</v>
      </c>
      <c r="G3224" s="23">
        <f>IFERROR(__xludf.DUMMYFUNCTION("""COMPUTED_VALUE"""),45638.521099537036)</f>
        <v>45638.5211</v>
      </c>
      <c r="H3224" s="24" t="str">
        <f>IFERROR(VLOOKUP(B3224,material!A:D,3,0),"")</f>
        <v>DUAL</v>
      </c>
    </row>
    <row r="3225" ht="11.25" customHeight="1">
      <c r="A3225" s="21" t="str">
        <f>IFERROR(__xludf.DUMMYFUNCTION("""COMPUTED_VALUE"""),"HUMAX HGB10R-02")</f>
        <v>HUMAX HGB10R-02</v>
      </c>
      <c r="B3225" s="22">
        <f>IFERROR(__xludf.DUMMYFUNCTION("""COMPUTED_VALUE"""),4.1001292E7)</f>
        <v>41001292</v>
      </c>
      <c r="C3225" s="21" t="str">
        <f>IFERROR(__xludf.DUMMYFUNCTION("""COMPUTED_VALUE"""),"8C444F1A3C67")</f>
        <v>8C444F1A3C67</v>
      </c>
      <c r="D3225" s="21" t="str">
        <f>IFERROR(__xludf.DUMMYFUNCTION("""COMPUTED_VALUE"""),"DIGITEC TECNOLOGIA DIGITAL E REPRES")</f>
        <v>DIGITEC TECNOLOGIA DIGITAL E REPRES</v>
      </c>
      <c r="E3225" s="21">
        <f>IFERROR(__xludf.DUMMYFUNCTION("""COMPUTED_VALUE"""),145359.0)</f>
        <v>145359</v>
      </c>
      <c r="F3225" s="21" t="str">
        <f>IFERROR(__xludf.DUMMYFUNCTION("""COMPUTED_VALUE"""),"TRANSITO REVERSA")</f>
        <v>TRANSITO REVERSA</v>
      </c>
      <c r="G3225" s="23">
        <f>IFERROR(__xludf.DUMMYFUNCTION("""COMPUTED_VALUE"""),45633.003958333335)</f>
        <v>45633.00396</v>
      </c>
      <c r="H3225" s="24" t="str">
        <f>IFERROR(VLOOKUP(B3225,material!A:D,3,0),"")</f>
        <v>DUAL</v>
      </c>
    </row>
    <row r="3226" ht="11.25" customHeight="1">
      <c r="A3226" s="21" t="str">
        <f>IFERROR(__xludf.DUMMYFUNCTION("""COMPUTED_VALUE"""),"HUMAX HGB10R-02")</f>
        <v>HUMAX HGB10R-02</v>
      </c>
      <c r="B3226" s="22">
        <f>IFERROR(__xludf.DUMMYFUNCTION("""COMPUTED_VALUE"""),4.1001292E7)</f>
        <v>41001292</v>
      </c>
      <c r="C3226" s="21" t="str">
        <f>IFERROR(__xludf.DUMMYFUNCTION("""COMPUTED_VALUE"""),"8C444F1D9C46")</f>
        <v>8C444F1D9C46</v>
      </c>
      <c r="D3226" s="21" t="str">
        <f>IFERROR(__xludf.DUMMYFUNCTION("""COMPUTED_VALUE"""),"DIGITEC TECNOLOGIA DIGITAL E REPRES")</f>
        <v>DIGITEC TECNOLOGIA DIGITAL E REPRES</v>
      </c>
      <c r="E3226" s="21">
        <f>IFERROR(__xludf.DUMMYFUNCTION("""COMPUTED_VALUE"""),145359.0)</f>
        <v>145359</v>
      </c>
      <c r="F3226" s="21" t="str">
        <f>IFERROR(__xludf.DUMMYFUNCTION("""COMPUTED_VALUE"""),"TRANSITO REVERSA")</f>
        <v>TRANSITO REVERSA</v>
      </c>
      <c r="G3226" s="23">
        <f>IFERROR(__xludf.DUMMYFUNCTION("""COMPUTED_VALUE"""),45638.52186342592)</f>
        <v>45638.52186</v>
      </c>
      <c r="H3226" s="24" t="str">
        <f>IFERROR(VLOOKUP(B3226,material!A:D,3,0),"")</f>
        <v>DUAL</v>
      </c>
    </row>
    <row r="3227" ht="11.25" customHeight="1">
      <c r="A3227" s="21" t="str">
        <f>IFERROR(__xludf.DUMMYFUNCTION("""COMPUTED_VALUE"""),"HUMAX HGB10R-02")</f>
        <v>HUMAX HGB10R-02</v>
      </c>
      <c r="B3227" s="22">
        <f>IFERROR(__xludf.DUMMYFUNCTION("""COMPUTED_VALUE"""),4.1001292E7)</f>
        <v>41001292</v>
      </c>
      <c r="C3227" s="21" t="str">
        <f>IFERROR(__xludf.DUMMYFUNCTION("""COMPUTED_VALUE"""),"E820E2FBAB1A")</f>
        <v>E820E2FBAB1A</v>
      </c>
      <c r="D3227" s="21" t="str">
        <f>IFERROR(__xludf.DUMMYFUNCTION("""COMPUTED_VALUE"""),"DIGITEC TECNOLOGIA DIGITAL E REPRES")</f>
        <v>DIGITEC TECNOLOGIA DIGITAL E REPRES</v>
      </c>
      <c r="E3227" s="21">
        <f>IFERROR(__xludf.DUMMYFUNCTION("""COMPUTED_VALUE"""),145359.0)</f>
        <v>145359</v>
      </c>
      <c r="F3227" s="21" t="str">
        <f>IFERROR(__xludf.DUMMYFUNCTION("""COMPUTED_VALUE"""),"TRANSITO REVERSA")</f>
        <v>TRANSITO REVERSA</v>
      </c>
      <c r="G3227" s="23">
        <f>IFERROR(__xludf.DUMMYFUNCTION("""COMPUTED_VALUE"""),45633.0033912037)</f>
        <v>45633.00339</v>
      </c>
      <c r="H3227" s="24" t="str">
        <f>IFERROR(VLOOKUP(B3227,material!A:D,3,0),"")</f>
        <v>DUAL</v>
      </c>
    </row>
    <row r="3228" ht="11.25" customHeight="1">
      <c r="A3228" s="21" t="str">
        <f>IFERROR(__xludf.DUMMYFUNCTION("""COMPUTED_VALUE"""),"HUMAX HGB10R-02")</f>
        <v>HUMAX HGB10R-02</v>
      </c>
      <c r="B3228" s="22">
        <f>IFERROR(__xludf.DUMMYFUNCTION("""COMPUTED_VALUE"""),4.1001292E7)</f>
        <v>41001292</v>
      </c>
      <c r="C3228" s="21" t="str">
        <f>IFERROR(__xludf.DUMMYFUNCTION("""COMPUTED_VALUE"""),"E820E2BAAB3B")</f>
        <v>E820E2BAAB3B</v>
      </c>
      <c r="D3228" s="21" t="str">
        <f>IFERROR(__xludf.DUMMYFUNCTION("""COMPUTED_VALUE"""),"DIGITEC TECNOLOGIA DIGITAL E REPRES")</f>
        <v>DIGITEC TECNOLOGIA DIGITAL E REPRES</v>
      </c>
      <c r="E3228" s="21">
        <f>IFERROR(__xludf.DUMMYFUNCTION("""COMPUTED_VALUE"""),145359.0)</f>
        <v>145359</v>
      </c>
      <c r="F3228" s="21" t="str">
        <f>IFERROR(__xludf.DUMMYFUNCTION("""COMPUTED_VALUE"""),"TRANSITO REVERSA")</f>
        <v>TRANSITO REVERSA</v>
      </c>
      <c r="G3228" s="23">
        <f>IFERROR(__xludf.DUMMYFUNCTION("""COMPUTED_VALUE"""),45626.29871527778)</f>
        <v>45626.29872</v>
      </c>
      <c r="H3228" s="24" t="str">
        <f>IFERROR(VLOOKUP(B3228,material!A:D,3,0),"")</f>
        <v>DUAL</v>
      </c>
    </row>
    <row r="3229" ht="11.25" customHeight="1">
      <c r="A3229" s="21" t="str">
        <f>IFERROR(__xludf.DUMMYFUNCTION("""COMPUTED_VALUE"""),"HUMAX HGB10R-02")</f>
        <v>HUMAX HGB10R-02</v>
      </c>
      <c r="B3229" s="22">
        <f>IFERROR(__xludf.DUMMYFUNCTION("""COMPUTED_VALUE"""),4.1001292E7)</f>
        <v>41001292</v>
      </c>
      <c r="C3229" s="21" t="str">
        <f>IFERROR(__xludf.DUMMYFUNCTION("""COMPUTED_VALUE"""),"8C444F0BB1BE")</f>
        <v>8C444F0BB1BE</v>
      </c>
      <c r="D3229" s="21" t="str">
        <f>IFERROR(__xludf.DUMMYFUNCTION("""COMPUTED_VALUE"""),"DIGITEC TECNOLOGIA DIGITAL E REPRES")</f>
        <v>DIGITEC TECNOLOGIA DIGITAL E REPRES</v>
      </c>
      <c r="E3229" s="21">
        <f>IFERROR(__xludf.DUMMYFUNCTION("""COMPUTED_VALUE"""),145359.0)</f>
        <v>145359</v>
      </c>
      <c r="F3229" s="21" t="str">
        <f>IFERROR(__xludf.DUMMYFUNCTION("""COMPUTED_VALUE"""),"TRANSITO REVERSA")</f>
        <v>TRANSITO REVERSA</v>
      </c>
      <c r="G3229" s="23">
        <f>IFERROR(__xludf.DUMMYFUNCTION("""COMPUTED_VALUE"""),45626.29923611111)</f>
        <v>45626.29924</v>
      </c>
      <c r="H3229" s="24" t="str">
        <f>IFERROR(VLOOKUP(B3229,material!A:D,3,0),"")</f>
        <v>DUAL</v>
      </c>
    </row>
    <row r="3230" ht="11.25" customHeight="1">
      <c r="A3230" s="21" t="str">
        <f>IFERROR(__xludf.DUMMYFUNCTION("""COMPUTED_VALUE"""),"HUMAX HGB10R-02")</f>
        <v>HUMAX HGB10R-02</v>
      </c>
      <c r="B3230" s="22">
        <f>IFERROR(__xludf.DUMMYFUNCTION("""COMPUTED_VALUE"""),4.1001292E7)</f>
        <v>41001292</v>
      </c>
      <c r="C3230" s="21" t="str">
        <f>IFERROR(__xludf.DUMMYFUNCTION("""COMPUTED_VALUE"""),"E820E2F2C116")</f>
        <v>E820E2F2C116</v>
      </c>
      <c r="D3230" s="21" t="str">
        <f>IFERROR(__xludf.DUMMYFUNCTION("""COMPUTED_VALUE"""),"DIGITEC TECNOLOGIA DIGITAL E REPRES")</f>
        <v>DIGITEC TECNOLOGIA DIGITAL E REPRES</v>
      </c>
      <c r="E3230" s="21">
        <f>IFERROR(__xludf.DUMMYFUNCTION("""COMPUTED_VALUE"""),145359.0)</f>
        <v>145359</v>
      </c>
      <c r="F3230" s="21" t="str">
        <f>IFERROR(__xludf.DUMMYFUNCTION("""COMPUTED_VALUE"""),"TRANSITO REVERSA")</f>
        <v>TRANSITO REVERSA</v>
      </c>
      <c r="G3230" s="23">
        <f>IFERROR(__xludf.DUMMYFUNCTION("""COMPUTED_VALUE"""),45626.298680555556)</f>
        <v>45626.29868</v>
      </c>
      <c r="H3230" s="24" t="str">
        <f>IFERROR(VLOOKUP(B3230,material!A:D,3,0),"")</f>
        <v>DUAL</v>
      </c>
    </row>
    <row r="3231" ht="11.25" customHeight="1">
      <c r="A3231" s="21" t="str">
        <f>IFERROR(__xludf.DUMMYFUNCTION("""COMPUTED_VALUE"""),"HUMAX HGB10R-02")</f>
        <v>HUMAX HGB10R-02</v>
      </c>
      <c r="B3231" s="22">
        <f>IFERROR(__xludf.DUMMYFUNCTION("""COMPUTED_VALUE"""),4.1001292E7)</f>
        <v>41001292</v>
      </c>
      <c r="C3231" s="21" t="str">
        <f>IFERROR(__xludf.DUMMYFUNCTION("""COMPUTED_VALUE"""),"8C444F0376B0")</f>
        <v>8C444F0376B0</v>
      </c>
      <c r="D3231" s="21" t="str">
        <f>IFERROR(__xludf.DUMMYFUNCTION("""COMPUTED_VALUE"""),"DIGITEC TECNOLOGIA DIGITAL E REPRES")</f>
        <v>DIGITEC TECNOLOGIA DIGITAL E REPRES</v>
      </c>
      <c r="E3231" s="21">
        <f>IFERROR(__xludf.DUMMYFUNCTION("""COMPUTED_VALUE"""),145359.0)</f>
        <v>145359</v>
      </c>
      <c r="F3231" s="21" t="str">
        <f>IFERROR(__xludf.DUMMYFUNCTION("""COMPUTED_VALUE"""),"TRANSITO REVERSA")</f>
        <v>TRANSITO REVERSA</v>
      </c>
      <c r="G3231" s="23">
        <f>IFERROR(__xludf.DUMMYFUNCTION("""COMPUTED_VALUE"""),45638.521099537036)</f>
        <v>45638.5211</v>
      </c>
      <c r="H3231" s="24" t="str">
        <f>IFERROR(VLOOKUP(B3231,material!A:D,3,0),"")</f>
        <v>DUAL</v>
      </c>
    </row>
    <row r="3232" ht="11.25" customHeight="1">
      <c r="A3232" s="21" t="str">
        <f>IFERROR(__xludf.DUMMYFUNCTION("""COMPUTED_VALUE"""),"HUMAX HGB10R-02")</f>
        <v>HUMAX HGB10R-02</v>
      </c>
      <c r="B3232" s="22">
        <f>IFERROR(__xludf.DUMMYFUNCTION("""COMPUTED_VALUE"""),4.1001292E7)</f>
        <v>41001292</v>
      </c>
      <c r="C3232" s="21" t="str">
        <f>IFERROR(__xludf.DUMMYFUNCTION("""COMPUTED_VALUE"""),"E820E2F8DAE1")</f>
        <v>E820E2F8DAE1</v>
      </c>
      <c r="D3232" s="21" t="str">
        <f>IFERROR(__xludf.DUMMYFUNCTION("""COMPUTED_VALUE"""),"DIGITEC TECNOLOGIA DIGITAL E REPRES")</f>
        <v>DIGITEC TECNOLOGIA DIGITAL E REPRES</v>
      </c>
      <c r="E3232" s="21">
        <f>IFERROR(__xludf.DUMMYFUNCTION("""COMPUTED_VALUE"""),145359.0)</f>
        <v>145359</v>
      </c>
      <c r="F3232" s="21" t="str">
        <f>IFERROR(__xludf.DUMMYFUNCTION("""COMPUTED_VALUE"""),"TRANSITO REVERSA")</f>
        <v>TRANSITO REVERSA</v>
      </c>
      <c r="G3232" s="23">
        <f>IFERROR(__xludf.DUMMYFUNCTION("""COMPUTED_VALUE"""),45617.871817129635)</f>
        <v>45617.87182</v>
      </c>
      <c r="H3232" s="24" t="str">
        <f>IFERROR(VLOOKUP(B3232,material!A:D,3,0),"")</f>
        <v>DUAL</v>
      </c>
    </row>
    <row r="3233" ht="11.25" customHeight="1">
      <c r="A3233" s="21" t="str">
        <f>IFERROR(__xludf.DUMMYFUNCTION("""COMPUTED_VALUE"""),"HUMAX HGB10R-02")</f>
        <v>HUMAX HGB10R-02</v>
      </c>
      <c r="B3233" s="22">
        <f>IFERROR(__xludf.DUMMYFUNCTION("""COMPUTED_VALUE"""),4.1001292E7)</f>
        <v>41001292</v>
      </c>
      <c r="C3233" s="21" t="str">
        <f>IFERROR(__xludf.DUMMYFUNCTION("""COMPUTED_VALUE"""),"8C444F015F67")</f>
        <v>8C444F015F67</v>
      </c>
      <c r="D3233" s="21" t="str">
        <f>IFERROR(__xludf.DUMMYFUNCTION("""COMPUTED_VALUE"""),"DIGITEC TECNOLOGIA DIGITAL E REPRES")</f>
        <v>DIGITEC TECNOLOGIA DIGITAL E REPRES</v>
      </c>
      <c r="E3233" s="21">
        <f>IFERROR(__xludf.DUMMYFUNCTION("""COMPUTED_VALUE"""),145359.0)</f>
        <v>145359</v>
      </c>
      <c r="F3233" s="21" t="str">
        <f>IFERROR(__xludf.DUMMYFUNCTION("""COMPUTED_VALUE"""),"TRANSITO REVERSA")</f>
        <v>TRANSITO REVERSA</v>
      </c>
      <c r="G3233" s="23">
        <f>IFERROR(__xludf.DUMMYFUNCTION("""COMPUTED_VALUE"""),45633.00399305555)</f>
        <v>45633.00399</v>
      </c>
      <c r="H3233" s="24" t="str">
        <f>IFERROR(VLOOKUP(B3233,material!A:D,3,0),"")</f>
        <v>DUAL</v>
      </c>
    </row>
    <row r="3234" ht="11.25" customHeight="1">
      <c r="A3234" s="21" t="str">
        <f>IFERROR(__xludf.DUMMYFUNCTION("""COMPUTED_VALUE"""),"HUMAX HGB10R-02")</f>
        <v>HUMAX HGB10R-02</v>
      </c>
      <c r="B3234" s="22">
        <f>IFERROR(__xludf.DUMMYFUNCTION("""COMPUTED_VALUE"""),4.1001292E7)</f>
        <v>41001292</v>
      </c>
      <c r="C3234" s="21" t="str">
        <f>IFERROR(__xludf.DUMMYFUNCTION("""COMPUTED_VALUE"""),"8C444F02CC79")</f>
        <v>8C444F02CC79</v>
      </c>
      <c r="D3234" s="21" t="str">
        <f>IFERROR(__xludf.DUMMYFUNCTION("""COMPUTED_VALUE"""),"DIGITEC TECNOLOGIA DIGITAL E REPRES")</f>
        <v>DIGITEC TECNOLOGIA DIGITAL E REPRES</v>
      </c>
      <c r="E3234" s="21">
        <f>IFERROR(__xludf.DUMMYFUNCTION("""COMPUTED_VALUE"""),145359.0)</f>
        <v>145359</v>
      </c>
      <c r="F3234" s="21" t="str">
        <f>IFERROR(__xludf.DUMMYFUNCTION("""COMPUTED_VALUE"""),"TRANSITO REVERSA")</f>
        <v>TRANSITO REVERSA</v>
      </c>
      <c r="G3234" s="23">
        <f>IFERROR(__xludf.DUMMYFUNCTION("""COMPUTED_VALUE"""),45610.73042824074)</f>
        <v>45610.73043</v>
      </c>
      <c r="H3234" s="24" t="str">
        <f>IFERROR(VLOOKUP(B3234,material!A:D,3,0),"")</f>
        <v>DUAL</v>
      </c>
    </row>
    <row r="3235" ht="11.25" customHeight="1">
      <c r="A3235" s="21" t="str">
        <f>IFERROR(__xludf.DUMMYFUNCTION("""COMPUTED_VALUE"""),"HUMAX HGB10R-02")</f>
        <v>HUMAX HGB10R-02</v>
      </c>
      <c r="B3235" s="22">
        <f>IFERROR(__xludf.DUMMYFUNCTION("""COMPUTED_VALUE"""),4.1001292E7)</f>
        <v>41001292</v>
      </c>
      <c r="C3235" s="21" t="str">
        <f>IFERROR(__xludf.DUMMYFUNCTION("""COMPUTED_VALUE"""),"E820E2FBBB43")</f>
        <v>E820E2FBBB43</v>
      </c>
      <c r="D3235" s="21" t="str">
        <f>IFERROR(__xludf.DUMMYFUNCTION("""COMPUTED_VALUE"""),"DIGITEC TECNOLOGIA DIGITAL E REPRES")</f>
        <v>DIGITEC TECNOLOGIA DIGITAL E REPRES</v>
      </c>
      <c r="E3235" s="21">
        <f>IFERROR(__xludf.DUMMYFUNCTION("""COMPUTED_VALUE"""),145359.0)</f>
        <v>145359</v>
      </c>
      <c r="F3235" s="21" t="str">
        <f>IFERROR(__xludf.DUMMYFUNCTION("""COMPUTED_VALUE"""),"TRANSITO REVERSA")</f>
        <v>TRANSITO REVERSA</v>
      </c>
      <c r="G3235" s="23">
        <f>IFERROR(__xludf.DUMMYFUNCTION("""COMPUTED_VALUE"""),45610.730416666665)</f>
        <v>45610.73042</v>
      </c>
      <c r="H3235" s="24" t="str">
        <f>IFERROR(VLOOKUP(B3235,material!A:D,3,0),"")</f>
        <v>DUAL</v>
      </c>
    </row>
    <row r="3236" ht="11.25" customHeight="1">
      <c r="A3236" s="21" t="str">
        <f>IFERROR(__xludf.DUMMYFUNCTION("""COMPUTED_VALUE"""),"HUMAX HGB10R-02")</f>
        <v>HUMAX HGB10R-02</v>
      </c>
      <c r="B3236" s="22">
        <f>IFERROR(__xludf.DUMMYFUNCTION("""COMPUTED_VALUE"""),4.1001292E7)</f>
        <v>41001292</v>
      </c>
      <c r="C3236" s="21" t="str">
        <f>IFERROR(__xludf.DUMMYFUNCTION("""COMPUTED_VALUE"""),"E820E2F66DBD")</f>
        <v>E820E2F66DBD</v>
      </c>
      <c r="D3236" s="21" t="str">
        <f>IFERROR(__xludf.DUMMYFUNCTION("""COMPUTED_VALUE"""),"DIGITEC TECNOLOGIA DIGITAL E REPRES")</f>
        <v>DIGITEC TECNOLOGIA DIGITAL E REPRES</v>
      </c>
      <c r="E3236" s="21">
        <f>IFERROR(__xludf.DUMMYFUNCTION("""COMPUTED_VALUE"""),145359.0)</f>
        <v>145359</v>
      </c>
      <c r="F3236" s="21" t="str">
        <f>IFERROR(__xludf.DUMMYFUNCTION("""COMPUTED_VALUE"""),"TRANSITO REVERSA")</f>
        <v>TRANSITO REVERSA</v>
      </c>
      <c r="G3236" s="23">
        <f>IFERROR(__xludf.DUMMYFUNCTION("""COMPUTED_VALUE"""),45617.871817129635)</f>
        <v>45617.87182</v>
      </c>
      <c r="H3236" s="24" t="str">
        <f>IFERROR(VLOOKUP(B3236,material!A:D,3,0),"")</f>
        <v>DUAL</v>
      </c>
    </row>
    <row r="3237" ht="11.25" customHeight="1">
      <c r="A3237" s="21" t="str">
        <f>IFERROR(__xludf.DUMMYFUNCTION("""COMPUTED_VALUE"""),"HUMAX HGB10R-02")</f>
        <v>HUMAX HGB10R-02</v>
      </c>
      <c r="B3237" s="22">
        <f>IFERROR(__xludf.DUMMYFUNCTION("""COMPUTED_VALUE"""),4.1001292E7)</f>
        <v>41001292</v>
      </c>
      <c r="C3237" s="21" t="str">
        <f>IFERROR(__xludf.DUMMYFUNCTION("""COMPUTED_VALUE"""),"8C444F49A1A2")</f>
        <v>8C444F49A1A2</v>
      </c>
      <c r="D3237" s="21" t="str">
        <f>IFERROR(__xludf.DUMMYFUNCTION("""COMPUTED_VALUE"""),"DIGITEC TECNOLOGIA DIGITAL E REPRES")</f>
        <v>DIGITEC TECNOLOGIA DIGITAL E REPRES</v>
      </c>
      <c r="E3237" s="21">
        <f>IFERROR(__xludf.DUMMYFUNCTION("""COMPUTED_VALUE"""),145359.0)</f>
        <v>145359</v>
      </c>
      <c r="F3237" s="21" t="str">
        <f>IFERROR(__xludf.DUMMYFUNCTION("""COMPUTED_VALUE"""),"TRANSITO REVERSA")</f>
        <v>TRANSITO REVERSA</v>
      </c>
      <c r="G3237" s="23">
        <f>IFERROR(__xludf.DUMMYFUNCTION("""COMPUTED_VALUE"""),45633.00396990741)</f>
        <v>45633.00397</v>
      </c>
      <c r="H3237" s="24" t="str">
        <f>IFERROR(VLOOKUP(B3237,material!A:D,3,0),"")</f>
        <v>DUAL</v>
      </c>
    </row>
    <row r="3238" ht="11.25" customHeight="1">
      <c r="A3238" s="21" t="str">
        <f>IFERROR(__xludf.DUMMYFUNCTION("""COMPUTED_VALUE"""),"HUMAX HGB10R-02")</f>
        <v>HUMAX HGB10R-02</v>
      </c>
      <c r="B3238" s="22">
        <f>IFERROR(__xludf.DUMMYFUNCTION("""COMPUTED_VALUE"""),4.1001292E7)</f>
        <v>41001292</v>
      </c>
      <c r="C3238" s="21" t="str">
        <f>IFERROR(__xludf.DUMMYFUNCTION("""COMPUTED_VALUE"""),"8C444F49FEA8")</f>
        <v>8C444F49FEA8</v>
      </c>
      <c r="D3238" s="21" t="str">
        <f>IFERROR(__xludf.DUMMYFUNCTION("""COMPUTED_VALUE"""),"DIGITEC TECNOLOGIA DIGITAL E REPRES")</f>
        <v>DIGITEC TECNOLOGIA DIGITAL E REPRES</v>
      </c>
      <c r="E3238" s="21">
        <f>IFERROR(__xludf.DUMMYFUNCTION("""COMPUTED_VALUE"""),145359.0)</f>
        <v>145359</v>
      </c>
      <c r="F3238" s="21" t="str">
        <f>IFERROR(__xludf.DUMMYFUNCTION("""COMPUTED_VALUE"""),"TRANSITO REVERSA")</f>
        <v>TRANSITO REVERSA</v>
      </c>
      <c r="G3238" s="23">
        <f>IFERROR(__xludf.DUMMYFUNCTION("""COMPUTED_VALUE"""),45604.4906712963)</f>
        <v>45604.49067</v>
      </c>
      <c r="H3238" s="24" t="str">
        <f>IFERROR(VLOOKUP(B3238,material!A:D,3,0),"")</f>
        <v>DUAL</v>
      </c>
    </row>
    <row r="3239" ht="11.25" customHeight="1">
      <c r="A3239" s="21" t="str">
        <f>IFERROR(__xludf.DUMMYFUNCTION("""COMPUTED_VALUE"""),"DECODER HD DCI738 2T")</f>
        <v>DECODER HD DCI738 2T</v>
      </c>
      <c r="B3239" s="22">
        <f>IFERROR(__xludf.DUMMYFUNCTION("""COMPUTED_VALUE"""),4.1001275E7)</f>
        <v>41001275</v>
      </c>
      <c r="C3239" s="21" t="str">
        <f>IFERROR(__xludf.DUMMYFUNCTION("""COMPUTED_VALUE"""),"216916804759")</f>
        <v>216916804759</v>
      </c>
      <c r="D3239" s="21" t="str">
        <f>IFERROR(__xludf.DUMMYFUNCTION("""COMPUTED_VALUE"""),"DIGITEC TECNOLOGIA DIGITAL E REPRES")</f>
        <v>DIGITEC TECNOLOGIA DIGITAL E REPRES</v>
      </c>
      <c r="E3239" s="21">
        <f>IFERROR(__xludf.DUMMYFUNCTION("""COMPUTED_VALUE"""),145359.0)</f>
        <v>145359</v>
      </c>
      <c r="F3239" s="21" t="str">
        <f>IFERROR(__xludf.DUMMYFUNCTION("""COMPUTED_VALUE"""),"TRANSITO REVERSA")</f>
        <v>TRANSITO REVERSA</v>
      </c>
      <c r="G3239" s="23">
        <f>IFERROR(__xludf.DUMMYFUNCTION("""COMPUTED_VALUE"""),45633.00341435186)</f>
        <v>45633.00341</v>
      </c>
      <c r="H3239" s="24" t="str">
        <f>IFERROR(VLOOKUP(B3239,material!A:D,3,0),"")</f>
        <v>TOP MIX</v>
      </c>
    </row>
    <row r="3240" ht="11.25" customHeight="1">
      <c r="A3240" s="21" t="str">
        <f>IFERROR(__xludf.DUMMYFUNCTION("""COMPUTED_VALUE"""),"DECODER HD DCI738 2T")</f>
        <v>DECODER HD DCI738 2T</v>
      </c>
      <c r="B3240" s="22">
        <f>IFERROR(__xludf.DUMMYFUNCTION("""COMPUTED_VALUE"""),4.1001275E7)</f>
        <v>41001275</v>
      </c>
      <c r="C3240" s="21" t="str">
        <f>IFERROR(__xludf.DUMMYFUNCTION("""COMPUTED_VALUE"""),"216892522547")</f>
        <v>216892522547</v>
      </c>
      <c r="D3240" s="21" t="str">
        <f>IFERROR(__xludf.DUMMYFUNCTION("""COMPUTED_VALUE"""),"DIGITEC TECNOLOGIA DIGITAL E REPRES")</f>
        <v>DIGITEC TECNOLOGIA DIGITAL E REPRES</v>
      </c>
      <c r="E3240" s="21">
        <f>IFERROR(__xludf.DUMMYFUNCTION("""COMPUTED_VALUE"""),145359.0)</f>
        <v>145359</v>
      </c>
      <c r="F3240" s="21" t="str">
        <f>IFERROR(__xludf.DUMMYFUNCTION("""COMPUTED_VALUE"""),"TRANSITO REVERSA")</f>
        <v>TRANSITO REVERSA</v>
      </c>
      <c r="G3240" s="23">
        <f>IFERROR(__xludf.DUMMYFUNCTION("""COMPUTED_VALUE"""),45617.87142361111)</f>
        <v>45617.87142</v>
      </c>
      <c r="H3240" s="24" t="str">
        <f>IFERROR(VLOOKUP(B3240,material!A:D,3,0),"")</f>
        <v>TOP MIX</v>
      </c>
    </row>
    <row r="3241" ht="11.25" customHeight="1">
      <c r="A3241" s="21" t="str">
        <f>IFERROR(__xludf.DUMMYFUNCTION("""COMPUTED_VALUE"""),"DECODER HD DCI738 2T")</f>
        <v>DECODER HD DCI738 2T</v>
      </c>
      <c r="B3241" s="22">
        <f>IFERROR(__xludf.DUMMYFUNCTION("""COMPUTED_VALUE"""),4.1001275E7)</f>
        <v>41001275</v>
      </c>
      <c r="C3241" s="21" t="str">
        <f>IFERROR(__xludf.DUMMYFUNCTION("""COMPUTED_VALUE"""),"216901221129")</f>
        <v>216901221129</v>
      </c>
      <c r="D3241" s="21" t="str">
        <f>IFERROR(__xludf.DUMMYFUNCTION("""COMPUTED_VALUE"""),"DIGITEC TECNOLOGIA DIGITAL E REPRES")</f>
        <v>DIGITEC TECNOLOGIA DIGITAL E REPRES</v>
      </c>
      <c r="E3241" s="21">
        <f>IFERROR(__xludf.DUMMYFUNCTION("""COMPUTED_VALUE"""),145359.0)</f>
        <v>145359</v>
      </c>
      <c r="F3241" s="21" t="str">
        <f>IFERROR(__xludf.DUMMYFUNCTION("""COMPUTED_VALUE"""),"TRANSITO REVERSA")</f>
        <v>TRANSITO REVERSA</v>
      </c>
      <c r="G3241" s="23">
        <f>IFERROR(__xludf.DUMMYFUNCTION("""COMPUTED_VALUE"""),45638.52061342592)</f>
        <v>45638.52061</v>
      </c>
      <c r="H3241" s="24" t="str">
        <f>IFERROR(VLOOKUP(B3241,material!A:D,3,0),"")</f>
        <v>TOP MIX</v>
      </c>
    </row>
    <row r="3242" ht="11.25" customHeight="1">
      <c r="A3242" s="21" t="str">
        <f>IFERROR(__xludf.DUMMYFUNCTION("""COMPUTED_VALUE"""),"DECODER HD DCI738 2T")</f>
        <v>DECODER HD DCI738 2T</v>
      </c>
      <c r="B3242" s="22">
        <f>IFERROR(__xludf.DUMMYFUNCTION("""COMPUTED_VALUE"""),4.1001275E7)</f>
        <v>41001275</v>
      </c>
      <c r="C3242" s="21" t="str">
        <f>IFERROR(__xludf.DUMMYFUNCTION("""COMPUTED_VALUE"""),"216893307482")</f>
        <v>216893307482</v>
      </c>
      <c r="D3242" s="21" t="str">
        <f>IFERROR(__xludf.DUMMYFUNCTION("""COMPUTED_VALUE"""),"DIGITEC TECNOLOGIA DIGITAL E REPRES")</f>
        <v>DIGITEC TECNOLOGIA DIGITAL E REPRES</v>
      </c>
      <c r="E3242" s="21">
        <f>IFERROR(__xludf.DUMMYFUNCTION("""COMPUTED_VALUE"""),145359.0)</f>
        <v>145359</v>
      </c>
      <c r="F3242" s="21" t="str">
        <f>IFERROR(__xludf.DUMMYFUNCTION("""COMPUTED_VALUE"""),"TRANSITO REVERSA")</f>
        <v>TRANSITO REVERSA</v>
      </c>
      <c r="G3242" s="23">
        <f>IFERROR(__xludf.DUMMYFUNCTION("""COMPUTED_VALUE"""),45626.29872685185)</f>
        <v>45626.29873</v>
      </c>
      <c r="H3242" s="24" t="str">
        <f>IFERROR(VLOOKUP(B3242,material!A:D,3,0),"")</f>
        <v>TOP MIX</v>
      </c>
    </row>
    <row r="3243" ht="11.25" customHeight="1">
      <c r="A3243" s="21" t="str">
        <f>IFERROR(__xludf.DUMMYFUNCTION("""COMPUTED_VALUE"""),"DECODER HD DCI738 2T")</f>
        <v>DECODER HD DCI738 2T</v>
      </c>
      <c r="B3243" s="22">
        <f>IFERROR(__xludf.DUMMYFUNCTION("""COMPUTED_VALUE"""),4.1001275E7)</f>
        <v>41001275</v>
      </c>
      <c r="C3243" s="21" t="str">
        <f>IFERROR(__xludf.DUMMYFUNCTION("""COMPUTED_VALUE"""),"216892948705")</f>
        <v>216892948705</v>
      </c>
      <c r="D3243" s="21" t="str">
        <f>IFERROR(__xludf.DUMMYFUNCTION("""COMPUTED_VALUE"""),"DIGITEC TECNOLOGIA DIGITAL E REPRES")</f>
        <v>DIGITEC TECNOLOGIA DIGITAL E REPRES</v>
      </c>
      <c r="E3243" s="21">
        <f>IFERROR(__xludf.DUMMYFUNCTION("""COMPUTED_VALUE"""),145359.0)</f>
        <v>145359</v>
      </c>
      <c r="F3243" s="21" t="str">
        <f>IFERROR(__xludf.DUMMYFUNCTION("""COMPUTED_VALUE"""),"TRANSITO REVERSA")</f>
        <v>TRANSITO REVERSA</v>
      </c>
      <c r="G3243" s="23">
        <f>IFERROR(__xludf.DUMMYFUNCTION("""COMPUTED_VALUE"""),45633.00340277777)</f>
        <v>45633.0034</v>
      </c>
      <c r="H3243" s="24" t="str">
        <f>IFERROR(VLOOKUP(B3243,material!A:D,3,0),"")</f>
        <v>TOP MIX</v>
      </c>
    </row>
    <row r="3244" ht="11.25" customHeight="1">
      <c r="A3244" s="21" t="str">
        <f>IFERROR(__xludf.DUMMYFUNCTION("""COMPUTED_VALUE"""),"DECODER HD DCI738 2T")</f>
        <v>DECODER HD DCI738 2T</v>
      </c>
      <c r="B3244" s="22">
        <f>IFERROR(__xludf.DUMMYFUNCTION("""COMPUTED_VALUE"""),4.1001275E7)</f>
        <v>41001275</v>
      </c>
      <c r="C3244" s="21" t="str">
        <f>IFERROR(__xludf.DUMMYFUNCTION("""COMPUTED_VALUE"""),"216892927591")</f>
        <v>216892927591</v>
      </c>
      <c r="D3244" s="21" t="str">
        <f>IFERROR(__xludf.DUMMYFUNCTION("""COMPUTED_VALUE"""),"DIGITEC TECNOLOGIA DIGITAL E REPRES")</f>
        <v>DIGITEC TECNOLOGIA DIGITAL E REPRES</v>
      </c>
      <c r="E3244" s="21">
        <f>IFERROR(__xludf.DUMMYFUNCTION("""COMPUTED_VALUE"""),145359.0)</f>
        <v>145359</v>
      </c>
      <c r="F3244" s="21" t="str">
        <f>IFERROR(__xludf.DUMMYFUNCTION("""COMPUTED_VALUE"""),"TRANSITO REVERSA")</f>
        <v>TRANSITO REVERSA</v>
      </c>
      <c r="G3244" s="23">
        <f>IFERROR(__xludf.DUMMYFUNCTION("""COMPUTED_VALUE"""),45633.00396990741)</f>
        <v>45633.00397</v>
      </c>
      <c r="H3244" s="24" t="str">
        <f>IFERROR(VLOOKUP(B3244,material!A:D,3,0),"")</f>
        <v>TOP MIX</v>
      </c>
    </row>
    <row r="3245" ht="11.25" customHeight="1">
      <c r="A3245" s="21" t="str">
        <f>IFERROR(__xludf.DUMMYFUNCTION("""COMPUTED_VALUE"""),"DECODER HD DCI738 2T")</f>
        <v>DECODER HD DCI738 2T</v>
      </c>
      <c r="B3245" s="22">
        <f>IFERROR(__xludf.DUMMYFUNCTION("""COMPUTED_VALUE"""),4.1001275E7)</f>
        <v>41001275</v>
      </c>
      <c r="C3245" s="21" t="str">
        <f>IFERROR(__xludf.DUMMYFUNCTION("""COMPUTED_VALUE"""),"216892419405")</f>
        <v>216892419405</v>
      </c>
      <c r="D3245" s="21" t="str">
        <f>IFERROR(__xludf.DUMMYFUNCTION("""COMPUTED_VALUE"""),"DIGITEC TECNOLOGIA DIGITAL E REPRES")</f>
        <v>DIGITEC TECNOLOGIA DIGITAL E REPRES</v>
      </c>
      <c r="E3245" s="21">
        <f>IFERROR(__xludf.DUMMYFUNCTION("""COMPUTED_VALUE"""),145359.0)</f>
        <v>145359</v>
      </c>
      <c r="F3245" s="21" t="str">
        <f>IFERROR(__xludf.DUMMYFUNCTION("""COMPUTED_VALUE"""),"TRANSITO REVERSA")</f>
        <v>TRANSITO REVERSA</v>
      </c>
      <c r="G3245" s="23">
        <f>IFERROR(__xludf.DUMMYFUNCTION("""COMPUTED_VALUE"""),45617.87142361111)</f>
        <v>45617.87142</v>
      </c>
      <c r="H3245" s="24" t="str">
        <f>IFERROR(VLOOKUP(B3245,material!A:D,3,0),"")</f>
        <v>TOP MIX</v>
      </c>
    </row>
    <row r="3246" ht="11.25" customHeight="1">
      <c r="A3246" s="21" t="str">
        <f>IFERROR(__xludf.DUMMYFUNCTION("""COMPUTED_VALUE"""),"DECODER HD DCI738 2T")</f>
        <v>DECODER HD DCI738 2T</v>
      </c>
      <c r="B3246" s="22">
        <f>IFERROR(__xludf.DUMMYFUNCTION("""COMPUTED_VALUE"""),4.1001275E7)</f>
        <v>41001275</v>
      </c>
      <c r="C3246" s="21" t="str">
        <f>IFERROR(__xludf.DUMMYFUNCTION("""COMPUTED_VALUE"""),"216892417283")</f>
        <v>216892417283</v>
      </c>
      <c r="D3246" s="21" t="str">
        <f>IFERROR(__xludf.DUMMYFUNCTION("""COMPUTED_VALUE"""),"DIGITEC TECNOLOGIA DIGITAL E REPRES")</f>
        <v>DIGITEC TECNOLOGIA DIGITAL E REPRES</v>
      </c>
      <c r="E3246" s="21">
        <f>IFERROR(__xludf.DUMMYFUNCTION("""COMPUTED_VALUE"""),145359.0)</f>
        <v>145359</v>
      </c>
      <c r="F3246" s="21" t="str">
        <f>IFERROR(__xludf.DUMMYFUNCTION("""COMPUTED_VALUE"""),"TRANSITO REVERSA")</f>
        <v>TRANSITO REVERSA</v>
      </c>
      <c r="G3246" s="23">
        <f>IFERROR(__xludf.DUMMYFUNCTION("""COMPUTED_VALUE"""),45638.52059027778)</f>
        <v>45638.52059</v>
      </c>
      <c r="H3246" s="24" t="str">
        <f>IFERROR(VLOOKUP(B3246,material!A:D,3,0),"")</f>
        <v>TOP MIX</v>
      </c>
    </row>
    <row r="3247" ht="11.25" customHeight="1">
      <c r="A3247" s="21" t="str">
        <f>IFERROR(__xludf.DUMMYFUNCTION("""COMPUTED_VALUE"""),"HARD DISK 500GB EXTERNO 2.0")</f>
        <v>HARD DISK 500GB EXTERNO 2.0</v>
      </c>
      <c r="B3247" s="22">
        <f>IFERROR(__xludf.DUMMYFUNCTION("""COMPUTED_VALUE"""),4.1001376E7)</f>
        <v>41001376</v>
      </c>
      <c r="C3247" s="21" t="str">
        <f>IFERROR(__xludf.DUMMYFUNCTION("""COMPUTED_VALUE"""),"409054672743")</f>
        <v>409054672743</v>
      </c>
      <c r="D3247" s="21" t="str">
        <f>IFERROR(__xludf.DUMMYFUNCTION("""COMPUTED_VALUE"""),"DIGITEC TECNOLOGIA DIGITAL E REPRES")</f>
        <v>DIGITEC TECNOLOGIA DIGITAL E REPRES</v>
      </c>
      <c r="E3247" s="21">
        <f>IFERROR(__xludf.DUMMYFUNCTION("""COMPUTED_VALUE"""),145359.0)</f>
        <v>145359</v>
      </c>
      <c r="F3247" s="21" t="str">
        <f>IFERROR(__xludf.DUMMYFUNCTION("""COMPUTED_VALUE"""),"TRANSITO REVERSA")</f>
        <v>TRANSITO REVERSA</v>
      </c>
      <c r="G3247" s="23">
        <f>IFERROR(__xludf.DUMMYFUNCTION("""COMPUTED_VALUE"""),45638.52059027778)</f>
        <v>45638.52059</v>
      </c>
      <c r="H3247" s="24" t="str">
        <f>IFERROR(VLOOKUP(B3247,material!A:D,3,0),"")</f>
        <v>HDD</v>
      </c>
    </row>
    <row r="3248" ht="11.25" customHeight="1">
      <c r="A3248" s="21" t="str">
        <f>IFERROR(__xludf.DUMMYFUNCTION("""COMPUTED_VALUE"""),"HARD DISK 500GB EXTERNO 2.0")</f>
        <v>HARD DISK 500GB EXTERNO 2.0</v>
      </c>
      <c r="B3248" s="22">
        <f>IFERROR(__xludf.DUMMYFUNCTION("""COMPUTED_VALUE"""),4.1001376E7)</f>
        <v>41001376</v>
      </c>
      <c r="C3248" s="21" t="str">
        <f>IFERROR(__xludf.DUMMYFUNCTION("""COMPUTED_VALUE"""),"408082615773")</f>
        <v>408082615773</v>
      </c>
      <c r="D3248" s="21" t="str">
        <f>IFERROR(__xludf.DUMMYFUNCTION("""COMPUTED_VALUE"""),"DIGITEC TECNOLOGIA DIGITAL E REPRES")</f>
        <v>DIGITEC TECNOLOGIA DIGITAL E REPRES</v>
      </c>
      <c r="E3248" s="21">
        <f>IFERROR(__xludf.DUMMYFUNCTION("""COMPUTED_VALUE"""),145359.0)</f>
        <v>145359</v>
      </c>
      <c r="F3248" s="21" t="str">
        <f>IFERROR(__xludf.DUMMYFUNCTION("""COMPUTED_VALUE"""),"TRANSITO REVERSA")</f>
        <v>TRANSITO REVERSA</v>
      </c>
      <c r="G3248" s="23">
        <f>IFERROR(__xludf.DUMMYFUNCTION("""COMPUTED_VALUE"""),45638.52111111111)</f>
        <v>45638.52111</v>
      </c>
      <c r="H3248" s="24" t="str">
        <f>IFERROR(VLOOKUP(B3248,material!A:D,3,0),"")</f>
        <v>HDD</v>
      </c>
    </row>
    <row r="3249" ht="11.25" customHeight="1">
      <c r="A3249" s="21" t="str">
        <f>IFERROR(__xludf.DUMMYFUNCTION("""COMPUTED_VALUE"""),"DECODER DIGITAL HD HNB100 2T")</f>
        <v>DECODER DIGITAL HD HNB100 2T</v>
      </c>
      <c r="B3249" s="22">
        <f>IFERROR(__xludf.DUMMYFUNCTION("""COMPUTED_VALUE"""),4.1001276E7)</f>
        <v>41001276</v>
      </c>
      <c r="C3249" s="21" t="str">
        <f>IFERROR(__xludf.DUMMYFUNCTION("""COMPUTED_VALUE"""),"216869017390")</f>
        <v>216869017390</v>
      </c>
      <c r="D3249" s="21" t="str">
        <f>IFERROR(__xludf.DUMMYFUNCTION("""COMPUTED_VALUE"""),"DIGITEC TECNOLOGIA DIGITAL E REPRES")</f>
        <v>DIGITEC TECNOLOGIA DIGITAL E REPRES</v>
      </c>
      <c r="E3249" s="21">
        <f>IFERROR(__xludf.DUMMYFUNCTION("""COMPUTED_VALUE"""),145359.0)</f>
        <v>145359</v>
      </c>
      <c r="F3249" s="21" t="str">
        <f>IFERROR(__xludf.DUMMYFUNCTION("""COMPUTED_VALUE"""),"TRANSITO REVERSA")</f>
        <v>TRANSITO REVERSA</v>
      </c>
      <c r="G3249" s="23">
        <f>IFERROR(__xludf.DUMMYFUNCTION("""COMPUTED_VALUE"""),45626.298680555556)</f>
        <v>45626.29868</v>
      </c>
      <c r="H3249" s="24" t="str">
        <f>IFERROR(VLOOKUP(B3249,material!A:D,3,0),"")</f>
        <v>TOP MIX</v>
      </c>
    </row>
    <row r="3250" ht="11.25" customHeight="1">
      <c r="A3250" s="21" t="str">
        <f>IFERROR(__xludf.DUMMYFUNCTION("""COMPUTED_VALUE"""),"DECODER DIGITAL HD HNB100 2T")</f>
        <v>DECODER DIGITAL HD HNB100 2T</v>
      </c>
      <c r="B3250" s="22">
        <f>IFERROR(__xludf.DUMMYFUNCTION("""COMPUTED_VALUE"""),4.1001276E7)</f>
        <v>41001276</v>
      </c>
      <c r="C3250" s="21" t="str">
        <f>IFERROR(__xludf.DUMMYFUNCTION("""COMPUTED_VALUE"""),"216909502644")</f>
        <v>216909502644</v>
      </c>
      <c r="D3250" s="21" t="str">
        <f>IFERROR(__xludf.DUMMYFUNCTION("""COMPUTED_VALUE"""),"DIGITEC TECNOLOGIA DIGITAL E REPRES")</f>
        <v>DIGITEC TECNOLOGIA DIGITAL E REPRES</v>
      </c>
      <c r="E3250" s="21">
        <f>IFERROR(__xludf.DUMMYFUNCTION("""COMPUTED_VALUE"""),145359.0)</f>
        <v>145359</v>
      </c>
      <c r="F3250" s="21" t="str">
        <f>IFERROR(__xludf.DUMMYFUNCTION("""COMPUTED_VALUE"""),"TRANSITO REVERSA")</f>
        <v>TRANSITO REVERSA</v>
      </c>
      <c r="G3250" s="23">
        <f>IFERROR(__xludf.DUMMYFUNCTION("""COMPUTED_VALUE"""),45638.52113425926)</f>
        <v>45638.52113</v>
      </c>
      <c r="H3250" s="24" t="str">
        <f>IFERROR(VLOOKUP(B3250,material!A:D,3,0),"")</f>
        <v>TOP MIX</v>
      </c>
    </row>
    <row r="3251" ht="11.25" customHeight="1">
      <c r="A3251" s="21" t="str">
        <f>IFERROR(__xludf.DUMMYFUNCTION("""COMPUTED_VALUE"""),"DECODER DIGITAL HD HNB100 2T")</f>
        <v>DECODER DIGITAL HD HNB100 2T</v>
      </c>
      <c r="B3251" s="22">
        <f>IFERROR(__xludf.DUMMYFUNCTION("""COMPUTED_VALUE"""),4.1001276E7)</f>
        <v>41001276</v>
      </c>
      <c r="C3251" s="21" t="str">
        <f>IFERROR(__xludf.DUMMYFUNCTION("""COMPUTED_VALUE"""),"216910755156")</f>
        <v>216910755156</v>
      </c>
      <c r="D3251" s="21" t="str">
        <f>IFERROR(__xludf.DUMMYFUNCTION("""COMPUTED_VALUE"""),"DIGITEC TECNOLOGIA DIGITAL E REPRES")</f>
        <v>DIGITEC TECNOLOGIA DIGITAL E REPRES</v>
      </c>
      <c r="E3251" s="21">
        <f>IFERROR(__xludf.DUMMYFUNCTION("""COMPUTED_VALUE"""),145359.0)</f>
        <v>145359</v>
      </c>
      <c r="F3251" s="21" t="str">
        <f>IFERROR(__xludf.DUMMYFUNCTION("""COMPUTED_VALUE"""),"TRANSITO REVERSA")</f>
        <v>TRANSITO REVERSA</v>
      </c>
      <c r="G3251" s="23">
        <f>IFERROR(__xludf.DUMMYFUNCTION("""COMPUTED_VALUE"""),45610.730416666665)</f>
        <v>45610.73042</v>
      </c>
      <c r="H3251" s="24" t="str">
        <f>IFERROR(VLOOKUP(B3251,material!A:D,3,0),"")</f>
        <v>TOP MIX</v>
      </c>
    </row>
    <row r="3252" ht="11.25" customHeight="1">
      <c r="A3252" s="21" t="str">
        <f>IFERROR(__xludf.DUMMYFUNCTION("""COMPUTED_VALUE"""),"SMART CARD PRETO NAGRA")</f>
        <v>SMART CARD PRETO NAGRA</v>
      </c>
      <c r="B3252" s="22">
        <f>IFERROR(__xludf.DUMMYFUNCTION("""COMPUTED_VALUE"""),4.1001234E7)</f>
        <v>41001234</v>
      </c>
      <c r="C3252" s="21" t="str">
        <f>IFERROR(__xludf.DUMMYFUNCTION("""COMPUTED_VALUE"""),"246333811730")</f>
        <v>246333811730</v>
      </c>
      <c r="D3252" s="21" t="str">
        <f>IFERROR(__xludf.DUMMYFUNCTION("""COMPUTED_VALUE"""),"DIGITEC TECNOLOGIA DIGITAL E REPRES")</f>
        <v>DIGITEC TECNOLOGIA DIGITAL E REPRES</v>
      </c>
      <c r="E3252" s="21">
        <f>IFERROR(__xludf.DUMMYFUNCTION("""COMPUTED_VALUE"""),145359.0)</f>
        <v>145359</v>
      </c>
      <c r="F3252" s="21" t="str">
        <f>IFERROR(__xludf.DUMMYFUNCTION("""COMPUTED_VALUE"""),"TRANSITO REVERSA")</f>
        <v>TRANSITO REVERSA</v>
      </c>
      <c r="G3252" s="23">
        <f>IFERROR(__xludf.DUMMYFUNCTION("""COMPUTED_VALUE"""),45617.87143518518)</f>
        <v>45617.87144</v>
      </c>
      <c r="H3252" s="24" t="str">
        <f>IFERROR(VLOOKUP(B3252,material!A:D,3,0),"")</f>
        <v>CARD</v>
      </c>
    </row>
    <row r="3253" ht="11.25" customHeight="1">
      <c r="A3253" s="21" t="str">
        <f>IFERROR(__xludf.DUMMYFUNCTION("""COMPUTED_VALUE"""),"SMART CARD PRETO NAGRA")</f>
        <v>SMART CARD PRETO NAGRA</v>
      </c>
      <c r="B3253" s="22">
        <f>IFERROR(__xludf.DUMMYFUNCTION("""COMPUTED_VALUE"""),4.1001234E7)</f>
        <v>41001234</v>
      </c>
      <c r="C3253" s="21" t="str">
        <f>IFERROR(__xludf.DUMMYFUNCTION("""COMPUTED_VALUE"""),"246331163637")</f>
        <v>246331163637</v>
      </c>
      <c r="D3253" s="21" t="str">
        <f>IFERROR(__xludf.DUMMYFUNCTION("""COMPUTED_VALUE"""),"DIGITEC TECNOLOGIA DIGITAL E REPRES")</f>
        <v>DIGITEC TECNOLOGIA DIGITAL E REPRES</v>
      </c>
      <c r="E3253" s="21">
        <f>IFERROR(__xludf.DUMMYFUNCTION("""COMPUTED_VALUE"""),145359.0)</f>
        <v>145359</v>
      </c>
      <c r="F3253" s="21" t="str">
        <f>IFERROR(__xludf.DUMMYFUNCTION("""COMPUTED_VALUE"""),"TRANSITO REVERSA")</f>
        <v>TRANSITO REVERSA</v>
      </c>
      <c r="G3253" s="23">
        <f>IFERROR(__xludf.DUMMYFUNCTION("""COMPUTED_VALUE"""),45638.52111111111)</f>
        <v>45638.52111</v>
      </c>
      <c r="H3253" s="24" t="str">
        <f>IFERROR(VLOOKUP(B3253,material!A:D,3,0),"")</f>
        <v>CARD</v>
      </c>
    </row>
    <row r="3254" ht="11.25" customHeight="1">
      <c r="A3254" s="21" t="str">
        <f>IFERROR(__xludf.DUMMYFUNCTION("""COMPUTED_VALUE"""),"SMART CARD PRETO NAGRA")</f>
        <v>SMART CARD PRETO NAGRA</v>
      </c>
      <c r="B3254" s="22">
        <f>IFERROR(__xludf.DUMMYFUNCTION("""COMPUTED_VALUE"""),4.1001234E7)</f>
        <v>41001234</v>
      </c>
      <c r="C3254" s="21" t="str">
        <f>IFERROR(__xludf.DUMMYFUNCTION("""COMPUTED_VALUE"""),"246327923456")</f>
        <v>246327923456</v>
      </c>
      <c r="D3254" s="21" t="str">
        <f>IFERROR(__xludf.DUMMYFUNCTION("""COMPUTED_VALUE"""),"DIGITEC TECNOLOGIA DIGITAL E REPRES")</f>
        <v>DIGITEC TECNOLOGIA DIGITAL E REPRES</v>
      </c>
      <c r="E3254" s="21">
        <f>IFERROR(__xludf.DUMMYFUNCTION("""COMPUTED_VALUE"""),145359.0)</f>
        <v>145359</v>
      </c>
      <c r="F3254" s="21" t="str">
        <f>IFERROR(__xludf.DUMMYFUNCTION("""COMPUTED_VALUE"""),"TRANSITO REVERSA")</f>
        <v>TRANSITO REVERSA</v>
      </c>
      <c r="G3254" s="23">
        <f>IFERROR(__xludf.DUMMYFUNCTION("""COMPUTED_VALUE"""),45617.87240740741)</f>
        <v>45617.87241</v>
      </c>
      <c r="H3254" s="24" t="str">
        <f>IFERROR(VLOOKUP(B3254,material!A:D,3,0),"")</f>
        <v>CARD</v>
      </c>
    </row>
    <row r="3255" ht="11.25" customHeight="1">
      <c r="A3255" s="21" t="str">
        <f>IFERROR(__xludf.DUMMYFUNCTION("""COMPUTED_VALUE"""),"SMART CARD PRETO NAGRA")</f>
        <v>SMART CARD PRETO NAGRA</v>
      </c>
      <c r="B3255" s="22">
        <f>IFERROR(__xludf.DUMMYFUNCTION("""COMPUTED_VALUE"""),4.1001234E7)</f>
        <v>41001234</v>
      </c>
      <c r="C3255" s="21" t="str">
        <f>IFERROR(__xludf.DUMMYFUNCTION("""COMPUTED_VALUE"""),"246340573052")</f>
        <v>246340573052</v>
      </c>
      <c r="D3255" s="21" t="str">
        <f>IFERROR(__xludf.DUMMYFUNCTION("""COMPUTED_VALUE"""),"DIGITEC TECNOLOGIA DIGITAL E REPRES")</f>
        <v>DIGITEC TECNOLOGIA DIGITAL E REPRES</v>
      </c>
      <c r="E3255" s="21">
        <f>IFERROR(__xludf.DUMMYFUNCTION("""COMPUTED_VALUE"""),145359.0)</f>
        <v>145359</v>
      </c>
      <c r="F3255" s="21" t="str">
        <f>IFERROR(__xludf.DUMMYFUNCTION("""COMPUTED_VALUE"""),"TRANSITO REVERSA")</f>
        <v>TRANSITO REVERSA</v>
      </c>
      <c r="G3255" s="23">
        <f>IFERROR(__xludf.DUMMYFUNCTION("""COMPUTED_VALUE"""),45617.87137731482)</f>
        <v>45617.87138</v>
      </c>
      <c r="H3255" s="24" t="str">
        <f>IFERROR(VLOOKUP(B3255,material!A:D,3,0),"")</f>
        <v>CARD</v>
      </c>
    </row>
    <row r="3256" ht="11.25" customHeight="1">
      <c r="A3256" s="21" t="str">
        <f>IFERROR(__xludf.DUMMYFUNCTION("""COMPUTED_VALUE"""),"SMART CARD PRETO NAGRA")</f>
        <v>SMART CARD PRETO NAGRA</v>
      </c>
      <c r="B3256" s="22">
        <f>IFERROR(__xludf.DUMMYFUNCTION("""COMPUTED_VALUE"""),4.1001234E7)</f>
        <v>41001234</v>
      </c>
      <c r="C3256" s="21" t="str">
        <f>IFERROR(__xludf.DUMMYFUNCTION("""COMPUTED_VALUE"""),"246326096060")</f>
        <v>246326096060</v>
      </c>
      <c r="D3256" s="21" t="str">
        <f>IFERROR(__xludf.DUMMYFUNCTION("""COMPUTED_VALUE"""),"DIGITEC TECNOLOGIA DIGITAL E REPRES")</f>
        <v>DIGITEC TECNOLOGIA DIGITAL E REPRES</v>
      </c>
      <c r="E3256" s="21">
        <f>IFERROR(__xludf.DUMMYFUNCTION("""COMPUTED_VALUE"""),145359.0)</f>
        <v>145359</v>
      </c>
      <c r="F3256" s="21" t="str">
        <f>IFERROR(__xludf.DUMMYFUNCTION("""COMPUTED_VALUE"""),"TRANSITO REVERSA")</f>
        <v>TRANSITO REVERSA</v>
      </c>
      <c r="G3256" s="23">
        <f>IFERROR(__xludf.DUMMYFUNCTION("""COMPUTED_VALUE"""),45633.0033912037)</f>
        <v>45633.00339</v>
      </c>
      <c r="H3256" s="24" t="str">
        <f>IFERROR(VLOOKUP(B3256,material!A:D,3,0),"")</f>
        <v>CARD</v>
      </c>
    </row>
    <row r="3257" ht="11.25" customHeight="1">
      <c r="A3257" s="21" t="str">
        <f>IFERROR(__xludf.DUMMYFUNCTION("""COMPUTED_VALUE"""),"SMART CARD PRETO NAGRA")</f>
        <v>SMART CARD PRETO NAGRA</v>
      </c>
      <c r="B3257" s="22">
        <f>IFERROR(__xludf.DUMMYFUNCTION("""COMPUTED_VALUE"""),4.1001234E7)</f>
        <v>41001234</v>
      </c>
      <c r="C3257" s="21" t="str">
        <f>IFERROR(__xludf.DUMMYFUNCTION("""COMPUTED_VALUE"""),"246301798997")</f>
        <v>246301798997</v>
      </c>
      <c r="D3257" s="21" t="str">
        <f>IFERROR(__xludf.DUMMYFUNCTION("""COMPUTED_VALUE"""),"DIGITEC TECNOLOGIA DIGITAL E REPRES")</f>
        <v>DIGITEC TECNOLOGIA DIGITAL E REPRES</v>
      </c>
      <c r="E3257" s="21">
        <f>IFERROR(__xludf.DUMMYFUNCTION("""COMPUTED_VALUE"""),145359.0)</f>
        <v>145359</v>
      </c>
      <c r="F3257" s="21" t="str">
        <f>IFERROR(__xludf.DUMMYFUNCTION("""COMPUTED_VALUE"""),"TRANSITO REVERSA")</f>
        <v>TRANSITO REVERSA</v>
      </c>
      <c r="G3257" s="23">
        <f>IFERROR(__xludf.DUMMYFUNCTION("""COMPUTED_VALUE"""),45633.003958333335)</f>
        <v>45633.00396</v>
      </c>
      <c r="H3257" s="24" t="str">
        <f>IFERROR(VLOOKUP(B3257,material!A:D,3,0),"")</f>
        <v>CARD</v>
      </c>
    </row>
    <row r="3258" ht="11.25" customHeight="1">
      <c r="A3258" s="21" t="str">
        <f>IFERROR(__xludf.DUMMYFUNCTION("""COMPUTED_VALUE"""),"SMART CARD PRETO NAGRA")</f>
        <v>SMART CARD PRETO NAGRA</v>
      </c>
      <c r="B3258" s="22">
        <f>IFERROR(__xludf.DUMMYFUNCTION("""COMPUTED_VALUE"""),4.1001234E7)</f>
        <v>41001234</v>
      </c>
      <c r="C3258" s="21" t="str">
        <f>IFERROR(__xludf.DUMMYFUNCTION("""COMPUTED_VALUE"""),"246337670008")</f>
        <v>246337670008</v>
      </c>
      <c r="D3258" s="21" t="str">
        <f>IFERROR(__xludf.DUMMYFUNCTION("""COMPUTED_VALUE"""),"DIGITEC TECNOLOGIA DIGITAL E REPRES")</f>
        <v>DIGITEC TECNOLOGIA DIGITAL E REPRES</v>
      </c>
      <c r="E3258" s="21">
        <f>IFERROR(__xludf.DUMMYFUNCTION("""COMPUTED_VALUE"""),145359.0)</f>
        <v>145359</v>
      </c>
      <c r="F3258" s="21" t="str">
        <f>IFERROR(__xludf.DUMMYFUNCTION("""COMPUTED_VALUE"""),"TRANSITO REVERSA")</f>
        <v>TRANSITO REVERSA</v>
      </c>
      <c r="G3258" s="23">
        <f>IFERROR(__xludf.DUMMYFUNCTION("""COMPUTED_VALUE"""),45617.87140046296)</f>
        <v>45617.8714</v>
      </c>
      <c r="H3258" s="24" t="str">
        <f>IFERROR(VLOOKUP(B3258,material!A:D,3,0),"")</f>
        <v>CARD</v>
      </c>
    </row>
    <row r="3259" ht="11.25" customHeight="1">
      <c r="A3259" s="21" t="str">
        <f>IFERROR(__xludf.DUMMYFUNCTION("""COMPUTED_VALUE"""),"SMART CARD PRETO NAGRA")</f>
        <v>SMART CARD PRETO NAGRA</v>
      </c>
      <c r="B3259" s="22">
        <f>IFERROR(__xludf.DUMMYFUNCTION("""COMPUTED_VALUE"""),4.1001234E7)</f>
        <v>41001234</v>
      </c>
      <c r="C3259" s="21" t="str">
        <f>IFERROR(__xludf.DUMMYFUNCTION("""COMPUTED_VALUE"""),"246318171023")</f>
        <v>246318171023</v>
      </c>
      <c r="D3259" s="21" t="str">
        <f>IFERROR(__xludf.DUMMYFUNCTION("""COMPUTED_VALUE"""),"DIGITEC TECNOLOGIA DIGITAL E REPRES")</f>
        <v>DIGITEC TECNOLOGIA DIGITAL E REPRES</v>
      </c>
      <c r="E3259" s="21">
        <f>IFERROR(__xludf.DUMMYFUNCTION("""COMPUTED_VALUE"""),145359.0)</f>
        <v>145359</v>
      </c>
      <c r="F3259" s="21" t="str">
        <f>IFERROR(__xludf.DUMMYFUNCTION("""COMPUTED_VALUE"""),"TRANSITO REVERSA")</f>
        <v>TRANSITO REVERSA</v>
      </c>
      <c r="G3259" s="23">
        <f>IFERROR(__xludf.DUMMYFUNCTION("""COMPUTED_VALUE"""),45633.00399305555)</f>
        <v>45633.00399</v>
      </c>
      <c r="H3259" s="24" t="str">
        <f>IFERROR(VLOOKUP(B3259,material!A:D,3,0),"")</f>
        <v>CARD</v>
      </c>
    </row>
    <row r="3260" ht="11.25" customHeight="1">
      <c r="A3260" s="21" t="str">
        <f>IFERROR(__xludf.DUMMYFUNCTION("""COMPUTED_VALUE"""),"SMART CARD PRETO NAGRA")</f>
        <v>SMART CARD PRETO NAGRA</v>
      </c>
      <c r="B3260" s="22">
        <f>IFERROR(__xludf.DUMMYFUNCTION("""COMPUTED_VALUE"""),4.1001234E7)</f>
        <v>41001234</v>
      </c>
      <c r="C3260" s="21" t="str">
        <f>IFERROR(__xludf.DUMMYFUNCTION("""COMPUTED_VALUE"""),"246327817182")</f>
        <v>246327817182</v>
      </c>
      <c r="D3260" s="21" t="str">
        <f>IFERROR(__xludf.DUMMYFUNCTION("""COMPUTED_VALUE"""),"DIGITEC TECNOLOGIA DIGITAL E REPRES")</f>
        <v>DIGITEC TECNOLOGIA DIGITAL E REPRES</v>
      </c>
      <c r="E3260" s="21">
        <f>IFERROR(__xludf.DUMMYFUNCTION("""COMPUTED_VALUE"""),145359.0)</f>
        <v>145359</v>
      </c>
      <c r="F3260" s="21" t="str">
        <f>IFERROR(__xludf.DUMMYFUNCTION("""COMPUTED_VALUE"""),"TRANSITO REVERSA")</f>
        <v>TRANSITO REVERSA</v>
      </c>
      <c r="G3260" s="23">
        <f>IFERROR(__xludf.DUMMYFUNCTION("""COMPUTED_VALUE"""),45617.87240740741)</f>
        <v>45617.87241</v>
      </c>
      <c r="H3260" s="24" t="str">
        <f>IFERROR(VLOOKUP(B3260,material!A:D,3,0),"")</f>
        <v>CARD</v>
      </c>
    </row>
    <row r="3261" ht="11.25" customHeight="1">
      <c r="A3261" s="21" t="str">
        <f>IFERROR(__xludf.DUMMYFUNCTION("""COMPUTED_VALUE"""),"SMART CARD PRETO NAGRA")</f>
        <v>SMART CARD PRETO NAGRA</v>
      </c>
      <c r="B3261" s="22">
        <f>IFERROR(__xludf.DUMMYFUNCTION("""COMPUTED_VALUE"""),4.1001234E7)</f>
        <v>41001234</v>
      </c>
      <c r="C3261" s="21" t="str">
        <f>IFERROR(__xludf.DUMMYFUNCTION("""COMPUTED_VALUE"""),"246342525060")</f>
        <v>246342525060</v>
      </c>
      <c r="D3261" s="21" t="str">
        <f>IFERROR(__xludf.DUMMYFUNCTION("""COMPUTED_VALUE"""),"DIGITEC TECNOLOGIA DIGITAL E REPRES")</f>
        <v>DIGITEC TECNOLOGIA DIGITAL E REPRES</v>
      </c>
      <c r="E3261" s="21">
        <f>IFERROR(__xludf.DUMMYFUNCTION("""COMPUTED_VALUE"""),145359.0)</f>
        <v>145359</v>
      </c>
      <c r="F3261" s="21" t="str">
        <f>IFERROR(__xludf.DUMMYFUNCTION("""COMPUTED_VALUE"""),"TRANSITO REVERSA")</f>
        <v>TRANSITO REVERSA</v>
      </c>
      <c r="G3261" s="23">
        <f>IFERROR(__xludf.DUMMYFUNCTION("""COMPUTED_VALUE"""),45617.87137731482)</f>
        <v>45617.87138</v>
      </c>
      <c r="H3261" s="24" t="str">
        <f>IFERROR(VLOOKUP(B3261,material!A:D,3,0),"")</f>
        <v>CARD</v>
      </c>
    </row>
    <row r="3262" ht="11.25" customHeight="1">
      <c r="A3262" s="21" t="str">
        <f>IFERROR(__xludf.DUMMYFUNCTION("""COMPUTED_VALUE"""),"SMART CARD LARANJA NAGRA")</f>
        <v>SMART CARD LARANJA NAGRA</v>
      </c>
      <c r="B3262" s="22">
        <f>IFERROR(__xludf.DUMMYFUNCTION("""COMPUTED_VALUE"""),4.1001186E7)</f>
        <v>41001186</v>
      </c>
      <c r="C3262" s="21" t="str">
        <f>IFERROR(__xludf.DUMMYFUNCTION("""COMPUTED_VALUE"""),"226703441417")</f>
        <v>226703441417</v>
      </c>
      <c r="D3262" s="21" t="str">
        <f>IFERROR(__xludf.DUMMYFUNCTION("""COMPUTED_VALUE"""),"DIGITEC TECNOLOGIA DIGITAL E REPRES")</f>
        <v>DIGITEC TECNOLOGIA DIGITAL E REPRES</v>
      </c>
      <c r="E3262" s="21">
        <f>IFERROR(__xludf.DUMMYFUNCTION("""COMPUTED_VALUE"""),145359.0)</f>
        <v>145359</v>
      </c>
      <c r="F3262" s="21" t="str">
        <f>IFERROR(__xludf.DUMMYFUNCTION("""COMPUTED_VALUE"""),"SUCATA")</f>
        <v>SUCATA</v>
      </c>
      <c r="G3262" s="23">
        <f>IFERROR(__xludf.DUMMYFUNCTION("""COMPUTED_VALUE"""),45075.511875)</f>
        <v>45075.51188</v>
      </c>
      <c r="H3262" s="24" t="str">
        <f>IFERROR(VLOOKUP(B3262,material!A:D,3,0),"")</f>
        <v>CARD</v>
      </c>
    </row>
    <row r="3263" ht="11.25" customHeight="1">
      <c r="A3263" s="21" t="str">
        <f>IFERROR(__xludf.DUMMYFUNCTION("""COMPUTED_VALUE"""),"SMART CARD LARANJA NAGRA")</f>
        <v>SMART CARD LARANJA NAGRA</v>
      </c>
      <c r="B3263" s="22">
        <f>IFERROR(__xludf.DUMMYFUNCTION("""COMPUTED_VALUE"""),4.1001186E7)</f>
        <v>41001186</v>
      </c>
      <c r="C3263" s="21" t="str">
        <f>IFERROR(__xludf.DUMMYFUNCTION("""COMPUTED_VALUE"""),"226682270103")</f>
        <v>226682270103</v>
      </c>
      <c r="D3263" s="21" t="str">
        <f>IFERROR(__xludf.DUMMYFUNCTION("""COMPUTED_VALUE"""),"DIGITEC TECNOLOGIA DIGITAL E REPRES")</f>
        <v>DIGITEC TECNOLOGIA DIGITAL E REPRES</v>
      </c>
      <c r="E3263" s="21">
        <f>IFERROR(__xludf.DUMMYFUNCTION("""COMPUTED_VALUE"""),145359.0)</f>
        <v>145359</v>
      </c>
      <c r="F3263" s="21" t="str">
        <f>IFERROR(__xludf.DUMMYFUNCTION("""COMPUTED_VALUE"""),"SUCATA")</f>
        <v>SUCATA</v>
      </c>
      <c r="G3263" s="23">
        <f>IFERROR(__xludf.DUMMYFUNCTION("""COMPUTED_VALUE"""),45075.51188657407)</f>
        <v>45075.51189</v>
      </c>
      <c r="H3263" s="24" t="str">
        <f>IFERROR(VLOOKUP(B3263,material!A:D,3,0),"")</f>
        <v>CARD</v>
      </c>
    </row>
    <row r="3264" ht="11.25" customHeight="1">
      <c r="A3264" s="21" t="str">
        <f>IFERROR(__xludf.DUMMYFUNCTION("""COMPUTED_VALUE"""),"SMART CARD LARANJA NAGRA")</f>
        <v>SMART CARD LARANJA NAGRA</v>
      </c>
      <c r="B3264" s="22">
        <f>IFERROR(__xludf.DUMMYFUNCTION("""COMPUTED_VALUE"""),4.1001186E7)</f>
        <v>41001186</v>
      </c>
      <c r="C3264" s="21" t="str">
        <f>IFERROR(__xludf.DUMMYFUNCTION("""COMPUTED_VALUE"""),"226595492442")</f>
        <v>226595492442</v>
      </c>
      <c r="D3264" s="21" t="str">
        <f>IFERROR(__xludf.DUMMYFUNCTION("""COMPUTED_VALUE"""),"DIGITEC TECNOLOGIA DIGITAL E REPRES")</f>
        <v>DIGITEC TECNOLOGIA DIGITAL E REPRES</v>
      </c>
      <c r="E3264" s="21">
        <f>IFERROR(__xludf.DUMMYFUNCTION("""COMPUTED_VALUE"""),145359.0)</f>
        <v>145359</v>
      </c>
      <c r="F3264" s="21" t="str">
        <f>IFERROR(__xludf.DUMMYFUNCTION("""COMPUTED_VALUE"""),"SUCATA")</f>
        <v>SUCATA</v>
      </c>
      <c r="G3264" s="23">
        <f>IFERROR(__xludf.DUMMYFUNCTION("""COMPUTED_VALUE"""),45075.59908564815)</f>
        <v>45075.59909</v>
      </c>
      <c r="H3264" s="24" t="str">
        <f>IFERROR(VLOOKUP(B3264,material!A:D,3,0),"")</f>
        <v>CARD</v>
      </c>
    </row>
    <row r="3265" ht="11.25" customHeight="1">
      <c r="A3265" s="21" t="str">
        <f>IFERROR(__xludf.DUMMYFUNCTION("""COMPUTED_VALUE"""),"SMART CARD LARANJA NAGRA")</f>
        <v>SMART CARD LARANJA NAGRA</v>
      </c>
      <c r="B3265" s="22">
        <f>IFERROR(__xludf.DUMMYFUNCTION("""COMPUTED_VALUE"""),4.1001186E7)</f>
        <v>41001186</v>
      </c>
      <c r="C3265" s="21" t="str">
        <f>IFERROR(__xludf.DUMMYFUNCTION("""COMPUTED_VALUE"""),"225854329198")</f>
        <v>225854329198</v>
      </c>
      <c r="D3265" s="21" t="str">
        <f>IFERROR(__xludf.DUMMYFUNCTION("""COMPUTED_VALUE"""),"DIGITEC TECNOLOGIA DIGITAL E REPRES")</f>
        <v>DIGITEC TECNOLOGIA DIGITAL E REPRES</v>
      </c>
      <c r="E3265" s="21">
        <f>IFERROR(__xludf.DUMMYFUNCTION("""COMPUTED_VALUE"""),145359.0)</f>
        <v>145359</v>
      </c>
      <c r="F3265" s="21" t="str">
        <f>IFERROR(__xludf.DUMMYFUNCTION("""COMPUTED_VALUE"""),"SUCATA")</f>
        <v>SUCATA</v>
      </c>
      <c r="G3265" s="23">
        <f>IFERROR(__xludf.DUMMYFUNCTION("""COMPUTED_VALUE"""),45076.732627314814)</f>
        <v>45076.73263</v>
      </c>
      <c r="H3265" s="24" t="str">
        <f>IFERROR(VLOOKUP(B3265,material!A:D,3,0),"")</f>
        <v>CARD</v>
      </c>
    </row>
    <row r="3266" ht="11.25" customHeight="1">
      <c r="A3266" s="21" t="str">
        <f>IFERROR(__xludf.DUMMYFUNCTION("""COMPUTED_VALUE"""),"SMART CARD LARANJA NAGRA")</f>
        <v>SMART CARD LARANJA NAGRA</v>
      </c>
      <c r="B3266" s="22">
        <f>IFERROR(__xludf.DUMMYFUNCTION("""COMPUTED_VALUE"""),4.1001186E7)</f>
        <v>41001186</v>
      </c>
      <c r="C3266" s="21" t="str">
        <f>IFERROR(__xludf.DUMMYFUNCTION("""COMPUTED_VALUE"""),"225774588903")</f>
        <v>225774588903</v>
      </c>
      <c r="D3266" s="21" t="str">
        <f>IFERROR(__xludf.DUMMYFUNCTION("""COMPUTED_VALUE"""),"DIGITEC TECNOLOGIA DIGITAL E REPRES")</f>
        <v>DIGITEC TECNOLOGIA DIGITAL E REPRES</v>
      </c>
      <c r="E3266" s="21">
        <f>IFERROR(__xludf.DUMMYFUNCTION("""COMPUTED_VALUE"""),145359.0)</f>
        <v>145359</v>
      </c>
      <c r="F3266" s="21" t="str">
        <f>IFERROR(__xludf.DUMMYFUNCTION("""COMPUTED_VALUE"""),"SUCATA")</f>
        <v>SUCATA</v>
      </c>
      <c r="G3266" s="23">
        <f>IFERROR(__xludf.DUMMYFUNCTION("""COMPUTED_VALUE"""),45075.62226851852)</f>
        <v>45075.62227</v>
      </c>
      <c r="H3266" s="24" t="str">
        <f>IFERROR(VLOOKUP(B3266,material!A:D,3,0),"")</f>
        <v>CARD</v>
      </c>
    </row>
    <row r="3267" ht="11.25" customHeight="1">
      <c r="A3267" s="21" t="str">
        <f>IFERROR(__xludf.DUMMYFUNCTION("""COMPUTED_VALUE"""),"SMART CARD LARANJA NAGRA")</f>
        <v>SMART CARD LARANJA NAGRA</v>
      </c>
      <c r="B3267" s="22">
        <f>IFERROR(__xludf.DUMMYFUNCTION("""COMPUTED_VALUE"""),4.1001186E7)</f>
        <v>41001186</v>
      </c>
      <c r="C3267" s="21" t="str">
        <f>IFERROR(__xludf.DUMMYFUNCTION("""COMPUTED_VALUE"""),"225786009096")</f>
        <v>225786009096</v>
      </c>
      <c r="D3267" s="21" t="str">
        <f>IFERROR(__xludf.DUMMYFUNCTION("""COMPUTED_VALUE"""),"DIGITEC TECNOLOGIA DIGITAL E REPRES")</f>
        <v>DIGITEC TECNOLOGIA DIGITAL E REPRES</v>
      </c>
      <c r="E3267" s="21">
        <f>IFERROR(__xludf.DUMMYFUNCTION("""COMPUTED_VALUE"""),145359.0)</f>
        <v>145359</v>
      </c>
      <c r="F3267" s="21" t="str">
        <f>IFERROR(__xludf.DUMMYFUNCTION("""COMPUTED_VALUE"""),"SUCATA")</f>
        <v>SUCATA</v>
      </c>
      <c r="G3267" s="23">
        <f>IFERROR(__xludf.DUMMYFUNCTION("""COMPUTED_VALUE"""),45076.60255787037)</f>
        <v>45076.60256</v>
      </c>
      <c r="H3267" s="24" t="str">
        <f>IFERROR(VLOOKUP(B3267,material!A:D,3,0),"")</f>
        <v>CARD</v>
      </c>
    </row>
    <row r="3268" ht="11.25" customHeight="1">
      <c r="A3268" s="21" t="str">
        <f>IFERROR(__xludf.DUMMYFUNCTION("""COMPUTED_VALUE"""),"SMART CARD LARANJA NAGRA")</f>
        <v>SMART CARD LARANJA NAGRA</v>
      </c>
      <c r="B3268" s="22">
        <f>IFERROR(__xludf.DUMMYFUNCTION("""COMPUTED_VALUE"""),4.1001186E7)</f>
        <v>41001186</v>
      </c>
      <c r="C3268" s="21" t="str">
        <f>IFERROR(__xludf.DUMMYFUNCTION("""COMPUTED_VALUE"""),"215760244848")</f>
        <v>215760244848</v>
      </c>
      <c r="D3268" s="21" t="str">
        <f>IFERROR(__xludf.DUMMYFUNCTION("""COMPUTED_VALUE"""),"DIGITEC TECNOLOGIA DIGITAL E REPRES")</f>
        <v>DIGITEC TECNOLOGIA DIGITAL E REPRES</v>
      </c>
      <c r="E3268" s="21">
        <f>IFERROR(__xludf.DUMMYFUNCTION("""COMPUTED_VALUE"""),145359.0)</f>
        <v>145359</v>
      </c>
      <c r="F3268" s="21" t="str">
        <f>IFERROR(__xludf.DUMMYFUNCTION("""COMPUTED_VALUE"""),"SUCATA")</f>
        <v>SUCATA</v>
      </c>
      <c r="G3268" s="23">
        <f>IFERROR(__xludf.DUMMYFUNCTION("""COMPUTED_VALUE"""),45075.62225694444)</f>
        <v>45075.62226</v>
      </c>
      <c r="H3268" s="24" t="str">
        <f>IFERROR(VLOOKUP(B3268,material!A:D,3,0),"")</f>
        <v>CARD</v>
      </c>
    </row>
    <row r="3269" ht="11.25" customHeight="1">
      <c r="A3269" s="21" t="str">
        <f>IFERROR(__xludf.DUMMYFUNCTION("""COMPUTED_VALUE"""),"SMART CARD LARANJA NAGRA")</f>
        <v>SMART CARD LARANJA NAGRA</v>
      </c>
      <c r="B3269" s="22">
        <f>IFERROR(__xludf.DUMMYFUNCTION("""COMPUTED_VALUE"""),4.1001186E7)</f>
        <v>41001186</v>
      </c>
      <c r="C3269" s="21" t="str">
        <f>IFERROR(__xludf.DUMMYFUNCTION("""COMPUTED_VALUE"""),"215776213545")</f>
        <v>215776213545</v>
      </c>
      <c r="D3269" s="21" t="str">
        <f>IFERROR(__xludf.DUMMYFUNCTION("""COMPUTED_VALUE"""),"DIGITEC TECNOLOGIA DIGITAL E REPRES")</f>
        <v>DIGITEC TECNOLOGIA DIGITAL E REPRES</v>
      </c>
      <c r="E3269" s="21">
        <f>IFERROR(__xludf.DUMMYFUNCTION("""COMPUTED_VALUE"""),145359.0)</f>
        <v>145359</v>
      </c>
      <c r="F3269" s="21" t="str">
        <f>IFERROR(__xludf.DUMMYFUNCTION("""COMPUTED_VALUE"""),"SUCATA")</f>
        <v>SUCATA</v>
      </c>
      <c r="G3269" s="23">
        <f>IFERROR(__xludf.DUMMYFUNCTION("""COMPUTED_VALUE"""),45075.62225694444)</f>
        <v>45075.62226</v>
      </c>
      <c r="H3269" s="24" t="str">
        <f>IFERROR(VLOOKUP(B3269,material!A:D,3,0),"")</f>
        <v>CARD</v>
      </c>
    </row>
    <row r="3270" ht="11.25" customHeight="1">
      <c r="A3270" s="21" t="str">
        <f>IFERROR(__xludf.DUMMYFUNCTION("""COMPUTED_VALUE"""),"SMART CARD LARANJA NAGRA")</f>
        <v>SMART CARD LARANJA NAGRA</v>
      </c>
      <c r="B3270" s="22">
        <f>IFERROR(__xludf.DUMMYFUNCTION("""COMPUTED_VALUE"""),4.1001186E7)</f>
        <v>41001186</v>
      </c>
      <c r="C3270" s="21" t="str">
        <f>IFERROR(__xludf.DUMMYFUNCTION("""COMPUTED_VALUE"""),"215804744960")</f>
        <v>215804744960</v>
      </c>
      <c r="D3270" s="21" t="str">
        <f>IFERROR(__xludf.DUMMYFUNCTION("""COMPUTED_VALUE"""),"DIGITEC TECNOLOGIA DIGITAL E REPRES")</f>
        <v>DIGITEC TECNOLOGIA DIGITAL E REPRES</v>
      </c>
      <c r="E3270" s="21">
        <f>IFERROR(__xludf.DUMMYFUNCTION("""COMPUTED_VALUE"""),145359.0)</f>
        <v>145359</v>
      </c>
      <c r="F3270" s="21" t="str">
        <f>IFERROR(__xludf.DUMMYFUNCTION("""COMPUTED_VALUE"""),"SUCATA")</f>
        <v>SUCATA</v>
      </c>
      <c r="G3270" s="23">
        <f>IFERROR(__xludf.DUMMYFUNCTION("""COMPUTED_VALUE"""),45075.62225694444)</f>
        <v>45075.62226</v>
      </c>
      <c r="H3270" s="24" t="str">
        <f>IFERROR(VLOOKUP(B3270,material!A:D,3,0),"")</f>
        <v>CARD</v>
      </c>
    </row>
    <row r="3271" ht="11.25" customHeight="1">
      <c r="A3271" s="21" t="str">
        <f>IFERROR(__xludf.DUMMYFUNCTION("""COMPUTED_VALUE"""),"SMART CARD LARANJA NAGRA")</f>
        <v>SMART CARD LARANJA NAGRA</v>
      </c>
      <c r="B3271" s="22">
        <f>IFERROR(__xludf.DUMMYFUNCTION("""COMPUTED_VALUE"""),4.1001186E7)</f>
        <v>41001186</v>
      </c>
      <c r="C3271" s="21" t="str">
        <f>IFERROR(__xludf.DUMMYFUNCTION("""COMPUTED_VALUE"""),"215719896982")</f>
        <v>215719896982</v>
      </c>
      <c r="D3271" s="21" t="str">
        <f>IFERROR(__xludf.DUMMYFUNCTION("""COMPUTED_VALUE"""),"DIGITEC TECNOLOGIA DIGITAL E REPRES")</f>
        <v>DIGITEC TECNOLOGIA DIGITAL E REPRES</v>
      </c>
      <c r="E3271" s="21">
        <f>IFERROR(__xludf.DUMMYFUNCTION("""COMPUTED_VALUE"""),145359.0)</f>
        <v>145359</v>
      </c>
      <c r="F3271" s="21" t="str">
        <f>IFERROR(__xludf.DUMMYFUNCTION("""COMPUTED_VALUE"""),"SUCATA")</f>
        <v>SUCATA</v>
      </c>
      <c r="G3271" s="23">
        <f>IFERROR(__xludf.DUMMYFUNCTION("""COMPUTED_VALUE"""),45076.73168981481)</f>
        <v>45076.73169</v>
      </c>
      <c r="H3271" s="24" t="str">
        <f>IFERROR(VLOOKUP(B3271,material!A:D,3,0),"")</f>
        <v>CARD</v>
      </c>
    </row>
    <row r="3272" ht="11.25" customHeight="1">
      <c r="A3272" s="21" t="str">
        <f>IFERROR(__xludf.DUMMYFUNCTION("""COMPUTED_VALUE"""),"SMART CARD LARANJA NAGRA")</f>
        <v>SMART CARD LARANJA NAGRA</v>
      </c>
      <c r="B3272" s="22">
        <f>IFERROR(__xludf.DUMMYFUNCTION("""COMPUTED_VALUE"""),4.1001186E7)</f>
        <v>41001186</v>
      </c>
      <c r="C3272" s="21" t="str">
        <f>IFERROR(__xludf.DUMMYFUNCTION("""COMPUTED_VALUE"""),"215701219907")</f>
        <v>215701219907</v>
      </c>
      <c r="D3272" s="21" t="str">
        <f>IFERROR(__xludf.DUMMYFUNCTION("""COMPUTED_VALUE"""),"DIGITEC TECNOLOGIA DIGITAL E REPRES")</f>
        <v>DIGITEC TECNOLOGIA DIGITAL E REPRES</v>
      </c>
      <c r="E3272" s="21">
        <f>IFERROR(__xludf.DUMMYFUNCTION("""COMPUTED_VALUE"""),145359.0)</f>
        <v>145359</v>
      </c>
      <c r="F3272" s="21" t="str">
        <f>IFERROR(__xludf.DUMMYFUNCTION("""COMPUTED_VALUE"""),"SUCATA")</f>
        <v>SUCATA</v>
      </c>
      <c r="G3272" s="23">
        <f>IFERROR(__xludf.DUMMYFUNCTION("""COMPUTED_VALUE"""),45075.58660879629)</f>
        <v>45075.58661</v>
      </c>
      <c r="H3272" s="24" t="str">
        <f>IFERROR(VLOOKUP(B3272,material!A:D,3,0),"")</f>
        <v>CARD</v>
      </c>
    </row>
    <row r="3273" ht="11.25" customHeight="1">
      <c r="A3273" s="21" t="str">
        <f>IFERROR(__xludf.DUMMYFUNCTION("""COMPUTED_VALUE"""),"DECODER 4K ULTRA HD DGCI363 COM IG VOZ")</f>
        <v>DECODER 4K ULTRA HD DGCI363 COM IG VOZ</v>
      </c>
      <c r="B3273" s="22">
        <f>IFERROR(__xludf.DUMMYFUNCTION("""COMPUTED_VALUE"""),4.1001534E7)</f>
        <v>41001534</v>
      </c>
      <c r="C3273" s="21" t="str">
        <f>IFERROR(__xludf.DUMMYFUNCTION("""COMPUTED_VALUE"""),"229917750211")</f>
        <v>229917750211</v>
      </c>
      <c r="D3273" s="21" t="str">
        <f>IFERROR(__xludf.DUMMYFUNCTION("""COMPUTED_VALUE"""),"DIGITEC TECNOLOGIA DIGITAL E REPRES")</f>
        <v>DIGITEC TECNOLOGIA DIGITAL E REPRES</v>
      </c>
      <c r="E3273" s="21">
        <f>IFERROR(__xludf.DUMMYFUNCTION("""COMPUTED_VALUE"""),145359.0)</f>
        <v>145359</v>
      </c>
      <c r="F3273" s="21" t="str">
        <f>IFERROR(__xludf.DUMMYFUNCTION("""COMPUTED_VALUE"""),"PERDA")</f>
        <v>PERDA</v>
      </c>
      <c r="G3273" s="23">
        <f>IFERROR(__xludf.DUMMYFUNCTION("""COMPUTED_VALUE"""),45134.41050925926)</f>
        <v>45134.41051</v>
      </c>
      <c r="H3273" s="24" t="str">
        <f>IFERROR(VLOOKUP(B3273,material!A:D,3,0),"")</f>
        <v>4K</v>
      </c>
    </row>
    <row r="3274" ht="11.25" customHeight="1">
      <c r="A3274" s="21" t="str">
        <f>IFERROR(__xludf.DUMMYFUNCTION("""COMPUTED_VALUE"""),"DECODER 4K UHD IP S4KW3 LINUX VAS COM")</f>
        <v>DECODER 4K UHD IP S4KW3 LINUX VAS COM</v>
      </c>
      <c r="B3274" s="22">
        <f>IFERROR(__xludf.DUMMYFUNCTION("""COMPUTED_VALUE"""),4.100153E7)</f>
        <v>41001530</v>
      </c>
      <c r="C3274" s="21" t="str">
        <f>IFERROR(__xludf.DUMMYFUNCTION("""COMPUTED_VALUE"""),"230008635062")</f>
        <v>230008635062</v>
      </c>
      <c r="D3274" s="21" t="str">
        <f>IFERROR(__xludf.DUMMYFUNCTION("""COMPUTED_VALUE"""),"DIGITEC TECNOLOGIA DIGITAL E REPRES")</f>
        <v>DIGITEC TECNOLOGIA DIGITAL E REPRES</v>
      </c>
      <c r="E3274" s="21">
        <f>IFERROR(__xludf.DUMMYFUNCTION("""COMPUTED_VALUE"""),145359.0)</f>
        <v>145359</v>
      </c>
      <c r="F3274" s="21" t="str">
        <f>IFERROR(__xludf.DUMMYFUNCTION("""COMPUTED_VALUE"""),"PERDA")</f>
        <v>PERDA</v>
      </c>
      <c r="G3274" s="23">
        <f>IFERROR(__xludf.DUMMYFUNCTION("""COMPUTED_VALUE"""),45203.317141203705)</f>
        <v>45203.31714</v>
      </c>
      <c r="H3274" s="24" t="str">
        <f>IFERROR(VLOOKUP(B3274,material!A:D,3,0),"")</f>
        <v>BOX</v>
      </c>
    </row>
    <row r="3275" ht="11.25" customHeight="1">
      <c r="A3275" s="21" t="str">
        <f>IFERROR(__xludf.DUMMYFUNCTION("""COMPUTED_VALUE"""),"DECODER 4K UHD IP S4KW3 LINUX VAS COM")</f>
        <v>DECODER 4K UHD IP S4KW3 LINUX VAS COM</v>
      </c>
      <c r="B3275" s="22">
        <f>IFERROR(__xludf.DUMMYFUNCTION("""COMPUTED_VALUE"""),4.100153E7)</f>
        <v>41001530</v>
      </c>
      <c r="C3275" s="21" t="str">
        <f>IFERROR(__xludf.DUMMYFUNCTION("""COMPUTED_VALUE"""),"229936435266")</f>
        <v>229936435266</v>
      </c>
      <c r="D3275" s="21" t="str">
        <f>IFERROR(__xludf.DUMMYFUNCTION("""COMPUTED_VALUE"""),"DIGITEC TECNOLOGIA DIGITAL E REPRES")</f>
        <v>DIGITEC TECNOLOGIA DIGITAL E REPRES</v>
      </c>
      <c r="E3275" s="21">
        <f>IFERROR(__xludf.DUMMYFUNCTION("""COMPUTED_VALUE"""),145359.0)</f>
        <v>145359</v>
      </c>
      <c r="F3275" s="21" t="str">
        <f>IFERROR(__xludf.DUMMYFUNCTION("""COMPUTED_VALUE"""),"PERDA")</f>
        <v>PERDA</v>
      </c>
      <c r="G3275" s="23">
        <f>IFERROR(__xludf.DUMMYFUNCTION("""COMPUTED_VALUE"""),45621.49478009259)</f>
        <v>45621.49478</v>
      </c>
      <c r="H3275" s="24" t="str">
        <f>IFERROR(VLOOKUP(B3275,material!A:D,3,0),"")</f>
        <v>BOX</v>
      </c>
    </row>
    <row r="3276" ht="11.25" customHeight="1">
      <c r="A3276" s="21" t="str">
        <f>IFERROR(__xludf.DUMMYFUNCTION("""COMPUTED_VALUE"""),"SCBOPP 8NP NE 128KB AAC005 TRIPLE")</f>
        <v>SCBOPP 8NP NE 128KB AAC005 TRIPLE</v>
      </c>
      <c r="B3276" s="22">
        <f>IFERROR(__xludf.DUMMYFUNCTION("""COMPUTED_VALUE"""),22901.0)</f>
        <v>22901</v>
      </c>
      <c r="C3276" s="21" t="str">
        <f>IFERROR(__xludf.DUMMYFUNCTION("""COMPUTED_VALUE"""),"89550531890021596374")</f>
        <v>89550531890021596374</v>
      </c>
      <c r="D3276" s="21" t="str">
        <f>IFERROR(__xludf.DUMMYFUNCTION("""COMPUTED_VALUE"""),"DIGITEC TECNOLOGIA DIGITAL E REPRES")</f>
        <v>DIGITEC TECNOLOGIA DIGITAL E REPRES</v>
      </c>
      <c r="E3276" s="21">
        <f>IFERROR(__xludf.DUMMYFUNCTION("""COMPUTED_VALUE"""),145359.0)</f>
        <v>145359</v>
      </c>
      <c r="F3276" s="21" t="str">
        <f>IFERROR(__xludf.DUMMYFUNCTION("""COMPUTED_VALUE"""),"PERDA")</f>
        <v>PERDA</v>
      </c>
      <c r="G3276" s="23">
        <f>IFERROR(__xludf.DUMMYFUNCTION("""COMPUTED_VALUE"""),45252.30600694445)</f>
        <v>45252.30601</v>
      </c>
      <c r="H3276" s="24" t="str">
        <f>IFERROR(VLOOKUP(B3276,material!A:D,3,0),"")</f>
        <v>CHIP</v>
      </c>
    </row>
    <row r="3277" ht="11.25" customHeight="1">
      <c r="A3277" s="21" t="str">
        <f>IFERROR(__xludf.DUMMYFUNCTION("""COMPUTED_VALUE"""),"TERMINAL DOCSIS 3.1 32X8 EMTA WIF TG3442")</f>
        <v>TERMINAL DOCSIS 3.1 32X8 EMTA WIF TG3442</v>
      </c>
      <c r="B3277" s="22">
        <f>IFERROR(__xludf.DUMMYFUNCTION("""COMPUTED_VALUE"""),4.100152E7)</f>
        <v>41001520</v>
      </c>
      <c r="C3277" s="21" t="str">
        <f>IFERROR(__xludf.DUMMYFUNCTION("""COMPUTED_VALUE"""),"A8705D76DF03")</f>
        <v>A8705D76DF03</v>
      </c>
      <c r="D3277" s="21" t="str">
        <f>IFERROR(__xludf.DUMMYFUNCTION("""COMPUTED_VALUE"""),"DIGITEC TECNOLOGIA DIGITAL E REPRES")</f>
        <v>DIGITEC TECNOLOGIA DIGITAL E REPRES</v>
      </c>
      <c r="E3277" s="21">
        <f>IFERROR(__xludf.DUMMYFUNCTION("""COMPUTED_VALUE"""),145359.0)</f>
        <v>145359</v>
      </c>
      <c r="F3277" s="21" t="str">
        <f>IFERROR(__xludf.DUMMYFUNCTION("""COMPUTED_VALUE"""),"PERDA")</f>
        <v>PERDA</v>
      </c>
      <c r="G3277" s="23">
        <f>IFERROR(__xludf.DUMMYFUNCTION("""COMPUTED_VALUE"""),45113.486875)</f>
        <v>45113.48688</v>
      </c>
      <c r="H3277" s="24" t="str">
        <f>IFERROR(VLOOKUP(B3277,material!A:D,3,0),"")</f>
        <v>3.1</v>
      </c>
    </row>
    <row r="3278" ht="11.25" customHeight="1">
      <c r="A3278" s="21" t="str">
        <f>IFERROR(__xludf.DUMMYFUNCTION("""COMPUTED_VALUE"""),"TERMINAL DOCSIS 3.1 32X8 EMTA WIF TG3442")</f>
        <v>TERMINAL DOCSIS 3.1 32X8 EMTA WIF TG3442</v>
      </c>
      <c r="B3278" s="22">
        <f>IFERROR(__xludf.DUMMYFUNCTION("""COMPUTED_VALUE"""),4.100152E7)</f>
        <v>41001520</v>
      </c>
      <c r="C3278" s="21" t="str">
        <f>IFERROR(__xludf.DUMMYFUNCTION("""COMPUTED_VALUE"""),"A8705D7706E0")</f>
        <v>A8705D7706E0</v>
      </c>
      <c r="D3278" s="21" t="str">
        <f>IFERROR(__xludf.DUMMYFUNCTION("""COMPUTED_VALUE"""),"DIGITEC TECNOLOGIA DIGITAL E REPRES")</f>
        <v>DIGITEC TECNOLOGIA DIGITAL E REPRES</v>
      </c>
      <c r="E3278" s="21">
        <f>IFERROR(__xludf.DUMMYFUNCTION("""COMPUTED_VALUE"""),145359.0)</f>
        <v>145359</v>
      </c>
      <c r="F3278" s="21" t="str">
        <f>IFERROR(__xludf.DUMMYFUNCTION("""COMPUTED_VALUE"""),"PERDA")</f>
        <v>PERDA</v>
      </c>
      <c r="G3278" s="23">
        <f>IFERROR(__xludf.DUMMYFUNCTION("""COMPUTED_VALUE"""),45113.486875)</f>
        <v>45113.48688</v>
      </c>
      <c r="H3278" s="24" t="str">
        <f>IFERROR(VLOOKUP(B3278,material!A:D,3,0),"")</f>
        <v>3.1</v>
      </c>
    </row>
    <row r="3279" ht="11.25" customHeight="1">
      <c r="A3279" s="21" t="str">
        <f>IFERROR(__xludf.DUMMYFUNCTION("""COMPUTED_VALUE"""),"TERMINAL DOCSIS 3.1 32X8 EMTA WIF TG3442")</f>
        <v>TERMINAL DOCSIS 3.1 32X8 EMTA WIF TG3442</v>
      </c>
      <c r="B3279" s="22">
        <f>IFERROR(__xludf.DUMMYFUNCTION("""COMPUTED_VALUE"""),4.100152E7)</f>
        <v>41001520</v>
      </c>
      <c r="C3279" s="21" t="str">
        <f>IFERROR(__xludf.DUMMYFUNCTION("""COMPUTED_VALUE"""),"A8705D76F9C0")</f>
        <v>A8705D76F9C0</v>
      </c>
      <c r="D3279" s="21" t="str">
        <f>IFERROR(__xludf.DUMMYFUNCTION("""COMPUTED_VALUE"""),"DIGITEC TECNOLOGIA DIGITAL E REPRES")</f>
        <v>DIGITEC TECNOLOGIA DIGITAL E REPRES</v>
      </c>
      <c r="E3279" s="21">
        <f>IFERROR(__xludf.DUMMYFUNCTION("""COMPUTED_VALUE"""),145359.0)</f>
        <v>145359</v>
      </c>
      <c r="F3279" s="21" t="str">
        <f>IFERROR(__xludf.DUMMYFUNCTION("""COMPUTED_VALUE"""),"PERDA")</f>
        <v>PERDA</v>
      </c>
      <c r="G3279" s="23">
        <f>IFERROR(__xludf.DUMMYFUNCTION("""COMPUTED_VALUE"""),45113.486875)</f>
        <v>45113.48688</v>
      </c>
      <c r="H3279" s="24" t="str">
        <f>IFERROR(VLOOKUP(B3279,material!A:D,3,0),"")</f>
        <v>3.1</v>
      </c>
    </row>
    <row r="3280" ht="11.25" customHeight="1">
      <c r="A3280" s="21" t="str">
        <f>IFERROR(__xludf.DUMMYFUNCTION("""COMPUTED_VALUE"""),"TERMINAL DOCSIS 3.1 32X8 EMTA WIF TG3442")</f>
        <v>TERMINAL DOCSIS 3.1 32X8 EMTA WIF TG3442</v>
      </c>
      <c r="B3280" s="22">
        <f>IFERROR(__xludf.DUMMYFUNCTION("""COMPUTED_VALUE"""),4.100152E7)</f>
        <v>41001520</v>
      </c>
      <c r="C3280" s="21" t="str">
        <f>IFERROR(__xludf.DUMMYFUNCTION("""COMPUTED_VALUE"""),"A8705D735013")</f>
        <v>A8705D735013</v>
      </c>
      <c r="D3280" s="21" t="str">
        <f>IFERROR(__xludf.DUMMYFUNCTION("""COMPUTED_VALUE"""),"DIGITEC TECNOLOGIA DIGITAL E REPRES")</f>
        <v>DIGITEC TECNOLOGIA DIGITAL E REPRES</v>
      </c>
      <c r="E3280" s="21">
        <f>IFERROR(__xludf.DUMMYFUNCTION("""COMPUTED_VALUE"""),145359.0)</f>
        <v>145359</v>
      </c>
      <c r="F3280" s="21" t="str">
        <f>IFERROR(__xludf.DUMMYFUNCTION("""COMPUTED_VALUE"""),"PERDA")</f>
        <v>PERDA</v>
      </c>
      <c r="G3280" s="23">
        <f>IFERROR(__xludf.DUMMYFUNCTION("""COMPUTED_VALUE"""),45113.486875)</f>
        <v>45113.48688</v>
      </c>
      <c r="H3280" s="24" t="str">
        <f>IFERROR(VLOOKUP(B3280,material!A:D,3,0),"")</f>
        <v>3.1</v>
      </c>
    </row>
    <row r="3281" ht="11.25" customHeight="1">
      <c r="A3281" s="21" t="str">
        <f>IFERROR(__xludf.DUMMYFUNCTION("""COMPUTED_VALUE"""),"TERMINAL DOCSIS 3.1 32X8 EMTA WIF TG3442")</f>
        <v>TERMINAL DOCSIS 3.1 32X8 EMTA WIF TG3442</v>
      </c>
      <c r="B3281" s="22">
        <f>IFERROR(__xludf.DUMMYFUNCTION("""COMPUTED_VALUE"""),4.100152E7)</f>
        <v>41001520</v>
      </c>
      <c r="C3281" s="21" t="str">
        <f>IFERROR(__xludf.DUMMYFUNCTION("""COMPUTED_VALUE"""),"A8705D76DB57")</f>
        <v>A8705D76DB57</v>
      </c>
      <c r="D3281" s="21" t="str">
        <f>IFERROR(__xludf.DUMMYFUNCTION("""COMPUTED_VALUE"""),"DIGITEC TECNOLOGIA DIGITAL E REPRES")</f>
        <v>DIGITEC TECNOLOGIA DIGITAL E REPRES</v>
      </c>
      <c r="E3281" s="21">
        <f>IFERROR(__xludf.DUMMYFUNCTION("""COMPUTED_VALUE"""),145359.0)</f>
        <v>145359</v>
      </c>
      <c r="F3281" s="21" t="str">
        <f>IFERROR(__xludf.DUMMYFUNCTION("""COMPUTED_VALUE"""),"PERDA")</f>
        <v>PERDA</v>
      </c>
      <c r="G3281" s="23">
        <f>IFERROR(__xludf.DUMMYFUNCTION("""COMPUTED_VALUE"""),45113.486875)</f>
        <v>45113.48688</v>
      </c>
      <c r="H3281" s="24" t="str">
        <f>IFERROR(VLOOKUP(B3281,material!A:D,3,0),"")</f>
        <v>3.1</v>
      </c>
    </row>
    <row r="3282" ht="11.25" customHeight="1">
      <c r="A3282" s="21" t="str">
        <f>IFERROR(__xludf.DUMMYFUNCTION("""COMPUTED_VALUE"""),"TERMINAL DOCSIS 3.1 32X8 EMTA WIF TG3442")</f>
        <v>TERMINAL DOCSIS 3.1 32X8 EMTA WIF TG3442</v>
      </c>
      <c r="B3282" s="22">
        <f>IFERROR(__xludf.DUMMYFUNCTION("""COMPUTED_VALUE"""),4.100152E7)</f>
        <v>41001520</v>
      </c>
      <c r="C3282" s="21" t="str">
        <f>IFERROR(__xludf.DUMMYFUNCTION("""COMPUTED_VALUE"""),"A8705D731DDC")</f>
        <v>A8705D731DDC</v>
      </c>
      <c r="D3282" s="21" t="str">
        <f>IFERROR(__xludf.DUMMYFUNCTION("""COMPUTED_VALUE"""),"DIGITEC TECNOLOGIA DIGITAL E REPRES")</f>
        <v>DIGITEC TECNOLOGIA DIGITAL E REPRES</v>
      </c>
      <c r="E3282" s="21">
        <f>IFERROR(__xludf.DUMMYFUNCTION("""COMPUTED_VALUE"""),145359.0)</f>
        <v>145359</v>
      </c>
      <c r="F3282" s="21" t="str">
        <f>IFERROR(__xludf.DUMMYFUNCTION("""COMPUTED_VALUE"""),"PERDA")</f>
        <v>PERDA</v>
      </c>
      <c r="G3282" s="23">
        <f>IFERROR(__xludf.DUMMYFUNCTION("""COMPUTED_VALUE"""),45113.486875)</f>
        <v>45113.48688</v>
      </c>
      <c r="H3282" s="24" t="str">
        <f>IFERROR(VLOOKUP(B3282,material!A:D,3,0),"")</f>
        <v>3.1</v>
      </c>
    </row>
    <row r="3283" ht="11.25" customHeight="1">
      <c r="A3283" s="21" t="str">
        <f>IFERROR(__xludf.DUMMYFUNCTION("""COMPUTED_VALUE"""),"TERMINAL DOCSIS 3.1 32X8 EMTA WIF TG3442")</f>
        <v>TERMINAL DOCSIS 3.1 32X8 EMTA WIF TG3442</v>
      </c>
      <c r="B3283" s="22">
        <f>IFERROR(__xludf.DUMMYFUNCTION("""COMPUTED_VALUE"""),4.100152E7)</f>
        <v>41001520</v>
      </c>
      <c r="C3283" s="21" t="str">
        <f>IFERROR(__xludf.DUMMYFUNCTION("""COMPUTED_VALUE"""),"A8705D72E8C6")</f>
        <v>A8705D72E8C6</v>
      </c>
      <c r="D3283" s="21" t="str">
        <f>IFERROR(__xludf.DUMMYFUNCTION("""COMPUTED_VALUE"""),"DIGITEC TECNOLOGIA DIGITAL E REPRES")</f>
        <v>DIGITEC TECNOLOGIA DIGITAL E REPRES</v>
      </c>
      <c r="E3283" s="21">
        <f>IFERROR(__xludf.DUMMYFUNCTION("""COMPUTED_VALUE"""),145359.0)</f>
        <v>145359</v>
      </c>
      <c r="F3283" s="21" t="str">
        <f>IFERROR(__xludf.DUMMYFUNCTION("""COMPUTED_VALUE"""),"PERDA")</f>
        <v>PERDA</v>
      </c>
      <c r="G3283" s="23">
        <f>IFERROR(__xludf.DUMMYFUNCTION("""COMPUTED_VALUE"""),45113.486875)</f>
        <v>45113.48688</v>
      </c>
      <c r="H3283" s="24" t="str">
        <f>IFERROR(VLOOKUP(B3283,material!A:D,3,0),"")</f>
        <v>3.1</v>
      </c>
    </row>
    <row r="3284" ht="11.25" customHeight="1">
      <c r="A3284" s="21" t="str">
        <f>IFERROR(__xludf.DUMMYFUNCTION("""COMPUTED_VALUE"""),"TERMINAL DOCSIS 3.1 32X8 EMTA WIF TG3442")</f>
        <v>TERMINAL DOCSIS 3.1 32X8 EMTA WIF TG3442</v>
      </c>
      <c r="B3284" s="22">
        <f>IFERROR(__xludf.DUMMYFUNCTION("""COMPUTED_VALUE"""),4.100152E7)</f>
        <v>41001520</v>
      </c>
      <c r="C3284" s="21" t="str">
        <f>IFERROR(__xludf.DUMMYFUNCTION("""COMPUTED_VALUE"""),"A8705D77DDE5")</f>
        <v>A8705D77DDE5</v>
      </c>
      <c r="D3284" s="21" t="str">
        <f>IFERROR(__xludf.DUMMYFUNCTION("""COMPUTED_VALUE"""),"DIGITEC TECNOLOGIA DIGITAL E REPRES")</f>
        <v>DIGITEC TECNOLOGIA DIGITAL E REPRES</v>
      </c>
      <c r="E3284" s="21">
        <f>IFERROR(__xludf.DUMMYFUNCTION("""COMPUTED_VALUE"""),145359.0)</f>
        <v>145359</v>
      </c>
      <c r="F3284" s="21" t="str">
        <f>IFERROR(__xludf.DUMMYFUNCTION("""COMPUTED_VALUE"""),"PERDA")</f>
        <v>PERDA</v>
      </c>
      <c r="G3284" s="23">
        <f>IFERROR(__xludf.DUMMYFUNCTION("""COMPUTED_VALUE"""),45113.48688657407)</f>
        <v>45113.48689</v>
      </c>
      <c r="H3284" s="24" t="str">
        <f>IFERROR(VLOOKUP(B3284,material!A:D,3,0),"")</f>
        <v>3.1</v>
      </c>
    </row>
    <row r="3285" ht="11.25" customHeight="1">
      <c r="A3285" s="21" t="str">
        <f>IFERROR(__xludf.DUMMYFUNCTION("""COMPUTED_VALUE"""),"TERMINAL DOCSIS 3.1 32X8 EMTA WIF TG3442")</f>
        <v>TERMINAL DOCSIS 3.1 32X8 EMTA WIF TG3442</v>
      </c>
      <c r="B3285" s="22">
        <f>IFERROR(__xludf.DUMMYFUNCTION("""COMPUTED_VALUE"""),4.100152E7)</f>
        <v>41001520</v>
      </c>
      <c r="C3285" s="21" t="str">
        <f>IFERROR(__xludf.DUMMYFUNCTION("""COMPUTED_VALUE"""),"A8705D741FE3")</f>
        <v>A8705D741FE3</v>
      </c>
      <c r="D3285" s="21" t="str">
        <f>IFERROR(__xludf.DUMMYFUNCTION("""COMPUTED_VALUE"""),"DIGITEC TECNOLOGIA DIGITAL E REPRES")</f>
        <v>DIGITEC TECNOLOGIA DIGITAL E REPRES</v>
      </c>
      <c r="E3285" s="21">
        <f>IFERROR(__xludf.DUMMYFUNCTION("""COMPUTED_VALUE"""),145359.0)</f>
        <v>145359</v>
      </c>
      <c r="F3285" s="21" t="str">
        <f>IFERROR(__xludf.DUMMYFUNCTION("""COMPUTED_VALUE"""),"PERDA")</f>
        <v>PERDA</v>
      </c>
      <c r="G3285" s="23">
        <f>IFERROR(__xludf.DUMMYFUNCTION("""COMPUTED_VALUE"""),45113.48688657407)</f>
        <v>45113.48689</v>
      </c>
      <c r="H3285" s="24" t="str">
        <f>IFERROR(VLOOKUP(B3285,material!A:D,3,0),"")</f>
        <v>3.1</v>
      </c>
    </row>
    <row r="3286" ht="11.25" customHeight="1">
      <c r="A3286" s="21" t="str">
        <f>IFERROR(__xludf.DUMMYFUNCTION("""COMPUTED_VALUE"""),"TERMINAL DOCSIS 3.1 32X8 EMTA WIF TG3442")</f>
        <v>TERMINAL DOCSIS 3.1 32X8 EMTA WIF TG3442</v>
      </c>
      <c r="B3286" s="22">
        <f>IFERROR(__xludf.DUMMYFUNCTION("""COMPUTED_VALUE"""),4.100152E7)</f>
        <v>41001520</v>
      </c>
      <c r="C3286" s="21" t="str">
        <f>IFERROR(__xludf.DUMMYFUNCTION("""COMPUTED_VALUE"""),"A8705D741FCF")</f>
        <v>A8705D741FCF</v>
      </c>
      <c r="D3286" s="21" t="str">
        <f>IFERROR(__xludf.DUMMYFUNCTION("""COMPUTED_VALUE"""),"DIGITEC TECNOLOGIA DIGITAL E REPRES")</f>
        <v>DIGITEC TECNOLOGIA DIGITAL E REPRES</v>
      </c>
      <c r="E3286" s="21">
        <f>IFERROR(__xludf.DUMMYFUNCTION("""COMPUTED_VALUE"""),145359.0)</f>
        <v>145359</v>
      </c>
      <c r="F3286" s="21" t="str">
        <f>IFERROR(__xludf.DUMMYFUNCTION("""COMPUTED_VALUE"""),"PERDA")</f>
        <v>PERDA</v>
      </c>
      <c r="G3286" s="23">
        <f>IFERROR(__xludf.DUMMYFUNCTION("""COMPUTED_VALUE"""),45113.48688657407)</f>
        <v>45113.48689</v>
      </c>
      <c r="H3286" s="24" t="str">
        <f>IFERROR(VLOOKUP(B3286,material!A:D,3,0),"")</f>
        <v>3.1</v>
      </c>
    </row>
    <row r="3287" ht="11.25" customHeight="1">
      <c r="A3287" s="21" t="str">
        <f>IFERROR(__xludf.DUMMYFUNCTION("""COMPUTED_VALUE"""),"TERMINAL DOCSIS 3.1 32X8 EMTA WIF TG3442")</f>
        <v>TERMINAL DOCSIS 3.1 32X8 EMTA WIF TG3442</v>
      </c>
      <c r="B3287" s="22">
        <f>IFERROR(__xludf.DUMMYFUNCTION("""COMPUTED_VALUE"""),4.100152E7)</f>
        <v>41001520</v>
      </c>
      <c r="C3287" s="21" t="str">
        <f>IFERROR(__xludf.DUMMYFUNCTION("""COMPUTED_VALUE"""),"A8705D742399")</f>
        <v>A8705D742399</v>
      </c>
      <c r="D3287" s="21" t="str">
        <f>IFERROR(__xludf.DUMMYFUNCTION("""COMPUTED_VALUE"""),"DIGITEC TECNOLOGIA DIGITAL E REPRES")</f>
        <v>DIGITEC TECNOLOGIA DIGITAL E REPRES</v>
      </c>
      <c r="E3287" s="21">
        <f>IFERROR(__xludf.DUMMYFUNCTION("""COMPUTED_VALUE"""),145359.0)</f>
        <v>145359</v>
      </c>
      <c r="F3287" s="21" t="str">
        <f>IFERROR(__xludf.DUMMYFUNCTION("""COMPUTED_VALUE"""),"PERDA")</f>
        <v>PERDA</v>
      </c>
      <c r="G3287" s="23">
        <f>IFERROR(__xludf.DUMMYFUNCTION("""COMPUTED_VALUE"""),45113.486875)</f>
        <v>45113.48688</v>
      </c>
      <c r="H3287" s="24" t="str">
        <f>IFERROR(VLOOKUP(B3287,material!A:D,3,0),"")</f>
        <v>3.1</v>
      </c>
    </row>
    <row r="3288" ht="11.25" customHeight="1">
      <c r="A3288" s="21" t="str">
        <f>IFERROR(__xludf.DUMMYFUNCTION("""COMPUTED_VALUE"""),"TERMINAL DOCSIS 3.1 32X8 EMTA WIF TG3442")</f>
        <v>TERMINAL DOCSIS 3.1 32X8 EMTA WIF TG3442</v>
      </c>
      <c r="B3288" s="22">
        <f>IFERROR(__xludf.DUMMYFUNCTION("""COMPUTED_VALUE"""),4.100152E7)</f>
        <v>41001520</v>
      </c>
      <c r="C3288" s="21" t="str">
        <f>IFERROR(__xludf.DUMMYFUNCTION("""COMPUTED_VALUE"""),"A8705D7411D8")</f>
        <v>A8705D7411D8</v>
      </c>
      <c r="D3288" s="21" t="str">
        <f>IFERROR(__xludf.DUMMYFUNCTION("""COMPUTED_VALUE"""),"DIGITEC TECNOLOGIA DIGITAL E REPRES")</f>
        <v>DIGITEC TECNOLOGIA DIGITAL E REPRES</v>
      </c>
      <c r="E3288" s="21">
        <f>IFERROR(__xludf.DUMMYFUNCTION("""COMPUTED_VALUE"""),145359.0)</f>
        <v>145359</v>
      </c>
      <c r="F3288" s="21" t="str">
        <f>IFERROR(__xludf.DUMMYFUNCTION("""COMPUTED_VALUE"""),"PERDA")</f>
        <v>PERDA</v>
      </c>
      <c r="G3288" s="23">
        <f>IFERROR(__xludf.DUMMYFUNCTION("""COMPUTED_VALUE"""),45113.486875)</f>
        <v>45113.48688</v>
      </c>
      <c r="H3288" s="24" t="str">
        <f>IFERROR(VLOOKUP(B3288,material!A:D,3,0),"")</f>
        <v>3.1</v>
      </c>
    </row>
    <row r="3289" ht="11.25" customHeight="1">
      <c r="A3289" s="21" t="str">
        <f>IFERROR(__xludf.DUMMYFUNCTION("""COMPUTED_VALUE"""),"TERMINAL DOCSIS 3.1 32X8 EMTA WIF TG3442")</f>
        <v>TERMINAL DOCSIS 3.1 32X8 EMTA WIF TG3442</v>
      </c>
      <c r="B3289" s="22">
        <f>IFERROR(__xludf.DUMMYFUNCTION("""COMPUTED_VALUE"""),4.100152E7)</f>
        <v>41001520</v>
      </c>
      <c r="C3289" s="21" t="str">
        <f>IFERROR(__xludf.DUMMYFUNCTION("""COMPUTED_VALUE"""),"A8705D74101B")</f>
        <v>A8705D74101B</v>
      </c>
      <c r="D3289" s="21" t="str">
        <f>IFERROR(__xludf.DUMMYFUNCTION("""COMPUTED_VALUE"""),"DIGITEC TECNOLOGIA DIGITAL E REPRES")</f>
        <v>DIGITEC TECNOLOGIA DIGITAL E REPRES</v>
      </c>
      <c r="E3289" s="21">
        <f>IFERROR(__xludf.DUMMYFUNCTION("""COMPUTED_VALUE"""),145359.0)</f>
        <v>145359</v>
      </c>
      <c r="F3289" s="21" t="str">
        <f>IFERROR(__xludf.DUMMYFUNCTION("""COMPUTED_VALUE"""),"PERDA")</f>
        <v>PERDA</v>
      </c>
      <c r="G3289" s="23">
        <f>IFERROR(__xludf.DUMMYFUNCTION("""COMPUTED_VALUE"""),45113.486875)</f>
        <v>45113.48688</v>
      </c>
      <c r="H3289" s="24" t="str">
        <f>IFERROR(VLOOKUP(B3289,material!A:D,3,0),"")</f>
        <v>3.1</v>
      </c>
    </row>
    <row r="3290" ht="11.25" customHeight="1">
      <c r="A3290" s="21" t="str">
        <f>IFERROR(__xludf.DUMMYFUNCTION("""COMPUTED_VALUE"""),"TERMINAL DOCSIS 3.1 32X8 EMTA WIF TG3442")</f>
        <v>TERMINAL DOCSIS 3.1 32X8 EMTA WIF TG3442</v>
      </c>
      <c r="B3290" s="22">
        <f>IFERROR(__xludf.DUMMYFUNCTION("""COMPUTED_VALUE"""),4.100152E7)</f>
        <v>41001520</v>
      </c>
      <c r="C3290" s="21" t="str">
        <f>IFERROR(__xludf.DUMMYFUNCTION("""COMPUTED_VALUE"""),"A8705D742D3A")</f>
        <v>A8705D742D3A</v>
      </c>
      <c r="D3290" s="21" t="str">
        <f>IFERROR(__xludf.DUMMYFUNCTION("""COMPUTED_VALUE"""),"DIGITEC TECNOLOGIA DIGITAL E REPRES")</f>
        <v>DIGITEC TECNOLOGIA DIGITAL E REPRES</v>
      </c>
      <c r="E3290" s="21">
        <f>IFERROR(__xludf.DUMMYFUNCTION("""COMPUTED_VALUE"""),145359.0)</f>
        <v>145359</v>
      </c>
      <c r="F3290" s="21" t="str">
        <f>IFERROR(__xludf.DUMMYFUNCTION("""COMPUTED_VALUE"""),"PERDA")</f>
        <v>PERDA</v>
      </c>
      <c r="G3290" s="23">
        <f>IFERROR(__xludf.DUMMYFUNCTION("""COMPUTED_VALUE"""),45113.486875)</f>
        <v>45113.48688</v>
      </c>
      <c r="H3290" s="24" t="str">
        <f>IFERROR(VLOOKUP(B3290,material!A:D,3,0),"")</f>
        <v>3.1</v>
      </c>
    </row>
    <row r="3291" ht="11.25" customHeight="1">
      <c r="A3291" s="21" t="str">
        <f>IFERROR(__xludf.DUMMYFUNCTION("""COMPUTED_VALUE"""),"TERMINAL DOCSIS 3.1 32X8 EMTA WIF TG3442")</f>
        <v>TERMINAL DOCSIS 3.1 32X8 EMTA WIF TG3442</v>
      </c>
      <c r="B3291" s="22">
        <f>IFERROR(__xludf.DUMMYFUNCTION("""COMPUTED_VALUE"""),4.100152E7)</f>
        <v>41001520</v>
      </c>
      <c r="C3291" s="21" t="str">
        <f>IFERROR(__xludf.DUMMYFUNCTION("""COMPUTED_VALUE"""),"A8705D77CC60")</f>
        <v>A8705D77CC60</v>
      </c>
      <c r="D3291" s="21" t="str">
        <f>IFERROR(__xludf.DUMMYFUNCTION("""COMPUTED_VALUE"""),"DIGITEC TECNOLOGIA DIGITAL E REPRES")</f>
        <v>DIGITEC TECNOLOGIA DIGITAL E REPRES</v>
      </c>
      <c r="E3291" s="21">
        <f>IFERROR(__xludf.DUMMYFUNCTION("""COMPUTED_VALUE"""),145359.0)</f>
        <v>145359</v>
      </c>
      <c r="F3291" s="21" t="str">
        <f>IFERROR(__xludf.DUMMYFUNCTION("""COMPUTED_VALUE"""),"PERDA")</f>
        <v>PERDA</v>
      </c>
      <c r="G3291" s="23">
        <f>IFERROR(__xludf.DUMMYFUNCTION("""COMPUTED_VALUE"""),45113.486875)</f>
        <v>45113.48688</v>
      </c>
      <c r="H3291" s="24" t="str">
        <f>IFERROR(VLOOKUP(B3291,material!A:D,3,0),"")</f>
        <v>3.1</v>
      </c>
    </row>
    <row r="3292" ht="11.25" customHeight="1">
      <c r="A3292" s="21" t="str">
        <f>IFERROR(__xludf.DUMMYFUNCTION("""COMPUTED_VALUE"""),"TERMINAL DOCSIS 3.1 32X8 EMTA WIF TG3442")</f>
        <v>TERMINAL DOCSIS 3.1 32X8 EMTA WIF TG3442</v>
      </c>
      <c r="B3292" s="22">
        <f>IFERROR(__xludf.DUMMYFUNCTION("""COMPUTED_VALUE"""),4.100152E7)</f>
        <v>41001520</v>
      </c>
      <c r="C3292" s="21" t="str">
        <f>IFERROR(__xludf.DUMMYFUNCTION("""COMPUTED_VALUE"""),"A8705D77EBC8")</f>
        <v>A8705D77EBC8</v>
      </c>
      <c r="D3292" s="21" t="str">
        <f>IFERROR(__xludf.DUMMYFUNCTION("""COMPUTED_VALUE"""),"DIGITEC TECNOLOGIA DIGITAL E REPRES")</f>
        <v>DIGITEC TECNOLOGIA DIGITAL E REPRES</v>
      </c>
      <c r="E3292" s="21">
        <f>IFERROR(__xludf.DUMMYFUNCTION("""COMPUTED_VALUE"""),145359.0)</f>
        <v>145359</v>
      </c>
      <c r="F3292" s="21" t="str">
        <f>IFERROR(__xludf.DUMMYFUNCTION("""COMPUTED_VALUE"""),"PERDA")</f>
        <v>PERDA</v>
      </c>
      <c r="G3292" s="23">
        <f>IFERROR(__xludf.DUMMYFUNCTION("""COMPUTED_VALUE"""),45113.486875)</f>
        <v>45113.48688</v>
      </c>
      <c r="H3292" s="24" t="str">
        <f>IFERROR(VLOOKUP(B3292,material!A:D,3,0),"")</f>
        <v>3.1</v>
      </c>
    </row>
    <row r="3293" ht="11.25" customHeight="1">
      <c r="A3293" s="21" t="str">
        <f>IFERROR(__xludf.DUMMYFUNCTION("""COMPUTED_VALUE"""),"TERMINAL DOCSIS 3.1 32X8 EMTA WIF TG3442")</f>
        <v>TERMINAL DOCSIS 3.1 32X8 EMTA WIF TG3442</v>
      </c>
      <c r="B3293" s="22">
        <f>IFERROR(__xludf.DUMMYFUNCTION("""COMPUTED_VALUE"""),4.100152E7)</f>
        <v>41001520</v>
      </c>
      <c r="C3293" s="21" t="str">
        <f>IFERROR(__xludf.DUMMYFUNCTION("""COMPUTED_VALUE"""),"A8705D7A6E02")</f>
        <v>A8705D7A6E02</v>
      </c>
      <c r="D3293" s="21" t="str">
        <f>IFERROR(__xludf.DUMMYFUNCTION("""COMPUTED_VALUE"""),"DIGITEC TECNOLOGIA DIGITAL E REPRES")</f>
        <v>DIGITEC TECNOLOGIA DIGITAL E REPRES</v>
      </c>
      <c r="E3293" s="21">
        <f>IFERROR(__xludf.DUMMYFUNCTION("""COMPUTED_VALUE"""),145359.0)</f>
        <v>145359</v>
      </c>
      <c r="F3293" s="21" t="str">
        <f>IFERROR(__xludf.DUMMYFUNCTION("""COMPUTED_VALUE"""),"PERDA")</f>
        <v>PERDA</v>
      </c>
      <c r="G3293" s="23">
        <f>IFERROR(__xludf.DUMMYFUNCTION("""COMPUTED_VALUE"""),45113.486875)</f>
        <v>45113.48688</v>
      </c>
      <c r="H3293" s="24" t="str">
        <f>IFERROR(VLOOKUP(B3293,material!A:D,3,0),"")</f>
        <v>3.1</v>
      </c>
    </row>
    <row r="3294" ht="11.25" customHeight="1">
      <c r="A3294" s="21" t="str">
        <f>IFERROR(__xludf.DUMMYFUNCTION("""COMPUTED_VALUE"""),"TERMINAL DOCSIS 3.1 32X8 EMTA WIF TG3442")</f>
        <v>TERMINAL DOCSIS 3.1 32X8 EMTA WIF TG3442</v>
      </c>
      <c r="B3294" s="22">
        <f>IFERROR(__xludf.DUMMYFUNCTION("""COMPUTED_VALUE"""),4.100152E7)</f>
        <v>41001520</v>
      </c>
      <c r="C3294" s="21" t="str">
        <f>IFERROR(__xludf.DUMMYFUNCTION("""COMPUTED_VALUE"""),"A8705D732548")</f>
        <v>A8705D732548</v>
      </c>
      <c r="D3294" s="21" t="str">
        <f>IFERROR(__xludf.DUMMYFUNCTION("""COMPUTED_VALUE"""),"DIGITEC TECNOLOGIA DIGITAL E REPRES")</f>
        <v>DIGITEC TECNOLOGIA DIGITAL E REPRES</v>
      </c>
      <c r="E3294" s="21">
        <f>IFERROR(__xludf.DUMMYFUNCTION("""COMPUTED_VALUE"""),145359.0)</f>
        <v>145359</v>
      </c>
      <c r="F3294" s="21" t="str">
        <f>IFERROR(__xludf.DUMMYFUNCTION("""COMPUTED_VALUE"""),"PERDA")</f>
        <v>PERDA</v>
      </c>
      <c r="G3294" s="23">
        <f>IFERROR(__xludf.DUMMYFUNCTION("""COMPUTED_VALUE"""),45113.486875)</f>
        <v>45113.48688</v>
      </c>
      <c r="H3294" s="24" t="str">
        <f>IFERROR(VLOOKUP(B3294,material!A:D,3,0),"")</f>
        <v>3.1</v>
      </c>
    </row>
    <row r="3295" ht="11.25" customHeight="1">
      <c r="A3295" s="21" t="str">
        <f>IFERROR(__xludf.DUMMYFUNCTION("""COMPUTED_VALUE"""),"TERMINAL DOCSIS 3.1 WIFI HI3120")</f>
        <v>TERMINAL DOCSIS 3.1 WIFI HI3120</v>
      </c>
      <c r="B3295" s="22">
        <f>IFERROR(__xludf.DUMMYFUNCTION("""COMPUTED_VALUE"""),4.1001518E7)</f>
        <v>41001518</v>
      </c>
      <c r="C3295" s="21" t="str">
        <f>IFERROR(__xludf.DUMMYFUNCTION("""COMPUTED_VALUE"""),"1041210AC9C0")</f>
        <v>1041210AC9C0</v>
      </c>
      <c r="D3295" s="21" t="str">
        <f>IFERROR(__xludf.DUMMYFUNCTION("""COMPUTED_VALUE"""),"DIGITEC TECNOLOGIA DIGITAL E REPRES")</f>
        <v>DIGITEC TECNOLOGIA DIGITAL E REPRES</v>
      </c>
      <c r="E3295" s="21">
        <f>IFERROR(__xludf.DUMMYFUNCTION("""COMPUTED_VALUE"""),145359.0)</f>
        <v>145359</v>
      </c>
      <c r="F3295" s="21" t="str">
        <f>IFERROR(__xludf.DUMMYFUNCTION("""COMPUTED_VALUE"""),"PERDA")</f>
        <v>PERDA</v>
      </c>
      <c r="G3295" s="23">
        <f>IFERROR(__xludf.DUMMYFUNCTION("""COMPUTED_VALUE"""),45134.41050925926)</f>
        <v>45134.41051</v>
      </c>
      <c r="H3295" s="24" t="str">
        <f>IFERROR(VLOOKUP(B3295,material!A:D,3,0),"")</f>
        <v>3.1</v>
      </c>
    </row>
    <row r="3296" ht="11.25" customHeight="1">
      <c r="A3296" s="21" t="str">
        <f>IFERROR(__xludf.DUMMYFUNCTION("""COMPUTED_VALUE"""),"MODEM VOIP EMTA WIFI 3.1 TC3102 32X8")</f>
        <v>MODEM VOIP EMTA WIFI 3.1 TC3102 32X8</v>
      </c>
      <c r="B3296" s="22">
        <f>IFERROR(__xludf.DUMMYFUNCTION("""COMPUTED_VALUE"""),4.1001513E7)</f>
        <v>41001513</v>
      </c>
      <c r="C3296" s="21" t="str">
        <f>IFERROR(__xludf.DUMMYFUNCTION("""COMPUTED_VALUE"""),"4075C3B37FA8")</f>
        <v>4075C3B37FA8</v>
      </c>
      <c r="D3296" s="21" t="str">
        <f>IFERROR(__xludf.DUMMYFUNCTION("""COMPUTED_VALUE"""),"DIGITEC TECNOLOGIA DIGITAL E REPRES")</f>
        <v>DIGITEC TECNOLOGIA DIGITAL E REPRES</v>
      </c>
      <c r="E3296" s="21">
        <f>IFERROR(__xludf.DUMMYFUNCTION("""COMPUTED_VALUE"""),145359.0)</f>
        <v>145359</v>
      </c>
      <c r="F3296" s="21" t="str">
        <f>IFERROR(__xludf.DUMMYFUNCTION("""COMPUTED_VALUE"""),"PERDA")</f>
        <v>PERDA</v>
      </c>
      <c r="G3296" s="23">
        <f>IFERROR(__xludf.DUMMYFUNCTION("""COMPUTED_VALUE"""),45348.62640046296)</f>
        <v>45348.6264</v>
      </c>
      <c r="H3296" s="24" t="str">
        <f>IFERROR(VLOOKUP(B3296,material!A:D,3,0),"")</f>
        <v>3.1</v>
      </c>
    </row>
    <row r="3297" ht="11.25" customHeight="1">
      <c r="A3297" s="21" t="str">
        <f>IFERROR(__xludf.DUMMYFUNCTION("""COMPUTED_VALUE"""),"SC BOPP 8NP NE 128KB AAC005 TRIPLE")</f>
        <v>SC BOPP 8NP NE 128KB AAC005 TRIPLE</v>
      </c>
      <c r="B3297" s="22">
        <f>IFERROR(__xludf.DUMMYFUNCTION("""COMPUTED_VALUE"""),23107.0)</f>
        <v>23107</v>
      </c>
      <c r="C3297" s="21" t="str">
        <f>IFERROR(__xludf.DUMMYFUNCTION("""COMPUTED_VALUE"""),"89550537890002299703")</f>
        <v>89550537890002299703</v>
      </c>
      <c r="D3297" s="21" t="str">
        <f>IFERROR(__xludf.DUMMYFUNCTION("""COMPUTED_VALUE"""),"DIGITEC TECNOLOGIA DIGITAL E REPRES")</f>
        <v>DIGITEC TECNOLOGIA DIGITAL E REPRES</v>
      </c>
      <c r="E3297" s="21">
        <f>IFERROR(__xludf.DUMMYFUNCTION("""COMPUTED_VALUE"""),145359.0)</f>
        <v>145359</v>
      </c>
      <c r="F3297" s="21" t="str">
        <f>IFERROR(__xludf.DUMMYFUNCTION("""COMPUTED_VALUE"""),"PERDA")</f>
        <v>PERDA</v>
      </c>
      <c r="G3297" s="23">
        <f>IFERROR(__xludf.DUMMYFUNCTION("""COMPUTED_VALUE"""),45252.30599537037)</f>
        <v>45252.306</v>
      </c>
      <c r="H3297" s="24" t="str">
        <f>IFERROR(VLOOKUP(B3297,material!A:D,3,0),"")</f>
        <v>CHIP</v>
      </c>
    </row>
    <row r="3298" ht="11.25" customHeight="1">
      <c r="A3298" s="21" t="str">
        <f>IFERROR(__xludf.DUMMYFUNCTION("""COMPUTED_VALUE"""),"SC BOPP 8NP NE 128KB AAC005 TRIPLE")</f>
        <v>SC BOPP 8NP NE 128KB AAC005 TRIPLE</v>
      </c>
      <c r="B3298" s="22">
        <f>IFERROR(__xludf.DUMMYFUNCTION("""COMPUTED_VALUE"""),23107.0)</f>
        <v>23107</v>
      </c>
      <c r="C3298" s="21" t="str">
        <f>IFERROR(__xludf.DUMMYFUNCTION("""COMPUTED_VALUE"""),"89550537890002299547")</f>
        <v>89550537890002299547</v>
      </c>
      <c r="D3298" s="21" t="str">
        <f>IFERROR(__xludf.DUMMYFUNCTION("""COMPUTED_VALUE"""),"DIGITEC TECNOLOGIA DIGITAL E REPRES")</f>
        <v>DIGITEC TECNOLOGIA DIGITAL E REPRES</v>
      </c>
      <c r="E3298" s="21">
        <f>IFERROR(__xludf.DUMMYFUNCTION("""COMPUTED_VALUE"""),145359.0)</f>
        <v>145359</v>
      </c>
      <c r="F3298" s="21" t="str">
        <f>IFERROR(__xludf.DUMMYFUNCTION("""COMPUTED_VALUE"""),"PERDA")</f>
        <v>PERDA</v>
      </c>
      <c r="G3298" s="23">
        <f>IFERROR(__xludf.DUMMYFUNCTION("""COMPUTED_VALUE"""),45252.30599537037)</f>
        <v>45252.306</v>
      </c>
      <c r="H3298" s="24" t="str">
        <f>IFERROR(VLOOKUP(B3298,material!A:D,3,0),"")</f>
        <v>CHIP</v>
      </c>
    </row>
    <row r="3299" ht="11.25" customHeight="1">
      <c r="A3299" s="21" t="str">
        <f>IFERROR(__xludf.DUMMYFUNCTION("""COMPUTED_VALUE"""),"SC BOPP 8NP NE 128KB AAC005 TRIPLE")</f>
        <v>SC BOPP 8NP NE 128KB AAC005 TRIPLE</v>
      </c>
      <c r="B3299" s="22">
        <f>IFERROR(__xludf.DUMMYFUNCTION("""COMPUTED_VALUE"""),23107.0)</f>
        <v>23107</v>
      </c>
      <c r="C3299" s="21" t="str">
        <f>IFERROR(__xludf.DUMMYFUNCTION("""COMPUTED_VALUE"""),"89550537890002299935")</f>
        <v>89550537890002299935</v>
      </c>
      <c r="D3299" s="21" t="str">
        <f>IFERROR(__xludf.DUMMYFUNCTION("""COMPUTED_VALUE"""),"DIGITEC TECNOLOGIA DIGITAL E REPRES")</f>
        <v>DIGITEC TECNOLOGIA DIGITAL E REPRES</v>
      </c>
      <c r="E3299" s="21">
        <f>IFERROR(__xludf.DUMMYFUNCTION("""COMPUTED_VALUE"""),145359.0)</f>
        <v>145359</v>
      </c>
      <c r="F3299" s="21" t="str">
        <f>IFERROR(__xludf.DUMMYFUNCTION("""COMPUTED_VALUE"""),"PERDA")</f>
        <v>PERDA</v>
      </c>
      <c r="G3299" s="23">
        <f>IFERROR(__xludf.DUMMYFUNCTION("""COMPUTED_VALUE"""),45252.30599537037)</f>
        <v>45252.306</v>
      </c>
      <c r="H3299" s="24" t="str">
        <f>IFERROR(VLOOKUP(B3299,material!A:D,3,0),"")</f>
        <v>CHIP</v>
      </c>
    </row>
    <row r="3300" ht="11.25" customHeight="1">
      <c r="A3300" s="21" t="str">
        <f>IFERROR(__xludf.DUMMYFUNCTION("""COMPUTED_VALUE"""),"SC BOPP 8NP NE 128KB AAC005 TRIPLE")</f>
        <v>SC BOPP 8NP NE 128KB AAC005 TRIPLE</v>
      </c>
      <c r="B3300" s="22">
        <f>IFERROR(__xludf.DUMMYFUNCTION("""COMPUTED_VALUE"""),23107.0)</f>
        <v>23107</v>
      </c>
      <c r="C3300" s="21" t="str">
        <f>IFERROR(__xludf.DUMMYFUNCTION("""COMPUTED_VALUE"""),"89550534890027296885")</f>
        <v>89550534890027296885</v>
      </c>
      <c r="D3300" s="21" t="str">
        <f>IFERROR(__xludf.DUMMYFUNCTION("""COMPUTED_VALUE"""),"DIGITEC TECNOLOGIA DIGITAL E REPRES")</f>
        <v>DIGITEC TECNOLOGIA DIGITAL E REPRES</v>
      </c>
      <c r="E3300" s="21">
        <f>IFERROR(__xludf.DUMMYFUNCTION("""COMPUTED_VALUE"""),145359.0)</f>
        <v>145359</v>
      </c>
      <c r="F3300" s="21" t="str">
        <f>IFERROR(__xludf.DUMMYFUNCTION("""COMPUTED_VALUE"""),"PERDA")</f>
        <v>PERDA</v>
      </c>
      <c r="G3300" s="23">
        <f>IFERROR(__xludf.DUMMYFUNCTION("""COMPUTED_VALUE"""),45252.30599537037)</f>
        <v>45252.306</v>
      </c>
      <c r="H3300" s="24" t="str">
        <f>IFERROR(VLOOKUP(B3300,material!A:D,3,0),"")</f>
        <v>CHIP</v>
      </c>
    </row>
    <row r="3301" ht="11.25" customHeight="1">
      <c r="A3301" s="21" t="str">
        <f>IFERROR(__xludf.DUMMYFUNCTION("""COMPUTED_VALUE"""),"SC BOPP 8NP NE 128KB AAC005 TRIPLE")</f>
        <v>SC BOPP 8NP NE 128KB AAC005 TRIPLE</v>
      </c>
      <c r="B3301" s="22">
        <f>IFERROR(__xludf.DUMMYFUNCTION("""COMPUTED_VALUE"""),23107.0)</f>
        <v>23107</v>
      </c>
      <c r="C3301" s="21" t="str">
        <f>IFERROR(__xludf.DUMMYFUNCTION("""COMPUTED_VALUE"""),"89550534890027296729")</f>
        <v>89550534890027296729</v>
      </c>
      <c r="D3301" s="21" t="str">
        <f>IFERROR(__xludf.DUMMYFUNCTION("""COMPUTED_VALUE"""),"DIGITEC TECNOLOGIA DIGITAL E REPRES")</f>
        <v>DIGITEC TECNOLOGIA DIGITAL E REPRES</v>
      </c>
      <c r="E3301" s="21">
        <f>IFERROR(__xludf.DUMMYFUNCTION("""COMPUTED_VALUE"""),145359.0)</f>
        <v>145359</v>
      </c>
      <c r="F3301" s="21" t="str">
        <f>IFERROR(__xludf.DUMMYFUNCTION("""COMPUTED_VALUE"""),"PERDA")</f>
        <v>PERDA</v>
      </c>
      <c r="G3301" s="23">
        <f>IFERROR(__xludf.DUMMYFUNCTION("""COMPUTED_VALUE"""),45252.30599537037)</f>
        <v>45252.306</v>
      </c>
      <c r="H3301" s="24" t="str">
        <f>IFERROR(VLOOKUP(B3301,material!A:D,3,0),"")</f>
        <v>CHIP</v>
      </c>
    </row>
    <row r="3302" ht="11.25" customHeight="1">
      <c r="A3302" s="21" t="str">
        <f>IFERROR(__xludf.DUMMYFUNCTION("""COMPUTED_VALUE"""),"SC BOPP 8NP NE 128KB AAC005 TRIPLE")</f>
        <v>SC BOPP 8NP NE 128KB AAC005 TRIPLE</v>
      </c>
      <c r="B3302" s="22">
        <f>IFERROR(__xludf.DUMMYFUNCTION("""COMPUTED_VALUE"""),23107.0)</f>
        <v>23107</v>
      </c>
      <c r="C3302" s="21" t="str">
        <f>IFERROR(__xludf.DUMMYFUNCTION("""COMPUTED_VALUE"""),"89550534890027296679")</f>
        <v>89550534890027296679</v>
      </c>
      <c r="D3302" s="21" t="str">
        <f>IFERROR(__xludf.DUMMYFUNCTION("""COMPUTED_VALUE"""),"DIGITEC TECNOLOGIA DIGITAL E REPRES")</f>
        <v>DIGITEC TECNOLOGIA DIGITAL E REPRES</v>
      </c>
      <c r="E3302" s="21">
        <f>IFERROR(__xludf.DUMMYFUNCTION("""COMPUTED_VALUE"""),145359.0)</f>
        <v>145359</v>
      </c>
      <c r="F3302" s="21" t="str">
        <f>IFERROR(__xludf.DUMMYFUNCTION("""COMPUTED_VALUE"""),"PERDA")</f>
        <v>PERDA</v>
      </c>
      <c r="G3302" s="23">
        <f>IFERROR(__xludf.DUMMYFUNCTION("""COMPUTED_VALUE"""),45252.30599537037)</f>
        <v>45252.306</v>
      </c>
      <c r="H3302" s="24" t="str">
        <f>IFERROR(VLOOKUP(B3302,material!A:D,3,0),"")</f>
        <v>CHIP</v>
      </c>
    </row>
    <row r="3303" ht="11.25" customHeight="1">
      <c r="A3303" s="21" t="str">
        <f>IFERROR(__xludf.DUMMYFUNCTION("""COMPUTED_VALUE"""),"SC BOPP 8NP NE 128KB AAC005 TRIPLE")</f>
        <v>SC BOPP 8NP NE 128KB AAC005 TRIPLE</v>
      </c>
      <c r="B3303" s="22">
        <f>IFERROR(__xludf.DUMMYFUNCTION("""COMPUTED_VALUE"""),23107.0)</f>
        <v>23107</v>
      </c>
      <c r="C3303" s="21" t="str">
        <f>IFERROR(__xludf.DUMMYFUNCTION("""COMPUTED_VALUE"""),"89550534890025705754")</f>
        <v>89550534890025705754</v>
      </c>
      <c r="D3303" s="21" t="str">
        <f>IFERROR(__xludf.DUMMYFUNCTION("""COMPUTED_VALUE"""),"DIGITEC TECNOLOGIA DIGITAL E REPRES")</f>
        <v>DIGITEC TECNOLOGIA DIGITAL E REPRES</v>
      </c>
      <c r="E3303" s="21">
        <f>IFERROR(__xludf.DUMMYFUNCTION("""COMPUTED_VALUE"""),145359.0)</f>
        <v>145359</v>
      </c>
      <c r="F3303" s="21" t="str">
        <f>IFERROR(__xludf.DUMMYFUNCTION("""COMPUTED_VALUE"""),"PERDA")</f>
        <v>PERDA</v>
      </c>
      <c r="G3303" s="23">
        <f>IFERROR(__xludf.DUMMYFUNCTION("""COMPUTED_VALUE"""),45252.30600694445)</f>
        <v>45252.30601</v>
      </c>
      <c r="H3303" s="24" t="str">
        <f>IFERROR(VLOOKUP(B3303,material!A:D,3,0),"")</f>
        <v>CHIP</v>
      </c>
    </row>
    <row r="3304" ht="11.25" customHeight="1">
      <c r="A3304" s="21" t="str">
        <f>IFERROR(__xludf.DUMMYFUNCTION("""COMPUTED_VALUE"""),"SC BOPP 8NP NE 128KB AAC005 TRIPLE")</f>
        <v>SC BOPP 8NP NE 128KB AAC005 TRIPLE</v>
      </c>
      <c r="B3304" s="22">
        <f>IFERROR(__xludf.DUMMYFUNCTION("""COMPUTED_VALUE"""),23107.0)</f>
        <v>23107</v>
      </c>
      <c r="C3304" s="21" t="str">
        <f>IFERROR(__xludf.DUMMYFUNCTION("""COMPUTED_VALUE"""),"89550534890025705721")</f>
        <v>89550534890025705721</v>
      </c>
      <c r="D3304" s="21" t="str">
        <f>IFERROR(__xludf.DUMMYFUNCTION("""COMPUTED_VALUE"""),"DIGITEC TECNOLOGIA DIGITAL E REPRES")</f>
        <v>DIGITEC TECNOLOGIA DIGITAL E REPRES</v>
      </c>
      <c r="E3304" s="21">
        <f>IFERROR(__xludf.DUMMYFUNCTION("""COMPUTED_VALUE"""),145359.0)</f>
        <v>145359</v>
      </c>
      <c r="F3304" s="21" t="str">
        <f>IFERROR(__xludf.DUMMYFUNCTION("""COMPUTED_VALUE"""),"PERDA")</f>
        <v>PERDA</v>
      </c>
      <c r="G3304" s="23">
        <f>IFERROR(__xludf.DUMMYFUNCTION("""COMPUTED_VALUE"""),45252.30599537037)</f>
        <v>45252.306</v>
      </c>
      <c r="H3304" s="24" t="str">
        <f>IFERROR(VLOOKUP(B3304,material!A:D,3,0),"")</f>
        <v>CHIP</v>
      </c>
    </row>
    <row r="3305" ht="11.25" customHeight="1">
      <c r="A3305" s="21" t="str">
        <f>IFERROR(__xludf.DUMMYFUNCTION("""COMPUTED_VALUE"""),"SC BOPP 8NP NE 128KB AAC005 TRIPLE")</f>
        <v>SC BOPP 8NP NE 128KB AAC005 TRIPLE</v>
      </c>
      <c r="B3305" s="22">
        <f>IFERROR(__xludf.DUMMYFUNCTION("""COMPUTED_VALUE"""),23107.0)</f>
        <v>23107</v>
      </c>
      <c r="C3305" s="21" t="str">
        <f>IFERROR(__xludf.DUMMYFUNCTION("""COMPUTED_VALUE"""),"89550532810046676646")</f>
        <v>89550532810046676646</v>
      </c>
      <c r="D3305" s="21" t="str">
        <f>IFERROR(__xludf.DUMMYFUNCTION("""COMPUTED_VALUE"""),"DIGITEC TECNOLOGIA DIGITAL E REPRES")</f>
        <v>DIGITEC TECNOLOGIA DIGITAL E REPRES</v>
      </c>
      <c r="E3305" s="21">
        <f>IFERROR(__xludf.DUMMYFUNCTION("""COMPUTED_VALUE"""),145359.0)</f>
        <v>145359</v>
      </c>
      <c r="F3305" s="21" t="str">
        <f>IFERROR(__xludf.DUMMYFUNCTION("""COMPUTED_VALUE"""),"PERDA")</f>
        <v>PERDA</v>
      </c>
      <c r="G3305" s="23">
        <f>IFERROR(__xludf.DUMMYFUNCTION("""COMPUTED_VALUE"""),45252.305983796294)</f>
        <v>45252.30598</v>
      </c>
      <c r="H3305" s="24" t="str">
        <f>IFERROR(VLOOKUP(B3305,material!A:D,3,0),"")</f>
        <v>CHIP</v>
      </c>
    </row>
    <row r="3306" ht="11.25" customHeight="1">
      <c r="A3306" s="21" t="str">
        <f>IFERROR(__xludf.DUMMYFUNCTION("""COMPUTED_VALUE"""),"SC BOPP 8NP NE 128KB AAC005 TRIPLE")</f>
        <v>SC BOPP 8NP NE 128KB AAC005 TRIPLE</v>
      </c>
      <c r="B3306" s="22">
        <f>IFERROR(__xludf.DUMMYFUNCTION("""COMPUTED_VALUE"""),23107.0)</f>
        <v>23107</v>
      </c>
      <c r="C3306" s="21" t="str">
        <f>IFERROR(__xludf.DUMMYFUNCTION("""COMPUTED_VALUE"""),"89550532810046675903")</f>
        <v>89550532810046675903</v>
      </c>
      <c r="D3306" s="21" t="str">
        <f>IFERROR(__xludf.DUMMYFUNCTION("""COMPUTED_VALUE"""),"DIGITEC TECNOLOGIA DIGITAL E REPRES")</f>
        <v>DIGITEC TECNOLOGIA DIGITAL E REPRES</v>
      </c>
      <c r="E3306" s="21">
        <f>IFERROR(__xludf.DUMMYFUNCTION("""COMPUTED_VALUE"""),145359.0)</f>
        <v>145359</v>
      </c>
      <c r="F3306" s="21" t="str">
        <f>IFERROR(__xludf.DUMMYFUNCTION("""COMPUTED_VALUE"""),"PERDA")</f>
        <v>PERDA</v>
      </c>
      <c r="G3306" s="23">
        <f>IFERROR(__xludf.DUMMYFUNCTION("""COMPUTED_VALUE"""),45252.30599537037)</f>
        <v>45252.306</v>
      </c>
      <c r="H3306" s="24" t="str">
        <f>IFERROR(VLOOKUP(B3306,material!A:D,3,0),"")</f>
        <v>CHIP</v>
      </c>
    </row>
    <row r="3307" ht="11.25" customHeight="1">
      <c r="A3307" s="21" t="str">
        <f>IFERROR(__xludf.DUMMYFUNCTION("""COMPUTED_VALUE"""),"SC BOPP 8NP NE 128KB AAC005 TRIPLE")</f>
        <v>SC BOPP 8NP NE 128KB AAC005 TRIPLE</v>
      </c>
      <c r="B3307" s="22">
        <f>IFERROR(__xludf.DUMMYFUNCTION("""COMPUTED_VALUE"""),23107.0)</f>
        <v>23107</v>
      </c>
      <c r="C3307" s="21" t="str">
        <f>IFERROR(__xludf.DUMMYFUNCTION("""COMPUTED_VALUE"""),"89550532810046674989")</f>
        <v>89550532810046674989</v>
      </c>
      <c r="D3307" s="21" t="str">
        <f>IFERROR(__xludf.DUMMYFUNCTION("""COMPUTED_VALUE"""),"DIGITEC TECNOLOGIA DIGITAL E REPRES")</f>
        <v>DIGITEC TECNOLOGIA DIGITAL E REPRES</v>
      </c>
      <c r="E3307" s="21">
        <f>IFERROR(__xludf.DUMMYFUNCTION("""COMPUTED_VALUE"""),145359.0)</f>
        <v>145359</v>
      </c>
      <c r="F3307" s="21" t="str">
        <f>IFERROR(__xludf.DUMMYFUNCTION("""COMPUTED_VALUE"""),"PERDA")</f>
        <v>PERDA</v>
      </c>
      <c r="G3307" s="23">
        <f>IFERROR(__xludf.DUMMYFUNCTION("""COMPUTED_VALUE"""),45252.30599537037)</f>
        <v>45252.306</v>
      </c>
      <c r="H3307" s="24" t="str">
        <f>IFERROR(VLOOKUP(B3307,material!A:D,3,0),"")</f>
        <v>CHIP</v>
      </c>
    </row>
    <row r="3308" ht="11.25" customHeight="1">
      <c r="A3308" s="21" t="str">
        <f>IFERROR(__xludf.DUMMYFUNCTION("""COMPUTED_VALUE"""),"SC BOPP 8NP NE 128KB AAC005 TRIPLE")</f>
        <v>SC BOPP 8NP NE 128KB AAC005 TRIPLE</v>
      </c>
      <c r="B3308" s="22">
        <f>IFERROR(__xludf.DUMMYFUNCTION("""COMPUTED_VALUE"""),23107.0)</f>
        <v>23107</v>
      </c>
      <c r="C3308" s="21" t="str">
        <f>IFERROR(__xludf.DUMMYFUNCTION("""COMPUTED_VALUE"""),"89550534890026671435")</f>
        <v>89550534890026671435</v>
      </c>
      <c r="D3308" s="21" t="str">
        <f>IFERROR(__xludf.DUMMYFUNCTION("""COMPUTED_VALUE"""),"DIGITEC TECNOLOGIA DIGITAL E REPRES")</f>
        <v>DIGITEC TECNOLOGIA DIGITAL E REPRES</v>
      </c>
      <c r="E3308" s="21">
        <f>IFERROR(__xludf.DUMMYFUNCTION("""COMPUTED_VALUE"""),145359.0)</f>
        <v>145359</v>
      </c>
      <c r="F3308" s="21" t="str">
        <f>IFERROR(__xludf.DUMMYFUNCTION("""COMPUTED_VALUE"""),"PERDA")</f>
        <v>PERDA</v>
      </c>
      <c r="G3308" s="23">
        <f>IFERROR(__xludf.DUMMYFUNCTION("""COMPUTED_VALUE"""),45252.30599537037)</f>
        <v>45252.306</v>
      </c>
      <c r="H3308" s="24" t="str">
        <f>IFERROR(VLOOKUP(B3308,material!A:D,3,0),"")</f>
        <v>CHIP</v>
      </c>
    </row>
    <row r="3309" ht="11.25" customHeight="1">
      <c r="A3309" s="21" t="str">
        <f>IFERROR(__xludf.DUMMYFUNCTION("""COMPUTED_VALUE"""),"SC BOPP 8NP NE 128KB AAC005 TRIPLE")</f>
        <v>SC BOPP 8NP NE 128KB AAC005 TRIPLE</v>
      </c>
      <c r="B3309" s="22">
        <f>IFERROR(__xludf.DUMMYFUNCTION("""COMPUTED_VALUE"""),23107.0)</f>
        <v>23107</v>
      </c>
      <c r="C3309" s="21" t="str">
        <f>IFERROR(__xludf.DUMMYFUNCTION("""COMPUTED_VALUE"""),"89550534890026671427")</f>
        <v>89550534890026671427</v>
      </c>
      <c r="D3309" s="21" t="str">
        <f>IFERROR(__xludf.DUMMYFUNCTION("""COMPUTED_VALUE"""),"DIGITEC TECNOLOGIA DIGITAL E REPRES")</f>
        <v>DIGITEC TECNOLOGIA DIGITAL E REPRES</v>
      </c>
      <c r="E3309" s="21">
        <f>IFERROR(__xludf.DUMMYFUNCTION("""COMPUTED_VALUE"""),145359.0)</f>
        <v>145359</v>
      </c>
      <c r="F3309" s="21" t="str">
        <f>IFERROR(__xludf.DUMMYFUNCTION("""COMPUTED_VALUE"""),"PERDA")</f>
        <v>PERDA</v>
      </c>
      <c r="G3309" s="23">
        <f>IFERROR(__xludf.DUMMYFUNCTION("""COMPUTED_VALUE"""),45252.30600694445)</f>
        <v>45252.30601</v>
      </c>
      <c r="H3309" s="24" t="str">
        <f>IFERROR(VLOOKUP(B3309,material!A:D,3,0),"")</f>
        <v>CHIP</v>
      </c>
    </row>
    <row r="3310" ht="11.25" customHeight="1">
      <c r="A3310" s="21" t="str">
        <f>IFERROR(__xludf.DUMMYFUNCTION("""COMPUTED_VALUE"""),"SC BOPP 8NP NE 128KB AAC005 TRIPLE")</f>
        <v>SC BOPP 8NP NE 128KB AAC005 TRIPLE</v>
      </c>
      <c r="B3310" s="22">
        <f>IFERROR(__xludf.DUMMYFUNCTION("""COMPUTED_VALUE"""),23107.0)</f>
        <v>23107</v>
      </c>
      <c r="C3310" s="21" t="str">
        <f>IFERROR(__xludf.DUMMYFUNCTION("""COMPUTED_VALUE"""),"89550534890026671419")</f>
        <v>89550534890026671419</v>
      </c>
      <c r="D3310" s="21" t="str">
        <f>IFERROR(__xludf.DUMMYFUNCTION("""COMPUTED_VALUE"""),"DIGITEC TECNOLOGIA DIGITAL E REPRES")</f>
        <v>DIGITEC TECNOLOGIA DIGITAL E REPRES</v>
      </c>
      <c r="E3310" s="21">
        <f>IFERROR(__xludf.DUMMYFUNCTION("""COMPUTED_VALUE"""),145359.0)</f>
        <v>145359</v>
      </c>
      <c r="F3310" s="21" t="str">
        <f>IFERROR(__xludf.DUMMYFUNCTION("""COMPUTED_VALUE"""),"PERDA")</f>
        <v>PERDA</v>
      </c>
      <c r="G3310" s="23">
        <f>IFERROR(__xludf.DUMMYFUNCTION("""COMPUTED_VALUE"""),45252.305983796294)</f>
        <v>45252.30598</v>
      </c>
      <c r="H3310" s="24" t="str">
        <f>IFERROR(VLOOKUP(B3310,material!A:D,3,0),"")</f>
        <v>CHIP</v>
      </c>
    </row>
    <row r="3311" ht="11.25" customHeight="1">
      <c r="A3311" s="21" t="str">
        <f>IFERROR(__xludf.DUMMYFUNCTION("""COMPUTED_VALUE"""),"SC BOPP 8NP NE 128KB AAC005 TRIPLE")</f>
        <v>SC BOPP 8NP NE 128KB AAC005 TRIPLE</v>
      </c>
      <c r="B3311" s="22">
        <f>IFERROR(__xludf.DUMMYFUNCTION("""COMPUTED_VALUE"""),23107.0)</f>
        <v>23107</v>
      </c>
      <c r="C3311" s="21" t="str">
        <f>IFERROR(__xludf.DUMMYFUNCTION("""COMPUTED_VALUE"""),"89550534890026685526")</f>
        <v>89550534890026685526</v>
      </c>
      <c r="D3311" s="21" t="str">
        <f>IFERROR(__xludf.DUMMYFUNCTION("""COMPUTED_VALUE"""),"DIGITEC TECNOLOGIA DIGITAL E REPRES")</f>
        <v>DIGITEC TECNOLOGIA DIGITAL E REPRES</v>
      </c>
      <c r="E3311" s="21">
        <f>IFERROR(__xludf.DUMMYFUNCTION("""COMPUTED_VALUE"""),145359.0)</f>
        <v>145359</v>
      </c>
      <c r="F3311" s="21" t="str">
        <f>IFERROR(__xludf.DUMMYFUNCTION("""COMPUTED_VALUE"""),"PERDA")</f>
        <v>PERDA</v>
      </c>
      <c r="G3311" s="23">
        <f>IFERROR(__xludf.DUMMYFUNCTION("""COMPUTED_VALUE"""),45596.38790509259)</f>
        <v>45596.38791</v>
      </c>
      <c r="H3311" s="24" t="str">
        <f>IFERROR(VLOOKUP(B3311,material!A:D,3,0),"")</f>
        <v>CHIP</v>
      </c>
    </row>
    <row r="3312" ht="11.25" customHeight="1">
      <c r="A3312" s="21" t="str">
        <f>IFERROR(__xludf.DUMMYFUNCTION("""COMPUTED_VALUE"""),"SC BOPP 8NP NE 128KB AAC005 TRIPLE")</f>
        <v>SC BOPP 8NP NE 128KB AAC005 TRIPLE</v>
      </c>
      <c r="B3312" s="22">
        <f>IFERROR(__xludf.DUMMYFUNCTION("""COMPUTED_VALUE"""),23107.0)</f>
        <v>23107</v>
      </c>
      <c r="C3312" s="21" t="str">
        <f>IFERROR(__xludf.DUMMYFUNCTION("""COMPUTED_VALUE"""),"89550534810024164035")</f>
        <v>89550534810024164035</v>
      </c>
      <c r="D3312" s="21" t="str">
        <f>IFERROR(__xludf.DUMMYFUNCTION("""COMPUTED_VALUE"""),"DIGITEC TECNOLOGIA DIGITAL E REPRES")</f>
        <v>DIGITEC TECNOLOGIA DIGITAL E REPRES</v>
      </c>
      <c r="E3312" s="21">
        <f>IFERROR(__xludf.DUMMYFUNCTION("""COMPUTED_VALUE"""),145359.0)</f>
        <v>145359</v>
      </c>
      <c r="F3312" s="21" t="str">
        <f>IFERROR(__xludf.DUMMYFUNCTION("""COMPUTED_VALUE"""),"PERDA")</f>
        <v>PERDA</v>
      </c>
      <c r="G3312" s="23">
        <f>IFERROR(__xludf.DUMMYFUNCTION("""COMPUTED_VALUE"""),45252.30599537037)</f>
        <v>45252.306</v>
      </c>
      <c r="H3312" s="24" t="str">
        <f>IFERROR(VLOOKUP(B3312,material!A:D,3,0),"")</f>
        <v>CHIP</v>
      </c>
    </row>
    <row r="3313" ht="11.25" customHeight="1">
      <c r="A3313" s="21" t="str">
        <f>IFERROR(__xludf.DUMMYFUNCTION("""COMPUTED_VALUE"""),"SC BOPP 8NP NE 128KB AAC005 TRIPLE")</f>
        <v>SC BOPP 8NP NE 128KB AAC005 TRIPLE</v>
      </c>
      <c r="B3313" s="22">
        <f>IFERROR(__xludf.DUMMYFUNCTION("""COMPUTED_VALUE"""),23107.0)</f>
        <v>23107</v>
      </c>
      <c r="C3313" s="21" t="str">
        <f>IFERROR(__xludf.DUMMYFUNCTION("""COMPUTED_VALUE"""),"89550534810024399367")</f>
        <v>89550534810024399367</v>
      </c>
      <c r="D3313" s="21" t="str">
        <f>IFERROR(__xludf.DUMMYFUNCTION("""COMPUTED_VALUE"""),"DIGITEC TECNOLOGIA DIGITAL E REPRES")</f>
        <v>DIGITEC TECNOLOGIA DIGITAL E REPRES</v>
      </c>
      <c r="E3313" s="21">
        <f>IFERROR(__xludf.DUMMYFUNCTION("""COMPUTED_VALUE"""),145359.0)</f>
        <v>145359</v>
      </c>
      <c r="F3313" s="21" t="str">
        <f>IFERROR(__xludf.DUMMYFUNCTION("""COMPUTED_VALUE"""),"PERDA")</f>
        <v>PERDA</v>
      </c>
      <c r="G3313" s="23">
        <f>IFERROR(__xludf.DUMMYFUNCTION("""COMPUTED_VALUE"""),45252.30600694445)</f>
        <v>45252.30601</v>
      </c>
      <c r="H3313" s="24" t="str">
        <f>IFERROR(VLOOKUP(B3313,material!A:D,3,0),"")</f>
        <v>CHIP</v>
      </c>
    </row>
    <row r="3314" ht="11.25" customHeight="1">
      <c r="A3314" s="21" t="str">
        <f>IFERROR(__xludf.DUMMYFUNCTION("""COMPUTED_VALUE"""),"SC BOPP 8NP NE 128KB AAC005 TRIPLE")</f>
        <v>SC BOPP 8NP NE 128KB AAC005 TRIPLE</v>
      </c>
      <c r="B3314" s="22">
        <f>IFERROR(__xludf.DUMMYFUNCTION("""COMPUTED_VALUE"""),23107.0)</f>
        <v>23107</v>
      </c>
      <c r="C3314" s="21" t="str">
        <f>IFERROR(__xludf.DUMMYFUNCTION("""COMPUTED_VALUE"""),"89550537810003270743")</f>
        <v>89550537810003270743</v>
      </c>
      <c r="D3314" s="21" t="str">
        <f>IFERROR(__xludf.DUMMYFUNCTION("""COMPUTED_VALUE"""),"DIGITEC TECNOLOGIA DIGITAL E REPRES")</f>
        <v>DIGITEC TECNOLOGIA DIGITAL E REPRES</v>
      </c>
      <c r="E3314" s="21">
        <f>IFERROR(__xludf.DUMMYFUNCTION("""COMPUTED_VALUE"""),145359.0)</f>
        <v>145359</v>
      </c>
      <c r="F3314" s="21" t="str">
        <f>IFERROR(__xludf.DUMMYFUNCTION("""COMPUTED_VALUE"""),"PERDA")</f>
        <v>PERDA</v>
      </c>
      <c r="G3314" s="23">
        <f>IFERROR(__xludf.DUMMYFUNCTION("""COMPUTED_VALUE"""),45252.30599537037)</f>
        <v>45252.306</v>
      </c>
      <c r="H3314" s="24" t="str">
        <f>IFERROR(VLOOKUP(B3314,material!A:D,3,0),"")</f>
        <v>CHIP</v>
      </c>
    </row>
    <row r="3315" ht="11.25" customHeight="1">
      <c r="A3315" s="21" t="str">
        <f>IFERROR(__xludf.DUMMYFUNCTION("""COMPUTED_VALUE"""),"SC BOPP 8NP NE 128KB AAC005 TRIPLE")</f>
        <v>SC BOPP 8NP NE 128KB AAC005 TRIPLE</v>
      </c>
      <c r="B3315" s="22">
        <f>IFERROR(__xludf.DUMMYFUNCTION("""COMPUTED_VALUE"""),23107.0)</f>
        <v>23107</v>
      </c>
      <c r="C3315" s="21" t="str">
        <f>IFERROR(__xludf.DUMMYFUNCTION("""COMPUTED_VALUE"""),"89550537810003270511")</f>
        <v>89550537810003270511</v>
      </c>
      <c r="D3315" s="21" t="str">
        <f>IFERROR(__xludf.DUMMYFUNCTION("""COMPUTED_VALUE"""),"DIGITEC TECNOLOGIA DIGITAL E REPRES")</f>
        <v>DIGITEC TECNOLOGIA DIGITAL E REPRES</v>
      </c>
      <c r="E3315" s="21">
        <f>IFERROR(__xludf.DUMMYFUNCTION("""COMPUTED_VALUE"""),145359.0)</f>
        <v>145359</v>
      </c>
      <c r="F3315" s="21" t="str">
        <f>IFERROR(__xludf.DUMMYFUNCTION("""COMPUTED_VALUE"""),"PERDA")</f>
        <v>PERDA</v>
      </c>
      <c r="G3315" s="23">
        <f>IFERROR(__xludf.DUMMYFUNCTION("""COMPUTED_VALUE"""),45252.30599537037)</f>
        <v>45252.306</v>
      </c>
      <c r="H3315" s="24" t="str">
        <f>IFERROR(VLOOKUP(B3315,material!A:D,3,0),"")</f>
        <v>CHIP</v>
      </c>
    </row>
    <row r="3316" ht="11.25" customHeight="1">
      <c r="A3316" s="21" t="str">
        <f>IFERROR(__xludf.DUMMYFUNCTION("""COMPUTED_VALUE"""),"SC BOPP 8NP NE 128KB AAC005 TRIPLE")</f>
        <v>SC BOPP 8NP NE 128KB AAC005 TRIPLE</v>
      </c>
      <c r="B3316" s="22">
        <f>IFERROR(__xludf.DUMMYFUNCTION("""COMPUTED_VALUE"""),23107.0)</f>
        <v>23107</v>
      </c>
      <c r="C3316" s="21" t="str">
        <f>IFERROR(__xludf.DUMMYFUNCTION("""COMPUTED_VALUE"""),"89550537810003270958")</f>
        <v>89550537810003270958</v>
      </c>
      <c r="D3316" s="21" t="str">
        <f>IFERROR(__xludf.DUMMYFUNCTION("""COMPUTED_VALUE"""),"DIGITEC TECNOLOGIA DIGITAL E REPRES")</f>
        <v>DIGITEC TECNOLOGIA DIGITAL E REPRES</v>
      </c>
      <c r="E3316" s="21">
        <f>IFERROR(__xludf.DUMMYFUNCTION("""COMPUTED_VALUE"""),145359.0)</f>
        <v>145359</v>
      </c>
      <c r="F3316" s="21" t="str">
        <f>IFERROR(__xludf.DUMMYFUNCTION("""COMPUTED_VALUE"""),"PERDA")</f>
        <v>PERDA</v>
      </c>
      <c r="G3316" s="23">
        <f>IFERROR(__xludf.DUMMYFUNCTION("""COMPUTED_VALUE"""),45252.30599537037)</f>
        <v>45252.306</v>
      </c>
      <c r="H3316" s="24" t="str">
        <f>IFERROR(VLOOKUP(B3316,material!A:D,3,0),"")</f>
        <v>CHIP</v>
      </c>
    </row>
    <row r="3317" ht="11.25" customHeight="1">
      <c r="A3317" s="21" t="str">
        <f>IFERROR(__xludf.DUMMYFUNCTION("""COMPUTED_VALUE"""),"SC BOPP 8NP NE 128KB AAC005 TRIPLE")</f>
        <v>SC BOPP 8NP NE 128KB AAC005 TRIPLE</v>
      </c>
      <c r="B3317" s="22">
        <f>IFERROR(__xludf.DUMMYFUNCTION("""COMPUTED_VALUE"""),23107.0)</f>
        <v>23107</v>
      </c>
      <c r="C3317" s="21" t="str">
        <f>IFERROR(__xludf.DUMMYFUNCTION("""COMPUTED_VALUE"""),"89550531850014731636")</f>
        <v>89550531850014731636</v>
      </c>
      <c r="D3317" s="21" t="str">
        <f>IFERROR(__xludf.DUMMYFUNCTION("""COMPUTED_VALUE"""),"DIGITEC TECNOLOGIA DIGITAL E REPRES")</f>
        <v>DIGITEC TECNOLOGIA DIGITAL E REPRES</v>
      </c>
      <c r="E3317" s="21">
        <f>IFERROR(__xludf.DUMMYFUNCTION("""COMPUTED_VALUE"""),145359.0)</f>
        <v>145359</v>
      </c>
      <c r="F3317" s="21" t="str">
        <f>IFERROR(__xludf.DUMMYFUNCTION("""COMPUTED_VALUE"""),"PERDA")</f>
        <v>PERDA</v>
      </c>
      <c r="G3317" s="23">
        <f>IFERROR(__xludf.DUMMYFUNCTION("""COMPUTED_VALUE"""),45252.30599537037)</f>
        <v>45252.306</v>
      </c>
      <c r="H3317" s="24" t="str">
        <f>IFERROR(VLOOKUP(B3317,material!A:D,3,0),"")</f>
        <v>CHIP</v>
      </c>
    </row>
    <row r="3318" ht="11.25" customHeight="1">
      <c r="A3318" s="21" t="str">
        <f>IFERROR(__xludf.DUMMYFUNCTION("""COMPUTED_VALUE"""),"SC BOPP 8NP NE 128KB AAC005 TRIPLE")</f>
        <v>SC BOPP 8NP NE 128KB AAC005 TRIPLE</v>
      </c>
      <c r="B3318" s="22">
        <f>IFERROR(__xludf.DUMMYFUNCTION("""COMPUTED_VALUE"""),23107.0)</f>
        <v>23107</v>
      </c>
      <c r="C3318" s="21" t="str">
        <f>IFERROR(__xludf.DUMMYFUNCTION("""COMPUTED_VALUE"""),"89550531850014731214")</f>
        <v>89550531850014731214</v>
      </c>
      <c r="D3318" s="21" t="str">
        <f>IFERROR(__xludf.DUMMYFUNCTION("""COMPUTED_VALUE"""),"DIGITEC TECNOLOGIA DIGITAL E REPRES")</f>
        <v>DIGITEC TECNOLOGIA DIGITAL E REPRES</v>
      </c>
      <c r="E3318" s="21">
        <f>IFERROR(__xludf.DUMMYFUNCTION("""COMPUTED_VALUE"""),145359.0)</f>
        <v>145359</v>
      </c>
      <c r="F3318" s="21" t="str">
        <f>IFERROR(__xludf.DUMMYFUNCTION("""COMPUTED_VALUE"""),"PERDA")</f>
        <v>PERDA</v>
      </c>
      <c r="G3318" s="23">
        <f>IFERROR(__xludf.DUMMYFUNCTION("""COMPUTED_VALUE"""),45252.305983796294)</f>
        <v>45252.30598</v>
      </c>
      <c r="H3318" s="24" t="str">
        <f>IFERROR(VLOOKUP(B3318,material!A:D,3,0),"")</f>
        <v>CHIP</v>
      </c>
    </row>
    <row r="3319" ht="11.25" customHeight="1">
      <c r="A3319" s="21" t="str">
        <f>IFERROR(__xludf.DUMMYFUNCTION("""COMPUTED_VALUE"""),"SC BOPP 8NP NE 128KB AAC005 TRIPLE")</f>
        <v>SC BOPP 8NP NE 128KB AAC005 TRIPLE</v>
      </c>
      <c r="B3319" s="22">
        <f>IFERROR(__xludf.DUMMYFUNCTION("""COMPUTED_VALUE"""),23107.0)</f>
        <v>23107</v>
      </c>
      <c r="C3319" s="21" t="str">
        <f>IFERROR(__xludf.DUMMYFUNCTION("""COMPUTED_VALUE"""),"89550531850014731792")</f>
        <v>89550531850014731792</v>
      </c>
      <c r="D3319" s="21" t="str">
        <f>IFERROR(__xludf.DUMMYFUNCTION("""COMPUTED_VALUE"""),"DIGITEC TECNOLOGIA DIGITAL E REPRES")</f>
        <v>DIGITEC TECNOLOGIA DIGITAL E REPRES</v>
      </c>
      <c r="E3319" s="21">
        <f>IFERROR(__xludf.DUMMYFUNCTION("""COMPUTED_VALUE"""),145359.0)</f>
        <v>145359</v>
      </c>
      <c r="F3319" s="21" t="str">
        <f>IFERROR(__xludf.DUMMYFUNCTION("""COMPUTED_VALUE"""),"PERDA")</f>
        <v>PERDA</v>
      </c>
      <c r="G3319" s="23">
        <f>IFERROR(__xludf.DUMMYFUNCTION("""COMPUTED_VALUE"""),45252.30599537037)</f>
        <v>45252.306</v>
      </c>
      <c r="H3319" s="24" t="str">
        <f>IFERROR(VLOOKUP(B3319,material!A:D,3,0),"")</f>
        <v>CHIP</v>
      </c>
    </row>
    <row r="3320" ht="11.25" customHeight="1">
      <c r="A3320" s="21" t="str">
        <f>IFERROR(__xludf.DUMMYFUNCTION("""COMPUTED_VALUE"""),"SC BOPP 8NP NE 128KB AAC005 TRIPLE")</f>
        <v>SC BOPP 8NP NE 128KB AAC005 TRIPLE</v>
      </c>
      <c r="B3320" s="22">
        <f>IFERROR(__xludf.DUMMYFUNCTION("""COMPUTED_VALUE"""),23107.0)</f>
        <v>23107</v>
      </c>
      <c r="C3320" s="21" t="str">
        <f>IFERROR(__xludf.DUMMYFUNCTION("""COMPUTED_VALUE"""),"89550531850014737682")</f>
        <v>89550531850014737682</v>
      </c>
      <c r="D3320" s="21" t="str">
        <f>IFERROR(__xludf.DUMMYFUNCTION("""COMPUTED_VALUE"""),"DIGITEC TECNOLOGIA DIGITAL E REPRES")</f>
        <v>DIGITEC TECNOLOGIA DIGITAL E REPRES</v>
      </c>
      <c r="E3320" s="21">
        <f>IFERROR(__xludf.DUMMYFUNCTION("""COMPUTED_VALUE"""),145359.0)</f>
        <v>145359</v>
      </c>
      <c r="F3320" s="21" t="str">
        <f>IFERROR(__xludf.DUMMYFUNCTION("""COMPUTED_VALUE"""),"PERDA")</f>
        <v>PERDA</v>
      </c>
      <c r="G3320" s="23">
        <f>IFERROR(__xludf.DUMMYFUNCTION("""COMPUTED_VALUE"""),45252.30599537037)</f>
        <v>45252.306</v>
      </c>
      <c r="H3320" s="24" t="str">
        <f>IFERROR(VLOOKUP(B3320,material!A:D,3,0),"")</f>
        <v>CHIP</v>
      </c>
    </row>
    <row r="3321" ht="11.25" customHeight="1">
      <c r="A3321" s="21" t="str">
        <f>IFERROR(__xludf.DUMMYFUNCTION("""COMPUTED_VALUE"""),"SC BOPP 8NP NE 128KB AAC005 TRIPLE")</f>
        <v>SC BOPP 8NP NE 128KB AAC005 TRIPLE</v>
      </c>
      <c r="B3321" s="22">
        <f>IFERROR(__xludf.DUMMYFUNCTION("""COMPUTED_VALUE"""),23107.0)</f>
        <v>23107</v>
      </c>
      <c r="C3321" s="21" t="str">
        <f>IFERROR(__xludf.DUMMYFUNCTION("""COMPUTED_VALUE"""),"89550531850014737328")</f>
        <v>89550531850014737328</v>
      </c>
      <c r="D3321" s="21" t="str">
        <f>IFERROR(__xludf.DUMMYFUNCTION("""COMPUTED_VALUE"""),"DIGITEC TECNOLOGIA DIGITAL E REPRES")</f>
        <v>DIGITEC TECNOLOGIA DIGITAL E REPRES</v>
      </c>
      <c r="E3321" s="21">
        <f>IFERROR(__xludf.DUMMYFUNCTION("""COMPUTED_VALUE"""),145359.0)</f>
        <v>145359</v>
      </c>
      <c r="F3321" s="21" t="str">
        <f>IFERROR(__xludf.DUMMYFUNCTION("""COMPUTED_VALUE"""),"PERDA")</f>
        <v>PERDA</v>
      </c>
      <c r="G3321" s="23">
        <f>IFERROR(__xludf.DUMMYFUNCTION("""COMPUTED_VALUE"""),45252.30599537037)</f>
        <v>45252.306</v>
      </c>
      <c r="H3321" s="24" t="str">
        <f>IFERROR(VLOOKUP(B3321,material!A:D,3,0),"")</f>
        <v>CHIP</v>
      </c>
    </row>
    <row r="3322" ht="11.25" customHeight="1">
      <c r="A3322" s="21" t="str">
        <f>IFERROR(__xludf.DUMMYFUNCTION("""COMPUTED_VALUE"""),"SC BOPP 8NP NE 128KB AAC005 TRIPLE")</f>
        <v>SC BOPP 8NP NE 128KB AAC005 TRIPLE</v>
      </c>
      <c r="B3322" s="22">
        <f>IFERROR(__xludf.DUMMYFUNCTION("""COMPUTED_VALUE"""),23107.0)</f>
        <v>23107</v>
      </c>
      <c r="C3322" s="21" t="str">
        <f>IFERROR(__xludf.DUMMYFUNCTION("""COMPUTED_VALUE"""),"89550531850014737369")</f>
        <v>89550531850014737369</v>
      </c>
      <c r="D3322" s="21" t="str">
        <f>IFERROR(__xludf.DUMMYFUNCTION("""COMPUTED_VALUE"""),"DIGITEC TECNOLOGIA DIGITAL E REPRES")</f>
        <v>DIGITEC TECNOLOGIA DIGITAL E REPRES</v>
      </c>
      <c r="E3322" s="21">
        <f>IFERROR(__xludf.DUMMYFUNCTION("""COMPUTED_VALUE"""),145359.0)</f>
        <v>145359</v>
      </c>
      <c r="F3322" s="21" t="str">
        <f>IFERROR(__xludf.DUMMYFUNCTION("""COMPUTED_VALUE"""),"PERDA")</f>
        <v>PERDA</v>
      </c>
      <c r="G3322" s="23">
        <f>IFERROR(__xludf.DUMMYFUNCTION("""COMPUTED_VALUE"""),45252.30599537037)</f>
        <v>45252.306</v>
      </c>
      <c r="H3322" s="24" t="str">
        <f>IFERROR(VLOOKUP(B3322,material!A:D,3,0),"")</f>
        <v>CHIP</v>
      </c>
    </row>
    <row r="3323" ht="11.25" customHeight="1">
      <c r="A3323" s="21" t="str">
        <f>IFERROR(__xludf.DUMMYFUNCTION("""COMPUTED_VALUE"""),"SC BOPP 8NP NE 128KB AAC005 TRIPLE")</f>
        <v>SC BOPP 8NP NE 128KB AAC005 TRIPLE</v>
      </c>
      <c r="B3323" s="22">
        <f>IFERROR(__xludf.DUMMYFUNCTION("""COMPUTED_VALUE"""),23107.0)</f>
        <v>23107</v>
      </c>
      <c r="C3323" s="21" t="str">
        <f>IFERROR(__xludf.DUMMYFUNCTION("""COMPUTED_VALUE"""),"89550534810024782356")</f>
        <v>89550534810024782356</v>
      </c>
      <c r="D3323" s="21" t="str">
        <f>IFERROR(__xludf.DUMMYFUNCTION("""COMPUTED_VALUE"""),"DIGITEC TECNOLOGIA DIGITAL E REPRES")</f>
        <v>DIGITEC TECNOLOGIA DIGITAL E REPRES</v>
      </c>
      <c r="E3323" s="21">
        <f>IFERROR(__xludf.DUMMYFUNCTION("""COMPUTED_VALUE"""),145359.0)</f>
        <v>145359</v>
      </c>
      <c r="F3323" s="21" t="str">
        <f>IFERROR(__xludf.DUMMYFUNCTION("""COMPUTED_VALUE"""),"PERDA")</f>
        <v>PERDA</v>
      </c>
      <c r="G3323" s="23">
        <f>IFERROR(__xludf.DUMMYFUNCTION("""COMPUTED_VALUE"""),45252.305983796294)</f>
        <v>45252.30598</v>
      </c>
      <c r="H3323" s="24" t="str">
        <f>IFERROR(VLOOKUP(B3323,material!A:D,3,0),"")</f>
        <v>CHIP</v>
      </c>
    </row>
    <row r="3324" ht="11.25" customHeight="1">
      <c r="A3324" s="21" t="str">
        <f>IFERROR(__xludf.DUMMYFUNCTION("""COMPUTED_VALUE"""),"SC BOPP 8NP NE 128KB AAC005 TRIPLE")</f>
        <v>SC BOPP 8NP NE 128KB AAC005 TRIPLE</v>
      </c>
      <c r="B3324" s="22">
        <f>IFERROR(__xludf.DUMMYFUNCTION("""COMPUTED_VALUE"""),23107.0)</f>
        <v>23107</v>
      </c>
      <c r="C3324" s="21" t="str">
        <f>IFERROR(__xludf.DUMMYFUNCTION("""COMPUTED_VALUE"""),"89550534810024782323")</f>
        <v>89550534810024782323</v>
      </c>
      <c r="D3324" s="21" t="str">
        <f>IFERROR(__xludf.DUMMYFUNCTION("""COMPUTED_VALUE"""),"DIGITEC TECNOLOGIA DIGITAL E REPRES")</f>
        <v>DIGITEC TECNOLOGIA DIGITAL E REPRES</v>
      </c>
      <c r="E3324" s="21">
        <f>IFERROR(__xludf.DUMMYFUNCTION("""COMPUTED_VALUE"""),145359.0)</f>
        <v>145359</v>
      </c>
      <c r="F3324" s="21" t="str">
        <f>IFERROR(__xludf.DUMMYFUNCTION("""COMPUTED_VALUE"""),"PERDA")</f>
        <v>PERDA</v>
      </c>
      <c r="G3324" s="23">
        <f>IFERROR(__xludf.DUMMYFUNCTION("""COMPUTED_VALUE"""),45252.30599537037)</f>
        <v>45252.306</v>
      </c>
      <c r="H3324" s="24" t="str">
        <f>IFERROR(VLOOKUP(B3324,material!A:D,3,0),"")</f>
        <v>CHIP</v>
      </c>
    </row>
    <row r="3325" ht="11.25" customHeight="1">
      <c r="A3325" s="21" t="str">
        <f>IFERROR(__xludf.DUMMYFUNCTION("""COMPUTED_VALUE"""),"SC BOPP 8NP NE 128KB AAC005 TRIPLE")</f>
        <v>SC BOPP 8NP NE 128KB AAC005 TRIPLE</v>
      </c>
      <c r="B3325" s="22">
        <f>IFERROR(__xludf.DUMMYFUNCTION("""COMPUTED_VALUE"""),23107.0)</f>
        <v>23107</v>
      </c>
      <c r="C3325" s="21" t="str">
        <f>IFERROR(__xludf.DUMMYFUNCTION("""COMPUTED_VALUE"""),"89550531890029024122")</f>
        <v>89550531890029024122</v>
      </c>
      <c r="D3325" s="21" t="str">
        <f>IFERROR(__xludf.DUMMYFUNCTION("""COMPUTED_VALUE"""),"DIGITEC TECNOLOGIA DIGITAL E REPRES")</f>
        <v>DIGITEC TECNOLOGIA DIGITAL E REPRES</v>
      </c>
      <c r="E3325" s="21">
        <f>IFERROR(__xludf.DUMMYFUNCTION("""COMPUTED_VALUE"""),145359.0)</f>
        <v>145359</v>
      </c>
      <c r="F3325" s="21" t="str">
        <f>IFERROR(__xludf.DUMMYFUNCTION("""COMPUTED_VALUE"""),"PERDA")</f>
        <v>PERDA</v>
      </c>
      <c r="G3325" s="23">
        <f>IFERROR(__xludf.DUMMYFUNCTION("""COMPUTED_VALUE"""),45252.305983796294)</f>
        <v>45252.30598</v>
      </c>
      <c r="H3325" s="24" t="str">
        <f>IFERROR(VLOOKUP(B3325,material!A:D,3,0),"")</f>
        <v>CHIP</v>
      </c>
    </row>
    <row r="3326" ht="11.25" customHeight="1">
      <c r="A3326" s="21" t="str">
        <f>IFERROR(__xludf.DUMMYFUNCTION("""COMPUTED_VALUE"""),"SC BOPP 8NP NE 128KB AAC005 TRIPLE")</f>
        <v>SC BOPP 8NP NE 128KB AAC005 TRIPLE</v>
      </c>
      <c r="B3326" s="22">
        <f>IFERROR(__xludf.DUMMYFUNCTION("""COMPUTED_VALUE"""),23107.0)</f>
        <v>23107</v>
      </c>
      <c r="C3326" s="21" t="str">
        <f>IFERROR(__xludf.DUMMYFUNCTION("""COMPUTED_VALUE"""),"89550531890029023793")</f>
        <v>89550531890029023793</v>
      </c>
      <c r="D3326" s="21" t="str">
        <f>IFERROR(__xludf.DUMMYFUNCTION("""COMPUTED_VALUE"""),"DIGITEC TECNOLOGIA DIGITAL E REPRES")</f>
        <v>DIGITEC TECNOLOGIA DIGITAL E REPRES</v>
      </c>
      <c r="E3326" s="21">
        <f>IFERROR(__xludf.DUMMYFUNCTION("""COMPUTED_VALUE"""),145359.0)</f>
        <v>145359</v>
      </c>
      <c r="F3326" s="21" t="str">
        <f>IFERROR(__xludf.DUMMYFUNCTION("""COMPUTED_VALUE"""),"PERDA")</f>
        <v>PERDA</v>
      </c>
      <c r="G3326" s="23">
        <f>IFERROR(__xludf.DUMMYFUNCTION("""COMPUTED_VALUE"""),45252.305983796294)</f>
        <v>45252.30598</v>
      </c>
      <c r="H3326" s="24" t="str">
        <f>IFERROR(VLOOKUP(B3326,material!A:D,3,0),"")</f>
        <v>CHIP</v>
      </c>
    </row>
    <row r="3327" ht="11.25" customHeight="1">
      <c r="A3327" s="21" t="str">
        <f>IFERROR(__xludf.DUMMYFUNCTION("""COMPUTED_VALUE"""),"SC BOPP 8NP NE 128KB AAC005 TRIPLE")</f>
        <v>SC BOPP 8NP NE 128KB AAC005 TRIPLE</v>
      </c>
      <c r="B3327" s="22">
        <f>IFERROR(__xludf.DUMMYFUNCTION("""COMPUTED_VALUE"""),23107.0)</f>
        <v>23107</v>
      </c>
      <c r="C3327" s="21" t="str">
        <f>IFERROR(__xludf.DUMMYFUNCTION("""COMPUTED_VALUE"""),"89550532880017120981")</f>
        <v>89550532880017120981</v>
      </c>
      <c r="D3327" s="21" t="str">
        <f>IFERROR(__xludf.DUMMYFUNCTION("""COMPUTED_VALUE"""),"DIGITEC TECNOLOGIA DIGITAL E REPRES")</f>
        <v>DIGITEC TECNOLOGIA DIGITAL E REPRES</v>
      </c>
      <c r="E3327" s="21">
        <f>IFERROR(__xludf.DUMMYFUNCTION("""COMPUTED_VALUE"""),145359.0)</f>
        <v>145359</v>
      </c>
      <c r="F3327" s="21" t="str">
        <f>IFERROR(__xludf.DUMMYFUNCTION("""COMPUTED_VALUE"""),"PERDA")</f>
        <v>PERDA</v>
      </c>
      <c r="G3327" s="23">
        <f>IFERROR(__xludf.DUMMYFUNCTION("""COMPUTED_VALUE"""),45471.70550925926)</f>
        <v>45471.70551</v>
      </c>
      <c r="H3327" s="24" t="str">
        <f>IFERROR(VLOOKUP(B3327,material!A:D,3,0),"")</f>
        <v>CHIP</v>
      </c>
    </row>
    <row r="3328" ht="11.25" customHeight="1">
      <c r="A3328" s="21" t="str">
        <f>IFERROR(__xludf.DUMMYFUNCTION("""COMPUTED_VALUE"""),"SC BOPP 8NP NE 128KB AAC005 TRIPLE")</f>
        <v>SC BOPP 8NP NE 128KB AAC005 TRIPLE</v>
      </c>
      <c r="B3328" s="22">
        <f>IFERROR(__xludf.DUMMYFUNCTION("""COMPUTED_VALUE"""),23107.0)</f>
        <v>23107</v>
      </c>
      <c r="C3328" s="21" t="str">
        <f>IFERROR(__xludf.DUMMYFUNCTION("""COMPUTED_VALUE"""),"89550532880017121005")</f>
        <v>89550532880017121005</v>
      </c>
      <c r="D3328" s="21" t="str">
        <f>IFERROR(__xludf.DUMMYFUNCTION("""COMPUTED_VALUE"""),"DIGITEC TECNOLOGIA DIGITAL E REPRES")</f>
        <v>DIGITEC TECNOLOGIA DIGITAL E REPRES</v>
      </c>
      <c r="E3328" s="21">
        <f>IFERROR(__xludf.DUMMYFUNCTION("""COMPUTED_VALUE"""),145359.0)</f>
        <v>145359</v>
      </c>
      <c r="F3328" s="21" t="str">
        <f>IFERROR(__xludf.DUMMYFUNCTION("""COMPUTED_VALUE"""),"PERDA")</f>
        <v>PERDA</v>
      </c>
      <c r="G3328" s="23">
        <f>IFERROR(__xludf.DUMMYFUNCTION("""COMPUTED_VALUE"""),45471.70550925926)</f>
        <v>45471.70551</v>
      </c>
      <c r="H3328" s="24" t="str">
        <f>IFERROR(VLOOKUP(B3328,material!A:D,3,0),"")</f>
        <v>CHIP</v>
      </c>
    </row>
    <row r="3329" ht="11.25" customHeight="1">
      <c r="A3329" s="21" t="str">
        <f>IFERROR(__xludf.DUMMYFUNCTION("""COMPUTED_VALUE"""),"SC BOPP 8NP NE 128KB AAC005 TRIPLE")</f>
        <v>SC BOPP 8NP NE 128KB AAC005 TRIPLE</v>
      </c>
      <c r="B3329" s="22">
        <f>IFERROR(__xludf.DUMMYFUNCTION("""COMPUTED_VALUE"""),23107.0)</f>
        <v>23107</v>
      </c>
      <c r="C3329" s="21" t="str">
        <f>IFERROR(__xludf.DUMMYFUNCTION("""COMPUTED_VALUE"""),"89550532880017120635")</f>
        <v>89550532880017120635</v>
      </c>
      <c r="D3329" s="21" t="str">
        <f>IFERROR(__xludf.DUMMYFUNCTION("""COMPUTED_VALUE"""),"DIGITEC TECNOLOGIA DIGITAL E REPRES")</f>
        <v>DIGITEC TECNOLOGIA DIGITAL E REPRES</v>
      </c>
      <c r="E3329" s="21">
        <f>IFERROR(__xludf.DUMMYFUNCTION("""COMPUTED_VALUE"""),145359.0)</f>
        <v>145359</v>
      </c>
      <c r="F3329" s="21" t="str">
        <f>IFERROR(__xludf.DUMMYFUNCTION("""COMPUTED_VALUE"""),"PERDA")</f>
        <v>PERDA</v>
      </c>
      <c r="G3329" s="23">
        <f>IFERROR(__xludf.DUMMYFUNCTION("""COMPUTED_VALUE"""),45252.305983796294)</f>
        <v>45252.30598</v>
      </c>
      <c r="H3329" s="24" t="str">
        <f>IFERROR(VLOOKUP(B3329,material!A:D,3,0),"")</f>
        <v>CHIP</v>
      </c>
    </row>
    <row r="3330" ht="11.25" customHeight="1">
      <c r="A3330" s="21" t="str">
        <f>IFERROR(__xludf.DUMMYFUNCTION("""COMPUTED_VALUE"""),"SC BOPP 8NP NE 128KB AAC005 TRIPLE")</f>
        <v>SC BOPP 8NP NE 128KB AAC005 TRIPLE</v>
      </c>
      <c r="B3330" s="22">
        <f>IFERROR(__xludf.DUMMYFUNCTION("""COMPUTED_VALUE"""),23107.0)</f>
        <v>23107</v>
      </c>
      <c r="C3330" s="21" t="str">
        <f>IFERROR(__xludf.DUMMYFUNCTION("""COMPUTED_VALUE"""),"89550532880016905093")</f>
        <v>89550532880016905093</v>
      </c>
      <c r="D3330" s="21" t="str">
        <f>IFERROR(__xludf.DUMMYFUNCTION("""COMPUTED_VALUE"""),"DIGITEC TECNOLOGIA DIGITAL E REPRES")</f>
        <v>DIGITEC TECNOLOGIA DIGITAL E REPRES</v>
      </c>
      <c r="E3330" s="21">
        <f>IFERROR(__xludf.DUMMYFUNCTION("""COMPUTED_VALUE"""),145359.0)</f>
        <v>145359</v>
      </c>
      <c r="F3330" s="21" t="str">
        <f>IFERROR(__xludf.DUMMYFUNCTION("""COMPUTED_VALUE"""),"PERDA")</f>
        <v>PERDA</v>
      </c>
      <c r="G3330" s="23">
        <f>IFERROR(__xludf.DUMMYFUNCTION("""COMPUTED_VALUE"""),45252.305983796294)</f>
        <v>45252.30598</v>
      </c>
      <c r="H3330" s="24" t="str">
        <f>IFERROR(VLOOKUP(B3330,material!A:D,3,0),"")</f>
        <v>CHIP</v>
      </c>
    </row>
    <row r="3331" ht="11.25" customHeight="1">
      <c r="A3331" s="21" t="str">
        <f>IFERROR(__xludf.DUMMYFUNCTION("""COMPUTED_VALUE"""),"SC BOPP 8NP NE 128KB AAC005 TRIPLE")</f>
        <v>SC BOPP 8NP NE 128KB AAC005 TRIPLE</v>
      </c>
      <c r="B3331" s="22">
        <f>IFERROR(__xludf.DUMMYFUNCTION("""COMPUTED_VALUE"""),23107.0)</f>
        <v>23107</v>
      </c>
      <c r="C3331" s="21" t="str">
        <f>IFERROR(__xludf.DUMMYFUNCTION("""COMPUTED_VALUE"""),"89550532880016905101")</f>
        <v>89550532880016905101</v>
      </c>
      <c r="D3331" s="21" t="str">
        <f>IFERROR(__xludf.DUMMYFUNCTION("""COMPUTED_VALUE"""),"DIGITEC TECNOLOGIA DIGITAL E REPRES")</f>
        <v>DIGITEC TECNOLOGIA DIGITAL E REPRES</v>
      </c>
      <c r="E3331" s="21">
        <f>IFERROR(__xludf.DUMMYFUNCTION("""COMPUTED_VALUE"""),145359.0)</f>
        <v>145359</v>
      </c>
      <c r="F3331" s="21" t="str">
        <f>IFERROR(__xludf.DUMMYFUNCTION("""COMPUTED_VALUE"""),"PERDA")</f>
        <v>PERDA</v>
      </c>
      <c r="G3331" s="23">
        <f>IFERROR(__xludf.DUMMYFUNCTION("""COMPUTED_VALUE"""),45252.30599537037)</f>
        <v>45252.306</v>
      </c>
      <c r="H3331" s="24" t="str">
        <f>IFERROR(VLOOKUP(B3331,material!A:D,3,0),"")</f>
        <v>CHIP</v>
      </c>
    </row>
    <row r="3332" ht="11.25" customHeight="1">
      <c r="A3332" s="21" t="str">
        <f>IFERROR(__xludf.DUMMYFUNCTION("""COMPUTED_VALUE"""),"SC BOPP 8NP NE 128KB AAC005 TRIPLE")</f>
        <v>SC BOPP 8NP NE 128KB AAC005 TRIPLE</v>
      </c>
      <c r="B3332" s="22">
        <f>IFERROR(__xludf.DUMMYFUNCTION("""COMPUTED_VALUE"""),23107.0)</f>
        <v>23107</v>
      </c>
      <c r="C3332" s="21" t="str">
        <f>IFERROR(__xludf.DUMMYFUNCTION("""COMPUTED_VALUE"""),"89550532880016904666")</f>
        <v>89550532880016904666</v>
      </c>
      <c r="D3332" s="21" t="str">
        <f>IFERROR(__xludf.DUMMYFUNCTION("""COMPUTED_VALUE"""),"DIGITEC TECNOLOGIA DIGITAL E REPRES")</f>
        <v>DIGITEC TECNOLOGIA DIGITAL E REPRES</v>
      </c>
      <c r="E3332" s="21">
        <f>IFERROR(__xludf.DUMMYFUNCTION("""COMPUTED_VALUE"""),145359.0)</f>
        <v>145359</v>
      </c>
      <c r="F3332" s="21" t="str">
        <f>IFERROR(__xludf.DUMMYFUNCTION("""COMPUTED_VALUE"""),"PERDA")</f>
        <v>PERDA</v>
      </c>
      <c r="G3332" s="23">
        <f>IFERROR(__xludf.DUMMYFUNCTION("""COMPUTED_VALUE"""),45252.30599537037)</f>
        <v>45252.306</v>
      </c>
      <c r="H3332" s="24" t="str">
        <f>IFERROR(VLOOKUP(B3332,material!A:D,3,0),"")</f>
        <v>CHIP</v>
      </c>
    </row>
    <row r="3333" ht="11.25" customHeight="1">
      <c r="A3333" s="21" t="str">
        <f>IFERROR(__xludf.DUMMYFUNCTION("""COMPUTED_VALUE"""),"SC BOPP 8NP NE 128KB AAC005 TRIPLE")</f>
        <v>SC BOPP 8NP NE 128KB AAC005 TRIPLE</v>
      </c>
      <c r="B3333" s="22">
        <f>IFERROR(__xludf.DUMMYFUNCTION("""COMPUTED_VALUE"""),23107.0)</f>
        <v>23107</v>
      </c>
      <c r="C3333" s="21" t="str">
        <f>IFERROR(__xludf.DUMMYFUNCTION("""COMPUTED_VALUE"""),"89550532880016904872")</f>
        <v>89550532880016904872</v>
      </c>
      <c r="D3333" s="21" t="str">
        <f>IFERROR(__xludf.DUMMYFUNCTION("""COMPUTED_VALUE"""),"DIGITEC TECNOLOGIA DIGITAL E REPRES")</f>
        <v>DIGITEC TECNOLOGIA DIGITAL E REPRES</v>
      </c>
      <c r="E3333" s="21">
        <f>IFERROR(__xludf.DUMMYFUNCTION("""COMPUTED_VALUE"""),145359.0)</f>
        <v>145359</v>
      </c>
      <c r="F3333" s="21" t="str">
        <f>IFERROR(__xludf.DUMMYFUNCTION("""COMPUTED_VALUE"""),"PERDA")</f>
        <v>PERDA</v>
      </c>
      <c r="G3333" s="23">
        <f>IFERROR(__xludf.DUMMYFUNCTION("""COMPUTED_VALUE"""),45252.30600694445)</f>
        <v>45252.30601</v>
      </c>
      <c r="H3333" s="24" t="str">
        <f>IFERROR(VLOOKUP(B3333,material!A:D,3,0),"")</f>
        <v>CHIP</v>
      </c>
    </row>
    <row r="3334" ht="11.25" customHeight="1">
      <c r="A3334" s="21" t="str">
        <f>IFERROR(__xludf.DUMMYFUNCTION("""COMPUTED_VALUE"""),"SC BOPP 8NP NE 128KB AAC005 TRIPLE")</f>
        <v>SC BOPP 8NP NE 128KB AAC005 TRIPLE</v>
      </c>
      <c r="B3334" s="22">
        <f>IFERROR(__xludf.DUMMYFUNCTION("""COMPUTED_VALUE"""),23107.0)</f>
        <v>23107</v>
      </c>
      <c r="C3334" s="21" t="str">
        <f>IFERROR(__xludf.DUMMYFUNCTION("""COMPUTED_VALUE"""),"89550532880016904260")</f>
        <v>89550532880016904260</v>
      </c>
      <c r="D3334" s="21" t="str">
        <f>IFERROR(__xludf.DUMMYFUNCTION("""COMPUTED_VALUE"""),"DIGITEC TECNOLOGIA DIGITAL E REPRES")</f>
        <v>DIGITEC TECNOLOGIA DIGITAL E REPRES</v>
      </c>
      <c r="E3334" s="21">
        <f>IFERROR(__xludf.DUMMYFUNCTION("""COMPUTED_VALUE"""),145359.0)</f>
        <v>145359</v>
      </c>
      <c r="F3334" s="21" t="str">
        <f>IFERROR(__xludf.DUMMYFUNCTION("""COMPUTED_VALUE"""),"PERDA")</f>
        <v>PERDA</v>
      </c>
      <c r="G3334" s="23">
        <f>IFERROR(__xludf.DUMMYFUNCTION("""COMPUTED_VALUE"""),45596.38790509259)</f>
        <v>45596.38791</v>
      </c>
      <c r="H3334" s="24" t="str">
        <f>IFERROR(VLOOKUP(B3334,material!A:D,3,0),"")</f>
        <v>CHIP</v>
      </c>
    </row>
    <row r="3335" ht="11.25" customHeight="1">
      <c r="A3335" s="21" t="str">
        <f>IFERROR(__xludf.DUMMYFUNCTION("""COMPUTED_VALUE"""),"SC BOPP 8NP NE 128KB AAC005 TRIPLE")</f>
        <v>SC BOPP 8NP NE 128KB AAC005 TRIPLE</v>
      </c>
      <c r="B3335" s="22">
        <f>IFERROR(__xludf.DUMMYFUNCTION("""COMPUTED_VALUE"""),23107.0)</f>
        <v>23107</v>
      </c>
      <c r="C3335" s="21" t="str">
        <f>IFERROR(__xludf.DUMMYFUNCTION("""COMPUTED_VALUE"""),"89550532890027550911")</f>
        <v>89550532890027550911</v>
      </c>
      <c r="D3335" s="21" t="str">
        <f>IFERROR(__xludf.DUMMYFUNCTION("""COMPUTED_VALUE"""),"DIGITEC TECNOLOGIA DIGITAL E REPRES")</f>
        <v>DIGITEC TECNOLOGIA DIGITAL E REPRES</v>
      </c>
      <c r="E3335" s="21">
        <f>IFERROR(__xludf.DUMMYFUNCTION("""COMPUTED_VALUE"""),145359.0)</f>
        <v>145359</v>
      </c>
      <c r="F3335" s="21" t="str">
        <f>IFERROR(__xludf.DUMMYFUNCTION("""COMPUTED_VALUE"""),"PERDA")</f>
        <v>PERDA</v>
      </c>
      <c r="G3335" s="23">
        <f>IFERROR(__xludf.DUMMYFUNCTION("""COMPUTED_VALUE"""),45252.30599537037)</f>
        <v>45252.306</v>
      </c>
      <c r="H3335" s="24" t="str">
        <f>IFERROR(VLOOKUP(B3335,material!A:D,3,0),"")</f>
        <v>CHIP</v>
      </c>
    </row>
    <row r="3336" ht="11.25" customHeight="1">
      <c r="A3336" s="21" t="str">
        <f>IFERROR(__xludf.DUMMYFUNCTION("""COMPUTED_VALUE"""),"SC BOPP 8NP NE 128KB AAC005 TRIPLE")</f>
        <v>SC BOPP 8NP NE 128KB AAC005 TRIPLE</v>
      </c>
      <c r="B3336" s="22">
        <f>IFERROR(__xludf.DUMMYFUNCTION("""COMPUTED_VALUE"""),23107.0)</f>
        <v>23107</v>
      </c>
      <c r="C3336" s="21" t="str">
        <f>IFERROR(__xludf.DUMMYFUNCTION("""COMPUTED_VALUE"""),"89550532890027551430")</f>
        <v>89550532890027551430</v>
      </c>
      <c r="D3336" s="21" t="str">
        <f>IFERROR(__xludf.DUMMYFUNCTION("""COMPUTED_VALUE"""),"DIGITEC TECNOLOGIA DIGITAL E REPRES")</f>
        <v>DIGITEC TECNOLOGIA DIGITAL E REPRES</v>
      </c>
      <c r="E3336" s="21">
        <f>IFERROR(__xludf.DUMMYFUNCTION("""COMPUTED_VALUE"""),145359.0)</f>
        <v>145359</v>
      </c>
      <c r="F3336" s="21" t="str">
        <f>IFERROR(__xludf.DUMMYFUNCTION("""COMPUTED_VALUE"""),"PERDA")</f>
        <v>PERDA</v>
      </c>
      <c r="G3336" s="23">
        <f>IFERROR(__xludf.DUMMYFUNCTION("""COMPUTED_VALUE"""),45252.30599537037)</f>
        <v>45252.306</v>
      </c>
      <c r="H3336" s="24" t="str">
        <f>IFERROR(VLOOKUP(B3336,material!A:D,3,0),"")</f>
        <v>CHIP</v>
      </c>
    </row>
    <row r="3337" ht="11.25" customHeight="1">
      <c r="A3337" s="21" t="str">
        <f>IFERROR(__xludf.DUMMYFUNCTION("""COMPUTED_VALUE"""),"SC BOPP 8NP NE 128KB AAC005 TRIPLE")</f>
        <v>SC BOPP 8NP NE 128KB AAC005 TRIPLE</v>
      </c>
      <c r="B3337" s="22">
        <f>IFERROR(__xludf.DUMMYFUNCTION("""COMPUTED_VALUE"""),23107.0)</f>
        <v>23107</v>
      </c>
      <c r="C3337" s="21" t="str">
        <f>IFERROR(__xludf.DUMMYFUNCTION("""COMPUTED_VALUE"""),"89550532890027553683")</f>
        <v>89550532890027553683</v>
      </c>
      <c r="D3337" s="21" t="str">
        <f>IFERROR(__xludf.DUMMYFUNCTION("""COMPUTED_VALUE"""),"DIGITEC TECNOLOGIA DIGITAL E REPRES")</f>
        <v>DIGITEC TECNOLOGIA DIGITAL E REPRES</v>
      </c>
      <c r="E3337" s="21">
        <f>IFERROR(__xludf.DUMMYFUNCTION("""COMPUTED_VALUE"""),145359.0)</f>
        <v>145359</v>
      </c>
      <c r="F3337" s="21" t="str">
        <f>IFERROR(__xludf.DUMMYFUNCTION("""COMPUTED_VALUE"""),"PERDA")</f>
        <v>PERDA</v>
      </c>
      <c r="G3337" s="23">
        <f>IFERROR(__xludf.DUMMYFUNCTION("""COMPUTED_VALUE"""),45252.30599537037)</f>
        <v>45252.306</v>
      </c>
      <c r="H3337" s="24" t="str">
        <f>IFERROR(VLOOKUP(B3337,material!A:D,3,0),"")</f>
        <v>CHIP</v>
      </c>
    </row>
    <row r="3338" ht="11.25" customHeight="1">
      <c r="A3338" s="21" t="str">
        <f>IFERROR(__xludf.DUMMYFUNCTION("""COMPUTED_VALUE"""),"SC BOPP 8NP NE 128KB AAC005 TRIPLE")</f>
        <v>SC BOPP 8NP NE 128KB AAC005 TRIPLE</v>
      </c>
      <c r="B3338" s="22">
        <f>IFERROR(__xludf.DUMMYFUNCTION("""COMPUTED_VALUE"""),23107.0)</f>
        <v>23107</v>
      </c>
      <c r="C3338" s="21" t="str">
        <f>IFERROR(__xludf.DUMMYFUNCTION("""COMPUTED_VALUE"""),"89550531850014688307")</f>
        <v>89550531850014688307</v>
      </c>
      <c r="D3338" s="21" t="str">
        <f>IFERROR(__xludf.DUMMYFUNCTION("""COMPUTED_VALUE"""),"DIGITEC TECNOLOGIA DIGITAL E REPRES")</f>
        <v>DIGITEC TECNOLOGIA DIGITAL E REPRES</v>
      </c>
      <c r="E3338" s="21">
        <f>IFERROR(__xludf.DUMMYFUNCTION("""COMPUTED_VALUE"""),145359.0)</f>
        <v>145359</v>
      </c>
      <c r="F3338" s="21" t="str">
        <f>IFERROR(__xludf.DUMMYFUNCTION("""COMPUTED_VALUE"""),"PERDA")</f>
        <v>PERDA</v>
      </c>
      <c r="G3338" s="23">
        <f>IFERROR(__xludf.DUMMYFUNCTION("""COMPUTED_VALUE"""),45471.70550925926)</f>
        <v>45471.70551</v>
      </c>
      <c r="H3338" s="24" t="str">
        <f>IFERROR(VLOOKUP(B3338,material!A:D,3,0),"")</f>
        <v>CHIP</v>
      </c>
    </row>
    <row r="3339" ht="11.25" customHeight="1">
      <c r="A3339" s="21" t="str">
        <f>IFERROR(__xludf.DUMMYFUNCTION("""COMPUTED_VALUE"""),"SC BOPP 8NP NE 128KB AAC005 TRIPLE")</f>
        <v>SC BOPP 8NP NE 128KB AAC005 TRIPLE</v>
      </c>
      <c r="B3339" s="22">
        <f>IFERROR(__xludf.DUMMYFUNCTION("""COMPUTED_VALUE"""),23107.0)</f>
        <v>23107</v>
      </c>
      <c r="C3339" s="21" t="str">
        <f>IFERROR(__xludf.DUMMYFUNCTION("""COMPUTED_VALUE"""),"89550531850014688257")</f>
        <v>89550531850014688257</v>
      </c>
      <c r="D3339" s="21" t="str">
        <f>IFERROR(__xludf.DUMMYFUNCTION("""COMPUTED_VALUE"""),"DIGITEC TECNOLOGIA DIGITAL E REPRES")</f>
        <v>DIGITEC TECNOLOGIA DIGITAL E REPRES</v>
      </c>
      <c r="E3339" s="21">
        <f>IFERROR(__xludf.DUMMYFUNCTION("""COMPUTED_VALUE"""),145359.0)</f>
        <v>145359</v>
      </c>
      <c r="F3339" s="21" t="str">
        <f>IFERROR(__xludf.DUMMYFUNCTION("""COMPUTED_VALUE"""),"PERDA")</f>
        <v>PERDA</v>
      </c>
      <c r="G3339" s="23">
        <f>IFERROR(__xludf.DUMMYFUNCTION("""COMPUTED_VALUE"""),45471.70550925926)</f>
        <v>45471.70551</v>
      </c>
      <c r="H3339" s="24" t="str">
        <f>IFERROR(VLOOKUP(B3339,material!A:D,3,0),"")</f>
        <v>CHIP</v>
      </c>
    </row>
    <row r="3340" ht="11.25" customHeight="1">
      <c r="A3340" s="21" t="str">
        <f>IFERROR(__xludf.DUMMYFUNCTION("""COMPUTED_VALUE"""),"SC BOPP 8NP NE 128KB AAC005 TRIPLE")</f>
        <v>SC BOPP 8NP NE 128KB AAC005 TRIPLE</v>
      </c>
      <c r="B3340" s="22">
        <f>IFERROR(__xludf.DUMMYFUNCTION("""COMPUTED_VALUE"""),23107.0)</f>
        <v>23107</v>
      </c>
      <c r="C3340" s="21" t="str">
        <f>IFERROR(__xludf.DUMMYFUNCTION("""COMPUTED_VALUE"""),"89550531850014688240")</f>
        <v>89550531850014688240</v>
      </c>
      <c r="D3340" s="21" t="str">
        <f>IFERROR(__xludf.DUMMYFUNCTION("""COMPUTED_VALUE"""),"DIGITEC TECNOLOGIA DIGITAL E REPRES")</f>
        <v>DIGITEC TECNOLOGIA DIGITAL E REPRES</v>
      </c>
      <c r="E3340" s="21">
        <f>IFERROR(__xludf.DUMMYFUNCTION("""COMPUTED_VALUE"""),145359.0)</f>
        <v>145359</v>
      </c>
      <c r="F3340" s="21" t="str">
        <f>IFERROR(__xludf.DUMMYFUNCTION("""COMPUTED_VALUE"""),"PERDA")</f>
        <v>PERDA</v>
      </c>
      <c r="G3340" s="23">
        <f>IFERROR(__xludf.DUMMYFUNCTION("""COMPUTED_VALUE"""),45471.70550925926)</f>
        <v>45471.70551</v>
      </c>
      <c r="H3340" s="24" t="str">
        <f>IFERROR(VLOOKUP(B3340,material!A:D,3,0),"")</f>
        <v>CHIP</v>
      </c>
    </row>
    <row r="3341" ht="11.25" customHeight="1">
      <c r="A3341" s="21" t="str">
        <f>IFERROR(__xludf.DUMMYFUNCTION("""COMPUTED_VALUE"""),"SC BOPP 8NP NE 128KB AAC005 TRIPLE")</f>
        <v>SC BOPP 8NP NE 128KB AAC005 TRIPLE</v>
      </c>
      <c r="B3341" s="22">
        <f>IFERROR(__xludf.DUMMYFUNCTION("""COMPUTED_VALUE"""),23107.0)</f>
        <v>23107</v>
      </c>
      <c r="C3341" s="21" t="str">
        <f>IFERROR(__xludf.DUMMYFUNCTION("""COMPUTED_VALUE"""),"89550532890027551810")</f>
        <v>89550532890027551810</v>
      </c>
      <c r="D3341" s="21" t="str">
        <f>IFERROR(__xludf.DUMMYFUNCTION("""COMPUTED_VALUE"""),"DIGITEC TECNOLOGIA DIGITAL E REPRES")</f>
        <v>DIGITEC TECNOLOGIA DIGITAL E REPRES</v>
      </c>
      <c r="E3341" s="21">
        <f>IFERROR(__xludf.DUMMYFUNCTION("""COMPUTED_VALUE"""),145359.0)</f>
        <v>145359</v>
      </c>
      <c r="F3341" s="21" t="str">
        <f>IFERROR(__xludf.DUMMYFUNCTION("""COMPUTED_VALUE"""),"PERDA")</f>
        <v>PERDA</v>
      </c>
      <c r="G3341" s="23">
        <f>IFERROR(__xludf.DUMMYFUNCTION("""COMPUTED_VALUE"""),45252.30599537037)</f>
        <v>45252.306</v>
      </c>
      <c r="H3341" s="24" t="str">
        <f>IFERROR(VLOOKUP(B3341,material!A:D,3,0),"")</f>
        <v>CHIP</v>
      </c>
    </row>
    <row r="3342" ht="11.25" customHeight="1">
      <c r="A3342" s="21" t="str">
        <f>IFERROR(__xludf.DUMMYFUNCTION("""COMPUTED_VALUE"""),"SC BOPP 8NP NE 128KB AAC005 TRIPLE")</f>
        <v>SC BOPP 8NP NE 128KB AAC005 TRIPLE</v>
      </c>
      <c r="B3342" s="22">
        <f>IFERROR(__xludf.DUMMYFUNCTION("""COMPUTED_VALUE"""),23107.0)</f>
        <v>23107</v>
      </c>
      <c r="C3342" s="21" t="str">
        <f>IFERROR(__xludf.DUMMYFUNCTION("""COMPUTED_VALUE"""),"89550532890027551802")</f>
        <v>89550532890027551802</v>
      </c>
      <c r="D3342" s="21" t="str">
        <f>IFERROR(__xludf.DUMMYFUNCTION("""COMPUTED_VALUE"""),"DIGITEC TECNOLOGIA DIGITAL E REPRES")</f>
        <v>DIGITEC TECNOLOGIA DIGITAL E REPRES</v>
      </c>
      <c r="E3342" s="21">
        <f>IFERROR(__xludf.DUMMYFUNCTION("""COMPUTED_VALUE"""),145359.0)</f>
        <v>145359</v>
      </c>
      <c r="F3342" s="21" t="str">
        <f>IFERROR(__xludf.DUMMYFUNCTION("""COMPUTED_VALUE"""),"PERDA")</f>
        <v>PERDA</v>
      </c>
      <c r="G3342" s="23">
        <f>IFERROR(__xludf.DUMMYFUNCTION("""COMPUTED_VALUE"""),45252.305983796294)</f>
        <v>45252.30598</v>
      </c>
      <c r="H3342" s="24" t="str">
        <f>IFERROR(VLOOKUP(B3342,material!A:D,3,0),"")</f>
        <v>CHIP</v>
      </c>
    </row>
    <row r="3343" ht="11.25" customHeight="1">
      <c r="A3343" s="21" t="str">
        <f>IFERROR(__xludf.DUMMYFUNCTION("""COMPUTED_VALUE"""),"SC BOPP 8NP NE 128KB AAC005 TRIPLE")</f>
        <v>SC BOPP 8NP NE 128KB AAC005 TRIPLE</v>
      </c>
      <c r="B3343" s="22">
        <f>IFERROR(__xludf.DUMMYFUNCTION("""COMPUTED_VALUE"""),23107.0)</f>
        <v>23107</v>
      </c>
      <c r="C3343" s="21" t="str">
        <f>IFERROR(__xludf.DUMMYFUNCTION("""COMPUTED_VALUE"""),"89550532890027551786")</f>
        <v>89550532890027551786</v>
      </c>
      <c r="D3343" s="21" t="str">
        <f>IFERROR(__xludf.DUMMYFUNCTION("""COMPUTED_VALUE"""),"DIGITEC TECNOLOGIA DIGITAL E REPRES")</f>
        <v>DIGITEC TECNOLOGIA DIGITAL E REPRES</v>
      </c>
      <c r="E3343" s="21">
        <f>IFERROR(__xludf.DUMMYFUNCTION("""COMPUTED_VALUE"""),145359.0)</f>
        <v>145359</v>
      </c>
      <c r="F3343" s="21" t="str">
        <f>IFERROR(__xludf.DUMMYFUNCTION("""COMPUTED_VALUE"""),"PERDA")</f>
        <v>PERDA</v>
      </c>
      <c r="G3343" s="23">
        <f>IFERROR(__xludf.DUMMYFUNCTION("""COMPUTED_VALUE"""),45252.30600694445)</f>
        <v>45252.30601</v>
      </c>
      <c r="H3343" s="24" t="str">
        <f>IFERROR(VLOOKUP(B3343,material!A:D,3,0),"")</f>
        <v>CHIP</v>
      </c>
    </row>
    <row r="3344" ht="11.25" customHeight="1">
      <c r="A3344" s="21" t="str">
        <f>IFERROR(__xludf.DUMMYFUNCTION("""COMPUTED_VALUE"""),"SC BOPP 8NP NE 128KB AAC005 TRIPLE")</f>
        <v>SC BOPP 8NP NE 128KB AAC005 TRIPLE</v>
      </c>
      <c r="B3344" s="22">
        <f>IFERROR(__xludf.DUMMYFUNCTION("""COMPUTED_VALUE"""),23107.0)</f>
        <v>23107</v>
      </c>
      <c r="C3344" s="21" t="str">
        <f>IFERROR(__xludf.DUMMYFUNCTION("""COMPUTED_VALUE"""),"89550532890027551729")</f>
        <v>89550532890027551729</v>
      </c>
      <c r="D3344" s="21" t="str">
        <f>IFERROR(__xludf.DUMMYFUNCTION("""COMPUTED_VALUE"""),"DIGITEC TECNOLOGIA DIGITAL E REPRES")</f>
        <v>DIGITEC TECNOLOGIA DIGITAL E REPRES</v>
      </c>
      <c r="E3344" s="21">
        <f>IFERROR(__xludf.DUMMYFUNCTION("""COMPUTED_VALUE"""),145359.0)</f>
        <v>145359</v>
      </c>
      <c r="F3344" s="21" t="str">
        <f>IFERROR(__xludf.DUMMYFUNCTION("""COMPUTED_VALUE"""),"PERDA")</f>
        <v>PERDA</v>
      </c>
      <c r="G3344" s="23">
        <f>IFERROR(__xludf.DUMMYFUNCTION("""COMPUTED_VALUE"""),45252.30599537037)</f>
        <v>45252.306</v>
      </c>
      <c r="H3344" s="24" t="str">
        <f>IFERROR(VLOOKUP(B3344,material!A:D,3,0),"")</f>
        <v>CHIP</v>
      </c>
    </row>
    <row r="3345" ht="11.25" customHeight="1">
      <c r="A3345" s="21" t="str">
        <f>IFERROR(__xludf.DUMMYFUNCTION("""COMPUTED_VALUE"""),"SC BOPP 8NP NE 128KB AAC005 TRIPLE")</f>
        <v>SC BOPP 8NP NE 128KB AAC005 TRIPLE</v>
      </c>
      <c r="B3345" s="22">
        <f>IFERROR(__xludf.DUMMYFUNCTION("""COMPUTED_VALUE"""),23107.0)</f>
        <v>23107</v>
      </c>
      <c r="C3345" s="21" t="str">
        <f>IFERROR(__xludf.DUMMYFUNCTION("""COMPUTED_VALUE"""),"89550532890027551703")</f>
        <v>89550532890027551703</v>
      </c>
      <c r="D3345" s="21" t="str">
        <f>IFERROR(__xludf.DUMMYFUNCTION("""COMPUTED_VALUE"""),"DIGITEC TECNOLOGIA DIGITAL E REPRES")</f>
        <v>DIGITEC TECNOLOGIA DIGITAL E REPRES</v>
      </c>
      <c r="E3345" s="21">
        <f>IFERROR(__xludf.DUMMYFUNCTION("""COMPUTED_VALUE"""),145359.0)</f>
        <v>145359</v>
      </c>
      <c r="F3345" s="21" t="str">
        <f>IFERROR(__xludf.DUMMYFUNCTION("""COMPUTED_VALUE"""),"PERDA")</f>
        <v>PERDA</v>
      </c>
      <c r="G3345" s="23">
        <f>IFERROR(__xludf.DUMMYFUNCTION("""COMPUTED_VALUE"""),45252.30600694445)</f>
        <v>45252.30601</v>
      </c>
      <c r="H3345" s="24" t="str">
        <f>IFERROR(VLOOKUP(B3345,material!A:D,3,0),"")</f>
        <v>CHIP</v>
      </c>
    </row>
    <row r="3346" ht="11.25" customHeight="1">
      <c r="A3346" s="21" t="str">
        <f>IFERROR(__xludf.DUMMYFUNCTION("""COMPUTED_VALUE"""),"SC BOPP 8NP NE 128KB AAC005 TRIPLE")</f>
        <v>SC BOPP 8NP NE 128KB AAC005 TRIPLE</v>
      </c>
      <c r="B3346" s="22">
        <f>IFERROR(__xludf.DUMMYFUNCTION("""COMPUTED_VALUE"""),23107.0)</f>
        <v>23107</v>
      </c>
      <c r="C3346" s="21" t="str">
        <f>IFERROR(__xludf.DUMMYFUNCTION("""COMPUTED_VALUE"""),"89550532890027551695")</f>
        <v>89550532890027551695</v>
      </c>
      <c r="D3346" s="21" t="str">
        <f>IFERROR(__xludf.DUMMYFUNCTION("""COMPUTED_VALUE"""),"DIGITEC TECNOLOGIA DIGITAL E REPRES")</f>
        <v>DIGITEC TECNOLOGIA DIGITAL E REPRES</v>
      </c>
      <c r="E3346" s="21">
        <f>IFERROR(__xludf.DUMMYFUNCTION("""COMPUTED_VALUE"""),145359.0)</f>
        <v>145359</v>
      </c>
      <c r="F3346" s="21" t="str">
        <f>IFERROR(__xludf.DUMMYFUNCTION("""COMPUTED_VALUE"""),"PERDA")</f>
        <v>PERDA</v>
      </c>
      <c r="G3346" s="23">
        <f>IFERROR(__xludf.DUMMYFUNCTION("""COMPUTED_VALUE"""),45252.305983796294)</f>
        <v>45252.30598</v>
      </c>
      <c r="H3346" s="24" t="str">
        <f>IFERROR(VLOOKUP(B3346,material!A:D,3,0),"")</f>
        <v>CHIP</v>
      </c>
    </row>
    <row r="3347" ht="11.25" customHeight="1">
      <c r="A3347" s="21" t="str">
        <f>IFERROR(__xludf.DUMMYFUNCTION("""COMPUTED_VALUE"""),"SC BOPP 8NP NE 128KB AAC005 TRIPLE")</f>
        <v>SC BOPP 8NP NE 128KB AAC005 TRIPLE</v>
      </c>
      <c r="B3347" s="22">
        <f>IFERROR(__xludf.DUMMYFUNCTION("""COMPUTED_VALUE"""),23107.0)</f>
        <v>23107</v>
      </c>
      <c r="C3347" s="21" t="str">
        <f>IFERROR(__xludf.DUMMYFUNCTION("""COMPUTED_VALUE"""),"89550532890027551687")</f>
        <v>89550532890027551687</v>
      </c>
      <c r="D3347" s="21" t="str">
        <f>IFERROR(__xludf.DUMMYFUNCTION("""COMPUTED_VALUE"""),"DIGITEC TECNOLOGIA DIGITAL E REPRES")</f>
        <v>DIGITEC TECNOLOGIA DIGITAL E REPRES</v>
      </c>
      <c r="E3347" s="21">
        <f>IFERROR(__xludf.DUMMYFUNCTION("""COMPUTED_VALUE"""),145359.0)</f>
        <v>145359</v>
      </c>
      <c r="F3347" s="21" t="str">
        <f>IFERROR(__xludf.DUMMYFUNCTION("""COMPUTED_VALUE"""),"PERDA")</f>
        <v>PERDA</v>
      </c>
      <c r="G3347" s="23">
        <f>IFERROR(__xludf.DUMMYFUNCTION("""COMPUTED_VALUE"""),45252.30599537037)</f>
        <v>45252.306</v>
      </c>
      <c r="H3347" s="24" t="str">
        <f>IFERROR(VLOOKUP(B3347,material!A:D,3,0),"")</f>
        <v>CHIP</v>
      </c>
    </row>
    <row r="3348" ht="11.25" customHeight="1">
      <c r="A3348" s="21" t="str">
        <f>IFERROR(__xludf.DUMMYFUNCTION("""COMPUTED_VALUE"""),"SC BOPP 8NP NE 128KB AAC005 TRIPLE")</f>
        <v>SC BOPP 8NP NE 128KB AAC005 TRIPLE</v>
      </c>
      <c r="B3348" s="22">
        <f>IFERROR(__xludf.DUMMYFUNCTION("""COMPUTED_VALUE"""),23107.0)</f>
        <v>23107</v>
      </c>
      <c r="C3348" s="21" t="str">
        <f>IFERROR(__xludf.DUMMYFUNCTION("""COMPUTED_VALUE"""),"89550532890027551679")</f>
        <v>89550532890027551679</v>
      </c>
      <c r="D3348" s="21" t="str">
        <f>IFERROR(__xludf.DUMMYFUNCTION("""COMPUTED_VALUE"""),"DIGITEC TECNOLOGIA DIGITAL E REPRES")</f>
        <v>DIGITEC TECNOLOGIA DIGITAL E REPRES</v>
      </c>
      <c r="E3348" s="21">
        <f>IFERROR(__xludf.DUMMYFUNCTION("""COMPUTED_VALUE"""),145359.0)</f>
        <v>145359</v>
      </c>
      <c r="F3348" s="21" t="str">
        <f>IFERROR(__xludf.DUMMYFUNCTION("""COMPUTED_VALUE"""),"PERDA")</f>
        <v>PERDA</v>
      </c>
      <c r="G3348" s="23">
        <f>IFERROR(__xludf.DUMMYFUNCTION("""COMPUTED_VALUE"""),45252.305983796294)</f>
        <v>45252.30598</v>
      </c>
      <c r="H3348" s="24" t="str">
        <f>IFERROR(VLOOKUP(B3348,material!A:D,3,0),"")</f>
        <v>CHIP</v>
      </c>
    </row>
    <row r="3349" ht="11.25" customHeight="1">
      <c r="A3349" s="21" t="str">
        <f>IFERROR(__xludf.DUMMYFUNCTION("""COMPUTED_VALUE"""),"SC BOPP 8NP NE 128KB AAC005 TRIPLE")</f>
        <v>SC BOPP 8NP NE 128KB AAC005 TRIPLE</v>
      </c>
      <c r="B3349" s="22">
        <f>IFERROR(__xludf.DUMMYFUNCTION("""COMPUTED_VALUE"""),23107.0)</f>
        <v>23107</v>
      </c>
      <c r="C3349" s="21" t="str">
        <f>IFERROR(__xludf.DUMMYFUNCTION("""COMPUTED_VALUE"""),"89550532890027551661")</f>
        <v>89550532890027551661</v>
      </c>
      <c r="D3349" s="21" t="str">
        <f>IFERROR(__xludf.DUMMYFUNCTION("""COMPUTED_VALUE"""),"DIGITEC TECNOLOGIA DIGITAL E REPRES")</f>
        <v>DIGITEC TECNOLOGIA DIGITAL E REPRES</v>
      </c>
      <c r="E3349" s="21">
        <f>IFERROR(__xludf.DUMMYFUNCTION("""COMPUTED_VALUE"""),145359.0)</f>
        <v>145359</v>
      </c>
      <c r="F3349" s="21" t="str">
        <f>IFERROR(__xludf.DUMMYFUNCTION("""COMPUTED_VALUE"""),"PERDA")</f>
        <v>PERDA</v>
      </c>
      <c r="G3349" s="23">
        <f>IFERROR(__xludf.DUMMYFUNCTION("""COMPUTED_VALUE"""),45252.305983796294)</f>
        <v>45252.30598</v>
      </c>
      <c r="H3349" s="24" t="str">
        <f>IFERROR(VLOOKUP(B3349,material!A:D,3,0),"")</f>
        <v>CHIP</v>
      </c>
    </row>
    <row r="3350" ht="11.25" customHeight="1">
      <c r="A3350" s="21" t="str">
        <f>IFERROR(__xludf.DUMMYFUNCTION("""COMPUTED_VALUE"""),"SC BOPP 8NP NE 128KB AAC005 TRIPLE")</f>
        <v>SC BOPP 8NP NE 128KB AAC005 TRIPLE</v>
      </c>
      <c r="B3350" s="22">
        <f>IFERROR(__xludf.DUMMYFUNCTION("""COMPUTED_VALUE"""),23107.0)</f>
        <v>23107</v>
      </c>
      <c r="C3350" s="21" t="str">
        <f>IFERROR(__xludf.DUMMYFUNCTION("""COMPUTED_VALUE"""),"89550532890027551653")</f>
        <v>89550532890027551653</v>
      </c>
      <c r="D3350" s="21" t="str">
        <f>IFERROR(__xludf.DUMMYFUNCTION("""COMPUTED_VALUE"""),"DIGITEC TECNOLOGIA DIGITAL E REPRES")</f>
        <v>DIGITEC TECNOLOGIA DIGITAL E REPRES</v>
      </c>
      <c r="E3350" s="21">
        <f>IFERROR(__xludf.DUMMYFUNCTION("""COMPUTED_VALUE"""),145359.0)</f>
        <v>145359</v>
      </c>
      <c r="F3350" s="21" t="str">
        <f>IFERROR(__xludf.DUMMYFUNCTION("""COMPUTED_VALUE"""),"PERDA")</f>
        <v>PERDA</v>
      </c>
      <c r="G3350" s="23">
        <f>IFERROR(__xludf.DUMMYFUNCTION("""COMPUTED_VALUE"""),45252.30599537037)</f>
        <v>45252.306</v>
      </c>
      <c r="H3350" s="24" t="str">
        <f>IFERROR(VLOOKUP(B3350,material!A:D,3,0),"")</f>
        <v>CHIP</v>
      </c>
    </row>
    <row r="3351" ht="11.25" customHeight="1">
      <c r="A3351" s="21" t="str">
        <f>IFERROR(__xludf.DUMMYFUNCTION("""COMPUTED_VALUE"""),"SC BOPP 8NP NE 128KB AAC005 TRIPLE")</f>
        <v>SC BOPP 8NP NE 128KB AAC005 TRIPLE</v>
      </c>
      <c r="B3351" s="22">
        <f>IFERROR(__xludf.DUMMYFUNCTION("""COMPUTED_VALUE"""),23107.0)</f>
        <v>23107</v>
      </c>
      <c r="C3351" s="21" t="str">
        <f>IFERROR(__xludf.DUMMYFUNCTION("""COMPUTED_VALUE"""),"89550532890027551646")</f>
        <v>89550532890027551646</v>
      </c>
      <c r="D3351" s="21" t="str">
        <f>IFERROR(__xludf.DUMMYFUNCTION("""COMPUTED_VALUE"""),"DIGITEC TECNOLOGIA DIGITAL E REPRES")</f>
        <v>DIGITEC TECNOLOGIA DIGITAL E REPRES</v>
      </c>
      <c r="E3351" s="21">
        <f>IFERROR(__xludf.DUMMYFUNCTION("""COMPUTED_VALUE"""),145359.0)</f>
        <v>145359</v>
      </c>
      <c r="F3351" s="21" t="str">
        <f>IFERROR(__xludf.DUMMYFUNCTION("""COMPUTED_VALUE"""),"PERDA")</f>
        <v>PERDA</v>
      </c>
      <c r="G3351" s="23">
        <f>IFERROR(__xludf.DUMMYFUNCTION("""COMPUTED_VALUE"""),45252.30599537037)</f>
        <v>45252.306</v>
      </c>
      <c r="H3351" s="24" t="str">
        <f>IFERROR(VLOOKUP(B3351,material!A:D,3,0),"")</f>
        <v>CHIP</v>
      </c>
    </row>
    <row r="3352" ht="11.25" customHeight="1">
      <c r="A3352" s="21" t="str">
        <f>IFERROR(__xludf.DUMMYFUNCTION("""COMPUTED_VALUE"""),"SC BOPP 8NP NE 128KB AAC005 TRIPLE")</f>
        <v>SC BOPP 8NP NE 128KB AAC005 TRIPLE</v>
      </c>
      <c r="B3352" s="22">
        <f>IFERROR(__xludf.DUMMYFUNCTION("""COMPUTED_VALUE"""),23107.0)</f>
        <v>23107</v>
      </c>
      <c r="C3352" s="21" t="str">
        <f>IFERROR(__xludf.DUMMYFUNCTION("""COMPUTED_VALUE"""),"89550532890027551638")</f>
        <v>89550532890027551638</v>
      </c>
      <c r="D3352" s="21" t="str">
        <f>IFERROR(__xludf.DUMMYFUNCTION("""COMPUTED_VALUE"""),"DIGITEC TECNOLOGIA DIGITAL E REPRES")</f>
        <v>DIGITEC TECNOLOGIA DIGITAL E REPRES</v>
      </c>
      <c r="E3352" s="21">
        <f>IFERROR(__xludf.DUMMYFUNCTION("""COMPUTED_VALUE"""),145359.0)</f>
        <v>145359</v>
      </c>
      <c r="F3352" s="21" t="str">
        <f>IFERROR(__xludf.DUMMYFUNCTION("""COMPUTED_VALUE"""),"PERDA")</f>
        <v>PERDA</v>
      </c>
      <c r="G3352" s="23">
        <f>IFERROR(__xludf.DUMMYFUNCTION("""COMPUTED_VALUE"""),45252.30600694445)</f>
        <v>45252.30601</v>
      </c>
      <c r="H3352" s="24" t="str">
        <f>IFERROR(VLOOKUP(B3352,material!A:D,3,0),"")</f>
        <v>CHIP</v>
      </c>
    </row>
    <row r="3353" ht="11.25" customHeight="1">
      <c r="A3353" s="21" t="str">
        <f>IFERROR(__xludf.DUMMYFUNCTION("""COMPUTED_VALUE"""),"SC BOPP 8NP NE 128KB AAC005 TRIPLE")</f>
        <v>SC BOPP 8NP NE 128KB AAC005 TRIPLE</v>
      </c>
      <c r="B3353" s="22">
        <f>IFERROR(__xludf.DUMMYFUNCTION("""COMPUTED_VALUE"""),23107.0)</f>
        <v>23107</v>
      </c>
      <c r="C3353" s="21" t="str">
        <f>IFERROR(__xludf.DUMMYFUNCTION("""COMPUTED_VALUE"""),"89550532890027551620")</f>
        <v>89550532890027551620</v>
      </c>
      <c r="D3353" s="21" t="str">
        <f>IFERROR(__xludf.DUMMYFUNCTION("""COMPUTED_VALUE"""),"DIGITEC TECNOLOGIA DIGITAL E REPRES")</f>
        <v>DIGITEC TECNOLOGIA DIGITAL E REPRES</v>
      </c>
      <c r="E3353" s="21">
        <f>IFERROR(__xludf.DUMMYFUNCTION("""COMPUTED_VALUE"""),145359.0)</f>
        <v>145359</v>
      </c>
      <c r="F3353" s="21" t="str">
        <f>IFERROR(__xludf.DUMMYFUNCTION("""COMPUTED_VALUE"""),"PERDA")</f>
        <v>PERDA</v>
      </c>
      <c r="G3353" s="23">
        <f>IFERROR(__xludf.DUMMYFUNCTION("""COMPUTED_VALUE"""),45252.30599537037)</f>
        <v>45252.306</v>
      </c>
      <c r="H3353" s="24" t="str">
        <f>IFERROR(VLOOKUP(B3353,material!A:D,3,0),"")</f>
        <v>CHIP</v>
      </c>
    </row>
    <row r="3354" ht="11.25" customHeight="1">
      <c r="A3354" s="21" t="str">
        <f>IFERROR(__xludf.DUMMYFUNCTION("""COMPUTED_VALUE"""),"SC BOPP 8NP NE 128KB AAC005 TRIPLE")</f>
        <v>SC BOPP 8NP NE 128KB AAC005 TRIPLE</v>
      </c>
      <c r="B3354" s="22">
        <f>IFERROR(__xludf.DUMMYFUNCTION("""COMPUTED_VALUE"""),23107.0)</f>
        <v>23107</v>
      </c>
      <c r="C3354" s="21" t="str">
        <f>IFERROR(__xludf.DUMMYFUNCTION("""COMPUTED_VALUE"""),"89550532890027551612")</f>
        <v>89550532890027551612</v>
      </c>
      <c r="D3354" s="21" t="str">
        <f>IFERROR(__xludf.DUMMYFUNCTION("""COMPUTED_VALUE"""),"DIGITEC TECNOLOGIA DIGITAL E REPRES")</f>
        <v>DIGITEC TECNOLOGIA DIGITAL E REPRES</v>
      </c>
      <c r="E3354" s="21">
        <f>IFERROR(__xludf.DUMMYFUNCTION("""COMPUTED_VALUE"""),145359.0)</f>
        <v>145359</v>
      </c>
      <c r="F3354" s="21" t="str">
        <f>IFERROR(__xludf.DUMMYFUNCTION("""COMPUTED_VALUE"""),"PERDA")</f>
        <v>PERDA</v>
      </c>
      <c r="G3354" s="23">
        <f>IFERROR(__xludf.DUMMYFUNCTION("""COMPUTED_VALUE"""),45252.30600694445)</f>
        <v>45252.30601</v>
      </c>
      <c r="H3354" s="24" t="str">
        <f>IFERROR(VLOOKUP(B3354,material!A:D,3,0),"")</f>
        <v>CHIP</v>
      </c>
    </row>
    <row r="3355" ht="11.25" customHeight="1">
      <c r="A3355" s="21" t="str">
        <f>IFERROR(__xludf.DUMMYFUNCTION("""COMPUTED_VALUE"""),"SC BOPP 8NP NE 128KB AAC005 TRIPLE")</f>
        <v>SC BOPP 8NP NE 128KB AAC005 TRIPLE</v>
      </c>
      <c r="B3355" s="22">
        <f>IFERROR(__xludf.DUMMYFUNCTION("""COMPUTED_VALUE"""),23107.0)</f>
        <v>23107</v>
      </c>
      <c r="C3355" s="21" t="str">
        <f>IFERROR(__xludf.DUMMYFUNCTION("""COMPUTED_VALUE"""),"89550531850014661163")</f>
        <v>89550531850014661163</v>
      </c>
      <c r="D3355" s="21" t="str">
        <f>IFERROR(__xludf.DUMMYFUNCTION("""COMPUTED_VALUE"""),"DIGITEC TECNOLOGIA DIGITAL E REPRES")</f>
        <v>DIGITEC TECNOLOGIA DIGITAL E REPRES</v>
      </c>
      <c r="E3355" s="21">
        <f>IFERROR(__xludf.DUMMYFUNCTION("""COMPUTED_VALUE"""),145359.0)</f>
        <v>145359</v>
      </c>
      <c r="F3355" s="21" t="str">
        <f>IFERROR(__xludf.DUMMYFUNCTION("""COMPUTED_VALUE"""),"PERDA")</f>
        <v>PERDA</v>
      </c>
      <c r="G3355" s="23">
        <f>IFERROR(__xludf.DUMMYFUNCTION("""COMPUTED_VALUE"""),45252.305983796294)</f>
        <v>45252.30598</v>
      </c>
      <c r="H3355" s="24" t="str">
        <f>IFERROR(VLOOKUP(B3355,material!A:D,3,0),"")</f>
        <v>CHIP</v>
      </c>
    </row>
    <row r="3356" ht="11.25" customHeight="1">
      <c r="A3356" s="21" t="str">
        <f>IFERROR(__xludf.DUMMYFUNCTION("""COMPUTED_VALUE"""),"SC BOPP 8NP NE 128KB AAC005 TRIPLE")</f>
        <v>SC BOPP 8NP NE 128KB AAC005 TRIPLE</v>
      </c>
      <c r="B3356" s="22">
        <f>IFERROR(__xludf.DUMMYFUNCTION("""COMPUTED_VALUE"""),23107.0)</f>
        <v>23107</v>
      </c>
      <c r="C3356" s="21" t="str">
        <f>IFERROR(__xludf.DUMMYFUNCTION("""COMPUTED_VALUE"""),"89550531850014661148")</f>
        <v>89550531850014661148</v>
      </c>
      <c r="D3356" s="21" t="str">
        <f>IFERROR(__xludf.DUMMYFUNCTION("""COMPUTED_VALUE"""),"DIGITEC TECNOLOGIA DIGITAL E REPRES")</f>
        <v>DIGITEC TECNOLOGIA DIGITAL E REPRES</v>
      </c>
      <c r="E3356" s="21">
        <f>IFERROR(__xludf.DUMMYFUNCTION("""COMPUTED_VALUE"""),145359.0)</f>
        <v>145359</v>
      </c>
      <c r="F3356" s="21" t="str">
        <f>IFERROR(__xludf.DUMMYFUNCTION("""COMPUTED_VALUE"""),"PERDA")</f>
        <v>PERDA</v>
      </c>
      <c r="G3356" s="23">
        <f>IFERROR(__xludf.DUMMYFUNCTION("""COMPUTED_VALUE"""),45252.30600694445)</f>
        <v>45252.30601</v>
      </c>
      <c r="H3356" s="24" t="str">
        <f>IFERROR(VLOOKUP(B3356,material!A:D,3,0),"")</f>
        <v>CHIP</v>
      </c>
    </row>
    <row r="3357" ht="11.25" customHeight="1">
      <c r="A3357" s="21" t="str">
        <f>IFERROR(__xludf.DUMMYFUNCTION("""COMPUTED_VALUE"""),"SC BOPP 8NP NE 128KB AAC005 TRIPLE")</f>
        <v>SC BOPP 8NP NE 128KB AAC005 TRIPLE</v>
      </c>
      <c r="B3357" s="22">
        <f>IFERROR(__xludf.DUMMYFUNCTION("""COMPUTED_VALUE"""),23107.0)</f>
        <v>23107</v>
      </c>
      <c r="C3357" s="21" t="str">
        <f>IFERROR(__xludf.DUMMYFUNCTION("""COMPUTED_VALUE"""),"89550531850014677896")</f>
        <v>89550531850014677896</v>
      </c>
      <c r="D3357" s="21" t="str">
        <f>IFERROR(__xludf.DUMMYFUNCTION("""COMPUTED_VALUE"""),"DIGITEC TECNOLOGIA DIGITAL E REPRES")</f>
        <v>DIGITEC TECNOLOGIA DIGITAL E REPRES</v>
      </c>
      <c r="E3357" s="21">
        <f>IFERROR(__xludf.DUMMYFUNCTION("""COMPUTED_VALUE"""),145359.0)</f>
        <v>145359</v>
      </c>
      <c r="F3357" s="21" t="str">
        <f>IFERROR(__xludf.DUMMYFUNCTION("""COMPUTED_VALUE"""),"PERDA")</f>
        <v>PERDA</v>
      </c>
      <c r="G3357" s="23">
        <f>IFERROR(__xludf.DUMMYFUNCTION("""COMPUTED_VALUE"""),45252.30599537037)</f>
        <v>45252.306</v>
      </c>
      <c r="H3357" s="24" t="str">
        <f>IFERROR(VLOOKUP(B3357,material!A:D,3,0),"")</f>
        <v>CHIP</v>
      </c>
    </row>
    <row r="3358" ht="11.25" customHeight="1">
      <c r="A3358" s="21" t="str">
        <f>IFERROR(__xludf.DUMMYFUNCTION("""COMPUTED_VALUE"""),"SC BOPP 8NP NE 128KB AAC005 TRIPLE")</f>
        <v>SC BOPP 8NP NE 128KB AAC005 TRIPLE</v>
      </c>
      <c r="B3358" s="22">
        <f>IFERROR(__xludf.DUMMYFUNCTION("""COMPUTED_VALUE"""),23107.0)</f>
        <v>23107</v>
      </c>
      <c r="C3358" s="21" t="str">
        <f>IFERROR(__xludf.DUMMYFUNCTION("""COMPUTED_VALUE"""),"89550531850014677904")</f>
        <v>89550531850014677904</v>
      </c>
      <c r="D3358" s="21" t="str">
        <f>IFERROR(__xludf.DUMMYFUNCTION("""COMPUTED_VALUE"""),"DIGITEC TECNOLOGIA DIGITAL E REPRES")</f>
        <v>DIGITEC TECNOLOGIA DIGITAL E REPRES</v>
      </c>
      <c r="E3358" s="21">
        <f>IFERROR(__xludf.DUMMYFUNCTION("""COMPUTED_VALUE"""),145359.0)</f>
        <v>145359</v>
      </c>
      <c r="F3358" s="21" t="str">
        <f>IFERROR(__xludf.DUMMYFUNCTION("""COMPUTED_VALUE"""),"PERDA")</f>
        <v>PERDA</v>
      </c>
      <c r="G3358" s="23">
        <f>IFERROR(__xludf.DUMMYFUNCTION("""COMPUTED_VALUE"""),45252.30599537037)</f>
        <v>45252.306</v>
      </c>
      <c r="H3358" s="24" t="str">
        <f>IFERROR(VLOOKUP(B3358,material!A:D,3,0),"")</f>
        <v>CHIP</v>
      </c>
    </row>
    <row r="3359" ht="11.25" customHeight="1">
      <c r="A3359" s="21" t="str">
        <f>IFERROR(__xludf.DUMMYFUNCTION("""COMPUTED_VALUE"""),"SC BOPP 8NP NE 128KB AAC005 TRIPLE")</f>
        <v>SC BOPP 8NP NE 128KB AAC005 TRIPLE</v>
      </c>
      <c r="B3359" s="22">
        <f>IFERROR(__xludf.DUMMYFUNCTION("""COMPUTED_VALUE"""),23107.0)</f>
        <v>23107</v>
      </c>
      <c r="C3359" s="21" t="str">
        <f>IFERROR(__xludf.DUMMYFUNCTION("""COMPUTED_VALUE"""),"89550531850014682466")</f>
        <v>89550531850014682466</v>
      </c>
      <c r="D3359" s="21" t="str">
        <f>IFERROR(__xludf.DUMMYFUNCTION("""COMPUTED_VALUE"""),"DIGITEC TECNOLOGIA DIGITAL E REPRES")</f>
        <v>DIGITEC TECNOLOGIA DIGITAL E REPRES</v>
      </c>
      <c r="E3359" s="21">
        <f>IFERROR(__xludf.DUMMYFUNCTION("""COMPUTED_VALUE"""),145359.0)</f>
        <v>145359</v>
      </c>
      <c r="F3359" s="21" t="str">
        <f>IFERROR(__xludf.DUMMYFUNCTION("""COMPUTED_VALUE"""),"PERDA")</f>
        <v>PERDA</v>
      </c>
      <c r="G3359" s="23">
        <f>IFERROR(__xludf.DUMMYFUNCTION("""COMPUTED_VALUE"""),45471.70550925926)</f>
        <v>45471.70551</v>
      </c>
      <c r="H3359" s="24" t="str">
        <f>IFERROR(VLOOKUP(B3359,material!A:D,3,0),"")</f>
        <v>CHIP</v>
      </c>
    </row>
    <row r="3360" ht="11.25" customHeight="1">
      <c r="A3360" s="21" t="str">
        <f>IFERROR(__xludf.DUMMYFUNCTION("""COMPUTED_VALUE"""),"SC BOPP 8NP NE 128KB AAC005 TRIPLE")</f>
        <v>SC BOPP 8NP NE 128KB AAC005 TRIPLE</v>
      </c>
      <c r="B3360" s="22">
        <f>IFERROR(__xludf.DUMMYFUNCTION("""COMPUTED_VALUE"""),23107.0)</f>
        <v>23107</v>
      </c>
      <c r="C3360" s="21" t="str">
        <f>IFERROR(__xludf.DUMMYFUNCTION("""COMPUTED_VALUE"""),"89550534880012618631")</f>
        <v>89550534880012618631</v>
      </c>
      <c r="D3360" s="21" t="str">
        <f>IFERROR(__xludf.DUMMYFUNCTION("""COMPUTED_VALUE"""),"DIGITEC TECNOLOGIA DIGITAL E REPRES")</f>
        <v>DIGITEC TECNOLOGIA DIGITAL E REPRES</v>
      </c>
      <c r="E3360" s="21">
        <f>IFERROR(__xludf.DUMMYFUNCTION("""COMPUTED_VALUE"""),145359.0)</f>
        <v>145359</v>
      </c>
      <c r="F3360" s="21" t="str">
        <f>IFERROR(__xludf.DUMMYFUNCTION("""COMPUTED_VALUE"""),"PERDA")</f>
        <v>PERDA</v>
      </c>
      <c r="G3360" s="23">
        <f>IFERROR(__xludf.DUMMYFUNCTION("""COMPUTED_VALUE"""),45252.30600694445)</f>
        <v>45252.30601</v>
      </c>
      <c r="H3360" s="24" t="str">
        <f>IFERROR(VLOOKUP(B3360,material!A:D,3,0),"")</f>
        <v>CHIP</v>
      </c>
    </row>
    <row r="3361" ht="11.25" customHeight="1">
      <c r="A3361" s="21" t="str">
        <f>IFERROR(__xludf.DUMMYFUNCTION("""COMPUTED_VALUE"""),"SC BOPP 8NP NE 128KB AAC005 TRIPLE")</f>
        <v>SC BOPP 8NP NE 128KB AAC005 TRIPLE</v>
      </c>
      <c r="B3361" s="22">
        <f>IFERROR(__xludf.DUMMYFUNCTION("""COMPUTED_VALUE"""),23107.0)</f>
        <v>23107</v>
      </c>
      <c r="C3361" s="21" t="str">
        <f>IFERROR(__xludf.DUMMYFUNCTION("""COMPUTED_VALUE"""),"89550532880017022724")</f>
        <v>89550532880017022724</v>
      </c>
      <c r="D3361" s="21" t="str">
        <f>IFERROR(__xludf.DUMMYFUNCTION("""COMPUTED_VALUE"""),"DIGITEC TECNOLOGIA DIGITAL E REPRES")</f>
        <v>DIGITEC TECNOLOGIA DIGITAL E REPRES</v>
      </c>
      <c r="E3361" s="21">
        <f>IFERROR(__xludf.DUMMYFUNCTION("""COMPUTED_VALUE"""),145359.0)</f>
        <v>145359</v>
      </c>
      <c r="F3361" s="21" t="str">
        <f>IFERROR(__xludf.DUMMYFUNCTION("""COMPUTED_VALUE"""),"PERDA")</f>
        <v>PERDA</v>
      </c>
      <c r="G3361" s="23">
        <f>IFERROR(__xludf.DUMMYFUNCTION("""COMPUTED_VALUE"""),45252.305983796294)</f>
        <v>45252.30598</v>
      </c>
      <c r="H3361" s="24" t="str">
        <f>IFERROR(VLOOKUP(B3361,material!A:D,3,0),"")</f>
        <v>CHIP</v>
      </c>
    </row>
    <row r="3362" ht="11.25" customHeight="1">
      <c r="A3362" s="21" t="str">
        <f>IFERROR(__xludf.DUMMYFUNCTION("""COMPUTED_VALUE"""),"SC BOPP 8NP NE 128KB AAC005 TRIPLE")</f>
        <v>SC BOPP 8NP NE 128KB AAC005 TRIPLE</v>
      </c>
      <c r="B3362" s="22">
        <f>IFERROR(__xludf.DUMMYFUNCTION("""COMPUTED_VALUE"""),23107.0)</f>
        <v>23107</v>
      </c>
      <c r="C3362" s="21" t="str">
        <f>IFERROR(__xludf.DUMMYFUNCTION("""COMPUTED_VALUE"""),"89550532880017022757")</f>
        <v>89550532880017022757</v>
      </c>
      <c r="D3362" s="21" t="str">
        <f>IFERROR(__xludf.DUMMYFUNCTION("""COMPUTED_VALUE"""),"DIGITEC TECNOLOGIA DIGITAL E REPRES")</f>
        <v>DIGITEC TECNOLOGIA DIGITAL E REPRES</v>
      </c>
      <c r="E3362" s="21">
        <f>IFERROR(__xludf.DUMMYFUNCTION("""COMPUTED_VALUE"""),145359.0)</f>
        <v>145359</v>
      </c>
      <c r="F3362" s="21" t="str">
        <f>IFERROR(__xludf.DUMMYFUNCTION("""COMPUTED_VALUE"""),"PERDA")</f>
        <v>PERDA</v>
      </c>
      <c r="G3362" s="23">
        <f>IFERROR(__xludf.DUMMYFUNCTION("""COMPUTED_VALUE"""),45252.30599537037)</f>
        <v>45252.306</v>
      </c>
      <c r="H3362" s="24" t="str">
        <f>IFERROR(VLOOKUP(B3362,material!A:D,3,0),"")</f>
        <v>CHIP</v>
      </c>
    </row>
    <row r="3363" ht="11.25" customHeight="1">
      <c r="A3363" s="21" t="str">
        <f>IFERROR(__xludf.DUMMYFUNCTION("""COMPUTED_VALUE"""),"SC BOPP 8NP NE 128KB AAC005 TRIPLE")</f>
        <v>SC BOPP 8NP NE 128KB AAC005 TRIPLE</v>
      </c>
      <c r="B3363" s="22">
        <f>IFERROR(__xludf.DUMMYFUNCTION("""COMPUTED_VALUE"""),23107.0)</f>
        <v>23107</v>
      </c>
      <c r="C3363" s="21" t="str">
        <f>IFERROR(__xludf.DUMMYFUNCTION("""COMPUTED_VALUE"""),"89550532880017022310")</f>
        <v>89550532880017022310</v>
      </c>
      <c r="D3363" s="21" t="str">
        <f>IFERROR(__xludf.DUMMYFUNCTION("""COMPUTED_VALUE"""),"DIGITEC TECNOLOGIA DIGITAL E REPRES")</f>
        <v>DIGITEC TECNOLOGIA DIGITAL E REPRES</v>
      </c>
      <c r="E3363" s="21">
        <f>IFERROR(__xludf.DUMMYFUNCTION("""COMPUTED_VALUE"""),145359.0)</f>
        <v>145359</v>
      </c>
      <c r="F3363" s="21" t="str">
        <f>IFERROR(__xludf.DUMMYFUNCTION("""COMPUTED_VALUE"""),"PERDA")</f>
        <v>PERDA</v>
      </c>
      <c r="G3363" s="23">
        <f>IFERROR(__xludf.DUMMYFUNCTION("""COMPUTED_VALUE"""),45252.30599537037)</f>
        <v>45252.306</v>
      </c>
      <c r="H3363" s="24" t="str">
        <f>IFERROR(VLOOKUP(B3363,material!A:D,3,0),"")</f>
        <v>CHIP</v>
      </c>
    </row>
    <row r="3364" ht="11.25" customHeight="1">
      <c r="A3364" s="21" t="str">
        <f>IFERROR(__xludf.DUMMYFUNCTION("""COMPUTED_VALUE"""),"SC BOPP 8NP NE 128KB AAC005 TRIPLE")</f>
        <v>SC BOPP 8NP NE 128KB AAC005 TRIPLE</v>
      </c>
      <c r="B3364" s="22">
        <f>IFERROR(__xludf.DUMMYFUNCTION("""COMPUTED_VALUE"""),23107.0)</f>
        <v>23107</v>
      </c>
      <c r="C3364" s="21" t="str">
        <f>IFERROR(__xludf.DUMMYFUNCTION("""COMPUTED_VALUE"""),"89550532890027462505")</f>
        <v>89550532890027462505</v>
      </c>
      <c r="D3364" s="21" t="str">
        <f>IFERROR(__xludf.DUMMYFUNCTION("""COMPUTED_VALUE"""),"DIGITEC TECNOLOGIA DIGITAL E REPRES")</f>
        <v>DIGITEC TECNOLOGIA DIGITAL E REPRES</v>
      </c>
      <c r="E3364" s="21">
        <f>IFERROR(__xludf.DUMMYFUNCTION("""COMPUTED_VALUE"""),145359.0)</f>
        <v>145359</v>
      </c>
      <c r="F3364" s="21" t="str">
        <f>IFERROR(__xludf.DUMMYFUNCTION("""COMPUTED_VALUE"""),"PERDA")</f>
        <v>PERDA</v>
      </c>
      <c r="G3364" s="23">
        <f>IFERROR(__xludf.DUMMYFUNCTION("""COMPUTED_VALUE"""),45252.30599537037)</f>
        <v>45252.306</v>
      </c>
      <c r="H3364" s="24" t="str">
        <f>IFERROR(VLOOKUP(B3364,material!A:D,3,0),"")</f>
        <v>CHIP</v>
      </c>
    </row>
    <row r="3365" ht="11.25" customHeight="1">
      <c r="A3365" s="21" t="str">
        <f>IFERROR(__xludf.DUMMYFUNCTION("""COMPUTED_VALUE"""),"SC BOPP 8NP NE 128KB AAC005 TRIPLE")</f>
        <v>SC BOPP 8NP NE 128KB AAC005 TRIPLE</v>
      </c>
      <c r="B3365" s="22">
        <f>IFERROR(__xludf.DUMMYFUNCTION("""COMPUTED_VALUE"""),23107.0)</f>
        <v>23107</v>
      </c>
      <c r="C3365" s="21" t="str">
        <f>IFERROR(__xludf.DUMMYFUNCTION("""COMPUTED_VALUE"""),"89550532890027462331")</f>
        <v>89550532890027462331</v>
      </c>
      <c r="D3365" s="21" t="str">
        <f>IFERROR(__xludf.DUMMYFUNCTION("""COMPUTED_VALUE"""),"DIGITEC TECNOLOGIA DIGITAL E REPRES")</f>
        <v>DIGITEC TECNOLOGIA DIGITAL E REPRES</v>
      </c>
      <c r="E3365" s="21">
        <f>IFERROR(__xludf.DUMMYFUNCTION("""COMPUTED_VALUE"""),145359.0)</f>
        <v>145359</v>
      </c>
      <c r="F3365" s="21" t="str">
        <f>IFERROR(__xludf.DUMMYFUNCTION("""COMPUTED_VALUE"""),"PERDA")</f>
        <v>PERDA</v>
      </c>
      <c r="G3365" s="23">
        <f>IFERROR(__xludf.DUMMYFUNCTION("""COMPUTED_VALUE"""),45252.30600694445)</f>
        <v>45252.30601</v>
      </c>
      <c r="H3365" s="24" t="str">
        <f>IFERROR(VLOOKUP(B3365,material!A:D,3,0),"")</f>
        <v>CHIP</v>
      </c>
    </row>
    <row r="3366" ht="11.25" customHeight="1">
      <c r="A3366" s="21" t="str">
        <f>IFERROR(__xludf.DUMMYFUNCTION("""COMPUTED_VALUE"""),"SC BOPP 8NP NE 128KB AAC005 TRIPLE")</f>
        <v>SC BOPP 8NP NE 128KB AAC005 TRIPLE</v>
      </c>
      <c r="B3366" s="22">
        <f>IFERROR(__xludf.DUMMYFUNCTION("""COMPUTED_VALUE"""),23107.0)</f>
        <v>23107</v>
      </c>
      <c r="C3366" s="21" t="str">
        <f>IFERROR(__xludf.DUMMYFUNCTION("""COMPUTED_VALUE"""),"89550532890027462240")</f>
        <v>89550532890027462240</v>
      </c>
      <c r="D3366" s="21" t="str">
        <f>IFERROR(__xludf.DUMMYFUNCTION("""COMPUTED_VALUE"""),"DIGITEC TECNOLOGIA DIGITAL E REPRES")</f>
        <v>DIGITEC TECNOLOGIA DIGITAL E REPRES</v>
      </c>
      <c r="E3366" s="21">
        <f>IFERROR(__xludf.DUMMYFUNCTION("""COMPUTED_VALUE"""),145359.0)</f>
        <v>145359</v>
      </c>
      <c r="F3366" s="21" t="str">
        <f>IFERROR(__xludf.DUMMYFUNCTION("""COMPUTED_VALUE"""),"PERDA")</f>
        <v>PERDA</v>
      </c>
      <c r="G3366" s="23">
        <f>IFERROR(__xludf.DUMMYFUNCTION("""COMPUTED_VALUE"""),45252.30599537037)</f>
        <v>45252.306</v>
      </c>
      <c r="H3366" s="24" t="str">
        <f>IFERROR(VLOOKUP(B3366,material!A:D,3,0),"")</f>
        <v>CHIP</v>
      </c>
    </row>
    <row r="3367" ht="11.25" customHeight="1">
      <c r="A3367" s="21" t="str">
        <f>IFERROR(__xludf.DUMMYFUNCTION("""COMPUTED_VALUE"""),"SC BOPP 8NP NE 128KB AAC005 TRIPLE")</f>
        <v>SC BOPP 8NP NE 128KB AAC005 TRIPLE</v>
      </c>
      <c r="B3367" s="22">
        <f>IFERROR(__xludf.DUMMYFUNCTION("""COMPUTED_VALUE"""),23107.0)</f>
        <v>23107</v>
      </c>
      <c r="C3367" s="21" t="str">
        <f>IFERROR(__xludf.DUMMYFUNCTION("""COMPUTED_VALUE"""),"89550532890028075876")</f>
        <v>89550532890028075876</v>
      </c>
      <c r="D3367" s="21" t="str">
        <f>IFERROR(__xludf.DUMMYFUNCTION("""COMPUTED_VALUE"""),"DIGITEC TECNOLOGIA DIGITAL E REPRES")</f>
        <v>DIGITEC TECNOLOGIA DIGITAL E REPRES</v>
      </c>
      <c r="E3367" s="21">
        <f>IFERROR(__xludf.DUMMYFUNCTION("""COMPUTED_VALUE"""),145359.0)</f>
        <v>145359</v>
      </c>
      <c r="F3367" s="21" t="str">
        <f>IFERROR(__xludf.DUMMYFUNCTION("""COMPUTED_VALUE"""),"PERDA")</f>
        <v>PERDA</v>
      </c>
      <c r="G3367" s="23">
        <f>IFERROR(__xludf.DUMMYFUNCTION("""COMPUTED_VALUE"""),45252.30599537037)</f>
        <v>45252.306</v>
      </c>
      <c r="H3367" s="24" t="str">
        <f>IFERROR(VLOOKUP(B3367,material!A:D,3,0),"")</f>
        <v>CHIP</v>
      </c>
    </row>
    <row r="3368" ht="11.25" customHeight="1">
      <c r="A3368" s="21" t="str">
        <f>IFERROR(__xludf.DUMMYFUNCTION("""COMPUTED_VALUE"""),"SC BOPP 8NP NE 128KB AAC005 TRIPLE")</f>
        <v>SC BOPP 8NP NE 128KB AAC005 TRIPLE</v>
      </c>
      <c r="B3368" s="22">
        <f>IFERROR(__xludf.DUMMYFUNCTION("""COMPUTED_VALUE"""),23107.0)</f>
        <v>23107</v>
      </c>
      <c r="C3368" s="21" t="str">
        <f>IFERROR(__xludf.DUMMYFUNCTION("""COMPUTED_VALUE"""),"89550532890028075850")</f>
        <v>89550532890028075850</v>
      </c>
      <c r="D3368" s="21" t="str">
        <f>IFERROR(__xludf.DUMMYFUNCTION("""COMPUTED_VALUE"""),"DIGITEC TECNOLOGIA DIGITAL E REPRES")</f>
        <v>DIGITEC TECNOLOGIA DIGITAL E REPRES</v>
      </c>
      <c r="E3368" s="21">
        <f>IFERROR(__xludf.DUMMYFUNCTION("""COMPUTED_VALUE"""),145359.0)</f>
        <v>145359</v>
      </c>
      <c r="F3368" s="21" t="str">
        <f>IFERROR(__xludf.DUMMYFUNCTION("""COMPUTED_VALUE"""),"PERDA")</f>
        <v>PERDA</v>
      </c>
      <c r="G3368" s="23">
        <f>IFERROR(__xludf.DUMMYFUNCTION("""COMPUTED_VALUE"""),45252.30599537037)</f>
        <v>45252.306</v>
      </c>
      <c r="H3368" s="24" t="str">
        <f>IFERROR(VLOOKUP(B3368,material!A:D,3,0),"")</f>
        <v>CHIP</v>
      </c>
    </row>
    <row r="3369" ht="11.25" customHeight="1">
      <c r="A3369" s="21" t="str">
        <f>IFERROR(__xludf.DUMMYFUNCTION("""COMPUTED_VALUE"""),"SC BOPP 8NP NE 128KB AAC005 TRIPLE")</f>
        <v>SC BOPP 8NP NE 128KB AAC005 TRIPLE</v>
      </c>
      <c r="B3369" s="22">
        <f>IFERROR(__xludf.DUMMYFUNCTION("""COMPUTED_VALUE"""),23107.0)</f>
        <v>23107</v>
      </c>
      <c r="C3369" s="21" t="str">
        <f>IFERROR(__xludf.DUMMYFUNCTION("""COMPUTED_VALUE"""),"89550532890027462612")</f>
        <v>89550532890027462612</v>
      </c>
      <c r="D3369" s="21" t="str">
        <f>IFERROR(__xludf.DUMMYFUNCTION("""COMPUTED_VALUE"""),"DIGITEC TECNOLOGIA DIGITAL E REPRES")</f>
        <v>DIGITEC TECNOLOGIA DIGITAL E REPRES</v>
      </c>
      <c r="E3369" s="21">
        <f>IFERROR(__xludf.DUMMYFUNCTION("""COMPUTED_VALUE"""),145359.0)</f>
        <v>145359</v>
      </c>
      <c r="F3369" s="21" t="str">
        <f>IFERROR(__xludf.DUMMYFUNCTION("""COMPUTED_VALUE"""),"PERDA")</f>
        <v>PERDA</v>
      </c>
      <c r="G3369" s="23">
        <f>IFERROR(__xludf.DUMMYFUNCTION("""COMPUTED_VALUE"""),45252.30599537037)</f>
        <v>45252.306</v>
      </c>
      <c r="H3369" s="24" t="str">
        <f>IFERROR(VLOOKUP(B3369,material!A:D,3,0),"")</f>
        <v>CHIP</v>
      </c>
    </row>
    <row r="3370" ht="11.25" customHeight="1">
      <c r="A3370" s="21" t="str">
        <f>IFERROR(__xludf.DUMMYFUNCTION("""COMPUTED_VALUE"""),"SC BOPP 8NP NE 128KB AAC005 TRIPLE")</f>
        <v>SC BOPP 8NP NE 128KB AAC005 TRIPLE</v>
      </c>
      <c r="B3370" s="22">
        <f>IFERROR(__xludf.DUMMYFUNCTION("""COMPUTED_VALUE"""),23107.0)</f>
        <v>23107</v>
      </c>
      <c r="C3370" s="21" t="str">
        <f>IFERROR(__xludf.DUMMYFUNCTION("""COMPUTED_VALUE"""),"89550532890027462620")</f>
        <v>89550532890027462620</v>
      </c>
      <c r="D3370" s="21" t="str">
        <f>IFERROR(__xludf.DUMMYFUNCTION("""COMPUTED_VALUE"""),"DIGITEC TECNOLOGIA DIGITAL E REPRES")</f>
        <v>DIGITEC TECNOLOGIA DIGITAL E REPRES</v>
      </c>
      <c r="E3370" s="21">
        <f>IFERROR(__xludf.DUMMYFUNCTION("""COMPUTED_VALUE"""),145359.0)</f>
        <v>145359</v>
      </c>
      <c r="F3370" s="21" t="str">
        <f>IFERROR(__xludf.DUMMYFUNCTION("""COMPUTED_VALUE"""),"PERDA")</f>
        <v>PERDA</v>
      </c>
      <c r="G3370" s="23">
        <f>IFERROR(__xludf.DUMMYFUNCTION("""COMPUTED_VALUE"""),45252.30599537037)</f>
        <v>45252.306</v>
      </c>
      <c r="H3370" s="24" t="str">
        <f>IFERROR(VLOOKUP(B3370,material!A:D,3,0),"")</f>
        <v>CHIP</v>
      </c>
    </row>
    <row r="3371" ht="11.25" customHeight="1">
      <c r="A3371" s="21" t="str">
        <f>IFERROR(__xludf.DUMMYFUNCTION("""COMPUTED_VALUE"""),"SC BOPP 8NP NE 128KB AAC005 TRIPLE")</f>
        <v>SC BOPP 8NP NE 128KB AAC005 TRIPLE</v>
      </c>
      <c r="B3371" s="22">
        <f>IFERROR(__xludf.DUMMYFUNCTION("""COMPUTED_VALUE"""),23107.0)</f>
        <v>23107</v>
      </c>
      <c r="C3371" s="21" t="str">
        <f>IFERROR(__xludf.DUMMYFUNCTION("""COMPUTED_VALUE"""),"89550532890027462638")</f>
        <v>89550532890027462638</v>
      </c>
      <c r="D3371" s="21" t="str">
        <f>IFERROR(__xludf.DUMMYFUNCTION("""COMPUTED_VALUE"""),"DIGITEC TECNOLOGIA DIGITAL E REPRES")</f>
        <v>DIGITEC TECNOLOGIA DIGITAL E REPRES</v>
      </c>
      <c r="E3371" s="21">
        <f>IFERROR(__xludf.DUMMYFUNCTION("""COMPUTED_VALUE"""),145359.0)</f>
        <v>145359</v>
      </c>
      <c r="F3371" s="21" t="str">
        <f>IFERROR(__xludf.DUMMYFUNCTION("""COMPUTED_VALUE"""),"PERDA")</f>
        <v>PERDA</v>
      </c>
      <c r="G3371" s="23">
        <f>IFERROR(__xludf.DUMMYFUNCTION("""COMPUTED_VALUE"""),45252.305983796294)</f>
        <v>45252.30598</v>
      </c>
      <c r="H3371" s="24" t="str">
        <f>IFERROR(VLOOKUP(B3371,material!A:D,3,0),"")</f>
        <v>CHIP</v>
      </c>
    </row>
    <row r="3372" ht="11.25" customHeight="1">
      <c r="A3372" s="21" t="str">
        <f>IFERROR(__xludf.DUMMYFUNCTION("""COMPUTED_VALUE"""),"SC BOPP 8NP NE 128KB AAC005 TRIPLE")</f>
        <v>SC BOPP 8NP NE 128KB AAC005 TRIPLE</v>
      </c>
      <c r="B3372" s="22">
        <f>IFERROR(__xludf.DUMMYFUNCTION("""COMPUTED_VALUE"""),23107.0)</f>
        <v>23107</v>
      </c>
      <c r="C3372" s="21" t="str">
        <f>IFERROR(__xludf.DUMMYFUNCTION("""COMPUTED_VALUE"""),"89550532890027462646")</f>
        <v>89550532890027462646</v>
      </c>
      <c r="D3372" s="21" t="str">
        <f>IFERROR(__xludf.DUMMYFUNCTION("""COMPUTED_VALUE"""),"DIGITEC TECNOLOGIA DIGITAL E REPRES")</f>
        <v>DIGITEC TECNOLOGIA DIGITAL E REPRES</v>
      </c>
      <c r="E3372" s="21">
        <f>IFERROR(__xludf.DUMMYFUNCTION("""COMPUTED_VALUE"""),145359.0)</f>
        <v>145359</v>
      </c>
      <c r="F3372" s="21" t="str">
        <f>IFERROR(__xludf.DUMMYFUNCTION("""COMPUTED_VALUE"""),"PERDA")</f>
        <v>PERDA</v>
      </c>
      <c r="G3372" s="23">
        <f>IFERROR(__xludf.DUMMYFUNCTION("""COMPUTED_VALUE"""),45252.30600694445)</f>
        <v>45252.30601</v>
      </c>
      <c r="H3372" s="24" t="str">
        <f>IFERROR(VLOOKUP(B3372,material!A:D,3,0),"")</f>
        <v>CHIP</v>
      </c>
    </row>
    <row r="3373" ht="11.25" customHeight="1">
      <c r="A3373" s="21" t="str">
        <f>IFERROR(__xludf.DUMMYFUNCTION("""COMPUTED_VALUE"""),"SC BOPP 8NP NE 128KB AAC005 TRIPLE")</f>
        <v>SC BOPP 8NP NE 128KB AAC005 TRIPLE</v>
      </c>
      <c r="B3373" s="22">
        <f>IFERROR(__xludf.DUMMYFUNCTION("""COMPUTED_VALUE"""),23107.0)</f>
        <v>23107</v>
      </c>
      <c r="C3373" s="21" t="str">
        <f>IFERROR(__xludf.DUMMYFUNCTION("""COMPUTED_VALUE"""),"89550532890027462653")</f>
        <v>89550532890027462653</v>
      </c>
      <c r="D3373" s="21" t="str">
        <f>IFERROR(__xludf.DUMMYFUNCTION("""COMPUTED_VALUE"""),"DIGITEC TECNOLOGIA DIGITAL E REPRES")</f>
        <v>DIGITEC TECNOLOGIA DIGITAL E REPRES</v>
      </c>
      <c r="E3373" s="21">
        <f>IFERROR(__xludf.DUMMYFUNCTION("""COMPUTED_VALUE"""),145359.0)</f>
        <v>145359</v>
      </c>
      <c r="F3373" s="21" t="str">
        <f>IFERROR(__xludf.DUMMYFUNCTION("""COMPUTED_VALUE"""),"PERDA")</f>
        <v>PERDA</v>
      </c>
      <c r="G3373" s="23">
        <f>IFERROR(__xludf.DUMMYFUNCTION("""COMPUTED_VALUE"""),45252.30599537037)</f>
        <v>45252.306</v>
      </c>
      <c r="H3373" s="24" t="str">
        <f>IFERROR(VLOOKUP(B3373,material!A:D,3,0),"")</f>
        <v>CHIP</v>
      </c>
    </row>
    <row r="3374" ht="11.25" customHeight="1">
      <c r="A3374" s="21" t="str">
        <f>IFERROR(__xludf.DUMMYFUNCTION("""COMPUTED_VALUE"""),"SC BOPP 8NP NE 128KB AAC005 TRIPLE")</f>
        <v>SC BOPP 8NP NE 128KB AAC005 TRIPLE</v>
      </c>
      <c r="B3374" s="22">
        <f>IFERROR(__xludf.DUMMYFUNCTION("""COMPUTED_VALUE"""),23107.0)</f>
        <v>23107</v>
      </c>
      <c r="C3374" s="21" t="str">
        <f>IFERROR(__xludf.DUMMYFUNCTION("""COMPUTED_VALUE"""),"89550532890027462661")</f>
        <v>89550532890027462661</v>
      </c>
      <c r="D3374" s="21" t="str">
        <f>IFERROR(__xludf.DUMMYFUNCTION("""COMPUTED_VALUE"""),"DIGITEC TECNOLOGIA DIGITAL E REPRES")</f>
        <v>DIGITEC TECNOLOGIA DIGITAL E REPRES</v>
      </c>
      <c r="E3374" s="21">
        <f>IFERROR(__xludf.DUMMYFUNCTION("""COMPUTED_VALUE"""),145359.0)</f>
        <v>145359</v>
      </c>
      <c r="F3374" s="21" t="str">
        <f>IFERROR(__xludf.DUMMYFUNCTION("""COMPUTED_VALUE"""),"PERDA")</f>
        <v>PERDA</v>
      </c>
      <c r="G3374" s="23">
        <f>IFERROR(__xludf.DUMMYFUNCTION("""COMPUTED_VALUE"""),45252.30599537037)</f>
        <v>45252.306</v>
      </c>
      <c r="H3374" s="24" t="str">
        <f>IFERROR(VLOOKUP(B3374,material!A:D,3,0),"")</f>
        <v>CHIP</v>
      </c>
    </row>
    <row r="3375" ht="11.25" customHeight="1">
      <c r="A3375" s="21" t="str">
        <f>IFERROR(__xludf.DUMMYFUNCTION("""COMPUTED_VALUE"""),"SC BOPP 8NP NE 128KB AAC005 TRIPLE")</f>
        <v>SC BOPP 8NP NE 128KB AAC005 TRIPLE</v>
      </c>
      <c r="B3375" s="22">
        <f>IFERROR(__xludf.DUMMYFUNCTION("""COMPUTED_VALUE"""),23107.0)</f>
        <v>23107</v>
      </c>
      <c r="C3375" s="21" t="str">
        <f>IFERROR(__xludf.DUMMYFUNCTION("""COMPUTED_VALUE"""),"89550532890027462679")</f>
        <v>89550532890027462679</v>
      </c>
      <c r="D3375" s="21" t="str">
        <f>IFERROR(__xludf.DUMMYFUNCTION("""COMPUTED_VALUE"""),"DIGITEC TECNOLOGIA DIGITAL E REPRES")</f>
        <v>DIGITEC TECNOLOGIA DIGITAL E REPRES</v>
      </c>
      <c r="E3375" s="21">
        <f>IFERROR(__xludf.DUMMYFUNCTION("""COMPUTED_VALUE"""),145359.0)</f>
        <v>145359</v>
      </c>
      <c r="F3375" s="21" t="str">
        <f>IFERROR(__xludf.DUMMYFUNCTION("""COMPUTED_VALUE"""),"PERDA")</f>
        <v>PERDA</v>
      </c>
      <c r="G3375" s="23">
        <f>IFERROR(__xludf.DUMMYFUNCTION("""COMPUTED_VALUE"""),45252.305983796294)</f>
        <v>45252.30598</v>
      </c>
      <c r="H3375" s="24" t="str">
        <f>IFERROR(VLOOKUP(B3375,material!A:D,3,0),"")</f>
        <v>CHIP</v>
      </c>
    </row>
    <row r="3376" ht="11.25" customHeight="1">
      <c r="A3376" s="21" t="str">
        <f>IFERROR(__xludf.DUMMYFUNCTION("""COMPUTED_VALUE"""),"SC BOPP 8NP NE 128KB AAC005 TRIPLE")</f>
        <v>SC BOPP 8NP NE 128KB AAC005 TRIPLE</v>
      </c>
      <c r="B3376" s="22">
        <f>IFERROR(__xludf.DUMMYFUNCTION("""COMPUTED_VALUE"""),23107.0)</f>
        <v>23107</v>
      </c>
      <c r="C3376" s="21" t="str">
        <f>IFERROR(__xludf.DUMMYFUNCTION("""COMPUTED_VALUE"""),"89550532890027462687")</f>
        <v>89550532890027462687</v>
      </c>
      <c r="D3376" s="21" t="str">
        <f>IFERROR(__xludf.DUMMYFUNCTION("""COMPUTED_VALUE"""),"DIGITEC TECNOLOGIA DIGITAL E REPRES")</f>
        <v>DIGITEC TECNOLOGIA DIGITAL E REPRES</v>
      </c>
      <c r="E3376" s="21">
        <f>IFERROR(__xludf.DUMMYFUNCTION("""COMPUTED_VALUE"""),145359.0)</f>
        <v>145359</v>
      </c>
      <c r="F3376" s="21" t="str">
        <f>IFERROR(__xludf.DUMMYFUNCTION("""COMPUTED_VALUE"""),"PERDA")</f>
        <v>PERDA</v>
      </c>
      <c r="G3376" s="23">
        <f>IFERROR(__xludf.DUMMYFUNCTION("""COMPUTED_VALUE"""),45252.30599537037)</f>
        <v>45252.306</v>
      </c>
      <c r="H3376" s="24" t="str">
        <f>IFERROR(VLOOKUP(B3376,material!A:D,3,0),"")</f>
        <v>CHIP</v>
      </c>
    </row>
    <row r="3377" ht="11.25" customHeight="1">
      <c r="A3377" s="21" t="str">
        <f>IFERROR(__xludf.DUMMYFUNCTION("""COMPUTED_VALUE"""),"SC BOPP 8NP NE 128KB AAC005 TRIPLE")</f>
        <v>SC BOPP 8NP NE 128KB AAC005 TRIPLE</v>
      </c>
      <c r="B3377" s="22">
        <f>IFERROR(__xludf.DUMMYFUNCTION("""COMPUTED_VALUE"""),23107.0)</f>
        <v>23107</v>
      </c>
      <c r="C3377" s="21" t="str">
        <f>IFERROR(__xludf.DUMMYFUNCTION("""COMPUTED_VALUE"""),"89550532890027462695")</f>
        <v>89550532890027462695</v>
      </c>
      <c r="D3377" s="21" t="str">
        <f>IFERROR(__xludf.DUMMYFUNCTION("""COMPUTED_VALUE"""),"DIGITEC TECNOLOGIA DIGITAL E REPRES")</f>
        <v>DIGITEC TECNOLOGIA DIGITAL E REPRES</v>
      </c>
      <c r="E3377" s="21">
        <f>IFERROR(__xludf.DUMMYFUNCTION("""COMPUTED_VALUE"""),145359.0)</f>
        <v>145359</v>
      </c>
      <c r="F3377" s="21" t="str">
        <f>IFERROR(__xludf.DUMMYFUNCTION("""COMPUTED_VALUE"""),"PERDA")</f>
        <v>PERDA</v>
      </c>
      <c r="G3377" s="23">
        <f>IFERROR(__xludf.DUMMYFUNCTION("""COMPUTED_VALUE"""),45252.305983796294)</f>
        <v>45252.30598</v>
      </c>
      <c r="H3377" s="24" t="str">
        <f>IFERROR(VLOOKUP(B3377,material!A:D,3,0),"")</f>
        <v>CHIP</v>
      </c>
    </row>
    <row r="3378" ht="11.25" customHeight="1">
      <c r="A3378" s="21" t="str">
        <f>IFERROR(__xludf.DUMMYFUNCTION("""COMPUTED_VALUE"""),"SC BOPP 8NP NE 128KB AAC005 TRIPLE")</f>
        <v>SC BOPP 8NP NE 128KB AAC005 TRIPLE</v>
      </c>
      <c r="B3378" s="22">
        <f>IFERROR(__xludf.DUMMYFUNCTION("""COMPUTED_VALUE"""),23107.0)</f>
        <v>23107</v>
      </c>
      <c r="C3378" s="21" t="str">
        <f>IFERROR(__xludf.DUMMYFUNCTION("""COMPUTED_VALUE"""),"89550532890027462703")</f>
        <v>89550532890027462703</v>
      </c>
      <c r="D3378" s="21" t="str">
        <f>IFERROR(__xludf.DUMMYFUNCTION("""COMPUTED_VALUE"""),"DIGITEC TECNOLOGIA DIGITAL E REPRES")</f>
        <v>DIGITEC TECNOLOGIA DIGITAL E REPRES</v>
      </c>
      <c r="E3378" s="21">
        <f>IFERROR(__xludf.DUMMYFUNCTION("""COMPUTED_VALUE"""),145359.0)</f>
        <v>145359</v>
      </c>
      <c r="F3378" s="21" t="str">
        <f>IFERROR(__xludf.DUMMYFUNCTION("""COMPUTED_VALUE"""),"PERDA")</f>
        <v>PERDA</v>
      </c>
      <c r="G3378" s="23">
        <f>IFERROR(__xludf.DUMMYFUNCTION("""COMPUTED_VALUE"""),45252.30599537037)</f>
        <v>45252.306</v>
      </c>
      <c r="H3378" s="24" t="str">
        <f>IFERROR(VLOOKUP(B3378,material!A:D,3,0),"")</f>
        <v>CHIP</v>
      </c>
    </row>
    <row r="3379" ht="11.25" customHeight="1">
      <c r="A3379" s="21" t="str">
        <f>IFERROR(__xludf.DUMMYFUNCTION("""COMPUTED_VALUE"""),"SC BOPP 8NP NE 128KB AAC005 TRIPLE")</f>
        <v>SC BOPP 8NP NE 128KB AAC005 TRIPLE</v>
      </c>
      <c r="B3379" s="22">
        <f>IFERROR(__xludf.DUMMYFUNCTION("""COMPUTED_VALUE"""),23107.0)</f>
        <v>23107</v>
      </c>
      <c r="C3379" s="21" t="str">
        <f>IFERROR(__xludf.DUMMYFUNCTION("""COMPUTED_VALUE"""),"89550532810047274466")</f>
        <v>89550532810047274466</v>
      </c>
      <c r="D3379" s="21" t="str">
        <f>IFERROR(__xludf.DUMMYFUNCTION("""COMPUTED_VALUE"""),"DIGITEC TECNOLOGIA DIGITAL E REPRES")</f>
        <v>DIGITEC TECNOLOGIA DIGITAL E REPRES</v>
      </c>
      <c r="E3379" s="21">
        <f>IFERROR(__xludf.DUMMYFUNCTION("""COMPUTED_VALUE"""),145359.0)</f>
        <v>145359</v>
      </c>
      <c r="F3379" s="21" t="str">
        <f>IFERROR(__xludf.DUMMYFUNCTION("""COMPUTED_VALUE"""),"PERDA")</f>
        <v>PERDA</v>
      </c>
      <c r="G3379" s="23">
        <f>IFERROR(__xludf.DUMMYFUNCTION("""COMPUTED_VALUE"""),45252.30599537037)</f>
        <v>45252.306</v>
      </c>
      <c r="H3379" s="24" t="str">
        <f>IFERROR(VLOOKUP(B3379,material!A:D,3,0),"")</f>
        <v>CHIP</v>
      </c>
    </row>
    <row r="3380" ht="11.25" customHeight="1">
      <c r="A3380" s="21" t="str">
        <f>IFERROR(__xludf.DUMMYFUNCTION("""COMPUTED_VALUE"""),"SC BOPP 8NP NE 128KB AAC005 TRIPLE")</f>
        <v>SC BOPP 8NP NE 128KB AAC005 TRIPLE</v>
      </c>
      <c r="B3380" s="22">
        <f>IFERROR(__xludf.DUMMYFUNCTION("""COMPUTED_VALUE"""),23107.0)</f>
        <v>23107</v>
      </c>
      <c r="C3380" s="21" t="str">
        <f>IFERROR(__xludf.DUMMYFUNCTION("""COMPUTED_VALUE"""),"89550532810047285645")</f>
        <v>89550532810047285645</v>
      </c>
      <c r="D3380" s="21" t="str">
        <f>IFERROR(__xludf.DUMMYFUNCTION("""COMPUTED_VALUE"""),"DIGITEC TECNOLOGIA DIGITAL E REPRES")</f>
        <v>DIGITEC TECNOLOGIA DIGITAL E REPRES</v>
      </c>
      <c r="E3380" s="21">
        <f>IFERROR(__xludf.DUMMYFUNCTION("""COMPUTED_VALUE"""),145359.0)</f>
        <v>145359</v>
      </c>
      <c r="F3380" s="21" t="str">
        <f>IFERROR(__xludf.DUMMYFUNCTION("""COMPUTED_VALUE"""),"PERDA")</f>
        <v>PERDA</v>
      </c>
      <c r="G3380" s="23">
        <f>IFERROR(__xludf.DUMMYFUNCTION("""COMPUTED_VALUE"""),45252.30599537037)</f>
        <v>45252.306</v>
      </c>
      <c r="H3380" s="24" t="str">
        <f>IFERROR(VLOOKUP(B3380,material!A:D,3,0),"")</f>
        <v>CHIP</v>
      </c>
    </row>
    <row r="3381" ht="11.25" customHeight="1">
      <c r="A3381" s="21" t="str">
        <f>IFERROR(__xludf.DUMMYFUNCTION("""COMPUTED_VALUE"""),"SC BOPP 8NP NE 128KB AAC005 TRIPLE")</f>
        <v>SC BOPP 8NP NE 128KB AAC005 TRIPLE</v>
      </c>
      <c r="B3381" s="22">
        <f>IFERROR(__xludf.DUMMYFUNCTION("""COMPUTED_VALUE"""),23107.0)</f>
        <v>23107</v>
      </c>
      <c r="C3381" s="21" t="str">
        <f>IFERROR(__xludf.DUMMYFUNCTION("""COMPUTED_VALUE"""),"89550532810047285637")</f>
        <v>89550532810047285637</v>
      </c>
      <c r="D3381" s="21" t="str">
        <f>IFERROR(__xludf.DUMMYFUNCTION("""COMPUTED_VALUE"""),"DIGITEC TECNOLOGIA DIGITAL E REPRES")</f>
        <v>DIGITEC TECNOLOGIA DIGITAL E REPRES</v>
      </c>
      <c r="E3381" s="21">
        <f>IFERROR(__xludf.DUMMYFUNCTION("""COMPUTED_VALUE"""),145359.0)</f>
        <v>145359</v>
      </c>
      <c r="F3381" s="21" t="str">
        <f>IFERROR(__xludf.DUMMYFUNCTION("""COMPUTED_VALUE"""),"PERDA")</f>
        <v>PERDA</v>
      </c>
      <c r="G3381" s="23">
        <f>IFERROR(__xludf.DUMMYFUNCTION("""COMPUTED_VALUE"""),45252.30599537037)</f>
        <v>45252.306</v>
      </c>
      <c r="H3381" s="24" t="str">
        <f>IFERROR(VLOOKUP(B3381,material!A:D,3,0),"")</f>
        <v>CHIP</v>
      </c>
    </row>
    <row r="3382" ht="11.25" customHeight="1">
      <c r="A3382" s="21" t="str">
        <f>IFERROR(__xludf.DUMMYFUNCTION("""COMPUTED_VALUE"""),"SC BOPP 8NP NE 128KB AAC005 TRIPLE")</f>
        <v>SC BOPP 8NP NE 128KB AAC005 TRIPLE</v>
      </c>
      <c r="B3382" s="22">
        <f>IFERROR(__xludf.DUMMYFUNCTION("""COMPUTED_VALUE"""),23107.0)</f>
        <v>23107</v>
      </c>
      <c r="C3382" s="21" t="str">
        <f>IFERROR(__xludf.DUMMYFUNCTION("""COMPUTED_VALUE"""),"89550532810047285629")</f>
        <v>89550532810047285629</v>
      </c>
      <c r="D3382" s="21" t="str">
        <f>IFERROR(__xludf.DUMMYFUNCTION("""COMPUTED_VALUE"""),"DIGITEC TECNOLOGIA DIGITAL E REPRES")</f>
        <v>DIGITEC TECNOLOGIA DIGITAL E REPRES</v>
      </c>
      <c r="E3382" s="21">
        <f>IFERROR(__xludf.DUMMYFUNCTION("""COMPUTED_VALUE"""),145359.0)</f>
        <v>145359</v>
      </c>
      <c r="F3382" s="21" t="str">
        <f>IFERROR(__xludf.DUMMYFUNCTION("""COMPUTED_VALUE"""),"PERDA")</f>
        <v>PERDA</v>
      </c>
      <c r="G3382" s="23">
        <f>IFERROR(__xludf.DUMMYFUNCTION("""COMPUTED_VALUE"""),45252.305983796294)</f>
        <v>45252.30598</v>
      </c>
      <c r="H3382" s="24" t="str">
        <f>IFERROR(VLOOKUP(B3382,material!A:D,3,0),"")</f>
        <v>CHIP</v>
      </c>
    </row>
    <row r="3383" ht="11.25" customHeight="1">
      <c r="A3383" s="21" t="str">
        <f>IFERROR(__xludf.DUMMYFUNCTION("""COMPUTED_VALUE"""),"SC BOPP 8NP NE 128KB AAC005 TRIPLE")</f>
        <v>SC BOPP 8NP NE 128KB AAC005 TRIPLE</v>
      </c>
      <c r="B3383" s="22">
        <f>IFERROR(__xludf.DUMMYFUNCTION("""COMPUTED_VALUE"""),23107.0)</f>
        <v>23107</v>
      </c>
      <c r="C3383" s="21" t="str">
        <f>IFERROR(__xludf.DUMMYFUNCTION("""COMPUTED_VALUE"""),"89550532810047285611")</f>
        <v>89550532810047285611</v>
      </c>
      <c r="D3383" s="21" t="str">
        <f>IFERROR(__xludf.DUMMYFUNCTION("""COMPUTED_VALUE"""),"DIGITEC TECNOLOGIA DIGITAL E REPRES")</f>
        <v>DIGITEC TECNOLOGIA DIGITAL E REPRES</v>
      </c>
      <c r="E3383" s="21">
        <f>IFERROR(__xludf.DUMMYFUNCTION("""COMPUTED_VALUE"""),145359.0)</f>
        <v>145359</v>
      </c>
      <c r="F3383" s="21" t="str">
        <f>IFERROR(__xludf.DUMMYFUNCTION("""COMPUTED_VALUE"""),"PERDA")</f>
        <v>PERDA</v>
      </c>
      <c r="G3383" s="23">
        <f>IFERROR(__xludf.DUMMYFUNCTION("""COMPUTED_VALUE"""),45252.30599537037)</f>
        <v>45252.306</v>
      </c>
      <c r="H3383" s="24" t="str">
        <f>IFERROR(VLOOKUP(B3383,material!A:D,3,0),"")</f>
        <v>CHIP</v>
      </c>
    </row>
    <row r="3384" ht="11.25" customHeight="1">
      <c r="A3384" s="21" t="str">
        <f>IFERROR(__xludf.DUMMYFUNCTION("""COMPUTED_VALUE"""),"SC BOPP 8NP NE 128KB AAC005 TRIPLE")</f>
        <v>SC BOPP 8NP NE 128KB AAC005 TRIPLE</v>
      </c>
      <c r="B3384" s="22">
        <f>IFERROR(__xludf.DUMMYFUNCTION("""COMPUTED_VALUE"""),23107.0)</f>
        <v>23107</v>
      </c>
      <c r="C3384" s="21" t="str">
        <f>IFERROR(__xludf.DUMMYFUNCTION("""COMPUTED_VALUE"""),"89550532810047285579")</f>
        <v>89550532810047285579</v>
      </c>
      <c r="D3384" s="21" t="str">
        <f>IFERROR(__xludf.DUMMYFUNCTION("""COMPUTED_VALUE"""),"DIGITEC TECNOLOGIA DIGITAL E REPRES")</f>
        <v>DIGITEC TECNOLOGIA DIGITAL E REPRES</v>
      </c>
      <c r="E3384" s="21">
        <f>IFERROR(__xludf.DUMMYFUNCTION("""COMPUTED_VALUE"""),145359.0)</f>
        <v>145359</v>
      </c>
      <c r="F3384" s="21" t="str">
        <f>IFERROR(__xludf.DUMMYFUNCTION("""COMPUTED_VALUE"""),"PERDA")</f>
        <v>PERDA</v>
      </c>
      <c r="G3384" s="23">
        <f>IFERROR(__xludf.DUMMYFUNCTION("""COMPUTED_VALUE"""),45252.30599537037)</f>
        <v>45252.306</v>
      </c>
      <c r="H3384" s="24" t="str">
        <f>IFERROR(VLOOKUP(B3384,material!A:D,3,0),"")</f>
        <v>CHIP</v>
      </c>
    </row>
    <row r="3385" ht="11.25" customHeight="1">
      <c r="A3385" s="21" t="str">
        <f>IFERROR(__xludf.DUMMYFUNCTION("""COMPUTED_VALUE"""),"SC BOPP 8NP NE 128KB AAC005 TRIPLE")</f>
        <v>SC BOPP 8NP NE 128KB AAC005 TRIPLE</v>
      </c>
      <c r="B3385" s="22">
        <f>IFERROR(__xludf.DUMMYFUNCTION("""COMPUTED_VALUE"""),23107.0)</f>
        <v>23107</v>
      </c>
      <c r="C3385" s="21" t="str">
        <f>IFERROR(__xludf.DUMMYFUNCTION("""COMPUTED_VALUE"""),"89550532890027461994")</f>
        <v>89550532890027461994</v>
      </c>
      <c r="D3385" s="21" t="str">
        <f>IFERROR(__xludf.DUMMYFUNCTION("""COMPUTED_VALUE"""),"DIGITEC TECNOLOGIA DIGITAL E REPRES")</f>
        <v>DIGITEC TECNOLOGIA DIGITAL E REPRES</v>
      </c>
      <c r="E3385" s="21">
        <f>IFERROR(__xludf.DUMMYFUNCTION("""COMPUTED_VALUE"""),145359.0)</f>
        <v>145359</v>
      </c>
      <c r="F3385" s="21" t="str">
        <f>IFERROR(__xludf.DUMMYFUNCTION("""COMPUTED_VALUE"""),"PERDA")</f>
        <v>PERDA</v>
      </c>
      <c r="G3385" s="23">
        <f>IFERROR(__xludf.DUMMYFUNCTION("""COMPUTED_VALUE"""),45252.30600694445)</f>
        <v>45252.30601</v>
      </c>
      <c r="H3385" s="24" t="str">
        <f>IFERROR(VLOOKUP(B3385,material!A:D,3,0),"")</f>
        <v>CHIP</v>
      </c>
    </row>
    <row r="3386" ht="11.25" customHeight="1">
      <c r="A3386" s="21" t="str">
        <f>IFERROR(__xludf.DUMMYFUNCTION("""COMPUTED_VALUE"""),"SC BOPP 8NP NE 128KB AAC005 TRIPLE")</f>
        <v>SC BOPP 8NP NE 128KB AAC005 TRIPLE</v>
      </c>
      <c r="B3386" s="22">
        <f>IFERROR(__xludf.DUMMYFUNCTION("""COMPUTED_VALUE"""),23107.0)</f>
        <v>23107</v>
      </c>
      <c r="C3386" s="21" t="str">
        <f>IFERROR(__xludf.DUMMYFUNCTION("""COMPUTED_VALUE"""),"89550532890027461002")</f>
        <v>89550532890027461002</v>
      </c>
      <c r="D3386" s="21" t="str">
        <f>IFERROR(__xludf.DUMMYFUNCTION("""COMPUTED_VALUE"""),"DIGITEC TECNOLOGIA DIGITAL E REPRES")</f>
        <v>DIGITEC TECNOLOGIA DIGITAL E REPRES</v>
      </c>
      <c r="E3386" s="21">
        <f>IFERROR(__xludf.DUMMYFUNCTION("""COMPUTED_VALUE"""),145359.0)</f>
        <v>145359</v>
      </c>
      <c r="F3386" s="21" t="str">
        <f>IFERROR(__xludf.DUMMYFUNCTION("""COMPUTED_VALUE"""),"PERDA")</f>
        <v>PERDA</v>
      </c>
      <c r="G3386" s="23">
        <f>IFERROR(__xludf.DUMMYFUNCTION("""COMPUTED_VALUE"""),45252.30600694445)</f>
        <v>45252.30601</v>
      </c>
      <c r="H3386" s="24" t="str">
        <f>IFERROR(VLOOKUP(B3386,material!A:D,3,0),"")</f>
        <v>CHIP</v>
      </c>
    </row>
    <row r="3387" ht="11.25" customHeight="1">
      <c r="A3387" s="21" t="str">
        <f>IFERROR(__xludf.DUMMYFUNCTION("""COMPUTED_VALUE"""),"SC BOPP 8NP NE 128KB AAC005 TRIPLE")</f>
        <v>SC BOPP 8NP NE 128KB AAC005 TRIPLE</v>
      </c>
      <c r="B3387" s="22">
        <f>IFERROR(__xludf.DUMMYFUNCTION("""COMPUTED_VALUE"""),23107.0)</f>
        <v>23107</v>
      </c>
      <c r="C3387" s="21" t="str">
        <f>IFERROR(__xludf.DUMMYFUNCTION("""COMPUTED_VALUE"""),"89550532890027460921")</f>
        <v>89550532890027460921</v>
      </c>
      <c r="D3387" s="21" t="str">
        <f>IFERROR(__xludf.DUMMYFUNCTION("""COMPUTED_VALUE"""),"DIGITEC TECNOLOGIA DIGITAL E REPRES")</f>
        <v>DIGITEC TECNOLOGIA DIGITAL E REPRES</v>
      </c>
      <c r="E3387" s="21">
        <f>IFERROR(__xludf.DUMMYFUNCTION("""COMPUTED_VALUE"""),145359.0)</f>
        <v>145359</v>
      </c>
      <c r="F3387" s="21" t="str">
        <f>IFERROR(__xludf.DUMMYFUNCTION("""COMPUTED_VALUE"""),"PERDA")</f>
        <v>PERDA</v>
      </c>
      <c r="G3387" s="23">
        <f>IFERROR(__xludf.DUMMYFUNCTION("""COMPUTED_VALUE"""),45252.305983796294)</f>
        <v>45252.30598</v>
      </c>
      <c r="H3387" s="24" t="str">
        <f>IFERROR(VLOOKUP(B3387,material!A:D,3,0),"")</f>
        <v>CHIP</v>
      </c>
    </row>
    <row r="3388" ht="11.25" customHeight="1">
      <c r="A3388" s="21" t="str">
        <f>IFERROR(__xludf.DUMMYFUNCTION("""COMPUTED_VALUE"""),"SC BOPP 8NP NE 128KB AAC005 TRIPLE")</f>
        <v>SC BOPP 8NP NE 128KB AAC005 TRIPLE</v>
      </c>
      <c r="B3388" s="22">
        <f>IFERROR(__xludf.DUMMYFUNCTION("""COMPUTED_VALUE"""),23107.0)</f>
        <v>23107</v>
      </c>
      <c r="C3388" s="21" t="str">
        <f>IFERROR(__xludf.DUMMYFUNCTION("""COMPUTED_VALUE"""),"89550532890027460830")</f>
        <v>89550532890027460830</v>
      </c>
      <c r="D3388" s="21" t="str">
        <f>IFERROR(__xludf.DUMMYFUNCTION("""COMPUTED_VALUE"""),"DIGITEC TECNOLOGIA DIGITAL E REPRES")</f>
        <v>DIGITEC TECNOLOGIA DIGITAL E REPRES</v>
      </c>
      <c r="E3388" s="21">
        <f>IFERROR(__xludf.DUMMYFUNCTION("""COMPUTED_VALUE"""),145359.0)</f>
        <v>145359</v>
      </c>
      <c r="F3388" s="21" t="str">
        <f>IFERROR(__xludf.DUMMYFUNCTION("""COMPUTED_VALUE"""),"PERDA")</f>
        <v>PERDA</v>
      </c>
      <c r="G3388" s="23">
        <f>IFERROR(__xludf.DUMMYFUNCTION("""COMPUTED_VALUE"""),45252.30599537037)</f>
        <v>45252.306</v>
      </c>
      <c r="H3388" s="24" t="str">
        <f>IFERROR(VLOOKUP(B3388,material!A:D,3,0),"")</f>
        <v>CHIP</v>
      </c>
    </row>
    <row r="3389" ht="11.25" customHeight="1">
      <c r="A3389" s="21" t="str">
        <f>IFERROR(__xludf.DUMMYFUNCTION("""COMPUTED_VALUE"""),"SC BOPP 8NP NE 128KB AAC005 TRIPLE")</f>
        <v>SC BOPP 8NP NE 128KB AAC005 TRIPLE</v>
      </c>
      <c r="B3389" s="22">
        <f>IFERROR(__xludf.DUMMYFUNCTION("""COMPUTED_VALUE"""),23107.0)</f>
        <v>23107</v>
      </c>
      <c r="C3389" s="21" t="str">
        <f>IFERROR(__xludf.DUMMYFUNCTION("""COMPUTED_VALUE"""),"89550532890027461432")</f>
        <v>89550532890027461432</v>
      </c>
      <c r="D3389" s="21" t="str">
        <f>IFERROR(__xludf.DUMMYFUNCTION("""COMPUTED_VALUE"""),"DIGITEC TECNOLOGIA DIGITAL E REPRES")</f>
        <v>DIGITEC TECNOLOGIA DIGITAL E REPRES</v>
      </c>
      <c r="E3389" s="21">
        <f>IFERROR(__xludf.DUMMYFUNCTION("""COMPUTED_VALUE"""),145359.0)</f>
        <v>145359</v>
      </c>
      <c r="F3389" s="21" t="str">
        <f>IFERROR(__xludf.DUMMYFUNCTION("""COMPUTED_VALUE"""),"PERDA")</f>
        <v>PERDA</v>
      </c>
      <c r="G3389" s="23">
        <f>IFERROR(__xludf.DUMMYFUNCTION("""COMPUTED_VALUE"""),45252.30599537037)</f>
        <v>45252.306</v>
      </c>
      <c r="H3389" s="24" t="str">
        <f>IFERROR(VLOOKUP(B3389,material!A:D,3,0),"")</f>
        <v>CHIP</v>
      </c>
    </row>
    <row r="3390" ht="11.25" customHeight="1">
      <c r="A3390" s="21" t="str">
        <f>IFERROR(__xludf.DUMMYFUNCTION("""COMPUTED_VALUE"""),"SC BOPP 8NP NE 128KB AAC005 TRIPLE")</f>
        <v>SC BOPP 8NP NE 128KB AAC005 TRIPLE</v>
      </c>
      <c r="B3390" s="22">
        <f>IFERROR(__xludf.DUMMYFUNCTION("""COMPUTED_VALUE"""),23107.0)</f>
        <v>23107</v>
      </c>
      <c r="C3390" s="21" t="str">
        <f>IFERROR(__xludf.DUMMYFUNCTION("""COMPUTED_VALUE"""),"89550532890027461267")</f>
        <v>89550532890027461267</v>
      </c>
      <c r="D3390" s="21" t="str">
        <f>IFERROR(__xludf.DUMMYFUNCTION("""COMPUTED_VALUE"""),"DIGITEC TECNOLOGIA DIGITAL E REPRES")</f>
        <v>DIGITEC TECNOLOGIA DIGITAL E REPRES</v>
      </c>
      <c r="E3390" s="21">
        <f>IFERROR(__xludf.DUMMYFUNCTION("""COMPUTED_VALUE"""),145359.0)</f>
        <v>145359</v>
      </c>
      <c r="F3390" s="21" t="str">
        <f>IFERROR(__xludf.DUMMYFUNCTION("""COMPUTED_VALUE"""),"PERDA")</f>
        <v>PERDA</v>
      </c>
      <c r="G3390" s="23">
        <f>IFERROR(__xludf.DUMMYFUNCTION("""COMPUTED_VALUE"""),45252.30600694445)</f>
        <v>45252.30601</v>
      </c>
      <c r="H3390" s="24" t="str">
        <f>IFERROR(VLOOKUP(B3390,material!A:D,3,0),"")</f>
        <v>CHIP</v>
      </c>
    </row>
    <row r="3391" ht="11.25" customHeight="1">
      <c r="A3391" s="21" t="str">
        <f>IFERROR(__xludf.DUMMYFUNCTION("""COMPUTED_VALUE"""),"SC BOPP 8NP NE 128KB AAC005 TRIPLE")</f>
        <v>SC BOPP 8NP NE 128KB AAC005 TRIPLE</v>
      </c>
      <c r="B3391" s="22">
        <f>IFERROR(__xludf.DUMMYFUNCTION("""COMPUTED_VALUE"""),23107.0)</f>
        <v>23107</v>
      </c>
      <c r="C3391" s="21" t="str">
        <f>IFERROR(__xludf.DUMMYFUNCTION("""COMPUTED_VALUE"""),"89550532890027461184")</f>
        <v>89550532890027461184</v>
      </c>
      <c r="D3391" s="21" t="str">
        <f>IFERROR(__xludf.DUMMYFUNCTION("""COMPUTED_VALUE"""),"DIGITEC TECNOLOGIA DIGITAL E REPRES")</f>
        <v>DIGITEC TECNOLOGIA DIGITAL E REPRES</v>
      </c>
      <c r="E3391" s="21">
        <f>IFERROR(__xludf.DUMMYFUNCTION("""COMPUTED_VALUE"""),145359.0)</f>
        <v>145359</v>
      </c>
      <c r="F3391" s="21" t="str">
        <f>IFERROR(__xludf.DUMMYFUNCTION("""COMPUTED_VALUE"""),"PERDA")</f>
        <v>PERDA</v>
      </c>
      <c r="G3391" s="23">
        <f>IFERROR(__xludf.DUMMYFUNCTION("""COMPUTED_VALUE"""),45252.305983796294)</f>
        <v>45252.30598</v>
      </c>
      <c r="H3391" s="24" t="str">
        <f>IFERROR(VLOOKUP(B3391,material!A:D,3,0),"")</f>
        <v>CHIP</v>
      </c>
    </row>
    <row r="3392" ht="11.25" customHeight="1">
      <c r="A3392" s="21" t="str">
        <f>IFERROR(__xludf.DUMMYFUNCTION("""COMPUTED_VALUE"""),"SC BOPP 8NP NE 128KB AAC005 TRIPLE")</f>
        <v>SC BOPP 8NP NE 128KB AAC005 TRIPLE</v>
      </c>
      <c r="B3392" s="22">
        <f>IFERROR(__xludf.DUMMYFUNCTION("""COMPUTED_VALUE"""),23107.0)</f>
        <v>23107</v>
      </c>
      <c r="C3392" s="21" t="str">
        <f>IFERROR(__xludf.DUMMYFUNCTION("""COMPUTED_VALUE"""),"89550532890028076692")</f>
        <v>89550532890028076692</v>
      </c>
      <c r="D3392" s="21" t="str">
        <f>IFERROR(__xludf.DUMMYFUNCTION("""COMPUTED_VALUE"""),"DIGITEC TECNOLOGIA DIGITAL E REPRES")</f>
        <v>DIGITEC TECNOLOGIA DIGITAL E REPRES</v>
      </c>
      <c r="E3392" s="21">
        <f>IFERROR(__xludf.DUMMYFUNCTION("""COMPUTED_VALUE"""),145359.0)</f>
        <v>145359</v>
      </c>
      <c r="F3392" s="21" t="str">
        <f>IFERROR(__xludf.DUMMYFUNCTION("""COMPUTED_VALUE"""),"PERDA")</f>
        <v>PERDA</v>
      </c>
      <c r="G3392" s="23">
        <f>IFERROR(__xludf.DUMMYFUNCTION("""COMPUTED_VALUE"""),45252.30599537037)</f>
        <v>45252.306</v>
      </c>
      <c r="H3392" s="24" t="str">
        <f>IFERROR(VLOOKUP(B3392,material!A:D,3,0),"")</f>
        <v>CHIP</v>
      </c>
    </row>
    <row r="3393" ht="11.25" customHeight="1">
      <c r="A3393" s="21" t="str">
        <f>IFERROR(__xludf.DUMMYFUNCTION("""COMPUTED_VALUE"""),"SC BOPP 8NP NE 128KB AAC005 TRIPLE")</f>
        <v>SC BOPP 8NP NE 128KB AAC005 TRIPLE</v>
      </c>
      <c r="B3393" s="22">
        <f>IFERROR(__xludf.DUMMYFUNCTION("""COMPUTED_VALUE"""),23107.0)</f>
        <v>23107</v>
      </c>
      <c r="C3393" s="21" t="str">
        <f>IFERROR(__xludf.DUMMYFUNCTION("""COMPUTED_VALUE"""),"89550532890028076601")</f>
        <v>89550532890028076601</v>
      </c>
      <c r="D3393" s="21" t="str">
        <f>IFERROR(__xludf.DUMMYFUNCTION("""COMPUTED_VALUE"""),"DIGITEC TECNOLOGIA DIGITAL E REPRES")</f>
        <v>DIGITEC TECNOLOGIA DIGITAL E REPRES</v>
      </c>
      <c r="E3393" s="21">
        <f>IFERROR(__xludf.DUMMYFUNCTION("""COMPUTED_VALUE"""),145359.0)</f>
        <v>145359</v>
      </c>
      <c r="F3393" s="21" t="str">
        <f>IFERROR(__xludf.DUMMYFUNCTION("""COMPUTED_VALUE"""),"PERDA")</f>
        <v>PERDA</v>
      </c>
      <c r="G3393" s="23">
        <f>IFERROR(__xludf.DUMMYFUNCTION("""COMPUTED_VALUE"""),45252.30599537037)</f>
        <v>45252.306</v>
      </c>
      <c r="H3393" s="24" t="str">
        <f>IFERROR(VLOOKUP(B3393,material!A:D,3,0),"")</f>
        <v>CHIP</v>
      </c>
    </row>
    <row r="3394" ht="11.25" customHeight="1">
      <c r="A3394" s="21" t="str">
        <f>IFERROR(__xludf.DUMMYFUNCTION("""COMPUTED_VALUE"""),"SC BOPP 8NP NE 128KB AAC005 TRIPLE")</f>
        <v>SC BOPP 8NP NE 128KB AAC005 TRIPLE</v>
      </c>
      <c r="B3394" s="22">
        <f>IFERROR(__xludf.DUMMYFUNCTION("""COMPUTED_VALUE"""),23107.0)</f>
        <v>23107</v>
      </c>
      <c r="C3394" s="21" t="str">
        <f>IFERROR(__xludf.DUMMYFUNCTION("""COMPUTED_VALUE"""),"89550532890028076593")</f>
        <v>89550532890028076593</v>
      </c>
      <c r="D3394" s="21" t="str">
        <f>IFERROR(__xludf.DUMMYFUNCTION("""COMPUTED_VALUE"""),"DIGITEC TECNOLOGIA DIGITAL E REPRES")</f>
        <v>DIGITEC TECNOLOGIA DIGITAL E REPRES</v>
      </c>
      <c r="E3394" s="21">
        <f>IFERROR(__xludf.DUMMYFUNCTION("""COMPUTED_VALUE"""),145359.0)</f>
        <v>145359</v>
      </c>
      <c r="F3394" s="21" t="str">
        <f>IFERROR(__xludf.DUMMYFUNCTION("""COMPUTED_VALUE"""),"PERDA")</f>
        <v>PERDA</v>
      </c>
      <c r="G3394" s="23">
        <f>IFERROR(__xludf.DUMMYFUNCTION("""COMPUTED_VALUE"""),45252.30599537037)</f>
        <v>45252.306</v>
      </c>
      <c r="H3394" s="24" t="str">
        <f>IFERROR(VLOOKUP(B3394,material!A:D,3,0),"")</f>
        <v>CHIP</v>
      </c>
    </row>
    <row r="3395" ht="11.25" customHeight="1">
      <c r="A3395" s="21" t="str">
        <f>IFERROR(__xludf.DUMMYFUNCTION("""COMPUTED_VALUE"""),"SC BOPP 8NP NE 128KB AAC005 TRIPLE")</f>
        <v>SC BOPP 8NP NE 128KB AAC005 TRIPLE</v>
      </c>
      <c r="B3395" s="22">
        <f>IFERROR(__xludf.DUMMYFUNCTION("""COMPUTED_VALUE"""),23107.0)</f>
        <v>23107</v>
      </c>
      <c r="C3395" s="21" t="str">
        <f>IFERROR(__xludf.DUMMYFUNCTION("""COMPUTED_VALUE"""),"89550532890028076536")</f>
        <v>89550532890028076536</v>
      </c>
      <c r="D3395" s="21" t="str">
        <f>IFERROR(__xludf.DUMMYFUNCTION("""COMPUTED_VALUE"""),"DIGITEC TECNOLOGIA DIGITAL E REPRES")</f>
        <v>DIGITEC TECNOLOGIA DIGITAL E REPRES</v>
      </c>
      <c r="E3395" s="21">
        <f>IFERROR(__xludf.DUMMYFUNCTION("""COMPUTED_VALUE"""),145359.0)</f>
        <v>145359</v>
      </c>
      <c r="F3395" s="21" t="str">
        <f>IFERROR(__xludf.DUMMYFUNCTION("""COMPUTED_VALUE"""),"PERDA")</f>
        <v>PERDA</v>
      </c>
      <c r="G3395" s="23">
        <f>IFERROR(__xludf.DUMMYFUNCTION("""COMPUTED_VALUE"""),45252.30599537037)</f>
        <v>45252.306</v>
      </c>
      <c r="H3395" s="24" t="str">
        <f>IFERROR(VLOOKUP(B3395,material!A:D,3,0),"")</f>
        <v>CHIP</v>
      </c>
    </row>
    <row r="3396" ht="11.25" customHeight="1">
      <c r="A3396" s="21" t="str">
        <f>IFERROR(__xludf.DUMMYFUNCTION("""COMPUTED_VALUE"""),"SC BOPP 8NP NE 128KB AAC005 TRIPLE")</f>
        <v>SC BOPP 8NP NE 128KB AAC005 TRIPLE</v>
      </c>
      <c r="B3396" s="22">
        <f>IFERROR(__xludf.DUMMYFUNCTION("""COMPUTED_VALUE"""),23107.0)</f>
        <v>23107</v>
      </c>
      <c r="C3396" s="21" t="str">
        <f>IFERROR(__xludf.DUMMYFUNCTION("""COMPUTED_VALUE"""),"89550532880018451898")</f>
        <v>89550532880018451898</v>
      </c>
      <c r="D3396" s="21" t="str">
        <f>IFERROR(__xludf.DUMMYFUNCTION("""COMPUTED_VALUE"""),"DIGITEC TECNOLOGIA DIGITAL E REPRES")</f>
        <v>DIGITEC TECNOLOGIA DIGITAL E REPRES</v>
      </c>
      <c r="E3396" s="21">
        <f>IFERROR(__xludf.DUMMYFUNCTION("""COMPUTED_VALUE"""),145359.0)</f>
        <v>145359</v>
      </c>
      <c r="F3396" s="21" t="str">
        <f>IFERROR(__xludf.DUMMYFUNCTION("""COMPUTED_VALUE"""),"PERDA")</f>
        <v>PERDA</v>
      </c>
      <c r="G3396" s="23">
        <f>IFERROR(__xludf.DUMMYFUNCTION("""COMPUTED_VALUE"""),45252.305983796294)</f>
        <v>45252.30598</v>
      </c>
      <c r="H3396" s="24" t="str">
        <f>IFERROR(VLOOKUP(B3396,material!A:D,3,0),"")</f>
        <v>CHIP</v>
      </c>
    </row>
    <row r="3397" ht="11.25" customHeight="1">
      <c r="A3397" s="21" t="str">
        <f>IFERROR(__xludf.DUMMYFUNCTION("""COMPUTED_VALUE"""),"SC BOPP 8NP NE 128KB AAC005 TRIPLE")</f>
        <v>SC BOPP 8NP NE 128KB AAC005 TRIPLE</v>
      </c>
      <c r="B3397" s="22">
        <f>IFERROR(__xludf.DUMMYFUNCTION("""COMPUTED_VALUE"""),23107.0)</f>
        <v>23107</v>
      </c>
      <c r="C3397" s="21" t="str">
        <f>IFERROR(__xludf.DUMMYFUNCTION("""COMPUTED_VALUE"""),"89550532880018451815")</f>
        <v>89550532880018451815</v>
      </c>
      <c r="D3397" s="21" t="str">
        <f>IFERROR(__xludf.DUMMYFUNCTION("""COMPUTED_VALUE"""),"DIGITEC TECNOLOGIA DIGITAL E REPRES")</f>
        <v>DIGITEC TECNOLOGIA DIGITAL E REPRES</v>
      </c>
      <c r="E3397" s="21">
        <f>IFERROR(__xludf.DUMMYFUNCTION("""COMPUTED_VALUE"""),145359.0)</f>
        <v>145359</v>
      </c>
      <c r="F3397" s="21" t="str">
        <f>IFERROR(__xludf.DUMMYFUNCTION("""COMPUTED_VALUE"""),"PERDA")</f>
        <v>PERDA</v>
      </c>
      <c r="G3397" s="23">
        <f>IFERROR(__xludf.DUMMYFUNCTION("""COMPUTED_VALUE"""),45252.305983796294)</f>
        <v>45252.30598</v>
      </c>
      <c r="H3397" s="24" t="str">
        <f>IFERROR(VLOOKUP(B3397,material!A:D,3,0),"")</f>
        <v>CHIP</v>
      </c>
    </row>
    <row r="3398" ht="11.25" customHeight="1">
      <c r="A3398" s="21" t="str">
        <f>IFERROR(__xludf.DUMMYFUNCTION("""COMPUTED_VALUE"""),"SC BOPP 8NP NE 128KB AAC005 TRIPLE")</f>
        <v>SC BOPP 8NP NE 128KB AAC005 TRIPLE</v>
      </c>
      <c r="B3398" s="22">
        <f>IFERROR(__xludf.DUMMYFUNCTION("""COMPUTED_VALUE"""),23107.0)</f>
        <v>23107</v>
      </c>
      <c r="C3398" s="21" t="str">
        <f>IFERROR(__xludf.DUMMYFUNCTION("""COMPUTED_VALUE"""),"89550532880018451690")</f>
        <v>89550532880018451690</v>
      </c>
      <c r="D3398" s="21" t="str">
        <f>IFERROR(__xludf.DUMMYFUNCTION("""COMPUTED_VALUE"""),"DIGITEC TECNOLOGIA DIGITAL E REPRES")</f>
        <v>DIGITEC TECNOLOGIA DIGITAL E REPRES</v>
      </c>
      <c r="E3398" s="21">
        <f>IFERROR(__xludf.DUMMYFUNCTION("""COMPUTED_VALUE"""),145359.0)</f>
        <v>145359</v>
      </c>
      <c r="F3398" s="21" t="str">
        <f>IFERROR(__xludf.DUMMYFUNCTION("""COMPUTED_VALUE"""),"PERDA")</f>
        <v>PERDA</v>
      </c>
      <c r="G3398" s="23">
        <f>IFERROR(__xludf.DUMMYFUNCTION("""COMPUTED_VALUE"""),45252.30599537037)</f>
        <v>45252.306</v>
      </c>
      <c r="H3398" s="24" t="str">
        <f>IFERROR(VLOOKUP(B3398,material!A:D,3,0),"")</f>
        <v>CHIP</v>
      </c>
    </row>
    <row r="3399" ht="11.25" customHeight="1">
      <c r="A3399" s="21" t="str">
        <f>IFERROR(__xludf.DUMMYFUNCTION("""COMPUTED_VALUE"""),"SC BOPP 8NP NE 128KB AAC005 TRIPLE")</f>
        <v>SC BOPP 8NP NE 128KB AAC005 TRIPLE</v>
      </c>
      <c r="B3399" s="22">
        <f>IFERROR(__xludf.DUMMYFUNCTION("""COMPUTED_VALUE"""),23107.0)</f>
        <v>23107</v>
      </c>
      <c r="C3399" s="21" t="str">
        <f>IFERROR(__xludf.DUMMYFUNCTION("""COMPUTED_VALUE"""),"89550532880018452136")</f>
        <v>89550532880018452136</v>
      </c>
      <c r="D3399" s="21" t="str">
        <f>IFERROR(__xludf.DUMMYFUNCTION("""COMPUTED_VALUE"""),"DIGITEC TECNOLOGIA DIGITAL E REPRES")</f>
        <v>DIGITEC TECNOLOGIA DIGITAL E REPRES</v>
      </c>
      <c r="E3399" s="21">
        <f>IFERROR(__xludf.DUMMYFUNCTION("""COMPUTED_VALUE"""),145359.0)</f>
        <v>145359</v>
      </c>
      <c r="F3399" s="21" t="str">
        <f>IFERROR(__xludf.DUMMYFUNCTION("""COMPUTED_VALUE"""),"PERDA")</f>
        <v>PERDA</v>
      </c>
      <c r="G3399" s="23">
        <f>IFERROR(__xludf.DUMMYFUNCTION("""COMPUTED_VALUE"""),45252.30600694445)</f>
        <v>45252.30601</v>
      </c>
      <c r="H3399" s="24" t="str">
        <f>IFERROR(VLOOKUP(B3399,material!A:D,3,0),"")</f>
        <v>CHIP</v>
      </c>
    </row>
    <row r="3400" ht="11.25" customHeight="1">
      <c r="A3400" s="21" t="str">
        <f>IFERROR(__xludf.DUMMYFUNCTION("""COMPUTED_VALUE"""),"SC BOPP 8NP NE 128KB AAC005 TRIPLE")</f>
        <v>SC BOPP 8NP NE 128KB AAC005 TRIPLE</v>
      </c>
      <c r="B3400" s="22">
        <f>IFERROR(__xludf.DUMMYFUNCTION("""COMPUTED_VALUE"""),23107.0)</f>
        <v>23107</v>
      </c>
      <c r="C3400" s="21" t="str">
        <f>IFERROR(__xludf.DUMMYFUNCTION("""COMPUTED_VALUE"""),"89550532880018451963")</f>
        <v>89550532880018451963</v>
      </c>
      <c r="D3400" s="21" t="str">
        <f>IFERROR(__xludf.DUMMYFUNCTION("""COMPUTED_VALUE"""),"DIGITEC TECNOLOGIA DIGITAL E REPRES")</f>
        <v>DIGITEC TECNOLOGIA DIGITAL E REPRES</v>
      </c>
      <c r="E3400" s="21">
        <f>IFERROR(__xludf.DUMMYFUNCTION("""COMPUTED_VALUE"""),145359.0)</f>
        <v>145359</v>
      </c>
      <c r="F3400" s="21" t="str">
        <f>IFERROR(__xludf.DUMMYFUNCTION("""COMPUTED_VALUE"""),"PERDA")</f>
        <v>PERDA</v>
      </c>
      <c r="G3400" s="23">
        <f>IFERROR(__xludf.DUMMYFUNCTION("""COMPUTED_VALUE"""),45471.70550925926)</f>
        <v>45471.70551</v>
      </c>
      <c r="H3400" s="24" t="str">
        <f>IFERROR(VLOOKUP(B3400,material!A:D,3,0),"")</f>
        <v>CHIP</v>
      </c>
    </row>
    <row r="3401" ht="11.25" customHeight="1">
      <c r="A3401" s="21" t="str">
        <f>IFERROR(__xludf.DUMMYFUNCTION("""COMPUTED_VALUE"""),"SC BOPP 8NP NE 128KB AAC005 TRIPLE")</f>
        <v>SC BOPP 8NP NE 128KB AAC005 TRIPLE</v>
      </c>
      <c r="B3401" s="22">
        <f>IFERROR(__xludf.DUMMYFUNCTION("""COMPUTED_VALUE"""),23107.0)</f>
        <v>23107</v>
      </c>
      <c r="C3401" s="21" t="str">
        <f>IFERROR(__xludf.DUMMYFUNCTION("""COMPUTED_VALUE"""),"89550532890028092301")</f>
        <v>89550532890028092301</v>
      </c>
      <c r="D3401" s="21" t="str">
        <f>IFERROR(__xludf.DUMMYFUNCTION("""COMPUTED_VALUE"""),"DIGITEC TECNOLOGIA DIGITAL E REPRES")</f>
        <v>DIGITEC TECNOLOGIA DIGITAL E REPRES</v>
      </c>
      <c r="E3401" s="21">
        <f>IFERROR(__xludf.DUMMYFUNCTION("""COMPUTED_VALUE"""),145359.0)</f>
        <v>145359</v>
      </c>
      <c r="F3401" s="21" t="str">
        <f>IFERROR(__xludf.DUMMYFUNCTION("""COMPUTED_VALUE"""),"PERDA")</f>
        <v>PERDA</v>
      </c>
      <c r="G3401" s="23">
        <f>IFERROR(__xludf.DUMMYFUNCTION("""COMPUTED_VALUE"""),45252.30599537037)</f>
        <v>45252.306</v>
      </c>
      <c r="H3401" s="24" t="str">
        <f>IFERROR(VLOOKUP(B3401,material!A:D,3,0),"")</f>
        <v>CHIP</v>
      </c>
    </row>
    <row r="3402" ht="11.25" customHeight="1">
      <c r="A3402" s="21" t="str">
        <f>IFERROR(__xludf.DUMMYFUNCTION("""COMPUTED_VALUE"""),"SC BOPP 8NP NE 128KB AAC005 TRIPLE")</f>
        <v>SC BOPP 8NP NE 128KB AAC005 TRIPLE</v>
      </c>
      <c r="B3402" s="22">
        <f>IFERROR(__xludf.DUMMYFUNCTION("""COMPUTED_VALUE"""),23107.0)</f>
        <v>23107</v>
      </c>
      <c r="C3402" s="21" t="str">
        <f>IFERROR(__xludf.DUMMYFUNCTION("""COMPUTED_VALUE"""),"89550532890028092293")</f>
        <v>89550532890028092293</v>
      </c>
      <c r="D3402" s="21" t="str">
        <f>IFERROR(__xludf.DUMMYFUNCTION("""COMPUTED_VALUE"""),"DIGITEC TECNOLOGIA DIGITAL E REPRES")</f>
        <v>DIGITEC TECNOLOGIA DIGITAL E REPRES</v>
      </c>
      <c r="E3402" s="21">
        <f>IFERROR(__xludf.DUMMYFUNCTION("""COMPUTED_VALUE"""),145359.0)</f>
        <v>145359</v>
      </c>
      <c r="F3402" s="21" t="str">
        <f>IFERROR(__xludf.DUMMYFUNCTION("""COMPUTED_VALUE"""),"PERDA")</f>
        <v>PERDA</v>
      </c>
      <c r="G3402" s="23">
        <f>IFERROR(__xludf.DUMMYFUNCTION("""COMPUTED_VALUE"""),45252.30599537037)</f>
        <v>45252.306</v>
      </c>
      <c r="H3402" s="24" t="str">
        <f>IFERROR(VLOOKUP(B3402,material!A:D,3,0),"")</f>
        <v>CHIP</v>
      </c>
    </row>
    <row r="3403" ht="11.25" customHeight="1">
      <c r="A3403" s="21" t="str">
        <f>IFERROR(__xludf.DUMMYFUNCTION("""COMPUTED_VALUE"""),"SC BOPP 8NP NE 128KB AAC005 TRIPLE")</f>
        <v>SC BOPP 8NP NE 128KB AAC005 TRIPLE</v>
      </c>
      <c r="B3403" s="22">
        <f>IFERROR(__xludf.DUMMYFUNCTION("""COMPUTED_VALUE"""),23107.0)</f>
        <v>23107</v>
      </c>
      <c r="C3403" s="21" t="str">
        <f>IFERROR(__xludf.DUMMYFUNCTION("""COMPUTED_VALUE"""),"89550532890028092285")</f>
        <v>89550532890028092285</v>
      </c>
      <c r="D3403" s="21" t="str">
        <f>IFERROR(__xludf.DUMMYFUNCTION("""COMPUTED_VALUE"""),"DIGITEC TECNOLOGIA DIGITAL E REPRES")</f>
        <v>DIGITEC TECNOLOGIA DIGITAL E REPRES</v>
      </c>
      <c r="E3403" s="21">
        <f>IFERROR(__xludf.DUMMYFUNCTION("""COMPUTED_VALUE"""),145359.0)</f>
        <v>145359</v>
      </c>
      <c r="F3403" s="21" t="str">
        <f>IFERROR(__xludf.DUMMYFUNCTION("""COMPUTED_VALUE"""),"PERDA")</f>
        <v>PERDA</v>
      </c>
      <c r="G3403" s="23">
        <f>IFERROR(__xludf.DUMMYFUNCTION("""COMPUTED_VALUE"""),45252.305983796294)</f>
        <v>45252.30598</v>
      </c>
      <c r="H3403" s="24" t="str">
        <f>IFERROR(VLOOKUP(B3403,material!A:D,3,0),"")</f>
        <v>CHIP</v>
      </c>
    </row>
    <row r="3404" ht="11.25" customHeight="1">
      <c r="A3404" s="21" t="str">
        <f>IFERROR(__xludf.DUMMYFUNCTION("""COMPUTED_VALUE"""),"SC BOPP 8NP NE 128KB AAC005 TRIPLE")</f>
        <v>SC BOPP 8NP NE 128KB AAC005 TRIPLE</v>
      </c>
      <c r="B3404" s="22">
        <f>IFERROR(__xludf.DUMMYFUNCTION("""COMPUTED_VALUE"""),23107.0)</f>
        <v>23107</v>
      </c>
      <c r="C3404" s="21" t="str">
        <f>IFERROR(__xludf.DUMMYFUNCTION("""COMPUTED_VALUE"""),"89550532890028092632")</f>
        <v>89550532890028092632</v>
      </c>
      <c r="D3404" s="21" t="str">
        <f>IFERROR(__xludf.DUMMYFUNCTION("""COMPUTED_VALUE"""),"DIGITEC TECNOLOGIA DIGITAL E REPRES")</f>
        <v>DIGITEC TECNOLOGIA DIGITAL E REPRES</v>
      </c>
      <c r="E3404" s="21">
        <f>IFERROR(__xludf.DUMMYFUNCTION("""COMPUTED_VALUE"""),145359.0)</f>
        <v>145359</v>
      </c>
      <c r="F3404" s="21" t="str">
        <f>IFERROR(__xludf.DUMMYFUNCTION("""COMPUTED_VALUE"""),"PERDA")</f>
        <v>PERDA</v>
      </c>
      <c r="G3404" s="23">
        <f>IFERROR(__xludf.DUMMYFUNCTION("""COMPUTED_VALUE"""),45252.30599537037)</f>
        <v>45252.306</v>
      </c>
      <c r="H3404" s="24" t="str">
        <f>IFERROR(VLOOKUP(B3404,material!A:D,3,0),"")</f>
        <v>CHIP</v>
      </c>
    </row>
    <row r="3405" ht="11.25" customHeight="1">
      <c r="A3405" s="21" t="str">
        <f>IFERROR(__xludf.DUMMYFUNCTION("""COMPUTED_VALUE"""),"SC BOPP 8NP NE 128KB AAC005 TRIPLE")</f>
        <v>SC BOPP 8NP NE 128KB AAC005 TRIPLE</v>
      </c>
      <c r="B3405" s="22">
        <f>IFERROR(__xludf.DUMMYFUNCTION("""COMPUTED_VALUE"""),23107.0)</f>
        <v>23107</v>
      </c>
      <c r="C3405" s="21" t="str">
        <f>IFERROR(__xludf.DUMMYFUNCTION("""COMPUTED_VALUE"""),"89550532890028092624")</f>
        <v>89550532890028092624</v>
      </c>
      <c r="D3405" s="21" t="str">
        <f>IFERROR(__xludf.DUMMYFUNCTION("""COMPUTED_VALUE"""),"DIGITEC TECNOLOGIA DIGITAL E REPRES")</f>
        <v>DIGITEC TECNOLOGIA DIGITAL E REPRES</v>
      </c>
      <c r="E3405" s="21">
        <f>IFERROR(__xludf.DUMMYFUNCTION("""COMPUTED_VALUE"""),145359.0)</f>
        <v>145359</v>
      </c>
      <c r="F3405" s="21" t="str">
        <f>IFERROR(__xludf.DUMMYFUNCTION("""COMPUTED_VALUE"""),"PERDA")</f>
        <v>PERDA</v>
      </c>
      <c r="G3405" s="23">
        <f>IFERROR(__xludf.DUMMYFUNCTION("""COMPUTED_VALUE"""),45252.30599537037)</f>
        <v>45252.306</v>
      </c>
      <c r="H3405" s="24" t="str">
        <f>IFERROR(VLOOKUP(B3405,material!A:D,3,0),"")</f>
        <v>CHIP</v>
      </c>
    </row>
    <row r="3406" ht="11.25" customHeight="1">
      <c r="A3406" s="21" t="str">
        <f>IFERROR(__xludf.DUMMYFUNCTION("""COMPUTED_VALUE"""),"SC BOPP 8NP NE 128KB AAC005 TRIPLE")</f>
        <v>SC BOPP 8NP NE 128KB AAC005 TRIPLE</v>
      </c>
      <c r="B3406" s="22">
        <f>IFERROR(__xludf.DUMMYFUNCTION("""COMPUTED_VALUE"""),23107.0)</f>
        <v>23107</v>
      </c>
      <c r="C3406" s="21" t="str">
        <f>IFERROR(__xludf.DUMMYFUNCTION("""COMPUTED_VALUE"""),"89550532810048307554")</f>
        <v>89550532810048307554</v>
      </c>
      <c r="D3406" s="21" t="str">
        <f>IFERROR(__xludf.DUMMYFUNCTION("""COMPUTED_VALUE"""),"DIGITEC TECNOLOGIA DIGITAL E REPRES")</f>
        <v>DIGITEC TECNOLOGIA DIGITAL E REPRES</v>
      </c>
      <c r="E3406" s="21">
        <f>IFERROR(__xludf.DUMMYFUNCTION("""COMPUTED_VALUE"""),145359.0)</f>
        <v>145359</v>
      </c>
      <c r="F3406" s="21" t="str">
        <f>IFERROR(__xludf.DUMMYFUNCTION("""COMPUTED_VALUE"""),"PERDA")</f>
        <v>PERDA</v>
      </c>
      <c r="G3406" s="23">
        <f>IFERROR(__xludf.DUMMYFUNCTION("""COMPUTED_VALUE"""),45252.30599537037)</f>
        <v>45252.306</v>
      </c>
      <c r="H3406" s="24" t="str">
        <f>IFERROR(VLOOKUP(B3406,material!A:D,3,0),"")</f>
        <v>CHIP</v>
      </c>
    </row>
    <row r="3407" ht="11.25" customHeight="1">
      <c r="A3407" s="21" t="str">
        <f>IFERROR(__xludf.DUMMYFUNCTION("""COMPUTED_VALUE"""),"SC BOPP 8NP NE 128KB AAC005 TRIPLE")</f>
        <v>SC BOPP 8NP NE 128KB AAC005 TRIPLE</v>
      </c>
      <c r="B3407" s="22">
        <f>IFERROR(__xludf.DUMMYFUNCTION("""COMPUTED_VALUE"""),23107.0)</f>
        <v>23107</v>
      </c>
      <c r="C3407" s="21" t="str">
        <f>IFERROR(__xludf.DUMMYFUNCTION("""COMPUTED_VALUE"""),"89550532810048307851")</f>
        <v>89550532810048307851</v>
      </c>
      <c r="D3407" s="21" t="str">
        <f>IFERROR(__xludf.DUMMYFUNCTION("""COMPUTED_VALUE"""),"DIGITEC TECNOLOGIA DIGITAL E REPRES")</f>
        <v>DIGITEC TECNOLOGIA DIGITAL E REPRES</v>
      </c>
      <c r="E3407" s="21">
        <f>IFERROR(__xludf.DUMMYFUNCTION("""COMPUTED_VALUE"""),145359.0)</f>
        <v>145359</v>
      </c>
      <c r="F3407" s="21" t="str">
        <f>IFERROR(__xludf.DUMMYFUNCTION("""COMPUTED_VALUE"""),"PERDA")</f>
        <v>PERDA</v>
      </c>
      <c r="G3407" s="23">
        <f>IFERROR(__xludf.DUMMYFUNCTION("""COMPUTED_VALUE"""),45252.30599537037)</f>
        <v>45252.306</v>
      </c>
      <c r="H3407" s="24" t="str">
        <f>IFERROR(VLOOKUP(B3407,material!A:D,3,0),"")</f>
        <v>CHIP</v>
      </c>
    </row>
    <row r="3408" ht="11.25" customHeight="1">
      <c r="A3408" s="21" t="str">
        <f>IFERROR(__xludf.DUMMYFUNCTION("""COMPUTED_VALUE"""),"SC BOPP 8NP NE 128KB AAC005 TRIPLE")</f>
        <v>SC BOPP 8NP NE 128KB AAC005 TRIPLE</v>
      </c>
      <c r="B3408" s="22">
        <f>IFERROR(__xludf.DUMMYFUNCTION("""COMPUTED_VALUE"""),23107.0)</f>
        <v>23107</v>
      </c>
      <c r="C3408" s="21" t="str">
        <f>IFERROR(__xludf.DUMMYFUNCTION("""COMPUTED_VALUE"""),"89550534890028095674")</f>
        <v>89550534890028095674</v>
      </c>
      <c r="D3408" s="21" t="str">
        <f>IFERROR(__xludf.DUMMYFUNCTION("""COMPUTED_VALUE"""),"DIGITEC TECNOLOGIA DIGITAL E REPRES")</f>
        <v>DIGITEC TECNOLOGIA DIGITAL E REPRES</v>
      </c>
      <c r="E3408" s="21">
        <f>IFERROR(__xludf.DUMMYFUNCTION("""COMPUTED_VALUE"""),145359.0)</f>
        <v>145359</v>
      </c>
      <c r="F3408" s="21" t="str">
        <f>IFERROR(__xludf.DUMMYFUNCTION("""COMPUTED_VALUE"""),"PERDA")</f>
        <v>PERDA</v>
      </c>
      <c r="G3408" s="23">
        <f>IFERROR(__xludf.DUMMYFUNCTION("""COMPUTED_VALUE"""),45471.70550925926)</f>
        <v>45471.70551</v>
      </c>
      <c r="H3408" s="24" t="str">
        <f>IFERROR(VLOOKUP(B3408,material!A:D,3,0),"")</f>
        <v>CHIP</v>
      </c>
    </row>
    <row r="3409" ht="11.25" customHeight="1">
      <c r="A3409" s="21" t="str">
        <f>IFERROR(__xludf.DUMMYFUNCTION("""COMPUTED_VALUE"""),"SC BOPP 8NP NE 128KB AAC005 TRIPLE")</f>
        <v>SC BOPP 8NP NE 128KB AAC005 TRIPLE</v>
      </c>
      <c r="B3409" s="22">
        <f>IFERROR(__xludf.DUMMYFUNCTION("""COMPUTED_VALUE"""),23107.0)</f>
        <v>23107</v>
      </c>
      <c r="C3409" s="21" t="str">
        <f>IFERROR(__xludf.DUMMYFUNCTION("""COMPUTED_VALUE"""),"89550534890026515418")</f>
        <v>89550534890026515418</v>
      </c>
      <c r="D3409" s="21" t="str">
        <f>IFERROR(__xludf.DUMMYFUNCTION("""COMPUTED_VALUE"""),"DIGITEC TECNOLOGIA DIGITAL E REPRES")</f>
        <v>DIGITEC TECNOLOGIA DIGITAL E REPRES</v>
      </c>
      <c r="E3409" s="21">
        <f>IFERROR(__xludf.DUMMYFUNCTION("""COMPUTED_VALUE"""),145359.0)</f>
        <v>145359</v>
      </c>
      <c r="F3409" s="21" t="str">
        <f>IFERROR(__xludf.DUMMYFUNCTION("""COMPUTED_VALUE"""),"PERDA")</f>
        <v>PERDA</v>
      </c>
      <c r="G3409" s="23">
        <f>IFERROR(__xludf.DUMMYFUNCTION("""COMPUTED_VALUE"""),45252.30600694445)</f>
        <v>45252.30601</v>
      </c>
      <c r="H3409" s="24" t="str">
        <f>IFERROR(VLOOKUP(B3409,material!A:D,3,0),"")</f>
        <v>CHIP</v>
      </c>
    </row>
    <row r="3410" ht="11.25" customHeight="1">
      <c r="A3410" s="21" t="str">
        <f>IFERROR(__xludf.DUMMYFUNCTION("""COMPUTED_VALUE"""),"SC BOPP 8NP NE 128KB AAC005 TRIPLE")</f>
        <v>SC BOPP 8NP NE 128KB AAC005 TRIPLE</v>
      </c>
      <c r="B3410" s="22">
        <f>IFERROR(__xludf.DUMMYFUNCTION("""COMPUTED_VALUE"""),23107.0)</f>
        <v>23107</v>
      </c>
      <c r="C3410" s="21" t="str">
        <f>IFERROR(__xludf.DUMMYFUNCTION("""COMPUTED_VALUE"""),"89550534890026519535")</f>
        <v>89550534890026519535</v>
      </c>
      <c r="D3410" s="21" t="str">
        <f>IFERROR(__xludf.DUMMYFUNCTION("""COMPUTED_VALUE"""),"DIGITEC TECNOLOGIA DIGITAL E REPRES")</f>
        <v>DIGITEC TECNOLOGIA DIGITAL E REPRES</v>
      </c>
      <c r="E3410" s="21">
        <f>IFERROR(__xludf.DUMMYFUNCTION("""COMPUTED_VALUE"""),145359.0)</f>
        <v>145359</v>
      </c>
      <c r="F3410" s="21" t="str">
        <f>IFERROR(__xludf.DUMMYFUNCTION("""COMPUTED_VALUE"""),"PERDA")</f>
        <v>PERDA</v>
      </c>
      <c r="G3410" s="23">
        <f>IFERROR(__xludf.DUMMYFUNCTION("""COMPUTED_VALUE"""),45252.30599537037)</f>
        <v>45252.306</v>
      </c>
      <c r="H3410" s="24" t="str">
        <f>IFERROR(VLOOKUP(B3410,material!A:D,3,0),"")</f>
        <v>CHIP</v>
      </c>
    </row>
    <row r="3411" ht="11.25" customHeight="1">
      <c r="A3411" s="21" t="str">
        <f>IFERROR(__xludf.DUMMYFUNCTION("""COMPUTED_VALUE"""),"MODEM VOIP EMTA WIFI 3.1 FAST3895")</f>
        <v>MODEM VOIP EMTA WIFI 3.1 FAST3895</v>
      </c>
      <c r="B3411" s="22">
        <f>IFERROR(__xludf.DUMMYFUNCTION("""COMPUTED_VALUE"""),4.1001504E7)</f>
        <v>41001504</v>
      </c>
      <c r="C3411" s="21" t="str">
        <f>IFERROR(__xludf.DUMMYFUNCTION("""COMPUTED_VALUE"""),"E4C0E240A528")</f>
        <v>E4C0E240A528</v>
      </c>
      <c r="D3411" s="21" t="str">
        <f>IFERROR(__xludf.DUMMYFUNCTION("""COMPUTED_VALUE"""),"DIGITEC TECNOLOGIA DIGITAL E REPRES")</f>
        <v>DIGITEC TECNOLOGIA DIGITAL E REPRES</v>
      </c>
      <c r="E3411" s="21">
        <f>IFERROR(__xludf.DUMMYFUNCTION("""COMPUTED_VALUE"""),145359.0)</f>
        <v>145359</v>
      </c>
      <c r="F3411" s="21" t="str">
        <f>IFERROR(__xludf.DUMMYFUNCTION("""COMPUTED_VALUE"""),"PERDA")</f>
        <v>PERDA</v>
      </c>
      <c r="G3411" s="23">
        <f>IFERROR(__xludf.DUMMYFUNCTION("""COMPUTED_VALUE"""),45379.48483796296)</f>
        <v>45379.48484</v>
      </c>
      <c r="H3411" s="24" t="str">
        <f>IFERROR(VLOOKUP(B3411,material!A:D,3,0),"")</f>
        <v>3.1</v>
      </c>
    </row>
    <row r="3412" ht="11.25" customHeight="1">
      <c r="A3412" s="21" t="str">
        <f>IFERROR(__xludf.DUMMYFUNCTION("""COMPUTED_VALUE"""),"MODEM VOIP EMTA WIFI 3.1 FAST3895")</f>
        <v>MODEM VOIP EMTA WIFI 3.1 FAST3895</v>
      </c>
      <c r="B3412" s="22">
        <f>IFERROR(__xludf.DUMMYFUNCTION("""COMPUTED_VALUE"""),4.1001504E7)</f>
        <v>41001504</v>
      </c>
      <c r="C3412" s="21" t="str">
        <f>IFERROR(__xludf.DUMMYFUNCTION("""COMPUTED_VALUE"""),"5CFA25169E80")</f>
        <v>5CFA25169E80</v>
      </c>
      <c r="D3412" s="21" t="str">
        <f>IFERROR(__xludf.DUMMYFUNCTION("""COMPUTED_VALUE"""),"DIGITEC TECNOLOGIA DIGITAL E REPRES")</f>
        <v>DIGITEC TECNOLOGIA DIGITAL E REPRES</v>
      </c>
      <c r="E3412" s="21">
        <f>IFERROR(__xludf.DUMMYFUNCTION("""COMPUTED_VALUE"""),145359.0)</f>
        <v>145359</v>
      </c>
      <c r="F3412" s="21" t="str">
        <f>IFERROR(__xludf.DUMMYFUNCTION("""COMPUTED_VALUE"""),"PERDA")</f>
        <v>PERDA</v>
      </c>
      <c r="G3412" s="23">
        <f>IFERROR(__xludf.DUMMYFUNCTION("""COMPUTED_VALUE"""),45379.48483796296)</f>
        <v>45379.48484</v>
      </c>
      <c r="H3412" s="24" t="str">
        <f>IFERROR(VLOOKUP(B3412,material!A:D,3,0),"")</f>
        <v>3.1</v>
      </c>
    </row>
    <row r="3413" ht="11.25" customHeight="1">
      <c r="A3413" s="21" t="str">
        <f>IFERROR(__xludf.DUMMYFUNCTION("""COMPUTED_VALUE"""),"MODEM VOIP EMTA WIFI 3.1 FAST3895")</f>
        <v>MODEM VOIP EMTA WIFI 3.1 FAST3895</v>
      </c>
      <c r="B3413" s="22">
        <f>IFERROR(__xludf.DUMMYFUNCTION("""COMPUTED_VALUE"""),4.1001504E7)</f>
        <v>41001504</v>
      </c>
      <c r="C3413" s="21" t="str">
        <f>IFERROR(__xludf.DUMMYFUNCTION("""COMPUTED_VALUE"""),"CC5830E2BFDF")</f>
        <v>CC5830E2BFDF</v>
      </c>
      <c r="D3413" s="21" t="str">
        <f>IFERROR(__xludf.DUMMYFUNCTION("""COMPUTED_VALUE"""),"DIGITEC TECNOLOGIA DIGITAL E REPRES")</f>
        <v>DIGITEC TECNOLOGIA DIGITAL E REPRES</v>
      </c>
      <c r="E3413" s="21">
        <f>IFERROR(__xludf.DUMMYFUNCTION("""COMPUTED_VALUE"""),145359.0)</f>
        <v>145359</v>
      </c>
      <c r="F3413" s="21" t="str">
        <f>IFERROR(__xludf.DUMMYFUNCTION("""COMPUTED_VALUE"""),"PERDA")</f>
        <v>PERDA</v>
      </c>
      <c r="G3413" s="23">
        <f>IFERROR(__xludf.DUMMYFUNCTION("""COMPUTED_VALUE"""),45203.317141203705)</f>
        <v>45203.31714</v>
      </c>
      <c r="H3413" s="24" t="str">
        <f>IFERROR(VLOOKUP(B3413,material!A:D,3,0),"")</f>
        <v>3.1</v>
      </c>
    </row>
    <row r="3414" ht="11.25" customHeight="1">
      <c r="A3414" s="21" t="str">
        <f>IFERROR(__xludf.DUMMYFUNCTION("""COMPUTED_VALUE"""),"MODEM VOIP EMTA WIFI 3.1 CH8568")</f>
        <v>MODEM VOIP EMTA WIFI 3.1 CH8568</v>
      </c>
      <c r="B3414" s="22">
        <f>IFERROR(__xludf.DUMMYFUNCTION("""COMPUTED_VALUE"""),4.1001485E7)</f>
        <v>41001485</v>
      </c>
      <c r="C3414" s="21" t="str">
        <f>IFERROR(__xludf.DUMMYFUNCTION("""COMPUTED_VALUE"""),"B4F26733B231")</f>
        <v>B4F26733B231</v>
      </c>
      <c r="D3414" s="21" t="str">
        <f>IFERROR(__xludf.DUMMYFUNCTION("""COMPUTED_VALUE"""),"DIGITEC TECNOLOGIA DIGITAL E REPRES")</f>
        <v>DIGITEC TECNOLOGIA DIGITAL E REPRES</v>
      </c>
      <c r="E3414" s="21">
        <f>IFERROR(__xludf.DUMMYFUNCTION("""COMPUTED_VALUE"""),145359.0)</f>
        <v>145359</v>
      </c>
      <c r="F3414" s="21" t="str">
        <f>IFERROR(__xludf.DUMMYFUNCTION("""COMPUTED_VALUE"""),"PERDA")</f>
        <v>PERDA</v>
      </c>
      <c r="G3414" s="23">
        <f>IFERROR(__xludf.DUMMYFUNCTION("""COMPUTED_VALUE"""),45134.41050925926)</f>
        <v>45134.41051</v>
      </c>
      <c r="H3414" s="24" t="str">
        <f>IFERROR(VLOOKUP(B3414,material!A:D,3,0),"")</f>
        <v>3.1</v>
      </c>
    </row>
    <row r="3415" ht="11.25" customHeight="1">
      <c r="A3415" s="21" t="str">
        <f>IFERROR(__xludf.DUMMYFUNCTION("""COMPUTED_VALUE"""),"MODEM VOIP EMTA WIFI 3.1 CG3000")</f>
        <v>MODEM VOIP EMTA WIFI 3.1 CG3000</v>
      </c>
      <c r="B3415" s="22">
        <f>IFERROR(__xludf.DUMMYFUNCTION("""COMPUTED_VALUE"""),4.1001486E7)</f>
        <v>41001486</v>
      </c>
      <c r="C3415" s="21" t="str">
        <f>IFERROR(__xludf.DUMMYFUNCTION("""COMPUTED_VALUE"""),"1834AF2510F3")</f>
        <v>1834AF2510F3</v>
      </c>
      <c r="D3415" s="21" t="str">
        <f>IFERROR(__xludf.DUMMYFUNCTION("""COMPUTED_VALUE"""),"DIGITEC TECNOLOGIA DIGITAL E REPRES")</f>
        <v>DIGITEC TECNOLOGIA DIGITAL E REPRES</v>
      </c>
      <c r="E3415" s="21">
        <f>IFERROR(__xludf.DUMMYFUNCTION("""COMPUTED_VALUE"""),145359.0)</f>
        <v>145359</v>
      </c>
      <c r="F3415" s="21" t="str">
        <f>IFERROR(__xludf.DUMMYFUNCTION("""COMPUTED_VALUE"""),"PERDA")</f>
        <v>PERDA</v>
      </c>
      <c r="G3415" s="23">
        <f>IFERROR(__xludf.DUMMYFUNCTION("""COMPUTED_VALUE"""),45203.317141203705)</f>
        <v>45203.31714</v>
      </c>
      <c r="H3415" s="24" t="str">
        <f>IFERROR(VLOOKUP(B3415,material!A:D,3,0),"")</f>
        <v>3.1</v>
      </c>
    </row>
    <row r="3416" ht="11.25" customHeight="1">
      <c r="A3416" s="21" t="str">
        <f>IFERROR(__xludf.DUMMYFUNCTION("""COMPUTED_VALUE"""),"MODEM VOIP EMTA WIFI 3.1 HGJ310")</f>
        <v>MODEM VOIP EMTA WIFI 3.1 HGJ310</v>
      </c>
      <c r="B3416" s="22">
        <f>IFERROR(__xludf.DUMMYFUNCTION("""COMPUTED_VALUE"""),4.1001481E7)</f>
        <v>41001481</v>
      </c>
      <c r="C3416" s="21" t="str">
        <f>IFERROR(__xludf.DUMMYFUNCTION("""COMPUTED_VALUE"""),"D86C5A0741FD.")</f>
        <v>D86C5A0741FD.</v>
      </c>
      <c r="D3416" s="21" t="str">
        <f>IFERROR(__xludf.DUMMYFUNCTION("""COMPUTED_VALUE"""),"DIGITEC TECNOLOGIA DIGITAL E REPRES")</f>
        <v>DIGITEC TECNOLOGIA DIGITAL E REPRES</v>
      </c>
      <c r="E3416" s="21">
        <f>IFERROR(__xludf.DUMMYFUNCTION("""COMPUTED_VALUE"""),145359.0)</f>
        <v>145359</v>
      </c>
      <c r="F3416" s="21" t="str">
        <f>IFERROR(__xludf.DUMMYFUNCTION("""COMPUTED_VALUE"""),"PERDA")</f>
        <v>PERDA</v>
      </c>
      <c r="G3416" s="23">
        <f>IFERROR(__xludf.DUMMYFUNCTION("""COMPUTED_VALUE"""),45377.451331018514)</f>
        <v>45377.45133</v>
      </c>
      <c r="H3416" s="24" t="str">
        <f>IFERROR(VLOOKUP(B3416,material!A:D,3,0),"")</f>
        <v>3.1</v>
      </c>
    </row>
    <row r="3417" ht="11.25" customHeight="1">
      <c r="A3417" s="21" t="str">
        <f>IFERROR(__xludf.DUMMYFUNCTION("""COMPUTED_VALUE"""),"MODEM VOIP EMTA WIFI 3.1 HGJ310")</f>
        <v>MODEM VOIP EMTA WIFI 3.1 HGJ310</v>
      </c>
      <c r="B3417" s="22">
        <f>IFERROR(__xludf.DUMMYFUNCTION("""COMPUTED_VALUE"""),4.1001481E7)</f>
        <v>41001481</v>
      </c>
      <c r="C3417" s="21" t="str">
        <f>IFERROR(__xludf.DUMMYFUNCTION("""COMPUTED_VALUE"""),"C85D3860C825")</f>
        <v>C85D3860C825</v>
      </c>
      <c r="D3417" s="21" t="str">
        <f>IFERROR(__xludf.DUMMYFUNCTION("""COMPUTED_VALUE"""),"DIGITEC TECNOLOGIA DIGITAL E REPRES")</f>
        <v>DIGITEC TECNOLOGIA DIGITAL E REPRES</v>
      </c>
      <c r="E3417" s="21">
        <f>IFERROR(__xludf.DUMMYFUNCTION("""COMPUTED_VALUE"""),145359.0)</f>
        <v>145359</v>
      </c>
      <c r="F3417" s="21" t="str">
        <f>IFERROR(__xludf.DUMMYFUNCTION("""COMPUTED_VALUE"""),"PERDA")</f>
        <v>PERDA</v>
      </c>
      <c r="G3417" s="23">
        <f>IFERROR(__xludf.DUMMYFUNCTION("""COMPUTED_VALUE"""),45348.66055555556)</f>
        <v>45348.66056</v>
      </c>
      <c r="H3417" s="24" t="str">
        <f>IFERROR(VLOOKUP(B3417,material!A:D,3,0),"")</f>
        <v>3.1</v>
      </c>
    </row>
    <row r="3418" ht="11.25" customHeight="1">
      <c r="A3418" s="21" t="str">
        <f>IFERROR(__xludf.DUMMYFUNCTION("""COMPUTED_VALUE"""),"MODEM VOIP EMTA WIFI 3.1 HGJ310")</f>
        <v>MODEM VOIP EMTA WIFI 3.1 HGJ310</v>
      </c>
      <c r="B3418" s="22">
        <f>IFERROR(__xludf.DUMMYFUNCTION("""COMPUTED_VALUE"""),4.1001481E7)</f>
        <v>41001481</v>
      </c>
      <c r="C3418" s="21" t="str">
        <f>IFERROR(__xludf.DUMMYFUNCTION("""COMPUTED_VALUE"""),"C85D3858B4F5")</f>
        <v>C85D3858B4F5</v>
      </c>
      <c r="D3418" s="21" t="str">
        <f>IFERROR(__xludf.DUMMYFUNCTION("""COMPUTED_VALUE"""),"DIGITEC TECNOLOGIA DIGITAL E REPRES")</f>
        <v>DIGITEC TECNOLOGIA DIGITAL E REPRES</v>
      </c>
      <c r="E3418" s="21">
        <f>IFERROR(__xludf.DUMMYFUNCTION("""COMPUTED_VALUE"""),145359.0)</f>
        <v>145359</v>
      </c>
      <c r="F3418" s="21" t="str">
        <f>IFERROR(__xludf.DUMMYFUNCTION("""COMPUTED_VALUE"""),"PERDA")</f>
        <v>PERDA</v>
      </c>
      <c r="G3418" s="23">
        <f>IFERROR(__xludf.DUMMYFUNCTION("""COMPUTED_VALUE"""),45348.66054398148)</f>
        <v>45348.66054</v>
      </c>
      <c r="H3418" s="24" t="str">
        <f>IFERROR(VLOOKUP(B3418,material!A:D,3,0),"")</f>
        <v>3.1</v>
      </c>
    </row>
    <row r="3419" ht="11.25" customHeight="1">
      <c r="A3419" s="21" t="str">
        <f>IFERROR(__xludf.DUMMYFUNCTION("""COMPUTED_VALUE"""),"SIM CARD MOVEL")</f>
        <v>SIM CARD MOVEL</v>
      </c>
      <c r="B3419" s="22">
        <f>IFERROR(__xludf.DUMMYFUNCTION("""COMPUTED_VALUE"""),23105.0)</f>
        <v>23105</v>
      </c>
      <c r="C3419" s="21" t="str">
        <f>IFERROR(__xludf.DUMMYFUNCTION("""COMPUTED_VALUE"""),"89550537840001683704")</f>
        <v>89550537840001683704</v>
      </c>
      <c r="D3419" s="21" t="str">
        <f>IFERROR(__xludf.DUMMYFUNCTION("""COMPUTED_VALUE"""),"DIGITEC TECNOLOGIA DIGITAL E REPRES")</f>
        <v>DIGITEC TECNOLOGIA DIGITAL E REPRES</v>
      </c>
      <c r="E3419" s="21">
        <f>IFERROR(__xludf.DUMMYFUNCTION("""COMPUTED_VALUE"""),145359.0)</f>
        <v>145359</v>
      </c>
      <c r="F3419" s="21" t="str">
        <f>IFERROR(__xludf.DUMMYFUNCTION("""COMPUTED_VALUE"""),"PERDA")</f>
        <v>PERDA</v>
      </c>
      <c r="G3419" s="23">
        <f>IFERROR(__xludf.DUMMYFUNCTION("""COMPUTED_VALUE"""),45596.38790509259)</f>
        <v>45596.38791</v>
      </c>
      <c r="H3419" s="24" t="str">
        <f>IFERROR(VLOOKUP(B3419,material!A:D,3,0),"")</f>
        <v>CHIP</v>
      </c>
    </row>
    <row r="3420" ht="11.25" customHeight="1">
      <c r="A3420" s="21" t="str">
        <f>IFERROR(__xludf.DUMMYFUNCTION("""COMPUTED_VALUE"""),"SIM CARD MOVEL")</f>
        <v>SIM CARD MOVEL</v>
      </c>
      <c r="B3420" s="22">
        <f>IFERROR(__xludf.DUMMYFUNCTION("""COMPUTED_VALUE"""),23105.0)</f>
        <v>23105</v>
      </c>
      <c r="C3420" s="21" t="str">
        <f>IFERROR(__xludf.DUMMYFUNCTION("""COMPUTED_VALUE"""),"89550537840001683738")</f>
        <v>89550537840001683738</v>
      </c>
      <c r="D3420" s="21" t="str">
        <f>IFERROR(__xludf.DUMMYFUNCTION("""COMPUTED_VALUE"""),"DIGITEC TECNOLOGIA DIGITAL E REPRES")</f>
        <v>DIGITEC TECNOLOGIA DIGITAL E REPRES</v>
      </c>
      <c r="E3420" s="21">
        <f>IFERROR(__xludf.DUMMYFUNCTION("""COMPUTED_VALUE"""),145359.0)</f>
        <v>145359</v>
      </c>
      <c r="F3420" s="21" t="str">
        <f>IFERROR(__xludf.DUMMYFUNCTION("""COMPUTED_VALUE"""),"PERDA")</f>
        <v>PERDA</v>
      </c>
      <c r="G3420" s="23">
        <f>IFERROR(__xludf.DUMMYFUNCTION("""COMPUTED_VALUE"""),45596.38790509259)</f>
        <v>45596.38791</v>
      </c>
      <c r="H3420" s="24" t="str">
        <f>IFERROR(VLOOKUP(B3420,material!A:D,3,0),"")</f>
        <v>CHIP</v>
      </c>
    </row>
    <row r="3421" ht="11.25" customHeight="1">
      <c r="A3421" s="21" t="str">
        <f>IFERROR(__xludf.DUMMYFUNCTION("""COMPUTED_VALUE"""),"SIM CARD MOVEL")</f>
        <v>SIM CARD MOVEL</v>
      </c>
      <c r="B3421" s="22">
        <f>IFERROR(__xludf.DUMMYFUNCTION("""COMPUTED_VALUE"""),23105.0)</f>
        <v>23105</v>
      </c>
      <c r="C3421" s="21" t="str">
        <f>IFERROR(__xludf.DUMMYFUNCTION("""COMPUTED_VALUE"""),"89550534860000329250")</f>
        <v>89550534860000329250</v>
      </c>
      <c r="D3421" s="21" t="str">
        <f>IFERROR(__xludf.DUMMYFUNCTION("""COMPUTED_VALUE"""),"DIGITEC TECNOLOGIA DIGITAL E REPRES")</f>
        <v>DIGITEC TECNOLOGIA DIGITAL E REPRES</v>
      </c>
      <c r="E3421" s="21">
        <f>IFERROR(__xludf.DUMMYFUNCTION("""COMPUTED_VALUE"""),145359.0)</f>
        <v>145359</v>
      </c>
      <c r="F3421" s="21" t="str">
        <f>IFERROR(__xludf.DUMMYFUNCTION("""COMPUTED_VALUE"""),"PERDA")</f>
        <v>PERDA</v>
      </c>
      <c r="G3421" s="23">
        <f>IFERROR(__xludf.DUMMYFUNCTION("""COMPUTED_VALUE"""),45596.38790509259)</f>
        <v>45596.38791</v>
      </c>
      <c r="H3421" s="24" t="str">
        <f>IFERROR(VLOOKUP(B3421,material!A:D,3,0),"")</f>
        <v>CHIP</v>
      </c>
    </row>
    <row r="3422" ht="11.25" customHeight="1">
      <c r="A3422" s="21" t="str">
        <f>IFERROR(__xludf.DUMMYFUNCTION("""COMPUTED_VALUE"""),"SIM CARD MOVEL")</f>
        <v>SIM CARD MOVEL</v>
      </c>
      <c r="B3422" s="22">
        <f>IFERROR(__xludf.DUMMYFUNCTION("""COMPUTED_VALUE"""),23105.0)</f>
        <v>23105</v>
      </c>
      <c r="C3422" s="21" t="str">
        <f>IFERROR(__xludf.DUMMYFUNCTION("""COMPUTED_VALUE"""),"89550534860000124719")</f>
        <v>89550534860000124719</v>
      </c>
      <c r="D3422" s="21" t="str">
        <f>IFERROR(__xludf.DUMMYFUNCTION("""COMPUTED_VALUE"""),"DIGITEC TECNOLOGIA DIGITAL E REPRES")</f>
        <v>DIGITEC TECNOLOGIA DIGITAL E REPRES</v>
      </c>
      <c r="E3422" s="21">
        <f>IFERROR(__xludf.DUMMYFUNCTION("""COMPUTED_VALUE"""),145359.0)</f>
        <v>145359</v>
      </c>
      <c r="F3422" s="21" t="str">
        <f>IFERROR(__xludf.DUMMYFUNCTION("""COMPUTED_VALUE"""),"PERDA")</f>
        <v>PERDA</v>
      </c>
      <c r="G3422" s="23">
        <f>IFERROR(__xludf.DUMMYFUNCTION("""COMPUTED_VALUE"""),45596.38790509259)</f>
        <v>45596.38791</v>
      </c>
      <c r="H3422" s="24" t="str">
        <f>IFERROR(VLOOKUP(B3422,material!A:D,3,0),"")</f>
        <v>CHIP</v>
      </c>
    </row>
    <row r="3423" ht="11.25" customHeight="1">
      <c r="A3423" s="21" t="str">
        <f>IFERROR(__xludf.DUMMYFUNCTION("""COMPUTED_VALUE"""),"SIM CARD MOVEL")</f>
        <v>SIM CARD MOVEL</v>
      </c>
      <c r="B3423" s="22">
        <f>IFERROR(__xludf.DUMMYFUNCTION("""COMPUTED_VALUE"""),23105.0)</f>
        <v>23105</v>
      </c>
      <c r="C3423" s="21" t="str">
        <f>IFERROR(__xludf.DUMMYFUNCTION("""COMPUTED_VALUE"""),"89550534860000124974")</f>
        <v>89550534860000124974</v>
      </c>
      <c r="D3423" s="21" t="str">
        <f>IFERROR(__xludf.DUMMYFUNCTION("""COMPUTED_VALUE"""),"DIGITEC TECNOLOGIA DIGITAL E REPRES")</f>
        <v>DIGITEC TECNOLOGIA DIGITAL E REPRES</v>
      </c>
      <c r="E3423" s="21">
        <f>IFERROR(__xludf.DUMMYFUNCTION("""COMPUTED_VALUE"""),145359.0)</f>
        <v>145359</v>
      </c>
      <c r="F3423" s="21" t="str">
        <f>IFERROR(__xludf.DUMMYFUNCTION("""COMPUTED_VALUE"""),"PERDA")</f>
        <v>PERDA</v>
      </c>
      <c r="G3423" s="23">
        <f>IFERROR(__xludf.DUMMYFUNCTION("""COMPUTED_VALUE"""),45596.38790509259)</f>
        <v>45596.38791</v>
      </c>
      <c r="H3423" s="24" t="str">
        <f>IFERROR(VLOOKUP(B3423,material!A:D,3,0),"")</f>
        <v>CHIP</v>
      </c>
    </row>
    <row r="3424" ht="11.25" customHeight="1">
      <c r="A3424" s="21" t="str">
        <f>IFERROR(__xludf.DUMMYFUNCTION("""COMPUTED_VALUE"""),"SIM CARD MOVEL")</f>
        <v>SIM CARD MOVEL</v>
      </c>
      <c r="B3424" s="22">
        <f>IFERROR(__xludf.DUMMYFUNCTION("""COMPUTED_VALUE"""),23105.0)</f>
        <v>23105</v>
      </c>
      <c r="C3424" s="21" t="str">
        <f>IFERROR(__xludf.DUMMYFUNCTION("""COMPUTED_VALUE"""),"89550531840025493169")</f>
        <v>89550531840025493169</v>
      </c>
      <c r="D3424" s="21" t="str">
        <f>IFERROR(__xludf.DUMMYFUNCTION("""COMPUTED_VALUE"""),"DIGITEC TECNOLOGIA DIGITAL E REPRES")</f>
        <v>DIGITEC TECNOLOGIA DIGITAL E REPRES</v>
      </c>
      <c r="E3424" s="21">
        <f>IFERROR(__xludf.DUMMYFUNCTION("""COMPUTED_VALUE"""),145359.0)</f>
        <v>145359</v>
      </c>
      <c r="F3424" s="21" t="str">
        <f>IFERROR(__xludf.DUMMYFUNCTION("""COMPUTED_VALUE"""),"PERDA")</f>
        <v>PERDA</v>
      </c>
      <c r="G3424" s="23">
        <f>IFERROR(__xludf.DUMMYFUNCTION("""COMPUTED_VALUE"""),45596.38790509259)</f>
        <v>45596.38791</v>
      </c>
      <c r="H3424" s="24" t="str">
        <f>IFERROR(VLOOKUP(B3424,material!A:D,3,0),"")</f>
        <v>CHIP</v>
      </c>
    </row>
    <row r="3425" ht="11.25" customHeight="1">
      <c r="A3425" s="21" t="str">
        <f>IFERROR(__xludf.DUMMYFUNCTION("""COMPUTED_VALUE"""),"SIM CARD MOVEL")</f>
        <v>SIM CARD MOVEL</v>
      </c>
      <c r="B3425" s="22">
        <f>IFERROR(__xludf.DUMMYFUNCTION("""COMPUTED_VALUE"""),23105.0)</f>
        <v>23105</v>
      </c>
      <c r="C3425" s="21" t="str">
        <f>IFERROR(__xludf.DUMMYFUNCTION("""COMPUTED_VALUE"""),"89550531840025154605")</f>
        <v>89550531840025154605</v>
      </c>
      <c r="D3425" s="21" t="str">
        <f>IFERROR(__xludf.DUMMYFUNCTION("""COMPUTED_VALUE"""),"DIGITEC TECNOLOGIA DIGITAL E REPRES")</f>
        <v>DIGITEC TECNOLOGIA DIGITAL E REPRES</v>
      </c>
      <c r="E3425" s="21">
        <f>IFERROR(__xludf.DUMMYFUNCTION("""COMPUTED_VALUE"""),145359.0)</f>
        <v>145359</v>
      </c>
      <c r="F3425" s="21" t="str">
        <f>IFERROR(__xludf.DUMMYFUNCTION("""COMPUTED_VALUE"""),"PERDA")</f>
        <v>PERDA</v>
      </c>
      <c r="G3425" s="23">
        <f>IFERROR(__xludf.DUMMYFUNCTION("""COMPUTED_VALUE"""),45596.38790509259)</f>
        <v>45596.38791</v>
      </c>
      <c r="H3425" s="24" t="str">
        <f>IFERROR(VLOOKUP(B3425,material!A:D,3,0),"")</f>
        <v>CHIP</v>
      </c>
    </row>
    <row r="3426" ht="11.25" customHeight="1">
      <c r="A3426" s="21" t="str">
        <f>IFERROR(__xludf.DUMMYFUNCTION("""COMPUTED_VALUE"""),"SIM CARD MOVEL")</f>
        <v>SIM CARD MOVEL</v>
      </c>
      <c r="B3426" s="22">
        <f>IFERROR(__xludf.DUMMYFUNCTION("""COMPUTED_VALUE"""),23105.0)</f>
        <v>23105</v>
      </c>
      <c r="C3426" s="21" t="str">
        <f>IFERROR(__xludf.DUMMYFUNCTION("""COMPUTED_VALUE"""),"89550531840024364908")</f>
        <v>89550531840024364908</v>
      </c>
      <c r="D3426" s="21" t="str">
        <f>IFERROR(__xludf.DUMMYFUNCTION("""COMPUTED_VALUE"""),"DIGITEC TECNOLOGIA DIGITAL E REPRES")</f>
        <v>DIGITEC TECNOLOGIA DIGITAL E REPRES</v>
      </c>
      <c r="E3426" s="21">
        <f>IFERROR(__xludf.DUMMYFUNCTION("""COMPUTED_VALUE"""),145359.0)</f>
        <v>145359</v>
      </c>
      <c r="F3426" s="21" t="str">
        <f>IFERROR(__xludf.DUMMYFUNCTION("""COMPUTED_VALUE"""),"PERDA")</f>
        <v>PERDA</v>
      </c>
      <c r="G3426" s="23">
        <f>IFERROR(__xludf.DUMMYFUNCTION("""COMPUTED_VALUE"""),45471.70550925926)</f>
        <v>45471.70551</v>
      </c>
      <c r="H3426" s="24" t="str">
        <f>IFERROR(VLOOKUP(B3426,material!A:D,3,0),"")</f>
        <v>CHIP</v>
      </c>
    </row>
    <row r="3427" ht="11.25" customHeight="1">
      <c r="A3427" s="21" t="str">
        <f>IFERROR(__xludf.DUMMYFUNCTION("""COMPUTED_VALUE"""),"SIM CARD MOVEL")</f>
        <v>SIM CARD MOVEL</v>
      </c>
      <c r="B3427" s="22">
        <f>IFERROR(__xludf.DUMMYFUNCTION("""COMPUTED_VALUE"""),23105.0)</f>
        <v>23105</v>
      </c>
      <c r="C3427" s="21" t="str">
        <f>IFERROR(__xludf.DUMMYFUNCTION("""COMPUTED_VALUE"""),"89550531840024308673")</f>
        <v>89550531840024308673</v>
      </c>
      <c r="D3427" s="21" t="str">
        <f>IFERROR(__xludf.DUMMYFUNCTION("""COMPUTED_VALUE"""),"DIGITEC TECNOLOGIA DIGITAL E REPRES")</f>
        <v>DIGITEC TECNOLOGIA DIGITAL E REPRES</v>
      </c>
      <c r="E3427" s="21">
        <f>IFERROR(__xludf.DUMMYFUNCTION("""COMPUTED_VALUE"""),145359.0)</f>
        <v>145359</v>
      </c>
      <c r="F3427" s="21" t="str">
        <f>IFERROR(__xludf.DUMMYFUNCTION("""COMPUTED_VALUE"""),"PERDA")</f>
        <v>PERDA</v>
      </c>
      <c r="G3427" s="23">
        <f>IFERROR(__xludf.DUMMYFUNCTION("""COMPUTED_VALUE"""),45471.70550925926)</f>
        <v>45471.70551</v>
      </c>
      <c r="H3427" s="24" t="str">
        <f>IFERROR(VLOOKUP(B3427,material!A:D,3,0),"")</f>
        <v>CHIP</v>
      </c>
    </row>
    <row r="3428" ht="11.25" customHeight="1">
      <c r="A3428" s="21" t="str">
        <f>IFERROR(__xludf.DUMMYFUNCTION("""COMPUTED_VALUE"""),"SIM CARD MOVEL")</f>
        <v>SIM CARD MOVEL</v>
      </c>
      <c r="B3428" s="22">
        <f>IFERROR(__xludf.DUMMYFUNCTION("""COMPUTED_VALUE"""),23105.0)</f>
        <v>23105</v>
      </c>
      <c r="C3428" s="21" t="str">
        <f>IFERROR(__xludf.DUMMYFUNCTION("""COMPUTED_VALUE"""),"89550531840024308657")</f>
        <v>89550531840024308657</v>
      </c>
      <c r="D3428" s="21" t="str">
        <f>IFERROR(__xludf.DUMMYFUNCTION("""COMPUTED_VALUE"""),"DIGITEC TECNOLOGIA DIGITAL E REPRES")</f>
        <v>DIGITEC TECNOLOGIA DIGITAL E REPRES</v>
      </c>
      <c r="E3428" s="21">
        <f>IFERROR(__xludf.DUMMYFUNCTION("""COMPUTED_VALUE"""),145359.0)</f>
        <v>145359</v>
      </c>
      <c r="F3428" s="21" t="str">
        <f>IFERROR(__xludf.DUMMYFUNCTION("""COMPUTED_VALUE"""),"PERDA")</f>
        <v>PERDA</v>
      </c>
      <c r="G3428" s="23">
        <f>IFERROR(__xludf.DUMMYFUNCTION("""COMPUTED_VALUE"""),45471.70550925926)</f>
        <v>45471.70551</v>
      </c>
      <c r="H3428" s="24" t="str">
        <f>IFERROR(VLOOKUP(B3428,material!A:D,3,0),"")</f>
        <v>CHIP</v>
      </c>
    </row>
    <row r="3429" ht="11.25" customHeight="1">
      <c r="A3429" s="21" t="str">
        <f>IFERROR(__xludf.DUMMYFUNCTION("""COMPUTED_VALUE"""),"SIM CARD MOVEL")</f>
        <v>SIM CARD MOVEL</v>
      </c>
      <c r="B3429" s="22">
        <f>IFERROR(__xludf.DUMMYFUNCTION("""COMPUTED_VALUE"""),23105.0)</f>
        <v>23105</v>
      </c>
      <c r="C3429" s="21" t="str">
        <f>IFERROR(__xludf.DUMMYFUNCTION("""COMPUTED_VALUE"""),"89550531840024308640")</f>
        <v>89550531840024308640</v>
      </c>
      <c r="D3429" s="21" t="str">
        <f>IFERROR(__xludf.DUMMYFUNCTION("""COMPUTED_VALUE"""),"DIGITEC TECNOLOGIA DIGITAL E REPRES")</f>
        <v>DIGITEC TECNOLOGIA DIGITAL E REPRES</v>
      </c>
      <c r="E3429" s="21">
        <f>IFERROR(__xludf.DUMMYFUNCTION("""COMPUTED_VALUE"""),145359.0)</f>
        <v>145359</v>
      </c>
      <c r="F3429" s="21" t="str">
        <f>IFERROR(__xludf.DUMMYFUNCTION("""COMPUTED_VALUE"""),"PERDA")</f>
        <v>PERDA</v>
      </c>
      <c r="G3429" s="23">
        <f>IFERROR(__xludf.DUMMYFUNCTION("""COMPUTED_VALUE"""),45471.70550925926)</f>
        <v>45471.70551</v>
      </c>
      <c r="H3429" s="24" t="str">
        <f>IFERROR(VLOOKUP(B3429,material!A:D,3,0),"")</f>
        <v>CHIP</v>
      </c>
    </row>
    <row r="3430" ht="11.25" customHeight="1">
      <c r="A3430" s="21" t="str">
        <f>IFERROR(__xludf.DUMMYFUNCTION("""COMPUTED_VALUE"""),"EMTA WIFI 3.0 FST3486 16X4")</f>
        <v>EMTA WIFI 3.0 FST3486 16X4</v>
      </c>
      <c r="B3430" s="22">
        <f>IFERROR(__xludf.DUMMYFUNCTION("""COMPUTED_VALUE"""),4.1001095E7)</f>
        <v>41001095</v>
      </c>
      <c r="C3430" s="21" t="str">
        <f>IFERROR(__xludf.DUMMYFUNCTION("""COMPUTED_VALUE"""),"B866851B27D7")</f>
        <v>B866851B27D7</v>
      </c>
      <c r="D3430" s="21" t="str">
        <f>IFERROR(__xludf.DUMMYFUNCTION("""COMPUTED_VALUE"""),"DIGITEC TECNOLOGIA DIGITAL E REPRES")</f>
        <v>DIGITEC TECNOLOGIA DIGITAL E REPRES</v>
      </c>
      <c r="E3430" s="21">
        <f>IFERROR(__xludf.DUMMYFUNCTION("""COMPUTED_VALUE"""),145359.0)</f>
        <v>145359</v>
      </c>
      <c r="F3430" s="21" t="str">
        <f>IFERROR(__xludf.DUMMYFUNCTION("""COMPUTED_VALUE"""),"PERDA")</f>
        <v>PERDA</v>
      </c>
      <c r="G3430" s="23">
        <f>IFERROR(__xludf.DUMMYFUNCTION("""COMPUTED_VALUE"""),45134.41050925926)</f>
        <v>45134.41051</v>
      </c>
      <c r="H3430" s="24" t="str">
        <f>IFERROR(VLOOKUP(B3430,material!A:D,3,0),"")</f>
        <v>DUAL</v>
      </c>
    </row>
    <row r="3431" ht="11.25" customHeight="1">
      <c r="A3431" s="21" t="str">
        <f>IFERROR(__xludf.DUMMYFUNCTION("""COMPUTED_VALUE"""),"EMTA WIFI 3.0 FST3486 16X4")</f>
        <v>EMTA WIFI 3.0 FST3486 16X4</v>
      </c>
      <c r="B3431" s="22">
        <f>IFERROR(__xludf.DUMMYFUNCTION("""COMPUTED_VALUE"""),4.1001095E7)</f>
        <v>41001095</v>
      </c>
      <c r="C3431" s="21" t="str">
        <f>IFERROR(__xludf.DUMMYFUNCTION("""COMPUTED_VALUE"""),"F08175299BB6")</f>
        <v>F08175299BB6</v>
      </c>
      <c r="D3431" s="21" t="str">
        <f>IFERROR(__xludf.DUMMYFUNCTION("""COMPUTED_VALUE"""),"DIGITEC TECNOLOGIA DIGITAL E REPRES")</f>
        <v>DIGITEC TECNOLOGIA DIGITAL E REPRES</v>
      </c>
      <c r="E3431" s="21">
        <f>IFERROR(__xludf.DUMMYFUNCTION("""COMPUTED_VALUE"""),145359.0)</f>
        <v>145359</v>
      </c>
      <c r="F3431" s="21" t="str">
        <f>IFERROR(__xludf.DUMMYFUNCTION("""COMPUTED_VALUE"""),"PERDA")</f>
        <v>PERDA</v>
      </c>
      <c r="G3431" s="23">
        <f>IFERROR(__xludf.DUMMYFUNCTION("""COMPUTED_VALUE"""),45203.317141203705)</f>
        <v>45203.31714</v>
      </c>
      <c r="H3431" s="24" t="str">
        <f>IFERROR(VLOOKUP(B3431,material!A:D,3,0),"")</f>
        <v>DUAL</v>
      </c>
    </row>
    <row r="3432" ht="11.25" customHeight="1">
      <c r="A3432" s="21" t="str">
        <f>IFERROR(__xludf.DUMMYFUNCTION("""COMPUTED_VALUE"""),"SMART SIM CARD NAGRA")</f>
        <v>SMART SIM CARD NAGRA</v>
      </c>
      <c r="B3432" s="22">
        <f>IFERROR(__xludf.DUMMYFUNCTION("""COMPUTED_VALUE"""),4.1000805E7)</f>
        <v>41000805</v>
      </c>
      <c r="C3432" s="21" t="str">
        <f>IFERROR(__xludf.DUMMYFUNCTION("""COMPUTED_VALUE"""),"246508502022")</f>
        <v>246508502022</v>
      </c>
      <c r="D3432" s="21" t="str">
        <f>IFERROR(__xludf.DUMMYFUNCTION("""COMPUTED_VALUE"""),"DIGITEC TECNOLOGIA DIGITAL E REPRES")</f>
        <v>DIGITEC TECNOLOGIA DIGITAL E REPRES</v>
      </c>
      <c r="E3432" s="21">
        <f>IFERROR(__xludf.DUMMYFUNCTION("""COMPUTED_VALUE"""),145359.0)</f>
        <v>145359</v>
      </c>
      <c r="F3432" s="21" t="str">
        <f>IFERROR(__xludf.DUMMYFUNCTION("""COMPUTED_VALUE"""),"PERDA")</f>
        <v>PERDA</v>
      </c>
      <c r="G3432" s="23">
        <f>IFERROR(__xludf.DUMMYFUNCTION("""COMPUTED_VALUE"""),45134.41050925926)</f>
        <v>45134.41051</v>
      </c>
      <c r="H3432" s="24" t="str">
        <f>IFERROR(VLOOKUP(B3432,material!A:D,3,0),"")</f>
        <v>SIM CARD</v>
      </c>
    </row>
    <row r="3433" ht="11.25" customHeight="1">
      <c r="A3433" s="21" t="str">
        <f>IFERROR(__xludf.DUMMYFUNCTION("""COMPUTED_VALUE"""),"SMART SIM CARD NAGRA")</f>
        <v>SMART SIM CARD NAGRA</v>
      </c>
      <c r="B3433" s="22">
        <f>IFERROR(__xludf.DUMMYFUNCTION("""COMPUTED_VALUE"""),4.1000805E7)</f>
        <v>41000805</v>
      </c>
      <c r="C3433" s="21" t="str">
        <f>IFERROR(__xludf.DUMMYFUNCTION("""COMPUTED_VALUE"""),"246482596878")</f>
        <v>246482596878</v>
      </c>
      <c r="D3433" s="21" t="str">
        <f>IFERROR(__xludf.DUMMYFUNCTION("""COMPUTED_VALUE"""),"DIGITEC TECNOLOGIA DIGITAL E REPRES")</f>
        <v>DIGITEC TECNOLOGIA DIGITAL E REPRES</v>
      </c>
      <c r="E3433" s="21">
        <f>IFERROR(__xludf.DUMMYFUNCTION("""COMPUTED_VALUE"""),145359.0)</f>
        <v>145359</v>
      </c>
      <c r="F3433" s="21" t="str">
        <f>IFERROR(__xludf.DUMMYFUNCTION("""COMPUTED_VALUE"""),"PERDA")</f>
        <v>PERDA</v>
      </c>
      <c r="G3433" s="23">
        <f>IFERROR(__xludf.DUMMYFUNCTION("""COMPUTED_VALUE"""),45134.41050925926)</f>
        <v>45134.41051</v>
      </c>
      <c r="H3433" s="24" t="str">
        <f>IFERROR(VLOOKUP(B3433,material!A:D,3,0),"")</f>
        <v>SIM CARD</v>
      </c>
    </row>
    <row r="3434" ht="11.25" customHeight="1">
      <c r="A3434" s="21" t="str">
        <f>IFERROR(__xludf.DUMMYFUNCTION("""COMPUTED_VALUE"""),"SAG4KC362")</f>
        <v>SAG4KC362</v>
      </c>
      <c r="B3434" s="22">
        <f>IFERROR(__xludf.DUMMYFUNCTION("""COMPUTED_VALUE"""),4.1001068E7)</f>
        <v>41001068</v>
      </c>
      <c r="C3434" s="21" t="str">
        <f>IFERROR(__xludf.DUMMYFUNCTION("""COMPUTED_VALUE"""),"229719906973")</f>
        <v>229719906973</v>
      </c>
      <c r="D3434" s="21" t="str">
        <f>IFERROR(__xludf.DUMMYFUNCTION("""COMPUTED_VALUE"""),"DIGITEC TECNOLOGIA DIGITAL E REPRES")</f>
        <v>DIGITEC TECNOLOGIA DIGITAL E REPRES</v>
      </c>
      <c r="E3434" s="21">
        <f>IFERROR(__xludf.DUMMYFUNCTION("""COMPUTED_VALUE"""),145359.0)</f>
        <v>145359</v>
      </c>
      <c r="F3434" s="21" t="str">
        <f>IFERROR(__xludf.DUMMYFUNCTION("""COMPUTED_VALUE"""),"PERDA")</f>
        <v>PERDA</v>
      </c>
      <c r="G3434" s="23">
        <f>IFERROR(__xludf.DUMMYFUNCTION("""COMPUTED_VALUE"""),45134.41050925926)</f>
        <v>45134.41051</v>
      </c>
      <c r="H3434" s="24" t="str">
        <f>IFERROR(VLOOKUP(B3434,material!A:D,3,0),"")</f>
        <v>4K</v>
      </c>
    </row>
    <row r="3435" ht="11.25" customHeight="1">
      <c r="A3435" s="21" t="str">
        <f>IFERROR(__xludf.DUMMYFUNCTION("""COMPUTED_VALUE"""),"SAG4KC362")</f>
        <v>SAG4KC362</v>
      </c>
      <c r="B3435" s="22">
        <f>IFERROR(__xludf.DUMMYFUNCTION("""COMPUTED_VALUE"""),4.1001068E7)</f>
        <v>41001068</v>
      </c>
      <c r="C3435" s="21" t="str">
        <f>IFERROR(__xludf.DUMMYFUNCTION("""COMPUTED_VALUE"""),"216947777680")</f>
        <v>216947777680</v>
      </c>
      <c r="D3435" s="21" t="str">
        <f>IFERROR(__xludf.DUMMYFUNCTION("""COMPUTED_VALUE"""),"DIGITEC TECNOLOGIA DIGITAL E REPRES")</f>
        <v>DIGITEC TECNOLOGIA DIGITAL E REPRES</v>
      </c>
      <c r="E3435" s="21">
        <f>IFERROR(__xludf.DUMMYFUNCTION("""COMPUTED_VALUE"""),145359.0)</f>
        <v>145359</v>
      </c>
      <c r="F3435" s="21" t="str">
        <f>IFERROR(__xludf.DUMMYFUNCTION("""COMPUTED_VALUE"""),"PERDA")</f>
        <v>PERDA</v>
      </c>
      <c r="G3435" s="23">
        <f>IFERROR(__xludf.DUMMYFUNCTION("""COMPUTED_VALUE"""),45134.41050925926)</f>
        <v>45134.41051</v>
      </c>
      <c r="H3435" s="24" t="str">
        <f>IFERROR(VLOOKUP(B3435,material!A:D,3,0),"")</f>
        <v>4K</v>
      </c>
    </row>
    <row r="3436" ht="11.25" customHeight="1">
      <c r="A3436" s="21" t="str">
        <f>IFERROR(__xludf.DUMMYFUNCTION("""COMPUTED_VALUE"""),"SCBOPP 4NP PR 128KB TRIPLE")</f>
        <v>SCBOPP 4NP PR 128KB TRIPLE</v>
      </c>
      <c r="B3436" s="22">
        <f>IFERROR(__xludf.DUMMYFUNCTION("""COMPUTED_VALUE"""),4.1001382E7)</f>
        <v>41001382</v>
      </c>
      <c r="C3436" s="21" t="str">
        <f>IFERROR(__xludf.DUMMYFUNCTION("""COMPUTED_VALUE"""),"89550531810031463670")</f>
        <v>89550531810031463670</v>
      </c>
      <c r="D3436" s="21" t="str">
        <f>IFERROR(__xludf.DUMMYFUNCTION("""COMPUTED_VALUE"""),"DIGITEC TECNOLOGIA DIGITAL E REPRES")</f>
        <v>DIGITEC TECNOLOGIA DIGITAL E REPRES</v>
      </c>
      <c r="E3436" s="21">
        <f>IFERROR(__xludf.DUMMYFUNCTION("""COMPUTED_VALUE"""),145359.0)</f>
        <v>145359</v>
      </c>
      <c r="F3436" s="21" t="str">
        <f>IFERROR(__xludf.DUMMYFUNCTION("""COMPUTED_VALUE"""),"PERDA")</f>
        <v>PERDA</v>
      </c>
      <c r="G3436" s="23">
        <f>IFERROR(__xludf.DUMMYFUNCTION("""COMPUTED_VALUE"""),45252.305983796294)</f>
        <v>45252.30598</v>
      </c>
      <c r="H3436" s="24" t="str">
        <f>IFERROR(VLOOKUP(B3436,material!A:D,3,0),"")</f>
        <v>CHIP</v>
      </c>
    </row>
    <row r="3437" ht="11.25" customHeight="1">
      <c r="A3437" s="21" t="str">
        <f>IFERROR(__xludf.DUMMYFUNCTION("""COMPUTED_VALUE"""),"SCBOPP 4NP PR 128KB TRIPLE")</f>
        <v>SCBOPP 4NP PR 128KB TRIPLE</v>
      </c>
      <c r="B3437" s="22">
        <f>IFERROR(__xludf.DUMMYFUNCTION("""COMPUTED_VALUE"""),4.1001382E7)</f>
        <v>41001382</v>
      </c>
      <c r="C3437" s="21" t="str">
        <f>IFERROR(__xludf.DUMMYFUNCTION("""COMPUTED_VALUE"""),"89550537850002339735")</f>
        <v>89550537850002339735</v>
      </c>
      <c r="D3437" s="21" t="str">
        <f>IFERROR(__xludf.DUMMYFUNCTION("""COMPUTED_VALUE"""),"DIGITEC TECNOLOGIA DIGITAL E REPRES")</f>
        <v>DIGITEC TECNOLOGIA DIGITAL E REPRES</v>
      </c>
      <c r="E3437" s="21">
        <f>IFERROR(__xludf.DUMMYFUNCTION("""COMPUTED_VALUE"""),145359.0)</f>
        <v>145359</v>
      </c>
      <c r="F3437" s="21" t="str">
        <f>IFERROR(__xludf.DUMMYFUNCTION("""COMPUTED_VALUE"""),"PERDA")</f>
        <v>PERDA</v>
      </c>
      <c r="G3437" s="23">
        <f>IFERROR(__xludf.DUMMYFUNCTION("""COMPUTED_VALUE"""),45252.305983796294)</f>
        <v>45252.30598</v>
      </c>
      <c r="H3437" s="24" t="str">
        <f>IFERROR(VLOOKUP(B3437,material!A:D,3,0),"")</f>
        <v>CHIP</v>
      </c>
    </row>
    <row r="3438" ht="11.25" customHeight="1">
      <c r="A3438" s="21" t="str">
        <f>IFERROR(__xludf.DUMMYFUNCTION("""COMPUTED_VALUE"""),"SCBOPP 4NP PR 128KB TRIPLE")</f>
        <v>SCBOPP 4NP PR 128KB TRIPLE</v>
      </c>
      <c r="B3438" s="22">
        <f>IFERROR(__xludf.DUMMYFUNCTION("""COMPUTED_VALUE"""),4.1001382E7)</f>
        <v>41001382</v>
      </c>
      <c r="C3438" s="21" t="str">
        <f>IFERROR(__xludf.DUMMYFUNCTION("""COMPUTED_VALUE"""),"89550534850017183006")</f>
        <v>89550534850017183006</v>
      </c>
      <c r="D3438" s="21" t="str">
        <f>IFERROR(__xludf.DUMMYFUNCTION("""COMPUTED_VALUE"""),"DIGITEC TECNOLOGIA DIGITAL E REPRES")</f>
        <v>DIGITEC TECNOLOGIA DIGITAL E REPRES</v>
      </c>
      <c r="E3438" s="21">
        <f>IFERROR(__xludf.DUMMYFUNCTION("""COMPUTED_VALUE"""),145359.0)</f>
        <v>145359</v>
      </c>
      <c r="F3438" s="21" t="str">
        <f>IFERROR(__xludf.DUMMYFUNCTION("""COMPUTED_VALUE"""),"PERDA")</f>
        <v>PERDA</v>
      </c>
      <c r="G3438" s="23">
        <f>IFERROR(__xludf.DUMMYFUNCTION("""COMPUTED_VALUE"""),45252.305983796294)</f>
        <v>45252.30598</v>
      </c>
      <c r="H3438" s="24" t="str">
        <f>IFERROR(VLOOKUP(B3438,material!A:D,3,0),"")</f>
        <v>CHIP</v>
      </c>
    </row>
    <row r="3439" ht="11.25" customHeight="1">
      <c r="A3439" s="21" t="str">
        <f>IFERROR(__xludf.DUMMYFUNCTION("""COMPUTED_VALUE"""),"SCBOPP 4NP PR 128KB TRIPLE")</f>
        <v>SCBOPP 4NP PR 128KB TRIPLE</v>
      </c>
      <c r="B3439" s="22">
        <f>IFERROR(__xludf.DUMMYFUNCTION("""COMPUTED_VALUE"""),4.1001382E7)</f>
        <v>41001382</v>
      </c>
      <c r="C3439" s="21" t="str">
        <f>IFERROR(__xludf.DUMMYFUNCTION("""COMPUTED_VALUE"""),"89550534850017182479")</f>
        <v>89550534850017182479</v>
      </c>
      <c r="D3439" s="21" t="str">
        <f>IFERROR(__xludf.DUMMYFUNCTION("""COMPUTED_VALUE"""),"DIGITEC TECNOLOGIA DIGITAL E REPRES")</f>
        <v>DIGITEC TECNOLOGIA DIGITAL E REPRES</v>
      </c>
      <c r="E3439" s="21">
        <f>IFERROR(__xludf.DUMMYFUNCTION("""COMPUTED_VALUE"""),145359.0)</f>
        <v>145359</v>
      </c>
      <c r="F3439" s="21" t="str">
        <f>IFERROR(__xludf.DUMMYFUNCTION("""COMPUTED_VALUE"""),"PERDA")</f>
        <v>PERDA</v>
      </c>
      <c r="G3439" s="23">
        <f>IFERROR(__xludf.DUMMYFUNCTION("""COMPUTED_VALUE"""),45252.305983796294)</f>
        <v>45252.30598</v>
      </c>
      <c r="H3439" s="24" t="str">
        <f>IFERROR(VLOOKUP(B3439,material!A:D,3,0),"")</f>
        <v>CHIP</v>
      </c>
    </row>
    <row r="3440" ht="11.25" customHeight="1">
      <c r="A3440" s="21" t="str">
        <f>IFERROR(__xludf.DUMMYFUNCTION("""COMPUTED_VALUE"""),"SCBOPP 4NP PR 128KB TRIPLE")</f>
        <v>SCBOPP 4NP PR 128KB TRIPLE</v>
      </c>
      <c r="B3440" s="22">
        <f>IFERROR(__xludf.DUMMYFUNCTION("""COMPUTED_VALUE"""),4.1001382E7)</f>
        <v>41001382</v>
      </c>
      <c r="C3440" s="21" t="str">
        <f>IFERROR(__xludf.DUMMYFUNCTION("""COMPUTED_VALUE"""),"89550534850017182891")</f>
        <v>89550534850017182891</v>
      </c>
      <c r="D3440" s="21" t="str">
        <f>IFERROR(__xludf.DUMMYFUNCTION("""COMPUTED_VALUE"""),"DIGITEC TECNOLOGIA DIGITAL E REPRES")</f>
        <v>DIGITEC TECNOLOGIA DIGITAL E REPRES</v>
      </c>
      <c r="E3440" s="21">
        <f>IFERROR(__xludf.DUMMYFUNCTION("""COMPUTED_VALUE"""),145359.0)</f>
        <v>145359</v>
      </c>
      <c r="F3440" s="21" t="str">
        <f>IFERROR(__xludf.DUMMYFUNCTION("""COMPUTED_VALUE"""),"PERDA")</f>
        <v>PERDA</v>
      </c>
      <c r="G3440" s="23">
        <f>IFERROR(__xludf.DUMMYFUNCTION("""COMPUTED_VALUE"""),45252.305983796294)</f>
        <v>45252.30598</v>
      </c>
      <c r="H3440" s="24" t="str">
        <f>IFERROR(VLOOKUP(B3440,material!A:D,3,0),"")</f>
        <v>CHIP</v>
      </c>
    </row>
    <row r="3441" ht="11.25" customHeight="1">
      <c r="A3441" s="21" t="str">
        <f>IFERROR(__xludf.DUMMYFUNCTION("""COMPUTED_VALUE"""),"SCBOPP 4NP PR 128KB TRIPLE")</f>
        <v>SCBOPP 4NP PR 128KB TRIPLE</v>
      </c>
      <c r="B3441" s="22">
        <f>IFERROR(__xludf.DUMMYFUNCTION("""COMPUTED_VALUE"""),4.1001382E7)</f>
        <v>41001382</v>
      </c>
      <c r="C3441" s="21" t="str">
        <f>IFERROR(__xludf.DUMMYFUNCTION("""COMPUTED_VALUE"""),"89550539850013958836")</f>
        <v>89550539850013958836</v>
      </c>
      <c r="D3441" s="21" t="str">
        <f>IFERROR(__xludf.DUMMYFUNCTION("""COMPUTED_VALUE"""),"DIGITEC TECNOLOGIA DIGITAL E REPRES")</f>
        <v>DIGITEC TECNOLOGIA DIGITAL E REPRES</v>
      </c>
      <c r="E3441" s="21">
        <f>IFERROR(__xludf.DUMMYFUNCTION("""COMPUTED_VALUE"""),145359.0)</f>
        <v>145359</v>
      </c>
      <c r="F3441" s="21" t="str">
        <f>IFERROR(__xludf.DUMMYFUNCTION("""COMPUTED_VALUE"""),"PERDA")</f>
        <v>PERDA</v>
      </c>
      <c r="G3441" s="23">
        <f>IFERROR(__xludf.DUMMYFUNCTION("""COMPUTED_VALUE"""),45252.305983796294)</f>
        <v>45252.30598</v>
      </c>
      <c r="H3441" s="24" t="str">
        <f>IFERROR(VLOOKUP(B3441,material!A:D,3,0),"")</f>
        <v>CHIP</v>
      </c>
    </row>
    <row r="3442" ht="11.25" customHeight="1">
      <c r="A3442" s="21" t="str">
        <f>IFERROR(__xludf.DUMMYFUNCTION("""COMPUTED_VALUE"""),"SCBOPP 4NP PR 128KB TRIPLE")</f>
        <v>SCBOPP 4NP PR 128KB TRIPLE</v>
      </c>
      <c r="B3442" s="22">
        <f>IFERROR(__xludf.DUMMYFUNCTION("""COMPUTED_VALUE"""),4.1001382E7)</f>
        <v>41001382</v>
      </c>
      <c r="C3442" s="21" t="str">
        <f>IFERROR(__xludf.DUMMYFUNCTION("""COMPUTED_VALUE"""),"89550539850013685744")</f>
        <v>89550539850013685744</v>
      </c>
      <c r="D3442" s="21" t="str">
        <f>IFERROR(__xludf.DUMMYFUNCTION("""COMPUTED_VALUE"""),"DIGITEC TECNOLOGIA DIGITAL E REPRES")</f>
        <v>DIGITEC TECNOLOGIA DIGITAL E REPRES</v>
      </c>
      <c r="E3442" s="21">
        <f>IFERROR(__xludf.DUMMYFUNCTION("""COMPUTED_VALUE"""),145359.0)</f>
        <v>145359</v>
      </c>
      <c r="F3442" s="21" t="str">
        <f>IFERROR(__xludf.DUMMYFUNCTION("""COMPUTED_VALUE"""),"PERDA")</f>
        <v>PERDA</v>
      </c>
      <c r="G3442" s="23">
        <f>IFERROR(__xludf.DUMMYFUNCTION("""COMPUTED_VALUE"""),45252.305983796294)</f>
        <v>45252.30598</v>
      </c>
      <c r="H3442" s="24" t="str">
        <f>IFERROR(VLOOKUP(B3442,material!A:D,3,0),"")</f>
        <v>CHIP</v>
      </c>
    </row>
    <row r="3443" ht="11.25" customHeight="1">
      <c r="A3443" s="21" t="str">
        <f>IFERROR(__xludf.DUMMYFUNCTION("""COMPUTED_VALUE"""),"SCBOPP 4NP PR 128KB TRIPLE")</f>
        <v>SCBOPP 4NP PR 128KB TRIPLE</v>
      </c>
      <c r="B3443" s="22">
        <f>IFERROR(__xludf.DUMMYFUNCTION("""COMPUTED_VALUE"""),4.1001382E7)</f>
        <v>41001382</v>
      </c>
      <c r="C3443" s="21" t="str">
        <f>IFERROR(__xludf.DUMMYFUNCTION("""COMPUTED_VALUE"""),"89550537880000163738")</f>
        <v>89550537880000163738</v>
      </c>
      <c r="D3443" s="21" t="str">
        <f>IFERROR(__xludf.DUMMYFUNCTION("""COMPUTED_VALUE"""),"DIGITEC TECNOLOGIA DIGITAL E REPRES")</f>
        <v>DIGITEC TECNOLOGIA DIGITAL E REPRES</v>
      </c>
      <c r="E3443" s="21">
        <f>IFERROR(__xludf.DUMMYFUNCTION("""COMPUTED_VALUE"""),145359.0)</f>
        <v>145359</v>
      </c>
      <c r="F3443" s="21" t="str">
        <f>IFERROR(__xludf.DUMMYFUNCTION("""COMPUTED_VALUE"""),"PERDA")</f>
        <v>PERDA</v>
      </c>
      <c r="G3443" s="23">
        <f>IFERROR(__xludf.DUMMYFUNCTION("""COMPUTED_VALUE"""),45252.305983796294)</f>
        <v>45252.30598</v>
      </c>
      <c r="H3443" s="24" t="str">
        <f>IFERROR(VLOOKUP(B3443,material!A:D,3,0),"")</f>
        <v>CHIP</v>
      </c>
    </row>
    <row r="3444" ht="11.25" customHeight="1">
      <c r="A3444" s="21" t="str">
        <f>IFERROR(__xludf.DUMMYFUNCTION("""COMPUTED_VALUE"""),"SCBOPP 4NP PR 128KB TRIPLE")</f>
        <v>SCBOPP 4NP PR 128KB TRIPLE</v>
      </c>
      <c r="B3444" s="22">
        <f>IFERROR(__xludf.DUMMYFUNCTION("""COMPUTED_VALUE"""),4.1001382E7)</f>
        <v>41001382</v>
      </c>
      <c r="C3444" s="21" t="str">
        <f>IFERROR(__xludf.DUMMYFUNCTION("""COMPUTED_VALUE"""),"89550531890022274898")</f>
        <v>89550531890022274898</v>
      </c>
      <c r="D3444" s="21" t="str">
        <f>IFERROR(__xludf.DUMMYFUNCTION("""COMPUTED_VALUE"""),"DIGITEC TECNOLOGIA DIGITAL E REPRES")</f>
        <v>DIGITEC TECNOLOGIA DIGITAL E REPRES</v>
      </c>
      <c r="E3444" s="21">
        <f>IFERROR(__xludf.DUMMYFUNCTION("""COMPUTED_VALUE"""),145359.0)</f>
        <v>145359</v>
      </c>
      <c r="F3444" s="21" t="str">
        <f>IFERROR(__xludf.DUMMYFUNCTION("""COMPUTED_VALUE"""),"PERDA")</f>
        <v>PERDA</v>
      </c>
      <c r="G3444" s="23">
        <f>IFERROR(__xludf.DUMMYFUNCTION("""COMPUTED_VALUE"""),45252.305983796294)</f>
        <v>45252.30598</v>
      </c>
      <c r="H3444" s="24" t="str">
        <f>IFERROR(VLOOKUP(B3444,material!A:D,3,0),"")</f>
        <v>CHIP</v>
      </c>
    </row>
    <row r="3445" ht="11.25" customHeight="1">
      <c r="A3445" s="21" t="str">
        <f>IFERROR(__xludf.DUMMYFUNCTION("""COMPUTED_VALUE"""),"SCBOPP 4NP PR 128KB TRIPLE")</f>
        <v>SCBOPP 4NP PR 128KB TRIPLE</v>
      </c>
      <c r="B3445" s="22">
        <f>IFERROR(__xludf.DUMMYFUNCTION("""COMPUTED_VALUE"""),4.1001382E7)</f>
        <v>41001382</v>
      </c>
      <c r="C3445" s="21" t="str">
        <f>IFERROR(__xludf.DUMMYFUNCTION("""COMPUTED_VALUE"""),"89550539850013778572")</f>
        <v>89550539850013778572</v>
      </c>
      <c r="D3445" s="21" t="str">
        <f>IFERROR(__xludf.DUMMYFUNCTION("""COMPUTED_VALUE"""),"DIGITEC TECNOLOGIA DIGITAL E REPRES")</f>
        <v>DIGITEC TECNOLOGIA DIGITAL E REPRES</v>
      </c>
      <c r="E3445" s="21">
        <f>IFERROR(__xludf.DUMMYFUNCTION("""COMPUTED_VALUE"""),145359.0)</f>
        <v>145359</v>
      </c>
      <c r="F3445" s="21" t="str">
        <f>IFERROR(__xludf.DUMMYFUNCTION("""COMPUTED_VALUE"""),"PERDA")</f>
        <v>PERDA</v>
      </c>
      <c r="G3445" s="23">
        <f>IFERROR(__xludf.DUMMYFUNCTION("""COMPUTED_VALUE"""),45252.305983796294)</f>
        <v>45252.30598</v>
      </c>
      <c r="H3445" s="24" t="str">
        <f>IFERROR(VLOOKUP(B3445,material!A:D,3,0),"")</f>
        <v>CHIP</v>
      </c>
    </row>
    <row r="3446" ht="11.25" customHeight="1">
      <c r="A3446" s="21" t="str">
        <f>IFERROR(__xludf.DUMMYFUNCTION("""COMPUTED_VALUE"""),"SCBOPP 4NP PR 128KB TRIPLE")</f>
        <v>SCBOPP 4NP PR 128KB TRIPLE</v>
      </c>
      <c r="B3446" s="22">
        <f>IFERROR(__xludf.DUMMYFUNCTION("""COMPUTED_VALUE"""),4.1001382E7)</f>
        <v>41001382</v>
      </c>
      <c r="C3446" s="21" t="str">
        <f>IFERROR(__xludf.DUMMYFUNCTION("""COMPUTED_VALUE"""),"89550539850013938556")</f>
        <v>89550539850013938556</v>
      </c>
      <c r="D3446" s="21" t="str">
        <f>IFERROR(__xludf.DUMMYFUNCTION("""COMPUTED_VALUE"""),"DIGITEC TECNOLOGIA DIGITAL E REPRES")</f>
        <v>DIGITEC TECNOLOGIA DIGITAL E REPRES</v>
      </c>
      <c r="E3446" s="21">
        <f>IFERROR(__xludf.DUMMYFUNCTION("""COMPUTED_VALUE"""),145359.0)</f>
        <v>145359</v>
      </c>
      <c r="F3446" s="21" t="str">
        <f>IFERROR(__xludf.DUMMYFUNCTION("""COMPUTED_VALUE"""),"PERDA")</f>
        <v>PERDA</v>
      </c>
      <c r="G3446" s="23">
        <f>IFERROR(__xludf.DUMMYFUNCTION("""COMPUTED_VALUE"""),45252.305983796294)</f>
        <v>45252.30598</v>
      </c>
      <c r="H3446" s="24" t="str">
        <f>IFERROR(VLOOKUP(B3446,material!A:D,3,0),"")</f>
        <v>CHIP</v>
      </c>
    </row>
    <row r="3447" ht="11.25" customHeight="1">
      <c r="A3447" s="21" t="str">
        <f>IFERROR(__xludf.DUMMYFUNCTION("""COMPUTED_VALUE"""),"SCBOPP 4NP PR 128KB TRIPLE")</f>
        <v>SCBOPP 4NP PR 128KB TRIPLE</v>
      </c>
      <c r="B3447" s="22">
        <f>IFERROR(__xludf.DUMMYFUNCTION("""COMPUTED_VALUE"""),4.1001382E7)</f>
        <v>41001382</v>
      </c>
      <c r="C3447" s="21" t="str">
        <f>IFERROR(__xludf.DUMMYFUNCTION("""COMPUTED_VALUE"""),"89550534850010318153")</f>
        <v>89550534850010318153</v>
      </c>
      <c r="D3447" s="21" t="str">
        <f>IFERROR(__xludf.DUMMYFUNCTION("""COMPUTED_VALUE"""),"DIGITEC TECNOLOGIA DIGITAL E REPRES")</f>
        <v>DIGITEC TECNOLOGIA DIGITAL E REPRES</v>
      </c>
      <c r="E3447" s="21">
        <f>IFERROR(__xludf.DUMMYFUNCTION("""COMPUTED_VALUE"""),145359.0)</f>
        <v>145359</v>
      </c>
      <c r="F3447" s="21" t="str">
        <f>IFERROR(__xludf.DUMMYFUNCTION("""COMPUTED_VALUE"""),"PERDA")</f>
        <v>PERDA</v>
      </c>
      <c r="G3447" s="23">
        <f>IFERROR(__xludf.DUMMYFUNCTION("""COMPUTED_VALUE"""),45252.305983796294)</f>
        <v>45252.30598</v>
      </c>
      <c r="H3447" s="24" t="str">
        <f>IFERROR(VLOOKUP(B3447,material!A:D,3,0),"")</f>
        <v>CHIP</v>
      </c>
    </row>
    <row r="3448" ht="11.25" customHeight="1">
      <c r="A3448" s="21" t="str">
        <f>IFERROR(__xludf.DUMMYFUNCTION("""COMPUTED_VALUE"""),"ARRIS TG1692A")</f>
        <v>ARRIS TG1692A</v>
      </c>
      <c r="B3448" s="22">
        <f>IFERROR(__xludf.DUMMYFUNCTION("""COMPUTED_VALUE"""),4.1001293E7)</f>
        <v>41001293</v>
      </c>
      <c r="C3448" s="21" t="str">
        <f>IFERROR(__xludf.DUMMYFUNCTION("""COMPUTED_VALUE"""),"4C12653A526F")</f>
        <v>4C12653A526F</v>
      </c>
      <c r="D3448" s="21" t="str">
        <f>IFERROR(__xludf.DUMMYFUNCTION("""COMPUTED_VALUE"""),"DIGITEC TECNOLOGIA DIGITAL E REPRES")</f>
        <v>DIGITEC TECNOLOGIA DIGITAL E REPRES</v>
      </c>
      <c r="E3448" s="21">
        <f>IFERROR(__xludf.DUMMYFUNCTION("""COMPUTED_VALUE"""),145359.0)</f>
        <v>145359</v>
      </c>
      <c r="F3448" s="21" t="str">
        <f>IFERROR(__xludf.DUMMYFUNCTION("""COMPUTED_VALUE"""),"PERDA")</f>
        <v>PERDA</v>
      </c>
      <c r="G3448" s="23">
        <f>IFERROR(__xludf.DUMMYFUNCTION("""COMPUTED_VALUE"""),45348.616388888884)</f>
        <v>45348.61639</v>
      </c>
      <c r="H3448" s="24" t="str">
        <f>IFERROR(VLOOKUP(B3448,material!A:D,3,0),"")</f>
        <v>DUAL</v>
      </c>
    </row>
    <row r="3449" ht="11.25" customHeight="1">
      <c r="A3449" s="21" t="str">
        <f>IFERROR(__xludf.DUMMYFUNCTION("""COMPUTED_VALUE"""),"ARRIS TG1692A")</f>
        <v>ARRIS TG1692A</v>
      </c>
      <c r="B3449" s="22">
        <f>IFERROR(__xludf.DUMMYFUNCTION("""COMPUTED_VALUE"""),4.1001293E7)</f>
        <v>41001293</v>
      </c>
      <c r="C3449" s="21" t="str">
        <f>IFERROR(__xludf.DUMMYFUNCTION("""COMPUTED_VALUE"""),"2C584F3674F2")</f>
        <v>2C584F3674F2</v>
      </c>
      <c r="D3449" s="21" t="str">
        <f>IFERROR(__xludf.DUMMYFUNCTION("""COMPUTED_VALUE"""),"DIGITEC TECNOLOGIA DIGITAL E REPRES")</f>
        <v>DIGITEC TECNOLOGIA DIGITAL E REPRES</v>
      </c>
      <c r="E3449" s="21">
        <f>IFERROR(__xludf.DUMMYFUNCTION("""COMPUTED_VALUE"""),145359.0)</f>
        <v>145359</v>
      </c>
      <c r="F3449" s="21" t="str">
        <f>IFERROR(__xludf.DUMMYFUNCTION("""COMPUTED_VALUE"""),"PERDA")</f>
        <v>PERDA</v>
      </c>
      <c r="G3449" s="23">
        <f>IFERROR(__xludf.DUMMYFUNCTION("""COMPUTED_VALUE"""),45113.48866898148)</f>
        <v>45113.48867</v>
      </c>
      <c r="H3449" s="24" t="str">
        <f>IFERROR(VLOOKUP(B3449,material!A:D,3,0),"")</f>
        <v>DUAL</v>
      </c>
    </row>
    <row r="3450" ht="11.25" customHeight="1">
      <c r="A3450" s="21" t="str">
        <f>IFERROR(__xludf.DUMMYFUNCTION("""COMPUTED_VALUE"""),"HUMAX HGB10R-02")</f>
        <v>HUMAX HGB10R-02</v>
      </c>
      <c r="B3450" s="22">
        <f>IFERROR(__xludf.DUMMYFUNCTION("""COMPUTED_VALUE"""),4.1001292E7)</f>
        <v>41001292</v>
      </c>
      <c r="C3450" s="21" t="str">
        <f>IFERROR(__xludf.DUMMYFUNCTION("""COMPUTED_VALUE"""),"8C444F1EFACB")</f>
        <v>8C444F1EFACB</v>
      </c>
      <c r="D3450" s="21" t="str">
        <f>IFERROR(__xludf.DUMMYFUNCTION("""COMPUTED_VALUE"""),"DIGITEC TECNOLOGIA DIGITAL E REPRES")</f>
        <v>DIGITEC TECNOLOGIA DIGITAL E REPRES</v>
      </c>
      <c r="E3450" s="21">
        <f>IFERROR(__xludf.DUMMYFUNCTION("""COMPUTED_VALUE"""),145359.0)</f>
        <v>145359</v>
      </c>
      <c r="F3450" s="21" t="str">
        <f>IFERROR(__xludf.DUMMYFUNCTION("""COMPUTED_VALUE"""),"PERDA")</f>
        <v>PERDA</v>
      </c>
      <c r="G3450" s="23">
        <f>IFERROR(__xludf.DUMMYFUNCTION("""COMPUTED_VALUE"""),45348.616388888884)</f>
        <v>45348.61639</v>
      </c>
      <c r="H3450" s="24" t="str">
        <f>IFERROR(VLOOKUP(B3450,material!A:D,3,0),"")</f>
        <v>DUAL</v>
      </c>
    </row>
    <row r="3451" ht="11.25" customHeight="1">
      <c r="A3451" s="21" t="str">
        <f>IFERROR(__xludf.DUMMYFUNCTION("""COMPUTED_VALUE"""),"HUMAX HGB10R-02")</f>
        <v>HUMAX HGB10R-02</v>
      </c>
      <c r="B3451" s="22">
        <f>IFERROR(__xludf.DUMMYFUNCTION("""COMPUTED_VALUE"""),4.1001292E7)</f>
        <v>41001292</v>
      </c>
      <c r="C3451" s="21" t="str">
        <f>IFERROR(__xludf.DUMMYFUNCTION("""COMPUTED_VALUE"""),"8C444F1DA87F")</f>
        <v>8C444F1DA87F</v>
      </c>
      <c r="D3451" s="21" t="str">
        <f>IFERROR(__xludf.DUMMYFUNCTION("""COMPUTED_VALUE"""),"DIGITEC TECNOLOGIA DIGITAL E REPRES")</f>
        <v>DIGITEC TECNOLOGIA DIGITAL E REPRES</v>
      </c>
      <c r="E3451" s="21">
        <f>IFERROR(__xludf.DUMMYFUNCTION("""COMPUTED_VALUE"""),145359.0)</f>
        <v>145359</v>
      </c>
      <c r="F3451" s="21" t="str">
        <f>IFERROR(__xludf.DUMMYFUNCTION("""COMPUTED_VALUE"""),"PERDA")</f>
        <v>PERDA</v>
      </c>
      <c r="G3451" s="23">
        <f>IFERROR(__xludf.DUMMYFUNCTION("""COMPUTED_VALUE"""),45348.616388888884)</f>
        <v>45348.61639</v>
      </c>
      <c r="H3451" s="24" t="str">
        <f>IFERROR(VLOOKUP(B3451,material!A:D,3,0),"")</f>
        <v>DUAL</v>
      </c>
    </row>
    <row r="3452" ht="11.25" customHeight="1">
      <c r="A3452" s="21" t="str">
        <f>IFERROR(__xludf.DUMMYFUNCTION("""COMPUTED_VALUE"""),"HUMAX HGB10R-02")</f>
        <v>HUMAX HGB10R-02</v>
      </c>
      <c r="B3452" s="22">
        <f>IFERROR(__xludf.DUMMYFUNCTION("""COMPUTED_VALUE"""),4.1001292E7)</f>
        <v>41001292</v>
      </c>
      <c r="C3452" s="21" t="str">
        <f>IFERROR(__xludf.DUMMYFUNCTION("""COMPUTED_VALUE"""),"8C444F0DE282")</f>
        <v>8C444F0DE282</v>
      </c>
      <c r="D3452" s="21" t="str">
        <f>IFERROR(__xludf.DUMMYFUNCTION("""COMPUTED_VALUE"""),"DIGITEC TECNOLOGIA DIGITAL E REPRES")</f>
        <v>DIGITEC TECNOLOGIA DIGITAL E REPRES</v>
      </c>
      <c r="E3452" s="21">
        <f>IFERROR(__xludf.DUMMYFUNCTION("""COMPUTED_VALUE"""),145359.0)</f>
        <v>145359</v>
      </c>
      <c r="F3452" s="21" t="str">
        <f>IFERROR(__xludf.DUMMYFUNCTION("""COMPUTED_VALUE"""),"PERDA")</f>
        <v>PERDA</v>
      </c>
      <c r="G3452" s="23">
        <f>IFERROR(__xludf.DUMMYFUNCTION("""COMPUTED_VALUE"""),45134.41050925926)</f>
        <v>45134.41051</v>
      </c>
      <c r="H3452" s="24" t="str">
        <f>IFERROR(VLOOKUP(B3452,material!A:D,3,0),"")</f>
        <v>DUAL</v>
      </c>
    </row>
    <row r="3453" ht="11.25" customHeight="1">
      <c r="A3453" s="21" t="str">
        <f>IFERROR(__xludf.DUMMYFUNCTION("""COMPUTED_VALUE"""),"HARD DISK 500GB EXTERNO 2.0")</f>
        <v>HARD DISK 500GB EXTERNO 2.0</v>
      </c>
      <c r="B3453" s="22">
        <f>IFERROR(__xludf.DUMMYFUNCTION("""COMPUTED_VALUE"""),4.1001376E7)</f>
        <v>41001376</v>
      </c>
      <c r="C3453" s="21" t="str">
        <f>IFERROR(__xludf.DUMMYFUNCTION("""COMPUTED_VALUE"""),"408150080519")</f>
        <v>408150080519</v>
      </c>
      <c r="D3453" s="21" t="str">
        <f>IFERROR(__xludf.DUMMYFUNCTION("""COMPUTED_VALUE"""),"DIGITEC TECNOLOGIA DIGITAL E REPRES")</f>
        <v>DIGITEC TECNOLOGIA DIGITAL E REPRES</v>
      </c>
      <c r="E3453" s="21">
        <f>IFERROR(__xludf.DUMMYFUNCTION("""COMPUTED_VALUE"""),145359.0)</f>
        <v>145359</v>
      </c>
      <c r="F3453" s="21" t="str">
        <f>IFERROR(__xludf.DUMMYFUNCTION("""COMPUTED_VALUE"""),"PERDA")</f>
        <v>PERDA</v>
      </c>
      <c r="G3453" s="23">
        <f>IFERROR(__xludf.DUMMYFUNCTION("""COMPUTED_VALUE"""),45203.317141203705)</f>
        <v>45203.31714</v>
      </c>
      <c r="H3453" s="24" t="str">
        <f>IFERROR(VLOOKUP(B3453,material!A:D,3,0),"")</f>
        <v>HDD</v>
      </c>
    </row>
    <row r="3454" ht="11.25" customHeight="1">
      <c r="A3454" s="21" t="str">
        <f>IFERROR(__xludf.DUMMYFUNCTION("""COMPUTED_VALUE"""),"HARD DISK 500GB EXTERNO 2.0")</f>
        <v>HARD DISK 500GB EXTERNO 2.0</v>
      </c>
      <c r="B3454" s="22">
        <f>IFERROR(__xludf.DUMMYFUNCTION("""COMPUTED_VALUE"""),4.1001376E7)</f>
        <v>41001376</v>
      </c>
      <c r="C3454" s="21" t="str">
        <f>IFERROR(__xludf.DUMMYFUNCTION("""COMPUTED_VALUE"""),"400158563752")</f>
        <v>400158563752</v>
      </c>
      <c r="D3454" s="21" t="str">
        <f>IFERROR(__xludf.DUMMYFUNCTION("""COMPUTED_VALUE"""),"DIGITEC TECNOLOGIA DIGITAL E REPRES")</f>
        <v>DIGITEC TECNOLOGIA DIGITAL E REPRES</v>
      </c>
      <c r="E3454" s="21">
        <f>IFERROR(__xludf.DUMMYFUNCTION("""COMPUTED_VALUE"""),145359.0)</f>
        <v>145359</v>
      </c>
      <c r="F3454" s="21" t="str">
        <f>IFERROR(__xludf.DUMMYFUNCTION("""COMPUTED_VALUE"""),"PERDA")</f>
        <v>PERDA</v>
      </c>
      <c r="G3454" s="23">
        <f>IFERROR(__xludf.DUMMYFUNCTION("""COMPUTED_VALUE"""),45134.41050925926)</f>
        <v>45134.41051</v>
      </c>
      <c r="H3454" s="24" t="str">
        <f>IFERROR(VLOOKUP(B3454,material!A:D,3,0),"")</f>
        <v>HDD</v>
      </c>
    </row>
    <row r="3455" ht="11.25" customHeight="1">
      <c r="A3455" s="21" t="str">
        <f>IFERROR(__xludf.DUMMYFUNCTION("""COMPUTED_VALUE"""),"DECODER DIGITAL HD HNB100 2T")</f>
        <v>DECODER DIGITAL HD HNB100 2T</v>
      </c>
      <c r="B3455" s="22">
        <f>IFERROR(__xludf.DUMMYFUNCTION("""COMPUTED_VALUE"""),4.1001276E7)</f>
        <v>41001276</v>
      </c>
      <c r="C3455" s="21" t="str">
        <f>IFERROR(__xludf.DUMMYFUNCTION("""COMPUTED_VALUE"""),"216878275151")</f>
        <v>216878275151</v>
      </c>
      <c r="D3455" s="21" t="str">
        <f>IFERROR(__xludf.DUMMYFUNCTION("""COMPUTED_VALUE"""),"DIGITEC TECNOLOGIA DIGITAL E REPRES")</f>
        <v>DIGITEC TECNOLOGIA DIGITAL E REPRES</v>
      </c>
      <c r="E3455" s="21">
        <f>IFERROR(__xludf.DUMMYFUNCTION("""COMPUTED_VALUE"""),145359.0)</f>
        <v>145359</v>
      </c>
      <c r="F3455" s="21" t="str">
        <f>IFERROR(__xludf.DUMMYFUNCTION("""COMPUTED_VALUE"""),"PERDA")</f>
        <v>PERDA</v>
      </c>
      <c r="G3455" s="23">
        <f>IFERROR(__xludf.DUMMYFUNCTION("""COMPUTED_VALUE"""),45134.41050925926)</f>
        <v>45134.41051</v>
      </c>
      <c r="H3455" s="24" t="str">
        <f>IFERROR(VLOOKUP(B3455,material!A:D,3,0),"")</f>
        <v>TOP MIX</v>
      </c>
    </row>
    <row r="3456" ht="11.25" customHeight="1">
      <c r="A3456" s="21" t="str">
        <f>IFERROR(__xludf.DUMMYFUNCTION("""COMPUTED_VALUE"""),"TERMINAL GPON ONT WIFI6 F6600P-NACIONAL")</f>
        <v>TERMINAL GPON ONT WIFI6 F6600P-NACIONAL</v>
      </c>
      <c r="B3456" s="22">
        <f>IFERROR(__xludf.DUMMYFUNCTION("""COMPUTED_VALUE"""),4.100159E7)</f>
        <v>41001590</v>
      </c>
      <c r="C3456" s="21" t="str">
        <f>IFERROR(__xludf.DUMMYFUNCTION("""COMPUTED_VALUE"""),"3CF9F0A5AE40")</f>
        <v>3CF9F0A5AE40</v>
      </c>
      <c r="D3456" s="21" t="str">
        <f>IFERROR(__xludf.DUMMYFUNCTION("""COMPUTED_VALUE"""),"DIGITEC TECNOLOGIA DIGITAL E REPRES")</f>
        <v>DIGITEC TECNOLOGIA DIGITAL E REPRES</v>
      </c>
      <c r="E3456" s="21">
        <f>IFERROR(__xludf.DUMMYFUNCTION("""COMPUTED_VALUE"""),145359.0)</f>
        <v>145359</v>
      </c>
      <c r="F3456" s="21" t="str">
        <f>IFERROR(__xludf.DUMMYFUNCTION("""COMPUTED_VALUE"""),"SUSPEITO")</f>
        <v>SUSPEITO</v>
      </c>
      <c r="G3456" s="23">
        <f>IFERROR(__xludf.DUMMYFUNCTION("""COMPUTED_VALUE"""),45616.37284722222)</f>
        <v>45616.37285</v>
      </c>
      <c r="H3456" s="24" t="str">
        <f>IFERROR(VLOOKUP(B3456,material!A:D,3,0),"")</f>
        <v>GPON 6</v>
      </c>
    </row>
    <row r="3457" ht="11.25" customHeight="1">
      <c r="A3457" s="21" t="str">
        <f>IFERROR(__xludf.DUMMYFUNCTION("""COMPUTED_VALUE"""),"TERMINAL GPON ONT WIFI6 F6600P-NACIONAL")</f>
        <v>TERMINAL GPON ONT WIFI6 F6600P-NACIONAL</v>
      </c>
      <c r="B3457" s="22">
        <f>IFERROR(__xludf.DUMMYFUNCTION("""COMPUTED_VALUE"""),4.100159E7)</f>
        <v>41001590</v>
      </c>
      <c r="C3457" s="21" t="str">
        <f>IFERROR(__xludf.DUMMYFUNCTION("""COMPUTED_VALUE"""),"689E29BD87E1")</f>
        <v>689E29BD87E1</v>
      </c>
      <c r="D3457" s="21" t="str">
        <f>IFERROR(__xludf.DUMMYFUNCTION("""COMPUTED_VALUE"""),"DIGITEC TECNOLOGIA DIGITAL E REPRES")</f>
        <v>DIGITEC TECNOLOGIA DIGITAL E REPRES</v>
      </c>
      <c r="E3457" s="21">
        <f>IFERROR(__xludf.DUMMYFUNCTION("""COMPUTED_VALUE"""),145359.0)</f>
        <v>145359</v>
      </c>
      <c r="F3457" s="21" t="str">
        <f>IFERROR(__xludf.DUMMYFUNCTION("""COMPUTED_VALUE"""),"SUSPEITO")</f>
        <v>SUSPEITO</v>
      </c>
      <c r="G3457" s="23">
        <f>IFERROR(__xludf.DUMMYFUNCTION("""COMPUTED_VALUE"""),45643.6644212963)</f>
        <v>45643.66442</v>
      </c>
      <c r="H3457" s="24" t="str">
        <f>IFERROR(VLOOKUP(B3457,material!A:D,3,0),"")</f>
        <v>GPON 6</v>
      </c>
    </row>
    <row r="3458" ht="11.25" customHeight="1">
      <c r="A3458" s="21" t="str">
        <f>IFERROR(__xludf.DUMMYFUNCTION("""COMPUTED_VALUE"""),"TERMINAL GPON ONT WIFI6 F6600P-NACIONAL")</f>
        <v>TERMINAL GPON ONT WIFI6 F6600P-NACIONAL</v>
      </c>
      <c r="B3458" s="22">
        <f>IFERROR(__xludf.DUMMYFUNCTION("""COMPUTED_VALUE"""),4.100159E7)</f>
        <v>41001590</v>
      </c>
      <c r="C3458" s="21" t="str">
        <f>IFERROR(__xludf.DUMMYFUNCTION("""COMPUTED_VALUE"""),"843C992E31F9")</f>
        <v>843C992E31F9</v>
      </c>
      <c r="D3458" s="21" t="str">
        <f>IFERROR(__xludf.DUMMYFUNCTION("""COMPUTED_VALUE"""),"DIGITEC TECNOLOGIA DIGITAL E REPRES")</f>
        <v>DIGITEC TECNOLOGIA DIGITAL E REPRES</v>
      </c>
      <c r="E3458" s="21">
        <f>IFERROR(__xludf.DUMMYFUNCTION("""COMPUTED_VALUE"""),145359.0)</f>
        <v>145359</v>
      </c>
      <c r="F3458" s="21" t="str">
        <f>IFERROR(__xludf.DUMMYFUNCTION("""COMPUTED_VALUE"""),"SUSPEITO")</f>
        <v>SUSPEITO</v>
      </c>
      <c r="G3458" s="23">
        <f>IFERROR(__xludf.DUMMYFUNCTION("""COMPUTED_VALUE"""),45642.63371527778)</f>
        <v>45642.63372</v>
      </c>
      <c r="H3458" s="24" t="str">
        <f>IFERROR(VLOOKUP(B3458,material!A:D,3,0),"")</f>
        <v>GPON 6</v>
      </c>
    </row>
    <row r="3459" ht="11.25" customHeight="1">
      <c r="A3459" s="21" t="str">
        <f>IFERROR(__xludf.DUMMYFUNCTION("""COMPUTED_VALUE"""),"TERMINAL GPON ONT WIFI6 F6600P-NACIONAL")</f>
        <v>TERMINAL GPON ONT WIFI6 F6600P-NACIONAL</v>
      </c>
      <c r="B3459" s="22">
        <f>IFERROR(__xludf.DUMMYFUNCTION("""COMPUTED_VALUE"""),4.100159E7)</f>
        <v>41001590</v>
      </c>
      <c r="C3459" s="21" t="str">
        <f>IFERROR(__xludf.DUMMYFUNCTION("""COMPUTED_VALUE"""),"843C992BE1BB")</f>
        <v>843C992BE1BB</v>
      </c>
      <c r="D3459" s="21" t="str">
        <f>IFERROR(__xludf.DUMMYFUNCTION("""COMPUTED_VALUE"""),"DIGITEC TECNOLOGIA DIGITAL E REPRES")</f>
        <v>DIGITEC TECNOLOGIA DIGITAL E REPRES</v>
      </c>
      <c r="E3459" s="21">
        <f>IFERROR(__xludf.DUMMYFUNCTION("""COMPUTED_VALUE"""),145359.0)</f>
        <v>145359</v>
      </c>
      <c r="F3459" s="21" t="str">
        <f>IFERROR(__xludf.DUMMYFUNCTION("""COMPUTED_VALUE"""),"SUSPEITO")</f>
        <v>SUSPEITO</v>
      </c>
      <c r="G3459" s="23">
        <f>IFERROR(__xludf.DUMMYFUNCTION("""COMPUTED_VALUE"""),45638.74685185185)</f>
        <v>45638.74685</v>
      </c>
      <c r="H3459" s="24" t="str">
        <f>IFERROR(VLOOKUP(B3459,material!A:D,3,0),"")</f>
        <v>GPON 6</v>
      </c>
    </row>
    <row r="3460" ht="11.25" customHeight="1">
      <c r="A3460" s="21" t="str">
        <f>IFERROR(__xludf.DUMMYFUNCTION("""COMPUTED_VALUE"""),"TERMINAL GPON ONT WIFI6 F6600P-NACIONAL")</f>
        <v>TERMINAL GPON ONT WIFI6 F6600P-NACIONAL</v>
      </c>
      <c r="B3460" s="22">
        <f>IFERROR(__xludf.DUMMYFUNCTION("""COMPUTED_VALUE"""),4.100159E7)</f>
        <v>41001590</v>
      </c>
      <c r="C3460" s="21" t="str">
        <f>IFERROR(__xludf.DUMMYFUNCTION("""COMPUTED_VALUE"""),"843C991F312D")</f>
        <v>843C991F312D</v>
      </c>
      <c r="D3460" s="21" t="str">
        <f>IFERROR(__xludf.DUMMYFUNCTION("""COMPUTED_VALUE"""),"DIGITEC TECNOLOGIA DIGITAL E REPRES")</f>
        <v>DIGITEC TECNOLOGIA DIGITAL E REPRES</v>
      </c>
      <c r="E3460" s="21">
        <f>IFERROR(__xludf.DUMMYFUNCTION("""COMPUTED_VALUE"""),145359.0)</f>
        <v>145359</v>
      </c>
      <c r="F3460" s="21" t="str">
        <f>IFERROR(__xludf.DUMMYFUNCTION("""COMPUTED_VALUE"""),"SUSPEITO")</f>
        <v>SUSPEITO</v>
      </c>
      <c r="G3460" s="23">
        <f>IFERROR(__xludf.DUMMYFUNCTION("""COMPUTED_VALUE"""),45636.37248842593)</f>
        <v>45636.37249</v>
      </c>
      <c r="H3460" s="24" t="str">
        <f>IFERROR(VLOOKUP(B3460,material!A:D,3,0),"")</f>
        <v>GPON 6</v>
      </c>
    </row>
    <row r="3461" ht="11.25" customHeight="1">
      <c r="A3461" s="21" t="str">
        <f>IFERROR(__xludf.DUMMYFUNCTION("""COMPUTED_VALUE"""),"TERMINAL GPON ONT WIFI6 F6600P-NACIONAL")</f>
        <v>TERMINAL GPON ONT WIFI6 F6600P-NACIONAL</v>
      </c>
      <c r="B3461" s="22">
        <f>IFERROR(__xludf.DUMMYFUNCTION("""COMPUTED_VALUE"""),4.100159E7)</f>
        <v>41001590</v>
      </c>
      <c r="C3461" s="21" t="str">
        <f>IFERROR(__xludf.DUMMYFUNCTION("""COMPUTED_VALUE"""),"3CF9F0AE43F0")</f>
        <v>3CF9F0AE43F0</v>
      </c>
      <c r="D3461" s="21" t="str">
        <f>IFERROR(__xludf.DUMMYFUNCTION("""COMPUTED_VALUE"""),"DIGITEC TECNOLOGIA DIGITAL E REPRES")</f>
        <v>DIGITEC TECNOLOGIA DIGITAL E REPRES</v>
      </c>
      <c r="E3461" s="21">
        <f>IFERROR(__xludf.DUMMYFUNCTION("""COMPUTED_VALUE"""),145359.0)</f>
        <v>145359</v>
      </c>
      <c r="F3461" s="21" t="str">
        <f>IFERROR(__xludf.DUMMYFUNCTION("""COMPUTED_VALUE"""),"SUSPEITO")</f>
        <v>SUSPEITO</v>
      </c>
      <c r="G3461" s="23">
        <f>IFERROR(__xludf.DUMMYFUNCTION("""COMPUTED_VALUE"""),45629.614224537036)</f>
        <v>45629.61422</v>
      </c>
      <c r="H3461" s="24" t="str">
        <f>IFERROR(VLOOKUP(B3461,material!A:D,3,0),"")</f>
        <v>GPON 6</v>
      </c>
    </row>
    <row r="3462" ht="11.25" customHeight="1">
      <c r="A3462" s="21" t="str">
        <f>IFERROR(__xludf.DUMMYFUNCTION("""COMPUTED_VALUE"""),"TERMINAL EXTENSOR WIFI5 MESH AR2180T")</f>
        <v>TERMINAL EXTENSOR WIFI5 MESH AR2180T</v>
      </c>
      <c r="B3462" s="22">
        <f>IFERROR(__xludf.DUMMYFUNCTION("""COMPUTED_VALUE"""),4.1001567E7)</f>
        <v>41001567</v>
      </c>
      <c r="C3462" s="21" t="str">
        <f>IFERROR(__xludf.DUMMYFUNCTION("""COMPUTED_VALUE"""),"24E4CE57C44B")</f>
        <v>24E4CE57C44B</v>
      </c>
      <c r="D3462" s="21" t="str">
        <f>IFERROR(__xludf.DUMMYFUNCTION("""COMPUTED_VALUE"""),"DIGITEC TECNOLOGIA DIGITAL E REPRES")</f>
        <v>DIGITEC TECNOLOGIA DIGITAL E REPRES</v>
      </c>
      <c r="E3462" s="21">
        <f>IFERROR(__xludf.DUMMYFUNCTION("""COMPUTED_VALUE"""),145359.0)</f>
        <v>145359</v>
      </c>
      <c r="F3462" s="21" t="str">
        <f>IFERROR(__xludf.DUMMYFUNCTION("""COMPUTED_VALUE"""),"SUSPEITO")</f>
        <v>SUSPEITO</v>
      </c>
      <c r="G3462" s="23">
        <f>IFERROR(__xludf.DUMMYFUNCTION("""COMPUTED_VALUE"""),45628.697488425925)</f>
        <v>45628.69749</v>
      </c>
      <c r="H3462" s="24" t="str">
        <f>IFERROR(VLOOKUP(B3462,material!A:D,3,0),"")</f>
        <v>WIFI MESH</v>
      </c>
    </row>
    <row r="3463" ht="11.25" customHeight="1">
      <c r="A3463" s="21" t="str">
        <f>IFERROR(__xludf.DUMMYFUNCTION("""COMPUTED_VALUE"""),"TERMINAL EXTENSOR WIFI5 MESH AR2180T")</f>
        <v>TERMINAL EXTENSOR WIFI5 MESH AR2180T</v>
      </c>
      <c r="B3463" s="22">
        <f>IFERROR(__xludf.DUMMYFUNCTION("""COMPUTED_VALUE"""),4.1001567E7)</f>
        <v>41001567</v>
      </c>
      <c r="C3463" s="21" t="str">
        <f>IFERROR(__xludf.DUMMYFUNCTION("""COMPUTED_VALUE"""),"24E4CECAA365")</f>
        <v>24E4CECAA365</v>
      </c>
      <c r="D3463" s="21" t="str">
        <f>IFERROR(__xludf.DUMMYFUNCTION("""COMPUTED_VALUE"""),"DIGITEC TECNOLOGIA DIGITAL E REPRES")</f>
        <v>DIGITEC TECNOLOGIA DIGITAL E REPRES</v>
      </c>
      <c r="E3463" s="21">
        <f>IFERROR(__xludf.DUMMYFUNCTION("""COMPUTED_VALUE"""),145359.0)</f>
        <v>145359</v>
      </c>
      <c r="F3463" s="21" t="str">
        <f>IFERROR(__xludf.DUMMYFUNCTION("""COMPUTED_VALUE"""),"SUSPEITO")</f>
        <v>SUSPEITO</v>
      </c>
      <c r="G3463" s="23">
        <f>IFERROR(__xludf.DUMMYFUNCTION("""COMPUTED_VALUE"""),45610.50458333333)</f>
        <v>45610.50458</v>
      </c>
      <c r="H3463" s="24" t="str">
        <f>IFERROR(VLOOKUP(B3463,material!A:D,3,0),"")</f>
        <v>WIFI MESH</v>
      </c>
    </row>
    <row r="3464" ht="11.25" customHeight="1">
      <c r="A3464" s="21" t="str">
        <f>IFERROR(__xludf.DUMMYFUNCTION("""COMPUTED_VALUE"""),"TERMINAL GPON ONT WIFI F6645P")</f>
        <v>TERMINAL GPON ONT WIFI F6645P</v>
      </c>
      <c r="B3464" s="22">
        <f>IFERROR(__xludf.DUMMYFUNCTION("""COMPUTED_VALUE"""),4.100156E7)</f>
        <v>41001560</v>
      </c>
      <c r="C3464" s="21" t="str">
        <f>IFERROR(__xludf.DUMMYFUNCTION("""COMPUTED_VALUE"""),"9C635B8CEE52")</f>
        <v>9C635B8CEE52</v>
      </c>
      <c r="D3464" s="21" t="str">
        <f>IFERROR(__xludf.DUMMYFUNCTION("""COMPUTED_VALUE"""),"DIGITEC TECNOLOGIA DIGITAL E REPRES")</f>
        <v>DIGITEC TECNOLOGIA DIGITAL E REPRES</v>
      </c>
      <c r="E3464" s="21">
        <f>IFERROR(__xludf.DUMMYFUNCTION("""COMPUTED_VALUE"""),145359.0)</f>
        <v>145359</v>
      </c>
      <c r="F3464" s="21" t="str">
        <f>IFERROR(__xludf.DUMMYFUNCTION("""COMPUTED_VALUE"""),"SUSPEITO")</f>
        <v>SUSPEITO</v>
      </c>
      <c r="G3464" s="23">
        <f>IFERROR(__xludf.DUMMYFUNCTION("""COMPUTED_VALUE"""),45635.50834490741)</f>
        <v>45635.50834</v>
      </c>
      <c r="H3464" s="24" t="str">
        <f>IFERROR(VLOOKUP(B3464,material!A:D,3,0),"")</f>
        <v>GPON 6</v>
      </c>
    </row>
    <row r="3465" ht="11.25" customHeight="1">
      <c r="A3465" s="21" t="str">
        <f>IFERROR(__xludf.DUMMYFUNCTION("""COMPUTED_VALUE"""),"TERMINAL GPON ONT WIFI F6645P")</f>
        <v>TERMINAL GPON ONT WIFI F6645P</v>
      </c>
      <c r="B3465" s="22">
        <f>IFERROR(__xludf.DUMMYFUNCTION("""COMPUTED_VALUE"""),4.100156E7)</f>
        <v>41001560</v>
      </c>
      <c r="C3465" s="21" t="str">
        <f>IFERROR(__xludf.DUMMYFUNCTION("""COMPUTED_VALUE"""),"C4EBFFF6BF17")</f>
        <v>C4EBFFF6BF17</v>
      </c>
      <c r="D3465" s="21" t="str">
        <f>IFERROR(__xludf.DUMMYFUNCTION("""COMPUTED_VALUE"""),"DIGITEC TECNOLOGIA DIGITAL E REPRES")</f>
        <v>DIGITEC TECNOLOGIA DIGITAL E REPRES</v>
      </c>
      <c r="E3465" s="21">
        <f>IFERROR(__xludf.DUMMYFUNCTION("""COMPUTED_VALUE"""),145359.0)</f>
        <v>145359</v>
      </c>
      <c r="F3465" s="21" t="str">
        <f>IFERROR(__xludf.DUMMYFUNCTION("""COMPUTED_VALUE"""),"SUSPEITO")</f>
        <v>SUSPEITO</v>
      </c>
      <c r="G3465" s="23">
        <f>IFERROR(__xludf.DUMMYFUNCTION("""COMPUTED_VALUE"""),45642.527141203704)</f>
        <v>45642.52714</v>
      </c>
      <c r="H3465" s="24" t="str">
        <f>IFERROR(VLOOKUP(B3465,material!A:D,3,0),"")</f>
        <v>GPON 6</v>
      </c>
    </row>
    <row r="3466" ht="11.25" customHeight="1">
      <c r="A3466" s="21" t="str">
        <f>IFERROR(__xludf.DUMMYFUNCTION("""COMPUTED_VALUE"""),"DECODER CARDLESS 4K UHD K4KCW5 CABO E IP")</f>
        <v>DECODER CARDLESS 4K UHD K4KCW5 CABO E IP</v>
      </c>
      <c r="B3466" s="22">
        <f>IFERROR(__xludf.DUMMYFUNCTION("""COMPUTED_VALUE"""),4.1001584E7)</f>
        <v>41001584</v>
      </c>
      <c r="C3466" s="21" t="str">
        <f>IFERROR(__xludf.DUMMYFUNCTION("""COMPUTED_VALUE"""),"241633223843")</f>
        <v>241633223843</v>
      </c>
      <c r="D3466" s="21" t="str">
        <f>IFERROR(__xludf.DUMMYFUNCTION("""COMPUTED_VALUE"""),"DIGITEC TECNOLOGIA DIGITAL E REPRES")</f>
        <v>DIGITEC TECNOLOGIA DIGITAL E REPRES</v>
      </c>
      <c r="E3466" s="21">
        <f>IFERROR(__xludf.DUMMYFUNCTION("""COMPUTED_VALUE"""),145359.0)</f>
        <v>145359</v>
      </c>
      <c r="F3466" s="21" t="str">
        <f>IFERROR(__xludf.DUMMYFUNCTION("""COMPUTED_VALUE"""),"SUSPEITO")</f>
        <v>SUSPEITO</v>
      </c>
      <c r="G3466" s="23">
        <f>IFERROR(__xludf.DUMMYFUNCTION("""COMPUTED_VALUE"""),45622.5841087963)</f>
        <v>45622.58411</v>
      </c>
      <c r="H3466" s="24" t="str">
        <f>IFERROR(VLOOKUP(B3466,material!A:D,3,0),"")</f>
        <v>4K RFIP</v>
      </c>
    </row>
    <row r="3467" ht="11.25" customHeight="1">
      <c r="A3467" s="21" t="str">
        <f>IFERROR(__xludf.DUMMYFUNCTION("""COMPUTED_VALUE"""),"DECODER CARDLESS 4K UHD S4KCW5 CABO IP")</f>
        <v>DECODER CARDLESS 4K UHD S4KCW5 CABO IP</v>
      </c>
      <c r="B3467" s="22">
        <f>IFERROR(__xludf.DUMMYFUNCTION("""COMPUTED_VALUE"""),4.1001583E7)</f>
        <v>41001583</v>
      </c>
      <c r="C3467" s="21" t="str">
        <f>IFERROR(__xludf.DUMMYFUNCTION("""COMPUTED_VALUE"""),"241595486972")</f>
        <v>241595486972</v>
      </c>
      <c r="D3467" s="21" t="str">
        <f>IFERROR(__xludf.DUMMYFUNCTION("""COMPUTED_VALUE"""),"DIGITEC TECNOLOGIA DIGITAL E REPRES")</f>
        <v>DIGITEC TECNOLOGIA DIGITAL E REPRES</v>
      </c>
      <c r="E3467" s="21">
        <f>IFERROR(__xludf.DUMMYFUNCTION("""COMPUTED_VALUE"""),145359.0)</f>
        <v>145359</v>
      </c>
      <c r="F3467" s="21" t="str">
        <f>IFERROR(__xludf.DUMMYFUNCTION("""COMPUTED_VALUE"""),"SUSPEITO")</f>
        <v>SUSPEITO</v>
      </c>
      <c r="G3467" s="23">
        <f>IFERROR(__xludf.DUMMYFUNCTION("""COMPUTED_VALUE"""),45642.738171296296)</f>
        <v>45642.73817</v>
      </c>
      <c r="H3467" s="24" t="str">
        <f>IFERROR(VLOOKUP(B3467,material!A:D,3,0),"")</f>
        <v>4K RFIP</v>
      </c>
    </row>
    <row r="3468" ht="11.25" customHeight="1">
      <c r="A3468" s="21" t="str">
        <f>IFERROR(__xludf.DUMMYFUNCTION("""COMPUTED_VALUE"""),"DECODER CARDLESS 4K UHD S4KCW5 CABO IP")</f>
        <v>DECODER CARDLESS 4K UHD S4KCW5 CABO IP</v>
      </c>
      <c r="B3468" s="22">
        <f>IFERROR(__xludf.DUMMYFUNCTION("""COMPUTED_VALUE"""),4.1001583E7)</f>
        <v>41001583</v>
      </c>
      <c r="C3468" s="21" t="str">
        <f>IFERROR(__xludf.DUMMYFUNCTION("""COMPUTED_VALUE"""),"241620949817")</f>
        <v>241620949817</v>
      </c>
      <c r="D3468" s="21" t="str">
        <f>IFERROR(__xludf.DUMMYFUNCTION("""COMPUTED_VALUE"""),"DIGITEC TECNOLOGIA DIGITAL E REPRES")</f>
        <v>DIGITEC TECNOLOGIA DIGITAL E REPRES</v>
      </c>
      <c r="E3468" s="21">
        <f>IFERROR(__xludf.DUMMYFUNCTION("""COMPUTED_VALUE"""),145359.0)</f>
        <v>145359</v>
      </c>
      <c r="F3468" s="21" t="str">
        <f>IFERROR(__xludf.DUMMYFUNCTION("""COMPUTED_VALUE"""),"SUSPEITO")</f>
        <v>SUSPEITO</v>
      </c>
      <c r="G3468" s="23">
        <f>IFERROR(__xludf.DUMMYFUNCTION("""COMPUTED_VALUE"""),45627.43303240741)</f>
        <v>45627.43303</v>
      </c>
      <c r="H3468" s="24" t="str">
        <f>IFERROR(VLOOKUP(B3468,material!A:D,3,0),"")</f>
        <v>4K RFIP</v>
      </c>
    </row>
    <row r="3469" ht="11.25" customHeight="1">
      <c r="A3469" s="21" t="str">
        <f>IFERROR(__xludf.DUMMYFUNCTION("""COMPUTED_VALUE"""),"DECODER CARDLESS 4K UHD S4KCW5 CABO IP")</f>
        <v>DECODER CARDLESS 4K UHD S4KCW5 CABO IP</v>
      </c>
      <c r="B3469" s="22">
        <f>IFERROR(__xludf.DUMMYFUNCTION("""COMPUTED_VALUE"""),4.1001583E7)</f>
        <v>41001583</v>
      </c>
      <c r="C3469" s="21" t="str">
        <f>IFERROR(__xludf.DUMMYFUNCTION("""COMPUTED_VALUE"""),"241599629093")</f>
        <v>241599629093</v>
      </c>
      <c r="D3469" s="21" t="str">
        <f>IFERROR(__xludf.DUMMYFUNCTION("""COMPUTED_VALUE"""),"DIGITEC TECNOLOGIA DIGITAL E REPRES")</f>
        <v>DIGITEC TECNOLOGIA DIGITAL E REPRES</v>
      </c>
      <c r="E3469" s="21">
        <f>IFERROR(__xludf.DUMMYFUNCTION("""COMPUTED_VALUE"""),145359.0)</f>
        <v>145359</v>
      </c>
      <c r="F3469" s="21" t="str">
        <f>IFERROR(__xludf.DUMMYFUNCTION("""COMPUTED_VALUE"""),"SUSPEITO")</f>
        <v>SUSPEITO</v>
      </c>
      <c r="G3469" s="23">
        <f>IFERROR(__xludf.DUMMYFUNCTION("""COMPUTED_VALUE"""),45642.70240740741)</f>
        <v>45642.70241</v>
      </c>
      <c r="H3469" s="24" t="str">
        <f>IFERROR(VLOOKUP(B3469,material!A:D,3,0),"")</f>
        <v>4K RFIP</v>
      </c>
    </row>
    <row r="3470" ht="11.25" customHeight="1">
      <c r="A3470" s="21" t="str">
        <f>IFERROR(__xludf.DUMMYFUNCTION("""COMPUTED_VALUE"""),"DECODER CARDLESS 4K UHD S4KCW5 CABO IP")</f>
        <v>DECODER CARDLESS 4K UHD S4KCW5 CABO IP</v>
      </c>
      <c r="B3470" s="22">
        <f>IFERROR(__xludf.DUMMYFUNCTION("""COMPUTED_VALUE"""),4.1001583E7)</f>
        <v>41001583</v>
      </c>
      <c r="C3470" s="21" t="str">
        <f>IFERROR(__xludf.DUMMYFUNCTION("""COMPUTED_VALUE"""),"241603388293")</f>
        <v>241603388293</v>
      </c>
      <c r="D3470" s="21" t="str">
        <f>IFERROR(__xludf.DUMMYFUNCTION("""COMPUTED_VALUE"""),"DIGITEC TECNOLOGIA DIGITAL E REPRES")</f>
        <v>DIGITEC TECNOLOGIA DIGITAL E REPRES</v>
      </c>
      <c r="E3470" s="21">
        <f>IFERROR(__xludf.DUMMYFUNCTION("""COMPUTED_VALUE"""),145359.0)</f>
        <v>145359</v>
      </c>
      <c r="F3470" s="21" t="str">
        <f>IFERROR(__xludf.DUMMYFUNCTION("""COMPUTED_VALUE"""),"SUSPEITO")</f>
        <v>SUSPEITO</v>
      </c>
      <c r="G3470" s="23">
        <f>IFERROR(__xludf.DUMMYFUNCTION("""COMPUTED_VALUE"""),45643.801400462966)</f>
        <v>45643.8014</v>
      </c>
      <c r="H3470" s="24" t="str">
        <f>IFERROR(VLOOKUP(B3470,material!A:D,3,0),"")</f>
        <v>4K RFIP</v>
      </c>
    </row>
    <row r="3471" ht="11.25" customHeight="1">
      <c r="A3471" s="21" t="str">
        <f>IFERROR(__xludf.DUMMYFUNCTION("""COMPUTED_VALUE"""),"DECODER CARDLESS 4K UHD S4KCW5 CABO IP")</f>
        <v>DECODER CARDLESS 4K UHD S4KCW5 CABO IP</v>
      </c>
      <c r="B3471" s="22">
        <f>IFERROR(__xludf.DUMMYFUNCTION("""COMPUTED_VALUE"""),4.1001583E7)</f>
        <v>41001583</v>
      </c>
      <c r="C3471" s="21" t="str">
        <f>IFERROR(__xludf.DUMMYFUNCTION("""COMPUTED_VALUE"""),"241603389910")</f>
        <v>241603389910</v>
      </c>
      <c r="D3471" s="21" t="str">
        <f>IFERROR(__xludf.DUMMYFUNCTION("""COMPUTED_VALUE"""),"DIGITEC TECNOLOGIA DIGITAL E REPRES")</f>
        <v>DIGITEC TECNOLOGIA DIGITAL E REPRES</v>
      </c>
      <c r="E3471" s="21">
        <f>IFERROR(__xludf.DUMMYFUNCTION("""COMPUTED_VALUE"""),145359.0)</f>
        <v>145359</v>
      </c>
      <c r="F3471" s="21" t="str">
        <f>IFERROR(__xludf.DUMMYFUNCTION("""COMPUTED_VALUE"""),"SUSPEITO")</f>
        <v>SUSPEITO</v>
      </c>
      <c r="G3471" s="23">
        <f>IFERROR(__xludf.DUMMYFUNCTION("""COMPUTED_VALUE"""),45643.80421296296)</f>
        <v>45643.80421</v>
      </c>
      <c r="H3471" s="24" t="str">
        <f>IFERROR(VLOOKUP(B3471,material!A:D,3,0),"")</f>
        <v>4K RFIP</v>
      </c>
    </row>
    <row r="3472" ht="11.25" customHeight="1">
      <c r="A3472" s="21" t="str">
        <f>IFERROR(__xludf.DUMMYFUNCTION("""COMPUTED_VALUE"""),"TERMINAL DOCSIS 3.1 EMTA WIFI6 TC3106")</f>
        <v>TERMINAL DOCSIS 3.1 EMTA WIFI6 TC3106</v>
      </c>
      <c r="B3472" s="22">
        <f>IFERROR(__xludf.DUMMYFUNCTION("""COMPUTED_VALUE"""),4.1001553E7)</f>
        <v>41001553</v>
      </c>
      <c r="C3472" s="21" t="str">
        <f>IFERROR(__xludf.DUMMYFUNCTION("""COMPUTED_VALUE"""),"CCF3C85B2F7B")</f>
        <v>CCF3C85B2F7B</v>
      </c>
      <c r="D3472" s="21" t="str">
        <f>IFERROR(__xludf.DUMMYFUNCTION("""COMPUTED_VALUE"""),"DIGITEC TECNOLOGIA DIGITAL E REPRES")</f>
        <v>DIGITEC TECNOLOGIA DIGITAL E REPRES</v>
      </c>
      <c r="E3472" s="21">
        <f>IFERROR(__xludf.DUMMYFUNCTION("""COMPUTED_VALUE"""),145359.0)</f>
        <v>145359</v>
      </c>
      <c r="F3472" s="21" t="str">
        <f>IFERROR(__xludf.DUMMYFUNCTION("""COMPUTED_VALUE"""),"SUSPEITO")</f>
        <v>SUSPEITO</v>
      </c>
      <c r="G3472" s="23">
        <f>IFERROR(__xludf.DUMMYFUNCTION("""COMPUTED_VALUE"""),45638.75341435186)</f>
        <v>45638.75341</v>
      </c>
      <c r="H3472" s="24" t="str">
        <f>IFERROR(VLOOKUP(B3472,material!A:D,3,0),"")</f>
        <v>WIFI 6</v>
      </c>
    </row>
    <row r="3473" ht="11.25" customHeight="1">
      <c r="A3473" s="21" t="str">
        <f>IFERROR(__xludf.DUMMYFUNCTION("""COMPUTED_VALUE"""),"TERMINAL DOCSIS 3.1 EMTA WIFI6 TC3106")</f>
        <v>TERMINAL DOCSIS 3.1 EMTA WIFI6 TC3106</v>
      </c>
      <c r="B3473" s="22">
        <f>IFERROR(__xludf.DUMMYFUNCTION("""COMPUTED_VALUE"""),4.1001553E7)</f>
        <v>41001553</v>
      </c>
      <c r="C3473" s="21" t="str">
        <f>IFERROR(__xludf.DUMMYFUNCTION("""COMPUTED_VALUE"""),"B85E71AFC523")</f>
        <v>B85E71AFC523</v>
      </c>
      <c r="D3473" s="21" t="str">
        <f>IFERROR(__xludf.DUMMYFUNCTION("""COMPUTED_VALUE"""),"DIGITEC TECNOLOGIA DIGITAL E REPRES")</f>
        <v>DIGITEC TECNOLOGIA DIGITAL E REPRES</v>
      </c>
      <c r="E3473" s="21">
        <f>IFERROR(__xludf.DUMMYFUNCTION("""COMPUTED_VALUE"""),145359.0)</f>
        <v>145359</v>
      </c>
      <c r="F3473" s="21" t="str">
        <f>IFERROR(__xludf.DUMMYFUNCTION("""COMPUTED_VALUE"""),"SUSPEITO")</f>
        <v>SUSPEITO</v>
      </c>
      <c r="G3473" s="23">
        <f>IFERROR(__xludf.DUMMYFUNCTION("""COMPUTED_VALUE"""),45639.42209490741)</f>
        <v>45639.42209</v>
      </c>
      <c r="H3473" s="24" t="str">
        <f>IFERROR(VLOOKUP(B3473,material!A:D,3,0),"")</f>
        <v>WIFI 6</v>
      </c>
    </row>
    <row r="3474" ht="11.25" customHeight="1">
      <c r="A3474" s="21" t="str">
        <f>IFERROR(__xludf.DUMMYFUNCTION("""COMPUTED_VALUE"""),"TERMINAL DOCSIS 3.1 EMTA WIFI6 TC3106")</f>
        <v>TERMINAL DOCSIS 3.1 EMTA WIFI6 TC3106</v>
      </c>
      <c r="B3474" s="22">
        <f>IFERROR(__xludf.DUMMYFUNCTION("""COMPUTED_VALUE"""),4.1001553E7)</f>
        <v>41001553</v>
      </c>
      <c r="C3474" s="21" t="str">
        <f>IFERROR(__xludf.DUMMYFUNCTION("""COMPUTED_VALUE"""),"10A793322D33")</f>
        <v>10A793322D33</v>
      </c>
      <c r="D3474" s="21" t="str">
        <f>IFERROR(__xludf.DUMMYFUNCTION("""COMPUTED_VALUE"""),"DIGITEC TECNOLOGIA DIGITAL E REPRES")</f>
        <v>DIGITEC TECNOLOGIA DIGITAL E REPRES</v>
      </c>
      <c r="E3474" s="21">
        <f>IFERROR(__xludf.DUMMYFUNCTION("""COMPUTED_VALUE"""),145359.0)</f>
        <v>145359</v>
      </c>
      <c r="F3474" s="21" t="str">
        <f>IFERROR(__xludf.DUMMYFUNCTION("""COMPUTED_VALUE"""),"SUSPEITO")</f>
        <v>SUSPEITO</v>
      </c>
      <c r="G3474" s="23">
        <f>IFERROR(__xludf.DUMMYFUNCTION("""COMPUTED_VALUE"""),45626.39644675926)</f>
        <v>45626.39645</v>
      </c>
      <c r="H3474" s="24" t="str">
        <f>IFERROR(VLOOKUP(B3474,material!A:D,3,0),"")</f>
        <v>WIFI 6</v>
      </c>
    </row>
    <row r="3475" ht="11.25" customHeight="1">
      <c r="A3475" s="21" t="str">
        <f>IFERROR(__xludf.DUMMYFUNCTION("""COMPUTED_VALUE"""),"TERMINAL DOCSIS 3.1 EMTA WIFI6 TC3106")</f>
        <v>TERMINAL DOCSIS 3.1 EMTA WIFI6 TC3106</v>
      </c>
      <c r="B3475" s="22">
        <f>IFERROR(__xludf.DUMMYFUNCTION("""COMPUTED_VALUE"""),4.1001553E7)</f>
        <v>41001553</v>
      </c>
      <c r="C3475" s="21" t="str">
        <f>IFERROR(__xludf.DUMMYFUNCTION("""COMPUTED_VALUE"""),"10A7932FF0C3")</f>
        <v>10A7932FF0C3</v>
      </c>
      <c r="D3475" s="21" t="str">
        <f>IFERROR(__xludf.DUMMYFUNCTION("""COMPUTED_VALUE"""),"DIGITEC TECNOLOGIA DIGITAL E REPRES")</f>
        <v>DIGITEC TECNOLOGIA DIGITAL E REPRES</v>
      </c>
      <c r="E3475" s="21">
        <f>IFERROR(__xludf.DUMMYFUNCTION("""COMPUTED_VALUE"""),145359.0)</f>
        <v>145359</v>
      </c>
      <c r="F3475" s="21" t="str">
        <f>IFERROR(__xludf.DUMMYFUNCTION("""COMPUTED_VALUE"""),"SUSPEITO")</f>
        <v>SUSPEITO</v>
      </c>
      <c r="G3475" s="23">
        <f>IFERROR(__xludf.DUMMYFUNCTION("""COMPUTED_VALUE"""),45642.47746527778)</f>
        <v>45642.47747</v>
      </c>
      <c r="H3475" s="24" t="str">
        <f>IFERROR(VLOOKUP(B3475,material!A:D,3,0),"")</f>
        <v>WIFI 6</v>
      </c>
    </row>
    <row r="3476" ht="11.25" customHeight="1">
      <c r="A3476" s="21" t="str">
        <f>IFERROR(__xludf.DUMMYFUNCTION("""COMPUTED_VALUE"""),"TERMINAL DOCSIS 3.1 EMTA WIFI6 F@ST3896")</f>
        <v>TERMINAL DOCSIS 3.1 EMTA WIFI6 F@ST3896</v>
      </c>
      <c r="B3476" s="22">
        <f>IFERROR(__xludf.DUMMYFUNCTION("""COMPUTED_VALUE"""),4.1001552E7)</f>
        <v>41001552</v>
      </c>
      <c r="C3476" s="21" t="str">
        <f>IFERROR(__xludf.DUMMYFUNCTION("""COMPUTED_VALUE"""),"647B1EEBA856")</f>
        <v>647B1EEBA856</v>
      </c>
      <c r="D3476" s="21" t="str">
        <f>IFERROR(__xludf.DUMMYFUNCTION("""COMPUTED_VALUE"""),"DIGITEC TECNOLOGIA DIGITAL E REPRES")</f>
        <v>DIGITEC TECNOLOGIA DIGITAL E REPRES</v>
      </c>
      <c r="E3476" s="21">
        <f>IFERROR(__xludf.DUMMYFUNCTION("""COMPUTED_VALUE"""),145359.0)</f>
        <v>145359</v>
      </c>
      <c r="F3476" s="21" t="str">
        <f>IFERROR(__xludf.DUMMYFUNCTION("""COMPUTED_VALUE"""),"SUSPEITO")</f>
        <v>SUSPEITO</v>
      </c>
      <c r="G3476" s="23">
        <f>IFERROR(__xludf.DUMMYFUNCTION("""COMPUTED_VALUE"""),45638.685)</f>
        <v>45638.685</v>
      </c>
      <c r="H3476" s="24" t="str">
        <f>IFERROR(VLOOKUP(B3476,material!A:D,3,0),"")</f>
        <v>WIFI 6</v>
      </c>
    </row>
    <row r="3477" ht="11.25" customHeight="1">
      <c r="A3477" s="21" t="str">
        <f>IFERROR(__xludf.DUMMYFUNCTION("""COMPUTED_VALUE"""),"TERMINAL DOCSIS 3.1 EMTA WIFI6 F@ST3896")</f>
        <v>TERMINAL DOCSIS 3.1 EMTA WIFI6 F@ST3896</v>
      </c>
      <c r="B3477" s="22">
        <f>IFERROR(__xludf.DUMMYFUNCTION("""COMPUTED_VALUE"""),4.1001552E7)</f>
        <v>41001552</v>
      </c>
      <c r="C3477" s="21" t="str">
        <f>IFERROR(__xludf.DUMMYFUNCTION("""COMPUTED_VALUE"""),"CC5830FDC0B2")</f>
        <v>CC5830FDC0B2</v>
      </c>
      <c r="D3477" s="21" t="str">
        <f>IFERROR(__xludf.DUMMYFUNCTION("""COMPUTED_VALUE"""),"DIGITEC TECNOLOGIA DIGITAL E REPRES")</f>
        <v>DIGITEC TECNOLOGIA DIGITAL E REPRES</v>
      </c>
      <c r="E3477" s="21">
        <f>IFERROR(__xludf.DUMMYFUNCTION("""COMPUTED_VALUE"""),145359.0)</f>
        <v>145359</v>
      </c>
      <c r="F3477" s="21" t="str">
        <f>IFERROR(__xludf.DUMMYFUNCTION("""COMPUTED_VALUE"""),"SUSPEITO")</f>
        <v>SUSPEITO</v>
      </c>
      <c r="G3477" s="23">
        <f>IFERROR(__xludf.DUMMYFUNCTION("""COMPUTED_VALUE"""),45643.43797453704)</f>
        <v>45643.43797</v>
      </c>
      <c r="H3477" s="24" t="str">
        <f>IFERROR(VLOOKUP(B3477,material!A:D,3,0),"")</f>
        <v>WIFI 6</v>
      </c>
    </row>
    <row r="3478" ht="11.25" customHeight="1">
      <c r="A3478" s="21" t="str">
        <f>IFERROR(__xludf.DUMMYFUNCTION("""COMPUTED_VALUE"""),"TERMINAL DOCSIS 3.1 EMTA WIFI6 F@ST3896")</f>
        <v>TERMINAL DOCSIS 3.1 EMTA WIFI6 F@ST3896</v>
      </c>
      <c r="B3478" s="22">
        <f>IFERROR(__xludf.DUMMYFUNCTION("""COMPUTED_VALUE"""),4.1001552E7)</f>
        <v>41001552</v>
      </c>
      <c r="C3478" s="21" t="str">
        <f>IFERROR(__xludf.DUMMYFUNCTION("""COMPUTED_VALUE"""),"CC5830FDABF8")</f>
        <v>CC5830FDABF8</v>
      </c>
      <c r="D3478" s="21" t="str">
        <f>IFERROR(__xludf.DUMMYFUNCTION("""COMPUTED_VALUE"""),"DIGITEC TECNOLOGIA DIGITAL E REPRES")</f>
        <v>DIGITEC TECNOLOGIA DIGITAL E REPRES</v>
      </c>
      <c r="E3478" s="21">
        <f>IFERROR(__xludf.DUMMYFUNCTION("""COMPUTED_VALUE"""),145359.0)</f>
        <v>145359</v>
      </c>
      <c r="F3478" s="21" t="str">
        <f>IFERROR(__xludf.DUMMYFUNCTION("""COMPUTED_VALUE"""),"SUSPEITO")</f>
        <v>SUSPEITO</v>
      </c>
      <c r="G3478" s="23">
        <f>IFERROR(__xludf.DUMMYFUNCTION("""COMPUTED_VALUE"""),45638.64010416667)</f>
        <v>45638.6401</v>
      </c>
      <c r="H3478" s="24" t="str">
        <f>IFERROR(VLOOKUP(B3478,material!A:D,3,0),"")</f>
        <v>WIFI 6</v>
      </c>
    </row>
    <row r="3479" ht="11.25" customHeight="1">
      <c r="A3479" s="21" t="str">
        <f>IFERROR(__xludf.DUMMYFUNCTION("""COMPUTED_VALUE"""),"TERMINAL DOCSIS 3.1 EMTA WIFI6 F@ST3896")</f>
        <v>TERMINAL DOCSIS 3.1 EMTA WIFI6 F@ST3896</v>
      </c>
      <c r="B3479" s="22">
        <f>IFERROR(__xludf.DUMMYFUNCTION("""COMPUTED_VALUE"""),4.1001552E7)</f>
        <v>41001552</v>
      </c>
      <c r="C3479" s="21" t="str">
        <f>IFERROR(__xludf.DUMMYFUNCTION("""COMPUTED_VALUE"""),"CC5830FDB020")</f>
        <v>CC5830FDB020</v>
      </c>
      <c r="D3479" s="21" t="str">
        <f>IFERROR(__xludf.DUMMYFUNCTION("""COMPUTED_VALUE"""),"DIGITEC TECNOLOGIA DIGITAL E REPRES")</f>
        <v>DIGITEC TECNOLOGIA DIGITAL E REPRES</v>
      </c>
      <c r="E3479" s="21">
        <f>IFERROR(__xludf.DUMMYFUNCTION("""COMPUTED_VALUE"""),145359.0)</f>
        <v>145359</v>
      </c>
      <c r="F3479" s="21" t="str">
        <f>IFERROR(__xludf.DUMMYFUNCTION("""COMPUTED_VALUE"""),"SUSPEITO")</f>
        <v>SUSPEITO</v>
      </c>
      <c r="G3479" s="23">
        <f>IFERROR(__xludf.DUMMYFUNCTION("""COMPUTED_VALUE"""),45640.61596064815)</f>
        <v>45640.61596</v>
      </c>
      <c r="H3479" s="24" t="str">
        <f>IFERROR(VLOOKUP(B3479,material!A:D,3,0),"")</f>
        <v>WIFI 6</v>
      </c>
    </row>
    <row r="3480" ht="11.25" customHeight="1">
      <c r="A3480" s="21" t="str">
        <f>IFERROR(__xludf.DUMMYFUNCTION("""COMPUTED_VALUE"""),"TERMINAL DOCSIS 3.1 EMTA WIFI6 F@ST3896")</f>
        <v>TERMINAL DOCSIS 3.1 EMTA WIFI6 F@ST3896</v>
      </c>
      <c r="B3480" s="22">
        <f>IFERROR(__xludf.DUMMYFUNCTION("""COMPUTED_VALUE"""),4.1001552E7)</f>
        <v>41001552</v>
      </c>
      <c r="C3480" s="21" t="str">
        <f>IFERROR(__xludf.DUMMYFUNCTION("""COMPUTED_VALUE"""),"CC5830FDAF55")</f>
        <v>CC5830FDAF55</v>
      </c>
      <c r="D3480" s="21" t="str">
        <f>IFERROR(__xludf.DUMMYFUNCTION("""COMPUTED_VALUE"""),"DIGITEC TECNOLOGIA DIGITAL E REPRES")</f>
        <v>DIGITEC TECNOLOGIA DIGITAL E REPRES</v>
      </c>
      <c r="E3480" s="21">
        <f>IFERROR(__xludf.DUMMYFUNCTION("""COMPUTED_VALUE"""),145359.0)</f>
        <v>145359</v>
      </c>
      <c r="F3480" s="21" t="str">
        <f>IFERROR(__xludf.DUMMYFUNCTION("""COMPUTED_VALUE"""),"SUSPEITO")</f>
        <v>SUSPEITO</v>
      </c>
      <c r="G3480" s="23">
        <f>IFERROR(__xludf.DUMMYFUNCTION("""COMPUTED_VALUE"""),45642.400775462964)</f>
        <v>45642.40078</v>
      </c>
      <c r="H3480" s="24" t="str">
        <f>IFERROR(VLOOKUP(B3480,material!A:D,3,0),"")</f>
        <v>WIFI 6</v>
      </c>
    </row>
    <row r="3481" ht="11.25" customHeight="1">
      <c r="A3481" s="21" t="str">
        <f>IFERROR(__xludf.DUMMYFUNCTION("""COMPUTED_VALUE"""),"DECODER CARDLESS 4K UHD S4KCW3 CABO E IP")</f>
        <v>DECODER CARDLESS 4K UHD S4KCW3 CABO E IP</v>
      </c>
      <c r="B3481" s="22">
        <f>IFERROR(__xludf.DUMMYFUNCTION("""COMPUTED_VALUE"""),4.1001528E7)</f>
        <v>41001528</v>
      </c>
      <c r="C3481" s="21" t="str">
        <f>IFERROR(__xludf.DUMMYFUNCTION("""COMPUTED_VALUE"""),"230035444143")</f>
        <v>230035444143</v>
      </c>
      <c r="D3481" s="21" t="str">
        <f>IFERROR(__xludf.DUMMYFUNCTION("""COMPUTED_VALUE"""),"DIGITEC TECNOLOGIA DIGITAL E REPRES")</f>
        <v>DIGITEC TECNOLOGIA DIGITAL E REPRES</v>
      </c>
      <c r="E3481" s="21">
        <f>IFERROR(__xludf.DUMMYFUNCTION("""COMPUTED_VALUE"""),145359.0)</f>
        <v>145359</v>
      </c>
      <c r="F3481" s="21" t="str">
        <f>IFERROR(__xludf.DUMMYFUNCTION("""COMPUTED_VALUE"""),"SUSPEITO")</f>
        <v>SUSPEITO</v>
      </c>
      <c r="G3481" s="23">
        <f>IFERROR(__xludf.DUMMYFUNCTION("""COMPUTED_VALUE"""),45643.443506944444)</f>
        <v>45643.44351</v>
      </c>
      <c r="H3481" s="24" t="str">
        <f>IFERROR(VLOOKUP(B3481,material!A:D,3,0),"")</f>
        <v>4K RFIP</v>
      </c>
    </row>
    <row r="3482" ht="11.25" customHeight="1">
      <c r="A3482" s="21" t="str">
        <f>IFERROR(__xludf.DUMMYFUNCTION("""COMPUTED_VALUE"""),"DECODER CARDLESS 4K UHD S4KCW3 CABO E IP")</f>
        <v>DECODER CARDLESS 4K UHD S4KCW3 CABO E IP</v>
      </c>
      <c r="B3482" s="22">
        <f>IFERROR(__xludf.DUMMYFUNCTION("""COMPUTED_VALUE"""),4.1001528E7)</f>
        <v>41001528</v>
      </c>
      <c r="C3482" s="21" t="str">
        <f>IFERROR(__xludf.DUMMYFUNCTION("""COMPUTED_VALUE"""),"229982724464")</f>
        <v>229982724464</v>
      </c>
      <c r="D3482" s="21" t="str">
        <f>IFERROR(__xludf.DUMMYFUNCTION("""COMPUTED_VALUE"""),"DIGITEC TECNOLOGIA DIGITAL E REPRES")</f>
        <v>DIGITEC TECNOLOGIA DIGITAL E REPRES</v>
      </c>
      <c r="E3482" s="21">
        <f>IFERROR(__xludf.DUMMYFUNCTION("""COMPUTED_VALUE"""),145359.0)</f>
        <v>145359</v>
      </c>
      <c r="F3482" s="21" t="str">
        <f>IFERROR(__xludf.DUMMYFUNCTION("""COMPUTED_VALUE"""),"SUSPEITO")</f>
        <v>SUSPEITO</v>
      </c>
      <c r="G3482" s="23">
        <f>IFERROR(__xludf.DUMMYFUNCTION("""COMPUTED_VALUE"""),45640.53145833334)</f>
        <v>45640.53146</v>
      </c>
      <c r="H3482" s="24" t="str">
        <f>IFERROR(VLOOKUP(B3482,material!A:D,3,0),"")</f>
        <v>4K RFIP</v>
      </c>
    </row>
    <row r="3483" ht="11.25" customHeight="1">
      <c r="A3483" s="21" t="str">
        <f>IFERROR(__xludf.DUMMYFUNCTION("""COMPUTED_VALUE"""),"DECODER CARDLESS 4K UHD S4KCW3 CABO E IP")</f>
        <v>DECODER CARDLESS 4K UHD S4KCW3 CABO E IP</v>
      </c>
      <c r="B3483" s="22">
        <f>IFERROR(__xludf.DUMMYFUNCTION("""COMPUTED_VALUE"""),4.1001528E7)</f>
        <v>41001528</v>
      </c>
      <c r="C3483" s="21" t="str">
        <f>IFERROR(__xludf.DUMMYFUNCTION("""COMPUTED_VALUE"""),"229988480829")</f>
        <v>229988480829</v>
      </c>
      <c r="D3483" s="21" t="str">
        <f>IFERROR(__xludf.DUMMYFUNCTION("""COMPUTED_VALUE"""),"DIGITEC TECNOLOGIA DIGITAL E REPRES")</f>
        <v>DIGITEC TECNOLOGIA DIGITAL E REPRES</v>
      </c>
      <c r="E3483" s="21">
        <f>IFERROR(__xludf.DUMMYFUNCTION("""COMPUTED_VALUE"""),145359.0)</f>
        <v>145359</v>
      </c>
      <c r="F3483" s="21" t="str">
        <f>IFERROR(__xludf.DUMMYFUNCTION("""COMPUTED_VALUE"""),"SUSPEITO")</f>
        <v>SUSPEITO</v>
      </c>
      <c r="G3483" s="23">
        <f>IFERROR(__xludf.DUMMYFUNCTION("""COMPUTED_VALUE"""),45640.62569444445)</f>
        <v>45640.62569</v>
      </c>
      <c r="H3483" s="24" t="str">
        <f>IFERROR(VLOOKUP(B3483,material!A:D,3,0),"")</f>
        <v>4K RFIP</v>
      </c>
    </row>
    <row r="3484" ht="11.25" customHeight="1">
      <c r="A3484" s="21" t="str">
        <f>IFERROR(__xludf.DUMMYFUNCTION("""COMPUTED_VALUE"""),"TERMINAL GPON WIFI TCG2232")</f>
        <v>TERMINAL GPON WIFI TCG2232</v>
      </c>
      <c r="B3484" s="22">
        <f>IFERROR(__xludf.DUMMYFUNCTION("""COMPUTED_VALUE"""),4.1001535E7)</f>
        <v>41001535</v>
      </c>
      <c r="C3484" s="21" t="str">
        <f>IFERROR(__xludf.DUMMYFUNCTION("""COMPUTED_VALUE"""),"D4925EFA1F8B")</f>
        <v>D4925EFA1F8B</v>
      </c>
      <c r="D3484" s="21" t="str">
        <f>IFERROR(__xludf.DUMMYFUNCTION("""COMPUTED_VALUE"""),"DIGITEC TECNOLOGIA DIGITAL E REPRES")</f>
        <v>DIGITEC TECNOLOGIA DIGITAL E REPRES</v>
      </c>
      <c r="E3484" s="21">
        <f>IFERROR(__xludf.DUMMYFUNCTION("""COMPUTED_VALUE"""),145359.0)</f>
        <v>145359</v>
      </c>
      <c r="F3484" s="21" t="str">
        <f>IFERROR(__xludf.DUMMYFUNCTION("""COMPUTED_VALUE"""),"SUSPEITO")</f>
        <v>SUSPEITO</v>
      </c>
      <c r="G3484" s="23">
        <f>IFERROR(__xludf.DUMMYFUNCTION("""COMPUTED_VALUE"""),45642.42217592592)</f>
        <v>45642.42218</v>
      </c>
      <c r="H3484" s="24" t="str">
        <f>IFERROR(VLOOKUP(B3484,material!A:D,3,0),"")</f>
        <v>ONT</v>
      </c>
    </row>
    <row r="3485" ht="11.25" customHeight="1">
      <c r="A3485" s="21" t="str">
        <f>IFERROR(__xludf.DUMMYFUNCTION("""COMPUTED_VALUE"""),"TERMINAL GPON WIFI TCG2232")</f>
        <v>TERMINAL GPON WIFI TCG2232</v>
      </c>
      <c r="B3485" s="22">
        <f>IFERROR(__xludf.DUMMYFUNCTION("""COMPUTED_VALUE"""),4.1001535E7)</f>
        <v>41001535</v>
      </c>
      <c r="C3485" s="21" t="str">
        <f>IFERROR(__xludf.DUMMYFUNCTION("""COMPUTED_VALUE"""),"D4925E94FC28")</f>
        <v>D4925E94FC28</v>
      </c>
      <c r="D3485" s="21" t="str">
        <f>IFERROR(__xludf.DUMMYFUNCTION("""COMPUTED_VALUE"""),"DIGITEC TECNOLOGIA DIGITAL E REPRES")</f>
        <v>DIGITEC TECNOLOGIA DIGITAL E REPRES</v>
      </c>
      <c r="E3485" s="21">
        <f>IFERROR(__xludf.DUMMYFUNCTION("""COMPUTED_VALUE"""),145359.0)</f>
        <v>145359</v>
      </c>
      <c r="F3485" s="21" t="str">
        <f>IFERROR(__xludf.DUMMYFUNCTION("""COMPUTED_VALUE"""),"SUSPEITO")</f>
        <v>SUSPEITO</v>
      </c>
      <c r="G3485" s="23">
        <f>IFERROR(__xludf.DUMMYFUNCTION("""COMPUTED_VALUE"""),45608.5371875)</f>
        <v>45608.53719</v>
      </c>
      <c r="H3485" s="24" t="str">
        <f>IFERROR(VLOOKUP(B3485,material!A:D,3,0),"")</f>
        <v>ONT</v>
      </c>
    </row>
    <row r="3486" ht="11.25" customHeight="1">
      <c r="A3486" s="21" t="str">
        <f>IFERROR(__xludf.DUMMYFUNCTION("""COMPUTED_VALUE"""),"TERMINAL GPON WIFI TCG2232")</f>
        <v>TERMINAL GPON WIFI TCG2232</v>
      </c>
      <c r="B3486" s="22">
        <f>IFERROR(__xludf.DUMMYFUNCTION("""COMPUTED_VALUE"""),4.1001535E7)</f>
        <v>41001535</v>
      </c>
      <c r="C3486" s="21" t="str">
        <f>IFERROR(__xludf.DUMMYFUNCTION("""COMPUTED_VALUE"""),"D4925E05DA8B")</f>
        <v>D4925E05DA8B</v>
      </c>
      <c r="D3486" s="21" t="str">
        <f>IFERROR(__xludf.DUMMYFUNCTION("""COMPUTED_VALUE"""),"DIGITEC TECNOLOGIA DIGITAL E REPRES")</f>
        <v>DIGITEC TECNOLOGIA DIGITAL E REPRES</v>
      </c>
      <c r="E3486" s="21">
        <f>IFERROR(__xludf.DUMMYFUNCTION("""COMPUTED_VALUE"""),145359.0)</f>
        <v>145359</v>
      </c>
      <c r="F3486" s="21" t="str">
        <f>IFERROR(__xludf.DUMMYFUNCTION("""COMPUTED_VALUE"""),"SUSPEITO")</f>
        <v>SUSPEITO</v>
      </c>
      <c r="G3486" s="23">
        <f>IFERROR(__xludf.DUMMYFUNCTION("""COMPUTED_VALUE"""),45625.62180555555)</f>
        <v>45625.62181</v>
      </c>
      <c r="H3486" s="24" t="str">
        <f>IFERROR(VLOOKUP(B3486,material!A:D,3,0),"")</f>
        <v>ONT</v>
      </c>
    </row>
    <row r="3487" ht="11.25" customHeight="1">
      <c r="A3487" s="21" t="str">
        <f>IFERROR(__xludf.DUMMYFUNCTION("""COMPUTED_VALUE"""),"TERMINAL GPON WIFI TCG2232")</f>
        <v>TERMINAL GPON WIFI TCG2232</v>
      </c>
      <c r="B3487" s="22">
        <f>IFERROR(__xludf.DUMMYFUNCTION("""COMPUTED_VALUE"""),4.1001535E7)</f>
        <v>41001535</v>
      </c>
      <c r="C3487" s="21" t="str">
        <f>IFERROR(__xludf.DUMMYFUNCTION("""COMPUTED_VALUE"""),"D4925E06619D")</f>
        <v>D4925E06619D</v>
      </c>
      <c r="D3487" s="21" t="str">
        <f>IFERROR(__xludf.DUMMYFUNCTION("""COMPUTED_VALUE"""),"DIGITEC TECNOLOGIA DIGITAL E REPRES")</f>
        <v>DIGITEC TECNOLOGIA DIGITAL E REPRES</v>
      </c>
      <c r="E3487" s="21">
        <f>IFERROR(__xludf.DUMMYFUNCTION("""COMPUTED_VALUE"""),145359.0)</f>
        <v>145359</v>
      </c>
      <c r="F3487" s="21" t="str">
        <f>IFERROR(__xludf.DUMMYFUNCTION("""COMPUTED_VALUE"""),"SUSPEITO")</f>
        <v>SUSPEITO</v>
      </c>
      <c r="G3487" s="23">
        <f>IFERROR(__xludf.DUMMYFUNCTION("""COMPUTED_VALUE"""),45643.49065972222)</f>
        <v>45643.49066</v>
      </c>
      <c r="H3487" s="24" t="str">
        <f>IFERROR(VLOOKUP(B3487,material!A:D,3,0),"")</f>
        <v>ONT</v>
      </c>
    </row>
    <row r="3488" ht="11.25" customHeight="1">
      <c r="A3488" s="21" t="str">
        <f>IFERROR(__xludf.DUMMYFUNCTION("""COMPUTED_VALUE"""),"DECODER 4K ULTRA HD DGCI363 COM IG VOZ")</f>
        <v>DECODER 4K ULTRA HD DGCI363 COM IG VOZ</v>
      </c>
      <c r="B3488" s="22">
        <f>IFERROR(__xludf.DUMMYFUNCTION("""COMPUTED_VALUE"""),4.1001534E7)</f>
        <v>41001534</v>
      </c>
      <c r="C3488" s="21" t="str">
        <f>IFERROR(__xludf.DUMMYFUNCTION("""COMPUTED_VALUE"""),"229924587678")</f>
        <v>229924587678</v>
      </c>
      <c r="D3488" s="21" t="str">
        <f>IFERROR(__xludf.DUMMYFUNCTION("""COMPUTED_VALUE"""),"DIGITEC TECNOLOGIA DIGITAL E REPRES")</f>
        <v>DIGITEC TECNOLOGIA DIGITAL E REPRES</v>
      </c>
      <c r="E3488" s="21">
        <f>IFERROR(__xludf.DUMMYFUNCTION("""COMPUTED_VALUE"""),145359.0)</f>
        <v>145359</v>
      </c>
      <c r="F3488" s="21" t="str">
        <f>IFERROR(__xludf.DUMMYFUNCTION("""COMPUTED_VALUE"""),"SUSPEITO")</f>
        <v>SUSPEITO</v>
      </c>
      <c r="G3488" s="23">
        <f>IFERROR(__xludf.DUMMYFUNCTION("""COMPUTED_VALUE"""),45639.727581018524)</f>
        <v>45639.72758</v>
      </c>
      <c r="H3488" s="24" t="str">
        <f>IFERROR(VLOOKUP(B3488,material!A:D,3,0),"")</f>
        <v>4K</v>
      </c>
    </row>
    <row r="3489" ht="11.25" customHeight="1">
      <c r="A3489" s="21" t="str">
        <f>IFERROR(__xludf.DUMMYFUNCTION("""COMPUTED_VALUE"""),"ROTEADOR ZTE WIFI5 ZXHN H196A MESH BCO")</f>
        <v>ROTEADOR ZTE WIFI5 ZXHN H196A MESH BCO</v>
      </c>
      <c r="B3489" s="22">
        <f>IFERROR(__xludf.DUMMYFUNCTION("""COMPUTED_VALUE"""),4.1001536E7)</f>
        <v>41001536</v>
      </c>
      <c r="C3489" s="21" t="str">
        <f>IFERROR(__xludf.DUMMYFUNCTION("""COMPUTED_VALUE"""),"D8E84489FB9A")</f>
        <v>D8E84489FB9A</v>
      </c>
      <c r="D3489" s="21" t="str">
        <f>IFERROR(__xludf.DUMMYFUNCTION("""COMPUTED_VALUE"""),"DIGITEC TECNOLOGIA DIGITAL E REPRES")</f>
        <v>DIGITEC TECNOLOGIA DIGITAL E REPRES</v>
      </c>
      <c r="E3489" s="21">
        <f>IFERROR(__xludf.DUMMYFUNCTION("""COMPUTED_VALUE"""),145359.0)</f>
        <v>145359</v>
      </c>
      <c r="F3489" s="21" t="str">
        <f>IFERROR(__xludf.DUMMYFUNCTION("""COMPUTED_VALUE"""),"SUSPEITO")</f>
        <v>SUSPEITO</v>
      </c>
      <c r="G3489" s="23">
        <f>IFERROR(__xludf.DUMMYFUNCTION("""COMPUTED_VALUE"""),45604.588275462964)</f>
        <v>45604.58828</v>
      </c>
      <c r="H3489" s="24" t="str">
        <f>IFERROR(VLOOKUP(B3489,material!A:D,3,0),"")</f>
        <v>WIFI MESH</v>
      </c>
    </row>
    <row r="3490" ht="11.25" customHeight="1">
      <c r="A3490" s="21" t="str">
        <f>IFERROR(__xludf.DUMMYFUNCTION("""COMPUTED_VALUE"""),"ROTEADOR ZTE WIFI5 ZXHN H196A MESH BCO")</f>
        <v>ROTEADOR ZTE WIFI5 ZXHN H196A MESH BCO</v>
      </c>
      <c r="B3490" s="22">
        <f>IFERROR(__xludf.DUMMYFUNCTION("""COMPUTED_VALUE"""),4.1001536E7)</f>
        <v>41001536</v>
      </c>
      <c r="C3490" s="21" t="str">
        <f>IFERROR(__xludf.DUMMYFUNCTION("""COMPUTED_VALUE"""),"D8E84489FB92")</f>
        <v>D8E84489FB92</v>
      </c>
      <c r="D3490" s="21" t="str">
        <f>IFERROR(__xludf.DUMMYFUNCTION("""COMPUTED_VALUE"""),"DIGITEC TECNOLOGIA DIGITAL E REPRES")</f>
        <v>DIGITEC TECNOLOGIA DIGITAL E REPRES</v>
      </c>
      <c r="E3490" s="21">
        <f>IFERROR(__xludf.DUMMYFUNCTION("""COMPUTED_VALUE"""),145359.0)</f>
        <v>145359</v>
      </c>
      <c r="F3490" s="21" t="str">
        <f>IFERROR(__xludf.DUMMYFUNCTION("""COMPUTED_VALUE"""),"SUSPEITO")</f>
        <v>SUSPEITO</v>
      </c>
      <c r="G3490" s="23">
        <f>IFERROR(__xludf.DUMMYFUNCTION("""COMPUTED_VALUE"""),45604.59081018518)</f>
        <v>45604.59081</v>
      </c>
      <c r="H3490" s="24" t="str">
        <f>IFERROR(VLOOKUP(B3490,material!A:D,3,0),"")</f>
        <v>WIFI MESH</v>
      </c>
    </row>
    <row r="3491" ht="11.25" customHeight="1">
      <c r="A3491" s="21" t="str">
        <f>IFERROR(__xludf.DUMMYFUNCTION("""COMPUTED_VALUE"""),"ROTEADOR ZTE WIFI5 ZXHN H196A MESH BCO")</f>
        <v>ROTEADOR ZTE WIFI5 ZXHN H196A MESH BCO</v>
      </c>
      <c r="B3491" s="22">
        <f>IFERROR(__xludf.DUMMYFUNCTION("""COMPUTED_VALUE"""),4.1001536E7)</f>
        <v>41001536</v>
      </c>
      <c r="C3491" s="21" t="str">
        <f>IFERROR(__xludf.DUMMYFUNCTION("""COMPUTED_VALUE"""),"D8E84489FB8A")</f>
        <v>D8E84489FB8A</v>
      </c>
      <c r="D3491" s="21" t="str">
        <f>IFERROR(__xludf.DUMMYFUNCTION("""COMPUTED_VALUE"""),"DIGITEC TECNOLOGIA DIGITAL E REPRES")</f>
        <v>DIGITEC TECNOLOGIA DIGITAL E REPRES</v>
      </c>
      <c r="E3491" s="21">
        <f>IFERROR(__xludf.DUMMYFUNCTION("""COMPUTED_VALUE"""),145359.0)</f>
        <v>145359</v>
      </c>
      <c r="F3491" s="21" t="str">
        <f>IFERROR(__xludf.DUMMYFUNCTION("""COMPUTED_VALUE"""),"SUSPEITO")</f>
        <v>SUSPEITO</v>
      </c>
      <c r="G3491" s="23">
        <f>IFERROR(__xludf.DUMMYFUNCTION("""COMPUTED_VALUE"""),45604.589942129634)</f>
        <v>45604.58994</v>
      </c>
      <c r="H3491" s="24" t="str">
        <f>IFERROR(VLOOKUP(B3491,material!A:D,3,0),"")</f>
        <v>WIFI MESH</v>
      </c>
    </row>
    <row r="3492" ht="11.25" customHeight="1">
      <c r="A3492" s="21" t="str">
        <f>IFERROR(__xludf.DUMMYFUNCTION("""COMPUTED_VALUE"""),"ROTEADOR ZTE WIFI5 ZXHN H196A MESH BCO")</f>
        <v>ROTEADOR ZTE WIFI5 ZXHN H196A MESH BCO</v>
      </c>
      <c r="B3492" s="22">
        <f>IFERROR(__xludf.DUMMYFUNCTION("""COMPUTED_VALUE"""),4.1001536E7)</f>
        <v>41001536</v>
      </c>
      <c r="C3492" s="21" t="str">
        <f>IFERROR(__xludf.DUMMYFUNCTION("""COMPUTED_VALUE"""),"CC29BDEDA625")</f>
        <v>CC29BDEDA625</v>
      </c>
      <c r="D3492" s="21" t="str">
        <f>IFERROR(__xludf.DUMMYFUNCTION("""COMPUTED_VALUE"""),"DIGITEC TECNOLOGIA DIGITAL E REPRES")</f>
        <v>DIGITEC TECNOLOGIA DIGITAL E REPRES</v>
      </c>
      <c r="E3492" s="21">
        <f>IFERROR(__xludf.DUMMYFUNCTION("""COMPUTED_VALUE"""),145359.0)</f>
        <v>145359</v>
      </c>
      <c r="F3492" s="21" t="str">
        <f>IFERROR(__xludf.DUMMYFUNCTION("""COMPUTED_VALUE"""),"SUSPEITO")</f>
        <v>SUSPEITO</v>
      </c>
      <c r="G3492" s="23">
        <f>IFERROR(__xludf.DUMMYFUNCTION("""COMPUTED_VALUE"""),45632.80627314815)</f>
        <v>45632.80627</v>
      </c>
      <c r="H3492" s="24" t="str">
        <f>IFERROR(VLOOKUP(B3492,material!A:D,3,0),"")</f>
        <v>WIFI MESH</v>
      </c>
    </row>
    <row r="3493" ht="11.25" customHeight="1">
      <c r="A3493" s="21" t="str">
        <f>IFERROR(__xludf.DUMMYFUNCTION("""COMPUTED_VALUE"""),"ROTEADOR ZTE WIFI5 ZXHN H196A MESH BCO")</f>
        <v>ROTEADOR ZTE WIFI5 ZXHN H196A MESH BCO</v>
      </c>
      <c r="B3493" s="22">
        <f>IFERROR(__xludf.DUMMYFUNCTION("""COMPUTED_VALUE"""),4.1001536E7)</f>
        <v>41001536</v>
      </c>
      <c r="C3493" s="21" t="str">
        <f>IFERROR(__xludf.DUMMYFUNCTION("""COMPUTED_VALUE"""),"CC29BDEDA65D")</f>
        <v>CC29BDEDA65D</v>
      </c>
      <c r="D3493" s="21" t="str">
        <f>IFERROR(__xludf.DUMMYFUNCTION("""COMPUTED_VALUE"""),"DIGITEC TECNOLOGIA DIGITAL E REPRES")</f>
        <v>DIGITEC TECNOLOGIA DIGITAL E REPRES</v>
      </c>
      <c r="E3493" s="21">
        <f>IFERROR(__xludf.DUMMYFUNCTION("""COMPUTED_VALUE"""),145359.0)</f>
        <v>145359</v>
      </c>
      <c r="F3493" s="21" t="str">
        <f>IFERROR(__xludf.DUMMYFUNCTION("""COMPUTED_VALUE"""),"SUSPEITO")</f>
        <v>SUSPEITO</v>
      </c>
      <c r="G3493" s="23">
        <f>IFERROR(__xludf.DUMMYFUNCTION("""COMPUTED_VALUE"""),45632.805127314816)</f>
        <v>45632.80513</v>
      </c>
      <c r="H3493" s="24" t="str">
        <f>IFERROR(VLOOKUP(B3493,material!A:D,3,0),"")</f>
        <v>WIFI MESH</v>
      </c>
    </row>
    <row r="3494" ht="11.25" customHeight="1">
      <c r="A3494" s="21" t="str">
        <f>IFERROR(__xludf.DUMMYFUNCTION("""COMPUTED_VALUE"""),"TERMINAL DOCSIS 3.1 32X8 EMTA WIF TG3442")</f>
        <v>TERMINAL DOCSIS 3.1 32X8 EMTA WIF TG3442</v>
      </c>
      <c r="B3494" s="22">
        <f>IFERROR(__xludf.DUMMYFUNCTION("""COMPUTED_VALUE"""),4.100152E7)</f>
        <v>41001520</v>
      </c>
      <c r="C3494" s="21" t="str">
        <f>IFERROR(__xludf.DUMMYFUNCTION("""COMPUTED_VALUE"""),"F820D20795D2")</f>
        <v>F820D20795D2</v>
      </c>
      <c r="D3494" s="21" t="str">
        <f>IFERROR(__xludf.DUMMYFUNCTION("""COMPUTED_VALUE"""),"DIGITEC TECNOLOGIA DIGITAL E REPRES")</f>
        <v>DIGITEC TECNOLOGIA DIGITAL E REPRES</v>
      </c>
      <c r="E3494" s="21">
        <f>IFERROR(__xludf.DUMMYFUNCTION("""COMPUTED_VALUE"""),145359.0)</f>
        <v>145359</v>
      </c>
      <c r="F3494" s="21" t="str">
        <f>IFERROR(__xludf.DUMMYFUNCTION("""COMPUTED_VALUE"""),"SUSPEITO")</f>
        <v>SUSPEITO</v>
      </c>
      <c r="G3494" s="23">
        <f>IFERROR(__xludf.DUMMYFUNCTION("""COMPUTED_VALUE"""),45642.55421296296)</f>
        <v>45642.55421</v>
      </c>
      <c r="H3494" s="24" t="str">
        <f>IFERROR(VLOOKUP(B3494,material!A:D,3,0),"")</f>
        <v>3.1</v>
      </c>
    </row>
    <row r="3495" ht="11.25" customHeight="1">
      <c r="A3495" s="21" t="str">
        <f>IFERROR(__xludf.DUMMYFUNCTION("""COMPUTED_VALUE"""),"TERMINAL DOCSIS 3.1 32X8 EMTA WIF TG3442")</f>
        <v>TERMINAL DOCSIS 3.1 32X8 EMTA WIF TG3442</v>
      </c>
      <c r="B3495" s="22">
        <f>IFERROR(__xludf.DUMMYFUNCTION("""COMPUTED_VALUE"""),4.100152E7)</f>
        <v>41001520</v>
      </c>
      <c r="C3495" s="21" t="str">
        <f>IFERROR(__xludf.DUMMYFUNCTION("""COMPUTED_VALUE"""),"A8705D8801DE")</f>
        <v>A8705D8801DE</v>
      </c>
      <c r="D3495" s="21" t="str">
        <f>IFERROR(__xludf.DUMMYFUNCTION("""COMPUTED_VALUE"""),"DIGITEC TECNOLOGIA DIGITAL E REPRES")</f>
        <v>DIGITEC TECNOLOGIA DIGITAL E REPRES</v>
      </c>
      <c r="E3495" s="21">
        <f>IFERROR(__xludf.DUMMYFUNCTION("""COMPUTED_VALUE"""),145359.0)</f>
        <v>145359</v>
      </c>
      <c r="F3495" s="21" t="str">
        <f>IFERROR(__xludf.DUMMYFUNCTION("""COMPUTED_VALUE"""),"SUSPEITO")</f>
        <v>SUSPEITO</v>
      </c>
      <c r="G3495" s="23">
        <f>IFERROR(__xludf.DUMMYFUNCTION("""COMPUTED_VALUE"""),45611.49390046296)</f>
        <v>45611.4939</v>
      </c>
      <c r="H3495" s="24" t="str">
        <f>IFERROR(VLOOKUP(B3495,material!A:D,3,0),"")</f>
        <v>3.1</v>
      </c>
    </row>
    <row r="3496" ht="11.25" customHeight="1">
      <c r="A3496" s="21" t="str">
        <f>IFERROR(__xludf.DUMMYFUNCTION("""COMPUTED_VALUE"""),"TERMINAL DOCSIS 3.1 32X8 EMTA WIF TG3442")</f>
        <v>TERMINAL DOCSIS 3.1 32X8 EMTA WIF TG3442</v>
      </c>
      <c r="B3496" s="22">
        <f>IFERROR(__xludf.DUMMYFUNCTION("""COMPUTED_VALUE"""),4.100152E7)</f>
        <v>41001520</v>
      </c>
      <c r="C3496" s="21" t="str">
        <f>IFERROR(__xludf.DUMMYFUNCTION("""COMPUTED_VALUE"""),"F820D2058607")</f>
        <v>F820D2058607</v>
      </c>
      <c r="D3496" s="21" t="str">
        <f>IFERROR(__xludf.DUMMYFUNCTION("""COMPUTED_VALUE"""),"DIGITEC TECNOLOGIA DIGITAL E REPRES")</f>
        <v>DIGITEC TECNOLOGIA DIGITAL E REPRES</v>
      </c>
      <c r="E3496" s="21">
        <f>IFERROR(__xludf.DUMMYFUNCTION("""COMPUTED_VALUE"""),145359.0)</f>
        <v>145359</v>
      </c>
      <c r="F3496" s="21" t="str">
        <f>IFERROR(__xludf.DUMMYFUNCTION("""COMPUTED_VALUE"""),"SUSPEITO")</f>
        <v>SUSPEITO</v>
      </c>
      <c r="G3496" s="23">
        <f>IFERROR(__xludf.DUMMYFUNCTION("""COMPUTED_VALUE"""),45627.43240740741)</f>
        <v>45627.43241</v>
      </c>
      <c r="H3496" s="24" t="str">
        <f>IFERROR(VLOOKUP(B3496,material!A:D,3,0),"")</f>
        <v>3.1</v>
      </c>
    </row>
    <row r="3497" ht="11.25" customHeight="1">
      <c r="A3497" s="21" t="str">
        <f>IFERROR(__xludf.DUMMYFUNCTION("""COMPUTED_VALUE"""),"TERMINAL DOCSIS 3.1 32X8 EMTA WIF TG3442")</f>
        <v>TERMINAL DOCSIS 3.1 32X8 EMTA WIF TG3442</v>
      </c>
      <c r="B3497" s="22">
        <f>IFERROR(__xludf.DUMMYFUNCTION("""COMPUTED_VALUE"""),4.100152E7)</f>
        <v>41001520</v>
      </c>
      <c r="C3497" s="21" t="str">
        <f>IFERROR(__xludf.DUMMYFUNCTION("""COMPUTED_VALUE"""),"F820D2057829")</f>
        <v>F820D2057829</v>
      </c>
      <c r="D3497" s="21" t="str">
        <f>IFERROR(__xludf.DUMMYFUNCTION("""COMPUTED_VALUE"""),"DIGITEC TECNOLOGIA DIGITAL E REPRES")</f>
        <v>DIGITEC TECNOLOGIA DIGITAL E REPRES</v>
      </c>
      <c r="E3497" s="21">
        <f>IFERROR(__xludf.DUMMYFUNCTION("""COMPUTED_VALUE"""),145359.0)</f>
        <v>145359</v>
      </c>
      <c r="F3497" s="21" t="str">
        <f>IFERROR(__xludf.DUMMYFUNCTION("""COMPUTED_VALUE"""),"SUSPEITO")</f>
        <v>SUSPEITO</v>
      </c>
      <c r="G3497" s="23">
        <f>IFERROR(__xludf.DUMMYFUNCTION("""COMPUTED_VALUE"""),45643.43383101852)</f>
        <v>45643.43383</v>
      </c>
      <c r="H3497" s="24" t="str">
        <f>IFERROR(VLOOKUP(B3497,material!A:D,3,0),"")</f>
        <v>3.1</v>
      </c>
    </row>
    <row r="3498" ht="11.25" customHeight="1">
      <c r="A3498" s="21" t="str">
        <f>IFERROR(__xludf.DUMMYFUNCTION("""COMPUTED_VALUE"""),"TERMINAL DOCSIS 3.1 32X8 EMTA WIF TG3442")</f>
        <v>TERMINAL DOCSIS 3.1 32X8 EMTA WIF TG3442</v>
      </c>
      <c r="B3498" s="22">
        <f>IFERROR(__xludf.DUMMYFUNCTION("""COMPUTED_VALUE"""),4.100152E7)</f>
        <v>41001520</v>
      </c>
      <c r="C3498" s="21" t="str">
        <f>IFERROR(__xludf.DUMMYFUNCTION("""COMPUTED_VALUE"""),"A8705D84ADE0")</f>
        <v>A8705D84ADE0</v>
      </c>
      <c r="D3498" s="21" t="str">
        <f>IFERROR(__xludf.DUMMYFUNCTION("""COMPUTED_VALUE"""),"DIGITEC TECNOLOGIA DIGITAL E REPRES")</f>
        <v>DIGITEC TECNOLOGIA DIGITAL E REPRES</v>
      </c>
      <c r="E3498" s="21">
        <f>IFERROR(__xludf.DUMMYFUNCTION("""COMPUTED_VALUE"""),145359.0)</f>
        <v>145359</v>
      </c>
      <c r="F3498" s="21" t="str">
        <f>IFERROR(__xludf.DUMMYFUNCTION("""COMPUTED_VALUE"""),"SUSPEITO")</f>
        <v>SUSPEITO</v>
      </c>
      <c r="G3498" s="23">
        <f>IFERROR(__xludf.DUMMYFUNCTION("""COMPUTED_VALUE"""),45638.617314814815)</f>
        <v>45638.61731</v>
      </c>
      <c r="H3498" s="24" t="str">
        <f>IFERROR(VLOOKUP(B3498,material!A:D,3,0),"")</f>
        <v>3.1</v>
      </c>
    </row>
    <row r="3499" ht="11.25" customHeight="1">
      <c r="A3499" s="21" t="str">
        <f>IFERROR(__xludf.DUMMYFUNCTION("""COMPUTED_VALUE"""),"TERMINAL DOCSIS 3.1 WIFI HI3120")</f>
        <v>TERMINAL DOCSIS 3.1 WIFI HI3120</v>
      </c>
      <c r="B3499" s="22">
        <f>IFERROR(__xludf.DUMMYFUNCTION("""COMPUTED_VALUE"""),4.1001518E7)</f>
        <v>41001518</v>
      </c>
      <c r="C3499" s="21" t="str">
        <f>IFERROR(__xludf.DUMMYFUNCTION("""COMPUTED_VALUE"""),"104121187E10")</f>
        <v>104121187E10</v>
      </c>
      <c r="D3499" s="21" t="str">
        <f>IFERROR(__xludf.DUMMYFUNCTION("""COMPUTED_VALUE"""),"DIGITEC TECNOLOGIA DIGITAL E REPRES")</f>
        <v>DIGITEC TECNOLOGIA DIGITAL E REPRES</v>
      </c>
      <c r="E3499" s="21">
        <f>IFERROR(__xludf.DUMMYFUNCTION("""COMPUTED_VALUE"""),145359.0)</f>
        <v>145359</v>
      </c>
      <c r="F3499" s="21" t="str">
        <f>IFERROR(__xludf.DUMMYFUNCTION("""COMPUTED_VALUE"""),"SUSPEITO")</f>
        <v>SUSPEITO</v>
      </c>
      <c r="G3499" s="23">
        <f>IFERROR(__xludf.DUMMYFUNCTION("""COMPUTED_VALUE"""),45621.77270833333)</f>
        <v>45621.77271</v>
      </c>
      <c r="H3499" s="24" t="str">
        <f>IFERROR(VLOOKUP(B3499,material!A:D,3,0),"")</f>
        <v>3.1</v>
      </c>
    </row>
    <row r="3500" ht="11.25" customHeight="1">
      <c r="A3500" s="21" t="str">
        <f>IFERROR(__xludf.DUMMYFUNCTION("""COMPUTED_VALUE"""),"MODEM VOIP EMTA WIFI 3.1 TC3102 32X8")</f>
        <v>MODEM VOIP EMTA WIFI 3.1 TC3102 32X8</v>
      </c>
      <c r="B3500" s="22">
        <f>IFERROR(__xludf.DUMMYFUNCTION("""COMPUTED_VALUE"""),4.1001513E7)</f>
        <v>41001513</v>
      </c>
      <c r="C3500" s="21" t="str">
        <f>IFERROR(__xludf.DUMMYFUNCTION("""COMPUTED_VALUE"""),"484BD4B35514")</f>
        <v>484BD4B35514</v>
      </c>
      <c r="D3500" s="21" t="str">
        <f>IFERROR(__xludf.DUMMYFUNCTION("""COMPUTED_VALUE"""),"DIGITEC TECNOLOGIA DIGITAL E REPRES")</f>
        <v>DIGITEC TECNOLOGIA DIGITAL E REPRES</v>
      </c>
      <c r="E3500" s="21">
        <f>IFERROR(__xludf.DUMMYFUNCTION("""COMPUTED_VALUE"""),145359.0)</f>
        <v>145359</v>
      </c>
      <c r="F3500" s="21" t="str">
        <f>IFERROR(__xludf.DUMMYFUNCTION("""COMPUTED_VALUE"""),"SUSPEITO")</f>
        <v>SUSPEITO</v>
      </c>
      <c r="G3500" s="23">
        <f>IFERROR(__xludf.DUMMYFUNCTION("""COMPUTED_VALUE"""),45639.58920138889)</f>
        <v>45639.5892</v>
      </c>
      <c r="H3500" s="24" t="str">
        <f>IFERROR(VLOOKUP(B3500,material!A:D,3,0),"")</f>
        <v>3.1</v>
      </c>
    </row>
    <row r="3501" ht="11.25" customHeight="1">
      <c r="A3501" s="21" t="str">
        <f>IFERROR(__xludf.DUMMYFUNCTION("""COMPUTED_VALUE"""),"MODEM VOIP EMTA WIFI 3.1 TC3102 32X8")</f>
        <v>MODEM VOIP EMTA WIFI 3.1 TC3102 32X8</v>
      </c>
      <c r="B3501" s="22">
        <f>IFERROR(__xludf.DUMMYFUNCTION("""COMPUTED_VALUE"""),4.1001513E7)</f>
        <v>41001513</v>
      </c>
      <c r="C3501" s="21" t="str">
        <f>IFERROR(__xludf.DUMMYFUNCTION("""COMPUTED_VALUE"""),"08A7C06D3034")</f>
        <v>08A7C06D3034</v>
      </c>
      <c r="D3501" s="21" t="str">
        <f>IFERROR(__xludf.DUMMYFUNCTION("""COMPUTED_VALUE"""),"DIGITEC TECNOLOGIA DIGITAL E REPRES")</f>
        <v>DIGITEC TECNOLOGIA DIGITAL E REPRES</v>
      </c>
      <c r="E3501" s="21">
        <f>IFERROR(__xludf.DUMMYFUNCTION("""COMPUTED_VALUE"""),145359.0)</f>
        <v>145359</v>
      </c>
      <c r="F3501" s="21" t="str">
        <f>IFERROR(__xludf.DUMMYFUNCTION("""COMPUTED_VALUE"""),"SUSPEITO")</f>
        <v>SUSPEITO</v>
      </c>
      <c r="G3501" s="23">
        <f>IFERROR(__xludf.DUMMYFUNCTION("""COMPUTED_VALUE"""),45642.635462962964)</f>
        <v>45642.63546</v>
      </c>
      <c r="H3501" s="24" t="str">
        <f>IFERROR(VLOOKUP(B3501,material!A:D,3,0),"")</f>
        <v>3.1</v>
      </c>
    </row>
    <row r="3502" ht="11.25" customHeight="1">
      <c r="A3502" s="21" t="str">
        <f>IFERROR(__xludf.DUMMYFUNCTION("""COMPUTED_VALUE"""),"MODEM VOIP EMTA WIFI 3.1 TC3102 32X8")</f>
        <v>MODEM VOIP EMTA WIFI 3.1 TC3102 32X8</v>
      </c>
      <c r="B3502" s="22">
        <f>IFERROR(__xludf.DUMMYFUNCTION("""COMPUTED_VALUE"""),4.1001513E7)</f>
        <v>41001513</v>
      </c>
      <c r="C3502" s="21" t="str">
        <f>IFERROR(__xludf.DUMMYFUNCTION("""COMPUTED_VALUE"""),"ECA81F1E1034")</f>
        <v>ECA81F1E1034</v>
      </c>
      <c r="D3502" s="21" t="str">
        <f>IFERROR(__xludf.DUMMYFUNCTION("""COMPUTED_VALUE"""),"DIGITEC TECNOLOGIA DIGITAL E REPRES")</f>
        <v>DIGITEC TECNOLOGIA DIGITAL E REPRES</v>
      </c>
      <c r="E3502" s="21">
        <f>IFERROR(__xludf.DUMMYFUNCTION("""COMPUTED_VALUE"""),145359.0)</f>
        <v>145359</v>
      </c>
      <c r="F3502" s="21" t="str">
        <f>IFERROR(__xludf.DUMMYFUNCTION("""COMPUTED_VALUE"""),"SUSPEITO")</f>
        <v>SUSPEITO</v>
      </c>
      <c r="G3502" s="23">
        <f>IFERROR(__xludf.DUMMYFUNCTION("""COMPUTED_VALUE"""),45637.714224537034)</f>
        <v>45637.71422</v>
      </c>
      <c r="H3502" s="24" t="str">
        <f>IFERROR(VLOOKUP(B3502,material!A:D,3,0),"")</f>
        <v>3.1</v>
      </c>
    </row>
    <row r="3503" ht="11.25" customHeight="1">
      <c r="A3503" s="21" t="str">
        <f>IFERROR(__xludf.DUMMYFUNCTION("""COMPUTED_VALUE"""),"MODEM VOIP EMTA WIFI 3.1 TC3102 32X8")</f>
        <v>MODEM VOIP EMTA WIFI 3.1 TC3102 32X8</v>
      </c>
      <c r="B3503" s="22">
        <f>IFERROR(__xludf.DUMMYFUNCTION("""COMPUTED_VALUE"""),4.1001513E7)</f>
        <v>41001513</v>
      </c>
      <c r="C3503" s="21" t="str">
        <f>IFERROR(__xludf.DUMMYFUNCTION("""COMPUTED_VALUE"""),"D4E2CB8D93EC")</f>
        <v>D4E2CB8D93EC</v>
      </c>
      <c r="D3503" s="21" t="str">
        <f>IFERROR(__xludf.DUMMYFUNCTION("""COMPUTED_VALUE"""),"DIGITEC TECNOLOGIA DIGITAL E REPRES")</f>
        <v>DIGITEC TECNOLOGIA DIGITAL E REPRES</v>
      </c>
      <c r="E3503" s="21">
        <f>IFERROR(__xludf.DUMMYFUNCTION("""COMPUTED_VALUE"""),145359.0)</f>
        <v>145359</v>
      </c>
      <c r="F3503" s="21" t="str">
        <f>IFERROR(__xludf.DUMMYFUNCTION("""COMPUTED_VALUE"""),"SUSPEITO")</f>
        <v>SUSPEITO</v>
      </c>
      <c r="G3503" s="23">
        <f>IFERROR(__xludf.DUMMYFUNCTION("""COMPUTED_VALUE"""),45633.5291087963)</f>
        <v>45633.52911</v>
      </c>
      <c r="H3503" s="24" t="str">
        <f>IFERROR(VLOOKUP(B3503,material!A:D,3,0),"")</f>
        <v>3.1</v>
      </c>
    </row>
    <row r="3504" ht="11.25" customHeight="1">
      <c r="A3504" s="21" t="str">
        <f>IFERROR(__xludf.DUMMYFUNCTION("""COMPUTED_VALUE"""),"MODEM VOIP EMTA WIFI 3.1 TC3102 32X8")</f>
        <v>MODEM VOIP EMTA WIFI 3.1 TC3102 32X8</v>
      </c>
      <c r="B3504" s="22">
        <f>IFERROR(__xludf.DUMMYFUNCTION("""COMPUTED_VALUE"""),4.1001513E7)</f>
        <v>41001513</v>
      </c>
      <c r="C3504" s="21" t="str">
        <f>IFERROR(__xludf.DUMMYFUNCTION("""COMPUTED_VALUE"""),"D4E2CB92765C")</f>
        <v>D4E2CB92765C</v>
      </c>
      <c r="D3504" s="21" t="str">
        <f>IFERROR(__xludf.DUMMYFUNCTION("""COMPUTED_VALUE"""),"DIGITEC TECNOLOGIA DIGITAL E REPRES")</f>
        <v>DIGITEC TECNOLOGIA DIGITAL E REPRES</v>
      </c>
      <c r="E3504" s="21">
        <f>IFERROR(__xludf.DUMMYFUNCTION("""COMPUTED_VALUE"""),145359.0)</f>
        <v>145359</v>
      </c>
      <c r="F3504" s="21" t="str">
        <f>IFERROR(__xludf.DUMMYFUNCTION("""COMPUTED_VALUE"""),"SUSPEITO")</f>
        <v>SUSPEITO</v>
      </c>
      <c r="G3504" s="23">
        <f>IFERROR(__xludf.DUMMYFUNCTION("""COMPUTED_VALUE"""),45640.62622685185)</f>
        <v>45640.62623</v>
      </c>
      <c r="H3504" s="24" t="str">
        <f>IFERROR(VLOOKUP(B3504,material!A:D,3,0),"")</f>
        <v>3.1</v>
      </c>
    </row>
    <row r="3505" ht="11.25" customHeight="1">
      <c r="A3505" s="21" t="str">
        <f>IFERROR(__xludf.DUMMYFUNCTION("""COMPUTED_VALUE"""),"MODEM VOIP EMTA WIFI 3.1 TC3102 32X8")</f>
        <v>MODEM VOIP EMTA WIFI 3.1 TC3102 32X8</v>
      </c>
      <c r="B3505" s="22">
        <f>IFERROR(__xludf.DUMMYFUNCTION("""COMPUTED_VALUE"""),4.1001513E7)</f>
        <v>41001513</v>
      </c>
      <c r="C3505" s="21" t="str">
        <f>IFERROR(__xludf.DUMMYFUNCTION("""COMPUTED_VALUE"""),"1C9ECCF29AFC")</f>
        <v>1C9ECCF29AFC</v>
      </c>
      <c r="D3505" s="21" t="str">
        <f>IFERROR(__xludf.DUMMYFUNCTION("""COMPUTED_VALUE"""),"DIGITEC TECNOLOGIA DIGITAL E REPRES")</f>
        <v>DIGITEC TECNOLOGIA DIGITAL E REPRES</v>
      </c>
      <c r="E3505" s="21">
        <f>IFERROR(__xludf.DUMMYFUNCTION("""COMPUTED_VALUE"""),145359.0)</f>
        <v>145359</v>
      </c>
      <c r="F3505" s="21" t="str">
        <f>IFERROR(__xludf.DUMMYFUNCTION("""COMPUTED_VALUE"""),"SUSPEITO")</f>
        <v>SUSPEITO</v>
      </c>
      <c r="G3505" s="23">
        <f>IFERROR(__xludf.DUMMYFUNCTION("""COMPUTED_VALUE"""),45639.48851851852)</f>
        <v>45639.48852</v>
      </c>
      <c r="H3505" s="24" t="str">
        <f>IFERROR(VLOOKUP(B3505,material!A:D,3,0),"")</f>
        <v>3.1</v>
      </c>
    </row>
    <row r="3506" ht="11.25" customHeight="1">
      <c r="A3506" s="21" t="str">
        <f>IFERROR(__xludf.DUMMYFUNCTION("""COMPUTED_VALUE"""),"MODEM VOIP EMTA WIFI 3.1 TC3102 32X8")</f>
        <v>MODEM VOIP EMTA WIFI 3.1 TC3102 32X8</v>
      </c>
      <c r="B3506" s="22">
        <f>IFERROR(__xludf.DUMMYFUNCTION("""COMPUTED_VALUE"""),4.1001513E7)</f>
        <v>41001513</v>
      </c>
      <c r="C3506" s="21" t="str">
        <f>IFERROR(__xludf.DUMMYFUNCTION("""COMPUTED_VALUE"""),"1C9ECCF2F844")</f>
        <v>1C9ECCF2F844</v>
      </c>
      <c r="D3506" s="21" t="str">
        <f>IFERROR(__xludf.DUMMYFUNCTION("""COMPUTED_VALUE"""),"DIGITEC TECNOLOGIA DIGITAL E REPRES")</f>
        <v>DIGITEC TECNOLOGIA DIGITAL E REPRES</v>
      </c>
      <c r="E3506" s="21">
        <f>IFERROR(__xludf.DUMMYFUNCTION("""COMPUTED_VALUE"""),145359.0)</f>
        <v>145359</v>
      </c>
      <c r="F3506" s="21" t="str">
        <f>IFERROR(__xludf.DUMMYFUNCTION("""COMPUTED_VALUE"""),"SUSPEITO")</f>
        <v>SUSPEITO</v>
      </c>
      <c r="G3506" s="23">
        <f>IFERROR(__xludf.DUMMYFUNCTION("""COMPUTED_VALUE"""),45642.63340277778)</f>
        <v>45642.6334</v>
      </c>
      <c r="H3506" s="24" t="str">
        <f>IFERROR(VLOOKUP(B3506,material!A:D,3,0),"")</f>
        <v>3.1</v>
      </c>
    </row>
    <row r="3507" ht="11.25" customHeight="1">
      <c r="A3507" s="21" t="str">
        <f>IFERROR(__xludf.DUMMYFUNCTION("""COMPUTED_VALUE"""),"MODEM VOIP EMTA WIFI 3.1 TC3102 32X8")</f>
        <v>MODEM VOIP EMTA WIFI 3.1 TC3102 32X8</v>
      </c>
      <c r="B3507" s="22">
        <f>IFERROR(__xludf.DUMMYFUNCTION("""COMPUTED_VALUE"""),4.1001513E7)</f>
        <v>41001513</v>
      </c>
      <c r="C3507" s="21" t="str">
        <f>IFERROR(__xludf.DUMMYFUNCTION("""COMPUTED_VALUE"""),"C4509CF4E314")</f>
        <v>C4509CF4E314</v>
      </c>
      <c r="D3507" s="21" t="str">
        <f>IFERROR(__xludf.DUMMYFUNCTION("""COMPUTED_VALUE"""),"DIGITEC TECNOLOGIA DIGITAL E REPRES")</f>
        <v>DIGITEC TECNOLOGIA DIGITAL E REPRES</v>
      </c>
      <c r="E3507" s="21">
        <f>IFERROR(__xludf.DUMMYFUNCTION("""COMPUTED_VALUE"""),145359.0)</f>
        <v>145359</v>
      </c>
      <c r="F3507" s="21" t="str">
        <f>IFERROR(__xludf.DUMMYFUNCTION("""COMPUTED_VALUE"""),"SUSPEITO")</f>
        <v>SUSPEITO</v>
      </c>
      <c r="G3507" s="23">
        <f>IFERROR(__xludf.DUMMYFUNCTION("""COMPUTED_VALUE"""),45639.6658912037)</f>
        <v>45639.66589</v>
      </c>
      <c r="H3507" s="24" t="str">
        <f>IFERROR(VLOOKUP(B3507,material!A:D,3,0),"")</f>
        <v>3.1</v>
      </c>
    </row>
    <row r="3508" ht="11.25" customHeight="1">
      <c r="A3508" s="21" t="str">
        <f>IFERROR(__xludf.DUMMYFUNCTION("""COMPUTED_VALUE"""),"MODEM VOIP EMTA WIFI 3.1 TC3102 32X8")</f>
        <v>MODEM VOIP EMTA WIFI 3.1 TC3102 32X8</v>
      </c>
      <c r="B3508" s="22">
        <f>IFERROR(__xludf.DUMMYFUNCTION("""COMPUTED_VALUE"""),4.1001513E7)</f>
        <v>41001513</v>
      </c>
      <c r="C3508" s="21" t="str">
        <f>IFERROR(__xludf.DUMMYFUNCTION("""COMPUTED_VALUE"""),"C4509CF34F04")</f>
        <v>C4509CF34F04</v>
      </c>
      <c r="D3508" s="21" t="str">
        <f>IFERROR(__xludf.DUMMYFUNCTION("""COMPUTED_VALUE"""),"DIGITEC TECNOLOGIA DIGITAL E REPRES")</f>
        <v>DIGITEC TECNOLOGIA DIGITAL E REPRES</v>
      </c>
      <c r="E3508" s="21">
        <f>IFERROR(__xludf.DUMMYFUNCTION("""COMPUTED_VALUE"""),145359.0)</f>
        <v>145359</v>
      </c>
      <c r="F3508" s="21" t="str">
        <f>IFERROR(__xludf.DUMMYFUNCTION("""COMPUTED_VALUE"""),"SUSPEITO")</f>
        <v>SUSPEITO</v>
      </c>
      <c r="G3508" s="23">
        <f>IFERROR(__xludf.DUMMYFUNCTION("""COMPUTED_VALUE"""),45640.66002314815)</f>
        <v>45640.66002</v>
      </c>
      <c r="H3508" s="24" t="str">
        <f>IFERROR(VLOOKUP(B3508,material!A:D,3,0),"")</f>
        <v>3.1</v>
      </c>
    </row>
    <row r="3509" ht="11.25" customHeight="1">
      <c r="A3509" s="21" t="str">
        <f>IFERROR(__xludf.DUMMYFUNCTION("""COMPUTED_VALUE"""),"MODEM VOIP EMTA WIFI 3.1 TC3102 32X8")</f>
        <v>MODEM VOIP EMTA WIFI 3.1 TC3102 32X8</v>
      </c>
      <c r="B3509" s="22">
        <f>IFERROR(__xludf.DUMMYFUNCTION("""COMPUTED_VALUE"""),4.1001513E7)</f>
        <v>41001513</v>
      </c>
      <c r="C3509" s="21" t="str">
        <f>IFERROR(__xludf.DUMMYFUNCTION("""COMPUTED_VALUE"""),"B85E71CFE8EC")</f>
        <v>B85E71CFE8EC</v>
      </c>
      <c r="D3509" s="21" t="str">
        <f>IFERROR(__xludf.DUMMYFUNCTION("""COMPUTED_VALUE"""),"DIGITEC TECNOLOGIA DIGITAL E REPRES")</f>
        <v>DIGITEC TECNOLOGIA DIGITAL E REPRES</v>
      </c>
      <c r="E3509" s="21">
        <f>IFERROR(__xludf.DUMMYFUNCTION("""COMPUTED_VALUE"""),145359.0)</f>
        <v>145359</v>
      </c>
      <c r="F3509" s="21" t="str">
        <f>IFERROR(__xludf.DUMMYFUNCTION("""COMPUTED_VALUE"""),"SUSPEITO")</f>
        <v>SUSPEITO</v>
      </c>
      <c r="G3509" s="23">
        <f>IFERROR(__xludf.DUMMYFUNCTION("""COMPUTED_VALUE"""),45642.612557870365)</f>
        <v>45642.61256</v>
      </c>
      <c r="H3509" s="24" t="str">
        <f>IFERROR(VLOOKUP(B3509,material!A:D,3,0),"")</f>
        <v>3.1</v>
      </c>
    </row>
    <row r="3510" ht="11.25" customHeight="1">
      <c r="A3510" s="21" t="str">
        <f>IFERROR(__xludf.DUMMYFUNCTION("""COMPUTED_VALUE"""),"MODEM VOIP EMTA WIFI 3.1 TC3102 32X8")</f>
        <v>MODEM VOIP EMTA WIFI 3.1 TC3102 32X8</v>
      </c>
      <c r="B3510" s="22">
        <f>IFERROR(__xludf.DUMMYFUNCTION("""COMPUTED_VALUE"""),4.1001513E7)</f>
        <v>41001513</v>
      </c>
      <c r="C3510" s="21" t="str">
        <f>IFERROR(__xludf.DUMMYFUNCTION("""COMPUTED_VALUE"""),"484BD4A91AEC")</f>
        <v>484BD4A91AEC</v>
      </c>
      <c r="D3510" s="21" t="str">
        <f>IFERROR(__xludf.DUMMYFUNCTION("""COMPUTED_VALUE"""),"DIGITEC TECNOLOGIA DIGITAL E REPRES")</f>
        <v>DIGITEC TECNOLOGIA DIGITAL E REPRES</v>
      </c>
      <c r="E3510" s="21">
        <f>IFERROR(__xludf.DUMMYFUNCTION("""COMPUTED_VALUE"""),145359.0)</f>
        <v>145359</v>
      </c>
      <c r="F3510" s="21" t="str">
        <f>IFERROR(__xludf.DUMMYFUNCTION("""COMPUTED_VALUE"""),"SUSPEITO")</f>
        <v>SUSPEITO</v>
      </c>
      <c r="G3510" s="23">
        <f>IFERROR(__xludf.DUMMYFUNCTION("""COMPUTED_VALUE"""),45639.39586805555)</f>
        <v>45639.39587</v>
      </c>
      <c r="H3510" s="24" t="str">
        <f>IFERROR(VLOOKUP(B3510,material!A:D,3,0),"")</f>
        <v>3.1</v>
      </c>
    </row>
    <row r="3511" ht="11.25" customHeight="1">
      <c r="A3511" s="21" t="str">
        <f>IFERROR(__xludf.DUMMYFUNCTION("""COMPUTED_VALUE"""),"MODEM VOIP EMTA WIFI 3.1 TC3102 32X8")</f>
        <v>MODEM VOIP EMTA WIFI 3.1 TC3102 32X8</v>
      </c>
      <c r="B3511" s="22">
        <f>IFERROR(__xludf.DUMMYFUNCTION("""COMPUTED_VALUE"""),4.1001513E7)</f>
        <v>41001513</v>
      </c>
      <c r="C3511" s="21" t="str">
        <f>IFERROR(__xludf.DUMMYFUNCTION("""COMPUTED_VALUE"""),"B85E71E7DD30")</f>
        <v>B85E71E7DD30</v>
      </c>
      <c r="D3511" s="21" t="str">
        <f>IFERROR(__xludf.DUMMYFUNCTION("""COMPUTED_VALUE"""),"DIGITEC TECNOLOGIA DIGITAL E REPRES")</f>
        <v>DIGITEC TECNOLOGIA DIGITAL E REPRES</v>
      </c>
      <c r="E3511" s="21">
        <f>IFERROR(__xludf.DUMMYFUNCTION("""COMPUTED_VALUE"""),145359.0)</f>
        <v>145359</v>
      </c>
      <c r="F3511" s="21" t="str">
        <f>IFERROR(__xludf.DUMMYFUNCTION("""COMPUTED_VALUE"""),"SUSPEITO")</f>
        <v>SUSPEITO</v>
      </c>
      <c r="G3511" s="23">
        <f>IFERROR(__xludf.DUMMYFUNCTION("""COMPUTED_VALUE"""),45642.48197916667)</f>
        <v>45642.48198</v>
      </c>
      <c r="H3511" s="24" t="str">
        <f>IFERROR(VLOOKUP(B3511,material!A:D,3,0),"")</f>
        <v>3.1</v>
      </c>
    </row>
    <row r="3512" ht="11.25" customHeight="1">
      <c r="A3512" s="21" t="str">
        <f>IFERROR(__xludf.DUMMYFUNCTION("""COMPUTED_VALUE"""),"MODEM VOIP EMTA WIFI 3.1 TC3102 32X8")</f>
        <v>MODEM VOIP EMTA WIFI 3.1 TC3102 32X8</v>
      </c>
      <c r="B3512" s="22">
        <f>IFERROR(__xludf.DUMMYFUNCTION("""COMPUTED_VALUE"""),4.1001513E7)</f>
        <v>41001513</v>
      </c>
      <c r="C3512" s="21" t="str">
        <f>IFERROR(__xludf.DUMMYFUNCTION("""COMPUTED_VALUE"""),"B85E71E39658")</f>
        <v>B85E71E39658</v>
      </c>
      <c r="D3512" s="21" t="str">
        <f>IFERROR(__xludf.DUMMYFUNCTION("""COMPUTED_VALUE"""),"DIGITEC TECNOLOGIA DIGITAL E REPRES")</f>
        <v>DIGITEC TECNOLOGIA DIGITAL E REPRES</v>
      </c>
      <c r="E3512" s="21">
        <f>IFERROR(__xludf.DUMMYFUNCTION("""COMPUTED_VALUE"""),145359.0)</f>
        <v>145359</v>
      </c>
      <c r="F3512" s="21" t="str">
        <f>IFERROR(__xludf.DUMMYFUNCTION("""COMPUTED_VALUE"""),"SUSPEITO")</f>
        <v>SUSPEITO</v>
      </c>
      <c r="G3512" s="23">
        <f>IFERROR(__xludf.DUMMYFUNCTION("""COMPUTED_VALUE"""),45636.67528935186)</f>
        <v>45636.67529</v>
      </c>
      <c r="H3512" s="24" t="str">
        <f>IFERROR(VLOOKUP(B3512,material!A:D,3,0),"")</f>
        <v>3.1</v>
      </c>
    </row>
    <row r="3513" ht="11.25" customHeight="1">
      <c r="A3513" s="21" t="str">
        <f>IFERROR(__xludf.DUMMYFUNCTION("""COMPUTED_VALUE"""),"MODEM VOIP EMTA WIFI 3.1 TC3102 32X8")</f>
        <v>MODEM VOIP EMTA WIFI 3.1 TC3102 32X8</v>
      </c>
      <c r="B3513" s="22">
        <f>IFERROR(__xludf.DUMMYFUNCTION("""COMPUTED_VALUE"""),4.1001513E7)</f>
        <v>41001513</v>
      </c>
      <c r="C3513" s="21" t="str">
        <f>IFERROR(__xludf.DUMMYFUNCTION("""COMPUTED_VALUE"""),"00CB7AE19C38")</f>
        <v>00CB7AE19C38</v>
      </c>
      <c r="D3513" s="21" t="str">
        <f>IFERROR(__xludf.DUMMYFUNCTION("""COMPUTED_VALUE"""),"DIGITEC TECNOLOGIA DIGITAL E REPRES")</f>
        <v>DIGITEC TECNOLOGIA DIGITAL E REPRES</v>
      </c>
      <c r="E3513" s="21">
        <f>IFERROR(__xludf.DUMMYFUNCTION("""COMPUTED_VALUE"""),145359.0)</f>
        <v>145359</v>
      </c>
      <c r="F3513" s="21" t="str">
        <f>IFERROR(__xludf.DUMMYFUNCTION("""COMPUTED_VALUE"""),"SUSPEITO")</f>
        <v>SUSPEITO</v>
      </c>
      <c r="G3513" s="23">
        <f>IFERROR(__xludf.DUMMYFUNCTION("""COMPUTED_VALUE"""),45638.46501157407)</f>
        <v>45638.46501</v>
      </c>
      <c r="H3513" s="24" t="str">
        <f>IFERROR(VLOOKUP(B3513,material!A:D,3,0),"")</f>
        <v>3.1</v>
      </c>
    </row>
    <row r="3514" ht="11.25" customHeight="1">
      <c r="A3514" s="21" t="str">
        <f>IFERROR(__xludf.DUMMYFUNCTION("""COMPUTED_VALUE"""),"MODEM VOIP EMTA WIFI 3.1 TC3102 32X8")</f>
        <v>MODEM VOIP EMTA WIFI 3.1 TC3102 32X8</v>
      </c>
      <c r="B3514" s="22">
        <f>IFERROR(__xludf.DUMMYFUNCTION("""COMPUTED_VALUE"""),4.1001513E7)</f>
        <v>41001513</v>
      </c>
      <c r="C3514" s="21" t="str">
        <f>IFERROR(__xludf.DUMMYFUNCTION("""COMPUTED_VALUE"""),"4075C3C17F2C")</f>
        <v>4075C3C17F2C</v>
      </c>
      <c r="D3514" s="21" t="str">
        <f>IFERROR(__xludf.DUMMYFUNCTION("""COMPUTED_VALUE"""),"DIGITEC TECNOLOGIA DIGITAL E REPRES")</f>
        <v>DIGITEC TECNOLOGIA DIGITAL E REPRES</v>
      </c>
      <c r="E3514" s="21">
        <f>IFERROR(__xludf.DUMMYFUNCTION("""COMPUTED_VALUE"""),145359.0)</f>
        <v>145359</v>
      </c>
      <c r="F3514" s="21" t="str">
        <f>IFERROR(__xludf.DUMMYFUNCTION("""COMPUTED_VALUE"""),"SUSPEITO")</f>
        <v>SUSPEITO</v>
      </c>
      <c r="G3514" s="23">
        <f>IFERROR(__xludf.DUMMYFUNCTION("""COMPUTED_VALUE"""),45637.64445601852)</f>
        <v>45637.64446</v>
      </c>
      <c r="H3514" s="24" t="str">
        <f>IFERROR(VLOOKUP(B3514,material!A:D,3,0),"")</f>
        <v>3.1</v>
      </c>
    </row>
    <row r="3515" ht="11.25" customHeight="1">
      <c r="A3515" s="21" t="str">
        <f>IFERROR(__xludf.DUMMYFUNCTION("""COMPUTED_VALUE"""),"MODEM VOIP EMTA WIFI 3.1 FAST3895")</f>
        <v>MODEM VOIP EMTA WIFI 3.1 FAST3895</v>
      </c>
      <c r="B3515" s="22">
        <f>IFERROR(__xludf.DUMMYFUNCTION("""COMPUTED_VALUE"""),4.1001504E7)</f>
        <v>41001504</v>
      </c>
      <c r="C3515" s="21" t="str">
        <f>IFERROR(__xludf.DUMMYFUNCTION("""COMPUTED_VALUE"""),"D833B730D0D9")</f>
        <v>D833B730D0D9</v>
      </c>
      <c r="D3515" s="21" t="str">
        <f>IFERROR(__xludf.DUMMYFUNCTION("""COMPUTED_VALUE"""),"DIGITEC TECNOLOGIA DIGITAL E REPRES")</f>
        <v>DIGITEC TECNOLOGIA DIGITAL E REPRES</v>
      </c>
      <c r="E3515" s="21">
        <f>IFERROR(__xludf.DUMMYFUNCTION("""COMPUTED_VALUE"""),145359.0)</f>
        <v>145359</v>
      </c>
      <c r="F3515" s="21" t="str">
        <f>IFERROR(__xludf.DUMMYFUNCTION("""COMPUTED_VALUE"""),"SUSPEITO")</f>
        <v>SUSPEITO</v>
      </c>
      <c r="G3515" s="23">
        <f>IFERROR(__xludf.DUMMYFUNCTION("""COMPUTED_VALUE"""),45632.436701388884)</f>
        <v>45632.4367</v>
      </c>
      <c r="H3515" s="24" t="str">
        <f>IFERROR(VLOOKUP(B3515,material!A:D,3,0),"")</f>
        <v>3.1</v>
      </c>
    </row>
    <row r="3516" ht="11.25" customHeight="1">
      <c r="A3516" s="21" t="str">
        <f>IFERROR(__xludf.DUMMYFUNCTION("""COMPUTED_VALUE"""),"MODEM VOIP EMTA WIFI 3.1 FAST3895")</f>
        <v>MODEM VOIP EMTA WIFI 3.1 FAST3895</v>
      </c>
      <c r="B3516" s="22">
        <f>IFERROR(__xludf.DUMMYFUNCTION("""COMPUTED_VALUE"""),4.1001504E7)</f>
        <v>41001504</v>
      </c>
      <c r="C3516" s="21" t="str">
        <f>IFERROR(__xludf.DUMMYFUNCTION("""COMPUTED_VALUE"""),"E4C0E2982899")</f>
        <v>E4C0E2982899</v>
      </c>
      <c r="D3516" s="21" t="str">
        <f>IFERROR(__xludf.DUMMYFUNCTION("""COMPUTED_VALUE"""),"DIGITEC TECNOLOGIA DIGITAL E REPRES")</f>
        <v>DIGITEC TECNOLOGIA DIGITAL E REPRES</v>
      </c>
      <c r="E3516" s="21">
        <f>IFERROR(__xludf.DUMMYFUNCTION("""COMPUTED_VALUE"""),145359.0)</f>
        <v>145359</v>
      </c>
      <c r="F3516" s="21" t="str">
        <f>IFERROR(__xludf.DUMMYFUNCTION("""COMPUTED_VALUE"""),"SUSPEITO")</f>
        <v>SUSPEITO</v>
      </c>
      <c r="G3516" s="23">
        <f>IFERROR(__xludf.DUMMYFUNCTION("""COMPUTED_VALUE"""),45631.62861111111)</f>
        <v>45631.62861</v>
      </c>
      <c r="H3516" s="24" t="str">
        <f>IFERROR(VLOOKUP(B3516,material!A:D,3,0),"")</f>
        <v>3.1</v>
      </c>
    </row>
    <row r="3517" ht="11.25" customHeight="1">
      <c r="A3517" s="21" t="str">
        <f>IFERROR(__xludf.DUMMYFUNCTION("""COMPUTED_VALUE"""),"MODEM VOIP EMTA WIFI 3.1 FAST3895")</f>
        <v>MODEM VOIP EMTA WIFI 3.1 FAST3895</v>
      </c>
      <c r="B3517" s="22">
        <f>IFERROR(__xludf.DUMMYFUNCTION("""COMPUTED_VALUE"""),4.1001504E7)</f>
        <v>41001504</v>
      </c>
      <c r="C3517" s="21" t="str">
        <f>IFERROR(__xludf.DUMMYFUNCTION("""COMPUTED_VALUE"""),"345D9EB440BC")</f>
        <v>345D9EB440BC</v>
      </c>
      <c r="D3517" s="21" t="str">
        <f>IFERROR(__xludf.DUMMYFUNCTION("""COMPUTED_VALUE"""),"DIGITEC TECNOLOGIA DIGITAL E REPRES")</f>
        <v>DIGITEC TECNOLOGIA DIGITAL E REPRES</v>
      </c>
      <c r="E3517" s="21">
        <f>IFERROR(__xludf.DUMMYFUNCTION("""COMPUTED_VALUE"""),145359.0)</f>
        <v>145359</v>
      </c>
      <c r="F3517" s="21" t="str">
        <f>IFERROR(__xludf.DUMMYFUNCTION("""COMPUTED_VALUE"""),"SUSPEITO")</f>
        <v>SUSPEITO</v>
      </c>
      <c r="G3517" s="23">
        <f>IFERROR(__xludf.DUMMYFUNCTION("""COMPUTED_VALUE"""),45632.72607638889)</f>
        <v>45632.72608</v>
      </c>
      <c r="H3517" s="24" t="str">
        <f>IFERROR(VLOOKUP(B3517,material!A:D,3,0),"")</f>
        <v>3.1</v>
      </c>
    </row>
    <row r="3518" ht="11.25" customHeight="1">
      <c r="A3518" s="21" t="str">
        <f>IFERROR(__xludf.DUMMYFUNCTION("""COMPUTED_VALUE"""),"MODEM VOIP EMTA WIFI 3.1 FAST3895")</f>
        <v>MODEM VOIP EMTA WIFI 3.1 FAST3895</v>
      </c>
      <c r="B3518" s="22">
        <f>IFERROR(__xludf.DUMMYFUNCTION("""COMPUTED_VALUE"""),4.1001504E7)</f>
        <v>41001504</v>
      </c>
      <c r="C3518" s="21" t="str">
        <f>IFERROR(__xludf.DUMMYFUNCTION("""COMPUTED_VALUE"""),"D833B7CB36A5")</f>
        <v>D833B7CB36A5</v>
      </c>
      <c r="D3518" s="21" t="str">
        <f>IFERROR(__xludf.DUMMYFUNCTION("""COMPUTED_VALUE"""),"DIGITEC TECNOLOGIA DIGITAL E REPRES")</f>
        <v>DIGITEC TECNOLOGIA DIGITAL E REPRES</v>
      </c>
      <c r="E3518" s="21">
        <f>IFERROR(__xludf.DUMMYFUNCTION("""COMPUTED_VALUE"""),145359.0)</f>
        <v>145359</v>
      </c>
      <c r="F3518" s="21" t="str">
        <f>IFERROR(__xludf.DUMMYFUNCTION("""COMPUTED_VALUE"""),"SUSPEITO")</f>
        <v>SUSPEITO</v>
      </c>
      <c r="G3518" s="23">
        <f>IFERROR(__xludf.DUMMYFUNCTION("""COMPUTED_VALUE"""),45637.588275462964)</f>
        <v>45637.58828</v>
      </c>
      <c r="H3518" s="24" t="str">
        <f>IFERROR(VLOOKUP(B3518,material!A:D,3,0),"")</f>
        <v>3.1</v>
      </c>
    </row>
    <row r="3519" ht="11.25" customHeight="1">
      <c r="A3519" s="21" t="str">
        <f>IFERROR(__xludf.DUMMYFUNCTION("""COMPUTED_VALUE"""),"MODEM VOIP EMTA WIFI 3.1 FAST3895")</f>
        <v>MODEM VOIP EMTA WIFI 3.1 FAST3895</v>
      </c>
      <c r="B3519" s="22">
        <f>IFERROR(__xludf.DUMMYFUNCTION("""COMPUTED_VALUE"""),4.1001504E7)</f>
        <v>41001504</v>
      </c>
      <c r="C3519" s="21" t="str">
        <f>IFERROR(__xludf.DUMMYFUNCTION("""COMPUTED_VALUE"""),"D833B731666C")</f>
        <v>D833B731666C</v>
      </c>
      <c r="D3519" s="21" t="str">
        <f>IFERROR(__xludf.DUMMYFUNCTION("""COMPUTED_VALUE"""),"DIGITEC TECNOLOGIA DIGITAL E REPRES")</f>
        <v>DIGITEC TECNOLOGIA DIGITAL E REPRES</v>
      </c>
      <c r="E3519" s="21">
        <f>IFERROR(__xludf.DUMMYFUNCTION("""COMPUTED_VALUE"""),145359.0)</f>
        <v>145359</v>
      </c>
      <c r="F3519" s="21" t="str">
        <f>IFERROR(__xludf.DUMMYFUNCTION("""COMPUTED_VALUE"""),"SUSPEITO")</f>
        <v>SUSPEITO</v>
      </c>
      <c r="G3519" s="23">
        <f>IFERROR(__xludf.DUMMYFUNCTION("""COMPUTED_VALUE"""),45609.39486111111)</f>
        <v>45609.39486</v>
      </c>
      <c r="H3519" s="24" t="str">
        <f>IFERROR(VLOOKUP(B3519,material!A:D,3,0),"")</f>
        <v>3.1</v>
      </c>
    </row>
    <row r="3520" ht="11.25" customHeight="1">
      <c r="A3520" s="21" t="str">
        <f>IFERROR(__xludf.DUMMYFUNCTION("""COMPUTED_VALUE"""),"MODEM VOIP EMTA WIFI 3.1 FAST3895")</f>
        <v>MODEM VOIP EMTA WIFI 3.1 FAST3895</v>
      </c>
      <c r="B3520" s="22">
        <f>IFERROR(__xludf.DUMMYFUNCTION("""COMPUTED_VALUE"""),4.1001504E7)</f>
        <v>41001504</v>
      </c>
      <c r="C3520" s="21" t="str">
        <f>IFERROR(__xludf.DUMMYFUNCTION("""COMPUTED_VALUE"""),"6CBAB8F1DA11")</f>
        <v>6CBAB8F1DA11</v>
      </c>
      <c r="D3520" s="21" t="str">
        <f>IFERROR(__xludf.DUMMYFUNCTION("""COMPUTED_VALUE"""),"DIGITEC TECNOLOGIA DIGITAL E REPRES")</f>
        <v>DIGITEC TECNOLOGIA DIGITAL E REPRES</v>
      </c>
      <c r="E3520" s="21">
        <f>IFERROR(__xludf.DUMMYFUNCTION("""COMPUTED_VALUE"""),145359.0)</f>
        <v>145359</v>
      </c>
      <c r="F3520" s="21" t="str">
        <f>IFERROR(__xludf.DUMMYFUNCTION("""COMPUTED_VALUE"""),"SUSPEITO")</f>
        <v>SUSPEITO</v>
      </c>
      <c r="G3520" s="23">
        <f>IFERROR(__xludf.DUMMYFUNCTION("""COMPUTED_VALUE"""),45643.48016203704)</f>
        <v>45643.48016</v>
      </c>
      <c r="H3520" s="24" t="str">
        <f>IFERROR(VLOOKUP(B3520,material!A:D,3,0),"")</f>
        <v>3.1</v>
      </c>
    </row>
    <row r="3521" ht="11.25" customHeight="1">
      <c r="A3521" s="21" t="str">
        <f>IFERROR(__xludf.DUMMYFUNCTION("""COMPUTED_VALUE"""),"MODEM VOIP EMTA WIFI 3.1 FAST3895")</f>
        <v>MODEM VOIP EMTA WIFI 3.1 FAST3895</v>
      </c>
      <c r="B3521" s="22">
        <f>IFERROR(__xludf.DUMMYFUNCTION("""COMPUTED_VALUE"""),4.1001504E7)</f>
        <v>41001504</v>
      </c>
      <c r="C3521" s="21" t="str">
        <f>IFERROR(__xludf.DUMMYFUNCTION("""COMPUTED_VALUE"""),"6CBAB8EA0578")</f>
        <v>6CBAB8EA0578</v>
      </c>
      <c r="D3521" s="21" t="str">
        <f>IFERROR(__xludf.DUMMYFUNCTION("""COMPUTED_VALUE"""),"DIGITEC TECNOLOGIA DIGITAL E REPRES")</f>
        <v>DIGITEC TECNOLOGIA DIGITAL E REPRES</v>
      </c>
      <c r="E3521" s="21">
        <f>IFERROR(__xludf.DUMMYFUNCTION("""COMPUTED_VALUE"""),145359.0)</f>
        <v>145359</v>
      </c>
      <c r="F3521" s="21" t="str">
        <f>IFERROR(__xludf.DUMMYFUNCTION("""COMPUTED_VALUE"""),"SUSPEITO")</f>
        <v>SUSPEITO</v>
      </c>
      <c r="G3521" s="23">
        <f>IFERROR(__xludf.DUMMYFUNCTION("""COMPUTED_VALUE"""),45619.480219907404)</f>
        <v>45619.48022</v>
      </c>
      <c r="H3521" s="24" t="str">
        <f>IFERROR(VLOOKUP(B3521,material!A:D,3,0),"")</f>
        <v>3.1</v>
      </c>
    </row>
    <row r="3522" ht="11.25" customHeight="1">
      <c r="A3522" s="21" t="str">
        <f>IFERROR(__xludf.DUMMYFUNCTION("""COMPUTED_VALUE"""),"MODEM VOIP EMTA WIFI 3.1 FAST3895")</f>
        <v>MODEM VOIP EMTA WIFI 3.1 FAST3895</v>
      </c>
      <c r="B3522" s="22">
        <f>IFERROR(__xludf.DUMMYFUNCTION("""COMPUTED_VALUE"""),4.1001504E7)</f>
        <v>41001504</v>
      </c>
      <c r="C3522" s="21" t="str">
        <f>IFERROR(__xludf.DUMMYFUNCTION("""COMPUTED_VALUE"""),"209A7DBB2AA2")</f>
        <v>209A7DBB2AA2</v>
      </c>
      <c r="D3522" s="21" t="str">
        <f>IFERROR(__xludf.DUMMYFUNCTION("""COMPUTED_VALUE"""),"DIGITEC TECNOLOGIA DIGITAL E REPRES")</f>
        <v>DIGITEC TECNOLOGIA DIGITAL E REPRES</v>
      </c>
      <c r="E3522" s="21">
        <f>IFERROR(__xludf.DUMMYFUNCTION("""COMPUTED_VALUE"""),145359.0)</f>
        <v>145359</v>
      </c>
      <c r="F3522" s="21" t="str">
        <f>IFERROR(__xludf.DUMMYFUNCTION("""COMPUTED_VALUE"""),"SUSPEITO")</f>
        <v>SUSPEITO</v>
      </c>
      <c r="G3522" s="23">
        <f>IFERROR(__xludf.DUMMYFUNCTION("""COMPUTED_VALUE"""),45642.66092592593)</f>
        <v>45642.66093</v>
      </c>
      <c r="H3522" s="24" t="str">
        <f>IFERROR(VLOOKUP(B3522,material!A:D,3,0),"")</f>
        <v>3.1</v>
      </c>
    </row>
    <row r="3523" ht="11.25" customHeight="1">
      <c r="A3523" s="21" t="str">
        <f>IFERROR(__xludf.DUMMYFUNCTION("""COMPUTED_VALUE"""),"MODEM VOIP EMTA WIFI 3.1 FAST3895")</f>
        <v>MODEM VOIP EMTA WIFI 3.1 FAST3895</v>
      </c>
      <c r="B3523" s="22">
        <f>IFERROR(__xludf.DUMMYFUNCTION("""COMPUTED_VALUE"""),4.1001504E7)</f>
        <v>41001504</v>
      </c>
      <c r="C3523" s="21" t="str">
        <f>IFERROR(__xludf.DUMMYFUNCTION("""COMPUTED_VALUE"""),"186A81D5843F")</f>
        <v>186A81D5843F</v>
      </c>
      <c r="D3523" s="21" t="str">
        <f>IFERROR(__xludf.DUMMYFUNCTION("""COMPUTED_VALUE"""),"DIGITEC TECNOLOGIA DIGITAL E REPRES")</f>
        <v>DIGITEC TECNOLOGIA DIGITAL E REPRES</v>
      </c>
      <c r="E3523" s="21">
        <f>IFERROR(__xludf.DUMMYFUNCTION("""COMPUTED_VALUE"""),145359.0)</f>
        <v>145359</v>
      </c>
      <c r="F3523" s="21" t="str">
        <f>IFERROR(__xludf.DUMMYFUNCTION("""COMPUTED_VALUE"""),"SUSPEITO")</f>
        <v>SUSPEITO</v>
      </c>
      <c r="G3523" s="23">
        <f>IFERROR(__xludf.DUMMYFUNCTION("""COMPUTED_VALUE"""),45636.51509259259)</f>
        <v>45636.51509</v>
      </c>
      <c r="H3523" s="24" t="str">
        <f>IFERROR(VLOOKUP(B3523,material!A:D,3,0),"")</f>
        <v>3.1</v>
      </c>
    </row>
    <row r="3524" ht="11.25" customHeight="1">
      <c r="A3524" s="21" t="str">
        <f>IFERROR(__xludf.DUMMYFUNCTION("""COMPUTED_VALUE"""),"MODEM VOIP EMTA WIFI 3.1 FAST3895")</f>
        <v>MODEM VOIP EMTA WIFI 3.1 FAST3895</v>
      </c>
      <c r="B3524" s="22">
        <f>IFERROR(__xludf.DUMMYFUNCTION("""COMPUTED_VALUE"""),4.1001504E7)</f>
        <v>41001504</v>
      </c>
      <c r="C3524" s="21" t="str">
        <f>IFERROR(__xludf.DUMMYFUNCTION("""COMPUTED_VALUE"""),"64FD965E1F42")</f>
        <v>64FD965E1F42</v>
      </c>
      <c r="D3524" s="21" t="str">
        <f>IFERROR(__xludf.DUMMYFUNCTION("""COMPUTED_VALUE"""),"DIGITEC TECNOLOGIA DIGITAL E REPRES")</f>
        <v>DIGITEC TECNOLOGIA DIGITAL E REPRES</v>
      </c>
      <c r="E3524" s="21">
        <f>IFERROR(__xludf.DUMMYFUNCTION("""COMPUTED_VALUE"""),145359.0)</f>
        <v>145359</v>
      </c>
      <c r="F3524" s="21" t="str">
        <f>IFERROR(__xludf.DUMMYFUNCTION("""COMPUTED_VALUE"""),"SUSPEITO")</f>
        <v>SUSPEITO</v>
      </c>
      <c r="G3524" s="23">
        <f>IFERROR(__xludf.DUMMYFUNCTION("""COMPUTED_VALUE"""),45643.482627314814)</f>
        <v>45643.48263</v>
      </c>
      <c r="H3524" s="24" t="str">
        <f>IFERROR(VLOOKUP(B3524,material!A:D,3,0),"")</f>
        <v>3.1</v>
      </c>
    </row>
    <row r="3525" ht="11.25" customHeight="1">
      <c r="A3525" s="21" t="str">
        <f>IFERROR(__xludf.DUMMYFUNCTION("""COMPUTED_VALUE"""),"MODEM VOIP EMTA WIFI 3.1 FAST3895")</f>
        <v>MODEM VOIP EMTA WIFI 3.1 FAST3895</v>
      </c>
      <c r="B3525" s="22">
        <f>IFERROR(__xludf.DUMMYFUNCTION("""COMPUTED_VALUE"""),4.1001504E7)</f>
        <v>41001504</v>
      </c>
      <c r="C3525" s="21" t="str">
        <f>IFERROR(__xludf.DUMMYFUNCTION("""COMPUTED_VALUE"""),"94988F933CCA")</f>
        <v>94988F933CCA</v>
      </c>
      <c r="D3525" s="21" t="str">
        <f>IFERROR(__xludf.DUMMYFUNCTION("""COMPUTED_VALUE"""),"DIGITEC TECNOLOGIA DIGITAL E REPRES")</f>
        <v>DIGITEC TECNOLOGIA DIGITAL E REPRES</v>
      </c>
      <c r="E3525" s="21">
        <f>IFERROR(__xludf.DUMMYFUNCTION("""COMPUTED_VALUE"""),145359.0)</f>
        <v>145359</v>
      </c>
      <c r="F3525" s="21" t="str">
        <f>IFERROR(__xludf.DUMMYFUNCTION("""COMPUTED_VALUE"""),"SUSPEITO")</f>
        <v>SUSPEITO</v>
      </c>
      <c r="G3525" s="23">
        <f>IFERROR(__xludf.DUMMYFUNCTION("""COMPUTED_VALUE"""),45639.61284722222)</f>
        <v>45639.61285</v>
      </c>
      <c r="H3525" s="24" t="str">
        <f>IFERROR(VLOOKUP(B3525,material!A:D,3,0),"")</f>
        <v>3.1</v>
      </c>
    </row>
    <row r="3526" ht="11.25" customHeight="1">
      <c r="A3526" s="21" t="str">
        <f>IFERROR(__xludf.DUMMYFUNCTION("""COMPUTED_VALUE"""),"MODEM VOIP EMTA WIFI 3.1 FAST3895")</f>
        <v>MODEM VOIP EMTA WIFI 3.1 FAST3895</v>
      </c>
      <c r="B3526" s="22">
        <f>IFERROR(__xludf.DUMMYFUNCTION("""COMPUTED_VALUE"""),4.1001504E7)</f>
        <v>41001504</v>
      </c>
      <c r="C3526" s="21" t="str">
        <f>IFERROR(__xludf.DUMMYFUNCTION("""COMPUTED_VALUE"""),"CC5830E2AF69")</f>
        <v>CC5830E2AF69</v>
      </c>
      <c r="D3526" s="21" t="str">
        <f>IFERROR(__xludf.DUMMYFUNCTION("""COMPUTED_VALUE"""),"DIGITEC TECNOLOGIA DIGITAL E REPRES")</f>
        <v>DIGITEC TECNOLOGIA DIGITAL E REPRES</v>
      </c>
      <c r="E3526" s="21">
        <f>IFERROR(__xludf.DUMMYFUNCTION("""COMPUTED_VALUE"""),145359.0)</f>
        <v>145359</v>
      </c>
      <c r="F3526" s="21" t="str">
        <f>IFERROR(__xludf.DUMMYFUNCTION("""COMPUTED_VALUE"""),"SUSPEITO")</f>
        <v>SUSPEITO</v>
      </c>
      <c r="G3526" s="23">
        <f>IFERROR(__xludf.DUMMYFUNCTION("""COMPUTED_VALUE"""),45636.38020833333)</f>
        <v>45636.38021</v>
      </c>
      <c r="H3526" s="24" t="str">
        <f>IFERROR(VLOOKUP(B3526,material!A:D,3,0),"")</f>
        <v>3.1</v>
      </c>
    </row>
    <row r="3527" ht="11.25" customHeight="1">
      <c r="A3527" s="21" t="str">
        <f>IFERROR(__xludf.DUMMYFUNCTION("""COMPUTED_VALUE"""),"MODEM VOIP EMTA WIFI 3.1 FAST3895")</f>
        <v>MODEM VOIP EMTA WIFI 3.1 FAST3895</v>
      </c>
      <c r="B3527" s="22">
        <f>IFERROR(__xludf.DUMMYFUNCTION("""COMPUTED_VALUE"""),4.1001504E7)</f>
        <v>41001504</v>
      </c>
      <c r="C3527" s="21" t="str">
        <f>IFERROR(__xludf.DUMMYFUNCTION("""COMPUTED_VALUE"""),"94988F93D55E")</f>
        <v>94988F93D55E</v>
      </c>
      <c r="D3527" s="21" t="str">
        <f>IFERROR(__xludf.DUMMYFUNCTION("""COMPUTED_VALUE"""),"DIGITEC TECNOLOGIA DIGITAL E REPRES")</f>
        <v>DIGITEC TECNOLOGIA DIGITAL E REPRES</v>
      </c>
      <c r="E3527" s="21">
        <f>IFERROR(__xludf.DUMMYFUNCTION("""COMPUTED_VALUE"""),145359.0)</f>
        <v>145359</v>
      </c>
      <c r="F3527" s="21" t="str">
        <f>IFERROR(__xludf.DUMMYFUNCTION("""COMPUTED_VALUE"""),"SUSPEITO")</f>
        <v>SUSPEITO</v>
      </c>
      <c r="G3527" s="23">
        <f>IFERROR(__xludf.DUMMYFUNCTION("""COMPUTED_VALUE"""),45632.41590277778)</f>
        <v>45632.4159</v>
      </c>
      <c r="H3527" s="24" t="str">
        <f>IFERROR(VLOOKUP(B3527,material!A:D,3,0),"")</f>
        <v>3.1</v>
      </c>
    </row>
    <row r="3528" ht="11.25" customHeight="1">
      <c r="A3528" s="21" t="str">
        <f>IFERROR(__xludf.DUMMYFUNCTION("""COMPUTED_VALUE"""),"MODEM VOIP EMTA WIFI 3.1 FAST3895")</f>
        <v>MODEM VOIP EMTA WIFI 3.1 FAST3895</v>
      </c>
      <c r="B3528" s="22">
        <f>IFERROR(__xludf.DUMMYFUNCTION("""COMPUTED_VALUE"""),4.1001504E7)</f>
        <v>41001504</v>
      </c>
      <c r="C3528" s="21" t="str">
        <f>IFERROR(__xludf.DUMMYFUNCTION("""COMPUTED_VALUE"""),"C4EB42A1CB46")</f>
        <v>C4EB42A1CB46</v>
      </c>
      <c r="D3528" s="21" t="str">
        <f>IFERROR(__xludf.DUMMYFUNCTION("""COMPUTED_VALUE"""),"DIGITEC TECNOLOGIA DIGITAL E REPRES")</f>
        <v>DIGITEC TECNOLOGIA DIGITAL E REPRES</v>
      </c>
      <c r="E3528" s="21">
        <f>IFERROR(__xludf.DUMMYFUNCTION("""COMPUTED_VALUE"""),145359.0)</f>
        <v>145359</v>
      </c>
      <c r="F3528" s="21" t="str">
        <f>IFERROR(__xludf.DUMMYFUNCTION("""COMPUTED_VALUE"""),"SUSPEITO")</f>
        <v>SUSPEITO</v>
      </c>
      <c r="G3528" s="23">
        <f>IFERROR(__xludf.DUMMYFUNCTION("""COMPUTED_VALUE"""),45635.76340277778)</f>
        <v>45635.7634</v>
      </c>
      <c r="H3528" s="24" t="str">
        <f>IFERROR(VLOOKUP(B3528,material!A:D,3,0),"")</f>
        <v>3.1</v>
      </c>
    </row>
    <row r="3529" ht="11.25" customHeight="1">
      <c r="A3529" s="21" t="str">
        <f>IFERROR(__xludf.DUMMYFUNCTION("""COMPUTED_VALUE"""),"MODEM VOIP EMTA WIFI 3.1 FAST3895")</f>
        <v>MODEM VOIP EMTA WIFI 3.1 FAST3895</v>
      </c>
      <c r="B3529" s="22">
        <f>IFERROR(__xludf.DUMMYFUNCTION("""COMPUTED_VALUE"""),4.1001504E7)</f>
        <v>41001504</v>
      </c>
      <c r="C3529" s="21" t="str">
        <f>IFERROR(__xludf.DUMMYFUNCTION("""COMPUTED_VALUE"""),"E8D2FF96164F")</f>
        <v>E8D2FF96164F</v>
      </c>
      <c r="D3529" s="21" t="str">
        <f>IFERROR(__xludf.DUMMYFUNCTION("""COMPUTED_VALUE"""),"DIGITEC TECNOLOGIA DIGITAL E REPRES")</f>
        <v>DIGITEC TECNOLOGIA DIGITAL E REPRES</v>
      </c>
      <c r="E3529" s="21">
        <f>IFERROR(__xludf.DUMMYFUNCTION("""COMPUTED_VALUE"""),145359.0)</f>
        <v>145359</v>
      </c>
      <c r="F3529" s="21" t="str">
        <f>IFERROR(__xludf.DUMMYFUNCTION("""COMPUTED_VALUE"""),"SUSPEITO")</f>
        <v>SUSPEITO</v>
      </c>
      <c r="G3529" s="23">
        <f>IFERROR(__xludf.DUMMYFUNCTION("""COMPUTED_VALUE"""),45635.475011574075)</f>
        <v>45635.47501</v>
      </c>
      <c r="H3529" s="24" t="str">
        <f>IFERROR(VLOOKUP(B3529,material!A:D,3,0),"")</f>
        <v>3.1</v>
      </c>
    </row>
    <row r="3530" ht="11.25" customHeight="1">
      <c r="A3530" s="21" t="str">
        <f>IFERROR(__xludf.DUMMYFUNCTION("""COMPUTED_VALUE"""),"MODEM VOIP EMTA WIFI 3.1 FAST3895")</f>
        <v>MODEM VOIP EMTA WIFI 3.1 FAST3895</v>
      </c>
      <c r="B3530" s="22">
        <f>IFERROR(__xludf.DUMMYFUNCTION("""COMPUTED_VALUE"""),4.1001504E7)</f>
        <v>41001504</v>
      </c>
      <c r="C3530" s="21" t="str">
        <f>IFERROR(__xludf.DUMMYFUNCTION("""COMPUTED_VALUE"""),"44D45494CC34")</f>
        <v>44D45494CC34</v>
      </c>
      <c r="D3530" s="21" t="str">
        <f>IFERROR(__xludf.DUMMYFUNCTION("""COMPUTED_VALUE"""),"DIGITEC TECNOLOGIA DIGITAL E REPRES")</f>
        <v>DIGITEC TECNOLOGIA DIGITAL E REPRES</v>
      </c>
      <c r="E3530" s="21">
        <f>IFERROR(__xludf.DUMMYFUNCTION("""COMPUTED_VALUE"""),145359.0)</f>
        <v>145359</v>
      </c>
      <c r="F3530" s="21" t="str">
        <f>IFERROR(__xludf.DUMMYFUNCTION("""COMPUTED_VALUE"""),"SUSPEITO")</f>
        <v>SUSPEITO</v>
      </c>
      <c r="G3530" s="23">
        <f>IFERROR(__xludf.DUMMYFUNCTION("""COMPUTED_VALUE"""),45642.46403935185)</f>
        <v>45642.46404</v>
      </c>
      <c r="H3530" s="24" t="str">
        <f>IFERROR(VLOOKUP(B3530,material!A:D,3,0),"")</f>
        <v>3.1</v>
      </c>
    </row>
    <row r="3531" ht="11.25" customHeight="1">
      <c r="A3531" s="21" t="str">
        <f>IFERROR(__xludf.DUMMYFUNCTION("""COMPUTED_VALUE"""),"MODEM VOIP EMTA WIFI 3.1 FAST3895")</f>
        <v>MODEM VOIP EMTA WIFI 3.1 FAST3895</v>
      </c>
      <c r="B3531" s="22">
        <f>IFERROR(__xludf.DUMMYFUNCTION("""COMPUTED_VALUE"""),4.1001504E7)</f>
        <v>41001504</v>
      </c>
      <c r="C3531" s="21" t="str">
        <f>IFERROR(__xludf.DUMMYFUNCTION("""COMPUTED_VALUE"""),"E8D2FF962425")</f>
        <v>E8D2FF962425</v>
      </c>
      <c r="D3531" s="21" t="str">
        <f>IFERROR(__xludf.DUMMYFUNCTION("""COMPUTED_VALUE"""),"DIGITEC TECNOLOGIA DIGITAL E REPRES")</f>
        <v>DIGITEC TECNOLOGIA DIGITAL E REPRES</v>
      </c>
      <c r="E3531" s="21">
        <f>IFERROR(__xludf.DUMMYFUNCTION("""COMPUTED_VALUE"""),145359.0)</f>
        <v>145359</v>
      </c>
      <c r="F3531" s="21" t="str">
        <f>IFERROR(__xludf.DUMMYFUNCTION("""COMPUTED_VALUE"""),"SUSPEITO")</f>
        <v>SUSPEITO</v>
      </c>
      <c r="G3531" s="23">
        <f>IFERROR(__xludf.DUMMYFUNCTION("""COMPUTED_VALUE"""),45642.653912037036)</f>
        <v>45642.65391</v>
      </c>
      <c r="H3531" s="24" t="str">
        <f>IFERROR(VLOOKUP(B3531,material!A:D,3,0),"")</f>
        <v>3.1</v>
      </c>
    </row>
    <row r="3532" ht="11.25" customHeight="1">
      <c r="A3532" s="21" t="str">
        <f>IFERROR(__xludf.DUMMYFUNCTION("""COMPUTED_VALUE"""),"MODEM VOIP EMTA WIFI 3.1 FAST3895")</f>
        <v>MODEM VOIP EMTA WIFI 3.1 FAST3895</v>
      </c>
      <c r="B3532" s="22">
        <f>IFERROR(__xludf.DUMMYFUNCTION("""COMPUTED_VALUE"""),4.1001504E7)</f>
        <v>41001504</v>
      </c>
      <c r="C3532" s="21" t="str">
        <f>IFERROR(__xludf.DUMMYFUNCTION("""COMPUTED_VALUE"""),"64FD966B66C3")</f>
        <v>64FD966B66C3</v>
      </c>
      <c r="D3532" s="21" t="str">
        <f>IFERROR(__xludf.DUMMYFUNCTION("""COMPUTED_VALUE"""),"DIGITEC TECNOLOGIA DIGITAL E REPRES")</f>
        <v>DIGITEC TECNOLOGIA DIGITAL E REPRES</v>
      </c>
      <c r="E3532" s="21">
        <f>IFERROR(__xludf.DUMMYFUNCTION("""COMPUTED_VALUE"""),145359.0)</f>
        <v>145359</v>
      </c>
      <c r="F3532" s="21" t="str">
        <f>IFERROR(__xludf.DUMMYFUNCTION("""COMPUTED_VALUE"""),"SUSPEITO")</f>
        <v>SUSPEITO</v>
      </c>
      <c r="G3532" s="23">
        <f>IFERROR(__xludf.DUMMYFUNCTION("""COMPUTED_VALUE"""),45637.64103009259)</f>
        <v>45637.64103</v>
      </c>
      <c r="H3532" s="24" t="str">
        <f>IFERROR(VLOOKUP(B3532,material!A:D,3,0),"")</f>
        <v>3.1</v>
      </c>
    </row>
    <row r="3533" ht="11.25" customHeight="1">
      <c r="A3533" s="21" t="str">
        <f>IFERROR(__xludf.DUMMYFUNCTION("""COMPUTED_VALUE"""),"MODEM VOIP EMTA WIFI 3.1 FAST3895")</f>
        <v>MODEM VOIP EMTA WIFI 3.1 FAST3895</v>
      </c>
      <c r="B3533" s="22">
        <f>IFERROR(__xludf.DUMMYFUNCTION("""COMPUTED_VALUE"""),4.1001504E7)</f>
        <v>41001504</v>
      </c>
      <c r="C3533" s="21" t="str">
        <f>IFERROR(__xludf.DUMMYFUNCTION("""COMPUTED_VALUE"""),"582FF700D8B5")</f>
        <v>582FF700D8B5</v>
      </c>
      <c r="D3533" s="21" t="str">
        <f>IFERROR(__xludf.DUMMYFUNCTION("""COMPUTED_VALUE"""),"DIGITEC TECNOLOGIA DIGITAL E REPRES")</f>
        <v>DIGITEC TECNOLOGIA DIGITAL E REPRES</v>
      </c>
      <c r="E3533" s="21">
        <f>IFERROR(__xludf.DUMMYFUNCTION("""COMPUTED_VALUE"""),145359.0)</f>
        <v>145359</v>
      </c>
      <c r="F3533" s="21" t="str">
        <f>IFERROR(__xludf.DUMMYFUNCTION("""COMPUTED_VALUE"""),"SUSPEITO")</f>
        <v>SUSPEITO</v>
      </c>
      <c r="G3533" s="23">
        <f>IFERROR(__xludf.DUMMYFUNCTION("""COMPUTED_VALUE"""),45639.36097222222)</f>
        <v>45639.36097</v>
      </c>
      <c r="H3533" s="24" t="str">
        <f>IFERROR(VLOOKUP(B3533,material!A:D,3,0),"")</f>
        <v>3.1</v>
      </c>
    </row>
    <row r="3534" ht="11.25" customHeight="1">
      <c r="A3534" s="21" t="str">
        <f>IFERROR(__xludf.DUMMYFUNCTION("""COMPUTED_VALUE"""),"MODEM VOIP EMTA WIFI 3.1 FAST3895")</f>
        <v>MODEM VOIP EMTA WIFI 3.1 FAST3895</v>
      </c>
      <c r="B3534" s="22">
        <f>IFERROR(__xludf.DUMMYFUNCTION("""COMPUTED_VALUE"""),4.1001504E7)</f>
        <v>41001504</v>
      </c>
      <c r="C3534" s="21" t="str">
        <f>IFERROR(__xludf.DUMMYFUNCTION("""COMPUTED_VALUE"""),"5447CC77427A")</f>
        <v>5447CC77427A</v>
      </c>
      <c r="D3534" s="21" t="str">
        <f>IFERROR(__xludf.DUMMYFUNCTION("""COMPUTED_VALUE"""),"DIGITEC TECNOLOGIA DIGITAL E REPRES")</f>
        <v>DIGITEC TECNOLOGIA DIGITAL E REPRES</v>
      </c>
      <c r="E3534" s="21">
        <f>IFERROR(__xludf.DUMMYFUNCTION("""COMPUTED_VALUE"""),145359.0)</f>
        <v>145359</v>
      </c>
      <c r="F3534" s="21" t="str">
        <f>IFERROR(__xludf.DUMMYFUNCTION("""COMPUTED_VALUE"""),"SUSPEITO")</f>
        <v>SUSPEITO</v>
      </c>
      <c r="G3534" s="23">
        <f>IFERROR(__xludf.DUMMYFUNCTION("""COMPUTED_VALUE"""),45643.72702546296)</f>
        <v>45643.72703</v>
      </c>
      <c r="H3534" s="24" t="str">
        <f>IFERROR(VLOOKUP(B3534,material!A:D,3,0),"")</f>
        <v>3.1</v>
      </c>
    </row>
    <row r="3535" ht="11.25" customHeight="1">
      <c r="A3535" s="21" t="str">
        <f>IFERROR(__xludf.DUMMYFUNCTION("""COMPUTED_VALUE"""),"MODEM VOIP EMTA WIFI 3.1 FAST3895")</f>
        <v>MODEM VOIP EMTA WIFI 3.1 FAST3895</v>
      </c>
      <c r="B3535" s="22">
        <f>IFERROR(__xludf.DUMMYFUNCTION("""COMPUTED_VALUE"""),4.1001504E7)</f>
        <v>41001504</v>
      </c>
      <c r="C3535" s="21" t="str">
        <f>IFERROR(__xludf.DUMMYFUNCTION("""COMPUTED_VALUE"""),"CC5830E1F4B5")</f>
        <v>CC5830E1F4B5</v>
      </c>
      <c r="D3535" s="21" t="str">
        <f>IFERROR(__xludf.DUMMYFUNCTION("""COMPUTED_VALUE"""),"DIGITEC TECNOLOGIA DIGITAL E REPRES")</f>
        <v>DIGITEC TECNOLOGIA DIGITAL E REPRES</v>
      </c>
      <c r="E3535" s="21">
        <f>IFERROR(__xludf.DUMMYFUNCTION("""COMPUTED_VALUE"""),145359.0)</f>
        <v>145359</v>
      </c>
      <c r="F3535" s="21" t="str">
        <f>IFERROR(__xludf.DUMMYFUNCTION("""COMPUTED_VALUE"""),"SUSPEITO")</f>
        <v>SUSPEITO</v>
      </c>
      <c r="G3535" s="23">
        <f>IFERROR(__xludf.DUMMYFUNCTION("""COMPUTED_VALUE"""),45639.78104166666)</f>
        <v>45639.78104</v>
      </c>
      <c r="H3535" s="24" t="str">
        <f>IFERROR(VLOOKUP(B3535,material!A:D,3,0),"")</f>
        <v>3.1</v>
      </c>
    </row>
    <row r="3536" ht="11.25" customHeight="1">
      <c r="A3536" s="21" t="str">
        <f>IFERROR(__xludf.DUMMYFUNCTION("""COMPUTED_VALUE"""),"MODEM VOIP EMTA WIFI 3.1 FAST3895")</f>
        <v>MODEM VOIP EMTA WIFI 3.1 FAST3895</v>
      </c>
      <c r="B3536" s="22">
        <f>IFERROR(__xludf.DUMMYFUNCTION("""COMPUTED_VALUE"""),4.1001504E7)</f>
        <v>41001504</v>
      </c>
      <c r="C3536" s="21" t="str">
        <f>IFERROR(__xludf.DUMMYFUNCTION("""COMPUTED_VALUE"""),"CC5830E1F938")</f>
        <v>CC5830E1F938</v>
      </c>
      <c r="D3536" s="21" t="str">
        <f>IFERROR(__xludf.DUMMYFUNCTION("""COMPUTED_VALUE"""),"DIGITEC TECNOLOGIA DIGITAL E REPRES")</f>
        <v>DIGITEC TECNOLOGIA DIGITAL E REPRES</v>
      </c>
      <c r="E3536" s="21">
        <f>IFERROR(__xludf.DUMMYFUNCTION("""COMPUTED_VALUE"""),145359.0)</f>
        <v>145359</v>
      </c>
      <c r="F3536" s="21" t="str">
        <f>IFERROR(__xludf.DUMMYFUNCTION("""COMPUTED_VALUE"""),"SUSPEITO")</f>
        <v>SUSPEITO</v>
      </c>
      <c r="G3536" s="23">
        <f>IFERROR(__xludf.DUMMYFUNCTION("""COMPUTED_VALUE"""),45640.61269675926)</f>
        <v>45640.6127</v>
      </c>
      <c r="H3536" s="24" t="str">
        <f>IFERROR(VLOOKUP(B3536,material!A:D,3,0),"")</f>
        <v>3.1</v>
      </c>
    </row>
    <row r="3537" ht="11.25" customHeight="1">
      <c r="A3537" s="21" t="str">
        <f>IFERROR(__xludf.DUMMYFUNCTION("""COMPUTED_VALUE"""),"MODEM VOIP EMTA WIFI 3.1 FAST3895")</f>
        <v>MODEM VOIP EMTA WIFI 3.1 FAST3895</v>
      </c>
      <c r="B3537" s="22">
        <f>IFERROR(__xludf.DUMMYFUNCTION("""COMPUTED_VALUE"""),4.1001504E7)</f>
        <v>41001504</v>
      </c>
      <c r="C3537" s="21" t="str">
        <f>IFERROR(__xludf.DUMMYFUNCTION("""COMPUTED_VALUE"""),"C4EB42EBA7D6")</f>
        <v>C4EB42EBA7D6</v>
      </c>
      <c r="D3537" s="21" t="str">
        <f>IFERROR(__xludf.DUMMYFUNCTION("""COMPUTED_VALUE"""),"DIGITEC TECNOLOGIA DIGITAL E REPRES")</f>
        <v>DIGITEC TECNOLOGIA DIGITAL E REPRES</v>
      </c>
      <c r="E3537" s="21">
        <f>IFERROR(__xludf.DUMMYFUNCTION("""COMPUTED_VALUE"""),145359.0)</f>
        <v>145359</v>
      </c>
      <c r="F3537" s="21" t="str">
        <f>IFERROR(__xludf.DUMMYFUNCTION("""COMPUTED_VALUE"""),"SUSPEITO")</f>
        <v>SUSPEITO</v>
      </c>
      <c r="G3537" s="23">
        <f>IFERROR(__xludf.DUMMYFUNCTION("""COMPUTED_VALUE"""),45631.51269675926)</f>
        <v>45631.5127</v>
      </c>
      <c r="H3537" s="24" t="str">
        <f>IFERROR(VLOOKUP(B3537,material!A:D,3,0),"")</f>
        <v>3.1</v>
      </c>
    </row>
    <row r="3538" ht="11.25" customHeight="1">
      <c r="A3538" s="21" t="str">
        <f>IFERROR(__xludf.DUMMYFUNCTION("""COMPUTED_VALUE"""),"MODEM VOIP EMTA WIFI 3.1 FAST3895")</f>
        <v>MODEM VOIP EMTA WIFI 3.1 FAST3895</v>
      </c>
      <c r="B3538" s="22">
        <f>IFERROR(__xludf.DUMMYFUNCTION("""COMPUTED_VALUE"""),4.1001504E7)</f>
        <v>41001504</v>
      </c>
      <c r="C3538" s="21" t="str">
        <f>IFERROR(__xludf.DUMMYFUNCTION("""COMPUTED_VALUE"""),"3C585D787E9A")</f>
        <v>3C585D787E9A</v>
      </c>
      <c r="D3538" s="21" t="str">
        <f>IFERROR(__xludf.DUMMYFUNCTION("""COMPUTED_VALUE"""),"DIGITEC TECNOLOGIA DIGITAL E REPRES")</f>
        <v>DIGITEC TECNOLOGIA DIGITAL E REPRES</v>
      </c>
      <c r="E3538" s="21">
        <f>IFERROR(__xludf.DUMMYFUNCTION("""COMPUTED_VALUE"""),145359.0)</f>
        <v>145359</v>
      </c>
      <c r="F3538" s="21" t="str">
        <f>IFERROR(__xludf.DUMMYFUNCTION("""COMPUTED_VALUE"""),"SUSPEITO")</f>
        <v>SUSPEITO</v>
      </c>
      <c r="G3538" s="23">
        <f>IFERROR(__xludf.DUMMYFUNCTION("""COMPUTED_VALUE"""),45640.65614583333)</f>
        <v>45640.65615</v>
      </c>
      <c r="H3538" s="24" t="str">
        <f>IFERROR(VLOOKUP(B3538,material!A:D,3,0),"")</f>
        <v>3.1</v>
      </c>
    </row>
    <row r="3539" ht="11.25" customHeight="1">
      <c r="A3539" s="21" t="str">
        <f>IFERROR(__xludf.DUMMYFUNCTION("""COMPUTED_VALUE"""),"MODEM VOIP EMTA WIFI 3.1 FAST3895")</f>
        <v>MODEM VOIP EMTA WIFI 3.1 FAST3895</v>
      </c>
      <c r="B3539" s="22">
        <f>IFERROR(__xludf.DUMMYFUNCTION("""COMPUTED_VALUE"""),4.1001504E7)</f>
        <v>41001504</v>
      </c>
      <c r="C3539" s="21" t="str">
        <f>IFERROR(__xludf.DUMMYFUNCTION("""COMPUTED_VALUE"""),"5CFA25AD4183")</f>
        <v>5CFA25AD4183</v>
      </c>
      <c r="D3539" s="21" t="str">
        <f>IFERROR(__xludf.DUMMYFUNCTION("""COMPUTED_VALUE"""),"DIGITEC TECNOLOGIA DIGITAL E REPRES")</f>
        <v>DIGITEC TECNOLOGIA DIGITAL E REPRES</v>
      </c>
      <c r="E3539" s="21">
        <f>IFERROR(__xludf.DUMMYFUNCTION("""COMPUTED_VALUE"""),145359.0)</f>
        <v>145359</v>
      </c>
      <c r="F3539" s="21" t="str">
        <f>IFERROR(__xludf.DUMMYFUNCTION("""COMPUTED_VALUE"""),"SUSPEITO")</f>
        <v>SUSPEITO</v>
      </c>
      <c r="G3539" s="23">
        <f>IFERROR(__xludf.DUMMYFUNCTION("""COMPUTED_VALUE"""),45643.61378472223)</f>
        <v>45643.61378</v>
      </c>
      <c r="H3539" s="24" t="str">
        <f>IFERROR(VLOOKUP(B3539,material!A:D,3,0),"")</f>
        <v>3.1</v>
      </c>
    </row>
    <row r="3540" ht="11.25" customHeight="1">
      <c r="A3540" s="21" t="str">
        <f>IFERROR(__xludf.DUMMYFUNCTION("""COMPUTED_VALUE"""),"MODEM VOIP EMTA WIFI 3.1 FAST3895")</f>
        <v>MODEM VOIP EMTA WIFI 3.1 FAST3895</v>
      </c>
      <c r="B3540" s="22">
        <f>IFERROR(__xludf.DUMMYFUNCTION("""COMPUTED_VALUE"""),4.1001504E7)</f>
        <v>41001504</v>
      </c>
      <c r="C3540" s="21" t="str">
        <f>IFERROR(__xludf.DUMMYFUNCTION("""COMPUTED_VALUE"""),"943C96AA46FE")</f>
        <v>943C96AA46FE</v>
      </c>
      <c r="D3540" s="21" t="str">
        <f>IFERROR(__xludf.DUMMYFUNCTION("""COMPUTED_VALUE"""),"DIGITEC TECNOLOGIA DIGITAL E REPRES")</f>
        <v>DIGITEC TECNOLOGIA DIGITAL E REPRES</v>
      </c>
      <c r="E3540" s="21">
        <f>IFERROR(__xludf.DUMMYFUNCTION("""COMPUTED_VALUE"""),145359.0)</f>
        <v>145359</v>
      </c>
      <c r="F3540" s="21" t="str">
        <f>IFERROR(__xludf.DUMMYFUNCTION("""COMPUTED_VALUE"""),"SUSPEITO")</f>
        <v>SUSPEITO</v>
      </c>
      <c r="G3540" s="23">
        <f>IFERROR(__xludf.DUMMYFUNCTION("""COMPUTED_VALUE"""),45640.532905092594)</f>
        <v>45640.53291</v>
      </c>
      <c r="H3540" s="24" t="str">
        <f>IFERROR(VLOOKUP(B3540,material!A:D,3,0),"")</f>
        <v>3.1</v>
      </c>
    </row>
    <row r="3541" ht="11.25" customHeight="1">
      <c r="A3541" s="21" t="str">
        <f>IFERROR(__xludf.DUMMYFUNCTION("""COMPUTED_VALUE"""),"MODEM VOIP EMTA WIFI 3.1 FAST3895")</f>
        <v>MODEM VOIP EMTA WIFI 3.1 FAST3895</v>
      </c>
      <c r="B3541" s="22">
        <f>IFERROR(__xludf.DUMMYFUNCTION("""COMPUTED_VALUE"""),4.1001504E7)</f>
        <v>41001504</v>
      </c>
      <c r="C3541" s="21" t="str">
        <f>IFERROR(__xludf.DUMMYFUNCTION("""COMPUTED_VALUE"""),"943C96AC6A4E")</f>
        <v>943C96AC6A4E</v>
      </c>
      <c r="D3541" s="21" t="str">
        <f>IFERROR(__xludf.DUMMYFUNCTION("""COMPUTED_VALUE"""),"DIGITEC TECNOLOGIA DIGITAL E REPRES")</f>
        <v>DIGITEC TECNOLOGIA DIGITAL E REPRES</v>
      </c>
      <c r="E3541" s="21">
        <f>IFERROR(__xludf.DUMMYFUNCTION("""COMPUTED_VALUE"""),145359.0)</f>
        <v>145359</v>
      </c>
      <c r="F3541" s="21" t="str">
        <f>IFERROR(__xludf.DUMMYFUNCTION("""COMPUTED_VALUE"""),"SUSPEITO")</f>
        <v>SUSPEITO</v>
      </c>
      <c r="G3541" s="23">
        <f>IFERROR(__xludf.DUMMYFUNCTION("""COMPUTED_VALUE"""),45642.702627314815)</f>
        <v>45642.70263</v>
      </c>
      <c r="H3541" s="24" t="str">
        <f>IFERROR(VLOOKUP(B3541,material!A:D,3,0),"")</f>
        <v>3.1</v>
      </c>
    </row>
    <row r="3542" ht="11.25" customHeight="1">
      <c r="A3542" s="21" t="str">
        <f>IFERROR(__xludf.DUMMYFUNCTION("""COMPUTED_VALUE"""),"MODEM VOIP EMTA WIFI 3.1 FAST3895")</f>
        <v>MODEM VOIP EMTA WIFI 3.1 FAST3895</v>
      </c>
      <c r="B3542" s="22">
        <f>IFERROR(__xludf.DUMMYFUNCTION("""COMPUTED_VALUE"""),4.1001504E7)</f>
        <v>41001504</v>
      </c>
      <c r="C3542" s="21" t="str">
        <f>IFERROR(__xludf.DUMMYFUNCTION("""COMPUTED_VALUE"""),"841EA38D8779")</f>
        <v>841EA38D8779</v>
      </c>
      <c r="D3542" s="21" t="str">
        <f>IFERROR(__xludf.DUMMYFUNCTION("""COMPUTED_VALUE"""),"DIGITEC TECNOLOGIA DIGITAL E REPRES")</f>
        <v>DIGITEC TECNOLOGIA DIGITAL E REPRES</v>
      </c>
      <c r="E3542" s="21">
        <f>IFERROR(__xludf.DUMMYFUNCTION("""COMPUTED_VALUE"""),145359.0)</f>
        <v>145359</v>
      </c>
      <c r="F3542" s="21" t="str">
        <f>IFERROR(__xludf.DUMMYFUNCTION("""COMPUTED_VALUE"""),"SUSPEITO")</f>
        <v>SUSPEITO</v>
      </c>
      <c r="G3542" s="23">
        <f>IFERROR(__xludf.DUMMYFUNCTION("""COMPUTED_VALUE"""),45632.48302083333)</f>
        <v>45632.48302</v>
      </c>
      <c r="H3542" s="24" t="str">
        <f>IFERROR(VLOOKUP(B3542,material!A:D,3,0),"")</f>
        <v>3.1</v>
      </c>
    </row>
    <row r="3543" ht="11.25" customHeight="1">
      <c r="A3543" s="21" t="str">
        <f>IFERROR(__xludf.DUMMYFUNCTION("""COMPUTED_VALUE"""),"MODEM VOIP EMTA WIFI 3.1 CH8568")</f>
        <v>MODEM VOIP EMTA WIFI 3.1 CH8568</v>
      </c>
      <c r="B3543" s="22">
        <f>IFERROR(__xludf.DUMMYFUNCTION("""COMPUTED_VALUE"""),4.1001485E7)</f>
        <v>41001485</v>
      </c>
      <c r="C3543" s="21" t="str">
        <f>IFERROR(__xludf.DUMMYFUNCTION("""COMPUTED_VALUE"""),"6802B8A19137")</f>
        <v>6802B8A19137</v>
      </c>
      <c r="D3543" s="21" t="str">
        <f>IFERROR(__xludf.DUMMYFUNCTION("""COMPUTED_VALUE"""),"DIGITEC TECNOLOGIA DIGITAL E REPRES")</f>
        <v>DIGITEC TECNOLOGIA DIGITAL E REPRES</v>
      </c>
      <c r="E3543" s="21">
        <f>IFERROR(__xludf.DUMMYFUNCTION("""COMPUTED_VALUE"""),145359.0)</f>
        <v>145359</v>
      </c>
      <c r="F3543" s="21" t="str">
        <f>IFERROR(__xludf.DUMMYFUNCTION("""COMPUTED_VALUE"""),"SUSPEITO")</f>
        <v>SUSPEITO</v>
      </c>
      <c r="G3543" s="23">
        <f>IFERROR(__xludf.DUMMYFUNCTION("""COMPUTED_VALUE"""),45635.51047453703)</f>
        <v>45635.51047</v>
      </c>
      <c r="H3543" s="24" t="str">
        <f>IFERROR(VLOOKUP(B3543,material!A:D,3,0),"")</f>
        <v>3.1</v>
      </c>
    </row>
    <row r="3544" ht="11.25" customHeight="1">
      <c r="A3544" s="21" t="str">
        <f>IFERROR(__xludf.DUMMYFUNCTION("""COMPUTED_VALUE"""),"MODEM VOIP EMTA WIFI 3.1 CH8568")</f>
        <v>MODEM VOIP EMTA WIFI 3.1 CH8568</v>
      </c>
      <c r="B3544" s="22">
        <f>IFERROR(__xludf.DUMMYFUNCTION("""COMPUTED_VALUE"""),4.1001485E7)</f>
        <v>41001485</v>
      </c>
      <c r="C3544" s="21" t="str">
        <f>IFERROR(__xludf.DUMMYFUNCTION("""COMPUTED_VALUE"""),"6802B813DB33")</f>
        <v>6802B813DB33</v>
      </c>
      <c r="D3544" s="21" t="str">
        <f>IFERROR(__xludf.DUMMYFUNCTION("""COMPUTED_VALUE"""),"DIGITEC TECNOLOGIA DIGITAL E REPRES")</f>
        <v>DIGITEC TECNOLOGIA DIGITAL E REPRES</v>
      </c>
      <c r="E3544" s="21">
        <f>IFERROR(__xludf.DUMMYFUNCTION("""COMPUTED_VALUE"""),145359.0)</f>
        <v>145359</v>
      </c>
      <c r="F3544" s="21" t="str">
        <f>IFERROR(__xludf.DUMMYFUNCTION("""COMPUTED_VALUE"""),"SUSPEITO")</f>
        <v>SUSPEITO</v>
      </c>
      <c r="G3544" s="23">
        <f>IFERROR(__xludf.DUMMYFUNCTION("""COMPUTED_VALUE"""),45638.62855324074)</f>
        <v>45638.62855</v>
      </c>
      <c r="H3544" s="24" t="str">
        <f>IFERROR(VLOOKUP(B3544,material!A:D,3,0),"")</f>
        <v>3.1</v>
      </c>
    </row>
    <row r="3545" ht="11.25" customHeight="1">
      <c r="A3545" s="21" t="str">
        <f>IFERROR(__xludf.DUMMYFUNCTION("""COMPUTED_VALUE"""),"MODEM VOIP EMTA WIFI 3.1 CH8568")</f>
        <v>MODEM VOIP EMTA WIFI 3.1 CH8568</v>
      </c>
      <c r="B3545" s="22">
        <f>IFERROR(__xludf.DUMMYFUNCTION("""COMPUTED_VALUE"""),4.1001485E7)</f>
        <v>41001485</v>
      </c>
      <c r="C3545" s="21" t="str">
        <f>IFERROR(__xludf.DUMMYFUNCTION("""COMPUTED_VALUE"""),"6802B8526BB3")</f>
        <v>6802B8526BB3</v>
      </c>
      <c r="D3545" s="21" t="str">
        <f>IFERROR(__xludf.DUMMYFUNCTION("""COMPUTED_VALUE"""),"DIGITEC TECNOLOGIA DIGITAL E REPRES")</f>
        <v>DIGITEC TECNOLOGIA DIGITAL E REPRES</v>
      </c>
      <c r="E3545" s="21">
        <f>IFERROR(__xludf.DUMMYFUNCTION("""COMPUTED_VALUE"""),145359.0)</f>
        <v>145359</v>
      </c>
      <c r="F3545" s="21" t="str">
        <f>IFERROR(__xludf.DUMMYFUNCTION("""COMPUTED_VALUE"""),"SUSPEITO")</f>
        <v>SUSPEITO</v>
      </c>
      <c r="G3545" s="23">
        <f>IFERROR(__xludf.DUMMYFUNCTION("""COMPUTED_VALUE"""),45638.455613425926)</f>
        <v>45638.45561</v>
      </c>
      <c r="H3545" s="24" t="str">
        <f>IFERROR(VLOOKUP(B3545,material!A:D,3,0),"")</f>
        <v>3.1</v>
      </c>
    </row>
    <row r="3546" ht="11.25" customHeight="1">
      <c r="A3546" s="21" t="str">
        <f>IFERROR(__xludf.DUMMYFUNCTION("""COMPUTED_VALUE"""),"MODEM VOIP EMTA WIFI 3.1 CH8568")</f>
        <v>MODEM VOIP EMTA WIFI 3.1 CH8568</v>
      </c>
      <c r="B3546" s="22">
        <f>IFERROR(__xludf.DUMMYFUNCTION("""COMPUTED_VALUE"""),4.1001485E7)</f>
        <v>41001485</v>
      </c>
      <c r="C3546" s="21" t="str">
        <f>IFERROR(__xludf.DUMMYFUNCTION("""COMPUTED_VALUE"""),"B4F267328BEC")</f>
        <v>B4F267328BEC</v>
      </c>
      <c r="D3546" s="21" t="str">
        <f>IFERROR(__xludf.DUMMYFUNCTION("""COMPUTED_VALUE"""),"DIGITEC TECNOLOGIA DIGITAL E REPRES")</f>
        <v>DIGITEC TECNOLOGIA DIGITAL E REPRES</v>
      </c>
      <c r="E3546" s="21">
        <f>IFERROR(__xludf.DUMMYFUNCTION("""COMPUTED_VALUE"""),145359.0)</f>
        <v>145359</v>
      </c>
      <c r="F3546" s="21" t="str">
        <f>IFERROR(__xludf.DUMMYFUNCTION("""COMPUTED_VALUE"""),"SUSPEITO")</f>
        <v>SUSPEITO</v>
      </c>
      <c r="G3546" s="23">
        <f>IFERROR(__xludf.DUMMYFUNCTION("""COMPUTED_VALUE"""),45638.42327546296)</f>
        <v>45638.42328</v>
      </c>
      <c r="H3546" s="24" t="str">
        <f>IFERROR(VLOOKUP(B3546,material!A:D,3,0),"")</f>
        <v>3.1</v>
      </c>
    </row>
    <row r="3547" ht="11.25" customHeight="1">
      <c r="A3547" s="21" t="str">
        <f>IFERROR(__xludf.DUMMYFUNCTION("""COMPUTED_VALUE"""),"MODEM VOIP EMTA WIFI 3.1 CH8568")</f>
        <v>MODEM VOIP EMTA WIFI 3.1 CH8568</v>
      </c>
      <c r="B3547" s="22">
        <f>IFERROR(__xludf.DUMMYFUNCTION("""COMPUTED_VALUE"""),4.1001485E7)</f>
        <v>41001485</v>
      </c>
      <c r="C3547" s="21" t="str">
        <f>IFERROR(__xludf.DUMMYFUNCTION("""COMPUTED_VALUE"""),"B4F26732D1AC")</f>
        <v>B4F26732D1AC</v>
      </c>
      <c r="D3547" s="21" t="str">
        <f>IFERROR(__xludf.DUMMYFUNCTION("""COMPUTED_VALUE"""),"DIGITEC TECNOLOGIA DIGITAL E REPRES")</f>
        <v>DIGITEC TECNOLOGIA DIGITAL E REPRES</v>
      </c>
      <c r="E3547" s="21">
        <f>IFERROR(__xludf.DUMMYFUNCTION("""COMPUTED_VALUE"""),145359.0)</f>
        <v>145359</v>
      </c>
      <c r="F3547" s="21" t="str">
        <f>IFERROR(__xludf.DUMMYFUNCTION("""COMPUTED_VALUE"""),"SUSPEITO")</f>
        <v>SUSPEITO</v>
      </c>
      <c r="G3547" s="23">
        <f>IFERROR(__xludf.DUMMYFUNCTION("""COMPUTED_VALUE"""),45643.473391203705)</f>
        <v>45643.47339</v>
      </c>
      <c r="H3547" s="24" t="str">
        <f>IFERROR(VLOOKUP(B3547,material!A:D,3,0),"")</f>
        <v>3.1</v>
      </c>
    </row>
    <row r="3548" ht="11.25" customHeight="1">
      <c r="A3548" s="21" t="str">
        <f>IFERROR(__xludf.DUMMYFUNCTION("""COMPUTED_VALUE"""),"MODEM VOIP EMTA WIFI 3.1 CH8568")</f>
        <v>MODEM VOIP EMTA WIFI 3.1 CH8568</v>
      </c>
      <c r="B3548" s="22">
        <f>IFERROR(__xludf.DUMMYFUNCTION("""COMPUTED_VALUE"""),4.1001485E7)</f>
        <v>41001485</v>
      </c>
      <c r="C3548" s="21" t="str">
        <f>IFERROR(__xludf.DUMMYFUNCTION("""COMPUTED_VALUE"""),"6802B864A78A")</f>
        <v>6802B864A78A</v>
      </c>
      <c r="D3548" s="21" t="str">
        <f>IFERROR(__xludf.DUMMYFUNCTION("""COMPUTED_VALUE"""),"DIGITEC TECNOLOGIA DIGITAL E REPRES")</f>
        <v>DIGITEC TECNOLOGIA DIGITAL E REPRES</v>
      </c>
      <c r="E3548" s="21">
        <f>IFERROR(__xludf.DUMMYFUNCTION("""COMPUTED_VALUE"""),145359.0)</f>
        <v>145359</v>
      </c>
      <c r="F3548" s="21" t="str">
        <f>IFERROR(__xludf.DUMMYFUNCTION("""COMPUTED_VALUE"""),"SUSPEITO")</f>
        <v>SUSPEITO</v>
      </c>
      <c r="G3548" s="23">
        <f>IFERROR(__xludf.DUMMYFUNCTION("""COMPUTED_VALUE"""),45643.59583333333)</f>
        <v>45643.59583</v>
      </c>
      <c r="H3548" s="24" t="str">
        <f>IFERROR(VLOOKUP(B3548,material!A:D,3,0),"")</f>
        <v>3.1</v>
      </c>
    </row>
    <row r="3549" ht="11.25" customHeight="1">
      <c r="A3549" s="21" t="str">
        <f>IFERROR(__xludf.DUMMYFUNCTION("""COMPUTED_VALUE"""),"MODEM VOIP EMTA WIFI 3.1 CH8568")</f>
        <v>MODEM VOIP EMTA WIFI 3.1 CH8568</v>
      </c>
      <c r="B3549" s="22">
        <f>IFERROR(__xludf.DUMMYFUNCTION("""COMPUTED_VALUE"""),4.1001485E7)</f>
        <v>41001485</v>
      </c>
      <c r="C3549" s="21" t="str">
        <f>IFERROR(__xludf.DUMMYFUNCTION("""COMPUTED_VALUE"""),"B4F267342392")</f>
        <v>B4F267342392</v>
      </c>
      <c r="D3549" s="21" t="str">
        <f>IFERROR(__xludf.DUMMYFUNCTION("""COMPUTED_VALUE"""),"DIGITEC TECNOLOGIA DIGITAL E REPRES")</f>
        <v>DIGITEC TECNOLOGIA DIGITAL E REPRES</v>
      </c>
      <c r="E3549" s="21">
        <f>IFERROR(__xludf.DUMMYFUNCTION("""COMPUTED_VALUE"""),145359.0)</f>
        <v>145359</v>
      </c>
      <c r="F3549" s="21" t="str">
        <f>IFERROR(__xludf.DUMMYFUNCTION("""COMPUTED_VALUE"""),"SUSPEITO")</f>
        <v>SUSPEITO</v>
      </c>
      <c r="G3549" s="23">
        <f>IFERROR(__xludf.DUMMYFUNCTION("""COMPUTED_VALUE"""),45639.64892361111)</f>
        <v>45639.64892</v>
      </c>
      <c r="H3549" s="24" t="str">
        <f>IFERROR(VLOOKUP(B3549,material!A:D,3,0),"")</f>
        <v>3.1</v>
      </c>
    </row>
    <row r="3550" ht="11.25" customHeight="1">
      <c r="A3550" s="21" t="str">
        <f>IFERROR(__xludf.DUMMYFUNCTION("""COMPUTED_VALUE"""),"MODEM VOIP EMTA WIFI 3.1 CH8568")</f>
        <v>MODEM VOIP EMTA WIFI 3.1 CH8568</v>
      </c>
      <c r="B3550" s="22">
        <f>IFERROR(__xludf.DUMMYFUNCTION("""COMPUTED_VALUE"""),4.1001485E7)</f>
        <v>41001485</v>
      </c>
      <c r="C3550" s="21" t="str">
        <f>IFERROR(__xludf.DUMMYFUNCTION("""COMPUTED_VALUE"""),"B4F2674F04AC")</f>
        <v>B4F2674F04AC</v>
      </c>
      <c r="D3550" s="21" t="str">
        <f>IFERROR(__xludf.DUMMYFUNCTION("""COMPUTED_VALUE"""),"DIGITEC TECNOLOGIA DIGITAL E REPRES")</f>
        <v>DIGITEC TECNOLOGIA DIGITAL E REPRES</v>
      </c>
      <c r="E3550" s="21">
        <f>IFERROR(__xludf.DUMMYFUNCTION("""COMPUTED_VALUE"""),145359.0)</f>
        <v>145359</v>
      </c>
      <c r="F3550" s="21" t="str">
        <f>IFERROR(__xludf.DUMMYFUNCTION("""COMPUTED_VALUE"""),"SUSPEITO")</f>
        <v>SUSPEITO</v>
      </c>
      <c r="G3550" s="23">
        <f>IFERROR(__xludf.DUMMYFUNCTION("""COMPUTED_VALUE"""),45636.682800925926)</f>
        <v>45636.6828</v>
      </c>
      <c r="H3550" s="24" t="str">
        <f>IFERROR(VLOOKUP(B3550,material!A:D,3,0),"")</f>
        <v>3.1</v>
      </c>
    </row>
    <row r="3551" ht="11.25" customHeight="1">
      <c r="A3551" s="21" t="str">
        <f>IFERROR(__xludf.DUMMYFUNCTION("""COMPUTED_VALUE"""),"MODEM VOIP EMTA WIFI 3.1 CH8568")</f>
        <v>MODEM VOIP EMTA WIFI 3.1 CH8568</v>
      </c>
      <c r="B3551" s="22">
        <f>IFERROR(__xludf.DUMMYFUNCTION("""COMPUTED_VALUE"""),4.1001485E7)</f>
        <v>41001485</v>
      </c>
      <c r="C3551" s="21" t="str">
        <f>IFERROR(__xludf.DUMMYFUNCTION("""COMPUTED_VALUE"""),"B4F26733B1DD")</f>
        <v>B4F26733B1DD</v>
      </c>
      <c r="D3551" s="21" t="str">
        <f>IFERROR(__xludf.DUMMYFUNCTION("""COMPUTED_VALUE"""),"DIGITEC TECNOLOGIA DIGITAL E REPRES")</f>
        <v>DIGITEC TECNOLOGIA DIGITAL E REPRES</v>
      </c>
      <c r="E3551" s="21">
        <f>IFERROR(__xludf.DUMMYFUNCTION("""COMPUTED_VALUE"""),145359.0)</f>
        <v>145359</v>
      </c>
      <c r="F3551" s="21" t="str">
        <f>IFERROR(__xludf.DUMMYFUNCTION("""COMPUTED_VALUE"""),"SUSPEITO")</f>
        <v>SUSPEITO</v>
      </c>
      <c r="G3551" s="23">
        <f>IFERROR(__xludf.DUMMYFUNCTION("""COMPUTED_VALUE"""),45637.70023148148)</f>
        <v>45637.70023</v>
      </c>
      <c r="H3551" s="24" t="str">
        <f>IFERROR(VLOOKUP(B3551,material!A:D,3,0),"")</f>
        <v>3.1</v>
      </c>
    </row>
    <row r="3552" ht="11.25" customHeight="1">
      <c r="A3552" s="21" t="str">
        <f>IFERROR(__xludf.DUMMYFUNCTION("""COMPUTED_VALUE"""),"MODEM VOIP EMTA WIFI 3.1 CH8568")</f>
        <v>MODEM VOIP EMTA WIFI 3.1 CH8568</v>
      </c>
      <c r="B3552" s="22">
        <f>IFERROR(__xludf.DUMMYFUNCTION("""COMPUTED_VALUE"""),4.1001485E7)</f>
        <v>41001485</v>
      </c>
      <c r="C3552" s="21" t="str">
        <f>IFERROR(__xludf.DUMMYFUNCTION("""COMPUTED_VALUE"""),"B4F26733B573")</f>
        <v>B4F26733B573</v>
      </c>
      <c r="D3552" s="21" t="str">
        <f>IFERROR(__xludf.DUMMYFUNCTION("""COMPUTED_VALUE"""),"DIGITEC TECNOLOGIA DIGITAL E REPRES")</f>
        <v>DIGITEC TECNOLOGIA DIGITAL E REPRES</v>
      </c>
      <c r="E3552" s="21">
        <f>IFERROR(__xludf.DUMMYFUNCTION("""COMPUTED_VALUE"""),145359.0)</f>
        <v>145359</v>
      </c>
      <c r="F3552" s="21" t="str">
        <f>IFERROR(__xludf.DUMMYFUNCTION("""COMPUTED_VALUE"""),"SUSPEITO")</f>
        <v>SUSPEITO</v>
      </c>
      <c r="G3552" s="23">
        <f>IFERROR(__xludf.DUMMYFUNCTION("""COMPUTED_VALUE"""),45640.371828703705)</f>
        <v>45640.37183</v>
      </c>
      <c r="H3552" s="24" t="str">
        <f>IFERROR(VLOOKUP(B3552,material!A:D,3,0),"")</f>
        <v>3.1</v>
      </c>
    </row>
    <row r="3553" ht="11.25" customHeight="1">
      <c r="A3553" s="21" t="str">
        <f>IFERROR(__xludf.DUMMYFUNCTION("""COMPUTED_VALUE"""),"MODEM VOIP EMTA WIFI 3.1 CH8568")</f>
        <v>MODEM VOIP EMTA WIFI 3.1 CH8568</v>
      </c>
      <c r="B3553" s="22">
        <f>IFERROR(__xludf.DUMMYFUNCTION("""COMPUTED_VALUE"""),4.1001485E7)</f>
        <v>41001485</v>
      </c>
      <c r="C3553" s="21" t="str">
        <f>IFERROR(__xludf.DUMMYFUNCTION("""COMPUTED_VALUE"""),"B4F267342CF8")</f>
        <v>B4F267342CF8</v>
      </c>
      <c r="D3553" s="21" t="str">
        <f>IFERROR(__xludf.DUMMYFUNCTION("""COMPUTED_VALUE"""),"DIGITEC TECNOLOGIA DIGITAL E REPRES")</f>
        <v>DIGITEC TECNOLOGIA DIGITAL E REPRES</v>
      </c>
      <c r="E3553" s="21">
        <f>IFERROR(__xludf.DUMMYFUNCTION("""COMPUTED_VALUE"""),145359.0)</f>
        <v>145359</v>
      </c>
      <c r="F3553" s="21" t="str">
        <f>IFERROR(__xludf.DUMMYFUNCTION("""COMPUTED_VALUE"""),"SUSPEITO")</f>
        <v>SUSPEITO</v>
      </c>
      <c r="G3553" s="23">
        <f>IFERROR(__xludf.DUMMYFUNCTION("""COMPUTED_VALUE"""),45638.471921296295)</f>
        <v>45638.47192</v>
      </c>
      <c r="H3553" s="24" t="str">
        <f>IFERROR(VLOOKUP(B3553,material!A:D,3,0),"")</f>
        <v>3.1</v>
      </c>
    </row>
    <row r="3554" ht="11.25" customHeight="1">
      <c r="A3554" s="21" t="str">
        <f>IFERROR(__xludf.DUMMYFUNCTION("""COMPUTED_VALUE"""),"MODEM VOIP EMTA WIFI 3.1 CH8568")</f>
        <v>MODEM VOIP EMTA WIFI 3.1 CH8568</v>
      </c>
      <c r="B3554" s="22">
        <f>IFERROR(__xludf.DUMMYFUNCTION("""COMPUTED_VALUE"""),4.1001485E7)</f>
        <v>41001485</v>
      </c>
      <c r="C3554" s="21" t="str">
        <f>IFERROR(__xludf.DUMMYFUNCTION("""COMPUTED_VALUE"""),"B4F267341EC1")</f>
        <v>B4F267341EC1</v>
      </c>
      <c r="D3554" s="21" t="str">
        <f>IFERROR(__xludf.DUMMYFUNCTION("""COMPUTED_VALUE"""),"DIGITEC TECNOLOGIA DIGITAL E REPRES")</f>
        <v>DIGITEC TECNOLOGIA DIGITAL E REPRES</v>
      </c>
      <c r="E3554" s="21">
        <f>IFERROR(__xludf.DUMMYFUNCTION("""COMPUTED_VALUE"""),145359.0)</f>
        <v>145359</v>
      </c>
      <c r="F3554" s="21" t="str">
        <f>IFERROR(__xludf.DUMMYFUNCTION("""COMPUTED_VALUE"""),"SUSPEITO")</f>
        <v>SUSPEITO</v>
      </c>
      <c r="G3554" s="23">
        <f>IFERROR(__xludf.DUMMYFUNCTION("""COMPUTED_VALUE"""),45637.67534722222)</f>
        <v>45637.67535</v>
      </c>
      <c r="H3554" s="24" t="str">
        <f>IFERROR(VLOOKUP(B3554,material!A:D,3,0),"")</f>
        <v>3.1</v>
      </c>
    </row>
    <row r="3555" ht="11.25" customHeight="1">
      <c r="A3555" s="21" t="str">
        <f>IFERROR(__xludf.DUMMYFUNCTION("""COMPUTED_VALUE"""),"MODEM VOIP EMTA WIFI 3.1 CH8568")</f>
        <v>MODEM VOIP EMTA WIFI 3.1 CH8568</v>
      </c>
      <c r="B3555" s="22">
        <f>IFERROR(__xludf.DUMMYFUNCTION("""COMPUTED_VALUE"""),4.1001485E7)</f>
        <v>41001485</v>
      </c>
      <c r="C3555" s="21" t="str">
        <f>IFERROR(__xludf.DUMMYFUNCTION("""COMPUTED_VALUE"""),"B4F26733B7C5")</f>
        <v>B4F26733B7C5</v>
      </c>
      <c r="D3555" s="21" t="str">
        <f>IFERROR(__xludf.DUMMYFUNCTION("""COMPUTED_VALUE"""),"DIGITEC TECNOLOGIA DIGITAL E REPRES")</f>
        <v>DIGITEC TECNOLOGIA DIGITAL E REPRES</v>
      </c>
      <c r="E3555" s="21">
        <f>IFERROR(__xludf.DUMMYFUNCTION("""COMPUTED_VALUE"""),145359.0)</f>
        <v>145359</v>
      </c>
      <c r="F3555" s="21" t="str">
        <f>IFERROR(__xludf.DUMMYFUNCTION("""COMPUTED_VALUE"""),"SUSPEITO")</f>
        <v>SUSPEITO</v>
      </c>
      <c r="G3555" s="23">
        <f>IFERROR(__xludf.DUMMYFUNCTION("""COMPUTED_VALUE"""),45642.60189814815)</f>
        <v>45642.6019</v>
      </c>
      <c r="H3555" s="24" t="str">
        <f>IFERROR(VLOOKUP(B3555,material!A:D,3,0),"")</f>
        <v>3.1</v>
      </c>
    </row>
    <row r="3556" ht="11.25" customHeight="1">
      <c r="A3556" s="21" t="str">
        <f>IFERROR(__xludf.DUMMYFUNCTION("""COMPUTED_VALUE"""),"MODEM VOIPEMTA WIFI 3.1 CGA4233CLB")</f>
        <v>MODEM VOIPEMTA WIFI 3.1 CGA4233CLB</v>
      </c>
      <c r="B3556" s="22">
        <f>IFERROR(__xludf.DUMMYFUNCTION("""COMPUTED_VALUE"""),4.1001482E7)</f>
        <v>41001482</v>
      </c>
      <c r="C3556" s="21" t="str">
        <f>IFERROR(__xludf.DUMMYFUNCTION("""COMPUTED_VALUE"""),"6C55E8C9D5EC")</f>
        <v>6C55E8C9D5EC</v>
      </c>
      <c r="D3556" s="21" t="str">
        <f>IFERROR(__xludf.DUMMYFUNCTION("""COMPUTED_VALUE"""),"DIGITEC TECNOLOGIA DIGITAL E REPRES")</f>
        <v>DIGITEC TECNOLOGIA DIGITAL E REPRES</v>
      </c>
      <c r="E3556" s="21">
        <f>IFERROR(__xludf.DUMMYFUNCTION("""COMPUTED_VALUE"""),145359.0)</f>
        <v>145359</v>
      </c>
      <c r="F3556" s="21" t="str">
        <f>IFERROR(__xludf.DUMMYFUNCTION("""COMPUTED_VALUE"""),"SUSPEITO")</f>
        <v>SUSPEITO</v>
      </c>
      <c r="G3556" s="23">
        <f>IFERROR(__xludf.DUMMYFUNCTION("""COMPUTED_VALUE"""),45638.720868055556)</f>
        <v>45638.72087</v>
      </c>
      <c r="H3556" s="24" t="str">
        <f>IFERROR(VLOOKUP(B3556,material!A:D,3,0),"")</f>
        <v>3.1</v>
      </c>
    </row>
    <row r="3557" ht="11.25" customHeight="1">
      <c r="A3557" s="21" t="str">
        <f>IFERROR(__xludf.DUMMYFUNCTION("""COMPUTED_VALUE"""),"MODEM VOIPEMTA WIFI 3.1 CGA4233CLB")</f>
        <v>MODEM VOIPEMTA WIFI 3.1 CGA4233CLB</v>
      </c>
      <c r="B3557" s="22">
        <f>IFERROR(__xludf.DUMMYFUNCTION("""COMPUTED_VALUE"""),4.1001482E7)</f>
        <v>41001482</v>
      </c>
      <c r="C3557" s="21" t="str">
        <f>IFERROR(__xludf.DUMMYFUNCTION("""COMPUTED_VALUE"""),"889E68DCD054")</f>
        <v>889E68DCD054</v>
      </c>
      <c r="D3557" s="21" t="str">
        <f>IFERROR(__xludf.DUMMYFUNCTION("""COMPUTED_VALUE"""),"DIGITEC TECNOLOGIA DIGITAL E REPRES")</f>
        <v>DIGITEC TECNOLOGIA DIGITAL E REPRES</v>
      </c>
      <c r="E3557" s="21">
        <f>IFERROR(__xludf.DUMMYFUNCTION("""COMPUTED_VALUE"""),145359.0)</f>
        <v>145359</v>
      </c>
      <c r="F3557" s="21" t="str">
        <f>IFERROR(__xludf.DUMMYFUNCTION("""COMPUTED_VALUE"""),"SUSPEITO")</f>
        <v>SUSPEITO</v>
      </c>
      <c r="G3557" s="23">
        <f>IFERROR(__xludf.DUMMYFUNCTION("""COMPUTED_VALUE"""),45631.67010416667)</f>
        <v>45631.6701</v>
      </c>
      <c r="H3557" s="24" t="str">
        <f>IFERROR(VLOOKUP(B3557,material!A:D,3,0),"")</f>
        <v>3.1</v>
      </c>
    </row>
    <row r="3558" ht="11.25" customHeight="1">
      <c r="A3558" s="21" t="str">
        <f>IFERROR(__xludf.DUMMYFUNCTION("""COMPUTED_VALUE"""),"MODEM VOIPEMTA WIFI 3.1 CGA4233CLB")</f>
        <v>MODEM VOIPEMTA WIFI 3.1 CGA4233CLB</v>
      </c>
      <c r="B3558" s="22">
        <f>IFERROR(__xludf.DUMMYFUNCTION("""COMPUTED_VALUE"""),4.1001482E7)</f>
        <v>41001482</v>
      </c>
      <c r="C3558" s="21" t="str">
        <f>IFERROR(__xludf.DUMMYFUNCTION("""COMPUTED_VALUE"""),"A0FF708A27E4")</f>
        <v>A0FF708A27E4</v>
      </c>
      <c r="D3558" s="21" t="str">
        <f>IFERROR(__xludf.DUMMYFUNCTION("""COMPUTED_VALUE"""),"DIGITEC TECNOLOGIA DIGITAL E REPRES")</f>
        <v>DIGITEC TECNOLOGIA DIGITAL E REPRES</v>
      </c>
      <c r="E3558" s="21">
        <f>IFERROR(__xludf.DUMMYFUNCTION("""COMPUTED_VALUE"""),145359.0)</f>
        <v>145359</v>
      </c>
      <c r="F3558" s="21" t="str">
        <f>IFERROR(__xludf.DUMMYFUNCTION("""COMPUTED_VALUE"""),"SUSPEITO")</f>
        <v>SUSPEITO</v>
      </c>
      <c r="G3558" s="23">
        <f>IFERROR(__xludf.DUMMYFUNCTION("""COMPUTED_VALUE"""),45637.6844675926)</f>
        <v>45637.68447</v>
      </c>
      <c r="H3558" s="24" t="str">
        <f>IFERROR(VLOOKUP(B3558,material!A:D,3,0),"")</f>
        <v>3.1</v>
      </c>
    </row>
    <row r="3559" ht="11.25" customHeight="1">
      <c r="A3559" s="21" t="str">
        <f>IFERROR(__xludf.DUMMYFUNCTION("""COMPUTED_VALUE"""),"MODEM VOIPEMTA WIFI 3.1 CGA4233CLB")</f>
        <v>MODEM VOIPEMTA WIFI 3.1 CGA4233CLB</v>
      </c>
      <c r="B3559" s="22">
        <f>IFERROR(__xludf.DUMMYFUNCTION("""COMPUTED_VALUE"""),4.1001482E7)</f>
        <v>41001482</v>
      </c>
      <c r="C3559" s="21" t="str">
        <f>IFERROR(__xludf.DUMMYFUNCTION("""COMPUTED_VALUE"""),"484BD482D144")</f>
        <v>484BD482D144</v>
      </c>
      <c r="D3559" s="21" t="str">
        <f>IFERROR(__xludf.DUMMYFUNCTION("""COMPUTED_VALUE"""),"DIGITEC TECNOLOGIA DIGITAL E REPRES")</f>
        <v>DIGITEC TECNOLOGIA DIGITAL E REPRES</v>
      </c>
      <c r="E3559" s="21">
        <f>IFERROR(__xludf.DUMMYFUNCTION("""COMPUTED_VALUE"""),145359.0)</f>
        <v>145359</v>
      </c>
      <c r="F3559" s="21" t="str">
        <f>IFERROR(__xludf.DUMMYFUNCTION("""COMPUTED_VALUE"""),"SUSPEITO")</f>
        <v>SUSPEITO</v>
      </c>
      <c r="G3559" s="23">
        <f>IFERROR(__xludf.DUMMYFUNCTION("""COMPUTED_VALUE"""),45640.639699074076)</f>
        <v>45640.6397</v>
      </c>
      <c r="H3559" s="24" t="str">
        <f>IFERROR(VLOOKUP(B3559,material!A:D,3,0),"")</f>
        <v>3.1</v>
      </c>
    </row>
    <row r="3560" ht="11.25" customHeight="1">
      <c r="A3560" s="21" t="str">
        <f>IFERROR(__xludf.DUMMYFUNCTION("""COMPUTED_VALUE"""),"MODEM VOIPEMTA WIFI 3.1 CGA4233CLB")</f>
        <v>MODEM VOIPEMTA WIFI 3.1 CGA4233CLB</v>
      </c>
      <c r="B3560" s="22">
        <f>IFERROR(__xludf.DUMMYFUNCTION("""COMPUTED_VALUE"""),4.1001482E7)</f>
        <v>41001482</v>
      </c>
      <c r="C3560" s="21" t="str">
        <f>IFERROR(__xludf.DUMMYFUNCTION("""COMPUTED_VALUE"""),"484BD48949EC")</f>
        <v>484BD48949EC</v>
      </c>
      <c r="D3560" s="21" t="str">
        <f>IFERROR(__xludf.DUMMYFUNCTION("""COMPUTED_VALUE"""),"DIGITEC TECNOLOGIA DIGITAL E REPRES")</f>
        <v>DIGITEC TECNOLOGIA DIGITAL E REPRES</v>
      </c>
      <c r="E3560" s="21">
        <f>IFERROR(__xludf.DUMMYFUNCTION("""COMPUTED_VALUE"""),145359.0)</f>
        <v>145359</v>
      </c>
      <c r="F3560" s="21" t="str">
        <f>IFERROR(__xludf.DUMMYFUNCTION("""COMPUTED_VALUE"""),"SUSPEITO")</f>
        <v>SUSPEITO</v>
      </c>
      <c r="G3560" s="23">
        <f>IFERROR(__xludf.DUMMYFUNCTION("""COMPUTED_VALUE"""),45643.60503472222)</f>
        <v>45643.60503</v>
      </c>
      <c r="H3560" s="24" t="str">
        <f>IFERROR(VLOOKUP(B3560,material!A:D,3,0),"")</f>
        <v>3.1</v>
      </c>
    </row>
    <row r="3561" ht="11.25" customHeight="1">
      <c r="A3561" s="21" t="str">
        <f>IFERROR(__xludf.DUMMYFUNCTION("""COMPUTED_VALUE"""),"MODEM VOIPEMTA WIFI 3.1 CGA4233CLB")</f>
        <v>MODEM VOIPEMTA WIFI 3.1 CGA4233CLB</v>
      </c>
      <c r="B3561" s="22">
        <f>IFERROR(__xludf.DUMMYFUNCTION("""COMPUTED_VALUE"""),4.1001482E7)</f>
        <v>41001482</v>
      </c>
      <c r="C3561" s="21" t="str">
        <f>IFERROR(__xludf.DUMMYFUNCTION("""COMPUTED_VALUE"""),"484BD492DA64")</f>
        <v>484BD492DA64</v>
      </c>
      <c r="D3561" s="21" t="str">
        <f>IFERROR(__xludf.DUMMYFUNCTION("""COMPUTED_VALUE"""),"DIGITEC TECNOLOGIA DIGITAL E REPRES")</f>
        <v>DIGITEC TECNOLOGIA DIGITAL E REPRES</v>
      </c>
      <c r="E3561" s="21">
        <f>IFERROR(__xludf.DUMMYFUNCTION("""COMPUTED_VALUE"""),145359.0)</f>
        <v>145359</v>
      </c>
      <c r="F3561" s="21" t="str">
        <f>IFERROR(__xludf.DUMMYFUNCTION("""COMPUTED_VALUE"""),"SUSPEITO")</f>
        <v>SUSPEITO</v>
      </c>
      <c r="G3561" s="23">
        <f>IFERROR(__xludf.DUMMYFUNCTION("""COMPUTED_VALUE"""),45643.55763888889)</f>
        <v>45643.55764</v>
      </c>
      <c r="H3561" s="24" t="str">
        <f>IFERROR(VLOOKUP(B3561,material!A:D,3,0),"")</f>
        <v>3.1</v>
      </c>
    </row>
    <row r="3562" ht="11.25" customHeight="1">
      <c r="A3562" s="21" t="str">
        <f>IFERROR(__xludf.DUMMYFUNCTION("""COMPUTED_VALUE"""),"MODEM VOIPEMTA WIFI 3.1 CGA4233CLB")</f>
        <v>MODEM VOIPEMTA WIFI 3.1 CGA4233CLB</v>
      </c>
      <c r="B3562" s="22">
        <f>IFERROR(__xludf.DUMMYFUNCTION("""COMPUTED_VALUE"""),4.1001482E7)</f>
        <v>41001482</v>
      </c>
      <c r="C3562" s="21" t="str">
        <f>IFERROR(__xludf.DUMMYFUNCTION("""COMPUTED_VALUE"""),"484BD488E6D4")</f>
        <v>484BD488E6D4</v>
      </c>
      <c r="D3562" s="21" t="str">
        <f>IFERROR(__xludf.DUMMYFUNCTION("""COMPUTED_VALUE"""),"DIGITEC TECNOLOGIA DIGITAL E REPRES")</f>
        <v>DIGITEC TECNOLOGIA DIGITAL E REPRES</v>
      </c>
      <c r="E3562" s="21">
        <f>IFERROR(__xludf.DUMMYFUNCTION("""COMPUTED_VALUE"""),145359.0)</f>
        <v>145359</v>
      </c>
      <c r="F3562" s="21" t="str">
        <f>IFERROR(__xludf.DUMMYFUNCTION("""COMPUTED_VALUE"""),"SUSPEITO")</f>
        <v>SUSPEITO</v>
      </c>
      <c r="G3562" s="23">
        <f>IFERROR(__xludf.DUMMYFUNCTION("""COMPUTED_VALUE"""),45642.68239583333)</f>
        <v>45642.6824</v>
      </c>
      <c r="H3562" s="24" t="str">
        <f>IFERROR(VLOOKUP(B3562,material!A:D,3,0),"")</f>
        <v>3.1</v>
      </c>
    </row>
    <row r="3563" ht="11.25" customHeight="1">
      <c r="A3563" s="21" t="str">
        <f>IFERROR(__xludf.DUMMYFUNCTION("""COMPUTED_VALUE"""),"MODEM VOIP EMTA WIFI 3.1 CG3000")</f>
        <v>MODEM VOIP EMTA WIFI 3.1 CG3000</v>
      </c>
      <c r="B3563" s="22">
        <f>IFERROR(__xludf.DUMMYFUNCTION("""COMPUTED_VALUE"""),4.1001486E7)</f>
        <v>41001486</v>
      </c>
      <c r="C3563" s="21" t="str">
        <f>IFERROR(__xludf.DUMMYFUNCTION("""COMPUTED_VALUE"""),"9877E7BA5A15")</f>
        <v>9877E7BA5A15</v>
      </c>
      <c r="D3563" s="21" t="str">
        <f>IFERROR(__xludf.DUMMYFUNCTION("""COMPUTED_VALUE"""),"DIGITEC TECNOLOGIA DIGITAL E REPRES")</f>
        <v>DIGITEC TECNOLOGIA DIGITAL E REPRES</v>
      </c>
      <c r="E3563" s="21">
        <f>IFERROR(__xludf.DUMMYFUNCTION("""COMPUTED_VALUE"""),145359.0)</f>
        <v>145359</v>
      </c>
      <c r="F3563" s="21" t="str">
        <f>IFERROR(__xludf.DUMMYFUNCTION("""COMPUTED_VALUE"""),"SUSPEITO")</f>
        <v>SUSPEITO</v>
      </c>
      <c r="G3563" s="23">
        <f>IFERROR(__xludf.DUMMYFUNCTION("""COMPUTED_VALUE"""),45637.79002314815)</f>
        <v>45637.79002</v>
      </c>
      <c r="H3563" s="24" t="str">
        <f>IFERROR(VLOOKUP(B3563,material!A:D,3,0),"")</f>
        <v>3.1</v>
      </c>
    </row>
    <row r="3564" ht="11.25" customHeight="1">
      <c r="A3564" s="21" t="str">
        <f>IFERROR(__xludf.DUMMYFUNCTION("""COMPUTED_VALUE"""),"MODEM VOIP EMTA WIFI 3.1 CG3000")</f>
        <v>MODEM VOIP EMTA WIFI 3.1 CG3000</v>
      </c>
      <c r="B3564" s="22">
        <f>IFERROR(__xludf.DUMMYFUNCTION("""COMPUTED_VALUE"""),4.1001486E7)</f>
        <v>41001486</v>
      </c>
      <c r="C3564" s="21" t="str">
        <f>IFERROR(__xludf.DUMMYFUNCTION("""COMPUTED_VALUE"""),"84011203C821")</f>
        <v>84011203C821</v>
      </c>
      <c r="D3564" s="21" t="str">
        <f>IFERROR(__xludf.DUMMYFUNCTION("""COMPUTED_VALUE"""),"DIGITEC TECNOLOGIA DIGITAL E REPRES")</f>
        <v>DIGITEC TECNOLOGIA DIGITAL E REPRES</v>
      </c>
      <c r="E3564" s="21">
        <f>IFERROR(__xludf.DUMMYFUNCTION("""COMPUTED_VALUE"""),145359.0)</f>
        <v>145359</v>
      </c>
      <c r="F3564" s="21" t="str">
        <f>IFERROR(__xludf.DUMMYFUNCTION("""COMPUTED_VALUE"""),"SUSPEITO")</f>
        <v>SUSPEITO</v>
      </c>
      <c r="G3564" s="23">
        <f>IFERROR(__xludf.DUMMYFUNCTION("""COMPUTED_VALUE"""),45642.86476851851)</f>
        <v>45642.86477</v>
      </c>
      <c r="H3564" s="24" t="str">
        <f>IFERROR(VLOOKUP(B3564,material!A:D,3,0),"")</f>
        <v>3.1</v>
      </c>
    </row>
    <row r="3565" ht="11.25" customHeight="1">
      <c r="A3565" s="21" t="str">
        <f>IFERROR(__xludf.DUMMYFUNCTION("""COMPUTED_VALUE"""),"MODEM VOIP EMTA WIFI 3.1 CG3000")</f>
        <v>MODEM VOIP EMTA WIFI 3.1 CG3000</v>
      </c>
      <c r="B3565" s="22">
        <f>IFERROR(__xludf.DUMMYFUNCTION("""COMPUTED_VALUE"""),4.1001486E7)</f>
        <v>41001486</v>
      </c>
      <c r="C3565" s="21" t="str">
        <f>IFERROR(__xludf.DUMMYFUNCTION("""COMPUTED_VALUE"""),"840112376645")</f>
        <v>840112376645</v>
      </c>
      <c r="D3565" s="21" t="str">
        <f>IFERROR(__xludf.DUMMYFUNCTION("""COMPUTED_VALUE"""),"DIGITEC TECNOLOGIA DIGITAL E REPRES")</f>
        <v>DIGITEC TECNOLOGIA DIGITAL E REPRES</v>
      </c>
      <c r="E3565" s="21">
        <f>IFERROR(__xludf.DUMMYFUNCTION("""COMPUTED_VALUE"""),145359.0)</f>
        <v>145359</v>
      </c>
      <c r="F3565" s="21" t="str">
        <f>IFERROR(__xludf.DUMMYFUNCTION("""COMPUTED_VALUE"""),"SUSPEITO")</f>
        <v>SUSPEITO</v>
      </c>
      <c r="G3565" s="23">
        <f>IFERROR(__xludf.DUMMYFUNCTION("""COMPUTED_VALUE"""),45637.45893518519)</f>
        <v>45637.45894</v>
      </c>
      <c r="H3565" s="24" t="str">
        <f>IFERROR(VLOOKUP(B3565,material!A:D,3,0),"")</f>
        <v>3.1</v>
      </c>
    </row>
    <row r="3566" ht="11.25" customHeight="1">
      <c r="A3566" s="21" t="str">
        <f>IFERROR(__xludf.DUMMYFUNCTION("""COMPUTED_VALUE"""),"MODEM VOIP EMTA WIFI 3.1 CG3000")</f>
        <v>MODEM VOIP EMTA WIFI 3.1 CG3000</v>
      </c>
      <c r="B3566" s="22">
        <f>IFERROR(__xludf.DUMMYFUNCTION("""COMPUTED_VALUE"""),4.1001486E7)</f>
        <v>41001486</v>
      </c>
      <c r="C3566" s="21" t="str">
        <f>IFERROR(__xludf.DUMMYFUNCTION("""COMPUTED_VALUE"""),"840112035E25")</f>
        <v>840112035E25</v>
      </c>
      <c r="D3566" s="21" t="str">
        <f>IFERROR(__xludf.DUMMYFUNCTION("""COMPUTED_VALUE"""),"DIGITEC TECNOLOGIA DIGITAL E REPRES")</f>
        <v>DIGITEC TECNOLOGIA DIGITAL E REPRES</v>
      </c>
      <c r="E3566" s="21">
        <f>IFERROR(__xludf.DUMMYFUNCTION("""COMPUTED_VALUE"""),145359.0)</f>
        <v>145359</v>
      </c>
      <c r="F3566" s="21" t="str">
        <f>IFERROR(__xludf.DUMMYFUNCTION("""COMPUTED_VALUE"""),"SUSPEITO")</f>
        <v>SUSPEITO</v>
      </c>
      <c r="G3566" s="23">
        <f>IFERROR(__xludf.DUMMYFUNCTION("""COMPUTED_VALUE"""),45620.422893518524)</f>
        <v>45620.42289</v>
      </c>
      <c r="H3566" s="24" t="str">
        <f>IFERROR(VLOOKUP(B3566,material!A:D,3,0),"")</f>
        <v>3.1</v>
      </c>
    </row>
    <row r="3567" ht="11.25" customHeight="1">
      <c r="A3567" s="21" t="str">
        <f>IFERROR(__xludf.DUMMYFUNCTION("""COMPUTED_VALUE"""),"MODEM VOIP EMTA WIFI 3.1 CG3000")</f>
        <v>MODEM VOIP EMTA WIFI 3.1 CG3000</v>
      </c>
      <c r="B3567" s="22">
        <f>IFERROR(__xludf.DUMMYFUNCTION("""COMPUTED_VALUE"""),4.1001486E7)</f>
        <v>41001486</v>
      </c>
      <c r="C3567" s="21" t="str">
        <f>IFERROR(__xludf.DUMMYFUNCTION("""COMPUTED_VALUE"""),"84011280519E")</f>
        <v>84011280519E</v>
      </c>
      <c r="D3567" s="21" t="str">
        <f>IFERROR(__xludf.DUMMYFUNCTION("""COMPUTED_VALUE"""),"DIGITEC TECNOLOGIA DIGITAL E REPRES")</f>
        <v>DIGITEC TECNOLOGIA DIGITAL E REPRES</v>
      </c>
      <c r="E3567" s="21">
        <f>IFERROR(__xludf.DUMMYFUNCTION("""COMPUTED_VALUE"""),145359.0)</f>
        <v>145359</v>
      </c>
      <c r="F3567" s="21" t="str">
        <f>IFERROR(__xludf.DUMMYFUNCTION("""COMPUTED_VALUE"""),"SUSPEITO")</f>
        <v>SUSPEITO</v>
      </c>
      <c r="G3567" s="23">
        <f>IFERROR(__xludf.DUMMYFUNCTION("""COMPUTED_VALUE"""),45638.53491898148)</f>
        <v>45638.53492</v>
      </c>
      <c r="H3567" s="24" t="str">
        <f>IFERROR(VLOOKUP(B3567,material!A:D,3,0),"")</f>
        <v>3.1</v>
      </c>
    </row>
    <row r="3568" ht="11.25" customHeight="1">
      <c r="A3568" s="21" t="str">
        <f>IFERROR(__xludf.DUMMYFUNCTION("""COMPUTED_VALUE"""),"MODEM VOIP EMTA WIFI 3.1 CG3000")</f>
        <v>MODEM VOIP EMTA WIFI 3.1 CG3000</v>
      </c>
      <c r="B3568" s="22">
        <f>IFERROR(__xludf.DUMMYFUNCTION("""COMPUTED_VALUE"""),4.1001486E7)</f>
        <v>41001486</v>
      </c>
      <c r="C3568" s="21" t="str">
        <f>IFERROR(__xludf.DUMMYFUNCTION("""COMPUTED_VALUE"""),"84011280BB93")</f>
        <v>84011280BB93</v>
      </c>
      <c r="D3568" s="21" t="str">
        <f>IFERROR(__xludf.DUMMYFUNCTION("""COMPUTED_VALUE"""),"DIGITEC TECNOLOGIA DIGITAL E REPRES")</f>
        <v>DIGITEC TECNOLOGIA DIGITAL E REPRES</v>
      </c>
      <c r="E3568" s="21">
        <f>IFERROR(__xludf.DUMMYFUNCTION("""COMPUTED_VALUE"""),145359.0)</f>
        <v>145359</v>
      </c>
      <c r="F3568" s="21" t="str">
        <f>IFERROR(__xludf.DUMMYFUNCTION("""COMPUTED_VALUE"""),"SUSPEITO")</f>
        <v>SUSPEITO</v>
      </c>
      <c r="G3568" s="23">
        <f>IFERROR(__xludf.DUMMYFUNCTION("""COMPUTED_VALUE"""),45639.40280092593)</f>
        <v>45639.4028</v>
      </c>
      <c r="H3568" s="24" t="str">
        <f>IFERROR(VLOOKUP(B3568,material!A:D,3,0),"")</f>
        <v>3.1</v>
      </c>
    </row>
    <row r="3569" ht="11.25" customHeight="1">
      <c r="A3569" s="21" t="str">
        <f>IFERROR(__xludf.DUMMYFUNCTION("""COMPUTED_VALUE"""),"MODEM VOIP EMTA WIFI 3.1 CG3000")</f>
        <v>MODEM VOIP EMTA WIFI 3.1 CG3000</v>
      </c>
      <c r="B3569" s="22">
        <f>IFERROR(__xludf.DUMMYFUNCTION("""COMPUTED_VALUE"""),4.1001486E7)</f>
        <v>41001486</v>
      </c>
      <c r="C3569" s="21" t="str">
        <f>IFERROR(__xludf.DUMMYFUNCTION("""COMPUTED_VALUE"""),"743AEF5ECEF3")</f>
        <v>743AEF5ECEF3</v>
      </c>
      <c r="D3569" s="21" t="str">
        <f>IFERROR(__xludf.DUMMYFUNCTION("""COMPUTED_VALUE"""),"DIGITEC TECNOLOGIA DIGITAL E REPRES")</f>
        <v>DIGITEC TECNOLOGIA DIGITAL E REPRES</v>
      </c>
      <c r="E3569" s="21">
        <f>IFERROR(__xludf.DUMMYFUNCTION("""COMPUTED_VALUE"""),145359.0)</f>
        <v>145359</v>
      </c>
      <c r="F3569" s="21" t="str">
        <f>IFERROR(__xludf.DUMMYFUNCTION("""COMPUTED_VALUE"""),"SUSPEITO")</f>
        <v>SUSPEITO</v>
      </c>
      <c r="G3569" s="23">
        <f>IFERROR(__xludf.DUMMYFUNCTION("""COMPUTED_VALUE"""),45636.48599537037)</f>
        <v>45636.486</v>
      </c>
      <c r="H3569" s="24" t="str">
        <f>IFERROR(VLOOKUP(B3569,material!A:D,3,0),"")</f>
        <v>3.1</v>
      </c>
    </row>
    <row r="3570" ht="11.25" customHeight="1">
      <c r="A3570" s="21" t="str">
        <f>IFERROR(__xludf.DUMMYFUNCTION("""COMPUTED_VALUE"""),"MODEM VOIP EMTA WIFI 3.1 CG3000")</f>
        <v>MODEM VOIP EMTA WIFI 3.1 CG3000</v>
      </c>
      <c r="B3570" s="22">
        <f>IFERROR(__xludf.DUMMYFUNCTION("""COMPUTED_VALUE"""),4.1001486E7)</f>
        <v>41001486</v>
      </c>
      <c r="C3570" s="21" t="str">
        <f>IFERROR(__xludf.DUMMYFUNCTION("""COMPUTED_VALUE"""),"840112BE37E8")</f>
        <v>840112BE37E8</v>
      </c>
      <c r="D3570" s="21" t="str">
        <f>IFERROR(__xludf.DUMMYFUNCTION("""COMPUTED_VALUE"""),"DIGITEC TECNOLOGIA DIGITAL E REPRES")</f>
        <v>DIGITEC TECNOLOGIA DIGITAL E REPRES</v>
      </c>
      <c r="E3570" s="21">
        <f>IFERROR(__xludf.DUMMYFUNCTION("""COMPUTED_VALUE"""),145359.0)</f>
        <v>145359</v>
      </c>
      <c r="F3570" s="21" t="str">
        <f>IFERROR(__xludf.DUMMYFUNCTION("""COMPUTED_VALUE"""),"SUSPEITO")</f>
        <v>SUSPEITO</v>
      </c>
      <c r="G3570" s="23">
        <f>IFERROR(__xludf.DUMMYFUNCTION("""COMPUTED_VALUE"""),45582.618483796294)</f>
        <v>45582.61848</v>
      </c>
      <c r="H3570" s="24" t="str">
        <f>IFERROR(VLOOKUP(B3570,material!A:D,3,0),"")</f>
        <v>3.1</v>
      </c>
    </row>
    <row r="3571" ht="11.25" customHeight="1">
      <c r="A3571" s="21" t="str">
        <f>IFERROR(__xludf.DUMMYFUNCTION("""COMPUTED_VALUE"""),"MODEM VOIP EMTA WIFI 3.1 CG3000")</f>
        <v>MODEM VOIP EMTA WIFI 3.1 CG3000</v>
      </c>
      <c r="B3571" s="22">
        <f>IFERROR(__xludf.DUMMYFUNCTION("""COMPUTED_VALUE"""),4.1001486E7)</f>
        <v>41001486</v>
      </c>
      <c r="C3571" s="21" t="str">
        <f>IFERROR(__xludf.DUMMYFUNCTION("""COMPUTED_VALUE"""),"1834AF9A3A66")</f>
        <v>1834AF9A3A66</v>
      </c>
      <c r="D3571" s="21" t="str">
        <f>IFERROR(__xludf.DUMMYFUNCTION("""COMPUTED_VALUE"""),"DIGITEC TECNOLOGIA DIGITAL E REPRES")</f>
        <v>DIGITEC TECNOLOGIA DIGITAL E REPRES</v>
      </c>
      <c r="E3571" s="21">
        <f>IFERROR(__xludf.DUMMYFUNCTION("""COMPUTED_VALUE"""),145359.0)</f>
        <v>145359</v>
      </c>
      <c r="F3571" s="21" t="str">
        <f>IFERROR(__xludf.DUMMYFUNCTION("""COMPUTED_VALUE"""),"SUSPEITO")</f>
        <v>SUSPEITO</v>
      </c>
      <c r="G3571" s="23">
        <f>IFERROR(__xludf.DUMMYFUNCTION("""COMPUTED_VALUE"""),45640.670428240745)</f>
        <v>45640.67043</v>
      </c>
      <c r="H3571" s="24" t="str">
        <f>IFERROR(VLOOKUP(B3571,material!A:D,3,0),"")</f>
        <v>3.1</v>
      </c>
    </row>
    <row r="3572" ht="11.25" customHeight="1">
      <c r="A3572" s="21" t="str">
        <f>IFERROR(__xludf.DUMMYFUNCTION("""COMPUTED_VALUE"""),"MODEM VOIP EMTA WIFI 3.1 CG3000")</f>
        <v>MODEM VOIP EMTA WIFI 3.1 CG3000</v>
      </c>
      <c r="B3572" s="22">
        <f>IFERROR(__xludf.DUMMYFUNCTION("""COMPUTED_VALUE"""),4.1001486E7)</f>
        <v>41001486</v>
      </c>
      <c r="C3572" s="21" t="str">
        <f>IFERROR(__xludf.DUMMYFUNCTION("""COMPUTED_VALUE"""),"1834AF9892E6")</f>
        <v>1834AF9892E6</v>
      </c>
      <c r="D3572" s="21" t="str">
        <f>IFERROR(__xludf.DUMMYFUNCTION("""COMPUTED_VALUE"""),"DIGITEC TECNOLOGIA DIGITAL E REPRES")</f>
        <v>DIGITEC TECNOLOGIA DIGITAL E REPRES</v>
      </c>
      <c r="E3572" s="21">
        <f>IFERROR(__xludf.DUMMYFUNCTION("""COMPUTED_VALUE"""),145359.0)</f>
        <v>145359</v>
      </c>
      <c r="F3572" s="21" t="str">
        <f>IFERROR(__xludf.DUMMYFUNCTION("""COMPUTED_VALUE"""),"SUSPEITO")</f>
        <v>SUSPEITO</v>
      </c>
      <c r="G3572" s="23">
        <f>IFERROR(__xludf.DUMMYFUNCTION("""COMPUTED_VALUE"""),45596.48693287037)</f>
        <v>45596.48693</v>
      </c>
      <c r="H3572" s="24" t="str">
        <f>IFERROR(VLOOKUP(B3572,material!A:D,3,0),"")</f>
        <v>3.1</v>
      </c>
    </row>
    <row r="3573" ht="11.25" customHeight="1">
      <c r="A3573" s="21" t="str">
        <f>IFERROR(__xludf.DUMMYFUNCTION("""COMPUTED_VALUE"""),"MODEM VOIP EMTA WIFI 3.1 CG3000")</f>
        <v>MODEM VOIP EMTA WIFI 3.1 CG3000</v>
      </c>
      <c r="B3573" s="22">
        <f>IFERROR(__xludf.DUMMYFUNCTION("""COMPUTED_VALUE"""),4.1001486E7)</f>
        <v>41001486</v>
      </c>
      <c r="C3573" s="21" t="str">
        <f>IFERROR(__xludf.DUMMYFUNCTION("""COMPUTED_VALUE"""),"840112DD128B")</f>
        <v>840112DD128B</v>
      </c>
      <c r="D3573" s="21" t="str">
        <f>IFERROR(__xludf.DUMMYFUNCTION("""COMPUTED_VALUE"""),"DIGITEC TECNOLOGIA DIGITAL E REPRES")</f>
        <v>DIGITEC TECNOLOGIA DIGITAL E REPRES</v>
      </c>
      <c r="E3573" s="21">
        <f>IFERROR(__xludf.DUMMYFUNCTION("""COMPUTED_VALUE"""),145359.0)</f>
        <v>145359</v>
      </c>
      <c r="F3573" s="21" t="str">
        <f>IFERROR(__xludf.DUMMYFUNCTION("""COMPUTED_VALUE"""),"SUSPEITO")</f>
        <v>SUSPEITO</v>
      </c>
      <c r="G3573" s="23">
        <f>IFERROR(__xludf.DUMMYFUNCTION("""COMPUTED_VALUE"""),45637.40829861111)</f>
        <v>45637.4083</v>
      </c>
      <c r="H3573" s="24" t="str">
        <f>IFERROR(VLOOKUP(B3573,material!A:D,3,0),"")</f>
        <v>3.1</v>
      </c>
    </row>
    <row r="3574" ht="11.25" customHeight="1">
      <c r="A3574" s="21" t="str">
        <f>IFERROR(__xludf.DUMMYFUNCTION("""COMPUTED_VALUE"""),"MODEM VOIP EMTA WIFI 3.1 CG3000")</f>
        <v>MODEM VOIP EMTA WIFI 3.1 CG3000</v>
      </c>
      <c r="B3574" s="22">
        <f>IFERROR(__xludf.DUMMYFUNCTION("""COMPUTED_VALUE"""),4.1001486E7)</f>
        <v>41001486</v>
      </c>
      <c r="C3574" s="21" t="str">
        <f>IFERROR(__xludf.DUMMYFUNCTION("""COMPUTED_VALUE"""),"840112DBE4F1")</f>
        <v>840112DBE4F1</v>
      </c>
      <c r="D3574" s="21" t="str">
        <f>IFERROR(__xludf.DUMMYFUNCTION("""COMPUTED_VALUE"""),"DIGITEC TECNOLOGIA DIGITAL E REPRES")</f>
        <v>DIGITEC TECNOLOGIA DIGITAL E REPRES</v>
      </c>
      <c r="E3574" s="21">
        <f>IFERROR(__xludf.DUMMYFUNCTION("""COMPUTED_VALUE"""),145359.0)</f>
        <v>145359</v>
      </c>
      <c r="F3574" s="21" t="str">
        <f>IFERROR(__xludf.DUMMYFUNCTION("""COMPUTED_VALUE"""),"SUSPEITO")</f>
        <v>SUSPEITO</v>
      </c>
      <c r="G3574" s="23">
        <f>IFERROR(__xludf.DUMMYFUNCTION("""COMPUTED_VALUE"""),45638.64052083333)</f>
        <v>45638.64052</v>
      </c>
      <c r="H3574" s="24" t="str">
        <f>IFERROR(VLOOKUP(B3574,material!A:D,3,0),"")</f>
        <v>3.1</v>
      </c>
    </row>
    <row r="3575" ht="11.25" customHeight="1">
      <c r="A3575" s="21" t="str">
        <f>IFERROR(__xludf.DUMMYFUNCTION("""COMPUTED_VALUE"""),"MODEM VOIP EMTA WIFI 3.1 CG3000")</f>
        <v>MODEM VOIP EMTA WIFI 3.1 CG3000</v>
      </c>
      <c r="B3575" s="22">
        <f>IFERROR(__xludf.DUMMYFUNCTION("""COMPUTED_VALUE"""),4.1001486E7)</f>
        <v>41001486</v>
      </c>
      <c r="C3575" s="21" t="str">
        <f>IFERROR(__xludf.DUMMYFUNCTION("""COMPUTED_VALUE"""),"1834AF24EFBA")</f>
        <v>1834AF24EFBA</v>
      </c>
      <c r="D3575" s="21" t="str">
        <f>IFERROR(__xludf.DUMMYFUNCTION("""COMPUTED_VALUE"""),"DIGITEC TECNOLOGIA DIGITAL E REPRES")</f>
        <v>DIGITEC TECNOLOGIA DIGITAL E REPRES</v>
      </c>
      <c r="E3575" s="21">
        <f>IFERROR(__xludf.DUMMYFUNCTION("""COMPUTED_VALUE"""),145359.0)</f>
        <v>145359</v>
      </c>
      <c r="F3575" s="21" t="str">
        <f>IFERROR(__xludf.DUMMYFUNCTION("""COMPUTED_VALUE"""),"SUSPEITO")</f>
        <v>SUSPEITO</v>
      </c>
      <c r="G3575" s="23">
        <f>IFERROR(__xludf.DUMMYFUNCTION("""COMPUTED_VALUE"""),45639.390428240746)</f>
        <v>45639.39043</v>
      </c>
      <c r="H3575" s="24" t="str">
        <f>IFERROR(VLOOKUP(B3575,material!A:D,3,0),"")</f>
        <v>3.1</v>
      </c>
    </row>
    <row r="3576" ht="11.25" customHeight="1">
      <c r="A3576" s="21" t="str">
        <f>IFERROR(__xludf.DUMMYFUNCTION("""COMPUTED_VALUE"""),"MODEM VOIP EMTA WIFI 3.1 CG3000")</f>
        <v>MODEM VOIP EMTA WIFI 3.1 CG3000</v>
      </c>
      <c r="B3576" s="22">
        <f>IFERROR(__xludf.DUMMYFUNCTION("""COMPUTED_VALUE"""),4.1001486E7)</f>
        <v>41001486</v>
      </c>
      <c r="C3576" s="21" t="str">
        <f>IFERROR(__xludf.DUMMYFUNCTION("""COMPUTED_VALUE"""),"1834AF24A87F")</f>
        <v>1834AF24A87F</v>
      </c>
      <c r="D3576" s="21" t="str">
        <f>IFERROR(__xludf.DUMMYFUNCTION("""COMPUTED_VALUE"""),"DIGITEC TECNOLOGIA DIGITAL E REPRES")</f>
        <v>DIGITEC TECNOLOGIA DIGITAL E REPRES</v>
      </c>
      <c r="E3576" s="21">
        <f>IFERROR(__xludf.DUMMYFUNCTION("""COMPUTED_VALUE"""),145359.0)</f>
        <v>145359</v>
      </c>
      <c r="F3576" s="21" t="str">
        <f>IFERROR(__xludf.DUMMYFUNCTION("""COMPUTED_VALUE"""),"SUSPEITO")</f>
        <v>SUSPEITO</v>
      </c>
      <c r="G3576" s="23">
        <f>IFERROR(__xludf.DUMMYFUNCTION("""COMPUTED_VALUE"""),45642.47384259259)</f>
        <v>45642.47384</v>
      </c>
      <c r="H3576" s="24" t="str">
        <f>IFERROR(VLOOKUP(B3576,material!A:D,3,0),"")</f>
        <v>3.1</v>
      </c>
    </row>
    <row r="3577" ht="11.25" customHeight="1">
      <c r="A3577" s="21" t="str">
        <f>IFERROR(__xludf.DUMMYFUNCTION("""COMPUTED_VALUE"""),"MODEM VOIP EMTA WIFI 3.1 CG3000")</f>
        <v>MODEM VOIP EMTA WIFI 3.1 CG3000</v>
      </c>
      <c r="B3577" s="22">
        <f>IFERROR(__xludf.DUMMYFUNCTION("""COMPUTED_VALUE"""),4.1001486E7)</f>
        <v>41001486</v>
      </c>
      <c r="C3577" s="21" t="str">
        <f>IFERROR(__xludf.DUMMYFUNCTION("""COMPUTED_VALUE"""),"743AEFD886DB")</f>
        <v>743AEFD886DB</v>
      </c>
      <c r="D3577" s="21" t="str">
        <f>IFERROR(__xludf.DUMMYFUNCTION("""COMPUTED_VALUE"""),"DIGITEC TECNOLOGIA DIGITAL E REPRES")</f>
        <v>DIGITEC TECNOLOGIA DIGITAL E REPRES</v>
      </c>
      <c r="E3577" s="21">
        <f>IFERROR(__xludf.DUMMYFUNCTION("""COMPUTED_VALUE"""),145359.0)</f>
        <v>145359</v>
      </c>
      <c r="F3577" s="21" t="str">
        <f>IFERROR(__xludf.DUMMYFUNCTION("""COMPUTED_VALUE"""),"SUSPEITO")</f>
        <v>SUSPEITO</v>
      </c>
      <c r="G3577" s="23">
        <f>IFERROR(__xludf.DUMMYFUNCTION("""COMPUTED_VALUE"""),45639.51168981481)</f>
        <v>45639.51169</v>
      </c>
      <c r="H3577" s="24" t="str">
        <f>IFERROR(VLOOKUP(B3577,material!A:D,3,0),"")</f>
        <v>3.1</v>
      </c>
    </row>
    <row r="3578" ht="11.25" customHeight="1">
      <c r="A3578" s="21" t="str">
        <f>IFERROR(__xludf.DUMMYFUNCTION("""COMPUTED_VALUE"""),"MODEM VOIP EMTA WIFI 3.1 CG3000")</f>
        <v>MODEM VOIP EMTA WIFI 3.1 CG3000</v>
      </c>
      <c r="B3578" s="22">
        <f>IFERROR(__xludf.DUMMYFUNCTION("""COMPUTED_VALUE"""),4.1001486E7)</f>
        <v>41001486</v>
      </c>
      <c r="C3578" s="21" t="str">
        <f>IFERROR(__xludf.DUMMYFUNCTION("""COMPUTED_VALUE"""),"1834AF616623")</f>
        <v>1834AF616623</v>
      </c>
      <c r="D3578" s="21" t="str">
        <f>IFERROR(__xludf.DUMMYFUNCTION("""COMPUTED_VALUE"""),"DIGITEC TECNOLOGIA DIGITAL E REPRES")</f>
        <v>DIGITEC TECNOLOGIA DIGITAL E REPRES</v>
      </c>
      <c r="E3578" s="21">
        <f>IFERROR(__xludf.DUMMYFUNCTION("""COMPUTED_VALUE"""),145359.0)</f>
        <v>145359</v>
      </c>
      <c r="F3578" s="21" t="str">
        <f>IFERROR(__xludf.DUMMYFUNCTION("""COMPUTED_VALUE"""),"SUSPEITO")</f>
        <v>SUSPEITO</v>
      </c>
      <c r="G3578" s="23">
        <f>IFERROR(__xludf.DUMMYFUNCTION("""COMPUTED_VALUE"""),45641.58928240741)</f>
        <v>45641.58928</v>
      </c>
      <c r="H3578" s="24" t="str">
        <f>IFERROR(VLOOKUP(B3578,material!A:D,3,0),"")</f>
        <v>3.1</v>
      </c>
    </row>
    <row r="3579" ht="11.25" customHeight="1">
      <c r="A3579" s="21" t="str">
        <f>IFERROR(__xludf.DUMMYFUNCTION("""COMPUTED_VALUE"""),"MODEM VOIP EMTA WIFI 3.1 CG3000")</f>
        <v>MODEM VOIP EMTA WIFI 3.1 CG3000</v>
      </c>
      <c r="B3579" s="22">
        <f>IFERROR(__xludf.DUMMYFUNCTION("""COMPUTED_VALUE"""),4.1001486E7)</f>
        <v>41001486</v>
      </c>
      <c r="C3579" s="21" t="str">
        <f>IFERROR(__xludf.DUMMYFUNCTION("""COMPUTED_VALUE"""),"9877E7498098")</f>
        <v>9877E7498098</v>
      </c>
      <c r="D3579" s="21" t="str">
        <f>IFERROR(__xludf.DUMMYFUNCTION("""COMPUTED_VALUE"""),"DIGITEC TECNOLOGIA DIGITAL E REPRES")</f>
        <v>DIGITEC TECNOLOGIA DIGITAL E REPRES</v>
      </c>
      <c r="E3579" s="21">
        <f>IFERROR(__xludf.DUMMYFUNCTION("""COMPUTED_VALUE"""),145359.0)</f>
        <v>145359</v>
      </c>
      <c r="F3579" s="21" t="str">
        <f>IFERROR(__xludf.DUMMYFUNCTION("""COMPUTED_VALUE"""),"SUSPEITO")</f>
        <v>SUSPEITO</v>
      </c>
      <c r="G3579" s="23">
        <f>IFERROR(__xludf.DUMMYFUNCTION("""COMPUTED_VALUE"""),45642.60517361111)</f>
        <v>45642.60517</v>
      </c>
      <c r="H3579" s="24" t="str">
        <f>IFERROR(VLOOKUP(B3579,material!A:D,3,0),"")</f>
        <v>3.1</v>
      </c>
    </row>
    <row r="3580" ht="11.25" customHeight="1">
      <c r="A3580" s="21" t="str">
        <f>IFERROR(__xludf.DUMMYFUNCTION("""COMPUTED_VALUE"""),"MODEM VOIP EMTA WIFI 3.1 CG3000")</f>
        <v>MODEM VOIP EMTA WIFI 3.1 CG3000</v>
      </c>
      <c r="B3580" s="22">
        <f>IFERROR(__xludf.DUMMYFUNCTION("""COMPUTED_VALUE"""),4.1001486E7)</f>
        <v>41001486</v>
      </c>
      <c r="C3580" s="21" t="str">
        <f>IFERROR(__xludf.DUMMYFUNCTION("""COMPUTED_VALUE"""),"1834AF25228F")</f>
        <v>1834AF25228F</v>
      </c>
      <c r="D3580" s="21" t="str">
        <f>IFERROR(__xludf.DUMMYFUNCTION("""COMPUTED_VALUE"""),"DIGITEC TECNOLOGIA DIGITAL E REPRES")</f>
        <v>DIGITEC TECNOLOGIA DIGITAL E REPRES</v>
      </c>
      <c r="E3580" s="21">
        <f>IFERROR(__xludf.DUMMYFUNCTION("""COMPUTED_VALUE"""),145359.0)</f>
        <v>145359</v>
      </c>
      <c r="F3580" s="21" t="str">
        <f>IFERROR(__xludf.DUMMYFUNCTION("""COMPUTED_VALUE"""),"SUSPEITO")</f>
        <v>SUSPEITO</v>
      </c>
      <c r="G3580" s="23">
        <f>IFERROR(__xludf.DUMMYFUNCTION("""COMPUTED_VALUE"""),45631.58383101852)</f>
        <v>45631.58383</v>
      </c>
      <c r="H3580" s="24" t="str">
        <f>IFERROR(VLOOKUP(B3580,material!A:D,3,0),"")</f>
        <v>3.1</v>
      </c>
    </row>
    <row r="3581" ht="11.25" customHeight="1">
      <c r="A3581" s="21" t="str">
        <f>IFERROR(__xludf.DUMMYFUNCTION("""COMPUTED_VALUE"""),"MODEM VOIP EMTA WIFI 3.1 CG3000")</f>
        <v>MODEM VOIP EMTA WIFI 3.1 CG3000</v>
      </c>
      <c r="B3581" s="22">
        <f>IFERROR(__xludf.DUMMYFUNCTION("""COMPUTED_VALUE"""),4.1001486E7)</f>
        <v>41001486</v>
      </c>
      <c r="C3581" s="21" t="str">
        <f>IFERROR(__xludf.DUMMYFUNCTION("""COMPUTED_VALUE"""),"9877E7B81B66")</f>
        <v>9877E7B81B66</v>
      </c>
      <c r="D3581" s="21" t="str">
        <f>IFERROR(__xludf.DUMMYFUNCTION("""COMPUTED_VALUE"""),"DIGITEC TECNOLOGIA DIGITAL E REPRES")</f>
        <v>DIGITEC TECNOLOGIA DIGITAL E REPRES</v>
      </c>
      <c r="E3581" s="21">
        <f>IFERROR(__xludf.DUMMYFUNCTION("""COMPUTED_VALUE"""),145359.0)</f>
        <v>145359</v>
      </c>
      <c r="F3581" s="21" t="str">
        <f>IFERROR(__xludf.DUMMYFUNCTION("""COMPUTED_VALUE"""),"SUSPEITO")</f>
        <v>SUSPEITO</v>
      </c>
      <c r="G3581" s="23">
        <f>IFERROR(__xludf.DUMMYFUNCTION("""COMPUTED_VALUE"""),45637.512557870374)</f>
        <v>45637.51256</v>
      </c>
      <c r="H3581" s="24" t="str">
        <f>IFERROR(VLOOKUP(B3581,material!A:D,3,0),"")</f>
        <v>3.1</v>
      </c>
    </row>
    <row r="3582" ht="11.25" customHeight="1">
      <c r="A3582" s="21" t="str">
        <f>IFERROR(__xludf.DUMMYFUNCTION("""COMPUTED_VALUE"""),"MODEM VOIP EMTA WIFI 3.1 CG3000")</f>
        <v>MODEM VOIP EMTA WIFI 3.1 CG3000</v>
      </c>
      <c r="B3582" s="22">
        <f>IFERROR(__xludf.DUMMYFUNCTION("""COMPUTED_VALUE"""),4.1001486E7)</f>
        <v>41001486</v>
      </c>
      <c r="C3582" s="21" t="str">
        <f>IFERROR(__xludf.DUMMYFUNCTION("""COMPUTED_VALUE"""),"9877E74E2564")</f>
        <v>9877E74E2564</v>
      </c>
      <c r="D3582" s="21" t="str">
        <f>IFERROR(__xludf.DUMMYFUNCTION("""COMPUTED_VALUE"""),"DIGITEC TECNOLOGIA DIGITAL E REPRES")</f>
        <v>DIGITEC TECNOLOGIA DIGITAL E REPRES</v>
      </c>
      <c r="E3582" s="21">
        <f>IFERROR(__xludf.DUMMYFUNCTION("""COMPUTED_VALUE"""),145359.0)</f>
        <v>145359</v>
      </c>
      <c r="F3582" s="21" t="str">
        <f>IFERROR(__xludf.DUMMYFUNCTION("""COMPUTED_VALUE"""),"SUSPEITO")</f>
        <v>SUSPEITO</v>
      </c>
      <c r="G3582" s="23">
        <f>IFERROR(__xludf.DUMMYFUNCTION("""COMPUTED_VALUE"""),45643.441666666666)</f>
        <v>45643.44167</v>
      </c>
      <c r="H3582" s="24" t="str">
        <f>IFERROR(VLOOKUP(B3582,material!A:D,3,0),"")</f>
        <v>3.1</v>
      </c>
    </row>
    <row r="3583" ht="11.25" customHeight="1">
      <c r="A3583" s="21" t="str">
        <f>IFERROR(__xludf.DUMMYFUNCTION("""COMPUTED_VALUE"""),"MODEM VOIP EMTA WIFI 3.1 CG3000")</f>
        <v>MODEM VOIP EMTA WIFI 3.1 CG3000</v>
      </c>
      <c r="B3583" s="22">
        <f>IFERROR(__xludf.DUMMYFUNCTION("""COMPUTED_VALUE"""),4.1001486E7)</f>
        <v>41001486</v>
      </c>
      <c r="C3583" s="21" t="str">
        <f>IFERROR(__xludf.DUMMYFUNCTION("""COMPUTED_VALUE"""),"9877E77B0772")</f>
        <v>9877E77B0772</v>
      </c>
      <c r="D3583" s="21" t="str">
        <f>IFERROR(__xludf.DUMMYFUNCTION("""COMPUTED_VALUE"""),"DIGITEC TECNOLOGIA DIGITAL E REPRES")</f>
        <v>DIGITEC TECNOLOGIA DIGITAL E REPRES</v>
      </c>
      <c r="E3583" s="21">
        <f>IFERROR(__xludf.DUMMYFUNCTION("""COMPUTED_VALUE"""),145359.0)</f>
        <v>145359</v>
      </c>
      <c r="F3583" s="21" t="str">
        <f>IFERROR(__xludf.DUMMYFUNCTION("""COMPUTED_VALUE"""),"SUSPEITO")</f>
        <v>SUSPEITO</v>
      </c>
      <c r="G3583" s="23">
        <f>IFERROR(__xludf.DUMMYFUNCTION("""COMPUTED_VALUE"""),45640.545127314814)</f>
        <v>45640.54513</v>
      </c>
      <c r="H3583" s="24" t="str">
        <f>IFERROR(VLOOKUP(B3583,material!A:D,3,0),"")</f>
        <v>3.1</v>
      </c>
    </row>
    <row r="3584" ht="11.25" customHeight="1">
      <c r="A3584" s="21" t="str">
        <f>IFERROR(__xludf.DUMMYFUNCTION("""COMPUTED_VALUE"""),"MODEM VOIP EMTA WIFI 3.1 HGJ310")</f>
        <v>MODEM VOIP EMTA WIFI 3.1 HGJ310</v>
      </c>
      <c r="B3584" s="22">
        <f>IFERROR(__xludf.DUMMYFUNCTION("""COMPUTED_VALUE"""),4.1001481E7)</f>
        <v>41001481</v>
      </c>
      <c r="C3584" s="21" t="str">
        <f>IFERROR(__xludf.DUMMYFUNCTION("""COMPUTED_VALUE"""),"C85D38F0B08B")</f>
        <v>C85D38F0B08B</v>
      </c>
      <c r="D3584" s="21" t="str">
        <f>IFERROR(__xludf.DUMMYFUNCTION("""COMPUTED_VALUE"""),"DIGITEC TECNOLOGIA DIGITAL E REPRES")</f>
        <v>DIGITEC TECNOLOGIA DIGITAL E REPRES</v>
      </c>
      <c r="E3584" s="21">
        <f>IFERROR(__xludf.DUMMYFUNCTION("""COMPUTED_VALUE"""),145359.0)</f>
        <v>145359</v>
      </c>
      <c r="F3584" s="21" t="str">
        <f>IFERROR(__xludf.DUMMYFUNCTION("""COMPUTED_VALUE"""),"SUSPEITO")</f>
        <v>SUSPEITO</v>
      </c>
      <c r="G3584" s="23">
        <f>IFERROR(__xludf.DUMMYFUNCTION("""COMPUTED_VALUE"""),45643.56758101852)</f>
        <v>45643.56758</v>
      </c>
      <c r="H3584" s="24" t="str">
        <f>IFERROR(VLOOKUP(B3584,material!A:D,3,0),"")</f>
        <v>3.1</v>
      </c>
    </row>
    <row r="3585" ht="11.25" customHeight="1">
      <c r="A3585" s="21" t="str">
        <f>IFERROR(__xludf.DUMMYFUNCTION("""COMPUTED_VALUE"""),"MODEM VOIP EMTA WIFI 3.1 HGJ310")</f>
        <v>MODEM VOIP EMTA WIFI 3.1 HGJ310</v>
      </c>
      <c r="B3585" s="22">
        <f>IFERROR(__xludf.DUMMYFUNCTION("""COMPUTED_VALUE"""),4.1001481E7)</f>
        <v>41001481</v>
      </c>
      <c r="C3585" s="21" t="str">
        <f>IFERROR(__xludf.DUMMYFUNCTION("""COMPUTED_VALUE"""),"D86C5A046BEE")</f>
        <v>D86C5A046BEE</v>
      </c>
      <c r="D3585" s="21" t="str">
        <f>IFERROR(__xludf.DUMMYFUNCTION("""COMPUTED_VALUE"""),"DIGITEC TECNOLOGIA DIGITAL E REPRES")</f>
        <v>DIGITEC TECNOLOGIA DIGITAL E REPRES</v>
      </c>
      <c r="E3585" s="21">
        <f>IFERROR(__xludf.DUMMYFUNCTION("""COMPUTED_VALUE"""),145359.0)</f>
        <v>145359</v>
      </c>
      <c r="F3585" s="21" t="str">
        <f>IFERROR(__xludf.DUMMYFUNCTION("""COMPUTED_VALUE"""),"SUSPEITO")</f>
        <v>SUSPEITO</v>
      </c>
      <c r="G3585" s="23">
        <f>IFERROR(__xludf.DUMMYFUNCTION("""COMPUTED_VALUE"""),45636.65076388889)</f>
        <v>45636.65076</v>
      </c>
      <c r="H3585" s="24" t="str">
        <f>IFERROR(VLOOKUP(B3585,material!A:D,3,0),"")</f>
        <v>3.1</v>
      </c>
    </row>
    <row r="3586" ht="11.25" customHeight="1">
      <c r="A3586" s="21" t="str">
        <f>IFERROR(__xludf.DUMMYFUNCTION("""COMPUTED_VALUE"""),"MODEM VOIP EMTA WIFI 3.1 HGJ310")</f>
        <v>MODEM VOIP EMTA WIFI 3.1 HGJ310</v>
      </c>
      <c r="B3586" s="22">
        <f>IFERROR(__xludf.DUMMYFUNCTION("""COMPUTED_VALUE"""),4.1001481E7)</f>
        <v>41001481</v>
      </c>
      <c r="C3586" s="21" t="str">
        <f>IFERROR(__xludf.DUMMYFUNCTION("""COMPUTED_VALUE"""),"C85D381AE40F")</f>
        <v>C85D381AE40F</v>
      </c>
      <c r="D3586" s="21" t="str">
        <f>IFERROR(__xludf.DUMMYFUNCTION("""COMPUTED_VALUE"""),"DIGITEC TECNOLOGIA DIGITAL E REPRES")</f>
        <v>DIGITEC TECNOLOGIA DIGITAL E REPRES</v>
      </c>
      <c r="E3586" s="21">
        <f>IFERROR(__xludf.DUMMYFUNCTION("""COMPUTED_VALUE"""),145359.0)</f>
        <v>145359</v>
      </c>
      <c r="F3586" s="21" t="str">
        <f>IFERROR(__xludf.DUMMYFUNCTION("""COMPUTED_VALUE"""),"SUSPEITO")</f>
        <v>SUSPEITO</v>
      </c>
      <c r="G3586" s="23">
        <f>IFERROR(__xludf.DUMMYFUNCTION("""COMPUTED_VALUE"""),45637.51435185185)</f>
        <v>45637.51435</v>
      </c>
      <c r="H3586" s="24" t="str">
        <f>IFERROR(VLOOKUP(B3586,material!A:D,3,0),"")</f>
        <v>3.1</v>
      </c>
    </row>
    <row r="3587" ht="11.25" customHeight="1">
      <c r="A3587" s="21" t="str">
        <f>IFERROR(__xludf.DUMMYFUNCTION("""COMPUTED_VALUE"""),"MODEM VOIP EMTA WIFI 3.1 HGJ310")</f>
        <v>MODEM VOIP EMTA WIFI 3.1 HGJ310</v>
      </c>
      <c r="B3587" s="22">
        <f>IFERROR(__xludf.DUMMYFUNCTION("""COMPUTED_VALUE"""),4.1001481E7)</f>
        <v>41001481</v>
      </c>
      <c r="C3587" s="21" t="str">
        <f>IFERROR(__xludf.DUMMYFUNCTION("""COMPUTED_VALUE"""),"D86C5A5E8C2D")</f>
        <v>D86C5A5E8C2D</v>
      </c>
      <c r="D3587" s="21" t="str">
        <f>IFERROR(__xludf.DUMMYFUNCTION("""COMPUTED_VALUE"""),"DIGITEC TECNOLOGIA DIGITAL E REPRES")</f>
        <v>DIGITEC TECNOLOGIA DIGITAL E REPRES</v>
      </c>
      <c r="E3587" s="21">
        <f>IFERROR(__xludf.DUMMYFUNCTION("""COMPUTED_VALUE"""),145359.0)</f>
        <v>145359</v>
      </c>
      <c r="F3587" s="21" t="str">
        <f>IFERROR(__xludf.DUMMYFUNCTION("""COMPUTED_VALUE"""),"SUSPEITO")</f>
        <v>SUSPEITO</v>
      </c>
      <c r="G3587" s="23">
        <f>IFERROR(__xludf.DUMMYFUNCTION("""COMPUTED_VALUE"""),45638.60184027778)</f>
        <v>45638.60184</v>
      </c>
      <c r="H3587" s="24" t="str">
        <f>IFERROR(VLOOKUP(B3587,material!A:D,3,0),"")</f>
        <v>3.1</v>
      </c>
    </row>
    <row r="3588" ht="11.25" customHeight="1">
      <c r="A3588" s="21" t="str">
        <f>IFERROR(__xludf.DUMMYFUNCTION("""COMPUTED_VALUE"""),"MODEM VOIP EMTA WIFI 3.1 HGJ310")</f>
        <v>MODEM VOIP EMTA WIFI 3.1 HGJ310</v>
      </c>
      <c r="B3588" s="22">
        <f>IFERROR(__xludf.DUMMYFUNCTION("""COMPUTED_VALUE"""),4.1001481E7)</f>
        <v>41001481</v>
      </c>
      <c r="C3588" s="21" t="str">
        <f>IFERROR(__xludf.DUMMYFUNCTION("""COMPUTED_VALUE"""),"C85D386FFD4D")</f>
        <v>C85D386FFD4D</v>
      </c>
      <c r="D3588" s="21" t="str">
        <f>IFERROR(__xludf.DUMMYFUNCTION("""COMPUTED_VALUE"""),"DIGITEC TECNOLOGIA DIGITAL E REPRES")</f>
        <v>DIGITEC TECNOLOGIA DIGITAL E REPRES</v>
      </c>
      <c r="E3588" s="21">
        <f>IFERROR(__xludf.DUMMYFUNCTION("""COMPUTED_VALUE"""),145359.0)</f>
        <v>145359</v>
      </c>
      <c r="F3588" s="21" t="str">
        <f>IFERROR(__xludf.DUMMYFUNCTION("""COMPUTED_VALUE"""),"SUSPEITO")</f>
        <v>SUSPEITO</v>
      </c>
      <c r="G3588" s="23">
        <f>IFERROR(__xludf.DUMMYFUNCTION("""COMPUTED_VALUE"""),45643.5366550926)</f>
        <v>45643.53666</v>
      </c>
      <c r="H3588" s="24" t="str">
        <f>IFERROR(VLOOKUP(B3588,material!A:D,3,0),"")</f>
        <v>3.1</v>
      </c>
    </row>
    <row r="3589" ht="11.25" customHeight="1">
      <c r="A3589" s="21" t="str">
        <f>IFERROR(__xludf.DUMMYFUNCTION("""COMPUTED_VALUE"""),"MODEM VOIP EMTA WIFI 3.1 HGJ310")</f>
        <v>MODEM VOIP EMTA WIFI 3.1 HGJ310</v>
      </c>
      <c r="B3589" s="22">
        <f>IFERROR(__xludf.DUMMYFUNCTION("""COMPUTED_VALUE"""),4.1001481E7)</f>
        <v>41001481</v>
      </c>
      <c r="C3589" s="21" t="str">
        <f>IFERROR(__xludf.DUMMYFUNCTION("""COMPUTED_VALUE"""),"C85D386B700C")</f>
        <v>C85D386B700C</v>
      </c>
      <c r="D3589" s="21" t="str">
        <f>IFERROR(__xludf.DUMMYFUNCTION("""COMPUTED_VALUE"""),"DIGITEC TECNOLOGIA DIGITAL E REPRES")</f>
        <v>DIGITEC TECNOLOGIA DIGITAL E REPRES</v>
      </c>
      <c r="E3589" s="21">
        <f>IFERROR(__xludf.DUMMYFUNCTION("""COMPUTED_VALUE"""),145359.0)</f>
        <v>145359</v>
      </c>
      <c r="F3589" s="21" t="str">
        <f>IFERROR(__xludf.DUMMYFUNCTION("""COMPUTED_VALUE"""),"SUSPEITO")</f>
        <v>SUSPEITO</v>
      </c>
      <c r="G3589" s="23">
        <f>IFERROR(__xludf.DUMMYFUNCTION("""COMPUTED_VALUE"""),45638.74466435185)</f>
        <v>45638.74466</v>
      </c>
      <c r="H3589" s="24" t="str">
        <f>IFERROR(VLOOKUP(B3589,material!A:D,3,0),"")</f>
        <v>3.1</v>
      </c>
    </row>
    <row r="3590" ht="11.25" customHeight="1">
      <c r="A3590" s="21" t="str">
        <f>IFERROR(__xludf.DUMMYFUNCTION("""COMPUTED_VALUE"""),"MODEM VOIP EMTA WIFI 3.1 HGJ310")</f>
        <v>MODEM VOIP EMTA WIFI 3.1 HGJ310</v>
      </c>
      <c r="B3590" s="22">
        <f>IFERROR(__xludf.DUMMYFUNCTION("""COMPUTED_VALUE"""),4.1001481E7)</f>
        <v>41001481</v>
      </c>
      <c r="C3590" s="21" t="str">
        <f>IFERROR(__xludf.DUMMYFUNCTION("""COMPUTED_VALUE"""),"D86C5A4DB542")</f>
        <v>D86C5A4DB542</v>
      </c>
      <c r="D3590" s="21" t="str">
        <f>IFERROR(__xludf.DUMMYFUNCTION("""COMPUTED_VALUE"""),"DIGITEC TECNOLOGIA DIGITAL E REPRES")</f>
        <v>DIGITEC TECNOLOGIA DIGITAL E REPRES</v>
      </c>
      <c r="E3590" s="21">
        <f>IFERROR(__xludf.DUMMYFUNCTION("""COMPUTED_VALUE"""),145359.0)</f>
        <v>145359</v>
      </c>
      <c r="F3590" s="21" t="str">
        <f>IFERROR(__xludf.DUMMYFUNCTION("""COMPUTED_VALUE"""),"SUSPEITO")</f>
        <v>SUSPEITO</v>
      </c>
      <c r="G3590" s="23">
        <f>IFERROR(__xludf.DUMMYFUNCTION("""COMPUTED_VALUE"""),45637.40539351852)</f>
        <v>45637.40539</v>
      </c>
      <c r="H3590" s="24" t="str">
        <f>IFERROR(VLOOKUP(B3590,material!A:D,3,0),"")</f>
        <v>3.1</v>
      </c>
    </row>
    <row r="3591" ht="11.25" customHeight="1">
      <c r="A3591" s="21" t="str">
        <f>IFERROR(__xludf.DUMMYFUNCTION("""COMPUTED_VALUE"""),"MODEM VOIP EMTA WIFI 3.1 HGJ310")</f>
        <v>MODEM VOIP EMTA WIFI 3.1 HGJ310</v>
      </c>
      <c r="B3591" s="22">
        <f>IFERROR(__xludf.DUMMYFUNCTION("""COMPUTED_VALUE"""),4.1001481E7)</f>
        <v>41001481</v>
      </c>
      <c r="C3591" s="21" t="str">
        <f>IFERROR(__xludf.DUMMYFUNCTION("""COMPUTED_VALUE"""),"C85D381EC2D5")</f>
        <v>C85D381EC2D5</v>
      </c>
      <c r="D3591" s="21" t="str">
        <f>IFERROR(__xludf.DUMMYFUNCTION("""COMPUTED_VALUE"""),"DIGITEC TECNOLOGIA DIGITAL E REPRES")</f>
        <v>DIGITEC TECNOLOGIA DIGITAL E REPRES</v>
      </c>
      <c r="E3591" s="21">
        <f>IFERROR(__xludf.DUMMYFUNCTION("""COMPUTED_VALUE"""),145359.0)</f>
        <v>145359</v>
      </c>
      <c r="F3591" s="21" t="str">
        <f>IFERROR(__xludf.DUMMYFUNCTION("""COMPUTED_VALUE"""),"SUSPEITO")</f>
        <v>SUSPEITO</v>
      </c>
      <c r="G3591" s="23">
        <f>IFERROR(__xludf.DUMMYFUNCTION("""COMPUTED_VALUE"""),45643.50208333333)</f>
        <v>45643.50208</v>
      </c>
      <c r="H3591" s="24" t="str">
        <f>IFERROR(VLOOKUP(B3591,material!A:D,3,0),"")</f>
        <v>3.1</v>
      </c>
    </row>
    <row r="3592" ht="11.25" customHeight="1">
      <c r="A3592" s="21" t="str">
        <f>IFERROR(__xludf.DUMMYFUNCTION("""COMPUTED_VALUE"""),"MODEM VOIP EMTA WIFI 3.1 HGJ310")</f>
        <v>MODEM VOIP EMTA WIFI 3.1 HGJ310</v>
      </c>
      <c r="B3592" s="22">
        <f>IFERROR(__xludf.DUMMYFUNCTION("""COMPUTED_VALUE"""),4.1001481E7)</f>
        <v>41001481</v>
      </c>
      <c r="C3592" s="21" t="str">
        <f>IFERROR(__xludf.DUMMYFUNCTION("""COMPUTED_VALUE"""),"C85D38A11131")</f>
        <v>C85D38A11131</v>
      </c>
      <c r="D3592" s="21" t="str">
        <f>IFERROR(__xludf.DUMMYFUNCTION("""COMPUTED_VALUE"""),"DIGITEC TECNOLOGIA DIGITAL E REPRES")</f>
        <v>DIGITEC TECNOLOGIA DIGITAL E REPRES</v>
      </c>
      <c r="E3592" s="21">
        <f>IFERROR(__xludf.DUMMYFUNCTION("""COMPUTED_VALUE"""),145359.0)</f>
        <v>145359</v>
      </c>
      <c r="F3592" s="21" t="str">
        <f>IFERROR(__xludf.DUMMYFUNCTION("""COMPUTED_VALUE"""),"SUSPEITO")</f>
        <v>SUSPEITO</v>
      </c>
      <c r="G3592" s="23">
        <f>IFERROR(__xludf.DUMMYFUNCTION("""COMPUTED_VALUE"""),45636.43849537037)</f>
        <v>45636.4385</v>
      </c>
      <c r="H3592" s="24" t="str">
        <f>IFERROR(VLOOKUP(B3592,material!A:D,3,0),"")</f>
        <v>3.1</v>
      </c>
    </row>
    <row r="3593" ht="11.25" customHeight="1">
      <c r="A3593" s="21" t="str">
        <f>IFERROR(__xludf.DUMMYFUNCTION("""COMPUTED_VALUE"""),"MODEM VOIP EMTA WIFI 3.1 HGJ310")</f>
        <v>MODEM VOIP EMTA WIFI 3.1 HGJ310</v>
      </c>
      <c r="B3593" s="22">
        <f>IFERROR(__xludf.DUMMYFUNCTION("""COMPUTED_VALUE"""),4.1001481E7)</f>
        <v>41001481</v>
      </c>
      <c r="C3593" s="21" t="str">
        <f>IFERROR(__xludf.DUMMYFUNCTION("""COMPUTED_VALUE"""),"C85D389F167C")</f>
        <v>C85D389F167C</v>
      </c>
      <c r="D3593" s="21" t="str">
        <f>IFERROR(__xludf.DUMMYFUNCTION("""COMPUTED_VALUE"""),"DIGITEC TECNOLOGIA DIGITAL E REPRES")</f>
        <v>DIGITEC TECNOLOGIA DIGITAL E REPRES</v>
      </c>
      <c r="E3593" s="21">
        <f>IFERROR(__xludf.DUMMYFUNCTION("""COMPUTED_VALUE"""),145359.0)</f>
        <v>145359</v>
      </c>
      <c r="F3593" s="21" t="str">
        <f>IFERROR(__xludf.DUMMYFUNCTION("""COMPUTED_VALUE"""),"SUSPEITO")</f>
        <v>SUSPEITO</v>
      </c>
      <c r="G3593" s="23">
        <f>IFERROR(__xludf.DUMMYFUNCTION("""COMPUTED_VALUE"""),45638.45413194444)</f>
        <v>45638.45413</v>
      </c>
      <c r="H3593" s="24" t="str">
        <f>IFERROR(VLOOKUP(B3593,material!A:D,3,0),"")</f>
        <v>3.1</v>
      </c>
    </row>
    <row r="3594" ht="11.25" customHeight="1">
      <c r="A3594" s="21" t="str">
        <f>IFERROR(__xludf.DUMMYFUNCTION("""COMPUTED_VALUE"""),"TERMINAL ONT WIFI HGU HP610")</f>
        <v>TERMINAL ONT WIFI HGU HP610</v>
      </c>
      <c r="B3594" s="22">
        <f>IFERROR(__xludf.DUMMYFUNCTION("""COMPUTED_VALUE"""),4.1001478E7)</f>
        <v>41001478</v>
      </c>
      <c r="C3594" s="21" t="str">
        <f>IFERROR(__xludf.DUMMYFUNCTION("""COMPUTED_VALUE"""),"C85D382EB800")</f>
        <v>C85D382EB800</v>
      </c>
      <c r="D3594" s="21" t="str">
        <f>IFERROR(__xludf.DUMMYFUNCTION("""COMPUTED_VALUE"""),"DIGITEC TECNOLOGIA DIGITAL E REPRES")</f>
        <v>DIGITEC TECNOLOGIA DIGITAL E REPRES</v>
      </c>
      <c r="E3594" s="21">
        <f>IFERROR(__xludf.DUMMYFUNCTION("""COMPUTED_VALUE"""),145359.0)</f>
        <v>145359</v>
      </c>
      <c r="F3594" s="21" t="str">
        <f>IFERROR(__xludf.DUMMYFUNCTION("""COMPUTED_VALUE"""),"SUSPEITO")</f>
        <v>SUSPEITO</v>
      </c>
      <c r="G3594" s="23">
        <f>IFERROR(__xludf.DUMMYFUNCTION("""COMPUTED_VALUE"""),45638.65770833333)</f>
        <v>45638.65771</v>
      </c>
      <c r="H3594" s="24" t="str">
        <f>IFERROR(VLOOKUP(B3594,material!A:D,3,0),"")</f>
        <v>ONT</v>
      </c>
    </row>
    <row r="3595" ht="11.25" customHeight="1">
      <c r="A3595" s="21" t="str">
        <f>IFERROR(__xludf.DUMMYFUNCTION("""COMPUTED_VALUE"""),"DECODER 4K ULTRA HD DGCI363 COM IG")</f>
        <v>DECODER 4K ULTRA HD DGCI363 COM IG</v>
      </c>
      <c r="B3595" s="22">
        <f>IFERROR(__xludf.DUMMYFUNCTION("""COMPUTED_VALUE"""),4.1001484E7)</f>
        <v>41001484</v>
      </c>
      <c r="C3595" s="21" t="str">
        <f>IFERROR(__xludf.DUMMYFUNCTION("""COMPUTED_VALUE"""),"229878366366")</f>
        <v>229878366366</v>
      </c>
      <c r="D3595" s="21" t="str">
        <f>IFERROR(__xludf.DUMMYFUNCTION("""COMPUTED_VALUE"""),"DIGITEC TECNOLOGIA DIGITAL E REPRES")</f>
        <v>DIGITEC TECNOLOGIA DIGITAL E REPRES</v>
      </c>
      <c r="E3595" s="21">
        <f>IFERROR(__xludf.DUMMYFUNCTION("""COMPUTED_VALUE"""),145359.0)</f>
        <v>145359</v>
      </c>
      <c r="F3595" s="21" t="str">
        <f>IFERROR(__xludf.DUMMYFUNCTION("""COMPUTED_VALUE"""),"SUSPEITO")</f>
        <v>SUSPEITO</v>
      </c>
      <c r="G3595" s="23">
        <f>IFERROR(__xludf.DUMMYFUNCTION("""COMPUTED_VALUE"""),45636.50460648148)</f>
        <v>45636.50461</v>
      </c>
      <c r="H3595" s="24" t="str">
        <f>IFERROR(VLOOKUP(B3595,material!A:D,3,0),"")</f>
        <v>4K</v>
      </c>
    </row>
    <row r="3596" ht="11.25" customHeight="1">
      <c r="A3596" s="21" t="str">
        <f>IFERROR(__xludf.DUMMYFUNCTION("""COMPUTED_VALUE"""),"DECODER HD HHDC2")</f>
        <v>DECODER HD HHDC2</v>
      </c>
      <c r="B3596" s="22">
        <f>IFERROR(__xludf.DUMMYFUNCTION("""COMPUTED_VALUE"""),4.1001048E7)</f>
        <v>41001048</v>
      </c>
      <c r="C3596" s="21" t="str">
        <f>IFERROR(__xludf.DUMMYFUNCTION("""COMPUTED_VALUE"""),"229713549810")</f>
        <v>229713549810</v>
      </c>
      <c r="D3596" s="21" t="str">
        <f>IFERROR(__xludf.DUMMYFUNCTION("""COMPUTED_VALUE"""),"DIGITEC TECNOLOGIA DIGITAL E REPRES")</f>
        <v>DIGITEC TECNOLOGIA DIGITAL E REPRES</v>
      </c>
      <c r="E3596" s="21">
        <f>IFERROR(__xludf.DUMMYFUNCTION("""COMPUTED_VALUE"""),145359.0)</f>
        <v>145359</v>
      </c>
      <c r="F3596" s="21" t="str">
        <f>IFERROR(__xludf.DUMMYFUNCTION("""COMPUTED_VALUE"""),"SUSPEITO")</f>
        <v>SUSPEITO</v>
      </c>
      <c r="G3596" s="23">
        <f>IFERROR(__xludf.DUMMYFUNCTION("""COMPUTED_VALUE"""),45637.6928587963)</f>
        <v>45637.69286</v>
      </c>
      <c r="H3596" s="24" t="str">
        <f>IFERROR(VLOOKUP(B3596,material!A:D,3,0),"")</f>
        <v>TOP MIX</v>
      </c>
    </row>
    <row r="3597" ht="11.25" customHeight="1">
      <c r="A3597" s="21" t="str">
        <f>IFERROR(__xludf.DUMMYFUNCTION("""COMPUTED_VALUE"""),"DECODER HD HHDC2")</f>
        <v>DECODER HD HHDC2</v>
      </c>
      <c r="B3597" s="22">
        <f>IFERROR(__xludf.DUMMYFUNCTION("""COMPUTED_VALUE"""),4.1001048E7)</f>
        <v>41001048</v>
      </c>
      <c r="C3597" s="21" t="str">
        <f>IFERROR(__xludf.DUMMYFUNCTION("""COMPUTED_VALUE"""),"229694488095")</f>
        <v>229694488095</v>
      </c>
      <c r="D3597" s="21" t="str">
        <f>IFERROR(__xludf.DUMMYFUNCTION("""COMPUTED_VALUE"""),"DIGITEC TECNOLOGIA DIGITAL E REPRES")</f>
        <v>DIGITEC TECNOLOGIA DIGITAL E REPRES</v>
      </c>
      <c r="E3597" s="21">
        <f>IFERROR(__xludf.DUMMYFUNCTION("""COMPUTED_VALUE"""),145359.0)</f>
        <v>145359</v>
      </c>
      <c r="F3597" s="21" t="str">
        <f>IFERROR(__xludf.DUMMYFUNCTION("""COMPUTED_VALUE"""),"SUSPEITO")</f>
        <v>SUSPEITO</v>
      </c>
      <c r="G3597" s="23">
        <f>IFERROR(__xludf.DUMMYFUNCTION("""COMPUTED_VALUE"""),45637.759363425925)</f>
        <v>45637.75936</v>
      </c>
      <c r="H3597" s="24" t="str">
        <f>IFERROR(VLOOKUP(B3597,material!A:D,3,0),"")</f>
        <v>TOP MIX</v>
      </c>
    </row>
    <row r="3598" ht="11.25" customHeight="1">
      <c r="A3598" s="21" t="str">
        <f>IFERROR(__xludf.DUMMYFUNCTION("""COMPUTED_VALUE"""),"DECODER HD HHDC2")</f>
        <v>DECODER HD HHDC2</v>
      </c>
      <c r="B3598" s="22">
        <f>IFERROR(__xludf.DUMMYFUNCTION("""COMPUTED_VALUE"""),4.1001048E7)</f>
        <v>41001048</v>
      </c>
      <c r="C3598" s="21" t="str">
        <f>IFERROR(__xludf.DUMMYFUNCTION("""COMPUTED_VALUE"""),"229774234655")</f>
        <v>229774234655</v>
      </c>
      <c r="D3598" s="21" t="str">
        <f>IFERROR(__xludf.DUMMYFUNCTION("""COMPUTED_VALUE"""),"DIGITEC TECNOLOGIA DIGITAL E REPRES")</f>
        <v>DIGITEC TECNOLOGIA DIGITAL E REPRES</v>
      </c>
      <c r="E3598" s="21">
        <f>IFERROR(__xludf.DUMMYFUNCTION("""COMPUTED_VALUE"""),145359.0)</f>
        <v>145359</v>
      </c>
      <c r="F3598" s="21" t="str">
        <f>IFERROR(__xludf.DUMMYFUNCTION("""COMPUTED_VALUE"""),"SUSPEITO")</f>
        <v>SUSPEITO</v>
      </c>
      <c r="G3598" s="23">
        <f>IFERROR(__xludf.DUMMYFUNCTION("""COMPUTED_VALUE"""),45615.47840277778)</f>
        <v>45615.4784</v>
      </c>
      <c r="H3598" s="24" t="str">
        <f>IFERROR(VLOOKUP(B3598,material!A:D,3,0),"")</f>
        <v>TOP MIX</v>
      </c>
    </row>
    <row r="3599" ht="11.25" customHeight="1">
      <c r="A3599" s="21" t="str">
        <f>IFERROR(__xludf.DUMMYFUNCTION("""COMPUTED_VALUE"""),"DECODER HD HHDC2")</f>
        <v>DECODER HD HHDC2</v>
      </c>
      <c r="B3599" s="22">
        <f>IFERROR(__xludf.DUMMYFUNCTION("""COMPUTED_VALUE"""),4.1001048E7)</f>
        <v>41001048</v>
      </c>
      <c r="C3599" s="21" t="str">
        <f>IFERROR(__xludf.DUMMYFUNCTION("""COMPUTED_VALUE"""),"229833976063")</f>
        <v>229833976063</v>
      </c>
      <c r="D3599" s="21" t="str">
        <f>IFERROR(__xludf.DUMMYFUNCTION("""COMPUTED_VALUE"""),"DIGITEC TECNOLOGIA DIGITAL E REPRES")</f>
        <v>DIGITEC TECNOLOGIA DIGITAL E REPRES</v>
      </c>
      <c r="E3599" s="21">
        <f>IFERROR(__xludf.DUMMYFUNCTION("""COMPUTED_VALUE"""),145359.0)</f>
        <v>145359</v>
      </c>
      <c r="F3599" s="21" t="str">
        <f>IFERROR(__xludf.DUMMYFUNCTION("""COMPUTED_VALUE"""),"SUSPEITO")</f>
        <v>SUSPEITO</v>
      </c>
      <c r="G3599" s="23">
        <f>IFERROR(__xludf.DUMMYFUNCTION("""COMPUTED_VALUE"""),45630.68581018518)</f>
        <v>45630.68581</v>
      </c>
      <c r="H3599" s="24" t="str">
        <f>IFERROR(VLOOKUP(B3599,material!A:D,3,0),"")</f>
        <v>TOP MIX</v>
      </c>
    </row>
    <row r="3600" ht="11.25" customHeight="1">
      <c r="A3600" s="21" t="str">
        <f>IFERROR(__xludf.DUMMYFUNCTION("""COMPUTED_VALUE"""),"DECODER HD HHDC2")</f>
        <v>DECODER HD HHDC2</v>
      </c>
      <c r="B3600" s="22">
        <f>IFERROR(__xludf.DUMMYFUNCTION("""COMPUTED_VALUE"""),4.1001048E7)</f>
        <v>41001048</v>
      </c>
      <c r="C3600" s="21" t="str">
        <f>IFERROR(__xludf.DUMMYFUNCTION("""COMPUTED_VALUE"""),"229830715173")</f>
        <v>229830715173</v>
      </c>
      <c r="D3600" s="21" t="str">
        <f>IFERROR(__xludf.DUMMYFUNCTION("""COMPUTED_VALUE"""),"DIGITEC TECNOLOGIA DIGITAL E REPRES")</f>
        <v>DIGITEC TECNOLOGIA DIGITAL E REPRES</v>
      </c>
      <c r="E3600" s="21">
        <f>IFERROR(__xludf.DUMMYFUNCTION("""COMPUTED_VALUE"""),145359.0)</f>
        <v>145359</v>
      </c>
      <c r="F3600" s="21" t="str">
        <f>IFERROR(__xludf.DUMMYFUNCTION("""COMPUTED_VALUE"""),"SUSPEITO")</f>
        <v>SUSPEITO</v>
      </c>
      <c r="G3600" s="23">
        <f>IFERROR(__xludf.DUMMYFUNCTION("""COMPUTED_VALUE"""),45636.62422453704)</f>
        <v>45636.62422</v>
      </c>
      <c r="H3600" s="24" t="str">
        <f>IFERROR(VLOOKUP(B3600,material!A:D,3,0),"")</f>
        <v>TOP MIX</v>
      </c>
    </row>
    <row r="3601" ht="11.25" customHeight="1">
      <c r="A3601" s="21" t="str">
        <f>IFERROR(__xludf.DUMMYFUNCTION("""COMPUTED_VALUE"""),"DECODER HD HHDC2")</f>
        <v>DECODER HD HHDC2</v>
      </c>
      <c r="B3601" s="22">
        <f>IFERROR(__xludf.DUMMYFUNCTION("""COMPUTED_VALUE"""),4.1001048E7)</f>
        <v>41001048</v>
      </c>
      <c r="C3601" s="21" t="str">
        <f>IFERROR(__xludf.DUMMYFUNCTION("""COMPUTED_VALUE"""),"229641803953")</f>
        <v>229641803953</v>
      </c>
      <c r="D3601" s="21" t="str">
        <f>IFERROR(__xludf.DUMMYFUNCTION("""COMPUTED_VALUE"""),"DIGITEC TECNOLOGIA DIGITAL E REPRES")</f>
        <v>DIGITEC TECNOLOGIA DIGITAL E REPRES</v>
      </c>
      <c r="E3601" s="21">
        <f>IFERROR(__xludf.DUMMYFUNCTION("""COMPUTED_VALUE"""),145359.0)</f>
        <v>145359</v>
      </c>
      <c r="F3601" s="21" t="str">
        <f>IFERROR(__xludf.DUMMYFUNCTION("""COMPUTED_VALUE"""),"SUSPEITO")</f>
        <v>SUSPEITO</v>
      </c>
      <c r="G3601" s="23">
        <f>IFERROR(__xludf.DUMMYFUNCTION("""COMPUTED_VALUE"""),45637.44554398148)</f>
        <v>45637.44554</v>
      </c>
      <c r="H3601" s="24" t="str">
        <f>IFERROR(VLOOKUP(B3601,material!A:D,3,0),"")</f>
        <v>TOP MIX</v>
      </c>
    </row>
    <row r="3602" ht="11.25" customHeight="1">
      <c r="A3602" s="21" t="str">
        <f>IFERROR(__xludf.DUMMYFUNCTION("""COMPUTED_VALUE"""),"DECODER HD THDC4")</f>
        <v>DECODER HD THDC4</v>
      </c>
      <c r="B3602" s="22">
        <f>IFERROR(__xludf.DUMMYFUNCTION("""COMPUTED_VALUE"""),4.1001047E7)</f>
        <v>41001047</v>
      </c>
      <c r="C3602" s="21" t="str">
        <f>IFERROR(__xludf.DUMMYFUNCTION("""COMPUTED_VALUE"""),"229744360921")</f>
        <v>229744360921</v>
      </c>
      <c r="D3602" s="21" t="str">
        <f>IFERROR(__xludf.DUMMYFUNCTION("""COMPUTED_VALUE"""),"DIGITEC TECNOLOGIA DIGITAL E REPRES")</f>
        <v>DIGITEC TECNOLOGIA DIGITAL E REPRES</v>
      </c>
      <c r="E3602" s="21">
        <f>IFERROR(__xludf.DUMMYFUNCTION("""COMPUTED_VALUE"""),145359.0)</f>
        <v>145359</v>
      </c>
      <c r="F3602" s="21" t="str">
        <f>IFERROR(__xludf.DUMMYFUNCTION("""COMPUTED_VALUE"""),"SUSPEITO")</f>
        <v>SUSPEITO</v>
      </c>
      <c r="G3602" s="23">
        <f>IFERROR(__xludf.DUMMYFUNCTION("""COMPUTED_VALUE"""),45637.75721064815)</f>
        <v>45637.75721</v>
      </c>
      <c r="H3602" s="24" t="str">
        <f>IFERROR(VLOOKUP(B3602,material!A:D,3,0),"")</f>
        <v>TOP MIX</v>
      </c>
    </row>
    <row r="3603" ht="11.25" customHeight="1">
      <c r="A3603" s="21" t="str">
        <f>IFERROR(__xludf.DUMMYFUNCTION("""COMPUTED_VALUE"""),"DECODER HD THDC4")</f>
        <v>DECODER HD THDC4</v>
      </c>
      <c r="B3603" s="22">
        <f>IFERROR(__xludf.DUMMYFUNCTION("""COMPUTED_VALUE"""),4.1001047E7)</f>
        <v>41001047</v>
      </c>
      <c r="C3603" s="21" t="str">
        <f>IFERROR(__xludf.DUMMYFUNCTION("""COMPUTED_VALUE"""),"229670868507")</f>
        <v>229670868507</v>
      </c>
      <c r="D3603" s="21" t="str">
        <f>IFERROR(__xludf.DUMMYFUNCTION("""COMPUTED_VALUE"""),"DIGITEC TECNOLOGIA DIGITAL E REPRES")</f>
        <v>DIGITEC TECNOLOGIA DIGITAL E REPRES</v>
      </c>
      <c r="E3603" s="21">
        <f>IFERROR(__xludf.DUMMYFUNCTION("""COMPUTED_VALUE"""),145359.0)</f>
        <v>145359</v>
      </c>
      <c r="F3603" s="21" t="str">
        <f>IFERROR(__xludf.DUMMYFUNCTION("""COMPUTED_VALUE"""),"SUSPEITO")</f>
        <v>SUSPEITO</v>
      </c>
      <c r="G3603" s="23">
        <f>IFERROR(__xludf.DUMMYFUNCTION("""COMPUTED_VALUE"""),45640.41991898148)</f>
        <v>45640.41992</v>
      </c>
      <c r="H3603" s="24" t="str">
        <f>IFERROR(VLOOKUP(B3603,material!A:D,3,0),"")</f>
        <v>TOP MIX</v>
      </c>
    </row>
    <row r="3604" ht="11.25" customHeight="1">
      <c r="A3604" s="21" t="str">
        <f>IFERROR(__xludf.DUMMYFUNCTION("""COMPUTED_VALUE"""),"DECODER HD THDC4")</f>
        <v>DECODER HD THDC4</v>
      </c>
      <c r="B3604" s="22">
        <f>IFERROR(__xludf.DUMMYFUNCTION("""COMPUTED_VALUE"""),4.1001047E7)</f>
        <v>41001047</v>
      </c>
      <c r="C3604" s="21" t="str">
        <f>IFERROR(__xludf.DUMMYFUNCTION("""COMPUTED_VALUE"""),"229673020715")</f>
        <v>229673020715</v>
      </c>
      <c r="D3604" s="21" t="str">
        <f>IFERROR(__xludf.DUMMYFUNCTION("""COMPUTED_VALUE"""),"DIGITEC TECNOLOGIA DIGITAL E REPRES")</f>
        <v>DIGITEC TECNOLOGIA DIGITAL E REPRES</v>
      </c>
      <c r="E3604" s="21">
        <f>IFERROR(__xludf.DUMMYFUNCTION("""COMPUTED_VALUE"""),145359.0)</f>
        <v>145359</v>
      </c>
      <c r="F3604" s="21" t="str">
        <f>IFERROR(__xludf.DUMMYFUNCTION("""COMPUTED_VALUE"""),"SUSPEITO")</f>
        <v>SUSPEITO</v>
      </c>
      <c r="G3604" s="23">
        <f>IFERROR(__xludf.DUMMYFUNCTION("""COMPUTED_VALUE"""),45638.720555555556)</f>
        <v>45638.72056</v>
      </c>
      <c r="H3604" s="24" t="str">
        <f>IFERROR(VLOOKUP(B3604,material!A:D,3,0),"")</f>
        <v>TOP MIX</v>
      </c>
    </row>
    <row r="3605" ht="11.25" customHeight="1">
      <c r="A3605" s="21" t="str">
        <f>IFERROR(__xludf.DUMMYFUNCTION("""COMPUTED_VALUE"""),"DECODER HD THDC4")</f>
        <v>DECODER HD THDC4</v>
      </c>
      <c r="B3605" s="22">
        <f>IFERROR(__xludf.DUMMYFUNCTION("""COMPUTED_VALUE"""),4.1001047E7)</f>
        <v>41001047</v>
      </c>
      <c r="C3605" s="21" t="str">
        <f>IFERROR(__xludf.DUMMYFUNCTION("""COMPUTED_VALUE"""),"229787204260")</f>
        <v>229787204260</v>
      </c>
      <c r="D3605" s="21" t="str">
        <f>IFERROR(__xludf.DUMMYFUNCTION("""COMPUTED_VALUE"""),"DIGITEC TECNOLOGIA DIGITAL E REPRES")</f>
        <v>DIGITEC TECNOLOGIA DIGITAL E REPRES</v>
      </c>
      <c r="E3605" s="21">
        <f>IFERROR(__xludf.DUMMYFUNCTION("""COMPUTED_VALUE"""),145359.0)</f>
        <v>145359</v>
      </c>
      <c r="F3605" s="21" t="str">
        <f>IFERROR(__xludf.DUMMYFUNCTION("""COMPUTED_VALUE"""),"SUSPEITO")</f>
        <v>SUSPEITO</v>
      </c>
      <c r="G3605" s="23">
        <f>IFERROR(__xludf.DUMMYFUNCTION("""COMPUTED_VALUE"""),45638.474444444444)</f>
        <v>45638.47444</v>
      </c>
      <c r="H3605" s="24" t="str">
        <f>IFERROR(VLOOKUP(B3605,material!A:D,3,0),"")</f>
        <v>TOP MIX</v>
      </c>
    </row>
    <row r="3606" ht="11.25" customHeight="1">
      <c r="A3606" s="21" t="str">
        <f>IFERROR(__xludf.DUMMYFUNCTION("""COMPUTED_VALUE"""),"DECODER HD THDC4")</f>
        <v>DECODER HD THDC4</v>
      </c>
      <c r="B3606" s="22">
        <f>IFERROR(__xludf.DUMMYFUNCTION("""COMPUTED_VALUE"""),4.1001047E7)</f>
        <v>41001047</v>
      </c>
      <c r="C3606" s="21" t="str">
        <f>IFERROR(__xludf.DUMMYFUNCTION("""COMPUTED_VALUE"""),"229806805656")</f>
        <v>229806805656</v>
      </c>
      <c r="D3606" s="21" t="str">
        <f>IFERROR(__xludf.DUMMYFUNCTION("""COMPUTED_VALUE"""),"DIGITEC TECNOLOGIA DIGITAL E REPRES")</f>
        <v>DIGITEC TECNOLOGIA DIGITAL E REPRES</v>
      </c>
      <c r="E3606" s="21">
        <f>IFERROR(__xludf.DUMMYFUNCTION("""COMPUTED_VALUE"""),145359.0)</f>
        <v>145359</v>
      </c>
      <c r="F3606" s="21" t="str">
        <f>IFERROR(__xludf.DUMMYFUNCTION("""COMPUTED_VALUE"""),"SUSPEITO")</f>
        <v>SUSPEITO</v>
      </c>
      <c r="G3606" s="23">
        <f>IFERROR(__xludf.DUMMYFUNCTION("""COMPUTED_VALUE"""),45638.472650462965)</f>
        <v>45638.47265</v>
      </c>
      <c r="H3606" s="24" t="str">
        <f>IFERROR(VLOOKUP(B3606,material!A:D,3,0),"")</f>
        <v>TOP MIX</v>
      </c>
    </row>
    <row r="3607" ht="11.25" customHeight="1">
      <c r="A3607" s="21" t="str">
        <f>IFERROR(__xludf.DUMMYFUNCTION("""COMPUTED_VALUE"""),"DECODER HD THDC4")</f>
        <v>DECODER HD THDC4</v>
      </c>
      <c r="B3607" s="22">
        <f>IFERROR(__xludf.DUMMYFUNCTION("""COMPUTED_VALUE"""),4.1001047E7)</f>
        <v>41001047</v>
      </c>
      <c r="C3607" s="21" t="str">
        <f>IFERROR(__xludf.DUMMYFUNCTION("""COMPUTED_VALUE"""),"229812706479")</f>
        <v>229812706479</v>
      </c>
      <c r="D3607" s="21" t="str">
        <f>IFERROR(__xludf.DUMMYFUNCTION("""COMPUTED_VALUE"""),"DIGITEC TECNOLOGIA DIGITAL E REPRES")</f>
        <v>DIGITEC TECNOLOGIA DIGITAL E REPRES</v>
      </c>
      <c r="E3607" s="21">
        <f>IFERROR(__xludf.DUMMYFUNCTION("""COMPUTED_VALUE"""),145359.0)</f>
        <v>145359</v>
      </c>
      <c r="F3607" s="21" t="str">
        <f>IFERROR(__xludf.DUMMYFUNCTION("""COMPUTED_VALUE"""),"SUSPEITO")</f>
        <v>SUSPEITO</v>
      </c>
      <c r="G3607" s="23">
        <f>IFERROR(__xludf.DUMMYFUNCTION("""COMPUTED_VALUE"""),45643.48521990741)</f>
        <v>45643.48522</v>
      </c>
      <c r="H3607" s="24" t="str">
        <f>IFERROR(VLOOKUP(B3607,material!A:D,3,0),"")</f>
        <v>TOP MIX</v>
      </c>
    </row>
    <row r="3608" ht="11.25" customHeight="1">
      <c r="A3608" s="21" t="str">
        <f>IFERROR(__xludf.DUMMYFUNCTION("""COMPUTED_VALUE"""),"EMTA WIFI 3.0 FST3486 16X4")</f>
        <v>EMTA WIFI 3.0 FST3486 16X4</v>
      </c>
      <c r="B3608" s="22">
        <f>IFERROR(__xludf.DUMMYFUNCTION("""COMPUTED_VALUE"""),4.1001095E7)</f>
        <v>41001095</v>
      </c>
      <c r="C3608" s="21" t="str">
        <f>IFERROR(__xludf.DUMMYFUNCTION("""COMPUTED_VALUE"""),"981E19159848")</f>
        <v>981E19159848</v>
      </c>
      <c r="D3608" s="21" t="str">
        <f>IFERROR(__xludf.DUMMYFUNCTION("""COMPUTED_VALUE"""),"DIGITEC TECNOLOGIA DIGITAL E REPRES")</f>
        <v>DIGITEC TECNOLOGIA DIGITAL E REPRES</v>
      </c>
      <c r="E3608" s="21">
        <f>IFERROR(__xludf.DUMMYFUNCTION("""COMPUTED_VALUE"""),145359.0)</f>
        <v>145359</v>
      </c>
      <c r="F3608" s="21" t="str">
        <f>IFERROR(__xludf.DUMMYFUNCTION("""COMPUTED_VALUE"""),"SUSPEITO")</f>
        <v>SUSPEITO</v>
      </c>
      <c r="G3608" s="23">
        <f>IFERROR(__xludf.DUMMYFUNCTION("""COMPUTED_VALUE"""),45612.43853009259)</f>
        <v>45612.43853</v>
      </c>
      <c r="H3608" s="24" t="str">
        <f>IFERROR(VLOOKUP(B3608,material!A:D,3,0),"")</f>
        <v>DUAL</v>
      </c>
    </row>
    <row r="3609" ht="11.25" customHeight="1">
      <c r="A3609" s="21" t="str">
        <f>IFERROR(__xludf.DUMMYFUNCTION("""COMPUTED_VALUE"""),"EMTA WIFI 3.0 FST3486 16X4")</f>
        <v>EMTA WIFI 3.0 FST3486 16X4</v>
      </c>
      <c r="B3609" s="22">
        <f>IFERROR(__xludf.DUMMYFUNCTION("""COMPUTED_VALUE"""),4.1001095E7)</f>
        <v>41001095</v>
      </c>
      <c r="C3609" s="21" t="str">
        <f>IFERROR(__xludf.DUMMYFUNCTION("""COMPUTED_VALUE"""),"3093BCC57F77")</f>
        <v>3093BCC57F77</v>
      </c>
      <c r="D3609" s="21" t="str">
        <f>IFERROR(__xludf.DUMMYFUNCTION("""COMPUTED_VALUE"""),"DIGITEC TECNOLOGIA DIGITAL E REPRES")</f>
        <v>DIGITEC TECNOLOGIA DIGITAL E REPRES</v>
      </c>
      <c r="E3609" s="21">
        <f>IFERROR(__xludf.DUMMYFUNCTION("""COMPUTED_VALUE"""),145359.0)</f>
        <v>145359</v>
      </c>
      <c r="F3609" s="21" t="str">
        <f>IFERROR(__xludf.DUMMYFUNCTION("""COMPUTED_VALUE"""),"SUSPEITO")</f>
        <v>SUSPEITO</v>
      </c>
      <c r="G3609" s="23">
        <f>IFERROR(__xludf.DUMMYFUNCTION("""COMPUTED_VALUE"""),45639.66795138889)</f>
        <v>45639.66795</v>
      </c>
      <c r="H3609" s="24" t="str">
        <f>IFERROR(VLOOKUP(B3609,material!A:D,3,0),"")</f>
        <v>DUAL</v>
      </c>
    </row>
    <row r="3610" ht="11.25" customHeight="1">
      <c r="A3610" s="21" t="str">
        <f>IFERROR(__xludf.DUMMYFUNCTION("""COMPUTED_VALUE"""),"EMTA WIFI 3.0 FST3486 16X4")</f>
        <v>EMTA WIFI 3.0 FST3486 16X4</v>
      </c>
      <c r="B3610" s="22">
        <f>IFERROR(__xludf.DUMMYFUNCTION("""COMPUTED_VALUE"""),4.1001095E7)</f>
        <v>41001095</v>
      </c>
      <c r="C3610" s="21" t="str">
        <f>IFERROR(__xludf.DUMMYFUNCTION("""COMPUTED_VALUE"""),"34495B8F0095")</f>
        <v>34495B8F0095</v>
      </c>
      <c r="D3610" s="21" t="str">
        <f>IFERROR(__xludf.DUMMYFUNCTION("""COMPUTED_VALUE"""),"DIGITEC TECNOLOGIA DIGITAL E REPRES")</f>
        <v>DIGITEC TECNOLOGIA DIGITAL E REPRES</v>
      </c>
      <c r="E3610" s="21">
        <f>IFERROR(__xludf.DUMMYFUNCTION("""COMPUTED_VALUE"""),145359.0)</f>
        <v>145359</v>
      </c>
      <c r="F3610" s="21" t="str">
        <f>IFERROR(__xludf.DUMMYFUNCTION("""COMPUTED_VALUE"""),"SUSPEITO")</f>
        <v>SUSPEITO</v>
      </c>
      <c r="G3610" s="23">
        <f>IFERROR(__xludf.DUMMYFUNCTION("""COMPUTED_VALUE"""),45626.3922337963)</f>
        <v>45626.39223</v>
      </c>
      <c r="H3610" s="24" t="str">
        <f>IFERROR(VLOOKUP(B3610,material!A:D,3,0),"")</f>
        <v>DUAL</v>
      </c>
    </row>
    <row r="3611" ht="11.25" customHeight="1">
      <c r="A3611" s="21" t="str">
        <f>IFERROR(__xludf.DUMMYFUNCTION("""COMPUTED_VALUE"""),"EMTA WIFI 3.0 FST3486 16X4")</f>
        <v>EMTA WIFI 3.0 FST3486 16X4</v>
      </c>
      <c r="B3611" s="22">
        <f>IFERROR(__xludf.DUMMYFUNCTION("""COMPUTED_VALUE"""),4.1001095E7)</f>
        <v>41001095</v>
      </c>
      <c r="C3611" s="21" t="str">
        <f>IFERROR(__xludf.DUMMYFUNCTION("""COMPUTED_VALUE"""),"F8084F817056")</f>
        <v>F8084F817056</v>
      </c>
      <c r="D3611" s="21" t="str">
        <f>IFERROR(__xludf.DUMMYFUNCTION("""COMPUTED_VALUE"""),"DIGITEC TECNOLOGIA DIGITAL E REPRES")</f>
        <v>DIGITEC TECNOLOGIA DIGITAL E REPRES</v>
      </c>
      <c r="E3611" s="21">
        <f>IFERROR(__xludf.DUMMYFUNCTION("""COMPUTED_VALUE"""),145359.0)</f>
        <v>145359</v>
      </c>
      <c r="F3611" s="21" t="str">
        <f>IFERROR(__xludf.DUMMYFUNCTION("""COMPUTED_VALUE"""),"SUSPEITO")</f>
        <v>SUSPEITO</v>
      </c>
      <c r="G3611" s="23">
        <f>IFERROR(__xludf.DUMMYFUNCTION("""COMPUTED_VALUE"""),45622.76840277778)</f>
        <v>45622.7684</v>
      </c>
      <c r="H3611" s="24" t="str">
        <f>IFERROR(VLOOKUP(B3611,material!A:D,3,0),"")</f>
        <v>DUAL</v>
      </c>
    </row>
    <row r="3612" ht="11.25" customHeight="1">
      <c r="A3612" s="21" t="str">
        <f>IFERROR(__xludf.DUMMYFUNCTION("""COMPUTED_VALUE"""),"EMTA WIFI 3.0 FST3486 16X4")</f>
        <v>EMTA WIFI 3.0 FST3486 16X4</v>
      </c>
      <c r="B3612" s="22">
        <f>IFERROR(__xludf.DUMMYFUNCTION("""COMPUTED_VALUE"""),4.1001095E7)</f>
        <v>41001095</v>
      </c>
      <c r="C3612" s="21" t="str">
        <f>IFERROR(__xludf.DUMMYFUNCTION("""COMPUTED_VALUE"""),"F8084F81F3F1")</f>
        <v>F8084F81F3F1</v>
      </c>
      <c r="D3612" s="21" t="str">
        <f>IFERROR(__xludf.DUMMYFUNCTION("""COMPUTED_VALUE"""),"DIGITEC TECNOLOGIA DIGITAL E REPRES")</f>
        <v>DIGITEC TECNOLOGIA DIGITAL E REPRES</v>
      </c>
      <c r="E3612" s="21">
        <f>IFERROR(__xludf.DUMMYFUNCTION("""COMPUTED_VALUE"""),145359.0)</f>
        <v>145359</v>
      </c>
      <c r="F3612" s="21" t="str">
        <f>IFERROR(__xludf.DUMMYFUNCTION("""COMPUTED_VALUE"""),"SUSPEITO")</f>
        <v>SUSPEITO</v>
      </c>
      <c r="G3612" s="23">
        <f>IFERROR(__xludf.DUMMYFUNCTION("""COMPUTED_VALUE"""),45636.48458333334)</f>
        <v>45636.48458</v>
      </c>
      <c r="H3612" s="24" t="str">
        <f>IFERROR(VLOOKUP(B3612,material!A:D,3,0),"")</f>
        <v>DUAL</v>
      </c>
    </row>
    <row r="3613" ht="11.25" customHeight="1">
      <c r="A3613" s="21" t="str">
        <f>IFERROR(__xludf.DUMMYFUNCTION("""COMPUTED_VALUE"""),"EMTA WIFI 3.0 FST3486 16X4")</f>
        <v>EMTA WIFI 3.0 FST3486 16X4</v>
      </c>
      <c r="B3613" s="22">
        <f>IFERROR(__xludf.DUMMYFUNCTION("""COMPUTED_VALUE"""),4.1001095E7)</f>
        <v>41001095</v>
      </c>
      <c r="C3613" s="21" t="str">
        <f>IFERROR(__xludf.DUMMYFUNCTION("""COMPUTED_VALUE"""),"F08175272AD6")</f>
        <v>F08175272AD6</v>
      </c>
      <c r="D3613" s="21" t="str">
        <f>IFERROR(__xludf.DUMMYFUNCTION("""COMPUTED_VALUE"""),"DIGITEC TECNOLOGIA DIGITAL E REPRES")</f>
        <v>DIGITEC TECNOLOGIA DIGITAL E REPRES</v>
      </c>
      <c r="E3613" s="21">
        <f>IFERROR(__xludf.DUMMYFUNCTION("""COMPUTED_VALUE"""),145359.0)</f>
        <v>145359</v>
      </c>
      <c r="F3613" s="21" t="str">
        <f>IFERROR(__xludf.DUMMYFUNCTION("""COMPUTED_VALUE"""),"SUSPEITO")</f>
        <v>SUSPEITO</v>
      </c>
      <c r="G3613" s="23">
        <f>IFERROR(__xludf.DUMMYFUNCTION("""COMPUTED_VALUE"""),45628.63886574074)</f>
        <v>45628.63887</v>
      </c>
      <c r="H3613" s="24" t="str">
        <f>IFERROR(VLOOKUP(B3613,material!A:D,3,0),"")</f>
        <v>DUAL</v>
      </c>
    </row>
    <row r="3614" ht="11.25" customHeight="1">
      <c r="A3614" s="21" t="str">
        <f>IFERROR(__xludf.DUMMYFUNCTION("""COMPUTED_VALUE"""),"EMTA WIFI 3.0 FST3486 16X4")</f>
        <v>EMTA WIFI 3.0 FST3486 16X4</v>
      </c>
      <c r="B3614" s="22">
        <f>IFERROR(__xludf.DUMMYFUNCTION("""COMPUTED_VALUE"""),4.1001095E7)</f>
        <v>41001095</v>
      </c>
      <c r="C3614" s="21" t="str">
        <f>IFERROR(__xludf.DUMMYFUNCTION("""COMPUTED_VALUE"""),"00CB51F68492")</f>
        <v>00CB51F68492</v>
      </c>
      <c r="D3614" s="21" t="str">
        <f>IFERROR(__xludf.DUMMYFUNCTION("""COMPUTED_VALUE"""),"DIGITEC TECNOLOGIA DIGITAL E REPRES")</f>
        <v>DIGITEC TECNOLOGIA DIGITAL E REPRES</v>
      </c>
      <c r="E3614" s="21">
        <f>IFERROR(__xludf.DUMMYFUNCTION("""COMPUTED_VALUE"""),145359.0)</f>
        <v>145359</v>
      </c>
      <c r="F3614" s="21" t="str">
        <f>IFERROR(__xludf.DUMMYFUNCTION("""COMPUTED_VALUE"""),"SUSPEITO")</f>
        <v>SUSPEITO</v>
      </c>
      <c r="G3614" s="23">
        <f>IFERROR(__xludf.DUMMYFUNCTION("""COMPUTED_VALUE"""),45605.486921296295)</f>
        <v>45605.48692</v>
      </c>
      <c r="H3614" s="24" t="str">
        <f>IFERROR(VLOOKUP(B3614,material!A:D,3,0),"")</f>
        <v>DUAL</v>
      </c>
    </row>
    <row r="3615" ht="11.25" customHeight="1">
      <c r="A3615" s="21" t="str">
        <f>IFERROR(__xludf.DUMMYFUNCTION("""COMPUTED_VALUE"""),"EMTA WIFI 3.0 FST3486 16X4")</f>
        <v>EMTA WIFI 3.0 FST3486 16X4</v>
      </c>
      <c r="B3615" s="22">
        <f>IFERROR(__xludf.DUMMYFUNCTION("""COMPUTED_VALUE"""),4.1001095E7)</f>
        <v>41001095</v>
      </c>
      <c r="C3615" s="21" t="str">
        <f>IFERROR(__xludf.DUMMYFUNCTION("""COMPUTED_VALUE"""),"D06EDE78BE26")</f>
        <v>D06EDE78BE26</v>
      </c>
      <c r="D3615" s="21" t="str">
        <f>IFERROR(__xludf.DUMMYFUNCTION("""COMPUTED_VALUE"""),"DIGITEC TECNOLOGIA DIGITAL E REPRES")</f>
        <v>DIGITEC TECNOLOGIA DIGITAL E REPRES</v>
      </c>
      <c r="E3615" s="21">
        <f>IFERROR(__xludf.DUMMYFUNCTION("""COMPUTED_VALUE"""),145359.0)</f>
        <v>145359</v>
      </c>
      <c r="F3615" s="21" t="str">
        <f>IFERROR(__xludf.DUMMYFUNCTION("""COMPUTED_VALUE"""),"SUSPEITO")</f>
        <v>SUSPEITO</v>
      </c>
      <c r="G3615" s="23">
        <f>IFERROR(__xludf.DUMMYFUNCTION("""COMPUTED_VALUE"""),45636.50460648148)</f>
        <v>45636.50461</v>
      </c>
      <c r="H3615" s="24" t="str">
        <f>IFERROR(VLOOKUP(B3615,material!A:D,3,0),"")</f>
        <v>DUAL</v>
      </c>
    </row>
    <row r="3616" ht="11.25" customHeight="1">
      <c r="A3616" s="21" t="str">
        <f>IFERROR(__xludf.DUMMYFUNCTION("""COMPUTED_VALUE"""),"EMTA WIFI 3.0 FST3486 16X4")</f>
        <v>EMTA WIFI 3.0 FST3486 16X4</v>
      </c>
      <c r="B3616" s="22">
        <f>IFERROR(__xludf.DUMMYFUNCTION("""COMPUTED_VALUE"""),4.1001095E7)</f>
        <v>41001095</v>
      </c>
      <c r="C3616" s="21" t="str">
        <f>IFERROR(__xludf.DUMMYFUNCTION("""COMPUTED_VALUE"""),"84A06E65D605")</f>
        <v>84A06E65D605</v>
      </c>
      <c r="D3616" s="21" t="str">
        <f>IFERROR(__xludf.DUMMYFUNCTION("""COMPUTED_VALUE"""),"DIGITEC TECNOLOGIA DIGITAL E REPRES")</f>
        <v>DIGITEC TECNOLOGIA DIGITAL E REPRES</v>
      </c>
      <c r="E3616" s="21">
        <f>IFERROR(__xludf.DUMMYFUNCTION("""COMPUTED_VALUE"""),145359.0)</f>
        <v>145359</v>
      </c>
      <c r="F3616" s="21" t="str">
        <f>IFERROR(__xludf.DUMMYFUNCTION("""COMPUTED_VALUE"""),"SUSPEITO")</f>
        <v>SUSPEITO</v>
      </c>
      <c r="G3616" s="23">
        <f>IFERROR(__xludf.DUMMYFUNCTION("""COMPUTED_VALUE"""),45642.630578703705)</f>
        <v>45642.63058</v>
      </c>
      <c r="H3616" s="24" t="str">
        <f>IFERROR(VLOOKUP(B3616,material!A:D,3,0),"")</f>
        <v>DUAL</v>
      </c>
    </row>
    <row r="3617" ht="11.25" customHeight="1">
      <c r="A3617" s="21" t="str">
        <f>IFERROR(__xludf.DUMMYFUNCTION("""COMPUTED_VALUE"""),"SMART SIM CARD NAGRA")</f>
        <v>SMART SIM CARD NAGRA</v>
      </c>
      <c r="B3617" s="22">
        <f>IFERROR(__xludf.DUMMYFUNCTION("""COMPUTED_VALUE"""),4.1000805E7)</f>
        <v>41000805</v>
      </c>
      <c r="C3617" s="21" t="str">
        <f>IFERROR(__xludf.DUMMYFUNCTION("""COMPUTED_VALUE"""),"246550947185")</f>
        <v>246550947185</v>
      </c>
      <c r="D3617" s="21" t="str">
        <f>IFERROR(__xludf.DUMMYFUNCTION("""COMPUTED_VALUE"""),"DIGITEC TECNOLOGIA DIGITAL E REPRES")</f>
        <v>DIGITEC TECNOLOGIA DIGITAL E REPRES</v>
      </c>
      <c r="E3617" s="21">
        <f>IFERROR(__xludf.DUMMYFUNCTION("""COMPUTED_VALUE"""),145359.0)</f>
        <v>145359</v>
      </c>
      <c r="F3617" s="21" t="str">
        <f>IFERROR(__xludf.DUMMYFUNCTION("""COMPUTED_VALUE"""),"SUSPEITO")</f>
        <v>SUSPEITO</v>
      </c>
      <c r="G3617" s="23">
        <f>IFERROR(__xludf.DUMMYFUNCTION("""COMPUTED_VALUE"""),45637.6928587963)</f>
        <v>45637.69286</v>
      </c>
      <c r="H3617" s="24" t="str">
        <f>IFERROR(VLOOKUP(B3617,material!A:D,3,0),"")</f>
        <v>SIM CARD</v>
      </c>
    </row>
    <row r="3618" ht="11.25" customHeight="1">
      <c r="A3618" s="21" t="str">
        <f>IFERROR(__xludf.DUMMYFUNCTION("""COMPUTED_VALUE"""),"SMART SIM CARD NAGRA")</f>
        <v>SMART SIM CARD NAGRA</v>
      </c>
      <c r="B3618" s="22">
        <f>IFERROR(__xludf.DUMMYFUNCTION("""COMPUTED_VALUE"""),4.1000805E7)</f>
        <v>41000805</v>
      </c>
      <c r="C3618" s="21" t="str">
        <f>IFERROR(__xludf.DUMMYFUNCTION("""COMPUTED_VALUE"""),"246539384048")</f>
        <v>246539384048</v>
      </c>
      <c r="D3618" s="21" t="str">
        <f>IFERROR(__xludf.DUMMYFUNCTION("""COMPUTED_VALUE"""),"DIGITEC TECNOLOGIA DIGITAL E REPRES")</f>
        <v>DIGITEC TECNOLOGIA DIGITAL E REPRES</v>
      </c>
      <c r="E3618" s="21">
        <f>IFERROR(__xludf.DUMMYFUNCTION("""COMPUTED_VALUE"""),145359.0)</f>
        <v>145359</v>
      </c>
      <c r="F3618" s="21" t="str">
        <f>IFERROR(__xludf.DUMMYFUNCTION("""COMPUTED_VALUE"""),"SUSPEITO")</f>
        <v>SUSPEITO</v>
      </c>
      <c r="G3618" s="23">
        <f>IFERROR(__xludf.DUMMYFUNCTION("""COMPUTED_VALUE"""),45637.75554398148)</f>
        <v>45637.75554</v>
      </c>
      <c r="H3618" s="24" t="str">
        <f>IFERROR(VLOOKUP(B3618,material!A:D,3,0),"")</f>
        <v>SIM CARD</v>
      </c>
    </row>
    <row r="3619" ht="11.25" customHeight="1">
      <c r="A3619" s="21" t="str">
        <f>IFERROR(__xludf.DUMMYFUNCTION("""COMPUTED_VALUE"""),"SMART SIM CARD NAGRA")</f>
        <v>SMART SIM CARD NAGRA</v>
      </c>
      <c r="B3619" s="22">
        <f>IFERROR(__xludf.DUMMYFUNCTION("""COMPUTED_VALUE"""),4.1000805E7)</f>
        <v>41000805</v>
      </c>
      <c r="C3619" s="21" t="str">
        <f>IFERROR(__xludf.DUMMYFUNCTION("""COMPUTED_VALUE"""),"246579459912")</f>
        <v>246579459912</v>
      </c>
      <c r="D3619" s="21" t="str">
        <f>IFERROR(__xludf.DUMMYFUNCTION("""COMPUTED_VALUE"""),"DIGITEC TECNOLOGIA DIGITAL E REPRES")</f>
        <v>DIGITEC TECNOLOGIA DIGITAL E REPRES</v>
      </c>
      <c r="E3619" s="21">
        <f>IFERROR(__xludf.DUMMYFUNCTION("""COMPUTED_VALUE"""),145359.0)</f>
        <v>145359</v>
      </c>
      <c r="F3619" s="21" t="str">
        <f>IFERROR(__xludf.DUMMYFUNCTION("""COMPUTED_VALUE"""),"SUSPEITO")</f>
        <v>SUSPEITO</v>
      </c>
      <c r="G3619" s="23">
        <f>IFERROR(__xludf.DUMMYFUNCTION("""COMPUTED_VALUE"""),45610.41166666667)</f>
        <v>45610.41167</v>
      </c>
      <c r="H3619" s="24" t="str">
        <f>IFERROR(VLOOKUP(B3619,material!A:D,3,0),"")</f>
        <v>SIM CARD</v>
      </c>
    </row>
    <row r="3620" ht="11.25" customHeight="1">
      <c r="A3620" s="21" t="str">
        <f>IFERROR(__xludf.DUMMYFUNCTION("""COMPUTED_VALUE"""),"SMART SIM CARD NAGRA")</f>
        <v>SMART SIM CARD NAGRA</v>
      </c>
      <c r="B3620" s="22">
        <f>IFERROR(__xludf.DUMMYFUNCTION("""COMPUTED_VALUE"""),4.1000805E7)</f>
        <v>41000805</v>
      </c>
      <c r="C3620" s="21" t="str">
        <f>IFERROR(__xludf.DUMMYFUNCTION("""COMPUTED_VALUE"""),"246465645572")</f>
        <v>246465645572</v>
      </c>
      <c r="D3620" s="21" t="str">
        <f>IFERROR(__xludf.DUMMYFUNCTION("""COMPUTED_VALUE"""),"DIGITEC TECNOLOGIA DIGITAL E REPRES")</f>
        <v>DIGITEC TECNOLOGIA DIGITAL E REPRES</v>
      </c>
      <c r="E3620" s="21">
        <f>IFERROR(__xludf.DUMMYFUNCTION("""COMPUTED_VALUE"""),145359.0)</f>
        <v>145359</v>
      </c>
      <c r="F3620" s="21" t="str">
        <f>IFERROR(__xludf.DUMMYFUNCTION("""COMPUTED_VALUE"""),"SUSPEITO")</f>
        <v>SUSPEITO</v>
      </c>
      <c r="G3620" s="23">
        <f>IFERROR(__xludf.DUMMYFUNCTION("""COMPUTED_VALUE"""),45643.5565625)</f>
        <v>45643.55656</v>
      </c>
      <c r="H3620" s="24" t="str">
        <f>IFERROR(VLOOKUP(B3620,material!A:D,3,0),"")</f>
        <v>SIM CARD</v>
      </c>
    </row>
    <row r="3621" ht="11.25" customHeight="1">
      <c r="A3621" s="21" t="str">
        <f>IFERROR(__xludf.DUMMYFUNCTION("""COMPUTED_VALUE"""),"SMART SIM CARD NAGRA")</f>
        <v>SMART SIM CARD NAGRA</v>
      </c>
      <c r="B3621" s="22">
        <f>IFERROR(__xludf.DUMMYFUNCTION("""COMPUTED_VALUE"""),4.1000805E7)</f>
        <v>41000805</v>
      </c>
      <c r="C3621" s="21" t="str">
        <f>IFERROR(__xludf.DUMMYFUNCTION("""COMPUTED_VALUE"""),"246465641936")</f>
        <v>246465641936</v>
      </c>
      <c r="D3621" s="21" t="str">
        <f>IFERROR(__xludf.DUMMYFUNCTION("""COMPUTED_VALUE"""),"DIGITEC TECNOLOGIA DIGITAL E REPRES")</f>
        <v>DIGITEC TECNOLOGIA DIGITAL E REPRES</v>
      </c>
      <c r="E3621" s="21">
        <f>IFERROR(__xludf.DUMMYFUNCTION("""COMPUTED_VALUE"""),145359.0)</f>
        <v>145359</v>
      </c>
      <c r="F3621" s="21" t="str">
        <f>IFERROR(__xludf.DUMMYFUNCTION("""COMPUTED_VALUE"""),"SUSPEITO")</f>
        <v>SUSPEITO</v>
      </c>
      <c r="G3621" s="23">
        <f>IFERROR(__xludf.DUMMYFUNCTION("""COMPUTED_VALUE"""),45643.55667824074)</f>
        <v>45643.55668</v>
      </c>
      <c r="H3621" s="24" t="str">
        <f>IFERROR(VLOOKUP(B3621,material!A:D,3,0),"")</f>
        <v>SIM CARD</v>
      </c>
    </row>
    <row r="3622" ht="11.25" customHeight="1">
      <c r="A3622" s="21" t="str">
        <f>IFERROR(__xludf.DUMMYFUNCTION("""COMPUTED_VALUE"""),"SMART SIM CARD NAGRA")</f>
        <v>SMART SIM CARD NAGRA</v>
      </c>
      <c r="B3622" s="22">
        <f>IFERROR(__xludf.DUMMYFUNCTION("""COMPUTED_VALUE"""),4.1000805E7)</f>
        <v>41000805</v>
      </c>
      <c r="C3622" s="21" t="str">
        <f>IFERROR(__xludf.DUMMYFUNCTION("""COMPUTED_VALUE"""),"246493744162")</f>
        <v>246493744162</v>
      </c>
      <c r="D3622" s="21" t="str">
        <f>IFERROR(__xludf.DUMMYFUNCTION("""COMPUTED_VALUE"""),"DIGITEC TECNOLOGIA DIGITAL E REPRES")</f>
        <v>DIGITEC TECNOLOGIA DIGITAL E REPRES</v>
      </c>
      <c r="E3622" s="21">
        <f>IFERROR(__xludf.DUMMYFUNCTION("""COMPUTED_VALUE"""),145359.0)</f>
        <v>145359</v>
      </c>
      <c r="F3622" s="21" t="str">
        <f>IFERROR(__xludf.DUMMYFUNCTION("""COMPUTED_VALUE"""),"SUSPEITO")</f>
        <v>SUSPEITO</v>
      </c>
      <c r="G3622" s="23">
        <f>IFERROR(__xludf.DUMMYFUNCTION("""COMPUTED_VALUE"""),45640.41991898148)</f>
        <v>45640.41992</v>
      </c>
      <c r="H3622" s="24" t="str">
        <f>IFERROR(VLOOKUP(B3622,material!A:D,3,0),"")</f>
        <v>SIM CARD</v>
      </c>
    </row>
    <row r="3623" ht="11.25" customHeight="1">
      <c r="A3623" s="21" t="str">
        <f>IFERROR(__xludf.DUMMYFUNCTION("""COMPUTED_VALUE"""),"SMART SIM CARD NAGRA")</f>
        <v>SMART SIM CARD NAGRA</v>
      </c>
      <c r="B3623" s="22">
        <f>IFERROR(__xludf.DUMMYFUNCTION("""COMPUTED_VALUE"""),4.1000805E7)</f>
        <v>41000805</v>
      </c>
      <c r="C3623" s="21" t="str">
        <f>IFERROR(__xludf.DUMMYFUNCTION("""COMPUTED_VALUE"""),"246500829107")</f>
        <v>246500829107</v>
      </c>
      <c r="D3623" s="21" t="str">
        <f>IFERROR(__xludf.DUMMYFUNCTION("""COMPUTED_VALUE"""),"DIGITEC TECNOLOGIA DIGITAL E REPRES")</f>
        <v>DIGITEC TECNOLOGIA DIGITAL E REPRES</v>
      </c>
      <c r="E3623" s="21">
        <f>IFERROR(__xludf.DUMMYFUNCTION("""COMPUTED_VALUE"""),145359.0)</f>
        <v>145359</v>
      </c>
      <c r="F3623" s="21" t="str">
        <f>IFERROR(__xludf.DUMMYFUNCTION("""COMPUTED_VALUE"""),"SUSPEITO")</f>
        <v>SUSPEITO</v>
      </c>
      <c r="G3623" s="23">
        <f>IFERROR(__xludf.DUMMYFUNCTION("""COMPUTED_VALUE"""),45637.75833333333)</f>
        <v>45637.75833</v>
      </c>
      <c r="H3623" s="24" t="str">
        <f>IFERROR(VLOOKUP(B3623,material!A:D,3,0),"")</f>
        <v>SIM CARD</v>
      </c>
    </row>
    <row r="3624" ht="11.25" customHeight="1">
      <c r="A3624" s="21" t="str">
        <f>IFERROR(__xludf.DUMMYFUNCTION("""COMPUTED_VALUE"""),"SMART SIM CARD NAGRA")</f>
        <v>SMART SIM CARD NAGRA</v>
      </c>
      <c r="B3624" s="22">
        <f>IFERROR(__xludf.DUMMYFUNCTION("""COMPUTED_VALUE"""),4.1000805E7)</f>
        <v>41000805</v>
      </c>
      <c r="C3624" s="21" t="str">
        <f>IFERROR(__xludf.DUMMYFUNCTION("""COMPUTED_VALUE"""),"246494769907")</f>
        <v>246494769907</v>
      </c>
      <c r="D3624" s="21" t="str">
        <f>IFERROR(__xludf.DUMMYFUNCTION("""COMPUTED_VALUE"""),"DIGITEC TECNOLOGIA DIGITAL E REPRES")</f>
        <v>DIGITEC TECNOLOGIA DIGITAL E REPRES</v>
      </c>
      <c r="E3624" s="21">
        <f>IFERROR(__xludf.DUMMYFUNCTION("""COMPUTED_VALUE"""),145359.0)</f>
        <v>145359</v>
      </c>
      <c r="F3624" s="21" t="str">
        <f>IFERROR(__xludf.DUMMYFUNCTION("""COMPUTED_VALUE"""),"SUSPEITO")</f>
        <v>SUSPEITO</v>
      </c>
      <c r="G3624" s="23">
        <f>IFERROR(__xludf.DUMMYFUNCTION("""COMPUTED_VALUE"""),45638.720555555556)</f>
        <v>45638.72056</v>
      </c>
      <c r="H3624" s="24" t="str">
        <f>IFERROR(VLOOKUP(B3624,material!A:D,3,0),"")</f>
        <v>SIM CARD</v>
      </c>
    </row>
    <row r="3625" ht="11.25" customHeight="1">
      <c r="A3625" s="21" t="str">
        <f>IFERROR(__xludf.DUMMYFUNCTION("""COMPUTED_VALUE"""),"SMART SIM CARD NAGRA")</f>
        <v>SMART SIM CARD NAGRA</v>
      </c>
      <c r="B3625" s="22">
        <f>IFERROR(__xludf.DUMMYFUNCTION("""COMPUTED_VALUE"""),4.1000805E7)</f>
        <v>41000805</v>
      </c>
      <c r="C3625" s="21" t="str">
        <f>IFERROR(__xludf.DUMMYFUNCTION("""COMPUTED_VALUE"""),"246428097687")</f>
        <v>246428097687</v>
      </c>
      <c r="D3625" s="21" t="str">
        <f>IFERROR(__xludf.DUMMYFUNCTION("""COMPUTED_VALUE"""),"DIGITEC TECNOLOGIA DIGITAL E REPRES")</f>
        <v>DIGITEC TECNOLOGIA DIGITAL E REPRES</v>
      </c>
      <c r="E3625" s="21">
        <f>IFERROR(__xludf.DUMMYFUNCTION("""COMPUTED_VALUE"""),145359.0)</f>
        <v>145359</v>
      </c>
      <c r="F3625" s="21" t="str">
        <f>IFERROR(__xludf.DUMMYFUNCTION("""COMPUTED_VALUE"""),"SUSPEITO")</f>
        <v>SUSPEITO</v>
      </c>
      <c r="G3625" s="23">
        <f>IFERROR(__xludf.DUMMYFUNCTION("""COMPUTED_VALUE"""),45624.698171296295)</f>
        <v>45624.69817</v>
      </c>
      <c r="H3625" s="24" t="str">
        <f>IFERROR(VLOOKUP(B3625,material!A:D,3,0),"")</f>
        <v>SIM CARD</v>
      </c>
    </row>
    <row r="3626" ht="11.25" customHeight="1">
      <c r="A3626" s="21" t="str">
        <f>IFERROR(__xludf.DUMMYFUNCTION("""COMPUTED_VALUE"""),"SMART SIM CARD NAGRA")</f>
        <v>SMART SIM CARD NAGRA</v>
      </c>
      <c r="B3626" s="22">
        <f>IFERROR(__xludf.DUMMYFUNCTION("""COMPUTED_VALUE"""),4.1000805E7)</f>
        <v>41000805</v>
      </c>
      <c r="C3626" s="21" t="str">
        <f>IFERROR(__xludf.DUMMYFUNCTION("""COMPUTED_VALUE"""),"246601451116")</f>
        <v>246601451116</v>
      </c>
      <c r="D3626" s="21" t="str">
        <f>IFERROR(__xludf.DUMMYFUNCTION("""COMPUTED_VALUE"""),"DIGITEC TECNOLOGIA DIGITAL E REPRES")</f>
        <v>DIGITEC TECNOLOGIA DIGITAL E REPRES</v>
      </c>
      <c r="E3626" s="21">
        <f>IFERROR(__xludf.DUMMYFUNCTION("""COMPUTED_VALUE"""),145359.0)</f>
        <v>145359</v>
      </c>
      <c r="F3626" s="21" t="str">
        <f>IFERROR(__xludf.DUMMYFUNCTION("""COMPUTED_VALUE"""),"SUSPEITO")</f>
        <v>SUSPEITO</v>
      </c>
      <c r="G3626" s="23">
        <f>IFERROR(__xludf.DUMMYFUNCTION("""COMPUTED_VALUE"""),45638.47324074074)</f>
        <v>45638.47324</v>
      </c>
      <c r="H3626" s="24" t="str">
        <f>IFERROR(VLOOKUP(B3626,material!A:D,3,0),"")</f>
        <v>SIM CARD</v>
      </c>
    </row>
    <row r="3627" ht="11.25" customHeight="1">
      <c r="A3627" s="21" t="str">
        <f>IFERROR(__xludf.DUMMYFUNCTION("""COMPUTED_VALUE"""),"SMART SIM CARD NAGRA")</f>
        <v>SMART SIM CARD NAGRA</v>
      </c>
      <c r="B3627" s="22">
        <f>IFERROR(__xludf.DUMMYFUNCTION("""COMPUTED_VALUE"""),4.1000805E7)</f>
        <v>41000805</v>
      </c>
      <c r="C3627" s="21" t="str">
        <f>IFERROR(__xludf.DUMMYFUNCTION("""COMPUTED_VALUE"""),"246554086773")</f>
        <v>246554086773</v>
      </c>
      <c r="D3627" s="21" t="str">
        <f>IFERROR(__xludf.DUMMYFUNCTION("""COMPUTED_VALUE"""),"DIGITEC TECNOLOGIA DIGITAL E REPRES")</f>
        <v>DIGITEC TECNOLOGIA DIGITAL E REPRES</v>
      </c>
      <c r="E3627" s="21">
        <f>IFERROR(__xludf.DUMMYFUNCTION("""COMPUTED_VALUE"""),145359.0)</f>
        <v>145359</v>
      </c>
      <c r="F3627" s="21" t="str">
        <f>IFERROR(__xludf.DUMMYFUNCTION("""COMPUTED_VALUE"""),"SUSPEITO")</f>
        <v>SUSPEITO</v>
      </c>
      <c r="G3627" s="23">
        <f>IFERROR(__xludf.DUMMYFUNCTION("""COMPUTED_VALUE"""),45615.47840277778)</f>
        <v>45615.4784</v>
      </c>
      <c r="H3627" s="24" t="str">
        <f>IFERROR(VLOOKUP(B3627,material!A:D,3,0),"")</f>
        <v>SIM CARD</v>
      </c>
    </row>
    <row r="3628" ht="11.25" customHeight="1">
      <c r="A3628" s="21" t="str">
        <f>IFERROR(__xludf.DUMMYFUNCTION("""COMPUTED_VALUE"""),"SMART SIM CARD NAGRA")</f>
        <v>SMART SIM CARD NAGRA</v>
      </c>
      <c r="B3628" s="22">
        <f>IFERROR(__xludf.DUMMYFUNCTION("""COMPUTED_VALUE"""),4.1000805E7)</f>
        <v>41000805</v>
      </c>
      <c r="C3628" s="21" t="str">
        <f>IFERROR(__xludf.DUMMYFUNCTION("""COMPUTED_VALUE"""),"246581291629")</f>
        <v>246581291629</v>
      </c>
      <c r="D3628" s="21" t="str">
        <f>IFERROR(__xludf.DUMMYFUNCTION("""COMPUTED_VALUE"""),"DIGITEC TECNOLOGIA DIGITAL E REPRES")</f>
        <v>DIGITEC TECNOLOGIA DIGITAL E REPRES</v>
      </c>
      <c r="E3628" s="21">
        <f>IFERROR(__xludf.DUMMYFUNCTION("""COMPUTED_VALUE"""),145359.0)</f>
        <v>145359</v>
      </c>
      <c r="F3628" s="21" t="str">
        <f>IFERROR(__xludf.DUMMYFUNCTION("""COMPUTED_VALUE"""),"SUSPEITO")</f>
        <v>SUSPEITO</v>
      </c>
      <c r="G3628" s="23">
        <f>IFERROR(__xludf.DUMMYFUNCTION("""COMPUTED_VALUE"""),45638.47180555556)</f>
        <v>45638.47181</v>
      </c>
      <c r="H3628" s="24" t="str">
        <f>IFERROR(VLOOKUP(B3628,material!A:D,3,0),"")</f>
        <v>SIM CARD</v>
      </c>
    </row>
    <row r="3629" ht="11.25" customHeight="1">
      <c r="A3629" s="21" t="str">
        <f>IFERROR(__xludf.DUMMYFUNCTION("""COMPUTED_VALUE"""),"SMART SIM CARD NAGRA")</f>
        <v>SMART SIM CARD NAGRA</v>
      </c>
      <c r="B3629" s="22">
        <f>IFERROR(__xludf.DUMMYFUNCTION("""COMPUTED_VALUE"""),4.1000805E7)</f>
        <v>41000805</v>
      </c>
      <c r="C3629" s="21" t="str">
        <f>IFERROR(__xludf.DUMMYFUNCTION("""COMPUTED_VALUE"""),"246638691518")</f>
        <v>246638691518</v>
      </c>
      <c r="D3629" s="21" t="str">
        <f>IFERROR(__xludf.DUMMYFUNCTION("""COMPUTED_VALUE"""),"DIGITEC TECNOLOGIA DIGITAL E REPRES")</f>
        <v>DIGITEC TECNOLOGIA DIGITAL E REPRES</v>
      </c>
      <c r="E3629" s="21">
        <f>IFERROR(__xludf.DUMMYFUNCTION("""COMPUTED_VALUE"""),145359.0)</f>
        <v>145359</v>
      </c>
      <c r="F3629" s="21" t="str">
        <f>IFERROR(__xludf.DUMMYFUNCTION("""COMPUTED_VALUE"""),"SUSPEITO")</f>
        <v>SUSPEITO</v>
      </c>
      <c r="G3629" s="23">
        <f>IFERROR(__xludf.DUMMYFUNCTION("""COMPUTED_VALUE"""),45636.62422453704)</f>
        <v>45636.62422</v>
      </c>
      <c r="H3629" s="24" t="str">
        <f>IFERROR(VLOOKUP(B3629,material!A:D,3,0),"")</f>
        <v>SIM CARD</v>
      </c>
    </row>
    <row r="3630" ht="11.25" customHeight="1">
      <c r="A3630" s="21" t="str">
        <f>IFERROR(__xludf.DUMMYFUNCTION("""COMPUTED_VALUE"""),"SMART SIM CARD NAGRA")</f>
        <v>SMART SIM CARD NAGRA</v>
      </c>
      <c r="B3630" s="22">
        <f>IFERROR(__xludf.DUMMYFUNCTION("""COMPUTED_VALUE"""),4.1000805E7)</f>
        <v>41000805</v>
      </c>
      <c r="C3630" s="21" t="str">
        <f>IFERROR(__xludf.DUMMYFUNCTION("""COMPUTED_VALUE"""),"246480116883")</f>
        <v>246480116883</v>
      </c>
      <c r="D3630" s="21" t="str">
        <f>IFERROR(__xludf.DUMMYFUNCTION("""COMPUTED_VALUE"""),"DIGITEC TECNOLOGIA DIGITAL E REPRES")</f>
        <v>DIGITEC TECNOLOGIA DIGITAL E REPRES</v>
      </c>
      <c r="E3630" s="21">
        <f>IFERROR(__xludf.DUMMYFUNCTION("""COMPUTED_VALUE"""),145359.0)</f>
        <v>145359</v>
      </c>
      <c r="F3630" s="21" t="str">
        <f>IFERROR(__xludf.DUMMYFUNCTION("""COMPUTED_VALUE"""),"SUSPEITO")</f>
        <v>SUSPEITO</v>
      </c>
      <c r="G3630" s="23">
        <f>IFERROR(__xludf.DUMMYFUNCTION("""COMPUTED_VALUE"""),45637.44554398148)</f>
        <v>45637.44554</v>
      </c>
      <c r="H3630" s="24" t="str">
        <f>IFERROR(VLOOKUP(B3630,material!A:D,3,0),"")</f>
        <v>SIM CARD</v>
      </c>
    </row>
    <row r="3631" ht="11.25" customHeight="1">
      <c r="A3631" s="21" t="str">
        <f>IFERROR(__xludf.DUMMYFUNCTION("""COMPUTED_VALUE"""),"SMART SIM CARD NAGRA")</f>
        <v>SMART SIM CARD NAGRA</v>
      </c>
      <c r="B3631" s="22">
        <f>IFERROR(__xludf.DUMMYFUNCTION("""COMPUTED_VALUE"""),4.1000805E7)</f>
        <v>41000805</v>
      </c>
      <c r="C3631" s="21" t="str">
        <f>IFERROR(__xludf.DUMMYFUNCTION("""COMPUTED_VALUE"""),"246474938386")</f>
        <v>246474938386</v>
      </c>
      <c r="D3631" s="21" t="str">
        <f>IFERROR(__xludf.DUMMYFUNCTION("""COMPUTED_VALUE"""),"DIGITEC TECNOLOGIA DIGITAL E REPRES")</f>
        <v>DIGITEC TECNOLOGIA DIGITAL E REPRES</v>
      </c>
      <c r="E3631" s="21">
        <f>IFERROR(__xludf.DUMMYFUNCTION("""COMPUTED_VALUE"""),145359.0)</f>
        <v>145359</v>
      </c>
      <c r="F3631" s="21" t="str">
        <f>IFERROR(__xludf.DUMMYFUNCTION("""COMPUTED_VALUE"""),"SUSPEITO")</f>
        <v>SUSPEITO</v>
      </c>
      <c r="G3631" s="23">
        <f>IFERROR(__xludf.DUMMYFUNCTION("""COMPUTED_VALUE"""),45642.65525462963)</f>
        <v>45642.65525</v>
      </c>
      <c r="H3631" s="24" t="str">
        <f>IFERROR(VLOOKUP(B3631,material!A:D,3,0),"")</f>
        <v>SIM CARD</v>
      </c>
    </row>
    <row r="3632" ht="11.25" customHeight="1">
      <c r="A3632" s="21" t="str">
        <f>IFERROR(__xludf.DUMMYFUNCTION("""COMPUTED_VALUE"""),"SAG4KC362")</f>
        <v>SAG4KC362</v>
      </c>
      <c r="B3632" s="22">
        <f>IFERROR(__xludf.DUMMYFUNCTION("""COMPUTED_VALUE"""),4.1001068E7)</f>
        <v>41001068</v>
      </c>
      <c r="C3632" s="21" t="str">
        <f>IFERROR(__xludf.DUMMYFUNCTION("""COMPUTED_VALUE"""),"229723806265")</f>
        <v>229723806265</v>
      </c>
      <c r="D3632" s="21" t="str">
        <f>IFERROR(__xludf.DUMMYFUNCTION("""COMPUTED_VALUE"""),"DIGITEC TECNOLOGIA DIGITAL E REPRES")</f>
        <v>DIGITEC TECNOLOGIA DIGITAL E REPRES</v>
      </c>
      <c r="E3632" s="21">
        <f>IFERROR(__xludf.DUMMYFUNCTION("""COMPUTED_VALUE"""),145359.0)</f>
        <v>145359</v>
      </c>
      <c r="F3632" s="21" t="str">
        <f>IFERROR(__xludf.DUMMYFUNCTION("""COMPUTED_VALUE"""),"SUSPEITO")</f>
        <v>SUSPEITO</v>
      </c>
      <c r="G3632" s="23">
        <f>IFERROR(__xludf.DUMMYFUNCTION("""COMPUTED_VALUE"""),45610.41166666667)</f>
        <v>45610.41167</v>
      </c>
      <c r="H3632" s="24" t="str">
        <f>IFERROR(VLOOKUP(B3632,material!A:D,3,0),"")</f>
        <v>4K</v>
      </c>
    </row>
    <row r="3633" ht="11.25" customHeight="1">
      <c r="A3633" s="21" t="str">
        <f>IFERROR(__xludf.DUMMYFUNCTION("""COMPUTED_VALUE"""),"SAG4KC362")</f>
        <v>SAG4KC362</v>
      </c>
      <c r="B3633" s="22">
        <f>IFERROR(__xludf.DUMMYFUNCTION("""COMPUTED_VALUE"""),4.1001068E7)</f>
        <v>41001068</v>
      </c>
      <c r="C3633" s="21" t="str">
        <f>IFERROR(__xludf.DUMMYFUNCTION("""COMPUTED_VALUE"""),"229659221321")</f>
        <v>229659221321</v>
      </c>
      <c r="D3633" s="21" t="str">
        <f>IFERROR(__xludf.DUMMYFUNCTION("""COMPUTED_VALUE"""),"DIGITEC TECNOLOGIA DIGITAL E REPRES")</f>
        <v>DIGITEC TECNOLOGIA DIGITAL E REPRES</v>
      </c>
      <c r="E3633" s="21">
        <f>IFERROR(__xludf.DUMMYFUNCTION("""COMPUTED_VALUE"""),145359.0)</f>
        <v>145359</v>
      </c>
      <c r="F3633" s="21" t="str">
        <f>IFERROR(__xludf.DUMMYFUNCTION("""COMPUTED_VALUE"""),"SUSPEITO")</f>
        <v>SUSPEITO</v>
      </c>
      <c r="G3633" s="23">
        <f>IFERROR(__xludf.DUMMYFUNCTION("""COMPUTED_VALUE"""),45643.5565625)</f>
        <v>45643.55656</v>
      </c>
      <c r="H3633" s="24" t="str">
        <f>IFERROR(VLOOKUP(B3633,material!A:D,3,0),"")</f>
        <v>4K</v>
      </c>
    </row>
    <row r="3634" ht="11.25" customHeight="1">
      <c r="A3634" s="21" t="str">
        <f>IFERROR(__xludf.DUMMYFUNCTION("""COMPUTED_VALUE"""),"SAG4KC362")</f>
        <v>SAG4KC362</v>
      </c>
      <c r="B3634" s="22">
        <f>IFERROR(__xludf.DUMMYFUNCTION("""COMPUTED_VALUE"""),4.1001068E7)</f>
        <v>41001068</v>
      </c>
      <c r="C3634" s="21" t="str">
        <f>IFERROR(__xludf.DUMMYFUNCTION("""COMPUTED_VALUE"""),"229659220816")</f>
        <v>229659220816</v>
      </c>
      <c r="D3634" s="21" t="str">
        <f>IFERROR(__xludf.DUMMYFUNCTION("""COMPUTED_VALUE"""),"DIGITEC TECNOLOGIA DIGITAL E REPRES")</f>
        <v>DIGITEC TECNOLOGIA DIGITAL E REPRES</v>
      </c>
      <c r="E3634" s="21">
        <f>IFERROR(__xludf.DUMMYFUNCTION("""COMPUTED_VALUE"""),145359.0)</f>
        <v>145359</v>
      </c>
      <c r="F3634" s="21" t="str">
        <f>IFERROR(__xludf.DUMMYFUNCTION("""COMPUTED_VALUE"""),"SUSPEITO")</f>
        <v>SUSPEITO</v>
      </c>
      <c r="G3634" s="23">
        <f>IFERROR(__xludf.DUMMYFUNCTION("""COMPUTED_VALUE"""),45643.55667824074)</f>
        <v>45643.55668</v>
      </c>
      <c r="H3634" s="24" t="str">
        <f>IFERROR(VLOOKUP(B3634,material!A:D,3,0),"")</f>
        <v>4K</v>
      </c>
    </row>
    <row r="3635" ht="11.25" customHeight="1">
      <c r="A3635" s="21" t="str">
        <f>IFERROR(__xludf.DUMMYFUNCTION("""COMPUTED_VALUE"""),"SAG4KC362")</f>
        <v>SAG4KC362</v>
      </c>
      <c r="B3635" s="22">
        <f>IFERROR(__xludf.DUMMYFUNCTION("""COMPUTED_VALUE"""),4.1001068E7)</f>
        <v>41001068</v>
      </c>
      <c r="C3635" s="21" t="str">
        <f>IFERROR(__xludf.DUMMYFUNCTION("""COMPUTED_VALUE"""),"216900469405")</f>
        <v>216900469405</v>
      </c>
      <c r="D3635" s="21" t="str">
        <f>IFERROR(__xludf.DUMMYFUNCTION("""COMPUTED_VALUE"""),"DIGITEC TECNOLOGIA DIGITAL E REPRES")</f>
        <v>DIGITEC TECNOLOGIA DIGITAL E REPRES</v>
      </c>
      <c r="E3635" s="21">
        <f>IFERROR(__xludf.DUMMYFUNCTION("""COMPUTED_VALUE"""),145359.0)</f>
        <v>145359</v>
      </c>
      <c r="F3635" s="21" t="str">
        <f>IFERROR(__xludf.DUMMYFUNCTION("""COMPUTED_VALUE"""),"SUSPEITO")</f>
        <v>SUSPEITO</v>
      </c>
      <c r="G3635" s="23">
        <f>IFERROR(__xludf.DUMMYFUNCTION("""COMPUTED_VALUE"""),45624.69818287037)</f>
        <v>45624.69818</v>
      </c>
      <c r="H3635" s="24" t="str">
        <f>IFERROR(VLOOKUP(B3635,material!A:D,3,0),"")</f>
        <v>4K</v>
      </c>
    </row>
    <row r="3636" ht="11.25" customHeight="1">
      <c r="A3636" s="21" t="str">
        <f>IFERROR(__xludf.DUMMYFUNCTION("""COMPUTED_VALUE"""),"SAG4KC362")</f>
        <v>SAG4KC362</v>
      </c>
      <c r="B3636" s="22">
        <f>IFERROR(__xludf.DUMMYFUNCTION("""COMPUTED_VALUE"""),4.1001068E7)</f>
        <v>41001068</v>
      </c>
      <c r="C3636" s="21" t="str">
        <f>IFERROR(__xludf.DUMMYFUNCTION("""COMPUTED_VALUE"""),"216948450912")</f>
        <v>216948450912</v>
      </c>
      <c r="D3636" s="21" t="str">
        <f>IFERROR(__xludf.DUMMYFUNCTION("""COMPUTED_VALUE"""),"DIGITEC TECNOLOGIA DIGITAL E REPRES")</f>
        <v>DIGITEC TECNOLOGIA DIGITAL E REPRES</v>
      </c>
      <c r="E3636" s="21">
        <f>IFERROR(__xludf.DUMMYFUNCTION("""COMPUTED_VALUE"""),145359.0)</f>
        <v>145359</v>
      </c>
      <c r="F3636" s="21" t="str">
        <f>IFERROR(__xludf.DUMMYFUNCTION("""COMPUTED_VALUE"""),"SUSPEITO")</f>
        <v>SUSPEITO</v>
      </c>
      <c r="G3636" s="23">
        <f>IFERROR(__xludf.DUMMYFUNCTION("""COMPUTED_VALUE"""),45642.65525462963)</f>
        <v>45642.65525</v>
      </c>
      <c r="H3636" s="24" t="str">
        <f>IFERROR(VLOOKUP(B3636,material!A:D,3,0),"")</f>
        <v>4K</v>
      </c>
    </row>
    <row r="3637" ht="11.25" customHeight="1">
      <c r="A3637" s="21" t="str">
        <f>IFERROR(__xludf.DUMMYFUNCTION("""COMPUTED_VALUE"""),"TECHNICOLOR TC7337NET")</f>
        <v>TECHNICOLOR TC7337NET</v>
      </c>
      <c r="B3637" s="22">
        <f>IFERROR(__xludf.DUMMYFUNCTION("""COMPUTED_VALUE"""),4.1001294E7)</f>
        <v>41001294</v>
      </c>
      <c r="C3637" s="21" t="str">
        <f>IFERROR(__xludf.DUMMYFUNCTION("""COMPUTED_VALUE"""),"383FB3A635DE")</f>
        <v>383FB3A635DE</v>
      </c>
      <c r="D3637" s="21" t="str">
        <f>IFERROR(__xludf.DUMMYFUNCTION("""COMPUTED_VALUE"""),"DIGITEC TECNOLOGIA DIGITAL E REPRES")</f>
        <v>DIGITEC TECNOLOGIA DIGITAL E REPRES</v>
      </c>
      <c r="E3637" s="21">
        <f>IFERROR(__xludf.DUMMYFUNCTION("""COMPUTED_VALUE"""),145359.0)</f>
        <v>145359</v>
      </c>
      <c r="F3637" s="21" t="str">
        <f>IFERROR(__xludf.DUMMYFUNCTION("""COMPUTED_VALUE"""),"SUSPEITO")</f>
        <v>SUSPEITO</v>
      </c>
      <c r="G3637" s="23">
        <f>IFERROR(__xludf.DUMMYFUNCTION("""COMPUTED_VALUE"""),45643.67423611111)</f>
        <v>45643.67424</v>
      </c>
      <c r="H3637" s="24" t="str">
        <f>IFERROR(VLOOKUP(B3637,material!A:D,3,0),"")</f>
        <v>DUAL</v>
      </c>
    </row>
    <row r="3638" ht="11.25" customHeight="1">
      <c r="A3638" s="21" t="str">
        <f>IFERROR(__xludf.DUMMYFUNCTION("""COMPUTED_VALUE"""),"TECHNICOLOR TC7337NET")</f>
        <v>TECHNICOLOR TC7337NET</v>
      </c>
      <c r="B3638" s="22">
        <f>IFERROR(__xludf.DUMMYFUNCTION("""COMPUTED_VALUE"""),4.1001294E7)</f>
        <v>41001294</v>
      </c>
      <c r="C3638" s="21" t="str">
        <f>IFERROR(__xludf.DUMMYFUNCTION("""COMPUTED_VALUE"""),"383FB3A9F1CE")</f>
        <v>383FB3A9F1CE</v>
      </c>
      <c r="D3638" s="21" t="str">
        <f>IFERROR(__xludf.DUMMYFUNCTION("""COMPUTED_VALUE"""),"DIGITEC TECNOLOGIA DIGITAL E REPRES")</f>
        <v>DIGITEC TECNOLOGIA DIGITAL E REPRES</v>
      </c>
      <c r="E3638" s="21">
        <f>IFERROR(__xludf.DUMMYFUNCTION("""COMPUTED_VALUE"""),145359.0)</f>
        <v>145359</v>
      </c>
      <c r="F3638" s="21" t="str">
        <f>IFERROR(__xludf.DUMMYFUNCTION("""COMPUTED_VALUE"""),"SUSPEITO")</f>
        <v>SUSPEITO</v>
      </c>
      <c r="G3638" s="23">
        <f>IFERROR(__xludf.DUMMYFUNCTION("""COMPUTED_VALUE"""),45639.38806712963)</f>
        <v>45639.38807</v>
      </c>
      <c r="H3638" s="24" t="str">
        <f>IFERROR(VLOOKUP(B3638,material!A:D,3,0),"")</f>
        <v>DUAL</v>
      </c>
    </row>
    <row r="3639" ht="11.25" customHeight="1">
      <c r="A3639" s="21" t="str">
        <f>IFERROR(__xludf.DUMMYFUNCTION("""COMPUTED_VALUE"""),"TECHNICOLOR TC7337NET")</f>
        <v>TECHNICOLOR TC7337NET</v>
      </c>
      <c r="B3639" s="22">
        <f>IFERROR(__xludf.DUMMYFUNCTION("""COMPUTED_VALUE"""),4.1001294E7)</f>
        <v>41001294</v>
      </c>
      <c r="C3639" s="21" t="str">
        <f>IFERROR(__xludf.DUMMYFUNCTION("""COMPUTED_VALUE"""),"54A65C10F53D")</f>
        <v>54A65C10F53D</v>
      </c>
      <c r="D3639" s="21" t="str">
        <f>IFERROR(__xludf.DUMMYFUNCTION("""COMPUTED_VALUE"""),"DIGITEC TECNOLOGIA DIGITAL E REPRES")</f>
        <v>DIGITEC TECNOLOGIA DIGITAL E REPRES</v>
      </c>
      <c r="E3639" s="21">
        <f>IFERROR(__xludf.DUMMYFUNCTION("""COMPUTED_VALUE"""),145359.0)</f>
        <v>145359</v>
      </c>
      <c r="F3639" s="21" t="str">
        <f>IFERROR(__xludf.DUMMYFUNCTION("""COMPUTED_VALUE"""),"SUSPEITO")</f>
        <v>SUSPEITO</v>
      </c>
      <c r="G3639" s="23">
        <f>IFERROR(__xludf.DUMMYFUNCTION("""COMPUTED_VALUE"""),45636.53576388889)</f>
        <v>45636.53576</v>
      </c>
      <c r="H3639" s="24" t="str">
        <f>IFERROR(VLOOKUP(B3639,material!A:D,3,0),"")</f>
        <v>DUAL</v>
      </c>
    </row>
    <row r="3640" ht="11.25" customHeight="1">
      <c r="A3640" s="21" t="str">
        <f>IFERROR(__xludf.DUMMYFUNCTION("""COMPUTED_VALUE"""),"TECHNICOLOR TC7337NET")</f>
        <v>TECHNICOLOR TC7337NET</v>
      </c>
      <c r="B3640" s="22">
        <f>IFERROR(__xludf.DUMMYFUNCTION("""COMPUTED_VALUE"""),4.1001294E7)</f>
        <v>41001294</v>
      </c>
      <c r="C3640" s="21" t="str">
        <f>IFERROR(__xludf.DUMMYFUNCTION("""COMPUTED_VALUE"""),"54A65C0EB47A")</f>
        <v>54A65C0EB47A</v>
      </c>
      <c r="D3640" s="21" t="str">
        <f>IFERROR(__xludf.DUMMYFUNCTION("""COMPUTED_VALUE"""),"DIGITEC TECNOLOGIA DIGITAL E REPRES")</f>
        <v>DIGITEC TECNOLOGIA DIGITAL E REPRES</v>
      </c>
      <c r="E3640" s="21">
        <f>IFERROR(__xludf.DUMMYFUNCTION("""COMPUTED_VALUE"""),145359.0)</f>
        <v>145359</v>
      </c>
      <c r="F3640" s="21" t="str">
        <f>IFERROR(__xludf.DUMMYFUNCTION("""COMPUTED_VALUE"""),"SUSPEITO")</f>
        <v>SUSPEITO</v>
      </c>
      <c r="G3640" s="23">
        <f>IFERROR(__xludf.DUMMYFUNCTION("""COMPUTED_VALUE"""),45638.6703125)</f>
        <v>45638.67031</v>
      </c>
      <c r="H3640" s="24" t="str">
        <f>IFERROR(VLOOKUP(B3640,material!A:D,3,0),"")</f>
        <v>DUAL</v>
      </c>
    </row>
    <row r="3641" ht="11.25" customHeight="1">
      <c r="A3641" s="21" t="str">
        <f>IFERROR(__xludf.DUMMYFUNCTION("""COMPUTED_VALUE"""),"TECHNICOLOR TC7337NET")</f>
        <v>TECHNICOLOR TC7337NET</v>
      </c>
      <c r="B3641" s="22">
        <f>IFERROR(__xludf.DUMMYFUNCTION("""COMPUTED_VALUE"""),4.1001294E7)</f>
        <v>41001294</v>
      </c>
      <c r="C3641" s="21" t="str">
        <f>IFERROR(__xludf.DUMMYFUNCTION("""COMPUTED_VALUE"""),"D4B92F2C1942")</f>
        <v>D4B92F2C1942</v>
      </c>
      <c r="D3641" s="21" t="str">
        <f>IFERROR(__xludf.DUMMYFUNCTION("""COMPUTED_VALUE"""),"DIGITEC TECNOLOGIA DIGITAL E REPRES")</f>
        <v>DIGITEC TECNOLOGIA DIGITAL E REPRES</v>
      </c>
      <c r="E3641" s="21">
        <f>IFERROR(__xludf.DUMMYFUNCTION("""COMPUTED_VALUE"""),145359.0)</f>
        <v>145359</v>
      </c>
      <c r="F3641" s="21" t="str">
        <f>IFERROR(__xludf.DUMMYFUNCTION("""COMPUTED_VALUE"""),"SUSPEITO")</f>
        <v>SUSPEITO</v>
      </c>
      <c r="G3641" s="23">
        <f>IFERROR(__xludf.DUMMYFUNCTION("""COMPUTED_VALUE"""),45633.670960648145)</f>
        <v>45633.67096</v>
      </c>
      <c r="H3641" s="24" t="str">
        <f>IFERROR(VLOOKUP(B3641,material!A:D,3,0),"")</f>
        <v>DUAL</v>
      </c>
    </row>
    <row r="3642" ht="11.25" customHeight="1">
      <c r="A3642" s="21" t="str">
        <f>IFERROR(__xludf.DUMMYFUNCTION("""COMPUTED_VALUE"""),"ARRIS TG1692A")</f>
        <v>ARRIS TG1692A</v>
      </c>
      <c r="B3642" s="22">
        <f>IFERROR(__xludf.DUMMYFUNCTION("""COMPUTED_VALUE"""),4.1001293E7)</f>
        <v>41001293</v>
      </c>
      <c r="C3642" s="21" t="str">
        <f>IFERROR(__xludf.DUMMYFUNCTION("""COMPUTED_VALUE"""),"4C1265E737B9")</f>
        <v>4C1265E737B9</v>
      </c>
      <c r="D3642" s="21" t="str">
        <f>IFERROR(__xludf.DUMMYFUNCTION("""COMPUTED_VALUE"""),"DIGITEC TECNOLOGIA DIGITAL E REPRES")</f>
        <v>DIGITEC TECNOLOGIA DIGITAL E REPRES</v>
      </c>
      <c r="E3642" s="21">
        <f>IFERROR(__xludf.DUMMYFUNCTION("""COMPUTED_VALUE"""),145359.0)</f>
        <v>145359</v>
      </c>
      <c r="F3642" s="21" t="str">
        <f>IFERROR(__xludf.DUMMYFUNCTION("""COMPUTED_VALUE"""),"SUSPEITO")</f>
        <v>SUSPEITO</v>
      </c>
      <c r="G3642" s="23">
        <f>IFERROR(__xludf.DUMMYFUNCTION("""COMPUTED_VALUE"""),45639.75277777778)</f>
        <v>45639.75278</v>
      </c>
      <c r="H3642" s="24" t="str">
        <f>IFERROR(VLOOKUP(B3642,material!A:D,3,0),"")</f>
        <v>DUAL</v>
      </c>
    </row>
    <row r="3643" ht="11.25" customHeight="1">
      <c r="A3643" s="21" t="str">
        <f>IFERROR(__xludf.DUMMYFUNCTION("""COMPUTED_VALUE"""),"ARRIS TG1692A")</f>
        <v>ARRIS TG1692A</v>
      </c>
      <c r="B3643" s="22">
        <f>IFERROR(__xludf.DUMMYFUNCTION("""COMPUTED_VALUE"""),4.1001293E7)</f>
        <v>41001293</v>
      </c>
      <c r="C3643" s="21" t="str">
        <f>IFERROR(__xludf.DUMMYFUNCTION("""COMPUTED_VALUE"""),"F8F53255536F")</f>
        <v>F8F53255536F</v>
      </c>
      <c r="D3643" s="21" t="str">
        <f>IFERROR(__xludf.DUMMYFUNCTION("""COMPUTED_VALUE"""),"DIGITEC TECNOLOGIA DIGITAL E REPRES")</f>
        <v>DIGITEC TECNOLOGIA DIGITAL E REPRES</v>
      </c>
      <c r="E3643" s="21">
        <f>IFERROR(__xludf.DUMMYFUNCTION("""COMPUTED_VALUE"""),145359.0)</f>
        <v>145359</v>
      </c>
      <c r="F3643" s="21" t="str">
        <f>IFERROR(__xludf.DUMMYFUNCTION("""COMPUTED_VALUE"""),"SUSPEITO")</f>
        <v>SUSPEITO</v>
      </c>
      <c r="G3643" s="23">
        <f>IFERROR(__xludf.DUMMYFUNCTION("""COMPUTED_VALUE"""),45642.4443287037)</f>
        <v>45642.44433</v>
      </c>
      <c r="H3643" s="24" t="str">
        <f>IFERROR(VLOOKUP(B3643,material!A:D,3,0),"")</f>
        <v>DUAL</v>
      </c>
    </row>
    <row r="3644" ht="11.25" customHeight="1">
      <c r="A3644" s="21" t="str">
        <f>IFERROR(__xludf.DUMMYFUNCTION("""COMPUTED_VALUE"""),"ARRIS TG1692A")</f>
        <v>ARRIS TG1692A</v>
      </c>
      <c r="B3644" s="22">
        <f>IFERROR(__xludf.DUMMYFUNCTION("""COMPUTED_VALUE"""),4.1001293E7)</f>
        <v>41001293</v>
      </c>
      <c r="C3644" s="21" t="str">
        <f>IFERROR(__xludf.DUMMYFUNCTION("""COMPUTED_VALUE"""),"2C9569F61ACB")</f>
        <v>2C9569F61ACB</v>
      </c>
      <c r="D3644" s="21" t="str">
        <f>IFERROR(__xludf.DUMMYFUNCTION("""COMPUTED_VALUE"""),"DIGITEC TECNOLOGIA DIGITAL E REPRES")</f>
        <v>DIGITEC TECNOLOGIA DIGITAL E REPRES</v>
      </c>
      <c r="E3644" s="21">
        <f>IFERROR(__xludf.DUMMYFUNCTION("""COMPUTED_VALUE"""),145359.0)</f>
        <v>145359</v>
      </c>
      <c r="F3644" s="21" t="str">
        <f>IFERROR(__xludf.DUMMYFUNCTION("""COMPUTED_VALUE"""),"SUSPEITO")</f>
        <v>SUSPEITO</v>
      </c>
      <c r="G3644" s="23">
        <f>IFERROR(__xludf.DUMMYFUNCTION("""COMPUTED_VALUE"""),45637.41917824074)</f>
        <v>45637.41918</v>
      </c>
      <c r="H3644" s="24" t="str">
        <f>IFERROR(VLOOKUP(B3644,material!A:D,3,0),"")</f>
        <v>DUAL</v>
      </c>
    </row>
    <row r="3645" ht="11.25" customHeight="1">
      <c r="A3645" s="21" t="str">
        <f>IFERROR(__xludf.DUMMYFUNCTION("""COMPUTED_VALUE"""),"ARRIS TG1692A")</f>
        <v>ARRIS TG1692A</v>
      </c>
      <c r="B3645" s="22">
        <f>IFERROR(__xludf.DUMMYFUNCTION("""COMPUTED_VALUE"""),4.1001293E7)</f>
        <v>41001293</v>
      </c>
      <c r="C3645" s="21" t="str">
        <f>IFERROR(__xludf.DUMMYFUNCTION("""COMPUTED_VALUE"""),"F8F5325528F9")</f>
        <v>F8F5325528F9</v>
      </c>
      <c r="D3645" s="21" t="str">
        <f>IFERROR(__xludf.DUMMYFUNCTION("""COMPUTED_VALUE"""),"DIGITEC TECNOLOGIA DIGITAL E REPRES")</f>
        <v>DIGITEC TECNOLOGIA DIGITAL E REPRES</v>
      </c>
      <c r="E3645" s="21">
        <f>IFERROR(__xludf.DUMMYFUNCTION("""COMPUTED_VALUE"""),145359.0)</f>
        <v>145359</v>
      </c>
      <c r="F3645" s="21" t="str">
        <f>IFERROR(__xludf.DUMMYFUNCTION("""COMPUTED_VALUE"""),"SUSPEITO")</f>
        <v>SUSPEITO</v>
      </c>
      <c r="G3645" s="23">
        <f>IFERROR(__xludf.DUMMYFUNCTION("""COMPUTED_VALUE"""),45643.37893518519)</f>
        <v>45643.37894</v>
      </c>
      <c r="H3645" s="24" t="str">
        <f>IFERROR(VLOOKUP(B3645,material!A:D,3,0),"")</f>
        <v>DUAL</v>
      </c>
    </row>
    <row r="3646" ht="11.25" customHeight="1">
      <c r="A3646" s="21" t="str">
        <f>IFERROR(__xludf.DUMMYFUNCTION("""COMPUTED_VALUE"""),"ARRIS TG1692A")</f>
        <v>ARRIS TG1692A</v>
      </c>
      <c r="B3646" s="22">
        <f>IFERROR(__xludf.DUMMYFUNCTION("""COMPUTED_VALUE"""),4.1001293E7)</f>
        <v>41001293</v>
      </c>
      <c r="C3646" s="21" t="str">
        <f>IFERROR(__xludf.DUMMYFUNCTION("""COMPUTED_VALUE"""),"CC75E2BAA81A")</f>
        <v>CC75E2BAA81A</v>
      </c>
      <c r="D3646" s="21" t="str">
        <f>IFERROR(__xludf.DUMMYFUNCTION("""COMPUTED_VALUE"""),"DIGITEC TECNOLOGIA DIGITAL E REPRES")</f>
        <v>DIGITEC TECNOLOGIA DIGITAL E REPRES</v>
      </c>
      <c r="E3646" s="21">
        <f>IFERROR(__xludf.DUMMYFUNCTION("""COMPUTED_VALUE"""),145359.0)</f>
        <v>145359</v>
      </c>
      <c r="F3646" s="21" t="str">
        <f>IFERROR(__xludf.DUMMYFUNCTION("""COMPUTED_VALUE"""),"SUSPEITO")</f>
        <v>SUSPEITO</v>
      </c>
      <c r="G3646" s="23">
        <f>IFERROR(__xludf.DUMMYFUNCTION("""COMPUTED_VALUE"""),45639.49239583334)</f>
        <v>45639.4924</v>
      </c>
      <c r="H3646" s="24" t="str">
        <f>IFERROR(VLOOKUP(B3646,material!A:D,3,0),"")</f>
        <v>DUAL</v>
      </c>
    </row>
    <row r="3647" ht="11.25" customHeight="1">
      <c r="A3647" s="21" t="str">
        <f>IFERROR(__xludf.DUMMYFUNCTION("""COMPUTED_VALUE"""),"ARRIS TG1692A")</f>
        <v>ARRIS TG1692A</v>
      </c>
      <c r="B3647" s="22">
        <f>IFERROR(__xludf.DUMMYFUNCTION("""COMPUTED_VALUE"""),4.1001293E7)</f>
        <v>41001293</v>
      </c>
      <c r="C3647" s="21" t="str">
        <f>IFERROR(__xludf.DUMMYFUNCTION("""COMPUTED_VALUE"""),"A8F5DDEAF563")</f>
        <v>A8F5DDEAF563</v>
      </c>
      <c r="D3647" s="21" t="str">
        <f>IFERROR(__xludf.DUMMYFUNCTION("""COMPUTED_VALUE"""),"DIGITEC TECNOLOGIA DIGITAL E REPRES")</f>
        <v>DIGITEC TECNOLOGIA DIGITAL E REPRES</v>
      </c>
      <c r="E3647" s="21">
        <f>IFERROR(__xludf.DUMMYFUNCTION("""COMPUTED_VALUE"""),145359.0)</f>
        <v>145359</v>
      </c>
      <c r="F3647" s="21" t="str">
        <f>IFERROR(__xludf.DUMMYFUNCTION("""COMPUTED_VALUE"""),"SUSPEITO")</f>
        <v>SUSPEITO</v>
      </c>
      <c r="G3647" s="23">
        <f>IFERROR(__xludf.DUMMYFUNCTION("""COMPUTED_VALUE"""),45638.38775462963)</f>
        <v>45638.38775</v>
      </c>
      <c r="H3647" s="24" t="str">
        <f>IFERROR(VLOOKUP(B3647,material!A:D,3,0),"")</f>
        <v>DUAL</v>
      </c>
    </row>
    <row r="3648" ht="11.25" customHeight="1">
      <c r="A3648" s="21" t="str">
        <f>IFERROR(__xludf.DUMMYFUNCTION("""COMPUTED_VALUE"""),"ARRIS TG1692A")</f>
        <v>ARRIS TG1692A</v>
      </c>
      <c r="B3648" s="22">
        <f>IFERROR(__xludf.DUMMYFUNCTION("""COMPUTED_VALUE"""),4.1001293E7)</f>
        <v>41001293</v>
      </c>
      <c r="C3648" s="21" t="str">
        <f>IFERROR(__xludf.DUMMYFUNCTION("""COMPUTED_VALUE"""),"A8F5DDED39E0")</f>
        <v>A8F5DDED39E0</v>
      </c>
      <c r="D3648" s="21" t="str">
        <f>IFERROR(__xludf.DUMMYFUNCTION("""COMPUTED_VALUE"""),"DIGITEC TECNOLOGIA DIGITAL E REPRES")</f>
        <v>DIGITEC TECNOLOGIA DIGITAL E REPRES</v>
      </c>
      <c r="E3648" s="21">
        <f>IFERROR(__xludf.DUMMYFUNCTION("""COMPUTED_VALUE"""),145359.0)</f>
        <v>145359</v>
      </c>
      <c r="F3648" s="21" t="str">
        <f>IFERROR(__xludf.DUMMYFUNCTION("""COMPUTED_VALUE"""),"SUSPEITO")</f>
        <v>SUSPEITO</v>
      </c>
      <c r="G3648" s="23">
        <f>IFERROR(__xludf.DUMMYFUNCTION("""COMPUTED_VALUE"""),45639.59762731481)</f>
        <v>45639.59763</v>
      </c>
      <c r="H3648" s="24" t="str">
        <f>IFERROR(VLOOKUP(B3648,material!A:D,3,0),"")</f>
        <v>DUAL</v>
      </c>
    </row>
    <row r="3649" ht="11.25" customHeight="1">
      <c r="A3649" s="21" t="str">
        <f>IFERROR(__xludf.DUMMYFUNCTION("""COMPUTED_VALUE"""),"ARRIS TG1692A")</f>
        <v>ARRIS TG1692A</v>
      </c>
      <c r="B3649" s="22">
        <f>IFERROR(__xludf.DUMMYFUNCTION("""COMPUTED_VALUE"""),4.1001293E7)</f>
        <v>41001293</v>
      </c>
      <c r="C3649" s="21" t="str">
        <f>IFERROR(__xludf.DUMMYFUNCTION("""COMPUTED_VALUE"""),"88EF1625626F")</f>
        <v>88EF1625626F</v>
      </c>
      <c r="D3649" s="21" t="str">
        <f>IFERROR(__xludf.DUMMYFUNCTION("""COMPUTED_VALUE"""),"DIGITEC TECNOLOGIA DIGITAL E REPRES")</f>
        <v>DIGITEC TECNOLOGIA DIGITAL E REPRES</v>
      </c>
      <c r="E3649" s="21">
        <f>IFERROR(__xludf.DUMMYFUNCTION("""COMPUTED_VALUE"""),145359.0)</f>
        <v>145359</v>
      </c>
      <c r="F3649" s="21" t="str">
        <f>IFERROR(__xludf.DUMMYFUNCTION("""COMPUTED_VALUE"""),"SUSPEITO")</f>
        <v>SUSPEITO</v>
      </c>
      <c r="G3649" s="23">
        <f>IFERROR(__xludf.DUMMYFUNCTION("""COMPUTED_VALUE"""),45639.44321759259)</f>
        <v>45639.44322</v>
      </c>
      <c r="H3649" s="24" t="str">
        <f>IFERROR(VLOOKUP(B3649,material!A:D,3,0),"")</f>
        <v>DUAL</v>
      </c>
    </row>
    <row r="3650" ht="11.25" customHeight="1">
      <c r="A3650" s="21" t="str">
        <f>IFERROR(__xludf.DUMMYFUNCTION("""COMPUTED_VALUE"""),"ARRIS TG1692A")</f>
        <v>ARRIS TG1692A</v>
      </c>
      <c r="B3650" s="22">
        <f>IFERROR(__xludf.DUMMYFUNCTION("""COMPUTED_VALUE"""),4.1001293E7)</f>
        <v>41001293</v>
      </c>
      <c r="C3650" s="21" t="str">
        <f>IFERROR(__xludf.DUMMYFUNCTION("""COMPUTED_VALUE"""),"4C1265387FF3")</f>
        <v>4C1265387FF3</v>
      </c>
      <c r="D3650" s="21" t="str">
        <f>IFERROR(__xludf.DUMMYFUNCTION("""COMPUTED_VALUE"""),"DIGITEC TECNOLOGIA DIGITAL E REPRES")</f>
        <v>DIGITEC TECNOLOGIA DIGITAL E REPRES</v>
      </c>
      <c r="E3650" s="21">
        <f>IFERROR(__xludf.DUMMYFUNCTION("""COMPUTED_VALUE"""),145359.0)</f>
        <v>145359</v>
      </c>
      <c r="F3650" s="21" t="str">
        <f>IFERROR(__xludf.DUMMYFUNCTION("""COMPUTED_VALUE"""),"SUSPEITO")</f>
        <v>SUSPEITO</v>
      </c>
      <c r="G3650" s="23">
        <f>IFERROR(__xludf.DUMMYFUNCTION("""COMPUTED_VALUE"""),45639.62048611111)</f>
        <v>45639.62049</v>
      </c>
      <c r="H3650" s="24" t="str">
        <f>IFERROR(VLOOKUP(B3650,material!A:D,3,0),"")</f>
        <v>DUAL</v>
      </c>
    </row>
    <row r="3651" ht="11.25" customHeight="1">
      <c r="A3651" s="21" t="str">
        <f>IFERROR(__xludf.DUMMYFUNCTION("""COMPUTED_VALUE"""),"ARRIS TG1692A")</f>
        <v>ARRIS TG1692A</v>
      </c>
      <c r="B3651" s="22">
        <f>IFERROR(__xludf.DUMMYFUNCTION("""COMPUTED_VALUE"""),4.1001293E7)</f>
        <v>41001293</v>
      </c>
      <c r="C3651" s="21" t="str">
        <f>IFERROR(__xludf.DUMMYFUNCTION("""COMPUTED_VALUE"""),"2C584F34E43E")</f>
        <v>2C584F34E43E</v>
      </c>
      <c r="D3651" s="21" t="str">
        <f>IFERROR(__xludf.DUMMYFUNCTION("""COMPUTED_VALUE"""),"DIGITEC TECNOLOGIA DIGITAL E REPRES")</f>
        <v>DIGITEC TECNOLOGIA DIGITAL E REPRES</v>
      </c>
      <c r="E3651" s="21">
        <f>IFERROR(__xludf.DUMMYFUNCTION("""COMPUTED_VALUE"""),145359.0)</f>
        <v>145359</v>
      </c>
      <c r="F3651" s="21" t="str">
        <f>IFERROR(__xludf.DUMMYFUNCTION("""COMPUTED_VALUE"""),"SUSPEITO")</f>
        <v>SUSPEITO</v>
      </c>
      <c r="G3651" s="23">
        <f>IFERROR(__xludf.DUMMYFUNCTION("""COMPUTED_VALUE"""),45642.624560185184)</f>
        <v>45642.62456</v>
      </c>
      <c r="H3651" s="24" t="str">
        <f>IFERROR(VLOOKUP(B3651,material!A:D,3,0),"")</f>
        <v>DUAL</v>
      </c>
    </row>
    <row r="3652" ht="11.25" customHeight="1">
      <c r="A3652" s="21" t="str">
        <f>IFERROR(__xludf.DUMMYFUNCTION("""COMPUTED_VALUE"""),"HUMAX HGB10R-02")</f>
        <v>HUMAX HGB10R-02</v>
      </c>
      <c r="B3652" s="22">
        <f>IFERROR(__xludf.DUMMYFUNCTION("""COMPUTED_VALUE"""),4.1001292E7)</f>
        <v>41001292</v>
      </c>
      <c r="C3652" s="21" t="str">
        <f>IFERROR(__xludf.DUMMYFUNCTION("""COMPUTED_VALUE"""),"8C444F3BF83B")</f>
        <v>8C444F3BF83B</v>
      </c>
      <c r="D3652" s="21" t="str">
        <f>IFERROR(__xludf.DUMMYFUNCTION("""COMPUTED_VALUE"""),"DIGITEC TECNOLOGIA DIGITAL E REPRES")</f>
        <v>DIGITEC TECNOLOGIA DIGITAL E REPRES</v>
      </c>
      <c r="E3652" s="21">
        <f>IFERROR(__xludf.DUMMYFUNCTION("""COMPUTED_VALUE"""),145359.0)</f>
        <v>145359</v>
      </c>
      <c r="F3652" s="21" t="str">
        <f>IFERROR(__xludf.DUMMYFUNCTION("""COMPUTED_VALUE"""),"SUSPEITO")</f>
        <v>SUSPEITO</v>
      </c>
      <c r="G3652" s="23">
        <f>IFERROR(__xludf.DUMMYFUNCTION("""COMPUTED_VALUE"""),45622.46581018518)</f>
        <v>45622.46581</v>
      </c>
      <c r="H3652" s="24" t="str">
        <f>IFERROR(VLOOKUP(B3652,material!A:D,3,0),"")</f>
        <v>DUAL</v>
      </c>
    </row>
    <row r="3653" ht="11.25" customHeight="1">
      <c r="A3653" s="21" t="str">
        <f>IFERROR(__xludf.DUMMYFUNCTION("""COMPUTED_VALUE"""),"HUMAX HGB10R-02")</f>
        <v>HUMAX HGB10R-02</v>
      </c>
      <c r="B3653" s="22">
        <f>IFERROR(__xludf.DUMMYFUNCTION("""COMPUTED_VALUE"""),4.1001292E7)</f>
        <v>41001292</v>
      </c>
      <c r="C3653" s="21" t="str">
        <f>IFERROR(__xludf.DUMMYFUNCTION("""COMPUTED_VALUE"""),"8C444F1B2478")</f>
        <v>8C444F1B2478</v>
      </c>
      <c r="D3653" s="21" t="str">
        <f>IFERROR(__xludf.DUMMYFUNCTION("""COMPUTED_VALUE"""),"DIGITEC TECNOLOGIA DIGITAL E REPRES")</f>
        <v>DIGITEC TECNOLOGIA DIGITAL E REPRES</v>
      </c>
      <c r="E3653" s="21">
        <f>IFERROR(__xludf.DUMMYFUNCTION("""COMPUTED_VALUE"""),145359.0)</f>
        <v>145359</v>
      </c>
      <c r="F3653" s="21" t="str">
        <f>IFERROR(__xludf.DUMMYFUNCTION("""COMPUTED_VALUE"""),"SUSPEITO")</f>
        <v>SUSPEITO</v>
      </c>
      <c r="G3653" s="23">
        <f>IFERROR(__xludf.DUMMYFUNCTION("""COMPUTED_VALUE"""),45638.41793981481)</f>
        <v>45638.41794</v>
      </c>
      <c r="H3653" s="24" t="str">
        <f>IFERROR(VLOOKUP(B3653,material!A:D,3,0),"")</f>
        <v>DUAL</v>
      </c>
    </row>
    <row r="3654" ht="11.25" customHeight="1">
      <c r="A3654" s="21" t="str">
        <f>IFERROR(__xludf.DUMMYFUNCTION("""COMPUTED_VALUE"""),"HUMAX HGB10R-02")</f>
        <v>HUMAX HGB10R-02</v>
      </c>
      <c r="B3654" s="22">
        <f>IFERROR(__xludf.DUMMYFUNCTION("""COMPUTED_VALUE"""),4.1001292E7)</f>
        <v>41001292</v>
      </c>
      <c r="C3654" s="21" t="str">
        <f>IFERROR(__xludf.DUMMYFUNCTION("""COMPUTED_VALUE"""),"E820E2987422")</f>
        <v>E820E2987422</v>
      </c>
      <c r="D3654" s="21" t="str">
        <f>IFERROR(__xludf.DUMMYFUNCTION("""COMPUTED_VALUE"""),"DIGITEC TECNOLOGIA DIGITAL E REPRES")</f>
        <v>DIGITEC TECNOLOGIA DIGITAL E REPRES</v>
      </c>
      <c r="E3654" s="21">
        <f>IFERROR(__xludf.DUMMYFUNCTION("""COMPUTED_VALUE"""),145359.0)</f>
        <v>145359</v>
      </c>
      <c r="F3654" s="21" t="str">
        <f>IFERROR(__xludf.DUMMYFUNCTION("""COMPUTED_VALUE"""),"SUSPEITO")</f>
        <v>SUSPEITO</v>
      </c>
      <c r="G3654" s="23">
        <f>IFERROR(__xludf.DUMMYFUNCTION("""COMPUTED_VALUE"""),45636.66268518519)</f>
        <v>45636.66269</v>
      </c>
      <c r="H3654" s="24" t="str">
        <f>IFERROR(VLOOKUP(B3654,material!A:D,3,0),"")</f>
        <v>DUAL</v>
      </c>
    </row>
    <row r="3655" ht="11.25" customHeight="1">
      <c r="A3655" s="21" t="str">
        <f>IFERROR(__xludf.DUMMYFUNCTION("""COMPUTED_VALUE"""),"HUMAX HGB10R-02")</f>
        <v>HUMAX HGB10R-02</v>
      </c>
      <c r="B3655" s="22">
        <f>IFERROR(__xludf.DUMMYFUNCTION("""COMPUTED_VALUE"""),4.1001292E7)</f>
        <v>41001292</v>
      </c>
      <c r="C3655" s="21" t="str">
        <f>IFERROR(__xludf.DUMMYFUNCTION("""COMPUTED_VALUE"""),"8C444F7DF595")</f>
        <v>8C444F7DF595</v>
      </c>
      <c r="D3655" s="21" t="str">
        <f>IFERROR(__xludf.DUMMYFUNCTION("""COMPUTED_VALUE"""),"DIGITEC TECNOLOGIA DIGITAL E REPRES")</f>
        <v>DIGITEC TECNOLOGIA DIGITAL E REPRES</v>
      </c>
      <c r="E3655" s="21">
        <f>IFERROR(__xludf.DUMMYFUNCTION("""COMPUTED_VALUE"""),145359.0)</f>
        <v>145359</v>
      </c>
      <c r="F3655" s="21" t="str">
        <f>IFERROR(__xludf.DUMMYFUNCTION("""COMPUTED_VALUE"""),"SUSPEITO")</f>
        <v>SUSPEITO</v>
      </c>
      <c r="G3655" s="23">
        <f>IFERROR(__xludf.DUMMYFUNCTION("""COMPUTED_VALUE"""),45642.437372685185)</f>
        <v>45642.43737</v>
      </c>
      <c r="H3655" s="24" t="str">
        <f>IFERROR(VLOOKUP(B3655,material!A:D,3,0),"")</f>
        <v>DUAL</v>
      </c>
    </row>
    <row r="3656" ht="11.25" customHeight="1">
      <c r="A3656" s="21" t="str">
        <f>IFERROR(__xludf.DUMMYFUNCTION("""COMPUTED_VALUE"""),"HUMAX HGB10R-02")</f>
        <v>HUMAX HGB10R-02</v>
      </c>
      <c r="B3656" s="22">
        <f>IFERROR(__xludf.DUMMYFUNCTION("""COMPUTED_VALUE"""),4.1001292E7)</f>
        <v>41001292</v>
      </c>
      <c r="C3656" s="21" t="str">
        <f>IFERROR(__xludf.DUMMYFUNCTION("""COMPUTED_VALUE"""),"8C444F9B6B98")</f>
        <v>8C444F9B6B98</v>
      </c>
      <c r="D3656" s="21" t="str">
        <f>IFERROR(__xludf.DUMMYFUNCTION("""COMPUTED_VALUE"""),"DIGITEC TECNOLOGIA DIGITAL E REPRES")</f>
        <v>DIGITEC TECNOLOGIA DIGITAL E REPRES</v>
      </c>
      <c r="E3656" s="21">
        <f>IFERROR(__xludf.DUMMYFUNCTION("""COMPUTED_VALUE"""),145359.0)</f>
        <v>145359</v>
      </c>
      <c r="F3656" s="21" t="str">
        <f>IFERROR(__xludf.DUMMYFUNCTION("""COMPUTED_VALUE"""),"SUSPEITO")</f>
        <v>SUSPEITO</v>
      </c>
      <c r="G3656" s="23">
        <f>IFERROR(__xludf.DUMMYFUNCTION("""COMPUTED_VALUE"""),45639.49097222222)</f>
        <v>45639.49097</v>
      </c>
      <c r="H3656" s="24" t="str">
        <f>IFERROR(VLOOKUP(B3656,material!A:D,3,0),"")</f>
        <v>DUAL</v>
      </c>
    </row>
    <row r="3657" ht="11.25" customHeight="1">
      <c r="A3657" s="21" t="str">
        <f>IFERROR(__xludf.DUMMYFUNCTION("""COMPUTED_VALUE"""),"HUMAX HGB10R-02")</f>
        <v>HUMAX HGB10R-02</v>
      </c>
      <c r="B3657" s="22">
        <f>IFERROR(__xludf.DUMMYFUNCTION("""COMPUTED_VALUE"""),4.1001292E7)</f>
        <v>41001292</v>
      </c>
      <c r="C3657" s="21" t="str">
        <f>IFERROR(__xludf.DUMMYFUNCTION("""COMPUTED_VALUE"""),"8C444F5D173A")</f>
        <v>8C444F5D173A</v>
      </c>
      <c r="D3657" s="21" t="str">
        <f>IFERROR(__xludf.DUMMYFUNCTION("""COMPUTED_VALUE"""),"DIGITEC TECNOLOGIA DIGITAL E REPRES")</f>
        <v>DIGITEC TECNOLOGIA DIGITAL E REPRES</v>
      </c>
      <c r="E3657" s="21">
        <f>IFERROR(__xludf.DUMMYFUNCTION("""COMPUTED_VALUE"""),145359.0)</f>
        <v>145359</v>
      </c>
      <c r="F3657" s="21" t="str">
        <f>IFERROR(__xludf.DUMMYFUNCTION("""COMPUTED_VALUE"""),"SUSPEITO")</f>
        <v>SUSPEITO</v>
      </c>
      <c r="G3657" s="23">
        <f>IFERROR(__xludf.DUMMYFUNCTION("""COMPUTED_VALUE"""),45642.44961805556)</f>
        <v>45642.44962</v>
      </c>
      <c r="H3657" s="24" t="str">
        <f>IFERROR(VLOOKUP(B3657,material!A:D,3,0),"")</f>
        <v>DUAL</v>
      </c>
    </row>
    <row r="3658" ht="11.25" customHeight="1">
      <c r="A3658" s="21" t="str">
        <f>IFERROR(__xludf.DUMMYFUNCTION("""COMPUTED_VALUE"""),"HUMAX HGB10R-02")</f>
        <v>HUMAX HGB10R-02</v>
      </c>
      <c r="B3658" s="22">
        <f>IFERROR(__xludf.DUMMYFUNCTION("""COMPUTED_VALUE"""),4.1001292E7)</f>
        <v>41001292</v>
      </c>
      <c r="C3658" s="21" t="str">
        <f>IFERROR(__xludf.DUMMYFUNCTION("""COMPUTED_VALUE"""),"E820E2B4A0DC")</f>
        <v>E820E2B4A0DC</v>
      </c>
      <c r="D3658" s="21" t="str">
        <f>IFERROR(__xludf.DUMMYFUNCTION("""COMPUTED_VALUE"""),"DIGITEC TECNOLOGIA DIGITAL E REPRES")</f>
        <v>DIGITEC TECNOLOGIA DIGITAL E REPRES</v>
      </c>
      <c r="E3658" s="21">
        <f>IFERROR(__xludf.DUMMYFUNCTION("""COMPUTED_VALUE"""),145359.0)</f>
        <v>145359</v>
      </c>
      <c r="F3658" s="21" t="str">
        <f>IFERROR(__xludf.DUMMYFUNCTION("""COMPUTED_VALUE"""),"SUSPEITO")</f>
        <v>SUSPEITO</v>
      </c>
      <c r="G3658" s="23">
        <f>IFERROR(__xludf.DUMMYFUNCTION("""COMPUTED_VALUE"""),45639.37432870371)</f>
        <v>45639.37433</v>
      </c>
      <c r="H3658" s="24" t="str">
        <f>IFERROR(VLOOKUP(B3658,material!A:D,3,0),"")</f>
        <v>DUAL</v>
      </c>
    </row>
    <row r="3659" ht="11.25" customHeight="1">
      <c r="A3659" s="21" t="str">
        <f>IFERROR(__xludf.DUMMYFUNCTION("""COMPUTED_VALUE"""),"HUMAX HGB10R-02")</f>
        <v>HUMAX HGB10R-02</v>
      </c>
      <c r="B3659" s="22">
        <f>IFERROR(__xludf.DUMMYFUNCTION("""COMPUTED_VALUE"""),4.1001292E7)</f>
        <v>41001292</v>
      </c>
      <c r="C3659" s="21" t="str">
        <f>IFERROR(__xludf.DUMMYFUNCTION("""COMPUTED_VALUE"""),"8C444F5CE824")</f>
        <v>8C444F5CE824</v>
      </c>
      <c r="D3659" s="21" t="str">
        <f>IFERROR(__xludf.DUMMYFUNCTION("""COMPUTED_VALUE"""),"DIGITEC TECNOLOGIA DIGITAL E REPRES")</f>
        <v>DIGITEC TECNOLOGIA DIGITAL E REPRES</v>
      </c>
      <c r="E3659" s="21">
        <f>IFERROR(__xludf.DUMMYFUNCTION("""COMPUTED_VALUE"""),145359.0)</f>
        <v>145359</v>
      </c>
      <c r="F3659" s="21" t="str">
        <f>IFERROR(__xludf.DUMMYFUNCTION("""COMPUTED_VALUE"""),"SUSPEITO")</f>
        <v>SUSPEITO</v>
      </c>
      <c r="G3659" s="23">
        <f>IFERROR(__xludf.DUMMYFUNCTION("""COMPUTED_VALUE"""),45636.43006944444)</f>
        <v>45636.43007</v>
      </c>
      <c r="H3659" s="24" t="str">
        <f>IFERROR(VLOOKUP(B3659,material!A:D,3,0),"")</f>
        <v>DUAL</v>
      </c>
    </row>
    <row r="3660" ht="11.25" customHeight="1">
      <c r="A3660" s="21" t="str">
        <f>IFERROR(__xludf.DUMMYFUNCTION("""COMPUTED_VALUE"""),"HUMAX HGB10R-02")</f>
        <v>HUMAX HGB10R-02</v>
      </c>
      <c r="B3660" s="22">
        <f>IFERROR(__xludf.DUMMYFUNCTION("""COMPUTED_VALUE"""),4.1001292E7)</f>
        <v>41001292</v>
      </c>
      <c r="C3660" s="21" t="str">
        <f>IFERROR(__xludf.DUMMYFUNCTION("""COMPUTED_VALUE"""),"8C444F1D7FCF")</f>
        <v>8C444F1D7FCF</v>
      </c>
      <c r="D3660" s="21" t="str">
        <f>IFERROR(__xludf.DUMMYFUNCTION("""COMPUTED_VALUE"""),"DIGITEC TECNOLOGIA DIGITAL E REPRES")</f>
        <v>DIGITEC TECNOLOGIA DIGITAL E REPRES</v>
      </c>
      <c r="E3660" s="21">
        <f>IFERROR(__xludf.DUMMYFUNCTION("""COMPUTED_VALUE"""),145359.0)</f>
        <v>145359</v>
      </c>
      <c r="F3660" s="21" t="str">
        <f>IFERROR(__xludf.DUMMYFUNCTION("""COMPUTED_VALUE"""),"SUSPEITO")</f>
        <v>SUSPEITO</v>
      </c>
      <c r="G3660" s="23">
        <f>IFERROR(__xludf.DUMMYFUNCTION("""COMPUTED_VALUE"""),45640.4737962963)</f>
        <v>45640.4738</v>
      </c>
      <c r="H3660" s="24" t="str">
        <f>IFERROR(VLOOKUP(B3660,material!A:D,3,0),"")</f>
        <v>DUAL</v>
      </c>
    </row>
    <row r="3661" ht="11.25" customHeight="1">
      <c r="A3661" s="21" t="str">
        <f>IFERROR(__xludf.DUMMYFUNCTION("""COMPUTED_VALUE"""),"HUMAX HGB10R-02")</f>
        <v>HUMAX HGB10R-02</v>
      </c>
      <c r="B3661" s="22">
        <f>IFERROR(__xludf.DUMMYFUNCTION("""COMPUTED_VALUE"""),4.1001292E7)</f>
        <v>41001292</v>
      </c>
      <c r="C3661" s="21" t="str">
        <f>IFERROR(__xludf.DUMMYFUNCTION("""COMPUTED_VALUE"""),"8C444F03B715")</f>
        <v>8C444F03B715</v>
      </c>
      <c r="D3661" s="21" t="str">
        <f>IFERROR(__xludf.DUMMYFUNCTION("""COMPUTED_VALUE"""),"DIGITEC TECNOLOGIA DIGITAL E REPRES")</f>
        <v>DIGITEC TECNOLOGIA DIGITAL E REPRES</v>
      </c>
      <c r="E3661" s="21">
        <f>IFERROR(__xludf.DUMMYFUNCTION("""COMPUTED_VALUE"""),145359.0)</f>
        <v>145359</v>
      </c>
      <c r="F3661" s="21" t="str">
        <f>IFERROR(__xludf.DUMMYFUNCTION("""COMPUTED_VALUE"""),"SUSPEITO")</f>
        <v>SUSPEITO</v>
      </c>
      <c r="G3661" s="23">
        <f>IFERROR(__xludf.DUMMYFUNCTION("""COMPUTED_VALUE"""),45642.38986111111)</f>
        <v>45642.38986</v>
      </c>
      <c r="H3661" s="24" t="str">
        <f>IFERROR(VLOOKUP(B3661,material!A:D,3,0),"")</f>
        <v>DUAL</v>
      </c>
    </row>
    <row r="3662" ht="11.25" customHeight="1">
      <c r="A3662" s="21" t="str">
        <f>IFERROR(__xludf.DUMMYFUNCTION("""COMPUTED_VALUE"""),"DECODER HD DCI738 2T")</f>
        <v>DECODER HD DCI738 2T</v>
      </c>
      <c r="B3662" s="22">
        <f>IFERROR(__xludf.DUMMYFUNCTION("""COMPUTED_VALUE"""),4.1001275E7)</f>
        <v>41001275</v>
      </c>
      <c r="C3662" s="21" t="str">
        <f>IFERROR(__xludf.DUMMYFUNCTION("""COMPUTED_VALUE"""),"216892915267")</f>
        <v>216892915267</v>
      </c>
      <c r="D3662" s="21" t="str">
        <f>IFERROR(__xludf.DUMMYFUNCTION("""COMPUTED_VALUE"""),"DIGITEC TECNOLOGIA DIGITAL E REPRES")</f>
        <v>DIGITEC TECNOLOGIA DIGITAL E REPRES</v>
      </c>
      <c r="E3662" s="21">
        <f>IFERROR(__xludf.DUMMYFUNCTION("""COMPUTED_VALUE"""),145359.0)</f>
        <v>145359</v>
      </c>
      <c r="F3662" s="21" t="str">
        <f>IFERROR(__xludf.DUMMYFUNCTION("""COMPUTED_VALUE"""),"SUSPEITO")</f>
        <v>SUSPEITO</v>
      </c>
      <c r="G3662" s="23">
        <f>IFERROR(__xludf.DUMMYFUNCTION("""COMPUTED_VALUE"""),45642.40777777778)</f>
        <v>45642.40778</v>
      </c>
      <c r="H3662" s="24" t="str">
        <f>IFERROR(VLOOKUP(B3662,material!A:D,3,0),"")</f>
        <v>TOP MIX</v>
      </c>
    </row>
    <row r="3663" ht="11.25" customHeight="1">
      <c r="A3663" s="21" t="str">
        <f>IFERROR(__xludf.DUMMYFUNCTION("""COMPUTED_VALUE"""),"DECODER HD DCI738 2T")</f>
        <v>DECODER HD DCI738 2T</v>
      </c>
      <c r="B3663" s="22">
        <f>IFERROR(__xludf.DUMMYFUNCTION("""COMPUTED_VALUE"""),4.1001275E7)</f>
        <v>41001275</v>
      </c>
      <c r="C3663" s="21" t="str">
        <f>IFERROR(__xludf.DUMMYFUNCTION("""COMPUTED_VALUE"""),"216915093638")</f>
        <v>216915093638</v>
      </c>
      <c r="D3663" s="21" t="str">
        <f>IFERROR(__xludf.DUMMYFUNCTION("""COMPUTED_VALUE"""),"DIGITEC TECNOLOGIA DIGITAL E REPRES")</f>
        <v>DIGITEC TECNOLOGIA DIGITAL E REPRES</v>
      </c>
      <c r="E3663" s="21">
        <f>IFERROR(__xludf.DUMMYFUNCTION("""COMPUTED_VALUE"""),145359.0)</f>
        <v>145359</v>
      </c>
      <c r="F3663" s="21" t="str">
        <f>IFERROR(__xludf.DUMMYFUNCTION("""COMPUTED_VALUE"""),"SUSPEITO")</f>
        <v>SUSPEITO</v>
      </c>
      <c r="G3663" s="23">
        <f>IFERROR(__xludf.DUMMYFUNCTION("""COMPUTED_VALUE"""),45642.407800925925)</f>
        <v>45642.4078</v>
      </c>
      <c r="H3663" s="24" t="str">
        <f>IFERROR(VLOOKUP(B3663,material!A:D,3,0),"")</f>
        <v>TOP MIX</v>
      </c>
    </row>
    <row r="3664" ht="11.25" customHeight="1">
      <c r="A3664" s="21" t="str">
        <f>IFERROR(__xludf.DUMMYFUNCTION("""COMPUTED_VALUE"""),"HARD DISK 500GB EXTERNO 2.0")</f>
        <v>HARD DISK 500GB EXTERNO 2.0</v>
      </c>
      <c r="B3664" s="22">
        <f>IFERROR(__xludf.DUMMYFUNCTION("""COMPUTED_VALUE"""),4.1001376E7)</f>
        <v>41001376</v>
      </c>
      <c r="C3664" s="21" t="str">
        <f>IFERROR(__xludf.DUMMYFUNCTION("""COMPUTED_VALUE"""),"400165239597")</f>
        <v>400165239597</v>
      </c>
      <c r="D3664" s="21" t="str">
        <f>IFERROR(__xludf.DUMMYFUNCTION("""COMPUTED_VALUE"""),"DIGITEC TECNOLOGIA DIGITAL E REPRES")</f>
        <v>DIGITEC TECNOLOGIA DIGITAL E REPRES</v>
      </c>
      <c r="E3664" s="21">
        <f>IFERROR(__xludf.DUMMYFUNCTION("""COMPUTED_VALUE"""),145359.0)</f>
        <v>145359</v>
      </c>
      <c r="F3664" s="21" t="str">
        <f>IFERROR(__xludf.DUMMYFUNCTION("""COMPUTED_VALUE"""),"SUSPEITO")</f>
        <v>SUSPEITO</v>
      </c>
      <c r="G3664" s="23">
        <f>IFERROR(__xludf.DUMMYFUNCTION("""COMPUTED_VALUE"""),45639.478101851855)</f>
        <v>45639.4781</v>
      </c>
      <c r="H3664" s="24" t="str">
        <f>IFERROR(VLOOKUP(B3664,material!A:D,3,0),"")</f>
        <v>HDD</v>
      </c>
    </row>
    <row r="3665" ht="11.25" customHeight="1">
      <c r="A3665" s="21" t="str">
        <f>IFERROR(__xludf.DUMMYFUNCTION("""COMPUTED_VALUE"""),"DECODER DIGITAL HD HNB100 2T")</f>
        <v>DECODER DIGITAL HD HNB100 2T</v>
      </c>
      <c r="B3665" s="22">
        <f>IFERROR(__xludf.DUMMYFUNCTION("""COMPUTED_VALUE"""),4.1001276E7)</f>
        <v>41001276</v>
      </c>
      <c r="C3665" s="21" t="str">
        <f>IFERROR(__xludf.DUMMYFUNCTION("""COMPUTED_VALUE"""),"216871734053")</f>
        <v>216871734053</v>
      </c>
      <c r="D3665" s="21" t="str">
        <f>IFERROR(__xludf.DUMMYFUNCTION("""COMPUTED_VALUE"""),"DIGITEC TECNOLOGIA DIGITAL E REPRES")</f>
        <v>DIGITEC TECNOLOGIA DIGITAL E REPRES</v>
      </c>
      <c r="E3665" s="21">
        <f>IFERROR(__xludf.DUMMYFUNCTION("""COMPUTED_VALUE"""),145359.0)</f>
        <v>145359</v>
      </c>
      <c r="F3665" s="21" t="str">
        <f>IFERROR(__xludf.DUMMYFUNCTION("""COMPUTED_VALUE"""),"SUSPEITO")</f>
        <v>SUSPEITO</v>
      </c>
      <c r="G3665" s="23">
        <f>IFERROR(__xludf.DUMMYFUNCTION("""COMPUTED_VALUE"""),45637.36615740741)</f>
        <v>45637.36616</v>
      </c>
      <c r="H3665" s="24" t="str">
        <f>IFERROR(VLOOKUP(B3665,material!A:D,3,0),"")</f>
        <v>TOP MIX</v>
      </c>
    </row>
    <row r="3666" ht="11.25" customHeight="1">
      <c r="A3666" s="21" t="str">
        <f>IFERROR(__xludf.DUMMYFUNCTION("""COMPUTED_VALUE"""),"DECODER DIGITAL HD HNB100 2T")</f>
        <v>DECODER DIGITAL HD HNB100 2T</v>
      </c>
      <c r="B3666" s="22">
        <f>IFERROR(__xludf.DUMMYFUNCTION("""COMPUTED_VALUE"""),4.1001276E7)</f>
        <v>41001276</v>
      </c>
      <c r="C3666" s="21" t="str">
        <f>IFERROR(__xludf.DUMMYFUNCTION("""COMPUTED_VALUE"""),"216908276171")</f>
        <v>216908276171</v>
      </c>
      <c r="D3666" s="21" t="str">
        <f>IFERROR(__xludf.DUMMYFUNCTION("""COMPUTED_VALUE"""),"DIGITEC TECNOLOGIA DIGITAL E REPRES")</f>
        <v>DIGITEC TECNOLOGIA DIGITAL E REPRES</v>
      </c>
      <c r="E3666" s="21">
        <f>IFERROR(__xludf.DUMMYFUNCTION("""COMPUTED_VALUE"""),145359.0)</f>
        <v>145359</v>
      </c>
      <c r="F3666" s="21" t="str">
        <f>IFERROR(__xludf.DUMMYFUNCTION("""COMPUTED_VALUE"""),"SUSPEITO")</f>
        <v>SUSPEITO</v>
      </c>
      <c r="G3666" s="23">
        <f>IFERROR(__xludf.DUMMYFUNCTION("""COMPUTED_VALUE"""),45642.53071759259)</f>
        <v>45642.53072</v>
      </c>
      <c r="H3666" s="24" t="str">
        <f>IFERROR(VLOOKUP(B3666,material!A:D,3,0),"")</f>
        <v>TOP MIX</v>
      </c>
    </row>
    <row r="3667" ht="11.25" customHeight="1">
      <c r="A3667" s="21" t="str">
        <f>IFERROR(__xludf.DUMMYFUNCTION("""COMPUTED_VALUE"""),"SMART CARD PRETO NAGRA")</f>
        <v>SMART CARD PRETO NAGRA</v>
      </c>
      <c r="B3667" s="22">
        <f>IFERROR(__xludf.DUMMYFUNCTION("""COMPUTED_VALUE"""),4.1001234E7)</f>
        <v>41001234</v>
      </c>
      <c r="C3667" s="21" t="str">
        <f>IFERROR(__xludf.DUMMYFUNCTION("""COMPUTED_VALUE"""),"246332467692")</f>
        <v>246332467692</v>
      </c>
      <c r="D3667" s="21" t="str">
        <f>IFERROR(__xludf.DUMMYFUNCTION("""COMPUTED_VALUE"""),"DIGITEC TECNOLOGIA DIGITAL E REPRES")</f>
        <v>DIGITEC TECNOLOGIA DIGITAL E REPRES</v>
      </c>
      <c r="E3667" s="21">
        <f>IFERROR(__xludf.DUMMYFUNCTION("""COMPUTED_VALUE"""),145359.0)</f>
        <v>145359</v>
      </c>
      <c r="F3667" s="21" t="str">
        <f>IFERROR(__xludf.DUMMYFUNCTION("""COMPUTED_VALUE"""),"SUSPEITO")</f>
        <v>SUSPEITO</v>
      </c>
      <c r="G3667" s="23">
        <f>IFERROR(__xludf.DUMMYFUNCTION("""COMPUTED_VALUE"""),45603.75741898148)</f>
        <v>45603.75742</v>
      </c>
      <c r="H3667" s="24" t="str">
        <f>IFERROR(VLOOKUP(B3667,material!A:D,3,0),"")</f>
        <v>CARD</v>
      </c>
    </row>
    <row r="3668" ht="11.25" customHeight="1">
      <c r="A3668" s="21" t="str">
        <f>IFERROR(__xludf.DUMMYFUNCTION("""COMPUTED_VALUE"""),"SMART CARD PRETO NAGRA")</f>
        <v>SMART CARD PRETO NAGRA</v>
      </c>
      <c r="B3668" s="22">
        <f>IFERROR(__xludf.DUMMYFUNCTION("""COMPUTED_VALUE"""),4.1001234E7)</f>
        <v>41001234</v>
      </c>
      <c r="C3668" s="21" t="str">
        <f>IFERROR(__xludf.DUMMYFUNCTION("""COMPUTED_VALUE"""),"246328836283")</f>
        <v>246328836283</v>
      </c>
      <c r="D3668" s="21" t="str">
        <f>IFERROR(__xludf.DUMMYFUNCTION("""COMPUTED_VALUE"""),"DIGITEC TECNOLOGIA DIGITAL E REPRES")</f>
        <v>DIGITEC TECNOLOGIA DIGITAL E REPRES</v>
      </c>
      <c r="E3668" s="21">
        <f>IFERROR(__xludf.DUMMYFUNCTION("""COMPUTED_VALUE"""),145359.0)</f>
        <v>145359</v>
      </c>
      <c r="F3668" s="21" t="str">
        <f>IFERROR(__xludf.DUMMYFUNCTION("""COMPUTED_VALUE"""),"SUSPEITO")</f>
        <v>SUSPEITO</v>
      </c>
      <c r="G3668" s="23">
        <f>IFERROR(__xludf.DUMMYFUNCTION("""COMPUTED_VALUE"""),45642.407789351855)</f>
        <v>45642.40779</v>
      </c>
      <c r="H3668" s="24" t="str">
        <f>IFERROR(VLOOKUP(B3668,material!A:D,3,0),"")</f>
        <v>CARD</v>
      </c>
    </row>
    <row r="3669" ht="11.25" customHeight="1">
      <c r="A3669" s="21" t="str">
        <f>IFERROR(__xludf.DUMMYFUNCTION("""COMPUTED_VALUE"""),"TERMINAL EXTENSOR WIFI5 MESH AR2180T")</f>
        <v>TERMINAL EXTENSOR WIFI5 MESH AR2180T</v>
      </c>
      <c r="B3669" s="22">
        <f>IFERROR(__xludf.DUMMYFUNCTION("""COMPUTED_VALUE"""),4.1001567E7)</f>
        <v>41001567</v>
      </c>
      <c r="C3669" s="21" t="str">
        <f>IFERROR(__xludf.DUMMYFUNCTION("""COMPUTED_VALUE"""),"24E4CEB7E57E")</f>
        <v>24E4CEB7E57E</v>
      </c>
      <c r="D3669" s="21" t="str">
        <f>IFERROR(__xludf.DUMMYFUNCTION("""COMPUTED_VALUE"""),"DIGITEC TECNOLOGIA DIGITAL E REPRES")</f>
        <v>DIGITEC TECNOLOGIA DIGITAL E REPRES</v>
      </c>
      <c r="E3669" s="21">
        <f>IFERROR(__xludf.DUMMYFUNCTION("""COMPUTED_VALUE"""),145359.0)</f>
        <v>145359</v>
      </c>
      <c r="F3669" s="21" t="str">
        <f>IFERROR(__xludf.DUMMYFUNCTION("""COMPUTED_VALUE"""),"COM DEFEITO")</f>
        <v>COM DEFEITO</v>
      </c>
      <c r="G3669" s="23">
        <f>IFERROR(__xludf.DUMMYFUNCTION("""COMPUTED_VALUE"""),45595.63983796297)</f>
        <v>45595.63984</v>
      </c>
      <c r="H3669" s="24" t="str">
        <f>IFERROR(VLOOKUP(B3669,material!A:D,3,0),"")</f>
        <v>WIFI MESH</v>
      </c>
    </row>
    <row r="3670" ht="11.25" customHeight="1">
      <c r="A3670" s="21" t="str">
        <f>IFERROR(__xludf.DUMMYFUNCTION("""COMPUTED_VALUE"""),"TERMINAL EXTENSOR WIFI5 MESH AR2180T")</f>
        <v>TERMINAL EXTENSOR WIFI5 MESH AR2180T</v>
      </c>
      <c r="B3670" s="22">
        <f>IFERROR(__xludf.DUMMYFUNCTION("""COMPUTED_VALUE"""),4.1001567E7)</f>
        <v>41001567</v>
      </c>
      <c r="C3670" s="21" t="str">
        <f>IFERROR(__xludf.DUMMYFUNCTION("""COMPUTED_VALUE"""),"24E4CEB7D51F")</f>
        <v>24E4CEB7D51F</v>
      </c>
      <c r="D3670" s="21" t="str">
        <f>IFERROR(__xludf.DUMMYFUNCTION("""COMPUTED_VALUE"""),"DIGITEC TECNOLOGIA DIGITAL E REPRES")</f>
        <v>DIGITEC TECNOLOGIA DIGITAL E REPRES</v>
      </c>
      <c r="E3670" s="21">
        <f>IFERROR(__xludf.DUMMYFUNCTION("""COMPUTED_VALUE"""),145359.0)</f>
        <v>145359</v>
      </c>
      <c r="F3670" s="21" t="str">
        <f>IFERROR(__xludf.DUMMYFUNCTION("""COMPUTED_VALUE"""),"COM DEFEITO")</f>
        <v>COM DEFEITO</v>
      </c>
      <c r="G3670" s="23">
        <f>IFERROR(__xludf.DUMMYFUNCTION("""COMPUTED_VALUE"""),45595.63983796297)</f>
        <v>45595.63984</v>
      </c>
      <c r="H3670" s="24" t="str">
        <f>IFERROR(VLOOKUP(B3670,material!A:D,3,0),"")</f>
        <v>WIFI MESH</v>
      </c>
    </row>
    <row r="3671" ht="11.25" customHeight="1">
      <c r="A3671" s="21" t="str">
        <f>IFERROR(__xludf.DUMMYFUNCTION("""COMPUTED_VALUE"""),"TERMINAL EXTENSOR WIFI5 MESH AR2180T")</f>
        <v>TERMINAL EXTENSOR WIFI5 MESH AR2180T</v>
      </c>
      <c r="B3671" s="22">
        <f>IFERROR(__xludf.DUMMYFUNCTION("""COMPUTED_VALUE"""),4.1001567E7)</f>
        <v>41001567</v>
      </c>
      <c r="C3671" s="21" t="str">
        <f>IFERROR(__xludf.DUMMYFUNCTION("""COMPUTED_VALUE"""),"24E4CEB7DA60")</f>
        <v>24E4CEB7DA60</v>
      </c>
      <c r="D3671" s="21" t="str">
        <f>IFERROR(__xludf.DUMMYFUNCTION("""COMPUTED_VALUE"""),"DIGITEC TECNOLOGIA DIGITAL E REPRES")</f>
        <v>DIGITEC TECNOLOGIA DIGITAL E REPRES</v>
      </c>
      <c r="E3671" s="21">
        <f>IFERROR(__xludf.DUMMYFUNCTION("""COMPUTED_VALUE"""),145359.0)</f>
        <v>145359</v>
      </c>
      <c r="F3671" s="21" t="str">
        <f>IFERROR(__xludf.DUMMYFUNCTION("""COMPUTED_VALUE"""),"COM DEFEITO")</f>
        <v>COM DEFEITO</v>
      </c>
      <c r="G3671" s="23">
        <f>IFERROR(__xludf.DUMMYFUNCTION("""COMPUTED_VALUE"""),45595.63983796297)</f>
        <v>45595.63984</v>
      </c>
      <c r="H3671" s="24" t="str">
        <f>IFERROR(VLOOKUP(B3671,material!A:D,3,0),"")</f>
        <v>WIFI MESH</v>
      </c>
    </row>
    <row r="3672" ht="11.25" customHeight="1">
      <c r="A3672" s="21" t="str">
        <f>IFERROR(__xludf.DUMMYFUNCTION("""COMPUTED_VALUE"""),"TERMINAL EXTENSOR WIFI5 MESH AR2180T")</f>
        <v>TERMINAL EXTENSOR WIFI5 MESH AR2180T</v>
      </c>
      <c r="B3672" s="22">
        <f>IFERROR(__xludf.DUMMYFUNCTION("""COMPUTED_VALUE"""),4.1001567E7)</f>
        <v>41001567</v>
      </c>
      <c r="C3672" s="21" t="str">
        <f>IFERROR(__xludf.DUMMYFUNCTION("""COMPUTED_VALUE"""),"24E4CE57C3D8")</f>
        <v>24E4CE57C3D8</v>
      </c>
      <c r="D3672" s="21" t="str">
        <f>IFERROR(__xludf.DUMMYFUNCTION("""COMPUTED_VALUE"""),"DIGITEC TECNOLOGIA DIGITAL E REPRES")</f>
        <v>DIGITEC TECNOLOGIA DIGITAL E REPRES</v>
      </c>
      <c r="E3672" s="21">
        <f>IFERROR(__xludf.DUMMYFUNCTION("""COMPUTED_VALUE"""),145359.0)</f>
        <v>145359</v>
      </c>
      <c r="F3672" s="21" t="str">
        <f>IFERROR(__xludf.DUMMYFUNCTION("""COMPUTED_VALUE"""),"COM DEFEITO")</f>
        <v>COM DEFEITO</v>
      </c>
      <c r="G3672" s="23">
        <f>IFERROR(__xludf.DUMMYFUNCTION("""COMPUTED_VALUE"""),45595.63983796297)</f>
        <v>45595.63984</v>
      </c>
      <c r="H3672" s="24" t="str">
        <f>IFERROR(VLOOKUP(B3672,material!A:D,3,0),"")</f>
        <v>WIFI MESH</v>
      </c>
    </row>
    <row r="3673" ht="11.25" customHeight="1">
      <c r="A3673" s="21" t="str">
        <f>IFERROR(__xludf.DUMMYFUNCTION("""COMPUTED_VALUE"""),"TERMINAL EXTENSOR WIFI5 MESH AR2180T")</f>
        <v>TERMINAL EXTENSOR WIFI5 MESH AR2180T</v>
      </c>
      <c r="B3673" s="22">
        <f>IFERROR(__xludf.DUMMYFUNCTION("""COMPUTED_VALUE"""),4.1001567E7)</f>
        <v>41001567</v>
      </c>
      <c r="C3673" s="21" t="str">
        <f>IFERROR(__xludf.DUMMYFUNCTION("""COMPUTED_VALUE"""),"24E4CE57AEC5")</f>
        <v>24E4CE57AEC5</v>
      </c>
      <c r="D3673" s="21" t="str">
        <f>IFERROR(__xludf.DUMMYFUNCTION("""COMPUTED_VALUE"""),"DIGITEC TECNOLOGIA DIGITAL E REPRES")</f>
        <v>DIGITEC TECNOLOGIA DIGITAL E REPRES</v>
      </c>
      <c r="E3673" s="21">
        <f>IFERROR(__xludf.DUMMYFUNCTION("""COMPUTED_VALUE"""),145359.0)</f>
        <v>145359</v>
      </c>
      <c r="F3673" s="21" t="str">
        <f>IFERROR(__xludf.DUMMYFUNCTION("""COMPUTED_VALUE"""),"COM DEFEITO")</f>
        <v>COM DEFEITO</v>
      </c>
      <c r="G3673" s="23">
        <f>IFERROR(__xludf.DUMMYFUNCTION("""COMPUTED_VALUE"""),45595.63983796297)</f>
        <v>45595.63984</v>
      </c>
      <c r="H3673" s="24" t="str">
        <f>IFERROR(VLOOKUP(B3673,material!A:D,3,0),"")</f>
        <v>WIFI MESH</v>
      </c>
    </row>
    <row r="3674" ht="11.25" customHeight="1">
      <c r="A3674" s="21" t="str">
        <f>IFERROR(__xludf.DUMMYFUNCTION("""COMPUTED_VALUE"""),"TERMINAL EXTENSOR WIFI5 MESH AR2180T")</f>
        <v>TERMINAL EXTENSOR WIFI5 MESH AR2180T</v>
      </c>
      <c r="B3674" s="22">
        <f>IFERROR(__xludf.DUMMYFUNCTION("""COMPUTED_VALUE"""),4.1001567E7)</f>
        <v>41001567</v>
      </c>
      <c r="C3674" s="21" t="str">
        <f>IFERROR(__xludf.DUMMYFUNCTION("""COMPUTED_VALUE"""),"24E4CE57C0EF")</f>
        <v>24E4CE57C0EF</v>
      </c>
      <c r="D3674" s="21" t="str">
        <f>IFERROR(__xludf.DUMMYFUNCTION("""COMPUTED_VALUE"""),"DIGITEC TECNOLOGIA DIGITAL E REPRES")</f>
        <v>DIGITEC TECNOLOGIA DIGITAL E REPRES</v>
      </c>
      <c r="E3674" s="21">
        <f>IFERROR(__xludf.DUMMYFUNCTION("""COMPUTED_VALUE"""),145359.0)</f>
        <v>145359</v>
      </c>
      <c r="F3674" s="21" t="str">
        <f>IFERROR(__xludf.DUMMYFUNCTION("""COMPUTED_VALUE"""),"COM DEFEITO")</f>
        <v>COM DEFEITO</v>
      </c>
      <c r="G3674" s="23">
        <f>IFERROR(__xludf.DUMMYFUNCTION("""COMPUTED_VALUE"""),45595.63983796297)</f>
        <v>45595.63984</v>
      </c>
      <c r="H3674" s="24" t="str">
        <f>IFERROR(VLOOKUP(B3674,material!A:D,3,0),"")</f>
        <v>WIFI MESH</v>
      </c>
    </row>
    <row r="3675" ht="11.25" customHeight="1">
      <c r="A3675" s="21" t="str">
        <f>IFERROR(__xludf.DUMMYFUNCTION("""COMPUTED_VALUE"""),"TERMINAL EXTENSOR WIFI5 MESH AR2180T")</f>
        <v>TERMINAL EXTENSOR WIFI5 MESH AR2180T</v>
      </c>
      <c r="B3675" s="22">
        <f>IFERROR(__xludf.DUMMYFUNCTION("""COMPUTED_VALUE"""),4.1001567E7)</f>
        <v>41001567</v>
      </c>
      <c r="C3675" s="21" t="str">
        <f>IFERROR(__xludf.DUMMYFUNCTION("""COMPUTED_VALUE"""),"24E4CE57C23E")</f>
        <v>24E4CE57C23E</v>
      </c>
      <c r="D3675" s="21" t="str">
        <f>IFERROR(__xludf.DUMMYFUNCTION("""COMPUTED_VALUE"""),"DIGITEC TECNOLOGIA DIGITAL E REPRES")</f>
        <v>DIGITEC TECNOLOGIA DIGITAL E REPRES</v>
      </c>
      <c r="E3675" s="21">
        <f>IFERROR(__xludf.DUMMYFUNCTION("""COMPUTED_VALUE"""),145359.0)</f>
        <v>145359</v>
      </c>
      <c r="F3675" s="21" t="str">
        <f>IFERROR(__xludf.DUMMYFUNCTION("""COMPUTED_VALUE"""),"COM DEFEITO")</f>
        <v>COM DEFEITO</v>
      </c>
      <c r="G3675" s="23">
        <f>IFERROR(__xludf.DUMMYFUNCTION("""COMPUTED_VALUE"""),45595.63983796297)</f>
        <v>45595.63984</v>
      </c>
      <c r="H3675" s="24" t="str">
        <f>IFERROR(VLOOKUP(B3675,material!A:D,3,0),"")</f>
        <v>WIFI MESH</v>
      </c>
    </row>
    <row r="3676" ht="11.25" customHeight="1">
      <c r="A3676" s="21" t="str">
        <f>IFERROR(__xludf.DUMMYFUNCTION("""COMPUTED_VALUE"""),"TERMINAL EXTENSOR WIFI5 MESH AR2180T")</f>
        <v>TERMINAL EXTENSOR WIFI5 MESH AR2180T</v>
      </c>
      <c r="B3676" s="22">
        <f>IFERROR(__xludf.DUMMYFUNCTION("""COMPUTED_VALUE"""),4.1001567E7)</f>
        <v>41001567</v>
      </c>
      <c r="C3676" s="21" t="str">
        <f>IFERROR(__xludf.DUMMYFUNCTION("""COMPUTED_VALUE"""),"24E4CE57BAB9")</f>
        <v>24E4CE57BAB9</v>
      </c>
      <c r="D3676" s="21" t="str">
        <f>IFERROR(__xludf.DUMMYFUNCTION("""COMPUTED_VALUE"""),"DIGITEC TECNOLOGIA DIGITAL E REPRES")</f>
        <v>DIGITEC TECNOLOGIA DIGITAL E REPRES</v>
      </c>
      <c r="E3676" s="21">
        <f>IFERROR(__xludf.DUMMYFUNCTION("""COMPUTED_VALUE"""),145359.0)</f>
        <v>145359</v>
      </c>
      <c r="F3676" s="21" t="str">
        <f>IFERROR(__xludf.DUMMYFUNCTION("""COMPUTED_VALUE"""),"COM DEFEITO")</f>
        <v>COM DEFEITO</v>
      </c>
      <c r="G3676" s="23">
        <f>IFERROR(__xludf.DUMMYFUNCTION("""COMPUTED_VALUE"""),45595.63983796297)</f>
        <v>45595.63984</v>
      </c>
      <c r="H3676" s="24" t="str">
        <f>IFERROR(VLOOKUP(B3676,material!A:D,3,0),"")</f>
        <v>WIFI MESH</v>
      </c>
    </row>
    <row r="3677" ht="11.25" customHeight="1">
      <c r="A3677" s="21" t="str">
        <f>IFERROR(__xludf.DUMMYFUNCTION("""COMPUTED_VALUE"""),"TERMINAL DOCSIS 3.1 EMTA WIFI6 TC3106")</f>
        <v>TERMINAL DOCSIS 3.1 EMTA WIFI6 TC3106</v>
      </c>
      <c r="B3677" s="22">
        <f>IFERROR(__xludf.DUMMYFUNCTION("""COMPUTED_VALUE"""),4.1001553E7)</f>
        <v>41001553</v>
      </c>
      <c r="C3677" s="21" t="str">
        <f>IFERROR(__xludf.DUMMYFUNCTION("""COMPUTED_VALUE"""),"10A793314EA3")</f>
        <v>10A793314EA3</v>
      </c>
      <c r="D3677" s="21" t="str">
        <f>IFERROR(__xludf.DUMMYFUNCTION("""COMPUTED_VALUE"""),"DIGITEC TECNOLOGIA DIGITAL E REPRES")</f>
        <v>DIGITEC TECNOLOGIA DIGITAL E REPRES</v>
      </c>
      <c r="E3677" s="21">
        <f>IFERROR(__xludf.DUMMYFUNCTION("""COMPUTED_VALUE"""),145359.0)</f>
        <v>145359</v>
      </c>
      <c r="F3677" s="21" t="str">
        <f>IFERROR(__xludf.DUMMYFUNCTION("""COMPUTED_VALUE"""),"COM DEFEITO")</f>
        <v>COM DEFEITO</v>
      </c>
      <c r="G3677" s="23">
        <f>IFERROR(__xludf.DUMMYFUNCTION("""COMPUTED_VALUE"""),45595.63983796297)</f>
        <v>45595.63984</v>
      </c>
      <c r="H3677" s="24" t="str">
        <f>IFERROR(VLOOKUP(B3677,material!A:D,3,0),"")</f>
        <v>WIFI 6</v>
      </c>
    </row>
    <row r="3678" ht="11.25" customHeight="1">
      <c r="A3678" s="21" t="str">
        <f>IFERROR(__xludf.DUMMYFUNCTION("""COMPUTED_VALUE"""),"TERMINAL DOCSIS 3.1 EMTA WIFI6 TC3106")</f>
        <v>TERMINAL DOCSIS 3.1 EMTA WIFI6 TC3106</v>
      </c>
      <c r="B3678" s="22">
        <f>IFERROR(__xludf.DUMMYFUNCTION("""COMPUTED_VALUE"""),4.1001553E7)</f>
        <v>41001553</v>
      </c>
      <c r="C3678" s="21" t="str">
        <f>IFERROR(__xludf.DUMMYFUNCTION("""COMPUTED_VALUE"""),"10A79331FD33")</f>
        <v>10A79331FD33</v>
      </c>
      <c r="D3678" s="21" t="str">
        <f>IFERROR(__xludf.DUMMYFUNCTION("""COMPUTED_VALUE"""),"DIGITEC TECNOLOGIA DIGITAL E REPRES")</f>
        <v>DIGITEC TECNOLOGIA DIGITAL E REPRES</v>
      </c>
      <c r="E3678" s="21">
        <f>IFERROR(__xludf.DUMMYFUNCTION("""COMPUTED_VALUE"""),145359.0)</f>
        <v>145359</v>
      </c>
      <c r="F3678" s="21" t="str">
        <f>IFERROR(__xludf.DUMMYFUNCTION("""COMPUTED_VALUE"""),"COM DEFEITO")</f>
        <v>COM DEFEITO</v>
      </c>
      <c r="G3678" s="23">
        <f>IFERROR(__xludf.DUMMYFUNCTION("""COMPUTED_VALUE"""),45595.63983796297)</f>
        <v>45595.63984</v>
      </c>
      <c r="H3678" s="24" t="str">
        <f>IFERROR(VLOOKUP(B3678,material!A:D,3,0),"")</f>
        <v>WIFI 6</v>
      </c>
    </row>
    <row r="3679" ht="11.25" customHeight="1">
      <c r="A3679" s="21" t="str">
        <f>IFERROR(__xludf.DUMMYFUNCTION("""COMPUTED_VALUE"""),"TERMINAL DOCSIS 3.1 EMTA WIFI6 TC3106")</f>
        <v>TERMINAL DOCSIS 3.1 EMTA WIFI6 TC3106</v>
      </c>
      <c r="B3679" s="22">
        <f>IFERROR(__xludf.DUMMYFUNCTION("""COMPUTED_VALUE"""),4.1001553E7)</f>
        <v>41001553</v>
      </c>
      <c r="C3679" s="21" t="str">
        <f>IFERROR(__xludf.DUMMYFUNCTION("""COMPUTED_VALUE"""),"10A7933FB213")</f>
        <v>10A7933FB213</v>
      </c>
      <c r="D3679" s="21" t="str">
        <f>IFERROR(__xludf.DUMMYFUNCTION("""COMPUTED_VALUE"""),"DIGITEC TECNOLOGIA DIGITAL E REPRES")</f>
        <v>DIGITEC TECNOLOGIA DIGITAL E REPRES</v>
      </c>
      <c r="E3679" s="21">
        <f>IFERROR(__xludf.DUMMYFUNCTION("""COMPUTED_VALUE"""),145359.0)</f>
        <v>145359</v>
      </c>
      <c r="F3679" s="21" t="str">
        <f>IFERROR(__xludf.DUMMYFUNCTION("""COMPUTED_VALUE"""),"COM DEFEITO")</f>
        <v>COM DEFEITO</v>
      </c>
      <c r="G3679" s="23">
        <f>IFERROR(__xludf.DUMMYFUNCTION("""COMPUTED_VALUE"""),45595.63983796297)</f>
        <v>45595.63984</v>
      </c>
      <c r="H3679" s="24" t="str">
        <f>IFERROR(VLOOKUP(B3679,material!A:D,3,0),"")</f>
        <v>WIFI 6</v>
      </c>
    </row>
    <row r="3680" ht="11.25" customHeight="1">
      <c r="A3680" s="21" t="str">
        <f>IFERROR(__xludf.DUMMYFUNCTION("""COMPUTED_VALUE"""),"TERMINAL DOCSIS 3.1 EMTA WIFI6 F@ST3896")</f>
        <v>TERMINAL DOCSIS 3.1 EMTA WIFI6 F@ST3896</v>
      </c>
      <c r="B3680" s="22">
        <f>IFERROR(__xludf.DUMMYFUNCTION("""COMPUTED_VALUE"""),4.1001552E7)</f>
        <v>41001552</v>
      </c>
      <c r="C3680" s="21" t="str">
        <f>IFERROR(__xludf.DUMMYFUNCTION("""COMPUTED_VALUE"""),"9C247230030B")</f>
        <v>9C247230030B</v>
      </c>
      <c r="D3680" s="21" t="str">
        <f>IFERROR(__xludf.DUMMYFUNCTION("""COMPUTED_VALUE"""),"DIGITEC TECNOLOGIA DIGITAL E REPRES")</f>
        <v>DIGITEC TECNOLOGIA DIGITAL E REPRES</v>
      </c>
      <c r="E3680" s="21">
        <f>IFERROR(__xludf.DUMMYFUNCTION("""COMPUTED_VALUE"""),145359.0)</f>
        <v>145359</v>
      </c>
      <c r="F3680" s="21" t="str">
        <f>IFERROR(__xludf.DUMMYFUNCTION("""COMPUTED_VALUE"""),"COM DEFEITO")</f>
        <v>COM DEFEITO</v>
      </c>
      <c r="G3680" s="23">
        <f>IFERROR(__xludf.DUMMYFUNCTION("""COMPUTED_VALUE"""),45617.71240740741)</f>
        <v>45617.71241</v>
      </c>
      <c r="H3680" s="24" t="str">
        <f>IFERROR(VLOOKUP(B3680,material!A:D,3,0),"")</f>
        <v>WIFI 6</v>
      </c>
    </row>
    <row r="3681" ht="11.25" customHeight="1">
      <c r="A3681" s="21" t="str">
        <f>IFERROR(__xludf.DUMMYFUNCTION("""COMPUTED_VALUE"""),"TERMINAL DOCSIS 3.1 EMTA WIFI6 F@ST3896")</f>
        <v>TERMINAL DOCSIS 3.1 EMTA WIFI6 F@ST3896</v>
      </c>
      <c r="B3681" s="22">
        <f>IFERROR(__xludf.DUMMYFUNCTION("""COMPUTED_VALUE"""),4.1001552E7)</f>
        <v>41001552</v>
      </c>
      <c r="C3681" s="21" t="str">
        <f>IFERROR(__xludf.DUMMYFUNCTION("""COMPUTED_VALUE"""),"9C24722FD219")</f>
        <v>9C24722FD219</v>
      </c>
      <c r="D3681" s="21" t="str">
        <f>IFERROR(__xludf.DUMMYFUNCTION("""COMPUTED_VALUE"""),"DIGITEC TECNOLOGIA DIGITAL E REPRES")</f>
        <v>DIGITEC TECNOLOGIA DIGITAL E REPRES</v>
      </c>
      <c r="E3681" s="21">
        <f>IFERROR(__xludf.DUMMYFUNCTION("""COMPUTED_VALUE"""),145359.0)</f>
        <v>145359</v>
      </c>
      <c r="F3681" s="21" t="str">
        <f>IFERROR(__xludf.DUMMYFUNCTION("""COMPUTED_VALUE"""),"COM DEFEITO")</f>
        <v>COM DEFEITO</v>
      </c>
      <c r="G3681" s="23">
        <f>IFERROR(__xludf.DUMMYFUNCTION("""COMPUTED_VALUE"""),45617.71434027777)</f>
        <v>45617.71434</v>
      </c>
      <c r="H3681" s="24" t="str">
        <f>IFERROR(VLOOKUP(B3681,material!A:D,3,0),"")</f>
        <v>WIFI 6</v>
      </c>
    </row>
    <row r="3682" ht="11.25" customHeight="1">
      <c r="A3682" s="21" t="str">
        <f>IFERROR(__xludf.DUMMYFUNCTION("""COMPUTED_VALUE"""),"TERMINAL DOCSIS 3.1 EMTA WIFI6 F@ST3896")</f>
        <v>TERMINAL DOCSIS 3.1 EMTA WIFI6 F@ST3896</v>
      </c>
      <c r="B3682" s="22">
        <f>IFERROR(__xludf.DUMMYFUNCTION("""COMPUTED_VALUE"""),4.1001552E7)</f>
        <v>41001552</v>
      </c>
      <c r="C3682" s="21" t="str">
        <f>IFERROR(__xludf.DUMMYFUNCTION("""COMPUTED_VALUE"""),"B0924A1145FD")</f>
        <v>B0924A1145FD</v>
      </c>
      <c r="D3682" s="21" t="str">
        <f>IFERROR(__xludf.DUMMYFUNCTION("""COMPUTED_VALUE"""),"DIGITEC TECNOLOGIA DIGITAL E REPRES")</f>
        <v>DIGITEC TECNOLOGIA DIGITAL E REPRES</v>
      </c>
      <c r="E3682" s="21">
        <f>IFERROR(__xludf.DUMMYFUNCTION("""COMPUTED_VALUE"""),145359.0)</f>
        <v>145359</v>
      </c>
      <c r="F3682" s="21" t="str">
        <f>IFERROR(__xludf.DUMMYFUNCTION("""COMPUTED_VALUE"""),"COM DEFEITO")</f>
        <v>COM DEFEITO</v>
      </c>
      <c r="G3682" s="23">
        <f>IFERROR(__xludf.DUMMYFUNCTION("""COMPUTED_VALUE"""),45595.63983796297)</f>
        <v>45595.63984</v>
      </c>
      <c r="H3682" s="24" t="str">
        <f>IFERROR(VLOOKUP(B3682,material!A:D,3,0),"")</f>
        <v>WIFI 6</v>
      </c>
    </row>
    <row r="3683" ht="11.25" customHeight="1">
      <c r="A3683" s="21" t="str">
        <f>IFERROR(__xludf.DUMMYFUNCTION("""COMPUTED_VALUE"""),"TERMINAL DOCSIS 3.1 EMTA WIFI6 F@ST3896")</f>
        <v>TERMINAL DOCSIS 3.1 EMTA WIFI6 F@ST3896</v>
      </c>
      <c r="B3683" s="22">
        <f>IFERROR(__xludf.DUMMYFUNCTION("""COMPUTED_VALUE"""),4.1001552E7)</f>
        <v>41001552</v>
      </c>
      <c r="C3683" s="21" t="str">
        <f>IFERROR(__xludf.DUMMYFUNCTION("""COMPUTED_VALUE"""),"5447CCCB24F6")</f>
        <v>5447CCCB24F6</v>
      </c>
      <c r="D3683" s="21" t="str">
        <f>IFERROR(__xludf.DUMMYFUNCTION("""COMPUTED_VALUE"""),"DIGITEC TECNOLOGIA DIGITAL E REPRES")</f>
        <v>DIGITEC TECNOLOGIA DIGITAL E REPRES</v>
      </c>
      <c r="E3683" s="21">
        <f>IFERROR(__xludf.DUMMYFUNCTION("""COMPUTED_VALUE"""),145359.0)</f>
        <v>145359</v>
      </c>
      <c r="F3683" s="21" t="str">
        <f>IFERROR(__xludf.DUMMYFUNCTION("""COMPUTED_VALUE"""),"COM DEFEITO")</f>
        <v>COM DEFEITO</v>
      </c>
      <c r="G3683" s="23">
        <f>IFERROR(__xludf.DUMMYFUNCTION("""COMPUTED_VALUE"""),45642.488807870366)</f>
        <v>45642.48881</v>
      </c>
      <c r="H3683" s="24" t="str">
        <f>IFERROR(VLOOKUP(B3683,material!A:D,3,0),"")</f>
        <v>WIFI 6</v>
      </c>
    </row>
    <row r="3684" ht="11.25" customHeight="1">
      <c r="A3684" s="21" t="str">
        <f>IFERROR(__xludf.DUMMYFUNCTION("""COMPUTED_VALUE"""),"DECODER CARDLESS 4K UHD S4KCW3 CABO E IP")</f>
        <v>DECODER CARDLESS 4K UHD S4KCW3 CABO E IP</v>
      </c>
      <c r="B3684" s="22">
        <f>IFERROR(__xludf.DUMMYFUNCTION("""COMPUTED_VALUE"""),4.1001528E7)</f>
        <v>41001528</v>
      </c>
      <c r="C3684" s="21" t="str">
        <f>IFERROR(__xludf.DUMMYFUNCTION("""COMPUTED_VALUE"""),"230014204764")</f>
        <v>230014204764</v>
      </c>
      <c r="D3684" s="21" t="str">
        <f>IFERROR(__xludf.DUMMYFUNCTION("""COMPUTED_VALUE"""),"DIGITEC TECNOLOGIA DIGITAL E REPRES")</f>
        <v>DIGITEC TECNOLOGIA DIGITAL E REPRES</v>
      </c>
      <c r="E3684" s="21">
        <f>IFERROR(__xludf.DUMMYFUNCTION("""COMPUTED_VALUE"""),145359.0)</f>
        <v>145359</v>
      </c>
      <c r="F3684" s="21" t="str">
        <f>IFERROR(__xludf.DUMMYFUNCTION("""COMPUTED_VALUE"""),"COM DEFEITO")</f>
        <v>COM DEFEITO</v>
      </c>
      <c r="G3684" s="23">
        <f>IFERROR(__xludf.DUMMYFUNCTION("""COMPUTED_VALUE"""),45617.71240740741)</f>
        <v>45617.71241</v>
      </c>
      <c r="H3684" s="24" t="str">
        <f>IFERROR(VLOOKUP(B3684,material!A:D,3,0),"")</f>
        <v>4K RFIP</v>
      </c>
    </row>
    <row r="3685" ht="11.25" customHeight="1">
      <c r="A3685" s="21" t="str">
        <f>IFERROR(__xludf.DUMMYFUNCTION("""COMPUTED_VALUE"""),"DECODER CARDLESS 4K UHD S4KCW3 CABO E IP")</f>
        <v>DECODER CARDLESS 4K UHD S4KCW3 CABO E IP</v>
      </c>
      <c r="B3685" s="22">
        <f>IFERROR(__xludf.DUMMYFUNCTION("""COMPUTED_VALUE"""),4.1001528E7)</f>
        <v>41001528</v>
      </c>
      <c r="C3685" s="21" t="str">
        <f>IFERROR(__xludf.DUMMYFUNCTION("""COMPUTED_VALUE"""),"229991589605")</f>
        <v>229991589605</v>
      </c>
      <c r="D3685" s="21" t="str">
        <f>IFERROR(__xludf.DUMMYFUNCTION("""COMPUTED_VALUE"""),"DIGITEC TECNOLOGIA DIGITAL E REPRES")</f>
        <v>DIGITEC TECNOLOGIA DIGITAL E REPRES</v>
      </c>
      <c r="E3685" s="21">
        <f>IFERROR(__xludf.DUMMYFUNCTION("""COMPUTED_VALUE"""),145359.0)</f>
        <v>145359</v>
      </c>
      <c r="F3685" s="21" t="str">
        <f>IFERROR(__xludf.DUMMYFUNCTION("""COMPUTED_VALUE"""),"COM DEFEITO")</f>
        <v>COM DEFEITO</v>
      </c>
      <c r="G3685" s="23">
        <f>IFERROR(__xludf.DUMMYFUNCTION("""COMPUTED_VALUE"""),45617.71434027777)</f>
        <v>45617.71434</v>
      </c>
      <c r="H3685" s="24" t="str">
        <f>IFERROR(VLOOKUP(B3685,material!A:D,3,0),"")</f>
        <v>4K RFIP</v>
      </c>
    </row>
    <row r="3686" ht="11.25" customHeight="1">
      <c r="A3686" s="21" t="str">
        <f>IFERROR(__xludf.DUMMYFUNCTION("""COMPUTED_VALUE"""),"DECODER CARDLESS 4K UHD S4KCW3 CABO E IP")</f>
        <v>DECODER CARDLESS 4K UHD S4KCW3 CABO E IP</v>
      </c>
      <c r="B3686" s="22">
        <f>IFERROR(__xludf.DUMMYFUNCTION("""COMPUTED_VALUE"""),4.1001528E7)</f>
        <v>41001528</v>
      </c>
      <c r="C3686" s="21" t="str">
        <f>IFERROR(__xludf.DUMMYFUNCTION("""COMPUTED_VALUE"""),"229989601432")</f>
        <v>229989601432</v>
      </c>
      <c r="D3686" s="21" t="str">
        <f>IFERROR(__xludf.DUMMYFUNCTION("""COMPUTED_VALUE"""),"DIGITEC TECNOLOGIA DIGITAL E REPRES")</f>
        <v>DIGITEC TECNOLOGIA DIGITAL E REPRES</v>
      </c>
      <c r="E3686" s="21">
        <f>IFERROR(__xludf.DUMMYFUNCTION("""COMPUTED_VALUE"""),145359.0)</f>
        <v>145359</v>
      </c>
      <c r="F3686" s="21" t="str">
        <f>IFERROR(__xludf.DUMMYFUNCTION("""COMPUTED_VALUE"""),"COM DEFEITO")</f>
        <v>COM DEFEITO</v>
      </c>
      <c r="G3686" s="23">
        <f>IFERROR(__xludf.DUMMYFUNCTION("""COMPUTED_VALUE"""),45397.70769675926)</f>
        <v>45397.7077</v>
      </c>
      <c r="H3686" s="24" t="str">
        <f>IFERROR(VLOOKUP(B3686,material!A:D,3,0),"")</f>
        <v>4K RFIP</v>
      </c>
    </row>
    <row r="3687" ht="11.25" customHeight="1">
      <c r="A3687" s="21" t="str">
        <f>IFERROR(__xludf.DUMMYFUNCTION("""COMPUTED_VALUE"""),"TERMINAL GPON WIFI TCG2232")</f>
        <v>TERMINAL GPON WIFI TCG2232</v>
      </c>
      <c r="B3687" s="22">
        <f>IFERROR(__xludf.DUMMYFUNCTION("""COMPUTED_VALUE"""),4.1001535E7)</f>
        <v>41001535</v>
      </c>
      <c r="C3687" s="21" t="str">
        <f>IFERROR(__xludf.DUMMYFUNCTION("""COMPUTED_VALUE"""),"08C7F52EEF8D")</f>
        <v>08C7F52EEF8D</v>
      </c>
      <c r="D3687" s="21" t="str">
        <f>IFERROR(__xludf.DUMMYFUNCTION("""COMPUTED_VALUE"""),"DIGITEC TECNOLOGIA DIGITAL E REPRES")</f>
        <v>DIGITEC TECNOLOGIA DIGITAL E REPRES</v>
      </c>
      <c r="E3687" s="21">
        <f>IFERROR(__xludf.DUMMYFUNCTION("""COMPUTED_VALUE"""),145359.0)</f>
        <v>145359</v>
      </c>
      <c r="F3687" s="21" t="str">
        <f>IFERROR(__xludf.DUMMYFUNCTION("""COMPUTED_VALUE"""),"COM DEFEITO")</f>
        <v>COM DEFEITO</v>
      </c>
      <c r="G3687" s="23">
        <f>IFERROR(__xludf.DUMMYFUNCTION("""COMPUTED_VALUE"""),45595.63983796297)</f>
        <v>45595.63984</v>
      </c>
      <c r="H3687" s="24" t="str">
        <f>IFERROR(VLOOKUP(B3687,material!A:D,3,0),"")</f>
        <v>ONT</v>
      </c>
    </row>
    <row r="3688" ht="11.25" customHeight="1">
      <c r="A3688" s="21" t="str">
        <f>IFERROR(__xludf.DUMMYFUNCTION("""COMPUTED_VALUE"""),"TERMINAL GPON WIFI TCG2232")</f>
        <v>TERMINAL GPON WIFI TCG2232</v>
      </c>
      <c r="B3688" s="22">
        <f>IFERROR(__xludf.DUMMYFUNCTION("""COMPUTED_VALUE"""),4.1001535E7)</f>
        <v>41001535</v>
      </c>
      <c r="C3688" s="21" t="str">
        <f>IFERROR(__xludf.DUMMYFUNCTION("""COMPUTED_VALUE"""),"08C7F52D8D87")</f>
        <v>08C7F52D8D87</v>
      </c>
      <c r="D3688" s="21" t="str">
        <f>IFERROR(__xludf.DUMMYFUNCTION("""COMPUTED_VALUE"""),"DIGITEC TECNOLOGIA DIGITAL E REPRES")</f>
        <v>DIGITEC TECNOLOGIA DIGITAL E REPRES</v>
      </c>
      <c r="E3688" s="21">
        <f>IFERROR(__xludf.DUMMYFUNCTION("""COMPUTED_VALUE"""),145359.0)</f>
        <v>145359</v>
      </c>
      <c r="F3688" s="21" t="str">
        <f>IFERROR(__xludf.DUMMYFUNCTION("""COMPUTED_VALUE"""),"COM DEFEITO")</f>
        <v>COM DEFEITO</v>
      </c>
      <c r="G3688" s="23">
        <f>IFERROR(__xludf.DUMMYFUNCTION("""COMPUTED_VALUE"""),45595.63983796297)</f>
        <v>45595.63984</v>
      </c>
      <c r="H3688" s="24" t="str">
        <f>IFERROR(VLOOKUP(B3688,material!A:D,3,0),"")</f>
        <v>ONT</v>
      </c>
    </row>
    <row r="3689" ht="11.25" customHeight="1">
      <c r="A3689" s="21" t="str">
        <f>IFERROR(__xludf.DUMMYFUNCTION("""COMPUTED_VALUE"""),"TERMINAL GPON WIFI F689")</f>
        <v>TERMINAL GPON WIFI F689</v>
      </c>
      <c r="B3689" s="22">
        <f>IFERROR(__xludf.DUMMYFUNCTION("""COMPUTED_VALUE"""),4.1001541E7)</f>
        <v>41001541</v>
      </c>
      <c r="C3689" s="21" t="str">
        <f>IFERROR(__xludf.DUMMYFUNCTION("""COMPUTED_VALUE"""),"E466AB55BBAA")</f>
        <v>E466AB55BBAA</v>
      </c>
      <c r="D3689" s="21" t="str">
        <f>IFERROR(__xludf.DUMMYFUNCTION("""COMPUTED_VALUE"""),"DIGITEC TECNOLOGIA DIGITAL E REPRES")</f>
        <v>DIGITEC TECNOLOGIA DIGITAL E REPRES</v>
      </c>
      <c r="E3689" s="21">
        <f>IFERROR(__xludf.DUMMYFUNCTION("""COMPUTED_VALUE"""),145359.0)</f>
        <v>145359</v>
      </c>
      <c r="F3689" s="21" t="str">
        <f>IFERROR(__xludf.DUMMYFUNCTION("""COMPUTED_VALUE"""),"COM DEFEITO")</f>
        <v>COM DEFEITO</v>
      </c>
      <c r="G3689" s="23">
        <f>IFERROR(__xludf.DUMMYFUNCTION("""COMPUTED_VALUE"""),45397.70770833333)</f>
        <v>45397.70771</v>
      </c>
      <c r="H3689" s="24" t="str">
        <f>IFERROR(VLOOKUP(B3689,material!A:D,3,0),"")</f>
        <v>ONT</v>
      </c>
    </row>
    <row r="3690" ht="11.25" customHeight="1">
      <c r="A3690" s="21" t="str">
        <f>IFERROR(__xludf.DUMMYFUNCTION("""COMPUTED_VALUE"""),"TERMINAL GPON WIFI F689")</f>
        <v>TERMINAL GPON WIFI F689</v>
      </c>
      <c r="B3690" s="22">
        <f>IFERROR(__xludf.DUMMYFUNCTION("""COMPUTED_VALUE"""),4.1001541E7)</f>
        <v>41001541</v>
      </c>
      <c r="C3690" s="21" t="str">
        <f>IFERROR(__xludf.DUMMYFUNCTION("""COMPUTED_VALUE"""),"8493B2E145F7")</f>
        <v>8493B2E145F7</v>
      </c>
      <c r="D3690" s="21" t="str">
        <f>IFERROR(__xludf.DUMMYFUNCTION("""COMPUTED_VALUE"""),"DIGITEC TECNOLOGIA DIGITAL E REPRES")</f>
        <v>DIGITEC TECNOLOGIA DIGITAL E REPRES</v>
      </c>
      <c r="E3690" s="21">
        <f>IFERROR(__xludf.DUMMYFUNCTION("""COMPUTED_VALUE"""),145359.0)</f>
        <v>145359</v>
      </c>
      <c r="F3690" s="21" t="str">
        <f>IFERROR(__xludf.DUMMYFUNCTION("""COMPUTED_VALUE"""),"COM DEFEITO")</f>
        <v>COM DEFEITO</v>
      </c>
      <c r="G3690" s="23">
        <f>IFERROR(__xludf.DUMMYFUNCTION("""COMPUTED_VALUE"""),45397.70770833333)</f>
        <v>45397.70771</v>
      </c>
      <c r="H3690" s="24" t="str">
        <f>IFERROR(VLOOKUP(B3690,material!A:D,3,0),"")</f>
        <v>ONT</v>
      </c>
    </row>
    <row r="3691" ht="11.25" customHeight="1">
      <c r="A3691" s="21" t="str">
        <f>IFERROR(__xludf.DUMMYFUNCTION("""COMPUTED_VALUE"""),"TERMINAL GPON WIFI F689")</f>
        <v>TERMINAL GPON WIFI F689</v>
      </c>
      <c r="B3691" s="22">
        <f>IFERROR(__xludf.DUMMYFUNCTION("""COMPUTED_VALUE"""),4.1001541E7)</f>
        <v>41001541</v>
      </c>
      <c r="C3691" s="21" t="str">
        <f>IFERROR(__xludf.DUMMYFUNCTION("""COMPUTED_VALUE"""),"8493B2E3EFF3")</f>
        <v>8493B2E3EFF3</v>
      </c>
      <c r="D3691" s="21" t="str">
        <f>IFERROR(__xludf.DUMMYFUNCTION("""COMPUTED_VALUE"""),"DIGITEC TECNOLOGIA DIGITAL E REPRES")</f>
        <v>DIGITEC TECNOLOGIA DIGITAL E REPRES</v>
      </c>
      <c r="E3691" s="21">
        <f>IFERROR(__xludf.DUMMYFUNCTION("""COMPUTED_VALUE"""),145359.0)</f>
        <v>145359</v>
      </c>
      <c r="F3691" s="21" t="str">
        <f>IFERROR(__xludf.DUMMYFUNCTION("""COMPUTED_VALUE"""),"COM DEFEITO")</f>
        <v>COM DEFEITO</v>
      </c>
      <c r="G3691" s="23">
        <f>IFERROR(__xludf.DUMMYFUNCTION("""COMPUTED_VALUE"""),45397.70770833333)</f>
        <v>45397.70771</v>
      </c>
      <c r="H3691" s="24" t="str">
        <f>IFERROR(VLOOKUP(B3691,material!A:D,3,0),"")</f>
        <v>ONT</v>
      </c>
    </row>
    <row r="3692" ht="11.25" customHeight="1">
      <c r="A3692" s="21" t="str">
        <f>IFERROR(__xludf.DUMMYFUNCTION("""COMPUTED_VALUE"""),"DECODER IP 4K UHD S4KW2 DDR FAST ETH VOZ")</f>
        <v>DECODER IP 4K UHD S4KW2 DDR FAST ETH VOZ</v>
      </c>
      <c r="B3692" s="22">
        <f>IFERROR(__xludf.DUMMYFUNCTION("""COMPUTED_VALUE"""),4.1001538E7)</f>
        <v>41001538</v>
      </c>
      <c r="C3692" s="21" t="str">
        <f>IFERROR(__xludf.DUMMYFUNCTION("""COMPUTED_VALUE"""),"229898969107")</f>
        <v>229898969107</v>
      </c>
      <c r="D3692" s="21" t="str">
        <f>IFERROR(__xludf.DUMMYFUNCTION("""COMPUTED_VALUE"""),"DIGITEC TECNOLOGIA DIGITAL E REPRES")</f>
        <v>DIGITEC TECNOLOGIA DIGITAL E REPRES</v>
      </c>
      <c r="E3692" s="21">
        <f>IFERROR(__xludf.DUMMYFUNCTION("""COMPUTED_VALUE"""),145359.0)</f>
        <v>145359</v>
      </c>
      <c r="F3692" s="21" t="str">
        <f>IFERROR(__xludf.DUMMYFUNCTION("""COMPUTED_VALUE"""),"COM DEFEITO")</f>
        <v>COM DEFEITO</v>
      </c>
      <c r="G3692" s="23">
        <f>IFERROR(__xludf.DUMMYFUNCTION("""COMPUTED_VALUE"""),45397.70769675926)</f>
        <v>45397.7077</v>
      </c>
      <c r="H3692" s="24" t="str">
        <f>IFERROR(VLOOKUP(B3692,material!A:D,3,0),"")</f>
        <v>BOX</v>
      </c>
    </row>
    <row r="3693" ht="11.25" customHeight="1">
      <c r="A3693" s="21" t="str">
        <f>IFERROR(__xludf.DUMMYFUNCTION("""COMPUTED_VALUE"""),"DECODER IP 4K UHD S4KW2 DDR FAST ETH VOZ")</f>
        <v>DECODER IP 4K UHD S4KW2 DDR FAST ETH VOZ</v>
      </c>
      <c r="B3693" s="22">
        <f>IFERROR(__xludf.DUMMYFUNCTION("""COMPUTED_VALUE"""),4.1001538E7)</f>
        <v>41001538</v>
      </c>
      <c r="C3693" s="21" t="str">
        <f>IFERROR(__xludf.DUMMYFUNCTION("""COMPUTED_VALUE"""),"229916318992")</f>
        <v>229916318992</v>
      </c>
      <c r="D3693" s="21" t="str">
        <f>IFERROR(__xludf.DUMMYFUNCTION("""COMPUTED_VALUE"""),"DIGITEC TECNOLOGIA DIGITAL E REPRES")</f>
        <v>DIGITEC TECNOLOGIA DIGITAL E REPRES</v>
      </c>
      <c r="E3693" s="21">
        <f>IFERROR(__xludf.DUMMYFUNCTION("""COMPUTED_VALUE"""),145359.0)</f>
        <v>145359</v>
      </c>
      <c r="F3693" s="21" t="str">
        <f>IFERROR(__xludf.DUMMYFUNCTION("""COMPUTED_VALUE"""),"COM DEFEITO")</f>
        <v>COM DEFEITO</v>
      </c>
      <c r="G3693" s="23">
        <f>IFERROR(__xludf.DUMMYFUNCTION("""COMPUTED_VALUE"""),45397.70769675926)</f>
        <v>45397.7077</v>
      </c>
      <c r="H3693" s="24" t="str">
        <f>IFERROR(VLOOKUP(B3693,material!A:D,3,0),"")</f>
        <v>BOX</v>
      </c>
    </row>
    <row r="3694" ht="11.25" customHeight="1">
      <c r="A3694" s="21" t="str">
        <f>IFERROR(__xludf.DUMMYFUNCTION("""COMPUTED_VALUE"""),"TERMINAL EXTENSOR WIFI MESH AP5541")</f>
        <v>TERMINAL EXTENSOR WIFI MESH AP5541</v>
      </c>
      <c r="B3694" s="22">
        <f>IFERROR(__xludf.DUMMYFUNCTION("""COMPUTED_VALUE"""),4.1001523E7)</f>
        <v>41001523</v>
      </c>
      <c r="C3694" s="21" t="str">
        <f>IFERROR(__xludf.DUMMYFUNCTION("""COMPUTED_VALUE"""),"B4F267631D61")</f>
        <v>B4F267631D61</v>
      </c>
      <c r="D3694" s="21" t="str">
        <f>IFERROR(__xludf.DUMMYFUNCTION("""COMPUTED_VALUE"""),"DIGITEC TECNOLOGIA DIGITAL E REPRES")</f>
        <v>DIGITEC TECNOLOGIA DIGITAL E REPRES</v>
      </c>
      <c r="E3694" s="21">
        <f>IFERROR(__xludf.DUMMYFUNCTION("""COMPUTED_VALUE"""),145359.0)</f>
        <v>145359</v>
      </c>
      <c r="F3694" s="21" t="str">
        <f>IFERROR(__xludf.DUMMYFUNCTION("""COMPUTED_VALUE"""),"COM DEFEITO")</f>
        <v>COM DEFEITO</v>
      </c>
      <c r="G3694" s="23">
        <f>IFERROR(__xludf.DUMMYFUNCTION("""COMPUTED_VALUE"""),45415.656006944446)</f>
        <v>45415.65601</v>
      </c>
      <c r="H3694" s="24" t="str">
        <f>IFERROR(VLOOKUP(B3694,material!A:D,3,0),"")</f>
        <v>WIFI MESH</v>
      </c>
    </row>
    <row r="3695" ht="11.25" customHeight="1">
      <c r="A3695" s="21" t="str">
        <f>IFERROR(__xludf.DUMMYFUNCTION("""COMPUTED_VALUE"""),"TERMINAL EXTENSOR WIFI MESH AP5541")</f>
        <v>TERMINAL EXTENSOR WIFI MESH AP5541</v>
      </c>
      <c r="B3695" s="22">
        <f>IFERROR(__xludf.DUMMYFUNCTION("""COMPUTED_VALUE"""),4.1001523E7)</f>
        <v>41001523</v>
      </c>
      <c r="C3695" s="21" t="str">
        <f>IFERROR(__xludf.DUMMYFUNCTION("""COMPUTED_VALUE"""),"B4F267631B03")</f>
        <v>B4F267631B03</v>
      </c>
      <c r="D3695" s="21" t="str">
        <f>IFERROR(__xludf.DUMMYFUNCTION("""COMPUTED_VALUE"""),"DIGITEC TECNOLOGIA DIGITAL E REPRES")</f>
        <v>DIGITEC TECNOLOGIA DIGITAL E REPRES</v>
      </c>
      <c r="E3695" s="21">
        <f>IFERROR(__xludf.DUMMYFUNCTION("""COMPUTED_VALUE"""),145359.0)</f>
        <v>145359</v>
      </c>
      <c r="F3695" s="21" t="str">
        <f>IFERROR(__xludf.DUMMYFUNCTION("""COMPUTED_VALUE"""),"COM DEFEITO")</f>
        <v>COM DEFEITO</v>
      </c>
      <c r="G3695" s="23">
        <f>IFERROR(__xludf.DUMMYFUNCTION("""COMPUTED_VALUE"""),45415.65599537037)</f>
        <v>45415.656</v>
      </c>
      <c r="H3695" s="24" t="str">
        <f>IFERROR(VLOOKUP(B3695,material!A:D,3,0),"")</f>
        <v>WIFI MESH</v>
      </c>
    </row>
    <row r="3696" ht="11.25" customHeight="1">
      <c r="A3696" s="21" t="str">
        <f>IFERROR(__xludf.DUMMYFUNCTION("""COMPUTED_VALUE"""),"TERMINAL EXTENSOR WIFI MESH AP5541")</f>
        <v>TERMINAL EXTENSOR WIFI MESH AP5541</v>
      </c>
      <c r="B3696" s="22">
        <f>IFERROR(__xludf.DUMMYFUNCTION("""COMPUTED_VALUE"""),4.1001523E7)</f>
        <v>41001523</v>
      </c>
      <c r="C3696" s="21" t="str">
        <f>IFERROR(__xludf.DUMMYFUNCTION("""COMPUTED_VALUE"""),"B4F26721EAF8")</f>
        <v>B4F26721EAF8</v>
      </c>
      <c r="D3696" s="21" t="str">
        <f>IFERROR(__xludf.DUMMYFUNCTION("""COMPUTED_VALUE"""),"DIGITEC TECNOLOGIA DIGITAL E REPRES")</f>
        <v>DIGITEC TECNOLOGIA DIGITAL E REPRES</v>
      </c>
      <c r="E3696" s="21">
        <f>IFERROR(__xludf.DUMMYFUNCTION("""COMPUTED_VALUE"""),145359.0)</f>
        <v>145359</v>
      </c>
      <c r="F3696" s="21" t="str">
        <f>IFERROR(__xludf.DUMMYFUNCTION("""COMPUTED_VALUE"""),"COM DEFEITO")</f>
        <v>COM DEFEITO</v>
      </c>
      <c r="G3696" s="23">
        <f>IFERROR(__xludf.DUMMYFUNCTION("""COMPUTED_VALUE"""),45415.656006944446)</f>
        <v>45415.65601</v>
      </c>
      <c r="H3696" s="24" t="str">
        <f>IFERROR(VLOOKUP(B3696,material!A:D,3,0),"")</f>
        <v>WIFI MESH</v>
      </c>
    </row>
    <row r="3697" ht="11.25" customHeight="1">
      <c r="A3697" s="21" t="str">
        <f>IFERROR(__xludf.DUMMYFUNCTION("""COMPUTED_VALUE"""),"TERMINAL EXTENSOR WIFI MESH AP5541")</f>
        <v>TERMINAL EXTENSOR WIFI MESH AP5541</v>
      </c>
      <c r="B3697" s="22">
        <f>IFERROR(__xludf.DUMMYFUNCTION("""COMPUTED_VALUE"""),4.1001523E7)</f>
        <v>41001523</v>
      </c>
      <c r="C3697" s="21" t="str">
        <f>IFERROR(__xludf.DUMMYFUNCTION("""COMPUTED_VALUE"""),"B4F2676024E9")</f>
        <v>B4F2676024E9</v>
      </c>
      <c r="D3697" s="21" t="str">
        <f>IFERROR(__xludf.DUMMYFUNCTION("""COMPUTED_VALUE"""),"DIGITEC TECNOLOGIA DIGITAL E REPRES")</f>
        <v>DIGITEC TECNOLOGIA DIGITAL E REPRES</v>
      </c>
      <c r="E3697" s="21">
        <f>IFERROR(__xludf.DUMMYFUNCTION("""COMPUTED_VALUE"""),145359.0)</f>
        <v>145359</v>
      </c>
      <c r="F3697" s="21" t="str">
        <f>IFERROR(__xludf.DUMMYFUNCTION("""COMPUTED_VALUE"""),"COM DEFEITO")</f>
        <v>COM DEFEITO</v>
      </c>
      <c r="G3697" s="23">
        <f>IFERROR(__xludf.DUMMYFUNCTION("""COMPUTED_VALUE"""),45415.656006944446)</f>
        <v>45415.65601</v>
      </c>
      <c r="H3697" s="24" t="str">
        <f>IFERROR(VLOOKUP(B3697,material!A:D,3,0),"")</f>
        <v>WIFI MESH</v>
      </c>
    </row>
    <row r="3698" ht="11.25" customHeight="1">
      <c r="A3698" s="21" t="str">
        <f>IFERROR(__xludf.DUMMYFUNCTION("""COMPUTED_VALUE"""),"TERMINAL EXTENSOR WIFI MESH AP5541")</f>
        <v>TERMINAL EXTENSOR WIFI MESH AP5541</v>
      </c>
      <c r="B3698" s="22">
        <f>IFERROR(__xludf.DUMMYFUNCTION("""COMPUTED_VALUE"""),4.1001523E7)</f>
        <v>41001523</v>
      </c>
      <c r="C3698" s="21" t="str">
        <f>IFERROR(__xludf.DUMMYFUNCTION("""COMPUTED_VALUE"""),"B4F26756B7E5")</f>
        <v>B4F26756B7E5</v>
      </c>
      <c r="D3698" s="21" t="str">
        <f>IFERROR(__xludf.DUMMYFUNCTION("""COMPUTED_VALUE"""),"DIGITEC TECNOLOGIA DIGITAL E REPRES")</f>
        <v>DIGITEC TECNOLOGIA DIGITAL E REPRES</v>
      </c>
      <c r="E3698" s="21">
        <f>IFERROR(__xludf.DUMMYFUNCTION("""COMPUTED_VALUE"""),145359.0)</f>
        <v>145359</v>
      </c>
      <c r="F3698" s="21" t="str">
        <f>IFERROR(__xludf.DUMMYFUNCTION("""COMPUTED_VALUE"""),"COM DEFEITO")</f>
        <v>COM DEFEITO</v>
      </c>
      <c r="G3698" s="23">
        <f>IFERROR(__xludf.DUMMYFUNCTION("""COMPUTED_VALUE"""),45415.656006944446)</f>
        <v>45415.65601</v>
      </c>
      <c r="H3698" s="24" t="str">
        <f>IFERROR(VLOOKUP(B3698,material!A:D,3,0),"")</f>
        <v>WIFI MESH</v>
      </c>
    </row>
    <row r="3699" ht="11.25" customHeight="1">
      <c r="A3699" s="21" t="str">
        <f>IFERROR(__xludf.DUMMYFUNCTION("""COMPUTED_VALUE"""),"ROTEADOR ZTE WIFI5 ZXHN H196A MESH BCO")</f>
        <v>ROTEADOR ZTE WIFI5 ZXHN H196A MESH BCO</v>
      </c>
      <c r="B3699" s="22">
        <f>IFERROR(__xludf.DUMMYFUNCTION("""COMPUTED_VALUE"""),4.1001536E7)</f>
        <v>41001536</v>
      </c>
      <c r="C3699" s="21" t="str">
        <f>IFERROR(__xludf.DUMMYFUNCTION("""COMPUTED_VALUE"""),"F42D0647556B")</f>
        <v>F42D0647556B</v>
      </c>
      <c r="D3699" s="21" t="str">
        <f>IFERROR(__xludf.DUMMYFUNCTION("""COMPUTED_VALUE"""),"DIGITEC TECNOLOGIA DIGITAL E REPRES")</f>
        <v>DIGITEC TECNOLOGIA DIGITAL E REPRES</v>
      </c>
      <c r="E3699" s="21">
        <f>IFERROR(__xludf.DUMMYFUNCTION("""COMPUTED_VALUE"""),145359.0)</f>
        <v>145359</v>
      </c>
      <c r="F3699" s="21" t="str">
        <f>IFERROR(__xludf.DUMMYFUNCTION("""COMPUTED_VALUE"""),"COM DEFEITO")</f>
        <v>COM DEFEITO</v>
      </c>
      <c r="G3699" s="23">
        <f>IFERROR(__xludf.DUMMYFUNCTION("""COMPUTED_VALUE"""),45595.63983796297)</f>
        <v>45595.63984</v>
      </c>
      <c r="H3699" s="24" t="str">
        <f>IFERROR(VLOOKUP(B3699,material!A:D,3,0),"")</f>
        <v>WIFI MESH</v>
      </c>
    </row>
    <row r="3700" ht="11.25" customHeight="1">
      <c r="A3700" s="21" t="str">
        <f>IFERROR(__xludf.DUMMYFUNCTION("""COMPUTED_VALUE"""),"ROTEADOR ZTE WIFI5 ZXHN H196A MESH BCO")</f>
        <v>ROTEADOR ZTE WIFI5 ZXHN H196A MESH BCO</v>
      </c>
      <c r="B3700" s="22">
        <f>IFERROR(__xludf.DUMMYFUNCTION("""COMPUTED_VALUE"""),4.1001536E7)</f>
        <v>41001536</v>
      </c>
      <c r="C3700" s="21" t="str">
        <f>IFERROR(__xludf.DUMMYFUNCTION("""COMPUTED_VALUE"""),"F42D064752EB")</f>
        <v>F42D064752EB</v>
      </c>
      <c r="D3700" s="21" t="str">
        <f>IFERROR(__xludf.DUMMYFUNCTION("""COMPUTED_VALUE"""),"DIGITEC TECNOLOGIA DIGITAL E REPRES")</f>
        <v>DIGITEC TECNOLOGIA DIGITAL E REPRES</v>
      </c>
      <c r="E3700" s="21">
        <f>IFERROR(__xludf.DUMMYFUNCTION("""COMPUTED_VALUE"""),145359.0)</f>
        <v>145359</v>
      </c>
      <c r="F3700" s="21" t="str">
        <f>IFERROR(__xludf.DUMMYFUNCTION("""COMPUTED_VALUE"""),"COM DEFEITO")</f>
        <v>COM DEFEITO</v>
      </c>
      <c r="G3700" s="23">
        <f>IFERROR(__xludf.DUMMYFUNCTION("""COMPUTED_VALUE"""),45595.63983796297)</f>
        <v>45595.63984</v>
      </c>
      <c r="H3700" s="24" t="str">
        <f>IFERROR(VLOOKUP(B3700,material!A:D,3,0),"")</f>
        <v>WIFI MESH</v>
      </c>
    </row>
    <row r="3701" ht="11.25" customHeight="1">
      <c r="A3701" s="21" t="str">
        <f>IFERROR(__xludf.DUMMYFUNCTION("""COMPUTED_VALUE"""),"ROTEADOR ZTE WIFI5 ZXHN H196A MESH BCO")</f>
        <v>ROTEADOR ZTE WIFI5 ZXHN H196A MESH BCO</v>
      </c>
      <c r="B3701" s="22">
        <f>IFERROR(__xludf.DUMMYFUNCTION("""COMPUTED_VALUE"""),4.1001536E7)</f>
        <v>41001536</v>
      </c>
      <c r="C3701" s="21" t="str">
        <f>IFERROR(__xludf.DUMMYFUNCTION("""COMPUTED_VALUE"""),"F42D06475FFF")</f>
        <v>F42D06475FFF</v>
      </c>
      <c r="D3701" s="21" t="str">
        <f>IFERROR(__xludf.DUMMYFUNCTION("""COMPUTED_VALUE"""),"DIGITEC TECNOLOGIA DIGITAL E REPRES")</f>
        <v>DIGITEC TECNOLOGIA DIGITAL E REPRES</v>
      </c>
      <c r="E3701" s="21">
        <f>IFERROR(__xludf.DUMMYFUNCTION("""COMPUTED_VALUE"""),145359.0)</f>
        <v>145359</v>
      </c>
      <c r="F3701" s="21" t="str">
        <f>IFERROR(__xludf.DUMMYFUNCTION("""COMPUTED_VALUE"""),"COM DEFEITO")</f>
        <v>COM DEFEITO</v>
      </c>
      <c r="G3701" s="23">
        <f>IFERROR(__xludf.DUMMYFUNCTION("""COMPUTED_VALUE"""),45595.63983796297)</f>
        <v>45595.63984</v>
      </c>
      <c r="H3701" s="24" t="str">
        <f>IFERROR(VLOOKUP(B3701,material!A:D,3,0),"")</f>
        <v>WIFI MESH</v>
      </c>
    </row>
    <row r="3702" ht="11.25" customHeight="1">
      <c r="A3702" s="21" t="str">
        <f>IFERROR(__xludf.DUMMYFUNCTION("""COMPUTED_VALUE"""),"ROTEADOR ZTE WIFI5 ZXHN H196A MESH BCO")</f>
        <v>ROTEADOR ZTE WIFI5 ZXHN H196A MESH BCO</v>
      </c>
      <c r="B3702" s="22">
        <f>IFERROR(__xludf.DUMMYFUNCTION("""COMPUTED_VALUE"""),4.1001536E7)</f>
        <v>41001536</v>
      </c>
      <c r="C3702" s="21" t="str">
        <f>IFERROR(__xludf.DUMMYFUNCTION("""COMPUTED_VALUE"""),"F42D06475E3B")</f>
        <v>F42D06475E3B</v>
      </c>
      <c r="D3702" s="21" t="str">
        <f>IFERROR(__xludf.DUMMYFUNCTION("""COMPUTED_VALUE"""),"DIGITEC TECNOLOGIA DIGITAL E REPRES")</f>
        <v>DIGITEC TECNOLOGIA DIGITAL E REPRES</v>
      </c>
      <c r="E3702" s="21">
        <f>IFERROR(__xludf.DUMMYFUNCTION("""COMPUTED_VALUE"""),145359.0)</f>
        <v>145359</v>
      </c>
      <c r="F3702" s="21" t="str">
        <f>IFERROR(__xludf.DUMMYFUNCTION("""COMPUTED_VALUE"""),"COM DEFEITO")</f>
        <v>COM DEFEITO</v>
      </c>
      <c r="G3702" s="23">
        <f>IFERROR(__xludf.DUMMYFUNCTION("""COMPUTED_VALUE"""),45595.63983796297)</f>
        <v>45595.63984</v>
      </c>
      <c r="H3702" s="24" t="str">
        <f>IFERROR(VLOOKUP(B3702,material!A:D,3,0),"")</f>
        <v>WIFI MESH</v>
      </c>
    </row>
    <row r="3703" ht="11.25" customHeight="1">
      <c r="A3703" s="21" t="str">
        <f>IFERROR(__xludf.DUMMYFUNCTION("""COMPUTED_VALUE"""),"ROTEADOR ZTE WIFI5 ZXHN H196A MESH BCO")</f>
        <v>ROTEADOR ZTE WIFI5 ZXHN H196A MESH BCO</v>
      </c>
      <c r="B3703" s="22">
        <f>IFERROR(__xludf.DUMMYFUNCTION("""COMPUTED_VALUE"""),4.1001536E7)</f>
        <v>41001536</v>
      </c>
      <c r="C3703" s="21" t="str">
        <f>IFERROR(__xludf.DUMMYFUNCTION("""COMPUTED_VALUE"""),"F42D06475FB7")</f>
        <v>F42D06475FB7</v>
      </c>
      <c r="D3703" s="21" t="str">
        <f>IFERROR(__xludf.DUMMYFUNCTION("""COMPUTED_VALUE"""),"DIGITEC TECNOLOGIA DIGITAL E REPRES")</f>
        <v>DIGITEC TECNOLOGIA DIGITAL E REPRES</v>
      </c>
      <c r="E3703" s="21">
        <f>IFERROR(__xludf.DUMMYFUNCTION("""COMPUTED_VALUE"""),145359.0)</f>
        <v>145359</v>
      </c>
      <c r="F3703" s="21" t="str">
        <f>IFERROR(__xludf.DUMMYFUNCTION("""COMPUTED_VALUE"""),"COM DEFEITO")</f>
        <v>COM DEFEITO</v>
      </c>
      <c r="G3703" s="23">
        <f>IFERROR(__xludf.DUMMYFUNCTION("""COMPUTED_VALUE"""),45595.63983796297)</f>
        <v>45595.63984</v>
      </c>
      <c r="H3703" s="24" t="str">
        <f>IFERROR(VLOOKUP(B3703,material!A:D,3,0),"")</f>
        <v>WIFI MESH</v>
      </c>
    </row>
    <row r="3704" ht="11.25" customHeight="1">
      <c r="A3704" s="21" t="str">
        <f>IFERROR(__xludf.DUMMYFUNCTION("""COMPUTED_VALUE"""),"ROTEADOR ZTE WIFI5 ZXHN H196A MESH BCO")</f>
        <v>ROTEADOR ZTE WIFI5 ZXHN H196A MESH BCO</v>
      </c>
      <c r="B3704" s="22">
        <f>IFERROR(__xludf.DUMMYFUNCTION("""COMPUTED_VALUE"""),4.1001536E7)</f>
        <v>41001536</v>
      </c>
      <c r="C3704" s="21" t="str">
        <f>IFERROR(__xludf.DUMMYFUNCTION("""COMPUTED_VALUE"""),"F42D0644FBA7")</f>
        <v>F42D0644FBA7</v>
      </c>
      <c r="D3704" s="21" t="str">
        <f>IFERROR(__xludf.DUMMYFUNCTION("""COMPUTED_VALUE"""),"DIGITEC TECNOLOGIA DIGITAL E REPRES")</f>
        <v>DIGITEC TECNOLOGIA DIGITAL E REPRES</v>
      </c>
      <c r="E3704" s="21">
        <f>IFERROR(__xludf.DUMMYFUNCTION("""COMPUTED_VALUE"""),145359.0)</f>
        <v>145359</v>
      </c>
      <c r="F3704" s="21" t="str">
        <f>IFERROR(__xludf.DUMMYFUNCTION("""COMPUTED_VALUE"""),"COM DEFEITO")</f>
        <v>COM DEFEITO</v>
      </c>
      <c r="G3704" s="23">
        <f>IFERROR(__xludf.DUMMYFUNCTION("""COMPUTED_VALUE"""),45415.656006944446)</f>
        <v>45415.65601</v>
      </c>
      <c r="H3704" s="24" t="str">
        <f>IFERROR(VLOOKUP(B3704,material!A:D,3,0),"")</f>
        <v>WIFI MESH</v>
      </c>
    </row>
    <row r="3705" ht="11.25" customHeight="1">
      <c r="A3705" s="21" t="str">
        <f>IFERROR(__xludf.DUMMYFUNCTION("""COMPUTED_VALUE"""),"ROTEADOR ZTE WIFI5 ZXHN H196A MESH BCO")</f>
        <v>ROTEADOR ZTE WIFI5 ZXHN H196A MESH BCO</v>
      </c>
      <c r="B3705" s="22">
        <f>IFERROR(__xludf.DUMMYFUNCTION("""COMPUTED_VALUE"""),4.1001536E7)</f>
        <v>41001536</v>
      </c>
      <c r="C3705" s="21" t="str">
        <f>IFERROR(__xludf.DUMMYFUNCTION("""COMPUTED_VALUE"""),"F42D0644FC13")</f>
        <v>F42D0644FC13</v>
      </c>
      <c r="D3705" s="21" t="str">
        <f>IFERROR(__xludf.DUMMYFUNCTION("""COMPUTED_VALUE"""),"DIGITEC TECNOLOGIA DIGITAL E REPRES")</f>
        <v>DIGITEC TECNOLOGIA DIGITAL E REPRES</v>
      </c>
      <c r="E3705" s="21">
        <f>IFERROR(__xludf.DUMMYFUNCTION("""COMPUTED_VALUE"""),145359.0)</f>
        <v>145359</v>
      </c>
      <c r="F3705" s="21" t="str">
        <f>IFERROR(__xludf.DUMMYFUNCTION("""COMPUTED_VALUE"""),"COM DEFEITO")</f>
        <v>COM DEFEITO</v>
      </c>
      <c r="G3705" s="23">
        <f>IFERROR(__xludf.DUMMYFUNCTION("""COMPUTED_VALUE"""),45415.656006944446)</f>
        <v>45415.65601</v>
      </c>
      <c r="H3705" s="24" t="str">
        <f>IFERROR(VLOOKUP(B3705,material!A:D,3,0),"")</f>
        <v>WIFI MESH</v>
      </c>
    </row>
    <row r="3706" ht="11.25" customHeight="1">
      <c r="A3706" s="21" t="str">
        <f>IFERROR(__xludf.DUMMYFUNCTION("""COMPUTED_VALUE"""),"ROTEADOR ZTE WIFI5 ZXHN H196A MESH BCO")</f>
        <v>ROTEADOR ZTE WIFI5 ZXHN H196A MESH BCO</v>
      </c>
      <c r="B3706" s="22">
        <f>IFERROR(__xludf.DUMMYFUNCTION("""COMPUTED_VALUE"""),4.1001536E7)</f>
        <v>41001536</v>
      </c>
      <c r="C3706" s="21" t="str">
        <f>IFERROR(__xludf.DUMMYFUNCTION("""COMPUTED_VALUE"""),"E0B66809A964")</f>
        <v>E0B66809A964</v>
      </c>
      <c r="D3706" s="21" t="str">
        <f>IFERROR(__xludf.DUMMYFUNCTION("""COMPUTED_VALUE"""),"DIGITEC TECNOLOGIA DIGITAL E REPRES")</f>
        <v>DIGITEC TECNOLOGIA DIGITAL E REPRES</v>
      </c>
      <c r="E3706" s="21">
        <f>IFERROR(__xludf.DUMMYFUNCTION("""COMPUTED_VALUE"""),145359.0)</f>
        <v>145359</v>
      </c>
      <c r="F3706" s="21" t="str">
        <f>IFERROR(__xludf.DUMMYFUNCTION("""COMPUTED_VALUE"""),"COM DEFEITO")</f>
        <v>COM DEFEITO</v>
      </c>
      <c r="G3706" s="23">
        <f>IFERROR(__xludf.DUMMYFUNCTION("""COMPUTED_VALUE"""),45415.656006944446)</f>
        <v>45415.65601</v>
      </c>
      <c r="H3706" s="24" t="str">
        <f>IFERROR(VLOOKUP(B3706,material!A:D,3,0),"")</f>
        <v>WIFI MESH</v>
      </c>
    </row>
    <row r="3707" ht="11.25" customHeight="1">
      <c r="A3707" s="21" t="str">
        <f>IFERROR(__xludf.DUMMYFUNCTION("""COMPUTED_VALUE"""),"ROTEADOR ZTE WIFI5 ZXHN H196A MESH BCO")</f>
        <v>ROTEADOR ZTE WIFI5 ZXHN H196A MESH BCO</v>
      </c>
      <c r="B3707" s="22">
        <f>IFERROR(__xludf.DUMMYFUNCTION("""COMPUTED_VALUE"""),4.1001536E7)</f>
        <v>41001536</v>
      </c>
      <c r="C3707" s="21" t="str">
        <f>IFERROR(__xludf.DUMMYFUNCTION("""COMPUTED_VALUE"""),"E0B66809CD10")</f>
        <v>E0B66809CD10</v>
      </c>
      <c r="D3707" s="21" t="str">
        <f>IFERROR(__xludf.DUMMYFUNCTION("""COMPUTED_VALUE"""),"DIGITEC TECNOLOGIA DIGITAL E REPRES")</f>
        <v>DIGITEC TECNOLOGIA DIGITAL E REPRES</v>
      </c>
      <c r="E3707" s="21">
        <f>IFERROR(__xludf.DUMMYFUNCTION("""COMPUTED_VALUE"""),145359.0)</f>
        <v>145359</v>
      </c>
      <c r="F3707" s="21" t="str">
        <f>IFERROR(__xludf.DUMMYFUNCTION("""COMPUTED_VALUE"""),"COM DEFEITO")</f>
        <v>COM DEFEITO</v>
      </c>
      <c r="G3707" s="23">
        <f>IFERROR(__xludf.DUMMYFUNCTION("""COMPUTED_VALUE"""),45415.656006944446)</f>
        <v>45415.65601</v>
      </c>
      <c r="H3707" s="24" t="str">
        <f>IFERROR(VLOOKUP(B3707,material!A:D,3,0),"")</f>
        <v>WIFI MESH</v>
      </c>
    </row>
    <row r="3708" ht="11.25" customHeight="1">
      <c r="A3708" s="21" t="str">
        <f>IFERROR(__xludf.DUMMYFUNCTION("""COMPUTED_VALUE"""),"ROTEADOR ZTE WIFI5 ZXHN H196A MESH BCO")</f>
        <v>ROTEADOR ZTE WIFI5 ZXHN H196A MESH BCO</v>
      </c>
      <c r="B3708" s="22">
        <f>IFERROR(__xludf.DUMMYFUNCTION("""COMPUTED_VALUE"""),4.1001536E7)</f>
        <v>41001536</v>
      </c>
      <c r="C3708" s="21" t="str">
        <f>IFERROR(__xludf.DUMMYFUNCTION("""COMPUTED_VALUE"""),"D8E8448B7802")</f>
        <v>D8E8448B7802</v>
      </c>
      <c r="D3708" s="21" t="str">
        <f>IFERROR(__xludf.DUMMYFUNCTION("""COMPUTED_VALUE"""),"DIGITEC TECNOLOGIA DIGITAL E REPRES")</f>
        <v>DIGITEC TECNOLOGIA DIGITAL E REPRES</v>
      </c>
      <c r="E3708" s="21">
        <f>IFERROR(__xludf.DUMMYFUNCTION("""COMPUTED_VALUE"""),145359.0)</f>
        <v>145359</v>
      </c>
      <c r="F3708" s="21" t="str">
        <f>IFERROR(__xludf.DUMMYFUNCTION("""COMPUTED_VALUE"""),"COM DEFEITO")</f>
        <v>COM DEFEITO</v>
      </c>
      <c r="G3708" s="23">
        <f>IFERROR(__xludf.DUMMYFUNCTION("""COMPUTED_VALUE"""),45415.65599537037)</f>
        <v>45415.656</v>
      </c>
      <c r="H3708" s="24" t="str">
        <f>IFERROR(VLOOKUP(B3708,material!A:D,3,0),"")</f>
        <v>WIFI MESH</v>
      </c>
    </row>
    <row r="3709" ht="11.25" customHeight="1">
      <c r="A3709" s="21" t="str">
        <f>IFERROR(__xludf.DUMMYFUNCTION("""COMPUTED_VALUE"""),"ROTEADOR ZTE WIFI5 ZXHN H196A MESH BCO")</f>
        <v>ROTEADOR ZTE WIFI5 ZXHN H196A MESH BCO</v>
      </c>
      <c r="B3709" s="22">
        <f>IFERROR(__xludf.DUMMYFUNCTION("""COMPUTED_VALUE"""),4.1001536E7)</f>
        <v>41001536</v>
      </c>
      <c r="C3709" s="21" t="str">
        <f>IFERROR(__xludf.DUMMYFUNCTION("""COMPUTED_VALUE"""),"D8E8448B81A6")</f>
        <v>D8E8448B81A6</v>
      </c>
      <c r="D3709" s="21" t="str">
        <f>IFERROR(__xludf.DUMMYFUNCTION("""COMPUTED_VALUE"""),"DIGITEC TECNOLOGIA DIGITAL E REPRES")</f>
        <v>DIGITEC TECNOLOGIA DIGITAL E REPRES</v>
      </c>
      <c r="E3709" s="21">
        <f>IFERROR(__xludf.DUMMYFUNCTION("""COMPUTED_VALUE"""),145359.0)</f>
        <v>145359</v>
      </c>
      <c r="F3709" s="21" t="str">
        <f>IFERROR(__xludf.DUMMYFUNCTION("""COMPUTED_VALUE"""),"COM DEFEITO")</f>
        <v>COM DEFEITO</v>
      </c>
      <c r="G3709" s="23">
        <f>IFERROR(__xludf.DUMMYFUNCTION("""COMPUTED_VALUE"""),45415.656006944446)</f>
        <v>45415.65601</v>
      </c>
      <c r="H3709" s="24" t="str">
        <f>IFERROR(VLOOKUP(B3709,material!A:D,3,0),"")</f>
        <v>WIFI MESH</v>
      </c>
    </row>
    <row r="3710" ht="11.25" customHeight="1">
      <c r="A3710" s="21" t="str">
        <f>IFERROR(__xludf.DUMMYFUNCTION("""COMPUTED_VALUE"""),"ROTEADOR ZTE WIFI5 ZXHN H196A MESH BCO")</f>
        <v>ROTEADOR ZTE WIFI5 ZXHN H196A MESH BCO</v>
      </c>
      <c r="B3710" s="22">
        <f>IFERROR(__xludf.DUMMYFUNCTION("""COMPUTED_VALUE"""),4.1001536E7)</f>
        <v>41001536</v>
      </c>
      <c r="C3710" s="21" t="str">
        <f>IFERROR(__xludf.DUMMYFUNCTION("""COMPUTED_VALUE"""),"6877DA61130B")</f>
        <v>6877DA61130B</v>
      </c>
      <c r="D3710" s="21" t="str">
        <f>IFERROR(__xludf.DUMMYFUNCTION("""COMPUTED_VALUE"""),"DIGITEC TECNOLOGIA DIGITAL E REPRES")</f>
        <v>DIGITEC TECNOLOGIA DIGITAL E REPRES</v>
      </c>
      <c r="E3710" s="21">
        <f>IFERROR(__xludf.DUMMYFUNCTION("""COMPUTED_VALUE"""),145359.0)</f>
        <v>145359</v>
      </c>
      <c r="F3710" s="21" t="str">
        <f>IFERROR(__xludf.DUMMYFUNCTION("""COMPUTED_VALUE"""),"COM DEFEITO")</f>
        <v>COM DEFEITO</v>
      </c>
      <c r="G3710" s="23">
        <f>IFERROR(__xludf.DUMMYFUNCTION("""COMPUTED_VALUE"""),45595.63983796297)</f>
        <v>45595.63984</v>
      </c>
      <c r="H3710" s="24" t="str">
        <f>IFERROR(VLOOKUP(B3710,material!A:D,3,0),"")</f>
        <v>WIFI MESH</v>
      </c>
    </row>
    <row r="3711" ht="11.25" customHeight="1">
      <c r="A3711" s="21" t="str">
        <f>IFERROR(__xludf.DUMMYFUNCTION("""COMPUTED_VALUE"""),"ROTEADOR ZTE WIFI5 ZXHN H196A MESH BCO")</f>
        <v>ROTEADOR ZTE WIFI5 ZXHN H196A MESH BCO</v>
      </c>
      <c r="B3711" s="22">
        <f>IFERROR(__xludf.DUMMYFUNCTION("""COMPUTED_VALUE"""),4.1001536E7)</f>
        <v>41001536</v>
      </c>
      <c r="C3711" s="21" t="str">
        <f>IFERROR(__xludf.DUMMYFUNCTION("""COMPUTED_VALUE"""),"6877DA5A3707")</f>
        <v>6877DA5A3707</v>
      </c>
      <c r="D3711" s="21" t="str">
        <f>IFERROR(__xludf.DUMMYFUNCTION("""COMPUTED_VALUE"""),"DIGITEC TECNOLOGIA DIGITAL E REPRES")</f>
        <v>DIGITEC TECNOLOGIA DIGITAL E REPRES</v>
      </c>
      <c r="E3711" s="21">
        <f>IFERROR(__xludf.DUMMYFUNCTION("""COMPUTED_VALUE"""),145359.0)</f>
        <v>145359</v>
      </c>
      <c r="F3711" s="21" t="str">
        <f>IFERROR(__xludf.DUMMYFUNCTION("""COMPUTED_VALUE"""),"COM DEFEITO")</f>
        <v>COM DEFEITO</v>
      </c>
      <c r="G3711" s="23">
        <f>IFERROR(__xludf.DUMMYFUNCTION("""COMPUTED_VALUE"""),45595.63983796297)</f>
        <v>45595.63984</v>
      </c>
      <c r="H3711" s="24" t="str">
        <f>IFERROR(VLOOKUP(B3711,material!A:D,3,0),"")</f>
        <v>WIFI MESH</v>
      </c>
    </row>
    <row r="3712" ht="11.25" customHeight="1">
      <c r="A3712" s="21" t="str">
        <f>IFERROR(__xludf.DUMMYFUNCTION("""COMPUTED_VALUE"""),"ROTEADOR ZTE WIFI5 ZXHN H196A MESH BCO")</f>
        <v>ROTEADOR ZTE WIFI5 ZXHN H196A MESH BCO</v>
      </c>
      <c r="B3712" s="22">
        <f>IFERROR(__xludf.DUMMYFUNCTION("""COMPUTED_VALUE"""),4.1001536E7)</f>
        <v>41001536</v>
      </c>
      <c r="C3712" s="21" t="str">
        <f>IFERROR(__xludf.DUMMYFUNCTION("""COMPUTED_VALUE"""),"6877DA61F78F")</f>
        <v>6877DA61F78F</v>
      </c>
      <c r="D3712" s="21" t="str">
        <f>IFERROR(__xludf.DUMMYFUNCTION("""COMPUTED_VALUE"""),"DIGITEC TECNOLOGIA DIGITAL E REPRES")</f>
        <v>DIGITEC TECNOLOGIA DIGITAL E REPRES</v>
      </c>
      <c r="E3712" s="21">
        <f>IFERROR(__xludf.DUMMYFUNCTION("""COMPUTED_VALUE"""),145359.0)</f>
        <v>145359</v>
      </c>
      <c r="F3712" s="21" t="str">
        <f>IFERROR(__xludf.DUMMYFUNCTION("""COMPUTED_VALUE"""),"COM DEFEITO")</f>
        <v>COM DEFEITO</v>
      </c>
      <c r="G3712" s="23">
        <f>IFERROR(__xludf.DUMMYFUNCTION("""COMPUTED_VALUE"""),45595.63983796297)</f>
        <v>45595.63984</v>
      </c>
      <c r="H3712" s="24" t="str">
        <f>IFERROR(VLOOKUP(B3712,material!A:D,3,0),"")</f>
        <v>WIFI MESH</v>
      </c>
    </row>
    <row r="3713" ht="11.25" customHeight="1">
      <c r="A3713" s="21" t="str">
        <f>IFERROR(__xludf.DUMMYFUNCTION("""COMPUTED_VALUE"""),"ROTEADOR ZTE WIFI5 ZXHN H196A MESH BCO")</f>
        <v>ROTEADOR ZTE WIFI5 ZXHN H196A MESH BCO</v>
      </c>
      <c r="B3713" s="22">
        <f>IFERROR(__xludf.DUMMYFUNCTION("""COMPUTED_VALUE"""),4.1001536E7)</f>
        <v>41001536</v>
      </c>
      <c r="C3713" s="21" t="str">
        <f>IFERROR(__xludf.DUMMYFUNCTION("""COMPUTED_VALUE"""),"6877DA61F7FF")</f>
        <v>6877DA61F7FF</v>
      </c>
      <c r="D3713" s="21" t="str">
        <f>IFERROR(__xludf.DUMMYFUNCTION("""COMPUTED_VALUE"""),"DIGITEC TECNOLOGIA DIGITAL E REPRES")</f>
        <v>DIGITEC TECNOLOGIA DIGITAL E REPRES</v>
      </c>
      <c r="E3713" s="21">
        <f>IFERROR(__xludf.DUMMYFUNCTION("""COMPUTED_VALUE"""),145359.0)</f>
        <v>145359</v>
      </c>
      <c r="F3713" s="21" t="str">
        <f>IFERROR(__xludf.DUMMYFUNCTION("""COMPUTED_VALUE"""),"COM DEFEITO")</f>
        <v>COM DEFEITO</v>
      </c>
      <c r="G3713" s="23">
        <f>IFERROR(__xludf.DUMMYFUNCTION("""COMPUTED_VALUE"""),45595.63983796297)</f>
        <v>45595.63984</v>
      </c>
      <c r="H3713" s="24" t="str">
        <f>IFERROR(VLOOKUP(B3713,material!A:D,3,0),"")</f>
        <v>WIFI MESH</v>
      </c>
    </row>
    <row r="3714" ht="11.25" customHeight="1">
      <c r="A3714" s="21" t="str">
        <f>IFERROR(__xludf.DUMMYFUNCTION("""COMPUTED_VALUE"""),"ROTEADOR ZTE WIFI5 ZXHN H196A MESH BCO")</f>
        <v>ROTEADOR ZTE WIFI5 ZXHN H196A MESH BCO</v>
      </c>
      <c r="B3714" s="22">
        <f>IFERROR(__xludf.DUMMYFUNCTION("""COMPUTED_VALUE"""),4.1001536E7)</f>
        <v>41001536</v>
      </c>
      <c r="C3714" s="21" t="str">
        <f>IFERROR(__xludf.DUMMYFUNCTION("""COMPUTED_VALUE"""),"CC29BDEDC905")</f>
        <v>CC29BDEDC905</v>
      </c>
      <c r="D3714" s="21" t="str">
        <f>IFERROR(__xludf.DUMMYFUNCTION("""COMPUTED_VALUE"""),"DIGITEC TECNOLOGIA DIGITAL E REPRES")</f>
        <v>DIGITEC TECNOLOGIA DIGITAL E REPRES</v>
      </c>
      <c r="E3714" s="21">
        <f>IFERROR(__xludf.DUMMYFUNCTION("""COMPUTED_VALUE"""),145359.0)</f>
        <v>145359</v>
      </c>
      <c r="F3714" s="21" t="str">
        <f>IFERROR(__xludf.DUMMYFUNCTION("""COMPUTED_VALUE"""),"COM DEFEITO")</f>
        <v>COM DEFEITO</v>
      </c>
      <c r="G3714" s="23">
        <f>IFERROR(__xludf.DUMMYFUNCTION("""COMPUTED_VALUE"""),45415.656006944446)</f>
        <v>45415.65601</v>
      </c>
      <c r="H3714" s="24" t="str">
        <f>IFERROR(VLOOKUP(B3714,material!A:D,3,0),"")</f>
        <v>WIFI MESH</v>
      </c>
    </row>
    <row r="3715" ht="11.25" customHeight="1">
      <c r="A3715" s="21" t="str">
        <f>IFERROR(__xludf.DUMMYFUNCTION("""COMPUTED_VALUE"""),"ROTEADOR ZTE WIFI5 ZXHN H196A MESH BCO")</f>
        <v>ROTEADOR ZTE WIFI5 ZXHN H196A MESH BCO</v>
      </c>
      <c r="B3715" s="22">
        <f>IFERROR(__xludf.DUMMYFUNCTION("""COMPUTED_VALUE"""),4.1001536E7)</f>
        <v>41001536</v>
      </c>
      <c r="C3715" s="21" t="str">
        <f>IFERROR(__xludf.DUMMYFUNCTION("""COMPUTED_VALUE"""),"C094AD99F8C3")</f>
        <v>C094AD99F8C3</v>
      </c>
      <c r="D3715" s="21" t="str">
        <f>IFERROR(__xludf.DUMMYFUNCTION("""COMPUTED_VALUE"""),"DIGITEC TECNOLOGIA DIGITAL E REPRES")</f>
        <v>DIGITEC TECNOLOGIA DIGITAL E REPRES</v>
      </c>
      <c r="E3715" s="21">
        <f>IFERROR(__xludf.DUMMYFUNCTION("""COMPUTED_VALUE"""),145359.0)</f>
        <v>145359</v>
      </c>
      <c r="F3715" s="21" t="str">
        <f>IFERROR(__xludf.DUMMYFUNCTION("""COMPUTED_VALUE"""),"COM DEFEITO")</f>
        <v>COM DEFEITO</v>
      </c>
      <c r="G3715" s="23">
        <f>IFERROR(__xludf.DUMMYFUNCTION("""COMPUTED_VALUE"""),45415.656006944446)</f>
        <v>45415.65601</v>
      </c>
      <c r="H3715" s="24" t="str">
        <f>IFERROR(VLOOKUP(B3715,material!A:D,3,0),"")</f>
        <v>WIFI MESH</v>
      </c>
    </row>
    <row r="3716" ht="11.25" customHeight="1">
      <c r="A3716" s="21" t="str">
        <f>IFERROR(__xludf.DUMMYFUNCTION("""COMPUTED_VALUE"""),"ROTEADOR ZTE WIFI5 ZXHN H196A MESH BCO")</f>
        <v>ROTEADOR ZTE WIFI5 ZXHN H196A MESH BCO</v>
      </c>
      <c r="B3716" s="22">
        <f>IFERROR(__xludf.DUMMYFUNCTION("""COMPUTED_VALUE"""),4.1001536E7)</f>
        <v>41001536</v>
      </c>
      <c r="C3716" s="21" t="str">
        <f>IFERROR(__xludf.DUMMYFUNCTION("""COMPUTED_VALUE"""),"6877DA61F71F")</f>
        <v>6877DA61F71F</v>
      </c>
      <c r="D3716" s="21" t="str">
        <f>IFERROR(__xludf.DUMMYFUNCTION("""COMPUTED_VALUE"""),"DIGITEC TECNOLOGIA DIGITAL E REPRES")</f>
        <v>DIGITEC TECNOLOGIA DIGITAL E REPRES</v>
      </c>
      <c r="E3716" s="21">
        <f>IFERROR(__xludf.DUMMYFUNCTION("""COMPUTED_VALUE"""),145359.0)</f>
        <v>145359</v>
      </c>
      <c r="F3716" s="21" t="str">
        <f>IFERROR(__xludf.DUMMYFUNCTION("""COMPUTED_VALUE"""),"COM DEFEITO")</f>
        <v>COM DEFEITO</v>
      </c>
      <c r="G3716" s="23">
        <f>IFERROR(__xludf.DUMMYFUNCTION("""COMPUTED_VALUE"""),45595.63983796297)</f>
        <v>45595.63984</v>
      </c>
      <c r="H3716" s="24" t="str">
        <f>IFERROR(VLOOKUP(B3716,material!A:D,3,0),"")</f>
        <v>WIFI MESH</v>
      </c>
    </row>
    <row r="3717" ht="11.25" customHeight="1">
      <c r="A3717" s="21" t="str">
        <f>IFERROR(__xludf.DUMMYFUNCTION("""COMPUTED_VALUE"""),"ROTEADOR ZTE WIFI5 ZXHN H196A MESH BCO")</f>
        <v>ROTEADOR ZTE WIFI5 ZXHN H196A MESH BCO</v>
      </c>
      <c r="B3717" s="22">
        <f>IFERROR(__xludf.DUMMYFUNCTION("""COMPUTED_VALUE"""),4.1001536E7)</f>
        <v>41001536</v>
      </c>
      <c r="C3717" s="21" t="str">
        <f>IFERROR(__xludf.DUMMYFUNCTION("""COMPUTED_VALUE"""),"6877DA5A3C1F")</f>
        <v>6877DA5A3C1F</v>
      </c>
      <c r="D3717" s="21" t="str">
        <f>IFERROR(__xludf.DUMMYFUNCTION("""COMPUTED_VALUE"""),"DIGITEC TECNOLOGIA DIGITAL E REPRES")</f>
        <v>DIGITEC TECNOLOGIA DIGITAL E REPRES</v>
      </c>
      <c r="E3717" s="21">
        <f>IFERROR(__xludf.DUMMYFUNCTION("""COMPUTED_VALUE"""),145359.0)</f>
        <v>145359</v>
      </c>
      <c r="F3717" s="21" t="str">
        <f>IFERROR(__xludf.DUMMYFUNCTION("""COMPUTED_VALUE"""),"COM DEFEITO")</f>
        <v>COM DEFEITO</v>
      </c>
      <c r="G3717" s="23">
        <f>IFERROR(__xludf.DUMMYFUNCTION("""COMPUTED_VALUE"""),45595.63983796297)</f>
        <v>45595.63984</v>
      </c>
      <c r="H3717" s="24" t="str">
        <f>IFERROR(VLOOKUP(B3717,material!A:D,3,0),"")</f>
        <v>WIFI MESH</v>
      </c>
    </row>
    <row r="3718" ht="11.25" customHeight="1">
      <c r="A3718" s="21" t="str">
        <f>IFERROR(__xludf.DUMMYFUNCTION("""COMPUTED_VALUE"""),"ROTEADOR ZTE WIFI5 ZXHN H196A MESH BCO")</f>
        <v>ROTEADOR ZTE WIFI5 ZXHN H196A MESH BCO</v>
      </c>
      <c r="B3718" s="22">
        <f>IFERROR(__xludf.DUMMYFUNCTION("""COMPUTED_VALUE"""),4.1001536E7)</f>
        <v>41001536</v>
      </c>
      <c r="C3718" s="21" t="str">
        <f>IFERROR(__xludf.DUMMYFUNCTION("""COMPUTED_VALUE"""),"6877DA61151B")</f>
        <v>6877DA61151B</v>
      </c>
      <c r="D3718" s="21" t="str">
        <f>IFERROR(__xludf.DUMMYFUNCTION("""COMPUTED_VALUE"""),"DIGITEC TECNOLOGIA DIGITAL E REPRES")</f>
        <v>DIGITEC TECNOLOGIA DIGITAL E REPRES</v>
      </c>
      <c r="E3718" s="21">
        <f>IFERROR(__xludf.DUMMYFUNCTION("""COMPUTED_VALUE"""),145359.0)</f>
        <v>145359</v>
      </c>
      <c r="F3718" s="21" t="str">
        <f>IFERROR(__xludf.DUMMYFUNCTION("""COMPUTED_VALUE"""),"COM DEFEITO")</f>
        <v>COM DEFEITO</v>
      </c>
      <c r="G3718" s="23">
        <f>IFERROR(__xludf.DUMMYFUNCTION("""COMPUTED_VALUE"""),45595.63983796297)</f>
        <v>45595.63984</v>
      </c>
      <c r="H3718" s="24" t="str">
        <f>IFERROR(VLOOKUP(B3718,material!A:D,3,0),"")</f>
        <v>WIFI MESH</v>
      </c>
    </row>
    <row r="3719" ht="11.25" customHeight="1">
      <c r="A3719" s="21" t="str">
        <f>IFERROR(__xludf.DUMMYFUNCTION("""COMPUTED_VALUE"""),"TERMINAL GPON WIFI PG2449")</f>
        <v>TERMINAL GPON WIFI PG2449</v>
      </c>
      <c r="B3719" s="22">
        <f>IFERROR(__xludf.DUMMYFUNCTION("""COMPUTED_VALUE"""),4.1001521E7)</f>
        <v>41001521</v>
      </c>
      <c r="C3719" s="21" t="str">
        <f>IFERROR(__xludf.DUMMYFUNCTION("""COMPUTED_VALUE"""),"840112C46A10")</f>
        <v>840112C46A10</v>
      </c>
      <c r="D3719" s="21" t="str">
        <f>IFERROR(__xludf.DUMMYFUNCTION("""COMPUTED_VALUE"""),"DIGITEC TECNOLOGIA DIGITAL E REPRES")</f>
        <v>DIGITEC TECNOLOGIA DIGITAL E REPRES</v>
      </c>
      <c r="E3719" s="21">
        <f>IFERROR(__xludf.DUMMYFUNCTION("""COMPUTED_VALUE"""),145359.0)</f>
        <v>145359</v>
      </c>
      <c r="F3719" s="21" t="str">
        <f>IFERROR(__xludf.DUMMYFUNCTION("""COMPUTED_VALUE"""),"COM DEFEITO")</f>
        <v>COM DEFEITO</v>
      </c>
      <c r="G3719" s="23">
        <f>IFERROR(__xludf.DUMMYFUNCTION("""COMPUTED_VALUE"""),45397.70770833333)</f>
        <v>45397.70771</v>
      </c>
      <c r="H3719" s="24" t="str">
        <f>IFERROR(VLOOKUP(B3719,material!A:D,3,0),"")</f>
        <v>GPON 6</v>
      </c>
    </row>
    <row r="3720" ht="11.25" customHeight="1">
      <c r="A3720" s="21" t="str">
        <f>IFERROR(__xludf.DUMMYFUNCTION("""COMPUTED_VALUE"""),"TERMINAL DOCSIS 3.1 32X8 EMTA WIF TG3442")</f>
        <v>TERMINAL DOCSIS 3.1 32X8 EMTA WIF TG3442</v>
      </c>
      <c r="B3720" s="22">
        <f>IFERROR(__xludf.DUMMYFUNCTION("""COMPUTED_VALUE"""),4.100152E7)</f>
        <v>41001520</v>
      </c>
      <c r="C3720" s="21" t="str">
        <f>IFERROR(__xludf.DUMMYFUNCTION("""COMPUTED_VALUE"""),"10E17778E333")</f>
        <v>10E17778E333</v>
      </c>
      <c r="D3720" s="21" t="str">
        <f>IFERROR(__xludf.DUMMYFUNCTION("""COMPUTED_VALUE"""),"DIGITEC TECNOLOGIA DIGITAL E REPRES")</f>
        <v>DIGITEC TECNOLOGIA DIGITAL E REPRES</v>
      </c>
      <c r="E3720" s="21">
        <f>IFERROR(__xludf.DUMMYFUNCTION("""COMPUTED_VALUE"""),145359.0)</f>
        <v>145359</v>
      </c>
      <c r="F3720" s="21" t="str">
        <f>IFERROR(__xludf.DUMMYFUNCTION("""COMPUTED_VALUE"""),"COM DEFEITO")</f>
        <v>COM DEFEITO</v>
      </c>
      <c r="G3720" s="23">
        <f>IFERROR(__xludf.DUMMYFUNCTION("""COMPUTED_VALUE"""),45617.71434027777)</f>
        <v>45617.71434</v>
      </c>
      <c r="H3720" s="24" t="str">
        <f>IFERROR(VLOOKUP(B3720,material!A:D,3,0),"")</f>
        <v>3.1</v>
      </c>
    </row>
    <row r="3721" ht="11.25" customHeight="1">
      <c r="A3721" s="21" t="str">
        <f>IFERROR(__xludf.DUMMYFUNCTION("""COMPUTED_VALUE"""),"TERMINAL DOCSIS 3.1 32X8 EMTA WIF TG3442")</f>
        <v>TERMINAL DOCSIS 3.1 32X8 EMTA WIF TG3442</v>
      </c>
      <c r="B3721" s="22">
        <f>IFERROR(__xludf.DUMMYFUNCTION("""COMPUTED_VALUE"""),4.100152E7)</f>
        <v>41001520</v>
      </c>
      <c r="C3721" s="21" t="str">
        <f>IFERROR(__xludf.DUMMYFUNCTION("""COMPUTED_VALUE"""),"10E17778C885")</f>
        <v>10E17778C885</v>
      </c>
      <c r="D3721" s="21" t="str">
        <f>IFERROR(__xludf.DUMMYFUNCTION("""COMPUTED_VALUE"""),"DIGITEC TECNOLOGIA DIGITAL E REPRES")</f>
        <v>DIGITEC TECNOLOGIA DIGITAL E REPRES</v>
      </c>
      <c r="E3721" s="21">
        <f>IFERROR(__xludf.DUMMYFUNCTION("""COMPUTED_VALUE"""),145359.0)</f>
        <v>145359</v>
      </c>
      <c r="F3721" s="21" t="str">
        <f>IFERROR(__xludf.DUMMYFUNCTION("""COMPUTED_VALUE"""),"COM DEFEITO")</f>
        <v>COM DEFEITO</v>
      </c>
      <c r="G3721" s="23">
        <f>IFERROR(__xludf.DUMMYFUNCTION("""COMPUTED_VALUE"""),45617.71434027777)</f>
        <v>45617.71434</v>
      </c>
      <c r="H3721" s="24" t="str">
        <f>IFERROR(VLOOKUP(B3721,material!A:D,3,0),"")</f>
        <v>3.1</v>
      </c>
    </row>
    <row r="3722" ht="11.25" customHeight="1">
      <c r="A3722" s="21" t="str">
        <f>IFERROR(__xludf.DUMMYFUNCTION("""COMPUTED_VALUE"""),"TERMINAL DOCSIS 3.1 WIFI HI3120")</f>
        <v>TERMINAL DOCSIS 3.1 WIFI HI3120</v>
      </c>
      <c r="B3722" s="22">
        <f>IFERROR(__xludf.DUMMYFUNCTION("""COMPUTED_VALUE"""),4.1001518E7)</f>
        <v>41001518</v>
      </c>
      <c r="C3722" s="21" t="str">
        <f>IFERROR(__xludf.DUMMYFUNCTION("""COMPUTED_VALUE"""),"10412123D730")</f>
        <v>10412123D730</v>
      </c>
      <c r="D3722" s="21" t="str">
        <f>IFERROR(__xludf.DUMMYFUNCTION("""COMPUTED_VALUE"""),"DIGITEC TECNOLOGIA DIGITAL E REPRES")</f>
        <v>DIGITEC TECNOLOGIA DIGITAL E REPRES</v>
      </c>
      <c r="E3722" s="21">
        <f>IFERROR(__xludf.DUMMYFUNCTION("""COMPUTED_VALUE"""),145359.0)</f>
        <v>145359</v>
      </c>
      <c r="F3722" s="21" t="str">
        <f>IFERROR(__xludf.DUMMYFUNCTION("""COMPUTED_VALUE"""),"COM DEFEITO")</f>
        <v>COM DEFEITO</v>
      </c>
      <c r="G3722" s="23">
        <f>IFERROR(__xludf.DUMMYFUNCTION("""COMPUTED_VALUE"""),45415.656006944446)</f>
        <v>45415.65601</v>
      </c>
      <c r="H3722" s="24" t="str">
        <f>IFERROR(VLOOKUP(B3722,material!A:D,3,0),"")</f>
        <v>3.1</v>
      </c>
    </row>
    <row r="3723" ht="11.25" customHeight="1">
      <c r="A3723" s="21" t="str">
        <f>IFERROR(__xludf.DUMMYFUNCTION("""COMPUTED_VALUE"""),"MODEM VOIP GPON WIFI 3.1 HG8245 6T V2")</f>
        <v>MODEM VOIP GPON WIFI 3.1 HG8245 6T V2</v>
      </c>
      <c r="B3723" s="22">
        <f>IFERROR(__xludf.DUMMYFUNCTION("""COMPUTED_VALUE"""),4.1001516E7)</f>
        <v>41001516</v>
      </c>
      <c r="C3723" s="21" t="str">
        <f>IFERROR(__xludf.DUMMYFUNCTION("""COMPUTED_VALUE"""),"ECC01B5E0432")</f>
        <v>ECC01B5E0432</v>
      </c>
      <c r="D3723" s="21" t="str">
        <f>IFERROR(__xludf.DUMMYFUNCTION("""COMPUTED_VALUE"""),"DIGITEC TECNOLOGIA DIGITAL E REPRES")</f>
        <v>DIGITEC TECNOLOGIA DIGITAL E REPRES</v>
      </c>
      <c r="E3723" s="21">
        <f>IFERROR(__xludf.DUMMYFUNCTION("""COMPUTED_VALUE"""),145359.0)</f>
        <v>145359</v>
      </c>
      <c r="F3723" s="21" t="str">
        <f>IFERROR(__xludf.DUMMYFUNCTION("""COMPUTED_VALUE"""),"COM DEFEITO")</f>
        <v>COM DEFEITO</v>
      </c>
      <c r="G3723" s="23">
        <f>IFERROR(__xludf.DUMMYFUNCTION("""COMPUTED_VALUE"""),45397.70770833333)</f>
        <v>45397.70771</v>
      </c>
      <c r="H3723" s="24" t="str">
        <f>IFERROR(VLOOKUP(B3723,material!A:D,3,0),"")</f>
        <v>ONT</v>
      </c>
    </row>
    <row r="3724" ht="11.25" customHeight="1">
      <c r="A3724" s="21" t="str">
        <f>IFERROR(__xludf.DUMMYFUNCTION("""COMPUTED_VALUE"""),"MODEM VOIP GPON WIFI 3.1 HG8245 6T V2")</f>
        <v>MODEM VOIP GPON WIFI 3.1 HG8245 6T V2</v>
      </c>
      <c r="B3724" s="22">
        <f>IFERROR(__xludf.DUMMYFUNCTION("""COMPUTED_VALUE"""),4.1001516E7)</f>
        <v>41001516</v>
      </c>
      <c r="C3724" s="21" t="str">
        <f>IFERROR(__xludf.DUMMYFUNCTION("""COMPUTED_VALUE"""),"ECC01B5CA720")</f>
        <v>ECC01B5CA720</v>
      </c>
      <c r="D3724" s="21" t="str">
        <f>IFERROR(__xludf.DUMMYFUNCTION("""COMPUTED_VALUE"""),"DIGITEC TECNOLOGIA DIGITAL E REPRES")</f>
        <v>DIGITEC TECNOLOGIA DIGITAL E REPRES</v>
      </c>
      <c r="E3724" s="21">
        <f>IFERROR(__xludf.DUMMYFUNCTION("""COMPUTED_VALUE"""),145359.0)</f>
        <v>145359</v>
      </c>
      <c r="F3724" s="21" t="str">
        <f>IFERROR(__xludf.DUMMYFUNCTION("""COMPUTED_VALUE"""),"COM DEFEITO")</f>
        <v>COM DEFEITO</v>
      </c>
      <c r="G3724" s="23">
        <f>IFERROR(__xludf.DUMMYFUNCTION("""COMPUTED_VALUE"""),45397.70770833333)</f>
        <v>45397.70771</v>
      </c>
      <c r="H3724" s="24" t="str">
        <f>IFERROR(VLOOKUP(B3724,material!A:D,3,0),"")</f>
        <v>ONT</v>
      </c>
    </row>
    <row r="3725" ht="11.25" customHeight="1">
      <c r="A3725" s="21" t="str">
        <f>IFERROR(__xludf.DUMMYFUNCTION("""COMPUTED_VALUE"""),"MODEM VOIP GPON WIFI 3.1 HG8245 6T V2")</f>
        <v>MODEM VOIP GPON WIFI 3.1 HG8245 6T V2</v>
      </c>
      <c r="B3725" s="22">
        <f>IFERROR(__xludf.DUMMYFUNCTION("""COMPUTED_VALUE"""),4.1001516E7)</f>
        <v>41001516</v>
      </c>
      <c r="C3725" s="21" t="str">
        <f>IFERROR(__xludf.DUMMYFUNCTION("""COMPUTED_VALUE"""),"ECC01B5DF7D8")</f>
        <v>ECC01B5DF7D8</v>
      </c>
      <c r="D3725" s="21" t="str">
        <f>IFERROR(__xludf.DUMMYFUNCTION("""COMPUTED_VALUE"""),"DIGITEC TECNOLOGIA DIGITAL E REPRES")</f>
        <v>DIGITEC TECNOLOGIA DIGITAL E REPRES</v>
      </c>
      <c r="E3725" s="21">
        <f>IFERROR(__xludf.DUMMYFUNCTION("""COMPUTED_VALUE"""),145359.0)</f>
        <v>145359</v>
      </c>
      <c r="F3725" s="21" t="str">
        <f>IFERROR(__xludf.DUMMYFUNCTION("""COMPUTED_VALUE"""),"COM DEFEITO")</f>
        <v>COM DEFEITO</v>
      </c>
      <c r="G3725" s="23">
        <f>IFERROR(__xludf.DUMMYFUNCTION("""COMPUTED_VALUE"""),45397.70770833333)</f>
        <v>45397.70771</v>
      </c>
      <c r="H3725" s="24" t="str">
        <f>IFERROR(VLOOKUP(B3725,material!A:D,3,0),"")</f>
        <v>ONT</v>
      </c>
    </row>
    <row r="3726" ht="11.25" customHeight="1">
      <c r="A3726" s="21" t="str">
        <f>IFERROR(__xludf.DUMMYFUNCTION("""COMPUTED_VALUE"""),"MODEM VOIP GPON WIFI 3.1 HG8245 6T V2")</f>
        <v>MODEM VOIP GPON WIFI 3.1 HG8245 6T V2</v>
      </c>
      <c r="B3726" s="22">
        <f>IFERROR(__xludf.DUMMYFUNCTION("""COMPUTED_VALUE"""),4.1001516E7)</f>
        <v>41001516</v>
      </c>
      <c r="C3726" s="21" t="str">
        <f>IFERROR(__xludf.DUMMYFUNCTION("""COMPUTED_VALUE"""),"F82E3F6BF0B5")</f>
        <v>F82E3F6BF0B5</v>
      </c>
      <c r="D3726" s="21" t="str">
        <f>IFERROR(__xludf.DUMMYFUNCTION("""COMPUTED_VALUE"""),"DIGITEC TECNOLOGIA DIGITAL E REPRES")</f>
        <v>DIGITEC TECNOLOGIA DIGITAL E REPRES</v>
      </c>
      <c r="E3726" s="21">
        <f>IFERROR(__xludf.DUMMYFUNCTION("""COMPUTED_VALUE"""),145359.0)</f>
        <v>145359</v>
      </c>
      <c r="F3726" s="21" t="str">
        <f>IFERROR(__xludf.DUMMYFUNCTION("""COMPUTED_VALUE"""),"COM DEFEITO")</f>
        <v>COM DEFEITO</v>
      </c>
      <c r="G3726" s="23">
        <f>IFERROR(__xludf.DUMMYFUNCTION("""COMPUTED_VALUE"""),45397.70770833333)</f>
        <v>45397.70771</v>
      </c>
      <c r="H3726" s="24" t="str">
        <f>IFERROR(VLOOKUP(B3726,material!A:D,3,0),"")</f>
        <v>ONT</v>
      </c>
    </row>
    <row r="3727" ht="11.25" customHeight="1">
      <c r="A3727" s="21" t="str">
        <f>IFERROR(__xludf.DUMMYFUNCTION("""COMPUTED_VALUE"""),"MODEM VOIP GPON WIFI 3.1 HG8245 6T V2")</f>
        <v>MODEM VOIP GPON WIFI 3.1 HG8245 6T V2</v>
      </c>
      <c r="B3727" s="22">
        <f>IFERROR(__xludf.DUMMYFUNCTION("""COMPUTED_VALUE"""),4.1001516E7)</f>
        <v>41001516</v>
      </c>
      <c r="C3727" s="21" t="str">
        <f>IFERROR(__xludf.DUMMYFUNCTION("""COMPUTED_VALUE"""),"F82E3F7143B2")</f>
        <v>F82E3F7143B2</v>
      </c>
      <c r="D3727" s="21" t="str">
        <f>IFERROR(__xludf.DUMMYFUNCTION("""COMPUTED_VALUE"""),"DIGITEC TECNOLOGIA DIGITAL E REPRES")</f>
        <v>DIGITEC TECNOLOGIA DIGITAL E REPRES</v>
      </c>
      <c r="E3727" s="21">
        <f>IFERROR(__xludf.DUMMYFUNCTION("""COMPUTED_VALUE"""),145359.0)</f>
        <v>145359</v>
      </c>
      <c r="F3727" s="21" t="str">
        <f>IFERROR(__xludf.DUMMYFUNCTION("""COMPUTED_VALUE"""),"COM DEFEITO")</f>
        <v>COM DEFEITO</v>
      </c>
      <c r="G3727" s="23">
        <f>IFERROR(__xludf.DUMMYFUNCTION("""COMPUTED_VALUE"""),45397.70770833333)</f>
        <v>45397.70771</v>
      </c>
      <c r="H3727" s="24" t="str">
        <f>IFERROR(VLOOKUP(B3727,material!A:D,3,0),"")</f>
        <v>ONT</v>
      </c>
    </row>
    <row r="3728" ht="11.25" customHeight="1">
      <c r="A3728" s="21" t="str">
        <f>IFERROR(__xludf.DUMMYFUNCTION("""COMPUTED_VALUE"""),"MODEM VOIP GPON WIFI 3.1 HG8245 6T V2")</f>
        <v>MODEM VOIP GPON WIFI 3.1 HG8245 6T V2</v>
      </c>
      <c r="B3728" s="22">
        <f>IFERROR(__xludf.DUMMYFUNCTION("""COMPUTED_VALUE"""),4.1001516E7)</f>
        <v>41001516</v>
      </c>
      <c r="C3728" s="21" t="str">
        <f>IFERROR(__xludf.DUMMYFUNCTION("""COMPUTED_VALUE"""),"6C442A944AEC")</f>
        <v>6C442A944AEC</v>
      </c>
      <c r="D3728" s="21" t="str">
        <f>IFERROR(__xludf.DUMMYFUNCTION("""COMPUTED_VALUE"""),"DIGITEC TECNOLOGIA DIGITAL E REPRES")</f>
        <v>DIGITEC TECNOLOGIA DIGITAL E REPRES</v>
      </c>
      <c r="E3728" s="21">
        <f>IFERROR(__xludf.DUMMYFUNCTION("""COMPUTED_VALUE"""),145359.0)</f>
        <v>145359</v>
      </c>
      <c r="F3728" s="21" t="str">
        <f>IFERROR(__xludf.DUMMYFUNCTION("""COMPUTED_VALUE"""),"COM DEFEITO")</f>
        <v>COM DEFEITO</v>
      </c>
      <c r="G3728" s="23">
        <f>IFERROR(__xludf.DUMMYFUNCTION("""COMPUTED_VALUE"""),45397.70770833333)</f>
        <v>45397.70771</v>
      </c>
      <c r="H3728" s="24" t="str">
        <f>IFERROR(VLOOKUP(B3728,material!A:D,3,0),"")</f>
        <v>ONT</v>
      </c>
    </row>
    <row r="3729" ht="11.25" customHeight="1">
      <c r="A3729" s="21" t="str">
        <f>IFERROR(__xludf.DUMMYFUNCTION("""COMPUTED_VALUE"""),"MODEM VOIP GPON WIFI 3.1 HG8245 6T V2")</f>
        <v>MODEM VOIP GPON WIFI 3.1 HG8245 6T V2</v>
      </c>
      <c r="B3729" s="22">
        <f>IFERROR(__xludf.DUMMYFUNCTION("""COMPUTED_VALUE"""),4.1001516E7)</f>
        <v>41001516</v>
      </c>
      <c r="C3729" s="21" t="str">
        <f>IFERROR(__xludf.DUMMYFUNCTION("""COMPUTED_VALUE"""),"C4FBAAFB1B94")</f>
        <v>C4FBAAFB1B94</v>
      </c>
      <c r="D3729" s="21" t="str">
        <f>IFERROR(__xludf.DUMMYFUNCTION("""COMPUTED_VALUE"""),"DIGITEC TECNOLOGIA DIGITAL E REPRES")</f>
        <v>DIGITEC TECNOLOGIA DIGITAL E REPRES</v>
      </c>
      <c r="E3729" s="21">
        <f>IFERROR(__xludf.DUMMYFUNCTION("""COMPUTED_VALUE"""),145359.0)</f>
        <v>145359</v>
      </c>
      <c r="F3729" s="21" t="str">
        <f>IFERROR(__xludf.DUMMYFUNCTION("""COMPUTED_VALUE"""),"COM DEFEITO")</f>
        <v>COM DEFEITO</v>
      </c>
      <c r="G3729" s="23">
        <f>IFERROR(__xludf.DUMMYFUNCTION("""COMPUTED_VALUE"""),45397.70770833333)</f>
        <v>45397.70771</v>
      </c>
      <c r="H3729" s="24" t="str">
        <f>IFERROR(VLOOKUP(B3729,material!A:D,3,0),"")</f>
        <v>ONT</v>
      </c>
    </row>
    <row r="3730" ht="11.25" customHeight="1">
      <c r="A3730" s="21" t="str">
        <f>IFERROR(__xludf.DUMMYFUNCTION("""COMPUTED_VALUE"""),"MODEM VOIP GPON WIFI 3.1 HG8245 6T V2")</f>
        <v>MODEM VOIP GPON WIFI 3.1 HG8245 6T V2</v>
      </c>
      <c r="B3730" s="22">
        <f>IFERROR(__xludf.DUMMYFUNCTION("""COMPUTED_VALUE"""),4.1001516E7)</f>
        <v>41001516</v>
      </c>
      <c r="C3730" s="21" t="str">
        <f>IFERROR(__xludf.DUMMYFUNCTION("""COMPUTED_VALUE"""),"C4FBAAFB12D0")</f>
        <v>C4FBAAFB12D0</v>
      </c>
      <c r="D3730" s="21" t="str">
        <f>IFERROR(__xludf.DUMMYFUNCTION("""COMPUTED_VALUE"""),"DIGITEC TECNOLOGIA DIGITAL E REPRES")</f>
        <v>DIGITEC TECNOLOGIA DIGITAL E REPRES</v>
      </c>
      <c r="E3730" s="21">
        <f>IFERROR(__xludf.DUMMYFUNCTION("""COMPUTED_VALUE"""),145359.0)</f>
        <v>145359</v>
      </c>
      <c r="F3730" s="21" t="str">
        <f>IFERROR(__xludf.DUMMYFUNCTION("""COMPUTED_VALUE"""),"COM DEFEITO")</f>
        <v>COM DEFEITO</v>
      </c>
      <c r="G3730" s="23">
        <f>IFERROR(__xludf.DUMMYFUNCTION("""COMPUTED_VALUE"""),45397.70770833333)</f>
        <v>45397.70771</v>
      </c>
      <c r="H3730" s="24" t="str">
        <f>IFERROR(VLOOKUP(B3730,material!A:D,3,0),"")</f>
        <v>ONT</v>
      </c>
    </row>
    <row r="3731" ht="11.25" customHeight="1">
      <c r="A3731" s="21" t="str">
        <f>IFERROR(__xludf.DUMMYFUNCTION("""COMPUTED_VALUE"""),"MODEM VOIP GPON WIFI 3.1 HG8245 6T V2")</f>
        <v>MODEM VOIP GPON WIFI 3.1 HG8245 6T V2</v>
      </c>
      <c r="B3731" s="22">
        <f>IFERROR(__xludf.DUMMYFUNCTION("""COMPUTED_VALUE"""),4.1001516E7)</f>
        <v>41001516</v>
      </c>
      <c r="C3731" s="21" t="str">
        <f>IFERROR(__xludf.DUMMYFUNCTION("""COMPUTED_VALUE"""),"C4FBAAFA00D2")</f>
        <v>C4FBAAFA00D2</v>
      </c>
      <c r="D3731" s="21" t="str">
        <f>IFERROR(__xludf.DUMMYFUNCTION("""COMPUTED_VALUE"""),"DIGITEC TECNOLOGIA DIGITAL E REPRES")</f>
        <v>DIGITEC TECNOLOGIA DIGITAL E REPRES</v>
      </c>
      <c r="E3731" s="21">
        <f>IFERROR(__xludf.DUMMYFUNCTION("""COMPUTED_VALUE"""),145359.0)</f>
        <v>145359</v>
      </c>
      <c r="F3731" s="21" t="str">
        <f>IFERROR(__xludf.DUMMYFUNCTION("""COMPUTED_VALUE"""),"COM DEFEITO")</f>
        <v>COM DEFEITO</v>
      </c>
      <c r="G3731" s="23">
        <f>IFERROR(__xludf.DUMMYFUNCTION("""COMPUTED_VALUE"""),45397.70770833333)</f>
        <v>45397.70771</v>
      </c>
      <c r="H3731" s="24" t="str">
        <f>IFERROR(VLOOKUP(B3731,material!A:D,3,0),"")</f>
        <v>ONT</v>
      </c>
    </row>
    <row r="3732" ht="11.25" customHeight="1">
      <c r="A3732" s="21" t="str">
        <f>IFERROR(__xludf.DUMMYFUNCTION("""COMPUTED_VALUE"""),"MODEM VOIP GPON WIFI 3.1 HG8245 6T V2")</f>
        <v>MODEM VOIP GPON WIFI 3.1 HG8245 6T V2</v>
      </c>
      <c r="B3732" s="22">
        <f>IFERROR(__xludf.DUMMYFUNCTION("""COMPUTED_VALUE"""),4.1001516E7)</f>
        <v>41001516</v>
      </c>
      <c r="C3732" s="21" t="str">
        <f>IFERROR(__xludf.DUMMYFUNCTION("""COMPUTED_VALUE"""),"C4FBAA0370A5")</f>
        <v>C4FBAA0370A5</v>
      </c>
      <c r="D3732" s="21" t="str">
        <f>IFERROR(__xludf.DUMMYFUNCTION("""COMPUTED_VALUE"""),"DIGITEC TECNOLOGIA DIGITAL E REPRES")</f>
        <v>DIGITEC TECNOLOGIA DIGITAL E REPRES</v>
      </c>
      <c r="E3732" s="21">
        <f>IFERROR(__xludf.DUMMYFUNCTION("""COMPUTED_VALUE"""),145359.0)</f>
        <v>145359</v>
      </c>
      <c r="F3732" s="21" t="str">
        <f>IFERROR(__xludf.DUMMYFUNCTION("""COMPUTED_VALUE"""),"COM DEFEITO")</f>
        <v>COM DEFEITO</v>
      </c>
      <c r="G3732" s="23">
        <f>IFERROR(__xludf.DUMMYFUNCTION("""COMPUTED_VALUE"""),45397.70770833333)</f>
        <v>45397.70771</v>
      </c>
      <c r="H3732" s="24" t="str">
        <f>IFERROR(VLOOKUP(B3732,material!A:D,3,0),"")</f>
        <v>ONT</v>
      </c>
    </row>
    <row r="3733" ht="11.25" customHeight="1">
      <c r="A3733" s="21" t="str">
        <f>IFERROR(__xludf.DUMMYFUNCTION("""COMPUTED_VALUE"""),"MODEM VOIP GPON WIFI 3.1 HG8245 6T V2")</f>
        <v>MODEM VOIP GPON WIFI 3.1 HG8245 6T V2</v>
      </c>
      <c r="B3733" s="22">
        <f>IFERROR(__xludf.DUMMYFUNCTION("""COMPUTED_VALUE"""),4.1001516E7)</f>
        <v>41001516</v>
      </c>
      <c r="C3733" s="21" t="str">
        <f>IFERROR(__xludf.DUMMYFUNCTION("""COMPUTED_VALUE"""),"B0ECDD4B3276")</f>
        <v>B0ECDD4B3276</v>
      </c>
      <c r="D3733" s="21" t="str">
        <f>IFERROR(__xludf.DUMMYFUNCTION("""COMPUTED_VALUE"""),"DIGITEC TECNOLOGIA DIGITAL E REPRES")</f>
        <v>DIGITEC TECNOLOGIA DIGITAL E REPRES</v>
      </c>
      <c r="E3733" s="21">
        <f>IFERROR(__xludf.DUMMYFUNCTION("""COMPUTED_VALUE"""),145359.0)</f>
        <v>145359</v>
      </c>
      <c r="F3733" s="21" t="str">
        <f>IFERROR(__xludf.DUMMYFUNCTION("""COMPUTED_VALUE"""),"COM DEFEITO")</f>
        <v>COM DEFEITO</v>
      </c>
      <c r="G3733" s="23">
        <f>IFERROR(__xludf.DUMMYFUNCTION("""COMPUTED_VALUE"""),45397.70770833333)</f>
        <v>45397.70771</v>
      </c>
      <c r="H3733" s="24" t="str">
        <f>IFERROR(VLOOKUP(B3733,material!A:D,3,0),"")</f>
        <v>ONT</v>
      </c>
    </row>
    <row r="3734" ht="11.25" customHeight="1">
      <c r="A3734" s="21" t="str">
        <f>IFERROR(__xludf.DUMMYFUNCTION("""COMPUTED_VALUE"""),"MODEM VOIP GPON WIFI 3.1 HG8245 6T V2")</f>
        <v>MODEM VOIP GPON WIFI 3.1 HG8245 6T V2</v>
      </c>
      <c r="B3734" s="22">
        <f>IFERROR(__xludf.DUMMYFUNCTION("""COMPUTED_VALUE"""),4.1001516E7)</f>
        <v>41001516</v>
      </c>
      <c r="C3734" s="21" t="str">
        <f>IFERROR(__xludf.DUMMYFUNCTION("""COMPUTED_VALUE"""),"14AB0226F484")</f>
        <v>14AB0226F484</v>
      </c>
      <c r="D3734" s="21" t="str">
        <f>IFERROR(__xludf.DUMMYFUNCTION("""COMPUTED_VALUE"""),"DIGITEC TECNOLOGIA DIGITAL E REPRES")</f>
        <v>DIGITEC TECNOLOGIA DIGITAL E REPRES</v>
      </c>
      <c r="E3734" s="21">
        <f>IFERROR(__xludf.DUMMYFUNCTION("""COMPUTED_VALUE"""),145359.0)</f>
        <v>145359</v>
      </c>
      <c r="F3734" s="21" t="str">
        <f>IFERROR(__xludf.DUMMYFUNCTION("""COMPUTED_VALUE"""),"COM DEFEITO")</f>
        <v>COM DEFEITO</v>
      </c>
      <c r="G3734" s="23">
        <f>IFERROR(__xludf.DUMMYFUNCTION("""COMPUTED_VALUE"""),45397.70770833333)</f>
        <v>45397.70771</v>
      </c>
      <c r="H3734" s="24" t="str">
        <f>IFERROR(VLOOKUP(B3734,material!A:D,3,0),"")</f>
        <v>ONT</v>
      </c>
    </row>
    <row r="3735" ht="11.25" customHeight="1">
      <c r="A3735" s="21" t="str">
        <f>IFERROR(__xludf.DUMMYFUNCTION("""COMPUTED_VALUE"""),"MODEM VOIP GPON WIFI 3.1 HG8245 6T V2")</f>
        <v>MODEM VOIP GPON WIFI 3.1 HG8245 6T V2</v>
      </c>
      <c r="B3735" s="22">
        <f>IFERROR(__xludf.DUMMYFUNCTION("""COMPUTED_VALUE"""),4.1001516E7)</f>
        <v>41001516</v>
      </c>
      <c r="C3735" s="21" t="str">
        <f>IFERROR(__xludf.DUMMYFUNCTION("""COMPUTED_VALUE"""),"04E79596ADC4")</f>
        <v>04E79596ADC4</v>
      </c>
      <c r="D3735" s="21" t="str">
        <f>IFERROR(__xludf.DUMMYFUNCTION("""COMPUTED_VALUE"""),"DIGITEC TECNOLOGIA DIGITAL E REPRES")</f>
        <v>DIGITEC TECNOLOGIA DIGITAL E REPRES</v>
      </c>
      <c r="E3735" s="21">
        <f>IFERROR(__xludf.DUMMYFUNCTION("""COMPUTED_VALUE"""),145359.0)</f>
        <v>145359</v>
      </c>
      <c r="F3735" s="21" t="str">
        <f>IFERROR(__xludf.DUMMYFUNCTION("""COMPUTED_VALUE"""),"COM DEFEITO")</f>
        <v>COM DEFEITO</v>
      </c>
      <c r="G3735" s="23">
        <f>IFERROR(__xludf.DUMMYFUNCTION("""COMPUTED_VALUE"""),45397.70770833333)</f>
        <v>45397.70771</v>
      </c>
      <c r="H3735" s="24" t="str">
        <f>IFERROR(VLOOKUP(B3735,material!A:D,3,0),"")</f>
        <v>ONT</v>
      </c>
    </row>
    <row r="3736" ht="11.25" customHeight="1">
      <c r="A3736" s="21" t="str">
        <f>IFERROR(__xludf.DUMMYFUNCTION("""COMPUTED_VALUE"""),"MODEM VOIP EMTA WIFI 3.1 TC3102 32X8")</f>
        <v>MODEM VOIP EMTA WIFI 3.1 TC3102 32X8</v>
      </c>
      <c r="B3736" s="22">
        <f>IFERROR(__xludf.DUMMYFUNCTION("""COMPUTED_VALUE"""),4.1001513E7)</f>
        <v>41001513</v>
      </c>
      <c r="C3736" s="21" t="str">
        <f>IFERROR(__xludf.DUMMYFUNCTION("""COMPUTED_VALUE"""),"08A7C04C88F4")</f>
        <v>08A7C04C88F4</v>
      </c>
      <c r="D3736" s="21" t="str">
        <f>IFERROR(__xludf.DUMMYFUNCTION("""COMPUTED_VALUE"""),"DIGITEC TECNOLOGIA DIGITAL E REPRES")</f>
        <v>DIGITEC TECNOLOGIA DIGITAL E REPRES</v>
      </c>
      <c r="E3736" s="21">
        <f>IFERROR(__xludf.DUMMYFUNCTION("""COMPUTED_VALUE"""),145359.0)</f>
        <v>145359</v>
      </c>
      <c r="F3736" s="21" t="str">
        <f>IFERROR(__xludf.DUMMYFUNCTION("""COMPUTED_VALUE"""),"COM DEFEITO")</f>
        <v>COM DEFEITO</v>
      </c>
      <c r="G3736" s="23">
        <f>IFERROR(__xludf.DUMMYFUNCTION("""COMPUTED_VALUE"""),45397.70769675926)</f>
        <v>45397.7077</v>
      </c>
      <c r="H3736" s="24" t="str">
        <f>IFERROR(VLOOKUP(B3736,material!A:D,3,0),"")</f>
        <v>3.1</v>
      </c>
    </row>
    <row r="3737" ht="11.25" customHeight="1">
      <c r="A3737" s="21" t="str">
        <f>IFERROR(__xludf.DUMMYFUNCTION("""COMPUTED_VALUE"""),"MODEM VOIP EMTA WIFI 3.1 TC3102 32X8")</f>
        <v>MODEM VOIP EMTA WIFI 3.1 TC3102 32X8</v>
      </c>
      <c r="B3737" s="22">
        <f>IFERROR(__xludf.DUMMYFUNCTION("""COMPUTED_VALUE"""),4.1001513E7)</f>
        <v>41001513</v>
      </c>
      <c r="C3737" s="21" t="str">
        <f>IFERROR(__xludf.DUMMYFUNCTION("""COMPUTED_VALUE"""),"3C82C0CE7858")</f>
        <v>3C82C0CE7858</v>
      </c>
      <c r="D3737" s="21" t="str">
        <f>IFERROR(__xludf.DUMMYFUNCTION("""COMPUTED_VALUE"""),"DIGITEC TECNOLOGIA DIGITAL E REPRES")</f>
        <v>DIGITEC TECNOLOGIA DIGITAL E REPRES</v>
      </c>
      <c r="E3737" s="21">
        <f>IFERROR(__xludf.DUMMYFUNCTION("""COMPUTED_VALUE"""),145359.0)</f>
        <v>145359</v>
      </c>
      <c r="F3737" s="21" t="str">
        <f>IFERROR(__xludf.DUMMYFUNCTION("""COMPUTED_VALUE"""),"COM DEFEITO")</f>
        <v>COM DEFEITO</v>
      </c>
      <c r="G3737" s="23">
        <f>IFERROR(__xludf.DUMMYFUNCTION("""COMPUTED_VALUE"""),45625.66506944444)</f>
        <v>45625.66507</v>
      </c>
      <c r="H3737" s="24" t="str">
        <f>IFERROR(VLOOKUP(B3737,material!A:D,3,0),"")</f>
        <v>3.1</v>
      </c>
    </row>
    <row r="3738" ht="11.25" customHeight="1">
      <c r="A3738" s="21" t="str">
        <f>IFERROR(__xludf.DUMMYFUNCTION("""COMPUTED_VALUE"""),"MODEM VOIP EMTA WIFI 3.1 TC3102 32X8")</f>
        <v>MODEM VOIP EMTA WIFI 3.1 TC3102 32X8</v>
      </c>
      <c r="B3738" s="22">
        <f>IFERROR(__xludf.DUMMYFUNCTION("""COMPUTED_VALUE"""),4.1001513E7)</f>
        <v>41001513</v>
      </c>
      <c r="C3738" s="21" t="str">
        <f>IFERROR(__xludf.DUMMYFUNCTION("""COMPUTED_VALUE"""),"3C82C06780E0")</f>
        <v>3C82C06780E0</v>
      </c>
      <c r="D3738" s="21" t="str">
        <f>IFERROR(__xludf.DUMMYFUNCTION("""COMPUTED_VALUE"""),"DIGITEC TECNOLOGIA DIGITAL E REPRES")</f>
        <v>DIGITEC TECNOLOGIA DIGITAL E REPRES</v>
      </c>
      <c r="E3738" s="21">
        <f>IFERROR(__xludf.DUMMYFUNCTION("""COMPUTED_VALUE"""),145359.0)</f>
        <v>145359</v>
      </c>
      <c r="F3738" s="21" t="str">
        <f>IFERROR(__xludf.DUMMYFUNCTION("""COMPUTED_VALUE"""),"COM DEFEITO")</f>
        <v>COM DEFEITO</v>
      </c>
      <c r="G3738" s="23">
        <f>IFERROR(__xludf.DUMMYFUNCTION("""COMPUTED_VALUE"""),45397.70770833333)</f>
        <v>45397.70771</v>
      </c>
      <c r="H3738" s="24" t="str">
        <f>IFERROR(VLOOKUP(B3738,material!A:D,3,0),"")</f>
        <v>3.1</v>
      </c>
    </row>
    <row r="3739" ht="11.25" customHeight="1">
      <c r="A3739" s="21" t="str">
        <f>IFERROR(__xludf.DUMMYFUNCTION("""COMPUTED_VALUE"""),"MODEM VOIP EMTA WIFI 3.1 TC3102 32X8")</f>
        <v>MODEM VOIP EMTA WIFI 3.1 TC3102 32X8</v>
      </c>
      <c r="B3739" s="22">
        <f>IFERROR(__xludf.DUMMYFUNCTION("""COMPUTED_VALUE"""),4.1001513E7)</f>
        <v>41001513</v>
      </c>
      <c r="C3739" s="21" t="str">
        <f>IFERROR(__xludf.DUMMYFUNCTION("""COMPUTED_VALUE"""),"3C82C06719D4")</f>
        <v>3C82C06719D4</v>
      </c>
      <c r="D3739" s="21" t="str">
        <f>IFERROR(__xludf.DUMMYFUNCTION("""COMPUTED_VALUE"""),"DIGITEC TECNOLOGIA DIGITAL E REPRES")</f>
        <v>DIGITEC TECNOLOGIA DIGITAL E REPRES</v>
      </c>
      <c r="E3739" s="21">
        <f>IFERROR(__xludf.DUMMYFUNCTION("""COMPUTED_VALUE"""),145359.0)</f>
        <v>145359</v>
      </c>
      <c r="F3739" s="21" t="str">
        <f>IFERROR(__xludf.DUMMYFUNCTION("""COMPUTED_VALUE"""),"COM DEFEITO")</f>
        <v>COM DEFEITO</v>
      </c>
      <c r="G3739" s="23">
        <f>IFERROR(__xludf.DUMMYFUNCTION("""COMPUTED_VALUE"""),45397.70769675926)</f>
        <v>45397.7077</v>
      </c>
      <c r="H3739" s="24" t="str">
        <f>IFERROR(VLOOKUP(B3739,material!A:D,3,0),"")</f>
        <v>3.1</v>
      </c>
    </row>
    <row r="3740" ht="11.25" customHeight="1">
      <c r="A3740" s="21" t="str">
        <f>IFERROR(__xludf.DUMMYFUNCTION("""COMPUTED_VALUE"""),"MODEM VOIP EMTA WIFI 3.1 TC3102 32X8")</f>
        <v>MODEM VOIP EMTA WIFI 3.1 TC3102 32X8</v>
      </c>
      <c r="B3740" s="22">
        <f>IFERROR(__xludf.DUMMYFUNCTION("""COMPUTED_VALUE"""),4.1001513E7)</f>
        <v>41001513</v>
      </c>
      <c r="C3740" s="21" t="str">
        <f>IFERROR(__xludf.DUMMYFUNCTION("""COMPUTED_VALUE"""),"B85E71DBABB4")</f>
        <v>B85E71DBABB4</v>
      </c>
      <c r="D3740" s="21" t="str">
        <f>IFERROR(__xludf.DUMMYFUNCTION("""COMPUTED_VALUE"""),"DIGITEC TECNOLOGIA DIGITAL E REPRES")</f>
        <v>DIGITEC TECNOLOGIA DIGITAL E REPRES</v>
      </c>
      <c r="E3740" s="21">
        <f>IFERROR(__xludf.DUMMYFUNCTION("""COMPUTED_VALUE"""),145359.0)</f>
        <v>145359</v>
      </c>
      <c r="F3740" s="21" t="str">
        <f>IFERROR(__xludf.DUMMYFUNCTION("""COMPUTED_VALUE"""),"COM DEFEITO")</f>
        <v>COM DEFEITO</v>
      </c>
      <c r="G3740" s="23">
        <f>IFERROR(__xludf.DUMMYFUNCTION("""COMPUTED_VALUE"""),45625.66509259259)</f>
        <v>45625.66509</v>
      </c>
      <c r="H3740" s="24" t="str">
        <f>IFERROR(VLOOKUP(B3740,material!A:D,3,0),"")</f>
        <v>3.1</v>
      </c>
    </row>
    <row r="3741" ht="11.25" customHeight="1">
      <c r="A3741" s="21" t="str">
        <f>IFERROR(__xludf.DUMMYFUNCTION("""COMPUTED_VALUE"""),"MODEM VOIP EMTA WIFI 3.1 TC3102 32X8")</f>
        <v>MODEM VOIP EMTA WIFI 3.1 TC3102 32X8</v>
      </c>
      <c r="B3741" s="22">
        <f>IFERROR(__xludf.DUMMYFUNCTION("""COMPUTED_VALUE"""),4.1001513E7)</f>
        <v>41001513</v>
      </c>
      <c r="C3741" s="21" t="str">
        <f>IFERROR(__xludf.DUMMYFUNCTION("""COMPUTED_VALUE"""),"B85E71CB78E8")</f>
        <v>B85E71CB78E8</v>
      </c>
      <c r="D3741" s="21" t="str">
        <f>IFERROR(__xludf.DUMMYFUNCTION("""COMPUTED_VALUE"""),"DIGITEC TECNOLOGIA DIGITAL E REPRES")</f>
        <v>DIGITEC TECNOLOGIA DIGITAL E REPRES</v>
      </c>
      <c r="E3741" s="21">
        <f>IFERROR(__xludf.DUMMYFUNCTION("""COMPUTED_VALUE"""),145359.0)</f>
        <v>145359</v>
      </c>
      <c r="F3741" s="21" t="str">
        <f>IFERROR(__xludf.DUMMYFUNCTION("""COMPUTED_VALUE"""),"COM DEFEITO")</f>
        <v>COM DEFEITO</v>
      </c>
      <c r="G3741" s="23">
        <f>IFERROR(__xludf.DUMMYFUNCTION("""COMPUTED_VALUE"""),45415.65599537037)</f>
        <v>45415.656</v>
      </c>
      <c r="H3741" s="24" t="str">
        <f>IFERROR(VLOOKUP(B3741,material!A:D,3,0),"")</f>
        <v>3.1</v>
      </c>
    </row>
    <row r="3742" ht="11.25" customHeight="1">
      <c r="A3742" s="21" t="str">
        <f>IFERROR(__xludf.DUMMYFUNCTION("""COMPUTED_VALUE"""),"MODEM VOIP EMTA WIFI 3.1 TC3102 32X8")</f>
        <v>MODEM VOIP EMTA WIFI 3.1 TC3102 32X8</v>
      </c>
      <c r="B3742" s="22">
        <f>IFERROR(__xludf.DUMMYFUNCTION("""COMPUTED_VALUE"""),4.1001513E7)</f>
        <v>41001513</v>
      </c>
      <c r="C3742" s="21" t="str">
        <f>IFERROR(__xludf.DUMMYFUNCTION("""COMPUTED_VALUE"""),"B85E71ED0E68")</f>
        <v>B85E71ED0E68</v>
      </c>
      <c r="D3742" s="21" t="str">
        <f>IFERROR(__xludf.DUMMYFUNCTION("""COMPUTED_VALUE"""),"DIGITEC TECNOLOGIA DIGITAL E REPRES")</f>
        <v>DIGITEC TECNOLOGIA DIGITAL E REPRES</v>
      </c>
      <c r="E3742" s="21">
        <f>IFERROR(__xludf.DUMMYFUNCTION("""COMPUTED_VALUE"""),145359.0)</f>
        <v>145359</v>
      </c>
      <c r="F3742" s="21" t="str">
        <f>IFERROR(__xludf.DUMMYFUNCTION("""COMPUTED_VALUE"""),"COM DEFEITO")</f>
        <v>COM DEFEITO</v>
      </c>
      <c r="G3742" s="23">
        <f>IFERROR(__xludf.DUMMYFUNCTION("""COMPUTED_VALUE"""),45397.70770833333)</f>
        <v>45397.70771</v>
      </c>
      <c r="H3742" s="24" t="str">
        <f>IFERROR(VLOOKUP(B3742,material!A:D,3,0),"")</f>
        <v>3.1</v>
      </c>
    </row>
    <row r="3743" ht="11.25" customHeight="1">
      <c r="A3743" s="21" t="str">
        <f>IFERROR(__xludf.DUMMYFUNCTION("""COMPUTED_VALUE"""),"MODEM VOIP EMTA WIFI 3.1 TC3102 32X8")</f>
        <v>MODEM VOIP EMTA WIFI 3.1 TC3102 32X8</v>
      </c>
      <c r="B3743" s="22">
        <f>IFERROR(__xludf.DUMMYFUNCTION("""COMPUTED_VALUE"""),4.1001513E7)</f>
        <v>41001513</v>
      </c>
      <c r="C3743" s="21" t="str">
        <f>IFERROR(__xludf.DUMMYFUNCTION("""COMPUTED_VALUE"""),"4075C3C178D8")</f>
        <v>4075C3C178D8</v>
      </c>
      <c r="D3743" s="21" t="str">
        <f>IFERROR(__xludf.DUMMYFUNCTION("""COMPUTED_VALUE"""),"DIGITEC TECNOLOGIA DIGITAL E REPRES")</f>
        <v>DIGITEC TECNOLOGIA DIGITAL E REPRES</v>
      </c>
      <c r="E3743" s="21">
        <f>IFERROR(__xludf.DUMMYFUNCTION("""COMPUTED_VALUE"""),145359.0)</f>
        <v>145359</v>
      </c>
      <c r="F3743" s="21" t="str">
        <f>IFERROR(__xludf.DUMMYFUNCTION("""COMPUTED_VALUE"""),"COM DEFEITO")</f>
        <v>COM DEFEITO</v>
      </c>
      <c r="G3743" s="23">
        <f>IFERROR(__xludf.DUMMYFUNCTION("""COMPUTED_VALUE"""),45397.70769675926)</f>
        <v>45397.7077</v>
      </c>
      <c r="H3743" s="24" t="str">
        <f>IFERROR(VLOOKUP(B3743,material!A:D,3,0),"")</f>
        <v>3.1</v>
      </c>
    </row>
    <row r="3744" ht="11.25" customHeight="1">
      <c r="A3744" s="21" t="str">
        <f>IFERROR(__xludf.DUMMYFUNCTION("""COMPUTED_VALUE"""),"MODEM VOIP EMTA WIFI 3.1 TC3102 32X8")</f>
        <v>MODEM VOIP EMTA WIFI 3.1 TC3102 32X8</v>
      </c>
      <c r="B3744" s="22">
        <f>IFERROR(__xludf.DUMMYFUNCTION("""COMPUTED_VALUE"""),4.1001513E7)</f>
        <v>41001513</v>
      </c>
      <c r="C3744" s="21" t="str">
        <f>IFERROR(__xludf.DUMMYFUNCTION("""COMPUTED_VALUE"""),"3C82C0C56C68")</f>
        <v>3C82C0C56C68</v>
      </c>
      <c r="D3744" s="21" t="str">
        <f>IFERROR(__xludf.DUMMYFUNCTION("""COMPUTED_VALUE"""),"DIGITEC TECNOLOGIA DIGITAL E REPRES")</f>
        <v>DIGITEC TECNOLOGIA DIGITAL E REPRES</v>
      </c>
      <c r="E3744" s="21">
        <f>IFERROR(__xludf.DUMMYFUNCTION("""COMPUTED_VALUE"""),145359.0)</f>
        <v>145359</v>
      </c>
      <c r="F3744" s="21" t="str">
        <f>IFERROR(__xludf.DUMMYFUNCTION("""COMPUTED_VALUE"""),"COM DEFEITO")</f>
        <v>COM DEFEITO</v>
      </c>
      <c r="G3744" s="23">
        <f>IFERROR(__xludf.DUMMYFUNCTION("""COMPUTED_VALUE"""),45617.71240740741)</f>
        <v>45617.71241</v>
      </c>
      <c r="H3744" s="24" t="str">
        <f>IFERROR(VLOOKUP(B3744,material!A:D,3,0),"")</f>
        <v>3.1</v>
      </c>
    </row>
    <row r="3745" ht="11.25" customHeight="1">
      <c r="A3745" s="21" t="str">
        <f>IFERROR(__xludf.DUMMYFUNCTION("""COMPUTED_VALUE"""),"MODEM VOIP EMTA WIFI 3.1 FAST3895")</f>
        <v>MODEM VOIP EMTA WIFI 3.1 FAST3895</v>
      </c>
      <c r="B3745" s="22">
        <f>IFERROR(__xludf.DUMMYFUNCTION("""COMPUTED_VALUE"""),4.1001504E7)</f>
        <v>41001504</v>
      </c>
      <c r="C3745" s="21" t="str">
        <f>IFERROR(__xludf.DUMMYFUNCTION("""COMPUTED_VALUE"""),"E4C0E21C9E15")</f>
        <v>E4C0E21C9E15</v>
      </c>
      <c r="D3745" s="21" t="str">
        <f>IFERROR(__xludf.DUMMYFUNCTION("""COMPUTED_VALUE"""),"DIGITEC TECNOLOGIA DIGITAL E REPRES")</f>
        <v>DIGITEC TECNOLOGIA DIGITAL E REPRES</v>
      </c>
      <c r="E3745" s="21">
        <f>IFERROR(__xludf.DUMMYFUNCTION("""COMPUTED_VALUE"""),145359.0)</f>
        <v>145359</v>
      </c>
      <c r="F3745" s="21" t="str">
        <f>IFERROR(__xludf.DUMMYFUNCTION("""COMPUTED_VALUE"""),"COM DEFEITO")</f>
        <v>COM DEFEITO</v>
      </c>
      <c r="G3745" s="23">
        <f>IFERROR(__xludf.DUMMYFUNCTION("""COMPUTED_VALUE"""),45397.70770833333)</f>
        <v>45397.70771</v>
      </c>
      <c r="H3745" s="24" t="str">
        <f>IFERROR(VLOOKUP(B3745,material!A:D,3,0),"")</f>
        <v>3.1</v>
      </c>
    </row>
    <row r="3746" ht="11.25" customHeight="1">
      <c r="A3746" s="21" t="str">
        <f>IFERROR(__xludf.DUMMYFUNCTION("""COMPUTED_VALUE"""),"MODEM VOIP EMTA WIFI 3.1 FAST3895")</f>
        <v>MODEM VOIP EMTA WIFI 3.1 FAST3895</v>
      </c>
      <c r="B3746" s="22">
        <f>IFERROR(__xludf.DUMMYFUNCTION("""COMPUTED_VALUE"""),4.1001504E7)</f>
        <v>41001504</v>
      </c>
      <c r="C3746" s="21" t="str">
        <f>IFERROR(__xludf.DUMMYFUNCTION("""COMPUTED_VALUE"""),"44D454C316F5")</f>
        <v>44D454C316F5</v>
      </c>
      <c r="D3746" s="21" t="str">
        <f>IFERROR(__xludf.DUMMYFUNCTION("""COMPUTED_VALUE"""),"DIGITEC TECNOLOGIA DIGITAL E REPRES")</f>
        <v>DIGITEC TECNOLOGIA DIGITAL E REPRES</v>
      </c>
      <c r="E3746" s="21">
        <f>IFERROR(__xludf.DUMMYFUNCTION("""COMPUTED_VALUE"""),145359.0)</f>
        <v>145359</v>
      </c>
      <c r="F3746" s="21" t="str">
        <f>IFERROR(__xludf.DUMMYFUNCTION("""COMPUTED_VALUE"""),"COM DEFEITO")</f>
        <v>COM DEFEITO</v>
      </c>
      <c r="G3746" s="23">
        <f>IFERROR(__xludf.DUMMYFUNCTION("""COMPUTED_VALUE"""),45397.70770833333)</f>
        <v>45397.70771</v>
      </c>
      <c r="H3746" s="24" t="str">
        <f>IFERROR(VLOOKUP(B3746,material!A:D,3,0),"")</f>
        <v>3.1</v>
      </c>
    </row>
    <row r="3747" ht="11.25" customHeight="1">
      <c r="A3747" s="21" t="str">
        <f>IFERROR(__xludf.DUMMYFUNCTION("""COMPUTED_VALUE"""),"MODEM VOIP EMTA WIFI 3.1 FAST3895")</f>
        <v>MODEM VOIP EMTA WIFI 3.1 FAST3895</v>
      </c>
      <c r="B3747" s="22">
        <f>IFERROR(__xludf.DUMMYFUNCTION("""COMPUTED_VALUE"""),4.1001504E7)</f>
        <v>41001504</v>
      </c>
      <c r="C3747" s="21" t="str">
        <f>IFERROR(__xludf.DUMMYFUNCTION("""COMPUTED_VALUE"""),"44D454C32BBD")</f>
        <v>44D454C32BBD</v>
      </c>
      <c r="D3747" s="21" t="str">
        <f>IFERROR(__xludf.DUMMYFUNCTION("""COMPUTED_VALUE"""),"DIGITEC TECNOLOGIA DIGITAL E REPRES")</f>
        <v>DIGITEC TECNOLOGIA DIGITAL E REPRES</v>
      </c>
      <c r="E3747" s="21">
        <f>IFERROR(__xludf.DUMMYFUNCTION("""COMPUTED_VALUE"""),145359.0)</f>
        <v>145359</v>
      </c>
      <c r="F3747" s="21" t="str">
        <f>IFERROR(__xludf.DUMMYFUNCTION("""COMPUTED_VALUE"""),"COM DEFEITO")</f>
        <v>COM DEFEITO</v>
      </c>
      <c r="G3747" s="23">
        <f>IFERROR(__xludf.DUMMYFUNCTION("""COMPUTED_VALUE"""),45397.70770833333)</f>
        <v>45397.70771</v>
      </c>
      <c r="H3747" s="24" t="str">
        <f>IFERROR(VLOOKUP(B3747,material!A:D,3,0),"")</f>
        <v>3.1</v>
      </c>
    </row>
    <row r="3748" ht="11.25" customHeight="1">
      <c r="A3748" s="21" t="str">
        <f>IFERROR(__xludf.DUMMYFUNCTION("""COMPUTED_VALUE"""),"MODEM VOIP EMTA WIFI 3.1 FAST3895")</f>
        <v>MODEM VOIP EMTA WIFI 3.1 FAST3895</v>
      </c>
      <c r="B3748" s="22">
        <f>IFERROR(__xludf.DUMMYFUNCTION("""COMPUTED_VALUE"""),4.1001504E7)</f>
        <v>41001504</v>
      </c>
      <c r="C3748" s="21" t="str">
        <f>IFERROR(__xludf.DUMMYFUNCTION("""COMPUTED_VALUE"""),"E4C0E23FC3ED")</f>
        <v>E4C0E23FC3ED</v>
      </c>
      <c r="D3748" s="21" t="str">
        <f>IFERROR(__xludf.DUMMYFUNCTION("""COMPUTED_VALUE"""),"DIGITEC TECNOLOGIA DIGITAL E REPRES")</f>
        <v>DIGITEC TECNOLOGIA DIGITAL E REPRES</v>
      </c>
      <c r="E3748" s="21">
        <f>IFERROR(__xludf.DUMMYFUNCTION("""COMPUTED_VALUE"""),145359.0)</f>
        <v>145359</v>
      </c>
      <c r="F3748" s="21" t="str">
        <f>IFERROR(__xludf.DUMMYFUNCTION("""COMPUTED_VALUE"""),"COM DEFEITO")</f>
        <v>COM DEFEITO</v>
      </c>
      <c r="G3748" s="23">
        <f>IFERROR(__xludf.DUMMYFUNCTION("""COMPUTED_VALUE"""),45397.70770833333)</f>
        <v>45397.70771</v>
      </c>
      <c r="H3748" s="24" t="str">
        <f>IFERROR(VLOOKUP(B3748,material!A:D,3,0),"")</f>
        <v>3.1</v>
      </c>
    </row>
    <row r="3749" ht="11.25" customHeight="1">
      <c r="A3749" s="21" t="str">
        <f>IFERROR(__xludf.DUMMYFUNCTION("""COMPUTED_VALUE"""),"MODEM VOIP EMTA WIFI 3.1 FAST3895")</f>
        <v>MODEM VOIP EMTA WIFI 3.1 FAST3895</v>
      </c>
      <c r="B3749" s="22">
        <f>IFERROR(__xludf.DUMMYFUNCTION("""COMPUTED_VALUE"""),4.1001504E7)</f>
        <v>41001504</v>
      </c>
      <c r="C3749" s="21" t="str">
        <f>IFERROR(__xludf.DUMMYFUNCTION("""COMPUTED_VALUE"""),"E4C0E23FC07B")</f>
        <v>E4C0E23FC07B</v>
      </c>
      <c r="D3749" s="21" t="str">
        <f>IFERROR(__xludf.DUMMYFUNCTION("""COMPUTED_VALUE"""),"DIGITEC TECNOLOGIA DIGITAL E REPRES")</f>
        <v>DIGITEC TECNOLOGIA DIGITAL E REPRES</v>
      </c>
      <c r="E3749" s="21">
        <f>IFERROR(__xludf.DUMMYFUNCTION("""COMPUTED_VALUE"""),145359.0)</f>
        <v>145359</v>
      </c>
      <c r="F3749" s="21" t="str">
        <f>IFERROR(__xludf.DUMMYFUNCTION("""COMPUTED_VALUE"""),"COM DEFEITO")</f>
        <v>COM DEFEITO</v>
      </c>
      <c r="G3749" s="23">
        <f>IFERROR(__xludf.DUMMYFUNCTION("""COMPUTED_VALUE"""),45397.70770833333)</f>
        <v>45397.70771</v>
      </c>
      <c r="H3749" s="24" t="str">
        <f>IFERROR(VLOOKUP(B3749,material!A:D,3,0),"")</f>
        <v>3.1</v>
      </c>
    </row>
    <row r="3750" ht="11.25" customHeight="1">
      <c r="A3750" s="21" t="str">
        <f>IFERROR(__xludf.DUMMYFUNCTION("""COMPUTED_VALUE"""),"MODEM VOIP EMTA WIFI 3.1 FAST3895")</f>
        <v>MODEM VOIP EMTA WIFI 3.1 FAST3895</v>
      </c>
      <c r="B3750" s="22">
        <f>IFERROR(__xludf.DUMMYFUNCTION("""COMPUTED_VALUE"""),4.1001504E7)</f>
        <v>41001504</v>
      </c>
      <c r="C3750" s="21" t="str">
        <f>IFERROR(__xludf.DUMMYFUNCTION("""COMPUTED_VALUE"""),"D833B7CB3CCC")</f>
        <v>D833B7CB3CCC</v>
      </c>
      <c r="D3750" s="21" t="str">
        <f>IFERROR(__xludf.DUMMYFUNCTION("""COMPUTED_VALUE"""),"DIGITEC TECNOLOGIA DIGITAL E REPRES")</f>
        <v>DIGITEC TECNOLOGIA DIGITAL E REPRES</v>
      </c>
      <c r="E3750" s="21">
        <f>IFERROR(__xludf.DUMMYFUNCTION("""COMPUTED_VALUE"""),145359.0)</f>
        <v>145359</v>
      </c>
      <c r="F3750" s="21" t="str">
        <f>IFERROR(__xludf.DUMMYFUNCTION("""COMPUTED_VALUE"""),"COM DEFEITO")</f>
        <v>COM DEFEITO</v>
      </c>
      <c r="G3750" s="23">
        <f>IFERROR(__xludf.DUMMYFUNCTION("""COMPUTED_VALUE"""),45397.70770833333)</f>
        <v>45397.70771</v>
      </c>
      <c r="H3750" s="24" t="str">
        <f>IFERROR(VLOOKUP(B3750,material!A:D,3,0),"")</f>
        <v>3.1</v>
      </c>
    </row>
    <row r="3751" ht="11.25" customHeight="1">
      <c r="A3751" s="21" t="str">
        <f>IFERROR(__xludf.DUMMYFUNCTION("""COMPUTED_VALUE"""),"MODEM VOIP EMTA WIFI 3.1 FAST3895")</f>
        <v>MODEM VOIP EMTA WIFI 3.1 FAST3895</v>
      </c>
      <c r="B3751" s="22">
        <f>IFERROR(__xludf.DUMMYFUNCTION("""COMPUTED_VALUE"""),4.1001504E7)</f>
        <v>41001504</v>
      </c>
      <c r="C3751" s="21" t="str">
        <f>IFERROR(__xludf.DUMMYFUNCTION("""COMPUTED_VALUE"""),"D833B7310F31")</f>
        <v>D833B7310F31</v>
      </c>
      <c r="D3751" s="21" t="str">
        <f>IFERROR(__xludf.DUMMYFUNCTION("""COMPUTED_VALUE"""),"DIGITEC TECNOLOGIA DIGITAL E REPRES")</f>
        <v>DIGITEC TECNOLOGIA DIGITAL E REPRES</v>
      </c>
      <c r="E3751" s="21">
        <f>IFERROR(__xludf.DUMMYFUNCTION("""COMPUTED_VALUE"""),145359.0)</f>
        <v>145359</v>
      </c>
      <c r="F3751" s="21" t="str">
        <f>IFERROR(__xludf.DUMMYFUNCTION("""COMPUTED_VALUE"""),"COM DEFEITO")</f>
        <v>COM DEFEITO</v>
      </c>
      <c r="G3751" s="23">
        <f>IFERROR(__xludf.DUMMYFUNCTION("""COMPUTED_VALUE"""),45397.70770833333)</f>
        <v>45397.70771</v>
      </c>
      <c r="H3751" s="24" t="str">
        <f>IFERROR(VLOOKUP(B3751,material!A:D,3,0),"")</f>
        <v>3.1</v>
      </c>
    </row>
    <row r="3752" ht="11.25" customHeight="1">
      <c r="A3752" s="21" t="str">
        <f>IFERROR(__xludf.DUMMYFUNCTION("""COMPUTED_VALUE"""),"MODEM VOIP EMTA WIFI 3.1 FAST3895")</f>
        <v>MODEM VOIP EMTA WIFI 3.1 FAST3895</v>
      </c>
      <c r="B3752" s="22">
        <f>IFERROR(__xludf.DUMMYFUNCTION("""COMPUTED_VALUE"""),4.1001504E7)</f>
        <v>41001504</v>
      </c>
      <c r="C3752" s="21" t="str">
        <f>IFERROR(__xludf.DUMMYFUNCTION("""COMPUTED_VALUE"""),"D833B71EBBC9")</f>
        <v>D833B71EBBC9</v>
      </c>
      <c r="D3752" s="21" t="str">
        <f>IFERROR(__xludf.DUMMYFUNCTION("""COMPUTED_VALUE"""),"DIGITEC TECNOLOGIA DIGITAL E REPRES")</f>
        <v>DIGITEC TECNOLOGIA DIGITAL E REPRES</v>
      </c>
      <c r="E3752" s="21">
        <f>IFERROR(__xludf.DUMMYFUNCTION("""COMPUTED_VALUE"""),145359.0)</f>
        <v>145359</v>
      </c>
      <c r="F3752" s="21" t="str">
        <f>IFERROR(__xludf.DUMMYFUNCTION("""COMPUTED_VALUE"""),"COM DEFEITO")</f>
        <v>COM DEFEITO</v>
      </c>
      <c r="G3752" s="23">
        <f>IFERROR(__xludf.DUMMYFUNCTION("""COMPUTED_VALUE"""),45397.70770833333)</f>
        <v>45397.70771</v>
      </c>
      <c r="H3752" s="24" t="str">
        <f>IFERROR(VLOOKUP(B3752,material!A:D,3,0),"")</f>
        <v>3.1</v>
      </c>
    </row>
    <row r="3753" ht="11.25" customHeight="1">
      <c r="A3753" s="21" t="str">
        <f>IFERROR(__xludf.DUMMYFUNCTION("""COMPUTED_VALUE"""),"MODEM VOIP EMTA WIFI 3.1 FAST3895")</f>
        <v>MODEM VOIP EMTA WIFI 3.1 FAST3895</v>
      </c>
      <c r="B3753" s="22">
        <f>IFERROR(__xludf.DUMMYFUNCTION("""COMPUTED_VALUE"""),4.1001504E7)</f>
        <v>41001504</v>
      </c>
      <c r="C3753" s="21" t="str">
        <f>IFERROR(__xludf.DUMMYFUNCTION("""COMPUTED_VALUE"""),"64FD965E6216")</f>
        <v>64FD965E6216</v>
      </c>
      <c r="D3753" s="21" t="str">
        <f>IFERROR(__xludf.DUMMYFUNCTION("""COMPUTED_VALUE"""),"DIGITEC TECNOLOGIA DIGITAL E REPRES")</f>
        <v>DIGITEC TECNOLOGIA DIGITAL E REPRES</v>
      </c>
      <c r="E3753" s="21">
        <f>IFERROR(__xludf.DUMMYFUNCTION("""COMPUTED_VALUE"""),145359.0)</f>
        <v>145359</v>
      </c>
      <c r="F3753" s="21" t="str">
        <f>IFERROR(__xludf.DUMMYFUNCTION("""COMPUTED_VALUE"""),"COM DEFEITO")</f>
        <v>COM DEFEITO</v>
      </c>
      <c r="G3753" s="23">
        <f>IFERROR(__xludf.DUMMYFUNCTION("""COMPUTED_VALUE"""),45397.70770833333)</f>
        <v>45397.70771</v>
      </c>
      <c r="H3753" s="24" t="str">
        <f>IFERROR(VLOOKUP(B3753,material!A:D,3,0),"")</f>
        <v>3.1</v>
      </c>
    </row>
    <row r="3754" ht="11.25" customHeight="1">
      <c r="A3754" s="21" t="str">
        <f>IFERROR(__xludf.DUMMYFUNCTION("""COMPUTED_VALUE"""),"MODEM VOIP EMTA WIFI 3.1 FAST3895")</f>
        <v>MODEM VOIP EMTA WIFI 3.1 FAST3895</v>
      </c>
      <c r="B3754" s="22">
        <f>IFERROR(__xludf.DUMMYFUNCTION("""COMPUTED_VALUE"""),4.1001504E7)</f>
        <v>41001504</v>
      </c>
      <c r="C3754" s="21" t="str">
        <f>IFERROR(__xludf.DUMMYFUNCTION("""COMPUTED_VALUE"""),"C03C047F0A77")</f>
        <v>C03C047F0A77</v>
      </c>
      <c r="D3754" s="21" t="str">
        <f>IFERROR(__xludf.DUMMYFUNCTION("""COMPUTED_VALUE"""),"DIGITEC TECNOLOGIA DIGITAL E REPRES")</f>
        <v>DIGITEC TECNOLOGIA DIGITAL E REPRES</v>
      </c>
      <c r="E3754" s="21">
        <f>IFERROR(__xludf.DUMMYFUNCTION("""COMPUTED_VALUE"""),145359.0)</f>
        <v>145359</v>
      </c>
      <c r="F3754" s="21" t="str">
        <f>IFERROR(__xludf.DUMMYFUNCTION("""COMPUTED_VALUE"""),"COM DEFEITO")</f>
        <v>COM DEFEITO</v>
      </c>
      <c r="G3754" s="23">
        <f>IFERROR(__xludf.DUMMYFUNCTION("""COMPUTED_VALUE"""),45397.70770833333)</f>
        <v>45397.70771</v>
      </c>
      <c r="H3754" s="24" t="str">
        <f>IFERROR(VLOOKUP(B3754,material!A:D,3,0),"")</f>
        <v>3.1</v>
      </c>
    </row>
    <row r="3755" ht="11.25" customHeight="1">
      <c r="A3755" s="21" t="str">
        <f>IFERROR(__xludf.DUMMYFUNCTION("""COMPUTED_VALUE"""),"MODEM VOIP EMTA WIFI 3.1 FAST3895")</f>
        <v>MODEM VOIP EMTA WIFI 3.1 FAST3895</v>
      </c>
      <c r="B3755" s="22">
        <f>IFERROR(__xludf.DUMMYFUNCTION("""COMPUTED_VALUE"""),4.1001504E7)</f>
        <v>41001504</v>
      </c>
      <c r="C3755" s="21" t="str">
        <f>IFERROR(__xludf.DUMMYFUNCTION("""COMPUTED_VALUE"""),"CC5830E1F2EE")</f>
        <v>CC5830E1F2EE</v>
      </c>
      <c r="D3755" s="21" t="str">
        <f>IFERROR(__xludf.DUMMYFUNCTION("""COMPUTED_VALUE"""),"DIGITEC TECNOLOGIA DIGITAL E REPRES")</f>
        <v>DIGITEC TECNOLOGIA DIGITAL E REPRES</v>
      </c>
      <c r="E3755" s="21">
        <f>IFERROR(__xludf.DUMMYFUNCTION("""COMPUTED_VALUE"""),145359.0)</f>
        <v>145359</v>
      </c>
      <c r="F3755" s="21" t="str">
        <f>IFERROR(__xludf.DUMMYFUNCTION("""COMPUTED_VALUE"""),"COM DEFEITO")</f>
        <v>COM DEFEITO</v>
      </c>
      <c r="G3755" s="23">
        <f>IFERROR(__xludf.DUMMYFUNCTION("""COMPUTED_VALUE"""),45397.70770833333)</f>
        <v>45397.70771</v>
      </c>
      <c r="H3755" s="24" t="str">
        <f>IFERROR(VLOOKUP(B3755,material!A:D,3,0),"")</f>
        <v>3.1</v>
      </c>
    </row>
    <row r="3756" ht="11.25" customHeight="1">
      <c r="A3756" s="21" t="str">
        <f>IFERROR(__xludf.DUMMYFUNCTION("""COMPUTED_VALUE"""),"MODEM VOIP EMTA WIFI 3.1 FAST3895")</f>
        <v>MODEM VOIP EMTA WIFI 3.1 FAST3895</v>
      </c>
      <c r="B3756" s="22">
        <f>IFERROR(__xludf.DUMMYFUNCTION("""COMPUTED_VALUE"""),4.1001504E7)</f>
        <v>41001504</v>
      </c>
      <c r="C3756" s="21" t="str">
        <f>IFERROR(__xludf.DUMMYFUNCTION("""COMPUTED_VALUE"""),"CC5830E1F7CC")</f>
        <v>CC5830E1F7CC</v>
      </c>
      <c r="D3756" s="21" t="str">
        <f>IFERROR(__xludf.DUMMYFUNCTION("""COMPUTED_VALUE"""),"DIGITEC TECNOLOGIA DIGITAL E REPRES")</f>
        <v>DIGITEC TECNOLOGIA DIGITAL E REPRES</v>
      </c>
      <c r="E3756" s="21">
        <f>IFERROR(__xludf.DUMMYFUNCTION("""COMPUTED_VALUE"""),145359.0)</f>
        <v>145359</v>
      </c>
      <c r="F3756" s="21" t="str">
        <f>IFERROR(__xludf.DUMMYFUNCTION("""COMPUTED_VALUE"""),"COM DEFEITO")</f>
        <v>COM DEFEITO</v>
      </c>
      <c r="G3756" s="23">
        <f>IFERROR(__xludf.DUMMYFUNCTION("""COMPUTED_VALUE"""),45397.70770833333)</f>
        <v>45397.70771</v>
      </c>
      <c r="H3756" s="24" t="str">
        <f>IFERROR(VLOOKUP(B3756,material!A:D,3,0),"")</f>
        <v>3.1</v>
      </c>
    </row>
    <row r="3757" ht="11.25" customHeight="1">
      <c r="A3757" s="21" t="str">
        <f>IFERROR(__xludf.DUMMYFUNCTION("""COMPUTED_VALUE"""),"MODEM VOIP EMTA WIFI 3.1 FAST3895")</f>
        <v>MODEM VOIP EMTA WIFI 3.1 FAST3895</v>
      </c>
      <c r="B3757" s="22">
        <f>IFERROR(__xludf.DUMMYFUNCTION("""COMPUTED_VALUE"""),4.1001504E7)</f>
        <v>41001504</v>
      </c>
      <c r="C3757" s="21" t="str">
        <f>IFERROR(__xludf.DUMMYFUNCTION("""COMPUTED_VALUE"""),"3C585D794DDE")</f>
        <v>3C585D794DDE</v>
      </c>
      <c r="D3757" s="21" t="str">
        <f>IFERROR(__xludf.DUMMYFUNCTION("""COMPUTED_VALUE"""),"DIGITEC TECNOLOGIA DIGITAL E REPRES")</f>
        <v>DIGITEC TECNOLOGIA DIGITAL E REPRES</v>
      </c>
      <c r="E3757" s="21">
        <f>IFERROR(__xludf.DUMMYFUNCTION("""COMPUTED_VALUE"""),145359.0)</f>
        <v>145359</v>
      </c>
      <c r="F3757" s="21" t="str">
        <f>IFERROR(__xludf.DUMMYFUNCTION("""COMPUTED_VALUE"""),"COM DEFEITO")</f>
        <v>COM DEFEITO</v>
      </c>
      <c r="G3757" s="23">
        <f>IFERROR(__xludf.DUMMYFUNCTION("""COMPUTED_VALUE"""),45397.70770833333)</f>
        <v>45397.70771</v>
      </c>
      <c r="H3757" s="24" t="str">
        <f>IFERROR(VLOOKUP(B3757,material!A:D,3,0),"")</f>
        <v>3.1</v>
      </c>
    </row>
    <row r="3758" ht="11.25" customHeight="1">
      <c r="A3758" s="21" t="str">
        <f>IFERROR(__xludf.DUMMYFUNCTION("""COMPUTED_VALUE"""),"MODEM VOIP EMTA WIFI 3.1 FAST3895")</f>
        <v>MODEM VOIP EMTA WIFI 3.1 FAST3895</v>
      </c>
      <c r="B3758" s="22">
        <f>IFERROR(__xludf.DUMMYFUNCTION("""COMPUTED_VALUE"""),4.1001504E7)</f>
        <v>41001504</v>
      </c>
      <c r="C3758" s="21" t="str">
        <f>IFERROR(__xludf.DUMMYFUNCTION("""COMPUTED_VALUE"""),"943C96AC18FC")</f>
        <v>943C96AC18FC</v>
      </c>
      <c r="D3758" s="21" t="str">
        <f>IFERROR(__xludf.DUMMYFUNCTION("""COMPUTED_VALUE"""),"DIGITEC TECNOLOGIA DIGITAL E REPRES")</f>
        <v>DIGITEC TECNOLOGIA DIGITAL E REPRES</v>
      </c>
      <c r="E3758" s="21">
        <f>IFERROR(__xludf.DUMMYFUNCTION("""COMPUTED_VALUE"""),145359.0)</f>
        <v>145359</v>
      </c>
      <c r="F3758" s="21" t="str">
        <f>IFERROR(__xludf.DUMMYFUNCTION("""COMPUTED_VALUE"""),"COM DEFEITO")</f>
        <v>COM DEFEITO</v>
      </c>
      <c r="G3758" s="23">
        <f>IFERROR(__xludf.DUMMYFUNCTION("""COMPUTED_VALUE"""),45397.70770833333)</f>
        <v>45397.70771</v>
      </c>
      <c r="H3758" s="24" t="str">
        <f>IFERROR(VLOOKUP(B3758,material!A:D,3,0),"")</f>
        <v>3.1</v>
      </c>
    </row>
    <row r="3759" ht="11.25" customHeight="1">
      <c r="A3759" s="21" t="str">
        <f>IFERROR(__xludf.DUMMYFUNCTION("""COMPUTED_VALUE"""),"MODEM VOIP EMTA WIFI 3.1 CH8568")</f>
        <v>MODEM VOIP EMTA WIFI 3.1 CH8568</v>
      </c>
      <c r="B3759" s="22">
        <f>IFERROR(__xludf.DUMMYFUNCTION("""COMPUTED_VALUE"""),4.1001485E7)</f>
        <v>41001485</v>
      </c>
      <c r="C3759" s="21" t="str">
        <f>IFERROR(__xludf.DUMMYFUNCTION("""COMPUTED_VALUE"""),"B4F267342D28")</f>
        <v>B4F267342D28</v>
      </c>
      <c r="D3759" s="21" t="str">
        <f>IFERROR(__xludf.DUMMYFUNCTION("""COMPUTED_VALUE"""),"DIGITEC TECNOLOGIA DIGITAL E REPRES")</f>
        <v>DIGITEC TECNOLOGIA DIGITAL E REPRES</v>
      </c>
      <c r="E3759" s="21">
        <f>IFERROR(__xludf.DUMMYFUNCTION("""COMPUTED_VALUE"""),145359.0)</f>
        <v>145359</v>
      </c>
      <c r="F3759" s="21" t="str">
        <f>IFERROR(__xludf.DUMMYFUNCTION("""COMPUTED_VALUE"""),"COM DEFEITO")</f>
        <v>COM DEFEITO</v>
      </c>
      <c r="G3759" s="23">
        <f>IFERROR(__xludf.DUMMYFUNCTION("""COMPUTED_VALUE"""),45397.70770833333)</f>
        <v>45397.70771</v>
      </c>
      <c r="H3759" s="24" t="str">
        <f>IFERROR(VLOOKUP(B3759,material!A:D,3,0),"")</f>
        <v>3.1</v>
      </c>
    </row>
    <row r="3760" ht="11.25" customHeight="1">
      <c r="A3760" s="21" t="str">
        <f>IFERROR(__xludf.DUMMYFUNCTION("""COMPUTED_VALUE"""),"MODEM VOIPEMTA WIFI 3.1 CGA4233CLB")</f>
        <v>MODEM VOIPEMTA WIFI 3.1 CGA4233CLB</v>
      </c>
      <c r="B3760" s="22">
        <f>IFERROR(__xludf.DUMMYFUNCTION("""COMPUTED_VALUE"""),4.1001482E7)</f>
        <v>41001482</v>
      </c>
      <c r="C3760" s="21" t="str">
        <f>IFERROR(__xludf.DUMMYFUNCTION("""COMPUTED_VALUE"""),"484BD48F0BC4")</f>
        <v>484BD48F0BC4</v>
      </c>
      <c r="D3760" s="21" t="str">
        <f>IFERROR(__xludf.DUMMYFUNCTION("""COMPUTED_VALUE"""),"DIGITEC TECNOLOGIA DIGITAL E REPRES")</f>
        <v>DIGITEC TECNOLOGIA DIGITAL E REPRES</v>
      </c>
      <c r="E3760" s="21">
        <f>IFERROR(__xludf.DUMMYFUNCTION("""COMPUTED_VALUE"""),145359.0)</f>
        <v>145359</v>
      </c>
      <c r="F3760" s="21" t="str">
        <f>IFERROR(__xludf.DUMMYFUNCTION("""COMPUTED_VALUE"""),"COM DEFEITO")</f>
        <v>COM DEFEITO</v>
      </c>
      <c r="G3760" s="23">
        <f>IFERROR(__xludf.DUMMYFUNCTION("""COMPUTED_VALUE"""),45617.71240740741)</f>
        <v>45617.71241</v>
      </c>
      <c r="H3760" s="24" t="str">
        <f>IFERROR(VLOOKUP(B3760,material!A:D,3,0),"")</f>
        <v>3.1</v>
      </c>
    </row>
    <row r="3761" ht="11.25" customHeight="1">
      <c r="A3761" s="21" t="str">
        <f>IFERROR(__xludf.DUMMYFUNCTION("""COMPUTED_VALUE"""),"MODEM VOIP EMTA WIFI 3.1 CG3000")</f>
        <v>MODEM VOIP EMTA WIFI 3.1 CG3000</v>
      </c>
      <c r="B3761" s="22">
        <f>IFERROR(__xludf.DUMMYFUNCTION("""COMPUTED_VALUE"""),4.1001486E7)</f>
        <v>41001486</v>
      </c>
      <c r="C3761" s="21" t="str">
        <f>IFERROR(__xludf.DUMMYFUNCTION("""COMPUTED_VALUE"""),"9877E7BDA30A")</f>
        <v>9877E7BDA30A</v>
      </c>
      <c r="D3761" s="21" t="str">
        <f>IFERROR(__xludf.DUMMYFUNCTION("""COMPUTED_VALUE"""),"DIGITEC TECNOLOGIA DIGITAL E REPRES")</f>
        <v>DIGITEC TECNOLOGIA DIGITAL E REPRES</v>
      </c>
      <c r="E3761" s="21">
        <f>IFERROR(__xludf.DUMMYFUNCTION("""COMPUTED_VALUE"""),145359.0)</f>
        <v>145359</v>
      </c>
      <c r="F3761" s="21" t="str">
        <f>IFERROR(__xludf.DUMMYFUNCTION("""COMPUTED_VALUE"""),"COM DEFEITO")</f>
        <v>COM DEFEITO</v>
      </c>
      <c r="G3761" s="23">
        <f>IFERROR(__xludf.DUMMYFUNCTION("""COMPUTED_VALUE"""),45642.488807870366)</f>
        <v>45642.48881</v>
      </c>
      <c r="H3761" s="24" t="str">
        <f>IFERROR(VLOOKUP(B3761,material!A:D,3,0),"")</f>
        <v>3.1</v>
      </c>
    </row>
    <row r="3762" ht="11.25" customHeight="1">
      <c r="A3762" s="21" t="str">
        <f>IFERROR(__xludf.DUMMYFUNCTION("""COMPUTED_VALUE"""),"MODEM VOIP EMTA WIFI 3.1 CG3000")</f>
        <v>MODEM VOIP EMTA WIFI 3.1 CG3000</v>
      </c>
      <c r="B3762" s="22">
        <f>IFERROR(__xludf.DUMMYFUNCTION("""COMPUTED_VALUE"""),4.1001486E7)</f>
        <v>41001486</v>
      </c>
      <c r="C3762" s="21" t="str">
        <f>IFERROR(__xludf.DUMMYFUNCTION("""COMPUTED_VALUE"""),"9877E7BDAEE1")</f>
        <v>9877E7BDAEE1</v>
      </c>
      <c r="D3762" s="21" t="str">
        <f>IFERROR(__xludf.DUMMYFUNCTION("""COMPUTED_VALUE"""),"DIGITEC TECNOLOGIA DIGITAL E REPRES")</f>
        <v>DIGITEC TECNOLOGIA DIGITAL E REPRES</v>
      </c>
      <c r="E3762" s="21">
        <f>IFERROR(__xludf.DUMMYFUNCTION("""COMPUTED_VALUE"""),145359.0)</f>
        <v>145359</v>
      </c>
      <c r="F3762" s="21" t="str">
        <f>IFERROR(__xludf.DUMMYFUNCTION("""COMPUTED_VALUE"""),"COM DEFEITO")</f>
        <v>COM DEFEITO</v>
      </c>
      <c r="G3762" s="23">
        <f>IFERROR(__xludf.DUMMYFUNCTION("""COMPUTED_VALUE"""),45397.70769675926)</f>
        <v>45397.7077</v>
      </c>
      <c r="H3762" s="24" t="str">
        <f>IFERROR(VLOOKUP(B3762,material!A:D,3,0),"")</f>
        <v>3.1</v>
      </c>
    </row>
    <row r="3763" ht="11.25" customHeight="1">
      <c r="A3763" s="21" t="str">
        <f>IFERROR(__xludf.DUMMYFUNCTION("""COMPUTED_VALUE"""),"MODEM VOIP EMTA WIFI 3.1 CG3000")</f>
        <v>MODEM VOIP EMTA WIFI 3.1 CG3000</v>
      </c>
      <c r="B3763" s="22">
        <f>IFERROR(__xludf.DUMMYFUNCTION("""COMPUTED_VALUE"""),4.1001486E7)</f>
        <v>41001486</v>
      </c>
      <c r="C3763" s="21" t="str">
        <f>IFERROR(__xludf.DUMMYFUNCTION("""COMPUTED_VALUE"""),"743AEF3229A3")</f>
        <v>743AEF3229A3</v>
      </c>
      <c r="D3763" s="21" t="str">
        <f>IFERROR(__xludf.DUMMYFUNCTION("""COMPUTED_VALUE"""),"DIGITEC TECNOLOGIA DIGITAL E REPRES")</f>
        <v>DIGITEC TECNOLOGIA DIGITAL E REPRES</v>
      </c>
      <c r="E3763" s="21">
        <f>IFERROR(__xludf.DUMMYFUNCTION("""COMPUTED_VALUE"""),145359.0)</f>
        <v>145359</v>
      </c>
      <c r="F3763" s="21" t="str">
        <f>IFERROR(__xludf.DUMMYFUNCTION("""COMPUTED_VALUE"""),"COM DEFEITO")</f>
        <v>COM DEFEITO</v>
      </c>
      <c r="G3763" s="23">
        <f>IFERROR(__xludf.DUMMYFUNCTION("""COMPUTED_VALUE"""),45617.71240740741)</f>
        <v>45617.71241</v>
      </c>
      <c r="H3763" s="24" t="str">
        <f>IFERROR(VLOOKUP(B3763,material!A:D,3,0),"")</f>
        <v>3.1</v>
      </c>
    </row>
    <row r="3764" ht="11.25" customHeight="1">
      <c r="A3764" s="21" t="str">
        <f>IFERROR(__xludf.DUMMYFUNCTION("""COMPUTED_VALUE"""),"MODEM VOIP EMTA WIFI 3.1 CG3000")</f>
        <v>MODEM VOIP EMTA WIFI 3.1 CG3000</v>
      </c>
      <c r="B3764" s="22">
        <f>IFERROR(__xludf.DUMMYFUNCTION("""COMPUTED_VALUE"""),4.1001486E7)</f>
        <v>41001486</v>
      </c>
      <c r="C3764" s="21" t="str">
        <f>IFERROR(__xludf.DUMMYFUNCTION("""COMPUTED_VALUE"""),"840112BFD106")</f>
        <v>840112BFD106</v>
      </c>
      <c r="D3764" s="21" t="str">
        <f>IFERROR(__xludf.DUMMYFUNCTION("""COMPUTED_VALUE"""),"DIGITEC TECNOLOGIA DIGITAL E REPRES")</f>
        <v>DIGITEC TECNOLOGIA DIGITAL E REPRES</v>
      </c>
      <c r="E3764" s="21">
        <f>IFERROR(__xludf.DUMMYFUNCTION("""COMPUTED_VALUE"""),145359.0)</f>
        <v>145359</v>
      </c>
      <c r="F3764" s="21" t="str">
        <f>IFERROR(__xludf.DUMMYFUNCTION("""COMPUTED_VALUE"""),"COM DEFEITO")</f>
        <v>COM DEFEITO</v>
      </c>
      <c r="G3764" s="23">
        <f>IFERROR(__xludf.DUMMYFUNCTION("""COMPUTED_VALUE"""),45397.70769675926)</f>
        <v>45397.7077</v>
      </c>
      <c r="H3764" s="24" t="str">
        <f>IFERROR(VLOOKUP(B3764,material!A:D,3,0),"")</f>
        <v>3.1</v>
      </c>
    </row>
    <row r="3765" ht="11.25" customHeight="1">
      <c r="A3765" s="21" t="str">
        <f>IFERROR(__xludf.DUMMYFUNCTION("""COMPUTED_VALUE"""),"MODEM VOIP EMTA WIFI 3.1 CG3000")</f>
        <v>MODEM VOIP EMTA WIFI 3.1 CG3000</v>
      </c>
      <c r="B3765" s="22">
        <f>IFERROR(__xludf.DUMMYFUNCTION("""COMPUTED_VALUE"""),4.1001486E7)</f>
        <v>41001486</v>
      </c>
      <c r="C3765" s="21" t="str">
        <f>IFERROR(__xludf.DUMMYFUNCTION("""COMPUTED_VALUE"""),"840112BFD9C6")</f>
        <v>840112BFD9C6</v>
      </c>
      <c r="D3765" s="21" t="str">
        <f>IFERROR(__xludf.DUMMYFUNCTION("""COMPUTED_VALUE"""),"DIGITEC TECNOLOGIA DIGITAL E REPRES")</f>
        <v>DIGITEC TECNOLOGIA DIGITAL E REPRES</v>
      </c>
      <c r="E3765" s="21">
        <f>IFERROR(__xludf.DUMMYFUNCTION("""COMPUTED_VALUE"""),145359.0)</f>
        <v>145359</v>
      </c>
      <c r="F3765" s="21" t="str">
        <f>IFERROR(__xludf.DUMMYFUNCTION("""COMPUTED_VALUE"""),"COM DEFEITO")</f>
        <v>COM DEFEITO</v>
      </c>
      <c r="G3765" s="23">
        <f>IFERROR(__xludf.DUMMYFUNCTION("""COMPUTED_VALUE"""),45397.70769675926)</f>
        <v>45397.7077</v>
      </c>
      <c r="H3765" s="24" t="str">
        <f>IFERROR(VLOOKUP(B3765,material!A:D,3,0),"")</f>
        <v>3.1</v>
      </c>
    </row>
    <row r="3766" ht="11.25" customHeight="1">
      <c r="A3766" s="21" t="str">
        <f>IFERROR(__xludf.DUMMYFUNCTION("""COMPUTED_VALUE"""),"MODEM VOIP EMTA WIFI 3.1 CG3000")</f>
        <v>MODEM VOIP EMTA WIFI 3.1 CG3000</v>
      </c>
      <c r="B3766" s="22">
        <f>IFERROR(__xludf.DUMMYFUNCTION("""COMPUTED_VALUE"""),4.1001486E7)</f>
        <v>41001486</v>
      </c>
      <c r="C3766" s="21" t="str">
        <f>IFERROR(__xludf.DUMMYFUNCTION("""COMPUTED_VALUE"""),"1834AF9A39A2")</f>
        <v>1834AF9A39A2</v>
      </c>
      <c r="D3766" s="21" t="str">
        <f>IFERROR(__xludf.DUMMYFUNCTION("""COMPUTED_VALUE"""),"DIGITEC TECNOLOGIA DIGITAL E REPRES")</f>
        <v>DIGITEC TECNOLOGIA DIGITAL E REPRES</v>
      </c>
      <c r="E3766" s="21">
        <f>IFERROR(__xludf.DUMMYFUNCTION("""COMPUTED_VALUE"""),145359.0)</f>
        <v>145359</v>
      </c>
      <c r="F3766" s="21" t="str">
        <f>IFERROR(__xludf.DUMMYFUNCTION("""COMPUTED_VALUE"""),"COM DEFEITO")</f>
        <v>COM DEFEITO</v>
      </c>
      <c r="G3766" s="23">
        <f>IFERROR(__xludf.DUMMYFUNCTION("""COMPUTED_VALUE"""),45415.65599537037)</f>
        <v>45415.656</v>
      </c>
      <c r="H3766" s="24" t="str">
        <f>IFERROR(VLOOKUP(B3766,material!A:D,3,0),"")</f>
        <v>3.1</v>
      </c>
    </row>
    <row r="3767" ht="11.25" customHeight="1">
      <c r="A3767" s="21" t="str">
        <f>IFERROR(__xludf.DUMMYFUNCTION("""COMPUTED_VALUE"""),"MODEM VOIP EMTA WIFI 3.1 CG3000")</f>
        <v>MODEM VOIP EMTA WIFI 3.1 CG3000</v>
      </c>
      <c r="B3767" s="22">
        <f>IFERROR(__xludf.DUMMYFUNCTION("""COMPUTED_VALUE"""),4.1001486E7)</f>
        <v>41001486</v>
      </c>
      <c r="C3767" s="21" t="str">
        <f>IFERROR(__xludf.DUMMYFUNCTION("""COMPUTED_VALUE"""),"1834AF63751B")</f>
        <v>1834AF63751B</v>
      </c>
      <c r="D3767" s="21" t="str">
        <f>IFERROR(__xludf.DUMMYFUNCTION("""COMPUTED_VALUE"""),"DIGITEC TECNOLOGIA DIGITAL E REPRES")</f>
        <v>DIGITEC TECNOLOGIA DIGITAL E REPRES</v>
      </c>
      <c r="E3767" s="21">
        <f>IFERROR(__xludf.DUMMYFUNCTION("""COMPUTED_VALUE"""),145359.0)</f>
        <v>145359</v>
      </c>
      <c r="F3767" s="21" t="str">
        <f>IFERROR(__xludf.DUMMYFUNCTION("""COMPUTED_VALUE"""),"COM DEFEITO")</f>
        <v>COM DEFEITO</v>
      </c>
      <c r="G3767" s="23">
        <f>IFERROR(__xludf.DUMMYFUNCTION("""COMPUTED_VALUE"""),45617.71240740741)</f>
        <v>45617.71241</v>
      </c>
      <c r="H3767" s="24" t="str">
        <f>IFERROR(VLOOKUP(B3767,material!A:D,3,0),"")</f>
        <v>3.1</v>
      </c>
    </row>
    <row r="3768" ht="11.25" customHeight="1">
      <c r="A3768" s="21" t="str">
        <f>IFERROR(__xludf.DUMMYFUNCTION("""COMPUTED_VALUE"""),"MODEM VOIP EMTA WIFI 3.1 CG3000")</f>
        <v>MODEM VOIP EMTA WIFI 3.1 CG3000</v>
      </c>
      <c r="B3768" s="22">
        <f>IFERROR(__xludf.DUMMYFUNCTION("""COMPUTED_VALUE"""),4.1001486E7)</f>
        <v>41001486</v>
      </c>
      <c r="C3768" s="21" t="str">
        <f>IFERROR(__xludf.DUMMYFUNCTION("""COMPUTED_VALUE"""),"840112DB9192")</f>
        <v>840112DB9192</v>
      </c>
      <c r="D3768" s="21" t="str">
        <f>IFERROR(__xludf.DUMMYFUNCTION("""COMPUTED_VALUE"""),"DIGITEC TECNOLOGIA DIGITAL E REPRES")</f>
        <v>DIGITEC TECNOLOGIA DIGITAL E REPRES</v>
      </c>
      <c r="E3768" s="21">
        <f>IFERROR(__xludf.DUMMYFUNCTION("""COMPUTED_VALUE"""),145359.0)</f>
        <v>145359</v>
      </c>
      <c r="F3768" s="21" t="str">
        <f>IFERROR(__xludf.DUMMYFUNCTION("""COMPUTED_VALUE"""),"COM DEFEITO")</f>
        <v>COM DEFEITO</v>
      </c>
      <c r="G3768" s="23">
        <f>IFERROR(__xludf.DUMMYFUNCTION("""COMPUTED_VALUE"""),45595.63983796297)</f>
        <v>45595.63984</v>
      </c>
      <c r="H3768" s="24" t="str">
        <f>IFERROR(VLOOKUP(B3768,material!A:D,3,0),"")</f>
        <v>3.1</v>
      </c>
    </row>
    <row r="3769" ht="11.25" customHeight="1">
      <c r="A3769" s="21" t="str">
        <f>IFERROR(__xludf.DUMMYFUNCTION("""COMPUTED_VALUE"""),"MODEM VOIP EMTA WIFI 3.1 CG3000")</f>
        <v>MODEM VOIP EMTA WIFI 3.1 CG3000</v>
      </c>
      <c r="B3769" s="22">
        <f>IFERROR(__xludf.DUMMYFUNCTION("""COMPUTED_VALUE"""),4.1001486E7)</f>
        <v>41001486</v>
      </c>
      <c r="C3769" s="21" t="str">
        <f>IFERROR(__xludf.DUMMYFUNCTION("""COMPUTED_VALUE"""),"1834AF24D748")</f>
        <v>1834AF24D748</v>
      </c>
      <c r="D3769" s="21" t="str">
        <f>IFERROR(__xludf.DUMMYFUNCTION("""COMPUTED_VALUE"""),"DIGITEC TECNOLOGIA DIGITAL E REPRES")</f>
        <v>DIGITEC TECNOLOGIA DIGITAL E REPRES</v>
      </c>
      <c r="E3769" s="21">
        <f>IFERROR(__xludf.DUMMYFUNCTION("""COMPUTED_VALUE"""),145359.0)</f>
        <v>145359</v>
      </c>
      <c r="F3769" s="21" t="str">
        <f>IFERROR(__xludf.DUMMYFUNCTION("""COMPUTED_VALUE"""),"COM DEFEITO")</f>
        <v>COM DEFEITO</v>
      </c>
      <c r="G3769" s="23">
        <f>IFERROR(__xludf.DUMMYFUNCTION("""COMPUTED_VALUE"""),45397.70769675926)</f>
        <v>45397.7077</v>
      </c>
      <c r="H3769" s="24" t="str">
        <f>IFERROR(VLOOKUP(B3769,material!A:D,3,0),"")</f>
        <v>3.1</v>
      </c>
    </row>
    <row r="3770" ht="11.25" customHeight="1">
      <c r="A3770" s="21" t="str">
        <f>IFERROR(__xludf.DUMMYFUNCTION("""COMPUTED_VALUE"""),"MODEM VOIP EMTA WIFI 3.1 CG3000")</f>
        <v>MODEM VOIP EMTA WIFI 3.1 CG3000</v>
      </c>
      <c r="B3770" s="22">
        <f>IFERROR(__xludf.DUMMYFUNCTION("""COMPUTED_VALUE"""),4.1001486E7)</f>
        <v>41001486</v>
      </c>
      <c r="C3770" s="21" t="str">
        <f>IFERROR(__xludf.DUMMYFUNCTION("""COMPUTED_VALUE"""),"1834AF6165C1")</f>
        <v>1834AF6165C1</v>
      </c>
      <c r="D3770" s="21" t="str">
        <f>IFERROR(__xludf.DUMMYFUNCTION("""COMPUTED_VALUE"""),"DIGITEC TECNOLOGIA DIGITAL E REPRES")</f>
        <v>DIGITEC TECNOLOGIA DIGITAL E REPRES</v>
      </c>
      <c r="E3770" s="21">
        <f>IFERROR(__xludf.DUMMYFUNCTION("""COMPUTED_VALUE"""),145359.0)</f>
        <v>145359</v>
      </c>
      <c r="F3770" s="21" t="str">
        <f>IFERROR(__xludf.DUMMYFUNCTION("""COMPUTED_VALUE"""),"COM DEFEITO")</f>
        <v>COM DEFEITO</v>
      </c>
      <c r="G3770" s="23">
        <f>IFERROR(__xludf.DUMMYFUNCTION("""COMPUTED_VALUE"""),45397.70769675926)</f>
        <v>45397.7077</v>
      </c>
      <c r="H3770" s="24" t="str">
        <f>IFERROR(VLOOKUP(B3770,material!A:D,3,0),"")</f>
        <v>3.1</v>
      </c>
    </row>
    <row r="3771" ht="11.25" customHeight="1">
      <c r="A3771" s="21" t="str">
        <f>IFERROR(__xludf.DUMMYFUNCTION("""COMPUTED_VALUE"""),"MODEM VOIP EMTA WIFI 3.1 CG3000")</f>
        <v>MODEM VOIP EMTA WIFI 3.1 CG3000</v>
      </c>
      <c r="B3771" s="22">
        <f>IFERROR(__xludf.DUMMYFUNCTION("""COMPUTED_VALUE"""),4.1001486E7)</f>
        <v>41001486</v>
      </c>
      <c r="C3771" s="21" t="str">
        <f>IFERROR(__xludf.DUMMYFUNCTION("""COMPUTED_VALUE"""),"1834AF61CF77")</f>
        <v>1834AF61CF77</v>
      </c>
      <c r="D3771" s="21" t="str">
        <f>IFERROR(__xludf.DUMMYFUNCTION("""COMPUTED_VALUE"""),"DIGITEC TECNOLOGIA DIGITAL E REPRES")</f>
        <v>DIGITEC TECNOLOGIA DIGITAL E REPRES</v>
      </c>
      <c r="E3771" s="21">
        <f>IFERROR(__xludf.DUMMYFUNCTION("""COMPUTED_VALUE"""),145359.0)</f>
        <v>145359</v>
      </c>
      <c r="F3771" s="21" t="str">
        <f>IFERROR(__xludf.DUMMYFUNCTION("""COMPUTED_VALUE"""),"COM DEFEITO")</f>
        <v>COM DEFEITO</v>
      </c>
      <c r="G3771" s="23">
        <f>IFERROR(__xludf.DUMMYFUNCTION("""COMPUTED_VALUE"""),45617.71240740741)</f>
        <v>45617.71241</v>
      </c>
      <c r="H3771" s="24" t="str">
        <f>IFERROR(VLOOKUP(B3771,material!A:D,3,0),"")</f>
        <v>3.1</v>
      </c>
    </row>
    <row r="3772" ht="11.25" customHeight="1">
      <c r="A3772" s="21" t="str">
        <f>IFERROR(__xludf.DUMMYFUNCTION("""COMPUTED_VALUE"""),"MODEM VOIP EMTA WIFI 3.1 CG3000")</f>
        <v>MODEM VOIP EMTA WIFI 3.1 CG3000</v>
      </c>
      <c r="B3772" s="22">
        <f>IFERROR(__xludf.DUMMYFUNCTION("""COMPUTED_VALUE"""),4.1001486E7)</f>
        <v>41001486</v>
      </c>
      <c r="C3772" s="21" t="str">
        <f>IFERROR(__xludf.DUMMYFUNCTION("""COMPUTED_VALUE"""),"1834AF251021")</f>
        <v>1834AF251021</v>
      </c>
      <c r="D3772" s="21" t="str">
        <f>IFERROR(__xludf.DUMMYFUNCTION("""COMPUTED_VALUE"""),"DIGITEC TECNOLOGIA DIGITAL E REPRES")</f>
        <v>DIGITEC TECNOLOGIA DIGITAL E REPRES</v>
      </c>
      <c r="E3772" s="21">
        <f>IFERROR(__xludf.DUMMYFUNCTION("""COMPUTED_VALUE"""),145359.0)</f>
        <v>145359</v>
      </c>
      <c r="F3772" s="21" t="str">
        <f>IFERROR(__xludf.DUMMYFUNCTION("""COMPUTED_VALUE"""),"COM DEFEITO")</f>
        <v>COM DEFEITO</v>
      </c>
      <c r="G3772" s="23">
        <f>IFERROR(__xludf.DUMMYFUNCTION("""COMPUTED_VALUE"""),45617.71434027777)</f>
        <v>45617.71434</v>
      </c>
      <c r="H3772" s="24" t="str">
        <f>IFERROR(VLOOKUP(B3772,material!A:D,3,0),"")</f>
        <v>3.1</v>
      </c>
    </row>
    <row r="3773" ht="11.25" customHeight="1">
      <c r="A3773" s="21" t="str">
        <f>IFERROR(__xludf.DUMMYFUNCTION("""COMPUTED_VALUE"""),"MODEM VOIP EMTA WIFI 3.1 HGJ310")</f>
        <v>MODEM VOIP EMTA WIFI 3.1 HGJ310</v>
      </c>
      <c r="B3773" s="22">
        <f>IFERROR(__xludf.DUMMYFUNCTION("""COMPUTED_VALUE"""),4.1001481E7)</f>
        <v>41001481</v>
      </c>
      <c r="C3773" s="21" t="str">
        <f>IFERROR(__xludf.DUMMYFUNCTION("""COMPUTED_VALUE"""),"D86C5A094D1A")</f>
        <v>D86C5A094D1A</v>
      </c>
      <c r="D3773" s="21" t="str">
        <f>IFERROR(__xludf.DUMMYFUNCTION("""COMPUTED_VALUE"""),"DIGITEC TECNOLOGIA DIGITAL E REPRES")</f>
        <v>DIGITEC TECNOLOGIA DIGITAL E REPRES</v>
      </c>
      <c r="E3773" s="21">
        <f>IFERROR(__xludf.DUMMYFUNCTION("""COMPUTED_VALUE"""),145359.0)</f>
        <v>145359</v>
      </c>
      <c r="F3773" s="21" t="str">
        <f>IFERROR(__xludf.DUMMYFUNCTION("""COMPUTED_VALUE"""),"COM DEFEITO")</f>
        <v>COM DEFEITO</v>
      </c>
      <c r="G3773" s="23">
        <f>IFERROR(__xludf.DUMMYFUNCTION("""COMPUTED_VALUE"""),45484.414930555555)</f>
        <v>45484.41493</v>
      </c>
      <c r="H3773" s="24" t="str">
        <f>IFERROR(VLOOKUP(B3773,material!A:D,3,0),"")</f>
        <v>3.1</v>
      </c>
    </row>
    <row r="3774" ht="11.25" customHeight="1">
      <c r="A3774" s="21" t="str">
        <f>IFERROR(__xludf.DUMMYFUNCTION("""COMPUTED_VALUE"""),"MODEM VOIP EMTA WIFI 3.1 HGJ310")</f>
        <v>MODEM VOIP EMTA WIFI 3.1 HGJ310</v>
      </c>
      <c r="B3774" s="22">
        <f>IFERROR(__xludf.DUMMYFUNCTION("""COMPUTED_VALUE"""),4.1001481E7)</f>
        <v>41001481</v>
      </c>
      <c r="C3774" s="21" t="str">
        <f>IFERROR(__xludf.DUMMYFUNCTION("""COMPUTED_VALUE"""),"C85D38645990")</f>
        <v>C85D38645990</v>
      </c>
      <c r="D3774" s="21" t="str">
        <f>IFERROR(__xludf.DUMMYFUNCTION("""COMPUTED_VALUE"""),"DIGITEC TECNOLOGIA DIGITAL E REPRES")</f>
        <v>DIGITEC TECNOLOGIA DIGITAL E REPRES</v>
      </c>
      <c r="E3774" s="21">
        <f>IFERROR(__xludf.DUMMYFUNCTION("""COMPUTED_VALUE"""),145359.0)</f>
        <v>145359</v>
      </c>
      <c r="F3774" s="21" t="str">
        <f>IFERROR(__xludf.DUMMYFUNCTION("""COMPUTED_VALUE"""),"COM DEFEITO")</f>
        <v>COM DEFEITO</v>
      </c>
      <c r="G3774" s="23">
        <f>IFERROR(__xludf.DUMMYFUNCTION("""COMPUTED_VALUE"""),45595.63983796297)</f>
        <v>45595.63984</v>
      </c>
      <c r="H3774" s="24" t="str">
        <f>IFERROR(VLOOKUP(B3774,material!A:D,3,0),"")</f>
        <v>3.1</v>
      </c>
    </row>
    <row r="3775" ht="11.25" customHeight="1">
      <c r="A3775" s="21" t="str">
        <f>IFERROR(__xludf.DUMMYFUNCTION("""COMPUTED_VALUE"""),"MODEM VOIP EMTA WIFI 3.1 HGJ310")</f>
        <v>MODEM VOIP EMTA WIFI 3.1 HGJ310</v>
      </c>
      <c r="B3775" s="22">
        <f>IFERROR(__xludf.DUMMYFUNCTION("""COMPUTED_VALUE"""),4.1001481E7)</f>
        <v>41001481</v>
      </c>
      <c r="C3775" s="21" t="str">
        <f>IFERROR(__xludf.DUMMYFUNCTION("""COMPUTED_VALUE"""),"D86C5A67B9E8")</f>
        <v>D86C5A67B9E8</v>
      </c>
      <c r="D3775" s="21" t="str">
        <f>IFERROR(__xludf.DUMMYFUNCTION("""COMPUTED_VALUE"""),"DIGITEC TECNOLOGIA DIGITAL E REPRES")</f>
        <v>DIGITEC TECNOLOGIA DIGITAL E REPRES</v>
      </c>
      <c r="E3775" s="21">
        <f>IFERROR(__xludf.DUMMYFUNCTION("""COMPUTED_VALUE"""),145359.0)</f>
        <v>145359</v>
      </c>
      <c r="F3775" s="21" t="str">
        <f>IFERROR(__xludf.DUMMYFUNCTION("""COMPUTED_VALUE"""),"COM DEFEITO")</f>
        <v>COM DEFEITO</v>
      </c>
      <c r="G3775" s="23">
        <f>IFERROR(__xludf.DUMMYFUNCTION("""COMPUTED_VALUE"""),45415.65599537037)</f>
        <v>45415.656</v>
      </c>
      <c r="H3775" s="24" t="str">
        <f>IFERROR(VLOOKUP(B3775,material!A:D,3,0),"")</f>
        <v>3.1</v>
      </c>
    </row>
    <row r="3776" ht="11.25" customHeight="1">
      <c r="A3776" s="21" t="str">
        <f>IFERROR(__xludf.DUMMYFUNCTION("""COMPUTED_VALUE"""),"MODEM VOIP EMTA WIFI 3.1 HGJ310")</f>
        <v>MODEM VOIP EMTA WIFI 3.1 HGJ310</v>
      </c>
      <c r="B3776" s="22">
        <f>IFERROR(__xludf.DUMMYFUNCTION("""COMPUTED_VALUE"""),4.1001481E7)</f>
        <v>41001481</v>
      </c>
      <c r="C3776" s="21" t="str">
        <f>IFERROR(__xludf.DUMMYFUNCTION("""COMPUTED_VALUE"""),"D86C5A48F429")</f>
        <v>D86C5A48F429</v>
      </c>
      <c r="D3776" s="21" t="str">
        <f>IFERROR(__xludf.DUMMYFUNCTION("""COMPUTED_VALUE"""),"DIGITEC TECNOLOGIA DIGITAL E REPRES")</f>
        <v>DIGITEC TECNOLOGIA DIGITAL E REPRES</v>
      </c>
      <c r="E3776" s="21">
        <f>IFERROR(__xludf.DUMMYFUNCTION("""COMPUTED_VALUE"""),145359.0)</f>
        <v>145359</v>
      </c>
      <c r="F3776" s="21" t="str">
        <f>IFERROR(__xludf.DUMMYFUNCTION("""COMPUTED_VALUE"""),"COM DEFEITO")</f>
        <v>COM DEFEITO</v>
      </c>
      <c r="G3776" s="23">
        <f>IFERROR(__xludf.DUMMYFUNCTION("""COMPUTED_VALUE"""),45397.70769675926)</f>
        <v>45397.7077</v>
      </c>
      <c r="H3776" s="24" t="str">
        <f>IFERROR(VLOOKUP(B3776,material!A:D,3,0),"")</f>
        <v>3.1</v>
      </c>
    </row>
    <row r="3777" ht="11.25" customHeight="1">
      <c r="A3777" s="21" t="str">
        <f>IFERROR(__xludf.DUMMYFUNCTION("""COMPUTED_VALUE"""),"MODEM VOIP EMTA WIFI 3.1 HGJ310")</f>
        <v>MODEM VOIP EMTA WIFI 3.1 HGJ310</v>
      </c>
      <c r="B3777" s="22">
        <f>IFERROR(__xludf.DUMMYFUNCTION("""COMPUTED_VALUE"""),4.1001481E7)</f>
        <v>41001481</v>
      </c>
      <c r="C3777" s="21" t="str">
        <f>IFERROR(__xludf.DUMMYFUNCTION("""COMPUTED_VALUE"""),"D86C5A48F564")</f>
        <v>D86C5A48F564</v>
      </c>
      <c r="D3777" s="21" t="str">
        <f>IFERROR(__xludf.DUMMYFUNCTION("""COMPUTED_VALUE"""),"DIGITEC TECNOLOGIA DIGITAL E REPRES")</f>
        <v>DIGITEC TECNOLOGIA DIGITAL E REPRES</v>
      </c>
      <c r="E3777" s="21">
        <f>IFERROR(__xludf.DUMMYFUNCTION("""COMPUTED_VALUE"""),145359.0)</f>
        <v>145359</v>
      </c>
      <c r="F3777" s="21" t="str">
        <f>IFERROR(__xludf.DUMMYFUNCTION("""COMPUTED_VALUE"""),"COM DEFEITO")</f>
        <v>COM DEFEITO</v>
      </c>
      <c r="G3777" s="23">
        <f>IFERROR(__xludf.DUMMYFUNCTION("""COMPUTED_VALUE"""),45397.70769675926)</f>
        <v>45397.7077</v>
      </c>
      <c r="H3777" s="24" t="str">
        <f>IFERROR(VLOOKUP(B3777,material!A:D,3,0),"")</f>
        <v>3.1</v>
      </c>
    </row>
    <row r="3778" ht="11.25" customHeight="1">
      <c r="A3778" s="21" t="str">
        <f>IFERROR(__xludf.DUMMYFUNCTION("""COMPUTED_VALUE"""),"MODEM VOIP EMTA WIFI 3.1 HGJ310")</f>
        <v>MODEM VOIP EMTA WIFI 3.1 HGJ310</v>
      </c>
      <c r="B3778" s="22">
        <f>IFERROR(__xludf.DUMMYFUNCTION("""COMPUTED_VALUE"""),4.1001481E7)</f>
        <v>41001481</v>
      </c>
      <c r="C3778" s="21" t="str">
        <f>IFERROR(__xludf.DUMMYFUNCTION("""COMPUTED_VALUE"""),"D86C5A48F5F7")</f>
        <v>D86C5A48F5F7</v>
      </c>
      <c r="D3778" s="21" t="str">
        <f>IFERROR(__xludf.DUMMYFUNCTION("""COMPUTED_VALUE"""),"DIGITEC TECNOLOGIA DIGITAL E REPRES")</f>
        <v>DIGITEC TECNOLOGIA DIGITAL E REPRES</v>
      </c>
      <c r="E3778" s="21">
        <f>IFERROR(__xludf.DUMMYFUNCTION("""COMPUTED_VALUE"""),145359.0)</f>
        <v>145359</v>
      </c>
      <c r="F3778" s="21" t="str">
        <f>IFERROR(__xludf.DUMMYFUNCTION("""COMPUTED_VALUE"""),"COM DEFEITO")</f>
        <v>COM DEFEITO</v>
      </c>
      <c r="G3778" s="23">
        <f>IFERROR(__xludf.DUMMYFUNCTION("""COMPUTED_VALUE"""),45397.70769675926)</f>
        <v>45397.7077</v>
      </c>
      <c r="H3778" s="24" t="str">
        <f>IFERROR(VLOOKUP(B3778,material!A:D,3,0),"")</f>
        <v>3.1</v>
      </c>
    </row>
    <row r="3779" ht="11.25" customHeight="1">
      <c r="A3779" s="21" t="str">
        <f>IFERROR(__xludf.DUMMYFUNCTION("""COMPUTED_VALUE"""),"MODEM VOIP EMTA WIFI 3.1 HGJ310")</f>
        <v>MODEM VOIP EMTA WIFI 3.1 HGJ310</v>
      </c>
      <c r="B3779" s="22">
        <f>IFERROR(__xludf.DUMMYFUNCTION("""COMPUTED_VALUE"""),4.1001481E7)</f>
        <v>41001481</v>
      </c>
      <c r="C3779" s="21" t="str">
        <f>IFERROR(__xludf.DUMMYFUNCTION("""COMPUTED_VALUE"""),"D86C5A48C384")</f>
        <v>D86C5A48C384</v>
      </c>
      <c r="D3779" s="21" t="str">
        <f>IFERROR(__xludf.DUMMYFUNCTION("""COMPUTED_VALUE"""),"DIGITEC TECNOLOGIA DIGITAL E REPRES")</f>
        <v>DIGITEC TECNOLOGIA DIGITAL E REPRES</v>
      </c>
      <c r="E3779" s="21">
        <f>IFERROR(__xludf.DUMMYFUNCTION("""COMPUTED_VALUE"""),145359.0)</f>
        <v>145359</v>
      </c>
      <c r="F3779" s="21" t="str">
        <f>IFERROR(__xludf.DUMMYFUNCTION("""COMPUTED_VALUE"""),"COM DEFEITO")</f>
        <v>COM DEFEITO</v>
      </c>
      <c r="G3779" s="23">
        <f>IFERROR(__xludf.DUMMYFUNCTION("""COMPUTED_VALUE"""),45397.70769675926)</f>
        <v>45397.7077</v>
      </c>
      <c r="H3779" s="24" t="str">
        <f>IFERROR(VLOOKUP(B3779,material!A:D,3,0),"")</f>
        <v>3.1</v>
      </c>
    </row>
    <row r="3780" ht="11.25" customHeight="1">
      <c r="A3780" s="21" t="str">
        <f>IFERROR(__xludf.DUMMYFUNCTION("""COMPUTED_VALUE"""),"DECODER 4K ULTRA HD DGCI363 COM IG")</f>
        <v>DECODER 4K ULTRA HD DGCI363 COM IG</v>
      </c>
      <c r="B3780" s="22">
        <f>IFERROR(__xludf.DUMMYFUNCTION("""COMPUTED_VALUE"""),4.1001484E7)</f>
        <v>41001484</v>
      </c>
      <c r="C3780" s="21" t="str">
        <f>IFERROR(__xludf.DUMMYFUNCTION("""COMPUTED_VALUE"""),"229770153954")</f>
        <v>229770153954</v>
      </c>
      <c r="D3780" s="21" t="str">
        <f>IFERROR(__xludf.DUMMYFUNCTION("""COMPUTED_VALUE"""),"DIGITEC TECNOLOGIA DIGITAL E REPRES")</f>
        <v>DIGITEC TECNOLOGIA DIGITAL E REPRES</v>
      </c>
      <c r="E3780" s="21">
        <f>IFERROR(__xludf.DUMMYFUNCTION("""COMPUTED_VALUE"""),145359.0)</f>
        <v>145359</v>
      </c>
      <c r="F3780" s="21" t="str">
        <f>IFERROR(__xludf.DUMMYFUNCTION("""COMPUTED_VALUE"""),"COM DEFEITO")</f>
        <v>COM DEFEITO</v>
      </c>
      <c r="G3780" s="23">
        <f>IFERROR(__xludf.DUMMYFUNCTION("""COMPUTED_VALUE"""),45617.71434027777)</f>
        <v>45617.71434</v>
      </c>
      <c r="H3780" s="24" t="str">
        <f>IFERROR(VLOOKUP(B3780,material!A:D,3,0),"")</f>
        <v>4K</v>
      </c>
    </row>
    <row r="3781" ht="11.25" customHeight="1">
      <c r="A3781" s="21" t="str">
        <f>IFERROR(__xludf.DUMMYFUNCTION("""COMPUTED_VALUE"""),"DECODER 4K ULTRA HD DGCI363 COM IG")</f>
        <v>DECODER 4K ULTRA HD DGCI363 COM IG</v>
      </c>
      <c r="B3781" s="22">
        <f>IFERROR(__xludf.DUMMYFUNCTION("""COMPUTED_VALUE"""),4.1001484E7)</f>
        <v>41001484</v>
      </c>
      <c r="C3781" s="21" t="str">
        <f>IFERROR(__xludf.DUMMYFUNCTION("""COMPUTED_VALUE"""),"229803225767")</f>
        <v>229803225767</v>
      </c>
      <c r="D3781" s="21" t="str">
        <f>IFERROR(__xludf.DUMMYFUNCTION("""COMPUTED_VALUE"""),"DIGITEC TECNOLOGIA DIGITAL E REPRES")</f>
        <v>DIGITEC TECNOLOGIA DIGITAL E REPRES</v>
      </c>
      <c r="E3781" s="21">
        <f>IFERROR(__xludf.DUMMYFUNCTION("""COMPUTED_VALUE"""),145359.0)</f>
        <v>145359</v>
      </c>
      <c r="F3781" s="21" t="str">
        <f>IFERROR(__xludf.DUMMYFUNCTION("""COMPUTED_VALUE"""),"COM DEFEITO")</f>
        <v>COM DEFEITO</v>
      </c>
      <c r="G3781" s="23">
        <f>IFERROR(__xludf.DUMMYFUNCTION("""COMPUTED_VALUE"""),45617.71434027777)</f>
        <v>45617.71434</v>
      </c>
      <c r="H3781" s="24" t="str">
        <f>IFERROR(VLOOKUP(B3781,material!A:D,3,0),"")</f>
        <v>4K</v>
      </c>
    </row>
    <row r="3782" ht="11.25" customHeight="1">
      <c r="A3782" s="21" t="str">
        <f>IFERROR(__xludf.DUMMYFUNCTION("""COMPUTED_VALUE"""),"DECODER 4K ULTRA HD DGCI363 COM IG")</f>
        <v>DECODER 4K ULTRA HD DGCI363 COM IG</v>
      </c>
      <c r="B3782" s="22">
        <f>IFERROR(__xludf.DUMMYFUNCTION("""COMPUTED_VALUE"""),4.1001484E7)</f>
        <v>41001484</v>
      </c>
      <c r="C3782" s="21" t="str">
        <f>IFERROR(__xludf.DUMMYFUNCTION("""COMPUTED_VALUE"""),"229848557890")</f>
        <v>229848557890</v>
      </c>
      <c r="D3782" s="21" t="str">
        <f>IFERROR(__xludf.DUMMYFUNCTION("""COMPUTED_VALUE"""),"DIGITEC TECNOLOGIA DIGITAL E REPRES")</f>
        <v>DIGITEC TECNOLOGIA DIGITAL E REPRES</v>
      </c>
      <c r="E3782" s="21">
        <f>IFERROR(__xludf.DUMMYFUNCTION("""COMPUTED_VALUE"""),145359.0)</f>
        <v>145359</v>
      </c>
      <c r="F3782" s="21" t="str">
        <f>IFERROR(__xludf.DUMMYFUNCTION("""COMPUTED_VALUE"""),"COM DEFEITO")</f>
        <v>COM DEFEITO</v>
      </c>
      <c r="G3782" s="23">
        <f>IFERROR(__xludf.DUMMYFUNCTION("""COMPUTED_VALUE"""),45617.71240740741)</f>
        <v>45617.71241</v>
      </c>
      <c r="H3782" s="24" t="str">
        <f>IFERROR(VLOOKUP(B3782,material!A:D,3,0),"")</f>
        <v>4K</v>
      </c>
    </row>
    <row r="3783" ht="11.25" customHeight="1">
      <c r="A3783" s="21" t="str">
        <f>IFERROR(__xludf.DUMMYFUNCTION("""COMPUTED_VALUE"""),"DECODER HD THDC4")</f>
        <v>DECODER HD THDC4</v>
      </c>
      <c r="B3783" s="22">
        <f>IFERROR(__xludf.DUMMYFUNCTION("""COMPUTED_VALUE"""),4.1001047E7)</f>
        <v>41001047</v>
      </c>
      <c r="C3783" s="21" t="str">
        <f>IFERROR(__xludf.DUMMYFUNCTION("""COMPUTED_VALUE"""),"229738054547")</f>
        <v>229738054547</v>
      </c>
      <c r="D3783" s="21" t="str">
        <f>IFERROR(__xludf.DUMMYFUNCTION("""COMPUTED_VALUE"""),"DIGITEC TECNOLOGIA DIGITAL E REPRES")</f>
        <v>DIGITEC TECNOLOGIA DIGITAL E REPRES</v>
      </c>
      <c r="E3783" s="21">
        <f>IFERROR(__xludf.DUMMYFUNCTION("""COMPUTED_VALUE"""),145359.0)</f>
        <v>145359</v>
      </c>
      <c r="F3783" s="21" t="str">
        <f>IFERROR(__xludf.DUMMYFUNCTION("""COMPUTED_VALUE"""),"COM DEFEITO")</f>
        <v>COM DEFEITO</v>
      </c>
      <c r="G3783" s="23">
        <f>IFERROR(__xludf.DUMMYFUNCTION("""COMPUTED_VALUE"""),45642.488807870366)</f>
        <v>45642.48881</v>
      </c>
      <c r="H3783" s="24" t="str">
        <f>IFERROR(VLOOKUP(B3783,material!A:D,3,0),"")</f>
        <v>TOP MIX</v>
      </c>
    </row>
    <row r="3784" ht="11.25" customHeight="1">
      <c r="A3784" s="21" t="str">
        <f>IFERROR(__xludf.DUMMYFUNCTION("""COMPUTED_VALUE"""),"SMART SIM CARD NAGRA")</f>
        <v>SMART SIM CARD NAGRA</v>
      </c>
      <c r="B3784" s="22">
        <f>IFERROR(__xludf.DUMMYFUNCTION("""COMPUTED_VALUE"""),4.1000805E7)</f>
        <v>41000805</v>
      </c>
      <c r="C3784" s="21" t="str">
        <f>IFERROR(__xludf.DUMMYFUNCTION("""COMPUTED_VALUE"""),"246498057893")</f>
        <v>246498057893</v>
      </c>
      <c r="D3784" s="21" t="str">
        <f>IFERROR(__xludf.DUMMYFUNCTION("""COMPUTED_VALUE"""),"DIGITEC TECNOLOGIA DIGITAL E REPRES")</f>
        <v>DIGITEC TECNOLOGIA DIGITAL E REPRES</v>
      </c>
      <c r="E3784" s="21">
        <f>IFERROR(__xludf.DUMMYFUNCTION("""COMPUTED_VALUE"""),145359.0)</f>
        <v>145359</v>
      </c>
      <c r="F3784" s="21" t="str">
        <f>IFERROR(__xludf.DUMMYFUNCTION("""COMPUTED_VALUE"""),"COM DEFEITO")</f>
        <v>COM DEFEITO</v>
      </c>
      <c r="G3784" s="23">
        <f>IFERROR(__xludf.DUMMYFUNCTION("""COMPUTED_VALUE"""),45617.71435185186)</f>
        <v>45617.71435</v>
      </c>
      <c r="H3784" s="24" t="str">
        <f>IFERROR(VLOOKUP(B3784,material!A:D,3,0),"")</f>
        <v>SIM CARD</v>
      </c>
    </row>
    <row r="3785" ht="11.25" customHeight="1">
      <c r="A3785" s="21" t="str">
        <f>IFERROR(__xludf.DUMMYFUNCTION("""COMPUTED_VALUE"""),"SMART SIM CARD NAGRA")</f>
        <v>SMART SIM CARD NAGRA</v>
      </c>
      <c r="B3785" s="22">
        <f>IFERROR(__xludf.DUMMYFUNCTION("""COMPUTED_VALUE"""),4.1000805E7)</f>
        <v>41000805</v>
      </c>
      <c r="C3785" s="21" t="str">
        <f>IFERROR(__xludf.DUMMYFUNCTION("""COMPUTED_VALUE"""),"246558620505")</f>
        <v>246558620505</v>
      </c>
      <c r="D3785" s="21" t="str">
        <f>IFERROR(__xludf.DUMMYFUNCTION("""COMPUTED_VALUE"""),"DIGITEC TECNOLOGIA DIGITAL E REPRES")</f>
        <v>DIGITEC TECNOLOGIA DIGITAL E REPRES</v>
      </c>
      <c r="E3785" s="21">
        <f>IFERROR(__xludf.DUMMYFUNCTION("""COMPUTED_VALUE"""),145359.0)</f>
        <v>145359</v>
      </c>
      <c r="F3785" s="21" t="str">
        <f>IFERROR(__xludf.DUMMYFUNCTION("""COMPUTED_VALUE"""),"COM DEFEITO")</f>
        <v>COM DEFEITO</v>
      </c>
      <c r="G3785" s="23">
        <f>IFERROR(__xludf.DUMMYFUNCTION("""COMPUTED_VALUE"""),45642.488807870366)</f>
        <v>45642.48881</v>
      </c>
      <c r="H3785" s="24" t="str">
        <f>IFERROR(VLOOKUP(B3785,material!A:D,3,0),"")</f>
        <v>SIM CARD</v>
      </c>
    </row>
    <row r="3786" ht="11.25" customHeight="1">
      <c r="A3786" s="21" t="str">
        <f>IFERROR(__xludf.DUMMYFUNCTION("""COMPUTED_VALUE"""),"SMART SIM CARD NAGRA")</f>
        <v>SMART SIM CARD NAGRA</v>
      </c>
      <c r="B3786" s="22">
        <f>IFERROR(__xludf.DUMMYFUNCTION("""COMPUTED_VALUE"""),4.1000805E7)</f>
        <v>41000805</v>
      </c>
      <c r="C3786" s="21" t="str">
        <f>IFERROR(__xludf.DUMMYFUNCTION("""COMPUTED_VALUE"""),"246509313650")</f>
        <v>246509313650</v>
      </c>
      <c r="D3786" s="21" t="str">
        <f>IFERROR(__xludf.DUMMYFUNCTION("""COMPUTED_VALUE"""),"DIGITEC TECNOLOGIA DIGITAL E REPRES")</f>
        <v>DIGITEC TECNOLOGIA DIGITAL E REPRES</v>
      </c>
      <c r="E3786" s="21">
        <f>IFERROR(__xludf.DUMMYFUNCTION("""COMPUTED_VALUE"""),145359.0)</f>
        <v>145359</v>
      </c>
      <c r="F3786" s="21" t="str">
        <f>IFERROR(__xludf.DUMMYFUNCTION("""COMPUTED_VALUE"""),"COM DEFEITO")</f>
        <v>COM DEFEITO</v>
      </c>
      <c r="G3786" s="23">
        <f>IFERROR(__xludf.DUMMYFUNCTION("""COMPUTED_VALUE"""),45642.488807870366)</f>
        <v>45642.48881</v>
      </c>
      <c r="H3786" s="24" t="str">
        <f>IFERROR(VLOOKUP(B3786,material!A:D,3,0),"")</f>
        <v>SIM CARD</v>
      </c>
    </row>
    <row r="3787" ht="11.25" customHeight="1">
      <c r="A3787" s="21" t="str">
        <f>IFERROR(__xludf.DUMMYFUNCTION("""COMPUTED_VALUE"""),"SMART SIM CARD NAGRA")</f>
        <v>SMART SIM CARD NAGRA</v>
      </c>
      <c r="B3787" s="22">
        <f>IFERROR(__xludf.DUMMYFUNCTION("""COMPUTED_VALUE"""),4.1000805E7)</f>
        <v>41000805</v>
      </c>
      <c r="C3787" s="21" t="str">
        <f>IFERROR(__xludf.DUMMYFUNCTION("""COMPUTED_VALUE"""),"246587856769")</f>
        <v>246587856769</v>
      </c>
      <c r="D3787" s="21" t="str">
        <f>IFERROR(__xludf.DUMMYFUNCTION("""COMPUTED_VALUE"""),"DIGITEC TECNOLOGIA DIGITAL E REPRES")</f>
        <v>DIGITEC TECNOLOGIA DIGITAL E REPRES</v>
      </c>
      <c r="E3787" s="21">
        <f>IFERROR(__xludf.DUMMYFUNCTION("""COMPUTED_VALUE"""),145359.0)</f>
        <v>145359</v>
      </c>
      <c r="F3787" s="21" t="str">
        <f>IFERROR(__xludf.DUMMYFUNCTION("""COMPUTED_VALUE"""),"COM DEFEITO")</f>
        <v>COM DEFEITO</v>
      </c>
      <c r="G3787" s="23">
        <f>IFERROR(__xludf.DUMMYFUNCTION("""COMPUTED_VALUE"""),45642.48881944444)</f>
        <v>45642.48882</v>
      </c>
      <c r="H3787" s="24" t="str">
        <f>IFERROR(VLOOKUP(B3787,material!A:D,3,0),"")</f>
        <v>SIM CARD</v>
      </c>
    </row>
    <row r="3788" ht="11.25" customHeight="1">
      <c r="A3788" s="21" t="str">
        <f>IFERROR(__xludf.DUMMYFUNCTION("""COMPUTED_VALUE"""),"SMART SIM CARD NAGRA")</f>
        <v>SMART SIM CARD NAGRA</v>
      </c>
      <c r="B3788" s="22">
        <f>IFERROR(__xludf.DUMMYFUNCTION("""COMPUTED_VALUE"""),4.1000805E7)</f>
        <v>41000805</v>
      </c>
      <c r="C3788" s="21" t="str">
        <f>IFERROR(__xludf.DUMMYFUNCTION("""COMPUTED_VALUE"""),"246631948705")</f>
        <v>246631948705</v>
      </c>
      <c r="D3788" s="21" t="str">
        <f>IFERROR(__xludf.DUMMYFUNCTION("""COMPUTED_VALUE"""),"DIGITEC TECNOLOGIA DIGITAL E REPRES")</f>
        <v>DIGITEC TECNOLOGIA DIGITAL E REPRES</v>
      </c>
      <c r="E3788" s="21">
        <f>IFERROR(__xludf.DUMMYFUNCTION("""COMPUTED_VALUE"""),145359.0)</f>
        <v>145359</v>
      </c>
      <c r="F3788" s="21" t="str">
        <f>IFERROR(__xludf.DUMMYFUNCTION("""COMPUTED_VALUE"""),"COM DEFEITO")</f>
        <v>COM DEFEITO</v>
      </c>
      <c r="G3788" s="23">
        <f>IFERROR(__xludf.DUMMYFUNCTION("""COMPUTED_VALUE"""),45642.48881944444)</f>
        <v>45642.48882</v>
      </c>
      <c r="H3788" s="24" t="str">
        <f>IFERROR(VLOOKUP(B3788,material!A:D,3,0),"")</f>
        <v>SIM CARD</v>
      </c>
    </row>
    <row r="3789" ht="11.25" customHeight="1">
      <c r="A3789" s="21" t="str">
        <f>IFERROR(__xludf.DUMMYFUNCTION("""COMPUTED_VALUE"""),"SMART SIM CARD NAGRA")</f>
        <v>SMART SIM CARD NAGRA</v>
      </c>
      <c r="B3789" s="22">
        <f>IFERROR(__xludf.DUMMYFUNCTION("""COMPUTED_VALUE"""),4.1000805E7)</f>
        <v>41000805</v>
      </c>
      <c r="C3789" s="21" t="str">
        <f>IFERROR(__xludf.DUMMYFUNCTION("""COMPUTED_VALUE"""),"246495532339")</f>
        <v>246495532339</v>
      </c>
      <c r="D3789" s="21" t="str">
        <f>IFERROR(__xludf.DUMMYFUNCTION("""COMPUTED_VALUE"""),"DIGITEC TECNOLOGIA DIGITAL E REPRES")</f>
        <v>DIGITEC TECNOLOGIA DIGITAL E REPRES</v>
      </c>
      <c r="E3789" s="21">
        <f>IFERROR(__xludf.DUMMYFUNCTION("""COMPUTED_VALUE"""),145359.0)</f>
        <v>145359</v>
      </c>
      <c r="F3789" s="21" t="str">
        <f>IFERROR(__xludf.DUMMYFUNCTION("""COMPUTED_VALUE"""),"COM DEFEITO")</f>
        <v>COM DEFEITO</v>
      </c>
      <c r="G3789" s="23">
        <f>IFERROR(__xludf.DUMMYFUNCTION("""COMPUTED_VALUE"""),45642.48881944444)</f>
        <v>45642.48882</v>
      </c>
      <c r="H3789" s="24" t="str">
        <f>IFERROR(VLOOKUP(B3789,material!A:D,3,0),"")</f>
        <v>SIM CARD</v>
      </c>
    </row>
    <row r="3790" ht="11.25" customHeight="1">
      <c r="A3790" s="21" t="str">
        <f>IFERROR(__xludf.DUMMYFUNCTION("""COMPUTED_VALUE"""),"SMART SIM CARD NAGRA")</f>
        <v>SMART SIM CARD NAGRA</v>
      </c>
      <c r="B3790" s="22">
        <f>IFERROR(__xludf.DUMMYFUNCTION("""COMPUTED_VALUE"""),4.1000805E7)</f>
        <v>41000805</v>
      </c>
      <c r="C3790" s="21" t="str">
        <f>IFERROR(__xludf.DUMMYFUNCTION("""COMPUTED_VALUE"""),"246483800622")</f>
        <v>246483800622</v>
      </c>
      <c r="D3790" s="21" t="str">
        <f>IFERROR(__xludf.DUMMYFUNCTION("""COMPUTED_VALUE"""),"DIGITEC TECNOLOGIA DIGITAL E REPRES")</f>
        <v>DIGITEC TECNOLOGIA DIGITAL E REPRES</v>
      </c>
      <c r="E3790" s="21">
        <f>IFERROR(__xludf.DUMMYFUNCTION("""COMPUTED_VALUE"""),145359.0)</f>
        <v>145359</v>
      </c>
      <c r="F3790" s="21" t="str">
        <f>IFERROR(__xludf.DUMMYFUNCTION("""COMPUTED_VALUE"""),"COM DEFEITO")</f>
        <v>COM DEFEITO</v>
      </c>
      <c r="G3790" s="23">
        <f>IFERROR(__xludf.DUMMYFUNCTION("""COMPUTED_VALUE"""),45642.48881944444)</f>
        <v>45642.48882</v>
      </c>
      <c r="H3790" s="24" t="str">
        <f>IFERROR(VLOOKUP(B3790,material!A:D,3,0),"")</f>
        <v>SIM CARD</v>
      </c>
    </row>
    <row r="3791" ht="11.25" customHeight="1">
      <c r="A3791" s="21" t="str">
        <f>IFERROR(__xludf.DUMMYFUNCTION("""COMPUTED_VALUE"""),"TECHNICOLOR TC7337NET")</f>
        <v>TECHNICOLOR TC7337NET</v>
      </c>
      <c r="B3791" s="22">
        <f>IFERROR(__xludf.DUMMYFUNCTION("""COMPUTED_VALUE"""),4.1001294E7)</f>
        <v>41001294</v>
      </c>
      <c r="C3791" s="21" t="str">
        <f>IFERROR(__xludf.DUMMYFUNCTION("""COMPUTED_VALUE"""),"905851ACC2EE")</f>
        <v>905851ACC2EE</v>
      </c>
      <c r="D3791" s="21" t="str">
        <f>IFERROR(__xludf.DUMMYFUNCTION("""COMPUTED_VALUE"""),"DIGITEC TECNOLOGIA DIGITAL E REPRES")</f>
        <v>DIGITEC TECNOLOGIA DIGITAL E REPRES</v>
      </c>
      <c r="E3791" s="21">
        <f>IFERROR(__xludf.DUMMYFUNCTION("""COMPUTED_VALUE"""),145359.0)</f>
        <v>145359</v>
      </c>
      <c r="F3791" s="21" t="str">
        <f>IFERROR(__xludf.DUMMYFUNCTION("""COMPUTED_VALUE"""),"COM DEFEITO")</f>
        <v>COM DEFEITO</v>
      </c>
      <c r="G3791" s="23">
        <f>IFERROR(__xludf.DUMMYFUNCTION("""COMPUTED_VALUE"""),45595.63983796297)</f>
        <v>45595.63984</v>
      </c>
      <c r="H3791" s="24" t="str">
        <f>IFERROR(VLOOKUP(B3791,material!A:D,3,0),"")</f>
        <v>DUAL</v>
      </c>
    </row>
    <row r="3792" ht="11.25" customHeight="1">
      <c r="A3792" s="21" t="str">
        <f>IFERROR(__xludf.DUMMYFUNCTION("""COMPUTED_VALUE"""),"TECHNICOLOR TC7337NET")</f>
        <v>TECHNICOLOR TC7337NET</v>
      </c>
      <c r="B3792" s="22">
        <f>IFERROR(__xludf.DUMMYFUNCTION("""COMPUTED_VALUE"""),4.1001294E7)</f>
        <v>41001294</v>
      </c>
      <c r="C3792" s="21" t="str">
        <f>IFERROR(__xludf.DUMMYFUNCTION("""COMPUTED_VALUE"""),"70037E9DB784")</f>
        <v>70037E9DB784</v>
      </c>
      <c r="D3792" s="21" t="str">
        <f>IFERROR(__xludf.DUMMYFUNCTION("""COMPUTED_VALUE"""),"DIGITEC TECNOLOGIA DIGITAL E REPRES")</f>
        <v>DIGITEC TECNOLOGIA DIGITAL E REPRES</v>
      </c>
      <c r="E3792" s="21">
        <f>IFERROR(__xludf.DUMMYFUNCTION("""COMPUTED_VALUE"""),145359.0)</f>
        <v>145359</v>
      </c>
      <c r="F3792" s="21" t="str">
        <f>IFERROR(__xludf.DUMMYFUNCTION("""COMPUTED_VALUE"""),"COM DEFEITO")</f>
        <v>COM DEFEITO</v>
      </c>
      <c r="G3792" s="23">
        <f>IFERROR(__xludf.DUMMYFUNCTION("""COMPUTED_VALUE"""),45595.63983796297)</f>
        <v>45595.63984</v>
      </c>
      <c r="H3792" s="24" t="str">
        <f>IFERROR(VLOOKUP(B3792,material!A:D,3,0),"")</f>
        <v>DUAL</v>
      </c>
    </row>
    <row r="3793" ht="11.25" customHeight="1">
      <c r="A3793" s="21" t="str">
        <f>IFERROR(__xludf.DUMMYFUNCTION("""COMPUTED_VALUE"""),"ARRIS TG1692A")</f>
        <v>ARRIS TG1692A</v>
      </c>
      <c r="B3793" s="22">
        <f>IFERROR(__xludf.DUMMYFUNCTION("""COMPUTED_VALUE"""),4.1001293E7)</f>
        <v>41001293</v>
      </c>
      <c r="C3793" s="21" t="str">
        <f>IFERROR(__xludf.DUMMYFUNCTION("""COMPUTED_VALUE"""),"2C9569F42EAF")</f>
        <v>2C9569F42EAF</v>
      </c>
      <c r="D3793" s="21" t="str">
        <f>IFERROR(__xludf.DUMMYFUNCTION("""COMPUTED_VALUE"""),"DIGITEC TECNOLOGIA DIGITAL E REPRES")</f>
        <v>DIGITEC TECNOLOGIA DIGITAL E REPRES</v>
      </c>
      <c r="E3793" s="21">
        <f>IFERROR(__xludf.DUMMYFUNCTION("""COMPUTED_VALUE"""),145359.0)</f>
        <v>145359</v>
      </c>
      <c r="F3793" s="21" t="str">
        <f>IFERROR(__xludf.DUMMYFUNCTION("""COMPUTED_VALUE"""),"COM DEFEITO")</f>
        <v>COM DEFEITO</v>
      </c>
      <c r="G3793" s="23">
        <f>IFERROR(__xludf.DUMMYFUNCTION("""COMPUTED_VALUE"""),45595.63983796297)</f>
        <v>45595.63984</v>
      </c>
      <c r="H3793" s="24" t="str">
        <f>IFERROR(VLOOKUP(B3793,material!A:D,3,0),"")</f>
        <v>DUAL</v>
      </c>
    </row>
    <row r="3794" ht="11.25" customHeight="1">
      <c r="A3794" s="21" t="str">
        <f>IFERROR(__xludf.DUMMYFUNCTION("""COMPUTED_VALUE"""),"ARRIS TG1692A")</f>
        <v>ARRIS TG1692A</v>
      </c>
      <c r="B3794" s="22">
        <f>IFERROR(__xludf.DUMMYFUNCTION("""COMPUTED_VALUE"""),4.1001293E7)</f>
        <v>41001293</v>
      </c>
      <c r="C3794" s="21" t="str">
        <f>IFERROR(__xludf.DUMMYFUNCTION("""COMPUTED_VALUE"""),"A8F5DDE594B0")</f>
        <v>A8F5DDE594B0</v>
      </c>
      <c r="D3794" s="21" t="str">
        <f>IFERROR(__xludf.DUMMYFUNCTION("""COMPUTED_VALUE"""),"DIGITEC TECNOLOGIA DIGITAL E REPRES")</f>
        <v>DIGITEC TECNOLOGIA DIGITAL E REPRES</v>
      </c>
      <c r="E3794" s="21">
        <f>IFERROR(__xludf.DUMMYFUNCTION("""COMPUTED_VALUE"""),145359.0)</f>
        <v>145359</v>
      </c>
      <c r="F3794" s="21" t="str">
        <f>IFERROR(__xludf.DUMMYFUNCTION("""COMPUTED_VALUE"""),"COM DEFEITO")</f>
        <v>COM DEFEITO</v>
      </c>
      <c r="G3794" s="23">
        <f>IFERROR(__xludf.DUMMYFUNCTION("""COMPUTED_VALUE"""),45617.71240740741)</f>
        <v>45617.71241</v>
      </c>
      <c r="H3794" s="24" t="str">
        <f>IFERROR(VLOOKUP(B3794,material!A:D,3,0),"")</f>
        <v>DUAL</v>
      </c>
    </row>
    <row r="3795" ht="11.25" customHeight="1">
      <c r="A3795" s="21" t="str">
        <f>IFERROR(__xludf.DUMMYFUNCTION("""COMPUTED_VALUE"""),"ARRIS TG1692A")</f>
        <v>ARRIS TG1692A</v>
      </c>
      <c r="B3795" s="22">
        <f>IFERROR(__xludf.DUMMYFUNCTION("""COMPUTED_VALUE"""),4.1001293E7)</f>
        <v>41001293</v>
      </c>
      <c r="C3795" s="21" t="str">
        <f>IFERROR(__xludf.DUMMYFUNCTION("""COMPUTED_VALUE"""),"F8F53255E21C")</f>
        <v>F8F53255E21C</v>
      </c>
      <c r="D3795" s="21" t="str">
        <f>IFERROR(__xludf.DUMMYFUNCTION("""COMPUTED_VALUE"""),"DIGITEC TECNOLOGIA DIGITAL E REPRES")</f>
        <v>DIGITEC TECNOLOGIA DIGITAL E REPRES</v>
      </c>
      <c r="E3795" s="21">
        <f>IFERROR(__xludf.DUMMYFUNCTION("""COMPUTED_VALUE"""),145359.0)</f>
        <v>145359</v>
      </c>
      <c r="F3795" s="21" t="str">
        <f>IFERROR(__xludf.DUMMYFUNCTION("""COMPUTED_VALUE"""),"COM DEFEITO")</f>
        <v>COM DEFEITO</v>
      </c>
      <c r="G3795" s="23">
        <f>IFERROR(__xludf.DUMMYFUNCTION("""COMPUTED_VALUE"""),45595.63983796297)</f>
        <v>45595.63984</v>
      </c>
      <c r="H3795" s="24" t="str">
        <f>IFERROR(VLOOKUP(B3795,material!A:D,3,0),"")</f>
        <v>DUAL</v>
      </c>
    </row>
    <row r="3796" ht="11.25" customHeight="1">
      <c r="A3796" s="21" t="str">
        <f>IFERROR(__xludf.DUMMYFUNCTION("""COMPUTED_VALUE"""),"ARRIS TG1692A")</f>
        <v>ARRIS TG1692A</v>
      </c>
      <c r="B3796" s="22">
        <f>IFERROR(__xludf.DUMMYFUNCTION("""COMPUTED_VALUE"""),4.1001293E7)</f>
        <v>41001293</v>
      </c>
      <c r="C3796" s="21" t="str">
        <f>IFERROR(__xludf.DUMMYFUNCTION("""COMPUTED_VALUE"""),"CC75E2BE4295")</f>
        <v>CC75E2BE4295</v>
      </c>
      <c r="D3796" s="21" t="str">
        <f>IFERROR(__xludf.DUMMYFUNCTION("""COMPUTED_VALUE"""),"DIGITEC TECNOLOGIA DIGITAL E REPRES")</f>
        <v>DIGITEC TECNOLOGIA DIGITAL E REPRES</v>
      </c>
      <c r="E3796" s="21">
        <f>IFERROR(__xludf.DUMMYFUNCTION("""COMPUTED_VALUE"""),145359.0)</f>
        <v>145359</v>
      </c>
      <c r="F3796" s="21" t="str">
        <f>IFERROR(__xludf.DUMMYFUNCTION("""COMPUTED_VALUE"""),"COM DEFEITO")</f>
        <v>COM DEFEITO</v>
      </c>
      <c r="G3796" s="23">
        <f>IFERROR(__xludf.DUMMYFUNCTION("""COMPUTED_VALUE"""),45617.71240740741)</f>
        <v>45617.71241</v>
      </c>
      <c r="H3796" s="24" t="str">
        <f>IFERROR(VLOOKUP(B3796,material!A:D,3,0),"")</f>
        <v>DUAL</v>
      </c>
    </row>
    <row r="3797" ht="11.25" customHeight="1">
      <c r="A3797" s="21" t="str">
        <f>IFERROR(__xludf.DUMMYFUNCTION("""COMPUTED_VALUE"""),"ARRIS TG1692A")</f>
        <v>ARRIS TG1692A</v>
      </c>
      <c r="B3797" s="22">
        <f>IFERROR(__xludf.DUMMYFUNCTION("""COMPUTED_VALUE"""),4.1001293E7)</f>
        <v>41001293</v>
      </c>
      <c r="C3797" s="21" t="str">
        <f>IFERROR(__xludf.DUMMYFUNCTION("""COMPUTED_VALUE"""),"4C126537F637")</f>
        <v>4C126537F637</v>
      </c>
      <c r="D3797" s="21" t="str">
        <f>IFERROR(__xludf.DUMMYFUNCTION("""COMPUTED_VALUE"""),"DIGITEC TECNOLOGIA DIGITAL E REPRES")</f>
        <v>DIGITEC TECNOLOGIA DIGITAL E REPRES</v>
      </c>
      <c r="E3797" s="21">
        <f>IFERROR(__xludf.DUMMYFUNCTION("""COMPUTED_VALUE"""),145359.0)</f>
        <v>145359</v>
      </c>
      <c r="F3797" s="21" t="str">
        <f>IFERROR(__xludf.DUMMYFUNCTION("""COMPUTED_VALUE"""),"COM DEFEITO")</f>
        <v>COM DEFEITO</v>
      </c>
      <c r="G3797" s="23">
        <f>IFERROR(__xludf.DUMMYFUNCTION("""COMPUTED_VALUE"""),45397.70769675926)</f>
        <v>45397.7077</v>
      </c>
      <c r="H3797" s="24" t="str">
        <f>IFERROR(VLOOKUP(B3797,material!A:D,3,0),"")</f>
        <v>DUAL</v>
      </c>
    </row>
    <row r="3798" ht="11.25" customHeight="1">
      <c r="A3798" s="21" t="str">
        <f>IFERROR(__xludf.DUMMYFUNCTION("""COMPUTED_VALUE"""),"ARRIS TG1692A")</f>
        <v>ARRIS TG1692A</v>
      </c>
      <c r="B3798" s="22">
        <f>IFERROR(__xludf.DUMMYFUNCTION("""COMPUTED_VALUE"""),4.1001293E7)</f>
        <v>41001293</v>
      </c>
      <c r="C3798" s="21" t="str">
        <f>IFERROR(__xludf.DUMMYFUNCTION("""COMPUTED_VALUE"""),"A8F5DDE317B2")</f>
        <v>A8F5DDE317B2</v>
      </c>
      <c r="D3798" s="21" t="str">
        <f>IFERROR(__xludf.DUMMYFUNCTION("""COMPUTED_VALUE"""),"DIGITEC TECNOLOGIA DIGITAL E REPRES")</f>
        <v>DIGITEC TECNOLOGIA DIGITAL E REPRES</v>
      </c>
      <c r="E3798" s="21">
        <f>IFERROR(__xludf.DUMMYFUNCTION("""COMPUTED_VALUE"""),145359.0)</f>
        <v>145359</v>
      </c>
      <c r="F3798" s="21" t="str">
        <f>IFERROR(__xludf.DUMMYFUNCTION("""COMPUTED_VALUE"""),"COM DEFEITO")</f>
        <v>COM DEFEITO</v>
      </c>
      <c r="G3798" s="23">
        <f>IFERROR(__xludf.DUMMYFUNCTION("""COMPUTED_VALUE"""),45397.70769675926)</f>
        <v>45397.7077</v>
      </c>
      <c r="H3798" s="24" t="str">
        <f>IFERROR(VLOOKUP(B3798,material!A:D,3,0),"")</f>
        <v>DUAL</v>
      </c>
    </row>
    <row r="3799" ht="11.25" customHeight="1">
      <c r="A3799" s="21" t="str">
        <f>IFERROR(__xludf.DUMMYFUNCTION("""COMPUTED_VALUE"""),"DECODER HD DCI738 2T")</f>
        <v>DECODER HD DCI738 2T</v>
      </c>
      <c r="B3799" s="22">
        <f>IFERROR(__xludf.DUMMYFUNCTION("""COMPUTED_VALUE"""),4.1001275E7)</f>
        <v>41001275</v>
      </c>
      <c r="C3799" s="21" t="str">
        <f>IFERROR(__xludf.DUMMYFUNCTION("""COMPUTED_VALUE"""),"216893726468")</f>
        <v>216893726468</v>
      </c>
      <c r="D3799" s="21" t="str">
        <f>IFERROR(__xludf.DUMMYFUNCTION("""COMPUTED_VALUE"""),"DIGITEC TECNOLOGIA DIGITAL E REPRES")</f>
        <v>DIGITEC TECNOLOGIA DIGITAL E REPRES</v>
      </c>
      <c r="E3799" s="21">
        <f>IFERROR(__xludf.DUMMYFUNCTION("""COMPUTED_VALUE"""),145359.0)</f>
        <v>145359</v>
      </c>
      <c r="F3799" s="21" t="str">
        <f>IFERROR(__xludf.DUMMYFUNCTION("""COMPUTED_VALUE"""),"COM DEFEITO")</f>
        <v>COM DEFEITO</v>
      </c>
      <c r="G3799" s="23">
        <f>IFERROR(__xludf.DUMMYFUNCTION("""COMPUTED_VALUE"""),45617.71240740741)</f>
        <v>45617.71241</v>
      </c>
      <c r="H3799" s="24" t="str">
        <f>IFERROR(VLOOKUP(B3799,material!A:D,3,0),"")</f>
        <v>TOP MIX</v>
      </c>
    </row>
    <row r="3800" ht="11.25" customHeight="1">
      <c r="A3800" s="21" t="str">
        <f>IFERROR(__xludf.DUMMYFUNCTION("""COMPUTED_VALUE"""),"TERMINAL EXTENSOR WIFI6 MESH H3621P")</f>
        <v>TERMINAL EXTENSOR WIFI6 MESH H3621P</v>
      </c>
      <c r="B3800" s="22">
        <f>IFERROR(__xludf.DUMMYFUNCTION("""COMPUTED_VALUE"""),4.1001593E7)</f>
        <v>41001593</v>
      </c>
      <c r="C3800" s="21" t="str">
        <f>IFERROR(__xludf.DUMMYFUNCTION("""COMPUTED_VALUE"""),"802D1A4FE96A")</f>
        <v>802D1A4FE96A</v>
      </c>
      <c r="D3800" s="21" t="str">
        <f>IFERROR(__xludf.DUMMYFUNCTION("""COMPUTED_VALUE"""),"DIGITEC TECNOLOGIA DIGITAL E REPRES")</f>
        <v>DIGITEC TECNOLOGIA DIGITAL E REPRES</v>
      </c>
      <c r="E3800" s="21">
        <f>IFERROR(__xludf.DUMMYFUNCTION("""COMPUTED_VALUE"""),145359.0)</f>
        <v>145359</v>
      </c>
      <c r="F3800" s="21" t="str">
        <f>IFERROR(__xludf.DUMMYFUNCTION("""COMPUTED_VALUE"""),"INICIALIZADO")</f>
        <v>INICIALIZADO</v>
      </c>
      <c r="G3800" s="23">
        <f>IFERROR(__xludf.DUMMYFUNCTION("""COMPUTED_VALUE"""),45635.53509259259)</f>
        <v>45635.53509</v>
      </c>
      <c r="H3800" s="24" t="str">
        <f>IFERROR(VLOOKUP(B3800,material!A:D,3,0),"")</f>
        <v>WIFI MESH</v>
      </c>
    </row>
    <row r="3801" ht="11.25" customHeight="1">
      <c r="A3801" s="21" t="str">
        <f>IFERROR(__xludf.DUMMYFUNCTION("""COMPUTED_VALUE"""),"TERMINAL EXTENSOR WIFI6 MESH H3621P")</f>
        <v>TERMINAL EXTENSOR WIFI6 MESH H3621P</v>
      </c>
      <c r="B3801" s="22">
        <f>IFERROR(__xludf.DUMMYFUNCTION("""COMPUTED_VALUE"""),4.1001593E7)</f>
        <v>41001593</v>
      </c>
      <c r="C3801" s="21" t="str">
        <f>IFERROR(__xludf.DUMMYFUNCTION("""COMPUTED_VALUE"""),"802D1A4FEED6")</f>
        <v>802D1A4FEED6</v>
      </c>
      <c r="D3801" s="21" t="str">
        <f>IFERROR(__xludf.DUMMYFUNCTION("""COMPUTED_VALUE"""),"DIGITEC TECNOLOGIA DIGITAL E REPRES")</f>
        <v>DIGITEC TECNOLOGIA DIGITAL E REPRES</v>
      </c>
      <c r="E3801" s="21">
        <f>IFERROR(__xludf.DUMMYFUNCTION("""COMPUTED_VALUE"""),145359.0)</f>
        <v>145359</v>
      </c>
      <c r="F3801" s="21" t="str">
        <f>IFERROR(__xludf.DUMMYFUNCTION("""COMPUTED_VALUE"""),"INICIALIZADO")</f>
        <v>INICIALIZADO</v>
      </c>
      <c r="G3801" s="23">
        <f>IFERROR(__xludf.DUMMYFUNCTION("""COMPUTED_VALUE"""),45635.53509259259)</f>
        <v>45635.53509</v>
      </c>
      <c r="H3801" s="24" t="str">
        <f>IFERROR(VLOOKUP(B3801,material!A:D,3,0),"")</f>
        <v>WIFI MESH</v>
      </c>
    </row>
    <row r="3802" ht="11.25" customHeight="1">
      <c r="A3802" s="21" t="str">
        <f>IFERROR(__xludf.DUMMYFUNCTION("""COMPUTED_VALUE"""),"TERMINAL EXTENSOR WIFI6 MESH H3621P")</f>
        <v>TERMINAL EXTENSOR WIFI6 MESH H3621P</v>
      </c>
      <c r="B3802" s="22">
        <f>IFERROR(__xludf.DUMMYFUNCTION("""COMPUTED_VALUE"""),4.1001593E7)</f>
        <v>41001593</v>
      </c>
      <c r="C3802" s="21" t="str">
        <f>IFERROR(__xludf.DUMMYFUNCTION("""COMPUTED_VALUE"""),"802D1A4FEDDA")</f>
        <v>802D1A4FEDDA</v>
      </c>
      <c r="D3802" s="21" t="str">
        <f>IFERROR(__xludf.DUMMYFUNCTION("""COMPUTED_VALUE"""),"DIGITEC TECNOLOGIA DIGITAL E REPRES")</f>
        <v>DIGITEC TECNOLOGIA DIGITAL E REPRES</v>
      </c>
      <c r="E3802" s="21">
        <f>IFERROR(__xludf.DUMMYFUNCTION("""COMPUTED_VALUE"""),145359.0)</f>
        <v>145359</v>
      </c>
      <c r="F3802" s="21" t="str">
        <f>IFERROR(__xludf.DUMMYFUNCTION("""COMPUTED_VALUE"""),"INICIALIZADO")</f>
        <v>INICIALIZADO</v>
      </c>
      <c r="G3802" s="23">
        <f>IFERROR(__xludf.DUMMYFUNCTION("""COMPUTED_VALUE"""),45635.53509259259)</f>
        <v>45635.53509</v>
      </c>
      <c r="H3802" s="24" t="str">
        <f>IFERROR(VLOOKUP(B3802,material!A:D,3,0),"")</f>
        <v>WIFI MESH</v>
      </c>
    </row>
    <row r="3803" ht="11.25" customHeight="1">
      <c r="A3803" s="21" t="str">
        <f>IFERROR(__xludf.DUMMYFUNCTION("""COMPUTED_VALUE"""),"TERMINAL EXTENSOR WIFI6 MESH H3621P")</f>
        <v>TERMINAL EXTENSOR WIFI6 MESH H3621P</v>
      </c>
      <c r="B3803" s="22">
        <f>IFERROR(__xludf.DUMMYFUNCTION("""COMPUTED_VALUE"""),4.1001593E7)</f>
        <v>41001593</v>
      </c>
      <c r="C3803" s="21" t="str">
        <f>IFERROR(__xludf.DUMMYFUNCTION("""COMPUTED_VALUE"""),"802D1A4FF086")</f>
        <v>802D1A4FF086</v>
      </c>
      <c r="D3803" s="21" t="str">
        <f>IFERROR(__xludf.DUMMYFUNCTION("""COMPUTED_VALUE"""),"DIGITEC TECNOLOGIA DIGITAL E REPRES")</f>
        <v>DIGITEC TECNOLOGIA DIGITAL E REPRES</v>
      </c>
      <c r="E3803" s="21">
        <f>IFERROR(__xludf.DUMMYFUNCTION("""COMPUTED_VALUE"""),145359.0)</f>
        <v>145359</v>
      </c>
      <c r="F3803" s="21" t="str">
        <f>IFERROR(__xludf.DUMMYFUNCTION("""COMPUTED_VALUE"""),"INICIALIZADO")</f>
        <v>INICIALIZADO</v>
      </c>
      <c r="G3803" s="23">
        <f>IFERROR(__xludf.DUMMYFUNCTION("""COMPUTED_VALUE"""),45635.53509259259)</f>
        <v>45635.53509</v>
      </c>
      <c r="H3803" s="24" t="str">
        <f>IFERROR(VLOOKUP(B3803,material!A:D,3,0),"")</f>
        <v>WIFI MESH</v>
      </c>
    </row>
    <row r="3804" ht="11.25" customHeight="1">
      <c r="A3804" s="21" t="str">
        <f>IFERROR(__xludf.DUMMYFUNCTION("""COMPUTED_VALUE"""),"TERMINAL EXTENSOR WIFI6 MESH H3621P")</f>
        <v>TERMINAL EXTENSOR WIFI6 MESH H3621P</v>
      </c>
      <c r="B3804" s="22">
        <f>IFERROR(__xludf.DUMMYFUNCTION("""COMPUTED_VALUE"""),4.1001593E7)</f>
        <v>41001593</v>
      </c>
      <c r="C3804" s="21" t="str">
        <f>IFERROR(__xludf.DUMMYFUNCTION("""COMPUTED_VALUE"""),"802D1A4FF06E")</f>
        <v>802D1A4FF06E</v>
      </c>
      <c r="D3804" s="21" t="str">
        <f>IFERROR(__xludf.DUMMYFUNCTION("""COMPUTED_VALUE"""),"DIGITEC TECNOLOGIA DIGITAL E REPRES")</f>
        <v>DIGITEC TECNOLOGIA DIGITAL E REPRES</v>
      </c>
      <c r="E3804" s="21">
        <f>IFERROR(__xludf.DUMMYFUNCTION("""COMPUTED_VALUE"""),145359.0)</f>
        <v>145359</v>
      </c>
      <c r="F3804" s="21" t="str">
        <f>IFERROR(__xludf.DUMMYFUNCTION("""COMPUTED_VALUE"""),"INICIALIZADO")</f>
        <v>INICIALIZADO</v>
      </c>
      <c r="G3804" s="23">
        <f>IFERROR(__xludf.DUMMYFUNCTION("""COMPUTED_VALUE"""),45635.53509259259)</f>
        <v>45635.53509</v>
      </c>
      <c r="H3804" s="24" t="str">
        <f>IFERROR(VLOOKUP(B3804,material!A:D,3,0),"")</f>
        <v>WIFI MESH</v>
      </c>
    </row>
    <row r="3805" ht="11.25" customHeight="1">
      <c r="A3805" s="21" t="str">
        <f>IFERROR(__xludf.DUMMYFUNCTION("""COMPUTED_VALUE"""),"TERMINAL EXTENSOR WIFI6 MESH H3621P")</f>
        <v>TERMINAL EXTENSOR WIFI6 MESH H3621P</v>
      </c>
      <c r="B3805" s="22">
        <f>IFERROR(__xludf.DUMMYFUNCTION("""COMPUTED_VALUE"""),4.1001593E7)</f>
        <v>41001593</v>
      </c>
      <c r="C3805" s="21" t="str">
        <f>IFERROR(__xludf.DUMMYFUNCTION("""COMPUTED_VALUE"""),"802D1A4FF0DA")</f>
        <v>802D1A4FF0DA</v>
      </c>
      <c r="D3805" s="21" t="str">
        <f>IFERROR(__xludf.DUMMYFUNCTION("""COMPUTED_VALUE"""),"DIGITEC TECNOLOGIA DIGITAL E REPRES")</f>
        <v>DIGITEC TECNOLOGIA DIGITAL E REPRES</v>
      </c>
      <c r="E3805" s="21">
        <f>IFERROR(__xludf.DUMMYFUNCTION("""COMPUTED_VALUE"""),145359.0)</f>
        <v>145359</v>
      </c>
      <c r="F3805" s="21" t="str">
        <f>IFERROR(__xludf.DUMMYFUNCTION("""COMPUTED_VALUE"""),"INICIALIZADO")</f>
        <v>INICIALIZADO</v>
      </c>
      <c r="G3805" s="23">
        <f>IFERROR(__xludf.DUMMYFUNCTION("""COMPUTED_VALUE"""),45635.53509259259)</f>
        <v>45635.53509</v>
      </c>
      <c r="H3805" s="24" t="str">
        <f>IFERROR(VLOOKUP(B3805,material!A:D,3,0),"")</f>
        <v>WIFI MESH</v>
      </c>
    </row>
    <row r="3806" ht="11.25" customHeight="1">
      <c r="A3806" s="21" t="str">
        <f>IFERROR(__xludf.DUMMYFUNCTION("""COMPUTED_VALUE"""),"TERMINAL EXTENSOR WIFI6 MESH H3621P")</f>
        <v>TERMINAL EXTENSOR WIFI6 MESH H3621P</v>
      </c>
      <c r="B3806" s="22">
        <f>IFERROR(__xludf.DUMMYFUNCTION("""COMPUTED_VALUE"""),4.1001593E7)</f>
        <v>41001593</v>
      </c>
      <c r="C3806" s="21" t="str">
        <f>IFERROR(__xludf.DUMMYFUNCTION("""COMPUTED_VALUE"""),"802D1A4FF0CA")</f>
        <v>802D1A4FF0CA</v>
      </c>
      <c r="D3806" s="21" t="str">
        <f>IFERROR(__xludf.DUMMYFUNCTION("""COMPUTED_VALUE"""),"DIGITEC TECNOLOGIA DIGITAL E REPRES")</f>
        <v>DIGITEC TECNOLOGIA DIGITAL E REPRES</v>
      </c>
      <c r="E3806" s="21">
        <f>IFERROR(__xludf.DUMMYFUNCTION("""COMPUTED_VALUE"""),145359.0)</f>
        <v>145359</v>
      </c>
      <c r="F3806" s="21" t="str">
        <f>IFERROR(__xludf.DUMMYFUNCTION("""COMPUTED_VALUE"""),"INICIALIZADO")</f>
        <v>INICIALIZADO</v>
      </c>
      <c r="G3806" s="23">
        <f>IFERROR(__xludf.DUMMYFUNCTION("""COMPUTED_VALUE"""),45635.53509259259)</f>
        <v>45635.53509</v>
      </c>
      <c r="H3806" s="24" t="str">
        <f>IFERROR(VLOOKUP(B3806,material!A:D,3,0),"")</f>
        <v>WIFI MESH</v>
      </c>
    </row>
    <row r="3807" ht="11.25" customHeight="1">
      <c r="A3807" s="21" t="str">
        <f>IFERROR(__xludf.DUMMYFUNCTION("""COMPUTED_VALUE"""),"TERMINAL EXTENSOR WIFI6 MESH H3621P")</f>
        <v>TERMINAL EXTENSOR WIFI6 MESH H3621P</v>
      </c>
      <c r="B3807" s="22">
        <f>IFERROR(__xludf.DUMMYFUNCTION("""COMPUTED_VALUE"""),4.1001593E7)</f>
        <v>41001593</v>
      </c>
      <c r="C3807" s="21" t="str">
        <f>IFERROR(__xludf.DUMMYFUNCTION("""COMPUTED_VALUE"""),"802D1A4FF02E")</f>
        <v>802D1A4FF02E</v>
      </c>
      <c r="D3807" s="21" t="str">
        <f>IFERROR(__xludf.DUMMYFUNCTION("""COMPUTED_VALUE"""),"DIGITEC TECNOLOGIA DIGITAL E REPRES")</f>
        <v>DIGITEC TECNOLOGIA DIGITAL E REPRES</v>
      </c>
      <c r="E3807" s="21">
        <f>IFERROR(__xludf.DUMMYFUNCTION("""COMPUTED_VALUE"""),145359.0)</f>
        <v>145359</v>
      </c>
      <c r="F3807" s="21" t="str">
        <f>IFERROR(__xludf.DUMMYFUNCTION("""COMPUTED_VALUE"""),"INICIALIZADO")</f>
        <v>INICIALIZADO</v>
      </c>
      <c r="G3807" s="23">
        <f>IFERROR(__xludf.DUMMYFUNCTION("""COMPUTED_VALUE"""),45635.53508101852)</f>
        <v>45635.53508</v>
      </c>
      <c r="H3807" s="24" t="str">
        <f>IFERROR(VLOOKUP(B3807,material!A:D,3,0),"")</f>
        <v>WIFI MESH</v>
      </c>
    </row>
    <row r="3808" ht="11.25" customHeight="1">
      <c r="A3808" s="21" t="str">
        <f>IFERROR(__xludf.DUMMYFUNCTION("""COMPUTED_VALUE"""),"TERMINAL EXTENSOR WIFI6 MESH H3621P")</f>
        <v>TERMINAL EXTENSOR WIFI6 MESH H3621P</v>
      </c>
      <c r="B3808" s="22">
        <f>IFERROR(__xludf.DUMMYFUNCTION("""COMPUTED_VALUE"""),4.1001593E7)</f>
        <v>41001593</v>
      </c>
      <c r="C3808" s="21" t="str">
        <f>IFERROR(__xludf.DUMMYFUNCTION("""COMPUTED_VALUE"""),"802D1A4FE38A")</f>
        <v>802D1A4FE38A</v>
      </c>
      <c r="D3808" s="21" t="str">
        <f>IFERROR(__xludf.DUMMYFUNCTION("""COMPUTED_VALUE"""),"DIGITEC TECNOLOGIA DIGITAL E REPRES")</f>
        <v>DIGITEC TECNOLOGIA DIGITAL E REPRES</v>
      </c>
      <c r="E3808" s="21">
        <f>IFERROR(__xludf.DUMMYFUNCTION("""COMPUTED_VALUE"""),145359.0)</f>
        <v>145359</v>
      </c>
      <c r="F3808" s="21" t="str">
        <f>IFERROR(__xludf.DUMMYFUNCTION("""COMPUTED_VALUE"""),"INICIALIZADO")</f>
        <v>INICIALIZADO</v>
      </c>
      <c r="G3808" s="23">
        <f>IFERROR(__xludf.DUMMYFUNCTION("""COMPUTED_VALUE"""),45635.53509259259)</f>
        <v>45635.53509</v>
      </c>
      <c r="H3808" s="24" t="str">
        <f>IFERROR(VLOOKUP(B3808,material!A:D,3,0),"")</f>
        <v>WIFI MESH</v>
      </c>
    </row>
    <row r="3809" ht="11.25" customHeight="1">
      <c r="A3809" s="21" t="str">
        <f>IFERROR(__xludf.DUMMYFUNCTION("""COMPUTED_VALUE"""),"TERMINAL EXTENSOR WIFI6 MESH H3621P")</f>
        <v>TERMINAL EXTENSOR WIFI6 MESH H3621P</v>
      </c>
      <c r="B3809" s="22">
        <f>IFERROR(__xludf.DUMMYFUNCTION("""COMPUTED_VALUE"""),4.1001593E7)</f>
        <v>41001593</v>
      </c>
      <c r="C3809" s="21" t="str">
        <f>IFERROR(__xludf.DUMMYFUNCTION("""COMPUTED_VALUE"""),"802D1A4FF1E6")</f>
        <v>802D1A4FF1E6</v>
      </c>
      <c r="D3809" s="21" t="str">
        <f>IFERROR(__xludf.DUMMYFUNCTION("""COMPUTED_VALUE"""),"DIGITEC TECNOLOGIA DIGITAL E REPRES")</f>
        <v>DIGITEC TECNOLOGIA DIGITAL E REPRES</v>
      </c>
      <c r="E3809" s="21">
        <f>IFERROR(__xludf.DUMMYFUNCTION("""COMPUTED_VALUE"""),145359.0)</f>
        <v>145359</v>
      </c>
      <c r="F3809" s="21" t="str">
        <f>IFERROR(__xludf.DUMMYFUNCTION("""COMPUTED_VALUE"""),"INICIALIZADO")</f>
        <v>INICIALIZADO</v>
      </c>
      <c r="G3809" s="23">
        <f>IFERROR(__xludf.DUMMYFUNCTION("""COMPUTED_VALUE"""),45635.53509259259)</f>
        <v>45635.53509</v>
      </c>
      <c r="H3809" s="24" t="str">
        <f>IFERROR(VLOOKUP(B3809,material!A:D,3,0),"")</f>
        <v>WIFI MESH</v>
      </c>
    </row>
    <row r="3810" ht="11.25" customHeight="1">
      <c r="A3810" s="21" t="str">
        <f>IFERROR(__xludf.DUMMYFUNCTION("""COMPUTED_VALUE"""),"TERMINAL EXTENSOR WIFI6 MESH H3621P")</f>
        <v>TERMINAL EXTENSOR WIFI6 MESH H3621P</v>
      </c>
      <c r="B3810" s="22">
        <f>IFERROR(__xludf.DUMMYFUNCTION("""COMPUTED_VALUE"""),4.1001593E7)</f>
        <v>41001593</v>
      </c>
      <c r="C3810" s="21" t="str">
        <f>IFERROR(__xludf.DUMMYFUNCTION("""COMPUTED_VALUE"""),"802D1A4FEBCE")</f>
        <v>802D1A4FEBCE</v>
      </c>
      <c r="D3810" s="21" t="str">
        <f>IFERROR(__xludf.DUMMYFUNCTION("""COMPUTED_VALUE"""),"DIGITEC TECNOLOGIA DIGITAL E REPRES")</f>
        <v>DIGITEC TECNOLOGIA DIGITAL E REPRES</v>
      </c>
      <c r="E3810" s="21">
        <f>IFERROR(__xludf.DUMMYFUNCTION("""COMPUTED_VALUE"""),145359.0)</f>
        <v>145359</v>
      </c>
      <c r="F3810" s="21" t="str">
        <f>IFERROR(__xludf.DUMMYFUNCTION("""COMPUTED_VALUE"""),"INICIALIZADO")</f>
        <v>INICIALIZADO</v>
      </c>
      <c r="G3810" s="23">
        <f>IFERROR(__xludf.DUMMYFUNCTION("""COMPUTED_VALUE"""),45635.53509259259)</f>
        <v>45635.53509</v>
      </c>
      <c r="H3810" s="24" t="str">
        <f>IFERROR(VLOOKUP(B3810,material!A:D,3,0),"")</f>
        <v>WIFI MESH</v>
      </c>
    </row>
    <row r="3811" ht="11.25" customHeight="1">
      <c r="A3811" s="21" t="str">
        <f>IFERROR(__xludf.DUMMYFUNCTION("""COMPUTED_VALUE"""),"TERMINAL EXTENSOR WIFI6 MESH H3621P")</f>
        <v>TERMINAL EXTENSOR WIFI6 MESH H3621P</v>
      </c>
      <c r="B3811" s="22">
        <f>IFERROR(__xludf.DUMMYFUNCTION("""COMPUTED_VALUE"""),4.1001593E7)</f>
        <v>41001593</v>
      </c>
      <c r="C3811" s="21" t="str">
        <f>IFERROR(__xludf.DUMMYFUNCTION("""COMPUTED_VALUE"""),"802D1A4FF0DE")</f>
        <v>802D1A4FF0DE</v>
      </c>
      <c r="D3811" s="21" t="str">
        <f>IFERROR(__xludf.DUMMYFUNCTION("""COMPUTED_VALUE"""),"DIGITEC TECNOLOGIA DIGITAL E REPRES")</f>
        <v>DIGITEC TECNOLOGIA DIGITAL E REPRES</v>
      </c>
      <c r="E3811" s="21">
        <f>IFERROR(__xludf.DUMMYFUNCTION("""COMPUTED_VALUE"""),145359.0)</f>
        <v>145359</v>
      </c>
      <c r="F3811" s="21" t="str">
        <f>IFERROR(__xludf.DUMMYFUNCTION("""COMPUTED_VALUE"""),"INICIALIZADO")</f>
        <v>INICIALIZADO</v>
      </c>
      <c r="G3811" s="23">
        <f>IFERROR(__xludf.DUMMYFUNCTION("""COMPUTED_VALUE"""),45635.53509259259)</f>
        <v>45635.53509</v>
      </c>
      <c r="H3811" s="24" t="str">
        <f>IFERROR(VLOOKUP(B3811,material!A:D,3,0),"")</f>
        <v>WIFI MESH</v>
      </c>
    </row>
    <row r="3812" ht="11.25" customHeight="1">
      <c r="A3812" s="21" t="str">
        <f>IFERROR(__xludf.DUMMYFUNCTION("""COMPUTED_VALUE"""),"TERMINAL EXTENSOR WIFI6 MESH H3621P")</f>
        <v>TERMINAL EXTENSOR WIFI6 MESH H3621P</v>
      </c>
      <c r="B3812" s="22">
        <f>IFERROR(__xludf.DUMMYFUNCTION("""COMPUTED_VALUE"""),4.1001593E7)</f>
        <v>41001593</v>
      </c>
      <c r="C3812" s="21" t="str">
        <f>IFERROR(__xludf.DUMMYFUNCTION("""COMPUTED_VALUE"""),"802D1A4FEF9E")</f>
        <v>802D1A4FEF9E</v>
      </c>
      <c r="D3812" s="21" t="str">
        <f>IFERROR(__xludf.DUMMYFUNCTION("""COMPUTED_VALUE"""),"DIGITEC TECNOLOGIA DIGITAL E REPRES")</f>
        <v>DIGITEC TECNOLOGIA DIGITAL E REPRES</v>
      </c>
      <c r="E3812" s="21">
        <f>IFERROR(__xludf.DUMMYFUNCTION("""COMPUTED_VALUE"""),145359.0)</f>
        <v>145359</v>
      </c>
      <c r="F3812" s="21" t="str">
        <f>IFERROR(__xludf.DUMMYFUNCTION("""COMPUTED_VALUE"""),"INICIALIZADO")</f>
        <v>INICIALIZADO</v>
      </c>
      <c r="G3812" s="23">
        <f>IFERROR(__xludf.DUMMYFUNCTION("""COMPUTED_VALUE"""),45635.53509259259)</f>
        <v>45635.53509</v>
      </c>
      <c r="H3812" s="24" t="str">
        <f>IFERROR(VLOOKUP(B3812,material!A:D,3,0),"")</f>
        <v>WIFI MESH</v>
      </c>
    </row>
    <row r="3813" ht="11.25" customHeight="1">
      <c r="A3813" s="21" t="str">
        <f>IFERROR(__xludf.DUMMYFUNCTION("""COMPUTED_VALUE"""),"TERMINAL EXTENSOR WIFI6 MESH H3621P")</f>
        <v>TERMINAL EXTENSOR WIFI6 MESH H3621P</v>
      </c>
      <c r="B3813" s="22">
        <f>IFERROR(__xludf.DUMMYFUNCTION("""COMPUTED_VALUE"""),4.1001593E7)</f>
        <v>41001593</v>
      </c>
      <c r="C3813" s="21" t="str">
        <f>IFERROR(__xludf.DUMMYFUNCTION("""COMPUTED_VALUE"""),"802D1A4FF032")</f>
        <v>802D1A4FF032</v>
      </c>
      <c r="D3813" s="21" t="str">
        <f>IFERROR(__xludf.DUMMYFUNCTION("""COMPUTED_VALUE"""),"DIGITEC TECNOLOGIA DIGITAL E REPRES")</f>
        <v>DIGITEC TECNOLOGIA DIGITAL E REPRES</v>
      </c>
      <c r="E3813" s="21">
        <f>IFERROR(__xludf.DUMMYFUNCTION("""COMPUTED_VALUE"""),145359.0)</f>
        <v>145359</v>
      </c>
      <c r="F3813" s="21" t="str">
        <f>IFERROR(__xludf.DUMMYFUNCTION("""COMPUTED_VALUE"""),"INICIALIZADO")</f>
        <v>INICIALIZADO</v>
      </c>
      <c r="G3813" s="23">
        <f>IFERROR(__xludf.DUMMYFUNCTION("""COMPUTED_VALUE"""),45635.53508101852)</f>
        <v>45635.53508</v>
      </c>
      <c r="H3813" s="24" t="str">
        <f>IFERROR(VLOOKUP(B3813,material!A:D,3,0),"")</f>
        <v>WIFI MESH</v>
      </c>
    </row>
    <row r="3814" ht="11.25" customHeight="1">
      <c r="A3814" s="21" t="str">
        <f>IFERROR(__xludf.DUMMYFUNCTION("""COMPUTED_VALUE"""),"TERMINAL EXTENSOR WIFI6 MESH H3621P")</f>
        <v>TERMINAL EXTENSOR WIFI6 MESH H3621P</v>
      </c>
      <c r="B3814" s="22">
        <f>IFERROR(__xludf.DUMMYFUNCTION("""COMPUTED_VALUE"""),4.1001593E7)</f>
        <v>41001593</v>
      </c>
      <c r="C3814" s="21" t="str">
        <f>IFERROR(__xludf.DUMMYFUNCTION("""COMPUTED_VALUE"""),"802D1A4FEFEE")</f>
        <v>802D1A4FEFEE</v>
      </c>
      <c r="D3814" s="21" t="str">
        <f>IFERROR(__xludf.DUMMYFUNCTION("""COMPUTED_VALUE"""),"DIGITEC TECNOLOGIA DIGITAL E REPRES")</f>
        <v>DIGITEC TECNOLOGIA DIGITAL E REPRES</v>
      </c>
      <c r="E3814" s="21">
        <f>IFERROR(__xludf.DUMMYFUNCTION("""COMPUTED_VALUE"""),145359.0)</f>
        <v>145359</v>
      </c>
      <c r="F3814" s="21" t="str">
        <f>IFERROR(__xludf.DUMMYFUNCTION("""COMPUTED_VALUE"""),"INICIALIZADO")</f>
        <v>INICIALIZADO</v>
      </c>
      <c r="G3814" s="23">
        <f>IFERROR(__xludf.DUMMYFUNCTION("""COMPUTED_VALUE"""),45635.53509259259)</f>
        <v>45635.53509</v>
      </c>
      <c r="H3814" s="24" t="str">
        <f>IFERROR(VLOOKUP(B3814,material!A:D,3,0),"")</f>
        <v>WIFI MESH</v>
      </c>
    </row>
    <row r="3815" ht="11.25" customHeight="1">
      <c r="A3815" s="21" t="str">
        <f>IFERROR(__xludf.DUMMYFUNCTION("""COMPUTED_VALUE"""),"TERMINAL EXTENSOR WIFI6 MESH H3621P")</f>
        <v>TERMINAL EXTENSOR WIFI6 MESH H3621P</v>
      </c>
      <c r="B3815" s="22">
        <f>IFERROR(__xludf.DUMMYFUNCTION("""COMPUTED_VALUE"""),4.1001593E7)</f>
        <v>41001593</v>
      </c>
      <c r="C3815" s="21" t="str">
        <f>IFERROR(__xludf.DUMMYFUNCTION("""COMPUTED_VALUE"""),"802D1A4FCEAE")</f>
        <v>802D1A4FCEAE</v>
      </c>
      <c r="D3815" s="21" t="str">
        <f>IFERROR(__xludf.DUMMYFUNCTION("""COMPUTED_VALUE"""),"DIGITEC TECNOLOGIA DIGITAL E REPRES")</f>
        <v>DIGITEC TECNOLOGIA DIGITAL E REPRES</v>
      </c>
      <c r="E3815" s="21">
        <f>IFERROR(__xludf.DUMMYFUNCTION("""COMPUTED_VALUE"""),145359.0)</f>
        <v>145359</v>
      </c>
      <c r="F3815" s="21" t="str">
        <f>IFERROR(__xludf.DUMMYFUNCTION("""COMPUTED_VALUE"""),"INICIALIZADO")</f>
        <v>INICIALIZADO</v>
      </c>
      <c r="G3815" s="23">
        <f>IFERROR(__xludf.DUMMYFUNCTION("""COMPUTED_VALUE"""),45615.61859953703)</f>
        <v>45615.6186</v>
      </c>
      <c r="H3815" s="24" t="str">
        <f>IFERROR(VLOOKUP(B3815,material!A:D,3,0),"")</f>
        <v>WIFI MESH</v>
      </c>
    </row>
    <row r="3816" ht="11.25" customHeight="1">
      <c r="A3816" s="21" t="str">
        <f>IFERROR(__xludf.DUMMYFUNCTION("""COMPUTED_VALUE"""),"TERMINAL EXTENSOR WIFI6 MESH H3621P")</f>
        <v>TERMINAL EXTENSOR WIFI6 MESH H3621P</v>
      </c>
      <c r="B3816" s="22">
        <f>IFERROR(__xludf.DUMMYFUNCTION("""COMPUTED_VALUE"""),4.1001593E7)</f>
        <v>41001593</v>
      </c>
      <c r="C3816" s="21" t="str">
        <f>IFERROR(__xludf.DUMMYFUNCTION("""COMPUTED_VALUE"""),"802D1A4FCEB6")</f>
        <v>802D1A4FCEB6</v>
      </c>
      <c r="D3816" s="21" t="str">
        <f>IFERROR(__xludf.DUMMYFUNCTION("""COMPUTED_VALUE"""),"DIGITEC TECNOLOGIA DIGITAL E REPRES")</f>
        <v>DIGITEC TECNOLOGIA DIGITAL E REPRES</v>
      </c>
      <c r="E3816" s="21">
        <f>IFERROR(__xludf.DUMMYFUNCTION("""COMPUTED_VALUE"""),145359.0)</f>
        <v>145359</v>
      </c>
      <c r="F3816" s="21" t="str">
        <f>IFERROR(__xludf.DUMMYFUNCTION("""COMPUTED_VALUE"""),"INICIALIZADO")</f>
        <v>INICIALIZADO</v>
      </c>
      <c r="G3816" s="23">
        <f>IFERROR(__xludf.DUMMYFUNCTION("""COMPUTED_VALUE"""),45615.61858796296)</f>
        <v>45615.61859</v>
      </c>
      <c r="H3816" s="24" t="str">
        <f>IFERROR(VLOOKUP(B3816,material!A:D,3,0),"")</f>
        <v>WIFI MESH</v>
      </c>
    </row>
    <row r="3817" ht="11.25" customHeight="1">
      <c r="A3817" s="21" t="str">
        <f>IFERROR(__xludf.DUMMYFUNCTION("""COMPUTED_VALUE"""),"TERMINAL EXTENSOR WIFI6 MESH H3621P")</f>
        <v>TERMINAL EXTENSOR WIFI6 MESH H3621P</v>
      </c>
      <c r="B3817" s="22">
        <f>IFERROR(__xludf.DUMMYFUNCTION("""COMPUTED_VALUE"""),4.1001593E7)</f>
        <v>41001593</v>
      </c>
      <c r="C3817" s="21" t="str">
        <f>IFERROR(__xludf.DUMMYFUNCTION("""COMPUTED_VALUE"""),"802D1A4FCF3E")</f>
        <v>802D1A4FCF3E</v>
      </c>
      <c r="D3817" s="21" t="str">
        <f>IFERROR(__xludf.DUMMYFUNCTION("""COMPUTED_VALUE"""),"DIGITEC TECNOLOGIA DIGITAL E REPRES")</f>
        <v>DIGITEC TECNOLOGIA DIGITAL E REPRES</v>
      </c>
      <c r="E3817" s="21">
        <f>IFERROR(__xludf.DUMMYFUNCTION("""COMPUTED_VALUE"""),145359.0)</f>
        <v>145359</v>
      </c>
      <c r="F3817" s="21" t="str">
        <f>IFERROR(__xludf.DUMMYFUNCTION("""COMPUTED_VALUE"""),"INICIALIZADO")</f>
        <v>INICIALIZADO</v>
      </c>
      <c r="G3817" s="23">
        <f>IFERROR(__xludf.DUMMYFUNCTION("""COMPUTED_VALUE"""),45615.61858796296)</f>
        <v>45615.61859</v>
      </c>
      <c r="H3817" s="24" t="str">
        <f>IFERROR(VLOOKUP(B3817,material!A:D,3,0),"")</f>
        <v>WIFI MESH</v>
      </c>
    </row>
    <row r="3818" ht="11.25" customHeight="1">
      <c r="A3818" s="21" t="str">
        <f>IFERROR(__xludf.DUMMYFUNCTION("""COMPUTED_VALUE"""),"TERMINAL EXTENSOR WIFI6 MESH H3621P")</f>
        <v>TERMINAL EXTENSOR WIFI6 MESH H3621P</v>
      </c>
      <c r="B3818" s="22">
        <f>IFERROR(__xludf.DUMMYFUNCTION("""COMPUTED_VALUE"""),4.1001593E7)</f>
        <v>41001593</v>
      </c>
      <c r="C3818" s="21" t="str">
        <f>IFERROR(__xludf.DUMMYFUNCTION("""COMPUTED_VALUE"""),"802D1A4FCF4A")</f>
        <v>802D1A4FCF4A</v>
      </c>
      <c r="D3818" s="21" t="str">
        <f>IFERROR(__xludf.DUMMYFUNCTION("""COMPUTED_VALUE"""),"DIGITEC TECNOLOGIA DIGITAL E REPRES")</f>
        <v>DIGITEC TECNOLOGIA DIGITAL E REPRES</v>
      </c>
      <c r="E3818" s="21">
        <f>IFERROR(__xludf.DUMMYFUNCTION("""COMPUTED_VALUE"""),145359.0)</f>
        <v>145359</v>
      </c>
      <c r="F3818" s="21" t="str">
        <f>IFERROR(__xludf.DUMMYFUNCTION("""COMPUTED_VALUE"""),"INICIALIZADO")</f>
        <v>INICIALIZADO</v>
      </c>
      <c r="G3818" s="23">
        <f>IFERROR(__xludf.DUMMYFUNCTION("""COMPUTED_VALUE"""),45615.61858796296)</f>
        <v>45615.61859</v>
      </c>
      <c r="H3818" s="24" t="str">
        <f>IFERROR(VLOOKUP(B3818,material!A:D,3,0),"")</f>
        <v>WIFI MESH</v>
      </c>
    </row>
    <row r="3819" ht="11.25" customHeight="1">
      <c r="A3819" s="21" t="str">
        <f>IFERROR(__xludf.DUMMYFUNCTION("""COMPUTED_VALUE"""),"TERMINAL EXTENSOR WIFI6 MESH H3621P")</f>
        <v>TERMINAL EXTENSOR WIFI6 MESH H3621P</v>
      </c>
      <c r="B3819" s="22">
        <f>IFERROR(__xludf.DUMMYFUNCTION("""COMPUTED_VALUE"""),4.1001593E7)</f>
        <v>41001593</v>
      </c>
      <c r="C3819" s="21" t="str">
        <f>IFERROR(__xludf.DUMMYFUNCTION("""COMPUTED_VALUE"""),"802D1A4FC826")</f>
        <v>802D1A4FC826</v>
      </c>
      <c r="D3819" s="21" t="str">
        <f>IFERROR(__xludf.DUMMYFUNCTION("""COMPUTED_VALUE"""),"DIGITEC TECNOLOGIA DIGITAL E REPRES")</f>
        <v>DIGITEC TECNOLOGIA DIGITAL E REPRES</v>
      </c>
      <c r="E3819" s="21">
        <f>IFERROR(__xludf.DUMMYFUNCTION("""COMPUTED_VALUE"""),145359.0)</f>
        <v>145359</v>
      </c>
      <c r="F3819" s="21" t="str">
        <f>IFERROR(__xludf.DUMMYFUNCTION("""COMPUTED_VALUE"""),"INICIALIZADO")</f>
        <v>INICIALIZADO</v>
      </c>
      <c r="G3819" s="23">
        <f>IFERROR(__xludf.DUMMYFUNCTION("""COMPUTED_VALUE"""),45615.61858796296)</f>
        <v>45615.61859</v>
      </c>
      <c r="H3819" s="24" t="str">
        <f>IFERROR(VLOOKUP(B3819,material!A:D,3,0),"")</f>
        <v>WIFI MESH</v>
      </c>
    </row>
    <row r="3820" ht="11.25" customHeight="1">
      <c r="A3820" s="21" t="str">
        <f>IFERROR(__xludf.DUMMYFUNCTION("""COMPUTED_VALUE"""),"TERMINAL EXTENSOR WIFI6 MESH H3621P")</f>
        <v>TERMINAL EXTENSOR WIFI6 MESH H3621P</v>
      </c>
      <c r="B3820" s="22">
        <f>IFERROR(__xludf.DUMMYFUNCTION("""COMPUTED_VALUE"""),4.1001593E7)</f>
        <v>41001593</v>
      </c>
      <c r="C3820" s="21" t="str">
        <f>IFERROR(__xludf.DUMMYFUNCTION("""COMPUTED_VALUE"""),"301F4855E0C0")</f>
        <v>301F4855E0C0</v>
      </c>
      <c r="D3820" s="21" t="str">
        <f>IFERROR(__xludf.DUMMYFUNCTION("""COMPUTED_VALUE"""),"DIGITEC TECNOLOGIA DIGITAL E REPRES")</f>
        <v>DIGITEC TECNOLOGIA DIGITAL E REPRES</v>
      </c>
      <c r="E3820" s="21">
        <f>IFERROR(__xludf.DUMMYFUNCTION("""COMPUTED_VALUE"""),145359.0)</f>
        <v>145359</v>
      </c>
      <c r="F3820" s="21" t="str">
        <f>IFERROR(__xludf.DUMMYFUNCTION("""COMPUTED_VALUE"""),"INICIALIZADO")</f>
        <v>INICIALIZADO</v>
      </c>
      <c r="G3820" s="23">
        <f>IFERROR(__xludf.DUMMYFUNCTION("""COMPUTED_VALUE"""),45635.53508101852)</f>
        <v>45635.53508</v>
      </c>
      <c r="H3820" s="24" t="str">
        <f>IFERROR(VLOOKUP(B3820,material!A:D,3,0),"")</f>
        <v>WIFI MESH</v>
      </c>
    </row>
    <row r="3821" ht="11.25" customHeight="1">
      <c r="A3821" s="21" t="str">
        <f>IFERROR(__xludf.DUMMYFUNCTION("""COMPUTED_VALUE"""),"TERMINAL EXTENSOR WIFI6 MESH H3621P")</f>
        <v>TERMINAL EXTENSOR WIFI6 MESH H3621P</v>
      </c>
      <c r="B3821" s="22">
        <f>IFERROR(__xludf.DUMMYFUNCTION("""COMPUTED_VALUE"""),4.1001593E7)</f>
        <v>41001593</v>
      </c>
      <c r="C3821" s="21" t="str">
        <f>IFERROR(__xludf.DUMMYFUNCTION("""COMPUTED_VALUE"""),"802D1A4FEF62")</f>
        <v>802D1A4FEF62</v>
      </c>
      <c r="D3821" s="21" t="str">
        <f>IFERROR(__xludf.DUMMYFUNCTION("""COMPUTED_VALUE"""),"DIGITEC TECNOLOGIA DIGITAL E REPRES")</f>
        <v>DIGITEC TECNOLOGIA DIGITAL E REPRES</v>
      </c>
      <c r="E3821" s="21">
        <f>IFERROR(__xludf.DUMMYFUNCTION("""COMPUTED_VALUE"""),145359.0)</f>
        <v>145359</v>
      </c>
      <c r="F3821" s="21" t="str">
        <f>IFERROR(__xludf.DUMMYFUNCTION("""COMPUTED_VALUE"""),"INICIALIZADO")</f>
        <v>INICIALIZADO</v>
      </c>
      <c r="G3821" s="23">
        <f>IFERROR(__xludf.DUMMYFUNCTION("""COMPUTED_VALUE"""),45635.53509259259)</f>
        <v>45635.53509</v>
      </c>
      <c r="H3821" s="24" t="str">
        <f>IFERROR(VLOOKUP(B3821,material!A:D,3,0),"")</f>
        <v>WIFI MESH</v>
      </c>
    </row>
    <row r="3822" ht="11.25" customHeight="1">
      <c r="A3822" s="21" t="str">
        <f>IFERROR(__xludf.DUMMYFUNCTION("""COMPUTED_VALUE"""),"TERMINAL EXTENSOR WIFI6 MESH H3621P")</f>
        <v>TERMINAL EXTENSOR WIFI6 MESH H3621P</v>
      </c>
      <c r="B3822" s="22">
        <f>IFERROR(__xludf.DUMMYFUNCTION("""COMPUTED_VALUE"""),4.1001593E7)</f>
        <v>41001593</v>
      </c>
      <c r="C3822" s="21" t="str">
        <f>IFERROR(__xludf.DUMMYFUNCTION("""COMPUTED_VALUE"""),"802D1A4FEB92")</f>
        <v>802D1A4FEB92</v>
      </c>
      <c r="D3822" s="21" t="str">
        <f>IFERROR(__xludf.DUMMYFUNCTION("""COMPUTED_VALUE"""),"DIGITEC TECNOLOGIA DIGITAL E REPRES")</f>
        <v>DIGITEC TECNOLOGIA DIGITAL E REPRES</v>
      </c>
      <c r="E3822" s="21">
        <f>IFERROR(__xludf.DUMMYFUNCTION("""COMPUTED_VALUE"""),145359.0)</f>
        <v>145359</v>
      </c>
      <c r="F3822" s="21" t="str">
        <f>IFERROR(__xludf.DUMMYFUNCTION("""COMPUTED_VALUE"""),"INICIALIZADO")</f>
        <v>INICIALIZADO</v>
      </c>
      <c r="G3822" s="23">
        <f>IFERROR(__xludf.DUMMYFUNCTION("""COMPUTED_VALUE"""),45635.53509259259)</f>
        <v>45635.53509</v>
      </c>
      <c r="H3822" s="24" t="str">
        <f>IFERROR(VLOOKUP(B3822,material!A:D,3,0),"")</f>
        <v>WIFI MESH</v>
      </c>
    </row>
    <row r="3823" ht="11.25" customHeight="1">
      <c r="A3823" s="21" t="str">
        <f>IFERROR(__xludf.DUMMYFUNCTION("""COMPUTED_VALUE"""),"TERMINAL EXTENSOR WIFI6 MESH H3621P")</f>
        <v>TERMINAL EXTENSOR WIFI6 MESH H3621P</v>
      </c>
      <c r="B3823" s="22">
        <f>IFERROR(__xludf.DUMMYFUNCTION("""COMPUTED_VALUE"""),4.1001593E7)</f>
        <v>41001593</v>
      </c>
      <c r="C3823" s="21" t="str">
        <f>IFERROR(__xludf.DUMMYFUNCTION("""COMPUTED_VALUE"""),"802D1A4FF0E6")</f>
        <v>802D1A4FF0E6</v>
      </c>
      <c r="D3823" s="21" t="str">
        <f>IFERROR(__xludf.DUMMYFUNCTION("""COMPUTED_VALUE"""),"DIGITEC TECNOLOGIA DIGITAL E REPRES")</f>
        <v>DIGITEC TECNOLOGIA DIGITAL E REPRES</v>
      </c>
      <c r="E3823" s="21">
        <f>IFERROR(__xludf.DUMMYFUNCTION("""COMPUTED_VALUE"""),145359.0)</f>
        <v>145359</v>
      </c>
      <c r="F3823" s="21" t="str">
        <f>IFERROR(__xludf.DUMMYFUNCTION("""COMPUTED_VALUE"""),"INICIALIZADO")</f>
        <v>INICIALIZADO</v>
      </c>
      <c r="G3823" s="23">
        <f>IFERROR(__xludf.DUMMYFUNCTION("""COMPUTED_VALUE"""),45635.53509259259)</f>
        <v>45635.53509</v>
      </c>
      <c r="H3823" s="24" t="str">
        <f>IFERROR(VLOOKUP(B3823,material!A:D,3,0),"")</f>
        <v>WIFI MESH</v>
      </c>
    </row>
    <row r="3824" ht="11.25" customHeight="1">
      <c r="A3824" s="21" t="str">
        <f>IFERROR(__xludf.DUMMYFUNCTION("""COMPUTED_VALUE"""),"TERMINAL EXTENSOR WIFI6 MESH H3621P")</f>
        <v>TERMINAL EXTENSOR WIFI6 MESH H3621P</v>
      </c>
      <c r="B3824" s="22">
        <f>IFERROR(__xludf.DUMMYFUNCTION("""COMPUTED_VALUE"""),4.1001593E7)</f>
        <v>41001593</v>
      </c>
      <c r="C3824" s="21" t="str">
        <f>IFERROR(__xludf.DUMMYFUNCTION("""COMPUTED_VALUE"""),"802D1A4FF0D6")</f>
        <v>802D1A4FF0D6</v>
      </c>
      <c r="D3824" s="21" t="str">
        <f>IFERROR(__xludf.DUMMYFUNCTION("""COMPUTED_VALUE"""),"DIGITEC TECNOLOGIA DIGITAL E REPRES")</f>
        <v>DIGITEC TECNOLOGIA DIGITAL E REPRES</v>
      </c>
      <c r="E3824" s="21">
        <f>IFERROR(__xludf.DUMMYFUNCTION("""COMPUTED_VALUE"""),145359.0)</f>
        <v>145359</v>
      </c>
      <c r="F3824" s="21" t="str">
        <f>IFERROR(__xludf.DUMMYFUNCTION("""COMPUTED_VALUE"""),"INICIALIZADO")</f>
        <v>INICIALIZADO</v>
      </c>
      <c r="G3824" s="23">
        <f>IFERROR(__xludf.DUMMYFUNCTION("""COMPUTED_VALUE"""),45635.53509259259)</f>
        <v>45635.53509</v>
      </c>
      <c r="H3824" s="24" t="str">
        <f>IFERROR(VLOOKUP(B3824,material!A:D,3,0),"")</f>
        <v>WIFI MESH</v>
      </c>
    </row>
    <row r="3825" ht="11.25" customHeight="1">
      <c r="A3825" s="21" t="str">
        <f>IFERROR(__xludf.DUMMYFUNCTION("""COMPUTED_VALUE"""),"TERMINAL EXTENSOR WIFI6 MESH H3621P")</f>
        <v>TERMINAL EXTENSOR WIFI6 MESH H3621P</v>
      </c>
      <c r="B3825" s="22">
        <f>IFERROR(__xludf.DUMMYFUNCTION("""COMPUTED_VALUE"""),4.1001593E7)</f>
        <v>41001593</v>
      </c>
      <c r="C3825" s="21" t="str">
        <f>IFERROR(__xludf.DUMMYFUNCTION("""COMPUTED_VALUE"""),"802D1A4FF0A2")</f>
        <v>802D1A4FF0A2</v>
      </c>
      <c r="D3825" s="21" t="str">
        <f>IFERROR(__xludf.DUMMYFUNCTION("""COMPUTED_VALUE"""),"DIGITEC TECNOLOGIA DIGITAL E REPRES")</f>
        <v>DIGITEC TECNOLOGIA DIGITAL E REPRES</v>
      </c>
      <c r="E3825" s="21">
        <f>IFERROR(__xludf.DUMMYFUNCTION("""COMPUTED_VALUE"""),145359.0)</f>
        <v>145359</v>
      </c>
      <c r="F3825" s="21" t="str">
        <f>IFERROR(__xludf.DUMMYFUNCTION("""COMPUTED_VALUE"""),"INICIALIZADO")</f>
        <v>INICIALIZADO</v>
      </c>
      <c r="G3825" s="23">
        <f>IFERROR(__xludf.DUMMYFUNCTION("""COMPUTED_VALUE"""),45635.53509259259)</f>
        <v>45635.53509</v>
      </c>
      <c r="H3825" s="24" t="str">
        <f>IFERROR(VLOOKUP(B3825,material!A:D,3,0),"")</f>
        <v>WIFI MESH</v>
      </c>
    </row>
    <row r="3826" ht="11.25" customHeight="1">
      <c r="A3826" s="21" t="str">
        <f>IFERROR(__xludf.DUMMYFUNCTION("""COMPUTED_VALUE"""),"TERMINAL EXTENSOR WIFI6 MESH H3621P")</f>
        <v>TERMINAL EXTENSOR WIFI6 MESH H3621P</v>
      </c>
      <c r="B3826" s="22">
        <f>IFERROR(__xludf.DUMMYFUNCTION("""COMPUTED_VALUE"""),4.1001593E7)</f>
        <v>41001593</v>
      </c>
      <c r="C3826" s="21" t="str">
        <f>IFERROR(__xludf.DUMMYFUNCTION("""COMPUTED_VALUE"""),"802D1A4FEFC6")</f>
        <v>802D1A4FEFC6</v>
      </c>
      <c r="D3826" s="21" t="str">
        <f>IFERROR(__xludf.DUMMYFUNCTION("""COMPUTED_VALUE"""),"DIGITEC TECNOLOGIA DIGITAL E REPRES")</f>
        <v>DIGITEC TECNOLOGIA DIGITAL E REPRES</v>
      </c>
      <c r="E3826" s="21">
        <f>IFERROR(__xludf.DUMMYFUNCTION("""COMPUTED_VALUE"""),145359.0)</f>
        <v>145359</v>
      </c>
      <c r="F3826" s="21" t="str">
        <f>IFERROR(__xludf.DUMMYFUNCTION("""COMPUTED_VALUE"""),"INICIALIZADO")</f>
        <v>INICIALIZADO</v>
      </c>
      <c r="G3826" s="23">
        <f>IFERROR(__xludf.DUMMYFUNCTION("""COMPUTED_VALUE"""),45635.53509259259)</f>
        <v>45635.53509</v>
      </c>
      <c r="H3826" s="24" t="str">
        <f>IFERROR(VLOOKUP(B3826,material!A:D,3,0),"")</f>
        <v>WIFI MESH</v>
      </c>
    </row>
    <row r="3827" ht="11.25" customHeight="1">
      <c r="A3827" s="21" t="str">
        <f>IFERROR(__xludf.DUMMYFUNCTION("""COMPUTED_VALUE"""),"TERMINAL EXTENSOR WIFI6 MESH H3621P")</f>
        <v>TERMINAL EXTENSOR WIFI6 MESH H3621P</v>
      </c>
      <c r="B3827" s="22">
        <f>IFERROR(__xludf.DUMMYFUNCTION("""COMPUTED_VALUE"""),4.1001593E7)</f>
        <v>41001593</v>
      </c>
      <c r="C3827" s="21" t="str">
        <f>IFERROR(__xludf.DUMMYFUNCTION("""COMPUTED_VALUE"""),"802D1A4FEFA6")</f>
        <v>802D1A4FEFA6</v>
      </c>
      <c r="D3827" s="21" t="str">
        <f>IFERROR(__xludf.DUMMYFUNCTION("""COMPUTED_VALUE"""),"DIGITEC TECNOLOGIA DIGITAL E REPRES")</f>
        <v>DIGITEC TECNOLOGIA DIGITAL E REPRES</v>
      </c>
      <c r="E3827" s="21">
        <f>IFERROR(__xludf.DUMMYFUNCTION("""COMPUTED_VALUE"""),145359.0)</f>
        <v>145359</v>
      </c>
      <c r="F3827" s="21" t="str">
        <f>IFERROR(__xludf.DUMMYFUNCTION("""COMPUTED_VALUE"""),"INICIALIZADO")</f>
        <v>INICIALIZADO</v>
      </c>
      <c r="G3827" s="23">
        <f>IFERROR(__xludf.DUMMYFUNCTION("""COMPUTED_VALUE"""),45635.53509259259)</f>
        <v>45635.53509</v>
      </c>
      <c r="H3827" s="24" t="str">
        <f>IFERROR(VLOOKUP(B3827,material!A:D,3,0),"")</f>
        <v>WIFI MESH</v>
      </c>
    </row>
    <row r="3828" ht="11.25" customHeight="1">
      <c r="A3828" s="21" t="str">
        <f>IFERROR(__xludf.DUMMYFUNCTION("""COMPUTED_VALUE"""),"TERMINAL EXTENSOR WIFI6 MESH H3621P")</f>
        <v>TERMINAL EXTENSOR WIFI6 MESH H3621P</v>
      </c>
      <c r="B3828" s="22">
        <f>IFERROR(__xludf.DUMMYFUNCTION("""COMPUTED_VALUE"""),4.1001593E7)</f>
        <v>41001593</v>
      </c>
      <c r="C3828" s="21" t="str">
        <f>IFERROR(__xludf.DUMMYFUNCTION("""COMPUTED_VALUE"""),"802D1A4FEF7A")</f>
        <v>802D1A4FEF7A</v>
      </c>
      <c r="D3828" s="21" t="str">
        <f>IFERROR(__xludf.DUMMYFUNCTION("""COMPUTED_VALUE"""),"DIGITEC TECNOLOGIA DIGITAL E REPRES")</f>
        <v>DIGITEC TECNOLOGIA DIGITAL E REPRES</v>
      </c>
      <c r="E3828" s="21">
        <f>IFERROR(__xludf.DUMMYFUNCTION("""COMPUTED_VALUE"""),145359.0)</f>
        <v>145359</v>
      </c>
      <c r="F3828" s="21" t="str">
        <f>IFERROR(__xludf.DUMMYFUNCTION("""COMPUTED_VALUE"""),"INICIALIZADO")</f>
        <v>INICIALIZADO</v>
      </c>
      <c r="G3828" s="23">
        <f>IFERROR(__xludf.DUMMYFUNCTION("""COMPUTED_VALUE"""),45635.53509259259)</f>
        <v>45635.53509</v>
      </c>
      <c r="H3828" s="24" t="str">
        <f>IFERROR(VLOOKUP(B3828,material!A:D,3,0),"")</f>
        <v>WIFI MESH</v>
      </c>
    </row>
    <row r="3829" ht="11.25" customHeight="1">
      <c r="A3829" s="21" t="str">
        <f>IFERROR(__xludf.DUMMYFUNCTION("""COMPUTED_VALUE"""),"TERMINAL EXTENSOR WIFI6 MESH H3621P")</f>
        <v>TERMINAL EXTENSOR WIFI6 MESH H3621P</v>
      </c>
      <c r="B3829" s="22">
        <f>IFERROR(__xludf.DUMMYFUNCTION("""COMPUTED_VALUE"""),4.1001593E7)</f>
        <v>41001593</v>
      </c>
      <c r="C3829" s="21" t="str">
        <f>IFERROR(__xludf.DUMMYFUNCTION("""COMPUTED_VALUE"""),"802D1A4FF22E")</f>
        <v>802D1A4FF22E</v>
      </c>
      <c r="D3829" s="21" t="str">
        <f>IFERROR(__xludf.DUMMYFUNCTION("""COMPUTED_VALUE"""),"DIGITEC TECNOLOGIA DIGITAL E REPRES")</f>
        <v>DIGITEC TECNOLOGIA DIGITAL E REPRES</v>
      </c>
      <c r="E3829" s="21">
        <f>IFERROR(__xludf.DUMMYFUNCTION("""COMPUTED_VALUE"""),145359.0)</f>
        <v>145359</v>
      </c>
      <c r="F3829" s="21" t="str">
        <f>IFERROR(__xludf.DUMMYFUNCTION("""COMPUTED_VALUE"""),"INICIALIZADO")</f>
        <v>INICIALIZADO</v>
      </c>
      <c r="G3829" s="23">
        <f>IFERROR(__xludf.DUMMYFUNCTION("""COMPUTED_VALUE"""),45635.53509259259)</f>
        <v>45635.53509</v>
      </c>
      <c r="H3829" s="24" t="str">
        <f>IFERROR(VLOOKUP(B3829,material!A:D,3,0),"")</f>
        <v>WIFI MESH</v>
      </c>
    </row>
    <row r="3830" ht="11.25" customHeight="1">
      <c r="A3830" s="21" t="str">
        <f>IFERROR(__xludf.DUMMYFUNCTION("""COMPUTED_VALUE"""),"TERMINAL EXTENSOR WIFI6 MESH H3621P")</f>
        <v>TERMINAL EXTENSOR WIFI6 MESH H3621P</v>
      </c>
      <c r="B3830" s="22">
        <f>IFERROR(__xludf.DUMMYFUNCTION("""COMPUTED_VALUE"""),4.1001593E7)</f>
        <v>41001593</v>
      </c>
      <c r="C3830" s="21" t="str">
        <f>IFERROR(__xludf.DUMMYFUNCTION("""COMPUTED_VALUE"""),"802D1A4FF15A")</f>
        <v>802D1A4FF15A</v>
      </c>
      <c r="D3830" s="21" t="str">
        <f>IFERROR(__xludf.DUMMYFUNCTION("""COMPUTED_VALUE"""),"DIGITEC TECNOLOGIA DIGITAL E REPRES")</f>
        <v>DIGITEC TECNOLOGIA DIGITAL E REPRES</v>
      </c>
      <c r="E3830" s="21">
        <f>IFERROR(__xludf.DUMMYFUNCTION("""COMPUTED_VALUE"""),145359.0)</f>
        <v>145359</v>
      </c>
      <c r="F3830" s="21" t="str">
        <f>IFERROR(__xludf.DUMMYFUNCTION("""COMPUTED_VALUE"""),"INICIALIZADO")</f>
        <v>INICIALIZADO</v>
      </c>
      <c r="G3830" s="23">
        <f>IFERROR(__xludf.DUMMYFUNCTION("""COMPUTED_VALUE"""),45635.53509259259)</f>
        <v>45635.53509</v>
      </c>
      <c r="H3830" s="24" t="str">
        <f>IFERROR(VLOOKUP(B3830,material!A:D,3,0),"")</f>
        <v>WIFI MESH</v>
      </c>
    </row>
    <row r="3831" ht="11.25" customHeight="1">
      <c r="A3831" s="21" t="str">
        <f>IFERROR(__xludf.DUMMYFUNCTION("""COMPUTED_VALUE"""),"TERMINAL EXTENSOR WIFI6 MESH H3621P")</f>
        <v>TERMINAL EXTENSOR WIFI6 MESH H3621P</v>
      </c>
      <c r="B3831" s="22">
        <f>IFERROR(__xludf.DUMMYFUNCTION("""COMPUTED_VALUE"""),4.1001593E7)</f>
        <v>41001593</v>
      </c>
      <c r="C3831" s="21" t="str">
        <f>IFERROR(__xludf.DUMMYFUNCTION("""COMPUTED_VALUE"""),"802D1A4FCE7A")</f>
        <v>802D1A4FCE7A</v>
      </c>
      <c r="D3831" s="21" t="str">
        <f>IFERROR(__xludf.DUMMYFUNCTION("""COMPUTED_VALUE"""),"DIGITEC TECNOLOGIA DIGITAL E REPRES")</f>
        <v>DIGITEC TECNOLOGIA DIGITAL E REPRES</v>
      </c>
      <c r="E3831" s="21">
        <f>IFERROR(__xludf.DUMMYFUNCTION("""COMPUTED_VALUE"""),145359.0)</f>
        <v>145359</v>
      </c>
      <c r="F3831" s="21" t="str">
        <f>IFERROR(__xludf.DUMMYFUNCTION("""COMPUTED_VALUE"""),"INICIALIZADO")</f>
        <v>INICIALIZADO</v>
      </c>
      <c r="G3831" s="23">
        <f>IFERROR(__xludf.DUMMYFUNCTION("""COMPUTED_VALUE"""),45615.61859953703)</f>
        <v>45615.6186</v>
      </c>
      <c r="H3831" s="24" t="str">
        <f>IFERROR(VLOOKUP(B3831,material!A:D,3,0),"")</f>
        <v>WIFI MESH</v>
      </c>
    </row>
    <row r="3832" ht="11.25" customHeight="1">
      <c r="A3832" s="21" t="str">
        <f>IFERROR(__xludf.DUMMYFUNCTION("""COMPUTED_VALUE"""),"TERMINAL EXTENSOR WIFI6 MESH H3621P")</f>
        <v>TERMINAL EXTENSOR WIFI6 MESH H3621P</v>
      </c>
      <c r="B3832" s="22">
        <f>IFERROR(__xludf.DUMMYFUNCTION("""COMPUTED_VALUE"""),4.1001593E7)</f>
        <v>41001593</v>
      </c>
      <c r="C3832" s="21" t="str">
        <f>IFERROR(__xludf.DUMMYFUNCTION("""COMPUTED_VALUE"""),"802D1A4FCEDE")</f>
        <v>802D1A4FCEDE</v>
      </c>
      <c r="D3832" s="21" t="str">
        <f>IFERROR(__xludf.DUMMYFUNCTION("""COMPUTED_VALUE"""),"DIGITEC TECNOLOGIA DIGITAL E REPRES")</f>
        <v>DIGITEC TECNOLOGIA DIGITAL E REPRES</v>
      </c>
      <c r="E3832" s="21">
        <f>IFERROR(__xludf.DUMMYFUNCTION("""COMPUTED_VALUE"""),145359.0)</f>
        <v>145359</v>
      </c>
      <c r="F3832" s="21" t="str">
        <f>IFERROR(__xludf.DUMMYFUNCTION("""COMPUTED_VALUE"""),"INICIALIZADO")</f>
        <v>INICIALIZADO</v>
      </c>
      <c r="G3832" s="23">
        <f>IFERROR(__xludf.DUMMYFUNCTION("""COMPUTED_VALUE"""),45615.61858796296)</f>
        <v>45615.61859</v>
      </c>
      <c r="H3832" s="24" t="str">
        <f>IFERROR(VLOOKUP(B3832,material!A:D,3,0),"")</f>
        <v>WIFI MESH</v>
      </c>
    </row>
    <row r="3833" ht="11.25" customHeight="1">
      <c r="A3833" s="21" t="str">
        <f>IFERROR(__xludf.DUMMYFUNCTION("""COMPUTED_VALUE"""),"TERMINAL EXTENSOR WIFI6 MESH H3621P")</f>
        <v>TERMINAL EXTENSOR WIFI6 MESH H3621P</v>
      </c>
      <c r="B3833" s="22">
        <f>IFERROR(__xludf.DUMMYFUNCTION("""COMPUTED_VALUE"""),4.1001593E7)</f>
        <v>41001593</v>
      </c>
      <c r="C3833" s="21" t="str">
        <f>IFERROR(__xludf.DUMMYFUNCTION("""COMPUTED_VALUE"""),"802D1A4FCF1A")</f>
        <v>802D1A4FCF1A</v>
      </c>
      <c r="D3833" s="21" t="str">
        <f>IFERROR(__xludf.DUMMYFUNCTION("""COMPUTED_VALUE"""),"DIGITEC TECNOLOGIA DIGITAL E REPRES")</f>
        <v>DIGITEC TECNOLOGIA DIGITAL E REPRES</v>
      </c>
      <c r="E3833" s="21">
        <f>IFERROR(__xludf.DUMMYFUNCTION("""COMPUTED_VALUE"""),145359.0)</f>
        <v>145359</v>
      </c>
      <c r="F3833" s="21" t="str">
        <f>IFERROR(__xludf.DUMMYFUNCTION("""COMPUTED_VALUE"""),"INICIALIZADO")</f>
        <v>INICIALIZADO</v>
      </c>
      <c r="G3833" s="23">
        <f>IFERROR(__xludf.DUMMYFUNCTION("""COMPUTED_VALUE"""),45615.61858796296)</f>
        <v>45615.61859</v>
      </c>
      <c r="H3833" s="24" t="str">
        <f>IFERROR(VLOOKUP(B3833,material!A:D,3,0),"")</f>
        <v>WIFI MESH</v>
      </c>
    </row>
    <row r="3834" ht="11.25" customHeight="1">
      <c r="A3834" s="21" t="str">
        <f>IFERROR(__xludf.DUMMYFUNCTION("""COMPUTED_VALUE"""),"TERMINAL EXTENSOR WIFI6 MESH H3621P")</f>
        <v>TERMINAL EXTENSOR WIFI6 MESH H3621P</v>
      </c>
      <c r="B3834" s="22">
        <f>IFERROR(__xludf.DUMMYFUNCTION("""COMPUTED_VALUE"""),4.1001593E7)</f>
        <v>41001593</v>
      </c>
      <c r="C3834" s="21" t="str">
        <f>IFERROR(__xludf.DUMMYFUNCTION("""COMPUTED_VALUE"""),"802D1A4FCF3A")</f>
        <v>802D1A4FCF3A</v>
      </c>
      <c r="D3834" s="21" t="str">
        <f>IFERROR(__xludf.DUMMYFUNCTION("""COMPUTED_VALUE"""),"DIGITEC TECNOLOGIA DIGITAL E REPRES")</f>
        <v>DIGITEC TECNOLOGIA DIGITAL E REPRES</v>
      </c>
      <c r="E3834" s="21">
        <f>IFERROR(__xludf.DUMMYFUNCTION("""COMPUTED_VALUE"""),145359.0)</f>
        <v>145359</v>
      </c>
      <c r="F3834" s="21" t="str">
        <f>IFERROR(__xludf.DUMMYFUNCTION("""COMPUTED_VALUE"""),"INICIALIZADO")</f>
        <v>INICIALIZADO</v>
      </c>
      <c r="G3834" s="23">
        <f>IFERROR(__xludf.DUMMYFUNCTION("""COMPUTED_VALUE"""),45615.61858796296)</f>
        <v>45615.61859</v>
      </c>
      <c r="H3834" s="24" t="str">
        <f>IFERROR(VLOOKUP(B3834,material!A:D,3,0),"")</f>
        <v>WIFI MESH</v>
      </c>
    </row>
    <row r="3835" ht="11.25" customHeight="1">
      <c r="A3835" s="21" t="str">
        <f>IFERROR(__xludf.DUMMYFUNCTION("""COMPUTED_VALUE"""),"TERMINAL EXTENSOR WIFI6 MESH H3621P")</f>
        <v>TERMINAL EXTENSOR WIFI6 MESH H3621P</v>
      </c>
      <c r="B3835" s="22">
        <f>IFERROR(__xludf.DUMMYFUNCTION("""COMPUTED_VALUE"""),4.1001593E7)</f>
        <v>41001593</v>
      </c>
      <c r="C3835" s="21" t="str">
        <f>IFERROR(__xludf.DUMMYFUNCTION("""COMPUTED_VALUE"""),"802D1A4FC5AE")</f>
        <v>802D1A4FC5AE</v>
      </c>
      <c r="D3835" s="21" t="str">
        <f>IFERROR(__xludf.DUMMYFUNCTION("""COMPUTED_VALUE"""),"DIGITEC TECNOLOGIA DIGITAL E REPRES")</f>
        <v>DIGITEC TECNOLOGIA DIGITAL E REPRES</v>
      </c>
      <c r="E3835" s="21">
        <f>IFERROR(__xludf.DUMMYFUNCTION("""COMPUTED_VALUE"""),145359.0)</f>
        <v>145359</v>
      </c>
      <c r="F3835" s="21" t="str">
        <f>IFERROR(__xludf.DUMMYFUNCTION("""COMPUTED_VALUE"""),"INICIALIZADO")</f>
        <v>INICIALIZADO</v>
      </c>
      <c r="G3835" s="23">
        <f>IFERROR(__xludf.DUMMYFUNCTION("""COMPUTED_VALUE"""),45615.61858796296)</f>
        <v>45615.61859</v>
      </c>
      <c r="H3835" s="24" t="str">
        <f>IFERROR(VLOOKUP(B3835,material!A:D,3,0),"")</f>
        <v>WIFI MESH</v>
      </c>
    </row>
    <row r="3836" ht="11.25" customHeight="1">
      <c r="A3836" s="21" t="str">
        <f>IFERROR(__xludf.DUMMYFUNCTION("""COMPUTED_VALUE"""),"TERMINAL EXTENSOR WIFI6 MESH H3621P")</f>
        <v>TERMINAL EXTENSOR WIFI6 MESH H3621P</v>
      </c>
      <c r="B3836" s="22">
        <f>IFERROR(__xludf.DUMMYFUNCTION("""COMPUTED_VALUE"""),4.1001593E7)</f>
        <v>41001593</v>
      </c>
      <c r="C3836" s="21" t="str">
        <f>IFERROR(__xludf.DUMMYFUNCTION("""COMPUTED_VALUE"""),"802D1A4FEF22")</f>
        <v>802D1A4FEF22</v>
      </c>
      <c r="D3836" s="21" t="str">
        <f>IFERROR(__xludf.DUMMYFUNCTION("""COMPUTED_VALUE"""),"DIGITEC TECNOLOGIA DIGITAL E REPRES")</f>
        <v>DIGITEC TECNOLOGIA DIGITAL E REPRES</v>
      </c>
      <c r="E3836" s="21">
        <f>IFERROR(__xludf.DUMMYFUNCTION("""COMPUTED_VALUE"""),145359.0)</f>
        <v>145359</v>
      </c>
      <c r="F3836" s="21" t="str">
        <f>IFERROR(__xludf.DUMMYFUNCTION("""COMPUTED_VALUE"""),"INICIALIZADO")</f>
        <v>INICIALIZADO</v>
      </c>
      <c r="G3836" s="23">
        <f>IFERROR(__xludf.DUMMYFUNCTION("""COMPUTED_VALUE"""),45635.53509259259)</f>
        <v>45635.53509</v>
      </c>
      <c r="H3836" s="24" t="str">
        <f>IFERROR(VLOOKUP(B3836,material!A:D,3,0),"")</f>
        <v>WIFI MESH</v>
      </c>
    </row>
    <row r="3837" ht="11.25" customHeight="1">
      <c r="A3837" s="21" t="str">
        <f>IFERROR(__xludf.DUMMYFUNCTION("""COMPUTED_VALUE"""),"TERMINAL EXTENSOR WIFI6 MESH H3621P")</f>
        <v>TERMINAL EXTENSOR WIFI6 MESH H3621P</v>
      </c>
      <c r="B3837" s="22">
        <f>IFERROR(__xludf.DUMMYFUNCTION("""COMPUTED_VALUE"""),4.1001593E7)</f>
        <v>41001593</v>
      </c>
      <c r="C3837" s="21" t="str">
        <f>IFERROR(__xludf.DUMMYFUNCTION("""COMPUTED_VALUE"""),"802D1A4FEEF6")</f>
        <v>802D1A4FEEF6</v>
      </c>
      <c r="D3837" s="21" t="str">
        <f>IFERROR(__xludf.DUMMYFUNCTION("""COMPUTED_VALUE"""),"DIGITEC TECNOLOGIA DIGITAL E REPRES")</f>
        <v>DIGITEC TECNOLOGIA DIGITAL E REPRES</v>
      </c>
      <c r="E3837" s="21">
        <f>IFERROR(__xludf.DUMMYFUNCTION("""COMPUTED_VALUE"""),145359.0)</f>
        <v>145359</v>
      </c>
      <c r="F3837" s="21" t="str">
        <f>IFERROR(__xludf.DUMMYFUNCTION("""COMPUTED_VALUE"""),"INICIALIZADO")</f>
        <v>INICIALIZADO</v>
      </c>
      <c r="G3837" s="23">
        <f>IFERROR(__xludf.DUMMYFUNCTION("""COMPUTED_VALUE"""),45635.53509259259)</f>
        <v>45635.53509</v>
      </c>
      <c r="H3837" s="24" t="str">
        <f>IFERROR(VLOOKUP(B3837,material!A:D,3,0),"")</f>
        <v>WIFI MESH</v>
      </c>
    </row>
    <row r="3838" ht="11.25" customHeight="1">
      <c r="A3838" s="21" t="str">
        <f>IFERROR(__xludf.DUMMYFUNCTION("""COMPUTED_VALUE"""),"TERMINAL EXTENSOR WIFI6 MESH H3621P")</f>
        <v>TERMINAL EXTENSOR WIFI6 MESH H3621P</v>
      </c>
      <c r="B3838" s="22">
        <f>IFERROR(__xludf.DUMMYFUNCTION("""COMPUTED_VALUE"""),4.1001593E7)</f>
        <v>41001593</v>
      </c>
      <c r="C3838" s="21" t="str">
        <f>IFERROR(__xludf.DUMMYFUNCTION("""COMPUTED_VALUE"""),"802D1A4FEE92")</f>
        <v>802D1A4FEE92</v>
      </c>
      <c r="D3838" s="21" t="str">
        <f>IFERROR(__xludf.DUMMYFUNCTION("""COMPUTED_VALUE"""),"DIGITEC TECNOLOGIA DIGITAL E REPRES")</f>
        <v>DIGITEC TECNOLOGIA DIGITAL E REPRES</v>
      </c>
      <c r="E3838" s="21">
        <f>IFERROR(__xludf.DUMMYFUNCTION("""COMPUTED_VALUE"""),145359.0)</f>
        <v>145359</v>
      </c>
      <c r="F3838" s="21" t="str">
        <f>IFERROR(__xludf.DUMMYFUNCTION("""COMPUTED_VALUE"""),"INICIALIZADO")</f>
        <v>INICIALIZADO</v>
      </c>
      <c r="G3838" s="23">
        <f>IFERROR(__xludf.DUMMYFUNCTION("""COMPUTED_VALUE"""),45635.53509259259)</f>
        <v>45635.53509</v>
      </c>
      <c r="H3838" s="24" t="str">
        <f>IFERROR(VLOOKUP(B3838,material!A:D,3,0),"")</f>
        <v>WIFI MESH</v>
      </c>
    </row>
    <row r="3839" ht="11.25" customHeight="1">
      <c r="A3839" s="21" t="str">
        <f>IFERROR(__xludf.DUMMYFUNCTION("""COMPUTED_VALUE"""),"TERMINAL EXTENSOR WIFI6 MESH H3621P")</f>
        <v>TERMINAL EXTENSOR WIFI6 MESH H3621P</v>
      </c>
      <c r="B3839" s="22">
        <f>IFERROR(__xludf.DUMMYFUNCTION("""COMPUTED_VALUE"""),4.1001593E7)</f>
        <v>41001593</v>
      </c>
      <c r="C3839" s="21" t="str">
        <f>IFERROR(__xludf.DUMMYFUNCTION("""COMPUTED_VALUE"""),"802D1A4FED72")</f>
        <v>802D1A4FED72</v>
      </c>
      <c r="D3839" s="21" t="str">
        <f>IFERROR(__xludf.DUMMYFUNCTION("""COMPUTED_VALUE"""),"DIGITEC TECNOLOGIA DIGITAL E REPRES")</f>
        <v>DIGITEC TECNOLOGIA DIGITAL E REPRES</v>
      </c>
      <c r="E3839" s="21">
        <f>IFERROR(__xludf.DUMMYFUNCTION("""COMPUTED_VALUE"""),145359.0)</f>
        <v>145359</v>
      </c>
      <c r="F3839" s="21" t="str">
        <f>IFERROR(__xludf.DUMMYFUNCTION("""COMPUTED_VALUE"""),"INICIALIZADO")</f>
        <v>INICIALIZADO</v>
      </c>
      <c r="G3839" s="23">
        <f>IFERROR(__xludf.DUMMYFUNCTION("""COMPUTED_VALUE"""),45635.53509259259)</f>
        <v>45635.53509</v>
      </c>
      <c r="H3839" s="24" t="str">
        <f>IFERROR(VLOOKUP(B3839,material!A:D,3,0),"")</f>
        <v>WIFI MESH</v>
      </c>
    </row>
    <row r="3840" ht="11.25" customHeight="1">
      <c r="A3840" s="21" t="str">
        <f>IFERROR(__xludf.DUMMYFUNCTION("""COMPUTED_VALUE"""),"TERMINAL EXTENSOR WIFI6 MESH H3621P")</f>
        <v>TERMINAL EXTENSOR WIFI6 MESH H3621P</v>
      </c>
      <c r="B3840" s="22">
        <f>IFERROR(__xludf.DUMMYFUNCTION("""COMPUTED_VALUE"""),4.1001593E7)</f>
        <v>41001593</v>
      </c>
      <c r="C3840" s="21" t="str">
        <f>IFERROR(__xludf.DUMMYFUNCTION("""COMPUTED_VALUE"""),"802D1A4FEDA6")</f>
        <v>802D1A4FEDA6</v>
      </c>
      <c r="D3840" s="21" t="str">
        <f>IFERROR(__xludf.DUMMYFUNCTION("""COMPUTED_VALUE"""),"DIGITEC TECNOLOGIA DIGITAL E REPRES")</f>
        <v>DIGITEC TECNOLOGIA DIGITAL E REPRES</v>
      </c>
      <c r="E3840" s="21">
        <f>IFERROR(__xludf.DUMMYFUNCTION("""COMPUTED_VALUE"""),145359.0)</f>
        <v>145359</v>
      </c>
      <c r="F3840" s="21" t="str">
        <f>IFERROR(__xludf.DUMMYFUNCTION("""COMPUTED_VALUE"""),"INICIALIZADO")</f>
        <v>INICIALIZADO</v>
      </c>
      <c r="G3840" s="23">
        <f>IFERROR(__xludf.DUMMYFUNCTION("""COMPUTED_VALUE"""),45635.53509259259)</f>
        <v>45635.53509</v>
      </c>
      <c r="H3840" s="24" t="str">
        <f>IFERROR(VLOOKUP(B3840,material!A:D,3,0),"")</f>
        <v>WIFI MESH</v>
      </c>
    </row>
    <row r="3841" ht="11.25" customHeight="1">
      <c r="A3841" s="21" t="str">
        <f>IFERROR(__xludf.DUMMYFUNCTION("""COMPUTED_VALUE"""),"TERMINAL EXTENSOR WIFI6 MESH H3621P")</f>
        <v>TERMINAL EXTENSOR WIFI6 MESH H3621P</v>
      </c>
      <c r="B3841" s="22">
        <f>IFERROR(__xludf.DUMMYFUNCTION("""COMPUTED_VALUE"""),4.1001593E7)</f>
        <v>41001593</v>
      </c>
      <c r="C3841" s="21" t="str">
        <f>IFERROR(__xludf.DUMMYFUNCTION("""COMPUTED_VALUE"""),"802D1A4FF066")</f>
        <v>802D1A4FF066</v>
      </c>
      <c r="D3841" s="21" t="str">
        <f>IFERROR(__xludf.DUMMYFUNCTION("""COMPUTED_VALUE"""),"DIGITEC TECNOLOGIA DIGITAL E REPRES")</f>
        <v>DIGITEC TECNOLOGIA DIGITAL E REPRES</v>
      </c>
      <c r="E3841" s="21">
        <f>IFERROR(__xludf.DUMMYFUNCTION("""COMPUTED_VALUE"""),145359.0)</f>
        <v>145359</v>
      </c>
      <c r="F3841" s="21" t="str">
        <f>IFERROR(__xludf.DUMMYFUNCTION("""COMPUTED_VALUE"""),"INICIALIZADO")</f>
        <v>INICIALIZADO</v>
      </c>
      <c r="G3841" s="23">
        <f>IFERROR(__xludf.DUMMYFUNCTION("""COMPUTED_VALUE"""),45635.53509259259)</f>
        <v>45635.53509</v>
      </c>
      <c r="H3841" s="24" t="str">
        <f>IFERROR(VLOOKUP(B3841,material!A:D,3,0),"")</f>
        <v>WIFI MESH</v>
      </c>
    </row>
    <row r="3842" ht="11.25" customHeight="1">
      <c r="A3842" s="21" t="str">
        <f>IFERROR(__xludf.DUMMYFUNCTION("""COMPUTED_VALUE"""),"TERMINAL EXTENSOR WIFI6 MESH H3621P")</f>
        <v>TERMINAL EXTENSOR WIFI6 MESH H3621P</v>
      </c>
      <c r="B3842" s="22">
        <f>IFERROR(__xludf.DUMMYFUNCTION("""COMPUTED_VALUE"""),4.1001593E7)</f>
        <v>41001593</v>
      </c>
      <c r="C3842" s="21" t="str">
        <f>IFERROR(__xludf.DUMMYFUNCTION("""COMPUTED_VALUE"""),"802D1A4FF042")</f>
        <v>802D1A4FF042</v>
      </c>
      <c r="D3842" s="21" t="str">
        <f>IFERROR(__xludf.DUMMYFUNCTION("""COMPUTED_VALUE"""),"DIGITEC TECNOLOGIA DIGITAL E REPRES")</f>
        <v>DIGITEC TECNOLOGIA DIGITAL E REPRES</v>
      </c>
      <c r="E3842" s="21">
        <f>IFERROR(__xludf.DUMMYFUNCTION("""COMPUTED_VALUE"""),145359.0)</f>
        <v>145359</v>
      </c>
      <c r="F3842" s="21" t="str">
        <f>IFERROR(__xludf.DUMMYFUNCTION("""COMPUTED_VALUE"""),"INICIALIZADO")</f>
        <v>INICIALIZADO</v>
      </c>
      <c r="G3842" s="23">
        <f>IFERROR(__xludf.DUMMYFUNCTION("""COMPUTED_VALUE"""),45635.53509259259)</f>
        <v>45635.53509</v>
      </c>
      <c r="H3842" s="24" t="str">
        <f>IFERROR(VLOOKUP(B3842,material!A:D,3,0),"")</f>
        <v>WIFI MESH</v>
      </c>
    </row>
    <row r="3843" ht="11.25" customHeight="1">
      <c r="A3843" s="21" t="str">
        <f>IFERROR(__xludf.DUMMYFUNCTION("""COMPUTED_VALUE"""),"TERMINAL EXTENSOR WIFI6 MESH H3621P")</f>
        <v>TERMINAL EXTENSOR WIFI6 MESH H3621P</v>
      </c>
      <c r="B3843" s="22">
        <f>IFERROR(__xludf.DUMMYFUNCTION("""COMPUTED_VALUE"""),4.1001593E7)</f>
        <v>41001593</v>
      </c>
      <c r="C3843" s="21" t="str">
        <f>IFERROR(__xludf.DUMMYFUNCTION("""COMPUTED_VALUE"""),"802D1A4FD25E")</f>
        <v>802D1A4FD25E</v>
      </c>
      <c r="D3843" s="21" t="str">
        <f>IFERROR(__xludf.DUMMYFUNCTION("""COMPUTED_VALUE"""),"DIGITEC TECNOLOGIA DIGITAL E REPRES")</f>
        <v>DIGITEC TECNOLOGIA DIGITAL E REPRES</v>
      </c>
      <c r="E3843" s="21">
        <f>IFERROR(__xludf.DUMMYFUNCTION("""COMPUTED_VALUE"""),145359.0)</f>
        <v>145359</v>
      </c>
      <c r="F3843" s="21" t="str">
        <f>IFERROR(__xludf.DUMMYFUNCTION("""COMPUTED_VALUE"""),"INICIALIZADO")</f>
        <v>INICIALIZADO</v>
      </c>
      <c r="G3843" s="23">
        <f>IFERROR(__xludf.DUMMYFUNCTION("""COMPUTED_VALUE"""),45635.53509259259)</f>
        <v>45635.53509</v>
      </c>
      <c r="H3843" s="24" t="str">
        <f>IFERROR(VLOOKUP(B3843,material!A:D,3,0),"")</f>
        <v>WIFI MESH</v>
      </c>
    </row>
    <row r="3844" ht="11.25" customHeight="1">
      <c r="A3844" s="21" t="str">
        <f>IFERROR(__xludf.DUMMYFUNCTION("""COMPUTED_VALUE"""),"TERMINAL EXTENSOR WIFI6 MESH H3621P")</f>
        <v>TERMINAL EXTENSOR WIFI6 MESH H3621P</v>
      </c>
      <c r="B3844" s="22">
        <f>IFERROR(__xludf.DUMMYFUNCTION("""COMPUTED_VALUE"""),4.1001593E7)</f>
        <v>41001593</v>
      </c>
      <c r="C3844" s="21" t="str">
        <f>IFERROR(__xludf.DUMMYFUNCTION("""COMPUTED_VALUE"""),"802D1A4FF24A")</f>
        <v>802D1A4FF24A</v>
      </c>
      <c r="D3844" s="21" t="str">
        <f>IFERROR(__xludf.DUMMYFUNCTION("""COMPUTED_VALUE"""),"DIGITEC TECNOLOGIA DIGITAL E REPRES")</f>
        <v>DIGITEC TECNOLOGIA DIGITAL E REPRES</v>
      </c>
      <c r="E3844" s="21">
        <f>IFERROR(__xludf.DUMMYFUNCTION("""COMPUTED_VALUE"""),145359.0)</f>
        <v>145359</v>
      </c>
      <c r="F3844" s="21" t="str">
        <f>IFERROR(__xludf.DUMMYFUNCTION("""COMPUTED_VALUE"""),"INICIALIZADO")</f>
        <v>INICIALIZADO</v>
      </c>
      <c r="G3844" s="23">
        <f>IFERROR(__xludf.DUMMYFUNCTION("""COMPUTED_VALUE"""),45635.53509259259)</f>
        <v>45635.53509</v>
      </c>
      <c r="H3844" s="24" t="str">
        <f>IFERROR(VLOOKUP(B3844,material!A:D,3,0),"")</f>
        <v>WIFI MESH</v>
      </c>
    </row>
    <row r="3845" ht="11.25" customHeight="1">
      <c r="A3845" s="21" t="str">
        <f>IFERROR(__xludf.DUMMYFUNCTION("""COMPUTED_VALUE"""),"TERMINAL EXTENSOR WIFI6 MESH H3621P")</f>
        <v>TERMINAL EXTENSOR WIFI6 MESH H3621P</v>
      </c>
      <c r="B3845" s="22">
        <f>IFERROR(__xludf.DUMMYFUNCTION("""COMPUTED_VALUE"""),4.1001593E7)</f>
        <v>41001593</v>
      </c>
      <c r="C3845" s="21" t="str">
        <f>IFERROR(__xludf.DUMMYFUNCTION("""COMPUTED_VALUE"""),"802D1A4FF16E")</f>
        <v>802D1A4FF16E</v>
      </c>
      <c r="D3845" s="21" t="str">
        <f>IFERROR(__xludf.DUMMYFUNCTION("""COMPUTED_VALUE"""),"DIGITEC TECNOLOGIA DIGITAL E REPRES")</f>
        <v>DIGITEC TECNOLOGIA DIGITAL E REPRES</v>
      </c>
      <c r="E3845" s="21">
        <f>IFERROR(__xludf.DUMMYFUNCTION("""COMPUTED_VALUE"""),145359.0)</f>
        <v>145359</v>
      </c>
      <c r="F3845" s="21" t="str">
        <f>IFERROR(__xludf.DUMMYFUNCTION("""COMPUTED_VALUE"""),"INICIALIZADO")</f>
        <v>INICIALIZADO</v>
      </c>
      <c r="G3845" s="23">
        <f>IFERROR(__xludf.DUMMYFUNCTION("""COMPUTED_VALUE"""),45635.53509259259)</f>
        <v>45635.53509</v>
      </c>
      <c r="H3845" s="24" t="str">
        <f>IFERROR(VLOOKUP(B3845,material!A:D,3,0),"")</f>
        <v>WIFI MESH</v>
      </c>
    </row>
    <row r="3846" ht="11.25" customHeight="1">
      <c r="A3846" s="21" t="str">
        <f>IFERROR(__xludf.DUMMYFUNCTION("""COMPUTED_VALUE"""),"TERMINAL EXTENSOR WIFI6 MESH H3621P")</f>
        <v>TERMINAL EXTENSOR WIFI6 MESH H3621P</v>
      </c>
      <c r="B3846" s="22">
        <f>IFERROR(__xludf.DUMMYFUNCTION("""COMPUTED_VALUE"""),4.1001593E7)</f>
        <v>41001593</v>
      </c>
      <c r="C3846" s="21" t="str">
        <f>IFERROR(__xludf.DUMMYFUNCTION("""COMPUTED_VALUE"""),"802D1A4FF18A")</f>
        <v>802D1A4FF18A</v>
      </c>
      <c r="D3846" s="21" t="str">
        <f>IFERROR(__xludf.DUMMYFUNCTION("""COMPUTED_VALUE"""),"DIGITEC TECNOLOGIA DIGITAL E REPRES")</f>
        <v>DIGITEC TECNOLOGIA DIGITAL E REPRES</v>
      </c>
      <c r="E3846" s="21">
        <f>IFERROR(__xludf.DUMMYFUNCTION("""COMPUTED_VALUE"""),145359.0)</f>
        <v>145359</v>
      </c>
      <c r="F3846" s="21" t="str">
        <f>IFERROR(__xludf.DUMMYFUNCTION("""COMPUTED_VALUE"""),"INICIALIZADO")</f>
        <v>INICIALIZADO</v>
      </c>
      <c r="G3846" s="23">
        <f>IFERROR(__xludf.DUMMYFUNCTION("""COMPUTED_VALUE"""),45635.53509259259)</f>
        <v>45635.53509</v>
      </c>
      <c r="H3846" s="24" t="str">
        <f>IFERROR(VLOOKUP(B3846,material!A:D,3,0),"")</f>
        <v>WIFI MESH</v>
      </c>
    </row>
    <row r="3847" ht="11.25" customHeight="1">
      <c r="A3847" s="21" t="str">
        <f>IFERROR(__xludf.DUMMYFUNCTION("""COMPUTED_VALUE"""),"TERMINAL EXTENSOR WIFI6 MESH H3621P")</f>
        <v>TERMINAL EXTENSOR WIFI6 MESH H3621P</v>
      </c>
      <c r="B3847" s="22">
        <f>IFERROR(__xludf.DUMMYFUNCTION("""COMPUTED_VALUE"""),4.1001593E7)</f>
        <v>41001593</v>
      </c>
      <c r="C3847" s="21" t="str">
        <f>IFERROR(__xludf.DUMMYFUNCTION("""COMPUTED_VALUE"""),"301F4855DC24")</f>
        <v>301F4855DC24</v>
      </c>
      <c r="D3847" s="21" t="str">
        <f>IFERROR(__xludf.DUMMYFUNCTION("""COMPUTED_VALUE"""),"DIGITEC TECNOLOGIA DIGITAL E REPRES")</f>
        <v>DIGITEC TECNOLOGIA DIGITAL E REPRES</v>
      </c>
      <c r="E3847" s="21">
        <f>IFERROR(__xludf.DUMMYFUNCTION("""COMPUTED_VALUE"""),145359.0)</f>
        <v>145359</v>
      </c>
      <c r="F3847" s="21" t="str">
        <f>IFERROR(__xludf.DUMMYFUNCTION("""COMPUTED_VALUE"""),"INICIALIZADO")</f>
        <v>INICIALIZADO</v>
      </c>
      <c r="G3847" s="23">
        <f>IFERROR(__xludf.DUMMYFUNCTION("""COMPUTED_VALUE"""),45593.485567129625)</f>
        <v>45593.48557</v>
      </c>
      <c r="H3847" s="24" t="str">
        <f>IFERROR(VLOOKUP(B3847,material!A:D,3,0),"")</f>
        <v>WIFI MESH</v>
      </c>
    </row>
    <row r="3848" ht="11.25" customHeight="1">
      <c r="A3848" s="21" t="str">
        <f>IFERROR(__xludf.DUMMYFUNCTION("""COMPUTED_VALUE"""),"TERMINAL EXTENSOR WIFI6 MESH H3621P")</f>
        <v>TERMINAL EXTENSOR WIFI6 MESH H3621P</v>
      </c>
      <c r="B3848" s="22">
        <f>IFERROR(__xludf.DUMMYFUNCTION("""COMPUTED_VALUE"""),4.1001593E7)</f>
        <v>41001593</v>
      </c>
      <c r="C3848" s="21" t="str">
        <f>IFERROR(__xludf.DUMMYFUNCTION("""COMPUTED_VALUE"""),"802D1A4FCF26")</f>
        <v>802D1A4FCF26</v>
      </c>
      <c r="D3848" s="21" t="str">
        <f>IFERROR(__xludf.DUMMYFUNCTION("""COMPUTED_VALUE"""),"DIGITEC TECNOLOGIA DIGITAL E REPRES")</f>
        <v>DIGITEC TECNOLOGIA DIGITAL E REPRES</v>
      </c>
      <c r="E3848" s="21">
        <f>IFERROR(__xludf.DUMMYFUNCTION("""COMPUTED_VALUE"""),145359.0)</f>
        <v>145359</v>
      </c>
      <c r="F3848" s="21" t="str">
        <f>IFERROR(__xludf.DUMMYFUNCTION("""COMPUTED_VALUE"""),"INICIALIZADO")</f>
        <v>INICIALIZADO</v>
      </c>
      <c r="G3848" s="23">
        <f>IFERROR(__xludf.DUMMYFUNCTION("""COMPUTED_VALUE"""),45615.61858796296)</f>
        <v>45615.61859</v>
      </c>
      <c r="H3848" s="24" t="str">
        <f>IFERROR(VLOOKUP(B3848,material!A:D,3,0),"")</f>
        <v>WIFI MESH</v>
      </c>
    </row>
    <row r="3849" ht="11.25" customHeight="1">
      <c r="A3849" s="21" t="str">
        <f>IFERROR(__xludf.DUMMYFUNCTION("""COMPUTED_VALUE"""),"TERMINAL EXTENSOR WIFI6 MESH H3621P")</f>
        <v>TERMINAL EXTENSOR WIFI6 MESH H3621P</v>
      </c>
      <c r="B3849" s="22">
        <f>IFERROR(__xludf.DUMMYFUNCTION("""COMPUTED_VALUE"""),4.1001593E7)</f>
        <v>41001593</v>
      </c>
      <c r="C3849" s="21" t="str">
        <f>IFERROR(__xludf.DUMMYFUNCTION("""COMPUTED_VALUE"""),"802D1A4FCF46")</f>
        <v>802D1A4FCF46</v>
      </c>
      <c r="D3849" s="21" t="str">
        <f>IFERROR(__xludf.DUMMYFUNCTION("""COMPUTED_VALUE"""),"DIGITEC TECNOLOGIA DIGITAL E REPRES")</f>
        <v>DIGITEC TECNOLOGIA DIGITAL E REPRES</v>
      </c>
      <c r="E3849" s="21">
        <f>IFERROR(__xludf.DUMMYFUNCTION("""COMPUTED_VALUE"""),145359.0)</f>
        <v>145359</v>
      </c>
      <c r="F3849" s="21" t="str">
        <f>IFERROR(__xludf.DUMMYFUNCTION("""COMPUTED_VALUE"""),"INICIALIZADO")</f>
        <v>INICIALIZADO</v>
      </c>
      <c r="G3849" s="23">
        <f>IFERROR(__xludf.DUMMYFUNCTION("""COMPUTED_VALUE"""),45615.61858796296)</f>
        <v>45615.61859</v>
      </c>
      <c r="H3849" s="24" t="str">
        <f>IFERROR(VLOOKUP(B3849,material!A:D,3,0),"")</f>
        <v>WIFI MESH</v>
      </c>
    </row>
    <row r="3850" ht="11.25" customHeight="1">
      <c r="A3850" s="21" t="str">
        <f>IFERROR(__xludf.DUMMYFUNCTION("""COMPUTED_VALUE"""),"TERMINAL EXTENSOR WIFI6 MESH H3621P")</f>
        <v>TERMINAL EXTENSOR WIFI6 MESH H3621P</v>
      </c>
      <c r="B3850" s="22">
        <f>IFERROR(__xludf.DUMMYFUNCTION("""COMPUTED_VALUE"""),4.1001593E7)</f>
        <v>41001593</v>
      </c>
      <c r="C3850" s="21" t="str">
        <f>IFERROR(__xludf.DUMMYFUNCTION("""COMPUTED_VALUE"""),"802D1A4FC73E")</f>
        <v>802D1A4FC73E</v>
      </c>
      <c r="D3850" s="21" t="str">
        <f>IFERROR(__xludf.DUMMYFUNCTION("""COMPUTED_VALUE"""),"DIGITEC TECNOLOGIA DIGITAL E REPRES")</f>
        <v>DIGITEC TECNOLOGIA DIGITAL E REPRES</v>
      </c>
      <c r="E3850" s="21">
        <f>IFERROR(__xludf.DUMMYFUNCTION("""COMPUTED_VALUE"""),145359.0)</f>
        <v>145359</v>
      </c>
      <c r="F3850" s="21" t="str">
        <f>IFERROR(__xludf.DUMMYFUNCTION("""COMPUTED_VALUE"""),"INICIALIZADO")</f>
        <v>INICIALIZADO</v>
      </c>
      <c r="G3850" s="23">
        <f>IFERROR(__xludf.DUMMYFUNCTION("""COMPUTED_VALUE"""),45615.61858796296)</f>
        <v>45615.61859</v>
      </c>
      <c r="H3850" s="24" t="str">
        <f>IFERROR(VLOOKUP(B3850,material!A:D,3,0),"")</f>
        <v>WIFI MESH</v>
      </c>
    </row>
    <row r="3851" ht="11.25" customHeight="1">
      <c r="A3851" s="21" t="str">
        <f>IFERROR(__xludf.DUMMYFUNCTION("""COMPUTED_VALUE"""),"TERMINAL EXTENSOR WIFI6 MESH H3621P")</f>
        <v>TERMINAL EXTENSOR WIFI6 MESH H3621P</v>
      </c>
      <c r="B3851" s="22">
        <f>IFERROR(__xludf.DUMMYFUNCTION("""COMPUTED_VALUE"""),4.1001593E7)</f>
        <v>41001593</v>
      </c>
      <c r="C3851" s="21" t="str">
        <f>IFERROR(__xludf.DUMMYFUNCTION("""COMPUTED_VALUE"""),"301F4855E154")</f>
        <v>301F4855E154</v>
      </c>
      <c r="D3851" s="21" t="str">
        <f>IFERROR(__xludf.DUMMYFUNCTION("""COMPUTED_VALUE"""),"DIGITEC TECNOLOGIA DIGITAL E REPRES")</f>
        <v>DIGITEC TECNOLOGIA DIGITAL E REPRES</v>
      </c>
      <c r="E3851" s="21">
        <f>IFERROR(__xludf.DUMMYFUNCTION("""COMPUTED_VALUE"""),145359.0)</f>
        <v>145359</v>
      </c>
      <c r="F3851" s="21" t="str">
        <f>IFERROR(__xludf.DUMMYFUNCTION("""COMPUTED_VALUE"""),"INICIALIZADO")</f>
        <v>INICIALIZADO</v>
      </c>
      <c r="G3851" s="23">
        <f>IFERROR(__xludf.DUMMYFUNCTION("""COMPUTED_VALUE"""),45635.53509259259)</f>
        <v>45635.53509</v>
      </c>
      <c r="H3851" s="24" t="str">
        <f>IFERROR(VLOOKUP(B3851,material!A:D,3,0),"")</f>
        <v>WIFI MESH</v>
      </c>
    </row>
    <row r="3852" ht="11.25" customHeight="1">
      <c r="A3852" s="21" t="str">
        <f>IFERROR(__xludf.DUMMYFUNCTION("""COMPUTED_VALUE"""),"TERMINAL EXTENSOR WIFI6 MESH H3621P")</f>
        <v>TERMINAL EXTENSOR WIFI6 MESH H3621P</v>
      </c>
      <c r="B3852" s="22">
        <f>IFERROR(__xludf.DUMMYFUNCTION("""COMPUTED_VALUE"""),4.1001593E7)</f>
        <v>41001593</v>
      </c>
      <c r="C3852" s="21" t="str">
        <f>IFERROR(__xludf.DUMMYFUNCTION("""COMPUTED_VALUE"""),"802D1A4FCF56")</f>
        <v>802D1A4FCF56</v>
      </c>
      <c r="D3852" s="21" t="str">
        <f>IFERROR(__xludf.DUMMYFUNCTION("""COMPUTED_VALUE"""),"DIGITEC TECNOLOGIA DIGITAL E REPRES")</f>
        <v>DIGITEC TECNOLOGIA DIGITAL E REPRES</v>
      </c>
      <c r="E3852" s="21">
        <f>IFERROR(__xludf.DUMMYFUNCTION("""COMPUTED_VALUE"""),145359.0)</f>
        <v>145359</v>
      </c>
      <c r="F3852" s="21" t="str">
        <f>IFERROR(__xludf.DUMMYFUNCTION("""COMPUTED_VALUE"""),"INICIALIZADO")</f>
        <v>INICIALIZADO</v>
      </c>
      <c r="G3852" s="23">
        <f>IFERROR(__xludf.DUMMYFUNCTION("""COMPUTED_VALUE"""),45615.61858796296)</f>
        <v>45615.61859</v>
      </c>
      <c r="H3852" s="24" t="str">
        <f>IFERROR(VLOOKUP(B3852,material!A:D,3,0),"")</f>
        <v>WIFI MESH</v>
      </c>
    </row>
    <row r="3853" ht="11.25" customHeight="1">
      <c r="A3853" s="21" t="str">
        <f>IFERROR(__xludf.DUMMYFUNCTION("""COMPUTED_VALUE"""),"TERMINAL EXTENSOR WIFI6 MESH H3621P")</f>
        <v>TERMINAL EXTENSOR WIFI6 MESH H3621P</v>
      </c>
      <c r="B3853" s="22">
        <f>IFERROR(__xludf.DUMMYFUNCTION("""COMPUTED_VALUE"""),4.1001593E7)</f>
        <v>41001593</v>
      </c>
      <c r="C3853" s="21" t="str">
        <f>IFERROR(__xludf.DUMMYFUNCTION("""COMPUTED_VALUE"""),"802D1A4FCB02")</f>
        <v>802D1A4FCB02</v>
      </c>
      <c r="D3853" s="21" t="str">
        <f>IFERROR(__xludf.DUMMYFUNCTION("""COMPUTED_VALUE"""),"DIGITEC TECNOLOGIA DIGITAL E REPRES")</f>
        <v>DIGITEC TECNOLOGIA DIGITAL E REPRES</v>
      </c>
      <c r="E3853" s="21">
        <f>IFERROR(__xludf.DUMMYFUNCTION("""COMPUTED_VALUE"""),145359.0)</f>
        <v>145359</v>
      </c>
      <c r="F3853" s="21" t="str">
        <f>IFERROR(__xludf.DUMMYFUNCTION("""COMPUTED_VALUE"""),"INICIALIZADO")</f>
        <v>INICIALIZADO</v>
      </c>
      <c r="G3853" s="23">
        <f>IFERROR(__xludf.DUMMYFUNCTION("""COMPUTED_VALUE"""),45615.61859953703)</f>
        <v>45615.6186</v>
      </c>
      <c r="H3853" s="24" t="str">
        <f>IFERROR(VLOOKUP(B3853,material!A:D,3,0),"")</f>
        <v>WIFI MESH</v>
      </c>
    </row>
    <row r="3854" ht="11.25" customHeight="1">
      <c r="A3854" s="21" t="str">
        <f>IFERROR(__xludf.DUMMYFUNCTION("""COMPUTED_VALUE"""),"TERMINAL EXTENSOR WIFI6 MESH H3621P")</f>
        <v>TERMINAL EXTENSOR WIFI6 MESH H3621P</v>
      </c>
      <c r="B3854" s="22">
        <f>IFERROR(__xludf.DUMMYFUNCTION("""COMPUTED_VALUE"""),4.1001593E7)</f>
        <v>41001593</v>
      </c>
      <c r="C3854" s="21" t="str">
        <f>IFERROR(__xludf.DUMMYFUNCTION("""COMPUTED_VALUE"""),"802D1A4FEB3A")</f>
        <v>802D1A4FEB3A</v>
      </c>
      <c r="D3854" s="21" t="str">
        <f>IFERROR(__xludf.DUMMYFUNCTION("""COMPUTED_VALUE"""),"DIGITEC TECNOLOGIA DIGITAL E REPRES")</f>
        <v>DIGITEC TECNOLOGIA DIGITAL E REPRES</v>
      </c>
      <c r="E3854" s="21">
        <f>IFERROR(__xludf.DUMMYFUNCTION("""COMPUTED_VALUE"""),145359.0)</f>
        <v>145359</v>
      </c>
      <c r="F3854" s="21" t="str">
        <f>IFERROR(__xludf.DUMMYFUNCTION("""COMPUTED_VALUE"""),"INICIALIZADO")</f>
        <v>INICIALIZADO</v>
      </c>
      <c r="G3854" s="23">
        <f>IFERROR(__xludf.DUMMYFUNCTION("""COMPUTED_VALUE"""),45635.53509259259)</f>
        <v>45635.53509</v>
      </c>
      <c r="H3854" s="24" t="str">
        <f>IFERROR(VLOOKUP(B3854,material!A:D,3,0),"")</f>
        <v>WIFI MESH</v>
      </c>
    </row>
    <row r="3855" ht="11.25" customHeight="1">
      <c r="A3855" s="21" t="str">
        <f>IFERROR(__xludf.DUMMYFUNCTION("""COMPUTED_VALUE"""),"TERMINAL EXTENSOR WIFI6 MESH H3621P")</f>
        <v>TERMINAL EXTENSOR WIFI6 MESH H3621P</v>
      </c>
      <c r="B3855" s="22">
        <f>IFERROR(__xludf.DUMMYFUNCTION("""COMPUTED_VALUE"""),4.1001593E7)</f>
        <v>41001593</v>
      </c>
      <c r="C3855" s="21" t="str">
        <f>IFERROR(__xludf.DUMMYFUNCTION("""COMPUTED_VALUE"""),"802D1A4FE8FE")</f>
        <v>802D1A4FE8FE</v>
      </c>
      <c r="D3855" s="21" t="str">
        <f>IFERROR(__xludf.DUMMYFUNCTION("""COMPUTED_VALUE"""),"DIGITEC TECNOLOGIA DIGITAL E REPRES")</f>
        <v>DIGITEC TECNOLOGIA DIGITAL E REPRES</v>
      </c>
      <c r="E3855" s="21">
        <f>IFERROR(__xludf.DUMMYFUNCTION("""COMPUTED_VALUE"""),145359.0)</f>
        <v>145359</v>
      </c>
      <c r="F3855" s="21" t="str">
        <f>IFERROR(__xludf.DUMMYFUNCTION("""COMPUTED_VALUE"""),"INICIALIZADO")</f>
        <v>INICIALIZADO</v>
      </c>
      <c r="G3855" s="23">
        <f>IFERROR(__xludf.DUMMYFUNCTION("""COMPUTED_VALUE"""),45635.53509259259)</f>
        <v>45635.53509</v>
      </c>
      <c r="H3855" s="24" t="str">
        <f>IFERROR(VLOOKUP(B3855,material!A:D,3,0),"")</f>
        <v>WIFI MESH</v>
      </c>
    </row>
    <row r="3856" ht="11.25" customHeight="1">
      <c r="A3856" s="21" t="str">
        <f>IFERROR(__xludf.DUMMYFUNCTION("""COMPUTED_VALUE"""),"TERMINAL EXTENSOR WIFI6 MESH H3621P")</f>
        <v>TERMINAL EXTENSOR WIFI6 MESH H3621P</v>
      </c>
      <c r="B3856" s="22">
        <f>IFERROR(__xludf.DUMMYFUNCTION("""COMPUTED_VALUE"""),4.1001593E7)</f>
        <v>41001593</v>
      </c>
      <c r="C3856" s="21" t="str">
        <f>IFERROR(__xludf.DUMMYFUNCTION("""COMPUTED_VALUE"""),"802D1A4FF0EE")</f>
        <v>802D1A4FF0EE</v>
      </c>
      <c r="D3856" s="21" t="str">
        <f>IFERROR(__xludf.DUMMYFUNCTION("""COMPUTED_VALUE"""),"DIGITEC TECNOLOGIA DIGITAL E REPRES")</f>
        <v>DIGITEC TECNOLOGIA DIGITAL E REPRES</v>
      </c>
      <c r="E3856" s="21">
        <f>IFERROR(__xludf.DUMMYFUNCTION("""COMPUTED_VALUE"""),145359.0)</f>
        <v>145359</v>
      </c>
      <c r="F3856" s="21" t="str">
        <f>IFERROR(__xludf.DUMMYFUNCTION("""COMPUTED_VALUE"""),"INICIALIZADO")</f>
        <v>INICIALIZADO</v>
      </c>
      <c r="G3856" s="23">
        <f>IFERROR(__xludf.DUMMYFUNCTION("""COMPUTED_VALUE"""),45635.53509259259)</f>
        <v>45635.53509</v>
      </c>
      <c r="H3856" s="24" t="str">
        <f>IFERROR(VLOOKUP(B3856,material!A:D,3,0),"")</f>
        <v>WIFI MESH</v>
      </c>
    </row>
    <row r="3857" ht="11.25" customHeight="1">
      <c r="A3857" s="21" t="str">
        <f>IFERROR(__xludf.DUMMYFUNCTION("""COMPUTED_VALUE"""),"TERMINAL EXTENSOR WIFI6 MESH H3621P")</f>
        <v>TERMINAL EXTENSOR WIFI6 MESH H3621P</v>
      </c>
      <c r="B3857" s="22">
        <f>IFERROR(__xludf.DUMMYFUNCTION("""COMPUTED_VALUE"""),4.1001593E7)</f>
        <v>41001593</v>
      </c>
      <c r="C3857" s="21" t="str">
        <f>IFERROR(__xludf.DUMMYFUNCTION("""COMPUTED_VALUE"""),"802D1A4FEFB6")</f>
        <v>802D1A4FEFB6</v>
      </c>
      <c r="D3857" s="21" t="str">
        <f>IFERROR(__xludf.DUMMYFUNCTION("""COMPUTED_VALUE"""),"DIGITEC TECNOLOGIA DIGITAL E REPRES")</f>
        <v>DIGITEC TECNOLOGIA DIGITAL E REPRES</v>
      </c>
      <c r="E3857" s="21">
        <f>IFERROR(__xludf.DUMMYFUNCTION("""COMPUTED_VALUE"""),145359.0)</f>
        <v>145359</v>
      </c>
      <c r="F3857" s="21" t="str">
        <f>IFERROR(__xludf.DUMMYFUNCTION("""COMPUTED_VALUE"""),"INICIALIZADO")</f>
        <v>INICIALIZADO</v>
      </c>
      <c r="G3857" s="23">
        <f>IFERROR(__xludf.DUMMYFUNCTION("""COMPUTED_VALUE"""),45635.53509259259)</f>
        <v>45635.53509</v>
      </c>
      <c r="H3857" s="24" t="str">
        <f>IFERROR(VLOOKUP(B3857,material!A:D,3,0),"")</f>
        <v>WIFI MESH</v>
      </c>
    </row>
    <row r="3858" ht="11.25" customHeight="1">
      <c r="A3858" s="21" t="str">
        <f>IFERROR(__xludf.DUMMYFUNCTION("""COMPUTED_VALUE"""),"TERMINAL EXTENSOR WIFI6 MESH H3621P")</f>
        <v>TERMINAL EXTENSOR WIFI6 MESH H3621P</v>
      </c>
      <c r="B3858" s="22">
        <f>IFERROR(__xludf.DUMMYFUNCTION("""COMPUTED_VALUE"""),4.1001593E7)</f>
        <v>41001593</v>
      </c>
      <c r="C3858" s="21" t="str">
        <f>IFERROR(__xludf.DUMMYFUNCTION("""COMPUTED_VALUE"""),"802D1A4FEF96")</f>
        <v>802D1A4FEF96</v>
      </c>
      <c r="D3858" s="21" t="str">
        <f>IFERROR(__xludf.DUMMYFUNCTION("""COMPUTED_VALUE"""),"DIGITEC TECNOLOGIA DIGITAL E REPRES")</f>
        <v>DIGITEC TECNOLOGIA DIGITAL E REPRES</v>
      </c>
      <c r="E3858" s="21">
        <f>IFERROR(__xludf.DUMMYFUNCTION("""COMPUTED_VALUE"""),145359.0)</f>
        <v>145359</v>
      </c>
      <c r="F3858" s="21" t="str">
        <f>IFERROR(__xludf.DUMMYFUNCTION("""COMPUTED_VALUE"""),"INICIALIZADO")</f>
        <v>INICIALIZADO</v>
      </c>
      <c r="G3858" s="23">
        <f>IFERROR(__xludf.DUMMYFUNCTION("""COMPUTED_VALUE"""),45635.53509259259)</f>
        <v>45635.53509</v>
      </c>
      <c r="H3858" s="24" t="str">
        <f>IFERROR(VLOOKUP(B3858,material!A:D,3,0),"")</f>
        <v>WIFI MESH</v>
      </c>
    </row>
    <row r="3859" ht="11.25" customHeight="1">
      <c r="A3859" s="21" t="str">
        <f>IFERROR(__xludf.DUMMYFUNCTION("""COMPUTED_VALUE"""),"TERMINAL EXTENSOR WIFI6 MESH H3621P")</f>
        <v>TERMINAL EXTENSOR WIFI6 MESH H3621P</v>
      </c>
      <c r="B3859" s="22">
        <f>IFERROR(__xludf.DUMMYFUNCTION("""COMPUTED_VALUE"""),4.1001593E7)</f>
        <v>41001593</v>
      </c>
      <c r="C3859" s="21" t="str">
        <f>IFERROR(__xludf.DUMMYFUNCTION("""COMPUTED_VALUE"""),"802D1A4FEF82")</f>
        <v>802D1A4FEF82</v>
      </c>
      <c r="D3859" s="21" t="str">
        <f>IFERROR(__xludf.DUMMYFUNCTION("""COMPUTED_VALUE"""),"DIGITEC TECNOLOGIA DIGITAL E REPRES")</f>
        <v>DIGITEC TECNOLOGIA DIGITAL E REPRES</v>
      </c>
      <c r="E3859" s="21">
        <f>IFERROR(__xludf.DUMMYFUNCTION("""COMPUTED_VALUE"""),145359.0)</f>
        <v>145359</v>
      </c>
      <c r="F3859" s="21" t="str">
        <f>IFERROR(__xludf.DUMMYFUNCTION("""COMPUTED_VALUE"""),"INICIALIZADO")</f>
        <v>INICIALIZADO</v>
      </c>
      <c r="G3859" s="23">
        <f>IFERROR(__xludf.DUMMYFUNCTION("""COMPUTED_VALUE"""),45635.53509259259)</f>
        <v>45635.53509</v>
      </c>
      <c r="H3859" s="24" t="str">
        <f>IFERROR(VLOOKUP(B3859,material!A:D,3,0),"")</f>
        <v>WIFI MESH</v>
      </c>
    </row>
    <row r="3860" ht="11.25" customHeight="1">
      <c r="A3860" s="21" t="str">
        <f>IFERROR(__xludf.DUMMYFUNCTION("""COMPUTED_VALUE"""),"TERMINAL EXTENSOR WIFI6 MESH H3621P")</f>
        <v>TERMINAL EXTENSOR WIFI6 MESH H3621P</v>
      </c>
      <c r="B3860" s="22">
        <f>IFERROR(__xludf.DUMMYFUNCTION("""COMPUTED_VALUE"""),4.1001593E7)</f>
        <v>41001593</v>
      </c>
      <c r="C3860" s="21" t="str">
        <f>IFERROR(__xludf.DUMMYFUNCTION("""COMPUTED_VALUE"""),"802D1A4FF1D2")</f>
        <v>802D1A4FF1D2</v>
      </c>
      <c r="D3860" s="21" t="str">
        <f>IFERROR(__xludf.DUMMYFUNCTION("""COMPUTED_VALUE"""),"DIGITEC TECNOLOGIA DIGITAL E REPRES")</f>
        <v>DIGITEC TECNOLOGIA DIGITAL E REPRES</v>
      </c>
      <c r="E3860" s="21">
        <f>IFERROR(__xludf.DUMMYFUNCTION("""COMPUTED_VALUE"""),145359.0)</f>
        <v>145359</v>
      </c>
      <c r="F3860" s="21" t="str">
        <f>IFERROR(__xludf.DUMMYFUNCTION("""COMPUTED_VALUE"""),"INICIALIZADO")</f>
        <v>INICIALIZADO</v>
      </c>
      <c r="G3860" s="23">
        <f>IFERROR(__xludf.DUMMYFUNCTION("""COMPUTED_VALUE"""),45635.53509259259)</f>
        <v>45635.53509</v>
      </c>
      <c r="H3860" s="24" t="str">
        <f>IFERROR(VLOOKUP(B3860,material!A:D,3,0),"")</f>
        <v>WIFI MESH</v>
      </c>
    </row>
    <row r="3861" ht="11.25" customHeight="1">
      <c r="A3861" s="21" t="str">
        <f>IFERROR(__xludf.DUMMYFUNCTION("""COMPUTED_VALUE"""),"TERMINAL EXTENSOR WIFI6 MESH H3621P")</f>
        <v>TERMINAL EXTENSOR WIFI6 MESH H3621P</v>
      </c>
      <c r="B3861" s="22">
        <f>IFERROR(__xludf.DUMMYFUNCTION("""COMPUTED_VALUE"""),4.1001593E7)</f>
        <v>41001593</v>
      </c>
      <c r="C3861" s="21" t="str">
        <f>IFERROR(__xludf.DUMMYFUNCTION("""COMPUTED_VALUE"""),"802D1A4FF322")</f>
        <v>802D1A4FF322</v>
      </c>
      <c r="D3861" s="21" t="str">
        <f>IFERROR(__xludf.DUMMYFUNCTION("""COMPUTED_VALUE"""),"DIGITEC TECNOLOGIA DIGITAL E REPRES")</f>
        <v>DIGITEC TECNOLOGIA DIGITAL E REPRES</v>
      </c>
      <c r="E3861" s="21">
        <f>IFERROR(__xludf.DUMMYFUNCTION("""COMPUTED_VALUE"""),145359.0)</f>
        <v>145359</v>
      </c>
      <c r="F3861" s="21" t="str">
        <f>IFERROR(__xludf.DUMMYFUNCTION("""COMPUTED_VALUE"""),"INICIALIZADO")</f>
        <v>INICIALIZADO</v>
      </c>
      <c r="G3861" s="23">
        <f>IFERROR(__xludf.DUMMYFUNCTION("""COMPUTED_VALUE"""),45635.53509259259)</f>
        <v>45635.53509</v>
      </c>
      <c r="H3861" s="24" t="str">
        <f>IFERROR(VLOOKUP(B3861,material!A:D,3,0),"")</f>
        <v>WIFI MESH</v>
      </c>
    </row>
    <row r="3862" ht="11.25" customHeight="1">
      <c r="A3862" s="21" t="str">
        <f>IFERROR(__xludf.DUMMYFUNCTION("""COMPUTED_VALUE"""),"TERMINAL EXTENSOR WIFI6 MESH H3621P")</f>
        <v>TERMINAL EXTENSOR WIFI6 MESH H3621P</v>
      </c>
      <c r="B3862" s="22">
        <f>IFERROR(__xludf.DUMMYFUNCTION("""COMPUTED_VALUE"""),4.1001593E7)</f>
        <v>41001593</v>
      </c>
      <c r="C3862" s="21" t="str">
        <f>IFERROR(__xludf.DUMMYFUNCTION("""COMPUTED_VALUE"""),"802D1A4FF282")</f>
        <v>802D1A4FF282</v>
      </c>
      <c r="D3862" s="21" t="str">
        <f>IFERROR(__xludf.DUMMYFUNCTION("""COMPUTED_VALUE"""),"DIGITEC TECNOLOGIA DIGITAL E REPRES")</f>
        <v>DIGITEC TECNOLOGIA DIGITAL E REPRES</v>
      </c>
      <c r="E3862" s="21">
        <f>IFERROR(__xludf.DUMMYFUNCTION("""COMPUTED_VALUE"""),145359.0)</f>
        <v>145359</v>
      </c>
      <c r="F3862" s="21" t="str">
        <f>IFERROR(__xludf.DUMMYFUNCTION("""COMPUTED_VALUE"""),"INICIALIZADO")</f>
        <v>INICIALIZADO</v>
      </c>
      <c r="G3862" s="23">
        <f>IFERROR(__xludf.DUMMYFUNCTION("""COMPUTED_VALUE"""),45635.53509259259)</f>
        <v>45635.53509</v>
      </c>
      <c r="H3862" s="24" t="str">
        <f>IFERROR(VLOOKUP(B3862,material!A:D,3,0),"")</f>
        <v>WIFI MESH</v>
      </c>
    </row>
    <row r="3863" ht="11.25" customHeight="1">
      <c r="A3863" s="21" t="str">
        <f>IFERROR(__xludf.DUMMYFUNCTION("""COMPUTED_VALUE"""),"TERMINAL EXTENSOR WIFI6 MESH H3621P")</f>
        <v>TERMINAL EXTENSOR WIFI6 MESH H3621P</v>
      </c>
      <c r="B3863" s="22">
        <f>IFERROR(__xludf.DUMMYFUNCTION("""COMPUTED_VALUE"""),4.1001593E7)</f>
        <v>41001593</v>
      </c>
      <c r="C3863" s="21" t="str">
        <f>IFERROR(__xludf.DUMMYFUNCTION("""COMPUTED_VALUE"""),"802D1A4FF122")</f>
        <v>802D1A4FF122</v>
      </c>
      <c r="D3863" s="21" t="str">
        <f>IFERROR(__xludf.DUMMYFUNCTION("""COMPUTED_VALUE"""),"DIGITEC TECNOLOGIA DIGITAL E REPRES")</f>
        <v>DIGITEC TECNOLOGIA DIGITAL E REPRES</v>
      </c>
      <c r="E3863" s="21">
        <f>IFERROR(__xludf.DUMMYFUNCTION("""COMPUTED_VALUE"""),145359.0)</f>
        <v>145359</v>
      </c>
      <c r="F3863" s="21" t="str">
        <f>IFERROR(__xludf.DUMMYFUNCTION("""COMPUTED_VALUE"""),"INICIALIZADO")</f>
        <v>INICIALIZADO</v>
      </c>
      <c r="G3863" s="23">
        <f>IFERROR(__xludf.DUMMYFUNCTION("""COMPUTED_VALUE"""),45635.53509259259)</f>
        <v>45635.53509</v>
      </c>
      <c r="H3863" s="24" t="str">
        <f>IFERROR(VLOOKUP(B3863,material!A:D,3,0),"")</f>
        <v>WIFI MESH</v>
      </c>
    </row>
    <row r="3864" ht="11.25" customHeight="1">
      <c r="A3864" s="21" t="str">
        <f>IFERROR(__xludf.DUMMYFUNCTION("""COMPUTED_VALUE"""),"TERMINAL EXTENSOR WIFI6 MESH H3621P")</f>
        <v>TERMINAL EXTENSOR WIFI6 MESH H3621P</v>
      </c>
      <c r="B3864" s="22">
        <f>IFERROR(__xludf.DUMMYFUNCTION("""COMPUTED_VALUE"""),4.1001593E7)</f>
        <v>41001593</v>
      </c>
      <c r="C3864" s="21" t="str">
        <f>IFERROR(__xludf.DUMMYFUNCTION("""COMPUTED_VALUE"""),"301F48568B1C")</f>
        <v>301F48568B1C</v>
      </c>
      <c r="D3864" s="21" t="str">
        <f>IFERROR(__xludf.DUMMYFUNCTION("""COMPUTED_VALUE"""),"DIGITEC TECNOLOGIA DIGITAL E REPRES")</f>
        <v>DIGITEC TECNOLOGIA DIGITAL E REPRES</v>
      </c>
      <c r="E3864" s="21">
        <f>IFERROR(__xludf.DUMMYFUNCTION("""COMPUTED_VALUE"""),145359.0)</f>
        <v>145359</v>
      </c>
      <c r="F3864" s="21" t="str">
        <f>IFERROR(__xludf.DUMMYFUNCTION("""COMPUTED_VALUE"""),"INICIALIZADO")</f>
        <v>INICIALIZADO</v>
      </c>
      <c r="G3864" s="23">
        <f>IFERROR(__xludf.DUMMYFUNCTION("""COMPUTED_VALUE"""),45555.732199074075)</f>
        <v>45555.7322</v>
      </c>
      <c r="H3864" s="24" t="str">
        <f>IFERROR(VLOOKUP(B3864,material!A:D,3,0),"")</f>
        <v>WIFI MESH</v>
      </c>
    </row>
    <row r="3865" ht="11.25" customHeight="1">
      <c r="A3865" s="21" t="str">
        <f>IFERROR(__xludf.DUMMYFUNCTION("""COMPUTED_VALUE"""),"TERMINAL EXTENSOR WIFI6 MESH H3621P")</f>
        <v>TERMINAL EXTENSOR WIFI6 MESH H3621P</v>
      </c>
      <c r="B3865" s="22">
        <f>IFERROR(__xludf.DUMMYFUNCTION("""COMPUTED_VALUE"""),4.1001593E7)</f>
        <v>41001593</v>
      </c>
      <c r="C3865" s="21" t="str">
        <f>IFERROR(__xludf.DUMMYFUNCTION("""COMPUTED_VALUE"""),"802D1A4F73C2")</f>
        <v>802D1A4F73C2</v>
      </c>
      <c r="D3865" s="21" t="str">
        <f>IFERROR(__xludf.DUMMYFUNCTION("""COMPUTED_VALUE"""),"DIGITEC TECNOLOGIA DIGITAL E REPRES")</f>
        <v>DIGITEC TECNOLOGIA DIGITAL E REPRES</v>
      </c>
      <c r="E3865" s="21">
        <f>IFERROR(__xludf.DUMMYFUNCTION("""COMPUTED_VALUE"""),145359.0)</f>
        <v>145359</v>
      </c>
      <c r="F3865" s="21" t="str">
        <f>IFERROR(__xludf.DUMMYFUNCTION("""COMPUTED_VALUE"""),"INICIALIZADO")</f>
        <v>INICIALIZADO</v>
      </c>
      <c r="G3865" s="23">
        <f>IFERROR(__xludf.DUMMYFUNCTION("""COMPUTED_VALUE"""),45593.485567129625)</f>
        <v>45593.48557</v>
      </c>
      <c r="H3865" s="24" t="str">
        <f>IFERROR(VLOOKUP(B3865,material!A:D,3,0),"")</f>
        <v>WIFI MESH</v>
      </c>
    </row>
    <row r="3866" ht="11.25" customHeight="1">
      <c r="A3866" s="21" t="str">
        <f>IFERROR(__xludf.DUMMYFUNCTION("""COMPUTED_VALUE"""),"TERMINAL EXTENSOR WIFI6 MESH H3621P")</f>
        <v>TERMINAL EXTENSOR WIFI6 MESH H3621P</v>
      </c>
      <c r="B3866" s="22">
        <f>IFERROR(__xludf.DUMMYFUNCTION("""COMPUTED_VALUE"""),4.1001593E7)</f>
        <v>41001593</v>
      </c>
      <c r="C3866" s="21" t="str">
        <f>IFERROR(__xludf.DUMMYFUNCTION("""COMPUTED_VALUE"""),"802D1A4FCC7E")</f>
        <v>802D1A4FCC7E</v>
      </c>
      <c r="D3866" s="21" t="str">
        <f>IFERROR(__xludf.DUMMYFUNCTION("""COMPUTED_VALUE"""),"DIGITEC TECNOLOGIA DIGITAL E REPRES")</f>
        <v>DIGITEC TECNOLOGIA DIGITAL E REPRES</v>
      </c>
      <c r="E3866" s="21">
        <f>IFERROR(__xludf.DUMMYFUNCTION("""COMPUTED_VALUE"""),145359.0)</f>
        <v>145359</v>
      </c>
      <c r="F3866" s="21" t="str">
        <f>IFERROR(__xludf.DUMMYFUNCTION("""COMPUTED_VALUE"""),"INICIALIZADO")</f>
        <v>INICIALIZADO</v>
      </c>
      <c r="G3866" s="23">
        <f>IFERROR(__xludf.DUMMYFUNCTION("""COMPUTED_VALUE"""),45615.61859953703)</f>
        <v>45615.6186</v>
      </c>
      <c r="H3866" s="24" t="str">
        <f>IFERROR(VLOOKUP(B3866,material!A:D,3,0),"")</f>
        <v>WIFI MESH</v>
      </c>
    </row>
    <row r="3867" ht="11.25" customHeight="1">
      <c r="A3867" s="21" t="str">
        <f>IFERROR(__xludf.DUMMYFUNCTION("""COMPUTED_VALUE"""),"TERMINAL EXTENSOR WIFI6 MESH H3621P")</f>
        <v>TERMINAL EXTENSOR WIFI6 MESH H3621P</v>
      </c>
      <c r="B3867" s="22">
        <f>IFERROR(__xludf.DUMMYFUNCTION("""COMPUTED_VALUE"""),4.1001593E7)</f>
        <v>41001593</v>
      </c>
      <c r="C3867" s="21" t="str">
        <f>IFERROR(__xludf.DUMMYFUNCTION("""COMPUTED_VALUE"""),"301F485689C8")</f>
        <v>301F485689C8</v>
      </c>
      <c r="D3867" s="21" t="str">
        <f>IFERROR(__xludf.DUMMYFUNCTION("""COMPUTED_VALUE"""),"DIGITEC TECNOLOGIA DIGITAL E REPRES")</f>
        <v>DIGITEC TECNOLOGIA DIGITAL E REPRES</v>
      </c>
      <c r="E3867" s="21">
        <f>IFERROR(__xludf.DUMMYFUNCTION("""COMPUTED_VALUE"""),145359.0)</f>
        <v>145359</v>
      </c>
      <c r="F3867" s="21" t="str">
        <f>IFERROR(__xludf.DUMMYFUNCTION("""COMPUTED_VALUE"""),"INICIALIZADO")</f>
        <v>INICIALIZADO</v>
      </c>
      <c r="G3867" s="23">
        <f>IFERROR(__xludf.DUMMYFUNCTION("""COMPUTED_VALUE"""),45555.732199074075)</f>
        <v>45555.7322</v>
      </c>
      <c r="H3867" s="24" t="str">
        <f>IFERROR(VLOOKUP(B3867,material!A:D,3,0),"")</f>
        <v>WIFI MESH</v>
      </c>
    </row>
    <row r="3868" ht="11.25" customHeight="1">
      <c r="A3868" s="21" t="str">
        <f>IFERROR(__xludf.DUMMYFUNCTION("""COMPUTED_VALUE"""),"TERMINAL EXTENSOR WIFI6 MESH H3621P")</f>
        <v>TERMINAL EXTENSOR WIFI6 MESH H3621P</v>
      </c>
      <c r="B3868" s="22">
        <f>IFERROR(__xludf.DUMMYFUNCTION("""COMPUTED_VALUE"""),4.1001593E7)</f>
        <v>41001593</v>
      </c>
      <c r="C3868" s="21" t="str">
        <f>IFERROR(__xludf.DUMMYFUNCTION("""COMPUTED_VALUE"""),"301F485685CC")</f>
        <v>301F485685CC</v>
      </c>
      <c r="D3868" s="21" t="str">
        <f>IFERROR(__xludf.DUMMYFUNCTION("""COMPUTED_VALUE"""),"DIGITEC TECNOLOGIA DIGITAL E REPRES")</f>
        <v>DIGITEC TECNOLOGIA DIGITAL E REPRES</v>
      </c>
      <c r="E3868" s="21">
        <f>IFERROR(__xludf.DUMMYFUNCTION("""COMPUTED_VALUE"""),145359.0)</f>
        <v>145359</v>
      </c>
      <c r="F3868" s="21" t="str">
        <f>IFERROR(__xludf.DUMMYFUNCTION("""COMPUTED_VALUE"""),"INICIALIZADO")</f>
        <v>INICIALIZADO</v>
      </c>
      <c r="G3868" s="23">
        <f>IFERROR(__xludf.DUMMYFUNCTION("""COMPUTED_VALUE"""),45555.732210648144)</f>
        <v>45555.73221</v>
      </c>
      <c r="H3868" s="24" t="str">
        <f>IFERROR(VLOOKUP(B3868,material!A:D,3,0),"")</f>
        <v>WIFI MESH</v>
      </c>
    </row>
    <row r="3869" ht="11.25" customHeight="1">
      <c r="A3869" s="21" t="str">
        <f>IFERROR(__xludf.DUMMYFUNCTION("""COMPUTED_VALUE"""),"TERMINAL EXTENSOR WIFI6 MESH H3621P")</f>
        <v>TERMINAL EXTENSOR WIFI6 MESH H3621P</v>
      </c>
      <c r="B3869" s="22">
        <f>IFERROR(__xludf.DUMMYFUNCTION("""COMPUTED_VALUE"""),4.1001593E7)</f>
        <v>41001593</v>
      </c>
      <c r="C3869" s="21" t="str">
        <f>IFERROR(__xludf.DUMMYFUNCTION("""COMPUTED_VALUE"""),"301F485689EC")</f>
        <v>301F485689EC</v>
      </c>
      <c r="D3869" s="21" t="str">
        <f>IFERROR(__xludf.DUMMYFUNCTION("""COMPUTED_VALUE"""),"DIGITEC TECNOLOGIA DIGITAL E REPRES")</f>
        <v>DIGITEC TECNOLOGIA DIGITAL E REPRES</v>
      </c>
      <c r="E3869" s="21">
        <f>IFERROR(__xludf.DUMMYFUNCTION("""COMPUTED_VALUE"""),145359.0)</f>
        <v>145359</v>
      </c>
      <c r="F3869" s="21" t="str">
        <f>IFERROR(__xludf.DUMMYFUNCTION("""COMPUTED_VALUE"""),"INICIALIZADO")</f>
        <v>INICIALIZADO</v>
      </c>
      <c r="G3869" s="23">
        <f>IFERROR(__xludf.DUMMYFUNCTION("""COMPUTED_VALUE"""),45555.732199074075)</f>
        <v>45555.7322</v>
      </c>
      <c r="H3869" s="24" t="str">
        <f>IFERROR(VLOOKUP(B3869,material!A:D,3,0),"")</f>
        <v>WIFI MESH</v>
      </c>
    </row>
    <row r="3870" ht="11.25" customHeight="1">
      <c r="A3870" s="21" t="str">
        <f>IFERROR(__xludf.DUMMYFUNCTION("""COMPUTED_VALUE"""),"TERMINAL EXTENSOR WIFI6 MESH H3621P")</f>
        <v>TERMINAL EXTENSOR WIFI6 MESH H3621P</v>
      </c>
      <c r="B3870" s="22">
        <f>IFERROR(__xludf.DUMMYFUNCTION("""COMPUTED_VALUE"""),4.1001593E7)</f>
        <v>41001593</v>
      </c>
      <c r="C3870" s="21" t="str">
        <f>IFERROR(__xludf.DUMMYFUNCTION("""COMPUTED_VALUE"""),"301F48568AE4")</f>
        <v>301F48568AE4</v>
      </c>
      <c r="D3870" s="21" t="str">
        <f>IFERROR(__xludf.DUMMYFUNCTION("""COMPUTED_VALUE"""),"DIGITEC TECNOLOGIA DIGITAL E REPRES")</f>
        <v>DIGITEC TECNOLOGIA DIGITAL E REPRES</v>
      </c>
      <c r="E3870" s="21">
        <f>IFERROR(__xludf.DUMMYFUNCTION("""COMPUTED_VALUE"""),145359.0)</f>
        <v>145359</v>
      </c>
      <c r="F3870" s="21" t="str">
        <f>IFERROR(__xludf.DUMMYFUNCTION("""COMPUTED_VALUE"""),"INICIALIZADO")</f>
        <v>INICIALIZADO</v>
      </c>
      <c r="G3870" s="23">
        <f>IFERROR(__xludf.DUMMYFUNCTION("""COMPUTED_VALUE"""),45555.732199074075)</f>
        <v>45555.7322</v>
      </c>
      <c r="H3870" s="24" t="str">
        <f>IFERROR(VLOOKUP(B3870,material!A:D,3,0),"")</f>
        <v>WIFI MESH</v>
      </c>
    </row>
    <row r="3871" ht="11.25" customHeight="1">
      <c r="A3871" s="21" t="str">
        <f>IFERROR(__xludf.DUMMYFUNCTION("""COMPUTED_VALUE"""),"TERMINAL EXTENSOR WIFI6 MESH H3621P")</f>
        <v>TERMINAL EXTENSOR WIFI6 MESH H3621P</v>
      </c>
      <c r="B3871" s="22">
        <f>IFERROR(__xludf.DUMMYFUNCTION("""COMPUTED_VALUE"""),4.1001593E7)</f>
        <v>41001593</v>
      </c>
      <c r="C3871" s="21" t="str">
        <f>IFERROR(__xludf.DUMMYFUNCTION("""COMPUTED_VALUE"""),"301F4854349C")</f>
        <v>301F4854349C</v>
      </c>
      <c r="D3871" s="21" t="str">
        <f>IFERROR(__xludf.DUMMYFUNCTION("""COMPUTED_VALUE"""),"DIGITEC TECNOLOGIA DIGITAL E REPRES")</f>
        <v>DIGITEC TECNOLOGIA DIGITAL E REPRES</v>
      </c>
      <c r="E3871" s="21">
        <f>IFERROR(__xludf.DUMMYFUNCTION("""COMPUTED_VALUE"""),145359.0)</f>
        <v>145359</v>
      </c>
      <c r="F3871" s="21" t="str">
        <f>IFERROR(__xludf.DUMMYFUNCTION("""COMPUTED_VALUE"""),"INICIALIZADO")</f>
        <v>INICIALIZADO</v>
      </c>
      <c r="G3871" s="23">
        <f>IFERROR(__xludf.DUMMYFUNCTION("""COMPUTED_VALUE"""),45495.67136574074)</f>
        <v>45495.67137</v>
      </c>
      <c r="H3871" s="24" t="str">
        <f>IFERROR(VLOOKUP(B3871,material!A:D,3,0),"")</f>
        <v>WIFI MESH</v>
      </c>
    </row>
    <row r="3872" ht="11.25" customHeight="1">
      <c r="A3872" s="21" t="str">
        <f>IFERROR(__xludf.DUMMYFUNCTION("""COMPUTED_VALUE"""),"TERMINAL EXTENSOR WIFI6 MESH H3621P")</f>
        <v>TERMINAL EXTENSOR WIFI6 MESH H3621P</v>
      </c>
      <c r="B3872" s="22">
        <f>IFERROR(__xludf.DUMMYFUNCTION("""COMPUTED_VALUE"""),4.1001593E7)</f>
        <v>41001593</v>
      </c>
      <c r="C3872" s="21" t="str">
        <f>IFERROR(__xludf.DUMMYFUNCTION("""COMPUTED_VALUE"""),"301F485433A0")</f>
        <v>301F485433A0</v>
      </c>
      <c r="D3872" s="21" t="str">
        <f>IFERROR(__xludf.DUMMYFUNCTION("""COMPUTED_VALUE"""),"DIGITEC TECNOLOGIA DIGITAL E REPRES")</f>
        <v>DIGITEC TECNOLOGIA DIGITAL E REPRES</v>
      </c>
      <c r="E3872" s="21">
        <f>IFERROR(__xludf.DUMMYFUNCTION("""COMPUTED_VALUE"""),145359.0)</f>
        <v>145359</v>
      </c>
      <c r="F3872" s="21" t="str">
        <f>IFERROR(__xludf.DUMMYFUNCTION("""COMPUTED_VALUE"""),"INICIALIZADO")</f>
        <v>INICIALIZADO</v>
      </c>
      <c r="G3872" s="23">
        <f>IFERROR(__xludf.DUMMYFUNCTION("""COMPUTED_VALUE"""),45495.67135416667)</f>
        <v>45495.67135</v>
      </c>
      <c r="H3872" s="24" t="str">
        <f>IFERROR(VLOOKUP(B3872,material!A:D,3,0),"")</f>
        <v>WIFI MESH</v>
      </c>
    </row>
    <row r="3873" ht="11.25" customHeight="1">
      <c r="A3873" s="21" t="str">
        <f>IFERROR(__xludf.DUMMYFUNCTION("""COMPUTED_VALUE"""),"TERMINAL EXTENSOR WIFI6 MESH H3621P")</f>
        <v>TERMINAL EXTENSOR WIFI6 MESH H3621P</v>
      </c>
      <c r="B3873" s="22">
        <f>IFERROR(__xludf.DUMMYFUNCTION("""COMPUTED_VALUE"""),4.1001593E7)</f>
        <v>41001593</v>
      </c>
      <c r="C3873" s="21" t="str">
        <f>IFERROR(__xludf.DUMMYFUNCTION("""COMPUTED_VALUE"""),"301F48543688")</f>
        <v>301F48543688</v>
      </c>
      <c r="D3873" s="21" t="str">
        <f>IFERROR(__xludf.DUMMYFUNCTION("""COMPUTED_VALUE"""),"DIGITEC TECNOLOGIA DIGITAL E REPRES")</f>
        <v>DIGITEC TECNOLOGIA DIGITAL E REPRES</v>
      </c>
      <c r="E3873" s="21">
        <f>IFERROR(__xludf.DUMMYFUNCTION("""COMPUTED_VALUE"""),145359.0)</f>
        <v>145359</v>
      </c>
      <c r="F3873" s="21" t="str">
        <f>IFERROR(__xludf.DUMMYFUNCTION("""COMPUTED_VALUE"""),"INICIALIZADO")</f>
        <v>INICIALIZADO</v>
      </c>
      <c r="G3873" s="23">
        <f>IFERROR(__xludf.DUMMYFUNCTION("""COMPUTED_VALUE"""),45495.67135416667)</f>
        <v>45495.67135</v>
      </c>
      <c r="H3873" s="24" t="str">
        <f>IFERROR(VLOOKUP(B3873,material!A:D,3,0),"")</f>
        <v>WIFI MESH</v>
      </c>
    </row>
    <row r="3874" ht="11.25" customHeight="1">
      <c r="A3874" s="21" t="str">
        <f>IFERROR(__xludf.DUMMYFUNCTION("""COMPUTED_VALUE"""),"TERMINAL EXTENSOR WIFI6 MESH H3621P")</f>
        <v>TERMINAL EXTENSOR WIFI6 MESH H3621P</v>
      </c>
      <c r="B3874" s="22">
        <f>IFERROR(__xludf.DUMMYFUNCTION("""COMPUTED_VALUE"""),4.1001593E7)</f>
        <v>41001593</v>
      </c>
      <c r="C3874" s="21" t="str">
        <f>IFERROR(__xludf.DUMMYFUNCTION("""COMPUTED_VALUE"""),"301F48543608")</f>
        <v>301F48543608</v>
      </c>
      <c r="D3874" s="21" t="str">
        <f>IFERROR(__xludf.DUMMYFUNCTION("""COMPUTED_VALUE"""),"DIGITEC TECNOLOGIA DIGITAL E REPRES")</f>
        <v>DIGITEC TECNOLOGIA DIGITAL E REPRES</v>
      </c>
      <c r="E3874" s="21">
        <f>IFERROR(__xludf.DUMMYFUNCTION("""COMPUTED_VALUE"""),145359.0)</f>
        <v>145359</v>
      </c>
      <c r="F3874" s="21" t="str">
        <f>IFERROR(__xludf.DUMMYFUNCTION("""COMPUTED_VALUE"""),"INICIALIZADO")</f>
        <v>INICIALIZADO</v>
      </c>
      <c r="G3874" s="23">
        <f>IFERROR(__xludf.DUMMYFUNCTION("""COMPUTED_VALUE"""),45495.67135416667)</f>
        <v>45495.67135</v>
      </c>
      <c r="H3874" s="24" t="str">
        <f>IFERROR(VLOOKUP(B3874,material!A:D,3,0),"")</f>
        <v>WIFI MESH</v>
      </c>
    </row>
    <row r="3875" ht="11.25" customHeight="1">
      <c r="A3875" s="21" t="str">
        <f>IFERROR(__xludf.DUMMYFUNCTION("""COMPUTED_VALUE"""),"TERMINAL EXTENSOR WIFI6 MESH H3621P")</f>
        <v>TERMINAL EXTENSOR WIFI6 MESH H3621P</v>
      </c>
      <c r="B3875" s="22">
        <f>IFERROR(__xludf.DUMMYFUNCTION("""COMPUTED_VALUE"""),4.1001593E7)</f>
        <v>41001593</v>
      </c>
      <c r="C3875" s="21" t="str">
        <f>IFERROR(__xludf.DUMMYFUNCTION("""COMPUTED_VALUE"""),"301F48543E74")</f>
        <v>301F48543E74</v>
      </c>
      <c r="D3875" s="21" t="str">
        <f>IFERROR(__xludf.DUMMYFUNCTION("""COMPUTED_VALUE"""),"DIGITEC TECNOLOGIA DIGITAL E REPRES")</f>
        <v>DIGITEC TECNOLOGIA DIGITAL E REPRES</v>
      </c>
      <c r="E3875" s="21">
        <f>IFERROR(__xludf.DUMMYFUNCTION("""COMPUTED_VALUE"""),145359.0)</f>
        <v>145359</v>
      </c>
      <c r="F3875" s="21" t="str">
        <f>IFERROR(__xludf.DUMMYFUNCTION("""COMPUTED_VALUE"""),"INICIALIZADO")</f>
        <v>INICIALIZADO</v>
      </c>
      <c r="G3875" s="23">
        <f>IFERROR(__xludf.DUMMYFUNCTION("""COMPUTED_VALUE"""),45573.66679398148)</f>
        <v>45573.66679</v>
      </c>
      <c r="H3875" s="24" t="str">
        <f>IFERROR(VLOOKUP(B3875,material!A:D,3,0),"")</f>
        <v>WIFI MESH</v>
      </c>
    </row>
    <row r="3876" ht="11.25" customHeight="1">
      <c r="A3876" s="21" t="str">
        <f>IFERROR(__xludf.DUMMYFUNCTION("""COMPUTED_VALUE"""),"TERMINAL EXTENSOR WIFI6 MESH H3621P")</f>
        <v>TERMINAL EXTENSOR WIFI6 MESH H3621P</v>
      </c>
      <c r="B3876" s="22">
        <f>IFERROR(__xludf.DUMMYFUNCTION("""COMPUTED_VALUE"""),4.1001593E7)</f>
        <v>41001593</v>
      </c>
      <c r="C3876" s="21" t="str">
        <f>IFERROR(__xludf.DUMMYFUNCTION("""COMPUTED_VALUE"""),"301F48544BF4")</f>
        <v>301F48544BF4</v>
      </c>
      <c r="D3876" s="21" t="str">
        <f>IFERROR(__xludf.DUMMYFUNCTION("""COMPUTED_VALUE"""),"DIGITEC TECNOLOGIA DIGITAL E REPRES")</f>
        <v>DIGITEC TECNOLOGIA DIGITAL E REPRES</v>
      </c>
      <c r="E3876" s="21">
        <f>IFERROR(__xludf.DUMMYFUNCTION("""COMPUTED_VALUE"""),145359.0)</f>
        <v>145359</v>
      </c>
      <c r="F3876" s="21" t="str">
        <f>IFERROR(__xludf.DUMMYFUNCTION("""COMPUTED_VALUE"""),"INICIALIZADO")</f>
        <v>INICIALIZADO</v>
      </c>
      <c r="G3876" s="23">
        <f>IFERROR(__xludf.DUMMYFUNCTION("""COMPUTED_VALUE"""),45548.4924537037)</f>
        <v>45548.49245</v>
      </c>
      <c r="H3876" s="24" t="str">
        <f>IFERROR(VLOOKUP(B3876,material!A:D,3,0),"")</f>
        <v>WIFI MESH</v>
      </c>
    </row>
    <row r="3877" ht="11.25" customHeight="1">
      <c r="A3877" s="21" t="str">
        <f>IFERROR(__xludf.DUMMYFUNCTION("""COMPUTED_VALUE"""),"TERMINAL EXTENSOR WIFI6 MESH H3621P")</f>
        <v>TERMINAL EXTENSOR WIFI6 MESH H3621P</v>
      </c>
      <c r="B3877" s="22">
        <f>IFERROR(__xludf.DUMMYFUNCTION("""COMPUTED_VALUE"""),4.1001593E7)</f>
        <v>41001593</v>
      </c>
      <c r="C3877" s="21" t="str">
        <f>IFERROR(__xludf.DUMMYFUNCTION("""COMPUTED_VALUE"""),"301F48544820")</f>
        <v>301F48544820</v>
      </c>
      <c r="D3877" s="21" t="str">
        <f>IFERROR(__xludf.DUMMYFUNCTION("""COMPUTED_VALUE"""),"DIGITEC TECNOLOGIA DIGITAL E REPRES")</f>
        <v>DIGITEC TECNOLOGIA DIGITAL E REPRES</v>
      </c>
      <c r="E3877" s="21">
        <f>IFERROR(__xludf.DUMMYFUNCTION("""COMPUTED_VALUE"""),145359.0)</f>
        <v>145359</v>
      </c>
      <c r="F3877" s="21" t="str">
        <f>IFERROR(__xludf.DUMMYFUNCTION("""COMPUTED_VALUE"""),"INICIALIZADO")</f>
        <v>INICIALIZADO</v>
      </c>
      <c r="G3877" s="23">
        <f>IFERROR(__xludf.DUMMYFUNCTION("""COMPUTED_VALUE"""),45548.4924537037)</f>
        <v>45548.49245</v>
      </c>
      <c r="H3877" s="24" t="str">
        <f>IFERROR(VLOOKUP(B3877,material!A:D,3,0),"")</f>
        <v>WIFI MESH</v>
      </c>
    </row>
    <row r="3878" ht="11.25" customHeight="1">
      <c r="A3878" s="21" t="str">
        <f>IFERROR(__xludf.DUMMYFUNCTION("""COMPUTED_VALUE"""),"TERMINAL EXTENSOR WIFI6 MESH H3621P")</f>
        <v>TERMINAL EXTENSOR WIFI6 MESH H3621P</v>
      </c>
      <c r="B3878" s="22">
        <f>IFERROR(__xludf.DUMMYFUNCTION("""COMPUTED_VALUE"""),4.1001593E7)</f>
        <v>41001593</v>
      </c>
      <c r="C3878" s="21" t="str">
        <f>IFERROR(__xludf.DUMMYFUNCTION("""COMPUTED_VALUE"""),"301F485436E4")</f>
        <v>301F485436E4</v>
      </c>
      <c r="D3878" s="21" t="str">
        <f>IFERROR(__xludf.DUMMYFUNCTION("""COMPUTED_VALUE"""),"DIGITEC TECNOLOGIA DIGITAL E REPRES")</f>
        <v>DIGITEC TECNOLOGIA DIGITAL E REPRES</v>
      </c>
      <c r="E3878" s="21">
        <f>IFERROR(__xludf.DUMMYFUNCTION("""COMPUTED_VALUE"""),145359.0)</f>
        <v>145359</v>
      </c>
      <c r="F3878" s="21" t="str">
        <f>IFERROR(__xludf.DUMMYFUNCTION("""COMPUTED_VALUE"""),"INICIALIZADO")</f>
        <v>INICIALIZADO</v>
      </c>
      <c r="G3878" s="23">
        <f>IFERROR(__xludf.DUMMYFUNCTION("""COMPUTED_VALUE"""),45495.67135416667)</f>
        <v>45495.67135</v>
      </c>
      <c r="H3878" s="24" t="str">
        <f>IFERROR(VLOOKUP(B3878,material!A:D,3,0),"")</f>
        <v>WIFI MESH</v>
      </c>
    </row>
    <row r="3879" ht="11.25" customHeight="1">
      <c r="A3879" s="21" t="str">
        <f>IFERROR(__xludf.DUMMYFUNCTION("""COMPUTED_VALUE"""),"TERMINAL EXTENSOR WIFI6 MESH H3621P")</f>
        <v>TERMINAL EXTENSOR WIFI6 MESH H3621P</v>
      </c>
      <c r="B3879" s="22">
        <f>IFERROR(__xludf.DUMMYFUNCTION("""COMPUTED_VALUE"""),4.1001593E7)</f>
        <v>41001593</v>
      </c>
      <c r="C3879" s="21" t="str">
        <f>IFERROR(__xludf.DUMMYFUNCTION("""COMPUTED_VALUE"""),"301F48568B28")</f>
        <v>301F48568B28</v>
      </c>
      <c r="D3879" s="21" t="str">
        <f>IFERROR(__xludf.DUMMYFUNCTION("""COMPUTED_VALUE"""),"DIGITEC TECNOLOGIA DIGITAL E REPRES")</f>
        <v>DIGITEC TECNOLOGIA DIGITAL E REPRES</v>
      </c>
      <c r="E3879" s="21">
        <f>IFERROR(__xludf.DUMMYFUNCTION("""COMPUTED_VALUE"""),145359.0)</f>
        <v>145359</v>
      </c>
      <c r="F3879" s="21" t="str">
        <f>IFERROR(__xludf.DUMMYFUNCTION("""COMPUTED_VALUE"""),"INICIALIZADO")</f>
        <v>INICIALIZADO</v>
      </c>
      <c r="G3879" s="23">
        <f>IFERROR(__xludf.DUMMYFUNCTION("""COMPUTED_VALUE"""),45555.732199074075)</f>
        <v>45555.7322</v>
      </c>
      <c r="H3879" s="24" t="str">
        <f>IFERROR(VLOOKUP(B3879,material!A:D,3,0),"")</f>
        <v>WIFI MESH</v>
      </c>
    </row>
    <row r="3880" ht="11.25" customHeight="1">
      <c r="A3880" s="21" t="str">
        <f>IFERROR(__xludf.DUMMYFUNCTION("""COMPUTED_VALUE"""),"TERMINAL EXTENSOR WIFI6 MESH H3621P")</f>
        <v>TERMINAL EXTENSOR WIFI6 MESH H3621P</v>
      </c>
      <c r="B3880" s="22">
        <f>IFERROR(__xludf.DUMMYFUNCTION("""COMPUTED_VALUE"""),4.1001593E7)</f>
        <v>41001593</v>
      </c>
      <c r="C3880" s="21" t="str">
        <f>IFERROR(__xludf.DUMMYFUNCTION("""COMPUTED_VALUE"""),"301F48543EC8")</f>
        <v>301F48543EC8</v>
      </c>
      <c r="D3880" s="21" t="str">
        <f>IFERROR(__xludf.DUMMYFUNCTION("""COMPUTED_VALUE"""),"DIGITEC TECNOLOGIA DIGITAL E REPRES")</f>
        <v>DIGITEC TECNOLOGIA DIGITAL E REPRES</v>
      </c>
      <c r="E3880" s="21">
        <f>IFERROR(__xludf.DUMMYFUNCTION("""COMPUTED_VALUE"""),145359.0)</f>
        <v>145359</v>
      </c>
      <c r="F3880" s="21" t="str">
        <f>IFERROR(__xludf.DUMMYFUNCTION("""COMPUTED_VALUE"""),"INICIALIZADO")</f>
        <v>INICIALIZADO</v>
      </c>
      <c r="G3880" s="23">
        <f>IFERROR(__xludf.DUMMYFUNCTION("""COMPUTED_VALUE"""),45573.66679398148)</f>
        <v>45573.66679</v>
      </c>
      <c r="H3880" s="24" t="str">
        <f>IFERROR(VLOOKUP(B3880,material!A:D,3,0),"")</f>
        <v>WIFI MESH</v>
      </c>
    </row>
    <row r="3881" ht="11.25" customHeight="1">
      <c r="A3881" s="21" t="str">
        <f>IFERROR(__xludf.DUMMYFUNCTION("""COMPUTED_VALUE"""),"TERMINAL EXTENSOR WIFI6 MESH H3621P")</f>
        <v>TERMINAL EXTENSOR WIFI6 MESH H3621P</v>
      </c>
      <c r="B3881" s="22">
        <f>IFERROR(__xludf.DUMMYFUNCTION("""COMPUTED_VALUE"""),4.1001593E7)</f>
        <v>41001593</v>
      </c>
      <c r="C3881" s="21" t="str">
        <f>IFERROR(__xludf.DUMMYFUNCTION("""COMPUTED_VALUE"""),"301F48543540")</f>
        <v>301F48543540</v>
      </c>
      <c r="D3881" s="21" t="str">
        <f>IFERROR(__xludf.DUMMYFUNCTION("""COMPUTED_VALUE"""),"DIGITEC TECNOLOGIA DIGITAL E REPRES")</f>
        <v>DIGITEC TECNOLOGIA DIGITAL E REPRES</v>
      </c>
      <c r="E3881" s="21">
        <f>IFERROR(__xludf.DUMMYFUNCTION("""COMPUTED_VALUE"""),145359.0)</f>
        <v>145359</v>
      </c>
      <c r="F3881" s="21" t="str">
        <f>IFERROR(__xludf.DUMMYFUNCTION("""COMPUTED_VALUE"""),"INICIALIZADO")</f>
        <v>INICIALIZADO</v>
      </c>
      <c r="G3881" s="23">
        <f>IFERROR(__xludf.DUMMYFUNCTION("""COMPUTED_VALUE"""),45495.67136574074)</f>
        <v>45495.67137</v>
      </c>
      <c r="H3881" s="24" t="str">
        <f>IFERROR(VLOOKUP(B3881,material!A:D,3,0),"")</f>
        <v>WIFI MESH</v>
      </c>
    </row>
    <row r="3882" ht="11.25" customHeight="1">
      <c r="A3882" s="21" t="str">
        <f>IFERROR(__xludf.DUMMYFUNCTION("""COMPUTED_VALUE"""),"TERMINAL EXTENSOR WIFI6 MESH H3621P")</f>
        <v>TERMINAL EXTENSOR WIFI6 MESH H3621P</v>
      </c>
      <c r="B3882" s="22">
        <f>IFERROR(__xludf.DUMMYFUNCTION("""COMPUTED_VALUE"""),4.1001593E7)</f>
        <v>41001593</v>
      </c>
      <c r="C3882" s="21" t="str">
        <f>IFERROR(__xludf.DUMMYFUNCTION("""COMPUTED_VALUE"""),"301F4854360C")</f>
        <v>301F4854360C</v>
      </c>
      <c r="D3882" s="21" t="str">
        <f>IFERROR(__xludf.DUMMYFUNCTION("""COMPUTED_VALUE"""),"DIGITEC TECNOLOGIA DIGITAL E REPRES")</f>
        <v>DIGITEC TECNOLOGIA DIGITAL E REPRES</v>
      </c>
      <c r="E3882" s="21">
        <f>IFERROR(__xludf.DUMMYFUNCTION("""COMPUTED_VALUE"""),145359.0)</f>
        <v>145359</v>
      </c>
      <c r="F3882" s="21" t="str">
        <f>IFERROR(__xludf.DUMMYFUNCTION("""COMPUTED_VALUE"""),"INICIALIZADO")</f>
        <v>INICIALIZADO</v>
      </c>
      <c r="G3882" s="23">
        <f>IFERROR(__xludf.DUMMYFUNCTION("""COMPUTED_VALUE"""),45495.67135416667)</f>
        <v>45495.67135</v>
      </c>
      <c r="H3882" s="24" t="str">
        <f>IFERROR(VLOOKUP(B3882,material!A:D,3,0),"")</f>
        <v>WIFI MESH</v>
      </c>
    </row>
    <row r="3883" ht="11.25" customHeight="1">
      <c r="A3883" s="21" t="str">
        <f>IFERROR(__xludf.DUMMYFUNCTION("""COMPUTED_VALUE"""),"TERMINAL EXTENSOR WIFI6 MESH H3621P")</f>
        <v>TERMINAL EXTENSOR WIFI6 MESH H3621P</v>
      </c>
      <c r="B3883" s="22">
        <f>IFERROR(__xludf.DUMMYFUNCTION("""COMPUTED_VALUE"""),4.1001593E7)</f>
        <v>41001593</v>
      </c>
      <c r="C3883" s="21" t="str">
        <f>IFERROR(__xludf.DUMMYFUNCTION("""COMPUTED_VALUE"""),"301F48543358")</f>
        <v>301F48543358</v>
      </c>
      <c r="D3883" s="21" t="str">
        <f>IFERROR(__xludf.DUMMYFUNCTION("""COMPUTED_VALUE"""),"DIGITEC TECNOLOGIA DIGITAL E REPRES")</f>
        <v>DIGITEC TECNOLOGIA DIGITAL E REPRES</v>
      </c>
      <c r="E3883" s="21">
        <f>IFERROR(__xludf.DUMMYFUNCTION("""COMPUTED_VALUE"""),145359.0)</f>
        <v>145359</v>
      </c>
      <c r="F3883" s="21" t="str">
        <f>IFERROR(__xludf.DUMMYFUNCTION("""COMPUTED_VALUE"""),"INICIALIZADO")</f>
        <v>INICIALIZADO</v>
      </c>
      <c r="G3883" s="23">
        <f>IFERROR(__xludf.DUMMYFUNCTION("""COMPUTED_VALUE"""),45495.67135416667)</f>
        <v>45495.67135</v>
      </c>
      <c r="H3883" s="24" t="str">
        <f>IFERROR(VLOOKUP(B3883,material!A:D,3,0),"")</f>
        <v>WIFI MESH</v>
      </c>
    </row>
    <row r="3884" ht="11.25" customHeight="1">
      <c r="A3884" s="21" t="str">
        <f>IFERROR(__xludf.DUMMYFUNCTION("""COMPUTED_VALUE"""),"TERMINAL EXTENSOR WIFI6 MESH H3621P")</f>
        <v>TERMINAL EXTENSOR WIFI6 MESH H3621P</v>
      </c>
      <c r="B3884" s="22">
        <f>IFERROR(__xludf.DUMMYFUNCTION("""COMPUTED_VALUE"""),4.1001593E7)</f>
        <v>41001593</v>
      </c>
      <c r="C3884" s="21" t="str">
        <f>IFERROR(__xludf.DUMMYFUNCTION("""COMPUTED_VALUE"""),"301F48544C70")</f>
        <v>301F48544C70</v>
      </c>
      <c r="D3884" s="21" t="str">
        <f>IFERROR(__xludf.DUMMYFUNCTION("""COMPUTED_VALUE"""),"DIGITEC TECNOLOGIA DIGITAL E REPRES")</f>
        <v>DIGITEC TECNOLOGIA DIGITAL E REPRES</v>
      </c>
      <c r="E3884" s="21">
        <f>IFERROR(__xludf.DUMMYFUNCTION("""COMPUTED_VALUE"""),145359.0)</f>
        <v>145359</v>
      </c>
      <c r="F3884" s="21" t="str">
        <f>IFERROR(__xludf.DUMMYFUNCTION("""COMPUTED_VALUE"""),"INICIALIZADO")</f>
        <v>INICIALIZADO</v>
      </c>
      <c r="G3884" s="23">
        <f>IFERROR(__xludf.DUMMYFUNCTION("""COMPUTED_VALUE"""),45548.4924537037)</f>
        <v>45548.49245</v>
      </c>
      <c r="H3884" s="24" t="str">
        <f>IFERROR(VLOOKUP(B3884,material!A:D,3,0),"")</f>
        <v>WIFI MESH</v>
      </c>
    </row>
    <row r="3885" ht="11.25" customHeight="1">
      <c r="A3885" s="21" t="str">
        <f>IFERROR(__xludf.DUMMYFUNCTION("""COMPUTED_VALUE"""),"TERMINAL GPON ONT WIFI6 F6600P-NACIONAL")</f>
        <v>TERMINAL GPON ONT WIFI6 F6600P-NACIONAL</v>
      </c>
      <c r="B3885" s="22">
        <f>IFERROR(__xludf.DUMMYFUNCTION("""COMPUTED_VALUE"""),4.100159E7)</f>
        <v>41001590</v>
      </c>
      <c r="C3885" s="21" t="str">
        <f>IFERROR(__xludf.DUMMYFUNCTION("""COMPUTED_VALUE"""),"3CF9F0AA3332")</f>
        <v>3CF9F0AA3332</v>
      </c>
      <c r="D3885" s="21" t="str">
        <f>IFERROR(__xludf.DUMMYFUNCTION("""COMPUTED_VALUE"""),"DIGITEC TECNOLOGIA DIGITAL E REPRES")</f>
        <v>DIGITEC TECNOLOGIA DIGITAL E REPRES</v>
      </c>
      <c r="E3885" s="21">
        <f>IFERROR(__xludf.DUMMYFUNCTION("""COMPUTED_VALUE"""),145359.0)</f>
        <v>145359</v>
      </c>
      <c r="F3885" s="21" t="str">
        <f>IFERROR(__xludf.DUMMYFUNCTION("""COMPUTED_VALUE"""),"INICIALIZADO")</f>
        <v>INICIALIZADO</v>
      </c>
      <c r="G3885" s="23">
        <f>IFERROR(__xludf.DUMMYFUNCTION("""COMPUTED_VALUE"""),45595.76363425926)</f>
        <v>45595.76363</v>
      </c>
      <c r="H3885" s="24" t="str">
        <f>IFERROR(VLOOKUP(B3885,material!A:D,3,0),"")</f>
        <v>GPON 6</v>
      </c>
    </row>
    <row r="3886" ht="11.25" customHeight="1">
      <c r="A3886" s="21" t="str">
        <f>IFERROR(__xludf.DUMMYFUNCTION("""COMPUTED_VALUE"""),"TERMINAL GPON ONT WIFI6 F6600P-NACIONAL")</f>
        <v>TERMINAL GPON ONT WIFI6 F6600P-NACIONAL</v>
      </c>
      <c r="B3886" s="22">
        <f>IFERROR(__xludf.DUMMYFUNCTION("""COMPUTED_VALUE"""),4.100159E7)</f>
        <v>41001590</v>
      </c>
      <c r="C3886" s="21" t="str">
        <f>IFERROR(__xludf.DUMMYFUNCTION("""COMPUTED_VALUE"""),"3CF9F0AA40A6")</f>
        <v>3CF9F0AA40A6</v>
      </c>
      <c r="D3886" s="21" t="str">
        <f>IFERROR(__xludf.DUMMYFUNCTION("""COMPUTED_VALUE"""),"DIGITEC TECNOLOGIA DIGITAL E REPRES")</f>
        <v>DIGITEC TECNOLOGIA DIGITAL E REPRES</v>
      </c>
      <c r="E3886" s="21">
        <f>IFERROR(__xludf.DUMMYFUNCTION("""COMPUTED_VALUE"""),145359.0)</f>
        <v>145359</v>
      </c>
      <c r="F3886" s="21" t="str">
        <f>IFERROR(__xludf.DUMMYFUNCTION("""COMPUTED_VALUE"""),"INICIALIZADO")</f>
        <v>INICIALIZADO</v>
      </c>
      <c r="G3886" s="23">
        <f>IFERROR(__xludf.DUMMYFUNCTION("""COMPUTED_VALUE"""),45441.39099537037)</f>
        <v>45441.391</v>
      </c>
      <c r="H3886" s="24" t="str">
        <f>IFERROR(VLOOKUP(B3886,material!A:D,3,0),"")</f>
        <v>GPON 6</v>
      </c>
    </row>
    <row r="3887" ht="11.25" customHeight="1">
      <c r="A3887" s="21" t="str">
        <f>IFERROR(__xludf.DUMMYFUNCTION("""COMPUTED_VALUE"""),"TERMINAL GPON ONT WIFI6 F6600P-NACIONAL")</f>
        <v>TERMINAL GPON ONT WIFI6 F6600P-NACIONAL</v>
      </c>
      <c r="B3887" s="22">
        <f>IFERROR(__xludf.DUMMYFUNCTION("""COMPUTED_VALUE"""),4.100159E7)</f>
        <v>41001590</v>
      </c>
      <c r="C3887" s="21" t="str">
        <f>IFERROR(__xludf.DUMMYFUNCTION("""COMPUTED_VALUE"""),"3CF9F0AA331A")</f>
        <v>3CF9F0AA331A</v>
      </c>
      <c r="D3887" s="21" t="str">
        <f>IFERROR(__xludf.DUMMYFUNCTION("""COMPUTED_VALUE"""),"DIGITEC TECNOLOGIA DIGITAL E REPRES")</f>
        <v>DIGITEC TECNOLOGIA DIGITAL E REPRES</v>
      </c>
      <c r="E3887" s="21">
        <f>IFERROR(__xludf.DUMMYFUNCTION("""COMPUTED_VALUE"""),145359.0)</f>
        <v>145359</v>
      </c>
      <c r="F3887" s="21" t="str">
        <f>IFERROR(__xludf.DUMMYFUNCTION("""COMPUTED_VALUE"""),"INICIALIZADO")</f>
        <v>INICIALIZADO</v>
      </c>
      <c r="G3887" s="23">
        <f>IFERROR(__xludf.DUMMYFUNCTION("""COMPUTED_VALUE"""),45595.76363425926)</f>
        <v>45595.76363</v>
      </c>
      <c r="H3887" s="24" t="str">
        <f>IFERROR(VLOOKUP(B3887,material!A:D,3,0),"")</f>
        <v>GPON 6</v>
      </c>
    </row>
    <row r="3888" ht="11.25" customHeight="1">
      <c r="A3888" s="21" t="str">
        <f>IFERROR(__xludf.DUMMYFUNCTION("""COMPUTED_VALUE"""),"TERMINAL GPON ONT WIFI6 F6600P-NACIONAL")</f>
        <v>TERMINAL GPON ONT WIFI6 F6600P-NACIONAL</v>
      </c>
      <c r="B3888" s="22">
        <f>IFERROR(__xludf.DUMMYFUNCTION("""COMPUTED_VALUE"""),4.100159E7)</f>
        <v>41001590</v>
      </c>
      <c r="C3888" s="21" t="str">
        <f>IFERROR(__xludf.DUMMYFUNCTION("""COMPUTED_VALUE"""),"3CF9F0AA334A")</f>
        <v>3CF9F0AA334A</v>
      </c>
      <c r="D3888" s="21" t="str">
        <f>IFERROR(__xludf.DUMMYFUNCTION("""COMPUTED_VALUE"""),"DIGITEC TECNOLOGIA DIGITAL E REPRES")</f>
        <v>DIGITEC TECNOLOGIA DIGITAL E REPRES</v>
      </c>
      <c r="E3888" s="21">
        <f>IFERROR(__xludf.DUMMYFUNCTION("""COMPUTED_VALUE"""),145359.0)</f>
        <v>145359</v>
      </c>
      <c r="F3888" s="21" t="str">
        <f>IFERROR(__xludf.DUMMYFUNCTION("""COMPUTED_VALUE"""),"INICIALIZADO")</f>
        <v>INICIALIZADO</v>
      </c>
      <c r="G3888" s="23">
        <f>IFERROR(__xludf.DUMMYFUNCTION("""COMPUTED_VALUE"""),45595.76363425926)</f>
        <v>45595.76363</v>
      </c>
      <c r="H3888" s="24" t="str">
        <f>IFERROR(VLOOKUP(B3888,material!A:D,3,0),"")</f>
        <v>GPON 6</v>
      </c>
    </row>
    <row r="3889" ht="11.25" customHeight="1">
      <c r="A3889" s="21" t="str">
        <f>IFERROR(__xludf.DUMMYFUNCTION("""COMPUTED_VALUE"""),"TERMINAL GPON ONT WIFI6 F6600P-NACIONAL")</f>
        <v>TERMINAL GPON ONT WIFI6 F6600P-NACIONAL</v>
      </c>
      <c r="B3889" s="22">
        <f>IFERROR(__xludf.DUMMYFUNCTION("""COMPUTED_VALUE"""),4.100159E7)</f>
        <v>41001590</v>
      </c>
      <c r="C3889" s="21" t="str">
        <f>IFERROR(__xludf.DUMMYFUNCTION("""COMPUTED_VALUE"""),"3CF9F0AC6720")</f>
        <v>3CF9F0AC6720</v>
      </c>
      <c r="D3889" s="21" t="str">
        <f>IFERROR(__xludf.DUMMYFUNCTION("""COMPUTED_VALUE"""),"DIGITEC TECNOLOGIA DIGITAL E REPRES")</f>
        <v>DIGITEC TECNOLOGIA DIGITAL E REPRES</v>
      </c>
      <c r="E3889" s="21">
        <f>IFERROR(__xludf.DUMMYFUNCTION("""COMPUTED_VALUE"""),145359.0)</f>
        <v>145359</v>
      </c>
      <c r="F3889" s="21" t="str">
        <f>IFERROR(__xludf.DUMMYFUNCTION("""COMPUTED_VALUE"""),"INICIALIZADO")</f>
        <v>INICIALIZADO</v>
      </c>
      <c r="G3889" s="23">
        <f>IFERROR(__xludf.DUMMYFUNCTION("""COMPUTED_VALUE"""),45602.644733796296)</f>
        <v>45602.64473</v>
      </c>
      <c r="H3889" s="24" t="str">
        <f>IFERROR(VLOOKUP(B3889,material!A:D,3,0),"")</f>
        <v>GPON 6</v>
      </c>
    </row>
    <row r="3890" ht="11.25" customHeight="1">
      <c r="A3890" s="21" t="str">
        <f>IFERROR(__xludf.DUMMYFUNCTION("""COMPUTED_VALUE"""),"TERMINAL GPON ONT WIFI6 F6600P-NACIONAL")</f>
        <v>TERMINAL GPON ONT WIFI6 F6600P-NACIONAL</v>
      </c>
      <c r="B3890" s="22">
        <f>IFERROR(__xludf.DUMMYFUNCTION("""COMPUTED_VALUE"""),4.100159E7)</f>
        <v>41001590</v>
      </c>
      <c r="C3890" s="21" t="str">
        <f>IFERROR(__xludf.DUMMYFUNCTION("""COMPUTED_VALUE"""),"3CF9F0AA49CA")</f>
        <v>3CF9F0AA49CA</v>
      </c>
      <c r="D3890" s="21" t="str">
        <f>IFERROR(__xludf.DUMMYFUNCTION("""COMPUTED_VALUE"""),"DIGITEC TECNOLOGIA DIGITAL E REPRES")</f>
        <v>DIGITEC TECNOLOGIA DIGITAL E REPRES</v>
      </c>
      <c r="E3890" s="21">
        <f>IFERROR(__xludf.DUMMYFUNCTION("""COMPUTED_VALUE"""),145359.0)</f>
        <v>145359</v>
      </c>
      <c r="F3890" s="21" t="str">
        <f>IFERROR(__xludf.DUMMYFUNCTION("""COMPUTED_VALUE"""),"INICIALIZADO")</f>
        <v>INICIALIZADO</v>
      </c>
      <c r="G3890" s="23">
        <f>IFERROR(__xludf.DUMMYFUNCTION("""COMPUTED_VALUE"""),45573.66680555556)</f>
        <v>45573.66681</v>
      </c>
      <c r="H3890" s="24" t="str">
        <f>IFERROR(VLOOKUP(B3890,material!A:D,3,0),"")</f>
        <v>GPON 6</v>
      </c>
    </row>
    <row r="3891" ht="11.25" customHeight="1">
      <c r="A3891" s="21" t="str">
        <f>IFERROR(__xludf.DUMMYFUNCTION("""COMPUTED_VALUE"""),"TERMINAL GPON ONT WIFI6 F6600P-NACIONAL")</f>
        <v>TERMINAL GPON ONT WIFI6 F6600P-NACIONAL</v>
      </c>
      <c r="B3891" s="22">
        <f>IFERROR(__xludf.DUMMYFUNCTION("""COMPUTED_VALUE"""),4.100159E7)</f>
        <v>41001590</v>
      </c>
      <c r="C3891" s="21" t="str">
        <f>IFERROR(__xludf.DUMMYFUNCTION("""COMPUTED_VALUE"""),"3CF9F0AA4964")</f>
        <v>3CF9F0AA4964</v>
      </c>
      <c r="D3891" s="21" t="str">
        <f>IFERROR(__xludf.DUMMYFUNCTION("""COMPUTED_VALUE"""),"DIGITEC TECNOLOGIA DIGITAL E REPRES")</f>
        <v>DIGITEC TECNOLOGIA DIGITAL E REPRES</v>
      </c>
      <c r="E3891" s="21">
        <f>IFERROR(__xludf.DUMMYFUNCTION("""COMPUTED_VALUE"""),145359.0)</f>
        <v>145359</v>
      </c>
      <c r="F3891" s="21" t="str">
        <f>IFERROR(__xludf.DUMMYFUNCTION("""COMPUTED_VALUE"""),"INICIALIZADO")</f>
        <v>INICIALIZADO</v>
      </c>
      <c r="G3891" s="23">
        <f>IFERROR(__xludf.DUMMYFUNCTION("""COMPUTED_VALUE"""),45573.66680555556)</f>
        <v>45573.66681</v>
      </c>
      <c r="H3891" s="24" t="str">
        <f>IFERROR(VLOOKUP(B3891,material!A:D,3,0),"")</f>
        <v>GPON 6</v>
      </c>
    </row>
    <row r="3892" ht="11.25" customHeight="1">
      <c r="A3892" s="21" t="str">
        <f>IFERROR(__xludf.DUMMYFUNCTION("""COMPUTED_VALUE"""),"TERMINAL GPON ONT WIFI6 F6600P-NACIONAL")</f>
        <v>TERMINAL GPON ONT WIFI6 F6600P-NACIONAL</v>
      </c>
      <c r="B3892" s="22">
        <f>IFERROR(__xludf.DUMMYFUNCTION("""COMPUTED_VALUE"""),4.100159E7)</f>
        <v>41001590</v>
      </c>
      <c r="C3892" s="21" t="str">
        <f>IFERROR(__xludf.DUMMYFUNCTION("""COMPUTED_VALUE"""),"3CF9F0A5BC98")</f>
        <v>3CF9F0A5BC98</v>
      </c>
      <c r="D3892" s="21" t="str">
        <f>IFERROR(__xludf.DUMMYFUNCTION("""COMPUTED_VALUE"""),"DIGITEC TECNOLOGIA DIGITAL E REPRES")</f>
        <v>DIGITEC TECNOLOGIA DIGITAL E REPRES</v>
      </c>
      <c r="E3892" s="21">
        <f>IFERROR(__xludf.DUMMYFUNCTION("""COMPUTED_VALUE"""),145359.0)</f>
        <v>145359</v>
      </c>
      <c r="F3892" s="21" t="str">
        <f>IFERROR(__xludf.DUMMYFUNCTION("""COMPUTED_VALUE"""),"INICIALIZADO")</f>
        <v>INICIALIZADO</v>
      </c>
      <c r="G3892" s="23">
        <f>IFERROR(__xludf.DUMMYFUNCTION("""COMPUTED_VALUE"""),45573.66679398148)</f>
        <v>45573.66679</v>
      </c>
      <c r="H3892" s="24" t="str">
        <f>IFERROR(VLOOKUP(B3892,material!A:D,3,0),"")</f>
        <v>GPON 6</v>
      </c>
    </row>
    <row r="3893" ht="11.25" customHeight="1">
      <c r="A3893" s="21" t="str">
        <f>IFERROR(__xludf.DUMMYFUNCTION("""COMPUTED_VALUE"""),"TERMINAL GPON ONT WIFI6 F6600P-NACIONAL")</f>
        <v>TERMINAL GPON ONT WIFI6 F6600P-NACIONAL</v>
      </c>
      <c r="B3893" s="22">
        <f>IFERROR(__xludf.DUMMYFUNCTION("""COMPUTED_VALUE"""),4.100159E7)</f>
        <v>41001590</v>
      </c>
      <c r="C3893" s="21" t="str">
        <f>IFERROR(__xludf.DUMMYFUNCTION("""COMPUTED_VALUE"""),"3CF9F0A5BD0A")</f>
        <v>3CF9F0A5BD0A</v>
      </c>
      <c r="D3893" s="21" t="str">
        <f>IFERROR(__xludf.DUMMYFUNCTION("""COMPUTED_VALUE"""),"DIGITEC TECNOLOGIA DIGITAL E REPRES")</f>
        <v>DIGITEC TECNOLOGIA DIGITAL E REPRES</v>
      </c>
      <c r="E3893" s="21">
        <f>IFERROR(__xludf.DUMMYFUNCTION("""COMPUTED_VALUE"""),145359.0)</f>
        <v>145359</v>
      </c>
      <c r="F3893" s="21" t="str">
        <f>IFERROR(__xludf.DUMMYFUNCTION("""COMPUTED_VALUE"""),"INICIALIZADO")</f>
        <v>INICIALIZADO</v>
      </c>
      <c r="G3893" s="23">
        <f>IFERROR(__xludf.DUMMYFUNCTION("""COMPUTED_VALUE"""),45573.66679398148)</f>
        <v>45573.66679</v>
      </c>
      <c r="H3893" s="24" t="str">
        <f>IFERROR(VLOOKUP(B3893,material!A:D,3,0),"")</f>
        <v>GPON 6</v>
      </c>
    </row>
    <row r="3894" ht="11.25" customHeight="1">
      <c r="A3894" s="21" t="str">
        <f>IFERROR(__xludf.DUMMYFUNCTION("""COMPUTED_VALUE"""),"TERMINAL GPON ONT WIFI6 F6600P-NACIONAL")</f>
        <v>TERMINAL GPON ONT WIFI6 F6600P-NACIONAL</v>
      </c>
      <c r="B3894" s="22">
        <f>IFERROR(__xludf.DUMMYFUNCTION("""COMPUTED_VALUE"""),4.100159E7)</f>
        <v>41001590</v>
      </c>
      <c r="C3894" s="21" t="str">
        <f>IFERROR(__xludf.DUMMYFUNCTION("""COMPUTED_VALUE"""),"3CF9F0A5BD10")</f>
        <v>3CF9F0A5BD10</v>
      </c>
      <c r="D3894" s="21" t="str">
        <f>IFERROR(__xludf.DUMMYFUNCTION("""COMPUTED_VALUE"""),"DIGITEC TECNOLOGIA DIGITAL E REPRES")</f>
        <v>DIGITEC TECNOLOGIA DIGITAL E REPRES</v>
      </c>
      <c r="E3894" s="21">
        <f>IFERROR(__xludf.DUMMYFUNCTION("""COMPUTED_VALUE"""),145359.0)</f>
        <v>145359</v>
      </c>
      <c r="F3894" s="21" t="str">
        <f>IFERROR(__xludf.DUMMYFUNCTION("""COMPUTED_VALUE"""),"INICIALIZADO")</f>
        <v>INICIALIZADO</v>
      </c>
      <c r="G3894" s="23">
        <f>IFERROR(__xludf.DUMMYFUNCTION("""COMPUTED_VALUE"""),45573.66679398148)</f>
        <v>45573.66679</v>
      </c>
      <c r="H3894" s="24" t="str">
        <f>IFERROR(VLOOKUP(B3894,material!A:D,3,0),"")</f>
        <v>GPON 6</v>
      </c>
    </row>
    <row r="3895" ht="11.25" customHeight="1">
      <c r="A3895" s="21" t="str">
        <f>IFERROR(__xludf.DUMMYFUNCTION("""COMPUTED_VALUE"""),"TERMINAL GPON ONT WIFI6 F6600P-NACIONAL")</f>
        <v>TERMINAL GPON ONT WIFI6 F6600P-NACIONAL</v>
      </c>
      <c r="B3895" s="22">
        <f>IFERROR(__xludf.DUMMYFUNCTION("""COMPUTED_VALUE"""),4.100159E7)</f>
        <v>41001590</v>
      </c>
      <c r="C3895" s="21" t="str">
        <f>IFERROR(__xludf.DUMMYFUNCTION("""COMPUTED_VALUE"""),"3CF9F0A5BD16")</f>
        <v>3CF9F0A5BD16</v>
      </c>
      <c r="D3895" s="21" t="str">
        <f>IFERROR(__xludf.DUMMYFUNCTION("""COMPUTED_VALUE"""),"DIGITEC TECNOLOGIA DIGITAL E REPRES")</f>
        <v>DIGITEC TECNOLOGIA DIGITAL E REPRES</v>
      </c>
      <c r="E3895" s="21">
        <f>IFERROR(__xludf.DUMMYFUNCTION("""COMPUTED_VALUE"""),145359.0)</f>
        <v>145359</v>
      </c>
      <c r="F3895" s="21" t="str">
        <f>IFERROR(__xludf.DUMMYFUNCTION("""COMPUTED_VALUE"""),"INICIALIZADO")</f>
        <v>INICIALIZADO</v>
      </c>
      <c r="G3895" s="23">
        <f>IFERROR(__xludf.DUMMYFUNCTION("""COMPUTED_VALUE"""),45573.66679398148)</f>
        <v>45573.66679</v>
      </c>
      <c r="H3895" s="24" t="str">
        <f>IFERROR(VLOOKUP(B3895,material!A:D,3,0),"")</f>
        <v>GPON 6</v>
      </c>
    </row>
    <row r="3896" ht="11.25" customHeight="1">
      <c r="A3896" s="21" t="str">
        <f>IFERROR(__xludf.DUMMYFUNCTION("""COMPUTED_VALUE"""),"TERMINAL GPON ONT WIFI6 F6600P-NACIONAL")</f>
        <v>TERMINAL GPON ONT WIFI6 F6600P-NACIONAL</v>
      </c>
      <c r="B3896" s="22">
        <f>IFERROR(__xludf.DUMMYFUNCTION("""COMPUTED_VALUE"""),4.100159E7)</f>
        <v>41001590</v>
      </c>
      <c r="C3896" s="21" t="str">
        <f>IFERROR(__xludf.DUMMYFUNCTION("""COMPUTED_VALUE"""),"3CF9F0A5BC92")</f>
        <v>3CF9F0A5BC92</v>
      </c>
      <c r="D3896" s="21" t="str">
        <f>IFERROR(__xludf.DUMMYFUNCTION("""COMPUTED_VALUE"""),"DIGITEC TECNOLOGIA DIGITAL E REPRES")</f>
        <v>DIGITEC TECNOLOGIA DIGITAL E REPRES</v>
      </c>
      <c r="E3896" s="21">
        <f>IFERROR(__xludf.DUMMYFUNCTION("""COMPUTED_VALUE"""),145359.0)</f>
        <v>145359</v>
      </c>
      <c r="F3896" s="21" t="str">
        <f>IFERROR(__xludf.DUMMYFUNCTION("""COMPUTED_VALUE"""),"INICIALIZADO")</f>
        <v>INICIALIZADO</v>
      </c>
      <c r="G3896" s="23">
        <f>IFERROR(__xludf.DUMMYFUNCTION("""COMPUTED_VALUE"""),45573.66679398148)</f>
        <v>45573.66679</v>
      </c>
      <c r="H3896" s="24" t="str">
        <f>IFERROR(VLOOKUP(B3896,material!A:D,3,0),"")</f>
        <v>GPON 6</v>
      </c>
    </row>
    <row r="3897" ht="11.25" customHeight="1">
      <c r="A3897" s="21" t="str">
        <f>IFERROR(__xludf.DUMMYFUNCTION("""COMPUTED_VALUE"""),"TERMINAL GPON ONT WIFI6 F6600P-NACIONAL")</f>
        <v>TERMINAL GPON ONT WIFI6 F6600P-NACIONAL</v>
      </c>
      <c r="B3897" s="22">
        <f>IFERROR(__xludf.DUMMYFUNCTION("""COMPUTED_VALUE"""),4.100159E7)</f>
        <v>41001590</v>
      </c>
      <c r="C3897" s="21" t="str">
        <f>IFERROR(__xludf.DUMMYFUNCTION("""COMPUTED_VALUE"""),"843C992D6431")</f>
        <v>843C992D6431</v>
      </c>
      <c r="D3897" s="21" t="str">
        <f>IFERROR(__xludf.DUMMYFUNCTION("""COMPUTED_VALUE"""),"DIGITEC TECNOLOGIA DIGITAL E REPRES")</f>
        <v>DIGITEC TECNOLOGIA DIGITAL E REPRES</v>
      </c>
      <c r="E3897" s="21">
        <f>IFERROR(__xludf.DUMMYFUNCTION("""COMPUTED_VALUE"""),145359.0)</f>
        <v>145359</v>
      </c>
      <c r="F3897" s="21" t="str">
        <f>IFERROR(__xludf.DUMMYFUNCTION("""COMPUTED_VALUE"""),"INICIALIZADO")</f>
        <v>INICIALIZADO</v>
      </c>
      <c r="G3897" s="23">
        <f>IFERROR(__xludf.DUMMYFUNCTION("""COMPUTED_VALUE"""),45635.535104166665)</f>
        <v>45635.5351</v>
      </c>
      <c r="H3897" s="24" t="str">
        <f>IFERROR(VLOOKUP(B3897,material!A:D,3,0),"")</f>
        <v>GPON 6</v>
      </c>
    </row>
    <row r="3898" ht="11.25" customHeight="1">
      <c r="A3898" s="21" t="str">
        <f>IFERROR(__xludf.DUMMYFUNCTION("""COMPUTED_VALUE"""),"TERMINAL GPON ONT WIFI6 F6600P-NACIONAL")</f>
        <v>TERMINAL GPON ONT WIFI6 F6600P-NACIONAL</v>
      </c>
      <c r="B3898" s="22">
        <f>IFERROR(__xludf.DUMMYFUNCTION("""COMPUTED_VALUE"""),4.100159E7)</f>
        <v>41001590</v>
      </c>
      <c r="C3898" s="21" t="str">
        <f>IFERROR(__xludf.DUMMYFUNCTION("""COMPUTED_VALUE"""),"843C992D62FF")</f>
        <v>843C992D62FF</v>
      </c>
      <c r="D3898" s="21" t="str">
        <f>IFERROR(__xludf.DUMMYFUNCTION("""COMPUTED_VALUE"""),"DIGITEC TECNOLOGIA DIGITAL E REPRES")</f>
        <v>DIGITEC TECNOLOGIA DIGITAL E REPRES</v>
      </c>
      <c r="E3898" s="21">
        <f>IFERROR(__xludf.DUMMYFUNCTION("""COMPUTED_VALUE"""),145359.0)</f>
        <v>145359</v>
      </c>
      <c r="F3898" s="21" t="str">
        <f>IFERROR(__xludf.DUMMYFUNCTION("""COMPUTED_VALUE"""),"INICIALIZADO")</f>
        <v>INICIALIZADO</v>
      </c>
      <c r="G3898" s="23">
        <f>IFERROR(__xludf.DUMMYFUNCTION("""COMPUTED_VALUE"""),45635.535104166665)</f>
        <v>45635.5351</v>
      </c>
      <c r="H3898" s="24" t="str">
        <f>IFERROR(VLOOKUP(B3898,material!A:D,3,0),"")</f>
        <v>GPON 6</v>
      </c>
    </row>
    <row r="3899" ht="11.25" customHeight="1">
      <c r="A3899" s="21" t="str">
        <f>IFERROR(__xludf.DUMMYFUNCTION("""COMPUTED_VALUE"""),"TERMINAL GPON ONT WIFI6 F6600P-NACIONAL")</f>
        <v>TERMINAL GPON ONT WIFI6 F6600P-NACIONAL</v>
      </c>
      <c r="B3899" s="22">
        <f>IFERROR(__xludf.DUMMYFUNCTION("""COMPUTED_VALUE"""),4.100159E7)</f>
        <v>41001590</v>
      </c>
      <c r="C3899" s="21" t="str">
        <f>IFERROR(__xludf.DUMMYFUNCTION("""COMPUTED_VALUE"""),"843C992D544D")</f>
        <v>843C992D544D</v>
      </c>
      <c r="D3899" s="21" t="str">
        <f>IFERROR(__xludf.DUMMYFUNCTION("""COMPUTED_VALUE"""),"DIGITEC TECNOLOGIA DIGITAL E REPRES")</f>
        <v>DIGITEC TECNOLOGIA DIGITAL E REPRES</v>
      </c>
      <c r="E3899" s="21">
        <f>IFERROR(__xludf.DUMMYFUNCTION("""COMPUTED_VALUE"""),145359.0)</f>
        <v>145359</v>
      </c>
      <c r="F3899" s="21" t="str">
        <f>IFERROR(__xludf.DUMMYFUNCTION("""COMPUTED_VALUE"""),"INICIALIZADO")</f>
        <v>INICIALIZADO</v>
      </c>
      <c r="G3899" s="23">
        <f>IFERROR(__xludf.DUMMYFUNCTION("""COMPUTED_VALUE"""),45635.535104166665)</f>
        <v>45635.5351</v>
      </c>
      <c r="H3899" s="24" t="str">
        <f>IFERROR(VLOOKUP(B3899,material!A:D,3,0),"")</f>
        <v>GPON 6</v>
      </c>
    </row>
    <row r="3900" ht="11.25" customHeight="1">
      <c r="A3900" s="21" t="str">
        <f>IFERROR(__xludf.DUMMYFUNCTION("""COMPUTED_VALUE"""),"TERMINAL GPON ONT WIFI6 F6600P-NACIONAL")</f>
        <v>TERMINAL GPON ONT WIFI6 F6600P-NACIONAL</v>
      </c>
      <c r="B3900" s="22">
        <f>IFERROR(__xludf.DUMMYFUNCTION("""COMPUTED_VALUE"""),4.100159E7)</f>
        <v>41001590</v>
      </c>
      <c r="C3900" s="21" t="str">
        <f>IFERROR(__xludf.DUMMYFUNCTION("""COMPUTED_VALUE"""),"843C992D5663")</f>
        <v>843C992D5663</v>
      </c>
      <c r="D3900" s="21" t="str">
        <f>IFERROR(__xludf.DUMMYFUNCTION("""COMPUTED_VALUE"""),"DIGITEC TECNOLOGIA DIGITAL E REPRES")</f>
        <v>DIGITEC TECNOLOGIA DIGITAL E REPRES</v>
      </c>
      <c r="E3900" s="21">
        <f>IFERROR(__xludf.DUMMYFUNCTION("""COMPUTED_VALUE"""),145359.0)</f>
        <v>145359</v>
      </c>
      <c r="F3900" s="21" t="str">
        <f>IFERROR(__xludf.DUMMYFUNCTION("""COMPUTED_VALUE"""),"INICIALIZADO")</f>
        <v>INICIALIZADO</v>
      </c>
      <c r="G3900" s="23">
        <f>IFERROR(__xludf.DUMMYFUNCTION("""COMPUTED_VALUE"""),45635.535104166665)</f>
        <v>45635.5351</v>
      </c>
      <c r="H3900" s="24" t="str">
        <f>IFERROR(VLOOKUP(B3900,material!A:D,3,0),"")</f>
        <v>GPON 6</v>
      </c>
    </row>
    <row r="3901" ht="11.25" customHeight="1">
      <c r="A3901" s="21" t="str">
        <f>IFERROR(__xludf.DUMMYFUNCTION("""COMPUTED_VALUE"""),"TERMINAL GPON ONT WIFI6 F6600P-NACIONAL")</f>
        <v>TERMINAL GPON ONT WIFI6 F6600P-NACIONAL</v>
      </c>
      <c r="B3901" s="22">
        <f>IFERROR(__xludf.DUMMYFUNCTION("""COMPUTED_VALUE"""),4.100159E7)</f>
        <v>41001590</v>
      </c>
      <c r="C3901" s="21" t="str">
        <f>IFERROR(__xludf.DUMMYFUNCTION("""COMPUTED_VALUE"""),"843C992D3191")</f>
        <v>843C992D3191</v>
      </c>
      <c r="D3901" s="21" t="str">
        <f>IFERROR(__xludf.DUMMYFUNCTION("""COMPUTED_VALUE"""),"DIGITEC TECNOLOGIA DIGITAL E REPRES")</f>
        <v>DIGITEC TECNOLOGIA DIGITAL E REPRES</v>
      </c>
      <c r="E3901" s="21">
        <f>IFERROR(__xludf.DUMMYFUNCTION("""COMPUTED_VALUE"""),145359.0)</f>
        <v>145359</v>
      </c>
      <c r="F3901" s="21" t="str">
        <f>IFERROR(__xludf.DUMMYFUNCTION("""COMPUTED_VALUE"""),"INICIALIZADO")</f>
        <v>INICIALIZADO</v>
      </c>
      <c r="G3901" s="23">
        <f>IFERROR(__xludf.DUMMYFUNCTION("""COMPUTED_VALUE"""),45635.535104166665)</f>
        <v>45635.5351</v>
      </c>
      <c r="H3901" s="24" t="str">
        <f>IFERROR(VLOOKUP(B3901,material!A:D,3,0),"")</f>
        <v>GPON 6</v>
      </c>
    </row>
    <row r="3902" ht="11.25" customHeight="1">
      <c r="A3902" s="21" t="str">
        <f>IFERROR(__xludf.DUMMYFUNCTION("""COMPUTED_VALUE"""),"TERMINAL GPON ONT WIFI6 F6600P-NACIONAL")</f>
        <v>TERMINAL GPON ONT WIFI6 F6600P-NACIONAL</v>
      </c>
      <c r="B3902" s="22">
        <f>IFERROR(__xludf.DUMMYFUNCTION("""COMPUTED_VALUE"""),4.100159E7)</f>
        <v>41001590</v>
      </c>
      <c r="C3902" s="21" t="str">
        <f>IFERROR(__xludf.DUMMYFUNCTION("""COMPUTED_VALUE"""),"843C992D5105")</f>
        <v>843C992D5105</v>
      </c>
      <c r="D3902" s="21" t="str">
        <f>IFERROR(__xludf.DUMMYFUNCTION("""COMPUTED_VALUE"""),"DIGITEC TECNOLOGIA DIGITAL E REPRES")</f>
        <v>DIGITEC TECNOLOGIA DIGITAL E REPRES</v>
      </c>
      <c r="E3902" s="21">
        <f>IFERROR(__xludf.DUMMYFUNCTION("""COMPUTED_VALUE"""),145359.0)</f>
        <v>145359</v>
      </c>
      <c r="F3902" s="21" t="str">
        <f>IFERROR(__xludf.DUMMYFUNCTION("""COMPUTED_VALUE"""),"INICIALIZADO")</f>
        <v>INICIALIZADO</v>
      </c>
      <c r="G3902" s="23">
        <f>IFERROR(__xludf.DUMMYFUNCTION("""COMPUTED_VALUE"""),45635.535104166665)</f>
        <v>45635.5351</v>
      </c>
      <c r="H3902" s="24" t="str">
        <f>IFERROR(VLOOKUP(B3902,material!A:D,3,0),"")</f>
        <v>GPON 6</v>
      </c>
    </row>
    <row r="3903" ht="11.25" customHeight="1">
      <c r="A3903" s="21" t="str">
        <f>IFERROR(__xludf.DUMMYFUNCTION("""COMPUTED_VALUE"""),"TERMINAL GPON ONT WIFI6 F6600P-NACIONAL")</f>
        <v>TERMINAL GPON ONT WIFI6 F6600P-NACIONAL</v>
      </c>
      <c r="B3903" s="22">
        <f>IFERROR(__xludf.DUMMYFUNCTION("""COMPUTED_VALUE"""),4.100159E7)</f>
        <v>41001590</v>
      </c>
      <c r="C3903" s="21" t="str">
        <f>IFERROR(__xludf.DUMMYFUNCTION("""COMPUTED_VALUE"""),"843C992BE28D")</f>
        <v>843C992BE28D</v>
      </c>
      <c r="D3903" s="21" t="str">
        <f>IFERROR(__xludf.DUMMYFUNCTION("""COMPUTED_VALUE"""),"DIGITEC TECNOLOGIA DIGITAL E REPRES")</f>
        <v>DIGITEC TECNOLOGIA DIGITAL E REPRES</v>
      </c>
      <c r="E3903" s="21">
        <f>IFERROR(__xludf.DUMMYFUNCTION("""COMPUTED_VALUE"""),145359.0)</f>
        <v>145359</v>
      </c>
      <c r="F3903" s="21" t="str">
        <f>IFERROR(__xludf.DUMMYFUNCTION("""COMPUTED_VALUE"""),"INICIALIZADO")</f>
        <v>INICIALIZADO</v>
      </c>
      <c r="G3903" s="23">
        <f>IFERROR(__xludf.DUMMYFUNCTION("""COMPUTED_VALUE"""),45593.485567129625)</f>
        <v>45593.48557</v>
      </c>
      <c r="H3903" s="24" t="str">
        <f>IFERROR(VLOOKUP(B3903,material!A:D,3,0),"")</f>
        <v>GPON 6</v>
      </c>
    </row>
    <row r="3904" ht="11.25" customHeight="1">
      <c r="A3904" s="21" t="str">
        <f>IFERROR(__xludf.DUMMYFUNCTION("""COMPUTED_VALUE"""),"TERMINAL GPON ONT WIFI6 F6600P-NACIONAL")</f>
        <v>TERMINAL GPON ONT WIFI6 F6600P-NACIONAL</v>
      </c>
      <c r="B3904" s="22">
        <f>IFERROR(__xludf.DUMMYFUNCTION("""COMPUTED_VALUE"""),4.100159E7)</f>
        <v>41001590</v>
      </c>
      <c r="C3904" s="21" t="str">
        <f>IFERROR(__xludf.DUMMYFUNCTION("""COMPUTED_VALUE"""),"843C992BE0D7")</f>
        <v>843C992BE0D7</v>
      </c>
      <c r="D3904" s="21" t="str">
        <f>IFERROR(__xludf.DUMMYFUNCTION("""COMPUTED_VALUE"""),"DIGITEC TECNOLOGIA DIGITAL E REPRES")</f>
        <v>DIGITEC TECNOLOGIA DIGITAL E REPRES</v>
      </c>
      <c r="E3904" s="21">
        <f>IFERROR(__xludf.DUMMYFUNCTION("""COMPUTED_VALUE"""),145359.0)</f>
        <v>145359</v>
      </c>
      <c r="F3904" s="21" t="str">
        <f>IFERROR(__xludf.DUMMYFUNCTION("""COMPUTED_VALUE"""),"INICIALIZADO")</f>
        <v>INICIALIZADO</v>
      </c>
      <c r="G3904" s="23">
        <f>IFERROR(__xludf.DUMMYFUNCTION("""COMPUTED_VALUE"""),45593.485567129625)</f>
        <v>45593.48557</v>
      </c>
      <c r="H3904" s="24" t="str">
        <f>IFERROR(VLOOKUP(B3904,material!A:D,3,0),"")</f>
        <v>GPON 6</v>
      </c>
    </row>
    <row r="3905" ht="11.25" customHeight="1">
      <c r="A3905" s="21" t="str">
        <f>IFERROR(__xludf.DUMMYFUNCTION("""COMPUTED_VALUE"""),"TERMINAL GPON ONT WIFI6 F6600P-NACIONAL")</f>
        <v>TERMINAL GPON ONT WIFI6 F6600P-NACIONAL</v>
      </c>
      <c r="B3905" s="22">
        <f>IFERROR(__xludf.DUMMYFUNCTION("""COMPUTED_VALUE"""),4.100159E7)</f>
        <v>41001590</v>
      </c>
      <c r="C3905" s="21" t="str">
        <f>IFERROR(__xludf.DUMMYFUNCTION("""COMPUTED_VALUE"""),"843C992E0D27")</f>
        <v>843C992E0D27</v>
      </c>
      <c r="D3905" s="21" t="str">
        <f>IFERROR(__xludf.DUMMYFUNCTION("""COMPUTED_VALUE"""),"DIGITEC TECNOLOGIA DIGITAL E REPRES")</f>
        <v>DIGITEC TECNOLOGIA DIGITAL E REPRES</v>
      </c>
      <c r="E3905" s="21">
        <f>IFERROR(__xludf.DUMMYFUNCTION("""COMPUTED_VALUE"""),145359.0)</f>
        <v>145359</v>
      </c>
      <c r="F3905" s="21" t="str">
        <f>IFERROR(__xludf.DUMMYFUNCTION("""COMPUTED_VALUE"""),"INICIALIZADO")</f>
        <v>INICIALIZADO</v>
      </c>
      <c r="G3905" s="23">
        <f>IFERROR(__xludf.DUMMYFUNCTION("""COMPUTED_VALUE"""),45604.74098379629)</f>
        <v>45604.74098</v>
      </c>
      <c r="H3905" s="24" t="str">
        <f>IFERROR(VLOOKUP(B3905,material!A:D,3,0),"")</f>
        <v>GPON 6</v>
      </c>
    </row>
    <row r="3906" ht="11.25" customHeight="1">
      <c r="A3906" s="21" t="str">
        <f>IFERROR(__xludf.DUMMYFUNCTION("""COMPUTED_VALUE"""),"TERMINAL GPON ONT WIFI6 F6600P-NACIONAL")</f>
        <v>TERMINAL GPON ONT WIFI6 F6600P-NACIONAL</v>
      </c>
      <c r="B3906" s="22">
        <f>IFERROR(__xludf.DUMMYFUNCTION("""COMPUTED_VALUE"""),4.100159E7)</f>
        <v>41001590</v>
      </c>
      <c r="C3906" s="21" t="str">
        <f>IFERROR(__xludf.DUMMYFUNCTION("""COMPUTED_VALUE"""),"843C992DD937")</f>
        <v>843C992DD937</v>
      </c>
      <c r="D3906" s="21" t="str">
        <f>IFERROR(__xludf.DUMMYFUNCTION("""COMPUTED_VALUE"""),"DIGITEC TECNOLOGIA DIGITAL E REPRES")</f>
        <v>DIGITEC TECNOLOGIA DIGITAL E REPRES</v>
      </c>
      <c r="E3906" s="21">
        <f>IFERROR(__xludf.DUMMYFUNCTION("""COMPUTED_VALUE"""),145359.0)</f>
        <v>145359</v>
      </c>
      <c r="F3906" s="21" t="str">
        <f>IFERROR(__xludf.DUMMYFUNCTION("""COMPUTED_VALUE"""),"INICIALIZADO")</f>
        <v>INICIALIZADO</v>
      </c>
      <c r="G3906" s="23">
        <f>IFERROR(__xludf.DUMMYFUNCTION("""COMPUTED_VALUE"""),45604.74097222222)</f>
        <v>45604.74097</v>
      </c>
      <c r="H3906" s="24" t="str">
        <f>IFERROR(VLOOKUP(B3906,material!A:D,3,0),"")</f>
        <v>GPON 6</v>
      </c>
    </row>
    <row r="3907" ht="11.25" customHeight="1">
      <c r="A3907" s="21" t="str">
        <f>IFERROR(__xludf.DUMMYFUNCTION("""COMPUTED_VALUE"""),"TERMINAL GPON ONT WIFI6 F6600P-NACIONAL")</f>
        <v>TERMINAL GPON ONT WIFI6 F6600P-NACIONAL</v>
      </c>
      <c r="B3907" s="22">
        <f>IFERROR(__xludf.DUMMYFUNCTION("""COMPUTED_VALUE"""),4.100159E7)</f>
        <v>41001590</v>
      </c>
      <c r="C3907" s="21" t="str">
        <f>IFERROR(__xludf.DUMMYFUNCTION("""COMPUTED_VALUE"""),"843C992D636B")</f>
        <v>843C992D636B</v>
      </c>
      <c r="D3907" s="21" t="str">
        <f>IFERROR(__xludf.DUMMYFUNCTION("""COMPUTED_VALUE"""),"DIGITEC TECNOLOGIA DIGITAL E REPRES")</f>
        <v>DIGITEC TECNOLOGIA DIGITAL E REPRES</v>
      </c>
      <c r="E3907" s="21">
        <f>IFERROR(__xludf.DUMMYFUNCTION("""COMPUTED_VALUE"""),145359.0)</f>
        <v>145359</v>
      </c>
      <c r="F3907" s="21" t="str">
        <f>IFERROR(__xludf.DUMMYFUNCTION("""COMPUTED_VALUE"""),"INICIALIZADO")</f>
        <v>INICIALIZADO</v>
      </c>
      <c r="G3907" s="23">
        <f>IFERROR(__xludf.DUMMYFUNCTION("""COMPUTED_VALUE"""),45635.535104166665)</f>
        <v>45635.5351</v>
      </c>
      <c r="H3907" s="24" t="str">
        <f>IFERROR(VLOOKUP(B3907,material!A:D,3,0),"")</f>
        <v>GPON 6</v>
      </c>
    </row>
    <row r="3908" ht="11.25" customHeight="1">
      <c r="A3908" s="21" t="str">
        <f>IFERROR(__xludf.DUMMYFUNCTION("""COMPUTED_VALUE"""),"TERMINAL GPON ONT WIFI6 F6600P-NACIONAL")</f>
        <v>TERMINAL GPON ONT WIFI6 F6600P-NACIONAL</v>
      </c>
      <c r="B3908" s="22">
        <f>IFERROR(__xludf.DUMMYFUNCTION("""COMPUTED_VALUE"""),4.100159E7)</f>
        <v>41001590</v>
      </c>
      <c r="C3908" s="21" t="str">
        <f>IFERROR(__xludf.DUMMYFUNCTION("""COMPUTED_VALUE"""),"843C992D573B")</f>
        <v>843C992D573B</v>
      </c>
      <c r="D3908" s="21" t="str">
        <f>IFERROR(__xludf.DUMMYFUNCTION("""COMPUTED_VALUE"""),"DIGITEC TECNOLOGIA DIGITAL E REPRES")</f>
        <v>DIGITEC TECNOLOGIA DIGITAL E REPRES</v>
      </c>
      <c r="E3908" s="21">
        <f>IFERROR(__xludf.DUMMYFUNCTION("""COMPUTED_VALUE"""),145359.0)</f>
        <v>145359</v>
      </c>
      <c r="F3908" s="21" t="str">
        <f>IFERROR(__xludf.DUMMYFUNCTION("""COMPUTED_VALUE"""),"INICIALIZADO")</f>
        <v>INICIALIZADO</v>
      </c>
      <c r="G3908" s="23">
        <f>IFERROR(__xludf.DUMMYFUNCTION("""COMPUTED_VALUE"""),45635.535104166665)</f>
        <v>45635.5351</v>
      </c>
      <c r="H3908" s="24" t="str">
        <f>IFERROR(VLOOKUP(B3908,material!A:D,3,0),"")</f>
        <v>GPON 6</v>
      </c>
    </row>
    <row r="3909" ht="11.25" customHeight="1">
      <c r="A3909" s="21" t="str">
        <f>IFERROR(__xludf.DUMMYFUNCTION("""COMPUTED_VALUE"""),"TERMINAL GPON ONT WIFI6 F6600P-NACIONAL")</f>
        <v>TERMINAL GPON ONT WIFI6 F6600P-NACIONAL</v>
      </c>
      <c r="B3909" s="22">
        <f>IFERROR(__xludf.DUMMYFUNCTION("""COMPUTED_VALUE"""),4.100159E7)</f>
        <v>41001590</v>
      </c>
      <c r="C3909" s="21" t="str">
        <f>IFERROR(__xludf.DUMMYFUNCTION("""COMPUTED_VALUE"""),"843C992D31EB")</f>
        <v>843C992D31EB</v>
      </c>
      <c r="D3909" s="21" t="str">
        <f>IFERROR(__xludf.DUMMYFUNCTION("""COMPUTED_VALUE"""),"DIGITEC TECNOLOGIA DIGITAL E REPRES")</f>
        <v>DIGITEC TECNOLOGIA DIGITAL E REPRES</v>
      </c>
      <c r="E3909" s="21">
        <f>IFERROR(__xludf.DUMMYFUNCTION("""COMPUTED_VALUE"""),145359.0)</f>
        <v>145359</v>
      </c>
      <c r="F3909" s="21" t="str">
        <f>IFERROR(__xludf.DUMMYFUNCTION("""COMPUTED_VALUE"""),"INICIALIZADO")</f>
        <v>INICIALIZADO</v>
      </c>
      <c r="G3909" s="23">
        <f>IFERROR(__xludf.DUMMYFUNCTION("""COMPUTED_VALUE"""),45635.535104166665)</f>
        <v>45635.5351</v>
      </c>
      <c r="H3909" s="24" t="str">
        <f>IFERROR(VLOOKUP(B3909,material!A:D,3,0),"")</f>
        <v>GPON 6</v>
      </c>
    </row>
    <row r="3910" ht="11.25" customHeight="1">
      <c r="A3910" s="21" t="str">
        <f>IFERROR(__xludf.DUMMYFUNCTION("""COMPUTED_VALUE"""),"TERMINAL GPON ONT WIFI6 F6600P-NACIONAL")</f>
        <v>TERMINAL GPON ONT WIFI6 F6600P-NACIONAL</v>
      </c>
      <c r="B3910" s="22">
        <f>IFERROR(__xludf.DUMMYFUNCTION("""COMPUTED_VALUE"""),4.100159E7)</f>
        <v>41001590</v>
      </c>
      <c r="C3910" s="21" t="str">
        <f>IFERROR(__xludf.DUMMYFUNCTION("""COMPUTED_VALUE"""),"843C992D4C25")</f>
        <v>843C992D4C25</v>
      </c>
      <c r="D3910" s="21" t="str">
        <f>IFERROR(__xludf.DUMMYFUNCTION("""COMPUTED_VALUE"""),"DIGITEC TECNOLOGIA DIGITAL E REPRES")</f>
        <v>DIGITEC TECNOLOGIA DIGITAL E REPRES</v>
      </c>
      <c r="E3910" s="21">
        <f>IFERROR(__xludf.DUMMYFUNCTION("""COMPUTED_VALUE"""),145359.0)</f>
        <v>145359</v>
      </c>
      <c r="F3910" s="21" t="str">
        <f>IFERROR(__xludf.DUMMYFUNCTION("""COMPUTED_VALUE"""),"INICIALIZADO")</f>
        <v>INICIALIZADO</v>
      </c>
      <c r="G3910" s="23">
        <f>IFERROR(__xludf.DUMMYFUNCTION("""COMPUTED_VALUE"""),45635.535104166665)</f>
        <v>45635.5351</v>
      </c>
      <c r="H3910" s="24" t="str">
        <f>IFERROR(VLOOKUP(B3910,material!A:D,3,0),"")</f>
        <v>GPON 6</v>
      </c>
    </row>
    <row r="3911" ht="11.25" customHeight="1">
      <c r="A3911" s="21" t="str">
        <f>IFERROR(__xludf.DUMMYFUNCTION("""COMPUTED_VALUE"""),"TERMINAL GPON ONT WIFI6 F6600P-NACIONAL")</f>
        <v>TERMINAL GPON ONT WIFI6 F6600P-NACIONAL</v>
      </c>
      <c r="B3911" s="22">
        <f>IFERROR(__xludf.DUMMYFUNCTION("""COMPUTED_VALUE"""),4.100159E7)</f>
        <v>41001590</v>
      </c>
      <c r="C3911" s="21" t="str">
        <f>IFERROR(__xludf.DUMMYFUNCTION("""COMPUTED_VALUE"""),"843C992D4DCF")</f>
        <v>843C992D4DCF</v>
      </c>
      <c r="D3911" s="21" t="str">
        <f>IFERROR(__xludf.DUMMYFUNCTION("""COMPUTED_VALUE"""),"DIGITEC TECNOLOGIA DIGITAL E REPRES")</f>
        <v>DIGITEC TECNOLOGIA DIGITAL E REPRES</v>
      </c>
      <c r="E3911" s="21">
        <f>IFERROR(__xludf.DUMMYFUNCTION("""COMPUTED_VALUE"""),145359.0)</f>
        <v>145359</v>
      </c>
      <c r="F3911" s="21" t="str">
        <f>IFERROR(__xludf.DUMMYFUNCTION("""COMPUTED_VALUE"""),"INICIALIZADO")</f>
        <v>INICIALIZADO</v>
      </c>
      <c r="G3911" s="23">
        <f>IFERROR(__xludf.DUMMYFUNCTION("""COMPUTED_VALUE"""),45635.535104166665)</f>
        <v>45635.5351</v>
      </c>
      <c r="H3911" s="24" t="str">
        <f>IFERROR(VLOOKUP(B3911,material!A:D,3,0),"")</f>
        <v>GPON 6</v>
      </c>
    </row>
    <row r="3912" ht="11.25" customHeight="1">
      <c r="A3912" s="21" t="str">
        <f>IFERROR(__xludf.DUMMYFUNCTION("""COMPUTED_VALUE"""),"TERMINAL GPON ONT WIFI6 F6600P-NACIONAL")</f>
        <v>TERMINAL GPON ONT WIFI6 F6600P-NACIONAL</v>
      </c>
      <c r="B3912" s="22">
        <f>IFERROR(__xludf.DUMMYFUNCTION("""COMPUTED_VALUE"""),4.100159E7)</f>
        <v>41001590</v>
      </c>
      <c r="C3912" s="21" t="str">
        <f>IFERROR(__xludf.DUMMYFUNCTION("""COMPUTED_VALUE"""),"843C992D5951")</f>
        <v>843C992D5951</v>
      </c>
      <c r="D3912" s="21" t="str">
        <f>IFERROR(__xludf.DUMMYFUNCTION("""COMPUTED_VALUE"""),"DIGITEC TECNOLOGIA DIGITAL E REPRES")</f>
        <v>DIGITEC TECNOLOGIA DIGITAL E REPRES</v>
      </c>
      <c r="E3912" s="21">
        <f>IFERROR(__xludf.DUMMYFUNCTION("""COMPUTED_VALUE"""),145359.0)</f>
        <v>145359</v>
      </c>
      <c r="F3912" s="21" t="str">
        <f>IFERROR(__xludf.DUMMYFUNCTION("""COMPUTED_VALUE"""),"INICIALIZADO")</f>
        <v>INICIALIZADO</v>
      </c>
      <c r="G3912" s="23">
        <f>IFERROR(__xludf.DUMMYFUNCTION("""COMPUTED_VALUE"""),45635.535104166665)</f>
        <v>45635.5351</v>
      </c>
      <c r="H3912" s="24" t="str">
        <f>IFERROR(VLOOKUP(B3912,material!A:D,3,0),"")</f>
        <v>GPON 6</v>
      </c>
    </row>
    <row r="3913" ht="11.25" customHeight="1">
      <c r="A3913" s="21" t="str">
        <f>IFERROR(__xludf.DUMMYFUNCTION("""COMPUTED_VALUE"""),"TERMINAL GPON ONT WIFI6 F6600P-NACIONAL")</f>
        <v>TERMINAL GPON ONT WIFI6 F6600P-NACIONAL</v>
      </c>
      <c r="B3913" s="22">
        <f>IFERROR(__xludf.DUMMYFUNCTION("""COMPUTED_VALUE"""),4.100159E7)</f>
        <v>41001590</v>
      </c>
      <c r="C3913" s="21" t="str">
        <f>IFERROR(__xludf.DUMMYFUNCTION("""COMPUTED_VALUE"""),"843C992D59C9")</f>
        <v>843C992D59C9</v>
      </c>
      <c r="D3913" s="21" t="str">
        <f>IFERROR(__xludf.DUMMYFUNCTION("""COMPUTED_VALUE"""),"DIGITEC TECNOLOGIA DIGITAL E REPRES")</f>
        <v>DIGITEC TECNOLOGIA DIGITAL E REPRES</v>
      </c>
      <c r="E3913" s="21">
        <f>IFERROR(__xludf.DUMMYFUNCTION("""COMPUTED_VALUE"""),145359.0)</f>
        <v>145359</v>
      </c>
      <c r="F3913" s="21" t="str">
        <f>IFERROR(__xludf.DUMMYFUNCTION("""COMPUTED_VALUE"""),"INICIALIZADO")</f>
        <v>INICIALIZADO</v>
      </c>
      <c r="G3913" s="23">
        <f>IFERROR(__xludf.DUMMYFUNCTION("""COMPUTED_VALUE"""),45635.53509259259)</f>
        <v>45635.53509</v>
      </c>
      <c r="H3913" s="24" t="str">
        <f>IFERROR(VLOOKUP(B3913,material!A:D,3,0),"")</f>
        <v>GPON 6</v>
      </c>
    </row>
    <row r="3914" ht="11.25" customHeight="1">
      <c r="A3914" s="21" t="str">
        <f>IFERROR(__xludf.DUMMYFUNCTION("""COMPUTED_VALUE"""),"TERMINAL GPON ONT WIFI6 F6600P-NACIONAL")</f>
        <v>TERMINAL GPON ONT WIFI6 F6600P-NACIONAL</v>
      </c>
      <c r="B3914" s="22">
        <f>IFERROR(__xludf.DUMMYFUNCTION("""COMPUTED_VALUE"""),4.100159E7)</f>
        <v>41001590</v>
      </c>
      <c r="C3914" s="21" t="str">
        <f>IFERROR(__xludf.DUMMYFUNCTION("""COMPUTED_VALUE"""),"843C992D6035")</f>
        <v>843C992D6035</v>
      </c>
      <c r="D3914" s="21" t="str">
        <f>IFERROR(__xludf.DUMMYFUNCTION("""COMPUTED_VALUE"""),"DIGITEC TECNOLOGIA DIGITAL E REPRES")</f>
        <v>DIGITEC TECNOLOGIA DIGITAL E REPRES</v>
      </c>
      <c r="E3914" s="21">
        <f>IFERROR(__xludf.DUMMYFUNCTION("""COMPUTED_VALUE"""),145359.0)</f>
        <v>145359</v>
      </c>
      <c r="F3914" s="21" t="str">
        <f>IFERROR(__xludf.DUMMYFUNCTION("""COMPUTED_VALUE"""),"INICIALIZADO")</f>
        <v>INICIALIZADO</v>
      </c>
      <c r="G3914" s="23">
        <f>IFERROR(__xludf.DUMMYFUNCTION("""COMPUTED_VALUE"""),45635.535104166665)</f>
        <v>45635.5351</v>
      </c>
      <c r="H3914" s="24" t="str">
        <f>IFERROR(VLOOKUP(B3914,material!A:D,3,0),"")</f>
        <v>GPON 6</v>
      </c>
    </row>
    <row r="3915" ht="11.25" customHeight="1">
      <c r="A3915" s="21" t="str">
        <f>IFERROR(__xludf.DUMMYFUNCTION("""COMPUTED_VALUE"""),"TERMINAL GPON ONT WIFI6 F6600P-NACIONAL")</f>
        <v>TERMINAL GPON ONT WIFI6 F6600P-NACIONAL</v>
      </c>
      <c r="B3915" s="22">
        <f>IFERROR(__xludf.DUMMYFUNCTION("""COMPUTED_VALUE"""),4.100159E7)</f>
        <v>41001590</v>
      </c>
      <c r="C3915" s="21" t="str">
        <f>IFERROR(__xludf.DUMMYFUNCTION("""COMPUTED_VALUE"""),"843C992D63EF")</f>
        <v>843C992D63EF</v>
      </c>
      <c r="D3915" s="21" t="str">
        <f>IFERROR(__xludf.DUMMYFUNCTION("""COMPUTED_VALUE"""),"DIGITEC TECNOLOGIA DIGITAL E REPRES")</f>
        <v>DIGITEC TECNOLOGIA DIGITAL E REPRES</v>
      </c>
      <c r="E3915" s="21">
        <f>IFERROR(__xludf.DUMMYFUNCTION("""COMPUTED_VALUE"""),145359.0)</f>
        <v>145359</v>
      </c>
      <c r="F3915" s="21" t="str">
        <f>IFERROR(__xludf.DUMMYFUNCTION("""COMPUTED_VALUE"""),"INICIALIZADO")</f>
        <v>INICIALIZADO</v>
      </c>
      <c r="G3915" s="23">
        <f>IFERROR(__xludf.DUMMYFUNCTION("""COMPUTED_VALUE"""),45635.535104166665)</f>
        <v>45635.5351</v>
      </c>
      <c r="H3915" s="24" t="str">
        <f>IFERROR(VLOOKUP(B3915,material!A:D,3,0),"")</f>
        <v>GPON 6</v>
      </c>
    </row>
    <row r="3916" ht="11.25" customHeight="1">
      <c r="A3916" s="21" t="str">
        <f>IFERROR(__xludf.DUMMYFUNCTION("""COMPUTED_VALUE"""),"TERMINAL GPON ONT WIFI6 F6600P-NACIONAL")</f>
        <v>TERMINAL GPON ONT WIFI6 F6600P-NACIONAL</v>
      </c>
      <c r="B3916" s="22">
        <f>IFERROR(__xludf.DUMMYFUNCTION("""COMPUTED_VALUE"""),4.100159E7)</f>
        <v>41001590</v>
      </c>
      <c r="C3916" s="21" t="str">
        <f>IFERROR(__xludf.DUMMYFUNCTION("""COMPUTED_VALUE"""),"843C992D62A5")</f>
        <v>843C992D62A5</v>
      </c>
      <c r="D3916" s="21" t="str">
        <f>IFERROR(__xludf.DUMMYFUNCTION("""COMPUTED_VALUE"""),"DIGITEC TECNOLOGIA DIGITAL E REPRES")</f>
        <v>DIGITEC TECNOLOGIA DIGITAL E REPRES</v>
      </c>
      <c r="E3916" s="21">
        <f>IFERROR(__xludf.DUMMYFUNCTION("""COMPUTED_VALUE"""),145359.0)</f>
        <v>145359</v>
      </c>
      <c r="F3916" s="21" t="str">
        <f>IFERROR(__xludf.DUMMYFUNCTION("""COMPUTED_VALUE"""),"INICIALIZADO")</f>
        <v>INICIALIZADO</v>
      </c>
      <c r="G3916" s="23">
        <f>IFERROR(__xludf.DUMMYFUNCTION("""COMPUTED_VALUE"""),45635.535104166665)</f>
        <v>45635.5351</v>
      </c>
      <c r="H3916" s="24" t="str">
        <f>IFERROR(VLOOKUP(B3916,material!A:D,3,0),"")</f>
        <v>GPON 6</v>
      </c>
    </row>
    <row r="3917" ht="11.25" customHeight="1">
      <c r="A3917" s="21" t="str">
        <f>IFERROR(__xludf.DUMMYFUNCTION("""COMPUTED_VALUE"""),"TERMINAL GPON ONT WIFI6 F6600P-NACIONAL")</f>
        <v>TERMINAL GPON ONT WIFI6 F6600P-NACIONAL</v>
      </c>
      <c r="B3917" s="22">
        <f>IFERROR(__xludf.DUMMYFUNCTION("""COMPUTED_VALUE"""),4.100159E7)</f>
        <v>41001590</v>
      </c>
      <c r="C3917" s="21" t="str">
        <f>IFERROR(__xludf.DUMMYFUNCTION("""COMPUTED_VALUE"""),"843C992D315B")</f>
        <v>843C992D315B</v>
      </c>
      <c r="D3917" s="21" t="str">
        <f>IFERROR(__xludf.DUMMYFUNCTION("""COMPUTED_VALUE"""),"DIGITEC TECNOLOGIA DIGITAL E REPRES")</f>
        <v>DIGITEC TECNOLOGIA DIGITAL E REPRES</v>
      </c>
      <c r="E3917" s="21">
        <f>IFERROR(__xludf.DUMMYFUNCTION("""COMPUTED_VALUE"""),145359.0)</f>
        <v>145359</v>
      </c>
      <c r="F3917" s="21" t="str">
        <f>IFERROR(__xludf.DUMMYFUNCTION("""COMPUTED_VALUE"""),"INICIALIZADO")</f>
        <v>INICIALIZADO</v>
      </c>
      <c r="G3917" s="23">
        <f>IFERROR(__xludf.DUMMYFUNCTION("""COMPUTED_VALUE"""),45635.535104166665)</f>
        <v>45635.5351</v>
      </c>
      <c r="H3917" s="24" t="str">
        <f>IFERROR(VLOOKUP(B3917,material!A:D,3,0),"")</f>
        <v>GPON 6</v>
      </c>
    </row>
    <row r="3918" ht="11.25" customHeight="1">
      <c r="A3918" s="21" t="str">
        <f>IFERROR(__xludf.DUMMYFUNCTION("""COMPUTED_VALUE"""),"TERMINAL GPON ONT WIFI6 F6600P-NACIONAL")</f>
        <v>TERMINAL GPON ONT WIFI6 F6600P-NACIONAL</v>
      </c>
      <c r="B3918" s="22">
        <f>IFERROR(__xludf.DUMMYFUNCTION("""COMPUTED_VALUE"""),4.100159E7)</f>
        <v>41001590</v>
      </c>
      <c r="C3918" s="21" t="str">
        <f>IFERROR(__xludf.DUMMYFUNCTION("""COMPUTED_VALUE"""),"843C992D4F0D")</f>
        <v>843C992D4F0D</v>
      </c>
      <c r="D3918" s="21" t="str">
        <f>IFERROR(__xludf.DUMMYFUNCTION("""COMPUTED_VALUE"""),"DIGITEC TECNOLOGIA DIGITAL E REPRES")</f>
        <v>DIGITEC TECNOLOGIA DIGITAL E REPRES</v>
      </c>
      <c r="E3918" s="21">
        <f>IFERROR(__xludf.DUMMYFUNCTION("""COMPUTED_VALUE"""),145359.0)</f>
        <v>145359</v>
      </c>
      <c r="F3918" s="21" t="str">
        <f>IFERROR(__xludf.DUMMYFUNCTION("""COMPUTED_VALUE"""),"INICIALIZADO")</f>
        <v>INICIALIZADO</v>
      </c>
      <c r="G3918" s="23">
        <f>IFERROR(__xludf.DUMMYFUNCTION("""COMPUTED_VALUE"""),45635.535104166665)</f>
        <v>45635.5351</v>
      </c>
      <c r="H3918" s="24" t="str">
        <f>IFERROR(VLOOKUP(B3918,material!A:D,3,0),"")</f>
        <v>GPON 6</v>
      </c>
    </row>
    <row r="3919" ht="11.25" customHeight="1">
      <c r="A3919" s="21" t="str">
        <f>IFERROR(__xludf.DUMMYFUNCTION("""COMPUTED_VALUE"""),"TERMINAL GPON ONT WIFI6 F6600P-NACIONAL")</f>
        <v>TERMINAL GPON ONT WIFI6 F6600P-NACIONAL</v>
      </c>
      <c r="B3919" s="22">
        <f>IFERROR(__xludf.DUMMYFUNCTION("""COMPUTED_VALUE"""),4.100159E7)</f>
        <v>41001590</v>
      </c>
      <c r="C3919" s="21" t="str">
        <f>IFERROR(__xludf.DUMMYFUNCTION("""COMPUTED_VALUE"""),"843C992D59CF")</f>
        <v>843C992D59CF</v>
      </c>
      <c r="D3919" s="21" t="str">
        <f>IFERROR(__xludf.DUMMYFUNCTION("""COMPUTED_VALUE"""),"DIGITEC TECNOLOGIA DIGITAL E REPRES")</f>
        <v>DIGITEC TECNOLOGIA DIGITAL E REPRES</v>
      </c>
      <c r="E3919" s="21">
        <f>IFERROR(__xludf.DUMMYFUNCTION("""COMPUTED_VALUE"""),145359.0)</f>
        <v>145359</v>
      </c>
      <c r="F3919" s="21" t="str">
        <f>IFERROR(__xludf.DUMMYFUNCTION("""COMPUTED_VALUE"""),"INICIALIZADO")</f>
        <v>INICIALIZADO</v>
      </c>
      <c r="G3919" s="23">
        <f>IFERROR(__xludf.DUMMYFUNCTION("""COMPUTED_VALUE"""),45635.53509259259)</f>
        <v>45635.53509</v>
      </c>
      <c r="H3919" s="24" t="str">
        <f>IFERROR(VLOOKUP(B3919,material!A:D,3,0),"")</f>
        <v>GPON 6</v>
      </c>
    </row>
    <row r="3920" ht="11.25" customHeight="1">
      <c r="A3920" s="21" t="str">
        <f>IFERROR(__xludf.DUMMYFUNCTION("""COMPUTED_VALUE"""),"TERMINAL GPON ONT WIFI6 F6600P-NACIONAL")</f>
        <v>TERMINAL GPON ONT WIFI6 F6600P-NACIONAL</v>
      </c>
      <c r="B3920" s="22">
        <f>IFERROR(__xludf.DUMMYFUNCTION("""COMPUTED_VALUE"""),4.100159E7)</f>
        <v>41001590</v>
      </c>
      <c r="C3920" s="21" t="str">
        <f>IFERROR(__xludf.DUMMYFUNCTION("""COMPUTED_VALUE"""),"843C992D5FFF")</f>
        <v>843C992D5FFF</v>
      </c>
      <c r="D3920" s="21" t="str">
        <f>IFERROR(__xludf.DUMMYFUNCTION("""COMPUTED_VALUE"""),"DIGITEC TECNOLOGIA DIGITAL E REPRES")</f>
        <v>DIGITEC TECNOLOGIA DIGITAL E REPRES</v>
      </c>
      <c r="E3920" s="21">
        <f>IFERROR(__xludf.DUMMYFUNCTION("""COMPUTED_VALUE"""),145359.0)</f>
        <v>145359</v>
      </c>
      <c r="F3920" s="21" t="str">
        <f>IFERROR(__xludf.DUMMYFUNCTION("""COMPUTED_VALUE"""),"INICIALIZADO")</f>
        <v>INICIALIZADO</v>
      </c>
      <c r="G3920" s="23">
        <f>IFERROR(__xludf.DUMMYFUNCTION("""COMPUTED_VALUE"""),45635.53509259259)</f>
        <v>45635.53509</v>
      </c>
      <c r="H3920" s="24" t="str">
        <f>IFERROR(VLOOKUP(B3920,material!A:D,3,0),"")</f>
        <v>GPON 6</v>
      </c>
    </row>
    <row r="3921" ht="11.25" customHeight="1">
      <c r="A3921" s="21" t="str">
        <f>IFERROR(__xludf.DUMMYFUNCTION("""COMPUTED_VALUE"""),"TERMINAL GPON ONT WIFI6 F6600P-NACIONAL")</f>
        <v>TERMINAL GPON ONT WIFI6 F6600P-NACIONAL</v>
      </c>
      <c r="B3921" s="22">
        <f>IFERROR(__xludf.DUMMYFUNCTION("""COMPUTED_VALUE"""),4.100159E7)</f>
        <v>41001590</v>
      </c>
      <c r="C3921" s="21" t="str">
        <f>IFERROR(__xludf.DUMMYFUNCTION("""COMPUTED_VALUE"""),"843C992D6335")</f>
        <v>843C992D6335</v>
      </c>
      <c r="D3921" s="21" t="str">
        <f>IFERROR(__xludf.DUMMYFUNCTION("""COMPUTED_VALUE"""),"DIGITEC TECNOLOGIA DIGITAL E REPRES")</f>
        <v>DIGITEC TECNOLOGIA DIGITAL E REPRES</v>
      </c>
      <c r="E3921" s="21">
        <f>IFERROR(__xludf.DUMMYFUNCTION("""COMPUTED_VALUE"""),145359.0)</f>
        <v>145359</v>
      </c>
      <c r="F3921" s="21" t="str">
        <f>IFERROR(__xludf.DUMMYFUNCTION("""COMPUTED_VALUE"""),"INICIALIZADO")</f>
        <v>INICIALIZADO</v>
      </c>
      <c r="G3921" s="23">
        <f>IFERROR(__xludf.DUMMYFUNCTION("""COMPUTED_VALUE"""),45635.535104166665)</f>
        <v>45635.5351</v>
      </c>
      <c r="H3921" s="24" t="str">
        <f>IFERROR(VLOOKUP(B3921,material!A:D,3,0),"")</f>
        <v>GPON 6</v>
      </c>
    </row>
    <row r="3922" ht="11.25" customHeight="1">
      <c r="A3922" s="21" t="str">
        <f>IFERROR(__xludf.DUMMYFUNCTION("""COMPUTED_VALUE"""),"TERMINAL GPON ONT WIFI6 F6600P-NACIONAL")</f>
        <v>TERMINAL GPON ONT WIFI6 F6600P-NACIONAL</v>
      </c>
      <c r="B3922" s="22">
        <f>IFERROR(__xludf.DUMMYFUNCTION("""COMPUTED_VALUE"""),4.100159E7)</f>
        <v>41001590</v>
      </c>
      <c r="C3922" s="21" t="str">
        <f>IFERROR(__xludf.DUMMYFUNCTION("""COMPUTED_VALUE"""),"843C992D6479")</f>
        <v>843C992D6479</v>
      </c>
      <c r="D3922" s="21" t="str">
        <f>IFERROR(__xludf.DUMMYFUNCTION("""COMPUTED_VALUE"""),"DIGITEC TECNOLOGIA DIGITAL E REPRES")</f>
        <v>DIGITEC TECNOLOGIA DIGITAL E REPRES</v>
      </c>
      <c r="E3922" s="21">
        <f>IFERROR(__xludf.DUMMYFUNCTION("""COMPUTED_VALUE"""),145359.0)</f>
        <v>145359</v>
      </c>
      <c r="F3922" s="21" t="str">
        <f>IFERROR(__xludf.DUMMYFUNCTION("""COMPUTED_VALUE"""),"INICIALIZADO")</f>
        <v>INICIALIZADO</v>
      </c>
      <c r="G3922" s="23">
        <f>IFERROR(__xludf.DUMMYFUNCTION("""COMPUTED_VALUE"""),45635.535104166665)</f>
        <v>45635.5351</v>
      </c>
      <c r="H3922" s="24" t="str">
        <f>IFERROR(VLOOKUP(B3922,material!A:D,3,0),"")</f>
        <v>GPON 6</v>
      </c>
    </row>
    <row r="3923" ht="11.25" customHeight="1">
      <c r="A3923" s="21" t="str">
        <f>IFERROR(__xludf.DUMMYFUNCTION("""COMPUTED_VALUE"""),"TERMINAL GPON ONT WIFI6 F6600P-NACIONAL")</f>
        <v>TERMINAL GPON ONT WIFI6 F6600P-NACIONAL</v>
      </c>
      <c r="B3923" s="22">
        <f>IFERROR(__xludf.DUMMYFUNCTION("""COMPUTED_VALUE"""),4.100159E7)</f>
        <v>41001590</v>
      </c>
      <c r="C3923" s="21" t="str">
        <f>IFERROR(__xludf.DUMMYFUNCTION("""COMPUTED_VALUE"""),"843C992D6281")</f>
        <v>843C992D6281</v>
      </c>
      <c r="D3923" s="21" t="str">
        <f>IFERROR(__xludf.DUMMYFUNCTION("""COMPUTED_VALUE"""),"DIGITEC TECNOLOGIA DIGITAL E REPRES")</f>
        <v>DIGITEC TECNOLOGIA DIGITAL E REPRES</v>
      </c>
      <c r="E3923" s="21">
        <f>IFERROR(__xludf.DUMMYFUNCTION("""COMPUTED_VALUE"""),145359.0)</f>
        <v>145359</v>
      </c>
      <c r="F3923" s="21" t="str">
        <f>IFERROR(__xludf.DUMMYFUNCTION("""COMPUTED_VALUE"""),"INICIALIZADO")</f>
        <v>INICIALIZADO</v>
      </c>
      <c r="G3923" s="23">
        <f>IFERROR(__xludf.DUMMYFUNCTION("""COMPUTED_VALUE"""),45635.535104166665)</f>
        <v>45635.5351</v>
      </c>
      <c r="H3923" s="24" t="str">
        <f>IFERROR(VLOOKUP(B3923,material!A:D,3,0),"")</f>
        <v>GPON 6</v>
      </c>
    </row>
    <row r="3924" ht="11.25" customHeight="1">
      <c r="A3924" s="21" t="str">
        <f>IFERROR(__xludf.DUMMYFUNCTION("""COMPUTED_VALUE"""),"TERMINAL GPON ONT WIFI6 F6600P-NACIONAL")</f>
        <v>TERMINAL GPON ONT WIFI6 F6600P-NACIONAL</v>
      </c>
      <c r="B3924" s="22">
        <f>IFERROR(__xludf.DUMMYFUNCTION("""COMPUTED_VALUE"""),4.100159E7)</f>
        <v>41001590</v>
      </c>
      <c r="C3924" s="21" t="str">
        <f>IFERROR(__xludf.DUMMYFUNCTION("""COMPUTED_VALUE"""),"843C992D5459")</f>
        <v>843C992D5459</v>
      </c>
      <c r="D3924" s="21" t="str">
        <f>IFERROR(__xludf.DUMMYFUNCTION("""COMPUTED_VALUE"""),"DIGITEC TECNOLOGIA DIGITAL E REPRES")</f>
        <v>DIGITEC TECNOLOGIA DIGITAL E REPRES</v>
      </c>
      <c r="E3924" s="21">
        <f>IFERROR(__xludf.DUMMYFUNCTION("""COMPUTED_VALUE"""),145359.0)</f>
        <v>145359</v>
      </c>
      <c r="F3924" s="21" t="str">
        <f>IFERROR(__xludf.DUMMYFUNCTION("""COMPUTED_VALUE"""),"INICIALIZADO")</f>
        <v>INICIALIZADO</v>
      </c>
      <c r="G3924" s="23">
        <f>IFERROR(__xludf.DUMMYFUNCTION("""COMPUTED_VALUE"""),45635.535104166665)</f>
        <v>45635.5351</v>
      </c>
      <c r="H3924" s="24" t="str">
        <f>IFERROR(VLOOKUP(B3924,material!A:D,3,0),"")</f>
        <v>GPON 6</v>
      </c>
    </row>
    <row r="3925" ht="11.25" customHeight="1">
      <c r="A3925" s="21" t="str">
        <f>IFERROR(__xludf.DUMMYFUNCTION("""COMPUTED_VALUE"""),"TERMINAL GPON ONT WIFI6 F6600P-NACIONAL")</f>
        <v>TERMINAL GPON ONT WIFI6 F6600P-NACIONAL</v>
      </c>
      <c r="B3925" s="22">
        <f>IFERROR(__xludf.DUMMYFUNCTION("""COMPUTED_VALUE"""),4.100159E7)</f>
        <v>41001590</v>
      </c>
      <c r="C3925" s="21" t="str">
        <f>IFERROR(__xludf.DUMMYFUNCTION("""COMPUTED_VALUE"""),"843C992D5693")</f>
        <v>843C992D5693</v>
      </c>
      <c r="D3925" s="21" t="str">
        <f>IFERROR(__xludf.DUMMYFUNCTION("""COMPUTED_VALUE"""),"DIGITEC TECNOLOGIA DIGITAL E REPRES")</f>
        <v>DIGITEC TECNOLOGIA DIGITAL E REPRES</v>
      </c>
      <c r="E3925" s="21">
        <f>IFERROR(__xludf.DUMMYFUNCTION("""COMPUTED_VALUE"""),145359.0)</f>
        <v>145359</v>
      </c>
      <c r="F3925" s="21" t="str">
        <f>IFERROR(__xludf.DUMMYFUNCTION("""COMPUTED_VALUE"""),"INICIALIZADO")</f>
        <v>INICIALIZADO</v>
      </c>
      <c r="G3925" s="23">
        <f>IFERROR(__xludf.DUMMYFUNCTION("""COMPUTED_VALUE"""),45635.535104166665)</f>
        <v>45635.5351</v>
      </c>
      <c r="H3925" s="24" t="str">
        <f>IFERROR(VLOOKUP(B3925,material!A:D,3,0),"")</f>
        <v>GPON 6</v>
      </c>
    </row>
    <row r="3926" ht="11.25" customHeight="1">
      <c r="A3926" s="21" t="str">
        <f>IFERROR(__xludf.DUMMYFUNCTION("""COMPUTED_VALUE"""),"TERMINAL GPON ONT WIFI6 F6600P-NACIONAL")</f>
        <v>TERMINAL GPON ONT WIFI6 F6600P-NACIONAL</v>
      </c>
      <c r="B3926" s="22">
        <f>IFERROR(__xludf.DUMMYFUNCTION("""COMPUTED_VALUE"""),4.100159E7)</f>
        <v>41001590</v>
      </c>
      <c r="C3926" s="21" t="str">
        <f>IFERROR(__xludf.DUMMYFUNCTION("""COMPUTED_VALUE"""),"843C991F2B1B")</f>
        <v>843C991F2B1B</v>
      </c>
      <c r="D3926" s="21" t="str">
        <f>IFERROR(__xludf.DUMMYFUNCTION("""COMPUTED_VALUE"""),"DIGITEC TECNOLOGIA DIGITAL E REPRES")</f>
        <v>DIGITEC TECNOLOGIA DIGITAL E REPRES</v>
      </c>
      <c r="E3926" s="21">
        <f>IFERROR(__xludf.DUMMYFUNCTION("""COMPUTED_VALUE"""),145359.0)</f>
        <v>145359</v>
      </c>
      <c r="F3926" s="21" t="str">
        <f>IFERROR(__xludf.DUMMYFUNCTION("""COMPUTED_VALUE"""),"INICIALIZADO")</f>
        <v>INICIALIZADO</v>
      </c>
      <c r="G3926" s="23">
        <f>IFERROR(__xludf.DUMMYFUNCTION("""COMPUTED_VALUE"""),45565.38371527778)</f>
        <v>45565.38372</v>
      </c>
      <c r="H3926" s="24" t="str">
        <f>IFERROR(VLOOKUP(B3926,material!A:D,3,0),"")</f>
        <v>GPON 6</v>
      </c>
    </row>
    <row r="3927" ht="11.25" customHeight="1">
      <c r="A3927" s="21" t="str">
        <f>IFERROR(__xludf.DUMMYFUNCTION("""COMPUTED_VALUE"""),"TERMINAL GPON ONT WIFI6 F6600P-NACIONAL")</f>
        <v>TERMINAL GPON ONT WIFI6 F6600P-NACIONAL</v>
      </c>
      <c r="B3927" s="22">
        <f>IFERROR(__xludf.DUMMYFUNCTION("""COMPUTED_VALUE"""),4.100159E7)</f>
        <v>41001590</v>
      </c>
      <c r="C3927" s="21" t="str">
        <f>IFERROR(__xludf.DUMMYFUNCTION("""COMPUTED_VALUE"""),"843C992D63AD")</f>
        <v>843C992D63AD</v>
      </c>
      <c r="D3927" s="21" t="str">
        <f>IFERROR(__xludf.DUMMYFUNCTION("""COMPUTED_VALUE"""),"DIGITEC TECNOLOGIA DIGITAL E REPRES")</f>
        <v>DIGITEC TECNOLOGIA DIGITAL E REPRES</v>
      </c>
      <c r="E3927" s="21">
        <f>IFERROR(__xludf.DUMMYFUNCTION("""COMPUTED_VALUE"""),145359.0)</f>
        <v>145359</v>
      </c>
      <c r="F3927" s="21" t="str">
        <f>IFERROR(__xludf.DUMMYFUNCTION("""COMPUTED_VALUE"""),"INICIALIZADO")</f>
        <v>INICIALIZADO</v>
      </c>
      <c r="G3927" s="23">
        <f>IFERROR(__xludf.DUMMYFUNCTION("""COMPUTED_VALUE"""),45635.535104166665)</f>
        <v>45635.5351</v>
      </c>
      <c r="H3927" s="24" t="str">
        <f>IFERROR(VLOOKUP(B3927,material!A:D,3,0),"")</f>
        <v>GPON 6</v>
      </c>
    </row>
    <row r="3928" ht="11.25" customHeight="1">
      <c r="A3928" s="21" t="str">
        <f>IFERROR(__xludf.DUMMYFUNCTION("""COMPUTED_VALUE"""),"TERMINAL GPON ONT WIFI6 F6600P-NACIONAL")</f>
        <v>TERMINAL GPON ONT WIFI6 F6600P-NACIONAL</v>
      </c>
      <c r="B3928" s="22">
        <f>IFERROR(__xludf.DUMMYFUNCTION("""COMPUTED_VALUE"""),4.100159E7)</f>
        <v>41001590</v>
      </c>
      <c r="C3928" s="21" t="str">
        <f>IFERROR(__xludf.DUMMYFUNCTION("""COMPUTED_VALUE"""),"843C992D6395")</f>
        <v>843C992D6395</v>
      </c>
      <c r="D3928" s="21" t="str">
        <f>IFERROR(__xludf.DUMMYFUNCTION("""COMPUTED_VALUE"""),"DIGITEC TECNOLOGIA DIGITAL E REPRES")</f>
        <v>DIGITEC TECNOLOGIA DIGITAL E REPRES</v>
      </c>
      <c r="E3928" s="21">
        <f>IFERROR(__xludf.DUMMYFUNCTION("""COMPUTED_VALUE"""),145359.0)</f>
        <v>145359</v>
      </c>
      <c r="F3928" s="21" t="str">
        <f>IFERROR(__xludf.DUMMYFUNCTION("""COMPUTED_VALUE"""),"INICIALIZADO")</f>
        <v>INICIALIZADO</v>
      </c>
      <c r="G3928" s="23">
        <f>IFERROR(__xludf.DUMMYFUNCTION("""COMPUTED_VALUE"""),45635.535104166665)</f>
        <v>45635.5351</v>
      </c>
      <c r="H3928" s="24" t="str">
        <f>IFERROR(VLOOKUP(B3928,material!A:D,3,0),"")</f>
        <v>GPON 6</v>
      </c>
    </row>
    <row r="3929" ht="11.25" customHeight="1">
      <c r="A3929" s="21" t="str">
        <f>IFERROR(__xludf.DUMMYFUNCTION("""COMPUTED_VALUE"""),"TERMINAL GPON ONT WIFI6 F6600P-NACIONAL")</f>
        <v>TERMINAL GPON ONT WIFI6 F6600P-NACIONAL</v>
      </c>
      <c r="B3929" s="22">
        <f>IFERROR(__xludf.DUMMYFUNCTION("""COMPUTED_VALUE"""),4.100159E7)</f>
        <v>41001590</v>
      </c>
      <c r="C3929" s="21" t="str">
        <f>IFERROR(__xludf.DUMMYFUNCTION("""COMPUTED_VALUE"""),"843C992D6359")</f>
        <v>843C992D6359</v>
      </c>
      <c r="D3929" s="21" t="str">
        <f>IFERROR(__xludf.DUMMYFUNCTION("""COMPUTED_VALUE"""),"DIGITEC TECNOLOGIA DIGITAL E REPRES")</f>
        <v>DIGITEC TECNOLOGIA DIGITAL E REPRES</v>
      </c>
      <c r="E3929" s="21">
        <f>IFERROR(__xludf.DUMMYFUNCTION("""COMPUTED_VALUE"""),145359.0)</f>
        <v>145359</v>
      </c>
      <c r="F3929" s="21" t="str">
        <f>IFERROR(__xludf.DUMMYFUNCTION("""COMPUTED_VALUE"""),"INICIALIZADO")</f>
        <v>INICIALIZADO</v>
      </c>
      <c r="G3929" s="23">
        <f>IFERROR(__xludf.DUMMYFUNCTION("""COMPUTED_VALUE"""),45635.535104166665)</f>
        <v>45635.5351</v>
      </c>
      <c r="H3929" s="24" t="str">
        <f>IFERROR(VLOOKUP(B3929,material!A:D,3,0),"")</f>
        <v>GPON 6</v>
      </c>
    </row>
    <row r="3930" ht="11.25" customHeight="1">
      <c r="A3930" s="21" t="str">
        <f>IFERROR(__xludf.DUMMYFUNCTION("""COMPUTED_VALUE"""),"TERMINAL GPON ONT WIFI6 F6600P-NACIONAL")</f>
        <v>TERMINAL GPON ONT WIFI6 F6600P-NACIONAL</v>
      </c>
      <c r="B3930" s="22">
        <f>IFERROR(__xludf.DUMMYFUNCTION("""COMPUTED_VALUE"""),4.100159E7)</f>
        <v>41001590</v>
      </c>
      <c r="C3930" s="21" t="str">
        <f>IFERROR(__xludf.DUMMYFUNCTION("""COMPUTED_VALUE"""),"843C992D62F3")</f>
        <v>843C992D62F3</v>
      </c>
      <c r="D3930" s="21" t="str">
        <f>IFERROR(__xludf.DUMMYFUNCTION("""COMPUTED_VALUE"""),"DIGITEC TECNOLOGIA DIGITAL E REPRES")</f>
        <v>DIGITEC TECNOLOGIA DIGITAL E REPRES</v>
      </c>
      <c r="E3930" s="21">
        <f>IFERROR(__xludf.DUMMYFUNCTION("""COMPUTED_VALUE"""),145359.0)</f>
        <v>145359</v>
      </c>
      <c r="F3930" s="21" t="str">
        <f>IFERROR(__xludf.DUMMYFUNCTION("""COMPUTED_VALUE"""),"INICIALIZADO")</f>
        <v>INICIALIZADO</v>
      </c>
      <c r="G3930" s="23">
        <f>IFERROR(__xludf.DUMMYFUNCTION("""COMPUTED_VALUE"""),45635.535104166665)</f>
        <v>45635.5351</v>
      </c>
      <c r="H3930" s="24" t="str">
        <f>IFERROR(VLOOKUP(B3930,material!A:D,3,0),"")</f>
        <v>GPON 6</v>
      </c>
    </row>
    <row r="3931" ht="11.25" customHeight="1">
      <c r="A3931" s="21" t="str">
        <f>IFERROR(__xludf.DUMMYFUNCTION("""COMPUTED_VALUE"""),"TERMINAL GPON ONT WIFI6 F6600P-NACIONAL")</f>
        <v>TERMINAL GPON ONT WIFI6 F6600P-NACIONAL</v>
      </c>
      <c r="B3931" s="22">
        <f>IFERROR(__xludf.DUMMYFUNCTION("""COMPUTED_VALUE"""),4.100159E7)</f>
        <v>41001590</v>
      </c>
      <c r="C3931" s="21" t="str">
        <f>IFERROR(__xludf.DUMMYFUNCTION("""COMPUTED_VALUE"""),"843C992D53FF")</f>
        <v>843C992D53FF</v>
      </c>
      <c r="D3931" s="21" t="str">
        <f>IFERROR(__xludf.DUMMYFUNCTION("""COMPUTED_VALUE"""),"DIGITEC TECNOLOGIA DIGITAL E REPRES")</f>
        <v>DIGITEC TECNOLOGIA DIGITAL E REPRES</v>
      </c>
      <c r="E3931" s="21">
        <f>IFERROR(__xludf.DUMMYFUNCTION("""COMPUTED_VALUE"""),145359.0)</f>
        <v>145359</v>
      </c>
      <c r="F3931" s="21" t="str">
        <f>IFERROR(__xludf.DUMMYFUNCTION("""COMPUTED_VALUE"""),"INICIALIZADO")</f>
        <v>INICIALIZADO</v>
      </c>
      <c r="G3931" s="23">
        <f>IFERROR(__xludf.DUMMYFUNCTION("""COMPUTED_VALUE"""),45635.535104166665)</f>
        <v>45635.5351</v>
      </c>
      <c r="H3931" s="24" t="str">
        <f>IFERROR(VLOOKUP(B3931,material!A:D,3,0),"")</f>
        <v>GPON 6</v>
      </c>
    </row>
    <row r="3932" ht="11.25" customHeight="1">
      <c r="A3932" s="21" t="str">
        <f>IFERROR(__xludf.DUMMYFUNCTION("""COMPUTED_VALUE"""),"TERMINAL GPON ONT WIFI6 F6600P-NACIONAL")</f>
        <v>TERMINAL GPON ONT WIFI6 F6600P-NACIONAL</v>
      </c>
      <c r="B3932" s="22">
        <f>IFERROR(__xludf.DUMMYFUNCTION("""COMPUTED_VALUE"""),4.100159E7)</f>
        <v>41001590</v>
      </c>
      <c r="C3932" s="21" t="str">
        <f>IFERROR(__xludf.DUMMYFUNCTION("""COMPUTED_VALUE"""),"843C992D4B53")</f>
        <v>843C992D4B53</v>
      </c>
      <c r="D3932" s="21" t="str">
        <f>IFERROR(__xludf.DUMMYFUNCTION("""COMPUTED_VALUE"""),"DIGITEC TECNOLOGIA DIGITAL E REPRES")</f>
        <v>DIGITEC TECNOLOGIA DIGITAL E REPRES</v>
      </c>
      <c r="E3932" s="21">
        <f>IFERROR(__xludf.DUMMYFUNCTION("""COMPUTED_VALUE"""),145359.0)</f>
        <v>145359</v>
      </c>
      <c r="F3932" s="21" t="str">
        <f>IFERROR(__xludf.DUMMYFUNCTION("""COMPUTED_VALUE"""),"INICIALIZADO")</f>
        <v>INICIALIZADO</v>
      </c>
      <c r="G3932" s="23">
        <f>IFERROR(__xludf.DUMMYFUNCTION("""COMPUTED_VALUE"""),45635.535104166665)</f>
        <v>45635.5351</v>
      </c>
      <c r="H3932" s="24" t="str">
        <f>IFERROR(VLOOKUP(B3932,material!A:D,3,0),"")</f>
        <v>GPON 6</v>
      </c>
    </row>
    <row r="3933" ht="11.25" customHeight="1">
      <c r="A3933" s="21" t="str">
        <f>IFERROR(__xludf.DUMMYFUNCTION("""COMPUTED_VALUE"""),"TERMINAL GPON ONT WIFI6 F6600P-NACIONAL")</f>
        <v>TERMINAL GPON ONT WIFI6 F6600P-NACIONAL</v>
      </c>
      <c r="B3933" s="22">
        <f>IFERROR(__xludf.DUMMYFUNCTION("""COMPUTED_VALUE"""),4.100159E7)</f>
        <v>41001590</v>
      </c>
      <c r="C3933" s="21" t="str">
        <f>IFERROR(__xludf.DUMMYFUNCTION("""COMPUTED_VALUE"""),"843C992D4CCD")</f>
        <v>843C992D4CCD</v>
      </c>
      <c r="D3933" s="21" t="str">
        <f>IFERROR(__xludf.DUMMYFUNCTION("""COMPUTED_VALUE"""),"DIGITEC TECNOLOGIA DIGITAL E REPRES")</f>
        <v>DIGITEC TECNOLOGIA DIGITAL E REPRES</v>
      </c>
      <c r="E3933" s="21">
        <f>IFERROR(__xludf.DUMMYFUNCTION("""COMPUTED_VALUE"""),145359.0)</f>
        <v>145359</v>
      </c>
      <c r="F3933" s="21" t="str">
        <f>IFERROR(__xludf.DUMMYFUNCTION("""COMPUTED_VALUE"""),"INICIALIZADO")</f>
        <v>INICIALIZADO</v>
      </c>
      <c r="G3933" s="23">
        <f>IFERROR(__xludf.DUMMYFUNCTION("""COMPUTED_VALUE"""),45635.535104166665)</f>
        <v>45635.5351</v>
      </c>
      <c r="H3933" s="24" t="str">
        <f>IFERROR(VLOOKUP(B3933,material!A:D,3,0),"")</f>
        <v>GPON 6</v>
      </c>
    </row>
    <row r="3934" ht="11.25" customHeight="1">
      <c r="A3934" s="21" t="str">
        <f>IFERROR(__xludf.DUMMYFUNCTION("""COMPUTED_VALUE"""),"TERMINAL GPON ONT WIFI6 F6600P-NACIONAL")</f>
        <v>TERMINAL GPON ONT WIFI6 F6600P-NACIONAL</v>
      </c>
      <c r="B3934" s="22">
        <f>IFERROR(__xludf.DUMMYFUNCTION("""COMPUTED_VALUE"""),4.100159E7)</f>
        <v>41001590</v>
      </c>
      <c r="C3934" s="21" t="str">
        <f>IFERROR(__xludf.DUMMYFUNCTION("""COMPUTED_VALUE"""),"843C992D50CF")</f>
        <v>843C992D50CF</v>
      </c>
      <c r="D3934" s="21" t="str">
        <f>IFERROR(__xludf.DUMMYFUNCTION("""COMPUTED_VALUE"""),"DIGITEC TECNOLOGIA DIGITAL E REPRES")</f>
        <v>DIGITEC TECNOLOGIA DIGITAL E REPRES</v>
      </c>
      <c r="E3934" s="21">
        <f>IFERROR(__xludf.DUMMYFUNCTION("""COMPUTED_VALUE"""),145359.0)</f>
        <v>145359</v>
      </c>
      <c r="F3934" s="21" t="str">
        <f>IFERROR(__xludf.DUMMYFUNCTION("""COMPUTED_VALUE"""),"INICIALIZADO")</f>
        <v>INICIALIZADO</v>
      </c>
      <c r="G3934" s="23">
        <f>IFERROR(__xludf.DUMMYFUNCTION("""COMPUTED_VALUE"""),45635.535104166665)</f>
        <v>45635.5351</v>
      </c>
      <c r="H3934" s="24" t="str">
        <f>IFERROR(VLOOKUP(B3934,material!A:D,3,0),"")</f>
        <v>GPON 6</v>
      </c>
    </row>
    <row r="3935" ht="11.25" customHeight="1">
      <c r="A3935" s="21" t="str">
        <f>IFERROR(__xludf.DUMMYFUNCTION("""COMPUTED_VALUE"""),"TERMINAL GPON ONT WIFI6 F6600P-NACIONAL")</f>
        <v>TERMINAL GPON ONT WIFI6 F6600P-NACIONAL</v>
      </c>
      <c r="B3935" s="22">
        <f>IFERROR(__xludf.DUMMYFUNCTION("""COMPUTED_VALUE"""),4.100159E7)</f>
        <v>41001590</v>
      </c>
      <c r="C3935" s="21" t="str">
        <f>IFERROR(__xludf.DUMMYFUNCTION("""COMPUTED_VALUE"""),"843C992D59BD")</f>
        <v>843C992D59BD</v>
      </c>
      <c r="D3935" s="21" t="str">
        <f>IFERROR(__xludf.DUMMYFUNCTION("""COMPUTED_VALUE"""),"DIGITEC TECNOLOGIA DIGITAL E REPRES")</f>
        <v>DIGITEC TECNOLOGIA DIGITAL E REPRES</v>
      </c>
      <c r="E3935" s="21">
        <f>IFERROR(__xludf.DUMMYFUNCTION("""COMPUTED_VALUE"""),145359.0)</f>
        <v>145359</v>
      </c>
      <c r="F3935" s="21" t="str">
        <f>IFERROR(__xludf.DUMMYFUNCTION("""COMPUTED_VALUE"""),"INICIALIZADO")</f>
        <v>INICIALIZADO</v>
      </c>
      <c r="G3935" s="23">
        <f>IFERROR(__xludf.DUMMYFUNCTION("""COMPUTED_VALUE"""),45635.53509259259)</f>
        <v>45635.53509</v>
      </c>
      <c r="H3935" s="24" t="str">
        <f>IFERROR(VLOOKUP(B3935,material!A:D,3,0),"")</f>
        <v>GPON 6</v>
      </c>
    </row>
    <row r="3936" ht="11.25" customHeight="1">
      <c r="A3936" s="21" t="str">
        <f>IFERROR(__xludf.DUMMYFUNCTION("""COMPUTED_VALUE"""),"TERMINAL GPON ONT WIFI6 F6600P-NACIONAL")</f>
        <v>TERMINAL GPON ONT WIFI6 F6600P-NACIONAL</v>
      </c>
      <c r="B3936" s="22">
        <f>IFERROR(__xludf.DUMMYFUNCTION("""COMPUTED_VALUE"""),4.100159E7)</f>
        <v>41001590</v>
      </c>
      <c r="C3936" s="21" t="str">
        <f>IFERROR(__xludf.DUMMYFUNCTION("""COMPUTED_VALUE"""),"843C992D5765")</f>
        <v>843C992D5765</v>
      </c>
      <c r="D3936" s="21" t="str">
        <f>IFERROR(__xludf.DUMMYFUNCTION("""COMPUTED_VALUE"""),"DIGITEC TECNOLOGIA DIGITAL E REPRES")</f>
        <v>DIGITEC TECNOLOGIA DIGITAL E REPRES</v>
      </c>
      <c r="E3936" s="21">
        <f>IFERROR(__xludf.DUMMYFUNCTION("""COMPUTED_VALUE"""),145359.0)</f>
        <v>145359</v>
      </c>
      <c r="F3936" s="21" t="str">
        <f>IFERROR(__xludf.DUMMYFUNCTION("""COMPUTED_VALUE"""),"INICIALIZADO")</f>
        <v>INICIALIZADO</v>
      </c>
      <c r="G3936" s="23">
        <f>IFERROR(__xludf.DUMMYFUNCTION("""COMPUTED_VALUE"""),45635.535104166665)</f>
        <v>45635.5351</v>
      </c>
      <c r="H3936" s="24" t="str">
        <f>IFERROR(VLOOKUP(B3936,material!A:D,3,0),"")</f>
        <v>GPON 6</v>
      </c>
    </row>
    <row r="3937" ht="11.25" customHeight="1">
      <c r="A3937" s="21" t="str">
        <f>IFERROR(__xludf.DUMMYFUNCTION("""COMPUTED_VALUE"""),"TERMINAL GPON ONT WIFI6 F6600P-NACIONAL")</f>
        <v>TERMINAL GPON ONT WIFI6 F6600P-NACIONAL</v>
      </c>
      <c r="B3937" s="22">
        <f>IFERROR(__xludf.DUMMYFUNCTION("""COMPUTED_VALUE"""),4.100159E7)</f>
        <v>41001590</v>
      </c>
      <c r="C3937" s="21" t="str">
        <f>IFERROR(__xludf.DUMMYFUNCTION("""COMPUTED_VALUE"""),"843C992D83CF")</f>
        <v>843C992D83CF</v>
      </c>
      <c r="D3937" s="21" t="str">
        <f>IFERROR(__xludf.DUMMYFUNCTION("""COMPUTED_VALUE"""),"DIGITEC TECNOLOGIA DIGITAL E REPRES")</f>
        <v>DIGITEC TECNOLOGIA DIGITAL E REPRES</v>
      </c>
      <c r="E3937" s="21">
        <f>IFERROR(__xludf.DUMMYFUNCTION("""COMPUTED_VALUE"""),145359.0)</f>
        <v>145359</v>
      </c>
      <c r="F3937" s="21" t="str">
        <f>IFERROR(__xludf.DUMMYFUNCTION("""COMPUTED_VALUE"""),"INICIALIZADO")</f>
        <v>INICIALIZADO</v>
      </c>
      <c r="G3937" s="23">
        <f>IFERROR(__xludf.DUMMYFUNCTION("""COMPUTED_VALUE"""),45600.476018518515)</f>
        <v>45600.47602</v>
      </c>
      <c r="H3937" s="24" t="str">
        <f>IFERROR(VLOOKUP(B3937,material!A:D,3,0),"")</f>
        <v>GPON 6</v>
      </c>
    </row>
    <row r="3938" ht="11.25" customHeight="1">
      <c r="A3938" s="21" t="str">
        <f>IFERROR(__xludf.DUMMYFUNCTION("""COMPUTED_VALUE"""),"TERMINAL GPON ONT WIFI6 F6600P-NACIONAL")</f>
        <v>TERMINAL GPON ONT WIFI6 F6600P-NACIONAL</v>
      </c>
      <c r="B3938" s="22">
        <f>IFERROR(__xludf.DUMMYFUNCTION("""COMPUTED_VALUE"""),4.100159E7)</f>
        <v>41001590</v>
      </c>
      <c r="C3938" s="21" t="str">
        <f>IFERROR(__xludf.DUMMYFUNCTION("""COMPUTED_VALUE"""),"843C992D5F2D")</f>
        <v>843C992D5F2D</v>
      </c>
      <c r="D3938" s="21" t="str">
        <f>IFERROR(__xludf.DUMMYFUNCTION("""COMPUTED_VALUE"""),"DIGITEC TECNOLOGIA DIGITAL E REPRES")</f>
        <v>DIGITEC TECNOLOGIA DIGITAL E REPRES</v>
      </c>
      <c r="E3938" s="21">
        <f>IFERROR(__xludf.DUMMYFUNCTION("""COMPUTED_VALUE"""),145359.0)</f>
        <v>145359</v>
      </c>
      <c r="F3938" s="21" t="str">
        <f>IFERROR(__xludf.DUMMYFUNCTION("""COMPUTED_VALUE"""),"INICIALIZADO")</f>
        <v>INICIALIZADO</v>
      </c>
      <c r="G3938" s="23">
        <f>IFERROR(__xludf.DUMMYFUNCTION("""COMPUTED_VALUE"""),45635.53509259259)</f>
        <v>45635.53509</v>
      </c>
      <c r="H3938" s="24" t="str">
        <f>IFERROR(VLOOKUP(B3938,material!A:D,3,0),"")</f>
        <v>GPON 6</v>
      </c>
    </row>
    <row r="3939" ht="11.25" customHeight="1">
      <c r="A3939" s="21" t="str">
        <f>IFERROR(__xludf.DUMMYFUNCTION("""COMPUTED_VALUE"""),"TERMINAL GPON ONT WIFI6 F6600P-NACIONAL")</f>
        <v>TERMINAL GPON ONT WIFI6 F6600P-NACIONAL</v>
      </c>
      <c r="B3939" s="22">
        <f>IFERROR(__xludf.DUMMYFUNCTION("""COMPUTED_VALUE"""),4.100159E7)</f>
        <v>41001590</v>
      </c>
      <c r="C3939" s="21" t="str">
        <f>IFERROR(__xludf.DUMMYFUNCTION("""COMPUTED_VALUE"""),"843C992D5EDF")</f>
        <v>843C992D5EDF</v>
      </c>
      <c r="D3939" s="21" t="str">
        <f>IFERROR(__xludf.DUMMYFUNCTION("""COMPUTED_VALUE"""),"DIGITEC TECNOLOGIA DIGITAL E REPRES")</f>
        <v>DIGITEC TECNOLOGIA DIGITAL E REPRES</v>
      </c>
      <c r="E3939" s="21">
        <f>IFERROR(__xludf.DUMMYFUNCTION("""COMPUTED_VALUE"""),145359.0)</f>
        <v>145359</v>
      </c>
      <c r="F3939" s="21" t="str">
        <f>IFERROR(__xludf.DUMMYFUNCTION("""COMPUTED_VALUE"""),"INICIALIZADO")</f>
        <v>INICIALIZADO</v>
      </c>
      <c r="G3939" s="23">
        <f>IFERROR(__xludf.DUMMYFUNCTION("""COMPUTED_VALUE"""),45635.53509259259)</f>
        <v>45635.53509</v>
      </c>
      <c r="H3939" s="24" t="str">
        <f>IFERROR(VLOOKUP(B3939,material!A:D,3,0),"")</f>
        <v>GPON 6</v>
      </c>
    </row>
    <row r="3940" ht="11.25" customHeight="1">
      <c r="A3940" s="21" t="str">
        <f>IFERROR(__xludf.DUMMYFUNCTION("""COMPUTED_VALUE"""),"TERMINAL GPON ONT WIFI6 F6600P-NACIONAL")</f>
        <v>TERMINAL GPON ONT WIFI6 F6600P-NACIONAL</v>
      </c>
      <c r="B3940" s="22">
        <f>IFERROR(__xludf.DUMMYFUNCTION("""COMPUTED_VALUE"""),4.100159E7)</f>
        <v>41001590</v>
      </c>
      <c r="C3940" s="21" t="str">
        <f>IFERROR(__xludf.DUMMYFUNCTION("""COMPUTED_VALUE"""),"843C992D84A7")</f>
        <v>843C992D84A7</v>
      </c>
      <c r="D3940" s="21" t="str">
        <f>IFERROR(__xludf.DUMMYFUNCTION("""COMPUTED_VALUE"""),"DIGITEC TECNOLOGIA DIGITAL E REPRES")</f>
        <v>DIGITEC TECNOLOGIA DIGITAL E REPRES</v>
      </c>
      <c r="E3940" s="21">
        <f>IFERROR(__xludf.DUMMYFUNCTION("""COMPUTED_VALUE"""),145359.0)</f>
        <v>145359</v>
      </c>
      <c r="F3940" s="21" t="str">
        <f>IFERROR(__xludf.DUMMYFUNCTION("""COMPUTED_VALUE"""),"INICIALIZADO")</f>
        <v>INICIALIZADO</v>
      </c>
      <c r="G3940" s="23">
        <f>IFERROR(__xludf.DUMMYFUNCTION("""COMPUTED_VALUE"""),45600.476018518515)</f>
        <v>45600.47602</v>
      </c>
      <c r="H3940" s="24" t="str">
        <f>IFERROR(VLOOKUP(B3940,material!A:D,3,0),"")</f>
        <v>GPON 6</v>
      </c>
    </row>
    <row r="3941" ht="11.25" customHeight="1">
      <c r="A3941" s="21" t="str">
        <f>IFERROR(__xludf.DUMMYFUNCTION("""COMPUTED_VALUE"""),"TERMINAL GPON ONT WIFI6 F6600P-NACIONAL")</f>
        <v>TERMINAL GPON ONT WIFI6 F6600P-NACIONAL</v>
      </c>
      <c r="B3941" s="22">
        <f>IFERROR(__xludf.DUMMYFUNCTION("""COMPUTED_VALUE"""),4.100159E7)</f>
        <v>41001590</v>
      </c>
      <c r="C3941" s="21" t="str">
        <f>IFERROR(__xludf.DUMMYFUNCTION("""COMPUTED_VALUE"""),"843C992E2C53")</f>
        <v>843C992E2C53</v>
      </c>
      <c r="D3941" s="21" t="str">
        <f>IFERROR(__xludf.DUMMYFUNCTION("""COMPUTED_VALUE"""),"DIGITEC TECNOLOGIA DIGITAL E REPRES")</f>
        <v>DIGITEC TECNOLOGIA DIGITAL E REPRES</v>
      </c>
      <c r="E3941" s="21">
        <f>IFERROR(__xludf.DUMMYFUNCTION("""COMPUTED_VALUE"""),145359.0)</f>
        <v>145359</v>
      </c>
      <c r="F3941" s="21" t="str">
        <f>IFERROR(__xludf.DUMMYFUNCTION("""COMPUTED_VALUE"""),"INICIALIZADO")</f>
        <v>INICIALIZADO</v>
      </c>
      <c r="G3941" s="23">
        <f>IFERROR(__xludf.DUMMYFUNCTION("""COMPUTED_VALUE"""),45604.74098379629)</f>
        <v>45604.74098</v>
      </c>
      <c r="H3941" s="24" t="str">
        <f>IFERROR(VLOOKUP(B3941,material!A:D,3,0),"")</f>
        <v>GPON 6</v>
      </c>
    </row>
    <row r="3942" ht="11.25" customHeight="1">
      <c r="A3942" s="21" t="str">
        <f>IFERROR(__xludf.DUMMYFUNCTION("""COMPUTED_VALUE"""),"TERMINAL GPON ONT WIFI6 F6600P-NACIONAL")</f>
        <v>TERMINAL GPON ONT WIFI6 F6600P-NACIONAL</v>
      </c>
      <c r="B3942" s="22">
        <f>IFERROR(__xludf.DUMMYFUNCTION("""COMPUTED_VALUE"""),4.100159E7)</f>
        <v>41001590</v>
      </c>
      <c r="C3942" s="21" t="str">
        <f>IFERROR(__xludf.DUMMYFUNCTION("""COMPUTED_VALUE"""),"843C992E2E87")</f>
        <v>843C992E2E87</v>
      </c>
      <c r="D3942" s="21" t="str">
        <f>IFERROR(__xludf.DUMMYFUNCTION("""COMPUTED_VALUE"""),"DIGITEC TECNOLOGIA DIGITAL E REPRES")</f>
        <v>DIGITEC TECNOLOGIA DIGITAL E REPRES</v>
      </c>
      <c r="E3942" s="21">
        <f>IFERROR(__xludf.DUMMYFUNCTION("""COMPUTED_VALUE"""),145359.0)</f>
        <v>145359</v>
      </c>
      <c r="F3942" s="21" t="str">
        <f>IFERROR(__xludf.DUMMYFUNCTION("""COMPUTED_VALUE"""),"INICIALIZADO")</f>
        <v>INICIALIZADO</v>
      </c>
      <c r="G3942" s="23">
        <f>IFERROR(__xludf.DUMMYFUNCTION("""COMPUTED_VALUE"""),45604.74097222222)</f>
        <v>45604.74097</v>
      </c>
      <c r="H3942" s="24" t="str">
        <f>IFERROR(VLOOKUP(B3942,material!A:D,3,0),"")</f>
        <v>GPON 6</v>
      </c>
    </row>
    <row r="3943" ht="11.25" customHeight="1">
      <c r="A3943" s="21" t="str">
        <f>IFERROR(__xludf.DUMMYFUNCTION("""COMPUTED_VALUE"""),"TERMINAL GPON ONT WIFI6 F6600P-NACIONAL")</f>
        <v>TERMINAL GPON ONT WIFI6 F6600P-NACIONAL</v>
      </c>
      <c r="B3943" s="22">
        <f>IFERROR(__xludf.DUMMYFUNCTION("""COMPUTED_VALUE"""),4.100159E7)</f>
        <v>41001590</v>
      </c>
      <c r="C3943" s="21" t="str">
        <f>IFERROR(__xludf.DUMMYFUNCTION("""COMPUTED_VALUE"""),"843C992BE137")</f>
        <v>843C992BE137</v>
      </c>
      <c r="D3943" s="21" t="str">
        <f>IFERROR(__xludf.DUMMYFUNCTION("""COMPUTED_VALUE"""),"DIGITEC TECNOLOGIA DIGITAL E REPRES")</f>
        <v>DIGITEC TECNOLOGIA DIGITAL E REPRES</v>
      </c>
      <c r="E3943" s="21">
        <f>IFERROR(__xludf.DUMMYFUNCTION("""COMPUTED_VALUE"""),145359.0)</f>
        <v>145359</v>
      </c>
      <c r="F3943" s="21" t="str">
        <f>IFERROR(__xludf.DUMMYFUNCTION("""COMPUTED_VALUE"""),"INICIALIZADO")</f>
        <v>INICIALIZADO</v>
      </c>
      <c r="G3943" s="23">
        <f>IFERROR(__xludf.DUMMYFUNCTION("""COMPUTED_VALUE"""),45593.485567129625)</f>
        <v>45593.48557</v>
      </c>
      <c r="H3943" s="24" t="str">
        <f>IFERROR(VLOOKUP(B3943,material!A:D,3,0),"")</f>
        <v>GPON 6</v>
      </c>
    </row>
    <row r="3944" ht="11.25" customHeight="1">
      <c r="A3944" s="21" t="str">
        <f>IFERROR(__xludf.DUMMYFUNCTION("""COMPUTED_VALUE"""),"TERMINAL GPON ONT WIFI6 F6600P-NACIONAL")</f>
        <v>TERMINAL GPON ONT WIFI6 F6600P-NACIONAL</v>
      </c>
      <c r="B3944" s="22">
        <f>IFERROR(__xludf.DUMMYFUNCTION("""COMPUTED_VALUE"""),4.100159E7)</f>
        <v>41001590</v>
      </c>
      <c r="C3944" s="21" t="str">
        <f>IFERROR(__xludf.DUMMYFUNCTION("""COMPUTED_VALUE"""),"3CF9F0A8CB68")</f>
        <v>3CF9F0A8CB68</v>
      </c>
      <c r="D3944" s="21" t="str">
        <f>IFERROR(__xludf.DUMMYFUNCTION("""COMPUTED_VALUE"""),"DIGITEC TECNOLOGIA DIGITAL E REPRES")</f>
        <v>DIGITEC TECNOLOGIA DIGITAL E REPRES</v>
      </c>
      <c r="E3944" s="21">
        <f>IFERROR(__xludf.DUMMYFUNCTION("""COMPUTED_VALUE"""),145359.0)</f>
        <v>145359</v>
      </c>
      <c r="F3944" s="21" t="str">
        <f>IFERROR(__xludf.DUMMYFUNCTION("""COMPUTED_VALUE"""),"INICIALIZADO")</f>
        <v>INICIALIZADO</v>
      </c>
      <c r="G3944" s="23">
        <f>IFERROR(__xludf.DUMMYFUNCTION("""COMPUTED_VALUE"""),45602.644733796296)</f>
        <v>45602.64473</v>
      </c>
      <c r="H3944" s="24" t="str">
        <f>IFERROR(VLOOKUP(B3944,material!A:D,3,0),"")</f>
        <v>GPON 6</v>
      </c>
    </row>
    <row r="3945" ht="11.25" customHeight="1">
      <c r="A3945" s="21" t="str">
        <f>IFERROR(__xludf.DUMMYFUNCTION("""COMPUTED_VALUE"""),"TERMINAL GPON ONT WIFI6 F6600P-NACIONAL")</f>
        <v>TERMINAL GPON ONT WIFI6 F6600P-NACIONAL</v>
      </c>
      <c r="B3945" s="22">
        <f>IFERROR(__xludf.DUMMYFUNCTION("""COMPUTED_VALUE"""),4.100159E7)</f>
        <v>41001590</v>
      </c>
      <c r="C3945" s="21" t="str">
        <f>IFERROR(__xludf.DUMMYFUNCTION("""COMPUTED_VALUE"""),"3CF9F0A8E1AC")</f>
        <v>3CF9F0A8E1AC</v>
      </c>
      <c r="D3945" s="21" t="str">
        <f>IFERROR(__xludf.DUMMYFUNCTION("""COMPUTED_VALUE"""),"DIGITEC TECNOLOGIA DIGITAL E REPRES")</f>
        <v>DIGITEC TECNOLOGIA DIGITAL E REPRES</v>
      </c>
      <c r="E3945" s="21">
        <f>IFERROR(__xludf.DUMMYFUNCTION("""COMPUTED_VALUE"""),145359.0)</f>
        <v>145359</v>
      </c>
      <c r="F3945" s="21" t="str">
        <f>IFERROR(__xludf.DUMMYFUNCTION("""COMPUTED_VALUE"""),"INICIALIZADO")</f>
        <v>INICIALIZADO</v>
      </c>
      <c r="G3945" s="23">
        <f>IFERROR(__xludf.DUMMYFUNCTION("""COMPUTED_VALUE"""),45602.644733796296)</f>
        <v>45602.64473</v>
      </c>
      <c r="H3945" s="24" t="str">
        <f>IFERROR(VLOOKUP(B3945,material!A:D,3,0),"")</f>
        <v>GPON 6</v>
      </c>
    </row>
    <row r="3946" ht="11.25" customHeight="1">
      <c r="A3946" s="21" t="str">
        <f>IFERROR(__xludf.DUMMYFUNCTION("""COMPUTED_VALUE"""),"TERMINAL GPON ONT WIFI6 F6600P-NACIONAL")</f>
        <v>TERMINAL GPON ONT WIFI6 F6600P-NACIONAL</v>
      </c>
      <c r="B3946" s="22">
        <f>IFERROR(__xludf.DUMMYFUNCTION("""COMPUTED_VALUE"""),4.100159E7)</f>
        <v>41001590</v>
      </c>
      <c r="C3946" s="21" t="str">
        <f>IFERROR(__xludf.DUMMYFUNCTION("""COMPUTED_VALUE"""),"3CF9F0A8E7DC")</f>
        <v>3CF9F0A8E7DC</v>
      </c>
      <c r="D3946" s="21" t="str">
        <f>IFERROR(__xludf.DUMMYFUNCTION("""COMPUTED_VALUE"""),"DIGITEC TECNOLOGIA DIGITAL E REPRES")</f>
        <v>DIGITEC TECNOLOGIA DIGITAL E REPRES</v>
      </c>
      <c r="E3946" s="21">
        <f>IFERROR(__xludf.DUMMYFUNCTION("""COMPUTED_VALUE"""),145359.0)</f>
        <v>145359</v>
      </c>
      <c r="F3946" s="21" t="str">
        <f>IFERROR(__xludf.DUMMYFUNCTION("""COMPUTED_VALUE"""),"INICIALIZADO")</f>
        <v>INICIALIZADO</v>
      </c>
      <c r="G3946" s="23">
        <f>IFERROR(__xludf.DUMMYFUNCTION("""COMPUTED_VALUE"""),45602.64474537037)</f>
        <v>45602.64475</v>
      </c>
      <c r="H3946" s="24" t="str">
        <f>IFERROR(VLOOKUP(B3946,material!A:D,3,0),"")</f>
        <v>GPON 6</v>
      </c>
    </row>
    <row r="3947" ht="11.25" customHeight="1">
      <c r="A3947" s="21" t="str">
        <f>IFERROR(__xludf.DUMMYFUNCTION("""COMPUTED_VALUE"""),"TERMINAL GPON ONT WIFI6 F6600P-NACIONAL")</f>
        <v>TERMINAL GPON ONT WIFI6 F6600P-NACIONAL</v>
      </c>
      <c r="B3947" s="22">
        <f>IFERROR(__xludf.DUMMYFUNCTION("""COMPUTED_VALUE"""),4.100159E7)</f>
        <v>41001590</v>
      </c>
      <c r="C3947" s="21" t="str">
        <f>IFERROR(__xludf.DUMMYFUNCTION("""COMPUTED_VALUE"""),"3CF9F0A8E176")</f>
        <v>3CF9F0A8E176</v>
      </c>
      <c r="D3947" s="21" t="str">
        <f>IFERROR(__xludf.DUMMYFUNCTION("""COMPUTED_VALUE"""),"DIGITEC TECNOLOGIA DIGITAL E REPRES")</f>
        <v>DIGITEC TECNOLOGIA DIGITAL E REPRES</v>
      </c>
      <c r="E3947" s="21">
        <f>IFERROR(__xludf.DUMMYFUNCTION("""COMPUTED_VALUE"""),145359.0)</f>
        <v>145359</v>
      </c>
      <c r="F3947" s="21" t="str">
        <f>IFERROR(__xludf.DUMMYFUNCTION("""COMPUTED_VALUE"""),"INICIALIZADO")</f>
        <v>INICIALIZADO</v>
      </c>
      <c r="G3947" s="23">
        <f>IFERROR(__xludf.DUMMYFUNCTION("""COMPUTED_VALUE"""),45602.644733796296)</f>
        <v>45602.64473</v>
      </c>
      <c r="H3947" s="24" t="str">
        <f>IFERROR(VLOOKUP(B3947,material!A:D,3,0),"")</f>
        <v>GPON 6</v>
      </c>
    </row>
    <row r="3948" ht="11.25" customHeight="1">
      <c r="A3948" s="21" t="str">
        <f>IFERROR(__xludf.DUMMYFUNCTION("""COMPUTED_VALUE"""),"TERMINAL GPON ONT WIFI6 F6600P-NACIONAL")</f>
        <v>TERMINAL GPON ONT WIFI6 F6600P-NACIONAL</v>
      </c>
      <c r="B3948" s="22">
        <f>IFERROR(__xludf.DUMMYFUNCTION("""COMPUTED_VALUE"""),4.100159E7)</f>
        <v>41001590</v>
      </c>
      <c r="C3948" s="21" t="str">
        <f>IFERROR(__xludf.DUMMYFUNCTION("""COMPUTED_VALUE"""),"3CF9F0ACF3D8")</f>
        <v>3CF9F0ACF3D8</v>
      </c>
      <c r="D3948" s="21" t="str">
        <f>IFERROR(__xludf.DUMMYFUNCTION("""COMPUTED_VALUE"""),"DIGITEC TECNOLOGIA DIGITAL E REPRES")</f>
        <v>DIGITEC TECNOLOGIA DIGITAL E REPRES</v>
      </c>
      <c r="E3948" s="21">
        <f>IFERROR(__xludf.DUMMYFUNCTION("""COMPUTED_VALUE"""),145359.0)</f>
        <v>145359</v>
      </c>
      <c r="F3948" s="21" t="str">
        <f>IFERROR(__xludf.DUMMYFUNCTION("""COMPUTED_VALUE"""),"INICIALIZADO")</f>
        <v>INICIALIZADO</v>
      </c>
      <c r="G3948" s="23">
        <f>IFERROR(__xludf.DUMMYFUNCTION("""COMPUTED_VALUE"""),45495.522141203706)</f>
        <v>45495.52214</v>
      </c>
      <c r="H3948" s="24" t="str">
        <f>IFERROR(VLOOKUP(B3948,material!A:D,3,0),"")</f>
        <v>GPON 6</v>
      </c>
    </row>
    <row r="3949" ht="11.25" customHeight="1">
      <c r="A3949" s="21" t="str">
        <f>IFERROR(__xludf.DUMMYFUNCTION("""COMPUTED_VALUE"""),"TERMINAL GPON ONT WIFI6 F6600P-NACIONAL")</f>
        <v>TERMINAL GPON ONT WIFI6 F6600P-NACIONAL</v>
      </c>
      <c r="B3949" s="22">
        <f>IFERROR(__xludf.DUMMYFUNCTION("""COMPUTED_VALUE"""),4.100159E7)</f>
        <v>41001590</v>
      </c>
      <c r="C3949" s="21" t="str">
        <f>IFERROR(__xludf.DUMMYFUNCTION("""COMPUTED_VALUE"""),"3CF9F0A8E6A4")</f>
        <v>3CF9F0A8E6A4</v>
      </c>
      <c r="D3949" s="21" t="str">
        <f>IFERROR(__xludf.DUMMYFUNCTION("""COMPUTED_VALUE"""),"DIGITEC TECNOLOGIA DIGITAL E REPRES")</f>
        <v>DIGITEC TECNOLOGIA DIGITAL E REPRES</v>
      </c>
      <c r="E3949" s="21">
        <f>IFERROR(__xludf.DUMMYFUNCTION("""COMPUTED_VALUE"""),145359.0)</f>
        <v>145359</v>
      </c>
      <c r="F3949" s="21" t="str">
        <f>IFERROR(__xludf.DUMMYFUNCTION("""COMPUTED_VALUE"""),"INICIALIZADO")</f>
        <v>INICIALIZADO</v>
      </c>
      <c r="G3949" s="23">
        <f>IFERROR(__xludf.DUMMYFUNCTION("""COMPUTED_VALUE"""),45602.644733796296)</f>
        <v>45602.64473</v>
      </c>
      <c r="H3949" s="24" t="str">
        <f>IFERROR(VLOOKUP(B3949,material!A:D,3,0),"")</f>
        <v>GPON 6</v>
      </c>
    </row>
    <row r="3950" ht="11.25" customHeight="1">
      <c r="A3950" s="21" t="str">
        <f>IFERROR(__xludf.DUMMYFUNCTION("""COMPUTED_VALUE"""),"TERMINAL GPON ONT WIFI6 F6600P-NACIONAL")</f>
        <v>TERMINAL GPON ONT WIFI6 F6600P-NACIONAL</v>
      </c>
      <c r="B3950" s="22">
        <f>IFERROR(__xludf.DUMMYFUNCTION("""COMPUTED_VALUE"""),4.100159E7)</f>
        <v>41001590</v>
      </c>
      <c r="C3950" s="21" t="str">
        <f>IFERROR(__xludf.DUMMYFUNCTION("""COMPUTED_VALUE"""),"3CF9F0ACF486")</f>
        <v>3CF9F0ACF486</v>
      </c>
      <c r="D3950" s="21" t="str">
        <f>IFERROR(__xludf.DUMMYFUNCTION("""COMPUTED_VALUE"""),"DIGITEC TECNOLOGIA DIGITAL E REPRES")</f>
        <v>DIGITEC TECNOLOGIA DIGITAL E REPRES</v>
      </c>
      <c r="E3950" s="21">
        <f>IFERROR(__xludf.DUMMYFUNCTION("""COMPUTED_VALUE"""),145359.0)</f>
        <v>145359</v>
      </c>
      <c r="F3950" s="21" t="str">
        <f>IFERROR(__xludf.DUMMYFUNCTION("""COMPUTED_VALUE"""),"INICIALIZADO")</f>
        <v>INICIALIZADO</v>
      </c>
      <c r="G3950" s="23">
        <f>IFERROR(__xludf.DUMMYFUNCTION("""COMPUTED_VALUE"""),45495.52212962963)</f>
        <v>45495.52213</v>
      </c>
      <c r="H3950" s="24" t="str">
        <f>IFERROR(VLOOKUP(B3950,material!A:D,3,0),"")</f>
        <v>GPON 6</v>
      </c>
    </row>
    <row r="3951" ht="11.25" customHeight="1">
      <c r="A3951" s="21" t="str">
        <f>IFERROR(__xludf.DUMMYFUNCTION("""COMPUTED_VALUE"""),"TERMINAL GPON ONT WIFI6 F6600P-NACIONAL")</f>
        <v>TERMINAL GPON ONT WIFI6 F6600P-NACIONAL</v>
      </c>
      <c r="B3951" s="22">
        <f>IFERROR(__xludf.DUMMYFUNCTION("""COMPUTED_VALUE"""),4.100159E7)</f>
        <v>41001590</v>
      </c>
      <c r="C3951" s="21" t="str">
        <f>IFERROR(__xludf.DUMMYFUNCTION("""COMPUTED_VALUE"""),"3CF9F0A8E3EC")</f>
        <v>3CF9F0A8E3EC</v>
      </c>
      <c r="D3951" s="21" t="str">
        <f>IFERROR(__xludf.DUMMYFUNCTION("""COMPUTED_VALUE"""),"DIGITEC TECNOLOGIA DIGITAL E REPRES")</f>
        <v>DIGITEC TECNOLOGIA DIGITAL E REPRES</v>
      </c>
      <c r="E3951" s="21">
        <f>IFERROR(__xludf.DUMMYFUNCTION("""COMPUTED_VALUE"""),145359.0)</f>
        <v>145359</v>
      </c>
      <c r="F3951" s="21" t="str">
        <f>IFERROR(__xludf.DUMMYFUNCTION("""COMPUTED_VALUE"""),"INICIALIZADO")</f>
        <v>INICIALIZADO</v>
      </c>
      <c r="G3951" s="23">
        <f>IFERROR(__xludf.DUMMYFUNCTION("""COMPUTED_VALUE"""),45471.5040625)</f>
        <v>45471.50406</v>
      </c>
      <c r="H3951" s="24" t="str">
        <f>IFERROR(VLOOKUP(B3951,material!A:D,3,0),"")</f>
        <v>GPON 6</v>
      </c>
    </row>
    <row r="3952" ht="11.25" customHeight="1">
      <c r="A3952" s="21" t="str">
        <f>IFERROR(__xludf.DUMMYFUNCTION("""COMPUTED_VALUE"""),"TERMINAL GPON ONT WIFI6 F6600P-NACIONAL")</f>
        <v>TERMINAL GPON ONT WIFI6 F6600P-NACIONAL</v>
      </c>
      <c r="B3952" s="22">
        <f>IFERROR(__xludf.DUMMYFUNCTION("""COMPUTED_VALUE"""),4.100159E7)</f>
        <v>41001590</v>
      </c>
      <c r="C3952" s="21" t="str">
        <f>IFERROR(__xludf.DUMMYFUNCTION("""COMPUTED_VALUE"""),"3CF9F0A8DFF6")</f>
        <v>3CF9F0A8DFF6</v>
      </c>
      <c r="D3952" s="21" t="str">
        <f>IFERROR(__xludf.DUMMYFUNCTION("""COMPUTED_VALUE"""),"DIGITEC TECNOLOGIA DIGITAL E REPRES")</f>
        <v>DIGITEC TECNOLOGIA DIGITAL E REPRES</v>
      </c>
      <c r="E3952" s="21">
        <f>IFERROR(__xludf.DUMMYFUNCTION("""COMPUTED_VALUE"""),145359.0)</f>
        <v>145359</v>
      </c>
      <c r="F3952" s="21" t="str">
        <f>IFERROR(__xludf.DUMMYFUNCTION("""COMPUTED_VALUE"""),"INICIALIZADO")</f>
        <v>INICIALIZADO</v>
      </c>
      <c r="G3952" s="23">
        <f>IFERROR(__xludf.DUMMYFUNCTION("""COMPUTED_VALUE"""),45471.5040625)</f>
        <v>45471.50406</v>
      </c>
      <c r="H3952" s="24" t="str">
        <f>IFERROR(VLOOKUP(B3952,material!A:D,3,0),"")</f>
        <v>GPON 6</v>
      </c>
    </row>
    <row r="3953" ht="11.25" customHeight="1">
      <c r="A3953" s="21" t="str">
        <f>IFERROR(__xludf.DUMMYFUNCTION("""COMPUTED_VALUE"""),"TERMINAL GPON ONT WIFI6 F6600P-NACIONAL")</f>
        <v>TERMINAL GPON ONT WIFI6 F6600P-NACIONAL</v>
      </c>
      <c r="B3953" s="22">
        <f>IFERROR(__xludf.DUMMYFUNCTION("""COMPUTED_VALUE"""),4.100159E7)</f>
        <v>41001590</v>
      </c>
      <c r="C3953" s="21" t="str">
        <f>IFERROR(__xludf.DUMMYFUNCTION("""COMPUTED_VALUE"""),"3CF9F0A8EB0C")</f>
        <v>3CF9F0A8EB0C</v>
      </c>
      <c r="D3953" s="21" t="str">
        <f>IFERROR(__xludf.DUMMYFUNCTION("""COMPUTED_VALUE"""),"DIGITEC TECNOLOGIA DIGITAL E REPRES")</f>
        <v>DIGITEC TECNOLOGIA DIGITAL E REPRES</v>
      </c>
      <c r="E3953" s="21">
        <f>IFERROR(__xludf.DUMMYFUNCTION("""COMPUTED_VALUE"""),145359.0)</f>
        <v>145359</v>
      </c>
      <c r="F3953" s="21" t="str">
        <f>IFERROR(__xludf.DUMMYFUNCTION("""COMPUTED_VALUE"""),"INICIALIZADO")</f>
        <v>INICIALIZADO</v>
      </c>
      <c r="G3953" s="23">
        <f>IFERROR(__xludf.DUMMYFUNCTION("""COMPUTED_VALUE"""),45602.644733796296)</f>
        <v>45602.64473</v>
      </c>
      <c r="H3953" s="24" t="str">
        <f>IFERROR(VLOOKUP(B3953,material!A:D,3,0),"")</f>
        <v>GPON 6</v>
      </c>
    </row>
    <row r="3954" ht="11.25" customHeight="1">
      <c r="A3954" s="21" t="str">
        <f>IFERROR(__xludf.DUMMYFUNCTION("""COMPUTED_VALUE"""),"TERMINAL GPON ONT WIFI6 F6600P-NACIONAL")</f>
        <v>TERMINAL GPON ONT WIFI6 F6600P-NACIONAL</v>
      </c>
      <c r="B3954" s="22">
        <f>IFERROR(__xludf.DUMMYFUNCTION("""COMPUTED_VALUE"""),4.100159E7)</f>
        <v>41001590</v>
      </c>
      <c r="C3954" s="21" t="str">
        <f>IFERROR(__xludf.DUMMYFUNCTION("""COMPUTED_VALUE"""),"3CF9F0AFCC00")</f>
        <v>3CF9F0AFCC00</v>
      </c>
      <c r="D3954" s="21" t="str">
        <f>IFERROR(__xludf.DUMMYFUNCTION("""COMPUTED_VALUE"""),"DIGITEC TECNOLOGIA DIGITAL E REPRES")</f>
        <v>DIGITEC TECNOLOGIA DIGITAL E REPRES</v>
      </c>
      <c r="E3954" s="21">
        <f>IFERROR(__xludf.DUMMYFUNCTION("""COMPUTED_VALUE"""),145359.0)</f>
        <v>145359</v>
      </c>
      <c r="F3954" s="21" t="str">
        <f>IFERROR(__xludf.DUMMYFUNCTION("""COMPUTED_VALUE"""),"INICIALIZADO")</f>
        <v>INICIALIZADO</v>
      </c>
      <c r="G3954" s="23">
        <f>IFERROR(__xludf.DUMMYFUNCTION("""COMPUTED_VALUE"""),45602.644733796296)</f>
        <v>45602.64473</v>
      </c>
      <c r="H3954" s="24" t="str">
        <f>IFERROR(VLOOKUP(B3954,material!A:D,3,0),"")</f>
        <v>GPON 6</v>
      </c>
    </row>
    <row r="3955" ht="11.25" customHeight="1">
      <c r="A3955" s="21" t="str">
        <f>IFERROR(__xludf.DUMMYFUNCTION("""COMPUTED_VALUE"""),"TERMINAL EXTENSOR WIFI5 MESH AR2180T")</f>
        <v>TERMINAL EXTENSOR WIFI5 MESH AR2180T</v>
      </c>
      <c r="B3955" s="22">
        <f>IFERROR(__xludf.DUMMYFUNCTION("""COMPUTED_VALUE"""),4.1001567E7)</f>
        <v>41001567</v>
      </c>
      <c r="C3955" s="21" t="str">
        <f>IFERROR(__xludf.DUMMYFUNCTION("""COMPUTED_VALUE"""),"24E4CEB7D9F6")</f>
        <v>24E4CEB7D9F6</v>
      </c>
      <c r="D3955" s="21" t="str">
        <f>IFERROR(__xludf.DUMMYFUNCTION("""COMPUTED_VALUE"""),"DIGITEC TECNOLOGIA DIGITAL E REPRES")</f>
        <v>DIGITEC TECNOLOGIA DIGITAL E REPRES</v>
      </c>
      <c r="E3955" s="21">
        <f>IFERROR(__xludf.DUMMYFUNCTION("""COMPUTED_VALUE"""),145359.0)</f>
        <v>145359</v>
      </c>
      <c r="F3955" s="21" t="str">
        <f>IFERROR(__xludf.DUMMYFUNCTION("""COMPUTED_VALUE"""),"INICIALIZADO")</f>
        <v>INICIALIZADO</v>
      </c>
      <c r="G3955" s="23">
        <f>IFERROR(__xludf.DUMMYFUNCTION("""COMPUTED_VALUE"""),45398.45303240741)</f>
        <v>45398.45303</v>
      </c>
      <c r="H3955" s="24" t="str">
        <f>IFERROR(VLOOKUP(B3955,material!A:D,3,0),"")</f>
        <v>WIFI MESH</v>
      </c>
    </row>
    <row r="3956" ht="11.25" customHeight="1">
      <c r="A3956" s="21" t="str">
        <f>IFERROR(__xludf.DUMMYFUNCTION("""COMPUTED_VALUE"""),"TERMINAL EXTENSOR WIFI5 MESH AR2180T")</f>
        <v>TERMINAL EXTENSOR WIFI5 MESH AR2180T</v>
      </c>
      <c r="B3956" s="22">
        <f>IFERROR(__xludf.DUMMYFUNCTION("""COMPUTED_VALUE"""),4.1001567E7)</f>
        <v>41001567</v>
      </c>
      <c r="C3956" s="21" t="str">
        <f>IFERROR(__xludf.DUMMYFUNCTION("""COMPUTED_VALUE"""),"24E4CE57C6B2")</f>
        <v>24E4CE57C6B2</v>
      </c>
      <c r="D3956" s="21" t="str">
        <f>IFERROR(__xludf.DUMMYFUNCTION("""COMPUTED_VALUE"""),"DIGITEC TECNOLOGIA DIGITAL E REPRES")</f>
        <v>DIGITEC TECNOLOGIA DIGITAL E REPRES</v>
      </c>
      <c r="E3956" s="21">
        <f>IFERROR(__xludf.DUMMYFUNCTION("""COMPUTED_VALUE"""),145359.0)</f>
        <v>145359</v>
      </c>
      <c r="F3956" s="21" t="str">
        <f>IFERROR(__xludf.DUMMYFUNCTION("""COMPUTED_VALUE"""),"INICIALIZADO")</f>
        <v>INICIALIZADO</v>
      </c>
      <c r="G3956" s="23">
        <f>IFERROR(__xludf.DUMMYFUNCTION("""COMPUTED_VALUE"""),45441.39096064815)</f>
        <v>45441.39096</v>
      </c>
      <c r="H3956" s="24" t="str">
        <f>IFERROR(VLOOKUP(B3956,material!A:D,3,0),"")</f>
        <v>WIFI MESH</v>
      </c>
    </row>
    <row r="3957" ht="11.25" customHeight="1">
      <c r="A3957" s="21" t="str">
        <f>IFERROR(__xludf.DUMMYFUNCTION("""COMPUTED_VALUE"""),"TERMINAL EXTENSOR WIFI5 MESH AR2180T")</f>
        <v>TERMINAL EXTENSOR WIFI5 MESH AR2180T</v>
      </c>
      <c r="B3957" s="22">
        <f>IFERROR(__xludf.DUMMYFUNCTION("""COMPUTED_VALUE"""),4.1001567E7)</f>
        <v>41001567</v>
      </c>
      <c r="C3957" s="21" t="str">
        <f>IFERROR(__xludf.DUMMYFUNCTION("""COMPUTED_VALUE"""),"9839107C7DFB")</f>
        <v>9839107C7DFB</v>
      </c>
      <c r="D3957" s="21" t="str">
        <f>IFERROR(__xludf.DUMMYFUNCTION("""COMPUTED_VALUE"""),"DIGITEC TECNOLOGIA DIGITAL E REPRES")</f>
        <v>DIGITEC TECNOLOGIA DIGITAL E REPRES</v>
      </c>
      <c r="E3957" s="21">
        <f>IFERROR(__xludf.DUMMYFUNCTION("""COMPUTED_VALUE"""),145359.0)</f>
        <v>145359</v>
      </c>
      <c r="F3957" s="21" t="str">
        <f>IFERROR(__xludf.DUMMYFUNCTION("""COMPUTED_VALUE"""),"INICIALIZADO")</f>
        <v>INICIALIZADO</v>
      </c>
      <c r="G3957" s="23">
        <f>IFERROR(__xludf.DUMMYFUNCTION("""COMPUTED_VALUE"""),45615.61859953703)</f>
        <v>45615.6186</v>
      </c>
      <c r="H3957" s="24" t="str">
        <f>IFERROR(VLOOKUP(B3957,material!A:D,3,0),"")</f>
        <v>WIFI MESH</v>
      </c>
    </row>
    <row r="3958" ht="11.25" customHeight="1">
      <c r="A3958" s="21" t="str">
        <f>IFERROR(__xludf.DUMMYFUNCTION("""COMPUTED_VALUE"""),"TERMINAL EXTENSOR WIFI5 MESH AR2180T")</f>
        <v>TERMINAL EXTENSOR WIFI5 MESH AR2180T</v>
      </c>
      <c r="B3958" s="22">
        <f>IFERROR(__xludf.DUMMYFUNCTION("""COMPUTED_VALUE"""),4.1001567E7)</f>
        <v>41001567</v>
      </c>
      <c r="C3958" s="21" t="str">
        <f>IFERROR(__xludf.DUMMYFUNCTION("""COMPUTED_VALUE"""),"9839107C7DD8")</f>
        <v>9839107C7DD8</v>
      </c>
      <c r="D3958" s="21" t="str">
        <f>IFERROR(__xludf.DUMMYFUNCTION("""COMPUTED_VALUE"""),"DIGITEC TECNOLOGIA DIGITAL E REPRES")</f>
        <v>DIGITEC TECNOLOGIA DIGITAL E REPRES</v>
      </c>
      <c r="E3958" s="21">
        <f>IFERROR(__xludf.DUMMYFUNCTION("""COMPUTED_VALUE"""),145359.0)</f>
        <v>145359</v>
      </c>
      <c r="F3958" s="21" t="str">
        <f>IFERROR(__xludf.DUMMYFUNCTION("""COMPUTED_VALUE"""),"INICIALIZADO")</f>
        <v>INICIALIZADO</v>
      </c>
      <c r="G3958" s="23">
        <f>IFERROR(__xludf.DUMMYFUNCTION("""COMPUTED_VALUE"""),45615.61859953703)</f>
        <v>45615.6186</v>
      </c>
      <c r="H3958" s="24" t="str">
        <f>IFERROR(VLOOKUP(B3958,material!A:D,3,0),"")</f>
        <v>WIFI MESH</v>
      </c>
    </row>
    <row r="3959" ht="11.25" customHeight="1">
      <c r="A3959" s="21" t="str">
        <f>IFERROR(__xludf.DUMMYFUNCTION("""COMPUTED_VALUE"""),"TERMINAL EXTENSOR WIFI5 MESH AR2180T")</f>
        <v>TERMINAL EXTENSOR WIFI5 MESH AR2180T</v>
      </c>
      <c r="B3959" s="22">
        <f>IFERROR(__xludf.DUMMYFUNCTION("""COMPUTED_VALUE"""),4.1001567E7)</f>
        <v>41001567</v>
      </c>
      <c r="C3959" s="21" t="str">
        <f>IFERROR(__xludf.DUMMYFUNCTION("""COMPUTED_VALUE"""),"9839107C92A1")</f>
        <v>9839107C92A1</v>
      </c>
      <c r="D3959" s="21" t="str">
        <f>IFERROR(__xludf.DUMMYFUNCTION("""COMPUTED_VALUE"""),"DIGITEC TECNOLOGIA DIGITAL E REPRES")</f>
        <v>DIGITEC TECNOLOGIA DIGITAL E REPRES</v>
      </c>
      <c r="E3959" s="21">
        <f>IFERROR(__xludf.DUMMYFUNCTION("""COMPUTED_VALUE"""),145359.0)</f>
        <v>145359</v>
      </c>
      <c r="F3959" s="21" t="str">
        <f>IFERROR(__xludf.DUMMYFUNCTION("""COMPUTED_VALUE"""),"INICIALIZADO")</f>
        <v>INICIALIZADO</v>
      </c>
      <c r="G3959" s="23">
        <f>IFERROR(__xludf.DUMMYFUNCTION("""COMPUTED_VALUE"""),45618.74479166667)</f>
        <v>45618.74479</v>
      </c>
      <c r="H3959" s="24" t="str">
        <f>IFERROR(VLOOKUP(B3959,material!A:D,3,0),"")</f>
        <v>WIFI MESH</v>
      </c>
    </row>
    <row r="3960" ht="11.25" customHeight="1">
      <c r="A3960" s="21" t="str">
        <f>IFERROR(__xludf.DUMMYFUNCTION("""COMPUTED_VALUE"""),"TERMINAL EXTENSOR WIFI5 MESH AR2180T")</f>
        <v>TERMINAL EXTENSOR WIFI5 MESH AR2180T</v>
      </c>
      <c r="B3960" s="22">
        <f>IFERROR(__xludf.DUMMYFUNCTION("""COMPUTED_VALUE"""),4.1001567E7)</f>
        <v>41001567</v>
      </c>
      <c r="C3960" s="21" t="str">
        <f>IFERROR(__xludf.DUMMYFUNCTION("""COMPUTED_VALUE"""),"9839107C889C")</f>
        <v>9839107C889C</v>
      </c>
      <c r="D3960" s="21" t="str">
        <f>IFERROR(__xludf.DUMMYFUNCTION("""COMPUTED_VALUE"""),"DIGITEC TECNOLOGIA DIGITAL E REPRES")</f>
        <v>DIGITEC TECNOLOGIA DIGITAL E REPRES</v>
      </c>
      <c r="E3960" s="21">
        <f>IFERROR(__xludf.DUMMYFUNCTION("""COMPUTED_VALUE"""),145359.0)</f>
        <v>145359</v>
      </c>
      <c r="F3960" s="21" t="str">
        <f>IFERROR(__xludf.DUMMYFUNCTION("""COMPUTED_VALUE"""),"INICIALIZADO")</f>
        <v>INICIALIZADO</v>
      </c>
      <c r="G3960" s="23">
        <f>IFERROR(__xludf.DUMMYFUNCTION("""COMPUTED_VALUE"""),45615.61859953703)</f>
        <v>45615.6186</v>
      </c>
      <c r="H3960" s="24" t="str">
        <f>IFERROR(VLOOKUP(B3960,material!A:D,3,0),"")</f>
        <v>WIFI MESH</v>
      </c>
    </row>
    <row r="3961" ht="11.25" customHeight="1">
      <c r="A3961" s="21" t="str">
        <f>IFERROR(__xludf.DUMMYFUNCTION("""COMPUTED_VALUE"""),"TERMINAL EXTENSOR WIFI5 MESH AR2180T")</f>
        <v>TERMINAL EXTENSOR WIFI5 MESH AR2180T</v>
      </c>
      <c r="B3961" s="22">
        <f>IFERROR(__xludf.DUMMYFUNCTION("""COMPUTED_VALUE"""),4.1001567E7)</f>
        <v>41001567</v>
      </c>
      <c r="C3961" s="21" t="str">
        <f>IFERROR(__xludf.DUMMYFUNCTION("""COMPUTED_VALUE"""),"9839107C8838")</f>
        <v>9839107C8838</v>
      </c>
      <c r="D3961" s="21" t="str">
        <f>IFERROR(__xludf.DUMMYFUNCTION("""COMPUTED_VALUE"""),"DIGITEC TECNOLOGIA DIGITAL E REPRES")</f>
        <v>DIGITEC TECNOLOGIA DIGITAL E REPRES</v>
      </c>
      <c r="E3961" s="21">
        <f>IFERROR(__xludf.DUMMYFUNCTION("""COMPUTED_VALUE"""),145359.0)</f>
        <v>145359</v>
      </c>
      <c r="F3961" s="21" t="str">
        <f>IFERROR(__xludf.DUMMYFUNCTION("""COMPUTED_VALUE"""),"INICIALIZADO")</f>
        <v>INICIALIZADO</v>
      </c>
      <c r="G3961" s="23">
        <f>IFERROR(__xludf.DUMMYFUNCTION("""COMPUTED_VALUE"""),45615.61859953703)</f>
        <v>45615.6186</v>
      </c>
      <c r="H3961" s="24" t="str">
        <f>IFERROR(VLOOKUP(B3961,material!A:D,3,0),"")</f>
        <v>WIFI MESH</v>
      </c>
    </row>
    <row r="3962" ht="11.25" customHeight="1">
      <c r="A3962" s="21" t="str">
        <f>IFERROR(__xludf.DUMMYFUNCTION("""COMPUTED_VALUE"""),"TERMINAL EXTENSOR WIFI5 MESH AR2180T")</f>
        <v>TERMINAL EXTENSOR WIFI5 MESH AR2180T</v>
      </c>
      <c r="B3962" s="22">
        <f>IFERROR(__xludf.DUMMYFUNCTION("""COMPUTED_VALUE"""),4.1001567E7)</f>
        <v>41001567</v>
      </c>
      <c r="C3962" s="21" t="str">
        <f>IFERROR(__xludf.DUMMYFUNCTION("""COMPUTED_VALUE"""),"9839107C9C88")</f>
        <v>9839107C9C88</v>
      </c>
      <c r="D3962" s="21" t="str">
        <f>IFERROR(__xludf.DUMMYFUNCTION("""COMPUTED_VALUE"""),"DIGITEC TECNOLOGIA DIGITAL E REPRES")</f>
        <v>DIGITEC TECNOLOGIA DIGITAL E REPRES</v>
      </c>
      <c r="E3962" s="21">
        <f>IFERROR(__xludf.DUMMYFUNCTION("""COMPUTED_VALUE"""),145359.0)</f>
        <v>145359</v>
      </c>
      <c r="F3962" s="21" t="str">
        <f>IFERROR(__xludf.DUMMYFUNCTION("""COMPUTED_VALUE"""),"INICIALIZADO")</f>
        <v>INICIALIZADO</v>
      </c>
      <c r="G3962" s="23">
        <f>IFERROR(__xludf.DUMMYFUNCTION("""COMPUTED_VALUE"""),45618.74478009259)</f>
        <v>45618.74478</v>
      </c>
      <c r="H3962" s="24" t="str">
        <f>IFERROR(VLOOKUP(B3962,material!A:D,3,0),"")</f>
        <v>WIFI MESH</v>
      </c>
    </row>
    <row r="3963" ht="11.25" customHeight="1">
      <c r="A3963" s="21" t="str">
        <f>IFERROR(__xludf.DUMMYFUNCTION("""COMPUTED_VALUE"""),"TERMINAL EXTENSOR WIFI5 MESH AR2180T")</f>
        <v>TERMINAL EXTENSOR WIFI5 MESH AR2180T</v>
      </c>
      <c r="B3963" s="22">
        <f>IFERROR(__xludf.DUMMYFUNCTION("""COMPUTED_VALUE"""),4.1001567E7)</f>
        <v>41001567</v>
      </c>
      <c r="C3963" s="21" t="str">
        <f>IFERROR(__xludf.DUMMYFUNCTION("""COMPUTED_VALUE"""),"9839107C9DCE")</f>
        <v>9839107C9DCE</v>
      </c>
      <c r="D3963" s="21" t="str">
        <f>IFERROR(__xludf.DUMMYFUNCTION("""COMPUTED_VALUE"""),"DIGITEC TECNOLOGIA DIGITAL E REPRES")</f>
        <v>DIGITEC TECNOLOGIA DIGITAL E REPRES</v>
      </c>
      <c r="E3963" s="21">
        <f>IFERROR(__xludf.DUMMYFUNCTION("""COMPUTED_VALUE"""),145359.0)</f>
        <v>145359</v>
      </c>
      <c r="F3963" s="21" t="str">
        <f>IFERROR(__xludf.DUMMYFUNCTION("""COMPUTED_VALUE"""),"INICIALIZADO")</f>
        <v>INICIALIZADO</v>
      </c>
      <c r="G3963" s="23">
        <f>IFERROR(__xludf.DUMMYFUNCTION("""COMPUTED_VALUE"""),45618.74479166667)</f>
        <v>45618.74479</v>
      </c>
      <c r="H3963" s="24" t="str">
        <f>IFERROR(VLOOKUP(B3963,material!A:D,3,0),"")</f>
        <v>WIFI MESH</v>
      </c>
    </row>
    <row r="3964" ht="11.25" customHeight="1">
      <c r="A3964" s="21" t="str">
        <f>IFERROR(__xludf.DUMMYFUNCTION("""COMPUTED_VALUE"""),"TERMINAL EXTENSOR WIFI5 MESH AR2180T")</f>
        <v>TERMINAL EXTENSOR WIFI5 MESH AR2180T</v>
      </c>
      <c r="B3964" s="22">
        <f>IFERROR(__xludf.DUMMYFUNCTION("""COMPUTED_VALUE"""),4.1001567E7)</f>
        <v>41001567</v>
      </c>
      <c r="C3964" s="21" t="str">
        <f>IFERROR(__xludf.DUMMYFUNCTION("""COMPUTED_VALUE"""),"9839107C82E2")</f>
        <v>9839107C82E2</v>
      </c>
      <c r="D3964" s="21" t="str">
        <f>IFERROR(__xludf.DUMMYFUNCTION("""COMPUTED_VALUE"""),"DIGITEC TECNOLOGIA DIGITAL E REPRES")</f>
        <v>DIGITEC TECNOLOGIA DIGITAL E REPRES</v>
      </c>
      <c r="E3964" s="21">
        <f>IFERROR(__xludf.DUMMYFUNCTION("""COMPUTED_VALUE"""),145359.0)</f>
        <v>145359</v>
      </c>
      <c r="F3964" s="21" t="str">
        <f>IFERROR(__xludf.DUMMYFUNCTION("""COMPUTED_VALUE"""),"INICIALIZADO")</f>
        <v>INICIALIZADO</v>
      </c>
      <c r="G3964" s="23">
        <f>IFERROR(__xludf.DUMMYFUNCTION("""COMPUTED_VALUE"""),45615.61859953703)</f>
        <v>45615.6186</v>
      </c>
      <c r="H3964" s="24" t="str">
        <f>IFERROR(VLOOKUP(B3964,material!A:D,3,0),"")</f>
        <v>WIFI MESH</v>
      </c>
    </row>
    <row r="3965" ht="11.25" customHeight="1">
      <c r="A3965" s="21" t="str">
        <f>IFERROR(__xludf.DUMMYFUNCTION("""COMPUTED_VALUE"""),"TERMINAL EXTENSOR WIFI5 MESH AR2180T")</f>
        <v>TERMINAL EXTENSOR WIFI5 MESH AR2180T</v>
      </c>
      <c r="B3965" s="22">
        <f>IFERROR(__xludf.DUMMYFUNCTION("""COMPUTED_VALUE"""),4.1001567E7)</f>
        <v>41001567</v>
      </c>
      <c r="C3965" s="21" t="str">
        <f>IFERROR(__xludf.DUMMYFUNCTION("""COMPUTED_VALUE"""),"9839107C82CE")</f>
        <v>9839107C82CE</v>
      </c>
      <c r="D3965" s="21" t="str">
        <f>IFERROR(__xludf.DUMMYFUNCTION("""COMPUTED_VALUE"""),"DIGITEC TECNOLOGIA DIGITAL E REPRES")</f>
        <v>DIGITEC TECNOLOGIA DIGITAL E REPRES</v>
      </c>
      <c r="E3965" s="21">
        <f>IFERROR(__xludf.DUMMYFUNCTION("""COMPUTED_VALUE"""),145359.0)</f>
        <v>145359</v>
      </c>
      <c r="F3965" s="21" t="str">
        <f>IFERROR(__xludf.DUMMYFUNCTION("""COMPUTED_VALUE"""),"INICIALIZADO")</f>
        <v>INICIALIZADO</v>
      </c>
      <c r="G3965" s="23">
        <f>IFERROR(__xludf.DUMMYFUNCTION("""COMPUTED_VALUE"""),45615.61859953703)</f>
        <v>45615.6186</v>
      </c>
      <c r="H3965" s="24" t="str">
        <f>IFERROR(VLOOKUP(B3965,material!A:D,3,0),"")</f>
        <v>WIFI MESH</v>
      </c>
    </row>
    <row r="3966" ht="11.25" customHeight="1">
      <c r="A3966" s="21" t="str">
        <f>IFERROR(__xludf.DUMMYFUNCTION("""COMPUTED_VALUE"""),"TERMINAL EXTENSOR WIFI5 MESH AR2180T")</f>
        <v>TERMINAL EXTENSOR WIFI5 MESH AR2180T</v>
      </c>
      <c r="B3966" s="22">
        <f>IFERROR(__xludf.DUMMYFUNCTION("""COMPUTED_VALUE"""),4.1001567E7)</f>
        <v>41001567</v>
      </c>
      <c r="C3966" s="21" t="str">
        <f>IFERROR(__xludf.DUMMYFUNCTION("""COMPUTED_VALUE"""),"9839107C7E3D")</f>
        <v>9839107C7E3D</v>
      </c>
      <c r="D3966" s="21" t="str">
        <f>IFERROR(__xludf.DUMMYFUNCTION("""COMPUTED_VALUE"""),"DIGITEC TECNOLOGIA DIGITAL E REPRES")</f>
        <v>DIGITEC TECNOLOGIA DIGITAL E REPRES</v>
      </c>
      <c r="E3966" s="21">
        <f>IFERROR(__xludf.DUMMYFUNCTION("""COMPUTED_VALUE"""),145359.0)</f>
        <v>145359</v>
      </c>
      <c r="F3966" s="21" t="str">
        <f>IFERROR(__xludf.DUMMYFUNCTION("""COMPUTED_VALUE"""),"INICIALIZADO")</f>
        <v>INICIALIZADO</v>
      </c>
      <c r="G3966" s="23">
        <f>IFERROR(__xludf.DUMMYFUNCTION("""COMPUTED_VALUE"""),45615.61861111112)</f>
        <v>45615.61861</v>
      </c>
      <c r="H3966" s="24" t="str">
        <f>IFERROR(VLOOKUP(B3966,material!A:D,3,0),"")</f>
        <v>WIFI MESH</v>
      </c>
    </row>
    <row r="3967" ht="11.25" customHeight="1">
      <c r="A3967" s="21" t="str">
        <f>IFERROR(__xludf.DUMMYFUNCTION("""COMPUTED_VALUE"""),"TERMINAL EXTENSOR WIFI5 MESH AR2180T")</f>
        <v>TERMINAL EXTENSOR WIFI5 MESH AR2180T</v>
      </c>
      <c r="B3967" s="22">
        <f>IFERROR(__xludf.DUMMYFUNCTION("""COMPUTED_VALUE"""),4.1001567E7)</f>
        <v>41001567</v>
      </c>
      <c r="C3967" s="21" t="str">
        <f>IFERROR(__xludf.DUMMYFUNCTION("""COMPUTED_VALUE"""),"9839107C7DE7")</f>
        <v>9839107C7DE7</v>
      </c>
      <c r="D3967" s="21" t="str">
        <f>IFERROR(__xludf.DUMMYFUNCTION("""COMPUTED_VALUE"""),"DIGITEC TECNOLOGIA DIGITAL E REPRES")</f>
        <v>DIGITEC TECNOLOGIA DIGITAL E REPRES</v>
      </c>
      <c r="E3967" s="21">
        <f>IFERROR(__xludf.DUMMYFUNCTION("""COMPUTED_VALUE"""),145359.0)</f>
        <v>145359</v>
      </c>
      <c r="F3967" s="21" t="str">
        <f>IFERROR(__xludf.DUMMYFUNCTION("""COMPUTED_VALUE"""),"INICIALIZADO")</f>
        <v>INICIALIZADO</v>
      </c>
      <c r="G3967" s="23">
        <f>IFERROR(__xludf.DUMMYFUNCTION("""COMPUTED_VALUE"""),45615.61859953703)</f>
        <v>45615.6186</v>
      </c>
      <c r="H3967" s="24" t="str">
        <f>IFERROR(VLOOKUP(B3967,material!A:D,3,0),"")</f>
        <v>WIFI MESH</v>
      </c>
    </row>
    <row r="3968" ht="11.25" customHeight="1">
      <c r="A3968" s="21" t="str">
        <f>IFERROR(__xludf.DUMMYFUNCTION("""COMPUTED_VALUE"""),"TERMINAL EXTENSOR WIFI5 MESH AR2180T")</f>
        <v>TERMINAL EXTENSOR WIFI5 MESH AR2180T</v>
      </c>
      <c r="B3968" s="22">
        <f>IFERROR(__xludf.DUMMYFUNCTION("""COMPUTED_VALUE"""),4.1001567E7)</f>
        <v>41001567</v>
      </c>
      <c r="C3968" s="21" t="str">
        <f>IFERROR(__xludf.DUMMYFUNCTION("""COMPUTED_VALUE"""),"9839107C7EAB")</f>
        <v>9839107C7EAB</v>
      </c>
      <c r="D3968" s="21" t="str">
        <f>IFERROR(__xludf.DUMMYFUNCTION("""COMPUTED_VALUE"""),"DIGITEC TECNOLOGIA DIGITAL E REPRES")</f>
        <v>DIGITEC TECNOLOGIA DIGITAL E REPRES</v>
      </c>
      <c r="E3968" s="21">
        <f>IFERROR(__xludf.DUMMYFUNCTION("""COMPUTED_VALUE"""),145359.0)</f>
        <v>145359</v>
      </c>
      <c r="F3968" s="21" t="str">
        <f>IFERROR(__xludf.DUMMYFUNCTION("""COMPUTED_VALUE"""),"INICIALIZADO")</f>
        <v>INICIALIZADO</v>
      </c>
      <c r="G3968" s="23">
        <f>IFERROR(__xludf.DUMMYFUNCTION("""COMPUTED_VALUE"""),45615.61861111112)</f>
        <v>45615.61861</v>
      </c>
      <c r="H3968" s="24" t="str">
        <f>IFERROR(VLOOKUP(B3968,material!A:D,3,0),"")</f>
        <v>WIFI MESH</v>
      </c>
    </row>
    <row r="3969" ht="11.25" customHeight="1">
      <c r="A3969" s="21" t="str">
        <f>IFERROR(__xludf.DUMMYFUNCTION("""COMPUTED_VALUE"""),"TERMINAL EXTENSOR WIFI5 MESH AR2180T")</f>
        <v>TERMINAL EXTENSOR WIFI5 MESH AR2180T</v>
      </c>
      <c r="B3969" s="22">
        <f>IFERROR(__xludf.DUMMYFUNCTION("""COMPUTED_VALUE"""),4.1001567E7)</f>
        <v>41001567</v>
      </c>
      <c r="C3969" s="21" t="str">
        <f>IFERROR(__xludf.DUMMYFUNCTION("""COMPUTED_VALUE"""),"9839107C8DB5")</f>
        <v>9839107C8DB5</v>
      </c>
      <c r="D3969" s="21" t="str">
        <f>IFERROR(__xludf.DUMMYFUNCTION("""COMPUTED_VALUE"""),"DIGITEC TECNOLOGIA DIGITAL E REPRES")</f>
        <v>DIGITEC TECNOLOGIA DIGITAL E REPRES</v>
      </c>
      <c r="E3969" s="21">
        <f>IFERROR(__xludf.DUMMYFUNCTION("""COMPUTED_VALUE"""),145359.0)</f>
        <v>145359</v>
      </c>
      <c r="F3969" s="21" t="str">
        <f>IFERROR(__xludf.DUMMYFUNCTION("""COMPUTED_VALUE"""),"INICIALIZADO")</f>
        <v>INICIALIZADO</v>
      </c>
      <c r="G3969" s="23">
        <f>IFERROR(__xludf.DUMMYFUNCTION("""COMPUTED_VALUE"""),45615.61859953703)</f>
        <v>45615.6186</v>
      </c>
      <c r="H3969" s="24" t="str">
        <f>IFERROR(VLOOKUP(B3969,material!A:D,3,0),"")</f>
        <v>WIFI MESH</v>
      </c>
    </row>
    <row r="3970" ht="11.25" customHeight="1">
      <c r="A3970" s="21" t="str">
        <f>IFERROR(__xludf.DUMMYFUNCTION("""COMPUTED_VALUE"""),"TERMINAL EXTENSOR WIFI5 MESH AR2180T")</f>
        <v>TERMINAL EXTENSOR WIFI5 MESH AR2180T</v>
      </c>
      <c r="B3970" s="22">
        <f>IFERROR(__xludf.DUMMYFUNCTION("""COMPUTED_VALUE"""),4.1001567E7)</f>
        <v>41001567</v>
      </c>
      <c r="C3970" s="21" t="str">
        <f>IFERROR(__xludf.DUMMYFUNCTION("""COMPUTED_VALUE"""),"9839107C92AB")</f>
        <v>9839107C92AB</v>
      </c>
      <c r="D3970" s="21" t="str">
        <f>IFERROR(__xludf.DUMMYFUNCTION("""COMPUTED_VALUE"""),"DIGITEC TECNOLOGIA DIGITAL E REPRES")</f>
        <v>DIGITEC TECNOLOGIA DIGITAL E REPRES</v>
      </c>
      <c r="E3970" s="21">
        <f>IFERROR(__xludf.DUMMYFUNCTION("""COMPUTED_VALUE"""),145359.0)</f>
        <v>145359</v>
      </c>
      <c r="F3970" s="21" t="str">
        <f>IFERROR(__xludf.DUMMYFUNCTION("""COMPUTED_VALUE"""),"INICIALIZADO")</f>
        <v>INICIALIZADO</v>
      </c>
      <c r="G3970" s="23">
        <f>IFERROR(__xludf.DUMMYFUNCTION("""COMPUTED_VALUE"""),45618.74479166667)</f>
        <v>45618.74479</v>
      </c>
      <c r="H3970" s="24" t="str">
        <f>IFERROR(VLOOKUP(B3970,material!A:D,3,0),"")</f>
        <v>WIFI MESH</v>
      </c>
    </row>
    <row r="3971" ht="11.25" customHeight="1">
      <c r="A3971" s="21" t="str">
        <f>IFERROR(__xludf.DUMMYFUNCTION("""COMPUTED_VALUE"""),"TERMINAL EXTENSOR WIFI5 MESH AR2180T")</f>
        <v>TERMINAL EXTENSOR WIFI5 MESH AR2180T</v>
      </c>
      <c r="B3971" s="22">
        <f>IFERROR(__xludf.DUMMYFUNCTION("""COMPUTED_VALUE"""),4.1001567E7)</f>
        <v>41001567</v>
      </c>
      <c r="C3971" s="21" t="str">
        <f>IFERROR(__xludf.DUMMYFUNCTION("""COMPUTED_VALUE"""),"9839107C8883")</f>
        <v>9839107C8883</v>
      </c>
      <c r="D3971" s="21" t="str">
        <f>IFERROR(__xludf.DUMMYFUNCTION("""COMPUTED_VALUE"""),"DIGITEC TECNOLOGIA DIGITAL E REPRES")</f>
        <v>DIGITEC TECNOLOGIA DIGITAL E REPRES</v>
      </c>
      <c r="E3971" s="21">
        <f>IFERROR(__xludf.DUMMYFUNCTION("""COMPUTED_VALUE"""),145359.0)</f>
        <v>145359</v>
      </c>
      <c r="F3971" s="21" t="str">
        <f>IFERROR(__xludf.DUMMYFUNCTION("""COMPUTED_VALUE"""),"INICIALIZADO")</f>
        <v>INICIALIZADO</v>
      </c>
      <c r="G3971" s="23">
        <f>IFERROR(__xludf.DUMMYFUNCTION("""COMPUTED_VALUE"""),45615.61859953703)</f>
        <v>45615.6186</v>
      </c>
      <c r="H3971" s="24" t="str">
        <f>IFERROR(VLOOKUP(B3971,material!A:D,3,0),"")</f>
        <v>WIFI MESH</v>
      </c>
    </row>
    <row r="3972" ht="11.25" customHeight="1">
      <c r="A3972" s="21" t="str">
        <f>IFERROR(__xludf.DUMMYFUNCTION("""COMPUTED_VALUE"""),"TERMINAL EXTENSOR WIFI5 MESH AR2180T")</f>
        <v>TERMINAL EXTENSOR WIFI5 MESH AR2180T</v>
      </c>
      <c r="B3972" s="22">
        <f>IFERROR(__xludf.DUMMYFUNCTION("""COMPUTED_VALUE"""),4.1001567E7)</f>
        <v>41001567</v>
      </c>
      <c r="C3972" s="21" t="str">
        <f>IFERROR(__xludf.DUMMYFUNCTION("""COMPUTED_VALUE"""),"9839107C9D2E")</f>
        <v>9839107C9D2E</v>
      </c>
      <c r="D3972" s="21" t="str">
        <f>IFERROR(__xludf.DUMMYFUNCTION("""COMPUTED_VALUE"""),"DIGITEC TECNOLOGIA DIGITAL E REPRES")</f>
        <v>DIGITEC TECNOLOGIA DIGITAL E REPRES</v>
      </c>
      <c r="E3972" s="21">
        <f>IFERROR(__xludf.DUMMYFUNCTION("""COMPUTED_VALUE"""),145359.0)</f>
        <v>145359</v>
      </c>
      <c r="F3972" s="21" t="str">
        <f>IFERROR(__xludf.DUMMYFUNCTION("""COMPUTED_VALUE"""),"INICIALIZADO")</f>
        <v>INICIALIZADO</v>
      </c>
      <c r="G3972" s="23">
        <f>IFERROR(__xludf.DUMMYFUNCTION("""COMPUTED_VALUE"""),45618.74478009259)</f>
        <v>45618.74478</v>
      </c>
      <c r="H3972" s="24" t="str">
        <f>IFERROR(VLOOKUP(B3972,material!A:D,3,0),"")</f>
        <v>WIFI MESH</v>
      </c>
    </row>
    <row r="3973" ht="11.25" customHeight="1">
      <c r="A3973" s="21" t="str">
        <f>IFERROR(__xludf.DUMMYFUNCTION("""COMPUTED_VALUE"""),"TERMINAL EXTENSOR WIFI5 MESH AR2180T")</f>
        <v>TERMINAL EXTENSOR WIFI5 MESH AR2180T</v>
      </c>
      <c r="B3973" s="22">
        <f>IFERROR(__xludf.DUMMYFUNCTION("""COMPUTED_VALUE"""),4.1001567E7)</f>
        <v>41001567</v>
      </c>
      <c r="C3973" s="21" t="str">
        <f>IFERROR(__xludf.DUMMYFUNCTION("""COMPUTED_VALUE"""),"9839107C9DAB")</f>
        <v>9839107C9DAB</v>
      </c>
      <c r="D3973" s="21" t="str">
        <f>IFERROR(__xludf.DUMMYFUNCTION("""COMPUTED_VALUE"""),"DIGITEC TECNOLOGIA DIGITAL E REPRES")</f>
        <v>DIGITEC TECNOLOGIA DIGITAL E REPRES</v>
      </c>
      <c r="E3973" s="21">
        <f>IFERROR(__xludf.DUMMYFUNCTION("""COMPUTED_VALUE"""),145359.0)</f>
        <v>145359</v>
      </c>
      <c r="F3973" s="21" t="str">
        <f>IFERROR(__xludf.DUMMYFUNCTION("""COMPUTED_VALUE"""),"INICIALIZADO")</f>
        <v>INICIALIZADO</v>
      </c>
      <c r="G3973" s="23">
        <f>IFERROR(__xludf.DUMMYFUNCTION("""COMPUTED_VALUE"""),45618.74479166667)</f>
        <v>45618.74479</v>
      </c>
      <c r="H3973" s="24" t="str">
        <f>IFERROR(VLOOKUP(B3973,material!A:D,3,0),"")</f>
        <v>WIFI MESH</v>
      </c>
    </row>
    <row r="3974" ht="11.25" customHeight="1">
      <c r="A3974" s="21" t="str">
        <f>IFERROR(__xludf.DUMMYFUNCTION("""COMPUTED_VALUE"""),"TERMINAL EXTENSOR WIFI5 MESH AR2180T")</f>
        <v>TERMINAL EXTENSOR WIFI5 MESH AR2180T</v>
      </c>
      <c r="B3974" s="22">
        <f>IFERROR(__xludf.DUMMYFUNCTION("""COMPUTED_VALUE"""),4.1001567E7)</f>
        <v>41001567</v>
      </c>
      <c r="C3974" s="21" t="str">
        <f>IFERROR(__xludf.DUMMYFUNCTION("""COMPUTED_VALUE"""),"9839107C82DD")</f>
        <v>9839107C82DD</v>
      </c>
      <c r="D3974" s="21" t="str">
        <f>IFERROR(__xludf.DUMMYFUNCTION("""COMPUTED_VALUE"""),"DIGITEC TECNOLOGIA DIGITAL E REPRES")</f>
        <v>DIGITEC TECNOLOGIA DIGITAL E REPRES</v>
      </c>
      <c r="E3974" s="21">
        <f>IFERROR(__xludf.DUMMYFUNCTION("""COMPUTED_VALUE"""),145359.0)</f>
        <v>145359</v>
      </c>
      <c r="F3974" s="21" t="str">
        <f>IFERROR(__xludf.DUMMYFUNCTION("""COMPUTED_VALUE"""),"INICIALIZADO")</f>
        <v>INICIALIZADO</v>
      </c>
      <c r="G3974" s="23">
        <f>IFERROR(__xludf.DUMMYFUNCTION("""COMPUTED_VALUE"""),45615.61859953703)</f>
        <v>45615.6186</v>
      </c>
      <c r="H3974" s="24" t="str">
        <f>IFERROR(VLOOKUP(B3974,material!A:D,3,0),"")</f>
        <v>WIFI MESH</v>
      </c>
    </row>
    <row r="3975" ht="11.25" customHeight="1">
      <c r="A3975" s="21" t="str">
        <f>IFERROR(__xludf.DUMMYFUNCTION("""COMPUTED_VALUE"""),"TERMINAL EXTENSOR WIFI5 MESH AR2180T")</f>
        <v>TERMINAL EXTENSOR WIFI5 MESH AR2180T</v>
      </c>
      <c r="B3975" s="22">
        <f>IFERROR(__xludf.DUMMYFUNCTION("""COMPUTED_VALUE"""),4.1001567E7)</f>
        <v>41001567</v>
      </c>
      <c r="C3975" s="21" t="str">
        <f>IFERROR(__xludf.DUMMYFUNCTION("""COMPUTED_VALUE"""),"9839107C8324")</f>
        <v>9839107C8324</v>
      </c>
      <c r="D3975" s="21" t="str">
        <f>IFERROR(__xludf.DUMMYFUNCTION("""COMPUTED_VALUE"""),"DIGITEC TECNOLOGIA DIGITAL E REPRES")</f>
        <v>DIGITEC TECNOLOGIA DIGITAL E REPRES</v>
      </c>
      <c r="E3975" s="21">
        <f>IFERROR(__xludf.DUMMYFUNCTION("""COMPUTED_VALUE"""),145359.0)</f>
        <v>145359</v>
      </c>
      <c r="F3975" s="21" t="str">
        <f>IFERROR(__xludf.DUMMYFUNCTION("""COMPUTED_VALUE"""),"INICIALIZADO")</f>
        <v>INICIALIZADO</v>
      </c>
      <c r="G3975" s="23">
        <f>IFERROR(__xludf.DUMMYFUNCTION("""COMPUTED_VALUE"""),45615.61859953703)</f>
        <v>45615.6186</v>
      </c>
      <c r="H3975" s="24" t="str">
        <f>IFERROR(VLOOKUP(B3975,material!A:D,3,0),"")</f>
        <v>WIFI MESH</v>
      </c>
    </row>
    <row r="3976" ht="11.25" customHeight="1">
      <c r="A3976" s="21" t="str">
        <f>IFERROR(__xludf.DUMMYFUNCTION("""COMPUTED_VALUE"""),"TERMINAL EXTENSOR WIFI5 MESH AR2180T")</f>
        <v>TERMINAL EXTENSOR WIFI5 MESH AR2180T</v>
      </c>
      <c r="B3976" s="22">
        <f>IFERROR(__xludf.DUMMYFUNCTION("""COMPUTED_VALUE"""),4.1001567E7)</f>
        <v>41001567</v>
      </c>
      <c r="C3976" s="21" t="str">
        <f>IFERROR(__xludf.DUMMYFUNCTION("""COMPUTED_VALUE"""),"9839107C82F6")</f>
        <v>9839107C82F6</v>
      </c>
      <c r="D3976" s="21" t="str">
        <f>IFERROR(__xludf.DUMMYFUNCTION("""COMPUTED_VALUE"""),"DIGITEC TECNOLOGIA DIGITAL E REPRES")</f>
        <v>DIGITEC TECNOLOGIA DIGITAL E REPRES</v>
      </c>
      <c r="E3976" s="21">
        <f>IFERROR(__xludf.DUMMYFUNCTION("""COMPUTED_VALUE"""),145359.0)</f>
        <v>145359</v>
      </c>
      <c r="F3976" s="21" t="str">
        <f>IFERROR(__xludf.DUMMYFUNCTION("""COMPUTED_VALUE"""),"INICIALIZADO")</f>
        <v>INICIALIZADO</v>
      </c>
      <c r="G3976" s="23">
        <f>IFERROR(__xludf.DUMMYFUNCTION("""COMPUTED_VALUE"""),45615.61859953703)</f>
        <v>45615.6186</v>
      </c>
      <c r="H3976" s="24" t="str">
        <f>IFERROR(VLOOKUP(B3976,material!A:D,3,0),"")</f>
        <v>WIFI MESH</v>
      </c>
    </row>
    <row r="3977" ht="11.25" customHeight="1">
      <c r="A3977" s="21" t="str">
        <f>IFERROR(__xludf.DUMMYFUNCTION("""COMPUTED_VALUE"""),"TERMINAL EXTENSOR WIFI5 MESH AR2180T")</f>
        <v>TERMINAL EXTENSOR WIFI5 MESH AR2180T</v>
      </c>
      <c r="B3977" s="22">
        <f>IFERROR(__xludf.DUMMYFUNCTION("""COMPUTED_VALUE"""),4.1001567E7)</f>
        <v>41001567</v>
      </c>
      <c r="C3977" s="21" t="str">
        <f>IFERROR(__xludf.DUMMYFUNCTION("""COMPUTED_VALUE"""),"9839107C7DF1")</f>
        <v>9839107C7DF1</v>
      </c>
      <c r="D3977" s="21" t="str">
        <f>IFERROR(__xludf.DUMMYFUNCTION("""COMPUTED_VALUE"""),"DIGITEC TECNOLOGIA DIGITAL E REPRES")</f>
        <v>DIGITEC TECNOLOGIA DIGITAL E REPRES</v>
      </c>
      <c r="E3977" s="21">
        <f>IFERROR(__xludf.DUMMYFUNCTION("""COMPUTED_VALUE"""),145359.0)</f>
        <v>145359</v>
      </c>
      <c r="F3977" s="21" t="str">
        <f>IFERROR(__xludf.DUMMYFUNCTION("""COMPUTED_VALUE"""),"INICIALIZADO")</f>
        <v>INICIALIZADO</v>
      </c>
      <c r="G3977" s="23">
        <f>IFERROR(__xludf.DUMMYFUNCTION("""COMPUTED_VALUE"""),45615.61859953703)</f>
        <v>45615.6186</v>
      </c>
      <c r="H3977" s="24" t="str">
        <f>IFERROR(VLOOKUP(B3977,material!A:D,3,0),"")</f>
        <v>WIFI MESH</v>
      </c>
    </row>
    <row r="3978" ht="11.25" customHeight="1">
      <c r="A3978" s="21" t="str">
        <f>IFERROR(__xludf.DUMMYFUNCTION("""COMPUTED_VALUE"""),"TERMINAL EXTENSOR WIFI5 MESH AR2180T")</f>
        <v>TERMINAL EXTENSOR WIFI5 MESH AR2180T</v>
      </c>
      <c r="B3978" s="22">
        <f>IFERROR(__xludf.DUMMYFUNCTION("""COMPUTED_VALUE"""),4.1001567E7)</f>
        <v>41001567</v>
      </c>
      <c r="C3978" s="21" t="str">
        <f>IFERROR(__xludf.DUMMYFUNCTION("""COMPUTED_VALUE"""),"9839107C7DBF")</f>
        <v>9839107C7DBF</v>
      </c>
      <c r="D3978" s="21" t="str">
        <f>IFERROR(__xludf.DUMMYFUNCTION("""COMPUTED_VALUE"""),"DIGITEC TECNOLOGIA DIGITAL E REPRES")</f>
        <v>DIGITEC TECNOLOGIA DIGITAL E REPRES</v>
      </c>
      <c r="E3978" s="21">
        <f>IFERROR(__xludf.DUMMYFUNCTION("""COMPUTED_VALUE"""),145359.0)</f>
        <v>145359</v>
      </c>
      <c r="F3978" s="21" t="str">
        <f>IFERROR(__xludf.DUMMYFUNCTION("""COMPUTED_VALUE"""),"INICIALIZADO")</f>
        <v>INICIALIZADO</v>
      </c>
      <c r="G3978" s="23">
        <f>IFERROR(__xludf.DUMMYFUNCTION("""COMPUTED_VALUE"""),45615.61859953703)</f>
        <v>45615.6186</v>
      </c>
      <c r="H3978" s="24" t="str">
        <f>IFERROR(VLOOKUP(B3978,material!A:D,3,0),"")</f>
        <v>WIFI MESH</v>
      </c>
    </row>
    <row r="3979" ht="11.25" customHeight="1">
      <c r="A3979" s="21" t="str">
        <f>IFERROR(__xludf.DUMMYFUNCTION("""COMPUTED_VALUE"""),"TERMINAL EXTENSOR WIFI5 MESH AR2180T")</f>
        <v>TERMINAL EXTENSOR WIFI5 MESH AR2180T</v>
      </c>
      <c r="B3979" s="22">
        <f>IFERROR(__xludf.DUMMYFUNCTION("""COMPUTED_VALUE"""),4.1001567E7)</f>
        <v>41001567</v>
      </c>
      <c r="C3979" s="21" t="str">
        <f>IFERROR(__xludf.DUMMYFUNCTION("""COMPUTED_VALUE"""),"9839107C7DDD")</f>
        <v>9839107C7DDD</v>
      </c>
      <c r="D3979" s="21" t="str">
        <f>IFERROR(__xludf.DUMMYFUNCTION("""COMPUTED_VALUE"""),"DIGITEC TECNOLOGIA DIGITAL E REPRES")</f>
        <v>DIGITEC TECNOLOGIA DIGITAL E REPRES</v>
      </c>
      <c r="E3979" s="21">
        <f>IFERROR(__xludf.DUMMYFUNCTION("""COMPUTED_VALUE"""),145359.0)</f>
        <v>145359</v>
      </c>
      <c r="F3979" s="21" t="str">
        <f>IFERROR(__xludf.DUMMYFUNCTION("""COMPUTED_VALUE"""),"INICIALIZADO")</f>
        <v>INICIALIZADO</v>
      </c>
      <c r="G3979" s="23">
        <f>IFERROR(__xludf.DUMMYFUNCTION("""COMPUTED_VALUE"""),45615.61859953703)</f>
        <v>45615.6186</v>
      </c>
      <c r="H3979" s="24" t="str">
        <f>IFERROR(VLOOKUP(B3979,material!A:D,3,0),"")</f>
        <v>WIFI MESH</v>
      </c>
    </row>
    <row r="3980" ht="11.25" customHeight="1">
      <c r="A3980" s="21" t="str">
        <f>IFERROR(__xludf.DUMMYFUNCTION("""COMPUTED_VALUE"""),"TERMINAL EXTENSOR WIFI5 MESH AR2180T")</f>
        <v>TERMINAL EXTENSOR WIFI5 MESH AR2180T</v>
      </c>
      <c r="B3980" s="22">
        <f>IFERROR(__xludf.DUMMYFUNCTION("""COMPUTED_VALUE"""),4.1001567E7)</f>
        <v>41001567</v>
      </c>
      <c r="C3980" s="21" t="str">
        <f>IFERROR(__xludf.DUMMYFUNCTION("""COMPUTED_VALUE"""),"9839107C7E97")</f>
        <v>9839107C7E97</v>
      </c>
      <c r="D3980" s="21" t="str">
        <f>IFERROR(__xludf.DUMMYFUNCTION("""COMPUTED_VALUE"""),"DIGITEC TECNOLOGIA DIGITAL E REPRES")</f>
        <v>DIGITEC TECNOLOGIA DIGITAL E REPRES</v>
      </c>
      <c r="E3980" s="21">
        <f>IFERROR(__xludf.DUMMYFUNCTION("""COMPUTED_VALUE"""),145359.0)</f>
        <v>145359</v>
      </c>
      <c r="F3980" s="21" t="str">
        <f>IFERROR(__xludf.DUMMYFUNCTION("""COMPUTED_VALUE"""),"INICIALIZADO")</f>
        <v>INICIALIZADO</v>
      </c>
      <c r="G3980" s="23">
        <f>IFERROR(__xludf.DUMMYFUNCTION("""COMPUTED_VALUE"""),45615.61861111112)</f>
        <v>45615.61861</v>
      </c>
      <c r="H3980" s="24" t="str">
        <f>IFERROR(VLOOKUP(B3980,material!A:D,3,0),"")</f>
        <v>WIFI MESH</v>
      </c>
    </row>
    <row r="3981" ht="11.25" customHeight="1">
      <c r="A3981" s="21" t="str">
        <f>IFERROR(__xludf.DUMMYFUNCTION("""COMPUTED_VALUE"""),"TERMINAL EXTENSOR WIFI5 MESH AR2180T")</f>
        <v>TERMINAL EXTENSOR WIFI5 MESH AR2180T</v>
      </c>
      <c r="B3981" s="22">
        <f>IFERROR(__xludf.DUMMYFUNCTION("""COMPUTED_VALUE"""),4.1001567E7)</f>
        <v>41001567</v>
      </c>
      <c r="C3981" s="21" t="str">
        <f>IFERROR(__xludf.DUMMYFUNCTION("""COMPUTED_VALUE"""),"9839107C9288")</f>
        <v>9839107C9288</v>
      </c>
      <c r="D3981" s="21" t="str">
        <f>IFERROR(__xludf.DUMMYFUNCTION("""COMPUTED_VALUE"""),"DIGITEC TECNOLOGIA DIGITAL E REPRES")</f>
        <v>DIGITEC TECNOLOGIA DIGITAL E REPRES</v>
      </c>
      <c r="E3981" s="21">
        <f>IFERROR(__xludf.DUMMYFUNCTION("""COMPUTED_VALUE"""),145359.0)</f>
        <v>145359</v>
      </c>
      <c r="F3981" s="21" t="str">
        <f>IFERROR(__xludf.DUMMYFUNCTION("""COMPUTED_VALUE"""),"INICIALIZADO")</f>
        <v>INICIALIZADO</v>
      </c>
      <c r="G3981" s="23">
        <f>IFERROR(__xludf.DUMMYFUNCTION("""COMPUTED_VALUE"""),45618.74479166667)</f>
        <v>45618.74479</v>
      </c>
      <c r="H3981" s="24" t="str">
        <f>IFERROR(VLOOKUP(B3981,material!A:D,3,0),"")</f>
        <v>WIFI MESH</v>
      </c>
    </row>
    <row r="3982" ht="11.25" customHeight="1">
      <c r="A3982" s="21" t="str">
        <f>IFERROR(__xludf.DUMMYFUNCTION("""COMPUTED_VALUE"""),"TERMINAL EXTENSOR WIFI5 MESH AR2180T")</f>
        <v>TERMINAL EXTENSOR WIFI5 MESH AR2180T</v>
      </c>
      <c r="B3982" s="22">
        <f>IFERROR(__xludf.DUMMYFUNCTION("""COMPUTED_VALUE"""),4.1001567E7)</f>
        <v>41001567</v>
      </c>
      <c r="C3982" s="21" t="str">
        <f>IFERROR(__xludf.DUMMYFUNCTION("""COMPUTED_VALUE"""),"9839107C92E2")</f>
        <v>9839107C92E2</v>
      </c>
      <c r="D3982" s="21" t="str">
        <f>IFERROR(__xludf.DUMMYFUNCTION("""COMPUTED_VALUE"""),"DIGITEC TECNOLOGIA DIGITAL E REPRES")</f>
        <v>DIGITEC TECNOLOGIA DIGITAL E REPRES</v>
      </c>
      <c r="E3982" s="21">
        <f>IFERROR(__xludf.DUMMYFUNCTION("""COMPUTED_VALUE"""),145359.0)</f>
        <v>145359</v>
      </c>
      <c r="F3982" s="21" t="str">
        <f>IFERROR(__xludf.DUMMYFUNCTION("""COMPUTED_VALUE"""),"INICIALIZADO")</f>
        <v>INICIALIZADO</v>
      </c>
      <c r="G3982" s="23">
        <f>IFERROR(__xludf.DUMMYFUNCTION("""COMPUTED_VALUE"""),45618.74479166667)</f>
        <v>45618.74479</v>
      </c>
      <c r="H3982" s="24" t="str">
        <f>IFERROR(VLOOKUP(B3982,material!A:D,3,0),"")</f>
        <v>WIFI MESH</v>
      </c>
    </row>
    <row r="3983" ht="11.25" customHeight="1">
      <c r="A3983" s="21" t="str">
        <f>IFERROR(__xludf.DUMMYFUNCTION("""COMPUTED_VALUE"""),"TERMINAL EXTENSOR WIFI5 MESH AR2180T")</f>
        <v>TERMINAL EXTENSOR WIFI5 MESH AR2180T</v>
      </c>
      <c r="B3983" s="22">
        <f>IFERROR(__xludf.DUMMYFUNCTION("""COMPUTED_VALUE"""),4.1001567E7)</f>
        <v>41001567</v>
      </c>
      <c r="C3983" s="21" t="str">
        <f>IFERROR(__xludf.DUMMYFUNCTION("""COMPUTED_VALUE"""),"9839107C8847")</f>
        <v>9839107C8847</v>
      </c>
      <c r="D3983" s="21" t="str">
        <f>IFERROR(__xludf.DUMMYFUNCTION("""COMPUTED_VALUE"""),"DIGITEC TECNOLOGIA DIGITAL E REPRES")</f>
        <v>DIGITEC TECNOLOGIA DIGITAL E REPRES</v>
      </c>
      <c r="E3983" s="21">
        <f>IFERROR(__xludf.DUMMYFUNCTION("""COMPUTED_VALUE"""),145359.0)</f>
        <v>145359</v>
      </c>
      <c r="F3983" s="21" t="str">
        <f>IFERROR(__xludf.DUMMYFUNCTION("""COMPUTED_VALUE"""),"INICIALIZADO")</f>
        <v>INICIALIZADO</v>
      </c>
      <c r="G3983" s="23">
        <f>IFERROR(__xludf.DUMMYFUNCTION("""COMPUTED_VALUE"""),45615.61859953703)</f>
        <v>45615.6186</v>
      </c>
      <c r="H3983" s="24" t="str">
        <f>IFERROR(VLOOKUP(B3983,material!A:D,3,0),"")</f>
        <v>WIFI MESH</v>
      </c>
    </row>
    <row r="3984" ht="11.25" customHeight="1">
      <c r="A3984" s="21" t="str">
        <f>IFERROR(__xludf.DUMMYFUNCTION("""COMPUTED_VALUE"""),"TERMINAL EXTENSOR WIFI5 MESH AR2180T")</f>
        <v>TERMINAL EXTENSOR WIFI5 MESH AR2180T</v>
      </c>
      <c r="B3984" s="22">
        <f>IFERROR(__xludf.DUMMYFUNCTION("""COMPUTED_VALUE"""),4.1001567E7)</f>
        <v>41001567</v>
      </c>
      <c r="C3984" s="21" t="str">
        <f>IFERROR(__xludf.DUMMYFUNCTION("""COMPUTED_VALUE"""),"9839107C9D33")</f>
        <v>9839107C9D33</v>
      </c>
      <c r="D3984" s="21" t="str">
        <f>IFERROR(__xludf.DUMMYFUNCTION("""COMPUTED_VALUE"""),"DIGITEC TECNOLOGIA DIGITAL E REPRES")</f>
        <v>DIGITEC TECNOLOGIA DIGITAL E REPRES</v>
      </c>
      <c r="E3984" s="21">
        <f>IFERROR(__xludf.DUMMYFUNCTION("""COMPUTED_VALUE"""),145359.0)</f>
        <v>145359</v>
      </c>
      <c r="F3984" s="21" t="str">
        <f>IFERROR(__xludf.DUMMYFUNCTION("""COMPUTED_VALUE"""),"INICIALIZADO")</f>
        <v>INICIALIZADO</v>
      </c>
      <c r="G3984" s="23">
        <f>IFERROR(__xludf.DUMMYFUNCTION("""COMPUTED_VALUE"""),45618.74478009259)</f>
        <v>45618.74478</v>
      </c>
      <c r="H3984" s="24" t="str">
        <f>IFERROR(VLOOKUP(B3984,material!A:D,3,0),"")</f>
        <v>WIFI MESH</v>
      </c>
    </row>
    <row r="3985" ht="11.25" customHeight="1">
      <c r="A3985" s="21" t="str">
        <f>IFERROR(__xludf.DUMMYFUNCTION("""COMPUTED_VALUE"""),"TERMINAL EXTENSOR WIFI5 MESH AR2180T")</f>
        <v>TERMINAL EXTENSOR WIFI5 MESH AR2180T</v>
      </c>
      <c r="B3985" s="22">
        <f>IFERROR(__xludf.DUMMYFUNCTION("""COMPUTED_VALUE"""),4.1001567E7)</f>
        <v>41001567</v>
      </c>
      <c r="C3985" s="21" t="str">
        <f>IFERROR(__xludf.DUMMYFUNCTION("""COMPUTED_VALUE"""),"9839107C9DBF")</f>
        <v>9839107C9DBF</v>
      </c>
      <c r="D3985" s="21" t="str">
        <f>IFERROR(__xludf.DUMMYFUNCTION("""COMPUTED_VALUE"""),"DIGITEC TECNOLOGIA DIGITAL E REPRES")</f>
        <v>DIGITEC TECNOLOGIA DIGITAL E REPRES</v>
      </c>
      <c r="E3985" s="21">
        <f>IFERROR(__xludf.DUMMYFUNCTION("""COMPUTED_VALUE"""),145359.0)</f>
        <v>145359</v>
      </c>
      <c r="F3985" s="21" t="str">
        <f>IFERROR(__xludf.DUMMYFUNCTION("""COMPUTED_VALUE"""),"INICIALIZADO")</f>
        <v>INICIALIZADO</v>
      </c>
      <c r="G3985" s="23">
        <f>IFERROR(__xludf.DUMMYFUNCTION("""COMPUTED_VALUE"""),45618.74479166667)</f>
        <v>45618.74479</v>
      </c>
      <c r="H3985" s="24" t="str">
        <f>IFERROR(VLOOKUP(B3985,material!A:D,3,0),"")</f>
        <v>WIFI MESH</v>
      </c>
    </row>
    <row r="3986" ht="11.25" customHeight="1">
      <c r="A3986" s="21" t="str">
        <f>IFERROR(__xludf.DUMMYFUNCTION("""COMPUTED_VALUE"""),"TERMINAL EXTENSOR WIFI5 MESH AR2180T")</f>
        <v>TERMINAL EXTENSOR WIFI5 MESH AR2180T</v>
      </c>
      <c r="B3986" s="22">
        <f>IFERROR(__xludf.DUMMYFUNCTION("""COMPUTED_VALUE"""),4.1001567E7)</f>
        <v>41001567</v>
      </c>
      <c r="C3986" s="21" t="str">
        <f>IFERROR(__xludf.DUMMYFUNCTION("""COMPUTED_VALUE"""),"9839107C9DA1")</f>
        <v>9839107C9DA1</v>
      </c>
      <c r="D3986" s="21" t="str">
        <f>IFERROR(__xludf.DUMMYFUNCTION("""COMPUTED_VALUE"""),"DIGITEC TECNOLOGIA DIGITAL E REPRES")</f>
        <v>DIGITEC TECNOLOGIA DIGITAL E REPRES</v>
      </c>
      <c r="E3986" s="21">
        <f>IFERROR(__xludf.DUMMYFUNCTION("""COMPUTED_VALUE"""),145359.0)</f>
        <v>145359</v>
      </c>
      <c r="F3986" s="21" t="str">
        <f>IFERROR(__xludf.DUMMYFUNCTION("""COMPUTED_VALUE"""),"INICIALIZADO")</f>
        <v>INICIALIZADO</v>
      </c>
      <c r="G3986" s="23">
        <f>IFERROR(__xludf.DUMMYFUNCTION("""COMPUTED_VALUE"""),45618.74479166667)</f>
        <v>45618.74479</v>
      </c>
      <c r="H3986" s="24" t="str">
        <f>IFERROR(VLOOKUP(B3986,material!A:D,3,0),"")</f>
        <v>WIFI MESH</v>
      </c>
    </row>
    <row r="3987" ht="11.25" customHeight="1">
      <c r="A3987" s="21" t="str">
        <f>IFERROR(__xludf.DUMMYFUNCTION("""COMPUTED_VALUE"""),"TERMINAL EXTENSOR WIFI5 MESH AR2180T")</f>
        <v>TERMINAL EXTENSOR WIFI5 MESH AR2180T</v>
      </c>
      <c r="B3987" s="22">
        <f>IFERROR(__xludf.DUMMYFUNCTION("""COMPUTED_VALUE"""),4.1001567E7)</f>
        <v>41001567</v>
      </c>
      <c r="C3987" s="21" t="str">
        <f>IFERROR(__xludf.DUMMYFUNCTION("""COMPUTED_VALUE"""),"9839107C9D51")</f>
        <v>9839107C9D51</v>
      </c>
      <c r="D3987" s="21" t="str">
        <f>IFERROR(__xludf.DUMMYFUNCTION("""COMPUTED_VALUE"""),"DIGITEC TECNOLOGIA DIGITAL E REPRES")</f>
        <v>DIGITEC TECNOLOGIA DIGITAL E REPRES</v>
      </c>
      <c r="E3987" s="21">
        <f>IFERROR(__xludf.DUMMYFUNCTION("""COMPUTED_VALUE"""),145359.0)</f>
        <v>145359</v>
      </c>
      <c r="F3987" s="21" t="str">
        <f>IFERROR(__xludf.DUMMYFUNCTION("""COMPUTED_VALUE"""),"INICIALIZADO")</f>
        <v>INICIALIZADO</v>
      </c>
      <c r="G3987" s="23">
        <f>IFERROR(__xludf.DUMMYFUNCTION("""COMPUTED_VALUE"""),45618.74478009259)</f>
        <v>45618.74478</v>
      </c>
      <c r="H3987" s="24" t="str">
        <f>IFERROR(VLOOKUP(B3987,material!A:D,3,0),"")</f>
        <v>WIFI MESH</v>
      </c>
    </row>
    <row r="3988" ht="11.25" customHeight="1">
      <c r="A3988" s="21" t="str">
        <f>IFERROR(__xludf.DUMMYFUNCTION("""COMPUTED_VALUE"""),"TERMINAL EXTENSOR WIFI5 MESH AR2180T")</f>
        <v>TERMINAL EXTENSOR WIFI5 MESH AR2180T</v>
      </c>
      <c r="B3988" s="22">
        <f>IFERROR(__xludf.DUMMYFUNCTION("""COMPUTED_VALUE"""),4.1001567E7)</f>
        <v>41001567</v>
      </c>
      <c r="C3988" s="21" t="str">
        <f>IFERROR(__xludf.DUMMYFUNCTION("""COMPUTED_VALUE"""),"9839107C9465")</f>
        <v>9839107C9465</v>
      </c>
      <c r="D3988" s="21" t="str">
        <f>IFERROR(__xludf.DUMMYFUNCTION("""COMPUTED_VALUE"""),"DIGITEC TECNOLOGIA DIGITAL E REPRES")</f>
        <v>DIGITEC TECNOLOGIA DIGITAL E REPRES</v>
      </c>
      <c r="E3988" s="21">
        <f>IFERROR(__xludf.DUMMYFUNCTION("""COMPUTED_VALUE"""),145359.0)</f>
        <v>145359</v>
      </c>
      <c r="F3988" s="21" t="str">
        <f>IFERROR(__xludf.DUMMYFUNCTION("""COMPUTED_VALUE"""),"INICIALIZADO")</f>
        <v>INICIALIZADO</v>
      </c>
      <c r="G3988" s="23">
        <f>IFERROR(__xludf.DUMMYFUNCTION("""COMPUTED_VALUE"""),45618.74479166667)</f>
        <v>45618.74479</v>
      </c>
      <c r="H3988" s="24" t="str">
        <f>IFERROR(VLOOKUP(B3988,material!A:D,3,0),"")</f>
        <v>WIFI MESH</v>
      </c>
    </row>
    <row r="3989" ht="11.25" customHeight="1">
      <c r="A3989" s="21" t="str">
        <f>IFERROR(__xludf.DUMMYFUNCTION("""COMPUTED_VALUE"""),"TERMINAL EXTENSOR WIFI5 MESH AR2180T")</f>
        <v>TERMINAL EXTENSOR WIFI5 MESH AR2180T</v>
      </c>
      <c r="B3989" s="22">
        <f>IFERROR(__xludf.DUMMYFUNCTION("""COMPUTED_VALUE"""),4.1001567E7)</f>
        <v>41001567</v>
      </c>
      <c r="C3989" s="21" t="str">
        <f>IFERROR(__xludf.DUMMYFUNCTION("""COMPUTED_VALUE"""),"9839107C87FB")</f>
        <v>9839107C87FB</v>
      </c>
      <c r="D3989" s="21" t="str">
        <f>IFERROR(__xludf.DUMMYFUNCTION("""COMPUTED_VALUE"""),"DIGITEC TECNOLOGIA DIGITAL E REPRES")</f>
        <v>DIGITEC TECNOLOGIA DIGITAL E REPRES</v>
      </c>
      <c r="E3989" s="21">
        <f>IFERROR(__xludf.DUMMYFUNCTION("""COMPUTED_VALUE"""),145359.0)</f>
        <v>145359</v>
      </c>
      <c r="F3989" s="21" t="str">
        <f>IFERROR(__xludf.DUMMYFUNCTION("""COMPUTED_VALUE"""),"INICIALIZADO")</f>
        <v>INICIALIZADO</v>
      </c>
      <c r="G3989" s="23">
        <f>IFERROR(__xludf.DUMMYFUNCTION("""COMPUTED_VALUE"""),45615.61859953703)</f>
        <v>45615.6186</v>
      </c>
      <c r="H3989" s="24" t="str">
        <f>IFERROR(VLOOKUP(B3989,material!A:D,3,0),"")</f>
        <v>WIFI MESH</v>
      </c>
    </row>
    <row r="3990" ht="11.25" customHeight="1">
      <c r="A3990" s="21" t="str">
        <f>IFERROR(__xludf.DUMMYFUNCTION("""COMPUTED_VALUE"""),"TERMINAL EXTENSOR WIFI5 MESH AR2180T")</f>
        <v>TERMINAL EXTENSOR WIFI5 MESH AR2180T</v>
      </c>
      <c r="B3990" s="22">
        <f>IFERROR(__xludf.DUMMYFUNCTION("""COMPUTED_VALUE"""),4.1001567E7)</f>
        <v>41001567</v>
      </c>
      <c r="C3990" s="21" t="str">
        <f>IFERROR(__xludf.DUMMYFUNCTION("""COMPUTED_VALUE"""),"9839107C82C9")</f>
        <v>9839107C82C9</v>
      </c>
      <c r="D3990" s="21" t="str">
        <f>IFERROR(__xludf.DUMMYFUNCTION("""COMPUTED_VALUE"""),"DIGITEC TECNOLOGIA DIGITAL E REPRES")</f>
        <v>DIGITEC TECNOLOGIA DIGITAL E REPRES</v>
      </c>
      <c r="E3990" s="21">
        <f>IFERROR(__xludf.DUMMYFUNCTION("""COMPUTED_VALUE"""),145359.0)</f>
        <v>145359</v>
      </c>
      <c r="F3990" s="21" t="str">
        <f>IFERROR(__xludf.DUMMYFUNCTION("""COMPUTED_VALUE"""),"INICIALIZADO")</f>
        <v>INICIALIZADO</v>
      </c>
      <c r="G3990" s="23">
        <f>IFERROR(__xludf.DUMMYFUNCTION("""COMPUTED_VALUE"""),45615.61859953703)</f>
        <v>45615.6186</v>
      </c>
      <c r="H3990" s="24" t="str">
        <f>IFERROR(VLOOKUP(B3990,material!A:D,3,0),"")</f>
        <v>WIFI MESH</v>
      </c>
    </row>
    <row r="3991" ht="11.25" customHeight="1">
      <c r="A3991" s="21" t="str">
        <f>IFERROR(__xludf.DUMMYFUNCTION("""COMPUTED_VALUE"""),"TERMINAL EXTENSOR WIFI5 MESH AR2180T")</f>
        <v>TERMINAL EXTENSOR WIFI5 MESH AR2180T</v>
      </c>
      <c r="B3991" s="22">
        <f>IFERROR(__xludf.DUMMYFUNCTION("""COMPUTED_VALUE"""),4.1001567E7)</f>
        <v>41001567</v>
      </c>
      <c r="C3991" s="21" t="str">
        <f>IFERROR(__xludf.DUMMYFUNCTION("""COMPUTED_VALUE"""),"9839107C8388")</f>
        <v>9839107C8388</v>
      </c>
      <c r="D3991" s="21" t="str">
        <f>IFERROR(__xludf.DUMMYFUNCTION("""COMPUTED_VALUE"""),"DIGITEC TECNOLOGIA DIGITAL E REPRES")</f>
        <v>DIGITEC TECNOLOGIA DIGITAL E REPRES</v>
      </c>
      <c r="E3991" s="21">
        <f>IFERROR(__xludf.DUMMYFUNCTION("""COMPUTED_VALUE"""),145359.0)</f>
        <v>145359</v>
      </c>
      <c r="F3991" s="21" t="str">
        <f>IFERROR(__xludf.DUMMYFUNCTION("""COMPUTED_VALUE"""),"INICIALIZADO")</f>
        <v>INICIALIZADO</v>
      </c>
      <c r="G3991" s="23">
        <f>IFERROR(__xludf.DUMMYFUNCTION("""COMPUTED_VALUE"""),45618.74479166667)</f>
        <v>45618.74479</v>
      </c>
      <c r="H3991" s="24" t="str">
        <f>IFERROR(VLOOKUP(B3991,material!A:D,3,0),"")</f>
        <v>WIFI MESH</v>
      </c>
    </row>
    <row r="3992" ht="11.25" customHeight="1">
      <c r="A3992" s="21" t="str">
        <f>IFERROR(__xludf.DUMMYFUNCTION("""COMPUTED_VALUE"""),"TERMINAL EXTENSOR WIFI5 MESH AR2180T")</f>
        <v>TERMINAL EXTENSOR WIFI5 MESH AR2180T</v>
      </c>
      <c r="B3992" s="22">
        <f>IFERROR(__xludf.DUMMYFUNCTION("""COMPUTED_VALUE"""),4.1001567E7)</f>
        <v>41001567</v>
      </c>
      <c r="C3992" s="21" t="str">
        <f>IFERROR(__xludf.DUMMYFUNCTION("""COMPUTED_VALUE"""),"9839107C832E")</f>
        <v>9839107C832E</v>
      </c>
      <c r="D3992" s="21" t="str">
        <f>IFERROR(__xludf.DUMMYFUNCTION("""COMPUTED_VALUE"""),"DIGITEC TECNOLOGIA DIGITAL E REPRES")</f>
        <v>DIGITEC TECNOLOGIA DIGITAL E REPRES</v>
      </c>
      <c r="E3992" s="21">
        <f>IFERROR(__xludf.DUMMYFUNCTION("""COMPUTED_VALUE"""),145359.0)</f>
        <v>145359</v>
      </c>
      <c r="F3992" s="21" t="str">
        <f>IFERROR(__xludf.DUMMYFUNCTION("""COMPUTED_VALUE"""),"INICIALIZADO")</f>
        <v>INICIALIZADO</v>
      </c>
      <c r="G3992" s="23">
        <f>IFERROR(__xludf.DUMMYFUNCTION("""COMPUTED_VALUE"""),45615.61859953703)</f>
        <v>45615.6186</v>
      </c>
      <c r="H3992" s="24" t="str">
        <f>IFERROR(VLOOKUP(B3992,material!A:D,3,0),"")</f>
        <v>WIFI MESH</v>
      </c>
    </row>
    <row r="3993" ht="11.25" customHeight="1">
      <c r="A3993" s="21" t="str">
        <f>IFERROR(__xludf.DUMMYFUNCTION("""COMPUTED_VALUE"""),"TERMINAL EXTENSOR WIFI5 MESH AR2180T")</f>
        <v>TERMINAL EXTENSOR WIFI5 MESH AR2180T</v>
      </c>
      <c r="B3993" s="22">
        <f>IFERROR(__xludf.DUMMYFUNCTION("""COMPUTED_VALUE"""),4.1001567E7)</f>
        <v>41001567</v>
      </c>
      <c r="C3993" s="21" t="str">
        <f>IFERROR(__xludf.DUMMYFUNCTION("""COMPUTED_VALUE"""),"9839107C8315")</f>
        <v>9839107C8315</v>
      </c>
      <c r="D3993" s="21" t="str">
        <f>IFERROR(__xludf.DUMMYFUNCTION("""COMPUTED_VALUE"""),"DIGITEC TECNOLOGIA DIGITAL E REPRES")</f>
        <v>DIGITEC TECNOLOGIA DIGITAL E REPRES</v>
      </c>
      <c r="E3993" s="21">
        <f>IFERROR(__xludf.DUMMYFUNCTION("""COMPUTED_VALUE"""),145359.0)</f>
        <v>145359</v>
      </c>
      <c r="F3993" s="21" t="str">
        <f>IFERROR(__xludf.DUMMYFUNCTION("""COMPUTED_VALUE"""),"INICIALIZADO")</f>
        <v>INICIALIZADO</v>
      </c>
      <c r="G3993" s="23">
        <f>IFERROR(__xludf.DUMMYFUNCTION("""COMPUTED_VALUE"""),45615.61859953703)</f>
        <v>45615.6186</v>
      </c>
      <c r="H3993" s="24" t="str">
        <f>IFERROR(VLOOKUP(B3993,material!A:D,3,0),"")</f>
        <v>WIFI MESH</v>
      </c>
    </row>
    <row r="3994" ht="11.25" customHeight="1">
      <c r="A3994" s="21" t="str">
        <f>IFERROR(__xludf.DUMMYFUNCTION("""COMPUTED_VALUE"""),"TERMINAL EXTENSOR WIFI5 MESH AR2180T")</f>
        <v>TERMINAL EXTENSOR WIFI5 MESH AR2180T</v>
      </c>
      <c r="B3994" s="22">
        <f>IFERROR(__xludf.DUMMYFUNCTION("""COMPUTED_VALUE"""),4.1001567E7)</f>
        <v>41001567</v>
      </c>
      <c r="C3994" s="21" t="str">
        <f>IFERROR(__xludf.DUMMYFUNCTION("""COMPUTED_VALUE"""),"9839107C82FB")</f>
        <v>9839107C82FB</v>
      </c>
      <c r="D3994" s="21" t="str">
        <f>IFERROR(__xludf.DUMMYFUNCTION("""COMPUTED_VALUE"""),"DIGITEC TECNOLOGIA DIGITAL E REPRES")</f>
        <v>DIGITEC TECNOLOGIA DIGITAL E REPRES</v>
      </c>
      <c r="E3994" s="21">
        <f>IFERROR(__xludf.DUMMYFUNCTION("""COMPUTED_VALUE"""),145359.0)</f>
        <v>145359</v>
      </c>
      <c r="F3994" s="21" t="str">
        <f>IFERROR(__xludf.DUMMYFUNCTION("""COMPUTED_VALUE"""),"INICIALIZADO")</f>
        <v>INICIALIZADO</v>
      </c>
      <c r="G3994" s="23">
        <f>IFERROR(__xludf.DUMMYFUNCTION("""COMPUTED_VALUE"""),45615.61859953703)</f>
        <v>45615.6186</v>
      </c>
      <c r="H3994" s="24" t="str">
        <f>IFERROR(VLOOKUP(B3994,material!A:D,3,0),"")</f>
        <v>WIFI MESH</v>
      </c>
    </row>
    <row r="3995" ht="11.25" customHeight="1">
      <c r="A3995" s="21" t="str">
        <f>IFERROR(__xludf.DUMMYFUNCTION("""COMPUTED_VALUE"""),"TERMINAL EXTENSOR WIFI5 MESH AR2180T")</f>
        <v>TERMINAL EXTENSOR WIFI5 MESH AR2180T</v>
      </c>
      <c r="B3995" s="22">
        <f>IFERROR(__xludf.DUMMYFUNCTION("""COMPUTED_VALUE"""),4.1001567E7)</f>
        <v>41001567</v>
      </c>
      <c r="C3995" s="21" t="str">
        <f>IFERROR(__xludf.DUMMYFUNCTION("""COMPUTED_VALUE"""),"9839107C8083")</f>
        <v>9839107C8083</v>
      </c>
      <c r="D3995" s="21" t="str">
        <f>IFERROR(__xludf.DUMMYFUNCTION("""COMPUTED_VALUE"""),"DIGITEC TECNOLOGIA DIGITAL E REPRES")</f>
        <v>DIGITEC TECNOLOGIA DIGITAL E REPRES</v>
      </c>
      <c r="E3995" s="21">
        <f>IFERROR(__xludf.DUMMYFUNCTION("""COMPUTED_VALUE"""),145359.0)</f>
        <v>145359</v>
      </c>
      <c r="F3995" s="21" t="str">
        <f>IFERROR(__xludf.DUMMYFUNCTION("""COMPUTED_VALUE"""),"INICIALIZADO")</f>
        <v>INICIALIZADO</v>
      </c>
      <c r="G3995" s="23">
        <f>IFERROR(__xludf.DUMMYFUNCTION("""COMPUTED_VALUE"""),45615.61859953703)</f>
        <v>45615.6186</v>
      </c>
      <c r="H3995" s="24" t="str">
        <f>IFERROR(VLOOKUP(B3995,material!A:D,3,0),"")</f>
        <v>WIFI MESH</v>
      </c>
    </row>
    <row r="3996" ht="11.25" customHeight="1">
      <c r="A3996" s="21" t="str">
        <f>IFERROR(__xludf.DUMMYFUNCTION("""COMPUTED_VALUE"""),"TERMINAL EXTENSOR WIFI5 MESH AR2180T")</f>
        <v>TERMINAL EXTENSOR WIFI5 MESH AR2180T</v>
      </c>
      <c r="B3996" s="22">
        <f>IFERROR(__xludf.DUMMYFUNCTION("""COMPUTED_VALUE"""),4.1001567E7)</f>
        <v>41001567</v>
      </c>
      <c r="C3996" s="21" t="str">
        <f>IFERROR(__xludf.DUMMYFUNCTION("""COMPUTED_VALUE"""),"9839107C7E42")</f>
        <v>9839107C7E42</v>
      </c>
      <c r="D3996" s="21" t="str">
        <f>IFERROR(__xludf.DUMMYFUNCTION("""COMPUTED_VALUE"""),"DIGITEC TECNOLOGIA DIGITAL E REPRES")</f>
        <v>DIGITEC TECNOLOGIA DIGITAL E REPRES</v>
      </c>
      <c r="E3996" s="21">
        <f>IFERROR(__xludf.DUMMYFUNCTION("""COMPUTED_VALUE"""),145359.0)</f>
        <v>145359</v>
      </c>
      <c r="F3996" s="21" t="str">
        <f>IFERROR(__xludf.DUMMYFUNCTION("""COMPUTED_VALUE"""),"INICIALIZADO")</f>
        <v>INICIALIZADO</v>
      </c>
      <c r="G3996" s="23">
        <f>IFERROR(__xludf.DUMMYFUNCTION("""COMPUTED_VALUE"""),45615.61861111112)</f>
        <v>45615.61861</v>
      </c>
      <c r="H3996" s="24" t="str">
        <f>IFERROR(VLOOKUP(B3996,material!A:D,3,0),"")</f>
        <v>WIFI MESH</v>
      </c>
    </row>
    <row r="3997" ht="11.25" customHeight="1">
      <c r="A3997" s="21" t="str">
        <f>IFERROR(__xludf.DUMMYFUNCTION("""COMPUTED_VALUE"""),"TERMINAL EXTENSOR WIFI5 MESH AR2180T")</f>
        <v>TERMINAL EXTENSOR WIFI5 MESH AR2180T</v>
      </c>
      <c r="B3997" s="22">
        <f>IFERROR(__xludf.DUMMYFUNCTION("""COMPUTED_VALUE"""),4.1001567E7)</f>
        <v>41001567</v>
      </c>
      <c r="C3997" s="21" t="str">
        <f>IFERROR(__xludf.DUMMYFUNCTION("""COMPUTED_VALUE"""),"9839107C7DCE")</f>
        <v>9839107C7DCE</v>
      </c>
      <c r="D3997" s="21" t="str">
        <f>IFERROR(__xludf.DUMMYFUNCTION("""COMPUTED_VALUE"""),"DIGITEC TECNOLOGIA DIGITAL E REPRES")</f>
        <v>DIGITEC TECNOLOGIA DIGITAL E REPRES</v>
      </c>
      <c r="E3997" s="21">
        <f>IFERROR(__xludf.DUMMYFUNCTION("""COMPUTED_VALUE"""),145359.0)</f>
        <v>145359</v>
      </c>
      <c r="F3997" s="21" t="str">
        <f>IFERROR(__xludf.DUMMYFUNCTION("""COMPUTED_VALUE"""),"INICIALIZADO")</f>
        <v>INICIALIZADO</v>
      </c>
      <c r="G3997" s="23">
        <f>IFERROR(__xludf.DUMMYFUNCTION("""COMPUTED_VALUE"""),45615.61859953703)</f>
        <v>45615.6186</v>
      </c>
      <c r="H3997" s="24" t="str">
        <f>IFERROR(VLOOKUP(B3997,material!A:D,3,0),"")</f>
        <v>WIFI MESH</v>
      </c>
    </row>
    <row r="3998" ht="11.25" customHeight="1">
      <c r="A3998" s="21" t="str">
        <f>IFERROR(__xludf.DUMMYFUNCTION("""COMPUTED_VALUE"""),"TERMINAL EXTENSOR WIFI5 MESH AR2180T")</f>
        <v>TERMINAL EXTENSOR WIFI5 MESH AR2180T</v>
      </c>
      <c r="B3998" s="22">
        <f>IFERROR(__xludf.DUMMYFUNCTION("""COMPUTED_VALUE"""),4.1001567E7)</f>
        <v>41001567</v>
      </c>
      <c r="C3998" s="21" t="str">
        <f>IFERROR(__xludf.DUMMYFUNCTION("""COMPUTED_VALUE"""),"9839107C7DEC")</f>
        <v>9839107C7DEC</v>
      </c>
      <c r="D3998" s="21" t="str">
        <f>IFERROR(__xludf.DUMMYFUNCTION("""COMPUTED_VALUE"""),"DIGITEC TECNOLOGIA DIGITAL E REPRES")</f>
        <v>DIGITEC TECNOLOGIA DIGITAL E REPRES</v>
      </c>
      <c r="E3998" s="21">
        <f>IFERROR(__xludf.DUMMYFUNCTION("""COMPUTED_VALUE"""),145359.0)</f>
        <v>145359</v>
      </c>
      <c r="F3998" s="21" t="str">
        <f>IFERROR(__xludf.DUMMYFUNCTION("""COMPUTED_VALUE"""),"INICIALIZADO")</f>
        <v>INICIALIZADO</v>
      </c>
      <c r="G3998" s="23">
        <f>IFERROR(__xludf.DUMMYFUNCTION("""COMPUTED_VALUE"""),45615.61859953703)</f>
        <v>45615.6186</v>
      </c>
      <c r="H3998" s="24" t="str">
        <f>IFERROR(VLOOKUP(B3998,material!A:D,3,0),"")</f>
        <v>WIFI MESH</v>
      </c>
    </row>
    <row r="3999" ht="11.25" customHeight="1">
      <c r="A3999" s="21" t="str">
        <f>IFERROR(__xludf.DUMMYFUNCTION("""COMPUTED_VALUE"""),"TERMINAL EXTENSOR WIFI5 MESH AR2180T")</f>
        <v>TERMINAL EXTENSOR WIFI5 MESH AR2180T</v>
      </c>
      <c r="B3999" s="22">
        <f>IFERROR(__xludf.DUMMYFUNCTION("""COMPUTED_VALUE"""),4.1001567E7)</f>
        <v>41001567</v>
      </c>
      <c r="C3999" s="21" t="str">
        <f>IFERROR(__xludf.DUMMYFUNCTION("""COMPUTED_VALUE"""),"9839107C92BA")</f>
        <v>9839107C92BA</v>
      </c>
      <c r="D3999" s="21" t="str">
        <f>IFERROR(__xludf.DUMMYFUNCTION("""COMPUTED_VALUE"""),"DIGITEC TECNOLOGIA DIGITAL E REPRES")</f>
        <v>DIGITEC TECNOLOGIA DIGITAL E REPRES</v>
      </c>
      <c r="E3999" s="21">
        <f>IFERROR(__xludf.DUMMYFUNCTION("""COMPUTED_VALUE"""),145359.0)</f>
        <v>145359</v>
      </c>
      <c r="F3999" s="21" t="str">
        <f>IFERROR(__xludf.DUMMYFUNCTION("""COMPUTED_VALUE"""),"INICIALIZADO")</f>
        <v>INICIALIZADO</v>
      </c>
      <c r="G3999" s="23">
        <f>IFERROR(__xludf.DUMMYFUNCTION("""COMPUTED_VALUE"""),45618.74479166667)</f>
        <v>45618.74479</v>
      </c>
      <c r="H3999" s="24" t="str">
        <f>IFERROR(VLOOKUP(B3999,material!A:D,3,0),"")</f>
        <v>WIFI MESH</v>
      </c>
    </row>
    <row r="4000" ht="11.25" customHeight="1">
      <c r="A4000" s="21" t="str">
        <f>IFERROR(__xludf.DUMMYFUNCTION("""COMPUTED_VALUE"""),"TERMINAL EXTENSOR WIFI5 MESH AR2180T")</f>
        <v>TERMINAL EXTENSOR WIFI5 MESH AR2180T</v>
      </c>
      <c r="B4000" s="22">
        <f>IFERROR(__xludf.DUMMYFUNCTION("""COMPUTED_VALUE"""),4.1001567E7)</f>
        <v>41001567</v>
      </c>
      <c r="C4000" s="21" t="str">
        <f>IFERROR(__xludf.DUMMYFUNCTION("""COMPUTED_VALUE"""),"9839107C92A6")</f>
        <v>9839107C92A6</v>
      </c>
      <c r="D4000" s="21" t="str">
        <f>IFERROR(__xludf.DUMMYFUNCTION("""COMPUTED_VALUE"""),"DIGITEC TECNOLOGIA DIGITAL E REPRES")</f>
        <v>DIGITEC TECNOLOGIA DIGITAL E REPRES</v>
      </c>
      <c r="E4000" s="21">
        <f>IFERROR(__xludf.DUMMYFUNCTION("""COMPUTED_VALUE"""),145359.0)</f>
        <v>145359</v>
      </c>
      <c r="F4000" s="21" t="str">
        <f>IFERROR(__xludf.DUMMYFUNCTION("""COMPUTED_VALUE"""),"INICIALIZADO")</f>
        <v>INICIALIZADO</v>
      </c>
      <c r="G4000" s="23">
        <f>IFERROR(__xludf.DUMMYFUNCTION("""COMPUTED_VALUE"""),45618.74479166667)</f>
        <v>45618.74479</v>
      </c>
      <c r="H4000" s="24" t="str">
        <f>IFERROR(VLOOKUP(B4000,material!A:D,3,0),"")</f>
        <v>WIFI MESH</v>
      </c>
    </row>
    <row r="4001" ht="11.25" customHeight="1">
      <c r="A4001" s="21" t="str">
        <f>IFERROR(__xludf.DUMMYFUNCTION("""COMPUTED_VALUE"""),"TERMINAL EXTENSOR WIFI5 MESH AR2180T")</f>
        <v>TERMINAL EXTENSOR WIFI5 MESH AR2180T</v>
      </c>
      <c r="B4001" s="22">
        <f>IFERROR(__xludf.DUMMYFUNCTION("""COMPUTED_VALUE"""),4.1001567E7)</f>
        <v>41001567</v>
      </c>
      <c r="C4001" s="21" t="str">
        <f>IFERROR(__xludf.DUMMYFUNCTION("""COMPUTED_VALUE"""),"9839107C9292")</f>
        <v>9839107C9292</v>
      </c>
      <c r="D4001" s="21" t="str">
        <f>IFERROR(__xludf.DUMMYFUNCTION("""COMPUTED_VALUE"""),"DIGITEC TECNOLOGIA DIGITAL E REPRES")</f>
        <v>DIGITEC TECNOLOGIA DIGITAL E REPRES</v>
      </c>
      <c r="E4001" s="21">
        <f>IFERROR(__xludf.DUMMYFUNCTION("""COMPUTED_VALUE"""),145359.0)</f>
        <v>145359</v>
      </c>
      <c r="F4001" s="21" t="str">
        <f>IFERROR(__xludf.DUMMYFUNCTION("""COMPUTED_VALUE"""),"INICIALIZADO")</f>
        <v>INICIALIZADO</v>
      </c>
      <c r="G4001" s="23">
        <f>IFERROR(__xludf.DUMMYFUNCTION("""COMPUTED_VALUE"""),45618.74479166667)</f>
        <v>45618.74479</v>
      </c>
      <c r="H4001" s="24" t="str">
        <f>IFERROR(VLOOKUP(B4001,material!A:D,3,0),"")</f>
        <v>WIFI MESH</v>
      </c>
    </row>
    <row r="4002" ht="11.25" customHeight="1">
      <c r="A4002" s="21" t="str">
        <f>IFERROR(__xludf.DUMMYFUNCTION("""COMPUTED_VALUE"""),"TERMINAL EXTENSOR WIFI5 MESH AR2180T")</f>
        <v>TERMINAL EXTENSOR WIFI5 MESH AR2180T</v>
      </c>
      <c r="B4002" s="22">
        <f>IFERROR(__xludf.DUMMYFUNCTION("""COMPUTED_VALUE"""),4.1001567E7)</f>
        <v>41001567</v>
      </c>
      <c r="C4002" s="21" t="str">
        <f>IFERROR(__xludf.DUMMYFUNCTION("""COMPUTED_VALUE"""),"9839107C9D1F")</f>
        <v>9839107C9D1F</v>
      </c>
      <c r="D4002" s="21" t="str">
        <f>IFERROR(__xludf.DUMMYFUNCTION("""COMPUTED_VALUE"""),"DIGITEC TECNOLOGIA DIGITAL E REPRES")</f>
        <v>DIGITEC TECNOLOGIA DIGITAL E REPRES</v>
      </c>
      <c r="E4002" s="21">
        <f>IFERROR(__xludf.DUMMYFUNCTION("""COMPUTED_VALUE"""),145359.0)</f>
        <v>145359</v>
      </c>
      <c r="F4002" s="21" t="str">
        <f>IFERROR(__xludf.DUMMYFUNCTION("""COMPUTED_VALUE"""),"INICIALIZADO")</f>
        <v>INICIALIZADO</v>
      </c>
      <c r="G4002" s="23">
        <f>IFERROR(__xludf.DUMMYFUNCTION("""COMPUTED_VALUE"""),45618.74478009259)</f>
        <v>45618.74478</v>
      </c>
      <c r="H4002" s="24" t="str">
        <f>IFERROR(VLOOKUP(B4002,material!A:D,3,0),"")</f>
        <v>WIFI MESH</v>
      </c>
    </row>
    <row r="4003" ht="11.25" customHeight="1">
      <c r="A4003" s="21" t="str">
        <f>IFERROR(__xludf.DUMMYFUNCTION("""COMPUTED_VALUE"""),"TERMINAL EXTENSOR WIFI5 MESH AR2180T")</f>
        <v>TERMINAL EXTENSOR WIFI5 MESH AR2180T</v>
      </c>
      <c r="B4003" s="22">
        <f>IFERROR(__xludf.DUMMYFUNCTION("""COMPUTED_VALUE"""),4.1001567E7)</f>
        <v>41001567</v>
      </c>
      <c r="C4003" s="21" t="str">
        <f>IFERROR(__xludf.DUMMYFUNCTION("""COMPUTED_VALUE"""),"9839107C82D8")</f>
        <v>9839107C82D8</v>
      </c>
      <c r="D4003" s="21" t="str">
        <f>IFERROR(__xludf.DUMMYFUNCTION("""COMPUTED_VALUE"""),"DIGITEC TECNOLOGIA DIGITAL E REPRES")</f>
        <v>DIGITEC TECNOLOGIA DIGITAL E REPRES</v>
      </c>
      <c r="E4003" s="21">
        <f>IFERROR(__xludf.DUMMYFUNCTION("""COMPUTED_VALUE"""),145359.0)</f>
        <v>145359</v>
      </c>
      <c r="F4003" s="21" t="str">
        <f>IFERROR(__xludf.DUMMYFUNCTION("""COMPUTED_VALUE"""),"INICIALIZADO")</f>
        <v>INICIALIZADO</v>
      </c>
      <c r="G4003" s="23">
        <f>IFERROR(__xludf.DUMMYFUNCTION("""COMPUTED_VALUE"""),45615.61859953703)</f>
        <v>45615.6186</v>
      </c>
      <c r="H4003" s="24" t="str">
        <f>IFERROR(VLOOKUP(B4003,material!A:D,3,0),"")</f>
        <v>WIFI MESH</v>
      </c>
    </row>
    <row r="4004" ht="11.25" customHeight="1">
      <c r="A4004" s="21" t="str">
        <f>IFERROR(__xludf.DUMMYFUNCTION("""COMPUTED_VALUE"""),"TERMINAL EXTENSOR WIFI5 MESH AR2180T")</f>
        <v>TERMINAL EXTENSOR WIFI5 MESH AR2180T</v>
      </c>
      <c r="B4004" s="22">
        <f>IFERROR(__xludf.DUMMYFUNCTION("""COMPUTED_VALUE"""),4.1001567E7)</f>
        <v>41001567</v>
      </c>
      <c r="C4004" s="21" t="str">
        <f>IFERROR(__xludf.DUMMYFUNCTION("""COMPUTED_VALUE"""),"9839107C808D")</f>
        <v>9839107C808D</v>
      </c>
      <c r="D4004" s="21" t="str">
        <f>IFERROR(__xludf.DUMMYFUNCTION("""COMPUTED_VALUE"""),"DIGITEC TECNOLOGIA DIGITAL E REPRES")</f>
        <v>DIGITEC TECNOLOGIA DIGITAL E REPRES</v>
      </c>
      <c r="E4004" s="21">
        <f>IFERROR(__xludf.DUMMYFUNCTION("""COMPUTED_VALUE"""),145359.0)</f>
        <v>145359</v>
      </c>
      <c r="F4004" s="21" t="str">
        <f>IFERROR(__xludf.DUMMYFUNCTION("""COMPUTED_VALUE"""),"INICIALIZADO")</f>
        <v>INICIALIZADO</v>
      </c>
      <c r="G4004" s="23">
        <f>IFERROR(__xludf.DUMMYFUNCTION("""COMPUTED_VALUE"""),45615.61859953703)</f>
        <v>45615.6186</v>
      </c>
      <c r="H4004" s="24" t="str">
        <f>IFERROR(VLOOKUP(B4004,material!A:D,3,0),"")</f>
        <v>WIFI MESH</v>
      </c>
    </row>
    <row r="4005" ht="11.25" customHeight="1">
      <c r="A4005" s="21" t="str">
        <f>IFERROR(__xludf.DUMMYFUNCTION("""COMPUTED_VALUE"""),"TERMINAL EXTENSOR WIFI5 MESH AR2180T")</f>
        <v>TERMINAL EXTENSOR WIFI5 MESH AR2180T</v>
      </c>
      <c r="B4005" s="22">
        <f>IFERROR(__xludf.DUMMYFUNCTION("""COMPUTED_VALUE"""),4.1001567E7)</f>
        <v>41001567</v>
      </c>
      <c r="C4005" s="21" t="str">
        <f>IFERROR(__xludf.DUMMYFUNCTION("""COMPUTED_VALUE"""),"9839107C87D3")</f>
        <v>9839107C87D3</v>
      </c>
      <c r="D4005" s="21" t="str">
        <f>IFERROR(__xludf.DUMMYFUNCTION("""COMPUTED_VALUE"""),"DIGITEC TECNOLOGIA DIGITAL E REPRES")</f>
        <v>DIGITEC TECNOLOGIA DIGITAL E REPRES</v>
      </c>
      <c r="E4005" s="21">
        <f>IFERROR(__xludf.DUMMYFUNCTION("""COMPUTED_VALUE"""),145359.0)</f>
        <v>145359</v>
      </c>
      <c r="F4005" s="21" t="str">
        <f>IFERROR(__xludf.DUMMYFUNCTION("""COMPUTED_VALUE"""),"INICIALIZADO")</f>
        <v>INICIALIZADO</v>
      </c>
      <c r="G4005" s="23">
        <f>IFERROR(__xludf.DUMMYFUNCTION("""COMPUTED_VALUE"""),45615.61859953703)</f>
        <v>45615.6186</v>
      </c>
      <c r="H4005" s="24" t="str">
        <f>IFERROR(VLOOKUP(B4005,material!A:D,3,0),"")</f>
        <v>WIFI MESH</v>
      </c>
    </row>
    <row r="4006" ht="11.25" customHeight="1">
      <c r="A4006" s="21" t="str">
        <f>IFERROR(__xludf.DUMMYFUNCTION("""COMPUTED_VALUE"""),"TERMINAL EXTENSOR WIFI5 MESH AR2180T")</f>
        <v>TERMINAL EXTENSOR WIFI5 MESH AR2180T</v>
      </c>
      <c r="B4006" s="22">
        <f>IFERROR(__xludf.DUMMYFUNCTION("""COMPUTED_VALUE"""),4.1001567E7)</f>
        <v>41001567</v>
      </c>
      <c r="C4006" s="21" t="str">
        <f>IFERROR(__xludf.DUMMYFUNCTION("""COMPUTED_VALUE"""),"9839107C7E33")</f>
        <v>9839107C7E33</v>
      </c>
      <c r="D4006" s="21" t="str">
        <f>IFERROR(__xludf.DUMMYFUNCTION("""COMPUTED_VALUE"""),"DIGITEC TECNOLOGIA DIGITAL E REPRES")</f>
        <v>DIGITEC TECNOLOGIA DIGITAL E REPRES</v>
      </c>
      <c r="E4006" s="21">
        <f>IFERROR(__xludf.DUMMYFUNCTION("""COMPUTED_VALUE"""),145359.0)</f>
        <v>145359</v>
      </c>
      <c r="F4006" s="21" t="str">
        <f>IFERROR(__xludf.DUMMYFUNCTION("""COMPUTED_VALUE"""),"INICIALIZADO")</f>
        <v>INICIALIZADO</v>
      </c>
      <c r="G4006" s="23">
        <f>IFERROR(__xludf.DUMMYFUNCTION("""COMPUTED_VALUE"""),45615.61861111112)</f>
        <v>45615.61861</v>
      </c>
      <c r="H4006" s="24" t="str">
        <f>IFERROR(VLOOKUP(B4006,material!A:D,3,0),"")</f>
        <v>WIFI MESH</v>
      </c>
    </row>
    <row r="4007" ht="11.25" customHeight="1">
      <c r="A4007" s="21" t="str">
        <f>IFERROR(__xludf.DUMMYFUNCTION("""COMPUTED_VALUE"""),"TERMINAL EXTENSOR WIFI5 MESH AR2180T")</f>
        <v>TERMINAL EXTENSOR WIFI5 MESH AR2180T</v>
      </c>
      <c r="B4007" s="22">
        <f>IFERROR(__xludf.DUMMYFUNCTION("""COMPUTED_VALUE"""),4.1001567E7)</f>
        <v>41001567</v>
      </c>
      <c r="C4007" s="21" t="str">
        <f>IFERROR(__xludf.DUMMYFUNCTION("""COMPUTED_VALUE"""),"9839107C7E15")</f>
        <v>9839107C7E15</v>
      </c>
      <c r="D4007" s="21" t="str">
        <f>IFERROR(__xludf.DUMMYFUNCTION("""COMPUTED_VALUE"""),"DIGITEC TECNOLOGIA DIGITAL E REPRES")</f>
        <v>DIGITEC TECNOLOGIA DIGITAL E REPRES</v>
      </c>
      <c r="E4007" s="21">
        <f>IFERROR(__xludf.DUMMYFUNCTION("""COMPUTED_VALUE"""),145359.0)</f>
        <v>145359</v>
      </c>
      <c r="F4007" s="21" t="str">
        <f>IFERROR(__xludf.DUMMYFUNCTION("""COMPUTED_VALUE"""),"INICIALIZADO")</f>
        <v>INICIALIZADO</v>
      </c>
      <c r="G4007" s="23">
        <f>IFERROR(__xludf.DUMMYFUNCTION("""COMPUTED_VALUE"""),45615.61859953703)</f>
        <v>45615.6186</v>
      </c>
      <c r="H4007" s="24" t="str">
        <f>IFERROR(VLOOKUP(B4007,material!A:D,3,0),"")</f>
        <v>WIFI MESH</v>
      </c>
    </row>
    <row r="4008" ht="11.25" customHeight="1">
      <c r="A4008" s="21" t="str">
        <f>IFERROR(__xludf.DUMMYFUNCTION("""COMPUTED_VALUE"""),"TERMINAL EXTENSOR WIFI5 MESH AR2180T")</f>
        <v>TERMINAL EXTENSOR WIFI5 MESH AR2180T</v>
      </c>
      <c r="B4008" s="22">
        <f>IFERROR(__xludf.DUMMYFUNCTION("""COMPUTED_VALUE"""),4.1001567E7)</f>
        <v>41001567</v>
      </c>
      <c r="C4008" s="21" t="str">
        <f>IFERROR(__xludf.DUMMYFUNCTION("""COMPUTED_VALUE"""),"9839107C7E74")</f>
        <v>9839107C7E74</v>
      </c>
      <c r="D4008" s="21" t="str">
        <f>IFERROR(__xludf.DUMMYFUNCTION("""COMPUTED_VALUE"""),"DIGITEC TECNOLOGIA DIGITAL E REPRES")</f>
        <v>DIGITEC TECNOLOGIA DIGITAL E REPRES</v>
      </c>
      <c r="E4008" s="21">
        <f>IFERROR(__xludf.DUMMYFUNCTION("""COMPUTED_VALUE"""),145359.0)</f>
        <v>145359</v>
      </c>
      <c r="F4008" s="21" t="str">
        <f>IFERROR(__xludf.DUMMYFUNCTION("""COMPUTED_VALUE"""),"INICIALIZADO")</f>
        <v>INICIALIZADO</v>
      </c>
      <c r="G4008" s="23">
        <f>IFERROR(__xludf.DUMMYFUNCTION("""COMPUTED_VALUE"""),45615.61861111112)</f>
        <v>45615.61861</v>
      </c>
      <c r="H4008" s="24" t="str">
        <f>IFERROR(VLOOKUP(B4008,material!A:D,3,0),"")</f>
        <v>WIFI MESH</v>
      </c>
    </row>
    <row r="4009" ht="11.25" customHeight="1">
      <c r="A4009" s="21" t="str">
        <f>IFERROR(__xludf.DUMMYFUNCTION("""COMPUTED_VALUE"""),"TERMINAL EXTENSOR WIFI5 MESH AR2180T")</f>
        <v>TERMINAL EXTENSOR WIFI5 MESH AR2180T</v>
      </c>
      <c r="B4009" s="22">
        <f>IFERROR(__xludf.DUMMYFUNCTION("""COMPUTED_VALUE"""),4.1001567E7)</f>
        <v>41001567</v>
      </c>
      <c r="C4009" s="21" t="str">
        <f>IFERROR(__xludf.DUMMYFUNCTION("""COMPUTED_VALUE"""),"9839107C7E79")</f>
        <v>9839107C7E79</v>
      </c>
      <c r="D4009" s="21" t="str">
        <f>IFERROR(__xludf.DUMMYFUNCTION("""COMPUTED_VALUE"""),"DIGITEC TECNOLOGIA DIGITAL E REPRES")</f>
        <v>DIGITEC TECNOLOGIA DIGITAL E REPRES</v>
      </c>
      <c r="E4009" s="21">
        <f>IFERROR(__xludf.DUMMYFUNCTION("""COMPUTED_VALUE"""),145359.0)</f>
        <v>145359</v>
      </c>
      <c r="F4009" s="21" t="str">
        <f>IFERROR(__xludf.DUMMYFUNCTION("""COMPUTED_VALUE"""),"INICIALIZADO")</f>
        <v>INICIALIZADO</v>
      </c>
      <c r="G4009" s="23">
        <f>IFERROR(__xludf.DUMMYFUNCTION("""COMPUTED_VALUE"""),45615.61861111112)</f>
        <v>45615.61861</v>
      </c>
      <c r="H4009" s="24" t="str">
        <f>IFERROR(VLOOKUP(B4009,material!A:D,3,0),"")</f>
        <v>WIFI MESH</v>
      </c>
    </row>
    <row r="4010" ht="11.25" customHeight="1">
      <c r="A4010" s="21" t="str">
        <f>IFERROR(__xludf.DUMMYFUNCTION("""COMPUTED_VALUE"""),"TERMINAL EXTENSOR WIFI5 MESH AR2180T")</f>
        <v>TERMINAL EXTENSOR WIFI5 MESH AR2180T</v>
      </c>
      <c r="B4010" s="22">
        <f>IFERROR(__xludf.DUMMYFUNCTION("""COMPUTED_VALUE"""),4.1001567E7)</f>
        <v>41001567</v>
      </c>
      <c r="C4010" s="21" t="str">
        <f>IFERROR(__xludf.DUMMYFUNCTION("""COMPUTED_VALUE"""),"9839107C7EA6")</f>
        <v>9839107C7EA6</v>
      </c>
      <c r="D4010" s="21" t="str">
        <f>IFERROR(__xludf.DUMMYFUNCTION("""COMPUTED_VALUE"""),"DIGITEC TECNOLOGIA DIGITAL E REPRES")</f>
        <v>DIGITEC TECNOLOGIA DIGITAL E REPRES</v>
      </c>
      <c r="E4010" s="21">
        <f>IFERROR(__xludf.DUMMYFUNCTION("""COMPUTED_VALUE"""),145359.0)</f>
        <v>145359</v>
      </c>
      <c r="F4010" s="21" t="str">
        <f>IFERROR(__xludf.DUMMYFUNCTION("""COMPUTED_VALUE"""),"INICIALIZADO")</f>
        <v>INICIALIZADO</v>
      </c>
      <c r="G4010" s="23">
        <f>IFERROR(__xludf.DUMMYFUNCTION("""COMPUTED_VALUE"""),45615.61861111112)</f>
        <v>45615.61861</v>
      </c>
      <c r="H4010" s="24" t="str">
        <f>IFERROR(VLOOKUP(B4010,material!A:D,3,0),"")</f>
        <v>WIFI MESH</v>
      </c>
    </row>
    <row r="4011" ht="11.25" customHeight="1">
      <c r="A4011" s="21" t="str">
        <f>IFERROR(__xludf.DUMMYFUNCTION("""COMPUTED_VALUE"""),"TERMINAL EXTENSOR WIFI5 MESH AR2180T")</f>
        <v>TERMINAL EXTENSOR WIFI5 MESH AR2180T</v>
      </c>
      <c r="B4011" s="22">
        <f>IFERROR(__xludf.DUMMYFUNCTION("""COMPUTED_VALUE"""),4.1001567E7)</f>
        <v>41001567</v>
      </c>
      <c r="C4011" s="21" t="str">
        <f>IFERROR(__xludf.DUMMYFUNCTION("""COMPUTED_VALUE"""),"9839107C9438")</f>
        <v>9839107C9438</v>
      </c>
      <c r="D4011" s="21" t="str">
        <f>IFERROR(__xludf.DUMMYFUNCTION("""COMPUTED_VALUE"""),"DIGITEC TECNOLOGIA DIGITAL E REPRES")</f>
        <v>DIGITEC TECNOLOGIA DIGITAL E REPRES</v>
      </c>
      <c r="E4011" s="21">
        <f>IFERROR(__xludf.DUMMYFUNCTION("""COMPUTED_VALUE"""),145359.0)</f>
        <v>145359</v>
      </c>
      <c r="F4011" s="21" t="str">
        <f>IFERROR(__xludf.DUMMYFUNCTION("""COMPUTED_VALUE"""),"INICIALIZADO")</f>
        <v>INICIALIZADO</v>
      </c>
      <c r="G4011" s="23">
        <f>IFERROR(__xludf.DUMMYFUNCTION("""COMPUTED_VALUE"""),45618.74479166667)</f>
        <v>45618.74479</v>
      </c>
      <c r="H4011" s="24" t="str">
        <f>IFERROR(VLOOKUP(B4011,material!A:D,3,0),"")</f>
        <v>WIFI MESH</v>
      </c>
    </row>
    <row r="4012" ht="11.25" customHeight="1">
      <c r="A4012" s="21" t="str">
        <f>IFERROR(__xludf.DUMMYFUNCTION("""COMPUTED_VALUE"""),"TERMINAL EXTENSOR WIFI5 MESH AR2180T")</f>
        <v>TERMINAL EXTENSOR WIFI5 MESH AR2180T</v>
      </c>
      <c r="B4012" s="22">
        <f>IFERROR(__xludf.DUMMYFUNCTION("""COMPUTED_VALUE"""),4.1001567E7)</f>
        <v>41001567</v>
      </c>
      <c r="C4012" s="21" t="str">
        <f>IFERROR(__xludf.DUMMYFUNCTION("""COMPUTED_VALUE"""),"9839107C8824")</f>
        <v>9839107C8824</v>
      </c>
      <c r="D4012" s="21" t="str">
        <f>IFERROR(__xludf.DUMMYFUNCTION("""COMPUTED_VALUE"""),"DIGITEC TECNOLOGIA DIGITAL E REPRES")</f>
        <v>DIGITEC TECNOLOGIA DIGITAL E REPRES</v>
      </c>
      <c r="E4012" s="21">
        <f>IFERROR(__xludf.DUMMYFUNCTION("""COMPUTED_VALUE"""),145359.0)</f>
        <v>145359</v>
      </c>
      <c r="F4012" s="21" t="str">
        <f>IFERROR(__xludf.DUMMYFUNCTION("""COMPUTED_VALUE"""),"INICIALIZADO")</f>
        <v>INICIALIZADO</v>
      </c>
      <c r="G4012" s="23">
        <f>IFERROR(__xludf.DUMMYFUNCTION("""COMPUTED_VALUE"""),45615.61859953703)</f>
        <v>45615.6186</v>
      </c>
      <c r="H4012" s="24" t="str">
        <f>IFERROR(VLOOKUP(B4012,material!A:D,3,0),"")</f>
        <v>WIFI MESH</v>
      </c>
    </row>
    <row r="4013" ht="11.25" customHeight="1">
      <c r="A4013" s="21" t="str">
        <f>IFERROR(__xludf.DUMMYFUNCTION("""COMPUTED_VALUE"""),"TERMINAL EXTENSOR WIFI5 MESH AR2180T")</f>
        <v>TERMINAL EXTENSOR WIFI5 MESH AR2180T</v>
      </c>
      <c r="B4013" s="22">
        <f>IFERROR(__xludf.DUMMYFUNCTION("""COMPUTED_VALUE"""),4.1001567E7)</f>
        <v>41001567</v>
      </c>
      <c r="C4013" s="21" t="str">
        <f>IFERROR(__xludf.DUMMYFUNCTION("""COMPUTED_VALUE"""),"9839107C8810")</f>
        <v>9839107C8810</v>
      </c>
      <c r="D4013" s="21" t="str">
        <f>IFERROR(__xludf.DUMMYFUNCTION("""COMPUTED_VALUE"""),"DIGITEC TECNOLOGIA DIGITAL E REPRES")</f>
        <v>DIGITEC TECNOLOGIA DIGITAL E REPRES</v>
      </c>
      <c r="E4013" s="21">
        <f>IFERROR(__xludf.DUMMYFUNCTION("""COMPUTED_VALUE"""),145359.0)</f>
        <v>145359</v>
      </c>
      <c r="F4013" s="21" t="str">
        <f>IFERROR(__xludf.DUMMYFUNCTION("""COMPUTED_VALUE"""),"INICIALIZADO")</f>
        <v>INICIALIZADO</v>
      </c>
      <c r="G4013" s="23">
        <f>IFERROR(__xludf.DUMMYFUNCTION("""COMPUTED_VALUE"""),45615.61859953703)</f>
        <v>45615.6186</v>
      </c>
      <c r="H4013" s="24" t="str">
        <f>IFERROR(VLOOKUP(B4013,material!A:D,3,0),"")</f>
        <v>WIFI MESH</v>
      </c>
    </row>
    <row r="4014" ht="11.25" customHeight="1">
      <c r="A4014" s="21" t="str">
        <f>IFERROR(__xludf.DUMMYFUNCTION("""COMPUTED_VALUE"""),"TERMINAL EXTENSOR WIFI5 MESH AR2180T")</f>
        <v>TERMINAL EXTENSOR WIFI5 MESH AR2180T</v>
      </c>
      <c r="B4014" s="22">
        <f>IFERROR(__xludf.DUMMYFUNCTION("""COMPUTED_VALUE"""),4.1001567E7)</f>
        <v>41001567</v>
      </c>
      <c r="C4014" s="21" t="str">
        <f>IFERROR(__xludf.DUMMYFUNCTION("""COMPUTED_VALUE"""),"9839107C9DF1")</f>
        <v>9839107C9DF1</v>
      </c>
      <c r="D4014" s="21" t="str">
        <f>IFERROR(__xludf.DUMMYFUNCTION("""COMPUTED_VALUE"""),"DIGITEC TECNOLOGIA DIGITAL E REPRES")</f>
        <v>DIGITEC TECNOLOGIA DIGITAL E REPRES</v>
      </c>
      <c r="E4014" s="21">
        <f>IFERROR(__xludf.DUMMYFUNCTION("""COMPUTED_VALUE"""),145359.0)</f>
        <v>145359</v>
      </c>
      <c r="F4014" s="21" t="str">
        <f>IFERROR(__xludf.DUMMYFUNCTION("""COMPUTED_VALUE"""),"INICIALIZADO")</f>
        <v>INICIALIZADO</v>
      </c>
      <c r="G4014" s="23">
        <f>IFERROR(__xludf.DUMMYFUNCTION("""COMPUTED_VALUE"""),45618.74479166667)</f>
        <v>45618.74479</v>
      </c>
      <c r="H4014" s="24" t="str">
        <f>IFERROR(VLOOKUP(B4014,material!A:D,3,0),"")</f>
        <v>WIFI MESH</v>
      </c>
    </row>
    <row r="4015" ht="11.25" customHeight="1">
      <c r="A4015" s="21" t="str">
        <f>IFERROR(__xludf.DUMMYFUNCTION("""COMPUTED_VALUE"""),"TERMINAL EXTENSOR WIFI5 MESH AR2180T")</f>
        <v>TERMINAL EXTENSOR WIFI5 MESH AR2180T</v>
      </c>
      <c r="B4015" s="22">
        <f>IFERROR(__xludf.DUMMYFUNCTION("""COMPUTED_VALUE"""),4.1001567E7)</f>
        <v>41001567</v>
      </c>
      <c r="C4015" s="21" t="str">
        <f>IFERROR(__xludf.DUMMYFUNCTION("""COMPUTED_VALUE"""),"9839107C9DB5")</f>
        <v>9839107C9DB5</v>
      </c>
      <c r="D4015" s="21" t="str">
        <f>IFERROR(__xludf.DUMMYFUNCTION("""COMPUTED_VALUE"""),"DIGITEC TECNOLOGIA DIGITAL E REPRES")</f>
        <v>DIGITEC TECNOLOGIA DIGITAL E REPRES</v>
      </c>
      <c r="E4015" s="21">
        <f>IFERROR(__xludf.DUMMYFUNCTION("""COMPUTED_VALUE"""),145359.0)</f>
        <v>145359</v>
      </c>
      <c r="F4015" s="21" t="str">
        <f>IFERROR(__xludf.DUMMYFUNCTION("""COMPUTED_VALUE"""),"INICIALIZADO")</f>
        <v>INICIALIZADO</v>
      </c>
      <c r="G4015" s="23">
        <f>IFERROR(__xludf.DUMMYFUNCTION("""COMPUTED_VALUE"""),45618.74479166667)</f>
        <v>45618.74479</v>
      </c>
      <c r="H4015" s="24" t="str">
        <f>IFERROR(VLOOKUP(B4015,material!A:D,3,0),"")</f>
        <v>WIFI MESH</v>
      </c>
    </row>
    <row r="4016" ht="11.25" customHeight="1">
      <c r="A4016" s="21" t="str">
        <f>IFERROR(__xludf.DUMMYFUNCTION("""COMPUTED_VALUE"""),"TERMINAL EXTENSOR WIFI5 MESH AR2180T")</f>
        <v>TERMINAL EXTENSOR WIFI5 MESH AR2180T</v>
      </c>
      <c r="B4016" s="22">
        <f>IFERROR(__xludf.DUMMYFUNCTION("""COMPUTED_VALUE"""),4.1001567E7)</f>
        <v>41001567</v>
      </c>
      <c r="C4016" s="21" t="str">
        <f>IFERROR(__xludf.DUMMYFUNCTION("""COMPUTED_VALUE"""),"9839107C8333")</f>
        <v>9839107C8333</v>
      </c>
      <c r="D4016" s="21" t="str">
        <f>IFERROR(__xludf.DUMMYFUNCTION("""COMPUTED_VALUE"""),"DIGITEC TECNOLOGIA DIGITAL E REPRES")</f>
        <v>DIGITEC TECNOLOGIA DIGITAL E REPRES</v>
      </c>
      <c r="E4016" s="21">
        <f>IFERROR(__xludf.DUMMYFUNCTION("""COMPUTED_VALUE"""),145359.0)</f>
        <v>145359</v>
      </c>
      <c r="F4016" s="21" t="str">
        <f>IFERROR(__xludf.DUMMYFUNCTION("""COMPUTED_VALUE"""),"INICIALIZADO")</f>
        <v>INICIALIZADO</v>
      </c>
      <c r="G4016" s="23">
        <f>IFERROR(__xludf.DUMMYFUNCTION("""COMPUTED_VALUE"""),45615.61859953703)</f>
        <v>45615.6186</v>
      </c>
      <c r="H4016" s="24" t="str">
        <f>IFERROR(VLOOKUP(B4016,material!A:D,3,0),"")</f>
        <v>WIFI MESH</v>
      </c>
    </row>
    <row r="4017" ht="11.25" customHeight="1">
      <c r="A4017" s="21" t="str">
        <f>IFERROR(__xludf.DUMMYFUNCTION("""COMPUTED_VALUE"""),"TERMINAL EXTENSOR WIFI5 MESH AR2180T")</f>
        <v>TERMINAL EXTENSOR WIFI5 MESH AR2180T</v>
      </c>
      <c r="B4017" s="22">
        <f>IFERROR(__xludf.DUMMYFUNCTION("""COMPUTED_VALUE"""),4.1001567E7)</f>
        <v>41001567</v>
      </c>
      <c r="C4017" s="21" t="str">
        <f>IFERROR(__xludf.DUMMYFUNCTION("""COMPUTED_VALUE"""),"9839107C82EC")</f>
        <v>9839107C82EC</v>
      </c>
      <c r="D4017" s="21" t="str">
        <f>IFERROR(__xludf.DUMMYFUNCTION("""COMPUTED_VALUE"""),"DIGITEC TECNOLOGIA DIGITAL E REPRES")</f>
        <v>DIGITEC TECNOLOGIA DIGITAL E REPRES</v>
      </c>
      <c r="E4017" s="21">
        <f>IFERROR(__xludf.DUMMYFUNCTION("""COMPUTED_VALUE"""),145359.0)</f>
        <v>145359</v>
      </c>
      <c r="F4017" s="21" t="str">
        <f>IFERROR(__xludf.DUMMYFUNCTION("""COMPUTED_VALUE"""),"INICIALIZADO")</f>
        <v>INICIALIZADO</v>
      </c>
      <c r="G4017" s="23">
        <f>IFERROR(__xludf.DUMMYFUNCTION("""COMPUTED_VALUE"""),45615.61859953703)</f>
        <v>45615.6186</v>
      </c>
      <c r="H4017" s="24" t="str">
        <f>IFERROR(VLOOKUP(B4017,material!A:D,3,0),"")</f>
        <v>WIFI MESH</v>
      </c>
    </row>
    <row r="4018" ht="11.25" customHeight="1">
      <c r="A4018" s="21" t="str">
        <f>IFERROR(__xludf.DUMMYFUNCTION("""COMPUTED_VALUE"""),"TERMINAL EXTENSOR WIFI5 MESH AR2180T")</f>
        <v>TERMINAL EXTENSOR WIFI5 MESH AR2180T</v>
      </c>
      <c r="B4018" s="22">
        <f>IFERROR(__xludf.DUMMYFUNCTION("""COMPUTED_VALUE"""),4.1001567E7)</f>
        <v>41001567</v>
      </c>
      <c r="C4018" s="21" t="str">
        <f>IFERROR(__xludf.DUMMYFUNCTION("""COMPUTED_VALUE"""),"9839107C8088")</f>
        <v>9839107C8088</v>
      </c>
      <c r="D4018" s="21" t="str">
        <f>IFERROR(__xludf.DUMMYFUNCTION("""COMPUTED_VALUE"""),"DIGITEC TECNOLOGIA DIGITAL E REPRES")</f>
        <v>DIGITEC TECNOLOGIA DIGITAL E REPRES</v>
      </c>
      <c r="E4018" s="21">
        <f>IFERROR(__xludf.DUMMYFUNCTION("""COMPUTED_VALUE"""),145359.0)</f>
        <v>145359</v>
      </c>
      <c r="F4018" s="21" t="str">
        <f>IFERROR(__xludf.DUMMYFUNCTION("""COMPUTED_VALUE"""),"INICIALIZADO")</f>
        <v>INICIALIZADO</v>
      </c>
      <c r="G4018" s="23">
        <f>IFERROR(__xludf.DUMMYFUNCTION("""COMPUTED_VALUE"""),45615.61859953703)</f>
        <v>45615.6186</v>
      </c>
      <c r="H4018" s="24" t="str">
        <f>IFERROR(VLOOKUP(B4018,material!A:D,3,0),"")</f>
        <v>WIFI MESH</v>
      </c>
    </row>
    <row r="4019" ht="11.25" customHeight="1">
      <c r="A4019" s="21" t="str">
        <f>IFERROR(__xludf.DUMMYFUNCTION("""COMPUTED_VALUE"""),"TERMINAL EXTENSOR WIFI5 MESH AR2180T")</f>
        <v>TERMINAL EXTENSOR WIFI5 MESH AR2180T</v>
      </c>
      <c r="B4019" s="22">
        <f>IFERROR(__xludf.DUMMYFUNCTION("""COMPUTED_VALUE"""),4.1001567E7)</f>
        <v>41001567</v>
      </c>
      <c r="C4019" s="21" t="str">
        <f>IFERROR(__xludf.DUMMYFUNCTION("""COMPUTED_VALUE"""),"9839107C806A")</f>
        <v>9839107C806A</v>
      </c>
      <c r="D4019" s="21" t="str">
        <f>IFERROR(__xludf.DUMMYFUNCTION("""COMPUTED_VALUE"""),"DIGITEC TECNOLOGIA DIGITAL E REPRES")</f>
        <v>DIGITEC TECNOLOGIA DIGITAL E REPRES</v>
      </c>
      <c r="E4019" s="21">
        <f>IFERROR(__xludf.DUMMYFUNCTION("""COMPUTED_VALUE"""),145359.0)</f>
        <v>145359</v>
      </c>
      <c r="F4019" s="21" t="str">
        <f>IFERROR(__xludf.DUMMYFUNCTION("""COMPUTED_VALUE"""),"INICIALIZADO")</f>
        <v>INICIALIZADO</v>
      </c>
      <c r="G4019" s="23">
        <f>IFERROR(__xludf.DUMMYFUNCTION("""COMPUTED_VALUE"""),45615.61861111112)</f>
        <v>45615.61861</v>
      </c>
      <c r="H4019" s="24" t="str">
        <f>IFERROR(VLOOKUP(B4019,material!A:D,3,0),"")</f>
        <v>WIFI MESH</v>
      </c>
    </row>
    <row r="4020" ht="11.25" customHeight="1">
      <c r="A4020" s="21" t="str">
        <f>IFERROR(__xludf.DUMMYFUNCTION("""COMPUTED_VALUE"""),"TERMINAL EXTENSOR WIFI5 MESH AR2180T")</f>
        <v>TERMINAL EXTENSOR WIFI5 MESH AR2180T</v>
      </c>
      <c r="B4020" s="22">
        <f>IFERROR(__xludf.DUMMYFUNCTION("""COMPUTED_VALUE"""),4.1001567E7)</f>
        <v>41001567</v>
      </c>
      <c r="C4020" s="21" t="str">
        <f>IFERROR(__xludf.DUMMYFUNCTION("""COMPUTED_VALUE"""),"983910095D47")</f>
        <v>983910095D47</v>
      </c>
      <c r="D4020" s="21" t="str">
        <f>IFERROR(__xludf.DUMMYFUNCTION("""COMPUTED_VALUE"""),"DIGITEC TECNOLOGIA DIGITAL E REPRES")</f>
        <v>DIGITEC TECNOLOGIA DIGITAL E REPRES</v>
      </c>
      <c r="E4020" s="21">
        <f>IFERROR(__xludf.DUMMYFUNCTION("""COMPUTED_VALUE"""),145359.0)</f>
        <v>145359</v>
      </c>
      <c r="F4020" s="21" t="str">
        <f>IFERROR(__xludf.DUMMYFUNCTION("""COMPUTED_VALUE"""),"INICIALIZADO")</f>
        <v>INICIALIZADO</v>
      </c>
      <c r="G4020" s="23">
        <f>IFERROR(__xludf.DUMMYFUNCTION("""COMPUTED_VALUE"""),45544.739895833336)</f>
        <v>45544.7399</v>
      </c>
      <c r="H4020" s="24" t="str">
        <f>IFERROR(VLOOKUP(B4020,material!A:D,3,0),"")</f>
        <v>WIFI MESH</v>
      </c>
    </row>
    <row r="4021" ht="11.25" customHeight="1">
      <c r="A4021" s="21" t="str">
        <f>IFERROR(__xludf.DUMMYFUNCTION("""COMPUTED_VALUE"""),"TERMINAL EXTENSOR WIFI5 MESH AR2180T")</f>
        <v>TERMINAL EXTENSOR WIFI5 MESH AR2180T</v>
      </c>
      <c r="B4021" s="22">
        <f>IFERROR(__xludf.DUMMYFUNCTION("""COMPUTED_VALUE"""),4.1001567E7)</f>
        <v>41001567</v>
      </c>
      <c r="C4021" s="21" t="str">
        <f>IFERROR(__xludf.DUMMYFUNCTION("""COMPUTED_VALUE"""),"983910091BD8")</f>
        <v>983910091BD8</v>
      </c>
      <c r="D4021" s="21" t="str">
        <f>IFERROR(__xludf.DUMMYFUNCTION("""COMPUTED_VALUE"""),"DIGITEC TECNOLOGIA DIGITAL E REPRES")</f>
        <v>DIGITEC TECNOLOGIA DIGITAL E REPRES</v>
      </c>
      <c r="E4021" s="21">
        <f>IFERROR(__xludf.DUMMYFUNCTION("""COMPUTED_VALUE"""),145359.0)</f>
        <v>145359</v>
      </c>
      <c r="F4021" s="21" t="str">
        <f>IFERROR(__xludf.DUMMYFUNCTION("""COMPUTED_VALUE"""),"INICIALIZADO")</f>
        <v>INICIALIZADO</v>
      </c>
      <c r="G4021" s="23">
        <f>IFERROR(__xludf.DUMMYFUNCTION("""COMPUTED_VALUE"""),45544.73991898148)</f>
        <v>45544.73992</v>
      </c>
      <c r="H4021" s="24" t="str">
        <f>IFERROR(VLOOKUP(B4021,material!A:D,3,0),"")</f>
        <v>WIFI MESH</v>
      </c>
    </row>
    <row r="4022" ht="11.25" customHeight="1">
      <c r="A4022" s="21" t="str">
        <f>IFERROR(__xludf.DUMMYFUNCTION("""COMPUTED_VALUE"""),"TERMINAL EXTENSOR WIFI5 MESH AR2180T")</f>
        <v>TERMINAL EXTENSOR WIFI5 MESH AR2180T</v>
      </c>
      <c r="B4022" s="22">
        <f>IFERROR(__xludf.DUMMYFUNCTION("""COMPUTED_VALUE"""),4.1001567E7)</f>
        <v>41001567</v>
      </c>
      <c r="C4022" s="21" t="str">
        <f>IFERROR(__xludf.DUMMYFUNCTION("""COMPUTED_VALUE"""),"983910094315")</f>
        <v>983910094315</v>
      </c>
      <c r="D4022" s="21" t="str">
        <f>IFERROR(__xludf.DUMMYFUNCTION("""COMPUTED_VALUE"""),"DIGITEC TECNOLOGIA DIGITAL E REPRES")</f>
        <v>DIGITEC TECNOLOGIA DIGITAL E REPRES</v>
      </c>
      <c r="E4022" s="21">
        <f>IFERROR(__xludf.DUMMYFUNCTION("""COMPUTED_VALUE"""),145359.0)</f>
        <v>145359</v>
      </c>
      <c r="F4022" s="21" t="str">
        <f>IFERROR(__xludf.DUMMYFUNCTION("""COMPUTED_VALUE"""),"INICIALIZADO")</f>
        <v>INICIALIZADO</v>
      </c>
      <c r="G4022" s="23">
        <f>IFERROR(__xludf.DUMMYFUNCTION("""COMPUTED_VALUE"""),45573.66680555556)</f>
        <v>45573.66681</v>
      </c>
      <c r="H4022" s="24" t="str">
        <f>IFERROR(VLOOKUP(B4022,material!A:D,3,0),"")</f>
        <v>WIFI MESH</v>
      </c>
    </row>
    <row r="4023" ht="11.25" customHeight="1">
      <c r="A4023" s="21" t="str">
        <f>IFERROR(__xludf.DUMMYFUNCTION("""COMPUTED_VALUE"""),"TERMINAL EXTENSOR WIFI5 MESH AR2180T")</f>
        <v>TERMINAL EXTENSOR WIFI5 MESH AR2180T</v>
      </c>
      <c r="B4023" s="22">
        <f>IFERROR(__xludf.DUMMYFUNCTION("""COMPUTED_VALUE"""),4.1001567E7)</f>
        <v>41001567</v>
      </c>
      <c r="C4023" s="21" t="str">
        <f>IFERROR(__xludf.DUMMYFUNCTION("""COMPUTED_VALUE"""),"24E4CECAAA2E")</f>
        <v>24E4CECAAA2E</v>
      </c>
      <c r="D4023" s="21" t="str">
        <f>IFERROR(__xludf.DUMMYFUNCTION("""COMPUTED_VALUE"""),"DIGITEC TECNOLOGIA DIGITAL E REPRES")</f>
        <v>DIGITEC TECNOLOGIA DIGITAL E REPRES</v>
      </c>
      <c r="E4023" s="21">
        <f>IFERROR(__xludf.DUMMYFUNCTION("""COMPUTED_VALUE"""),145359.0)</f>
        <v>145359</v>
      </c>
      <c r="F4023" s="21" t="str">
        <f>IFERROR(__xludf.DUMMYFUNCTION("""COMPUTED_VALUE"""),"INICIALIZADO")</f>
        <v>INICIALIZADO</v>
      </c>
      <c r="G4023" s="23">
        <f>IFERROR(__xludf.DUMMYFUNCTION("""COMPUTED_VALUE"""),45471.5040625)</f>
        <v>45471.50406</v>
      </c>
      <c r="H4023" s="24" t="str">
        <f>IFERROR(VLOOKUP(B4023,material!A:D,3,0),"")</f>
        <v>WIFI MESH</v>
      </c>
    </row>
    <row r="4024" ht="11.25" customHeight="1">
      <c r="A4024" s="21" t="str">
        <f>IFERROR(__xludf.DUMMYFUNCTION("""COMPUTED_VALUE"""),"TERMINAL EXTENSOR WIFI5 MESH AR2180T")</f>
        <v>TERMINAL EXTENSOR WIFI5 MESH AR2180T</v>
      </c>
      <c r="B4024" s="22">
        <f>IFERROR(__xludf.DUMMYFUNCTION("""COMPUTED_VALUE"""),4.1001567E7)</f>
        <v>41001567</v>
      </c>
      <c r="C4024" s="21" t="str">
        <f>IFERROR(__xludf.DUMMYFUNCTION("""COMPUTED_VALUE"""),"983910094347")</f>
        <v>983910094347</v>
      </c>
      <c r="D4024" s="21" t="str">
        <f>IFERROR(__xludf.DUMMYFUNCTION("""COMPUTED_VALUE"""),"DIGITEC TECNOLOGIA DIGITAL E REPRES")</f>
        <v>DIGITEC TECNOLOGIA DIGITAL E REPRES</v>
      </c>
      <c r="E4024" s="21">
        <f>IFERROR(__xludf.DUMMYFUNCTION("""COMPUTED_VALUE"""),145359.0)</f>
        <v>145359</v>
      </c>
      <c r="F4024" s="21" t="str">
        <f>IFERROR(__xludf.DUMMYFUNCTION("""COMPUTED_VALUE"""),"INICIALIZADO")</f>
        <v>INICIALIZADO</v>
      </c>
      <c r="G4024" s="23">
        <f>IFERROR(__xludf.DUMMYFUNCTION("""COMPUTED_VALUE"""),45544.739907407406)</f>
        <v>45544.73991</v>
      </c>
      <c r="H4024" s="24" t="str">
        <f>IFERROR(VLOOKUP(B4024,material!A:D,3,0),"")</f>
        <v>WIFI MESH</v>
      </c>
    </row>
    <row r="4025" ht="11.25" customHeight="1">
      <c r="A4025" s="21" t="str">
        <f>IFERROR(__xludf.DUMMYFUNCTION("""COMPUTED_VALUE"""),"TERMINAL EXTENSOR WIFI5 MESH AR2180T")</f>
        <v>TERMINAL EXTENSOR WIFI5 MESH AR2180T</v>
      </c>
      <c r="B4025" s="22">
        <f>IFERROR(__xludf.DUMMYFUNCTION("""COMPUTED_VALUE"""),4.1001567E7)</f>
        <v>41001567</v>
      </c>
      <c r="C4025" s="21" t="str">
        <f>IFERROR(__xludf.DUMMYFUNCTION("""COMPUTED_VALUE"""),"983910095E1F")</f>
        <v>983910095E1F</v>
      </c>
      <c r="D4025" s="21" t="str">
        <f>IFERROR(__xludf.DUMMYFUNCTION("""COMPUTED_VALUE"""),"DIGITEC TECNOLOGIA DIGITAL E REPRES")</f>
        <v>DIGITEC TECNOLOGIA DIGITAL E REPRES</v>
      </c>
      <c r="E4025" s="21">
        <f>IFERROR(__xludf.DUMMYFUNCTION("""COMPUTED_VALUE"""),145359.0)</f>
        <v>145359</v>
      </c>
      <c r="F4025" s="21" t="str">
        <f>IFERROR(__xludf.DUMMYFUNCTION("""COMPUTED_VALUE"""),"INICIALIZADO")</f>
        <v>INICIALIZADO</v>
      </c>
      <c r="G4025" s="23">
        <f>IFERROR(__xludf.DUMMYFUNCTION("""COMPUTED_VALUE"""),45544.73993055556)</f>
        <v>45544.73993</v>
      </c>
      <c r="H4025" s="24" t="str">
        <f>IFERROR(VLOOKUP(B4025,material!A:D,3,0),"")</f>
        <v>WIFI MESH</v>
      </c>
    </row>
    <row r="4026" ht="11.25" customHeight="1">
      <c r="A4026" s="21" t="str">
        <f>IFERROR(__xludf.DUMMYFUNCTION("""COMPUTED_VALUE"""),"TERMINAL EXTENSOR WIFI5 MESH AR2180T")</f>
        <v>TERMINAL EXTENSOR WIFI5 MESH AR2180T</v>
      </c>
      <c r="B4026" s="22">
        <f>IFERROR(__xludf.DUMMYFUNCTION("""COMPUTED_VALUE"""),4.1001567E7)</f>
        <v>41001567</v>
      </c>
      <c r="C4026" s="21" t="str">
        <f>IFERROR(__xludf.DUMMYFUNCTION("""COMPUTED_VALUE"""),"24E4CEEE0AE7")</f>
        <v>24E4CEEE0AE7</v>
      </c>
      <c r="D4026" s="21" t="str">
        <f>IFERROR(__xludf.DUMMYFUNCTION("""COMPUTED_VALUE"""),"DIGITEC TECNOLOGIA DIGITAL E REPRES")</f>
        <v>DIGITEC TECNOLOGIA DIGITAL E REPRES</v>
      </c>
      <c r="E4026" s="21">
        <f>IFERROR(__xludf.DUMMYFUNCTION("""COMPUTED_VALUE"""),145359.0)</f>
        <v>145359</v>
      </c>
      <c r="F4026" s="21" t="str">
        <f>IFERROR(__xludf.DUMMYFUNCTION("""COMPUTED_VALUE"""),"INICIALIZADO")</f>
        <v>INICIALIZADO</v>
      </c>
      <c r="G4026" s="23">
        <f>IFERROR(__xludf.DUMMYFUNCTION("""COMPUTED_VALUE"""),45503.45015046296)</f>
        <v>45503.45015</v>
      </c>
      <c r="H4026" s="24" t="str">
        <f>IFERROR(VLOOKUP(B4026,material!A:D,3,0),"")</f>
        <v>WIFI MESH</v>
      </c>
    </row>
    <row r="4027" ht="11.25" customHeight="1">
      <c r="A4027" s="21" t="str">
        <f>IFERROR(__xludf.DUMMYFUNCTION("""COMPUTED_VALUE"""),"TERMINAL EXTENSOR WIFI5 MESH AR2180T")</f>
        <v>TERMINAL EXTENSOR WIFI5 MESH AR2180T</v>
      </c>
      <c r="B4027" s="22">
        <f>IFERROR(__xludf.DUMMYFUNCTION("""COMPUTED_VALUE"""),4.1001567E7)</f>
        <v>41001567</v>
      </c>
      <c r="C4027" s="21" t="str">
        <f>IFERROR(__xludf.DUMMYFUNCTION("""COMPUTED_VALUE"""),"983910095F47")</f>
        <v>983910095F47</v>
      </c>
      <c r="D4027" s="21" t="str">
        <f>IFERROR(__xludf.DUMMYFUNCTION("""COMPUTED_VALUE"""),"DIGITEC TECNOLOGIA DIGITAL E REPRES")</f>
        <v>DIGITEC TECNOLOGIA DIGITAL E REPRES</v>
      </c>
      <c r="E4027" s="21">
        <f>IFERROR(__xludf.DUMMYFUNCTION("""COMPUTED_VALUE"""),145359.0)</f>
        <v>145359</v>
      </c>
      <c r="F4027" s="21" t="str">
        <f>IFERROR(__xludf.DUMMYFUNCTION("""COMPUTED_VALUE"""),"INICIALIZADO")</f>
        <v>INICIALIZADO</v>
      </c>
      <c r="G4027" s="23">
        <f>IFERROR(__xludf.DUMMYFUNCTION("""COMPUTED_VALUE"""),45544.739895833336)</f>
        <v>45544.7399</v>
      </c>
      <c r="H4027" s="24" t="str">
        <f>IFERROR(VLOOKUP(B4027,material!A:D,3,0),"")</f>
        <v>WIFI MESH</v>
      </c>
    </row>
    <row r="4028" ht="11.25" customHeight="1">
      <c r="A4028" s="21" t="str">
        <f>IFERROR(__xludf.DUMMYFUNCTION("""COMPUTED_VALUE"""),"TERMINAL EXTENSOR WIFI5 MESH AR2180T")</f>
        <v>TERMINAL EXTENSOR WIFI5 MESH AR2180T</v>
      </c>
      <c r="B4028" s="22">
        <f>IFERROR(__xludf.DUMMYFUNCTION("""COMPUTED_VALUE"""),4.1001567E7)</f>
        <v>41001567</v>
      </c>
      <c r="C4028" s="21" t="str">
        <f>IFERROR(__xludf.DUMMYFUNCTION("""COMPUTED_VALUE"""),"24E4CECAAAD8")</f>
        <v>24E4CECAAAD8</v>
      </c>
      <c r="D4028" s="21" t="str">
        <f>IFERROR(__xludf.DUMMYFUNCTION("""COMPUTED_VALUE"""),"DIGITEC TECNOLOGIA DIGITAL E REPRES")</f>
        <v>DIGITEC TECNOLOGIA DIGITAL E REPRES</v>
      </c>
      <c r="E4028" s="21">
        <f>IFERROR(__xludf.DUMMYFUNCTION("""COMPUTED_VALUE"""),145359.0)</f>
        <v>145359</v>
      </c>
      <c r="F4028" s="21" t="str">
        <f>IFERROR(__xludf.DUMMYFUNCTION("""COMPUTED_VALUE"""),"INICIALIZADO")</f>
        <v>INICIALIZADO</v>
      </c>
      <c r="G4028" s="23">
        <f>IFERROR(__xludf.DUMMYFUNCTION("""COMPUTED_VALUE"""),45471.5040625)</f>
        <v>45471.50406</v>
      </c>
      <c r="H4028" s="24" t="str">
        <f>IFERROR(VLOOKUP(B4028,material!A:D,3,0),"")</f>
        <v>WIFI MESH</v>
      </c>
    </row>
    <row r="4029" ht="11.25" customHeight="1">
      <c r="A4029" s="21" t="str">
        <f>IFERROR(__xludf.DUMMYFUNCTION("""COMPUTED_VALUE"""),"TERMINAL EXTENSOR WIFI5 MESH AR2180T")</f>
        <v>TERMINAL EXTENSOR WIFI5 MESH AR2180T</v>
      </c>
      <c r="B4029" s="22">
        <f>IFERROR(__xludf.DUMMYFUNCTION("""COMPUTED_VALUE"""),4.1001567E7)</f>
        <v>41001567</v>
      </c>
      <c r="C4029" s="21" t="str">
        <f>IFERROR(__xludf.DUMMYFUNCTION("""COMPUTED_VALUE"""),"24E4CECAAB51")</f>
        <v>24E4CECAAB51</v>
      </c>
      <c r="D4029" s="21" t="str">
        <f>IFERROR(__xludf.DUMMYFUNCTION("""COMPUTED_VALUE"""),"DIGITEC TECNOLOGIA DIGITAL E REPRES")</f>
        <v>DIGITEC TECNOLOGIA DIGITAL E REPRES</v>
      </c>
      <c r="E4029" s="21">
        <f>IFERROR(__xludf.DUMMYFUNCTION("""COMPUTED_VALUE"""),145359.0)</f>
        <v>145359</v>
      </c>
      <c r="F4029" s="21" t="str">
        <f>IFERROR(__xludf.DUMMYFUNCTION("""COMPUTED_VALUE"""),"INICIALIZADO")</f>
        <v>INICIALIZADO</v>
      </c>
      <c r="G4029" s="23">
        <f>IFERROR(__xludf.DUMMYFUNCTION("""COMPUTED_VALUE"""),45471.5040625)</f>
        <v>45471.50406</v>
      </c>
      <c r="H4029" s="24" t="str">
        <f>IFERROR(VLOOKUP(B4029,material!A:D,3,0),"")</f>
        <v>WIFI MESH</v>
      </c>
    </row>
    <row r="4030" ht="11.25" customHeight="1">
      <c r="A4030" s="21" t="str">
        <f>IFERROR(__xludf.DUMMYFUNCTION("""COMPUTED_VALUE"""),"TERMINAL EXTENSOR WIFI5 MESH AR2180T")</f>
        <v>TERMINAL EXTENSOR WIFI5 MESH AR2180T</v>
      </c>
      <c r="B4030" s="22">
        <f>IFERROR(__xludf.DUMMYFUNCTION("""COMPUTED_VALUE"""),4.1001567E7)</f>
        <v>41001567</v>
      </c>
      <c r="C4030" s="21" t="str">
        <f>IFERROR(__xludf.DUMMYFUNCTION("""COMPUTED_VALUE"""),"24E4CECAA783")</f>
        <v>24E4CECAA783</v>
      </c>
      <c r="D4030" s="21" t="str">
        <f>IFERROR(__xludf.DUMMYFUNCTION("""COMPUTED_VALUE"""),"DIGITEC TECNOLOGIA DIGITAL E REPRES")</f>
        <v>DIGITEC TECNOLOGIA DIGITAL E REPRES</v>
      </c>
      <c r="E4030" s="21">
        <f>IFERROR(__xludf.DUMMYFUNCTION("""COMPUTED_VALUE"""),145359.0)</f>
        <v>145359</v>
      </c>
      <c r="F4030" s="21" t="str">
        <f>IFERROR(__xludf.DUMMYFUNCTION("""COMPUTED_VALUE"""),"INICIALIZADO")</f>
        <v>INICIALIZADO</v>
      </c>
      <c r="G4030" s="23">
        <f>IFERROR(__xludf.DUMMYFUNCTION("""COMPUTED_VALUE"""),45471.504016203704)</f>
        <v>45471.50402</v>
      </c>
      <c r="H4030" s="24" t="str">
        <f>IFERROR(VLOOKUP(B4030,material!A:D,3,0),"")</f>
        <v>WIFI MESH</v>
      </c>
    </row>
    <row r="4031" ht="11.25" customHeight="1">
      <c r="A4031" s="21" t="str">
        <f>IFERROR(__xludf.DUMMYFUNCTION("""COMPUTED_VALUE"""),"ONT GPON RESID 4GE PORTS ZXHN F600")</f>
        <v>ONT GPON RESID 4GE PORTS ZXHN F600</v>
      </c>
      <c r="B4031" s="22">
        <f>IFERROR(__xludf.DUMMYFUNCTION("""COMPUTED_VALUE"""),4.1001515E7)</f>
        <v>41001515</v>
      </c>
      <c r="C4031" s="21" t="str">
        <f>IFERROR(__xludf.DUMMYFUNCTION("""COMPUTED_VALUE"""),"D8E844C0065A")</f>
        <v>D8E844C0065A</v>
      </c>
      <c r="D4031" s="21" t="str">
        <f>IFERROR(__xludf.DUMMYFUNCTION("""COMPUTED_VALUE"""),"DIGITEC TECNOLOGIA DIGITAL E REPRES")</f>
        <v>DIGITEC TECNOLOGIA DIGITAL E REPRES</v>
      </c>
      <c r="E4031" s="21">
        <f>IFERROR(__xludf.DUMMYFUNCTION("""COMPUTED_VALUE"""),145359.0)</f>
        <v>145359</v>
      </c>
      <c r="F4031" s="21" t="str">
        <f>IFERROR(__xludf.DUMMYFUNCTION("""COMPUTED_VALUE"""),"INICIALIZADO")</f>
        <v>INICIALIZADO</v>
      </c>
      <c r="G4031" s="23">
        <f>IFERROR(__xludf.DUMMYFUNCTION("""COMPUTED_VALUE"""),45505.90170138889)</f>
        <v>45505.9017</v>
      </c>
      <c r="H4031" s="24" t="str">
        <f>IFERROR(VLOOKUP(B4031,material!A:D,3,0),"")</f>
        <v>BSOD GPON</v>
      </c>
    </row>
    <row r="4032" ht="11.25" customHeight="1">
      <c r="A4032" s="21" t="str">
        <f>IFERROR(__xludf.DUMMYFUNCTION("""COMPUTED_VALUE"""),"ONT GPON RESID 4GE PORTS ZXHN F600")</f>
        <v>ONT GPON RESID 4GE PORTS ZXHN F600</v>
      </c>
      <c r="B4032" s="22">
        <f>IFERROR(__xludf.DUMMYFUNCTION("""COMPUTED_VALUE"""),4.1001515E7)</f>
        <v>41001515</v>
      </c>
      <c r="C4032" s="21" t="str">
        <f>IFERROR(__xludf.DUMMYFUNCTION("""COMPUTED_VALUE"""),"D8E844C00564")</f>
        <v>D8E844C00564</v>
      </c>
      <c r="D4032" s="21" t="str">
        <f>IFERROR(__xludf.DUMMYFUNCTION("""COMPUTED_VALUE"""),"DIGITEC TECNOLOGIA DIGITAL E REPRES")</f>
        <v>DIGITEC TECNOLOGIA DIGITAL E REPRES</v>
      </c>
      <c r="E4032" s="21">
        <f>IFERROR(__xludf.DUMMYFUNCTION("""COMPUTED_VALUE"""),145359.0)</f>
        <v>145359</v>
      </c>
      <c r="F4032" s="21" t="str">
        <f>IFERROR(__xludf.DUMMYFUNCTION("""COMPUTED_VALUE"""),"INICIALIZADO")</f>
        <v>INICIALIZADO</v>
      </c>
      <c r="G4032" s="23">
        <f>IFERROR(__xludf.DUMMYFUNCTION("""COMPUTED_VALUE"""),45516.71184027778)</f>
        <v>45516.71184</v>
      </c>
      <c r="H4032" s="24" t="str">
        <f>IFERROR(VLOOKUP(B4032,material!A:D,3,0),"")</f>
        <v>BSOD GPON</v>
      </c>
    </row>
    <row r="4033" ht="11.25" customHeight="1">
      <c r="A4033" s="21" t="str">
        <f>IFERROR(__xludf.DUMMYFUNCTION("""COMPUTED_VALUE"""),"ONT GPON RESID 4GE PORTS ZXHN F600")</f>
        <v>ONT GPON RESID 4GE PORTS ZXHN F600</v>
      </c>
      <c r="B4033" s="22">
        <f>IFERROR(__xludf.DUMMYFUNCTION("""COMPUTED_VALUE"""),4.1001515E7)</f>
        <v>41001515</v>
      </c>
      <c r="C4033" s="21" t="str">
        <f>IFERROR(__xludf.DUMMYFUNCTION("""COMPUTED_VALUE"""),"D8E844C0075C")</f>
        <v>D8E844C0075C</v>
      </c>
      <c r="D4033" s="21" t="str">
        <f>IFERROR(__xludf.DUMMYFUNCTION("""COMPUTED_VALUE"""),"DIGITEC TECNOLOGIA DIGITAL E REPRES")</f>
        <v>DIGITEC TECNOLOGIA DIGITAL E REPRES</v>
      </c>
      <c r="E4033" s="21">
        <f>IFERROR(__xludf.DUMMYFUNCTION("""COMPUTED_VALUE"""),145359.0)</f>
        <v>145359</v>
      </c>
      <c r="F4033" s="21" t="str">
        <f>IFERROR(__xludf.DUMMYFUNCTION("""COMPUTED_VALUE"""),"INICIALIZADO")</f>
        <v>INICIALIZADO</v>
      </c>
      <c r="G4033" s="23">
        <f>IFERROR(__xludf.DUMMYFUNCTION("""COMPUTED_VALUE"""),45505.90170138889)</f>
        <v>45505.9017</v>
      </c>
      <c r="H4033" s="24" t="str">
        <f>IFERROR(VLOOKUP(B4033,material!A:D,3,0),"")</f>
        <v>BSOD GPON</v>
      </c>
    </row>
    <row r="4034" ht="11.25" customHeight="1">
      <c r="A4034" s="21" t="str">
        <f>IFERROR(__xludf.DUMMYFUNCTION("""COMPUTED_VALUE"""),"ONT GPON RESID 4GE PORTS ZXHN F600")</f>
        <v>ONT GPON RESID 4GE PORTS ZXHN F600</v>
      </c>
      <c r="B4034" s="22">
        <f>IFERROR(__xludf.DUMMYFUNCTION("""COMPUTED_VALUE"""),4.1001515E7)</f>
        <v>41001515</v>
      </c>
      <c r="C4034" s="21" t="str">
        <f>IFERROR(__xludf.DUMMYFUNCTION("""COMPUTED_VALUE"""),"D8E844C022E0")</f>
        <v>D8E844C022E0</v>
      </c>
      <c r="D4034" s="21" t="str">
        <f>IFERROR(__xludf.DUMMYFUNCTION("""COMPUTED_VALUE"""),"DIGITEC TECNOLOGIA DIGITAL E REPRES")</f>
        <v>DIGITEC TECNOLOGIA DIGITAL E REPRES</v>
      </c>
      <c r="E4034" s="21">
        <f>IFERROR(__xludf.DUMMYFUNCTION("""COMPUTED_VALUE"""),145359.0)</f>
        <v>145359</v>
      </c>
      <c r="F4034" s="21" t="str">
        <f>IFERROR(__xludf.DUMMYFUNCTION("""COMPUTED_VALUE"""),"INICIALIZADO")</f>
        <v>INICIALIZADO</v>
      </c>
      <c r="G4034" s="23">
        <f>IFERROR(__xludf.DUMMYFUNCTION("""COMPUTED_VALUE"""),45558.74795138889)</f>
        <v>45558.74795</v>
      </c>
      <c r="H4034" s="24" t="str">
        <f>IFERROR(VLOOKUP(B4034,material!A:D,3,0),"")</f>
        <v>BSOD GPON</v>
      </c>
    </row>
    <row r="4035" ht="11.25" customHeight="1">
      <c r="A4035" s="21" t="str">
        <f>IFERROR(__xludf.DUMMYFUNCTION("""COMPUTED_VALUE"""),"ONT GPON RESID 4GE PORTS ZXHN F600")</f>
        <v>ONT GPON RESID 4GE PORTS ZXHN F600</v>
      </c>
      <c r="B4035" s="22">
        <f>IFERROR(__xludf.DUMMYFUNCTION("""COMPUTED_VALUE"""),4.1001515E7)</f>
        <v>41001515</v>
      </c>
      <c r="C4035" s="21" t="str">
        <f>IFERROR(__xludf.DUMMYFUNCTION("""COMPUTED_VALUE"""),"D8E844C00672")</f>
        <v>D8E844C00672</v>
      </c>
      <c r="D4035" s="21" t="str">
        <f>IFERROR(__xludf.DUMMYFUNCTION("""COMPUTED_VALUE"""),"DIGITEC TECNOLOGIA DIGITAL E REPRES")</f>
        <v>DIGITEC TECNOLOGIA DIGITAL E REPRES</v>
      </c>
      <c r="E4035" s="21">
        <f>IFERROR(__xludf.DUMMYFUNCTION("""COMPUTED_VALUE"""),145359.0)</f>
        <v>145359</v>
      </c>
      <c r="F4035" s="21" t="str">
        <f>IFERROR(__xludf.DUMMYFUNCTION("""COMPUTED_VALUE"""),"INICIALIZADO")</f>
        <v>INICIALIZADO</v>
      </c>
      <c r="G4035" s="23">
        <f>IFERROR(__xludf.DUMMYFUNCTION("""COMPUTED_VALUE"""),45505.90170138889)</f>
        <v>45505.9017</v>
      </c>
      <c r="H4035" s="24" t="str">
        <f>IFERROR(VLOOKUP(B4035,material!A:D,3,0),"")</f>
        <v>BSOD GPON</v>
      </c>
    </row>
    <row r="4036" ht="11.25" customHeight="1">
      <c r="A4036" s="21" t="str">
        <f>IFERROR(__xludf.DUMMYFUNCTION("""COMPUTED_VALUE"""),"ONT GPON RESID 4GE PORTS ZXHN F600")</f>
        <v>ONT GPON RESID 4GE PORTS ZXHN F600</v>
      </c>
      <c r="B4036" s="22">
        <f>IFERROR(__xludf.DUMMYFUNCTION("""COMPUTED_VALUE"""),4.1001515E7)</f>
        <v>41001515</v>
      </c>
      <c r="C4036" s="21" t="str">
        <f>IFERROR(__xludf.DUMMYFUNCTION("""COMPUTED_VALUE"""),"D8E844C022EC")</f>
        <v>D8E844C022EC</v>
      </c>
      <c r="D4036" s="21" t="str">
        <f>IFERROR(__xludf.DUMMYFUNCTION("""COMPUTED_VALUE"""),"DIGITEC TECNOLOGIA DIGITAL E REPRES")</f>
        <v>DIGITEC TECNOLOGIA DIGITAL E REPRES</v>
      </c>
      <c r="E4036" s="21">
        <f>IFERROR(__xludf.DUMMYFUNCTION("""COMPUTED_VALUE"""),145359.0)</f>
        <v>145359</v>
      </c>
      <c r="F4036" s="21" t="str">
        <f>IFERROR(__xludf.DUMMYFUNCTION("""COMPUTED_VALUE"""),"INICIALIZADO")</f>
        <v>INICIALIZADO</v>
      </c>
      <c r="G4036" s="23">
        <f>IFERROR(__xludf.DUMMYFUNCTION("""COMPUTED_VALUE"""),45558.74795138889)</f>
        <v>45558.74795</v>
      </c>
      <c r="H4036" s="24" t="str">
        <f>IFERROR(VLOOKUP(B4036,material!A:D,3,0),"")</f>
        <v>BSOD GPON</v>
      </c>
    </row>
    <row r="4037" ht="11.25" customHeight="1">
      <c r="A4037" s="21" t="str">
        <f>IFERROR(__xludf.DUMMYFUNCTION("""COMPUTED_VALUE"""),"ONT GPON RESID 4GE PORTS ZXHN F600")</f>
        <v>ONT GPON RESID 4GE PORTS ZXHN F600</v>
      </c>
      <c r="B4037" s="22">
        <f>IFERROR(__xludf.DUMMYFUNCTION("""COMPUTED_VALUE"""),4.1001515E7)</f>
        <v>41001515</v>
      </c>
      <c r="C4037" s="21" t="str">
        <f>IFERROR(__xludf.DUMMYFUNCTION("""COMPUTED_VALUE"""),"D8E844C006A2")</f>
        <v>D8E844C006A2</v>
      </c>
      <c r="D4037" s="21" t="str">
        <f>IFERROR(__xludf.DUMMYFUNCTION("""COMPUTED_VALUE"""),"DIGITEC TECNOLOGIA DIGITAL E REPRES")</f>
        <v>DIGITEC TECNOLOGIA DIGITAL E REPRES</v>
      </c>
      <c r="E4037" s="21">
        <f>IFERROR(__xludf.DUMMYFUNCTION("""COMPUTED_VALUE"""),145359.0)</f>
        <v>145359</v>
      </c>
      <c r="F4037" s="21" t="str">
        <f>IFERROR(__xludf.DUMMYFUNCTION("""COMPUTED_VALUE"""),"INICIALIZADO")</f>
        <v>INICIALIZADO</v>
      </c>
      <c r="G4037" s="23">
        <f>IFERROR(__xludf.DUMMYFUNCTION("""COMPUTED_VALUE"""),45505.90170138889)</f>
        <v>45505.9017</v>
      </c>
      <c r="H4037" s="24" t="str">
        <f>IFERROR(VLOOKUP(B4037,material!A:D,3,0),"")</f>
        <v>BSOD GPON</v>
      </c>
    </row>
    <row r="4038" ht="11.25" customHeight="1">
      <c r="A4038" s="21" t="str">
        <f>IFERROR(__xludf.DUMMYFUNCTION("""COMPUTED_VALUE"""),"ONT GPON RESID 4GE PORTS ZXHN F600")</f>
        <v>ONT GPON RESID 4GE PORTS ZXHN F600</v>
      </c>
      <c r="B4038" s="22">
        <f>IFERROR(__xludf.DUMMYFUNCTION("""COMPUTED_VALUE"""),4.1001515E7)</f>
        <v>41001515</v>
      </c>
      <c r="C4038" s="21" t="str">
        <f>IFERROR(__xludf.DUMMYFUNCTION("""COMPUTED_VALUE"""),"D8E844C00702")</f>
        <v>D8E844C00702</v>
      </c>
      <c r="D4038" s="21" t="str">
        <f>IFERROR(__xludf.DUMMYFUNCTION("""COMPUTED_VALUE"""),"DIGITEC TECNOLOGIA DIGITAL E REPRES")</f>
        <v>DIGITEC TECNOLOGIA DIGITAL E REPRES</v>
      </c>
      <c r="E4038" s="21">
        <f>IFERROR(__xludf.DUMMYFUNCTION("""COMPUTED_VALUE"""),145359.0)</f>
        <v>145359</v>
      </c>
      <c r="F4038" s="21" t="str">
        <f>IFERROR(__xludf.DUMMYFUNCTION("""COMPUTED_VALUE"""),"INICIALIZADO")</f>
        <v>INICIALIZADO</v>
      </c>
      <c r="G4038" s="23">
        <f>IFERROR(__xludf.DUMMYFUNCTION("""COMPUTED_VALUE"""),45505.90170138889)</f>
        <v>45505.9017</v>
      </c>
      <c r="H4038" s="24" t="str">
        <f>IFERROR(VLOOKUP(B4038,material!A:D,3,0),"")</f>
        <v>BSOD GPON</v>
      </c>
    </row>
    <row r="4039" ht="11.25" customHeight="1">
      <c r="A4039" s="21" t="str">
        <f>IFERROR(__xludf.DUMMYFUNCTION("""COMPUTED_VALUE"""),"ONT GPON RESID 4GE PORTS ZXHN F600")</f>
        <v>ONT GPON RESID 4GE PORTS ZXHN F600</v>
      </c>
      <c r="B4039" s="22">
        <f>IFERROR(__xludf.DUMMYFUNCTION("""COMPUTED_VALUE"""),4.1001515E7)</f>
        <v>41001515</v>
      </c>
      <c r="C4039" s="21" t="str">
        <f>IFERROR(__xludf.DUMMYFUNCTION("""COMPUTED_VALUE"""),"D8E844C00750")</f>
        <v>D8E844C00750</v>
      </c>
      <c r="D4039" s="21" t="str">
        <f>IFERROR(__xludf.DUMMYFUNCTION("""COMPUTED_VALUE"""),"DIGITEC TECNOLOGIA DIGITAL E REPRES")</f>
        <v>DIGITEC TECNOLOGIA DIGITAL E REPRES</v>
      </c>
      <c r="E4039" s="21">
        <f>IFERROR(__xludf.DUMMYFUNCTION("""COMPUTED_VALUE"""),145359.0)</f>
        <v>145359</v>
      </c>
      <c r="F4039" s="21" t="str">
        <f>IFERROR(__xludf.DUMMYFUNCTION("""COMPUTED_VALUE"""),"INICIALIZADO")</f>
        <v>INICIALIZADO</v>
      </c>
      <c r="G4039" s="23">
        <f>IFERROR(__xludf.DUMMYFUNCTION("""COMPUTED_VALUE"""),45505.90170138889)</f>
        <v>45505.9017</v>
      </c>
      <c r="H4039" s="24" t="str">
        <f>IFERROR(VLOOKUP(B4039,material!A:D,3,0),"")</f>
        <v>BSOD GPON</v>
      </c>
    </row>
    <row r="4040" ht="11.25" customHeight="1">
      <c r="A4040" s="21" t="str">
        <f>IFERROR(__xludf.DUMMYFUNCTION("""COMPUTED_VALUE"""),"ONT GPON RESID 4GE PORTS ZXHN F600")</f>
        <v>ONT GPON RESID 4GE PORTS ZXHN F600</v>
      </c>
      <c r="B4040" s="22">
        <f>IFERROR(__xludf.DUMMYFUNCTION("""COMPUTED_VALUE"""),4.1001515E7)</f>
        <v>41001515</v>
      </c>
      <c r="C4040" s="21" t="str">
        <f>IFERROR(__xludf.DUMMYFUNCTION("""COMPUTED_VALUE"""),"5CA4F4FFFB6C")</f>
        <v>5CA4F4FFFB6C</v>
      </c>
      <c r="D4040" s="21" t="str">
        <f>IFERROR(__xludf.DUMMYFUNCTION("""COMPUTED_VALUE"""),"DIGITEC TECNOLOGIA DIGITAL E REPRES")</f>
        <v>DIGITEC TECNOLOGIA DIGITAL E REPRES</v>
      </c>
      <c r="E4040" s="21">
        <f>IFERROR(__xludf.DUMMYFUNCTION("""COMPUTED_VALUE"""),145359.0)</f>
        <v>145359</v>
      </c>
      <c r="F4040" s="21" t="str">
        <f>IFERROR(__xludf.DUMMYFUNCTION("""COMPUTED_VALUE"""),"INICIALIZADO")</f>
        <v>INICIALIZADO</v>
      </c>
      <c r="G4040" s="23">
        <f>IFERROR(__xludf.DUMMYFUNCTION("""COMPUTED_VALUE"""),45558.74795138889)</f>
        <v>45558.74795</v>
      </c>
      <c r="H4040" s="24" t="str">
        <f>IFERROR(VLOOKUP(B4040,material!A:D,3,0),"")</f>
        <v>BSOD GPON</v>
      </c>
    </row>
    <row r="4041" ht="11.25" customHeight="1">
      <c r="A4041" s="21" t="str">
        <f>IFERROR(__xludf.DUMMYFUNCTION("""COMPUTED_VALUE"""),"ONT GPON RESID 4GE PORTS ZXHN F600")</f>
        <v>ONT GPON RESID 4GE PORTS ZXHN F600</v>
      </c>
      <c r="B4041" s="22">
        <f>IFERROR(__xludf.DUMMYFUNCTION("""COMPUTED_VALUE"""),4.1001515E7)</f>
        <v>41001515</v>
      </c>
      <c r="C4041" s="21" t="str">
        <f>IFERROR(__xludf.DUMMYFUNCTION("""COMPUTED_VALUE"""),"D8E844C0107A")</f>
        <v>D8E844C0107A</v>
      </c>
      <c r="D4041" s="21" t="str">
        <f>IFERROR(__xludf.DUMMYFUNCTION("""COMPUTED_VALUE"""),"DIGITEC TECNOLOGIA DIGITAL E REPRES")</f>
        <v>DIGITEC TECNOLOGIA DIGITAL E REPRES</v>
      </c>
      <c r="E4041" s="21">
        <f>IFERROR(__xludf.DUMMYFUNCTION("""COMPUTED_VALUE"""),145359.0)</f>
        <v>145359</v>
      </c>
      <c r="F4041" s="21" t="str">
        <f>IFERROR(__xludf.DUMMYFUNCTION("""COMPUTED_VALUE"""),"INICIALIZADO")</f>
        <v>INICIALIZADO</v>
      </c>
      <c r="G4041" s="23">
        <f>IFERROR(__xludf.DUMMYFUNCTION("""COMPUTED_VALUE"""),45476.421435185184)</f>
        <v>45476.42144</v>
      </c>
      <c r="H4041" s="24" t="str">
        <f>IFERROR(VLOOKUP(B4041,material!A:D,3,0),"")</f>
        <v>BSOD GPON</v>
      </c>
    </row>
    <row r="4042" ht="11.25" customHeight="1">
      <c r="A4042" s="21" t="str">
        <f>IFERROR(__xludf.DUMMYFUNCTION("""COMPUTED_VALUE"""),"ONT GPON RESID 4GE PORTS ZXHN F600")</f>
        <v>ONT GPON RESID 4GE PORTS ZXHN F600</v>
      </c>
      <c r="B4042" s="22">
        <f>IFERROR(__xludf.DUMMYFUNCTION("""COMPUTED_VALUE"""),4.1001515E7)</f>
        <v>41001515</v>
      </c>
      <c r="C4042" s="21" t="str">
        <f>IFERROR(__xludf.DUMMYFUNCTION("""COMPUTED_VALUE"""),"D8E844C00696")</f>
        <v>D8E844C00696</v>
      </c>
      <c r="D4042" s="21" t="str">
        <f>IFERROR(__xludf.DUMMYFUNCTION("""COMPUTED_VALUE"""),"DIGITEC TECNOLOGIA DIGITAL E REPRES")</f>
        <v>DIGITEC TECNOLOGIA DIGITAL E REPRES</v>
      </c>
      <c r="E4042" s="21">
        <f>IFERROR(__xludf.DUMMYFUNCTION("""COMPUTED_VALUE"""),145359.0)</f>
        <v>145359</v>
      </c>
      <c r="F4042" s="21" t="str">
        <f>IFERROR(__xludf.DUMMYFUNCTION("""COMPUTED_VALUE"""),"INICIALIZADO")</f>
        <v>INICIALIZADO</v>
      </c>
      <c r="G4042" s="23">
        <f>IFERROR(__xludf.DUMMYFUNCTION("""COMPUTED_VALUE"""),45505.90170138889)</f>
        <v>45505.9017</v>
      </c>
      <c r="H4042" s="24" t="str">
        <f>IFERROR(VLOOKUP(B4042,material!A:D,3,0),"")</f>
        <v>BSOD GPON</v>
      </c>
    </row>
    <row r="4043" ht="11.25" customHeight="1">
      <c r="A4043" s="21" t="str">
        <f>IFERROR(__xludf.DUMMYFUNCTION("""COMPUTED_VALUE"""),"ONT GPON RESID 4GE PORTS ZXHN F600")</f>
        <v>ONT GPON RESID 4GE PORTS ZXHN F600</v>
      </c>
      <c r="B4043" s="22">
        <f>IFERROR(__xludf.DUMMYFUNCTION("""COMPUTED_VALUE"""),4.1001515E7)</f>
        <v>41001515</v>
      </c>
      <c r="C4043" s="21" t="str">
        <f>IFERROR(__xludf.DUMMYFUNCTION("""COMPUTED_VALUE"""),"D8E844C006F6")</f>
        <v>D8E844C006F6</v>
      </c>
      <c r="D4043" s="21" t="str">
        <f>IFERROR(__xludf.DUMMYFUNCTION("""COMPUTED_VALUE"""),"DIGITEC TECNOLOGIA DIGITAL E REPRES")</f>
        <v>DIGITEC TECNOLOGIA DIGITAL E REPRES</v>
      </c>
      <c r="E4043" s="21">
        <f>IFERROR(__xludf.DUMMYFUNCTION("""COMPUTED_VALUE"""),145359.0)</f>
        <v>145359</v>
      </c>
      <c r="F4043" s="21" t="str">
        <f>IFERROR(__xludf.DUMMYFUNCTION("""COMPUTED_VALUE"""),"INICIALIZADO")</f>
        <v>INICIALIZADO</v>
      </c>
      <c r="G4043" s="23">
        <f>IFERROR(__xludf.DUMMYFUNCTION("""COMPUTED_VALUE"""),45505.90170138889)</f>
        <v>45505.9017</v>
      </c>
      <c r="H4043" s="24" t="str">
        <f>IFERROR(VLOOKUP(B4043,material!A:D,3,0),"")</f>
        <v>BSOD GPON</v>
      </c>
    </row>
    <row r="4044" ht="11.25" customHeight="1">
      <c r="A4044" s="21" t="str">
        <f>IFERROR(__xludf.DUMMYFUNCTION("""COMPUTED_VALUE"""),"ONT GPON RESID 4GE PORTS ZXHN F600")</f>
        <v>ONT GPON RESID 4GE PORTS ZXHN F600</v>
      </c>
      <c r="B4044" s="22">
        <f>IFERROR(__xludf.DUMMYFUNCTION("""COMPUTED_VALUE"""),4.1001515E7)</f>
        <v>41001515</v>
      </c>
      <c r="C4044" s="21" t="str">
        <f>IFERROR(__xludf.DUMMYFUNCTION("""COMPUTED_VALUE"""),"5CA4F4FFF566")</f>
        <v>5CA4F4FFF566</v>
      </c>
      <c r="D4044" s="21" t="str">
        <f>IFERROR(__xludf.DUMMYFUNCTION("""COMPUTED_VALUE"""),"DIGITEC TECNOLOGIA DIGITAL E REPRES")</f>
        <v>DIGITEC TECNOLOGIA DIGITAL E REPRES</v>
      </c>
      <c r="E4044" s="21">
        <f>IFERROR(__xludf.DUMMYFUNCTION("""COMPUTED_VALUE"""),145359.0)</f>
        <v>145359</v>
      </c>
      <c r="F4044" s="21" t="str">
        <f>IFERROR(__xludf.DUMMYFUNCTION("""COMPUTED_VALUE"""),"INICIALIZADO")</f>
        <v>INICIALIZADO</v>
      </c>
      <c r="G4044" s="23">
        <f>IFERROR(__xludf.DUMMYFUNCTION("""COMPUTED_VALUE"""),45558.74795138889)</f>
        <v>45558.74795</v>
      </c>
      <c r="H4044" s="24" t="str">
        <f>IFERROR(VLOOKUP(B4044,material!A:D,3,0),"")</f>
        <v>BSOD GPON</v>
      </c>
    </row>
    <row r="4045" ht="11.25" customHeight="1">
      <c r="A4045" s="21" t="str">
        <f>IFERROR(__xludf.DUMMYFUNCTION("""COMPUTED_VALUE"""),"ONT GPON RESID 4GE PORTS ZXHN F600")</f>
        <v>ONT GPON RESID 4GE PORTS ZXHN F600</v>
      </c>
      <c r="B4045" s="22">
        <f>IFERROR(__xludf.DUMMYFUNCTION("""COMPUTED_VALUE"""),4.1001515E7)</f>
        <v>41001515</v>
      </c>
      <c r="C4045" s="21" t="str">
        <f>IFERROR(__xludf.DUMMYFUNCTION("""COMPUTED_VALUE"""),"D8E844C005D0")</f>
        <v>D8E844C005D0</v>
      </c>
      <c r="D4045" s="21" t="str">
        <f>IFERROR(__xludf.DUMMYFUNCTION("""COMPUTED_VALUE"""),"DIGITEC TECNOLOGIA DIGITAL E REPRES")</f>
        <v>DIGITEC TECNOLOGIA DIGITAL E REPRES</v>
      </c>
      <c r="E4045" s="21">
        <f>IFERROR(__xludf.DUMMYFUNCTION("""COMPUTED_VALUE"""),145359.0)</f>
        <v>145359</v>
      </c>
      <c r="F4045" s="21" t="str">
        <f>IFERROR(__xludf.DUMMYFUNCTION("""COMPUTED_VALUE"""),"INICIALIZADO")</f>
        <v>INICIALIZADO</v>
      </c>
      <c r="G4045" s="23">
        <f>IFERROR(__xludf.DUMMYFUNCTION("""COMPUTED_VALUE"""),45505.90170138889)</f>
        <v>45505.9017</v>
      </c>
      <c r="H4045" s="24" t="str">
        <f>IFERROR(VLOOKUP(B4045,material!A:D,3,0),"")</f>
        <v>BSOD GPON</v>
      </c>
    </row>
    <row r="4046" ht="11.25" customHeight="1">
      <c r="A4046" s="21" t="str">
        <f>IFERROR(__xludf.DUMMYFUNCTION("""COMPUTED_VALUE"""),"ONT GPON RESID 4GE PORTS ZXHN F600")</f>
        <v>ONT GPON RESID 4GE PORTS ZXHN F600</v>
      </c>
      <c r="B4046" s="22">
        <f>IFERROR(__xludf.DUMMYFUNCTION("""COMPUTED_VALUE"""),4.1001515E7)</f>
        <v>41001515</v>
      </c>
      <c r="C4046" s="21" t="str">
        <f>IFERROR(__xludf.DUMMYFUNCTION("""COMPUTED_VALUE"""),"D8E844C006A8")</f>
        <v>D8E844C006A8</v>
      </c>
      <c r="D4046" s="21" t="str">
        <f>IFERROR(__xludf.DUMMYFUNCTION("""COMPUTED_VALUE"""),"DIGITEC TECNOLOGIA DIGITAL E REPRES")</f>
        <v>DIGITEC TECNOLOGIA DIGITAL E REPRES</v>
      </c>
      <c r="E4046" s="21">
        <f>IFERROR(__xludf.DUMMYFUNCTION("""COMPUTED_VALUE"""),145359.0)</f>
        <v>145359</v>
      </c>
      <c r="F4046" s="21" t="str">
        <f>IFERROR(__xludf.DUMMYFUNCTION("""COMPUTED_VALUE"""),"INICIALIZADO")</f>
        <v>INICIALIZADO</v>
      </c>
      <c r="G4046" s="23">
        <f>IFERROR(__xludf.DUMMYFUNCTION("""COMPUTED_VALUE"""),45505.90170138889)</f>
        <v>45505.9017</v>
      </c>
      <c r="H4046" s="24" t="str">
        <f>IFERROR(VLOOKUP(B4046,material!A:D,3,0),"")</f>
        <v>BSOD GPON</v>
      </c>
    </row>
    <row r="4047" ht="11.25" customHeight="1">
      <c r="A4047" s="21" t="str">
        <f>IFERROR(__xludf.DUMMYFUNCTION("""COMPUTED_VALUE"""),"TERMINAL GPON ONT WIFI F6645P")</f>
        <v>TERMINAL GPON ONT WIFI F6645P</v>
      </c>
      <c r="B4047" s="22">
        <f>IFERROR(__xludf.DUMMYFUNCTION("""COMPUTED_VALUE"""),4.100156E7)</f>
        <v>41001560</v>
      </c>
      <c r="C4047" s="21" t="str">
        <f>IFERROR(__xludf.DUMMYFUNCTION("""COMPUTED_VALUE"""),"9C635B904E34")</f>
        <v>9C635B904E34</v>
      </c>
      <c r="D4047" s="21" t="str">
        <f>IFERROR(__xludf.DUMMYFUNCTION("""COMPUTED_VALUE"""),"DIGITEC TECNOLOGIA DIGITAL E REPRES")</f>
        <v>DIGITEC TECNOLOGIA DIGITAL E REPRES</v>
      </c>
      <c r="E4047" s="21">
        <f>IFERROR(__xludf.DUMMYFUNCTION("""COMPUTED_VALUE"""),145359.0)</f>
        <v>145359</v>
      </c>
      <c r="F4047" s="21" t="str">
        <f>IFERROR(__xludf.DUMMYFUNCTION("""COMPUTED_VALUE"""),"INICIALIZADO")</f>
        <v>INICIALIZADO</v>
      </c>
      <c r="G4047" s="23">
        <f>IFERROR(__xludf.DUMMYFUNCTION("""COMPUTED_VALUE"""),45573.66678240741)</f>
        <v>45573.66678</v>
      </c>
      <c r="H4047" s="24" t="str">
        <f>IFERROR(VLOOKUP(B4047,material!A:D,3,0),"")</f>
        <v>GPON 6</v>
      </c>
    </row>
    <row r="4048" ht="11.25" customHeight="1">
      <c r="A4048" s="21" t="str">
        <f>IFERROR(__xludf.DUMMYFUNCTION("""COMPUTED_VALUE"""),"TERMINAL GPON ONT WIFI F6645P")</f>
        <v>TERMINAL GPON ONT WIFI F6645P</v>
      </c>
      <c r="B4048" s="22">
        <f>IFERROR(__xludf.DUMMYFUNCTION("""COMPUTED_VALUE"""),4.100156E7)</f>
        <v>41001560</v>
      </c>
      <c r="C4048" s="21" t="str">
        <f>IFERROR(__xludf.DUMMYFUNCTION("""COMPUTED_VALUE"""),"9C635B90B980")</f>
        <v>9C635B90B980</v>
      </c>
      <c r="D4048" s="21" t="str">
        <f>IFERROR(__xludf.DUMMYFUNCTION("""COMPUTED_VALUE"""),"DIGITEC TECNOLOGIA DIGITAL E REPRES")</f>
        <v>DIGITEC TECNOLOGIA DIGITAL E REPRES</v>
      </c>
      <c r="E4048" s="21">
        <f>IFERROR(__xludf.DUMMYFUNCTION("""COMPUTED_VALUE"""),145359.0)</f>
        <v>145359</v>
      </c>
      <c r="F4048" s="21" t="str">
        <f>IFERROR(__xludf.DUMMYFUNCTION("""COMPUTED_VALUE"""),"INICIALIZADO")</f>
        <v>INICIALIZADO</v>
      </c>
      <c r="G4048" s="23">
        <f>IFERROR(__xludf.DUMMYFUNCTION("""COMPUTED_VALUE"""),45457.744733796295)</f>
        <v>45457.74473</v>
      </c>
      <c r="H4048" s="24" t="str">
        <f>IFERROR(VLOOKUP(B4048,material!A:D,3,0),"")</f>
        <v>GPON 6</v>
      </c>
    </row>
    <row r="4049" ht="11.25" customHeight="1">
      <c r="A4049" s="21" t="str">
        <f>IFERROR(__xludf.DUMMYFUNCTION("""COMPUTED_VALUE"""),"TERMINAL GPON ONT WIFI F6645P")</f>
        <v>TERMINAL GPON ONT WIFI F6645P</v>
      </c>
      <c r="B4049" s="22">
        <f>IFERROR(__xludf.DUMMYFUNCTION("""COMPUTED_VALUE"""),4.100156E7)</f>
        <v>41001560</v>
      </c>
      <c r="C4049" s="21" t="str">
        <f>IFERROR(__xludf.DUMMYFUNCTION("""COMPUTED_VALUE"""),"9C635B889C0C")</f>
        <v>9C635B889C0C</v>
      </c>
      <c r="D4049" s="21" t="str">
        <f>IFERROR(__xludf.DUMMYFUNCTION("""COMPUTED_VALUE"""),"DIGITEC TECNOLOGIA DIGITAL E REPRES")</f>
        <v>DIGITEC TECNOLOGIA DIGITAL E REPRES</v>
      </c>
      <c r="E4049" s="21">
        <f>IFERROR(__xludf.DUMMYFUNCTION("""COMPUTED_VALUE"""),145359.0)</f>
        <v>145359</v>
      </c>
      <c r="F4049" s="21" t="str">
        <f>IFERROR(__xludf.DUMMYFUNCTION("""COMPUTED_VALUE"""),"INICIALIZADO")</f>
        <v>INICIALIZADO</v>
      </c>
      <c r="G4049" s="23">
        <f>IFERROR(__xludf.DUMMYFUNCTION("""COMPUTED_VALUE"""),45573.66679398148)</f>
        <v>45573.66679</v>
      </c>
      <c r="H4049" s="24" t="str">
        <f>IFERROR(VLOOKUP(B4049,material!A:D,3,0),"")</f>
        <v>GPON 6</v>
      </c>
    </row>
    <row r="4050" ht="11.25" customHeight="1">
      <c r="A4050" s="21" t="str">
        <f>IFERROR(__xludf.DUMMYFUNCTION("""COMPUTED_VALUE"""),"TERMINAL GPON ONT WIFI F6645P")</f>
        <v>TERMINAL GPON ONT WIFI F6645P</v>
      </c>
      <c r="B4050" s="22">
        <f>IFERROR(__xludf.DUMMYFUNCTION("""COMPUTED_VALUE"""),4.100156E7)</f>
        <v>41001560</v>
      </c>
      <c r="C4050" s="21" t="str">
        <f>IFERROR(__xludf.DUMMYFUNCTION("""COMPUTED_VALUE"""),"9C635B889C5A")</f>
        <v>9C635B889C5A</v>
      </c>
      <c r="D4050" s="21" t="str">
        <f>IFERROR(__xludf.DUMMYFUNCTION("""COMPUTED_VALUE"""),"DIGITEC TECNOLOGIA DIGITAL E REPRES")</f>
        <v>DIGITEC TECNOLOGIA DIGITAL E REPRES</v>
      </c>
      <c r="E4050" s="21">
        <f>IFERROR(__xludf.DUMMYFUNCTION("""COMPUTED_VALUE"""),145359.0)</f>
        <v>145359</v>
      </c>
      <c r="F4050" s="21" t="str">
        <f>IFERROR(__xludf.DUMMYFUNCTION("""COMPUTED_VALUE"""),"INICIALIZADO")</f>
        <v>INICIALIZADO</v>
      </c>
      <c r="G4050" s="23">
        <f>IFERROR(__xludf.DUMMYFUNCTION("""COMPUTED_VALUE"""),45573.66679398148)</f>
        <v>45573.66679</v>
      </c>
      <c r="H4050" s="24" t="str">
        <f>IFERROR(VLOOKUP(B4050,material!A:D,3,0),"")</f>
        <v>GPON 6</v>
      </c>
    </row>
    <row r="4051" ht="11.25" customHeight="1">
      <c r="A4051" s="21" t="str">
        <f>IFERROR(__xludf.DUMMYFUNCTION("""COMPUTED_VALUE"""),"TERMINAL GPON ONT WIFI F6645P")</f>
        <v>TERMINAL GPON ONT WIFI F6645P</v>
      </c>
      <c r="B4051" s="22">
        <f>IFERROR(__xludf.DUMMYFUNCTION("""COMPUTED_VALUE"""),4.100156E7)</f>
        <v>41001560</v>
      </c>
      <c r="C4051" s="21" t="str">
        <f>IFERROR(__xludf.DUMMYFUNCTION("""COMPUTED_VALUE"""),"9C635B889B34")</f>
        <v>9C635B889B34</v>
      </c>
      <c r="D4051" s="21" t="str">
        <f>IFERROR(__xludf.DUMMYFUNCTION("""COMPUTED_VALUE"""),"DIGITEC TECNOLOGIA DIGITAL E REPRES")</f>
        <v>DIGITEC TECNOLOGIA DIGITAL E REPRES</v>
      </c>
      <c r="E4051" s="21">
        <f>IFERROR(__xludf.DUMMYFUNCTION("""COMPUTED_VALUE"""),145359.0)</f>
        <v>145359</v>
      </c>
      <c r="F4051" s="21" t="str">
        <f>IFERROR(__xludf.DUMMYFUNCTION("""COMPUTED_VALUE"""),"INICIALIZADO")</f>
        <v>INICIALIZADO</v>
      </c>
      <c r="G4051" s="23">
        <f>IFERROR(__xludf.DUMMYFUNCTION("""COMPUTED_VALUE"""),45573.66679398148)</f>
        <v>45573.66679</v>
      </c>
      <c r="H4051" s="24" t="str">
        <f>IFERROR(VLOOKUP(B4051,material!A:D,3,0),"")</f>
        <v>GPON 6</v>
      </c>
    </row>
    <row r="4052" ht="11.25" customHeight="1">
      <c r="A4052" s="21" t="str">
        <f>IFERROR(__xludf.DUMMYFUNCTION("""COMPUTED_VALUE"""),"TERMINAL GPON ONT WIFI F6645P")</f>
        <v>TERMINAL GPON ONT WIFI F6645P</v>
      </c>
      <c r="B4052" s="22">
        <f>IFERROR(__xludf.DUMMYFUNCTION("""COMPUTED_VALUE"""),4.100156E7)</f>
        <v>41001560</v>
      </c>
      <c r="C4052" s="21" t="str">
        <f>IFERROR(__xludf.DUMMYFUNCTION("""COMPUTED_VALUE"""),"9C635B900E74")</f>
        <v>9C635B900E74</v>
      </c>
      <c r="D4052" s="21" t="str">
        <f>IFERROR(__xludf.DUMMYFUNCTION("""COMPUTED_VALUE"""),"DIGITEC TECNOLOGIA DIGITAL E REPRES")</f>
        <v>DIGITEC TECNOLOGIA DIGITAL E REPRES</v>
      </c>
      <c r="E4052" s="21">
        <f>IFERROR(__xludf.DUMMYFUNCTION("""COMPUTED_VALUE"""),145359.0)</f>
        <v>145359</v>
      </c>
      <c r="F4052" s="21" t="str">
        <f>IFERROR(__xludf.DUMMYFUNCTION("""COMPUTED_VALUE"""),"INICIALIZADO")</f>
        <v>INICIALIZADO</v>
      </c>
      <c r="G4052" s="23">
        <f>IFERROR(__xludf.DUMMYFUNCTION("""COMPUTED_VALUE"""),45446.32622685185)</f>
        <v>45446.32623</v>
      </c>
      <c r="H4052" s="24" t="str">
        <f>IFERROR(VLOOKUP(B4052,material!A:D,3,0),"")</f>
        <v>GPON 6</v>
      </c>
    </row>
    <row r="4053" ht="11.25" customHeight="1">
      <c r="A4053" s="21" t="str">
        <f>IFERROR(__xludf.DUMMYFUNCTION("""COMPUTED_VALUE"""),"TERMINAL GPON ONT WIFI F6645P")</f>
        <v>TERMINAL GPON ONT WIFI F6645P</v>
      </c>
      <c r="B4053" s="22">
        <f>IFERROR(__xludf.DUMMYFUNCTION("""COMPUTED_VALUE"""),4.100156E7)</f>
        <v>41001560</v>
      </c>
      <c r="C4053" s="21" t="str">
        <f>IFERROR(__xludf.DUMMYFUNCTION("""COMPUTED_VALUE"""),"9C635B8CFB1E")</f>
        <v>9C635B8CFB1E</v>
      </c>
      <c r="D4053" s="21" t="str">
        <f>IFERROR(__xludf.DUMMYFUNCTION("""COMPUTED_VALUE"""),"DIGITEC TECNOLOGIA DIGITAL E REPRES")</f>
        <v>DIGITEC TECNOLOGIA DIGITAL E REPRES</v>
      </c>
      <c r="E4053" s="21">
        <f>IFERROR(__xludf.DUMMYFUNCTION("""COMPUTED_VALUE"""),145359.0)</f>
        <v>145359</v>
      </c>
      <c r="F4053" s="21" t="str">
        <f>IFERROR(__xludf.DUMMYFUNCTION("""COMPUTED_VALUE"""),"INICIALIZADO")</f>
        <v>INICIALIZADO</v>
      </c>
      <c r="G4053" s="23">
        <f>IFERROR(__xludf.DUMMYFUNCTION("""COMPUTED_VALUE"""),45615.61861111112)</f>
        <v>45615.61861</v>
      </c>
      <c r="H4053" s="24" t="str">
        <f>IFERROR(VLOOKUP(B4053,material!A:D,3,0),"")</f>
        <v>GPON 6</v>
      </c>
    </row>
    <row r="4054" ht="11.25" customHeight="1">
      <c r="A4054" s="21" t="str">
        <f>IFERROR(__xludf.DUMMYFUNCTION("""COMPUTED_VALUE"""),"TERMINAL GPON ONT WIFI F6645P")</f>
        <v>TERMINAL GPON ONT WIFI F6645P</v>
      </c>
      <c r="B4054" s="22">
        <f>IFERROR(__xludf.DUMMYFUNCTION("""COMPUTED_VALUE"""),4.100156E7)</f>
        <v>41001560</v>
      </c>
      <c r="C4054" s="21" t="str">
        <f>IFERROR(__xludf.DUMMYFUNCTION("""COMPUTED_VALUE"""),"9C635B8CFAFA")</f>
        <v>9C635B8CFAFA</v>
      </c>
      <c r="D4054" s="21" t="str">
        <f>IFERROR(__xludf.DUMMYFUNCTION("""COMPUTED_VALUE"""),"DIGITEC TECNOLOGIA DIGITAL E REPRES")</f>
        <v>DIGITEC TECNOLOGIA DIGITAL E REPRES</v>
      </c>
      <c r="E4054" s="21">
        <f>IFERROR(__xludf.DUMMYFUNCTION("""COMPUTED_VALUE"""),145359.0)</f>
        <v>145359</v>
      </c>
      <c r="F4054" s="21" t="str">
        <f>IFERROR(__xludf.DUMMYFUNCTION("""COMPUTED_VALUE"""),"INICIALIZADO")</f>
        <v>INICIALIZADO</v>
      </c>
      <c r="G4054" s="23">
        <f>IFERROR(__xludf.DUMMYFUNCTION("""COMPUTED_VALUE"""),45615.61861111112)</f>
        <v>45615.61861</v>
      </c>
      <c r="H4054" s="24" t="str">
        <f>IFERROR(VLOOKUP(B4054,material!A:D,3,0),"")</f>
        <v>GPON 6</v>
      </c>
    </row>
    <row r="4055" ht="11.25" customHeight="1">
      <c r="A4055" s="21" t="str">
        <f>IFERROR(__xludf.DUMMYFUNCTION("""COMPUTED_VALUE"""),"TERMINAL GPON ONT WIFI F6645P")</f>
        <v>TERMINAL GPON ONT WIFI F6645P</v>
      </c>
      <c r="B4055" s="22">
        <f>IFERROR(__xludf.DUMMYFUNCTION("""COMPUTED_VALUE"""),4.100156E7)</f>
        <v>41001560</v>
      </c>
      <c r="C4055" s="21" t="str">
        <f>IFERROR(__xludf.DUMMYFUNCTION("""COMPUTED_VALUE"""),"9C635B8AFEE0")</f>
        <v>9C635B8AFEE0</v>
      </c>
      <c r="D4055" s="21" t="str">
        <f>IFERROR(__xludf.DUMMYFUNCTION("""COMPUTED_VALUE"""),"DIGITEC TECNOLOGIA DIGITAL E REPRES")</f>
        <v>DIGITEC TECNOLOGIA DIGITAL E REPRES</v>
      </c>
      <c r="E4055" s="21">
        <f>IFERROR(__xludf.DUMMYFUNCTION("""COMPUTED_VALUE"""),145359.0)</f>
        <v>145359</v>
      </c>
      <c r="F4055" s="21" t="str">
        <f>IFERROR(__xludf.DUMMYFUNCTION("""COMPUTED_VALUE"""),"INICIALIZADO")</f>
        <v>INICIALIZADO</v>
      </c>
      <c r="G4055" s="23">
        <f>IFERROR(__xludf.DUMMYFUNCTION("""COMPUTED_VALUE"""),45604.74098379629)</f>
        <v>45604.74098</v>
      </c>
      <c r="H4055" s="24" t="str">
        <f>IFERROR(VLOOKUP(B4055,material!A:D,3,0),"")</f>
        <v>GPON 6</v>
      </c>
    </row>
    <row r="4056" ht="11.25" customHeight="1">
      <c r="A4056" s="21" t="str">
        <f>IFERROR(__xludf.DUMMYFUNCTION("""COMPUTED_VALUE"""),"TERMINAL GPON ONT WIFI F6645P")</f>
        <v>TERMINAL GPON ONT WIFI F6645P</v>
      </c>
      <c r="B4056" s="22">
        <f>IFERROR(__xludf.DUMMYFUNCTION("""COMPUTED_VALUE"""),4.100156E7)</f>
        <v>41001560</v>
      </c>
      <c r="C4056" s="21" t="str">
        <f>IFERROR(__xludf.DUMMYFUNCTION("""COMPUTED_VALUE"""),"9C635B8B9FB4")</f>
        <v>9C635B8B9FB4</v>
      </c>
      <c r="D4056" s="21" t="str">
        <f>IFERROR(__xludf.DUMMYFUNCTION("""COMPUTED_VALUE"""),"DIGITEC TECNOLOGIA DIGITAL E REPRES")</f>
        <v>DIGITEC TECNOLOGIA DIGITAL E REPRES</v>
      </c>
      <c r="E4056" s="21">
        <f>IFERROR(__xludf.DUMMYFUNCTION("""COMPUTED_VALUE"""),145359.0)</f>
        <v>145359</v>
      </c>
      <c r="F4056" s="21" t="str">
        <f>IFERROR(__xludf.DUMMYFUNCTION("""COMPUTED_VALUE"""),"INICIALIZADO")</f>
        <v>INICIALIZADO</v>
      </c>
      <c r="G4056" s="23">
        <f>IFERROR(__xludf.DUMMYFUNCTION("""COMPUTED_VALUE"""),45618.74480324074)</f>
        <v>45618.7448</v>
      </c>
      <c r="H4056" s="24" t="str">
        <f>IFERROR(VLOOKUP(B4056,material!A:D,3,0),"")</f>
        <v>GPON 6</v>
      </c>
    </row>
    <row r="4057" ht="11.25" customHeight="1">
      <c r="A4057" s="21" t="str">
        <f>IFERROR(__xludf.DUMMYFUNCTION("""COMPUTED_VALUE"""),"TERMINAL GPON ONT WIFI F6645P")</f>
        <v>TERMINAL GPON ONT WIFI F6645P</v>
      </c>
      <c r="B4057" s="22">
        <f>IFERROR(__xludf.DUMMYFUNCTION("""COMPUTED_VALUE"""),4.100156E7)</f>
        <v>41001560</v>
      </c>
      <c r="C4057" s="21" t="str">
        <f>IFERROR(__xludf.DUMMYFUNCTION("""COMPUTED_VALUE"""),"9C635B8B0C06")</f>
        <v>9C635B8B0C06</v>
      </c>
      <c r="D4057" s="21" t="str">
        <f>IFERROR(__xludf.DUMMYFUNCTION("""COMPUTED_VALUE"""),"DIGITEC TECNOLOGIA DIGITAL E REPRES")</f>
        <v>DIGITEC TECNOLOGIA DIGITAL E REPRES</v>
      </c>
      <c r="E4057" s="21">
        <f>IFERROR(__xludf.DUMMYFUNCTION("""COMPUTED_VALUE"""),145359.0)</f>
        <v>145359</v>
      </c>
      <c r="F4057" s="21" t="str">
        <f>IFERROR(__xludf.DUMMYFUNCTION("""COMPUTED_VALUE"""),"INICIALIZADO")</f>
        <v>INICIALIZADO</v>
      </c>
      <c r="G4057" s="23">
        <f>IFERROR(__xludf.DUMMYFUNCTION("""COMPUTED_VALUE"""),45642.52415509259)</f>
        <v>45642.52416</v>
      </c>
      <c r="H4057" s="24" t="str">
        <f>IFERROR(VLOOKUP(B4057,material!A:D,3,0),"")</f>
        <v>GPON 6</v>
      </c>
    </row>
    <row r="4058" ht="11.25" customHeight="1">
      <c r="A4058" s="21" t="str">
        <f>IFERROR(__xludf.DUMMYFUNCTION("""COMPUTED_VALUE"""),"TERMINAL GPON ONT WIFI F6645P")</f>
        <v>TERMINAL GPON ONT WIFI F6645P</v>
      </c>
      <c r="B4058" s="22">
        <f>IFERROR(__xludf.DUMMYFUNCTION("""COMPUTED_VALUE"""),4.100156E7)</f>
        <v>41001560</v>
      </c>
      <c r="C4058" s="21" t="str">
        <f>IFERROR(__xludf.DUMMYFUNCTION("""COMPUTED_VALUE"""),"9C635B8B0C12")</f>
        <v>9C635B8B0C12</v>
      </c>
      <c r="D4058" s="21" t="str">
        <f>IFERROR(__xludf.DUMMYFUNCTION("""COMPUTED_VALUE"""),"DIGITEC TECNOLOGIA DIGITAL E REPRES")</f>
        <v>DIGITEC TECNOLOGIA DIGITAL E REPRES</v>
      </c>
      <c r="E4058" s="21">
        <f>IFERROR(__xludf.DUMMYFUNCTION("""COMPUTED_VALUE"""),145359.0)</f>
        <v>145359</v>
      </c>
      <c r="F4058" s="21" t="str">
        <f>IFERROR(__xludf.DUMMYFUNCTION("""COMPUTED_VALUE"""),"INICIALIZADO")</f>
        <v>INICIALIZADO</v>
      </c>
      <c r="G4058" s="23">
        <f>IFERROR(__xludf.DUMMYFUNCTION("""COMPUTED_VALUE"""),45642.52415509259)</f>
        <v>45642.52416</v>
      </c>
      <c r="H4058" s="24" t="str">
        <f>IFERROR(VLOOKUP(B4058,material!A:D,3,0),"")</f>
        <v>GPON 6</v>
      </c>
    </row>
    <row r="4059" ht="11.25" customHeight="1">
      <c r="A4059" s="21" t="str">
        <f>IFERROR(__xludf.DUMMYFUNCTION("""COMPUTED_VALUE"""),"TERMINAL GPON ONT WIFI F6645P")</f>
        <v>TERMINAL GPON ONT WIFI F6645P</v>
      </c>
      <c r="B4059" s="22">
        <f>IFERROR(__xludf.DUMMYFUNCTION("""COMPUTED_VALUE"""),4.100156E7)</f>
        <v>41001560</v>
      </c>
      <c r="C4059" s="21" t="str">
        <f>IFERROR(__xludf.DUMMYFUNCTION("""COMPUTED_VALUE"""),"9C635B8B0C48")</f>
        <v>9C635B8B0C48</v>
      </c>
      <c r="D4059" s="21" t="str">
        <f>IFERROR(__xludf.DUMMYFUNCTION("""COMPUTED_VALUE"""),"DIGITEC TECNOLOGIA DIGITAL E REPRES")</f>
        <v>DIGITEC TECNOLOGIA DIGITAL E REPRES</v>
      </c>
      <c r="E4059" s="21">
        <f>IFERROR(__xludf.DUMMYFUNCTION("""COMPUTED_VALUE"""),145359.0)</f>
        <v>145359</v>
      </c>
      <c r="F4059" s="21" t="str">
        <f>IFERROR(__xludf.DUMMYFUNCTION("""COMPUTED_VALUE"""),"INICIALIZADO")</f>
        <v>INICIALIZADO</v>
      </c>
      <c r="G4059" s="23">
        <f>IFERROR(__xludf.DUMMYFUNCTION("""COMPUTED_VALUE"""),45642.52415509259)</f>
        <v>45642.52416</v>
      </c>
      <c r="H4059" s="24" t="str">
        <f>IFERROR(VLOOKUP(B4059,material!A:D,3,0),"")</f>
        <v>GPON 6</v>
      </c>
    </row>
    <row r="4060" ht="11.25" customHeight="1">
      <c r="A4060" s="21" t="str">
        <f>IFERROR(__xludf.DUMMYFUNCTION("""COMPUTED_VALUE"""),"TERMINAL GPON ONT WIFI F6645P")</f>
        <v>TERMINAL GPON ONT WIFI F6645P</v>
      </c>
      <c r="B4060" s="22">
        <f>IFERROR(__xludf.DUMMYFUNCTION("""COMPUTED_VALUE"""),4.100156E7)</f>
        <v>41001560</v>
      </c>
      <c r="C4060" s="21" t="str">
        <f>IFERROR(__xludf.DUMMYFUNCTION("""COMPUTED_VALUE"""),"9C635B8B0C9C")</f>
        <v>9C635B8B0C9C</v>
      </c>
      <c r="D4060" s="21" t="str">
        <f>IFERROR(__xludf.DUMMYFUNCTION("""COMPUTED_VALUE"""),"DIGITEC TECNOLOGIA DIGITAL E REPRES")</f>
        <v>DIGITEC TECNOLOGIA DIGITAL E REPRES</v>
      </c>
      <c r="E4060" s="21">
        <f>IFERROR(__xludf.DUMMYFUNCTION("""COMPUTED_VALUE"""),145359.0)</f>
        <v>145359</v>
      </c>
      <c r="F4060" s="21" t="str">
        <f>IFERROR(__xludf.DUMMYFUNCTION("""COMPUTED_VALUE"""),"INICIALIZADO")</f>
        <v>INICIALIZADO</v>
      </c>
      <c r="G4060" s="23">
        <f>IFERROR(__xludf.DUMMYFUNCTION("""COMPUTED_VALUE"""),45642.52415509259)</f>
        <v>45642.52416</v>
      </c>
      <c r="H4060" s="24" t="str">
        <f>IFERROR(VLOOKUP(B4060,material!A:D,3,0),"")</f>
        <v>GPON 6</v>
      </c>
    </row>
    <row r="4061" ht="11.25" customHeight="1">
      <c r="A4061" s="21" t="str">
        <f>IFERROR(__xludf.DUMMYFUNCTION("""COMPUTED_VALUE"""),"TERMINAL GPON ONT WIFI F6645P")</f>
        <v>TERMINAL GPON ONT WIFI F6645P</v>
      </c>
      <c r="B4061" s="22">
        <f>IFERROR(__xludf.DUMMYFUNCTION("""COMPUTED_VALUE"""),4.100156E7)</f>
        <v>41001560</v>
      </c>
      <c r="C4061" s="21" t="str">
        <f>IFERROR(__xludf.DUMMYFUNCTION("""COMPUTED_VALUE"""),"9C635B8AFFC4")</f>
        <v>9C635B8AFFC4</v>
      </c>
      <c r="D4061" s="21" t="str">
        <f>IFERROR(__xludf.DUMMYFUNCTION("""COMPUTED_VALUE"""),"DIGITEC TECNOLOGIA DIGITAL E REPRES")</f>
        <v>DIGITEC TECNOLOGIA DIGITAL E REPRES</v>
      </c>
      <c r="E4061" s="21">
        <f>IFERROR(__xludf.DUMMYFUNCTION("""COMPUTED_VALUE"""),145359.0)</f>
        <v>145359</v>
      </c>
      <c r="F4061" s="21" t="str">
        <f>IFERROR(__xludf.DUMMYFUNCTION("""COMPUTED_VALUE"""),"INICIALIZADO")</f>
        <v>INICIALIZADO</v>
      </c>
      <c r="G4061" s="23">
        <f>IFERROR(__xludf.DUMMYFUNCTION("""COMPUTED_VALUE"""),45642.52416666667)</f>
        <v>45642.52417</v>
      </c>
      <c r="H4061" s="24" t="str">
        <f>IFERROR(VLOOKUP(B4061,material!A:D,3,0),"")</f>
        <v>GPON 6</v>
      </c>
    </row>
    <row r="4062" ht="11.25" customHeight="1">
      <c r="A4062" s="21" t="str">
        <f>IFERROR(__xludf.DUMMYFUNCTION("""COMPUTED_VALUE"""),"TERMINAL GPON ONT WIFI F6645P")</f>
        <v>TERMINAL GPON ONT WIFI F6645P</v>
      </c>
      <c r="B4062" s="22">
        <f>IFERROR(__xludf.DUMMYFUNCTION("""COMPUTED_VALUE"""),4.100156E7)</f>
        <v>41001560</v>
      </c>
      <c r="C4062" s="21" t="str">
        <f>IFERROR(__xludf.DUMMYFUNCTION("""COMPUTED_VALUE"""),"9C635B8B054C")</f>
        <v>9C635B8B054C</v>
      </c>
      <c r="D4062" s="21" t="str">
        <f>IFERROR(__xludf.DUMMYFUNCTION("""COMPUTED_VALUE"""),"DIGITEC TECNOLOGIA DIGITAL E REPRES")</f>
        <v>DIGITEC TECNOLOGIA DIGITAL E REPRES</v>
      </c>
      <c r="E4062" s="21">
        <f>IFERROR(__xludf.DUMMYFUNCTION("""COMPUTED_VALUE"""),145359.0)</f>
        <v>145359</v>
      </c>
      <c r="F4062" s="21" t="str">
        <f>IFERROR(__xludf.DUMMYFUNCTION("""COMPUTED_VALUE"""),"INICIALIZADO")</f>
        <v>INICIALIZADO</v>
      </c>
      <c r="G4062" s="23">
        <f>IFERROR(__xludf.DUMMYFUNCTION("""COMPUTED_VALUE"""),45642.52416666667)</f>
        <v>45642.52417</v>
      </c>
      <c r="H4062" s="24" t="str">
        <f>IFERROR(VLOOKUP(B4062,material!A:D,3,0),"")</f>
        <v>GPON 6</v>
      </c>
    </row>
    <row r="4063" ht="11.25" customHeight="1">
      <c r="A4063" s="21" t="str">
        <f>IFERROR(__xludf.DUMMYFUNCTION("""COMPUTED_VALUE"""),"TERMINAL GPON ONT WIFI F6645P")</f>
        <v>TERMINAL GPON ONT WIFI F6645P</v>
      </c>
      <c r="B4063" s="22">
        <f>IFERROR(__xludf.DUMMYFUNCTION("""COMPUTED_VALUE"""),4.100156E7)</f>
        <v>41001560</v>
      </c>
      <c r="C4063" s="21" t="str">
        <f>IFERROR(__xludf.DUMMYFUNCTION("""COMPUTED_VALUE"""),"9C635B8B09AE")</f>
        <v>9C635B8B09AE</v>
      </c>
      <c r="D4063" s="21" t="str">
        <f>IFERROR(__xludf.DUMMYFUNCTION("""COMPUTED_VALUE"""),"DIGITEC TECNOLOGIA DIGITAL E REPRES")</f>
        <v>DIGITEC TECNOLOGIA DIGITAL E REPRES</v>
      </c>
      <c r="E4063" s="21">
        <f>IFERROR(__xludf.DUMMYFUNCTION("""COMPUTED_VALUE"""),145359.0)</f>
        <v>145359</v>
      </c>
      <c r="F4063" s="21" t="str">
        <f>IFERROR(__xludf.DUMMYFUNCTION("""COMPUTED_VALUE"""),"INICIALIZADO")</f>
        <v>INICIALIZADO</v>
      </c>
      <c r="G4063" s="23">
        <f>IFERROR(__xludf.DUMMYFUNCTION("""COMPUTED_VALUE"""),45642.52416666667)</f>
        <v>45642.52417</v>
      </c>
      <c r="H4063" s="24" t="str">
        <f>IFERROR(VLOOKUP(B4063,material!A:D,3,0),"")</f>
        <v>GPON 6</v>
      </c>
    </row>
    <row r="4064" ht="11.25" customHeight="1">
      <c r="A4064" s="21" t="str">
        <f>IFERROR(__xludf.DUMMYFUNCTION("""COMPUTED_VALUE"""),"TERMINAL GPON ONT WIFI F6645P")</f>
        <v>TERMINAL GPON ONT WIFI F6645P</v>
      </c>
      <c r="B4064" s="22">
        <f>IFERROR(__xludf.DUMMYFUNCTION("""COMPUTED_VALUE"""),4.100156E7)</f>
        <v>41001560</v>
      </c>
      <c r="C4064" s="21" t="str">
        <f>IFERROR(__xludf.DUMMYFUNCTION("""COMPUTED_VALUE"""),"9C635B8B0D1A")</f>
        <v>9C635B8B0D1A</v>
      </c>
      <c r="D4064" s="21" t="str">
        <f>IFERROR(__xludf.DUMMYFUNCTION("""COMPUTED_VALUE"""),"DIGITEC TECNOLOGIA DIGITAL E REPRES")</f>
        <v>DIGITEC TECNOLOGIA DIGITAL E REPRES</v>
      </c>
      <c r="E4064" s="21">
        <f>IFERROR(__xludf.DUMMYFUNCTION("""COMPUTED_VALUE"""),145359.0)</f>
        <v>145359</v>
      </c>
      <c r="F4064" s="21" t="str">
        <f>IFERROR(__xludf.DUMMYFUNCTION("""COMPUTED_VALUE"""),"INICIALIZADO")</f>
        <v>INICIALIZADO</v>
      </c>
      <c r="G4064" s="23">
        <f>IFERROR(__xludf.DUMMYFUNCTION("""COMPUTED_VALUE"""),45642.52415509259)</f>
        <v>45642.52416</v>
      </c>
      <c r="H4064" s="24" t="str">
        <f>IFERROR(VLOOKUP(B4064,material!A:D,3,0),"")</f>
        <v>GPON 6</v>
      </c>
    </row>
    <row r="4065" ht="11.25" customHeight="1">
      <c r="A4065" s="21" t="str">
        <f>IFERROR(__xludf.DUMMYFUNCTION("""COMPUTED_VALUE"""),"TERMINAL GPON ONT WIFI F6645P")</f>
        <v>TERMINAL GPON ONT WIFI F6645P</v>
      </c>
      <c r="B4065" s="22">
        <f>IFERROR(__xludf.DUMMYFUNCTION("""COMPUTED_VALUE"""),4.100156E7)</f>
        <v>41001560</v>
      </c>
      <c r="C4065" s="21" t="str">
        <f>IFERROR(__xludf.DUMMYFUNCTION("""COMPUTED_VALUE"""),"9C635B8CFBFC")</f>
        <v>9C635B8CFBFC</v>
      </c>
      <c r="D4065" s="21" t="str">
        <f>IFERROR(__xludf.DUMMYFUNCTION("""COMPUTED_VALUE"""),"DIGITEC TECNOLOGIA DIGITAL E REPRES")</f>
        <v>DIGITEC TECNOLOGIA DIGITAL E REPRES</v>
      </c>
      <c r="E4065" s="21">
        <f>IFERROR(__xludf.DUMMYFUNCTION("""COMPUTED_VALUE"""),145359.0)</f>
        <v>145359</v>
      </c>
      <c r="F4065" s="21" t="str">
        <f>IFERROR(__xludf.DUMMYFUNCTION("""COMPUTED_VALUE"""),"INICIALIZADO")</f>
        <v>INICIALIZADO</v>
      </c>
      <c r="G4065" s="23">
        <f>IFERROR(__xludf.DUMMYFUNCTION("""COMPUTED_VALUE"""),45615.61861111112)</f>
        <v>45615.61861</v>
      </c>
      <c r="H4065" s="24" t="str">
        <f>IFERROR(VLOOKUP(B4065,material!A:D,3,0),"")</f>
        <v>GPON 6</v>
      </c>
    </row>
    <row r="4066" ht="11.25" customHeight="1">
      <c r="A4066" s="21" t="str">
        <f>IFERROR(__xludf.DUMMYFUNCTION("""COMPUTED_VALUE"""),"TERMINAL GPON ONT WIFI F6645P")</f>
        <v>TERMINAL GPON ONT WIFI F6645P</v>
      </c>
      <c r="B4066" s="22">
        <f>IFERROR(__xludf.DUMMYFUNCTION("""COMPUTED_VALUE"""),4.100156E7)</f>
        <v>41001560</v>
      </c>
      <c r="C4066" s="21" t="str">
        <f>IFERROR(__xludf.DUMMYFUNCTION("""COMPUTED_VALUE"""),"9C635B8CFCC8")</f>
        <v>9C635B8CFCC8</v>
      </c>
      <c r="D4066" s="21" t="str">
        <f>IFERROR(__xludf.DUMMYFUNCTION("""COMPUTED_VALUE"""),"DIGITEC TECNOLOGIA DIGITAL E REPRES")</f>
        <v>DIGITEC TECNOLOGIA DIGITAL E REPRES</v>
      </c>
      <c r="E4066" s="21">
        <f>IFERROR(__xludf.DUMMYFUNCTION("""COMPUTED_VALUE"""),145359.0)</f>
        <v>145359</v>
      </c>
      <c r="F4066" s="21" t="str">
        <f>IFERROR(__xludf.DUMMYFUNCTION("""COMPUTED_VALUE"""),"INICIALIZADO")</f>
        <v>INICIALIZADO</v>
      </c>
      <c r="G4066" s="23">
        <f>IFERROR(__xludf.DUMMYFUNCTION("""COMPUTED_VALUE"""),45615.61861111112)</f>
        <v>45615.61861</v>
      </c>
      <c r="H4066" s="24" t="str">
        <f>IFERROR(VLOOKUP(B4066,material!A:D,3,0),"")</f>
        <v>GPON 6</v>
      </c>
    </row>
    <row r="4067" ht="11.25" customHeight="1">
      <c r="A4067" s="21" t="str">
        <f>IFERROR(__xludf.DUMMYFUNCTION("""COMPUTED_VALUE"""),"TERMINAL GPON ONT WIFI F6645P")</f>
        <v>TERMINAL GPON ONT WIFI F6645P</v>
      </c>
      <c r="B4067" s="22">
        <f>IFERROR(__xludf.DUMMYFUNCTION("""COMPUTED_VALUE"""),4.100156E7)</f>
        <v>41001560</v>
      </c>
      <c r="C4067" s="21" t="str">
        <f>IFERROR(__xludf.DUMMYFUNCTION("""COMPUTED_VALUE"""),"9C635B8CF9B6")</f>
        <v>9C635B8CF9B6</v>
      </c>
      <c r="D4067" s="21" t="str">
        <f>IFERROR(__xludf.DUMMYFUNCTION("""COMPUTED_VALUE"""),"DIGITEC TECNOLOGIA DIGITAL E REPRES")</f>
        <v>DIGITEC TECNOLOGIA DIGITAL E REPRES</v>
      </c>
      <c r="E4067" s="21">
        <f>IFERROR(__xludf.DUMMYFUNCTION("""COMPUTED_VALUE"""),145359.0)</f>
        <v>145359</v>
      </c>
      <c r="F4067" s="21" t="str">
        <f>IFERROR(__xludf.DUMMYFUNCTION("""COMPUTED_VALUE"""),"INICIALIZADO")</f>
        <v>INICIALIZADO</v>
      </c>
      <c r="G4067" s="23">
        <f>IFERROR(__xludf.DUMMYFUNCTION("""COMPUTED_VALUE"""),45615.61861111112)</f>
        <v>45615.61861</v>
      </c>
      <c r="H4067" s="24" t="str">
        <f>IFERROR(VLOOKUP(B4067,material!A:D,3,0),"")</f>
        <v>GPON 6</v>
      </c>
    </row>
    <row r="4068" ht="11.25" customHeight="1">
      <c r="A4068" s="21" t="str">
        <f>IFERROR(__xludf.DUMMYFUNCTION("""COMPUTED_VALUE"""),"TERMINAL GPON ONT WIFI F6645P")</f>
        <v>TERMINAL GPON ONT WIFI F6645P</v>
      </c>
      <c r="B4068" s="22">
        <f>IFERROR(__xludf.DUMMYFUNCTION("""COMPUTED_VALUE"""),4.100156E7)</f>
        <v>41001560</v>
      </c>
      <c r="C4068" s="21" t="str">
        <f>IFERROR(__xludf.DUMMYFUNCTION("""COMPUTED_VALUE"""),"9C635B8B0BFA")</f>
        <v>9C635B8B0BFA</v>
      </c>
      <c r="D4068" s="21" t="str">
        <f>IFERROR(__xludf.DUMMYFUNCTION("""COMPUTED_VALUE"""),"DIGITEC TECNOLOGIA DIGITAL E REPRES")</f>
        <v>DIGITEC TECNOLOGIA DIGITAL E REPRES</v>
      </c>
      <c r="E4068" s="21">
        <f>IFERROR(__xludf.DUMMYFUNCTION("""COMPUTED_VALUE"""),145359.0)</f>
        <v>145359</v>
      </c>
      <c r="F4068" s="21" t="str">
        <f>IFERROR(__xludf.DUMMYFUNCTION("""COMPUTED_VALUE"""),"INICIALIZADO")</f>
        <v>INICIALIZADO</v>
      </c>
      <c r="G4068" s="23">
        <f>IFERROR(__xludf.DUMMYFUNCTION("""COMPUTED_VALUE"""),45642.52416666667)</f>
        <v>45642.52417</v>
      </c>
      <c r="H4068" s="24" t="str">
        <f>IFERROR(VLOOKUP(B4068,material!A:D,3,0),"")</f>
        <v>GPON 6</v>
      </c>
    </row>
    <row r="4069" ht="11.25" customHeight="1">
      <c r="A4069" s="21" t="str">
        <f>IFERROR(__xludf.DUMMYFUNCTION("""COMPUTED_VALUE"""),"TERMINAL GPON ONT WIFI F6645P")</f>
        <v>TERMINAL GPON ONT WIFI F6645P</v>
      </c>
      <c r="B4069" s="22">
        <f>IFERROR(__xludf.DUMMYFUNCTION("""COMPUTED_VALUE"""),4.100156E7)</f>
        <v>41001560</v>
      </c>
      <c r="C4069" s="21" t="str">
        <f>IFERROR(__xludf.DUMMYFUNCTION("""COMPUTED_VALUE"""),"9C635B8B0BB2")</f>
        <v>9C635B8B0BB2</v>
      </c>
      <c r="D4069" s="21" t="str">
        <f>IFERROR(__xludf.DUMMYFUNCTION("""COMPUTED_VALUE"""),"DIGITEC TECNOLOGIA DIGITAL E REPRES")</f>
        <v>DIGITEC TECNOLOGIA DIGITAL E REPRES</v>
      </c>
      <c r="E4069" s="21">
        <f>IFERROR(__xludf.DUMMYFUNCTION("""COMPUTED_VALUE"""),145359.0)</f>
        <v>145359</v>
      </c>
      <c r="F4069" s="21" t="str">
        <f>IFERROR(__xludf.DUMMYFUNCTION("""COMPUTED_VALUE"""),"INICIALIZADO")</f>
        <v>INICIALIZADO</v>
      </c>
      <c r="G4069" s="23">
        <f>IFERROR(__xludf.DUMMYFUNCTION("""COMPUTED_VALUE"""),45642.52416666667)</f>
        <v>45642.52417</v>
      </c>
      <c r="H4069" s="24" t="str">
        <f>IFERROR(VLOOKUP(B4069,material!A:D,3,0),"")</f>
        <v>GPON 6</v>
      </c>
    </row>
    <row r="4070" ht="11.25" customHeight="1">
      <c r="A4070" s="21" t="str">
        <f>IFERROR(__xludf.DUMMYFUNCTION("""COMPUTED_VALUE"""),"TERMINAL GPON ONT WIFI F6645P")</f>
        <v>TERMINAL GPON ONT WIFI F6645P</v>
      </c>
      <c r="B4070" s="22">
        <f>IFERROR(__xludf.DUMMYFUNCTION("""COMPUTED_VALUE"""),4.100156E7)</f>
        <v>41001560</v>
      </c>
      <c r="C4070" s="21" t="str">
        <f>IFERROR(__xludf.DUMMYFUNCTION("""COMPUTED_VALUE"""),"9C635B8B0C60")</f>
        <v>9C635B8B0C60</v>
      </c>
      <c r="D4070" s="21" t="str">
        <f>IFERROR(__xludf.DUMMYFUNCTION("""COMPUTED_VALUE"""),"DIGITEC TECNOLOGIA DIGITAL E REPRES")</f>
        <v>DIGITEC TECNOLOGIA DIGITAL E REPRES</v>
      </c>
      <c r="E4070" s="21">
        <f>IFERROR(__xludf.DUMMYFUNCTION("""COMPUTED_VALUE"""),145359.0)</f>
        <v>145359</v>
      </c>
      <c r="F4070" s="21" t="str">
        <f>IFERROR(__xludf.DUMMYFUNCTION("""COMPUTED_VALUE"""),"INICIALIZADO")</f>
        <v>INICIALIZADO</v>
      </c>
      <c r="G4070" s="23">
        <f>IFERROR(__xludf.DUMMYFUNCTION("""COMPUTED_VALUE"""),45642.52415509259)</f>
        <v>45642.52416</v>
      </c>
      <c r="H4070" s="24" t="str">
        <f>IFERROR(VLOOKUP(B4070,material!A:D,3,0),"")</f>
        <v>GPON 6</v>
      </c>
    </row>
    <row r="4071" ht="11.25" customHeight="1">
      <c r="A4071" s="21" t="str">
        <f>IFERROR(__xludf.DUMMYFUNCTION("""COMPUTED_VALUE"""),"TERMINAL GPON ONT WIFI F6645P")</f>
        <v>TERMINAL GPON ONT WIFI F6645P</v>
      </c>
      <c r="B4071" s="22">
        <f>IFERROR(__xludf.DUMMYFUNCTION("""COMPUTED_VALUE"""),4.100156E7)</f>
        <v>41001560</v>
      </c>
      <c r="C4071" s="21" t="str">
        <f>IFERROR(__xludf.DUMMYFUNCTION("""COMPUTED_VALUE"""),"9C635B8B0A98")</f>
        <v>9C635B8B0A98</v>
      </c>
      <c r="D4071" s="21" t="str">
        <f>IFERROR(__xludf.DUMMYFUNCTION("""COMPUTED_VALUE"""),"DIGITEC TECNOLOGIA DIGITAL E REPRES")</f>
        <v>DIGITEC TECNOLOGIA DIGITAL E REPRES</v>
      </c>
      <c r="E4071" s="21">
        <f>IFERROR(__xludf.DUMMYFUNCTION("""COMPUTED_VALUE"""),145359.0)</f>
        <v>145359</v>
      </c>
      <c r="F4071" s="21" t="str">
        <f>IFERROR(__xludf.DUMMYFUNCTION("""COMPUTED_VALUE"""),"INICIALIZADO")</f>
        <v>INICIALIZADO</v>
      </c>
      <c r="G4071" s="23">
        <f>IFERROR(__xludf.DUMMYFUNCTION("""COMPUTED_VALUE"""),45642.52416666667)</f>
        <v>45642.52417</v>
      </c>
      <c r="H4071" s="24" t="str">
        <f>IFERROR(VLOOKUP(B4071,material!A:D,3,0),"")</f>
        <v>GPON 6</v>
      </c>
    </row>
    <row r="4072" ht="11.25" customHeight="1">
      <c r="A4072" s="21" t="str">
        <f>IFERROR(__xludf.DUMMYFUNCTION("""COMPUTED_VALUE"""),"TERMINAL GPON ONT WIFI F6645P")</f>
        <v>TERMINAL GPON ONT WIFI F6645P</v>
      </c>
      <c r="B4072" s="22">
        <f>IFERROR(__xludf.DUMMYFUNCTION("""COMPUTED_VALUE"""),4.100156E7)</f>
        <v>41001560</v>
      </c>
      <c r="C4072" s="21" t="str">
        <f>IFERROR(__xludf.DUMMYFUNCTION("""COMPUTED_VALUE"""),"9C635B8B0ACE")</f>
        <v>9C635B8B0ACE</v>
      </c>
      <c r="D4072" s="21" t="str">
        <f>IFERROR(__xludf.DUMMYFUNCTION("""COMPUTED_VALUE"""),"DIGITEC TECNOLOGIA DIGITAL E REPRES")</f>
        <v>DIGITEC TECNOLOGIA DIGITAL E REPRES</v>
      </c>
      <c r="E4072" s="21">
        <f>IFERROR(__xludf.DUMMYFUNCTION("""COMPUTED_VALUE"""),145359.0)</f>
        <v>145359</v>
      </c>
      <c r="F4072" s="21" t="str">
        <f>IFERROR(__xludf.DUMMYFUNCTION("""COMPUTED_VALUE"""),"INICIALIZADO")</f>
        <v>INICIALIZADO</v>
      </c>
      <c r="G4072" s="23">
        <f>IFERROR(__xludf.DUMMYFUNCTION("""COMPUTED_VALUE"""),45642.52416666667)</f>
        <v>45642.52417</v>
      </c>
      <c r="H4072" s="24" t="str">
        <f>IFERROR(VLOOKUP(B4072,material!A:D,3,0),"")</f>
        <v>GPON 6</v>
      </c>
    </row>
    <row r="4073" ht="11.25" customHeight="1">
      <c r="A4073" s="21" t="str">
        <f>IFERROR(__xludf.DUMMYFUNCTION("""COMPUTED_VALUE"""),"TERMINAL GPON ONT WIFI F6645P")</f>
        <v>TERMINAL GPON ONT WIFI F6645P</v>
      </c>
      <c r="B4073" s="22">
        <f>IFERROR(__xludf.DUMMYFUNCTION("""COMPUTED_VALUE"""),4.100156E7)</f>
        <v>41001560</v>
      </c>
      <c r="C4073" s="21" t="str">
        <f>IFERROR(__xludf.DUMMYFUNCTION("""COMPUTED_VALUE"""),"9C635B8B0B76")</f>
        <v>9C635B8B0B76</v>
      </c>
      <c r="D4073" s="21" t="str">
        <f>IFERROR(__xludf.DUMMYFUNCTION("""COMPUTED_VALUE"""),"DIGITEC TECNOLOGIA DIGITAL E REPRES")</f>
        <v>DIGITEC TECNOLOGIA DIGITAL E REPRES</v>
      </c>
      <c r="E4073" s="21">
        <f>IFERROR(__xludf.DUMMYFUNCTION("""COMPUTED_VALUE"""),145359.0)</f>
        <v>145359</v>
      </c>
      <c r="F4073" s="21" t="str">
        <f>IFERROR(__xludf.DUMMYFUNCTION("""COMPUTED_VALUE"""),"INICIALIZADO")</f>
        <v>INICIALIZADO</v>
      </c>
      <c r="G4073" s="23">
        <f>IFERROR(__xludf.DUMMYFUNCTION("""COMPUTED_VALUE"""),45642.52416666667)</f>
        <v>45642.52417</v>
      </c>
      <c r="H4073" s="24" t="str">
        <f>IFERROR(VLOOKUP(B4073,material!A:D,3,0),"")</f>
        <v>GPON 6</v>
      </c>
    </row>
    <row r="4074" ht="11.25" customHeight="1">
      <c r="A4074" s="21" t="str">
        <f>IFERROR(__xludf.DUMMYFUNCTION("""COMPUTED_VALUE"""),"TERMINAL GPON ONT WIFI F6645P")</f>
        <v>TERMINAL GPON ONT WIFI F6645P</v>
      </c>
      <c r="B4074" s="22">
        <f>IFERROR(__xludf.DUMMYFUNCTION("""COMPUTED_VALUE"""),4.100156E7)</f>
        <v>41001560</v>
      </c>
      <c r="C4074" s="21" t="str">
        <f>IFERROR(__xludf.DUMMYFUNCTION("""COMPUTED_VALUE"""),"9C635B8CFD70")</f>
        <v>9C635B8CFD70</v>
      </c>
      <c r="D4074" s="21" t="str">
        <f>IFERROR(__xludf.DUMMYFUNCTION("""COMPUTED_VALUE"""),"DIGITEC TECNOLOGIA DIGITAL E REPRES")</f>
        <v>DIGITEC TECNOLOGIA DIGITAL E REPRES</v>
      </c>
      <c r="E4074" s="21">
        <f>IFERROR(__xludf.DUMMYFUNCTION("""COMPUTED_VALUE"""),145359.0)</f>
        <v>145359</v>
      </c>
      <c r="F4074" s="21" t="str">
        <f>IFERROR(__xludf.DUMMYFUNCTION("""COMPUTED_VALUE"""),"INICIALIZADO")</f>
        <v>INICIALIZADO</v>
      </c>
      <c r="G4074" s="23">
        <f>IFERROR(__xludf.DUMMYFUNCTION("""COMPUTED_VALUE"""),45615.61861111112)</f>
        <v>45615.61861</v>
      </c>
      <c r="H4074" s="24" t="str">
        <f>IFERROR(VLOOKUP(B4074,material!A:D,3,0),"")</f>
        <v>GPON 6</v>
      </c>
    </row>
    <row r="4075" ht="11.25" customHeight="1">
      <c r="A4075" s="21" t="str">
        <f>IFERROR(__xludf.DUMMYFUNCTION("""COMPUTED_VALUE"""),"TERMINAL GPON ONT WIFI F6645P")</f>
        <v>TERMINAL GPON ONT WIFI F6645P</v>
      </c>
      <c r="B4075" s="22">
        <f>IFERROR(__xludf.DUMMYFUNCTION("""COMPUTED_VALUE"""),4.100156E7)</f>
        <v>41001560</v>
      </c>
      <c r="C4075" s="21" t="str">
        <f>IFERROR(__xludf.DUMMYFUNCTION("""COMPUTED_VALUE"""),"9C635B8CFB18")</f>
        <v>9C635B8CFB18</v>
      </c>
      <c r="D4075" s="21" t="str">
        <f>IFERROR(__xludf.DUMMYFUNCTION("""COMPUTED_VALUE"""),"DIGITEC TECNOLOGIA DIGITAL E REPRES")</f>
        <v>DIGITEC TECNOLOGIA DIGITAL E REPRES</v>
      </c>
      <c r="E4075" s="21">
        <f>IFERROR(__xludf.DUMMYFUNCTION("""COMPUTED_VALUE"""),145359.0)</f>
        <v>145359</v>
      </c>
      <c r="F4075" s="21" t="str">
        <f>IFERROR(__xludf.DUMMYFUNCTION("""COMPUTED_VALUE"""),"INICIALIZADO")</f>
        <v>INICIALIZADO</v>
      </c>
      <c r="G4075" s="23">
        <f>IFERROR(__xludf.DUMMYFUNCTION("""COMPUTED_VALUE"""),45615.61861111112)</f>
        <v>45615.61861</v>
      </c>
      <c r="H4075" s="24" t="str">
        <f>IFERROR(VLOOKUP(B4075,material!A:D,3,0),"")</f>
        <v>GPON 6</v>
      </c>
    </row>
    <row r="4076" ht="11.25" customHeight="1">
      <c r="A4076" s="21" t="str">
        <f>IFERROR(__xludf.DUMMYFUNCTION("""COMPUTED_VALUE"""),"TERMINAL GPON ONT WIFI F6645P")</f>
        <v>TERMINAL GPON ONT WIFI F6645P</v>
      </c>
      <c r="B4076" s="22">
        <f>IFERROR(__xludf.DUMMYFUNCTION("""COMPUTED_VALUE"""),4.100156E7)</f>
        <v>41001560</v>
      </c>
      <c r="C4076" s="21" t="str">
        <f>IFERROR(__xludf.DUMMYFUNCTION("""COMPUTED_VALUE"""),"9C635B8CFD40")</f>
        <v>9C635B8CFD40</v>
      </c>
      <c r="D4076" s="21" t="str">
        <f>IFERROR(__xludf.DUMMYFUNCTION("""COMPUTED_VALUE"""),"DIGITEC TECNOLOGIA DIGITAL E REPRES")</f>
        <v>DIGITEC TECNOLOGIA DIGITAL E REPRES</v>
      </c>
      <c r="E4076" s="21">
        <f>IFERROR(__xludf.DUMMYFUNCTION("""COMPUTED_VALUE"""),145359.0)</f>
        <v>145359</v>
      </c>
      <c r="F4076" s="21" t="str">
        <f>IFERROR(__xludf.DUMMYFUNCTION("""COMPUTED_VALUE"""),"INICIALIZADO")</f>
        <v>INICIALIZADO</v>
      </c>
      <c r="G4076" s="23">
        <f>IFERROR(__xludf.DUMMYFUNCTION("""COMPUTED_VALUE"""),45615.61861111112)</f>
        <v>45615.61861</v>
      </c>
      <c r="H4076" s="24" t="str">
        <f>IFERROR(VLOOKUP(B4076,material!A:D,3,0),"")</f>
        <v>GPON 6</v>
      </c>
    </row>
    <row r="4077" ht="11.25" customHeight="1">
      <c r="A4077" s="21" t="str">
        <f>IFERROR(__xludf.DUMMYFUNCTION("""COMPUTED_VALUE"""),"TERMINAL GPON ONT WIFI F6645P")</f>
        <v>TERMINAL GPON ONT WIFI F6645P</v>
      </c>
      <c r="B4077" s="22">
        <f>IFERROR(__xludf.DUMMYFUNCTION("""COMPUTED_VALUE"""),4.100156E7)</f>
        <v>41001560</v>
      </c>
      <c r="C4077" s="21" t="str">
        <f>IFERROR(__xludf.DUMMYFUNCTION("""COMPUTED_VALUE"""),"9C635B8B0C00")</f>
        <v>9C635B8B0C00</v>
      </c>
      <c r="D4077" s="21" t="str">
        <f>IFERROR(__xludf.DUMMYFUNCTION("""COMPUTED_VALUE"""),"DIGITEC TECNOLOGIA DIGITAL E REPRES")</f>
        <v>DIGITEC TECNOLOGIA DIGITAL E REPRES</v>
      </c>
      <c r="E4077" s="21">
        <f>IFERROR(__xludf.DUMMYFUNCTION("""COMPUTED_VALUE"""),145359.0)</f>
        <v>145359</v>
      </c>
      <c r="F4077" s="21" t="str">
        <f>IFERROR(__xludf.DUMMYFUNCTION("""COMPUTED_VALUE"""),"INICIALIZADO")</f>
        <v>INICIALIZADO</v>
      </c>
      <c r="G4077" s="23">
        <f>IFERROR(__xludf.DUMMYFUNCTION("""COMPUTED_VALUE"""),45642.52415509259)</f>
        <v>45642.52416</v>
      </c>
      <c r="H4077" s="24" t="str">
        <f>IFERROR(VLOOKUP(B4077,material!A:D,3,0),"")</f>
        <v>GPON 6</v>
      </c>
    </row>
    <row r="4078" ht="11.25" customHeight="1">
      <c r="A4078" s="21" t="str">
        <f>IFERROR(__xludf.DUMMYFUNCTION("""COMPUTED_VALUE"""),"TERMINAL GPON ONT WIFI F6645P")</f>
        <v>TERMINAL GPON ONT WIFI F6645P</v>
      </c>
      <c r="B4078" s="22">
        <f>IFERROR(__xludf.DUMMYFUNCTION("""COMPUTED_VALUE"""),4.100156E7)</f>
        <v>41001560</v>
      </c>
      <c r="C4078" s="21" t="str">
        <f>IFERROR(__xludf.DUMMYFUNCTION("""COMPUTED_VALUE"""),"9C635B8B0C0C")</f>
        <v>9C635B8B0C0C</v>
      </c>
      <c r="D4078" s="21" t="str">
        <f>IFERROR(__xludf.DUMMYFUNCTION("""COMPUTED_VALUE"""),"DIGITEC TECNOLOGIA DIGITAL E REPRES")</f>
        <v>DIGITEC TECNOLOGIA DIGITAL E REPRES</v>
      </c>
      <c r="E4078" s="21">
        <f>IFERROR(__xludf.DUMMYFUNCTION("""COMPUTED_VALUE"""),145359.0)</f>
        <v>145359</v>
      </c>
      <c r="F4078" s="21" t="str">
        <f>IFERROR(__xludf.DUMMYFUNCTION("""COMPUTED_VALUE"""),"INICIALIZADO")</f>
        <v>INICIALIZADO</v>
      </c>
      <c r="G4078" s="23">
        <f>IFERROR(__xludf.DUMMYFUNCTION("""COMPUTED_VALUE"""),45642.52415509259)</f>
        <v>45642.52416</v>
      </c>
      <c r="H4078" s="24" t="str">
        <f>IFERROR(VLOOKUP(B4078,material!A:D,3,0),"")</f>
        <v>GPON 6</v>
      </c>
    </row>
    <row r="4079" ht="11.25" customHeight="1">
      <c r="A4079" s="21" t="str">
        <f>IFERROR(__xludf.DUMMYFUNCTION("""COMPUTED_VALUE"""),"TERMINAL GPON ONT WIFI F6645P")</f>
        <v>TERMINAL GPON ONT WIFI F6645P</v>
      </c>
      <c r="B4079" s="22">
        <f>IFERROR(__xludf.DUMMYFUNCTION("""COMPUTED_VALUE"""),4.100156E7)</f>
        <v>41001560</v>
      </c>
      <c r="C4079" s="21" t="str">
        <f>IFERROR(__xludf.DUMMYFUNCTION("""COMPUTED_VALUE"""),"9C635B8B0BA6")</f>
        <v>9C635B8B0BA6</v>
      </c>
      <c r="D4079" s="21" t="str">
        <f>IFERROR(__xludf.DUMMYFUNCTION("""COMPUTED_VALUE"""),"DIGITEC TECNOLOGIA DIGITAL E REPRES")</f>
        <v>DIGITEC TECNOLOGIA DIGITAL E REPRES</v>
      </c>
      <c r="E4079" s="21">
        <f>IFERROR(__xludf.DUMMYFUNCTION("""COMPUTED_VALUE"""),145359.0)</f>
        <v>145359</v>
      </c>
      <c r="F4079" s="21" t="str">
        <f>IFERROR(__xludf.DUMMYFUNCTION("""COMPUTED_VALUE"""),"INICIALIZADO")</f>
        <v>INICIALIZADO</v>
      </c>
      <c r="G4079" s="23">
        <f>IFERROR(__xludf.DUMMYFUNCTION("""COMPUTED_VALUE"""),45642.52416666667)</f>
        <v>45642.52417</v>
      </c>
      <c r="H4079" s="24" t="str">
        <f>IFERROR(VLOOKUP(B4079,material!A:D,3,0),"")</f>
        <v>GPON 6</v>
      </c>
    </row>
    <row r="4080" ht="11.25" customHeight="1">
      <c r="A4080" s="21" t="str">
        <f>IFERROR(__xludf.DUMMYFUNCTION("""COMPUTED_VALUE"""),"TERMINAL GPON ONT WIFI F6645P")</f>
        <v>TERMINAL GPON ONT WIFI F6645P</v>
      </c>
      <c r="B4080" s="22">
        <f>IFERROR(__xludf.DUMMYFUNCTION("""COMPUTED_VALUE"""),4.100156E7)</f>
        <v>41001560</v>
      </c>
      <c r="C4080" s="21" t="str">
        <f>IFERROR(__xludf.DUMMYFUNCTION("""COMPUTED_VALUE"""),"9C635B8B0972")</f>
        <v>9C635B8B0972</v>
      </c>
      <c r="D4080" s="21" t="str">
        <f>IFERROR(__xludf.DUMMYFUNCTION("""COMPUTED_VALUE"""),"DIGITEC TECNOLOGIA DIGITAL E REPRES")</f>
        <v>DIGITEC TECNOLOGIA DIGITAL E REPRES</v>
      </c>
      <c r="E4080" s="21">
        <f>IFERROR(__xludf.DUMMYFUNCTION("""COMPUTED_VALUE"""),145359.0)</f>
        <v>145359</v>
      </c>
      <c r="F4080" s="21" t="str">
        <f>IFERROR(__xludf.DUMMYFUNCTION("""COMPUTED_VALUE"""),"INICIALIZADO")</f>
        <v>INICIALIZADO</v>
      </c>
      <c r="G4080" s="23">
        <f>IFERROR(__xludf.DUMMYFUNCTION("""COMPUTED_VALUE"""),45642.52416666667)</f>
        <v>45642.52417</v>
      </c>
      <c r="H4080" s="24" t="str">
        <f>IFERROR(VLOOKUP(B4080,material!A:D,3,0),"")</f>
        <v>GPON 6</v>
      </c>
    </row>
    <row r="4081" ht="11.25" customHeight="1">
      <c r="A4081" s="21" t="str">
        <f>IFERROR(__xludf.DUMMYFUNCTION("""COMPUTED_VALUE"""),"TERMINAL GPON ONT WIFI F6645P")</f>
        <v>TERMINAL GPON ONT WIFI F6645P</v>
      </c>
      <c r="B4081" s="22">
        <f>IFERROR(__xludf.DUMMYFUNCTION("""COMPUTED_VALUE"""),4.100156E7)</f>
        <v>41001560</v>
      </c>
      <c r="C4081" s="21" t="str">
        <f>IFERROR(__xludf.DUMMYFUNCTION("""COMPUTED_VALUE"""),"9C635B8B0A74")</f>
        <v>9C635B8B0A74</v>
      </c>
      <c r="D4081" s="21" t="str">
        <f>IFERROR(__xludf.DUMMYFUNCTION("""COMPUTED_VALUE"""),"DIGITEC TECNOLOGIA DIGITAL E REPRES")</f>
        <v>DIGITEC TECNOLOGIA DIGITAL E REPRES</v>
      </c>
      <c r="E4081" s="21">
        <f>IFERROR(__xludf.DUMMYFUNCTION("""COMPUTED_VALUE"""),145359.0)</f>
        <v>145359</v>
      </c>
      <c r="F4081" s="21" t="str">
        <f>IFERROR(__xludf.DUMMYFUNCTION("""COMPUTED_VALUE"""),"INICIALIZADO")</f>
        <v>INICIALIZADO</v>
      </c>
      <c r="G4081" s="23">
        <f>IFERROR(__xludf.DUMMYFUNCTION("""COMPUTED_VALUE"""),45642.52416666667)</f>
        <v>45642.52417</v>
      </c>
      <c r="H4081" s="24" t="str">
        <f>IFERROR(VLOOKUP(B4081,material!A:D,3,0),"")</f>
        <v>GPON 6</v>
      </c>
    </row>
    <row r="4082" ht="11.25" customHeight="1">
      <c r="A4082" s="21" t="str">
        <f>IFERROR(__xludf.DUMMYFUNCTION("""COMPUTED_VALUE"""),"TERMINAL GPON ONT WIFI F6645P")</f>
        <v>TERMINAL GPON ONT WIFI F6645P</v>
      </c>
      <c r="B4082" s="22">
        <f>IFERROR(__xludf.DUMMYFUNCTION("""COMPUTED_VALUE"""),4.100156E7)</f>
        <v>41001560</v>
      </c>
      <c r="C4082" s="21" t="str">
        <f>IFERROR(__xludf.DUMMYFUNCTION("""COMPUTED_VALUE"""),"9C635B8B0B1C")</f>
        <v>9C635B8B0B1C</v>
      </c>
      <c r="D4082" s="21" t="str">
        <f>IFERROR(__xludf.DUMMYFUNCTION("""COMPUTED_VALUE"""),"DIGITEC TECNOLOGIA DIGITAL E REPRES")</f>
        <v>DIGITEC TECNOLOGIA DIGITAL E REPRES</v>
      </c>
      <c r="E4082" s="21">
        <f>IFERROR(__xludf.DUMMYFUNCTION("""COMPUTED_VALUE"""),145359.0)</f>
        <v>145359</v>
      </c>
      <c r="F4082" s="21" t="str">
        <f>IFERROR(__xludf.DUMMYFUNCTION("""COMPUTED_VALUE"""),"INICIALIZADO")</f>
        <v>INICIALIZADO</v>
      </c>
      <c r="G4082" s="23">
        <f>IFERROR(__xludf.DUMMYFUNCTION("""COMPUTED_VALUE"""),45642.52416666667)</f>
        <v>45642.52417</v>
      </c>
      <c r="H4082" s="24" t="str">
        <f>IFERROR(VLOOKUP(B4082,material!A:D,3,0),"")</f>
        <v>GPON 6</v>
      </c>
    </row>
    <row r="4083" ht="11.25" customHeight="1">
      <c r="A4083" s="21" t="str">
        <f>IFERROR(__xludf.DUMMYFUNCTION("""COMPUTED_VALUE"""),"TERMINAL GPON ONT WIFI F6645P")</f>
        <v>TERMINAL GPON ONT WIFI F6645P</v>
      </c>
      <c r="B4083" s="22">
        <f>IFERROR(__xludf.DUMMYFUNCTION("""COMPUTED_VALUE"""),4.100156E7)</f>
        <v>41001560</v>
      </c>
      <c r="C4083" s="21" t="str">
        <f>IFERROR(__xludf.DUMMYFUNCTION("""COMPUTED_VALUE"""),"C4EBFFF72A81")</f>
        <v>C4EBFFF72A81</v>
      </c>
      <c r="D4083" s="21" t="str">
        <f>IFERROR(__xludf.DUMMYFUNCTION("""COMPUTED_VALUE"""),"DIGITEC TECNOLOGIA DIGITAL E REPRES")</f>
        <v>DIGITEC TECNOLOGIA DIGITAL E REPRES</v>
      </c>
      <c r="E4083" s="21">
        <f>IFERROR(__xludf.DUMMYFUNCTION("""COMPUTED_VALUE"""),145359.0)</f>
        <v>145359</v>
      </c>
      <c r="F4083" s="21" t="str">
        <f>IFERROR(__xludf.DUMMYFUNCTION("""COMPUTED_VALUE"""),"INICIALIZADO")</f>
        <v>INICIALIZADO</v>
      </c>
      <c r="G4083" s="23">
        <f>IFERROR(__xludf.DUMMYFUNCTION("""COMPUTED_VALUE"""),45574.741273148145)</f>
        <v>45574.74127</v>
      </c>
      <c r="H4083" s="24" t="str">
        <f>IFERROR(VLOOKUP(B4083,material!A:D,3,0),"")</f>
        <v>GPON 6</v>
      </c>
    </row>
    <row r="4084" ht="11.25" customHeight="1">
      <c r="A4084" s="21" t="str">
        <f>IFERROR(__xludf.DUMMYFUNCTION("""COMPUTED_VALUE"""),"TERMINAL GPON ONT WIFI F6645P")</f>
        <v>TERMINAL GPON ONT WIFI F6645P</v>
      </c>
      <c r="B4084" s="22">
        <f>IFERROR(__xludf.DUMMYFUNCTION("""COMPUTED_VALUE"""),4.100156E7)</f>
        <v>41001560</v>
      </c>
      <c r="C4084" s="21" t="str">
        <f>IFERROR(__xludf.DUMMYFUNCTION("""COMPUTED_VALUE"""),"C4EBFFF729C1")</f>
        <v>C4EBFFF729C1</v>
      </c>
      <c r="D4084" s="21" t="str">
        <f>IFERROR(__xludf.DUMMYFUNCTION("""COMPUTED_VALUE"""),"DIGITEC TECNOLOGIA DIGITAL E REPRES")</f>
        <v>DIGITEC TECNOLOGIA DIGITAL E REPRES</v>
      </c>
      <c r="E4084" s="21">
        <f>IFERROR(__xludf.DUMMYFUNCTION("""COMPUTED_VALUE"""),145359.0)</f>
        <v>145359</v>
      </c>
      <c r="F4084" s="21" t="str">
        <f>IFERROR(__xludf.DUMMYFUNCTION("""COMPUTED_VALUE"""),"INICIALIZADO")</f>
        <v>INICIALIZADO</v>
      </c>
      <c r="G4084" s="23">
        <f>IFERROR(__xludf.DUMMYFUNCTION("""COMPUTED_VALUE"""),45574.741273148145)</f>
        <v>45574.74127</v>
      </c>
      <c r="H4084" s="24" t="str">
        <f>IFERROR(VLOOKUP(B4084,material!A:D,3,0),"")</f>
        <v>GPON 6</v>
      </c>
    </row>
    <row r="4085" ht="11.25" customHeight="1">
      <c r="A4085" s="21" t="str">
        <f>IFERROR(__xludf.DUMMYFUNCTION("""COMPUTED_VALUE"""),"TERMINAL GPON ONT WIFI F6645P")</f>
        <v>TERMINAL GPON ONT WIFI F6645P</v>
      </c>
      <c r="B4085" s="22">
        <f>IFERROR(__xludf.DUMMYFUNCTION("""COMPUTED_VALUE"""),4.100156E7)</f>
        <v>41001560</v>
      </c>
      <c r="C4085" s="21" t="str">
        <f>IFERROR(__xludf.DUMMYFUNCTION("""COMPUTED_VALUE"""),"C4EBFFF72A45")</f>
        <v>C4EBFFF72A45</v>
      </c>
      <c r="D4085" s="21" t="str">
        <f>IFERROR(__xludf.DUMMYFUNCTION("""COMPUTED_VALUE"""),"DIGITEC TECNOLOGIA DIGITAL E REPRES")</f>
        <v>DIGITEC TECNOLOGIA DIGITAL E REPRES</v>
      </c>
      <c r="E4085" s="21">
        <f>IFERROR(__xludf.DUMMYFUNCTION("""COMPUTED_VALUE"""),145359.0)</f>
        <v>145359</v>
      </c>
      <c r="F4085" s="21" t="str">
        <f>IFERROR(__xludf.DUMMYFUNCTION("""COMPUTED_VALUE"""),"INICIALIZADO")</f>
        <v>INICIALIZADO</v>
      </c>
      <c r="G4085" s="23">
        <f>IFERROR(__xludf.DUMMYFUNCTION("""COMPUTED_VALUE"""),45574.741273148145)</f>
        <v>45574.74127</v>
      </c>
      <c r="H4085" s="24" t="str">
        <f>IFERROR(VLOOKUP(B4085,material!A:D,3,0),"")</f>
        <v>GPON 6</v>
      </c>
    </row>
    <row r="4086" ht="11.25" customHeight="1">
      <c r="A4086" s="21" t="str">
        <f>IFERROR(__xludf.DUMMYFUNCTION("""COMPUTED_VALUE"""),"TERMINAL GPON ONT WIFI F6645P")</f>
        <v>TERMINAL GPON ONT WIFI F6645P</v>
      </c>
      <c r="B4086" s="22">
        <f>IFERROR(__xludf.DUMMYFUNCTION("""COMPUTED_VALUE"""),4.100156E7)</f>
        <v>41001560</v>
      </c>
      <c r="C4086" s="21" t="str">
        <f>IFERROR(__xludf.DUMMYFUNCTION("""COMPUTED_VALUE"""),"9C635B8B0BF4")</f>
        <v>9C635B8B0BF4</v>
      </c>
      <c r="D4086" s="21" t="str">
        <f>IFERROR(__xludf.DUMMYFUNCTION("""COMPUTED_VALUE"""),"DIGITEC TECNOLOGIA DIGITAL E REPRES")</f>
        <v>DIGITEC TECNOLOGIA DIGITAL E REPRES</v>
      </c>
      <c r="E4086" s="21">
        <f>IFERROR(__xludf.DUMMYFUNCTION("""COMPUTED_VALUE"""),145359.0)</f>
        <v>145359</v>
      </c>
      <c r="F4086" s="21" t="str">
        <f>IFERROR(__xludf.DUMMYFUNCTION("""COMPUTED_VALUE"""),"INICIALIZADO")</f>
        <v>INICIALIZADO</v>
      </c>
      <c r="G4086" s="23">
        <f>IFERROR(__xludf.DUMMYFUNCTION("""COMPUTED_VALUE"""),45642.52416666667)</f>
        <v>45642.52417</v>
      </c>
      <c r="H4086" s="24" t="str">
        <f>IFERROR(VLOOKUP(B4086,material!A:D,3,0),"")</f>
        <v>GPON 6</v>
      </c>
    </row>
    <row r="4087" ht="11.25" customHeight="1">
      <c r="A4087" s="21" t="str">
        <f>IFERROR(__xludf.DUMMYFUNCTION("""COMPUTED_VALUE"""),"TERMINAL GPON ONT WIFI F6645P")</f>
        <v>TERMINAL GPON ONT WIFI F6645P</v>
      </c>
      <c r="B4087" s="22">
        <f>IFERROR(__xludf.DUMMYFUNCTION("""COMPUTED_VALUE"""),4.100156E7)</f>
        <v>41001560</v>
      </c>
      <c r="C4087" s="21" t="str">
        <f>IFERROR(__xludf.DUMMYFUNCTION("""COMPUTED_VALUE"""),"9C635B8B0A68")</f>
        <v>9C635B8B0A68</v>
      </c>
      <c r="D4087" s="21" t="str">
        <f>IFERROR(__xludf.DUMMYFUNCTION("""COMPUTED_VALUE"""),"DIGITEC TECNOLOGIA DIGITAL E REPRES")</f>
        <v>DIGITEC TECNOLOGIA DIGITAL E REPRES</v>
      </c>
      <c r="E4087" s="21">
        <f>IFERROR(__xludf.DUMMYFUNCTION("""COMPUTED_VALUE"""),145359.0)</f>
        <v>145359</v>
      </c>
      <c r="F4087" s="21" t="str">
        <f>IFERROR(__xludf.DUMMYFUNCTION("""COMPUTED_VALUE"""),"INICIALIZADO")</f>
        <v>INICIALIZADO</v>
      </c>
      <c r="G4087" s="23">
        <f>IFERROR(__xludf.DUMMYFUNCTION("""COMPUTED_VALUE"""),45642.52416666667)</f>
        <v>45642.52417</v>
      </c>
      <c r="H4087" s="24" t="str">
        <f>IFERROR(VLOOKUP(B4087,material!A:D,3,0),"")</f>
        <v>GPON 6</v>
      </c>
    </row>
    <row r="4088" ht="11.25" customHeight="1">
      <c r="A4088" s="21" t="str">
        <f>IFERROR(__xludf.DUMMYFUNCTION("""COMPUTED_VALUE"""),"TERMINAL GPON ONT WIFI F6645P")</f>
        <v>TERMINAL GPON ONT WIFI F6645P</v>
      </c>
      <c r="B4088" s="22">
        <f>IFERROR(__xludf.DUMMYFUNCTION("""COMPUTED_VALUE"""),4.100156E7)</f>
        <v>41001560</v>
      </c>
      <c r="C4088" s="21" t="str">
        <f>IFERROR(__xludf.DUMMYFUNCTION("""COMPUTED_VALUE"""),"9C635B8B0AB0")</f>
        <v>9C635B8B0AB0</v>
      </c>
      <c r="D4088" s="21" t="str">
        <f>IFERROR(__xludf.DUMMYFUNCTION("""COMPUTED_VALUE"""),"DIGITEC TECNOLOGIA DIGITAL E REPRES")</f>
        <v>DIGITEC TECNOLOGIA DIGITAL E REPRES</v>
      </c>
      <c r="E4088" s="21">
        <f>IFERROR(__xludf.DUMMYFUNCTION("""COMPUTED_VALUE"""),145359.0)</f>
        <v>145359</v>
      </c>
      <c r="F4088" s="21" t="str">
        <f>IFERROR(__xludf.DUMMYFUNCTION("""COMPUTED_VALUE"""),"INICIALIZADO")</f>
        <v>INICIALIZADO</v>
      </c>
      <c r="G4088" s="23">
        <f>IFERROR(__xludf.DUMMYFUNCTION("""COMPUTED_VALUE"""),45642.52416666667)</f>
        <v>45642.52417</v>
      </c>
      <c r="H4088" s="24" t="str">
        <f>IFERROR(VLOOKUP(B4088,material!A:D,3,0),"")</f>
        <v>GPON 6</v>
      </c>
    </row>
    <row r="4089" ht="11.25" customHeight="1">
      <c r="A4089" s="21" t="str">
        <f>IFERROR(__xludf.DUMMYFUNCTION("""COMPUTED_VALUE"""),"TERMINAL GPON ONT WIFI F6645P")</f>
        <v>TERMINAL GPON ONT WIFI F6645P</v>
      </c>
      <c r="B4089" s="22">
        <f>IFERROR(__xludf.DUMMYFUNCTION("""COMPUTED_VALUE"""),4.100156E7)</f>
        <v>41001560</v>
      </c>
      <c r="C4089" s="21" t="str">
        <f>IFERROR(__xludf.DUMMYFUNCTION("""COMPUTED_VALUE"""),"9C635B8CFD88")</f>
        <v>9C635B8CFD88</v>
      </c>
      <c r="D4089" s="21" t="str">
        <f>IFERROR(__xludf.DUMMYFUNCTION("""COMPUTED_VALUE"""),"DIGITEC TECNOLOGIA DIGITAL E REPRES")</f>
        <v>DIGITEC TECNOLOGIA DIGITAL E REPRES</v>
      </c>
      <c r="E4089" s="21">
        <f>IFERROR(__xludf.DUMMYFUNCTION("""COMPUTED_VALUE"""),145359.0)</f>
        <v>145359</v>
      </c>
      <c r="F4089" s="21" t="str">
        <f>IFERROR(__xludf.DUMMYFUNCTION("""COMPUTED_VALUE"""),"INICIALIZADO")</f>
        <v>INICIALIZADO</v>
      </c>
      <c r="G4089" s="23">
        <f>IFERROR(__xludf.DUMMYFUNCTION("""COMPUTED_VALUE"""),45615.61861111112)</f>
        <v>45615.61861</v>
      </c>
      <c r="H4089" s="24" t="str">
        <f>IFERROR(VLOOKUP(B4089,material!A:D,3,0),"")</f>
        <v>GPON 6</v>
      </c>
    </row>
    <row r="4090" ht="11.25" customHeight="1">
      <c r="A4090" s="21" t="str">
        <f>IFERROR(__xludf.DUMMYFUNCTION("""COMPUTED_VALUE"""),"TERMINAL GPON ONT WIFI F6645P")</f>
        <v>TERMINAL GPON ONT WIFI F6645P</v>
      </c>
      <c r="B4090" s="22">
        <f>IFERROR(__xludf.DUMMYFUNCTION("""COMPUTED_VALUE"""),4.100156E7)</f>
        <v>41001560</v>
      </c>
      <c r="C4090" s="21" t="str">
        <f>IFERROR(__xludf.DUMMYFUNCTION("""COMPUTED_VALUE"""),"9C635B8CFAEE")</f>
        <v>9C635B8CFAEE</v>
      </c>
      <c r="D4090" s="21" t="str">
        <f>IFERROR(__xludf.DUMMYFUNCTION("""COMPUTED_VALUE"""),"DIGITEC TECNOLOGIA DIGITAL E REPRES")</f>
        <v>DIGITEC TECNOLOGIA DIGITAL E REPRES</v>
      </c>
      <c r="E4090" s="21">
        <f>IFERROR(__xludf.DUMMYFUNCTION("""COMPUTED_VALUE"""),145359.0)</f>
        <v>145359</v>
      </c>
      <c r="F4090" s="21" t="str">
        <f>IFERROR(__xludf.DUMMYFUNCTION("""COMPUTED_VALUE"""),"INICIALIZADO")</f>
        <v>INICIALIZADO</v>
      </c>
      <c r="G4090" s="23">
        <f>IFERROR(__xludf.DUMMYFUNCTION("""COMPUTED_VALUE"""),45615.61861111112)</f>
        <v>45615.61861</v>
      </c>
      <c r="H4090" s="24" t="str">
        <f>IFERROR(VLOOKUP(B4090,material!A:D,3,0),"")</f>
        <v>GPON 6</v>
      </c>
    </row>
    <row r="4091" ht="11.25" customHeight="1">
      <c r="A4091" s="21" t="str">
        <f>IFERROR(__xludf.DUMMYFUNCTION("""COMPUTED_VALUE"""),"TERMINAL GPON ONT WIFI F6645P")</f>
        <v>TERMINAL GPON ONT WIFI F6645P</v>
      </c>
      <c r="B4091" s="22">
        <f>IFERROR(__xludf.DUMMYFUNCTION("""COMPUTED_VALUE"""),4.100156E7)</f>
        <v>41001560</v>
      </c>
      <c r="C4091" s="21" t="str">
        <f>IFERROR(__xludf.DUMMYFUNCTION("""COMPUTED_VALUE"""),"9C635B8CFC0E")</f>
        <v>9C635B8CFC0E</v>
      </c>
      <c r="D4091" s="21" t="str">
        <f>IFERROR(__xludf.DUMMYFUNCTION("""COMPUTED_VALUE"""),"DIGITEC TECNOLOGIA DIGITAL E REPRES")</f>
        <v>DIGITEC TECNOLOGIA DIGITAL E REPRES</v>
      </c>
      <c r="E4091" s="21">
        <f>IFERROR(__xludf.DUMMYFUNCTION("""COMPUTED_VALUE"""),145359.0)</f>
        <v>145359</v>
      </c>
      <c r="F4091" s="21" t="str">
        <f>IFERROR(__xludf.DUMMYFUNCTION("""COMPUTED_VALUE"""),"INICIALIZADO")</f>
        <v>INICIALIZADO</v>
      </c>
      <c r="G4091" s="23">
        <f>IFERROR(__xludf.DUMMYFUNCTION("""COMPUTED_VALUE"""),45615.61861111112)</f>
        <v>45615.61861</v>
      </c>
      <c r="H4091" s="24" t="str">
        <f>IFERROR(VLOOKUP(B4091,material!A:D,3,0),"")</f>
        <v>GPON 6</v>
      </c>
    </row>
    <row r="4092" ht="11.25" customHeight="1">
      <c r="A4092" s="21" t="str">
        <f>IFERROR(__xludf.DUMMYFUNCTION("""COMPUTED_VALUE"""),"TERMINAL GPON ONT WIFI F6645P")</f>
        <v>TERMINAL GPON ONT WIFI F6645P</v>
      </c>
      <c r="B4092" s="22">
        <f>IFERROR(__xludf.DUMMYFUNCTION("""COMPUTED_VALUE"""),4.100156E7)</f>
        <v>41001560</v>
      </c>
      <c r="C4092" s="21" t="str">
        <f>IFERROR(__xludf.DUMMYFUNCTION("""COMPUTED_VALUE"""),"9C635B8CFD16")</f>
        <v>9C635B8CFD16</v>
      </c>
      <c r="D4092" s="21" t="str">
        <f>IFERROR(__xludf.DUMMYFUNCTION("""COMPUTED_VALUE"""),"DIGITEC TECNOLOGIA DIGITAL E REPRES")</f>
        <v>DIGITEC TECNOLOGIA DIGITAL E REPRES</v>
      </c>
      <c r="E4092" s="21">
        <f>IFERROR(__xludf.DUMMYFUNCTION("""COMPUTED_VALUE"""),145359.0)</f>
        <v>145359</v>
      </c>
      <c r="F4092" s="21" t="str">
        <f>IFERROR(__xludf.DUMMYFUNCTION("""COMPUTED_VALUE"""),"INICIALIZADO")</f>
        <v>INICIALIZADO</v>
      </c>
      <c r="G4092" s="23">
        <f>IFERROR(__xludf.DUMMYFUNCTION("""COMPUTED_VALUE"""),45615.61861111112)</f>
        <v>45615.61861</v>
      </c>
      <c r="H4092" s="24" t="str">
        <f>IFERROR(VLOOKUP(B4092,material!A:D,3,0),"")</f>
        <v>GPON 6</v>
      </c>
    </row>
    <row r="4093" ht="11.25" customHeight="1">
      <c r="A4093" s="21" t="str">
        <f>IFERROR(__xludf.DUMMYFUNCTION("""COMPUTED_VALUE"""),"TERMINAL GPON ONT WIFI F6645P")</f>
        <v>TERMINAL GPON ONT WIFI F6645P</v>
      </c>
      <c r="B4093" s="22">
        <f>IFERROR(__xludf.DUMMYFUNCTION("""COMPUTED_VALUE"""),4.100156E7)</f>
        <v>41001560</v>
      </c>
      <c r="C4093" s="21" t="str">
        <f>IFERROR(__xludf.DUMMYFUNCTION("""COMPUTED_VALUE"""),"9C635B8B0606")</f>
        <v>9C635B8B0606</v>
      </c>
      <c r="D4093" s="21" t="str">
        <f>IFERROR(__xludf.DUMMYFUNCTION("""COMPUTED_VALUE"""),"DIGITEC TECNOLOGIA DIGITAL E REPRES")</f>
        <v>DIGITEC TECNOLOGIA DIGITAL E REPRES</v>
      </c>
      <c r="E4093" s="21">
        <f>IFERROR(__xludf.DUMMYFUNCTION("""COMPUTED_VALUE"""),145359.0)</f>
        <v>145359</v>
      </c>
      <c r="F4093" s="21" t="str">
        <f>IFERROR(__xludf.DUMMYFUNCTION("""COMPUTED_VALUE"""),"INICIALIZADO")</f>
        <v>INICIALIZADO</v>
      </c>
      <c r="G4093" s="23">
        <f>IFERROR(__xludf.DUMMYFUNCTION("""COMPUTED_VALUE"""),45642.52416666667)</f>
        <v>45642.52417</v>
      </c>
      <c r="H4093" s="24" t="str">
        <f>IFERROR(VLOOKUP(B4093,material!A:D,3,0),"")</f>
        <v>GPON 6</v>
      </c>
    </row>
    <row r="4094" ht="11.25" customHeight="1">
      <c r="A4094" s="21" t="str">
        <f>IFERROR(__xludf.DUMMYFUNCTION("""COMPUTED_VALUE"""),"TERMINAL GPON ONT WIFI F6645P")</f>
        <v>TERMINAL GPON ONT WIFI F6645P</v>
      </c>
      <c r="B4094" s="22">
        <f>IFERROR(__xludf.DUMMYFUNCTION("""COMPUTED_VALUE"""),4.100156E7)</f>
        <v>41001560</v>
      </c>
      <c r="C4094" s="21" t="str">
        <f>IFERROR(__xludf.DUMMYFUNCTION("""COMPUTED_VALUE"""),"9C635B8B0B0A")</f>
        <v>9C635B8B0B0A</v>
      </c>
      <c r="D4094" s="21" t="str">
        <f>IFERROR(__xludf.DUMMYFUNCTION("""COMPUTED_VALUE"""),"DIGITEC TECNOLOGIA DIGITAL E REPRES")</f>
        <v>DIGITEC TECNOLOGIA DIGITAL E REPRES</v>
      </c>
      <c r="E4094" s="21">
        <f>IFERROR(__xludf.DUMMYFUNCTION("""COMPUTED_VALUE"""),145359.0)</f>
        <v>145359</v>
      </c>
      <c r="F4094" s="21" t="str">
        <f>IFERROR(__xludf.DUMMYFUNCTION("""COMPUTED_VALUE"""),"INICIALIZADO")</f>
        <v>INICIALIZADO</v>
      </c>
      <c r="G4094" s="23">
        <f>IFERROR(__xludf.DUMMYFUNCTION("""COMPUTED_VALUE"""),45642.52416666667)</f>
        <v>45642.52417</v>
      </c>
      <c r="H4094" s="24" t="str">
        <f>IFERROR(VLOOKUP(B4094,material!A:D,3,0),"")</f>
        <v>GPON 6</v>
      </c>
    </row>
    <row r="4095" ht="11.25" customHeight="1">
      <c r="A4095" s="21" t="str">
        <f>IFERROR(__xludf.DUMMYFUNCTION("""COMPUTED_VALUE"""),"TERMINAL GPON ONT WIFI F6645P")</f>
        <v>TERMINAL GPON ONT WIFI F6645P</v>
      </c>
      <c r="B4095" s="22">
        <f>IFERROR(__xludf.DUMMYFUNCTION("""COMPUTED_VALUE"""),4.100156E7)</f>
        <v>41001560</v>
      </c>
      <c r="C4095" s="21" t="str">
        <f>IFERROR(__xludf.DUMMYFUNCTION("""COMPUTED_VALUE"""),"9C635B8CF164")</f>
        <v>9C635B8CF164</v>
      </c>
      <c r="D4095" s="21" t="str">
        <f>IFERROR(__xludf.DUMMYFUNCTION("""COMPUTED_VALUE"""),"DIGITEC TECNOLOGIA DIGITAL E REPRES")</f>
        <v>DIGITEC TECNOLOGIA DIGITAL E REPRES</v>
      </c>
      <c r="E4095" s="21">
        <f>IFERROR(__xludf.DUMMYFUNCTION("""COMPUTED_VALUE"""),145359.0)</f>
        <v>145359</v>
      </c>
      <c r="F4095" s="21" t="str">
        <f>IFERROR(__xludf.DUMMYFUNCTION("""COMPUTED_VALUE"""),"INICIALIZADO")</f>
        <v>INICIALIZADO</v>
      </c>
      <c r="G4095" s="23">
        <f>IFERROR(__xludf.DUMMYFUNCTION("""COMPUTED_VALUE"""),45615.61861111112)</f>
        <v>45615.61861</v>
      </c>
      <c r="H4095" s="24" t="str">
        <f>IFERROR(VLOOKUP(B4095,material!A:D,3,0),"")</f>
        <v>GPON 6</v>
      </c>
    </row>
    <row r="4096" ht="11.25" customHeight="1">
      <c r="A4096" s="21" t="str">
        <f>IFERROR(__xludf.DUMMYFUNCTION("""COMPUTED_VALUE"""),"TERMINAL GPON ONT WIFI F6645P")</f>
        <v>TERMINAL GPON ONT WIFI F6645P</v>
      </c>
      <c r="B4096" s="22">
        <f>IFERROR(__xludf.DUMMYFUNCTION("""COMPUTED_VALUE"""),4.100156E7)</f>
        <v>41001560</v>
      </c>
      <c r="C4096" s="21" t="str">
        <f>IFERROR(__xludf.DUMMYFUNCTION("""COMPUTED_VALUE"""),"C4EBFFF6C0BB")</f>
        <v>C4EBFFF6C0BB</v>
      </c>
      <c r="D4096" s="21" t="str">
        <f>IFERROR(__xludf.DUMMYFUNCTION("""COMPUTED_VALUE"""),"DIGITEC TECNOLOGIA DIGITAL E REPRES")</f>
        <v>DIGITEC TECNOLOGIA DIGITAL E REPRES</v>
      </c>
      <c r="E4096" s="21">
        <f>IFERROR(__xludf.DUMMYFUNCTION("""COMPUTED_VALUE"""),145359.0)</f>
        <v>145359</v>
      </c>
      <c r="F4096" s="21" t="str">
        <f>IFERROR(__xludf.DUMMYFUNCTION("""COMPUTED_VALUE"""),"INICIALIZADO")</f>
        <v>INICIALIZADO</v>
      </c>
      <c r="G4096" s="23">
        <f>IFERROR(__xludf.DUMMYFUNCTION("""COMPUTED_VALUE"""),45574.741273148145)</f>
        <v>45574.74127</v>
      </c>
      <c r="H4096" s="24" t="str">
        <f>IFERROR(VLOOKUP(B4096,material!A:D,3,0),"")</f>
        <v>GPON 6</v>
      </c>
    </row>
    <row r="4097" ht="11.25" customHeight="1">
      <c r="A4097" s="21" t="str">
        <f>IFERROR(__xludf.DUMMYFUNCTION("""COMPUTED_VALUE"""),"TERMINAL GPON ONT WIFI F6645P")</f>
        <v>TERMINAL GPON ONT WIFI F6645P</v>
      </c>
      <c r="B4097" s="22">
        <f>IFERROR(__xludf.DUMMYFUNCTION("""COMPUTED_VALUE"""),4.100156E7)</f>
        <v>41001560</v>
      </c>
      <c r="C4097" s="21" t="str">
        <f>IFERROR(__xludf.DUMMYFUNCTION("""COMPUTED_VALUE"""),"C4EBFFF6BF23")</f>
        <v>C4EBFFF6BF23</v>
      </c>
      <c r="D4097" s="21" t="str">
        <f>IFERROR(__xludf.DUMMYFUNCTION("""COMPUTED_VALUE"""),"DIGITEC TECNOLOGIA DIGITAL E REPRES")</f>
        <v>DIGITEC TECNOLOGIA DIGITAL E REPRES</v>
      </c>
      <c r="E4097" s="21">
        <f>IFERROR(__xludf.DUMMYFUNCTION("""COMPUTED_VALUE"""),145359.0)</f>
        <v>145359</v>
      </c>
      <c r="F4097" s="21" t="str">
        <f>IFERROR(__xludf.DUMMYFUNCTION("""COMPUTED_VALUE"""),"INICIALIZADO")</f>
        <v>INICIALIZADO</v>
      </c>
      <c r="G4097" s="23">
        <f>IFERROR(__xludf.DUMMYFUNCTION("""COMPUTED_VALUE"""),45574.741273148145)</f>
        <v>45574.74127</v>
      </c>
      <c r="H4097" s="24" t="str">
        <f>IFERROR(VLOOKUP(B4097,material!A:D,3,0),"")</f>
        <v>GPON 6</v>
      </c>
    </row>
    <row r="4098" ht="11.25" customHeight="1">
      <c r="A4098" s="21" t="str">
        <f>IFERROR(__xludf.DUMMYFUNCTION("""COMPUTED_VALUE"""),"TERMINAL GPON ONT WIFI F6645P")</f>
        <v>TERMINAL GPON ONT WIFI F6645P</v>
      </c>
      <c r="B4098" s="22">
        <f>IFERROR(__xludf.DUMMYFUNCTION("""COMPUTED_VALUE"""),4.100156E7)</f>
        <v>41001560</v>
      </c>
      <c r="C4098" s="21" t="str">
        <f>IFERROR(__xludf.DUMMYFUNCTION("""COMPUTED_VALUE"""),"9C635B8CFD82")</f>
        <v>9C635B8CFD82</v>
      </c>
      <c r="D4098" s="21" t="str">
        <f>IFERROR(__xludf.DUMMYFUNCTION("""COMPUTED_VALUE"""),"DIGITEC TECNOLOGIA DIGITAL E REPRES")</f>
        <v>DIGITEC TECNOLOGIA DIGITAL E REPRES</v>
      </c>
      <c r="E4098" s="21">
        <f>IFERROR(__xludf.DUMMYFUNCTION("""COMPUTED_VALUE"""),145359.0)</f>
        <v>145359</v>
      </c>
      <c r="F4098" s="21" t="str">
        <f>IFERROR(__xludf.DUMMYFUNCTION("""COMPUTED_VALUE"""),"INICIALIZADO")</f>
        <v>INICIALIZADO</v>
      </c>
      <c r="G4098" s="23">
        <f>IFERROR(__xludf.DUMMYFUNCTION("""COMPUTED_VALUE"""),45615.61861111112)</f>
        <v>45615.61861</v>
      </c>
      <c r="H4098" s="24" t="str">
        <f>IFERROR(VLOOKUP(B4098,material!A:D,3,0),"")</f>
        <v>GPON 6</v>
      </c>
    </row>
    <row r="4099" ht="11.25" customHeight="1">
      <c r="A4099" s="21" t="str">
        <f>IFERROR(__xludf.DUMMYFUNCTION("""COMPUTED_VALUE"""),"TERMINAL GPON ONT WIFI F6645P")</f>
        <v>TERMINAL GPON ONT WIFI F6645P</v>
      </c>
      <c r="B4099" s="22">
        <f>IFERROR(__xludf.DUMMYFUNCTION("""COMPUTED_VALUE"""),4.100156E7)</f>
        <v>41001560</v>
      </c>
      <c r="C4099" s="21" t="str">
        <f>IFERROR(__xludf.DUMMYFUNCTION("""COMPUTED_VALUE"""),"9C635B8CFC8C")</f>
        <v>9C635B8CFC8C</v>
      </c>
      <c r="D4099" s="21" t="str">
        <f>IFERROR(__xludf.DUMMYFUNCTION("""COMPUTED_VALUE"""),"DIGITEC TECNOLOGIA DIGITAL E REPRES")</f>
        <v>DIGITEC TECNOLOGIA DIGITAL E REPRES</v>
      </c>
      <c r="E4099" s="21">
        <f>IFERROR(__xludf.DUMMYFUNCTION("""COMPUTED_VALUE"""),145359.0)</f>
        <v>145359</v>
      </c>
      <c r="F4099" s="21" t="str">
        <f>IFERROR(__xludf.DUMMYFUNCTION("""COMPUTED_VALUE"""),"INICIALIZADO")</f>
        <v>INICIALIZADO</v>
      </c>
      <c r="G4099" s="23">
        <f>IFERROR(__xludf.DUMMYFUNCTION("""COMPUTED_VALUE"""),45615.61861111112)</f>
        <v>45615.61861</v>
      </c>
      <c r="H4099" s="24" t="str">
        <f>IFERROR(VLOOKUP(B4099,material!A:D,3,0),"")</f>
        <v>GPON 6</v>
      </c>
    </row>
    <row r="4100" ht="11.25" customHeight="1">
      <c r="A4100" s="21" t="str">
        <f>IFERROR(__xludf.DUMMYFUNCTION("""COMPUTED_VALUE"""),"TERMINAL GPON ONT WIFI F6645P")</f>
        <v>TERMINAL GPON ONT WIFI F6645P</v>
      </c>
      <c r="B4100" s="22">
        <f>IFERROR(__xludf.DUMMYFUNCTION("""COMPUTED_VALUE"""),4.100156E7)</f>
        <v>41001560</v>
      </c>
      <c r="C4100" s="21" t="str">
        <f>IFERROR(__xludf.DUMMYFUNCTION("""COMPUTED_VALUE"""),"9C635B8CFCC2")</f>
        <v>9C635B8CFCC2</v>
      </c>
      <c r="D4100" s="21" t="str">
        <f>IFERROR(__xludf.DUMMYFUNCTION("""COMPUTED_VALUE"""),"DIGITEC TECNOLOGIA DIGITAL E REPRES")</f>
        <v>DIGITEC TECNOLOGIA DIGITAL E REPRES</v>
      </c>
      <c r="E4100" s="21">
        <f>IFERROR(__xludf.DUMMYFUNCTION("""COMPUTED_VALUE"""),145359.0)</f>
        <v>145359</v>
      </c>
      <c r="F4100" s="21" t="str">
        <f>IFERROR(__xludf.DUMMYFUNCTION("""COMPUTED_VALUE"""),"INICIALIZADO")</f>
        <v>INICIALIZADO</v>
      </c>
      <c r="G4100" s="23">
        <f>IFERROR(__xludf.DUMMYFUNCTION("""COMPUTED_VALUE"""),45615.61861111112)</f>
        <v>45615.61861</v>
      </c>
      <c r="H4100" s="24" t="str">
        <f>IFERROR(VLOOKUP(B4100,material!A:D,3,0),"")</f>
        <v>GPON 6</v>
      </c>
    </row>
    <row r="4101" ht="11.25" customHeight="1">
      <c r="A4101" s="21" t="str">
        <f>IFERROR(__xludf.DUMMYFUNCTION("""COMPUTED_VALUE"""),"TERMINAL GPON ONT WIFI F6645P")</f>
        <v>TERMINAL GPON ONT WIFI F6645P</v>
      </c>
      <c r="B4101" s="22">
        <f>IFERROR(__xludf.DUMMYFUNCTION("""COMPUTED_VALUE"""),4.100156E7)</f>
        <v>41001560</v>
      </c>
      <c r="C4101" s="21" t="str">
        <f>IFERROR(__xludf.DUMMYFUNCTION("""COMPUTED_VALUE"""),"C4EBFFF6EB63")</f>
        <v>C4EBFFF6EB63</v>
      </c>
      <c r="D4101" s="21" t="str">
        <f>IFERROR(__xludf.DUMMYFUNCTION("""COMPUTED_VALUE"""),"DIGITEC TECNOLOGIA DIGITAL E REPRES")</f>
        <v>DIGITEC TECNOLOGIA DIGITAL E REPRES</v>
      </c>
      <c r="E4101" s="21">
        <f>IFERROR(__xludf.DUMMYFUNCTION("""COMPUTED_VALUE"""),145359.0)</f>
        <v>145359</v>
      </c>
      <c r="F4101" s="21" t="str">
        <f>IFERROR(__xludf.DUMMYFUNCTION("""COMPUTED_VALUE"""),"INICIALIZADO")</f>
        <v>INICIALIZADO</v>
      </c>
      <c r="G4101" s="23">
        <f>IFERROR(__xludf.DUMMYFUNCTION("""COMPUTED_VALUE"""),45527.72864583333)</f>
        <v>45527.72865</v>
      </c>
      <c r="H4101" s="24" t="str">
        <f>IFERROR(VLOOKUP(B4101,material!A:D,3,0),"")</f>
        <v>GPON 6</v>
      </c>
    </row>
    <row r="4102" ht="11.25" customHeight="1">
      <c r="A4102" s="21" t="str">
        <f>IFERROR(__xludf.DUMMYFUNCTION("""COMPUTED_VALUE"""),"TERMINAL GPON ONT WIFI F6645P")</f>
        <v>TERMINAL GPON ONT WIFI F6645P</v>
      </c>
      <c r="B4102" s="22">
        <f>IFERROR(__xludf.DUMMYFUNCTION("""COMPUTED_VALUE"""),4.100156E7)</f>
        <v>41001560</v>
      </c>
      <c r="C4102" s="21" t="str">
        <f>IFERROR(__xludf.DUMMYFUNCTION("""COMPUTED_VALUE"""),"9C635B8A5E90")</f>
        <v>9C635B8A5E90</v>
      </c>
      <c r="D4102" s="21" t="str">
        <f>IFERROR(__xludf.DUMMYFUNCTION("""COMPUTED_VALUE"""),"DIGITEC TECNOLOGIA DIGITAL E REPRES")</f>
        <v>DIGITEC TECNOLOGIA DIGITAL E REPRES</v>
      </c>
      <c r="E4102" s="21">
        <f>IFERROR(__xludf.DUMMYFUNCTION("""COMPUTED_VALUE"""),145359.0)</f>
        <v>145359</v>
      </c>
      <c r="F4102" s="21" t="str">
        <f>IFERROR(__xludf.DUMMYFUNCTION("""COMPUTED_VALUE"""),"INICIALIZADO")</f>
        <v>INICIALIZADO</v>
      </c>
      <c r="G4102" s="23">
        <f>IFERROR(__xludf.DUMMYFUNCTION("""COMPUTED_VALUE"""),45509.46599537037)</f>
        <v>45509.466</v>
      </c>
      <c r="H4102" s="24" t="str">
        <f>IFERROR(VLOOKUP(B4102,material!A:D,3,0),"")</f>
        <v>GPON 6</v>
      </c>
    </row>
    <row r="4103" ht="11.25" customHeight="1">
      <c r="A4103" s="21" t="str">
        <f>IFERROR(__xludf.DUMMYFUNCTION("""COMPUTED_VALUE"""),"TERMINAL GPON ONT WIFI F6645P")</f>
        <v>TERMINAL GPON ONT WIFI F6645P</v>
      </c>
      <c r="B4103" s="22">
        <f>IFERROR(__xludf.DUMMYFUNCTION("""COMPUTED_VALUE"""),4.100156E7)</f>
        <v>41001560</v>
      </c>
      <c r="C4103" s="21" t="str">
        <f>IFERROR(__xludf.DUMMYFUNCTION("""COMPUTED_VALUE"""),"C4EBFFF6BE51")</f>
        <v>C4EBFFF6BE51</v>
      </c>
      <c r="D4103" s="21" t="str">
        <f>IFERROR(__xludf.DUMMYFUNCTION("""COMPUTED_VALUE"""),"DIGITEC TECNOLOGIA DIGITAL E REPRES")</f>
        <v>DIGITEC TECNOLOGIA DIGITAL E REPRES</v>
      </c>
      <c r="E4103" s="21">
        <f>IFERROR(__xludf.DUMMYFUNCTION("""COMPUTED_VALUE"""),145359.0)</f>
        <v>145359</v>
      </c>
      <c r="F4103" s="21" t="str">
        <f>IFERROR(__xludf.DUMMYFUNCTION("""COMPUTED_VALUE"""),"INICIALIZADO")</f>
        <v>INICIALIZADO</v>
      </c>
      <c r="G4103" s="23">
        <f>IFERROR(__xludf.DUMMYFUNCTION("""COMPUTED_VALUE"""),45581.5965162037)</f>
        <v>45581.59652</v>
      </c>
      <c r="H4103" s="24" t="str">
        <f>IFERROR(VLOOKUP(B4103,material!A:D,3,0),"")</f>
        <v>GPON 6</v>
      </c>
    </row>
    <row r="4104" ht="11.25" customHeight="1">
      <c r="A4104" s="21" t="str">
        <f>IFERROR(__xludf.DUMMYFUNCTION("""COMPUTED_VALUE"""),"TERMINAL GPON ONT WIFI F6645P")</f>
        <v>TERMINAL GPON ONT WIFI F6645P</v>
      </c>
      <c r="B4104" s="22">
        <f>IFERROR(__xludf.DUMMYFUNCTION("""COMPUTED_VALUE"""),4.100156E7)</f>
        <v>41001560</v>
      </c>
      <c r="C4104" s="21" t="str">
        <f>IFERROR(__xludf.DUMMYFUNCTION("""COMPUTED_VALUE"""),"C4EBFFF6EB03")</f>
        <v>C4EBFFF6EB03</v>
      </c>
      <c r="D4104" s="21" t="str">
        <f>IFERROR(__xludf.DUMMYFUNCTION("""COMPUTED_VALUE"""),"DIGITEC TECNOLOGIA DIGITAL E REPRES")</f>
        <v>DIGITEC TECNOLOGIA DIGITAL E REPRES</v>
      </c>
      <c r="E4104" s="21">
        <f>IFERROR(__xludf.DUMMYFUNCTION("""COMPUTED_VALUE"""),145359.0)</f>
        <v>145359</v>
      </c>
      <c r="F4104" s="21" t="str">
        <f>IFERROR(__xludf.DUMMYFUNCTION("""COMPUTED_VALUE"""),"INICIALIZADO")</f>
        <v>INICIALIZADO</v>
      </c>
      <c r="G4104" s="23">
        <f>IFERROR(__xludf.DUMMYFUNCTION("""COMPUTED_VALUE"""),45527.72865740741)</f>
        <v>45527.72866</v>
      </c>
      <c r="H4104" s="24" t="str">
        <f>IFERROR(VLOOKUP(B4104,material!A:D,3,0),"")</f>
        <v>GPON 6</v>
      </c>
    </row>
    <row r="4105" ht="11.25" customHeight="1">
      <c r="A4105" s="21" t="str">
        <f>IFERROR(__xludf.DUMMYFUNCTION("""COMPUTED_VALUE"""),"TERMINAL GPON ONT WIFI F6645P")</f>
        <v>TERMINAL GPON ONT WIFI F6645P</v>
      </c>
      <c r="B4105" s="22">
        <f>IFERROR(__xludf.DUMMYFUNCTION("""COMPUTED_VALUE"""),4.100156E7)</f>
        <v>41001560</v>
      </c>
      <c r="C4105" s="21" t="str">
        <f>IFERROR(__xludf.DUMMYFUNCTION("""COMPUTED_VALUE"""),"C4EBFFF6EB39")</f>
        <v>C4EBFFF6EB39</v>
      </c>
      <c r="D4105" s="21" t="str">
        <f>IFERROR(__xludf.DUMMYFUNCTION("""COMPUTED_VALUE"""),"DIGITEC TECNOLOGIA DIGITAL E REPRES")</f>
        <v>DIGITEC TECNOLOGIA DIGITAL E REPRES</v>
      </c>
      <c r="E4105" s="21">
        <f>IFERROR(__xludf.DUMMYFUNCTION("""COMPUTED_VALUE"""),145359.0)</f>
        <v>145359</v>
      </c>
      <c r="F4105" s="21" t="str">
        <f>IFERROR(__xludf.DUMMYFUNCTION("""COMPUTED_VALUE"""),"INICIALIZADO")</f>
        <v>INICIALIZADO</v>
      </c>
      <c r="G4105" s="23">
        <f>IFERROR(__xludf.DUMMYFUNCTION("""COMPUTED_VALUE"""),45527.72865740741)</f>
        <v>45527.72866</v>
      </c>
      <c r="H4105" s="24" t="str">
        <f>IFERROR(VLOOKUP(B4105,material!A:D,3,0),"")</f>
        <v>GPON 6</v>
      </c>
    </row>
    <row r="4106" ht="11.25" customHeight="1">
      <c r="A4106" s="21" t="str">
        <f>IFERROR(__xludf.DUMMYFUNCTION("""COMPUTED_VALUE"""),"TERMINAL GPON ONT WIFI F6645P")</f>
        <v>TERMINAL GPON ONT WIFI F6645P</v>
      </c>
      <c r="B4106" s="22">
        <f>IFERROR(__xludf.DUMMYFUNCTION("""COMPUTED_VALUE"""),4.100156E7)</f>
        <v>41001560</v>
      </c>
      <c r="C4106" s="21" t="str">
        <f>IFERROR(__xludf.DUMMYFUNCTION("""COMPUTED_VALUE"""),"C4EBFFF6E98F")</f>
        <v>C4EBFFF6E98F</v>
      </c>
      <c r="D4106" s="21" t="str">
        <f>IFERROR(__xludf.DUMMYFUNCTION("""COMPUTED_VALUE"""),"DIGITEC TECNOLOGIA DIGITAL E REPRES")</f>
        <v>DIGITEC TECNOLOGIA DIGITAL E REPRES</v>
      </c>
      <c r="E4106" s="21">
        <f>IFERROR(__xludf.DUMMYFUNCTION("""COMPUTED_VALUE"""),145359.0)</f>
        <v>145359</v>
      </c>
      <c r="F4106" s="21" t="str">
        <f>IFERROR(__xludf.DUMMYFUNCTION("""COMPUTED_VALUE"""),"INICIALIZADO")</f>
        <v>INICIALIZADO</v>
      </c>
      <c r="G4106" s="23">
        <f>IFERROR(__xludf.DUMMYFUNCTION("""COMPUTED_VALUE"""),45527.72865740741)</f>
        <v>45527.72866</v>
      </c>
      <c r="H4106" s="24" t="str">
        <f>IFERROR(VLOOKUP(B4106,material!A:D,3,0),"")</f>
        <v>GPON 6</v>
      </c>
    </row>
    <row r="4107" ht="11.25" customHeight="1">
      <c r="A4107" s="21" t="str">
        <f>IFERROR(__xludf.DUMMYFUNCTION("""COMPUTED_VALUE"""),"TERMINAL GPON ONT WIFI F6645P")</f>
        <v>TERMINAL GPON ONT WIFI F6645P</v>
      </c>
      <c r="B4107" s="22">
        <f>IFERROR(__xludf.DUMMYFUNCTION("""COMPUTED_VALUE"""),4.100156E7)</f>
        <v>41001560</v>
      </c>
      <c r="C4107" s="21" t="str">
        <f>IFERROR(__xludf.DUMMYFUNCTION("""COMPUTED_VALUE"""),"C4EBFFF6C0A3")</f>
        <v>C4EBFFF6C0A3</v>
      </c>
      <c r="D4107" s="21" t="str">
        <f>IFERROR(__xludf.DUMMYFUNCTION("""COMPUTED_VALUE"""),"DIGITEC TECNOLOGIA DIGITAL E REPRES")</f>
        <v>DIGITEC TECNOLOGIA DIGITAL E REPRES</v>
      </c>
      <c r="E4107" s="21">
        <f>IFERROR(__xludf.DUMMYFUNCTION("""COMPUTED_VALUE"""),145359.0)</f>
        <v>145359</v>
      </c>
      <c r="F4107" s="21" t="str">
        <f>IFERROR(__xludf.DUMMYFUNCTION("""COMPUTED_VALUE"""),"INICIALIZADO")</f>
        <v>INICIALIZADO</v>
      </c>
      <c r="G4107" s="23">
        <f>IFERROR(__xludf.DUMMYFUNCTION("""COMPUTED_VALUE"""),45581.5965162037)</f>
        <v>45581.59652</v>
      </c>
      <c r="H4107" s="24" t="str">
        <f>IFERROR(VLOOKUP(B4107,material!A:D,3,0),"")</f>
        <v>GPON 6</v>
      </c>
    </row>
    <row r="4108" ht="11.25" customHeight="1">
      <c r="A4108" s="21" t="str">
        <f>IFERROR(__xludf.DUMMYFUNCTION("""COMPUTED_VALUE"""),"TERMINAL GPON ONT WIFI F6645P")</f>
        <v>TERMINAL GPON ONT WIFI F6645P</v>
      </c>
      <c r="B4108" s="22">
        <f>IFERROR(__xludf.DUMMYFUNCTION("""COMPUTED_VALUE"""),4.100156E7)</f>
        <v>41001560</v>
      </c>
      <c r="C4108" s="21" t="str">
        <f>IFERROR(__xludf.DUMMYFUNCTION("""COMPUTED_VALUE"""),"C4EBFFF6C223")</f>
        <v>C4EBFFF6C223</v>
      </c>
      <c r="D4108" s="21" t="str">
        <f>IFERROR(__xludf.DUMMYFUNCTION("""COMPUTED_VALUE"""),"DIGITEC TECNOLOGIA DIGITAL E REPRES")</f>
        <v>DIGITEC TECNOLOGIA DIGITAL E REPRES</v>
      </c>
      <c r="E4108" s="21">
        <f>IFERROR(__xludf.DUMMYFUNCTION("""COMPUTED_VALUE"""),145359.0)</f>
        <v>145359</v>
      </c>
      <c r="F4108" s="21" t="str">
        <f>IFERROR(__xludf.DUMMYFUNCTION("""COMPUTED_VALUE"""),"INICIALIZADO")</f>
        <v>INICIALIZADO</v>
      </c>
      <c r="G4108" s="23">
        <f>IFERROR(__xludf.DUMMYFUNCTION("""COMPUTED_VALUE"""),45581.5965162037)</f>
        <v>45581.59652</v>
      </c>
      <c r="H4108" s="24" t="str">
        <f>IFERROR(VLOOKUP(B4108,material!A:D,3,0),"")</f>
        <v>GPON 6</v>
      </c>
    </row>
    <row r="4109" ht="11.25" customHeight="1">
      <c r="A4109" s="21" t="str">
        <f>IFERROR(__xludf.DUMMYFUNCTION("""COMPUTED_VALUE"""),"TERMINAL GPON ONT WIFI F6645P")</f>
        <v>TERMINAL GPON ONT WIFI F6645P</v>
      </c>
      <c r="B4109" s="22">
        <f>IFERROR(__xludf.DUMMYFUNCTION("""COMPUTED_VALUE"""),4.100156E7)</f>
        <v>41001560</v>
      </c>
      <c r="C4109" s="21" t="str">
        <f>IFERROR(__xludf.DUMMYFUNCTION("""COMPUTED_VALUE"""),"C4EBFFF6BE4B")</f>
        <v>C4EBFFF6BE4B</v>
      </c>
      <c r="D4109" s="21" t="str">
        <f>IFERROR(__xludf.DUMMYFUNCTION("""COMPUTED_VALUE"""),"DIGITEC TECNOLOGIA DIGITAL E REPRES")</f>
        <v>DIGITEC TECNOLOGIA DIGITAL E REPRES</v>
      </c>
      <c r="E4109" s="21">
        <f>IFERROR(__xludf.DUMMYFUNCTION("""COMPUTED_VALUE"""),145359.0)</f>
        <v>145359</v>
      </c>
      <c r="F4109" s="21" t="str">
        <f>IFERROR(__xludf.DUMMYFUNCTION("""COMPUTED_VALUE"""),"INICIALIZADO")</f>
        <v>INICIALIZADO</v>
      </c>
      <c r="G4109" s="23">
        <f>IFERROR(__xludf.DUMMYFUNCTION("""COMPUTED_VALUE"""),45581.5965162037)</f>
        <v>45581.59652</v>
      </c>
      <c r="H4109" s="24" t="str">
        <f>IFERROR(VLOOKUP(B4109,material!A:D,3,0),"")</f>
        <v>GPON 6</v>
      </c>
    </row>
    <row r="4110" ht="11.25" customHeight="1">
      <c r="A4110" s="21" t="str">
        <f>IFERROR(__xludf.DUMMYFUNCTION("""COMPUTED_VALUE"""),"TERMINAL GPON ONT WIFI F6645P")</f>
        <v>TERMINAL GPON ONT WIFI F6645P</v>
      </c>
      <c r="B4110" s="22">
        <f>IFERROR(__xludf.DUMMYFUNCTION("""COMPUTED_VALUE"""),4.100156E7)</f>
        <v>41001560</v>
      </c>
      <c r="C4110" s="21" t="str">
        <f>IFERROR(__xludf.DUMMYFUNCTION("""COMPUTED_VALUE"""),"9C635B8A5CFE")</f>
        <v>9C635B8A5CFE</v>
      </c>
      <c r="D4110" s="21" t="str">
        <f>IFERROR(__xludf.DUMMYFUNCTION("""COMPUTED_VALUE"""),"DIGITEC TECNOLOGIA DIGITAL E REPRES")</f>
        <v>DIGITEC TECNOLOGIA DIGITAL E REPRES</v>
      </c>
      <c r="E4110" s="21">
        <f>IFERROR(__xludf.DUMMYFUNCTION("""COMPUTED_VALUE"""),145359.0)</f>
        <v>145359</v>
      </c>
      <c r="F4110" s="21" t="str">
        <f>IFERROR(__xludf.DUMMYFUNCTION("""COMPUTED_VALUE"""),"INICIALIZADO")</f>
        <v>INICIALIZADO</v>
      </c>
      <c r="G4110" s="23">
        <f>IFERROR(__xludf.DUMMYFUNCTION("""COMPUTED_VALUE"""),45509.46600694444)</f>
        <v>45509.46601</v>
      </c>
      <c r="H4110" s="24" t="str">
        <f>IFERROR(VLOOKUP(B4110,material!A:D,3,0),"")</f>
        <v>GPON 6</v>
      </c>
    </row>
    <row r="4111" ht="11.25" customHeight="1">
      <c r="A4111" s="21" t="str">
        <f>IFERROR(__xludf.DUMMYFUNCTION("""COMPUTED_VALUE"""),"TERMINAL GPON ONT WIFI F6645P")</f>
        <v>TERMINAL GPON ONT WIFI F6645P</v>
      </c>
      <c r="B4111" s="22">
        <f>IFERROR(__xludf.DUMMYFUNCTION("""COMPUTED_VALUE"""),4.100156E7)</f>
        <v>41001560</v>
      </c>
      <c r="C4111" s="21" t="str">
        <f>IFERROR(__xludf.DUMMYFUNCTION("""COMPUTED_VALUE"""),"9C635B89A39A")</f>
        <v>9C635B89A39A</v>
      </c>
      <c r="D4111" s="21" t="str">
        <f>IFERROR(__xludf.DUMMYFUNCTION("""COMPUTED_VALUE"""),"DIGITEC TECNOLOGIA DIGITAL E REPRES")</f>
        <v>DIGITEC TECNOLOGIA DIGITAL E REPRES</v>
      </c>
      <c r="E4111" s="21">
        <f>IFERROR(__xludf.DUMMYFUNCTION("""COMPUTED_VALUE"""),145359.0)</f>
        <v>145359</v>
      </c>
      <c r="F4111" s="21" t="str">
        <f>IFERROR(__xludf.DUMMYFUNCTION("""COMPUTED_VALUE"""),"INICIALIZADO")</f>
        <v>INICIALIZADO</v>
      </c>
      <c r="G4111" s="23">
        <f>IFERROR(__xludf.DUMMYFUNCTION("""COMPUTED_VALUE"""),45485.74729166667)</f>
        <v>45485.74729</v>
      </c>
      <c r="H4111" s="24" t="str">
        <f>IFERROR(VLOOKUP(B4111,material!A:D,3,0),"")</f>
        <v>GPON 6</v>
      </c>
    </row>
    <row r="4112" ht="11.25" customHeight="1">
      <c r="A4112" s="21" t="str">
        <f>IFERROR(__xludf.DUMMYFUNCTION("""COMPUTED_VALUE"""),"TERMINAL GPON ONT WIFI F6645P")</f>
        <v>TERMINAL GPON ONT WIFI F6645P</v>
      </c>
      <c r="B4112" s="22">
        <f>IFERROR(__xludf.DUMMYFUNCTION("""COMPUTED_VALUE"""),4.100156E7)</f>
        <v>41001560</v>
      </c>
      <c r="C4112" s="21" t="str">
        <f>IFERROR(__xludf.DUMMYFUNCTION("""COMPUTED_VALUE"""),"C4EBFFF6EB6F")</f>
        <v>C4EBFFF6EB6F</v>
      </c>
      <c r="D4112" s="21" t="str">
        <f>IFERROR(__xludf.DUMMYFUNCTION("""COMPUTED_VALUE"""),"DIGITEC TECNOLOGIA DIGITAL E REPRES")</f>
        <v>DIGITEC TECNOLOGIA DIGITAL E REPRES</v>
      </c>
      <c r="E4112" s="21">
        <f>IFERROR(__xludf.DUMMYFUNCTION("""COMPUTED_VALUE"""),145359.0)</f>
        <v>145359</v>
      </c>
      <c r="F4112" s="21" t="str">
        <f>IFERROR(__xludf.DUMMYFUNCTION("""COMPUTED_VALUE"""),"INICIALIZADO")</f>
        <v>INICIALIZADO</v>
      </c>
      <c r="G4112" s="23">
        <f>IFERROR(__xludf.DUMMYFUNCTION("""COMPUTED_VALUE"""),45527.72864583333)</f>
        <v>45527.72865</v>
      </c>
      <c r="H4112" s="24" t="str">
        <f>IFERROR(VLOOKUP(B4112,material!A:D,3,0),"")</f>
        <v>GPON 6</v>
      </c>
    </row>
    <row r="4113" ht="11.25" customHeight="1">
      <c r="A4113" s="21" t="str">
        <f>IFERROR(__xludf.DUMMYFUNCTION("""COMPUTED_VALUE"""),"TERMINAL GPON ONT WIFI F6645P")</f>
        <v>TERMINAL GPON ONT WIFI F6645P</v>
      </c>
      <c r="B4113" s="22">
        <f>IFERROR(__xludf.DUMMYFUNCTION("""COMPUTED_VALUE"""),4.100156E7)</f>
        <v>41001560</v>
      </c>
      <c r="C4113" s="21" t="str">
        <f>IFERROR(__xludf.DUMMYFUNCTION("""COMPUTED_VALUE"""),"C4EBFFF6EC0B")</f>
        <v>C4EBFFF6EC0B</v>
      </c>
      <c r="D4113" s="21" t="str">
        <f>IFERROR(__xludf.DUMMYFUNCTION("""COMPUTED_VALUE"""),"DIGITEC TECNOLOGIA DIGITAL E REPRES")</f>
        <v>DIGITEC TECNOLOGIA DIGITAL E REPRES</v>
      </c>
      <c r="E4113" s="21">
        <f>IFERROR(__xludf.DUMMYFUNCTION("""COMPUTED_VALUE"""),145359.0)</f>
        <v>145359</v>
      </c>
      <c r="F4113" s="21" t="str">
        <f>IFERROR(__xludf.DUMMYFUNCTION("""COMPUTED_VALUE"""),"INICIALIZADO")</f>
        <v>INICIALIZADO</v>
      </c>
      <c r="G4113" s="23">
        <f>IFERROR(__xludf.DUMMYFUNCTION("""COMPUTED_VALUE"""),45527.72864583333)</f>
        <v>45527.72865</v>
      </c>
      <c r="H4113" s="24" t="str">
        <f>IFERROR(VLOOKUP(B4113,material!A:D,3,0),"")</f>
        <v>GPON 6</v>
      </c>
    </row>
    <row r="4114" ht="11.25" customHeight="1">
      <c r="A4114" s="21" t="str">
        <f>IFERROR(__xludf.DUMMYFUNCTION("""COMPUTED_VALUE"""),"TERMINAL GPON ONT WIFI F6645P")</f>
        <v>TERMINAL GPON ONT WIFI F6645P</v>
      </c>
      <c r="B4114" s="22">
        <f>IFERROR(__xludf.DUMMYFUNCTION("""COMPUTED_VALUE"""),4.100156E7)</f>
        <v>41001560</v>
      </c>
      <c r="C4114" s="21" t="str">
        <f>IFERROR(__xludf.DUMMYFUNCTION("""COMPUTED_VALUE"""),"C4EBFFF6EA4F")</f>
        <v>C4EBFFF6EA4F</v>
      </c>
      <c r="D4114" s="21" t="str">
        <f>IFERROR(__xludf.DUMMYFUNCTION("""COMPUTED_VALUE"""),"DIGITEC TECNOLOGIA DIGITAL E REPRES")</f>
        <v>DIGITEC TECNOLOGIA DIGITAL E REPRES</v>
      </c>
      <c r="E4114" s="21">
        <f>IFERROR(__xludf.DUMMYFUNCTION("""COMPUTED_VALUE"""),145359.0)</f>
        <v>145359</v>
      </c>
      <c r="F4114" s="21" t="str">
        <f>IFERROR(__xludf.DUMMYFUNCTION("""COMPUTED_VALUE"""),"INICIALIZADO")</f>
        <v>INICIALIZADO</v>
      </c>
      <c r="G4114" s="23">
        <f>IFERROR(__xludf.DUMMYFUNCTION("""COMPUTED_VALUE"""),45527.72866898148)</f>
        <v>45527.72867</v>
      </c>
      <c r="H4114" s="24" t="str">
        <f>IFERROR(VLOOKUP(B4114,material!A:D,3,0),"")</f>
        <v>GPON 6</v>
      </c>
    </row>
    <row r="4115" ht="11.25" customHeight="1">
      <c r="A4115" s="21" t="str">
        <f>IFERROR(__xludf.DUMMYFUNCTION("""COMPUTED_VALUE"""),"TERMINAL GPON ONT WIFI F6645P")</f>
        <v>TERMINAL GPON ONT WIFI F6645P</v>
      </c>
      <c r="B4115" s="22">
        <f>IFERROR(__xludf.DUMMYFUNCTION("""COMPUTED_VALUE"""),4.100156E7)</f>
        <v>41001560</v>
      </c>
      <c r="C4115" s="21" t="str">
        <f>IFERROR(__xludf.DUMMYFUNCTION("""COMPUTED_VALUE"""),"C4EBFFF6ED1F")</f>
        <v>C4EBFFF6ED1F</v>
      </c>
      <c r="D4115" s="21" t="str">
        <f>IFERROR(__xludf.DUMMYFUNCTION("""COMPUTED_VALUE"""),"DIGITEC TECNOLOGIA DIGITAL E REPRES")</f>
        <v>DIGITEC TECNOLOGIA DIGITAL E REPRES</v>
      </c>
      <c r="E4115" s="21">
        <f>IFERROR(__xludf.DUMMYFUNCTION("""COMPUTED_VALUE"""),145359.0)</f>
        <v>145359</v>
      </c>
      <c r="F4115" s="21" t="str">
        <f>IFERROR(__xludf.DUMMYFUNCTION("""COMPUTED_VALUE"""),"INICIALIZADO")</f>
        <v>INICIALIZADO</v>
      </c>
      <c r="G4115" s="23">
        <f>IFERROR(__xludf.DUMMYFUNCTION("""COMPUTED_VALUE"""),45527.72864583333)</f>
        <v>45527.72865</v>
      </c>
      <c r="H4115" s="24" t="str">
        <f>IFERROR(VLOOKUP(B4115,material!A:D,3,0),"")</f>
        <v>GPON 6</v>
      </c>
    </row>
    <row r="4116" ht="11.25" customHeight="1">
      <c r="A4116" s="21" t="str">
        <f>IFERROR(__xludf.DUMMYFUNCTION("""COMPUTED_VALUE"""),"TERMINAL GPON ONT WIFI F6645P")</f>
        <v>TERMINAL GPON ONT WIFI F6645P</v>
      </c>
      <c r="B4116" s="22">
        <f>IFERROR(__xludf.DUMMYFUNCTION("""COMPUTED_VALUE"""),4.100156E7)</f>
        <v>41001560</v>
      </c>
      <c r="C4116" s="21" t="str">
        <f>IFERROR(__xludf.DUMMYFUNCTION("""COMPUTED_VALUE"""),"C4EBFFF6EC35")</f>
        <v>C4EBFFF6EC35</v>
      </c>
      <c r="D4116" s="21" t="str">
        <f>IFERROR(__xludf.DUMMYFUNCTION("""COMPUTED_VALUE"""),"DIGITEC TECNOLOGIA DIGITAL E REPRES")</f>
        <v>DIGITEC TECNOLOGIA DIGITAL E REPRES</v>
      </c>
      <c r="E4116" s="21">
        <f>IFERROR(__xludf.DUMMYFUNCTION("""COMPUTED_VALUE"""),145359.0)</f>
        <v>145359</v>
      </c>
      <c r="F4116" s="21" t="str">
        <f>IFERROR(__xludf.DUMMYFUNCTION("""COMPUTED_VALUE"""),"INICIALIZADO")</f>
        <v>INICIALIZADO</v>
      </c>
      <c r="G4116" s="23">
        <f>IFERROR(__xludf.DUMMYFUNCTION("""COMPUTED_VALUE"""),45527.72864583333)</f>
        <v>45527.72865</v>
      </c>
      <c r="H4116" s="24" t="str">
        <f>IFERROR(VLOOKUP(B4116,material!A:D,3,0),"")</f>
        <v>GPON 6</v>
      </c>
    </row>
    <row r="4117" ht="11.25" customHeight="1">
      <c r="A4117" s="21" t="str">
        <f>IFERROR(__xludf.DUMMYFUNCTION("""COMPUTED_VALUE"""),"TERMINAL GPON ONT WIFI F6645P")</f>
        <v>TERMINAL GPON ONT WIFI F6645P</v>
      </c>
      <c r="B4117" s="22">
        <f>IFERROR(__xludf.DUMMYFUNCTION("""COMPUTED_VALUE"""),4.100156E7)</f>
        <v>41001560</v>
      </c>
      <c r="C4117" s="21" t="str">
        <f>IFERROR(__xludf.DUMMYFUNCTION("""COMPUTED_VALUE"""),"C4EBFFF6C0CD")</f>
        <v>C4EBFFF6C0CD</v>
      </c>
      <c r="D4117" s="21" t="str">
        <f>IFERROR(__xludf.DUMMYFUNCTION("""COMPUTED_VALUE"""),"DIGITEC TECNOLOGIA DIGITAL E REPRES")</f>
        <v>DIGITEC TECNOLOGIA DIGITAL E REPRES</v>
      </c>
      <c r="E4117" s="21">
        <f>IFERROR(__xludf.DUMMYFUNCTION("""COMPUTED_VALUE"""),145359.0)</f>
        <v>145359</v>
      </c>
      <c r="F4117" s="21" t="str">
        <f>IFERROR(__xludf.DUMMYFUNCTION("""COMPUTED_VALUE"""),"INICIALIZADO")</f>
        <v>INICIALIZADO</v>
      </c>
      <c r="G4117" s="23">
        <f>IFERROR(__xludf.DUMMYFUNCTION("""COMPUTED_VALUE"""),45574.741273148145)</f>
        <v>45574.74127</v>
      </c>
      <c r="H4117" s="24" t="str">
        <f>IFERROR(VLOOKUP(B4117,material!A:D,3,0),"")</f>
        <v>GPON 6</v>
      </c>
    </row>
    <row r="4118" ht="11.25" customHeight="1">
      <c r="A4118" s="21" t="str">
        <f>IFERROR(__xludf.DUMMYFUNCTION("""COMPUTED_VALUE"""),"TERMINAL GPON ONT WIFI F6645P")</f>
        <v>TERMINAL GPON ONT WIFI F6645P</v>
      </c>
      <c r="B4118" s="22">
        <f>IFERROR(__xludf.DUMMYFUNCTION("""COMPUTED_VALUE"""),4.100156E7)</f>
        <v>41001560</v>
      </c>
      <c r="C4118" s="21" t="str">
        <f>IFERROR(__xludf.DUMMYFUNCTION("""COMPUTED_VALUE"""),"C4EBFFF6C121")</f>
        <v>C4EBFFF6C121</v>
      </c>
      <c r="D4118" s="21" t="str">
        <f>IFERROR(__xludf.DUMMYFUNCTION("""COMPUTED_VALUE"""),"DIGITEC TECNOLOGIA DIGITAL E REPRES")</f>
        <v>DIGITEC TECNOLOGIA DIGITAL E REPRES</v>
      </c>
      <c r="E4118" s="21">
        <f>IFERROR(__xludf.DUMMYFUNCTION("""COMPUTED_VALUE"""),145359.0)</f>
        <v>145359</v>
      </c>
      <c r="F4118" s="21" t="str">
        <f>IFERROR(__xludf.DUMMYFUNCTION("""COMPUTED_VALUE"""),"INICIALIZADO")</f>
        <v>INICIALIZADO</v>
      </c>
      <c r="G4118" s="23">
        <f>IFERROR(__xludf.DUMMYFUNCTION("""COMPUTED_VALUE"""),45581.5965162037)</f>
        <v>45581.59652</v>
      </c>
      <c r="H4118" s="24" t="str">
        <f>IFERROR(VLOOKUP(B4118,material!A:D,3,0),"")</f>
        <v>GPON 6</v>
      </c>
    </row>
    <row r="4119" ht="11.25" customHeight="1">
      <c r="A4119" s="21" t="str">
        <f>IFERROR(__xludf.DUMMYFUNCTION("""COMPUTED_VALUE"""),"TERMINAL GPON ONT WIFI F6645P")</f>
        <v>TERMINAL GPON ONT WIFI F6645P</v>
      </c>
      <c r="B4119" s="22">
        <f>IFERROR(__xludf.DUMMYFUNCTION("""COMPUTED_VALUE"""),4.100156E7)</f>
        <v>41001560</v>
      </c>
      <c r="C4119" s="21" t="str">
        <f>IFERROR(__xludf.DUMMYFUNCTION("""COMPUTED_VALUE"""),"C4EBFFF6BF0B")</f>
        <v>C4EBFFF6BF0B</v>
      </c>
      <c r="D4119" s="21" t="str">
        <f>IFERROR(__xludf.DUMMYFUNCTION("""COMPUTED_VALUE"""),"DIGITEC TECNOLOGIA DIGITAL E REPRES")</f>
        <v>DIGITEC TECNOLOGIA DIGITAL E REPRES</v>
      </c>
      <c r="E4119" s="21">
        <f>IFERROR(__xludf.DUMMYFUNCTION("""COMPUTED_VALUE"""),145359.0)</f>
        <v>145359</v>
      </c>
      <c r="F4119" s="21" t="str">
        <f>IFERROR(__xludf.DUMMYFUNCTION("""COMPUTED_VALUE"""),"INICIALIZADO")</f>
        <v>INICIALIZADO</v>
      </c>
      <c r="G4119" s="23">
        <f>IFERROR(__xludf.DUMMYFUNCTION("""COMPUTED_VALUE"""),45574.741273148145)</f>
        <v>45574.74127</v>
      </c>
      <c r="H4119" s="24" t="str">
        <f>IFERROR(VLOOKUP(B4119,material!A:D,3,0),"")</f>
        <v>GPON 6</v>
      </c>
    </row>
    <row r="4120" ht="11.25" customHeight="1">
      <c r="A4120" s="21" t="str">
        <f>IFERROR(__xludf.DUMMYFUNCTION("""COMPUTED_VALUE"""),"TERMINAL GPON ONT WIFI F6645P")</f>
        <v>TERMINAL GPON ONT WIFI F6645P</v>
      </c>
      <c r="B4120" s="22">
        <f>IFERROR(__xludf.DUMMYFUNCTION("""COMPUTED_VALUE"""),4.100156E7)</f>
        <v>41001560</v>
      </c>
      <c r="C4120" s="21" t="str">
        <f>IFERROR(__xludf.DUMMYFUNCTION("""COMPUTED_VALUE"""),"C4EBFFF6C037")</f>
        <v>C4EBFFF6C037</v>
      </c>
      <c r="D4120" s="21" t="str">
        <f>IFERROR(__xludf.DUMMYFUNCTION("""COMPUTED_VALUE"""),"DIGITEC TECNOLOGIA DIGITAL E REPRES")</f>
        <v>DIGITEC TECNOLOGIA DIGITAL E REPRES</v>
      </c>
      <c r="E4120" s="21">
        <f>IFERROR(__xludf.DUMMYFUNCTION("""COMPUTED_VALUE"""),145359.0)</f>
        <v>145359</v>
      </c>
      <c r="F4120" s="21" t="str">
        <f>IFERROR(__xludf.DUMMYFUNCTION("""COMPUTED_VALUE"""),"INICIALIZADO")</f>
        <v>INICIALIZADO</v>
      </c>
      <c r="G4120" s="23">
        <f>IFERROR(__xludf.DUMMYFUNCTION("""COMPUTED_VALUE"""),45581.5965162037)</f>
        <v>45581.59652</v>
      </c>
      <c r="H4120" s="24" t="str">
        <f>IFERROR(VLOOKUP(B4120,material!A:D,3,0),"")</f>
        <v>GPON 6</v>
      </c>
    </row>
    <row r="4121" ht="11.25" customHeight="1">
      <c r="A4121" s="21" t="str">
        <f>IFERROR(__xludf.DUMMYFUNCTION("""COMPUTED_VALUE"""),"TERMINAL GPON ONT WIFI F6645P")</f>
        <v>TERMINAL GPON ONT WIFI F6645P</v>
      </c>
      <c r="B4121" s="22">
        <f>IFERROR(__xludf.DUMMYFUNCTION("""COMPUTED_VALUE"""),4.100156E7)</f>
        <v>41001560</v>
      </c>
      <c r="C4121" s="21" t="str">
        <f>IFERROR(__xludf.DUMMYFUNCTION("""COMPUTED_VALUE"""),"C4EBFFF7297F")</f>
        <v>C4EBFFF7297F</v>
      </c>
      <c r="D4121" s="21" t="str">
        <f>IFERROR(__xludf.DUMMYFUNCTION("""COMPUTED_VALUE"""),"DIGITEC TECNOLOGIA DIGITAL E REPRES")</f>
        <v>DIGITEC TECNOLOGIA DIGITAL E REPRES</v>
      </c>
      <c r="E4121" s="21">
        <f>IFERROR(__xludf.DUMMYFUNCTION("""COMPUTED_VALUE"""),145359.0)</f>
        <v>145359</v>
      </c>
      <c r="F4121" s="21" t="str">
        <f>IFERROR(__xludf.DUMMYFUNCTION("""COMPUTED_VALUE"""),"INICIALIZADO")</f>
        <v>INICIALIZADO</v>
      </c>
      <c r="G4121" s="23">
        <f>IFERROR(__xludf.DUMMYFUNCTION("""COMPUTED_VALUE"""),45574.741273148145)</f>
        <v>45574.74127</v>
      </c>
      <c r="H4121" s="24" t="str">
        <f>IFERROR(VLOOKUP(B4121,material!A:D,3,0),"")</f>
        <v>GPON 6</v>
      </c>
    </row>
    <row r="4122" ht="11.25" customHeight="1">
      <c r="A4122" s="21" t="str">
        <f>IFERROR(__xludf.DUMMYFUNCTION("""COMPUTED_VALUE"""),"TERMINAL GPON ONT WIFI F6645P")</f>
        <v>TERMINAL GPON ONT WIFI F6645P</v>
      </c>
      <c r="B4122" s="22">
        <f>IFERROR(__xludf.DUMMYFUNCTION("""COMPUTED_VALUE"""),4.100156E7)</f>
        <v>41001560</v>
      </c>
      <c r="C4122" s="21" t="str">
        <f>IFERROR(__xludf.DUMMYFUNCTION("""COMPUTED_VALUE"""),"C4EBFFF6E707")</f>
        <v>C4EBFFF6E707</v>
      </c>
      <c r="D4122" s="21" t="str">
        <f>IFERROR(__xludf.DUMMYFUNCTION("""COMPUTED_VALUE"""),"DIGITEC TECNOLOGIA DIGITAL E REPRES")</f>
        <v>DIGITEC TECNOLOGIA DIGITAL E REPRES</v>
      </c>
      <c r="E4122" s="21">
        <f>IFERROR(__xludf.DUMMYFUNCTION("""COMPUTED_VALUE"""),145359.0)</f>
        <v>145359</v>
      </c>
      <c r="F4122" s="21" t="str">
        <f>IFERROR(__xludf.DUMMYFUNCTION("""COMPUTED_VALUE"""),"INICIALIZADO")</f>
        <v>INICIALIZADO</v>
      </c>
      <c r="G4122" s="23">
        <f>IFERROR(__xludf.DUMMYFUNCTION("""COMPUTED_VALUE"""),45527.72865740741)</f>
        <v>45527.72866</v>
      </c>
      <c r="H4122" s="24" t="str">
        <f>IFERROR(VLOOKUP(B4122,material!A:D,3,0),"")</f>
        <v>GPON 6</v>
      </c>
    </row>
    <row r="4123" ht="11.25" customHeight="1">
      <c r="A4123" s="21" t="str">
        <f>IFERROR(__xludf.DUMMYFUNCTION("""COMPUTED_VALUE"""),"TERMINAL GPON ONT WIFI F6645P")</f>
        <v>TERMINAL GPON ONT WIFI F6645P</v>
      </c>
      <c r="B4123" s="22">
        <f>IFERROR(__xludf.DUMMYFUNCTION("""COMPUTED_VALUE"""),4.100156E7)</f>
        <v>41001560</v>
      </c>
      <c r="C4123" s="21" t="str">
        <f>IFERROR(__xludf.DUMMYFUNCTION("""COMPUTED_VALUE"""),"9C635B89A0F4")</f>
        <v>9C635B89A0F4</v>
      </c>
      <c r="D4123" s="21" t="str">
        <f>IFERROR(__xludf.DUMMYFUNCTION("""COMPUTED_VALUE"""),"DIGITEC TECNOLOGIA DIGITAL E REPRES")</f>
        <v>DIGITEC TECNOLOGIA DIGITAL E REPRES</v>
      </c>
      <c r="E4123" s="21">
        <f>IFERROR(__xludf.DUMMYFUNCTION("""COMPUTED_VALUE"""),145359.0)</f>
        <v>145359</v>
      </c>
      <c r="F4123" s="21" t="str">
        <f>IFERROR(__xludf.DUMMYFUNCTION("""COMPUTED_VALUE"""),"INICIALIZADO")</f>
        <v>INICIALIZADO</v>
      </c>
      <c r="G4123" s="23">
        <f>IFERROR(__xludf.DUMMYFUNCTION("""COMPUTED_VALUE"""),45485.74729166667)</f>
        <v>45485.74729</v>
      </c>
      <c r="H4123" s="24" t="str">
        <f>IFERROR(VLOOKUP(B4123,material!A:D,3,0),"")</f>
        <v>GPON 6</v>
      </c>
    </row>
    <row r="4124" ht="11.25" customHeight="1">
      <c r="A4124" s="21" t="str">
        <f>IFERROR(__xludf.DUMMYFUNCTION("""COMPUTED_VALUE"""),"DECODER CARDLESS 4K UHD K4KCW5 CABO E IP")</f>
        <v>DECODER CARDLESS 4K UHD K4KCW5 CABO E IP</v>
      </c>
      <c r="B4124" s="22">
        <f>IFERROR(__xludf.DUMMYFUNCTION("""COMPUTED_VALUE"""),4.1001584E7)</f>
        <v>41001584</v>
      </c>
      <c r="C4124" s="21" t="str">
        <f>IFERROR(__xludf.DUMMYFUNCTION("""COMPUTED_VALUE"""),"241633230814")</f>
        <v>241633230814</v>
      </c>
      <c r="D4124" s="21" t="str">
        <f>IFERROR(__xludf.DUMMYFUNCTION("""COMPUTED_VALUE"""),"DIGITEC TECNOLOGIA DIGITAL E REPRES")</f>
        <v>DIGITEC TECNOLOGIA DIGITAL E REPRES</v>
      </c>
      <c r="E4124" s="21">
        <f>IFERROR(__xludf.DUMMYFUNCTION("""COMPUTED_VALUE"""),145359.0)</f>
        <v>145359</v>
      </c>
      <c r="F4124" s="21" t="str">
        <f>IFERROR(__xludf.DUMMYFUNCTION("""COMPUTED_VALUE"""),"INICIALIZADO")</f>
        <v>INICIALIZADO</v>
      </c>
      <c r="G4124" s="23">
        <f>IFERROR(__xludf.DUMMYFUNCTION("""COMPUTED_VALUE"""),45587.76804398149)</f>
        <v>45587.76804</v>
      </c>
      <c r="H4124" s="24" t="str">
        <f>IFERROR(VLOOKUP(B4124,material!A:D,3,0),"")</f>
        <v>4K RFIP</v>
      </c>
    </row>
    <row r="4125" ht="11.25" customHeight="1">
      <c r="A4125" s="21" t="str">
        <f>IFERROR(__xludf.DUMMYFUNCTION("""COMPUTED_VALUE"""),"DECODER CARDLESS 4K UHD K4KCW5 CABO E IP")</f>
        <v>DECODER CARDLESS 4K UHD K4KCW5 CABO E IP</v>
      </c>
      <c r="B4125" s="22">
        <f>IFERROR(__xludf.DUMMYFUNCTION("""COMPUTED_VALUE"""),4.1001584E7)</f>
        <v>41001584</v>
      </c>
      <c r="C4125" s="21" t="str">
        <f>IFERROR(__xludf.DUMMYFUNCTION("""COMPUTED_VALUE"""),"241627035562")</f>
        <v>241627035562</v>
      </c>
      <c r="D4125" s="21" t="str">
        <f>IFERROR(__xludf.DUMMYFUNCTION("""COMPUTED_VALUE"""),"DIGITEC TECNOLOGIA DIGITAL E REPRES")</f>
        <v>DIGITEC TECNOLOGIA DIGITAL E REPRES</v>
      </c>
      <c r="E4125" s="21">
        <f>IFERROR(__xludf.DUMMYFUNCTION("""COMPUTED_VALUE"""),145359.0)</f>
        <v>145359</v>
      </c>
      <c r="F4125" s="21" t="str">
        <f>IFERROR(__xludf.DUMMYFUNCTION("""COMPUTED_VALUE"""),"INICIALIZADO")</f>
        <v>INICIALIZADO</v>
      </c>
      <c r="G4125" s="23">
        <f>IFERROR(__xludf.DUMMYFUNCTION("""COMPUTED_VALUE"""),45590.40212962963)</f>
        <v>45590.40213</v>
      </c>
      <c r="H4125" s="24" t="str">
        <f>IFERROR(VLOOKUP(B4125,material!A:D,3,0),"")</f>
        <v>4K RFIP</v>
      </c>
    </row>
    <row r="4126" ht="11.25" customHeight="1">
      <c r="A4126" s="21" t="str">
        <f>IFERROR(__xludf.DUMMYFUNCTION("""COMPUTED_VALUE"""),"DECODER CARDLESS 4K UHD K4KCW5 CABO E IP")</f>
        <v>DECODER CARDLESS 4K UHD K4KCW5 CABO E IP</v>
      </c>
      <c r="B4126" s="22">
        <f>IFERROR(__xludf.DUMMYFUNCTION("""COMPUTED_VALUE"""),4.1001584E7)</f>
        <v>41001584</v>
      </c>
      <c r="C4126" s="21" t="str">
        <f>IFERROR(__xludf.DUMMYFUNCTION("""COMPUTED_VALUE"""),"241633233036")</f>
        <v>241633233036</v>
      </c>
      <c r="D4126" s="21" t="str">
        <f>IFERROR(__xludf.DUMMYFUNCTION("""COMPUTED_VALUE"""),"DIGITEC TECNOLOGIA DIGITAL E REPRES")</f>
        <v>DIGITEC TECNOLOGIA DIGITAL E REPRES</v>
      </c>
      <c r="E4126" s="21">
        <f>IFERROR(__xludf.DUMMYFUNCTION("""COMPUTED_VALUE"""),145359.0)</f>
        <v>145359</v>
      </c>
      <c r="F4126" s="21" t="str">
        <f>IFERROR(__xludf.DUMMYFUNCTION("""COMPUTED_VALUE"""),"INICIALIZADO")</f>
        <v>INICIALIZADO</v>
      </c>
      <c r="G4126" s="23">
        <f>IFERROR(__xludf.DUMMYFUNCTION("""COMPUTED_VALUE"""),45587.76804398149)</f>
        <v>45587.76804</v>
      </c>
      <c r="H4126" s="24" t="str">
        <f>IFERROR(VLOOKUP(B4126,material!A:D,3,0),"")</f>
        <v>4K RFIP</v>
      </c>
    </row>
    <row r="4127" ht="11.25" customHeight="1">
      <c r="A4127" s="21" t="str">
        <f>IFERROR(__xludf.DUMMYFUNCTION("""COMPUTED_VALUE"""),"DECODER CARDLESS 4K UHD K4KCW5 CABO E IP")</f>
        <v>DECODER CARDLESS 4K UHD K4KCW5 CABO E IP</v>
      </c>
      <c r="B4127" s="22">
        <f>IFERROR(__xludf.DUMMYFUNCTION("""COMPUTED_VALUE"""),4.1001584E7)</f>
        <v>41001584</v>
      </c>
      <c r="C4127" s="21" t="str">
        <f>IFERROR(__xludf.DUMMYFUNCTION("""COMPUTED_VALUE"""),"241633239602")</f>
        <v>241633239602</v>
      </c>
      <c r="D4127" s="21" t="str">
        <f>IFERROR(__xludf.DUMMYFUNCTION("""COMPUTED_VALUE"""),"DIGITEC TECNOLOGIA DIGITAL E REPRES")</f>
        <v>DIGITEC TECNOLOGIA DIGITAL E REPRES</v>
      </c>
      <c r="E4127" s="21">
        <f>IFERROR(__xludf.DUMMYFUNCTION("""COMPUTED_VALUE"""),145359.0)</f>
        <v>145359</v>
      </c>
      <c r="F4127" s="21" t="str">
        <f>IFERROR(__xludf.DUMMYFUNCTION("""COMPUTED_VALUE"""),"INICIALIZADO")</f>
        <v>INICIALIZADO</v>
      </c>
      <c r="G4127" s="23">
        <f>IFERROR(__xludf.DUMMYFUNCTION("""COMPUTED_VALUE"""),45587.768055555556)</f>
        <v>45587.76806</v>
      </c>
      <c r="H4127" s="24" t="str">
        <f>IFERROR(VLOOKUP(B4127,material!A:D,3,0),"")</f>
        <v>4K RFIP</v>
      </c>
    </row>
    <row r="4128" ht="11.25" customHeight="1">
      <c r="A4128" s="21" t="str">
        <f>IFERROR(__xludf.DUMMYFUNCTION("""COMPUTED_VALUE"""),"DECODER CARDLESS 4K UHD K4KCW5 CABO E IP")</f>
        <v>DECODER CARDLESS 4K UHD K4KCW5 CABO E IP</v>
      </c>
      <c r="B4128" s="22">
        <f>IFERROR(__xludf.DUMMYFUNCTION("""COMPUTED_VALUE"""),4.1001584E7)</f>
        <v>41001584</v>
      </c>
      <c r="C4128" s="21" t="str">
        <f>IFERROR(__xludf.DUMMYFUNCTION("""COMPUTED_VALUE"""),"241633239703")</f>
        <v>241633239703</v>
      </c>
      <c r="D4128" s="21" t="str">
        <f>IFERROR(__xludf.DUMMYFUNCTION("""COMPUTED_VALUE"""),"DIGITEC TECNOLOGIA DIGITAL E REPRES")</f>
        <v>DIGITEC TECNOLOGIA DIGITAL E REPRES</v>
      </c>
      <c r="E4128" s="21">
        <f>IFERROR(__xludf.DUMMYFUNCTION("""COMPUTED_VALUE"""),145359.0)</f>
        <v>145359</v>
      </c>
      <c r="F4128" s="21" t="str">
        <f>IFERROR(__xludf.DUMMYFUNCTION("""COMPUTED_VALUE"""),"INICIALIZADO")</f>
        <v>INICIALIZADO</v>
      </c>
      <c r="G4128" s="23">
        <f>IFERROR(__xludf.DUMMYFUNCTION("""COMPUTED_VALUE"""),45587.768055555556)</f>
        <v>45587.76806</v>
      </c>
      <c r="H4128" s="24" t="str">
        <f>IFERROR(VLOOKUP(B4128,material!A:D,3,0),"")</f>
        <v>4K RFIP</v>
      </c>
    </row>
    <row r="4129" ht="11.25" customHeight="1">
      <c r="A4129" s="21" t="str">
        <f>IFERROR(__xludf.DUMMYFUNCTION("""COMPUTED_VALUE"""),"DECODER CARDLESS 4K UHD K4KCW5 CABO E IP")</f>
        <v>DECODER CARDLESS 4K UHD K4KCW5 CABO E IP</v>
      </c>
      <c r="B4129" s="22">
        <f>IFERROR(__xludf.DUMMYFUNCTION("""COMPUTED_VALUE"""),4.1001584E7)</f>
        <v>41001584</v>
      </c>
      <c r="C4129" s="21" t="str">
        <f>IFERROR(__xludf.DUMMYFUNCTION("""COMPUTED_VALUE"""),"241633085266")</f>
        <v>241633085266</v>
      </c>
      <c r="D4129" s="21" t="str">
        <f>IFERROR(__xludf.DUMMYFUNCTION("""COMPUTED_VALUE"""),"DIGITEC TECNOLOGIA DIGITAL E REPRES")</f>
        <v>DIGITEC TECNOLOGIA DIGITAL E REPRES</v>
      </c>
      <c r="E4129" s="21">
        <f>IFERROR(__xludf.DUMMYFUNCTION("""COMPUTED_VALUE"""),145359.0)</f>
        <v>145359</v>
      </c>
      <c r="F4129" s="21" t="str">
        <f>IFERROR(__xludf.DUMMYFUNCTION("""COMPUTED_VALUE"""),"INICIALIZADO")</f>
        <v>INICIALIZADO</v>
      </c>
      <c r="G4129" s="23">
        <f>IFERROR(__xludf.DUMMYFUNCTION("""COMPUTED_VALUE"""),45587.768055555556)</f>
        <v>45587.76806</v>
      </c>
      <c r="H4129" s="24" t="str">
        <f>IFERROR(VLOOKUP(B4129,material!A:D,3,0),"")</f>
        <v>4K RFIP</v>
      </c>
    </row>
    <row r="4130" ht="11.25" customHeight="1">
      <c r="A4130" s="21" t="str">
        <f>IFERROR(__xludf.DUMMYFUNCTION("""COMPUTED_VALUE"""),"DECODER CARDLESS 4K UHD K4KCW5 CABO E IP")</f>
        <v>DECODER CARDLESS 4K UHD K4KCW5 CABO E IP</v>
      </c>
      <c r="B4130" s="22">
        <f>IFERROR(__xludf.DUMMYFUNCTION("""COMPUTED_VALUE"""),4.1001584E7)</f>
        <v>41001584</v>
      </c>
      <c r="C4130" s="21" t="str">
        <f>IFERROR(__xludf.DUMMYFUNCTION("""COMPUTED_VALUE"""),"241633097792")</f>
        <v>241633097792</v>
      </c>
      <c r="D4130" s="21" t="str">
        <f>IFERROR(__xludf.DUMMYFUNCTION("""COMPUTED_VALUE"""),"DIGITEC TECNOLOGIA DIGITAL E REPRES")</f>
        <v>DIGITEC TECNOLOGIA DIGITAL E REPRES</v>
      </c>
      <c r="E4130" s="21">
        <f>IFERROR(__xludf.DUMMYFUNCTION("""COMPUTED_VALUE"""),145359.0)</f>
        <v>145359</v>
      </c>
      <c r="F4130" s="21" t="str">
        <f>IFERROR(__xludf.DUMMYFUNCTION("""COMPUTED_VALUE"""),"INICIALIZADO")</f>
        <v>INICIALIZADO</v>
      </c>
      <c r="G4130" s="23">
        <f>IFERROR(__xludf.DUMMYFUNCTION("""COMPUTED_VALUE"""),45587.768067129626)</f>
        <v>45587.76807</v>
      </c>
      <c r="H4130" s="24" t="str">
        <f>IFERROR(VLOOKUP(B4130,material!A:D,3,0),"")</f>
        <v>4K RFIP</v>
      </c>
    </row>
    <row r="4131" ht="11.25" customHeight="1">
      <c r="A4131" s="21" t="str">
        <f>IFERROR(__xludf.DUMMYFUNCTION("""COMPUTED_VALUE"""),"DECODER CARDLESS 4K UHD K4KCW5 CABO E IP")</f>
        <v>DECODER CARDLESS 4K UHD K4KCW5 CABO E IP</v>
      </c>
      <c r="B4131" s="22">
        <f>IFERROR(__xludf.DUMMYFUNCTION("""COMPUTED_VALUE"""),4.1001584E7)</f>
        <v>41001584</v>
      </c>
      <c r="C4131" s="21" t="str">
        <f>IFERROR(__xludf.DUMMYFUNCTION("""COMPUTED_VALUE"""),"241633096479")</f>
        <v>241633096479</v>
      </c>
      <c r="D4131" s="21" t="str">
        <f>IFERROR(__xludf.DUMMYFUNCTION("""COMPUTED_VALUE"""),"DIGITEC TECNOLOGIA DIGITAL E REPRES")</f>
        <v>DIGITEC TECNOLOGIA DIGITAL E REPRES</v>
      </c>
      <c r="E4131" s="21">
        <f>IFERROR(__xludf.DUMMYFUNCTION("""COMPUTED_VALUE"""),145359.0)</f>
        <v>145359</v>
      </c>
      <c r="F4131" s="21" t="str">
        <f>IFERROR(__xludf.DUMMYFUNCTION("""COMPUTED_VALUE"""),"INICIALIZADO")</f>
        <v>INICIALIZADO</v>
      </c>
      <c r="G4131" s="23">
        <f>IFERROR(__xludf.DUMMYFUNCTION("""COMPUTED_VALUE"""),45587.768067129626)</f>
        <v>45587.76807</v>
      </c>
      <c r="H4131" s="24" t="str">
        <f>IFERROR(VLOOKUP(B4131,material!A:D,3,0),"")</f>
        <v>4K RFIP</v>
      </c>
    </row>
    <row r="4132" ht="11.25" customHeight="1">
      <c r="A4132" s="21" t="str">
        <f>IFERROR(__xludf.DUMMYFUNCTION("""COMPUTED_VALUE"""),"DECODER CARDLESS 4K UHD K4KCW5 CABO E IP")</f>
        <v>DECODER CARDLESS 4K UHD K4KCW5 CABO E IP</v>
      </c>
      <c r="B4132" s="22">
        <f>IFERROR(__xludf.DUMMYFUNCTION("""COMPUTED_VALUE"""),4.1001584E7)</f>
        <v>41001584</v>
      </c>
      <c r="C4132" s="21" t="str">
        <f>IFERROR(__xludf.DUMMYFUNCTION("""COMPUTED_VALUE"""),"241633233945")</f>
        <v>241633233945</v>
      </c>
      <c r="D4132" s="21" t="str">
        <f>IFERROR(__xludf.DUMMYFUNCTION("""COMPUTED_VALUE"""),"DIGITEC TECNOLOGIA DIGITAL E REPRES")</f>
        <v>DIGITEC TECNOLOGIA DIGITAL E REPRES</v>
      </c>
      <c r="E4132" s="21">
        <f>IFERROR(__xludf.DUMMYFUNCTION("""COMPUTED_VALUE"""),145359.0)</f>
        <v>145359</v>
      </c>
      <c r="F4132" s="21" t="str">
        <f>IFERROR(__xludf.DUMMYFUNCTION("""COMPUTED_VALUE"""),"INICIALIZADO")</f>
        <v>INICIALIZADO</v>
      </c>
      <c r="G4132" s="23">
        <f>IFERROR(__xludf.DUMMYFUNCTION("""COMPUTED_VALUE"""),45587.76804398149)</f>
        <v>45587.76804</v>
      </c>
      <c r="H4132" s="24" t="str">
        <f>IFERROR(VLOOKUP(B4132,material!A:D,3,0),"")</f>
        <v>4K RFIP</v>
      </c>
    </row>
    <row r="4133" ht="11.25" customHeight="1">
      <c r="A4133" s="21" t="str">
        <f>IFERROR(__xludf.DUMMYFUNCTION("""COMPUTED_VALUE"""),"DECODER CARDLESS 4K UHD K4KCW5 CABO E IP")</f>
        <v>DECODER CARDLESS 4K UHD K4KCW5 CABO E IP</v>
      </c>
      <c r="B4133" s="22">
        <f>IFERROR(__xludf.DUMMYFUNCTION("""COMPUTED_VALUE"""),4.1001584E7)</f>
        <v>41001584</v>
      </c>
      <c r="C4133" s="21" t="str">
        <f>IFERROR(__xludf.DUMMYFUNCTION("""COMPUTED_VALUE"""),"241612333241")</f>
        <v>241612333241</v>
      </c>
      <c r="D4133" s="21" t="str">
        <f>IFERROR(__xludf.DUMMYFUNCTION("""COMPUTED_VALUE"""),"DIGITEC TECNOLOGIA DIGITAL E REPRES")</f>
        <v>DIGITEC TECNOLOGIA DIGITAL E REPRES</v>
      </c>
      <c r="E4133" s="21">
        <f>IFERROR(__xludf.DUMMYFUNCTION("""COMPUTED_VALUE"""),145359.0)</f>
        <v>145359</v>
      </c>
      <c r="F4133" s="21" t="str">
        <f>IFERROR(__xludf.DUMMYFUNCTION("""COMPUTED_VALUE"""),"INICIALIZADO")</f>
        <v>INICIALIZADO</v>
      </c>
      <c r="G4133" s="23">
        <f>IFERROR(__xludf.DUMMYFUNCTION("""COMPUTED_VALUE"""),45509.46603009259)</f>
        <v>45509.46603</v>
      </c>
      <c r="H4133" s="24" t="str">
        <f>IFERROR(VLOOKUP(B4133,material!A:D,3,0),"")</f>
        <v>4K RFIP</v>
      </c>
    </row>
    <row r="4134" ht="11.25" customHeight="1">
      <c r="A4134" s="21" t="str">
        <f>IFERROR(__xludf.DUMMYFUNCTION("""COMPUTED_VALUE"""),"DECODER CARDLESS 4K UHD K4KCW5 CABO E IP")</f>
        <v>DECODER CARDLESS 4K UHD K4KCW5 CABO E IP</v>
      </c>
      <c r="B4134" s="22">
        <f>IFERROR(__xludf.DUMMYFUNCTION("""COMPUTED_VALUE"""),4.1001584E7)</f>
        <v>41001584</v>
      </c>
      <c r="C4134" s="21" t="str">
        <f>IFERROR(__xludf.DUMMYFUNCTION("""COMPUTED_VALUE"""),"241612344252")</f>
        <v>241612344252</v>
      </c>
      <c r="D4134" s="21" t="str">
        <f>IFERROR(__xludf.DUMMYFUNCTION("""COMPUTED_VALUE"""),"DIGITEC TECNOLOGIA DIGITAL E REPRES")</f>
        <v>DIGITEC TECNOLOGIA DIGITAL E REPRES</v>
      </c>
      <c r="E4134" s="21">
        <f>IFERROR(__xludf.DUMMYFUNCTION("""COMPUTED_VALUE"""),145359.0)</f>
        <v>145359</v>
      </c>
      <c r="F4134" s="21" t="str">
        <f>IFERROR(__xludf.DUMMYFUNCTION("""COMPUTED_VALUE"""),"INICIALIZADO")</f>
        <v>INICIALIZADO</v>
      </c>
      <c r="G4134" s="23">
        <f>IFERROR(__xludf.DUMMYFUNCTION("""COMPUTED_VALUE"""),45509.46601851852)</f>
        <v>45509.46602</v>
      </c>
      <c r="H4134" s="24" t="str">
        <f>IFERROR(VLOOKUP(B4134,material!A:D,3,0),"")</f>
        <v>4K RFIP</v>
      </c>
    </row>
    <row r="4135" ht="11.25" customHeight="1">
      <c r="A4135" s="21" t="str">
        <f>IFERROR(__xludf.DUMMYFUNCTION("""COMPUTED_VALUE"""),"DECODER CARDLESS 4K UHD S4KCW5 CABO IP")</f>
        <v>DECODER CARDLESS 4K UHD S4KCW5 CABO IP</v>
      </c>
      <c r="B4135" s="22">
        <f>IFERROR(__xludf.DUMMYFUNCTION("""COMPUTED_VALUE"""),4.1001583E7)</f>
        <v>41001583</v>
      </c>
      <c r="C4135" s="21" t="str">
        <f>IFERROR(__xludf.DUMMYFUNCTION("""COMPUTED_VALUE"""),"241595280107")</f>
        <v>241595280107</v>
      </c>
      <c r="D4135" s="21" t="str">
        <f>IFERROR(__xludf.DUMMYFUNCTION("""COMPUTED_VALUE"""),"DIGITEC TECNOLOGIA DIGITAL E REPRES")</f>
        <v>DIGITEC TECNOLOGIA DIGITAL E REPRES</v>
      </c>
      <c r="E4135" s="21">
        <f>IFERROR(__xludf.DUMMYFUNCTION("""COMPUTED_VALUE"""),145359.0)</f>
        <v>145359</v>
      </c>
      <c r="F4135" s="21" t="str">
        <f>IFERROR(__xludf.DUMMYFUNCTION("""COMPUTED_VALUE"""),"INICIALIZADO")</f>
        <v>INICIALIZADO</v>
      </c>
      <c r="G4135" s="23">
        <f>IFERROR(__xludf.DUMMYFUNCTION("""COMPUTED_VALUE"""),45441.390914351854)</f>
        <v>45441.39091</v>
      </c>
      <c r="H4135" s="24" t="str">
        <f>IFERROR(VLOOKUP(B4135,material!A:D,3,0),"")</f>
        <v>4K RFIP</v>
      </c>
    </row>
    <row r="4136" ht="11.25" customHeight="1">
      <c r="A4136" s="21" t="str">
        <f>IFERROR(__xludf.DUMMYFUNCTION("""COMPUTED_VALUE"""),"DECODER CARDLESS 4K UHD S4KCW5 CABO IP")</f>
        <v>DECODER CARDLESS 4K UHD S4KCW5 CABO IP</v>
      </c>
      <c r="B4136" s="22">
        <f>IFERROR(__xludf.DUMMYFUNCTION("""COMPUTED_VALUE"""),4.1001583E7)</f>
        <v>41001583</v>
      </c>
      <c r="C4136" s="21" t="str">
        <f>IFERROR(__xludf.DUMMYFUNCTION("""COMPUTED_VALUE"""),"241595295966")</f>
        <v>241595295966</v>
      </c>
      <c r="D4136" s="21" t="str">
        <f>IFERROR(__xludf.DUMMYFUNCTION("""COMPUTED_VALUE"""),"DIGITEC TECNOLOGIA DIGITAL E REPRES")</f>
        <v>DIGITEC TECNOLOGIA DIGITAL E REPRES</v>
      </c>
      <c r="E4136" s="21">
        <f>IFERROR(__xludf.DUMMYFUNCTION("""COMPUTED_VALUE"""),145359.0)</f>
        <v>145359</v>
      </c>
      <c r="F4136" s="21" t="str">
        <f>IFERROR(__xludf.DUMMYFUNCTION("""COMPUTED_VALUE"""),"INICIALIZADO")</f>
        <v>INICIALIZADO</v>
      </c>
      <c r="G4136" s="23">
        <f>IFERROR(__xludf.DUMMYFUNCTION("""COMPUTED_VALUE"""),45441.39094907408)</f>
        <v>45441.39095</v>
      </c>
      <c r="H4136" s="24" t="str">
        <f>IFERROR(VLOOKUP(B4136,material!A:D,3,0),"")</f>
        <v>4K RFIP</v>
      </c>
    </row>
    <row r="4137" ht="11.25" customHeight="1">
      <c r="A4137" s="21" t="str">
        <f>IFERROR(__xludf.DUMMYFUNCTION("""COMPUTED_VALUE"""),"DECODER CARDLESS 4K UHD S4KCW5 CABO IP")</f>
        <v>DECODER CARDLESS 4K UHD S4KCW5 CABO IP</v>
      </c>
      <c r="B4137" s="22">
        <f>IFERROR(__xludf.DUMMYFUNCTION("""COMPUTED_VALUE"""),4.1001583E7)</f>
        <v>41001583</v>
      </c>
      <c r="C4137" s="21" t="str">
        <f>IFERROR(__xludf.DUMMYFUNCTION("""COMPUTED_VALUE"""),"241631378185")</f>
        <v>241631378185</v>
      </c>
      <c r="D4137" s="21" t="str">
        <f>IFERROR(__xludf.DUMMYFUNCTION("""COMPUTED_VALUE"""),"DIGITEC TECNOLOGIA DIGITAL E REPRES")</f>
        <v>DIGITEC TECNOLOGIA DIGITAL E REPRES</v>
      </c>
      <c r="E4137" s="21">
        <f>IFERROR(__xludf.DUMMYFUNCTION("""COMPUTED_VALUE"""),145359.0)</f>
        <v>145359</v>
      </c>
      <c r="F4137" s="21" t="str">
        <f>IFERROR(__xludf.DUMMYFUNCTION("""COMPUTED_VALUE"""),"INICIALIZADO")</f>
        <v>INICIALIZADO</v>
      </c>
      <c r="G4137" s="23">
        <f>IFERROR(__xludf.DUMMYFUNCTION("""COMPUTED_VALUE"""),45604.74087962963)</f>
        <v>45604.74088</v>
      </c>
      <c r="H4137" s="24" t="str">
        <f>IFERROR(VLOOKUP(B4137,material!A:D,3,0),"")</f>
        <v>4K RFIP</v>
      </c>
    </row>
    <row r="4138" ht="11.25" customHeight="1">
      <c r="A4138" s="21" t="str">
        <f>IFERROR(__xludf.DUMMYFUNCTION("""COMPUTED_VALUE"""),"DECODER CARDLESS 4K UHD S4KCW5 CABO IP")</f>
        <v>DECODER CARDLESS 4K UHD S4KCW5 CABO IP</v>
      </c>
      <c r="B4138" s="22">
        <f>IFERROR(__xludf.DUMMYFUNCTION("""COMPUTED_VALUE"""),4.1001583E7)</f>
        <v>41001583</v>
      </c>
      <c r="C4138" s="21" t="str">
        <f>IFERROR(__xludf.DUMMYFUNCTION("""COMPUTED_VALUE"""),"241631380712")</f>
        <v>241631380712</v>
      </c>
      <c r="D4138" s="21" t="str">
        <f>IFERROR(__xludf.DUMMYFUNCTION("""COMPUTED_VALUE"""),"DIGITEC TECNOLOGIA DIGITAL E REPRES")</f>
        <v>DIGITEC TECNOLOGIA DIGITAL E REPRES</v>
      </c>
      <c r="E4138" s="21">
        <f>IFERROR(__xludf.DUMMYFUNCTION("""COMPUTED_VALUE"""),145359.0)</f>
        <v>145359</v>
      </c>
      <c r="F4138" s="21" t="str">
        <f>IFERROR(__xludf.DUMMYFUNCTION("""COMPUTED_VALUE"""),"INICIALIZADO")</f>
        <v>INICIALIZADO</v>
      </c>
      <c r="G4138" s="23">
        <f>IFERROR(__xludf.DUMMYFUNCTION("""COMPUTED_VALUE"""),45604.74085648148)</f>
        <v>45604.74086</v>
      </c>
      <c r="H4138" s="24" t="str">
        <f>IFERROR(VLOOKUP(B4138,material!A:D,3,0),"")</f>
        <v>4K RFIP</v>
      </c>
    </row>
    <row r="4139" ht="11.25" customHeight="1">
      <c r="A4139" s="21" t="str">
        <f>IFERROR(__xludf.DUMMYFUNCTION("""COMPUTED_VALUE"""),"DECODER CARDLESS 4K UHD S4KCW5 CABO IP")</f>
        <v>DECODER CARDLESS 4K UHD S4KCW5 CABO IP</v>
      </c>
      <c r="B4139" s="22">
        <f>IFERROR(__xludf.DUMMYFUNCTION("""COMPUTED_VALUE"""),4.1001583E7)</f>
        <v>41001583</v>
      </c>
      <c r="C4139" s="21" t="str">
        <f>IFERROR(__xludf.DUMMYFUNCTION("""COMPUTED_VALUE"""),"241631390006")</f>
        <v>241631390006</v>
      </c>
      <c r="D4139" s="21" t="str">
        <f>IFERROR(__xludf.DUMMYFUNCTION("""COMPUTED_VALUE"""),"DIGITEC TECNOLOGIA DIGITAL E REPRES")</f>
        <v>DIGITEC TECNOLOGIA DIGITAL E REPRES</v>
      </c>
      <c r="E4139" s="21">
        <f>IFERROR(__xludf.DUMMYFUNCTION("""COMPUTED_VALUE"""),145359.0)</f>
        <v>145359</v>
      </c>
      <c r="F4139" s="21" t="str">
        <f>IFERROR(__xludf.DUMMYFUNCTION("""COMPUTED_VALUE"""),"INICIALIZADO")</f>
        <v>INICIALIZADO</v>
      </c>
      <c r="G4139" s="23">
        <f>IFERROR(__xludf.DUMMYFUNCTION("""COMPUTED_VALUE"""),45604.74086805555)</f>
        <v>45604.74087</v>
      </c>
      <c r="H4139" s="24" t="str">
        <f>IFERROR(VLOOKUP(B4139,material!A:D,3,0),"")</f>
        <v>4K RFIP</v>
      </c>
    </row>
    <row r="4140" ht="11.25" customHeight="1">
      <c r="A4140" s="21" t="str">
        <f>IFERROR(__xludf.DUMMYFUNCTION("""COMPUTED_VALUE"""),"DECODER CARDLESS 4K UHD S4KCW5 CABO IP")</f>
        <v>DECODER CARDLESS 4K UHD S4KCW5 CABO IP</v>
      </c>
      <c r="B4140" s="22">
        <f>IFERROR(__xludf.DUMMYFUNCTION("""COMPUTED_VALUE"""),4.1001583E7)</f>
        <v>41001583</v>
      </c>
      <c r="C4140" s="21" t="str">
        <f>IFERROR(__xludf.DUMMYFUNCTION("""COMPUTED_VALUE"""),"241631282846")</f>
        <v>241631282846</v>
      </c>
      <c r="D4140" s="21" t="str">
        <f>IFERROR(__xludf.DUMMYFUNCTION("""COMPUTED_VALUE"""),"DIGITEC TECNOLOGIA DIGITAL E REPRES")</f>
        <v>DIGITEC TECNOLOGIA DIGITAL E REPRES</v>
      </c>
      <c r="E4140" s="21">
        <f>IFERROR(__xludf.DUMMYFUNCTION("""COMPUTED_VALUE"""),145359.0)</f>
        <v>145359</v>
      </c>
      <c r="F4140" s="21" t="str">
        <f>IFERROR(__xludf.DUMMYFUNCTION("""COMPUTED_VALUE"""),"INICIALIZADO")</f>
        <v>INICIALIZADO</v>
      </c>
      <c r="G4140" s="23">
        <f>IFERROR(__xludf.DUMMYFUNCTION("""COMPUTED_VALUE"""),45604.74087962963)</f>
        <v>45604.74088</v>
      </c>
      <c r="H4140" s="24" t="str">
        <f>IFERROR(VLOOKUP(B4140,material!A:D,3,0),"")</f>
        <v>4K RFIP</v>
      </c>
    </row>
    <row r="4141" ht="11.25" customHeight="1">
      <c r="A4141" s="21" t="str">
        <f>IFERROR(__xludf.DUMMYFUNCTION("""COMPUTED_VALUE"""),"DECODER CARDLESS 4K UHD S4KCW5 CABO IP")</f>
        <v>DECODER CARDLESS 4K UHD S4KCW5 CABO IP</v>
      </c>
      <c r="B4141" s="22">
        <f>IFERROR(__xludf.DUMMYFUNCTION("""COMPUTED_VALUE"""),4.1001583E7)</f>
        <v>41001583</v>
      </c>
      <c r="C4141" s="21" t="str">
        <f>IFERROR(__xludf.DUMMYFUNCTION("""COMPUTED_VALUE"""),"241631310425")</f>
        <v>241631310425</v>
      </c>
      <c r="D4141" s="21" t="str">
        <f>IFERROR(__xludf.DUMMYFUNCTION("""COMPUTED_VALUE"""),"DIGITEC TECNOLOGIA DIGITAL E REPRES")</f>
        <v>DIGITEC TECNOLOGIA DIGITAL E REPRES</v>
      </c>
      <c r="E4141" s="21">
        <f>IFERROR(__xludf.DUMMYFUNCTION("""COMPUTED_VALUE"""),145359.0)</f>
        <v>145359</v>
      </c>
      <c r="F4141" s="21" t="str">
        <f>IFERROR(__xludf.DUMMYFUNCTION("""COMPUTED_VALUE"""),"INICIALIZADO")</f>
        <v>INICIALIZADO</v>
      </c>
      <c r="G4141" s="23">
        <f>IFERROR(__xludf.DUMMYFUNCTION("""COMPUTED_VALUE"""),45604.74087962963)</f>
        <v>45604.74088</v>
      </c>
      <c r="H4141" s="24" t="str">
        <f>IFERROR(VLOOKUP(B4141,material!A:D,3,0),"")</f>
        <v>4K RFIP</v>
      </c>
    </row>
    <row r="4142" ht="11.25" customHeight="1">
      <c r="A4142" s="21" t="str">
        <f>IFERROR(__xludf.DUMMYFUNCTION("""COMPUTED_VALUE"""),"DECODER CARDLESS 4K UHD S4KCW5 CABO IP")</f>
        <v>DECODER CARDLESS 4K UHD S4KCW5 CABO IP</v>
      </c>
      <c r="B4142" s="22">
        <f>IFERROR(__xludf.DUMMYFUNCTION("""COMPUTED_VALUE"""),4.1001583E7)</f>
        <v>41001583</v>
      </c>
      <c r="C4142" s="21" t="str">
        <f>IFERROR(__xludf.DUMMYFUNCTION("""COMPUTED_VALUE"""),"241631421019")</f>
        <v>241631421019</v>
      </c>
      <c r="D4142" s="21" t="str">
        <f>IFERROR(__xludf.DUMMYFUNCTION("""COMPUTED_VALUE"""),"DIGITEC TECNOLOGIA DIGITAL E REPRES")</f>
        <v>DIGITEC TECNOLOGIA DIGITAL E REPRES</v>
      </c>
      <c r="E4142" s="21">
        <f>IFERROR(__xludf.DUMMYFUNCTION("""COMPUTED_VALUE"""),145359.0)</f>
        <v>145359</v>
      </c>
      <c r="F4142" s="21" t="str">
        <f>IFERROR(__xludf.DUMMYFUNCTION("""COMPUTED_VALUE"""),"INICIALIZADO")</f>
        <v>INICIALIZADO</v>
      </c>
      <c r="G4142" s="23">
        <f>IFERROR(__xludf.DUMMYFUNCTION("""COMPUTED_VALUE"""),45608.70138888889)</f>
        <v>45608.70139</v>
      </c>
      <c r="H4142" s="24" t="str">
        <f>IFERROR(VLOOKUP(B4142,material!A:D,3,0),"")</f>
        <v>4K RFIP</v>
      </c>
    </row>
    <row r="4143" ht="11.25" customHeight="1">
      <c r="A4143" s="21" t="str">
        <f>IFERROR(__xludf.DUMMYFUNCTION("""COMPUTED_VALUE"""),"DECODER CARDLESS 4K UHD S4KCW5 CABO IP")</f>
        <v>DECODER CARDLESS 4K UHD S4KCW5 CABO IP</v>
      </c>
      <c r="B4143" s="22">
        <f>IFERROR(__xludf.DUMMYFUNCTION("""COMPUTED_VALUE"""),4.1001583E7)</f>
        <v>41001583</v>
      </c>
      <c r="C4143" s="21" t="str">
        <f>IFERROR(__xludf.DUMMYFUNCTION("""COMPUTED_VALUE"""),"241631374852")</f>
        <v>241631374852</v>
      </c>
      <c r="D4143" s="21" t="str">
        <f>IFERROR(__xludf.DUMMYFUNCTION("""COMPUTED_VALUE"""),"DIGITEC TECNOLOGIA DIGITAL E REPRES")</f>
        <v>DIGITEC TECNOLOGIA DIGITAL E REPRES</v>
      </c>
      <c r="E4143" s="21">
        <f>IFERROR(__xludf.DUMMYFUNCTION("""COMPUTED_VALUE"""),145359.0)</f>
        <v>145359</v>
      </c>
      <c r="F4143" s="21" t="str">
        <f>IFERROR(__xludf.DUMMYFUNCTION("""COMPUTED_VALUE"""),"INICIALIZADO")</f>
        <v>INICIALIZADO</v>
      </c>
      <c r="G4143" s="23">
        <f>IFERROR(__xludf.DUMMYFUNCTION("""COMPUTED_VALUE"""),45604.740891203706)</f>
        <v>45604.74089</v>
      </c>
      <c r="H4143" s="24" t="str">
        <f>IFERROR(VLOOKUP(B4143,material!A:D,3,0),"")</f>
        <v>4K RFIP</v>
      </c>
    </row>
    <row r="4144" ht="11.25" customHeight="1">
      <c r="A4144" s="21" t="str">
        <f>IFERROR(__xludf.DUMMYFUNCTION("""COMPUTED_VALUE"""),"DECODER CARDLESS 4K UHD S4KCW5 CABO IP")</f>
        <v>DECODER CARDLESS 4K UHD S4KCW5 CABO IP</v>
      </c>
      <c r="B4144" s="22">
        <f>IFERROR(__xludf.DUMMYFUNCTION("""COMPUTED_VALUE"""),4.1001583E7)</f>
        <v>41001583</v>
      </c>
      <c r="C4144" s="21" t="str">
        <f>IFERROR(__xludf.DUMMYFUNCTION("""COMPUTED_VALUE"""),"241631423241")</f>
        <v>241631423241</v>
      </c>
      <c r="D4144" s="21" t="str">
        <f>IFERROR(__xludf.DUMMYFUNCTION("""COMPUTED_VALUE"""),"DIGITEC TECNOLOGIA DIGITAL E REPRES")</f>
        <v>DIGITEC TECNOLOGIA DIGITAL E REPRES</v>
      </c>
      <c r="E4144" s="21">
        <f>IFERROR(__xludf.DUMMYFUNCTION("""COMPUTED_VALUE"""),145359.0)</f>
        <v>145359</v>
      </c>
      <c r="F4144" s="21" t="str">
        <f>IFERROR(__xludf.DUMMYFUNCTION("""COMPUTED_VALUE"""),"INICIALIZADO")</f>
        <v>INICIALIZADO</v>
      </c>
      <c r="G4144" s="23">
        <f>IFERROR(__xludf.DUMMYFUNCTION("""COMPUTED_VALUE"""),45608.70138888889)</f>
        <v>45608.70139</v>
      </c>
      <c r="H4144" s="24" t="str">
        <f>IFERROR(VLOOKUP(B4144,material!A:D,3,0),"")</f>
        <v>4K RFIP</v>
      </c>
    </row>
    <row r="4145" ht="11.25" customHeight="1">
      <c r="A4145" s="21" t="str">
        <f>IFERROR(__xludf.DUMMYFUNCTION("""COMPUTED_VALUE"""),"DECODER CARDLESS 4K UHD S4KCW5 CABO IP")</f>
        <v>DECODER CARDLESS 4K UHD S4KCW5 CABO IP</v>
      </c>
      <c r="B4145" s="22">
        <f>IFERROR(__xludf.DUMMYFUNCTION("""COMPUTED_VALUE"""),4.1001583E7)</f>
        <v>41001583</v>
      </c>
      <c r="C4145" s="21" t="str">
        <f>IFERROR(__xludf.DUMMYFUNCTION("""COMPUTED_VALUE"""),"241635815667")</f>
        <v>241635815667</v>
      </c>
      <c r="D4145" s="21" t="str">
        <f>IFERROR(__xludf.DUMMYFUNCTION("""COMPUTED_VALUE"""),"DIGITEC TECNOLOGIA DIGITAL E REPRES")</f>
        <v>DIGITEC TECNOLOGIA DIGITAL E REPRES</v>
      </c>
      <c r="E4145" s="21">
        <f>IFERROR(__xludf.DUMMYFUNCTION("""COMPUTED_VALUE"""),145359.0)</f>
        <v>145359</v>
      </c>
      <c r="F4145" s="21" t="str">
        <f>IFERROR(__xludf.DUMMYFUNCTION("""COMPUTED_VALUE"""),"INICIALIZADO")</f>
        <v>INICIALIZADO</v>
      </c>
      <c r="G4145" s="23">
        <f>IFERROR(__xludf.DUMMYFUNCTION("""COMPUTED_VALUE"""),45639.64978009259)</f>
        <v>45639.64978</v>
      </c>
      <c r="H4145" s="24" t="str">
        <f>IFERROR(VLOOKUP(B4145,material!A:D,3,0),"")</f>
        <v>4K RFIP</v>
      </c>
    </row>
    <row r="4146" ht="11.25" customHeight="1">
      <c r="A4146" s="21" t="str">
        <f>IFERROR(__xludf.DUMMYFUNCTION("""COMPUTED_VALUE"""),"DECODER CARDLESS 4K UHD S4KCW5 CABO IP")</f>
        <v>DECODER CARDLESS 4K UHD S4KCW5 CABO IP</v>
      </c>
      <c r="B4146" s="22">
        <f>IFERROR(__xludf.DUMMYFUNCTION("""COMPUTED_VALUE"""),4.1001583E7)</f>
        <v>41001583</v>
      </c>
      <c r="C4146" s="21" t="str">
        <f>IFERROR(__xludf.DUMMYFUNCTION("""COMPUTED_VALUE"""),"241635812536")</f>
        <v>241635812536</v>
      </c>
      <c r="D4146" s="21" t="str">
        <f>IFERROR(__xludf.DUMMYFUNCTION("""COMPUTED_VALUE"""),"DIGITEC TECNOLOGIA DIGITAL E REPRES")</f>
        <v>DIGITEC TECNOLOGIA DIGITAL E REPRES</v>
      </c>
      <c r="E4146" s="21">
        <f>IFERROR(__xludf.DUMMYFUNCTION("""COMPUTED_VALUE"""),145359.0)</f>
        <v>145359</v>
      </c>
      <c r="F4146" s="21" t="str">
        <f>IFERROR(__xludf.DUMMYFUNCTION("""COMPUTED_VALUE"""),"INICIALIZADO")</f>
        <v>INICIALIZADO</v>
      </c>
      <c r="G4146" s="23">
        <f>IFERROR(__xludf.DUMMYFUNCTION("""COMPUTED_VALUE"""),45639.64978009259)</f>
        <v>45639.64978</v>
      </c>
      <c r="H4146" s="24" t="str">
        <f>IFERROR(VLOOKUP(B4146,material!A:D,3,0),"")</f>
        <v>4K RFIP</v>
      </c>
    </row>
    <row r="4147" ht="11.25" customHeight="1">
      <c r="A4147" s="21" t="str">
        <f>IFERROR(__xludf.DUMMYFUNCTION("""COMPUTED_VALUE"""),"DECODER CARDLESS 4K UHD S4KCW5 CABO IP")</f>
        <v>DECODER CARDLESS 4K UHD S4KCW5 CABO IP</v>
      </c>
      <c r="B4147" s="22">
        <f>IFERROR(__xludf.DUMMYFUNCTION("""COMPUTED_VALUE"""),4.1001583E7)</f>
        <v>41001583</v>
      </c>
      <c r="C4147" s="21" t="str">
        <f>IFERROR(__xludf.DUMMYFUNCTION("""COMPUTED_VALUE"""),"241635775360")</f>
        <v>241635775360</v>
      </c>
      <c r="D4147" s="21" t="str">
        <f>IFERROR(__xludf.DUMMYFUNCTION("""COMPUTED_VALUE"""),"DIGITEC TECNOLOGIA DIGITAL E REPRES")</f>
        <v>DIGITEC TECNOLOGIA DIGITAL E REPRES</v>
      </c>
      <c r="E4147" s="21">
        <f>IFERROR(__xludf.DUMMYFUNCTION("""COMPUTED_VALUE"""),145359.0)</f>
        <v>145359</v>
      </c>
      <c r="F4147" s="21" t="str">
        <f>IFERROR(__xludf.DUMMYFUNCTION("""COMPUTED_VALUE"""),"INICIALIZADO")</f>
        <v>INICIALIZADO</v>
      </c>
      <c r="G4147" s="23">
        <f>IFERROR(__xludf.DUMMYFUNCTION("""COMPUTED_VALUE"""),45639.64978009259)</f>
        <v>45639.64978</v>
      </c>
      <c r="H4147" s="24" t="str">
        <f>IFERROR(VLOOKUP(B4147,material!A:D,3,0),"")</f>
        <v>4K RFIP</v>
      </c>
    </row>
    <row r="4148" ht="11.25" customHeight="1">
      <c r="A4148" s="21" t="str">
        <f>IFERROR(__xludf.DUMMYFUNCTION("""COMPUTED_VALUE"""),"DECODER CARDLESS 4K UHD S4KCW5 CABO IP")</f>
        <v>DECODER CARDLESS 4K UHD S4KCW5 CABO IP</v>
      </c>
      <c r="B4148" s="22">
        <f>IFERROR(__xludf.DUMMYFUNCTION("""COMPUTED_VALUE"""),4.1001583E7)</f>
        <v>41001583</v>
      </c>
      <c r="C4148" s="21" t="str">
        <f>IFERROR(__xludf.DUMMYFUNCTION("""COMPUTED_VALUE"""),"241635789503")</f>
        <v>241635789503</v>
      </c>
      <c r="D4148" s="21" t="str">
        <f>IFERROR(__xludf.DUMMYFUNCTION("""COMPUTED_VALUE"""),"DIGITEC TECNOLOGIA DIGITAL E REPRES")</f>
        <v>DIGITEC TECNOLOGIA DIGITAL E REPRES</v>
      </c>
      <c r="E4148" s="21">
        <f>IFERROR(__xludf.DUMMYFUNCTION("""COMPUTED_VALUE"""),145359.0)</f>
        <v>145359</v>
      </c>
      <c r="F4148" s="21" t="str">
        <f>IFERROR(__xludf.DUMMYFUNCTION("""COMPUTED_VALUE"""),"INICIALIZADO")</f>
        <v>INICIALIZADO</v>
      </c>
      <c r="G4148" s="23">
        <f>IFERROR(__xludf.DUMMYFUNCTION("""COMPUTED_VALUE"""),45639.64978009259)</f>
        <v>45639.64978</v>
      </c>
      <c r="H4148" s="24" t="str">
        <f>IFERROR(VLOOKUP(B4148,material!A:D,3,0),"")</f>
        <v>4K RFIP</v>
      </c>
    </row>
    <row r="4149" ht="11.25" customHeight="1">
      <c r="A4149" s="21" t="str">
        <f>IFERROR(__xludf.DUMMYFUNCTION("""COMPUTED_VALUE"""),"DECODER CARDLESS 4K UHD S4KCW5 CABO IP")</f>
        <v>DECODER CARDLESS 4K UHD S4KCW5 CABO IP</v>
      </c>
      <c r="B4149" s="22">
        <f>IFERROR(__xludf.DUMMYFUNCTION("""COMPUTED_VALUE"""),4.1001583E7)</f>
        <v>41001583</v>
      </c>
      <c r="C4149" s="21" t="str">
        <f>IFERROR(__xludf.DUMMYFUNCTION("""COMPUTED_VALUE"""),"241635797584")</f>
        <v>241635797584</v>
      </c>
      <c r="D4149" s="21" t="str">
        <f>IFERROR(__xludf.DUMMYFUNCTION("""COMPUTED_VALUE"""),"DIGITEC TECNOLOGIA DIGITAL E REPRES")</f>
        <v>DIGITEC TECNOLOGIA DIGITAL E REPRES</v>
      </c>
      <c r="E4149" s="21">
        <f>IFERROR(__xludf.DUMMYFUNCTION("""COMPUTED_VALUE"""),145359.0)</f>
        <v>145359</v>
      </c>
      <c r="F4149" s="21" t="str">
        <f>IFERROR(__xludf.DUMMYFUNCTION("""COMPUTED_VALUE"""),"INICIALIZADO")</f>
        <v>INICIALIZADO</v>
      </c>
      <c r="G4149" s="23">
        <f>IFERROR(__xludf.DUMMYFUNCTION("""COMPUTED_VALUE"""),45639.64978009259)</f>
        <v>45639.64978</v>
      </c>
      <c r="H4149" s="24" t="str">
        <f>IFERROR(VLOOKUP(B4149,material!A:D,3,0),"")</f>
        <v>4K RFIP</v>
      </c>
    </row>
    <row r="4150" ht="11.25" customHeight="1">
      <c r="A4150" s="21" t="str">
        <f>IFERROR(__xludf.DUMMYFUNCTION("""COMPUTED_VALUE"""),"DECODER CARDLESS 4K UHD S4KCW5 CABO IP")</f>
        <v>DECODER CARDLESS 4K UHD S4KCW5 CABO IP</v>
      </c>
      <c r="B4150" s="22">
        <f>IFERROR(__xludf.DUMMYFUNCTION("""COMPUTED_VALUE"""),4.1001583E7)</f>
        <v>41001583</v>
      </c>
      <c r="C4150" s="21" t="str">
        <f>IFERROR(__xludf.DUMMYFUNCTION("""COMPUTED_VALUE"""),"241635798190")</f>
        <v>241635798190</v>
      </c>
      <c r="D4150" s="21" t="str">
        <f>IFERROR(__xludf.DUMMYFUNCTION("""COMPUTED_VALUE"""),"DIGITEC TECNOLOGIA DIGITAL E REPRES")</f>
        <v>DIGITEC TECNOLOGIA DIGITAL E REPRES</v>
      </c>
      <c r="E4150" s="21">
        <f>IFERROR(__xludf.DUMMYFUNCTION("""COMPUTED_VALUE"""),145359.0)</f>
        <v>145359</v>
      </c>
      <c r="F4150" s="21" t="str">
        <f>IFERROR(__xludf.DUMMYFUNCTION("""COMPUTED_VALUE"""),"INICIALIZADO")</f>
        <v>INICIALIZADO</v>
      </c>
      <c r="G4150" s="23">
        <f>IFERROR(__xludf.DUMMYFUNCTION("""COMPUTED_VALUE"""),45639.64978009259)</f>
        <v>45639.64978</v>
      </c>
      <c r="H4150" s="24" t="str">
        <f>IFERROR(VLOOKUP(B4150,material!A:D,3,0),"")</f>
        <v>4K RFIP</v>
      </c>
    </row>
    <row r="4151" ht="11.25" customHeight="1">
      <c r="A4151" s="21" t="str">
        <f>IFERROR(__xludf.DUMMYFUNCTION("""COMPUTED_VALUE"""),"DECODER CARDLESS 4K UHD S4KCW5 CABO IP")</f>
        <v>DECODER CARDLESS 4K UHD S4KCW5 CABO IP</v>
      </c>
      <c r="B4151" s="22">
        <f>IFERROR(__xludf.DUMMYFUNCTION("""COMPUTED_VALUE"""),4.1001583E7)</f>
        <v>41001583</v>
      </c>
      <c r="C4151" s="21" t="str">
        <f>IFERROR(__xludf.DUMMYFUNCTION("""COMPUTED_VALUE"""),"241635719091")</f>
        <v>241635719091</v>
      </c>
      <c r="D4151" s="21" t="str">
        <f>IFERROR(__xludf.DUMMYFUNCTION("""COMPUTED_VALUE"""),"DIGITEC TECNOLOGIA DIGITAL E REPRES")</f>
        <v>DIGITEC TECNOLOGIA DIGITAL E REPRES</v>
      </c>
      <c r="E4151" s="21">
        <f>IFERROR(__xludf.DUMMYFUNCTION("""COMPUTED_VALUE"""),145359.0)</f>
        <v>145359</v>
      </c>
      <c r="F4151" s="21" t="str">
        <f>IFERROR(__xludf.DUMMYFUNCTION("""COMPUTED_VALUE"""),"INICIALIZADO")</f>
        <v>INICIALIZADO</v>
      </c>
      <c r="G4151" s="23">
        <f>IFERROR(__xludf.DUMMYFUNCTION("""COMPUTED_VALUE"""),45639.64978009259)</f>
        <v>45639.64978</v>
      </c>
      <c r="H4151" s="24" t="str">
        <f>IFERROR(VLOOKUP(B4151,material!A:D,3,0),"")</f>
        <v>4K RFIP</v>
      </c>
    </row>
    <row r="4152" ht="11.25" customHeight="1">
      <c r="A4152" s="21" t="str">
        <f>IFERROR(__xludf.DUMMYFUNCTION("""COMPUTED_VALUE"""),"DECODER CARDLESS 4K UHD S4KCW5 CABO IP")</f>
        <v>DECODER CARDLESS 4K UHD S4KCW5 CABO IP</v>
      </c>
      <c r="B4152" s="22">
        <f>IFERROR(__xludf.DUMMYFUNCTION("""COMPUTED_VALUE"""),4.1001583E7)</f>
        <v>41001583</v>
      </c>
      <c r="C4152" s="21" t="str">
        <f>IFERROR(__xludf.DUMMYFUNCTION("""COMPUTED_VALUE"""),"241635720608")</f>
        <v>241635720608</v>
      </c>
      <c r="D4152" s="21" t="str">
        <f>IFERROR(__xludf.DUMMYFUNCTION("""COMPUTED_VALUE"""),"DIGITEC TECNOLOGIA DIGITAL E REPRES")</f>
        <v>DIGITEC TECNOLOGIA DIGITAL E REPRES</v>
      </c>
      <c r="E4152" s="21">
        <f>IFERROR(__xludf.DUMMYFUNCTION("""COMPUTED_VALUE"""),145359.0)</f>
        <v>145359</v>
      </c>
      <c r="F4152" s="21" t="str">
        <f>IFERROR(__xludf.DUMMYFUNCTION("""COMPUTED_VALUE"""),"INICIALIZADO")</f>
        <v>INICIALIZADO</v>
      </c>
      <c r="G4152" s="23">
        <f>IFERROR(__xludf.DUMMYFUNCTION("""COMPUTED_VALUE"""),45639.64978009259)</f>
        <v>45639.64978</v>
      </c>
      <c r="H4152" s="24" t="str">
        <f>IFERROR(VLOOKUP(B4152,material!A:D,3,0),"")</f>
        <v>4K RFIP</v>
      </c>
    </row>
    <row r="4153" ht="11.25" customHeight="1">
      <c r="A4153" s="21" t="str">
        <f>IFERROR(__xludf.DUMMYFUNCTION("""COMPUTED_VALUE"""),"DECODER CARDLESS 4K UHD S4KCW5 CABO IP")</f>
        <v>DECODER CARDLESS 4K UHD S4KCW5 CABO IP</v>
      </c>
      <c r="B4153" s="22">
        <f>IFERROR(__xludf.DUMMYFUNCTION("""COMPUTED_VALUE"""),4.1001583E7)</f>
        <v>41001583</v>
      </c>
      <c r="C4153" s="21" t="str">
        <f>IFERROR(__xludf.DUMMYFUNCTION("""COMPUTED_VALUE"""),"241635720709")</f>
        <v>241635720709</v>
      </c>
      <c r="D4153" s="21" t="str">
        <f>IFERROR(__xludf.DUMMYFUNCTION("""COMPUTED_VALUE"""),"DIGITEC TECNOLOGIA DIGITAL E REPRES")</f>
        <v>DIGITEC TECNOLOGIA DIGITAL E REPRES</v>
      </c>
      <c r="E4153" s="21">
        <f>IFERROR(__xludf.DUMMYFUNCTION("""COMPUTED_VALUE"""),145359.0)</f>
        <v>145359</v>
      </c>
      <c r="F4153" s="21" t="str">
        <f>IFERROR(__xludf.DUMMYFUNCTION("""COMPUTED_VALUE"""),"INICIALIZADO")</f>
        <v>INICIALIZADO</v>
      </c>
      <c r="G4153" s="23">
        <f>IFERROR(__xludf.DUMMYFUNCTION("""COMPUTED_VALUE"""),45639.64978009259)</f>
        <v>45639.64978</v>
      </c>
      <c r="H4153" s="24" t="str">
        <f>IFERROR(VLOOKUP(B4153,material!A:D,3,0),"")</f>
        <v>4K RFIP</v>
      </c>
    </row>
    <row r="4154" ht="11.25" customHeight="1">
      <c r="A4154" s="21" t="str">
        <f>IFERROR(__xludf.DUMMYFUNCTION("""COMPUTED_VALUE"""),"DECODER CARDLESS 4K UHD S4KCW5 CABO IP")</f>
        <v>DECODER CARDLESS 4K UHD S4KCW5 CABO IP</v>
      </c>
      <c r="B4154" s="22">
        <f>IFERROR(__xludf.DUMMYFUNCTION("""COMPUTED_VALUE"""),4.1001583E7)</f>
        <v>41001583</v>
      </c>
      <c r="C4154" s="21" t="str">
        <f>IFERROR(__xludf.DUMMYFUNCTION("""COMPUTED_VALUE"""),"241635761420")</f>
        <v>241635761420</v>
      </c>
      <c r="D4154" s="21" t="str">
        <f>IFERROR(__xludf.DUMMYFUNCTION("""COMPUTED_VALUE"""),"DIGITEC TECNOLOGIA DIGITAL E REPRES")</f>
        <v>DIGITEC TECNOLOGIA DIGITAL E REPRES</v>
      </c>
      <c r="E4154" s="21">
        <f>IFERROR(__xludf.DUMMYFUNCTION("""COMPUTED_VALUE"""),145359.0)</f>
        <v>145359</v>
      </c>
      <c r="F4154" s="21" t="str">
        <f>IFERROR(__xludf.DUMMYFUNCTION("""COMPUTED_VALUE"""),"INICIALIZADO")</f>
        <v>INICIALIZADO</v>
      </c>
      <c r="G4154" s="23">
        <f>IFERROR(__xludf.DUMMYFUNCTION("""COMPUTED_VALUE"""),45639.64978009259)</f>
        <v>45639.64978</v>
      </c>
      <c r="H4154" s="24" t="str">
        <f>IFERROR(VLOOKUP(B4154,material!A:D,3,0),"")</f>
        <v>4K RFIP</v>
      </c>
    </row>
    <row r="4155" ht="11.25" customHeight="1">
      <c r="A4155" s="21" t="str">
        <f>IFERROR(__xludf.DUMMYFUNCTION("""COMPUTED_VALUE"""),"DECODER CARDLESS 4K UHD S4KCW5 CABO IP")</f>
        <v>DECODER CARDLESS 4K UHD S4KCW5 CABO IP</v>
      </c>
      <c r="B4155" s="22">
        <f>IFERROR(__xludf.DUMMYFUNCTION("""COMPUTED_VALUE"""),4.1001583E7)</f>
        <v>41001583</v>
      </c>
      <c r="C4155" s="21" t="str">
        <f>IFERROR(__xludf.DUMMYFUNCTION("""COMPUTED_VALUE"""),"241635804353")</f>
        <v>241635804353</v>
      </c>
      <c r="D4155" s="21" t="str">
        <f>IFERROR(__xludf.DUMMYFUNCTION("""COMPUTED_VALUE"""),"DIGITEC TECNOLOGIA DIGITAL E REPRES")</f>
        <v>DIGITEC TECNOLOGIA DIGITAL E REPRES</v>
      </c>
      <c r="E4155" s="21">
        <f>IFERROR(__xludf.DUMMYFUNCTION("""COMPUTED_VALUE"""),145359.0)</f>
        <v>145359</v>
      </c>
      <c r="F4155" s="21" t="str">
        <f>IFERROR(__xludf.DUMMYFUNCTION("""COMPUTED_VALUE"""),"INICIALIZADO")</f>
        <v>INICIALIZADO</v>
      </c>
      <c r="G4155" s="23">
        <f>IFERROR(__xludf.DUMMYFUNCTION("""COMPUTED_VALUE"""),45639.64976851852)</f>
        <v>45639.64977</v>
      </c>
      <c r="H4155" s="24" t="str">
        <f>IFERROR(VLOOKUP(B4155,material!A:D,3,0),"")</f>
        <v>4K RFIP</v>
      </c>
    </row>
    <row r="4156" ht="11.25" customHeight="1">
      <c r="A4156" s="21" t="str">
        <f>IFERROR(__xludf.DUMMYFUNCTION("""COMPUTED_VALUE"""),"DECODER CARDLESS 4K UHD S4KCW5 CABO IP")</f>
        <v>DECODER CARDLESS 4K UHD S4KCW5 CABO IP</v>
      </c>
      <c r="B4156" s="22">
        <f>IFERROR(__xludf.DUMMYFUNCTION("""COMPUTED_VALUE"""),4.1001583E7)</f>
        <v>41001583</v>
      </c>
      <c r="C4156" s="21" t="str">
        <f>IFERROR(__xludf.DUMMYFUNCTION("""COMPUTED_VALUE"""),"241635804959")</f>
        <v>241635804959</v>
      </c>
      <c r="D4156" s="21" t="str">
        <f>IFERROR(__xludf.DUMMYFUNCTION("""COMPUTED_VALUE"""),"DIGITEC TECNOLOGIA DIGITAL E REPRES")</f>
        <v>DIGITEC TECNOLOGIA DIGITAL E REPRES</v>
      </c>
      <c r="E4156" s="21">
        <f>IFERROR(__xludf.DUMMYFUNCTION("""COMPUTED_VALUE"""),145359.0)</f>
        <v>145359</v>
      </c>
      <c r="F4156" s="21" t="str">
        <f>IFERROR(__xludf.DUMMYFUNCTION("""COMPUTED_VALUE"""),"INICIALIZADO")</f>
        <v>INICIALIZADO</v>
      </c>
      <c r="G4156" s="23">
        <f>IFERROR(__xludf.DUMMYFUNCTION("""COMPUTED_VALUE"""),45639.64976851852)</f>
        <v>45639.64977</v>
      </c>
      <c r="H4156" s="24" t="str">
        <f>IFERROR(VLOOKUP(B4156,material!A:D,3,0),"")</f>
        <v>4K RFIP</v>
      </c>
    </row>
    <row r="4157" ht="11.25" customHeight="1">
      <c r="A4157" s="21" t="str">
        <f>IFERROR(__xludf.DUMMYFUNCTION("""COMPUTED_VALUE"""),"DECODER CARDLESS 4K UHD S4KCW5 CABO IP")</f>
        <v>DECODER CARDLESS 4K UHD S4KCW5 CABO IP</v>
      </c>
      <c r="B4157" s="22">
        <f>IFERROR(__xludf.DUMMYFUNCTION("""COMPUTED_VALUE"""),4.1001583E7)</f>
        <v>41001583</v>
      </c>
      <c r="C4157" s="21" t="str">
        <f>IFERROR(__xludf.DUMMYFUNCTION("""COMPUTED_VALUE"""),"241635806171")</f>
        <v>241635806171</v>
      </c>
      <c r="D4157" s="21" t="str">
        <f>IFERROR(__xludf.DUMMYFUNCTION("""COMPUTED_VALUE"""),"DIGITEC TECNOLOGIA DIGITAL E REPRES")</f>
        <v>DIGITEC TECNOLOGIA DIGITAL E REPRES</v>
      </c>
      <c r="E4157" s="21">
        <f>IFERROR(__xludf.DUMMYFUNCTION("""COMPUTED_VALUE"""),145359.0)</f>
        <v>145359</v>
      </c>
      <c r="F4157" s="21" t="str">
        <f>IFERROR(__xludf.DUMMYFUNCTION("""COMPUTED_VALUE"""),"INICIALIZADO")</f>
        <v>INICIALIZADO</v>
      </c>
      <c r="G4157" s="23">
        <f>IFERROR(__xludf.DUMMYFUNCTION("""COMPUTED_VALUE"""),45639.64976851852)</f>
        <v>45639.64977</v>
      </c>
      <c r="H4157" s="24" t="str">
        <f>IFERROR(VLOOKUP(B4157,material!A:D,3,0),"")</f>
        <v>4K RFIP</v>
      </c>
    </row>
    <row r="4158" ht="11.25" customHeight="1">
      <c r="A4158" s="21" t="str">
        <f>IFERROR(__xludf.DUMMYFUNCTION("""COMPUTED_VALUE"""),"DECODER CARDLESS 4K UHD S4KCW5 CABO IP")</f>
        <v>DECODER CARDLESS 4K UHD S4KCW5 CABO IP</v>
      </c>
      <c r="B4158" s="22">
        <f>IFERROR(__xludf.DUMMYFUNCTION("""COMPUTED_VALUE"""),4.1001583E7)</f>
        <v>41001583</v>
      </c>
      <c r="C4158" s="21" t="str">
        <f>IFERROR(__xludf.DUMMYFUNCTION("""COMPUTED_VALUE"""),"241635806878")</f>
        <v>241635806878</v>
      </c>
      <c r="D4158" s="21" t="str">
        <f>IFERROR(__xludf.DUMMYFUNCTION("""COMPUTED_VALUE"""),"DIGITEC TECNOLOGIA DIGITAL E REPRES")</f>
        <v>DIGITEC TECNOLOGIA DIGITAL E REPRES</v>
      </c>
      <c r="E4158" s="21">
        <f>IFERROR(__xludf.DUMMYFUNCTION("""COMPUTED_VALUE"""),145359.0)</f>
        <v>145359</v>
      </c>
      <c r="F4158" s="21" t="str">
        <f>IFERROR(__xludf.DUMMYFUNCTION("""COMPUTED_VALUE"""),"INICIALIZADO")</f>
        <v>INICIALIZADO</v>
      </c>
      <c r="G4158" s="23">
        <f>IFERROR(__xludf.DUMMYFUNCTION("""COMPUTED_VALUE"""),45639.64978009259)</f>
        <v>45639.64978</v>
      </c>
      <c r="H4158" s="24" t="str">
        <f>IFERROR(VLOOKUP(B4158,material!A:D,3,0),"")</f>
        <v>4K RFIP</v>
      </c>
    </row>
    <row r="4159" ht="11.25" customHeight="1">
      <c r="A4159" s="21" t="str">
        <f>IFERROR(__xludf.DUMMYFUNCTION("""COMPUTED_VALUE"""),"DECODER CARDLESS 4K UHD S4KCW5 CABO IP")</f>
        <v>DECODER CARDLESS 4K UHD S4KCW5 CABO IP</v>
      </c>
      <c r="B4159" s="22">
        <f>IFERROR(__xludf.DUMMYFUNCTION("""COMPUTED_VALUE"""),4.1001583E7)</f>
        <v>41001583</v>
      </c>
      <c r="C4159" s="21" t="str">
        <f>IFERROR(__xludf.DUMMYFUNCTION("""COMPUTED_VALUE"""),"241635802333")</f>
        <v>241635802333</v>
      </c>
      <c r="D4159" s="21" t="str">
        <f>IFERROR(__xludf.DUMMYFUNCTION("""COMPUTED_VALUE"""),"DIGITEC TECNOLOGIA DIGITAL E REPRES")</f>
        <v>DIGITEC TECNOLOGIA DIGITAL E REPRES</v>
      </c>
      <c r="E4159" s="21">
        <f>IFERROR(__xludf.DUMMYFUNCTION("""COMPUTED_VALUE"""),145359.0)</f>
        <v>145359</v>
      </c>
      <c r="F4159" s="21" t="str">
        <f>IFERROR(__xludf.DUMMYFUNCTION("""COMPUTED_VALUE"""),"INICIALIZADO")</f>
        <v>INICIALIZADO</v>
      </c>
      <c r="G4159" s="23">
        <f>IFERROR(__xludf.DUMMYFUNCTION("""COMPUTED_VALUE"""),45639.64976851852)</f>
        <v>45639.64977</v>
      </c>
      <c r="H4159" s="24" t="str">
        <f>IFERROR(VLOOKUP(B4159,material!A:D,3,0),"")</f>
        <v>4K RFIP</v>
      </c>
    </row>
    <row r="4160" ht="11.25" customHeight="1">
      <c r="A4160" s="21" t="str">
        <f>IFERROR(__xludf.DUMMYFUNCTION("""COMPUTED_VALUE"""),"DECODER CARDLESS 4K UHD S4KCW5 CABO IP")</f>
        <v>DECODER CARDLESS 4K UHD S4KCW5 CABO IP</v>
      </c>
      <c r="B4160" s="22">
        <f>IFERROR(__xludf.DUMMYFUNCTION("""COMPUTED_VALUE"""),4.1001583E7)</f>
        <v>41001583</v>
      </c>
      <c r="C4160" s="21" t="str">
        <f>IFERROR(__xludf.DUMMYFUNCTION("""COMPUTED_VALUE"""),"241631380005")</f>
        <v>241631380005</v>
      </c>
      <c r="D4160" s="21" t="str">
        <f>IFERROR(__xludf.DUMMYFUNCTION("""COMPUTED_VALUE"""),"DIGITEC TECNOLOGIA DIGITAL E REPRES")</f>
        <v>DIGITEC TECNOLOGIA DIGITAL E REPRES</v>
      </c>
      <c r="E4160" s="21">
        <f>IFERROR(__xludf.DUMMYFUNCTION("""COMPUTED_VALUE"""),145359.0)</f>
        <v>145359</v>
      </c>
      <c r="F4160" s="21" t="str">
        <f>IFERROR(__xludf.DUMMYFUNCTION("""COMPUTED_VALUE"""),"INICIALIZADO")</f>
        <v>INICIALIZADO</v>
      </c>
      <c r="G4160" s="23">
        <f>IFERROR(__xludf.DUMMYFUNCTION("""COMPUTED_VALUE"""),45604.74086805555)</f>
        <v>45604.74087</v>
      </c>
      <c r="H4160" s="24" t="str">
        <f>IFERROR(VLOOKUP(B4160,material!A:D,3,0),"")</f>
        <v>4K RFIP</v>
      </c>
    </row>
    <row r="4161" ht="11.25" customHeight="1">
      <c r="A4161" s="21" t="str">
        <f>IFERROR(__xludf.DUMMYFUNCTION("""COMPUTED_VALUE"""),"DECODER CARDLESS 4K UHD S4KCW5 CABO IP")</f>
        <v>DECODER CARDLESS 4K UHD S4KCW5 CABO IP</v>
      </c>
      <c r="B4161" s="22">
        <f>IFERROR(__xludf.DUMMYFUNCTION("""COMPUTED_VALUE"""),4.1001583E7)</f>
        <v>41001583</v>
      </c>
      <c r="C4161" s="21" t="str">
        <f>IFERROR(__xludf.DUMMYFUNCTION("""COMPUTED_VALUE"""),"241631386166")</f>
        <v>241631386166</v>
      </c>
      <c r="D4161" s="21" t="str">
        <f>IFERROR(__xludf.DUMMYFUNCTION("""COMPUTED_VALUE"""),"DIGITEC TECNOLOGIA DIGITAL E REPRES")</f>
        <v>DIGITEC TECNOLOGIA DIGITAL E REPRES</v>
      </c>
      <c r="E4161" s="21">
        <f>IFERROR(__xludf.DUMMYFUNCTION("""COMPUTED_VALUE"""),145359.0)</f>
        <v>145359</v>
      </c>
      <c r="F4161" s="21" t="str">
        <f>IFERROR(__xludf.DUMMYFUNCTION("""COMPUTED_VALUE"""),"INICIALIZADO")</f>
        <v>INICIALIZADO</v>
      </c>
      <c r="G4161" s="23">
        <f>IFERROR(__xludf.DUMMYFUNCTION("""COMPUTED_VALUE"""),45604.74086805555)</f>
        <v>45604.74087</v>
      </c>
      <c r="H4161" s="24" t="str">
        <f>IFERROR(VLOOKUP(B4161,material!A:D,3,0),"")</f>
        <v>4K RFIP</v>
      </c>
    </row>
    <row r="4162" ht="11.25" customHeight="1">
      <c r="A4162" s="21" t="str">
        <f>IFERROR(__xludf.DUMMYFUNCTION("""COMPUTED_VALUE"""),"DECODER CARDLESS 4K UHD S4KCW5 CABO IP")</f>
        <v>DECODER CARDLESS 4K UHD S4KCW5 CABO IP</v>
      </c>
      <c r="B4162" s="22">
        <f>IFERROR(__xludf.DUMMYFUNCTION("""COMPUTED_VALUE"""),4.1001583E7)</f>
        <v>41001583</v>
      </c>
      <c r="C4162" s="21" t="str">
        <f>IFERROR(__xludf.DUMMYFUNCTION("""COMPUTED_VALUE"""),"241631424150")</f>
        <v>241631424150</v>
      </c>
      <c r="D4162" s="21" t="str">
        <f>IFERROR(__xludf.DUMMYFUNCTION("""COMPUTED_VALUE"""),"DIGITEC TECNOLOGIA DIGITAL E REPRES")</f>
        <v>DIGITEC TECNOLOGIA DIGITAL E REPRES</v>
      </c>
      <c r="E4162" s="21">
        <f>IFERROR(__xludf.DUMMYFUNCTION("""COMPUTED_VALUE"""),145359.0)</f>
        <v>145359</v>
      </c>
      <c r="F4162" s="21" t="str">
        <f>IFERROR(__xludf.DUMMYFUNCTION("""COMPUTED_VALUE"""),"INICIALIZADO")</f>
        <v>INICIALIZADO</v>
      </c>
      <c r="G4162" s="23">
        <f>IFERROR(__xludf.DUMMYFUNCTION("""COMPUTED_VALUE"""),45608.70138888889)</f>
        <v>45608.70139</v>
      </c>
      <c r="H4162" s="24" t="str">
        <f>IFERROR(VLOOKUP(B4162,material!A:D,3,0),"")</f>
        <v>4K RFIP</v>
      </c>
    </row>
    <row r="4163" ht="11.25" customHeight="1">
      <c r="A4163" s="21" t="str">
        <f>IFERROR(__xludf.DUMMYFUNCTION("""COMPUTED_VALUE"""),"DECODER CARDLESS 4K UHD S4KCW5 CABO IP")</f>
        <v>DECODER CARDLESS 4K UHD S4KCW5 CABO IP</v>
      </c>
      <c r="B4163" s="22">
        <f>IFERROR(__xludf.DUMMYFUNCTION("""COMPUTED_VALUE"""),4.1001583E7)</f>
        <v>41001583</v>
      </c>
      <c r="C4163" s="21" t="str">
        <f>IFERROR(__xludf.DUMMYFUNCTION("""COMPUTED_VALUE"""),"241631429706")</f>
        <v>241631429706</v>
      </c>
      <c r="D4163" s="21" t="str">
        <f>IFERROR(__xludf.DUMMYFUNCTION("""COMPUTED_VALUE"""),"DIGITEC TECNOLOGIA DIGITAL E REPRES")</f>
        <v>DIGITEC TECNOLOGIA DIGITAL E REPRES</v>
      </c>
      <c r="E4163" s="21">
        <f>IFERROR(__xludf.DUMMYFUNCTION("""COMPUTED_VALUE"""),145359.0)</f>
        <v>145359</v>
      </c>
      <c r="F4163" s="21" t="str">
        <f>IFERROR(__xludf.DUMMYFUNCTION("""COMPUTED_VALUE"""),"INICIALIZADO")</f>
        <v>INICIALIZADO</v>
      </c>
      <c r="G4163" s="23">
        <f>IFERROR(__xludf.DUMMYFUNCTION("""COMPUTED_VALUE"""),45608.701377314814)</f>
        <v>45608.70138</v>
      </c>
      <c r="H4163" s="24" t="str">
        <f>IFERROR(VLOOKUP(B4163,material!A:D,3,0),"")</f>
        <v>4K RFIP</v>
      </c>
    </row>
    <row r="4164" ht="11.25" customHeight="1">
      <c r="A4164" s="21" t="str">
        <f>IFERROR(__xludf.DUMMYFUNCTION("""COMPUTED_VALUE"""),"DECODER CARDLESS 4K UHD S4KCW5 CABO IP")</f>
        <v>DECODER CARDLESS 4K UHD S4KCW5 CABO IP</v>
      </c>
      <c r="B4164" s="22">
        <f>IFERROR(__xludf.DUMMYFUNCTION("""COMPUTED_VALUE"""),4.1001583E7)</f>
        <v>41001583</v>
      </c>
      <c r="C4164" s="21" t="str">
        <f>IFERROR(__xludf.DUMMYFUNCTION("""COMPUTED_VALUE"""),"241635815566")</f>
        <v>241635815566</v>
      </c>
      <c r="D4164" s="21" t="str">
        <f>IFERROR(__xludf.DUMMYFUNCTION("""COMPUTED_VALUE"""),"DIGITEC TECNOLOGIA DIGITAL E REPRES")</f>
        <v>DIGITEC TECNOLOGIA DIGITAL E REPRES</v>
      </c>
      <c r="E4164" s="21">
        <f>IFERROR(__xludf.DUMMYFUNCTION("""COMPUTED_VALUE"""),145359.0)</f>
        <v>145359</v>
      </c>
      <c r="F4164" s="21" t="str">
        <f>IFERROR(__xludf.DUMMYFUNCTION("""COMPUTED_VALUE"""),"INICIALIZADO")</f>
        <v>INICIALIZADO</v>
      </c>
      <c r="G4164" s="23">
        <f>IFERROR(__xludf.DUMMYFUNCTION("""COMPUTED_VALUE"""),45639.64978009259)</f>
        <v>45639.64978</v>
      </c>
      <c r="H4164" s="24" t="str">
        <f>IFERROR(VLOOKUP(B4164,material!A:D,3,0),"")</f>
        <v>4K RFIP</v>
      </c>
    </row>
    <row r="4165" ht="11.25" customHeight="1">
      <c r="A4165" s="21" t="str">
        <f>IFERROR(__xludf.DUMMYFUNCTION("""COMPUTED_VALUE"""),"DECODER CARDLESS 4K UHD S4KCW5 CABO IP")</f>
        <v>DECODER CARDLESS 4K UHD S4KCW5 CABO IP</v>
      </c>
      <c r="B4165" s="22">
        <f>IFERROR(__xludf.DUMMYFUNCTION("""COMPUTED_VALUE"""),4.1001583E7)</f>
        <v>41001583</v>
      </c>
      <c r="C4165" s="21" t="str">
        <f>IFERROR(__xludf.DUMMYFUNCTION("""COMPUTED_VALUE"""),"241635810920")</f>
        <v>241635810920</v>
      </c>
      <c r="D4165" s="21" t="str">
        <f>IFERROR(__xludf.DUMMYFUNCTION("""COMPUTED_VALUE"""),"DIGITEC TECNOLOGIA DIGITAL E REPRES")</f>
        <v>DIGITEC TECNOLOGIA DIGITAL E REPRES</v>
      </c>
      <c r="E4165" s="21">
        <f>IFERROR(__xludf.DUMMYFUNCTION("""COMPUTED_VALUE"""),145359.0)</f>
        <v>145359</v>
      </c>
      <c r="F4165" s="21" t="str">
        <f>IFERROR(__xludf.DUMMYFUNCTION("""COMPUTED_VALUE"""),"INICIALIZADO")</f>
        <v>INICIALIZADO</v>
      </c>
      <c r="G4165" s="23">
        <f>IFERROR(__xludf.DUMMYFUNCTION("""COMPUTED_VALUE"""),45639.64978009259)</f>
        <v>45639.64978</v>
      </c>
      <c r="H4165" s="24" t="str">
        <f>IFERROR(VLOOKUP(B4165,material!A:D,3,0),"")</f>
        <v>4K RFIP</v>
      </c>
    </row>
    <row r="4166" ht="11.25" customHeight="1">
      <c r="A4166" s="21" t="str">
        <f>IFERROR(__xludf.DUMMYFUNCTION("""COMPUTED_VALUE"""),"DECODER CARDLESS 4K UHD S4KCW5 CABO IP")</f>
        <v>DECODER CARDLESS 4K UHD S4KCW5 CABO IP</v>
      </c>
      <c r="B4166" s="22">
        <f>IFERROR(__xludf.DUMMYFUNCTION("""COMPUTED_VALUE"""),4.1001583E7)</f>
        <v>41001583</v>
      </c>
      <c r="C4166" s="21" t="str">
        <f>IFERROR(__xludf.DUMMYFUNCTION("""COMPUTED_VALUE"""),"241635762329")</f>
        <v>241635762329</v>
      </c>
      <c r="D4166" s="21" t="str">
        <f>IFERROR(__xludf.DUMMYFUNCTION("""COMPUTED_VALUE"""),"DIGITEC TECNOLOGIA DIGITAL E REPRES")</f>
        <v>DIGITEC TECNOLOGIA DIGITAL E REPRES</v>
      </c>
      <c r="E4166" s="21">
        <f>IFERROR(__xludf.DUMMYFUNCTION("""COMPUTED_VALUE"""),145359.0)</f>
        <v>145359</v>
      </c>
      <c r="F4166" s="21" t="str">
        <f>IFERROR(__xludf.DUMMYFUNCTION("""COMPUTED_VALUE"""),"INICIALIZADO")</f>
        <v>INICIALIZADO</v>
      </c>
      <c r="G4166" s="23">
        <f>IFERROR(__xludf.DUMMYFUNCTION("""COMPUTED_VALUE"""),45639.64978009259)</f>
        <v>45639.64978</v>
      </c>
      <c r="H4166" s="24" t="str">
        <f>IFERROR(VLOOKUP(B4166,material!A:D,3,0),"")</f>
        <v>4K RFIP</v>
      </c>
    </row>
    <row r="4167" ht="11.25" customHeight="1">
      <c r="A4167" s="21" t="str">
        <f>IFERROR(__xludf.DUMMYFUNCTION("""COMPUTED_VALUE"""),"DECODER CARDLESS 4K UHD S4KCW5 CABO IP")</f>
        <v>DECODER CARDLESS 4K UHD S4KCW5 CABO IP</v>
      </c>
      <c r="B4167" s="22">
        <f>IFERROR(__xludf.DUMMYFUNCTION("""COMPUTED_VALUE"""),4.1001583E7)</f>
        <v>41001583</v>
      </c>
      <c r="C4167" s="21" t="str">
        <f>IFERROR(__xludf.DUMMYFUNCTION("""COMPUTED_VALUE"""),"241635779603")</f>
        <v>241635779603</v>
      </c>
      <c r="D4167" s="21" t="str">
        <f>IFERROR(__xludf.DUMMYFUNCTION("""COMPUTED_VALUE"""),"DIGITEC TECNOLOGIA DIGITAL E REPRES")</f>
        <v>DIGITEC TECNOLOGIA DIGITAL E REPRES</v>
      </c>
      <c r="E4167" s="21">
        <f>IFERROR(__xludf.DUMMYFUNCTION("""COMPUTED_VALUE"""),145359.0)</f>
        <v>145359</v>
      </c>
      <c r="F4167" s="21" t="str">
        <f>IFERROR(__xludf.DUMMYFUNCTION("""COMPUTED_VALUE"""),"INICIALIZADO")</f>
        <v>INICIALIZADO</v>
      </c>
      <c r="G4167" s="23">
        <f>IFERROR(__xludf.DUMMYFUNCTION("""COMPUTED_VALUE"""),45639.64978009259)</f>
        <v>45639.64978</v>
      </c>
      <c r="H4167" s="24" t="str">
        <f>IFERROR(VLOOKUP(B4167,material!A:D,3,0),"")</f>
        <v>4K RFIP</v>
      </c>
    </row>
    <row r="4168" ht="11.25" customHeight="1">
      <c r="A4168" s="21" t="str">
        <f>IFERROR(__xludf.DUMMYFUNCTION("""COMPUTED_VALUE"""),"DECODER CARDLESS 4K UHD S4KCW5 CABO IP")</f>
        <v>DECODER CARDLESS 4K UHD S4KCW5 CABO IP</v>
      </c>
      <c r="B4168" s="22">
        <f>IFERROR(__xludf.DUMMYFUNCTION("""COMPUTED_VALUE"""),4.1001583E7)</f>
        <v>41001583</v>
      </c>
      <c r="C4168" s="21" t="str">
        <f>IFERROR(__xludf.DUMMYFUNCTION("""COMPUTED_VALUE"""),"241635793948")</f>
        <v>241635793948</v>
      </c>
      <c r="D4168" s="21" t="str">
        <f>IFERROR(__xludf.DUMMYFUNCTION("""COMPUTED_VALUE"""),"DIGITEC TECNOLOGIA DIGITAL E REPRES")</f>
        <v>DIGITEC TECNOLOGIA DIGITAL E REPRES</v>
      </c>
      <c r="E4168" s="21">
        <f>IFERROR(__xludf.DUMMYFUNCTION("""COMPUTED_VALUE"""),145359.0)</f>
        <v>145359</v>
      </c>
      <c r="F4168" s="21" t="str">
        <f>IFERROR(__xludf.DUMMYFUNCTION("""COMPUTED_VALUE"""),"INICIALIZADO")</f>
        <v>INICIALIZADO</v>
      </c>
      <c r="G4168" s="23">
        <f>IFERROR(__xludf.DUMMYFUNCTION("""COMPUTED_VALUE"""),45639.64978009259)</f>
        <v>45639.64978</v>
      </c>
      <c r="H4168" s="24" t="str">
        <f>IFERROR(VLOOKUP(B4168,material!A:D,3,0),"")</f>
        <v>4K RFIP</v>
      </c>
    </row>
    <row r="4169" ht="11.25" customHeight="1">
      <c r="A4169" s="21" t="str">
        <f>IFERROR(__xludf.DUMMYFUNCTION("""COMPUTED_VALUE"""),"DECODER CARDLESS 4K UHD S4KCW5 CABO IP")</f>
        <v>DECODER CARDLESS 4K UHD S4KCW5 CABO IP</v>
      </c>
      <c r="B4169" s="22">
        <f>IFERROR(__xludf.DUMMYFUNCTION("""COMPUTED_VALUE"""),4.1001583E7)</f>
        <v>41001583</v>
      </c>
      <c r="C4169" s="21" t="str">
        <f>IFERROR(__xludf.DUMMYFUNCTION("""COMPUTED_VALUE"""),"241635797281")</f>
        <v>241635797281</v>
      </c>
      <c r="D4169" s="21" t="str">
        <f>IFERROR(__xludf.DUMMYFUNCTION("""COMPUTED_VALUE"""),"DIGITEC TECNOLOGIA DIGITAL E REPRES")</f>
        <v>DIGITEC TECNOLOGIA DIGITAL E REPRES</v>
      </c>
      <c r="E4169" s="21">
        <f>IFERROR(__xludf.DUMMYFUNCTION("""COMPUTED_VALUE"""),145359.0)</f>
        <v>145359</v>
      </c>
      <c r="F4169" s="21" t="str">
        <f>IFERROR(__xludf.DUMMYFUNCTION("""COMPUTED_VALUE"""),"INICIALIZADO")</f>
        <v>INICIALIZADO</v>
      </c>
      <c r="G4169" s="23">
        <f>IFERROR(__xludf.DUMMYFUNCTION("""COMPUTED_VALUE"""),45639.64978009259)</f>
        <v>45639.64978</v>
      </c>
      <c r="H4169" s="24" t="str">
        <f>IFERROR(VLOOKUP(B4169,material!A:D,3,0),"")</f>
        <v>4K RFIP</v>
      </c>
    </row>
    <row r="4170" ht="11.25" customHeight="1">
      <c r="A4170" s="21" t="str">
        <f>IFERROR(__xludf.DUMMYFUNCTION("""COMPUTED_VALUE"""),"DECODER CARDLESS 4K UHD S4KCW5 CABO IP")</f>
        <v>DECODER CARDLESS 4K UHD S4KCW5 CABO IP</v>
      </c>
      <c r="B4170" s="22">
        <f>IFERROR(__xludf.DUMMYFUNCTION("""COMPUTED_VALUE"""),4.1001583E7)</f>
        <v>41001583</v>
      </c>
      <c r="C4170" s="21" t="str">
        <f>IFERROR(__xludf.DUMMYFUNCTION("""COMPUTED_VALUE"""),"241635798291")</f>
        <v>241635798291</v>
      </c>
      <c r="D4170" s="21" t="str">
        <f>IFERROR(__xludf.DUMMYFUNCTION("""COMPUTED_VALUE"""),"DIGITEC TECNOLOGIA DIGITAL E REPRES")</f>
        <v>DIGITEC TECNOLOGIA DIGITAL E REPRES</v>
      </c>
      <c r="E4170" s="21">
        <f>IFERROR(__xludf.DUMMYFUNCTION("""COMPUTED_VALUE"""),145359.0)</f>
        <v>145359</v>
      </c>
      <c r="F4170" s="21" t="str">
        <f>IFERROR(__xludf.DUMMYFUNCTION("""COMPUTED_VALUE"""),"INICIALIZADO")</f>
        <v>INICIALIZADO</v>
      </c>
      <c r="G4170" s="23">
        <f>IFERROR(__xludf.DUMMYFUNCTION("""COMPUTED_VALUE"""),45639.64978009259)</f>
        <v>45639.64978</v>
      </c>
      <c r="H4170" s="24" t="str">
        <f>IFERROR(VLOOKUP(B4170,material!A:D,3,0),"")</f>
        <v>4K RFIP</v>
      </c>
    </row>
    <row r="4171" ht="11.25" customHeight="1">
      <c r="A4171" s="21" t="str">
        <f>IFERROR(__xludf.DUMMYFUNCTION("""COMPUTED_VALUE"""),"DECODER CARDLESS 4K UHD S4KCW5 CABO IP")</f>
        <v>DECODER CARDLESS 4K UHD S4KCW5 CABO IP</v>
      </c>
      <c r="B4171" s="22">
        <f>IFERROR(__xludf.DUMMYFUNCTION("""COMPUTED_VALUE"""),4.1001583E7)</f>
        <v>41001583</v>
      </c>
      <c r="C4171" s="21" t="str">
        <f>IFERROR(__xludf.DUMMYFUNCTION("""COMPUTED_VALUE"""),"241635693153")</f>
        <v>241635693153</v>
      </c>
      <c r="D4171" s="21" t="str">
        <f>IFERROR(__xludf.DUMMYFUNCTION("""COMPUTED_VALUE"""),"DIGITEC TECNOLOGIA DIGITAL E REPRES")</f>
        <v>DIGITEC TECNOLOGIA DIGITAL E REPRES</v>
      </c>
      <c r="E4171" s="21">
        <f>IFERROR(__xludf.DUMMYFUNCTION("""COMPUTED_VALUE"""),145359.0)</f>
        <v>145359</v>
      </c>
      <c r="F4171" s="21" t="str">
        <f>IFERROR(__xludf.DUMMYFUNCTION("""COMPUTED_VALUE"""),"INICIALIZADO")</f>
        <v>INICIALIZADO</v>
      </c>
      <c r="G4171" s="23">
        <f>IFERROR(__xludf.DUMMYFUNCTION("""COMPUTED_VALUE"""),45639.64978009259)</f>
        <v>45639.64978</v>
      </c>
      <c r="H4171" s="24" t="str">
        <f>IFERROR(VLOOKUP(B4171,material!A:D,3,0),"")</f>
        <v>4K RFIP</v>
      </c>
    </row>
    <row r="4172" ht="11.25" customHeight="1">
      <c r="A4172" s="21" t="str">
        <f>IFERROR(__xludf.DUMMYFUNCTION("""COMPUTED_VALUE"""),"DECODER CARDLESS 4K UHD S4KCW5 CABO IP")</f>
        <v>DECODER CARDLESS 4K UHD S4KCW5 CABO IP</v>
      </c>
      <c r="B4172" s="22">
        <f>IFERROR(__xludf.DUMMYFUNCTION("""COMPUTED_VALUE"""),4.1001583E7)</f>
        <v>41001583</v>
      </c>
      <c r="C4172" s="21" t="str">
        <f>IFERROR(__xludf.DUMMYFUNCTION("""COMPUTED_VALUE"""),"241635716162")</f>
        <v>241635716162</v>
      </c>
      <c r="D4172" s="21" t="str">
        <f>IFERROR(__xludf.DUMMYFUNCTION("""COMPUTED_VALUE"""),"DIGITEC TECNOLOGIA DIGITAL E REPRES")</f>
        <v>DIGITEC TECNOLOGIA DIGITAL E REPRES</v>
      </c>
      <c r="E4172" s="21">
        <f>IFERROR(__xludf.DUMMYFUNCTION("""COMPUTED_VALUE"""),145359.0)</f>
        <v>145359</v>
      </c>
      <c r="F4172" s="21" t="str">
        <f>IFERROR(__xludf.DUMMYFUNCTION("""COMPUTED_VALUE"""),"INICIALIZADO")</f>
        <v>INICIALIZADO</v>
      </c>
      <c r="G4172" s="23">
        <f>IFERROR(__xludf.DUMMYFUNCTION("""COMPUTED_VALUE"""),45639.64978009259)</f>
        <v>45639.64978</v>
      </c>
      <c r="H4172" s="24" t="str">
        <f>IFERROR(VLOOKUP(B4172,material!A:D,3,0),"")</f>
        <v>4K RFIP</v>
      </c>
    </row>
    <row r="4173" ht="11.25" customHeight="1">
      <c r="A4173" s="21" t="str">
        <f>IFERROR(__xludf.DUMMYFUNCTION("""COMPUTED_VALUE"""),"DECODER CARDLESS 4K UHD S4KCW5 CABO IP")</f>
        <v>DECODER CARDLESS 4K UHD S4KCW5 CABO IP</v>
      </c>
      <c r="B4173" s="22">
        <f>IFERROR(__xludf.DUMMYFUNCTION("""COMPUTED_VALUE"""),4.1001583E7)</f>
        <v>41001583</v>
      </c>
      <c r="C4173" s="21" t="str">
        <f>IFERROR(__xludf.DUMMYFUNCTION("""COMPUTED_VALUE"""),"241635717677")</f>
        <v>241635717677</v>
      </c>
      <c r="D4173" s="21" t="str">
        <f>IFERROR(__xludf.DUMMYFUNCTION("""COMPUTED_VALUE"""),"DIGITEC TECNOLOGIA DIGITAL E REPRES")</f>
        <v>DIGITEC TECNOLOGIA DIGITAL E REPRES</v>
      </c>
      <c r="E4173" s="21">
        <f>IFERROR(__xludf.DUMMYFUNCTION("""COMPUTED_VALUE"""),145359.0)</f>
        <v>145359</v>
      </c>
      <c r="F4173" s="21" t="str">
        <f>IFERROR(__xludf.DUMMYFUNCTION("""COMPUTED_VALUE"""),"INICIALIZADO")</f>
        <v>INICIALIZADO</v>
      </c>
      <c r="G4173" s="23">
        <f>IFERROR(__xludf.DUMMYFUNCTION("""COMPUTED_VALUE"""),45639.64978009259)</f>
        <v>45639.64978</v>
      </c>
      <c r="H4173" s="24" t="str">
        <f>IFERROR(VLOOKUP(B4173,material!A:D,3,0),"")</f>
        <v>4K RFIP</v>
      </c>
    </row>
    <row r="4174" ht="11.25" customHeight="1">
      <c r="A4174" s="21" t="str">
        <f>IFERROR(__xludf.DUMMYFUNCTION("""COMPUTED_VALUE"""),"DECODER CARDLESS 4K UHD S4KCW5 CABO IP")</f>
        <v>DECODER CARDLESS 4K UHD S4KCW5 CABO IP</v>
      </c>
      <c r="B4174" s="22">
        <f>IFERROR(__xludf.DUMMYFUNCTION("""COMPUTED_VALUE"""),4.1001583E7)</f>
        <v>41001583</v>
      </c>
      <c r="C4174" s="21" t="str">
        <f>IFERROR(__xludf.DUMMYFUNCTION("""COMPUTED_VALUE"""),"241635719697")</f>
        <v>241635719697</v>
      </c>
      <c r="D4174" s="21" t="str">
        <f>IFERROR(__xludf.DUMMYFUNCTION("""COMPUTED_VALUE"""),"DIGITEC TECNOLOGIA DIGITAL E REPRES")</f>
        <v>DIGITEC TECNOLOGIA DIGITAL E REPRES</v>
      </c>
      <c r="E4174" s="21">
        <f>IFERROR(__xludf.DUMMYFUNCTION("""COMPUTED_VALUE"""),145359.0)</f>
        <v>145359</v>
      </c>
      <c r="F4174" s="21" t="str">
        <f>IFERROR(__xludf.DUMMYFUNCTION("""COMPUTED_VALUE"""),"INICIALIZADO")</f>
        <v>INICIALIZADO</v>
      </c>
      <c r="G4174" s="23">
        <f>IFERROR(__xludf.DUMMYFUNCTION("""COMPUTED_VALUE"""),45639.64978009259)</f>
        <v>45639.64978</v>
      </c>
      <c r="H4174" s="24" t="str">
        <f>IFERROR(VLOOKUP(B4174,material!A:D,3,0),"")</f>
        <v>4K RFIP</v>
      </c>
    </row>
    <row r="4175" ht="11.25" customHeight="1">
      <c r="A4175" s="21" t="str">
        <f>IFERROR(__xludf.DUMMYFUNCTION("""COMPUTED_VALUE"""),"DECODER CARDLESS 4K UHD S4KCW5 CABO IP")</f>
        <v>DECODER CARDLESS 4K UHD S4KCW5 CABO IP</v>
      </c>
      <c r="B4175" s="22">
        <f>IFERROR(__xludf.DUMMYFUNCTION("""COMPUTED_VALUE"""),4.1001583E7)</f>
        <v>41001583</v>
      </c>
      <c r="C4175" s="21" t="str">
        <f>IFERROR(__xludf.DUMMYFUNCTION("""COMPUTED_VALUE"""),"241635805666")</f>
        <v>241635805666</v>
      </c>
      <c r="D4175" s="21" t="str">
        <f>IFERROR(__xludf.DUMMYFUNCTION("""COMPUTED_VALUE"""),"DIGITEC TECNOLOGIA DIGITAL E REPRES")</f>
        <v>DIGITEC TECNOLOGIA DIGITAL E REPRES</v>
      </c>
      <c r="E4175" s="21">
        <f>IFERROR(__xludf.DUMMYFUNCTION("""COMPUTED_VALUE"""),145359.0)</f>
        <v>145359</v>
      </c>
      <c r="F4175" s="21" t="str">
        <f>IFERROR(__xludf.DUMMYFUNCTION("""COMPUTED_VALUE"""),"INICIALIZADO")</f>
        <v>INICIALIZADO</v>
      </c>
      <c r="G4175" s="23">
        <f>IFERROR(__xludf.DUMMYFUNCTION("""COMPUTED_VALUE"""),45639.64976851852)</f>
        <v>45639.64977</v>
      </c>
      <c r="H4175" s="24" t="str">
        <f>IFERROR(VLOOKUP(B4175,material!A:D,3,0),"")</f>
        <v>4K RFIP</v>
      </c>
    </row>
    <row r="4176" ht="11.25" customHeight="1">
      <c r="A4176" s="21" t="str">
        <f>IFERROR(__xludf.DUMMYFUNCTION("""COMPUTED_VALUE"""),"DECODER CARDLESS 4K UHD S4KCW5 CABO IP")</f>
        <v>DECODER CARDLESS 4K UHD S4KCW5 CABO IP</v>
      </c>
      <c r="B4176" s="22">
        <f>IFERROR(__xludf.DUMMYFUNCTION("""COMPUTED_VALUE"""),4.1001583E7)</f>
        <v>41001583</v>
      </c>
      <c r="C4176" s="21" t="str">
        <f>IFERROR(__xludf.DUMMYFUNCTION("""COMPUTED_VALUE"""),"241635806777")</f>
        <v>241635806777</v>
      </c>
      <c r="D4176" s="21" t="str">
        <f>IFERROR(__xludf.DUMMYFUNCTION("""COMPUTED_VALUE"""),"DIGITEC TECNOLOGIA DIGITAL E REPRES")</f>
        <v>DIGITEC TECNOLOGIA DIGITAL E REPRES</v>
      </c>
      <c r="E4176" s="21">
        <f>IFERROR(__xludf.DUMMYFUNCTION("""COMPUTED_VALUE"""),145359.0)</f>
        <v>145359</v>
      </c>
      <c r="F4176" s="21" t="str">
        <f>IFERROR(__xludf.DUMMYFUNCTION("""COMPUTED_VALUE"""),"INICIALIZADO")</f>
        <v>INICIALIZADO</v>
      </c>
      <c r="G4176" s="23">
        <f>IFERROR(__xludf.DUMMYFUNCTION("""COMPUTED_VALUE"""),45639.64976851852)</f>
        <v>45639.64977</v>
      </c>
      <c r="H4176" s="24" t="str">
        <f>IFERROR(VLOOKUP(B4176,material!A:D,3,0),"")</f>
        <v>4K RFIP</v>
      </c>
    </row>
    <row r="4177" ht="11.25" customHeight="1">
      <c r="A4177" s="21" t="str">
        <f>IFERROR(__xludf.DUMMYFUNCTION("""COMPUTED_VALUE"""),"DECODER CARDLESS 4K UHD S4KCW5 CABO IP")</f>
        <v>DECODER CARDLESS 4K UHD S4KCW5 CABO IP</v>
      </c>
      <c r="B4177" s="22">
        <f>IFERROR(__xludf.DUMMYFUNCTION("""COMPUTED_VALUE"""),4.1001583E7)</f>
        <v>41001583</v>
      </c>
      <c r="C4177" s="21" t="str">
        <f>IFERROR(__xludf.DUMMYFUNCTION("""COMPUTED_VALUE"""),"241635803747")</f>
        <v>241635803747</v>
      </c>
      <c r="D4177" s="21" t="str">
        <f>IFERROR(__xludf.DUMMYFUNCTION("""COMPUTED_VALUE"""),"DIGITEC TECNOLOGIA DIGITAL E REPRES")</f>
        <v>DIGITEC TECNOLOGIA DIGITAL E REPRES</v>
      </c>
      <c r="E4177" s="21">
        <f>IFERROR(__xludf.DUMMYFUNCTION("""COMPUTED_VALUE"""),145359.0)</f>
        <v>145359</v>
      </c>
      <c r="F4177" s="21" t="str">
        <f>IFERROR(__xludf.DUMMYFUNCTION("""COMPUTED_VALUE"""),"INICIALIZADO")</f>
        <v>INICIALIZADO</v>
      </c>
      <c r="G4177" s="23">
        <f>IFERROR(__xludf.DUMMYFUNCTION("""COMPUTED_VALUE"""),45639.64976851852)</f>
        <v>45639.64977</v>
      </c>
      <c r="H4177" s="24" t="str">
        <f>IFERROR(VLOOKUP(B4177,material!A:D,3,0),"")</f>
        <v>4K RFIP</v>
      </c>
    </row>
    <row r="4178" ht="11.25" customHeight="1">
      <c r="A4178" s="21" t="str">
        <f>IFERROR(__xludf.DUMMYFUNCTION("""COMPUTED_VALUE"""),"DECODER CARDLESS 4K UHD S4KCW5 CABO IP")</f>
        <v>DECODER CARDLESS 4K UHD S4KCW5 CABO IP</v>
      </c>
      <c r="B4178" s="22">
        <f>IFERROR(__xludf.DUMMYFUNCTION("""COMPUTED_VALUE"""),4.1001583E7)</f>
        <v>41001583</v>
      </c>
      <c r="C4178" s="21" t="str">
        <f>IFERROR(__xludf.DUMMYFUNCTION("""COMPUTED_VALUE"""),"241635803444")</f>
        <v>241635803444</v>
      </c>
      <c r="D4178" s="21" t="str">
        <f>IFERROR(__xludf.DUMMYFUNCTION("""COMPUTED_VALUE"""),"DIGITEC TECNOLOGIA DIGITAL E REPRES")</f>
        <v>DIGITEC TECNOLOGIA DIGITAL E REPRES</v>
      </c>
      <c r="E4178" s="21">
        <f>IFERROR(__xludf.DUMMYFUNCTION("""COMPUTED_VALUE"""),145359.0)</f>
        <v>145359</v>
      </c>
      <c r="F4178" s="21" t="str">
        <f>IFERROR(__xludf.DUMMYFUNCTION("""COMPUTED_VALUE"""),"INICIALIZADO")</f>
        <v>INICIALIZADO</v>
      </c>
      <c r="G4178" s="23">
        <f>IFERROR(__xludf.DUMMYFUNCTION("""COMPUTED_VALUE"""),45639.64976851852)</f>
        <v>45639.64977</v>
      </c>
      <c r="H4178" s="24" t="str">
        <f>IFERROR(VLOOKUP(B4178,material!A:D,3,0),"")</f>
        <v>4K RFIP</v>
      </c>
    </row>
    <row r="4179" ht="11.25" customHeight="1">
      <c r="A4179" s="21" t="str">
        <f>IFERROR(__xludf.DUMMYFUNCTION("""COMPUTED_VALUE"""),"DECODER CARDLESS 4K UHD S4KCW5 CABO IP")</f>
        <v>DECODER CARDLESS 4K UHD S4KCW5 CABO IP</v>
      </c>
      <c r="B4179" s="22">
        <f>IFERROR(__xludf.DUMMYFUNCTION("""COMPUTED_VALUE"""),4.1001583E7)</f>
        <v>41001583</v>
      </c>
      <c r="C4179" s="21" t="str">
        <f>IFERROR(__xludf.DUMMYFUNCTION("""COMPUTED_VALUE"""),"241635802434")</f>
        <v>241635802434</v>
      </c>
      <c r="D4179" s="21" t="str">
        <f>IFERROR(__xludf.DUMMYFUNCTION("""COMPUTED_VALUE"""),"DIGITEC TECNOLOGIA DIGITAL E REPRES")</f>
        <v>DIGITEC TECNOLOGIA DIGITAL E REPRES</v>
      </c>
      <c r="E4179" s="21">
        <f>IFERROR(__xludf.DUMMYFUNCTION("""COMPUTED_VALUE"""),145359.0)</f>
        <v>145359</v>
      </c>
      <c r="F4179" s="21" t="str">
        <f>IFERROR(__xludf.DUMMYFUNCTION("""COMPUTED_VALUE"""),"INICIALIZADO")</f>
        <v>INICIALIZADO</v>
      </c>
      <c r="G4179" s="23">
        <f>IFERROR(__xludf.DUMMYFUNCTION("""COMPUTED_VALUE"""),45639.64976851852)</f>
        <v>45639.64977</v>
      </c>
      <c r="H4179" s="24" t="str">
        <f>IFERROR(VLOOKUP(B4179,material!A:D,3,0),"")</f>
        <v>4K RFIP</v>
      </c>
    </row>
    <row r="4180" ht="11.25" customHeight="1">
      <c r="A4180" s="21" t="str">
        <f>IFERROR(__xludf.DUMMYFUNCTION("""COMPUTED_VALUE"""),"DECODER CARDLESS 4K UHD S4KCW5 CABO IP")</f>
        <v>DECODER CARDLESS 4K UHD S4KCW5 CABO IP</v>
      </c>
      <c r="B4180" s="22">
        <f>IFERROR(__xludf.DUMMYFUNCTION("""COMPUTED_VALUE"""),4.1001583E7)</f>
        <v>41001583</v>
      </c>
      <c r="C4180" s="21" t="str">
        <f>IFERROR(__xludf.DUMMYFUNCTION("""COMPUTED_VALUE"""),"241635801525")</f>
        <v>241635801525</v>
      </c>
      <c r="D4180" s="21" t="str">
        <f>IFERROR(__xludf.DUMMYFUNCTION("""COMPUTED_VALUE"""),"DIGITEC TECNOLOGIA DIGITAL E REPRES")</f>
        <v>DIGITEC TECNOLOGIA DIGITAL E REPRES</v>
      </c>
      <c r="E4180" s="21">
        <f>IFERROR(__xludf.DUMMYFUNCTION("""COMPUTED_VALUE"""),145359.0)</f>
        <v>145359</v>
      </c>
      <c r="F4180" s="21" t="str">
        <f>IFERROR(__xludf.DUMMYFUNCTION("""COMPUTED_VALUE"""),"INICIALIZADO")</f>
        <v>INICIALIZADO</v>
      </c>
      <c r="G4180" s="23">
        <f>IFERROR(__xludf.DUMMYFUNCTION("""COMPUTED_VALUE"""),45639.64978009259)</f>
        <v>45639.64978</v>
      </c>
      <c r="H4180" s="24" t="str">
        <f>IFERROR(VLOOKUP(B4180,material!A:D,3,0),"")</f>
        <v>4K RFIP</v>
      </c>
    </row>
    <row r="4181" ht="11.25" customHeight="1">
      <c r="A4181" s="21" t="str">
        <f>IFERROR(__xludf.DUMMYFUNCTION("""COMPUTED_VALUE"""),"DECODER CARDLESS 4K UHD S4KCW5 CABO IP")</f>
        <v>DECODER CARDLESS 4K UHD S4KCW5 CABO IP</v>
      </c>
      <c r="B4181" s="22">
        <f>IFERROR(__xludf.DUMMYFUNCTION("""COMPUTED_VALUE"""),4.1001583E7)</f>
        <v>41001583</v>
      </c>
      <c r="C4181" s="21" t="str">
        <f>IFERROR(__xludf.DUMMYFUNCTION("""COMPUTED_VALUE"""),"241635803949")</f>
        <v>241635803949</v>
      </c>
      <c r="D4181" s="21" t="str">
        <f>IFERROR(__xludf.DUMMYFUNCTION("""COMPUTED_VALUE"""),"DIGITEC TECNOLOGIA DIGITAL E REPRES")</f>
        <v>DIGITEC TECNOLOGIA DIGITAL E REPRES</v>
      </c>
      <c r="E4181" s="21">
        <f>IFERROR(__xludf.DUMMYFUNCTION("""COMPUTED_VALUE"""),145359.0)</f>
        <v>145359</v>
      </c>
      <c r="F4181" s="21" t="str">
        <f>IFERROR(__xludf.DUMMYFUNCTION("""COMPUTED_VALUE"""),"INICIALIZADO")</f>
        <v>INICIALIZADO</v>
      </c>
      <c r="G4181" s="23">
        <f>IFERROR(__xludf.DUMMYFUNCTION("""COMPUTED_VALUE"""),45639.64976851852)</f>
        <v>45639.64977</v>
      </c>
      <c r="H4181" s="24" t="str">
        <f>IFERROR(VLOOKUP(B4181,material!A:D,3,0),"")</f>
        <v>4K RFIP</v>
      </c>
    </row>
    <row r="4182" ht="11.25" customHeight="1">
      <c r="A4182" s="21" t="str">
        <f>IFERROR(__xludf.DUMMYFUNCTION("""COMPUTED_VALUE"""),"DECODER CARDLESS 4K UHD S4KCW5 CABO IP")</f>
        <v>DECODER CARDLESS 4K UHD S4KCW5 CABO IP</v>
      </c>
      <c r="B4182" s="22">
        <f>IFERROR(__xludf.DUMMYFUNCTION("""COMPUTED_VALUE"""),4.1001583E7)</f>
        <v>41001583</v>
      </c>
      <c r="C4182" s="21" t="str">
        <f>IFERROR(__xludf.DUMMYFUNCTION("""COMPUTED_VALUE"""),"241635803141")</f>
        <v>241635803141</v>
      </c>
      <c r="D4182" s="21" t="str">
        <f>IFERROR(__xludf.DUMMYFUNCTION("""COMPUTED_VALUE"""),"DIGITEC TECNOLOGIA DIGITAL E REPRES")</f>
        <v>DIGITEC TECNOLOGIA DIGITAL E REPRES</v>
      </c>
      <c r="E4182" s="21">
        <f>IFERROR(__xludf.DUMMYFUNCTION("""COMPUTED_VALUE"""),145359.0)</f>
        <v>145359</v>
      </c>
      <c r="F4182" s="21" t="str">
        <f>IFERROR(__xludf.DUMMYFUNCTION("""COMPUTED_VALUE"""),"INICIALIZADO")</f>
        <v>INICIALIZADO</v>
      </c>
      <c r="G4182" s="23">
        <f>IFERROR(__xludf.DUMMYFUNCTION("""COMPUTED_VALUE"""),45639.64976851852)</f>
        <v>45639.64977</v>
      </c>
      <c r="H4182" s="24" t="str">
        <f>IFERROR(VLOOKUP(B4182,material!A:D,3,0),"")</f>
        <v>4K RFIP</v>
      </c>
    </row>
    <row r="4183" ht="11.25" customHeight="1">
      <c r="A4183" s="21" t="str">
        <f>IFERROR(__xludf.DUMMYFUNCTION("""COMPUTED_VALUE"""),"DECODER CARDLESS 4K UHD S4KCW5 CABO IP")</f>
        <v>DECODER CARDLESS 4K UHD S4KCW5 CABO IP</v>
      </c>
      <c r="B4183" s="22">
        <f>IFERROR(__xludf.DUMMYFUNCTION("""COMPUTED_VALUE"""),4.1001583E7)</f>
        <v>41001583</v>
      </c>
      <c r="C4183" s="21" t="str">
        <f>IFERROR(__xludf.DUMMYFUNCTION("""COMPUTED_VALUE"""),"241635802535")</f>
        <v>241635802535</v>
      </c>
      <c r="D4183" s="21" t="str">
        <f>IFERROR(__xludf.DUMMYFUNCTION("""COMPUTED_VALUE"""),"DIGITEC TECNOLOGIA DIGITAL E REPRES")</f>
        <v>DIGITEC TECNOLOGIA DIGITAL E REPRES</v>
      </c>
      <c r="E4183" s="21">
        <f>IFERROR(__xludf.DUMMYFUNCTION("""COMPUTED_VALUE"""),145359.0)</f>
        <v>145359</v>
      </c>
      <c r="F4183" s="21" t="str">
        <f>IFERROR(__xludf.DUMMYFUNCTION("""COMPUTED_VALUE"""),"INICIALIZADO")</f>
        <v>INICIALIZADO</v>
      </c>
      <c r="G4183" s="23">
        <f>IFERROR(__xludf.DUMMYFUNCTION("""COMPUTED_VALUE"""),45639.64976851852)</f>
        <v>45639.64977</v>
      </c>
      <c r="H4183" s="24" t="str">
        <f>IFERROR(VLOOKUP(B4183,material!A:D,3,0),"")</f>
        <v>4K RFIP</v>
      </c>
    </row>
    <row r="4184" ht="11.25" customHeight="1">
      <c r="A4184" s="21" t="str">
        <f>IFERROR(__xludf.DUMMYFUNCTION("""COMPUTED_VALUE"""),"DECODER CARDLESS 4K UHD S4KCW5 CABO IP")</f>
        <v>DECODER CARDLESS 4K UHD S4KCW5 CABO IP</v>
      </c>
      <c r="B4184" s="22">
        <f>IFERROR(__xludf.DUMMYFUNCTION("""COMPUTED_VALUE"""),4.1001583E7)</f>
        <v>41001583</v>
      </c>
      <c r="C4184" s="21" t="str">
        <f>IFERROR(__xludf.DUMMYFUNCTION("""COMPUTED_VALUE"""),"241635813950")</f>
        <v>241635813950</v>
      </c>
      <c r="D4184" s="21" t="str">
        <f>IFERROR(__xludf.DUMMYFUNCTION("""COMPUTED_VALUE"""),"DIGITEC TECNOLOGIA DIGITAL E REPRES")</f>
        <v>DIGITEC TECNOLOGIA DIGITAL E REPRES</v>
      </c>
      <c r="E4184" s="21">
        <f>IFERROR(__xludf.DUMMYFUNCTION("""COMPUTED_VALUE"""),145359.0)</f>
        <v>145359</v>
      </c>
      <c r="F4184" s="21" t="str">
        <f>IFERROR(__xludf.DUMMYFUNCTION("""COMPUTED_VALUE"""),"INICIALIZADO")</f>
        <v>INICIALIZADO</v>
      </c>
      <c r="G4184" s="23">
        <f>IFERROR(__xludf.DUMMYFUNCTION("""COMPUTED_VALUE"""),45639.64978009259)</f>
        <v>45639.64978</v>
      </c>
      <c r="H4184" s="24" t="str">
        <f>IFERROR(VLOOKUP(B4184,material!A:D,3,0),"")</f>
        <v>4K RFIP</v>
      </c>
    </row>
    <row r="4185" ht="11.25" customHeight="1">
      <c r="A4185" s="21" t="str">
        <f>IFERROR(__xludf.DUMMYFUNCTION("""COMPUTED_VALUE"""),"DECODER CARDLESS 4K UHD S4KCW5 CABO IP")</f>
        <v>DECODER CARDLESS 4K UHD S4KCW5 CABO IP</v>
      </c>
      <c r="B4185" s="22">
        <f>IFERROR(__xludf.DUMMYFUNCTION("""COMPUTED_VALUE"""),4.1001583E7)</f>
        <v>41001583</v>
      </c>
      <c r="C4185" s="21" t="str">
        <f>IFERROR(__xludf.DUMMYFUNCTION("""COMPUTED_VALUE"""),"241635762531")</f>
        <v>241635762531</v>
      </c>
      <c r="D4185" s="21" t="str">
        <f>IFERROR(__xludf.DUMMYFUNCTION("""COMPUTED_VALUE"""),"DIGITEC TECNOLOGIA DIGITAL E REPRES")</f>
        <v>DIGITEC TECNOLOGIA DIGITAL E REPRES</v>
      </c>
      <c r="E4185" s="21">
        <f>IFERROR(__xludf.DUMMYFUNCTION("""COMPUTED_VALUE"""),145359.0)</f>
        <v>145359</v>
      </c>
      <c r="F4185" s="21" t="str">
        <f>IFERROR(__xludf.DUMMYFUNCTION("""COMPUTED_VALUE"""),"INICIALIZADO")</f>
        <v>INICIALIZADO</v>
      </c>
      <c r="G4185" s="23">
        <f>IFERROR(__xludf.DUMMYFUNCTION("""COMPUTED_VALUE"""),45639.64978009259)</f>
        <v>45639.64978</v>
      </c>
      <c r="H4185" s="24" t="str">
        <f>IFERROR(VLOOKUP(B4185,material!A:D,3,0),"")</f>
        <v>4K RFIP</v>
      </c>
    </row>
    <row r="4186" ht="11.25" customHeight="1">
      <c r="A4186" s="21" t="str">
        <f>IFERROR(__xludf.DUMMYFUNCTION("""COMPUTED_VALUE"""),"DECODER CARDLESS 4K UHD S4KCW5 CABO IP")</f>
        <v>DECODER CARDLESS 4K UHD S4KCW5 CABO IP</v>
      </c>
      <c r="B4186" s="22">
        <f>IFERROR(__xludf.DUMMYFUNCTION("""COMPUTED_VALUE"""),4.1001583E7)</f>
        <v>41001583</v>
      </c>
      <c r="C4186" s="21" t="str">
        <f>IFERROR(__xludf.DUMMYFUNCTION("""COMPUTED_VALUE"""),"241635797079")</f>
        <v>241635797079</v>
      </c>
      <c r="D4186" s="21" t="str">
        <f>IFERROR(__xludf.DUMMYFUNCTION("""COMPUTED_VALUE"""),"DIGITEC TECNOLOGIA DIGITAL E REPRES")</f>
        <v>DIGITEC TECNOLOGIA DIGITAL E REPRES</v>
      </c>
      <c r="E4186" s="21">
        <f>IFERROR(__xludf.DUMMYFUNCTION("""COMPUTED_VALUE"""),145359.0)</f>
        <v>145359</v>
      </c>
      <c r="F4186" s="21" t="str">
        <f>IFERROR(__xludf.DUMMYFUNCTION("""COMPUTED_VALUE"""),"INICIALIZADO")</f>
        <v>INICIALIZADO</v>
      </c>
      <c r="G4186" s="23">
        <f>IFERROR(__xludf.DUMMYFUNCTION("""COMPUTED_VALUE"""),45639.64978009259)</f>
        <v>45639.64978</v>
      </c>
      <c r="H4186" s="24" t="str">
        <f>IFERROR(VLOOKUP(B4186,material!A:D,3,0),"")</f>
        <v>4K RFIP</v>
      </c>
    </row>
    <row r="4187" ht="11.25" customHeight="1">
      <c r="A4187" s="21" t="str">
        <f>IFERROR(__xludf.DUMMYFUNCTION("""COMPUTED_VALUE"""),"DECODER CARDLESS 4K UHD S4KCW5 CABO IP")</f>
        <v>DECODER CARDLESS 4K UHD S4KCW5 CABO IP</v>
      </c>
      <c r="B4187" s="22">
        <f>IFERROR(__xludf.DUMMYFUNCTION("""COMPUTED_VALUE"""),4.1001583E7)</f>
        <v>41001583</v>
      </c>
      <c r="C4187" s="21" t="str">
        <f>IFERROR(__xludf.DUMMYFUNCTION("""COMPUTED_VALUE"""),"241635718990")</f>
        <v>241635718990</v>
      </c>
      <c r="D4187" s="21" t="str">
        <f>IFERROR(__xludf.DUMMYFUNCTION("""COMPUTED_VALUE"""),"DIGITEC TECNOLOGIA DIGITAL E REPRES")</f>
        <v>DIGITEC TECNOLOGIA DIGITAL E REPRES</v>
      </c>
      <c r="E4187" s="21">
        <f>IFERROR(__xludf.DUMMYFUNCTION("""COMPUTED_VALUE"""),145359.0)</f>
        <v>145359</v>
      </c>
      <c r="F4187" s="21" t="str">
        <f>IFERROR(__xludf.DUMMYFUNCTION("""COMPUTED_VALUE"""),"INICIALIZADO")</f>
        <v>INICIALIZADO</v>
      </c>
      <c r="G4187" s="23">
        <f>IFERROR(__xludf.DUMMYFUNCTION("""COMPUTED_VALUE"""),45639.64978009259)</f>
        <v>45639.64978</v>
      </c>
      <c r="H4187" s="24" t="str">
        <f>IFERROR(VLOOKUP(B4187,material!A:D,3,0),"")</f>
        <v>4K RFIP</v>
      </c>
    </row>
    <row r="4188" ht="11.25" customHeight="1">
      <c r="A4188" s="21" t="str">
        <f>IFERROR(__xludf.DUMMYFUNCTION("""COMPUTED_VALUE"""),"DECODER CARDLESS 4K UHD S4KCW5 CABO IP")</f>
        <v>DECODER CARDLESS 4K UHD S4KCW5 CABO IP</v>
      </c>
      <c r="B4188" s="22">
        <f>IFERROR(__xludf.DUMMYFUNCTION("""COMPUTED_VALUE"""),4.1001583E7)</f>
        <v>41001583</v>
      </c>
      <c r="C4188" s="21" t="str">
        <f>IFERROR(__xludf.DUMMYFUNCTION("""COMPUTED_VALUE"""),"241635719899")</f>
        <v>241635719899</v>
      </c>
      <c r="D4188" s="21" t="str">
        <f>IFERROR(__xludf.DUMMYFUNCTION("""COMPUTED_VALUE"""),"DIGITEC TECNOLOGIA DIGITAL E REPRES")</f>
        <v>DIGITEC TECNOLOGIA DIGITAL E REPRES</v>
      </c>
      <c r="E4188" s="21">
        <f>IFERROR(__xludf.DUMMYFUNCTION("""COMPUTED_VALUE"""),145359.0)</f>
        <v>145359</v>
      </c>
      <c r="F4188" s="21" t="str">
        <f>IFERROR(__xludf.DUMMYFUNCTION("""COMPUTED_VALUE"""),"INICIALIZADO")</f>
        <v>INICIALIZADO</v>
      </c>
      <c r="G4188" s="23">
        <f>IFERROR(__xludf.DUMMYFUNCTION("""COMPUTED_VALUE"""),45639.64978009259)</f>
        <v>45639.64978</v>
      </c>
      <c r="H4188" s="24" t="str">
        <f>IFERROR(VLOOKUP(B4188,material!A:D,3,0),"")</f>
        <v>4K RFIP</v>
      </c>
    </row>
    <row r="4189" ht="11.25" customHeight="1">
      <c r="A4189" s="21" t="str">
        <f>IFERROR(__xludf.DUMMYFUNCTION("""COMPUTED_VALUE"""),"DECODER CARDLESS 4K UHD S4KCW5 CABO IP")</f>
        <v>DECODER CARDLESS 4K UHD S4KCW5 CABO IP</v>
      </c>
      <c r="B4189" s="22">
        <f>IFERROR(__xludf.DUMMYFUNCTION("""COMPUTED_VALUE"""),4.1001583E7)</f>
        <v>41001583</v>
      </c>
      <c r="C4189" s="21" t="str">
        <f>IFERROR(__xludf.DUMMYFUNCTION("""COMPUTED_VALUE"""),"241635757681")</f>
        <v>241635757681</v>
      </c>
      <c r="D4189" s="21" t="str">
        <f>IFERROR(__xludf.DUMMYFUNCTION("""COMPUTED_VALUE"""),"DIGITEC TECNOLOGIA DIGITAL E REPRES")</f>
        <v>DIGITEC TECNOLOGIA DIGITAL E REPRES</v>
      </c>
      <c r="E4189" s="21">
        <f>IFERROR(__xludf.DUMMYFUNCTION("""COMPUTED_VALUE"""),145359.0)</f>
        <v>145359</v>
      </c>
      <c r="F4189" s="21" t="str">
        <f>IFERROR(__xludf.DUMMYFUNCTION("""COMPUTED_VALUE"""),"INICIALIZADO")</f>
        <v>INICIALIZADO</v>
      </c>
      <c r="G4189" s="23">
        <f>IFERROR(__xludf.DUMMYFUNCTION("""COMPUTED_VALUE"""),45639.64978009259)</f>
        <v>45639.64978</v>
      </c>
      <c r="H4189" s="24" t="str">
        <f>IFERROR(VLOOKUP(B4189,material!A:D,3,0),"")</f>
        <v>4K RFIP</v>
      </c>
    </row>
    <row r="4190" ht="11.25" customHeight="1">
      <c r="A4190" s="21" t="str">
        <f>IFERROR(__xludf.DUMMYFUNCTION("""COMPUTED_VALUE"""),"DECODER CARDLESS 4K UHD S4KCW5 CABO IP")</f>
        <v>DECODER CARDLESS 4K UHD S4KCW5 CABO IP</v>
      </c>
      <c r="B4190" s="22">
        <f>IFERROR(__xludf.DUMMYFUNCTION("""COMPUTED_VALUE"""),4.1001583E7)</f>
        <v>41001583</v>
      </c>
      <c r="C4190" s="21" t="str">
        <f>IFERROR(__xludf.DUMMYFUNCTION("""COMPUTED_VALUE"""),"241635804858")</f>
        <v>241635804858</v>
      </c>
      <c r="D4190" s="21" t="str">
        <f>IFERROR(__xludf.DUMMYFUNCTION("""COMPUTED_VALUE"""),"DIGITEC TECNOLOGIA DIGITAL E REPRES")</f>
        <v>DIGITEC TECNOLOGIA DIGITAL E REPRES</v>
      </c>
      <c r="E4190" s="21">
        <f>IFERROR(__xludf.DUMMYFUNCTION("""COMPUTED_VALUE"""),145359.0)</f>
        <v>145359</v>
      </c>
      <c r="F4190" s="21" t="str">
        <f>IFERROR(__xludf.DUMMYFUNCTION("""COMPUTED_VALUE"""),"INICIALIZADO")</f>
        <v>INICIALIZADO</v>
      </c>
      <c r="G4190" s="23">
        <f>IFERROR(__xludf.DUMMYFUNCTION("""COMPUTED_VALUE"""),45639.64976851852)</f>
        <v>45639.64977</v>
      </c>
      <c r="H4190" s="24" t="str">
        <f>IFERROR(VLOOKUP(B4190,material!A:D,3,0),"")</f>
        <v>4K RFIP</v>
      </c>
    </row>
    <row r="4191" ht="11.25" customHeight="1">
      <c r="A4191" s="21" t="str">
        <f>IFERROR(__xludf.DUMMYFUNCTION("""COMPUTED_VALUE"""),"DECODER CARDLESS 4K UHD S4KCW5 CABO IP")</f>
        <v>DECODER CARDLESS 4K UHD S4KCW5 CABO IP</v>
      </c>
      <c r="B4191" s="22">
        <f>IFERROR(__xludf.DUMMYFUNCTION("""COMPUTED_VALUE"""),4.1001583E7)</f>
        <v>41001583</v>
      </c>
      <c r="C4191" s="21" t="str">
        <f>IFERROR(__xludf.DUMMYFUNCTION("""COMPUTED_VALUE"""),"241635805262")</f>
        <v>241635805262</v>
      </c>
      <c r="D4191" s="21" t="str">
        <f>IFERROR(__xludf.DUMMYFUNCTION("""COMPUTED_VALUE"""),"DIGITEC TECNOLOGIA DIGITAL E REPRES")</f>
        <v>DIGITEC TECNOLOGIA DIGITAL E REPRES</v>
      </c>
      <c r="E4191" s="21">
        <f>IFERROR(__xludf.DUMMYFUNCTION("""COMPUTED_VALUE"""),145359.0)</f>
        <v>145359</v>
      </c>
      <c r="F4191" s="21" t="str">
        <f>IFERROR(__xludf.DUMMYFUNCTION("""COMPUTED_VALUE"""),"INICIALIZADO")</f>
        <v>INICIALIZADO</v>
      </c>
      <c r="G4191" s="23">
        <f>IFERROR(__xludf.DUMMYFUNCTION("""COMPUTED_VALUE"""),45639.64976851852)</f>
        <v>45639.64977</v>
      </c>
      <c r="H4191" s="24" t="str">
        <f>IFERROR(VLOOKUP(B4191,material!A:D,3,0),"")</f>
        <v>4K RFIP</v>
      </c>
    </row>
    <row r="4192" ht="11.25" customHeight="1">
      <c r="A4192" s="21" t="str">
        <f>IFERROR(__xludf.DUMMYFUNCTION("""COMPUTED_VALUE"""),"DECODER CARDLESS 4K UHD S4KCW5 CABO IP")</f>
        <v>DECODER CARDLESS 4K UHD S4KCW5 CABO IP</v>
      </c>
      <c r="B4192" s="22">
        <f>IFERROR(__xludf.DUMMYFUNCTION("""COMPUTED_VALUE"""),4.1001583E7)</f>
        <v>41001583</v>
      </c>
      <c r="C4192" s="21" t="str">
        <f>IFERROR(__xludf.DUMMYFUNCTION("""COMPUTED_VALUE"""),"241620965273")</f>
        <v>241620965273</v>
      </c>
      <c r="D4192" s="21" t="str">
        <f>IFERROR(__xludf.DUMMYFUNCTION("""COMPUTED_VALUE"""),"DIGITEC TECNOLOGIA DIGITAL E REPRES")</f>
        <v>DIGITEC TECNOLOGIA DIGITAL E REPRES</v>
      </c>
      <c r="E4192" s="21">
        <f>IFERROR(__xludf.DUMMYFUNCTION("""COMPUTED_VALUE"""),145359.0)</f>
        <v>145359</v>
      </c>
      <c r="F4192" s="21" t="str">
        <f>IFERROR(__xludf.DUMMYFUNCTION("""COMPUTED_VALUE"""),"INICIALIZADO")</f>
        <v>INICIALIZADO</v>
      </c>
      <c r="G4192" s="23">
        <f>IFERROR(__xludf.DUMMYFUNCTION("""COMPUTED_VALUE"""),45573.66680555556)</f>
        <v>45573.66681</v>
      </c>
      <c r="H4192" s="24" t="str">
        <f>IFERROR(VLOOKUP(B4192,material!A:D,3,0),"")</f>
        <v>4K RFIP</v>
      </c>
    </row>
    <row r="4193" ht="11.25" customHeight="1">
      <c r="A4193" s="21" t="str">
        <f>IFERROR(__xludf.DUMMYFUNCTION("""COMPUTED_VALUE"""),"DECODER CARDLESS 4K UHD S4KCW5 CABO IP")</f>
        <v>DECODER CARDLESS 4K UHD S4KCW5 CABO IP</v>
      </c>
      <c r="B4193" s="22">
        <f>IFERROR(__xludf.DUMMYFUNCTION("""COMPUTED_VALUE"""),4.1001583E7)</f>
        <v>41001583</v>
      </c>
      <c r="C4193" s="21" t="str">
        <f>IFERROR(__xludf.DUMMYFUNCTION("""COMPUTED_VALUE"""),"241631382126")</f>
        <v>241631382126</v>
      </c>
      <c r="D4193" s="21" t="str">
        <f>IFERROR(__xludf.DUMMYFUNCTION("""COMPUTED_VALUE"""),"DIGITEC TECNOLOGIA DIGITAL E REPRES")</f>
        <v>DIGITEC TECNOLOGIA DIGITAL E REPRES</v>
      </c>
      <c r="E4193" s="21">
        <f>IFERROR(__xludf.DUMMYFUNCTION("""COMPUTED_VALUE"""),145359.0)</f>
        <v>145359</v>
      </c>
      <c r="F4193" s="21" t="str">
        <f>IFERROR(__xludf.DUMMYFUNCTION("""COMPUTED_VALUE"""),"INICIALIZADO")</f>
        <v>INICIALIZADO</v>
      </c>
      <c r="G4193" s="23">
        <f>IFERROR(__xludf.DUMMYFUNCTION("""COMPUTED_VALUE"""),45604.74085648148)</f>
        <v>45604.74086</v>
      </c>
      <c r="H4193" s="24" t="str">
        <f>IFERROR(VLOOKUP(B4193,material!A:D,3,0),"")</f>
        <v>4K RFIP</v>
      </c>
    </row>
    <row r="4194" ht="11.25" customHeight="1">
      <c r="A4194" s="21" t="str">
        <f>IFERROR(__xludf.DUMMYFUNCTION("""COMPUTED_VALUE"""),"DECODER CARDLESS 4K UHD S4KCW5 CABO IP")</f>
        <v>DECODER CARDLESS 4K UHD S4KCW5 CABO IP</v>
      </c>
      <c r="B4194" s="22">
        <f>IFERROR(__xludf.DUMMYFUNCTION("""COMPUTED_VALUE"""),4.1001583E7)</f>
        <v>41001583</v>
      </c>
      <c r="C4194" s="21" t="str">
        <f>IFERROR(__xludf.DUMMYFUNCTION("""COMPUTED_VALUE"""),"241631377579")</f>
        <v>241631377579</v>
      </c>
      <c r="D4194" s="21" t="str">
        <f>IFERROR(__xludf.DUMMYFUNCTION("""COMPUTED_VALUE"""),"DIGITEC TECNOLOGIA DIGITAL E REPRES")</f>
        <v>DIGITEC TECNOLOGIA DIGITAL E REPRES</v>
      </c>
      <c r="E4194" s="21">
        <f>IFERROR(__xludf.DUMMYFUNCTION("""COMPUTED_VALUE"""),145359.0)</f>
        <v>145359</v>
      </c>
      <c r="F4194" s="21" t="str">
        <f>IFERROR(__xludf.DUMMYFUNCTION("""COMPUTED_VALUE"""),"INICIALIZADO")</f>
        <v>INICIALIZADO</v>
      </c>
      <c r="G4194" s="23">
        <f>IFERROR(__xludf.DUMMYFUNCTION("""COMPUTED_VALUE"""),45604.74087962963)</f>
        <v>45604.74088</v>
      </c>
      <c r="H4194" s="24" t="str">
        <f>IFERROR(VLOOKUP(B4194,material!A:D,3,0),"")</f>
        <v>4K RFIP</v>
      </c>
    </row>
    <row r="4195" ht="11.25" customHeight="1">
      <c r="A4195" s="21" t="str">
        <f>IFERROR(__xludf.DUMMYFUNCTION("""COMPUTED_VALUE"""),"DECODER CARDLESS 4K UHD S4KCW5 CABO IP")</f>
        <v>DECODER CARDLESS 4K UHD S4KCW5 CABO IP</v>
      </c>
      <c r="B4195" s="22">
        <f>IFERROR(__xludf.DUMMYFUNCTION("""COMPUTED_VALUE"""),4.1001583E7)</f>
        <v>41001583</v>
      </c>
      <c r="C4195" s="21" t="str">
        <f>IFERROR(__xludf.DUMMYFUNCTION("""COMPUTED_VALUE"""),"241631424352")</f>
        <v>241631424352</v>
      </c>
      <c r="D4195" s="21" t="str">
        <f>IFERROR(__xludf.DUMMYFUNCTION("""COMPUTED_VALUE"""),"DIGITEC TECNOLOGIA DIGITAL E REPRES")</f>
        <v>DIGITEC TECNOLOGIA DIGITAL E REPRES</v>
      </c>
      <c r="E4195" s="21">
        <f>IFERROR(__xludf.DUMMYFUNCTION("""COMPUTED_VALUE"""),145359.0)</f>
        <v>145359</v>
      </c>
      <c r="F4195" s="21" t="str">
        <f>IFERROR(__xludf.DUMMYFUNCTION("""COMPUTED_VALUE"""),"INICIALIZADO")</f>
        <v>INICIALIZADO</v>
      </c>
      <c r="G4195" s="23">
        <f>IFERROR(__xludf.DUMMYFUNCTION("""COMPUTED_VALUE"""),45608.70138888889)</f>
        <v>45608.70139</v>
      </c>
      <c r="H4195" s="24" t="str">
        <f>IFERROR(VLOOKUP(B4195,material!A:D,3,0),"")</f>
        <v>4K RFIP</v>
      </c>
    </row>
    <row r="4196" ht="11.25" customHeight="1">
      <c r="A4196" s="21" t="str">
        <f>IFERROR(__xludf.DUMMYFUNCTION("""COMPUTED_VALUE"""),"DECODER CARDLESS 4K UHD S4KCW5 CABO IP")</f>
        <v>DECODER CARDLESS 4K UHD S4KCW5 CABO IP</v>
      </c>
      <c r="B4196" s="22">
        <f>IFERROR(__xludf.DUMMYFUNCTION("""COMPUTED_VALUE"""),4.1001583E7)</f>
        <v>41001583</v>
      </c>
      <c r="C4196" s="21" t="str">
        <f>IFERROR(__xludf.DUMMYFUNCTION("""COMPUTED_VALUE"""),"241635761925")</f>
        <v>241635761925</v>
      </c>
      <c r="D4196" s="21" t="str">
        <f>IFERROR(__xludf.DUMMYFUNCTION("""COMPUTED_VALUE"""),"DIGITEC TECNOLOGIA DIGITAL E REPRES")</f>
        <v>DIGITEC TECNOLOGIA DIGITAL E REPRES</v>
      </c>
      <c r="E4196" s="21">
        <f>IFERROR(__xludf.DUMMYFUNCTION("""COMPUTED_VALUE"""),145359.0)</f>
        <v>145359</v>
      </c>
      <c r="F4196" s="21" t="str">
        <f>IFERROR(__xludf.DUMMYFUNCTION("""COMPUTED_VALUE"""),"INICIALIZADO")</f>
        <v>INICIALIZADO</v>
      </c>
      <c r="G4196" s="23">
        <f>IFERROR(__xludf.DUMMYFUNCTION("""COMPUTED_VALUE"""),45639.64978009259)</f>
        <v>45639.64978</v>
      </c>
      <c r="H4196" s="24" t="str">
        <f>IFERROR(VLOOKUP(B4196,material!A:D,3,0),"")</f>
        <v>4K RFIP</v>
      </c>
    </row>
    <row r="4197" ht="11.25" customHeight="1">
      <c r="A4197" s="21" t="str">
        <f>IFERROR(__xludf.DUMMYFUNCTION("""COMPUTED_VALUE"""),"DECODER CARDLESS 4K UHD S4KCW5 CABO IP")</f>
        <v>DECODER CARDLESS 4K UHD S4KCW5 CABO IP</v>
      </c>
      <c r="B4197" s="22">
        <f>IFERROR(__xludf.DUMMYFUNCTION("""COMPUTED_VALUE"""),4.1001583E7)</f>
        <v>41001583</v>
      </c>
      <c r="C4197" s="21" t="str">
        <f>IFERROR(__xludf.DUMMYFUNCTION("""COMPUTED_VALUE"""),"241635763238")</f>
        <v>241635763238</v>
      </c>
      <c r="D4197" s="21" t="str">
        <f>IFERROR(__xludf.DUMMYFUNCTION("""COMPUTED_VALUE"""),"DIGITEC TECNOLOGIA DIGITAL E REPRES")</f>
        <v>DIGITEC TECNOLOGIA DIGITAL E REPRES</v>
      </c>
      <c r="E4197" s="21">
        <f>IFERROR(__xludf.DUMMYFUNCTION("""COMPUTED_VALUE"""),145359.0)</f>
        <v>145359</v>
      </c>
      <c r="F4197" s="21" t="str">
        <f>IFERROR(__xludf.DUMMYFUNCTION("""COMPUTED_VALUE"""),"INICIALIZADO")</f>
        <v>INICIALIZADO</v>
      </c>
      <c r="G4197" s="23">
        <f>IFERROR(__xludf.DUMMYFUNCTION("""COMPUTED_VALUE"""),45639.64978009259)</f>
        <v>45639.64978</v>
      </c>
      <c r="H4197" s="24" t="str">
        <f>IFERROR(VLOOKUP(B4197,material!A:D,3,0),"")</f>
        <v>4K RFIP</v>
      </c>
    </row>
    <row r="4198" ht="11.25" customHeight="1">
      <c r="A4198" s="21" t="str">
        <f>IFERROR(__xludf.DUMMYFUNCTION("""COMPUTED_VALUE"""),"DECODER CARDLESS 4K UHD S4KCW5 CABO IP")</f>
        <v>DECODER CARDLESS 4K UHD S4KCW5 CABO IP</v>
      </c>
      <c r="B4198" s="22">
        <f>IFERROR(__xludf.DUMMYFUNCTION("""COMPUTED_VALUE"""),4.1001583E7)</f>
        <v>41001583</v>
      </c>
      <c r="C4198" s="21" t="str">
        <f>IFERROR(__xludf.DUMMYFUNCTION("""COMPUTED_VALUE"""),"241635778794")</f>
        <v>241635778794</v>
      </c>
      <c r="D4198" s="21" t="str">
        <f>IFERROR(__xludf.DUMMYFUNCTION("""COMPUTED_VALUE"""),"DIGITEC TECNOLOGIA DIGITAL E REPRES")</f>
        <v>DIGITEC TECNOLOGIA DIGITAL E REPRES</v>
      </c>
      <c r="E4198" s="21">
        <f>IFERROR(__xludf.DUMMYFUNCTION("""COMPUTED_VALUE"""),145359.0)</f>
        <v>145359</v>
      </c>
      <c r="F4198" s="21" t="str">
        <f>IFERROR(__xludf.DUMMYFUNCTION("""COMPUTED_VALUE"""),"INICIALIZADO")</f>
        <v>INICIALIZADO</v>
      </c>
      <c r="G4198" s="23">
        <f>IFERROR(__xludf.DUMMYFUNCTION("""COMPUTED_VALUE"""),45639.64978009259)</f>
        <v>45639.64978</v>
      </c>
      <c r="H4198" s="24" t="str">
        <f>IFERROR(VLOOKUP(B4198,material!A:D,3,0),"")</f>
        <v>4K RFIP</v>
      </c>
    </row>
    <row r="4199" ht="11.25" customHeight="1">
      <c r="A4199" s="21" t="str">
        <f>IFERROR(__xludf.DUMMYFUNCTION("""COMPUTED_VALUE"""),"DECODER CARDLESS 4K UHD S4KCW5 CABO IP")</f>
        <v>DECODER CARDLESS 4K UHD S4KCW5 CABO IP</v>
      </c>
      <c r="B4199" s="22">
        <f>IFERROR(__xludf.DUMMYFUNCTION("""COMPUTED_VALUE"""),4.1001583E7)</f>
        <v>41001583</v>
      </c>
      <c r="C4199" s="21" t="str">
        <f>IFERROR(__xludf.DUMMYFUNCTION("""COMPUTED_VALUE"""),"241635794655")</f>
        <v>241635794655</v>
      </c>
      <c r="D4199" s="21" t="str">
        <f>IFERROR(__xludf.DUMMYFUNCTION("""COMPUTED_VALUE"""),"DIGITEC TECNOLOGIA DIGITAL E REPRES")</f>
        <v>DIGITEC TECNOLOGIA DIGITAL E REPRES</v>
      </c>
      <c r="E4199" s="21">
        <f>IFERROR(__xludf.DUMMYFUNCTION("""COMPUTED_VALUE"""),145359.0)</f>
        <v>145359</v>
      </c>
      <c r="F4199" s="21" t="str">
        <f>IFERROR(__xludf.DUMMYFUNCTION("""COMPUTED_VALUE"""),"INICIALIZADO")</f>
        <v>INICIALIZADO</v>
      </c>
      <c r="G4199" s="23">
        <f>IFERROR(__xludf.DUMMYFUNCTION("""COMPUTED_VALUE"""),45639.64978009259)</f>
        <v>45639.64978</v>
      </c>
      <c r="H4199" s="24" t="str">
        <f>IFERROR(VLOOKUP(B4199,material!A:D,3,0),"")</f>
        <v>4K RFIP</v>
      </c>
    </row>
    <row r="4200" ht="11.25" customHeight="1">
      <c r="A4200" s="21" t="str">
        <f>IFERROR(__xludf.DUMMYFUNCTION("""COMPUTED_VALUE"""),"DECODER CARDLESS 4K UHD S4KCW5 CABO IP")</f>
        <v>DECODER CARDLESS 4K UHD S4KCW5 CABO IP</v>
      </c>
      <c r="B4200" s="22">
        <f>IFERROR(__xludf.DUMMYFUNCTION("""COMPUTED_VALUE"""),4.1001583E7)</f>
        <v>41001583</v>
      </c>
      <c r="C4200" s="21" t="str">
        <f>IFERROR(__xludf.DUMMYFUNCTION("""COMPUTED_VALUE"""),"241635798089")</f>
        <v>241635798089</v>
      </c>
      <c r="D4200" s="21" t="str">
        <f>IFERROR(__xludf.DUMMYFUNCTION("""COMPUTED_VALUE"""),"DIGITEC TECNOLOGIA DIGITAL E REPRES")</f>
        <v>DIGITEC TECNOLOGIA DIGITAL E REPRES</v>
      </c>
      <c r="E4200" s="21">
        <f>IFERROR(__xludf.DUMMYFUNCTION("""COMPUTED_VALUE"""),145359.0)</f>
        <v>145359</v>
      </c>
      <c r="F4200" s="21" t="str">
        <f>IFERROR(__xludf.DUMMYFUNCTION("""COMPUTED_VALUE"""),"INICIALIZADO")</f>
        <v>INICIALIZADO</v>
      </c>
      <c r="G4200" s="23">
        <f>IFERROR(__xludf.DUMMYFUNCTION("""COMPUTED_VALUE"""),45639.64978009259)</f>
        <v>45639.64978</v>
      </c>
      <c r="H4200" s="24" t="str">
        <f>IFERROR(VLOOKUP(B4200,material!A:D,3,0),"")</f>
        <v>4K RFIP</v>
      </c>
    </row>
    <row r="4201" ht="11.25" customHeight="1">
      <c r="A4201" s="21" t="str">
        <f>IFERROR(__xludf.DUMMYFUNCTION("""COMPUTED_VALUE"""),"DECODER CARDLESS 4K UHD S4KCW5 CABO IP")</f>
        <v>DECODER CARDLESS 4K UHD S4KCW5 CABO IP</v>
      </c>
      <c r="B4201" s="22">
        <f>IFERROR(__xludf.DUMMYFUNCTION("""COMPUTED_VALUE"""),4.1001583E7)</f>
        <v>41001583</v>
      </c>
      <c r="C4201" s="21" t="str">
        <f>IFERROR(__xludf.DUMMYFUNCTION("""COMPUTED_VALUE"""),"241635717273")</f>
        <v>241635717273</v>
      </c>
      <c r="D4201" s="21" t="str">
        <f>IFERROR(__xludf.DUMMYFUNCTION("""COMPUTED_VALUE"""),"DIGITEC TECNOLOGIA DIGITAL E REPRES")</f>
        <v>DIGITEC TECNOLOGIA DIGITAL E REPRES</v>
      </c>
      <c r="E4201" s="21">
        <f>IFERROR(__xludf.DUMMYFUNCTION("""COMPUTED_VALUE"""),145359.0)</f>
        <v>145359</v>
      </c>
      <c r="F4201" s="21" t="str">
        <f>IFERROR(__xludf.DUMMYFUNCTION("""COMPUTED_VALUE"""),"INICIALIZADO")</f>
        <v>INICIALIZADO</v>
      </c>
      <c r="G4201" s="23">
        <f>IFERROR(__xludf.DUMMYFUNCTION("""COMPUTED_VALUE"""),45639.64978009259)</f>
        <v>45639.64978</v>
      </c>
      <c r="H4201" s="24" t="str">
        <f>IFERROR(VLOOKUP(B4201,material!A:D,3,0),"")</f>
        <v>4K RFIP</v>
      </c>
    </row>
    <row r="4202" ht="11.25" customHeight="1">
      <c r="A4202" s="21" t="str">
        <f>IFERROR(__xludf.DUMMYFUNCTION("""COMPUTED_VALUE"""),"DECODER CARDLESS 4K UHD S4KCW5 CABO IP")</f>
        <v>DECODER CARDLESS 4K UHD S4KCW5 CABO IP</v>
      </c>
      <c r="B4202" s="22">
        <f>IFERROR(__xludf.DUMMYFUNCTION("""COMPUTED_VALUE"""),4.1001583E7)</f>
        <v>41001583</v>
      </c>
      <c r="C4202" s="21" t="str">
        <f>IFERROR(__xludf.DUMMYFUNCTION("""COMPUTED_VALUE"""),"241635719293")</f>
        <v>241635719293</v>
      </c>
      <c r="D4202" s="21" t="str">
        <f>IFERROR(__xludf.DUMMYFUNCTION("""COMPUTED_VALUE"""),"DIGITEC TECNOLOGIA DIGITAL E REPRES")</f>
        <v>DIGITEC TECNOLOGIA DIGITAL E REPRES</v>
      </c>
      <c r="E4202" s="21">
        <f>IFERROR(__xludf.DUMMYFUNCTION("""COMPUTED_VALUE"""),145359.0)</f>
        <v>145359</v>
      </c>
      <c r="F4202" s="21" t="str">
        <f>IFERROR(__xludf.DUMMYFUNCTION("""COMPUTED_VALUE"""),"INICIALIZADO")</f>
        <v>INICIALIZADO</v>
      </c>
      <c r="G4202" s="23">
        <f>IFERROR(__xludf.DUMMYFUNCTION("""COMPUTED_VALUE"""),45639.64978009259)</f>
        <v>45639.64978</v>
      </c>
      <c r="H4202" s="24" t="str">
        <f>IFERROR(VLOOKUP(B4202,material!A:D,3,0),"")</f>
        <v>4K RFIP</v>
      </c>
    </row>
    <row r="4203" ht="11.25" customHeight="1">
      <c r="A4203" s="21" t="str">
        <f>IFERROR(__xludf.DUMMYFUNCTION("""COMPUTED_VALUE"""),"DECODER CARDLESS 4K UHD S4KCW5 CABO IP")</f>
        <v>DECODER CARDLESS 4K UHD S4KCW5 CABO IP</v>
      </c>
      <c r="B4203" s="22">
        <f>IFERROR(__xludf.DUMMYFUNCTION("""COMPUTED_VALUE"""),4.1001583E7)</f>
        <v>41001583</v>
      </c>
      <c r="C4203" s="21" t="str">
        <f>IFERROR(__xludf.DUMMYFUNCTION("""COMPUTED_VALUE"""),"241635740307")</f>
        <v>241635740307</v>
      </c>
      <c r="D4203" s="21" t="str">
        <f>IFERROR(__xludf.DUMMYFUNCTION("""COMPUTED_VALUE"""),"DIGITEC TECNOLOGIA DIGITAL E REPRES")</f>
        <v>DIGITEC TECNOLOGIA DIGITAL E REPRES</v>
      </c>
      <c r="E4203" s="21">
        <f>IFERROR(__xludf.DUMMYFUNCTION("""COMPUTED_VALUE"""),145359.0)</f>
        <v>145359</v>
      </c>
      <c r="F4203" s="21" t="str">
        <f>IFERROR(__xludf.DUMMYFUNCTION("""COMPUTED_VALUE"""),"INICIALIZADO")</f>
        <v>INICIALIZADO</v>
      </c>
      <c r="G4203" s="23">
        <f>IFERROR(__xludf.DUMMYFUNCTION("""COMPUTED_VALUE"""),45639.64978009259)</f>
        <v>45639.64978</v>
      </c>
      <c r="H4203" s="24" t="str">
        <f>IFERROR(VLOOKUP(B4203,material!A:D,3,0),"")</f>
        <v>4K RFIP</v>
      </c>
    </row>
    <row r="4204" ht="11.25" customHeight="1">
      <c r="A4204" s="21" t="str">
        <f>IFERROR(__xludf.DUMMYFUNCTION("""COMPUTED_VALUE"""),"DECODER CARDLESS 4K UHD S4KCW5 CABO IP")</f>
        <v>DECODER CARDLESS 4K UHD S4KCW5 CABO IP</v>
      </c>
      <c r="B4204" s="22">
        <f>IFERROR(__xludf.DUMMYFUNCTION("""COMPUTED_VALUE"""),4.1001583E7)</f>
        <v>41001583</v>
      </c>
      <c r="C4204" s="21" t="str">
        <f>IFERROR(__xludf.DUMMYFUNCTION("""COMPUTED_VALUE"""),"241635759904")</f>
        <v>241635759904</v>
      </c>
      <c r="D4204" s="21" t="str">
        <f>IFERROR(__xludf.DUMMYFUNCTION("""COMPUTED_VALUE"""),"DIGITEC TECNOLOGIA DIGITAL E REPRES")</f>
        <v>DIGITEC TECNOLOGIA DIGITAL E REPRES</v>
      </c>
      <c r="E4204" s="21">
        <f>IFERROR(__xludf.DUMMYFUNCTION("""COMPUTED_VALUE"""),145359.0)</f>
        <v>145359</v>
      </c>
      <c r="F4204" s="21" t="str">
        <f>IFERROR(__xludf.DUMMYFUNCTION("""COMPUTED_VALUE"""),"INICIALIZADO")</f>
        <v>INICIALIZADO</v>
      </c>
      <c r="G4204" s="23">
        <f>IFERROR(__xludf.DUMMYFUNCTION("""COMPUTED_VALUE"""),45639.64978009259)</f>
        <v>45639.64978</v>
      </c>
      <c r="H4204" s="24" t="str">
        <f>IFERROR(VLOOKUP(B4204,material!A:D,3,0),"")</f>
        <v>4K RFIP</v>
      </c>
    </row>
    <row r="4205" ht="11.25" customHeight="1">
      <c r="A4205" s="21" t="str">
        <f>IFERROR(__xludf.DUMMYFUNCTION("""COMPUTED_VALUE"""),"DECODER CARDLESS 4K UHD S4KCW5 CABO IP")</f>
        <v>DECODER CARDLESS 4K UHD S4KCW5 CABO IP</v>
      </c>
      <c r="B4205" s="22">
        <f>IFERROR(__xludf.DUMMYFUNCTION("""COMPUTED_VALUE"""),4.1001583E7)</f>
        <v>41001583</v>
      </c>
      <c r="C4205" s="21" t="str">
        <f>IFERROR(__xludf.DUMMYFUNCTION("""COMPUTED_VALUE"""),"241635806575")</f>
        <v>241635806575</v>
      </c>
      <c r="D4205" s="21" t="str">
        <f>IFERROR(__xludf.DUMMYFUNCTION("""COMPUTED_VALUE"""),"DIGITEC TECNOLOGIA DIGITAL E REPRES")</f>
        <v>DIGITEC TECNOLOGIA DIGITAL E REPRES</v>
      </c>
      <c r="E4205" s="21">
        <f>IFERROR(__xludf.DUMMYFUNCTION("""COMPUTED_VALUE"""),145359.0)</f>
        <v>145359</v>
      </c>
      <c r="F4205" s="21" t="str">
        <f>IFERROR(__xludf.DUMMYFUNCTION("""COMPUTED_VALUE"""),"INICIALIZADO")</f>
        <v>INICIALIZADO</v>
      </c>
      <c r="G4205" s="23">
        <f>IFERROR(__xludf.DUMMYFUNCTION("""COMPUTED_VALUE"""),45639.64976851852)</f>
        <v>45639.64977</v>
      </c>
      <c r="H4205" s="24" t="str">
        <f>IFERROR(VLOOKUP(B4205,material!A:D,3,0),"")</f>
        <v>4K RFIP</v>
      </c>
    </row>
    <row r="4206" ht="11.25" customHeight="1">
      <c r="A4206" s="21" t="str">
        <f>IFERROR(__xludf.DUMMYFUNCTION("""COMPUTED_VALUE"""),"DECODER CARDLESS 4K UHD S4KCW5 CABO IP")</f>
        <v>DECODER CARDLESS 4K UHD S4KCW5 CABO IP</v>
      </c>
      <c r="B4206" s="22">
        <f>IFERROR(__xludf.DUMMYFUNCTION("""COMPUTED_VALUE"""),4.1001583E7)</f>
        <v>41001583</v>
      </c>
      <c r="C4206" s="21" t="str">
        <f>IFERROR(__xludf.DUMMYFUNCTION("""COMPUTED_VALUE"""),"241635804050")</f>
        <v>241635804050</v>
      </c>
      <c r="D4206" s="21" t="str">
        <f>IFERROR(__xludf.DUMMYFUNCTION("""COMPUTED_VALUE"""),"DIGITEC TECNOLOGIA DIGITAL E REPRES")</f>
        <v>DIGITEC TECNOLOGIA DIGITAL E REPRES</v>
      </c>
      <c r="E4206" s="21">
        <f>IFERROR(__xludf.DUMMYFUNCTION("""COMPUTED_VALUE"""),145359.0)</f>
        <v>145359</v>
      </c>
      <c r="F4206" s="21" t="str">
        <f>IFERROR(__xludf.DUMMYFUNCTION("""COMPUTED_VALUE"""),"INICIALIZADO")</f>
        <v>INICIALIZADO</v>
      </c>
      <c r="G4206" s="23">
        <f>IFERROR(__xludf.DUMMYFUNCTION("""COMPUTED_VALUE"""),45639.64976851852)</f>
        <v>45639.64977</v>
      </c>
      <c r="H4206" s="24" t="str">
        <f>IFERROR(VLOOKUP(B4206,material!A:D,3,0),"")</f>
        <v>4K RFIP</v>
      </c>
    </row>
    <row r="4207" ht="11.25" customHeight="1">
      <c r="A4207" s="21" t="str">
        <f>IFERROR(__xludf.DUMMYFUNCTION("""COMPUTED_VALUE"""),"DECODER CARDLESS 4K UHD S4KCW5 CABO IP")</f>
        <v>DECODER CARDLESS 4K UHD S4KCW5 CABO IP</v>
      </c>
      <c r="B4207" s="22">
        <f>IFERROR(__xludf.DUMMYFUNCTION("""COMPUTED_VALUE"""),4.1001583E7)</f>
        <v>41001583</v>
      </c>
      <c r="C4207" s="21" t="str">
        <f>IFERROR(__xludf.DUMMYFUNCTION("""COMPUTED_VALUE"""),"241635799908")</f>
        <v>241635799908</v>
      </c>
      <c r="D4207" s="21" t="str">
        <f>IFERROR(__xludf.DUMMYFUNCTION("""COMPUTED_VALUE"""),"DIGITEC TECNOLOGIA DIGITAL E REPRES")</f>
        <v>DIGITEC TECNOLOGIA DIGITAL E REPRES</v>
      </c>
      <c r="E4207" s="21">
        <f>IFERROR(__xludf.DUMMYFUNCTION("""COMPUTED_VALUE"""),145359.0)</f>
        <v>145359</v>
      </c>
      <c r="F4207" s="21" t="str">
        <f>IFERROR(__xludf.DUMMYFUNCTION("""COMPUTED_VALUE"""),"INICIALIZADO")</f>
        <v>INICIALIZADO</v>
      </c>
      <c r="G4207" s="23">
        <f>IFERROR(__xludf.DUMMYFUNCTION("""COMPUTED_VALUE"""),45639.64978009259)</f>
        <v>45639.64978</v>
      </c>
      <c r="H4207" s="24" t="str">
        <f>IFERROR(VLOOKUP(B4207,material!A:D,3,0),"")</f>
        <v>4K RFIP</v>
      </c>
    </row>
    <row r="4208" ht="11.25" customHeight="1">
      <c r="A4208" s="21" t="str">
        <f>IFERROR(__xludf.DUMMYFUNCTION("""COMPUTED_VALUE"""),"DECODER CARDLESS 4K UHD S4KCW5 CABO IP")</f>
        <v>DECODER CARDLESS 4K UHD S4KCW5 CABO IP</v>
      </c>
      <c r="B4208" s="22">
        <f>IFERROR(__xludf.DUMMYFUNCTION("""COMPUTED_VALUE"""),4.1001583E7)</f>
        <v>41001583</v>
      </c>
      <c r="C4208" s="21" t="str">
        <f>IFERROR(__xludf.DUMMYFUNCTION("""COMPUTED_VALUE"""),"241635801222")</f>
        <v>241635801222</v>
      </c>
      <c r="D4208" s="21" t="str">
        <f>IFERROR(__xludf.DUMMYFUNCTION("""COMPUTED_VALUE"""),"DIGITEC TECNOLOGIA DIGITAL E REPRES")</f>
        <v>DIGITEC TECNOLOGIA DIGITAL E REPRES</v>
      </c>
      <c r="E4208" s="21">
        <f>IFERROR(__xludf.DUMMYFUNCTION("""COMPUTED_VALUE"""),145359.0)</f>
        <v>145359</v>
      </c>
      <c r="F4208" s="21" t="str">
        <f>IFERROR(__xludf.DUMMYFUNCTION("""COMPUTED_VALUE"""),"INICIALIZADO")</f>
        <v>INICIALIZADO</v>
      </c>
      <c r="G4208" s="23">
        <f>IFERROR(__xludf.DUMMYFUNCTION("""COMPUTED_VALUE"""),45639.64978009259)</f>
        <v>45639.64978</v>
      </c>
      <c r="H4208" s="24" t="str">
        <f>IFERROR(VLOOKUP(B4208,material!A:D,3,0),"")</f>
        <v>4K RFIP</v>
      </c>
    </row>
    <row r="4209" ht="11.25" customHeight="1">
      <c r="A4209" s="21" t="str">
        <f>IFERROR(__xludf.DUMMYFUNCTION("""COMPUTED_VALUE"""),"DECODER CARDLESS 4K UHD S4KCW5 CABO IP")</f>
        <v>DECODER CARDLESS 4K UHD S4KCW5 CABO IP</v>
      </c>
      <c r="B4209" s="22">
        <f>IFERROR(__xludf.DUMMYFUNCTION("""COMPUTED_VALUE"""),4.1001583E7)</f>
        <v>41001583</v>
      </c>
      <c r="C4209" s="21" t="str">
        <f>IFERROR(__xludf.DUMMYFUNCTION("""COMPUTED_VALUE"""),"241635803545")</f>
        <v>241635803545</v>
      </c>
      <c r="D4209" s="21" t="str">
        <f>IFERROR(__xludf.DUMMYFUNCTION("""COMPUTED_VALUE"""),"DIGITEC TECNOLOGIA DIGITAL E REPRES")</f>
        <v>DIGITEC TECNOLOGIA DIGITAL E REPRES</v>
      </c>
      <c r="E4209" s="21">
        <f>IFERROR(__xludf.DUMMYFUNCTION("""COMPUTED_VALUE"""),145359.0)</f>
        <v>145359</v>
      </c>
      <c r="F4209" s="21" t="str">
        <f>IFERROR(__xludf.DUMMYFUNCTION("""COMPUTED_VALUE"""),"INICIALIZADO")</f>
        <v>INICIALIZADO</v>
      </c>
      <c r="G4209" s="23">
        <f>IFERROR(__xludf.DUMMYFUNCTION("""COMPUTED_VALUE"""),45639.64976851852)</f>
        <v>45639.64977</v>
      </c>
      <c r="H4209" s="24" t="str">
        <f>IFERROR(VLOOKUP(B4209,material!A:D,3,0),"")</f>
        <v>4K RFIP</v>
      </c>
    </row>
    <row r="4210" ht="11.25" customHeight="1">
      <c r="A4210" s="21" t="str">
        <f>IFERROR(__xludf.DUMMYFUNCTION("""COMPUTED_VALUE"""),"DECODER CARDLESS 4K UHD S4KCW5 CABO IP")</f>
        <v>DECODER CARDLESS 4K UHD S4KCW5 CABO IP</v>
      </c>
      <c r="B4210" s="22">
        <f>IFERROR(__xludf.DUMMYFUNCTION("""COMPUTED_VALUE"""),4.1001583E7)</f>
        <v>41001583</v>
      </c>
      <c r="C4210" s="21" t="str">
        <f>IFERROR(__xludf.DUMMYFUNCTION("""COMPUTED_VALUE"""),"241634967997")</f>
        <v>241634967997</v>
      </c>
      <c r="D4210" s="21" t="str">
        <f>IFERROR(__xludf.DUMMYFUNCTION("""COMPUTED_VALUE"""),"DIGITEC TECNOLOGIA DIGITAL E REPRES")</f>
        <v>DIGITEC TECNOLOGIA DIGITAL E REPRES</v>
      </c>
      <c r="E4210" s="21">
        <f>IFERROR(__xludf.DUMMYFUNCTION("""COMPUTED_VALUE"""),145359.0)</f>
        <v>145359</v>
      </c>
      <c r="F4210" s="21" t="str">
        <f>IFERROR(__xludf.DUMMYFUNCTION("""COMPUTED_VALUE"""),"INICIALIZADO")</f>
        <v>INICIALIZADO</v>
      </c>
      <c r="G4210" s="23">
        <f>IFERROR(__xludf.DUMMYFUNCTION("""COMPUTED_VALUE"""),45631.67313657407)</f>
        <v>45631.67314</v>
      </c>
      <c r="H4210" s="24" t="str">
        <f>IFERROR(VLOOKUP(B4210,material!A:D,3,0),"")</f>
        <v>4K RFIP</v>
      </c>
    </row>
    <row r="4211" ht="11.25" customHeight="1">
      <c r="A4211" s="21" t="str">
        <f>IFERROR(__xludf.DUMMYFUNCTION("""COMPUTED_VALUE"""),"DECODER CARDLESS 4K UHD S4KCW5 CABO IP")</f>
        <v>DECODER CARDLESS 4K UHD S4KCW5 CABO IP</v>
      </c>
      <c r="B4211" s="22">
        <f>IFERROR(__xludf.DUMMYFUNCTION("""COMPUTED_VALUE"""),4.1001583E7)</f>
        <v>41001583</v>
      </c>
      <c r="C4211" s="21" t="str">
        <f>IFERROR(__xludf.DUMMYFUNCTION("""COMPUTED_VALUE"""),"241618347789")</f>
        <v>241618347789</v>
      </c>
      <c r="D4211" s="21" t="str">
        <f>IFERROR(__xludf.DUMMYFUNCTION("""COMPUTED_VALUE"""),"DIGITEC TECNOLOGIA DIGITAL E REPRES")</f>
        <v>DIGITEC TECNOLOGIA DIGITAL E REPRES</v>
      </c>
      <c r="E4211" s="21">
        <f>IFERROR(__xludf.DUMMYFUNCTION("""COMPUTED_VALUE"""),145359.0)</f>
        <v>145359</v>
      </c>
      <c r="F4211" s="21" t="str">
        <f>IFERROR(__xludf.DUMMYFUNCTION("""COMPUTED_VALUE"""),"INICIALIZADO")</f>
        <v>INICIALIZADO</v>
      </c>
      <c r="G4211" s="23">
        <f>IFERROR(__xludf.DUMMYFUNCTION("""COMPUTED_VALUE"""),45523.44934027777)</f>
        <v>45523.44934</v>
      </c>
      <c r="H4211" s="24" t="str">
        <f>IFERROR(VLOOKUP(B4211,material!A:D,3,0),"")</f>
        <v>4K RFIP</v>
      </c>
    </row>
    <row r="4212" ht="11.25" customHeight="1">
      <c r="A4212" s="21" t="str">
        <f>IFERROR(__xludf.DUMMYFUNCTION("""COMPUTED_VALUE"""),"DECODER CARDLESS 4K UHD S4KCW5 CABO IP")</f>
        <v>DECODER CARDLESS 4K UHD S4KCW5 CABO IP</v>
      </c>
      <c r="B4212" s="22">
        <f>IFERROR(__xludf.DUMMYFUNCTION("""COMPUTED_VALUE"""),4.1001583E7)</f>
        <v>41001583</v>
      </c>
      <c r="C4212" s="21" t="str">
        <f>IFERROR(__xludf.DUMMYFUNCTION("""COMPUTED_VALUE"""),"241635762026")</f>
        <v>241635762026</v>
      </c>
      <c r="D4212" s="21" t="str">
        <f>IFERROR(__xludf.DUMMYFUNCTION("""COMPUTED_VALUE"""),"DIGITEC TECNOLOGIA DIGITAL E REPRES")</f>
        <v>DIGITEC TECNOLOGIA DIGITAL E REPRES</v>
      </c>
      <c r="E4212" s="21">
        <f>IFERROR(__xludf.DUMMYFUNCTION("""COMPUTED_VALUE"""),145359.0)</f>
        <v>145359</v>
      </c>
      <c r="F4212" s="21" t="str">
        <f>IFERROR(__xludf.DUMMYFUNCTION("""COMPUTED_VALUE"""),"INICIALIZADO")</f>
        <v>INICIALIZADO</v>
      </c>
      <c r="G4212" s="23">
        <f>IFERROR(__xludf.DUMMYFUNCTION("""COMPUTED_VALUE"""),45639.64978009259)</f>
        <v>45639.64978</v>
      </c>
      <c r="H4212" s="24" t="str">
        <f>IFERROR(VLOOKUP(B4212,material!A:D,3,0),"")</f>
        <v>4K RFIP</v>
      </c>
    </row>
    <row r="4213" ht="11.25" customHeight="1">
      <c r="A4213" s="21" t="str">
        <f>IFERROR(__xludf.DUMMYFUNCTION("""COMPUTED_VALUE"""),"DECODER CARDLESS 4K UHD S4KCW5 CABO IP")</f>
        <v>DECODER CARDLESS 4K UHD S4KCW5 CABO IP</v>
      </c>
      <c r="B4213" s="22">
        <f>IFERROR(__xludf.DUMMYFUNCTION("""COMPUTED_VALUE"""),4.1001583E7)</f>
        <v>41001583</v>
      </c>
      <c r="C4213" s="21" t="str">
        <f>IFERROR(__xludf.DUMMYFUNCTION("""COMPUTED_VALUE"""),"241635763440")</f>
        <v>241635763440</v>
      </c>
      <c r="D4213" s="21" t="str">
        <f>IFERROR(__xludf.DUMMYFUNCTION("""COMPUTED_VALUE"""),"DIGITEC TECNOLOGIA DIGITAL E REPRES")</f>
        <v>DIGITEC TECNOLOGIA DIGITAL E REPRES</v>
      </c>
      <c r="E4213" s="21">
        <f>IFERROR(__xludf.DUMMYFUNCTION("""COMPUTED_VALUE"""),145359.0)</f>
        <v>145359</v>
      </c>
      <c r="F4213" s="21" t="str">
        <f>IFERROR(__xludf.DUMMYFUNCTION("""COMPUTED_VALUE"""),"INICIALIZADO")</f>
        <v>INICIALIZADO</v>
      </c>
      <c r="G4213" s="23">
        <f>IFERROR(__xludf.DUMMYFUNCTION("""COMPUTED_VALUE"""),45639.64978009259)</f>
        <v>45639.64978</v>
      </c>
      <c r="H4213" s="24" t="str">
        <f>IFERROR(VLOOKUP(B4213,material!A:D,3,0),"")</f>
        <v>4K RFIP</v>
      </c>
    </row>
    <row r="4214" ht="11.25" customHeight="1">
      <c r="A4214" s="21" t="str">
        <f>IFERROR(__xludf.DUMMYFUNCTION("""COMPUTED_VALUE"""),"DECODER CARDLESS 4K UHD S4KCW5 CABO IP")</f>
        <v>DECODER CARDLESS 4K UHD S4KCW5 CABO IP</v>
      </c>
      <c r="B4214" s="22">
        <f>IFERROR(__xludf.DUMMYFUNCTION("""COMPUTED_VALUE"""),4.1001583E7)</f>
        <v>41001583</v>
      </c>
      <c r="C4214" s="21" t="str">
        <f>IFERROR(__xludf.DUMMYFUNCTION("""COMPUTED_VALUE"""),"241635773946")</f>
        <v>241635773946</v>
      </c>
      <c r="D4214" s="21" t="str">
        <f>IFERROR(__xludf.DUMMYFUNCTION("""COMPUTED_VALUE"""),"DIGITEC TECNOLOGIA DIGITAL E REPRES")</f>
        <v>DIGITEC TECNOLOGIA DIGITAL E REPRES</v>
      </c>
      <c r="E4214" s="21">
        <f>IFERROR(__xludf.DUMMYFUNCTION("""COMPUTED_VALUE"""),145359.0)</f>
        <v>145359</v>
      </c>
      <c r="F4214" s="21" t="str">
        <f>IFERROR(__xludf.DUMMYFUNCTION("""COMPUTED_VALUE"""),"INICIALIZADO")</f>
        <v>INICIALIZADO</v>
      </c>
      <c r="G4214" s="23">
        <f>IFERROR(__xludf.DUMMYFUNCTION("""COMPUTED_VALUE"""),45639.64978009259)</f>
        <v>45639.64978</v>
      </c>
      <c r="H4214" s="24" t="str">
        <f>IFERROR(VLOOKUP(B4214,material!A:D,3,0),"")</f>
        <v>4K RFIP</v>
      </c>
    </row>
    <row r="4215" ht="11.25" customHeight="1">
      <c r="A4215" s="21" t="str">
        <f>IFERROR(__xludf.DUMMYFUNCTION("""COMPUTED_VALUE"""),"DECODER CARDLESS 4K UHD S4KCW5 CABO IP")</f>
        <v>DECODER CARDLESS 4K UHD S4KCW5 CABO IP</v>
      </c>
      <c r="B4215" s="22">
        <f>IFERROR(__xludf.DUMMYFUNCTION("""COMPUTED_VALUE"""),4.1001583E7)</f>
        <v>41001583</v>
      </c>
      <c r="C4215" s="21" t="str">
        <f>IFERROR(__xludf.DUMMYFUNCTION("""COMPUTED_VALUE"""),"241635797887")</f>
        <v>241635797887</v>
      </c>
      <c r="D4215" s="21" t="str">
        <f>IFERROR(__xludf.DUMMYFUNCTION("""COMPUTED_VALUE"""),"DIGITEC TECNOLOGIA DIGITAL E REPRES")</f>
        <v>DIGITEC TECNOLOGIA DIGITAL E REPRES</v>
      </c>
      <c r="E4215" s="21">
        <f>IFERROR(__xludf.DUMMYFUNCTION("""COMPUTED_VALUE"""),145359.0)</f>
        <v>145359</v>
      </c>
      <c r="F4215" s="21" t="str">
        <f>IFERROR(__xludf.DUMMYFUNCTION("""COMPUTED_VALUE"""),"INICIALIZADO")</f>
        <v>INICIALIZADO</v>
      </c>
      <c r="G4215" s="23">
        <f>IFERROR(__xludf.DUMMYFUNCTION("""COMPUTED_VALUE"""),45639.64978009259)</f>
        <v>45639.64978</v>
      </c>
      <c r="H4215" s="24" t="str">
        <f>IFERROR(VLOOKUP(B4215,material!A:D,3,0),"")</f>
        <v>4K RFIP</v>
      </c>
    </row>
    <row r="4216" ht="11.25" customHeight="1">
      <c r="A4216" s="21" t="str">
        <f>IFERROR(__xludf.DUMMYFUNCTION("""COMPUTED_VALUE"""),"DECODER CARDLESS 4K UHD S4KCW5 CABO IP")</f>
        <v>DECODER CARDLESS 4K UHD S4KCW5 CABO IP</v>
      </c>
      <c r="B4216" s="22">
        <f>IFERROR(__xludf.DUMMYFUNCTION("""COMPUTED_VALUE"""),4.1001583E7)</f>
        <v>41001583</v>
      </c>
      <c r="C4216" s="21" t="str">
        <f>IFERROR(__xludf.DUMMYFUNCTION("""COMPUTED_VALUE"""),"241635689213")</f>
        <v>241635689213</v>
      </c>
      <c r="D4216" s="21" t="str">
        <f>IFERROR(__xludf.DUMMYFUNCTION("""COMPUTED_VALUE"""),"DIGITEC TECNOLOGIA DIGITAL E REPRES")</f>
        <v>DIGITEC TECNOLOGIA DIGITAL E REPRES</v>
      </c>
      <c r="E4216" s="21">
        <f>IFERROR(__xludf.DUMMYFUNCTION("""COMPUTED_VALUE"""),145359.0)</f>
        <v>145359</v>
      </c>
      <c r="F4216" s="21" t="str">
        <f>IFERROR(__xludf.DUMMYFUNCTION("""COMPUTED_VALUE"""),"INICIALIZADO")</f>
        <v>INICIALIZADO</v>
      </c>
      <c r="G4216" s="23">
        <f>IFERROR(__xludf.DUMMYFUNCTION("""COMPUTED_VALUE"""),45639.64978009259)</f>
        <v>45639.64978</v>
      </c>
      <c r="H4216" s="24" t="str">
        <f>IFERROR(VLOOKUP(B4216,material!A:D,3,0),"")</f>
        <v>4K RFIP</v>
      </c>
    </row>
    <row r="4217" ht="11.25" customHeight="1">
      <c r="A4217" s="21" t="str">
        <f>IFERROR(__xludf.DUMMYFUNCTION("""COMPUTED_VALUE"""),"DECODER CARDLESS 4K UHD S4KCW5 CABO IP")</f>
        <v>DECODER CARDLESS 4K UHD S4KCW5 CABO IP</v>
      </c>
      <c r="B4217" s="22">
        <f>IFERROR(__xludf.DUMMYFUNCTION("""COMPUTED_VALUE"""),4.1001583E7)</f>
        <v>41001583</v>
      </c>
      <c r="C4217" s="21" t="str">
        <f>IFERROR(__xludf.DUMMYFUNCTION("""COMPUTED_VALUE"""),"241635714748")</f>
        <v>241635714748</v>
      </c>
      <c r="D4217" s="21" t="str">
        <f>IFERROR(__xludf.DUMMYFUNCTION("""COMPUTED_VALUE"""),"DIGITEC TECNOLOGIA DIGITAL E REPRES")</f>
        <v>DIGITEC TECNOLOGIA DIGITAL E REPRES</v>
      </c>
      <c r="E4217" s="21">
        <f>IFERROR(__xludf.DUMMYFUNCTION("""COMPUTED_VALUE"""),145359.0)</f>
        <v>145359</v>
      </c>
      <c r="F4217" s="21" t="str">
        <f>IFERROR(__xludf.DUMMYFUNCTION("""COMPUTED_VALUE"""),"INICIALIZADO")</f>
        <v>INICIALIZADO</v>
      </c>
      <c r="G4217" s="23">
        <f>IFERROR(__xludf.DUMMYFUNCTION("""COMPUTED_VALUE"""),45639.64978009259)</f>
        <v>45639.64978</v>
      </c>
      <c r="H4217" s="24" t="str">
        <f>IFERROR(VLOOKUP(B4217,material!A:D,3,0),"")</f>
        <v>4K RFIP</v>
      </c>
    </row>
    <row r="4218" ht="11.25" customHeight="1">
      <c r="A4218" s="21" t="str">
        <f>IFERROR(__xludf.DUMMYFUNCTION("""COMPUTED_VALUE"""),"DECODER CARDLESS 4K UHD S4KCW5 CABO IP")</f>
        <v>DECODER CARDLESS 4K UHD S4KCW5 CABO IP</v>
      </c>
      <c r="B4218" s="22">
        <f>IFERROR(__xludf.DUMMYFUNCTION("""COMPUTED_VALUE"""),4.1001583E7)</f>
        <v>41001583</v>
      </c>
      <c r="C4218" s="21" t="str">
        <f>IFERROR(__xludf.DUMMYFUNCTION("""COMPUTED_VALUE"""),"241635716263")</f>
        <v>241635716263</v>
      </c>
      <c r="D4218" s="21" t="str">
        <f>IFERROR(__xludf.DUMMYFUNCTION("""COMPUTED_VALUE"""),"DIGITEC TECNOLOGIA DIGITAL E REPRES")</f>
        <v>DIGITEC TECNOLOGIA DIGITAL E REPRES</v>
      </c>
      <c r="E4218" s="21">
        <f>IFERROR(__xludf.DUMMYFUNCTION("""COMPUTED_VALUE"""),145359.0)</f>
        <v>145359</v>
      </c>
      <c r="F4218" s="21" t="str">
        <f>IFERROR(__xludf.DUMMYFUNCTION("""COMPUTED_VALUE"""),"INICIALIZADO")</f>
        <v>INICIALIZADO</v>
      </c>
      <c r="G4218" s="23">
        <f>IFERROR(__xludf.DUMMYFUNCTION("""COMPUTED_VALUE"""),45639.64978009259)</f>
        <v>45639.64978</v>
      </c>
      <c r="H4218" s="24" t="str">
        <f>IFERROR(VLOOKUP(B4218,material!A:D,3,0),"")</f>
        <v>4K RFIP</v>
      </c>
    </row>
    <row r="4219" ht="11.25" customHeight="1">
      <c r="A4219" s="21" t="str">
        <f>IFERROR(__xludf.DUMMYFUNCTION("""COMPUTED_VALUE"""),"DECODER CARDLESS 4K UHD S4KCW5 CABO IP")</f>
        <v>DECODER CARDLESS 4K UHD S4KCW5 CABO IP</v>
      </c>
      <c r="B4219" s="22">
        <f>IFERROR(__xludf.DUMMYFUNCTION("""COMPUTED_VALUE"""),4.1001583E7)</f>
        <v>41001583</v>
      </c>
      <c r="C4219" s="21" t="str">
        <f>IFERROR(__xludf.DUMMYFUNCTION("""COMPUTED_VALUE"""),"241635718889")</f>
        <v>241635718889</v>
      </c>
      <c r="D4219" s="21" t="str">
        <f>IFERROR(__xludf.DUMMYFUNCTION("""COMPUTED_VALUE"""),"DIGITEC TECNOLOGIA DIGITAL E REPRES")</f>
        <v>DIGITEC TECNOLOGIA DIGITAL E REPRES</v>
      </c>
      <c r="E4219" s="21">
        <f>IFERROR(__xludf.DUMMYFUNCTION("""COMPUTED_VALUE"""),145359.0)</f>
        <v>145359</v>
      </c>
      <c r="F4219" s="21" t="str">
        <f>IFERROR(__xludf.DUMMYFUNCTION("""COMPUTED_VALUE"""),"INICIALIZADO")</f>
        <v>INICIALIZADO</v>
      </c>
      <c r="G4219" s="23">
        <f>IFERROR(__xludf.DUMMYFUNCTION("""COMPUTED_VALUE"""),45639.64978009259)</f>
        <v>45639.64978</v>
      </c>
      <c r="H4219" s="24" t="str">
        <f>IFERROR(VLOOKUP(B4219,material!A:D,3,0),"")</f>
        <v>4K RFIP</v>
      </c>
    </row>
    <row r="4220" ht="11.25" customHeight="1">
      <c r="A4220" s="21" t="str">
        <f>IFERROR(__xludf.DUMMYFUNCTION("""COMPUTED_VALUE"""),"DECODER CARDLESS 4K UHD S4KCW5 CABO IP")</f>
        <v>DECODER CARDLESS 4K UHD S4KCW5 CABO IP</v>
      </c>
      <c r="B4220" s="22">
        <f>IFERROR(__xludf.DUMMYFUNCTION("""COMPUTED_VALUE"""),4.1001583E7)</f>
        <v>41001583</v>
      </c>
      <c r="C4220" s="21" t="str">
        <f>IFERROR(__xludf.DUMMYFUNCTION("""COMPUTED_VALUE"""),"241635719596")</f>
        <v>241635719596</v>
      </c>
      <c r="D4220" s="21" t="str">
        <f>IFERROR(__xludf.DUMMYFUNCTION("""COMPUTED_VALUE"""),"DIGITEC TECNOLOGIA DIGITAL E REPRES")</f>
        <v>DIGITEC TECNOLOGIA DIGITAL E REPRES</v>
      </c>
      <c r="E4220" s="21">
        <f>IFERROR(__xludf.DUMMYFUNCTION("""COMPUTED_VALUE"""),145359.0)</f>
        <v>145359</v>
      </c>
      <c r="F4220" s="21" t="str">
        <f>IFERROR(__xludf.DUMMYFUNCTION("""COMPUTED_VALUE"""),"INICIALIZADO")</f>
        <v>INICIALIZADO</v>
      </c>
      <c r="G4220" s="23">
        <f>IFERROR(__xludf.DUMMYFUNCTION("""COMPUTED_VALUE"""),45639.64978009259)</f>
        <v>45639.64978</v>
      </c>
      <c r="H4220" s="24" t="str">
        <f>IFERROR(VLOOKUP(B4220,material!A:D,3,0),"")</f>
        <v>4K RFIP</v>
      </c>
    </row>
    <row r="4221" ht="11.25" customHeight="1">
      <c r="A4221" s="21" t="str">
        <f>IFERROR(__xludf.DUMMYFUNCTION("""COMPUTED_VALUE"""),"DECODER CARDLESS 4K UHD S4KCW5 CABO IP")</f>
        <v>DECODER CARDLESS 4K UHD S4KCW5 CABO IP</v>
      </c>
      <c r="B4221" s="22">
        <f>IFERROR(__xludf.DUMMYFUNCTION("""COMPUTED_VALUE"""),4.1001583E7)</f>
        <v>41001583</v>
      </c>
      <c r="C4221" s="21" t="str">
        <f>IFERROR(__xludf.DUMMYFUNCTION("""COMPUTED_VALUE"""),"241635804656")</f>
        <v>241635804656</v>
      </c>
      <c r="D4221" s="21" t="str">
        <f>IFERROR(__xludf.DUMMYFUNCTION("""COMPUTED_VALUE"""),"DIGITEC TECNOLOGIA DIGITAL E REPRES")</f>
        <v>DIGITEC TECNOLOGIA DIGITAL E REPRES</v>
      </c>
      <c r="E4221" s="21">
        <f>IFERROR(__xludf.DUMMYFUNCTION("""COMPUTED_VALUE"""),145359.0)</f>
        <v>145359</v>
      </c>
      <c r="F4221" s="21" t="str">
        <f>IFERROR(__xludf.DUMMYFUNCTION("""COMPUTED_VALUE"""),"INICIALIZADO")</f>
        <v>INICIALIZADO</v>
      </c>
      <c r="G4221" s="23">
        <f>IFERROR(__xludf.DUMMYFUNCTION("""COMPUTED_VALUE"""),45639.64976851852)</f>
        <v>45639.64977</v>
      </c>
      <c r="H4221" s="24" t="str">
        <f>IFERROR(VLOOKUP(B4221,material!A:D,3,0),"")</f>
        <v>4K RFIP</v>
      </c>
    </row>
    <row r="4222" ht="11.25" customHeight="1">
      <c r="A4222" s="21" t="str">
        <f>IFERROR(__xludf.DUMMYFUNCTION("""COMPUTED_VALUE"""),"DECODER CARDLESS 4K UHD S4KCW5 CABO IP")</f>
        <v>DECODER CARDLESS 4K UHD S4KCW5 CABO IP</v>
      </c>
      <c r="B4222" s="22">
        <f>IFERROR(__xludf.DUMMYFUNCTION("""COMPUTED_VALUE"""),4.1001583E7)</f>
        <v>41001583</v>
      </c>
      <c r="C4222" s="21" t="str">
        <f>IFERROR(__xludf.DUMMYFUNCTION("""COMPUTED_VALUE"""),"241635806373")</f>
        <v>241635806373</v>
      </c>
      <c r="D4222" s="21" t="str">
        <f>IFERROR(__xludf.DUMMYFUNCTION("""COMPUTED_VALUE"""),"DIGITEC TECNOLOGIA DIGITAL E REPRES")</f>
        <v>DIGITEC TECNOLOGIA DIGITAL E REPRES</v>
      </c>
      <c r="E4222" s="21">
        <f>IFERROR(__xludf.DUMMYFUNCTION("""COMPUTED_VALUE"""),145359.0)</f>
        <v>145359</v>
      </c>
      <c r="F4222" s="21" t="str">
        <f>IFERROR(__xludf.DUMMYFUNCTION("""COMPUTED_VALUE"""),"INICIALIZADO")</f>
        <v>INICIALIZADO</v>
      </c>
      <c r="G4222" s="23">
        <f>IFERROR(__xludf.DUMMYFUNCTION("""COMPUTED_VALUE"""),45639.64976851852)</f>
        <v>45639.64977</v>
      </c>
      <c r="H4222" s="24" t="str">
        <f>IFERROR(VLOOKUP(B4222,material!A:D,3,0),"")</f>
        <v>4K RFIP</v>
      </c>
    </row>
    <row r="4223" ht="11.25" customHeight="1">
      <c r="A4223" s="21" t="str">
        <f>IFERROR(__xludf.DUMMYFUNCTION("""COMPUTED_VALUE"""),"DECODER CARDLESS 4K UHD S4KCW5 CABO IP")</f>
        <v>DECODER CARDLESS 4K UHD S4KCW5 CABO IP</v>
      </c>
      <c r="B4223" s="22">
        <f>IFERROR(__xludf.DUMMYFUNCTION("""COMPUTED_VALUE"""),4.1001583E7)</f>
        <v>41001583</v>
      </c>
      <c r="C4223" s="21" t="str">
        <f>IFERROR(__xludf.DUMMYFUNCTION("""COMPUTED_VALUE"""),"241635801424")</f>
        <v>241635801424</v>
      </c>
      <c r="D4223" s="21" t="str">
        <f>IFERROR(__xludf.DUMMYFUNCTION("""COMPUTED_VALUE"""),"DIGITEC TECNOLOGIA DIGITAL E REPRES")</f>
        <v>DIGITEC TECNOLOGIA DIGITAL E REPRES</v>
      </c>
      <c r="E4223" s="21">
        <f>IFERROR(__xludf.DUMMYFUNCTION("""COMPUTED_VALUE"""),145359.0)</f>
        <v>145359</v>
      </c>
      <c r="F4223" s="21" t="str">
        <f>IFERROR(__xludf.DUMMYFUNCTION("""COMPUTED_VALUE"""),"INICIALIZADO")</f>
        <v>INICIALIZADO</v>
      </c>
      <c r="G4223" s="23">
        <f>IFERROR(__xludf.DUMMYFUNCTION("""COMPUTED_VALUE"""),45639.64978009259)</f>
        <v>45639.64978</v>
      </c>
      <c r="H4223" s="24" t="str">
        <f>IFERROR(VLOOKUP(B4223,material!A:D,3,0),"")</f>
        <v>4K RFIP</v>
      </c>
    </row>
    <row r="4224" ht="11.25" customHeight="1">
      <c r="A4224" s="21" t="str">
        <f>IFERROR(__xludf.DUMMYFUNCTION("""COMPUTED_VALUE"""),"DECODER CARDLESS 4K UHD S4KCW5 CABO IP")</f>
        <v>DECODER CARDLESS 4K UHD S4KCW5 CABO IP</v>
      </c>
      <c r="B4224" s="22">
        <f>IFERROR(__xludf.DUMMYFUNCTION("""COMPUTED_VALUE"""),4.1001583E7)</f>
        <v>41001583</v>
      </c>
      <c r="C4224" s="21" t="str">
        <f>IFERROR(__xludf.DUMMYFUNCTION("""COMPUTED_VALUE"""),"241635801626")</f>
        <v>241635801626</v>
      </c>
      <c r="D4224" s="21" t="str">
        <f>IFERROR(__xludf.DUMMYFUNCTION("""COMPUTED_VALUE"""),"DIGITEC TECNOLOGIA DIGITAL E REPRES")</f>
        <v>DIGITEC TECNOLOGIA DIGITAL E REPRES</v>
      </c>
      <c r="E4224" s="21">
        <f>IFERROR(__xludf.DUMMYFUNCTION("""COMPUTED_VALUE"""),145359.0)</f>
        <v>145359</v>
      </c>
      <c r="F4224" s="21" t="str">
        <f>IFERROR(__xludf.DUMMYFUNCTION("""COMPUTED_VALUE"""),"INICIALIZADO")</f>
        <v>INICIALIZADO</v>
      </c>
      <c r="G4224" s="23">
        <f>IFERROR(__xludf.DUMMYFUNCTION("""COMPUTED_VALUE"""),45639.64978009259)</f>
        <v>45639.64978</v>
      </c>
      <c r="H4224" s="24" t="str">
        <f>IFERROR(VLOOKUP(B4224,material!A:D,3,0),"")</f>
        <v>4K RFIP</v>
      </c>
    </row>
    <row r="4225" ht="11.25" customHeight="1">
      <c r="A4225" s="21" t="str">
        <f>IFERROR(__xludf.DUMMYFUNCTION("""COMPUTED_VALUE"""),"DECODER CARDLESS 4K UHD S4KCW5 CABO IP")</f>
        <v>DECODER CARDLESS 4K UHD S4KCW5 CABO IP</v>
      </c>
      <c r="B4225" s="22">
        <f>IFERROR(__xludf.DUMMYFUNCTION("""COMPUTED_VALUE"""),4.1001583E7)</f>
        <v>41001583</v>
      </c>
      <c r="C4225" s="21" t="str">
        <f>IFERROR(__xludf.DUMMYFUNCTION("""COMPUTED_VALUE"""),"241608951531")</f>
        <v>241608951531</v>
      </c>
      <c r="D4225" s="21" t="str">
        <f>IFERROR(__xludf.DUMMYFUNCTION("""COMPUTED_VALUE"""),"DIGITEC TECNOLOGIA DIGITAL E REPRES")</f>
        <v>DIGITEC TECNOLOGIA DIGITAL E REPRES</v>
      </c>
      <c r="E4225" s="21">
        <f>IFERROR(__xludf.DUMMYFUNCTION("""COMPUTED_VALUE"""),145359.0)</f>
        <v>145359</v>
      </c>
      <c r="F4225" s="21" t="str">
        <f>IFERROR(__xludf.DUMMYFUNCTION("""COMPUTED_VALUE"""),"INICIALIZADO")</f>
        <v>INICIALIZADO</v>
      </c>
      <c r="G4225" s="23">
        <f>IFERROR(__xludf.DUMMYFUNCTION("""COMPUTED_VALUE"""),45485.74729166667)</f>
        <v>45485.74729</v>
      </c>
      <c r="H4225" s="24" t="str">
        <f>IFERROR(VLOOKUP(B4225,material!A:D,3,0),"")</f>
        <v>4K RFIP</v>
      </c>
    </row>
    <row r="4226" ht="11.25" customHeight="1">
      <c r="A4226" s="21" t="str">
        <f>IFERROR(__xludf.DUMMYFUNCTION("""COMPUTED_VALUE"""),"DECODER CARDLESS 4K UHD S4KCW5 CABO IP")</f>
        <v>DECODER CARDLESS 4K UHD S4KCW5 CABO IP</v>
      </c>
      <c r="B4226" s="22">
        <f>IFERROR(__xludf.DUMMYFUNCTION("""COMPUTED_VALUE"""),4.1001583E7)</f>
        <v>41001583</v>
      </c>
      <c r="C4226" s="21" t="str">
        <f>IFERROR(__xludf.DUMMYFUNCTION("""COMPUTED_VALUE"""),"241631382732")</f>
        <v>241631382732</v>
      </c>
      <c r="D4226" s="21" t="str">
        <f>IFERROR(__xludf.DUMMYFUNCTION("""COMPUTED_VALUE"""),"DIGITEC TECNOLOGIA DIGITAL E REPRES")</f>
        <v>DIGITEC TECNOLOGIA DIGITAL E REPRES</v>
      </c>
      <c r="E4226" s="21">
        <f>IFERROR(__xludf.DUMMYFUNCTION("""COMPUTED_VALUE"""),145359.0)</f>
        <v>145359</v>
      </c>
      <c r="F4226" s="21" t="str">
        <f>IFERROR(__xludf.DUMMYFUNCTION("""COMPUTED_VALUE"""),"INICIALIZADO")</f>
        <v>INICIALIZADO</v>
      </c>
      <c r="G4226" s="23">
        <f>IFERROR(__xludf.DUMMYFUNCTION("""COMPUTED_VALUE"""),45604.74085648148)</f>
        <v>45604.74086</v>
      </c>
      <c r="H4226" s="24" t="str">
        <f>IFERROR(VLOOKUP(B4226,material!A:D,3,0),"")</f>
        <v>4K RFIP</v>
      </c>
    </row>
    <row r="4227" ht="11.25" customHeight="1">
      <c r="A4227" s="21" t="str">
        <f>IFERROR(__xludf.DUMMYFUNCTION("""COMPUTED_VALUE"""),"DECODER CARDLESS 4K UHD S4KCW5 CABO IP")</f>
        <v>DECODER CARDLESS 4K UHD S4KCW5 CABO IP</v>
      </c>
      <c r="B4227" s="22">
        <f>IFERROR(__xludf.DUMMYFUNCTION("""COMPUTED_VALUE"""),4.1001583E7)</f>
        <v>41001583</v>
      </c>
      <c r="C4227" s="21" t="str">
        <f>IFERROR(__xludf.DUMMYFUNCTION("""COMPUTED_VALUE"""),"241631380409")</f>
        <v>241631380409</v>
      </c>
      <c r="D4227" s="21" t="str">
        <f>IFERROR(__xludf.DUMMYFUNCTION("""COMPUTED_VALUE"""),"DIGITEC TECNOLOGIA DIGITAL E REPRES")</f>
        <v>DIGITEC TECNOLOGIA DIGITAL E REPRES</v>
      </c>
      <c r="E4227" s="21">
        <f>IFERROR(__xludf.DUMMYFUNCTION("""COMPUTED_VALUE"""),145359.0)</f>
        <v>145359</v>
      </c>
      <c r="F4227" s="21" t="str">
        <f>IFERROR(__xludf.DUMMYFUNCTION("""COMPUTED_VALUE"""),"INICIALIZADO")</f>
        <v>INICIALIZADO</v>
      </c>
      <c r="G4227" s="23">
        <f>IFERROR(__xludf.DUMMYFUNCTION("""COMPUTED_VALUE"""),45604.74085648148)</f>
        <v>45604.74086</v>
      </c>
      <c r="H4227" s="24" t="str">
        <f>IFERROR(VLOOKUP(B4227,material!A:D,3,0),"")</f>
        <v>4K RFIP</v>
      </c>
    </row>
    <row r="4228" ht="11.25" customHeight="1">
      <c r="A4228" s="21" t="str">
        <f>IFERROR(__xludf.DUMMYFUNCTION("""COMPUTED_VALUE"""),"DECODER CARDLESS 4K UHD S4KCW5 CABO IP")</f>
        <v>DECODER CARDLESS 4K UHD S4KCW5 CABO IP</v>
      </c>
      <c r="B4228" s="22">
        <f>IFERROR(__xludf.DUMMYFUNCTION("""COMPUTED_VALUE"""),4.1001583E7)</f>
        <v>41001583</v>
      </c>
      <c r="C4228" s="21" t="str">
        <f>IFERROR(__xludf.DUMMYFUNCTION("""COMPUTED_VALUE"""),"241631381318")</f>
        <v>241631381318</v>
      </c>
      <c r="D4228" s="21" t="str">
        <f>IFERROR(__xludf.DUMMYFUNCTION("""COMPUTED_VALUE"""),"DIGITEC TECNOLOGIA DIGITAL E REPRES")</f>
        <v>DIGITEC TECNOLOGIA DIGITAL E REPRES</v>
      </c>
      <c r="E4228" s="21">
        <f>IFERROR(__xludf.DUMMYFUNCTION("""COMPUTED_VALUE"""),145359.0)</f>
        <v>145359</v>
      </c>
      <c r="F4228" s="21" t="str">
        <f>IFERROR(__xludf.DUMMYFUNCTION("""COMPUTED_VALUE"""),"INICIALIZADO")</f>
        <v>INICIALIZADO</v>
      </c>
      <c r="G4228" s="23">
        <f>IFERROR(__xludf.DUMMYFUNCTION("""COMPUTED_VALUE"""),45604.74085648148)</f>
        <v>45604.74086</v>
      </c>
      <c r="H4228" s="24" t="str">
        <f>IFERROR(VLOOKUP(B4228,material!A:D,3,0),"")</f>
        <v>4K RFIP</v>
      </c>
    </row>
    <row r="4229" ht="11.25" customHeight="1">
      <c r="A4229" s="21" t="str">
        <f>IFERROR(__xludf.DUMMYFUNCTION("""COMPUTED_VALUE"""),"DECODER CARDLESS 4K UHD S4KCW5 CABO IP")</f>
        <v>DECODER CARDLESS 4K UHD S4KCW5 CABO IP</v>
      </c>
      <c r="B4229" s="22">
        <f>IFERROR(__xludf.DUMMYFUNCTION("""COMPUTED_VALUE"""),4.1001583E7)</f>
        <v>41001583</v>
      </c>
      <c r="C4229" s="21" t="str">
        <f>IFERROR(__xludf.DUMMYFUNCTION("""COMPUTED_VALUE"""),"241631386368")</f>
        <v>241631386368</v>
      </c>
      <c r="D4229" s="21" t="str">
        <f>IFERROR(__xludf.DUMMYFUNCTION("""COMPUTED_VALUE"""),"DIGITEC TECNOLOGIA DIGITAL E REPRES")</f>
        <v>DIGITEC TECNOLOGIA DIGITAL E REPRES</v>
      </c>
      <c r="E4229" s="21">
        <f>IFERROR(__xludf.DUMMYFUNCTION("""COMPUTED_VALUE"""),145359.0)</f>
        <v>145359</v>
      </c>
      <c r="F4229" s="21" t="str">
        <f>IFERROR(__xludf.DUMMYFUNCTION("""COMPUTED_VALUE"""),"INICIALIZADO")</f>
        <v>INICIALIZADO</v>
      </c>
      <c r="G4229" s="23">
        <f>IFERROR(__xludf.DUMMYFUNCTION("""COMPUTED_VALUE"""),45604.74086805555)</f>
        <v>45604.74087</v>
      </c>
      <c r="H4229" s="24" t="str">
        <f>IFERROR(VLOOKUP(B4229,material!A:D,3,0),"")</f>
        <v>4K RFIP</v>
      </c>
    </row>
    <row r="4230" ht="11.25" customHeight="1">
      <c r="A4230" s="21" t="str">
        <f>IFERROR(__xludf.DUMMYFUNCTION("""COMPUTED_VALUE"""),"DECODER CARDLESS 4K UHD S4KCW5 CABO IP")</f>
        <v>DECODER CARDLESS 4K UHD S4KCW5 CABO IP</v>
      </c>
      <c r="B4230" s="22">
        <f>IFERROR(__xludf.DUMMYFUNCTION("""COMPUTED_VALUE"""),4.1001583E7)</f>
        <v>41001583</v>
      </c>
      <c r="C4230" s="21" t="str">
        <f>IFERROR(__xludf.DUMMYFUNCTION("""COMPUTED_VALUE"""),"241631370408")</f>
        <v>241631370408</v>
      </c>
      <c r="D4230" s="21" t="str">
        <f>IFERROR(__xludf.DUMMYFUNCTION("""COMPUTED_VALUE"""),"DIGITEC TECNOLOGIA DIGITAL E REPRES")</f>
        <v>DIGITEC TECNOLOGIA DIGITAL E REPRES</v>
      </c>
      <c r="E4230" s="21">
        <f>IFERROR(__xludf.DUMMYFUNCTION("""COMPUTED_VALUE"""),145359.0)</f>
        <v>145359</v>
      </c>
      <c r="F4230" s="21" t="str">
        <f>IFERROR(__xludf.DUMMYFUNCTION("""COMPUTED_VALUE"""),"INICIALIZADO")</f>
        <v>INICIALIZADO</v>
      </c>
      <c r="G4230" s="23">
        <f>IFERROR(__xludf.DUMMYFUNCTION("""COMPUTED_VALUE"""),45604.74086805555)</f>
        <v>45604.74087</v>
      </c>
      <c r="H4230" s="24" t="str">
        <f>IFERROR(VLOOKUP(B4230,material!A:D,3,0),"")</f>
        <v>4K RFIP</v>
      </c>
    </row>
    <row r="4231" ht="11.25" customHeight="1">
      <c r="A4231" s="21" t="str">
        <f>IFERROR(__xludf.DUMMYFUNCTION("""COMPUTED_VALUE"""),"DECODER CARDLESS 4K UHD S4KCW5 CABO IP")</f>
        <v>DECODER CARDLESS 4K UHD S4KCW5 CABO IP</v>
      </c>
      <c r="B4231" s="22">
        <f>IFERROR(__xludf.DUMMYFUNCTION("""COMPUTED_VALUE"""),4.1001583E7)</f>
        <v>41001583</v>
      </c>
      <c r="C4231" s="21" t="str">
        <f>IFERROR(__xludf.DUMMYFUNCTION("""COMPUTED_VALUE"""),"241631421726")</f>
        <v>241631421726</v>
      </c>
      <c r="D4231" s="21" t="str">
        <f>IFERROR(__xludf.DUMMYFUNCTION("""COMPUTED_VALUE"""),"DIGITEC TECNOLOGIA DIGITAL E REPRES")</f>
        <v>DIGITEC TECNOLOGIA DIGITAL E REPRES</v>
      </c>
      <c r="E4231" s="21">
        <f>IFERROR(__xludf.DUMMYFUNCTION("""COMPUTED_VALUE"""),145359.0)</f>
        <v>145359</v>
      </c>
      <c r="F4231" s="21" t="str">
        <f>IFERROR(__xludf.DUMMYFUNCTION("""COMPUTED_VALUE"""),"INICIALIZADO")</f>
        <v>INICIALIZADO</v>
      </c>
      <c r="G4231" s="23">
        <f>IFERROR(__xludf.DUMMYFUNCTION("""COMPUTED_VALUE"""),45608.701377314814)</f>
        <v>45608.70138</v>
      </c>
      <c r="H4231" s="24" t="str">
        <f>IFERROR(VLOOKUP(B4231,material!A:D,3,0),"")</f>
        <v>4K RFIP</v>
      </c>
    </row>
    <row r="4232" ht="11.25" customHeight="1">
      <c r="A4232" s="21" t="str">
        <f>IFERROR(__xludf.DUMMYFUNCTION("""COMPUTED_VALUE"""),"DECODER CARDLESS 4K UHD S4KCW5 CABO IP")</f>
        <v>DECODER CARDLESS 4K UHD S4KCW5 CABO IP</v>
      </c>
      <c r="B4232" s="22">
        <f>IFERROR(__xludf.DUMMYFUNCTION("""COMPUTED_VALUE"""),4.1001583E7)</f>
        <v>41001583</v>
      </c>
      <c r="C4232" s="21" t="str">
        <f>IFERROR(__xludf.DUMMYFUNCTION("""COMPUTED_VALUE"""),"241631422635")</f>
        <v>241631422635</v>
      </c>
      <c r="D4232" s="21" t="str">
        <f>IFERROR(__xludf.DUMMYFUNCTION("""COMPUTED_VALUE"""),"DIGITEC TECNOLOGIA DIGITAL E REPRES")</f>
        <v>DIGITEC TECNOLOGIA DIGITAL E REPRES</v>
      </c>
      <c r="E4232" s="21">
        <f>IFERROR(__xludf.DUMMYFUNCTION("""COMPUTED_VALUE"""),145359.0)</f>
        <v>145359</v>
      </c>
      <c r="F4232" s="21" t="str">
        <f>IFERROR(__xludf.DUMMYFUNCTION("""COMPUTED_VALUE"""),"INICIALIZADO")</f>
        <v>INICIALIZADO</v>
      </c>
      <c r="G4232" s="23">
        <f>IFERROR(__xludf.DUMMYFUNCTION("""COMPUTED_VALUE"""),45608.70138888889)</f>
        <v>45608.70139</v>
      </c>
      <c r="H4232" s="24" t="str">
        <f>IFERROR(VLOOKUP(B4232,material!A:D,3,0),"")</f>
        <v>4K RFIP</v>
      </c>
    </row>
    <row r="4233" ht="11.25" customHeight="1">
      <c r="A4233" s="21" t="str">
        <f>IFERROR(__xludf.DUMMYFUNCTION("""COMPUTED_VALUE"""),"DECODER CARDLESS 4K UHD S4KCW5 CABO IP")</f>
        <v>DECODER CARDLESS 4K UHD S4KCW5 CABO IP</v>
      </c>
      <c r="B4233" s="22">
        <f>IFERROR(__xludf.DUMMYFUNCTION("""COMPUTED_VALUE"""),4.1001583E7)</f>
        <v>41001583</v>
      </c>
      <c r="C4233" s="21" t="str">
        <f>IFERROR(__xludf.DUMMYFUNCTION("""COMPUTED_VALUE"""),"241603368695")</f>
        <v>241603368695</v>
      </c>
      <c r="D4233" s="21" t="str">
        <f>IFERROR(__xludf.DUMMYFUNCTION("""COMPUTED_VALUE"""),"DIGITEC TECNOLOGIA DIGITAL E REPRES")</f>
        <v>DIGITEC TECNOLOGIA DIGITAL E REPRES</v>
      </c>
      <c r="E4233" s="21">
        <f>IFERROR(__xludf.DUMMYFUNCTION("""COMPUTED_VALUE"""),145359.0)</f>
        <v>145359</v>
      </c>
      <c r="F4233" s="21" t="str">
        <f>IFERROR(__xludf.DUMMYFUNCTION("""COMPUTED_VALUE"""),"INICIALIZADO")</f>
        <v>INICIALIZADO</v>
      </c>
      <c r="G4233" s="23">
        <f>IFERROR(__xludf.DUMMYFUNCTION("""COMPUTED_VALUE"""),45460.60695601851)</f>
        <v>45460.60696</v>
      </c>
      <c r="H4233" s="24" t="str">
        <f>IFERROR(VLOOKUP(B4233,material!A:D,3,0),"")</f>
        <v>4K RFIP</v>
      </c>
    </row>
    <row r="4234" ht="11.25" customHeight="1">
      <c r="A4234" s="21" t="str">
        <f>IFERROR(__xludf.DUMMYFUNCTION("""COMPUTED_VALUE"""),"DECODER CARDLESS 4K UHD S4KCW5 CABO IP")</f>
        <v>DECODER CARDLESS 4K UHD S4KCW5 CABO IP</v>
      </c>
      <c r="B4234" s="22">
        <f>IFERROR(__xludf.DUMMYFUNCTION("""COMPUTED_VALUE"""),4.1001583E7)</f>
        <v>41001583</v>
      </c>
      <c r="C4234" s="21" t="str">
        <f>IFERROR(__xludf.DUMMYFUNCTION("""COMPUTED_VALUE"""),"241603376272")</f>
        <v>241603376272</v>
      </c>
      <c r="D4234" s="21" t="str">
        <f>IFERROR(__xludf.DUMMYFUNCTION("""COMPUTED_VALUE"""),"DIGITEC TECNOLOGIA DIGITAL E REPRES")</f>
        <v>DIGITEC TECNOLOGIA DIGITAL E REPRES</v>
      </c>
      <c r="E4234" s="21">
        <f>IFERROR(__xludf.DUMMYFUNCTION("""COMPUTED_VALUE"""),145359.0)</f>
        <v>145359</v>
      </c>
      <c r="F4234" s="21" t="str">
        <f>IFERROR(__xludf.DUMMYFUNCTION("""COMPUTED_VALUE"""),"INICIALIZADO")</f>
        <v>INICIALIZADO</v>
      </c>
      <c r="G4234" s="23">
        <f>IFERROR(__xludf.DUMMYFUNCTION("""COMPUTED_VALUE"""),45460.60695601851)</f>
        <v>45460.60696</v>
      </c>
      <c r="H4234" s="24" t="str">
        <f>IFERROR(VLOOKUP(B4234,material!A:D,3,0),"")</f>
        <v>4K RFIP</v>
      </c>
    </row>
    <row r="4235" ht="11.25" customHeight="1">
      <c r="A4235" s="21" t="str">
        <f>IFERROR(__xludf.DUMMYFUNCTION("""COMPUTED_VALUE"""),"DECODER CARDLESS 4K UHD S4KCW5 CABO IP")</f>
        <v>DECODER CARDLESS 4K UHD S4KCW5 CABO IP</v>
      </c>
      <c r="B4235" s="22">
        <f>IFERROR(__xludf.DUMMYFUNCTION("""COMPUTED_VALUE"""),4.1001583E7)</f>
        <v>41001583</v>
      </c>
      <c r="C4235" s="21" t="str">
        <f>IFERROR(__xludf.DUMMYFUNCTION("""COMPUTED_VALUE"""),"241608941530")</f>
        <v>241608941530</v>
      </c>
      <c r="D4235" s="21" t="str">
        <f>IFERROR(__xludf.DUMMYFUNCTION("""COMPUTED_VALUE"""),"DIGITEC TECNOLOGIA DIGITAL E REPRES")</f>
        <v>DIGITEC TECNOLOGIA DIGITAL E REPRES</v>
      </c>
      <c r="E4235" s="21">
        <f>IFERROR(__xludf.DUMMYFUNCTION("""COMPUTED_VALUE"""),145359.0)</f>
        <v>145359</v>
      </c>
      <c r="F4235" s="21" t="str">
        <f>IFERROR(__xludf.DUMMYFUNCTION("""COMPUTED_VALUE"""),"INICIALIZADO")</f>
        <v>INICIALIZADO</v>
      </c>
      <c r="G4235" s="23">
        <f>IFERROR(__xludf.DUMMYFUNCTION("""COMPUTED_VALUE"""),45485.74725694444)</f>
        <v>45485.74726</v>
      </c>
      <c r="H4235" s="24" t="str">
        <f>IFERROR(VLOOKUP(B4235,material!A:D,3,0),"")</f>
        <v>4K RFIP</v>
      </c>
    </row>
    <row r="4236" ht="11.25" customHeight="1">
      <c r="A4236" s="21" t="str">
        <f>IFERROR(__xludf.DUMMYFUNCTION("""COMPUTED_VALUE"""),"DECODER CARDLESS 4K UHD S4KCW5 CABO IP")</f>
        <v>DECODER CARDLESS 4K UHD S4KCW5 CABO IP</v>
      </c>
      <c r="B4236" s="22">
        <f>IFERROR(__xludf.DUMMYFUNCTION("""COMPUTED_VALUE"""),4.1001583E7)</f>
        <v>41001583</v>
      </c>
      <c r="C4236" s="21" t="str">
        <f>IFERROR(__xludf.DUMMYFUNCTION("""COMPUTED_VALUE"""),"241604215860")</f>
        <v>241604215860</v>
      </c>
      <c r="D4236" s="21" t="str">
        <f>IFERROR(__xludf.DUMMYFUNCTION("""COMPUTED_VALUE"""),"DIGITEC TECNOLOGIA DIGITAL E REPRES")</f>
        <v>DIGITEC TECNOLOGIA DIGITAL E REPRES</v>
      </c>
      <c r="E4236" s="21">
        <f>IFERROR(__xludf.DUMMYFUNCTION("""COMPUTED_VALUE"""),145359.0)</f>
        <v>145359</v>
      </c>
      <c r="F4236" s="21" t="str">
        <f>IFERROR(__xludf.DUMMYFUNCTION("""COMPUTED_VALUE"""),"INICIALIZADO")</f>
        <v>INICIALIZADO</v>
      </c>
      <c r="G4236" s="23">
        <f>IFERROR(__xludf.DUMMYFUNCTION("""COMPUTED_VALUE"""),45464.662199074075)</f>
        <v>45464.6622</v>
      </c>
      <c r="H4236" s="24" t="str">
        <f>IFERROR(VLOOKUP(B4236,material!A:D,3,0),"")</f>
        <v>4K RFIP</v>
      </c>
    </row>
    <row r="4237" ht="11.25" customHeight="1">
      <c r="A4237" s="21" t="str">
        <f>IFERROR(__xludf.DUMMYFUNCTION("""COMPUTED_VALUE"""),"DECODER CARDLESS 4K UHD S4KCW5 CABO IP")</f>
        <v>DECODER CARDLESS 4K UHD S4KCW5 CABO IP</v>
      </c>
      <c r="B4237" s="22">
        <f>IFERROR(__xludf.DUMMYFUNCTION("""COMPUTED_VALUE"""),4.1001583E7)</f>
        <v>41001583</v>
      </c>
      <c r="C4237" s="21" t="str">
        <f>IFERROR(__xludf.DUMMYFUNCTION("""COMPUTED_VALUE"""),"241603369807")</f>
        <v>241603369807</v>
      </c>
      <c r="D4237" s="21" t="str">
        <f>IFERROR(__xludf.DUMMYFUNCTION("""COMPUTED_VALUE"""),"DIGITEC TECNOLOGIA DIGITAL E REPRES")</f>
        <v>DIGITEC TECNOLOGIA DIGITAL E REPRES</v>
      </c>
      <c r="E4237" s="21">
        <f>IFERROR(__xludf.DUMMYFUNCTION("""COMPUTED_VALUE"""),145359.0)</f>
        <v>145359</v>
      </c>
      <c r="F4237" s="21" t="str">
        <f>IFERROR(__xludf.DUMMYFUNCTION("""COMPUTED_VALUE"""),"INICIALIZADO")</f>
        <v>INICIALIZADO</v>
      </c>
      <c r="G4237" s="23">
        <f>IFERROR(__xludf.DUMMYFUNCTION("""COMPUTED_VALUE"""),45460.60695601851)</f>
        <v>45460.60696</v>
      </c>
      <c r="H4237" s="24" t="str">
        <f>IFERROR(VLOOKUP(B4237,material!A:D,3,0),"")</f>
        <v>4K RFIP</v>
      </c>
    </row>
    <row r="4238" ht="11.25" customHeight="1">
      <c r="A4238" s="21" t="str">
        <f>IFERROR(__xludf.DUMMYFUNCTION("""COMPUTED_VALUE"""),"DECODER CARDLESS 4K UHD S4KCW5 CABO IP")</f>
        <v>DECODER CARDLESS 4K UHD S4KCW5 CABO IP</v>
      </c>
      <c r="B4238" s="22">
        <f>IFERROR(__xludf.DUMMYFUNCTION("""COMPUTED_VALUE"""),4.1001583E7)</f>
        <v>41001583</v>
      </c>
      <c r="C4238" s="21" t="str">
        <f>IFERROR(__xludf.DUMMYFUNCTION("""COMPUTED_VALUE"""),"241608943954")</f>
        <v>241608943954</v>
      </c>
      <c r="D4238" s="21" t="str">
        <f>IFERROR(__xludf.DUMMYFUNCTION("""COMPUTED_VALUE"""),"DIGITEC TECNOLOGIA DIGITAL E REPRES")</f>
        <v>DIGITEC TECNOLOGIA DIGITAL E REPRES</v>
      </c>
      <c r="E4238" s="21">
        <f>IFERROR(__xludf.DUMMYFUNCTION("""COMPUTED_VALUE"""),145359.0)</f>
        <v>145359</v>
      </c>
      <c r="F4238" s="21" t="str">
        <f>IFERROR(__xludf.DUMMYFUNCTION("""COMPUTED_VALUE"""),"INICIALIZADO")</f>
        <v>INICIALIZADO</v>
      </c>
      <c r="G4238" s="23">
        <f>IFERROR(__xludf.DUMMYFUNCTION("""COMPUTED_VALUE"""),45629.714849537035)</f>
        <v>45629.71485</v>
      </c>
      <c r="H4238" s="24" t="str">
        <f>IFERROR(VLOOKUP(B4238,material!A:D,3,0),"")</f>
        <v>4K RFIP</v>
      </c>
    </row>
    <row r="4239" ht="11.25" customHeight="1">
      <c r="A4239" s="21" t="str">
        <f>IFERROR(__xludf.DUMMYFUNCTION("""COMPUTED_VALUE"""),"DECODER CARDLESS 4K UHD S4KCW5 CABO IP")</f>
        <v>DECODER CARDLESS 4K UHD S4KCW5 CABO IP</v>
      </c>
      <c r="B4239" s="22">
        <f>IFERROR(__xludf.DUMMYFUNCTION("""COMPUTED_VALUE"""),4.1001583E7)</f>
        <v>41001583</v>
      </c>
      <c r="C4239" s="21" t="str">
        <f>IFERROR(__xludf.DUMMYFUNCTION("""COMPUTED_VALUE"""),"241615247273")</f>
        <v>241615247273</v>
      </c>
      <c r="D4239" s="21" t="str">
        <f>IFERROR(__xludf.DUMMYFUNCTION("""COMPUTED_VALUE"""),"DIGITEC TECNOLOGIA DIGITAL E REPRES")</f>
        <v>DIGITEC TECNOLOGIA DIGITAL E REPRES</v>
      </c>
      <c r="E4239" s="21">
        <f>IFERROR(__xludf.DUMMYFUNCTION("""COMPUTED_VALUE"""),145359.0)</f>
        <v>145359</v>
      </c>
      <c r="F4239" s="21" t="str">
        <f>IFERROR(__xludf.DUMMYFUNCTION("""COMPUTED_VALUE"""),"INICIALIZADO")</f>
        <v>INICIALIZADO</v>
      </c>
      <c r="G4239" s="23">
        <f>IFERROR(__xludf.DUMMYFUNCTION("""COMPUTED_VALUE"""),45583.55342592593)</f>
        <v>45583.55343</v>
      </c>
      <c r="H4239" s="24" t="str">
        <f>IFERROR(VLOOKUP(B4239,material!A:D,3,0),"")</f>
        <v>4K RFIP</v>
      </c>
    </row>
    <row r="4240" ht="11.25" customHeight="1">
      <c r="A4240" s="21" t="str">
        <f>IFERROR(__xludf.DUMMYFUNCTION("""COMPUTED_VALUE"""),"DECODER CARDLESS 4K UHD S4KCW5 CABO IP")</f>
        <v>DECODER CARDLESS 4K UHD S4KCW5 CABO IP</v>
      </c>
      <c r="B4240" s="22">
        <f>IFERROR(__xludf.DUMMYFUNCTION("""COMPUTED_VALUE"""),4.1001583E7)</f>
        <v>41001583</v>
      </c>
      <c r="C4240" s="21" t="str">
        <f>IFERROR(__xludf.DUMMYFUNCTION("""COMPUTED_VALUE"""),"241604207677")</f>
        <v>241604207677</v>
      </c>
      <c r="D4240" s="21" t="str">
        <f>IFERROR(__xludf.DUMMYFUNCTION("""COMPUTED_VALUE"""),"DIGITEC TECNOLOGIA DIGITAL E REPRES")</f>
        <v>DIGITEC TECNOLOGIA DIGITAL E REPRES</v>
      </c>
      <c r="E4240" s="21">
        <f>IFERROR(__xludf.DUMMYFUNCTION("""COMPUTED_VALUE"""),145359.0)</f>
        <v>145359</v>
      </c>
      <c r="F4240" s="21" t="str">
        <f>IFERROR(__xludf.DUMMYFUNCTION("""COMPUTED_VALUE"""),"INICIALIZADO")</f>
        <v>INICIALIZADO</v>
      </c>
      <c r="G4240" s="23">
        <f>IFERROR(__xludf.DUMMYFUNCTION("""COMPUTED_VALUE"""),45638.68791666666)</f>
        <v>45638.68792</v>
      </c>
      <c r="H4240" s="24" t="str">
        <f>IFERROR(VLOOKUP(B4240,material!A:D,3,0),"")</f>
        <v>4K RFIP</v>
      </c>
    </row>
    <row r="4241" ht="11.25" customHeight="1">
      <c r="A4241" s="21" t="str">
        <f>IFERROR(__xludf.DUMMYFUNCTION("""COMPUTED_VALUE"""),"DECODER CARDLESS 4K UHD S4KCW5 CABO IP")</f>
        <v>DECODER CARDLESS 4K UHD S4KCW5 CABO IP</v>
      </c>
      <c r="B4241" s="22">
        <f>IFERROR(__xludf.DUMMYFUNCTION("""COMPUTED_VALUE"""),4.1001583E7)</f>
        <v>41001583</v>
      </c>
      <c r="C4241" s="21" t="str">
        <f>IFERROR(__xludf.DUMMYFUNCTION("""COMPUTED_VALUE"""),"241603392638")</f>
        <v>241603392638</v>
      </c>
      <c r="D4241" s="21" t="str">
        <f>IFERROR(__xludf.DUMMYFUNCTION("""COMPUTED_VALUE"""),"DIGITEC TECNOLOGIA DIGITAL E REPRES")</f>
        <v>DIGITEC TECNOLOGIA DIGITAL E REPRES</v>
      </c>
      <c r="E4241" s="21">
        <f>IFERROR(__xludf.DUMMYFUNCTION("""COMPUTED_VALUE"""),145359.0)</f>
        <v>145359</v>
      </c>
      <c r="F4241" s="21" t="str">
        <f>IFERROR(__xludf.DUMMYFUNCTION("""COMPUTED_VALUE"""),"INICIALIZADO")</f>
        <v>INICIALIZADO</v>
      </c>
      <c r="G4241" s="23">
        <f>IFERROR(__xludf.DUMMYFUNCTION("""COMPUTED_VALUE"""),45460.60697916667)</f>
        <v>45460.60698</v>
      </c>
      <c r="H4241" s="24" t="str">
        <f>IFERROR(VLOOKUP(B4241,material!A:D,3,0),"")</f>
        <v>4K RFIP</v>
      </c>
    </row>
    <row r="4242" ht="11.25" customHeight="1">
      <c r="A4242" s="21" t="str">
        <f>IFERROR(__xludf.DUMMYFUNCTION("""COMPUTED_VALUE"""),"TERMINAL DOCSIS 3.1 EMTA WIFI6 TC3106")</f>
        <v>TERMINAL DOCSIS 3.1 EMTA WIFI6 TC3106</v>
      </c>
      <c r="B4242" s="22">
        <f>IFERROR(__xludf.DUMMYFUNCTION("""COMPUTED_VALUE"""),4.1001553E7)</f>
        <v>41001553</v>
      </c>
      <c r="C4242" s="21" t="str">
        <f>IFERROR(__xludf.DUMMYFUNCTION("""COMPUTED_VALUE"""),"B85E71B0CD0B")</f>
        <v>B85E71B0CD0B</v>
      </c>
      <c r="D4242" s="21" t="str">
        <f>IFERROR(__xludf.DUMMYFUNCTION("""COMPUTED_VALUE"""),"DIGITEC TECNOLOGIA DIGITAL E REPRES")</f>
        <v>DIGITEC TECNOLOGIA DIGITAL E REPRES</v>
      </c>
      <c r="E4242" s="21">
        <f>IFERROR(__xludf.DUMMYFUNCTION("""COMPUTED_VALUE"""),145359.0)</f>
        <v>145359</v>
      </c>
      <c r="F4242" s="21" t="str">
        <f>IFERROR(__xludf.DUMMYFUNCTION("""COMPUTED_VALUE"""),"INICIALIZADO")</f>
        <v>INICIALIZADO</v>
      </c>
      <c r="G4242" s="23">
        <f>IFERROR(__xludf.DUMMYFUNCTION("""COMPUTED_VALUE"""),45555.591886574075)</f>
        <v>45555.59189</v>
      </c>
      <c r="H4242" s="24" t="str">
        <f>IFERROR(VLOOKUP(B4242,material!A:D,3,0),"")</f>
        <v>WIFI 6</v>
      </c>
    </row>
    <row r="4243" ht="11.25" customHeight="1">
      <c r="A4243" s="21" t="str">
        <f>IFERROR(__xludf.DUMMYFUNCTION("""COMPUTED_VALUE"""),"TERMINAL DOCSIS 3.1 EMTA WIFI6 TC3106")</f>
        <v>TERMINAL DOCSIS 3.1 EMTA WIFI6 TC3106</v>
      </c>
      <c r="B4243" s="22">
        <f>IFERROR(__xludf.DUMMYFUNCTION("""COMPUTED_VALUE"""),4.1001553E7)</f>
        <v>41001553</v>
      </c>
      <c r="C4243" s="21" t="str">
        <f>IFERROR(__xludf.DUMMYFUNCTION("""COMPUTED_VALUE"""),"10A7933594CB")</f>
        <v>10A7933594CB</v>
      </c>
      <c r="D4243" s="21" t="str">
        <f>IFERROR(__xludf.DUMMYFUNCTION("""COMPUTED_VALUE"""),"DIGITEC TECNOLOGIA DIGITAL E REPRES")</f>
        <v>DIGITEC TECNOLOGIA DIGITAL E REPRES</v>
      </c>
      <c r="E4243" s="21">
        <f>IFERROR(__xludf.DUMMYFUNCTION("""COMPUTED_VALUE"""),145359.0)</f>
        <v>145359</v>
      </c>
      <c r="F4243" s="21" t="str">
        <f>IFERROR(__xludf.DUMMYFUNCTION("""COMPUTED_VALUE"""),"INICIALIZADO")</f>
        <v>INICIALIZADO</v>
      </c>
      <c r="G4243" s="23">
        <f>IFERROR(__xludf.DUMMYFUNCTION("""COMPUTED_VALUE"""),45622.476273148146)</f>
        <v>45622.47627</v>
      </c>
      <c r="H4243" s="24" t="str">
        <f>IFERROR(VLOOKUP(B4243,material!A:D,3,0),"")</f>
        <v>WIFI 6</v>
      </c>
    </row>
    <row r="4244" ht="11.25" customHeight="1">
      <c r="A4244" s="21" t="str">
        <f>IFERROR(__xludf.DUMMYFUNCTION("""COMPUTED_VALUE"""),"TERMINAL DOCSIS 3.1 EMTA WIFI6 TC3106")</f>
        <v>TERMINAL DOCSIS 3.1 EMTA WIFI6 TC3106</v>
      </c>
      <c r="B4244" s="22">
        <f>IFERROR(__xludf.DUMMYFUNCTION("""COMPUTED_VALUE"""),4.1001553E7)</f>
        <v>41001553</v>
      </c>
      <c r="C4244" s="21" t="str">
        <f>IFERROR(__xludf.DUMMYFUNCTION("""COMPUTED_VALUE"""),"10A79340863B")</f>
        <v>10A79340863B</v>
      </c>
      <c r="D4244" s="21" t="str">
        <f>IFERROR(__xludf.DUMMYFUNCTION("""COMPUTED_VALUE"""),"DIGITEC TECNOLOGIA DIGITAL E REPRES")</f>
        <v>DIGITEC TECNOLOGIA DIGITAL E REPRES</v>
      </c>
      <c r="E4244" s="21">
        <f>IFERROR(__xludf.DUMMYFUNCTION("""COMPUTED_VALUE"""),145359.0)</f>
        <v>145359</v>
      </c>
      <c r="F4244" s="21" t="str">
        <f>IFERROR(__xludf.DUMMYFUNCTION("""COMPUTED_VALUE"""),"INICIALIZADO")</f>
        <v>INICIALIZADO</v>
      </c>
      <c r="G4244" s="23">
        <f>IFERROR(__xludf.DUMMYFUNCTION("""COMPUTED_VALUE"""),45533.3675)</f>
        <v>45533.3675</v>
      </c>
      <c r="H4244" s="24" t="str">
        <f>IFERROR(VLOOKUP(B4244,material!A:D,3,0),"")</f>
        <v>WIFI 6</v>
      </c>
    </row>
    <row r="4245" ht="11.25" customHeight="1">
      <c r="A4245" s="21" t="str">
        <f>IFERROR(__xludf.DUMMYFUNCTION("""COMPUTED_VALUE"""),"TERMINAL CG3600T CLARO BRAZIL D3.1 EMTA")</f>
        <v>TERMINAL CG3600T CLARO BRAZIL D3.1 EMTA</v>
      </c>
      <c r="B4245" s="22">
        <f>IFERROR(__xludf.DUMMYFUNCTION("""COMPUTED_VALUE"""),4.1001579E7)</f>
        <v>41001579</v>
      </c>
      <c r="C4245" s="21" t="str">
        <f>IFERROR(__xludf.DUMMYFUNCTION("""COMPUTED_VALUE"""),"24E4CEA6E3A4")</f>
        <v>24E4CEA6E3A4</v>
      </c>
      <c r="D4245" s="21" t="str">
        <f>IFERROR(__xludf.DUMMYFUNCTION("""COMPUTED_VALUE"""),"DIGITEC TECNOLOGIA DIGITAL E REPRES")</f>
        <v>DIGITEC TECNOLOGIA DIGITAL E REPRES</v>
      </c>
      <c r="E4245" s="21">
        <f>IFERROR(__xludf.DUMMYFUNCTION("""COMPUTED_VALUE"""),145359.0)</f>
        <v>145359</v>
      </c>
      <c r="F4245" s="21" t="str">
        <f>IFERROR(__xludf.DUMMYFUNCTION("""COMPUTED_VALUE"""),"INICIALIZADO")</f>
        <v>INICIALIZADO</v>
      </c>
      <c r="G4245" s="23">
        <f>IFERROR(__xludf.DUMMYFUNCTION("""COMPUTED_VALUE"""),45404.54403935185)</f>
        <v>45404.54404</v>
      </c>
      <c r="H4245" s="24" t="str">
        <f>IFERROR(VLOOKUP(B4245,material!A:D,3,0),"")</f>
        <v>WIFI 6</v>
      </c>
    </row>
    <row r="4246" ht="11.25" customHeight="1">
      <c r="A4246" s="21" t="str">
        <f>IFERROR(__xludf.DUMMYFUNCTION("""COMPUTED_VALUE"""),"TERMINAL CG3600T CLARO BRAZIL D3.1 EMTA")</f>
        <v>TERMINAL CG3600T CLARO BRAZIL D3.1 EMTA</v>
      </c>
      <c r="B4246" s="22">
        <f>IFERROR(__xludf.DUMMYFUNCTION("""COMPUTED_VALUE"""),4.1001579E7)</f>
        <v>41001579</v>
      </c>
      <c r="C4246" s="21" t="str">
        <f>IFERROR(__xludf.DUMMYFUNCTION("""COMPUTED_VALUE"""),"24E4CEA6D710")</f>
        <v>24E4CEA6D710</v>
      </c>
      <c r="D4246" s="21" t="str">
        <f>IFERROR(__xludf.DUMMYFUNCTION("""COMPUTED_VALUE"""),"DIGITEC TECNOLOGIA DIGITAL E REPRES")</f>
        <v>DIGITEC TECNOLOGIA DIGITAL E REPRES</v>
      </c>
      <c r="E4246" s="21">
        <f>IFERROR(__xludf.DUMMYFUNCTION("""COMPUTED_VALUE"""),145359.0)</f>
        <v>145359</v>
      </c>
      <c r="F4246" s="21" t="str">
        <f>IFERROR(__xludf.DUMMYFUNCTION("""COMPUTED_VALUE"""),"INICIALIZADO")</f>
        <v>INICIALIZADO</v>
      </c>
      <c r="G4246" s="23">
        <f>IFERROR(__xludf.DUMMYFUNCTION("""COMPUTED_VALUE"""),45602.644733796296)</f>
        <v>45602.64473</v>
      </c>
      <c r="H4246" s="24" t="str">
        <f>IFERROR(VLOOKUP(B4246,material!A:D,3,0),"")</f>
        <v>WIFI 6</v>
      </c>
    </row>
    <row r="4247" ht="11.25" customHeight="1">
      <c r="A4247" s="21" t="str">
        <f>IFERROR(__xludf.DUMMYFUNCTION("""COMPUTED_VALUE"""),"DECODER CARDLESS 4K UHD S4KCW4S CABO IP")</f>
        <v>DECODER CARDLESS 4K UHD S4KCW4S CABO IP</v>
      </c>
      <c r="B4247" s="22">
        <f>IFERROR(__xludf.DUMMYFUNCTION("""COMPUTED_VALUE"""),4.1001573E7)</f>
        <v>41001573</v>
      </c>
      <c r="C4247" s="21" t="str">
        <f>IFERROR(__xludf.DUMMYFUNCTION("""COMPUTED_VALUE"""),"229998932836")</f>
        <v>229998932836</v>
      </c>
      <c r="D4247" s="21" t="str">
        <f>IFERROR(__xludf.DUMMYFUNCTION("""COMPUTED_VALUE"""),"DIGITEC TECNOLOGIA DIGITAL E REPRES")</f>
        <v>DIGITEC TECNOLOGIA DIGITAL E REPRES</v>
      </c>
      <c r="E4247" s="21">
        <f>IFERROR(__xludf.DUMMYFUNCTION("""COMPUTED_VALUE"""),145359.0)</f>
        <v>145359</v>
      </c>
      <c r="F4247" s="21" t="str">
        <f>IFERROR(__xludf.DUMMYFUNCTION("""COMPUTED_VALUE"""),"INICIALIZADO")</f>
        <v>INICIALIZADO</v>
      </c>
      <c r="G4247" s="23">
        <f>IFERROR(__xludf.DUMMYFUNCTION("""COMPUTED_VALUE"""),45629.61975694445)</f>
        <v>45629.61976</v>
      </c>
      <c r="H4247" s="24" t="str">
        <f>IFERROR(VLOOKUP(B4247,material!A:D,3,0),"")</f>
        <v>BOOM BOX</v>
      </c>
    </row>
    <row r="4248" ht="11.25" customHeight="1">
      <c r="A4248" s="21" t="str">
        <f>IFERROR(__xludf.DUMMYFUNCTION("""COMPUTED_VALUE"""),"DECODER CARDLESS 4K UHD S4KCW4S CABO IP")</f>
        <v>DECODER CARDLESS 4K UHD S4KCW4S CABO IP</v>
      </c>
      <c r="B4248" s="22">
        <f>IFERROR(__xludf.DUMMYFUNCTION("""COMPUTED_VALUE"""),4.1001573E7)</f>
        <v>41001573</v>
      </c>
      <c r="C4248" s="21" t="str">
        <f>IFERROR(__xludf.DUMMYFUNCTION("""COMPUTED_VALUE"""),"229998854949")</f>
        <v>229998854949</v>
      </c>
      <c r="D4248" s="21" t="str">
        <f>IFERROR(__xludf.DUMMYFUNCTION("""COMPUTED_VALUE"""),"DIGITEC TECNOLOGIA DIGITAL E REPRES")</f>
        <v>DIGITEC TECNOLOGIA DIGITAL E REPRES</v>
      </c>
      <c r="E4248" s="21">
        <f>IFERROR(__xludf.DUMMYFUNCTION("""COMPUTED_VALUE"""),145359.0)</f>
        <v>145359</v>
      </c>
      <c r="F4248" s="21" t="str">
        <f>IFERROR(__xludf.DUMMYFUNCTION("""COMPUTED_VALUE"""),"INICIALIZADO")</f>
        <v>INICIALIZADO</v>
      </c>
      <c r="G4248" s="23">
        <f>IFERROR(__xludf.DUMMYFUNCTION("""COMPUTED_VALUE"""),45629.61975694445)</f>
        <v>45629.61976</v>
      </c>
      <c r="H4248" s="24" t="str">
        <f>IFERROR(VLOOKUP(B4248,material!A:D,3,0),"")</f>
        <v>BOOM BOX</v>
      </c>
    </row>
    <row r="4249" ht="11.25" customHeight="1">
      <c r="A4249" s="21" t="str">
        <f>IFERROR(__xludf.DUMMYFUNCTION("""COMPUTED_VALUE"""),"DECODER CARDLESS 4K UHD S4KCW4S CABO IP")</f>
        <v>DECODER CARDLESS 4K UHD S4KCW4S CABO IP</v>
      </c>
      <c r="B4249" s="22">
        <f>IFERROR(__xludf.DUMMYFUNCTION("""COMPUTED_VALUE"""),4.1001573E7)</f>
        <v>41001573</v>
      </c>
      <c r="C4249" s="21" t="str">
        <f>IFERROR(__xludf.DUMMYFUNCTION("""COMPUTED_VALUE"""),"229998852626")</f>
        <v>229998852626</v>
      </c>
      <c r="D4249" s="21" t="str">
        <f>IFERROR(__xludf.DUMMYFUNCTION("""COMPUTED_VALUE"""),"DIGITEC TECNOLOGIA DIGITAL E REPRES")</f>
        <v>DIGITEC TECNOLOGIA DIGITAL E REPRES</v>
      </c>
      <c r="E4249" s="21">
        <f>IFERROR(__xludf.DUMMYFUNCTION("""COMPUTED_VALUE"""),145359.0)</f>
        <v>145359</v>
      </c>
      <c r="F4249" s="21" t="str">
        <f>IFERROR(__xludf.DUMMYFUNCTION("""COMPUTED_VALUE"""),"INICIALIZADO")</f>
        <v>INICIALIZADO</v>
      </c>
      <c r="G4249" s="23">
        <f>IFERROR(__xludf.DUMMYFUNCTION("""COMPUTED_VALUE"""),45629.61975694445)</f>
        <v>45629.61976</v>
      </c>
      <c r="H4249" s="24" t="str">
        <f>IFERROR(VLOOKUP(B4249,material!A:D,3,0),"")</f>
        <v>BOOM BOX</v>
      </c>
    </row>
    <row r="4250" ht="11.25" customHeight="1">
      <c r="A4250" s="21" t="str">
        <f>IFERROR(__xludf.DUMMYFUNCTION("""COMPUTED_VALUE"""),"DECODER CARDLESS 4K UHD S4KCW4S CABO IP")</f>
        <v>DECODER CARDLESS 4K UHD S4KCW4S CABO IP</v>
      </c>
      <c r="B4250" s="22">
        <f>IFERROR(__xludf.DUMMYFUNCTION("""COMPUTED_VALUE"""),4.1001573E7)</f>
        <v>41001573</v>
      </c>
      <c r="C4250" s="21" t="str">
        <f>IFERROR(__xludf.DUMMYFUNCTION("""COMPUTED_VALUE"""),"229998855656")</f>
        <v>229998855656</v>
      </c>
      <c r="D4250" s="21" t="str">
        <f>IFERROR(__xludf.DUMMYFUNCTION("""COMPUTED_VALUE"""),"DIGITEC TECNOLOGIA DIGITAL E REPRES")</f>
        <v>DIGITEC TECNOLOGIA DIGITAL E REPRES</v>
      </c>
      <c r="E4250" s="21">
        <f>IFERROR(__xludf.DUMMYFUNCTION("""COMPUTED_VALUE"""),145359.0)</f>
        <v>145359</v>
      </c>
      <c r="F4250" s="21" t="str">
        <f>IFERROR(__xludf.DUMMYFUNCTION("""COMPUTED_VALUE"""),"INICIALIZADO")</f>
        <v>INICIALIZADO</v>
      </c>
      <c r="G4250" s="23">
        <f>IFERROR(__xludf.DUMMYFUNCTION("""COMPUTED_VALUE"""),45629.61975694445)</f>
        <v>45629.61976</v>
      </c>
      <c r="H4250" s="24" t="str">
        <f>IFERROR(VLOOKUP(B4250,material!A:D,3,0),"")</f>
        <v>BOOM BOX</v>
      </c>
    </row>
    <row r="4251" ht="11.25" customHeight="1">
      <c r="A4251" s="21" t="str">
        <f>IFERROR(__xludf.DUMMYFUNCTION("""COMPUTED_VALUE"""),"DECODER CARDLESS 4K UHD S4KCW4S CABO IP")</f>
        <v>DECODER CARDLESS 4K UHD S4KCW4S CABO IP</v>
      </c>
      <c r="B4251" s="22">
        <f>IFERROR(__xludf.DUMMYFUNCTION("""COMPUTED_VALUE"""),4.1001573E7)</f>
        <v>41001573</v>
      </c>
      <c r="C4251" s="21" t="str">
        <f>IFERROR(__xludf.DUMMYFUNCTION("""COMPUTED_VALUE"""),"229998852929")</f>
        <v>229998852929</v>
      </c>
      <c r="D4251" s="21" t="str">
        <f>IFERROR(__xludf.DUMMYFUNCTION("""COMPUTED_VALUE"""),"DIGITEC TECNOLOGIA DIGITAL E REPRES")</f>
        <v>DIGITEC TECNOLOGIA DIGITAL E REPRES</v>
      </c>
      <c r="E4251" s="21">
        <f>IFERROR(__xludf.DUMMYFUNCTION("""COMPUTED_VALUE"""),145359.0)</f>
        <v>145359</v>
      </c>
      <c r="F4251" s="21" t="str">
        <f>IFERROR(__xludf.DUMMYFUNCTION("""COMPUTED_VALUE"""),"INICIALIZADO")</f>
        <v>INICIALIZADO</v>
      </c>
      <c r="G4251" s="23">
        <f>IFERROR(__xludf.DUMMYFUNCTION("""COMPUTED_VALUE"""),45629.61975694445)</f>
        <v>45629.61976</v>
      </c>
      <c r="H4251" s="24" t="str">
        <f>IFERROR(VLOOKUP(B4251,material!A:D,3,0),"")</f>
        <v>BOOM BOX</v>
      </c>
    </row>
    <row r="4252" ht="11.25" customHeight="1">
      <c r="A4252" s="21" t="str">
        <f>IFERROR(__xludf.DUMMYFUNCTION("""COMPUTED_VALUE"""),"DECODER CARDLESS 4K UHD S4KCW4S CABO IP")</f>
        <v>DECODER CARDLESS 4K UHD S4KCW4S CABO IP</v>
      </c>
      <c r="B4252" s="22">
        <f>IFERROR(__xludf.DUMMYFUNCTION("""COMPUTED_VALUE"""),4.1001573E7)</f>
        <v>41001573</v>
      </c>
      <c r="C4252" s="21" t="str">
        <f>IFERROR(__xludf.DUMMYFUNCTION("""COMPUTED_VALUE"""),"229998854848")</f>
        <v>229998854848</v>
      </c>
      <c r="D4252" s="21" t="str">
        <f>IFERROR(__xludf.DUMMYFUNCTION("""COMPUTED_VALUE"""),"DIGITEC TECNOLOGIA DIGITAL E REPRES")</f>
        <v>DIGITEC TECNOLOGIA DIGITAL E REPRES</v>
      </c>
      <c r="E4252" s="21">
        <f>IFERROR(__xludf.DUMMYFUNCTION("""COMPUTED_VALUE"""),145359.0)</f>
        <v>145359</v>
      </c>
      <c r="F4252" s="21" t="str">
        <f>IFERROR(__xludf.DUMMYFUNCTION("""COMPUTED_VALUE"""),"INICIALIZADO")</f>
        <v>INICIALIZADO</v>
      </c>
      <c r="G4252" s="23">
        <f>IFERROR(__xludf.DUMMYFUNCTION("""COMPUTED_VALUE"""),45629.61975694445)</f>
        <v>45629.61976</v>
      </c>
      <c r="H4252" s="24" t="str">
        <f>IFERROR(VLOOKUP(B4252,material!A:D,3,0),"")</f>
        <v>BOOM BOX</v>
      </c>
    </row>
    <row r="4253" ht="11.25" customHeight="1">
      <c r="A4253" s="21" t="str">
        <f>IFERROR(__xludf.DUMMYFUNCTION("""COMPUTED_VALUE"""),"DECODER CARDLESS 4K UHD S4KCW4S CABO IP")</f>
        <v>DECODER CARDLESS 4K UHD S4KCW4S CABO IP</v>
      </c>
      <c r="B4253" s="22">
        <f>IFERROR(__xludf.DUMMYFUNCTION("""COMPUTED_VALUE"""),4.1001573E7)</f>
        <v>41001573</v>
      </c>
      <c r="C4253" s="21" t="str">
        <f>IFERROR(__xludf.DUMMYFUNCTION("""COMPUTED_VALUE"""),"229998855151")</f>
        <v>229998855151</v>
      </c>
      <c r="D4253" s="21" t="str">
        <f>IFERROR(__xludf.DUMMYFUNCTION("""COMPUTED_VALUE"""),"DIGITEC TECNOLOGIA DIGITAL E REPRES")</f>
        <v>DIGITEC TECNOLOGIA DIGITAL E REPRES</v>
      </c>
      <c r="E4253" s="21">
        <f>IFERROR(__xludf.DUMMYFUNCTION("""COMPUTED_VALUE"""),145359.0)</f>
        <v>145359</v>
      </c>
      <c r="F4253" s="21" t="str">
        <f>IFERROR(__xludf.DUMMYFUNCTION("""COMPUTED_VALUE"""),"INICIALIZADO")</f>
        <v>INICIALIZADO</v>
      </c>
      <c r="G4253" s="23">
        <f>IFERROR(__xludf.DUMMYFUNCTION("""COMPUTED_VALUE"""),45629.61975694445)</f>
        <v>45629.61976</v>
      </c>
      <c r="H4253" s="24" t="str">
        <f>IFERROR(VLOOKUP(B4253,material!A:D,3,0),"")</f>
        <v>BOOM BOX</v>
      </c>
    </row>
    <row r="4254" ht="11.25" customHeight="1">
      <c r="A4254" s="21" t="str">
        <f>IFERROR(__xludf.DUMMYFUNCTION("""COMPUTED_VALUE"""),"DECODER CARDLESS 4K UHD S4KCW4S CABO IP")</f>
        <v>DECODER CARDLESS 4K UHD S4KCW4S CABO IP</v>
      </c>
      <c r="B4254" s="22">
        <f>IFERROR(__xludf.DUMMYFUNCTION("""COMPUTED_VALUE"""),4.1001573E7)</f>
        <v>41001573</v>
      </c>
      <c r="C4254" s="21" t="str">
        <f>IFERROR(__xludf.DUMMYFUNCTION("""COMPUTED_VALUE"""),"229998850606")</f>
        <v>229998850606</v>
      </c>
      <c r="D4254" s="21" t="str">
        <f>IFERROR(__xludf.DUMMYFUNCTION("""COMPUTED_VALUE"""),"DIGITEC TECNOLOGIA DIGITAL E REPRES")</f>
        <v>DIGITEC TECNOLOGIA DIGITAL E REPRES</v>
      </c>
      <c r="E4254" s="21">
        <f>IFERROR(__xludf.DUMMYFUNCTION("""COMPUTED_VALUE"""),145359.0)</f>
        <v>145359</v>
      </c>
      <c r="F4254" s="21" t="str">
        <f>IFERROR(__xludf.DUMMYFUNCTION("""COMPUTED_VALUE"""),"INICIALIZADO")</f>
        <v>INICIALIZADO</v>
      </c>
      <c r="G4254" s="23">
        <f>IFERROR(__xludf.DUMMYFUNCTION("""COMPUTED_VALUE"""),45629.61975694445)</f>
        <v>45629.61976</v>
      </c>
      <c r="H4254" s="24" t="str">
        <f>IFERROR(VLOOKUP(B4254,material!A:D,3,0),"")</f>
        <v>BOOM BOX</v>
      </c>
    </row>
    <row r="4255" ht="11.25" customHeight="1">
      <c r="A4255" s="21" t="str">
        <f>IFERROR(__xludf.DUMMYFUNCTION("""COMPUTED_VALUE"""),"DECODER CARDLESS 4K UHD S4KCW4S CABO IP")</f>
        <v>DECODER CARDLESS 4K UHD S4KCW4S CABO IP</v>
      </c>
      <c r="B4255" s="22">
        <f>IFERROR(__xludf.DUMMYFUNCTION("""COMPUTED_VALUE"""),4.1001573E7)</f>
        <v>41001573</v>
      </c>
      <c r="C4255" s="21" t="str">
        <f>IFERROR(__xludf.DUMMYFUNCTION("""COMPUTED_VALUE"""),"229998855757")</f>
        <v>229998855757</v>
      </c>
      <c r="D4255" s="21" t="str">
        <f>IFERROR(__xludf.DUMMYFUNCTION("""COMPUTED_VALUE"""),"DIGITEC TECNOLOGIA DIGITAL E REPRES")</f>
        <v>DIGITEC TECNOLOGIA DIGITAL E REPRES</v>
      </c>
      <c r="E4255" s="21">
        <f>IFERROR(__xludf.DUMMYFUNCTION("""COMPUTED_VALUE"""),145359.0)</f>
        <v>145359</v>
      </c>
      <c r="F4255" s="21" t="str">
        <f>IFERROR(__xludf.DUMMYFUNCTION("""COMPUTED_VALUE"""),"INICIALIZADO")</f>
        <v>INICIALIZADO</v>
      </c>
      <c r="G4255" s="23">
        <f>IFERROR(__xludf.DUMMYFUNCTION("""COMPUTED_VALUE"""),45629.61975694445)</f>
        <v>45629.61976</v>
      </c>
      <c r="H4255" s="24" t="str">
        <f>IFERROR(VLOOKUP(B4255,material!A:D,3,0),"")</f>
        <v>BOOM BOX</v>
      </c>
    </row>
    <row r="4256" ht="11.25" customHeight="1">
      <c r="A4256" s="21" t="str">
        <f>IFERROR(__xludf.DUMMYFUNCTION("""COMPUTED_VALUE"""),"DECODER CARDLESS 4K UHD S4KCW4S CABO IP")</f>
        <v>DECODER CARDLESS 4K UHD S4KCW4S CABO IP</v>
      </c>
      <c r="B4256" s="22">
        <f>IFERROR(__xludf.DUMMYFUNCTION("""COMPUTED_VALUE"""),4.1001573E7)</f>
        <v>41001573</v>
      </c>
      <c r="C4256" s="21" t="str">
        <f>IFERROR(__xludf.DUMMYFUNCTION("""COMPUTED_VALUE"""),"229998856161")</f>
        <v>229998856161</v>
      </c>
      <c r="D4256" s="21" t="str">
        <f>IFERROR(__xludf.DUMMYFUNCTION("""COMPUTED_VALUE"""),"DIGITEC TECNOLOGIA DIGITAL E REPRES")</f>
        <v>DIGITEC TECNOLOGIA DIGITAL E REPRES</v>
      </c>
      <c r="E4256" s="21">
        <f>IFERROR(__xludf.DUMMYFUNCTION("""COMPUTED_VALUE"""),145359.0)</f>
        <v>145359</v>
      </c>
      <c r="F4256" s="21" t="str">
        <f>IFERROR(__xludf.DUMMYFUNCTION("""COMPUTED_VALUE"""),"INICIALIZADO")</f>
        <v>INICIALIZADO</v>
      </c>
      <c r="G4256" s="23">
        <f>IFERROR(__xludf.DUMMYFUNCTION("""COMPUTED_VALUE"""),45629.61975694445)</f>
        <v>45629.61976</v>
      </c>
      <c r="H4256" s="24" t="str">
        <f>IFERROR(VLOOKUP(B4256,material!A:D,3,0),"")</f>
        <v>BOOM BOX</v>
      </c>
    </row>
    <row r="4257" ht="11.25" customHeight="1">
      <c r="A4257" s="21" t="str">
        <f>IFERROR(__xludf.DUMMYFUNCTION("""COMPUTED_VALUE"""),"DECODER CARDLESS 4K UHD S4KCW4S CABO IP")</f>
        <v>DECODER CARDLESS 4K UHD S4KCW4S CABO IP</v>
      </c>
      <c r="B4257" s="22">
        <f>IFERROR(__xludf.DUMMYFUNCTION("""COMPUTED_VALUE"""),4.1001573E7)</f>
        <v>41001573</v>
      </c>
      <c r="C4257" s="21" t="str">
        <f>IFERROR(__xludf.DUMMYFUNCTION("""COMPUTED_VALUE"""),"229950672840")</f>
        <v>229950672840</v>
      </c>
      <c r="D4257" s="21" t="str">
        <f>IFERROR(__xludf.DUMMYFUNCTION("""COMPUTED_VALUE"""),"DIGITEC TECNOLOGIA DIGITAL E REPRES")</f>
        <v>DIGITEC TECNOLOGIA DIGITAL E REPRES</v>
      </c>
      <c r="E4257" s="21">
        <f>IFERROR(__xludf.DUMMYFUNCTION("""COMPUTED_VALUE"""),145359.0)</f>
        <v>145359</v>
      </c>
      <c r="F4257" s="21" t="str">
        <f>IFERROR(__xludf.DUMMYFUNCTION("""COMPUTED_VALUE"""),"INICIALIZADO")</f>
        <v>INICIALIZADO</v>
      </c>
      <c r="G4257" s="23">
        <f>IFERROR(__xludf.DUMMYFUNCTION("""COMPUTED_VALUE"""),45600.342928240745)</f>
        <v>45600.34293</v>
      </c>
      <c r="H4257" s="24" t="str">
        <f>IFERROR(VLOOKUP(B4257,material!A:D,3,0),"")</f>
        <v>BOOM BOX</v>
      </c>
    </row>
    <row r="4258" ht="11.25" customHeight="1">
      <c r="A4258" s="21" t="str">
        <f>IFERROR(__xludf.DUMMYFUNCTION("""COMPUTED_VALUE"""),"DECODER CARDLESS 4K UHD S4KCW4S CABO IP")</f>
        <v>DECODER CARDLESS 4K UHD S4KCW4S CABO IP</v>
      </c>
      <c r="B4258" s="22">
        <f>IFERROR(__xludf.DUMMYFUNCTION("""COMPUTED_VALUE"""),4.1001573E7)</f>
        <v>41001573</v>
      </c>
      <c r="C4258" s="21" t="str">
        <f>IFERROR(__xludf.DUMMYFUNCTION("""COMPUTED_VALUE"""),"229951382842")</f>
        <v>229951382842</v>
      </c>
      <c r="D4258" s="21" t="str">
        <f>IFERROR(__xludf.DUMMYFUNCTION("""COMPUTED_VALUE"""),"DIGITEC TECNOLOGIA DIGITAL E REPRES")</f>
        <v>DIGITEC TECNOLOGIA DIGITAL E REPRES</v>
      </c>
      <c r="E4258" s="21">
        <f>IFERROR(__xludf.DUMMYFUNCTION("""COMPUTED_VALUE"""),145359.0)</f>
        <v>145359</v>
      </c>
      <c r="F4258" s="21" t="str">
        <f>IFERROR(__xludf.DUMMYFUNCTION("""COMPUTED_VALUE"""),"INICIALIZADO")</f>
        <v>INICIALIZADO</v>
      </c>
      <c r="G4258" s="23">
        <f>IFERROR(__xludf.DUMMYFUNCTION("""COMPUTED_VALUE"""),45629.61975694445)</f>
        <v>45629.61976</v>
      </c>
      <c r="H4258" s="24" t="str">
        <f>IFERROR(VLOOKUP(B4258,material!A:D,3,0),"")</f>
        <v>BOOM BOX</v>
      </c>
    </row>
    <row r="4259" ht="11.25" customHeight="1">
      <c r="A4259" s="21" t="str">
        <f>IFERROR(__xludf.DUMMYFUNCTION("""COMPUTED_VALUE"""),"DECODER CARDLESS 4K UHD S4KCW4S CABO IP")</f>
        <v>DECODER CARDLESS 4K UHD S4KCW4S CABO IP</v>
      </c>
      <c r="B4259" s="22">
        <f>IFERROR(__xludf.DUMMYFUNCTION("""COMPUTED_VALUE"""),4.1001573E7)</f>
        <v>41001573</v>
      </c>
      <c r="C4259" s="21" t="str">
        <f>IFERROR(__xludf.DUMMYFUNCTION("""COMPUTED_VALUE"""),"229951378396")</f>
        <v>229951378396</v>
      </c>
      <c r="D4259" s="21" t="str">
        <f>IFERROR(__xludf.DUMMYFUNCTION("""COMPUTED_VALUE"""),"DIGITEC TECNOLOGIA DIGITAL E REPRES")</f>
        <v>DIGITEC TECNOLOGIA DIGITAL E REPRES</v>
      </c>
      <c r="E4259" s="21">
        <f>IFERROR(__xludf.DUMMYFUNCTION("""COMPUTED_VALUE"""),145359.0)</f>
        <v>145359</v>
      </c>
      <c r="F4259" s="21" t="str">
        <f>IFERROR(__xludf.DUMMYFUNCTION("""COMPUTED_VALUE"""),"INICIALIZADO")</f>
        <v>INICIALIZADO</v>
      </c>
      <c r="G4259" s="23">
        <f>IFERROR(__xludf.DUMMYFUNCTION("""COMPUTED_VALUE"""),45629.61975694445)</f>
        <v>45629.61976</v>
      </c>
      <c r="H4259" s="24" t="str">
        <f>IFERROR(VLOOKUP(B4259,material!A:D,3,0),"")</f>
        <v>BOOM BOX</v>
      </c>
    </row>
    <row r="4260" ht="11.25" customHeight="1">
      <c r="A4260" s="21" t="str">
        <f>IFERROR(__xludf.DUMMYFUNCTION("""COMPUTED_VALUE"""),"TERMINAL DOCSIS 3.1 EMTA WIFI6 F@ST3896")</f>
        <v>TERMINAL DOCSIS 3.1 EMTA WIFI6 F@ST3896</v>
      </c>
      <c r="B4260" s="22">
        <f>IFERROR(__xludf.DUMMYFUNCTION("""COMPUTED_VALUE"""),4.1001552E7)</f>
        <v>41001552</v>
      </c>
      <c r="C4260" s="21" t="str">
        <f>IFERROR(__xludf.DUMMYFUNCTION("""COMPUTED_VALUE"""),"647B1EECA4D4")</f>
        <v>647B1EECA4D4</v>
      </c>
      <c r="D4260" s="21" t="str">
        <f>IFERROR(__xludf.DUMMYFUNCTION("""COMPUTED_VALUE"""),"DIGITEC TECNOLOGIA DIGITAL E REPRES")</f>
        <v>DIGITEC TECNOLOGIA DIGITAL E REPRES</v>
      </c>
      <c r="E4260" s="21">
        <f>IFERROR(__xludf.DUMMYFUNCTION("""COMPUTED_VALUE"""),145359.0)</f>
        <v>145359</v>
      </c>
      <c r="F4260" s="21" t="str">
        <f>IFERROR(__xludf.DUMMYFUNCTION("""COMPUTED_VALUE"""),"INICIALIZADO")</f>
        <v>INICIALIZADO</v>
      </c>
      <c r="G4260" s="23">
        <f>IFERROR(__xludf.DUMMYFUNCTION("""COMPUTED_VALUE"""),45618.74479166667)</f>
        <v>45618.74479</v>
      </c>
      <c r="H4260" s="24" t="str">
        <f>IFERROR(VLOOKUP(B4260,material!A:D,3,0),"")</f>
        <v>WIFI 6</v>
      </c>
    </row>
    <row r="4261" ht="11.25" customHeight="1">
      <c r="A4261" s="21" t="str">
        <f>IFERROR(__xludf.DUMMYFUNCTION("""COMPUTED_VALUE"""),"TERMINAL DOCSIS 3.1 EMTA WIFI6 F@ST3896")</f>
        <v>TERMINAL DOCSIS 3.1 EMTA WIFI6 F@ST3896</v>
      </c>
      <c r="B4261" s="22">
        <f>IFERROR(__xludf.DUMMYFUNCTION("""COMPUTED_VALUE"""),4.1001552E7)</f>
        <v>41001552</v>
      </c>
      <c r="C4261" s="21" t="str">
        <f>IFERROR(__xludf.DUMMYFUNCTION("""COMPUTED_VALUE"""),"647B1EECA3FB")</f>
        <v>647B1EECA3FB</v>
      </c>
      <c r="D4261" s="21" t="str">
        <f>IFERROR(__xludf.DUMMYFUNCTION("""COMPUTED_VALUE"""),"DIGITEC TECNOLOGIA DIGITAL E REPRES")</f>
        <v>DIGITEC TECNOLOGIA DIGITAL E REPRES</v>
      </c>
      <c r="E4261" s="21">
        <f>IFERROR(__xludf.DUMMYFUNCTION("""COMPUTED_VALUE"""),145359.0)</f>
        <v>145359</v>
      </c>
      <c r="F4261" s="21" t="str">
        <f>IFERROR(__xludf.DUMMYFUNCTION("""COMPUTED_VALUE"""),"INICIALIZADO")</f>
        <v>INICIALIZADO</v>
      </c>
      <c r="G4261" s="23">
        <f>IFERROR(__xludf.DUMMYFUNCTION("""COMPUTED_VALUE"""),45618.74479166667)</f>
        <v>45618.74479</v>
      </c>
      <c r="H4261" s="24" t="str">
        <f>IFERROR(VLOOKUP(B4261,material!A:D,3,0),"")</f>
        <v>WIFI 6</v>
      </c>
    </row>
    <row r="4262" ht="11.25" customHeight="1">
      <c r="A4262" s="21" t="str">
        <f>IFERROR(__xludf.DUMMYFUNCTION("""COMPUTED_VALUE"""),"TERMINAL DOCSIS 3.1 EMTA WIFI6 F@ST3896")</f>
        <v>TERMINAL DOCSIS 3.1 EMTA WIFI6 F@ST3896</v>
      </c>
      <c r="B4262" s="22">
        <f>IFERROR(__xludf.DUMMYFUNCTION("""COMPUTED_VALUE"""),4.1001552E7)</f>
        <v>41001552</v>
      </c>
      <c r="C4262" s="21" t="str">
        <f>IFERROR(__xludf.DUMMYFUNCTION("""COMPUTED_VALUE"""),"647B1EECA3CA")</f>
        <v>647B1EECA3CA</v>
      </c>
      <c r="D4262" s="21" t="str">
        <f>IFERROR(__xludf.DUMMYFUNCTION("""COMPUTED_VALUE"""),"DIGITEC TECNOLOGIA DIGITAL E REPRES")</f>
        <v>DIGITEC TECNOLOGIA DIGITAL E REPRES</v>
      </c>
      <c r="E4262" s="21">
        <f>IFERROR(__xludf.DUMMYFUNCTION("""COMPUTED_VALUE"""),145359.0)</f>
        <v>145359</v>
      </c>
      <c r="F4262" s="21" t="str">
        <f>IFERROR(__xludf.DUMMYFUNCTION("""COMPUTED_VALUE"""),"INICIALIZADO")</f>
        <v>INICIALIZADO</v>
      </c>
      <c r="G4262" s="23">
        <f>IFERROR(__xludf.DUMMYFUNCTION("""COMPUTED_VALUE"""),45618.74479166667)</f>
        <v>45618.74479</v>
      </c>
      <c r="H4262" s="24" t="str">
        <f>IFERROR(VLOOKUP(B4262,material!A:D,3,0),"")</f>
        <v>WIFI 6</v>
      </c>
    </row>
    <row r="4263" ht="11.25" customHeight="1">
      <c r="A4263" s="21" t="str">
        <f>IFERROR(__xludf.DUMMYFUNCTION("""COMPUTED_VALUE"""),"TERMINAL DOCSIS 3.1 EMTA WIFI6 F@ST3896")</f>
        <v>TERMINAL DOCSIS 3.1 EMTA WIFI6 F@ST3896</v>
      </c>
      <c r="B4263" s="22">
        <f>IFERROR(__xludf.DUMMYFUNCTION("""COMPUTED_VALUE"""),4.1001552E7)</f>
        <v>41001552</v>
      </c>
      <c r="C4263" s="21" t="str">
        <f>IFERROR(__xludf.DUMMYFUNCTION("""COMPUTED_VALUE"""),"647B1EECA376")</f>
        <v>647B1EECA376</v>
      </c>
      <c r="D4263" s="21" t="str">
        <f>IFERROR(__xludf.DUMMYFUNCTION("""COMPUTED_VALUE"""),"DIGITEC TECNOLOGIA DIGITAL E REPRES")</f>
        <v>DIGITEC TECNOLOGIA DIGITAL E REPRES</v>
      </c>
      <c r="E4263" s="21">
        <f>IFERROR(__xludf.DUMMYFUNCTION("""COMPUTED_VALUE"""),145359.0)</f>
        <v>145359</v>
      </c>
      <c r="F4263" s="21" t="str">
        <f>IFERROR(__xludf.DUMMYFUNCTION("""COMPUTED_VALUE"""),"INICIALIZADO")</f>
        <v>INICIALIZADO</v>
      </c>
      <c r="G4263" s="23">
        <f>IFERROR(__xludf.DUMMYFUNCTION("""COMPUTED_VALUE"""),45618.74479166667)</f>
        <v>45618.74479</v>
      </c>
      <c r="H4263" s="24" t="str">
        <f>IFERROR(VLOOKUP(B4263,material!A:D,3,0),"")</f>
        <v>WIFI 6</v>
      </c>
    </row>
    <row r="4264" ht="11.25" customHeight="1">
      <c r="A4264" s="21" t="str">
        <f>IFERROR(__xludf.DUMMYFUNCTION("""COMPUTED_VALUE"""),"TERMINAL DOCSIS 3.1 EMTA WIFI6 F@ST3896")</f>
        <v>TERMINAL DOCSIS 3.1 EMTA WIFI6 F@ST3896</v>
      </c>
      <c r="B4264" s="22">
        <f>IFERROR(__xludf.DUMMYFUNCTION("""COMPUTED_VALUE"""),4.1001552E7)</f>
        <v>41001552</v>
      </c>
      <c r="C4264" s="21" t="str">
        <f>IFERROR(__xludf.DUMMYFUNCTION("""COMPUTED_VALUE"""),"647B1EEC90AD")</f>
        <v>647B1EEC90AD</v>
      </c>
      <c r="D4264" s="21" t="str">
        <f>IFERROR(__xludf.DUMMYFUNCTION("""COMPUTED_VALUE"""),"DIGITEC TECNOLOGIA DIGITAL E REPRES")</f>
        <v>DIGITEC TECNOLOGIA DIGITAL E REPRES</v>
      </c>
      <c r="E4264" s="21">
        <f>IFERROR(__xludf.DUMMYFUNCTION("""COMPUTED_VALUE"""),145359.0)</f>
        <v>145359</v>
      </c>
      <c r="F4264" s="21" t="str">
        <f>IFERROR(__xludf.DUMMYFUNCTION("""COMPUTED_VALUE"""),"INICIALIZADO")</f>
        <v>INICIALIZADO</v>
      </c>
      <c r="G4264" s="23">
        <f>IFERROR(__xludf.DUMMYFUNCTION("""COMPUTED_VALUE"""),45618.74480324074)</f>
        <v>45618.7448</v>
      </c>
      <c r="H4264" s="24" t="str">
        <f>IFERROR(VLOOKUP(B4264,material!A:D,3,0),"")</f>
        <v>WIFI 6</v>
      </c>
    </row>
    <row r="4265" ht="11.25" customHeight="1">
      <c r="A4265" s="21" t="str">
        <f>IFERROR(__xludf.DUMMYFUNCTION("""COMPUTED_VALUE"""),"TERMINAL DOCSIS 3.1 EMTA WIFI6 F@ST3896")</f>
        <v>TERMINAL DOCSIS 3.1 EMTA WIFI6 F@ST3896</v>
      </c>
      <c r="B4265" s="22">
        <f>IFERROR(__xludf.DUMMYFUNCTION("""COMPUTED_VALUE"""),4.1001552E7)</f>
        <v>41001552</v>
      </c>
      <c r="C4265" s="21" t="str">
        <f>IFERROR(__xludf.DUMMYFUNCTION("""COMPUTED_VALUE"""),"647B1EEBA9E5")</f>
        <v>647B1EEBA9E5</v>
      </c>
      <c r="D4265" s="21" t="str">
        <f>IFERROR(__xludf.DUMMYFUNCTION("""COMPUTED_VALUE"""),"DIGITEC TECNOLOGIA DIGITAL E REPRES")</f>
        <v>DIGITEC TECNOLOGIA DIGITAL E REPRES</v>
      </c>
      <c r="E4265" s="21">
        <f>IFERROR(__xludf.DUMMYFUNCTION("""COMPUTED_VALUE"""),145359.0)</f>
        <v>145359</v>
      </c>
      <c r="F4265" s="21" t="str">
        <f>IFERROR(__xludf.DUMMYFUNCTION("""COMPUTED_VALUE"""),"INICIALIZADO")</f>
        <v>INICIALIZADO</v>
      </c>
      <c r="G4265" s="23">
        <f>IFERROR(__xludf.DUMMYFUNCTION("""COMPUTED_VALUE"""),45608.701377314814)</f>
        <v>45608.70138</v>
      </c>
      <c r="H4265" s="24" t="str">
        <f>IFERROR(VLOOKUP(B4265,material!A:D,3,0),"")</f>
        <v>WIFI 6</v>
      </c>
    </row>
    <row r="4266" ht="11.25" customHeight="1">
      <c r="A4266" s="21" t="str">
        <f>IFERROR(__xludf.DUMMYFUNCTION("""COMPUTED_VALUE"""),"TERMINAL DOCSIS 3.1 EMTA WIFI6 F@ST3896")</f>
        <v>TERMINAL DOCSIS 3.1 EMTA WIFI6 F@ST3896</v>
      </c>
      <c r="B4266" s="22">
        <f>IFERROR(__xludf.DUMMYFUNCTION("""COMPUTED_VALUE"""),4.1001552E7)</f>
        <v>41001552</v>
      </c>
      <c r="C4266" s="21" t="str">
        <f>IFERROR(__xludf.DUMMYFUNCTION("""COMPUTED_VALUE"""),"647B1EEBA82C")</f>
        <v>647B1EEBA82C</v>
      </c>
      <c r="D4266" s="21" t="str">
        <f>IFERROR(__xludf.DUMMYFUNCTION("""COMPUTED_VALUE"""),"DIGITEC TECNOLOGIA DIGITAL E REPRES")</f>
        <v>DIGITEC TECNOLOGIA DIGITAL E REPRES</v>
      </c>
      <c r="E4266" s="21">
        <f>IFERROR(__xludf.DUMMYFUNCTION("""COMPUTED_VALUE"""),145359.0)</f>
        <v>145359</v>
      </c>
      <c r="F4266" s="21" t="str">
        <f>IFERROR(__xludf.DUMMYFUNCTION("""COMPUTED_VALUE"""),"INICIALIZADO")</f>
        <v>INICIALIZADO</v>
      </c>
      <c r="G4266" s="23">
        <f>IFERROR(__xludf.DUMMYFUNCTION("""COMPUTED_VALUE"""),45608.70136574074)</f>
        <v>45608.70137</v>
      </c>
      <c r="H4266" s="24" t="str">
        <f>IFERROR(VLOOKUP(B4266,material!A:D,3,0),"")</f>
        <v>WIFI 6</v>
      </c>
    </row>
    <row r="4267" ht="11.25" customHeight="1">
      <c r="A4267" s="21" t="str">
        <f>IFERROR(__xludf.DUMMYFUNCTION("""COMPUTED_VALUE"""),"TERMINAL DOCSIS 3.1 EMTA WIFI6 F@ST3896")</f>
        <v>TERMINAL DOCSIS 3.1 EMTA WIFI6 F@ST3896</v>
      </c>
      <c r="B4267" s="22">
        <f>IFERROR(__xludf.DUMMYFUNCTION("""COMPUTED_VALUE"""),4.1001552E7)</f>
        <v>41001552</v>
      </c>
      <c r="C4267" s="21" t="str">
        <f>IFERROR(__xludf.DUMMYFUNCTION("""COMPUTED_VALUE"""),"647B1EEBA7CA")</f>
        <v>647B1EEBA7CA</v>
      </c>
      <c r="D4267" s="21" t="str">
        <f>IFERROR(__xludf.DUMMYFUNCTION("""COMPUTED_VALUE"""),"DIGITEC TECNOLOGIA DIGITAL E REPRES")</f>
        <v>DIGITEC TECNOLOGIA DIGITAL E REPRES</v>
      </c>
      <c r="E4267" s="21">
        <f>IFERROR(__xludf.DUMMYFUNCTION("""COMPUTED_VALUE"""),145359.0)</f>
        <v>145359</v>
      </c>
      <c r="F4267" s="21" t="str">
        <f>IFERROR(__xludf.DUMMYFUNCTION("""COMPUTED_VALUE"""),"INICIALIZADO")</f>
        <v>INICIALIZADO</v>
      </c>
      <c r="G4267" s="23">
        <f>IFERROR(__xludf.DUMMYFUNCTION("""COMPUTED_VALUE"""),45608.70136574074)</f>
        <v>45608.70137</v>
      </c>
      <c r="H4267" s="24" t="str">
        <f>IFERROR(VLOOKUP(B4267,material!A:D,3,0),"")</f>
        <v>WIFI 6</v>
      </c>
    </row>
    <row r="4268" ht="11.25" customHeight="1">
      <c r="A4268" s="21" t="str">
        <f>IFERROR(__xludf.DUMMYFUNCTION("""COMPUTED_VALUE"""),"TERMINAL DOCSIS 3.1 EMTA WIFI6 F@ST3896")</f>
        <v>TERMINAL DOCSIS 3.1 EMTA WIFI6 F@ST3896</v>
      </c>
      <c r="B4268" s="22">
        <f>IFERROR(__xludf.DUMMYFUNCTION("""COMPUTED_VALUE"""),4.1001552E7)</f>
        <v>41001552</v>
      </c>
      <c r="C4268" s="21" t="str">
        <f>IFERROR(__xludf.DUMMYFUNCTION("""COMPUTED_VALUE"""),"647B1EEBA7A7")</f>
        <v>647B1EEBA7A7</v>
      </c>
      <c r="D4268" s="21" t="str">
        <f>IFERROR(__xludf.DUMMYFUNCTION("""COMPUTED_VALUE"""),"DIGITEC TECNOLOGIA DIGITAL E REPRES")</f>
        <v>DIGITEC TECNOLOGIA DIGITAL E REPRES</v>
      </c>
      <c r="E4268" s="21">
        <f>IFERROR(__xludf.DUMMYFUNCTION("""COMPUTED_VALUE"""),145359.0)</f>
        <v>145359</v>
      </c>
      <c r="F4268" s="21" t="str">
        <f>IFERROR(__xludf.DUMMYFUNCTION("""COMPUTED_VALUE"""),"INICIALIZADO")</f>
        <v>INICIALIZADO</v>
      </c>
      <c r="G4268" s="23">
        <f>IFERROR(__xludf.DUMMYFUNCTION("""COMPUTED_VALUE"""),45608.70136574074)</f>
        <v>45608.70137</v>
      </c>
      <c r="H4268" s="24" t="str">
        <f>IFERROR(VLOOKUP(B4268,material!A:D,3,0),"")</f>
        <v>WIFI 6</v>
      </c>
    </row>
    <row r="4269" ht="11.25" customHeight="1">
      <c r="A4269" s="21" t="str">
        <f>IFERROR(__xludf.DUMMYFUNCTION("""COMPUTED_VALUE"""),"TERMINAL DOCSIS 3.1 EMTA WIFI6 F@ST3896")</f>
        <v>TERMINAL DOCSIS 3.1 EMTA WIFI6 F@ST3896</v>
      </c>
      <c r="B4269" s="22">
        <f>IFERROR(__xludf.DUMMYFUNCTION("""COMPUTED_VALUE"""),4.1001552E7)</f>
        <v>41001552</v>
      </c>
      <c r="C4269" s="21" t="str">
        <f>IFERROR(__xludf.DUMMYFUNCTION("""COMPUTED_VALUE"""),"647B1EEBA96E")</f>
        <v>647B1EEBA96E</v>
      </c>
      <c r="D4269" s="21" t="str">
        <f>IFERROR(__xludf.DUMMYFUNCTION("""COMPUTED_VALUE"""),"DIGITEC TECNOLOGIA DIGITAL E REPRES")</f>
        <v>DIGITEC TECNOLOGIA DIGITAL E REPRES</v>
      </c>
      <c r="E4269" s="21">
        <f>IFERROR(__xludf.DUMMYFUNCTION("""COMPUTED_VALUE"""),145359.0)</f>
        <v>145359</v>
      </c>
      <c r="F4269" s="21" t="str">
        <f>IFERROR(__xludf.DUMMYFUNCTION("""COMPUTED_VALUE"""),"INICIALIZADO")</f>
        <v>INICIALIZADO</v>
      </c>
      <c r="G4269" s="23">
        <f>IFERROR(__xludf.DUMMYFUNCTION("""COMPUTED_VALUE"""),45608.701377314814)</f>
        <v>45608.70138</v>
      </c>
      <c r="H4269" s="24" t="str">
        <f>IFERROR(VLOOKUP(B4269,material!A:D,3,0),"")</f>
        <v>WIFI 6</v>
      </c>
    </row>
    <row r="4270" ht="11.25" customHeight="1">
      <c r="A4270" s="21" t="str">
        <f>IFERROR(__xludf.DUMMYFUNCTION("""COMPUTED_VALUE"""),"TERMINAL DOCSIS 3.1 EMTA WIFI6 F@ST3896")</f>
        <v>TERMINAL DOCSIS 3.1 EMTA WIFI6 F@ST3896</v>
      </c>
      <c r="B4270" s="22">
        <f>IFERROR(__xludf.DUMMYFUNCTION("""COMPUTED_VALUE"""),4.1001552E7)</f>
        <v>41001552</v>
      </c>
      <c r="C4270" s="21" t="str">
        <f>IFERROR(__xludf.DUMMYFUNCTION("""COMPUTED_VALUE"""),"647B1EEBA93D")</f>
        <v>647B1EEBA93D</v>
      </c>
      <c r="D4270" s="21" t="str">
        <f>IFERROR(__xludf.DUMMYFUNCTION("""COMPUTED_VALUE"""),"DIGITEC TECNOLOGIA DIGITAL E REPRES")</f>
        <v>DIGITEC TECNOLOGIA DIGITAL E REPRES</v>
      </c>
      <c r="E4270" s="21">
        <f>IFERROR(__xludf.DUMMYFUNCTION("""COMPUTED_VALUE"""),145359.0)</f>
        <v>145359</v>
      </c>
      <c r="F4270" s="21" t="str">
        <f>IFERROR(__xludf.DUMMYFUNCTION("""COMPUTED_VALUE"""),"INICIALIZADO")</f>
        <v>INICIALIZADO</v>
      </c>
      <c r="G4270" s="23">
        <f>IFERROR(__xludf.DUMMYFUNCTION("""COMPUTED_VALUE"""),45608.701377314814)</f>
        <v>45608.70138</v>
      </c>
      <c r="H4270" s="24" t="str">
        <f>IFERROR(VLOOKUP(B4270,material!A:D,3,0),"")</f>
        <v>WIFI 6</v>
      </c>
    </row>
    <row r="4271" ht="11.25" customHeight="1">
      <c r="A4271" s="21" t="str">
        <f>IFERROR(__xludf.DUMMYFUNCTION("""COMPUTED_VALUE"""),"TERMINAL DOCSIS 3.1 EMTA WIFI6 F@ST3896")</f>
        <v>TERMINAL DOCSIS 3.1 EMTA WIFI6 F@ST3896</v>
      </c>
      <c r="B4271" s="22">
        <f>IFERROR(__xludf.DUMMYFUNCTION("""COMPUTED_VALUE"""),4.1001552E7)</f>
        <v>41001552</v>
      </c>
      <c r="C4271" s="21" t="str">
        <f>IFERROR(__xludf.DUMMYFUNCTION("""COMPUTED_VALUE"""),"647B1EEBA921")</f>
        <v>647B1EEBA921</v>
      </c>
      <c r="D4271" s="21" t="str">
        <f>IFERROR(__xludf.DUMMYFUNCTION("""COMPUTED_VALUE"""),"DIGITEC TECNOLOGIA DIGITAL E REPRES")</f>
        <v>DIGITEC TECNOLOGIA DIGITAL E REPRES</v>
      </c>
      <c r="E4271" s="21">
        <f>IFERROR(__xludf.DUMMYFUNCTION("""COMPUTED_VALUE"""),145359.0)</f>
        <v>145359</v>
      </c>
      <c r="F4271" s="21" t="str">
        <f>IFERROR(__xludf.DUMMYFUNCTION("""COMPUTED_VALUE"""),"INICIALIZADO")</f>
        <v>INICIALIZADO</v>
      </c>
      <c r="G4271" s="23">
        <f>IFERROR(__xludf.DUMMYFUNCTION("""COMPUTED_VALUE"""),45608.70136574074)</f>
        <v>45608.70137</v>
      </c>
      <c r="H4271" s="24" t="str">
        <f>IFERROR(VLOOKUP(B4271,material!A:D,3,0),"")</f>
        <v>WIFI 6</v>
      </c>
    </row>
    <row r="4272" ht="11.25" customHeight="1">
      <c r="A4272" s="21" t="str">
        <f>IFERROR(__xludf.DUMMYFUNCTION("""COMPUTED_VALUE"""),"TERMINAL DOCSIS 3.1 EMTA WIFI6 F@ST3896")</f>
        <v>TERMINAL DOCSIS 3.1 EMTA WIFI6 F@ST3896</v>
      </c>
      <c r="B4272" s="22">
        <f>IFERROR(__xludf.DUMMYFUNCTION("""COMPUTED_VALUE"""),4.1001552E7)</f>
        <v>41001552</v>
      </c>
      <c r="C4272" s="21" t="str">
        <f>IFERROR(__xludf.DUMMYFUNCTION("""COMPUTED_VALUE"""),"647B1EEBA8E9")</f>
        <v>647B1EEBA8E9</v>
      </c>
      <c r="D4272" s="21" t="str">
        <f>IFERROR(__xludf.DUMMYFUNCTION("""COMPUTED_VALUE"""),"DIGITEC TECNOLOGIA DIGITAL E REPRES")</f>
        <v>DIGITEC TECNOLOGIA DIGITAL E REPRES</v>
      </c>
      <c r="E4272" s="21">
        <f>IFERROR(__xludf.DUMMYFUNCTION("""COMPUTED_VALUE"""),145359.0)</f>
        <v>145359</v>
      </c>
      <c r="F4272" s="21" t="str">
        <f>IFERROR(__xludf.DUMMYFUNCTION("""COMPUTED_VALUE"""),"INICIALIZADO")</f>
        <v>INICIALIZADO</v>
      </c>
      <c r="G4272" s="23">
        <f>IFERROR(__xludf.DUMMYFUNCTION("""COMPUTED_VALUE"""),45608.70136574074)</f>
        <v>45608.70137</v>
      </c>
      <c r="H4272" s="24" t="str">
        <f>IFERROR(VLOOKUP(B4272,material!A:D,3,0),"")</f>
        <v>WIFI 6</v>
      </c>
    </row>
    <row r="4273" ht="11.25" customHeight="1">
      <c r="A4273" s="21" t="str">
        <f>IFERROR(__xludf.DUMMYFUNCTION("""COMPUTED_VALUE"""),"TERMINAL DOCSIS 3.1 EMTA WIFI6 F@ST3896")</f>
        <v>TERMINAL DOCSIS 3.1 EMTA WIFI6 F@ST3896</v>
      </c>
      <c r="B4273" s="22">
        <f>IFERROR(__xludf.DUMMYFUNCTION("""COMPUTED_VALUE"""),4.1001552E7)</f>
        <v>41001552</v>
      </c>
      <c r="C4273" s="21" t="str">
        <f>IFERROR(__xludf.DUMMYFUNCTION("""COMPUTED_VALUE"""),"DC927273793D")</f>
        <v>DC927273793D</v>
      </c>
      <c r="D4273" s="21" t="str">
        <f>IFERROR(__xludf.DUMMYFUNCTION("""COMPUTED_VALUE"""),"DIGITEC TECNOLOGIA DIGITAL E REPRES")</f>
        <v>DIGITEC TECNOLOGIA DIGITAL E REPRES</v>
      </c>
      <c r="E4273" s="21">
        <f>IFERROR(__xludf.DUMMYFUNCTION("""COMPUTED_VALUE"""),145359.0)</f>
        <v>145359</v>
      </c>
      <c r="F4273" s="21" t="str">
        <f>IFERROR(__xludf.DUMMYFUNCTION("""COMPUTED_VALUE"""),"INICIALIZADO")</f>
        <v>INICIALIZADO</v>
      </c>
      <c r="G4273" s="23">
        <f>IFERROR(__xludf.DUMMYFUNCTION("""COMPUTED_VALUE"""),45608.701377314814)</f>
        <v>45608.70138</v>
      </c>
      <c r="H4273" s="24" t="str">
        <f>IFERROR(VLOOKUP(B4273,material!A:D,3,0),"")</f>
        <v>WIFI 6</v>
      </c>
    </row>
    <row r="4274" ht="11.25" customHeight="1">
      <c r="A4274" s="21" t="str">
        <f>IFERROR(__xludf.DUMMYFUNCTION("""COMPUTED_VALUE"""),"TERMINAL DOCSIS 3.1 EMTA WIFI6 F@ST3896")</f>
        <v>TERMINAL DOCSIS 3.1 EMTA WIFI6 F@ST3896</v>
      </c>
      <c r="B4274" s="22">
        <f>IFERROR(__xludf.DUMMYFUNCTION("""COMPUTED_VALUE"""),4.1001552E7)</f>
        <v>41001552</v>
      </c>
      <c r="C4274" s="21" t="str">
        <f>IFERROR(__xludf.DUMMYFUNCTION("""COMPUTED_VALUE"""),"647B1EEE2564")</f>
        <v>647B1EEE2564</v>
      </c>
      <c r="D4274" s="21" t="str">
        <f>IFERROR(__xludf.DUMMYFUNCTION("""COMPUTED_VALUE"""),"DIGITEC TECNOLOGIA DIGITAL E REPRES")</f>
        <v>DIGITEC TECNOLOGIA DIGITAL E REPRES</v>
      </c>
      <c r="E4274" s="21">
        <f>IFERROR(__xludf.DUMMYFUNCTION("""COMPUTED_VALUE"""),145359.0)</f>
        <v>145359</v>
      </c>
      <c r="F4274" s="21" t="str">
        <f>IFERROR(__xludf.DUMMYFUNCTION("""COMPUTED_VALUE"""),"INICIALIZADO")</f>
        <v>INICIALIZADO</v>
      </c>
      <c r="G4274" s="23">
        <f>IFERROR(__xludf.DUMMYFUNCTION("""COMPUTED_VALUE"""),45635.53511574074)</f>
        <v>45635.53512</v>
      </c>
      <c r="H4274" s="24" t="str">
        <f>IFERROR(VLOOKUP(B4274,material!A:D,3,0),"")</f>
        <v>WIFI 6</v>
      </c>
    </row>
    <row r="4275" ht="11.25" customHeight="1">
      <c r="A4275" s="21" t="str">
        <f>IFERROR(__xludf.DUMMYFUNCTION("""COMPUTED_VALUE"""),"TERMINAL DOCSIS 3.1 EMTA WIFI6 F@ST3896")</f>
        <v>TERMINAL DOCSIS 3.1 EMTA WIFI6 F@ST3896</v>
      </c>
      <c r="B4275" s="22">
        <f>IFERROR(__xludf.DUMMYFUNCTION("""COMPUTED_VALUE"""),4.1001552E7)</f>
        <v>41001552</v>
      </c>
      <c r="C4275" s="21" t="str">
        <f>IFERROR(__xludf.DUMMYFUNCTION("""COMPUTED_VALUE"""),"647B1EEE2587")</f>
        <v>647B1EEE2587</v>
      </c>
      <c r="D4275" s="21" t="str">
        <f>IFERROR(__xludf.DUMMYFUNCTION("""COMPUTED_VALUE"""),"DIGITEC TECNOLOGIA DIGITAL E REPRES")</f>
        <v>DIGITEC TECNOLOGIA DIGITAL E REPRES</v>
      </c>
      <c r="E4275" s="21">
        <f>IFERROR(__xludf.DUMMYFUNCTION("""COMPUTED_VALUE"""),145359.0)</f>
        <v>145359</v>
      </c>
      <c r="F4275" s="21" t="str">
        <f>IFERROR(__xludf.DUMMYFUNCTION("""COMPUTED_VALUE"""),"INICIALIZADO")</f>
        <v>INICIALIZADO</v>
      </c>
      <c r="G4275" s="23">
        <f>IFERROR(__xludf.DUMMYFUNCTION("""COMPUTED_VALUE"""),45635.53511574074)</f>
        <v>45635.53512</v>
      </c>
      <c r="H4275" s="24" t="str">
        <f>IFERROR(VLOOKUP(B4275,material!A:D,3,0),"")</f>
        <v>WIFI 6</v>
      </c>
    </row>
    <row r="4276" ht="11.25" customHeight="1">
      <c r="A4276" s="21" t="str">
        <f>IFERROR(__xludf.DUMMYFUNCTION("""COMPUTED_VALUE"""),"TERMINAL DOCSIS 3.1 EMTA WIFI6 F@ST3896")</f>
        <v>TERMINAL DOCSIS 3.1 EMTA WIFI6 F@ST3896</v>
      </c>
      <c r="B4276" s="22">
        <f>IFERROR(__xludf.DUMMYFUNCTION("""COMPUTED_VALUE"""),4.1001552E7)</f>
        <v>41001552</v>
      </c>
      <c r="C4276" s="21" t="str">
        <f>IFERROR(__xludf.DUMMYFUNCTION("""COMPUTED_VALUE"""),"647B1EEE2605")</f>
        <v>647B1EEE2605</v>
      </c>
      <c r="D4276" s="21" t="str">
        <f>IFERROR(__xludf.DUMMYFUNCTION("""COMPUTED_VALUE"""),"DIGITEC TECNOLOGIA DIGITAL E REPRES")</f>
        <v>DIGITEC TECNOLOGIA DIGITAL E REPRES</v>
      </c>
      <c r="E4276" s="21">
        <f>IFERROR(__xludf.DUMMYFUNCTION("""COMPUTED_VALUE"""),145359.0)</f>
        <v>145359</v>
      </c>
      <c r="F4276" s="21" t="str">
        <f>IFERROR(__xludf.DUMMYFUNCTION("""COMPUTED_VALUE"""),"INICIALIZADO")</f>
        <v>INICIALIZADO</v>
      </c>
      <c r="G4276" s="23">
        <f>IFERROR(__xludf.DUMMYFUNCTION("""COMPUTED_VALUE"""),45635.53511574074)</f>
        <v>45635.53512</v>
      </c>
      <c r="H4276" s="24" t="str">
        <f>IFERROR(VLOOKUP(B4276,material!A:D,3,0),"")</f>
        <v>WIFI 6</v>
      </c>
    </row>
    <row r="4277" ht="11.25" customHeight="1">
      <c r="A4277" s="21" t="str">
        <f>IFERROR(__xludf.DUMMYFUNCTION("""COMPUTED_VALUE"""),"TERMINAL DOCSIS 3.1 EMTA WIFI6 F@ST3896")</f>
        <v>TERMINAL DOCSIS 3.1 EMTA WIFI6 F@ST3896</v>
      </c>
      <c r="B4277" s="22">
        <f>IFERROR(__xludf.DUMMYFUNCTION("""COMPUTED_VALUE"""),4.1001552E7)</f>
        <v>41001552</v>
      </c>
      <c r="C4277" s="21" t="str">
        <f>IFERROR(__xludf.DUMMYFUNCTION("""COMPUTED_VALUE"""),"647B1EEE124E")</f>
        <v>647B1EEE124E</v>
      </c>
      <c r="D4277" s="21" t="str">
        <f>IFERROR(__xludf.DUMMYFUNCTION("""COMPUTED_VALUE"""),"DIGITEC TECNOLOGIA DIGITAL E REPRES")</f>
        <v>DIGITEC TECNOLOGIA DIGITAL E REPRES</v>
      </c>
      <c r="E4277" s="21">
        <f>IFERROR(__xludf.DUMMYFUNCTION("""COMPUTED_VALUE"""),145359.0)</f>
        <v>145359</v>
      </c>
      <c r="F4277" s="21" t="str">
        <f>IFERROR(__xludf.DUMMYFUNCTION("""COMPUTED_VALUE"""),"INICIALIZADO")</f>
        <v>INICIALIZADO</v>
      </c>
      <c r="G4277" s="23">
        <f>IFERROR(__xludf.DUMMYFUNCTION("""COMPUTED_VALUE"""),45635.53511574074)</f>
        <v>45635.53512</v>
      </c>
      <c r="H4277" s="24" t="str">
        <f>IFERROR(VLOOKUP(B4277,material!A:D,3,0),"")</f>
        <v>WIFI 6</v>
      </c>
    </row>
    <row r="4278" ht="11.25" customHeight="1">
      <c r="A4278" s="21" t="str">
        <f>IFERROR(__xludf.DUMMYFUNCTION("""COMPUTED_VALUE"""),"TERMINAL DOCSIS 3.1 EMTA WIFI6 F@ST3896")</f>
        <v>TERMINAL DOCSIS 3.1 EMTA WIFI6 F@ST3896</v>
      </c>
      <c r="B4278" s="22">
        <f>IFERROR(__xludf.DUMMYFUNCTION("""COMPUTED_VALUE"""),4.1001552E7)</f>
        <v>41001552</v>
      </c>
      <c r="C4278" s="21" t="str">
        <f>IFERROR(__xludf.DUMMYFUNCTION("""COMPUTED_VALUE"""),"647B1EEE240D")</f>
        <v>647B1EEE240D</v>
      </c>
      <c r="D4278" s="21" t="str">
        <f>IFERROR(__xludf.DUMMYFUNCTION("""COMPUTED_VALUE"""),"DIGITEC TECNOLOGIA DIGITAL E REPRES")</f>
        <v>DIGITEC TECNOLOGIA DIGITAL E REPRES</v>
      </c>
      <c r="E4278" s="21">
        <f>IFERROR(__xludf.DUMMYFUNCTION("""COMPUTED_VALUE"""),145359.0)</f>
        <v>145359</v>
      </c>
      <c r="F4278" s="21" t="str">
        <f>IFERROR(__xludf.DUMMYFUNCTION("""COMPUTED_VALUE"""),"INICIALIZADO")</f>
        <v>INICIALIZADO</v>
      </c>
      <c r="G4278" s="23">
        <f>IFERROR(__xludf.DUMMYFUNCTION("""COMPUTED_VALUE"""),45635.535104166665)</f>
        <v>45635.5351</v>
      </c>
      <c r="H4278" s="24" t="str">
        <f>IFERROR(VLOOKUP(B4278,material!A:D,3,0),"")</f>
        <v>WIFI 6</v>
      </c>
    </row>
    <row r="4279" ht="11.25" customHeight="1">
      <c r="A4279" s="21" t="str">
        <f>IFERROR(__xludf.DUMMYFUNCTION("""COMPUTED_VALUE"""),"TERMINAL DOCSIS 3.1 EMTA WIFI6 F@ST3896")</f>
        <v>TERMINAL DOCSIS 3.1 EMTA WIFI6 F@ST3896</v>
      </c>
      <c r="B4279" s="22">
        <f>IFERROR(__xludf.DUMMYFUNCTION("""COMPUTED_VALUE"""),4.1001552E7)</f>
        <v>41001552</v>
      </c>
      <c r="C4279" s="21" t="str">
        <f>IFERROR(__xludf.DUMMYFUNCTION("""COMPUTED_VALUE"""),"647B1EEE24DF")</f>
        <v>647B1EEE24DF</v>
      </c>
      <c r="D4279" s="21" t="str">
        <f>IFERROR(__xludf.DUMMYFUNCTION("""COMPUTED_VALUE"""),"DIGITEC TECNOLOGIA DIGITAL E REPRES")</f>
        <v>DIGITEC TECNOLOGIA DIGITAL E REPRES</v>
      </c>
      <c r="E4279" s="21">
        <f>IFERROR(__xludf.DUMMYFUNCTION("""COMPUTED_VALUE"""),145359.0)</f>
        <v>145359</v>
      </c>
      <c r="F4279" s="21" t="str">
        <f>IFERROR(__xludf.DUMMYFUNCTION("""COMPUTED_VALUE"""),"INICIALIZADO")</f>
        <v>INICIALIZADO</v>
      </c>
      <c r="G4279" s="23">
        <f>IFERROR(__xludf.DUMMYFUNCTION("""COMPUTED_VALUE"""),45635.53511574074)</f>
        <v>45635.53512</v>
      </c>
      <c r="H4279" s="24" t="str">
        <f>IFERROR(VLOOKUP(B4279,material!A:D,3,0),"")</f>
        <v>WIFI 6</v>
      </c>
    </row>
    <row r="4280" ht="11.25" customHeight="1">
      <c r="A4280" s="21" t="str">
        <f>IFERROR(__xludf.DUMMYFUNCTION("""COMPUTED_VALUE"""),"TERMINAL DOCSIS 3.1 EMTA WIFI6 F@ST3896")</f>
        <v>TERMINAL DOCSIS 3.1 EMTA WIFI6 F@ST3896</v>
      </c>
      <c r="B4280" s="22">
        <f>IFERROR(__xludf.DUMMYFUNCTION("""COMPUTED_VALUE"""),4.1001552E7)</f>
        <v>41001552</v>
      </c>
      <c r="C4280" s="21" t="str">
        <f>IFERROR(__xludf.DUMMYFUNCTION("""COMPUTED_VALUE"""),"647B1EEE23F1")</f>
        <v>647B1EEE23F1</v>
      </c>
      <c r="D4280" s="21" t="str">
        <f>IFERROR(__xludf.DUMMYFUNCTION("""COMPUTED_VALUE"""),"DIGITEC TECNOLOGIA DIGITAL E REPRES")</f>
        <v>DIGITEC TECNOLOGIA DIGITAL E REPRES</v>
      </c>
      <c r="E4280" s="21">
        <f>IFERROR(__xludf.DUMMYFUNCTION("""COMPUTED_VALUE"""),145359.0)</f>
        <v>145359</v>
      </c>
      <c r="F4280" s="21" t="str">
        <f>IFERROR(__xludf.DUMMYFUNCTION("""COMPUTED_VALUE"""),"INICIALIZADO")</f>
        <v>INICIALIZADO</v>
      </c>
      <c r="G4280" s="23">
        <f>IFERROR(__xludf.DUMMYFUNCTION("""COMPUTED_VALUE"""),45635.535104166665)</f>
        <v>45635.5351</v>
      </c>
      <c r="H4280" s="24" t="str">
        <f>IFERROR(VLOOKUP(B4280,material!A:D,3,0),"")</f>
        <v>WIFI 6</v>
      </c>
    </row>
    <row r="4281" ht="11.25" customHeight="1">
      <c r="A4281" s="21" t="str">
        <f>IFERROR(__xludf.DUMMYFUNCTION("""COMPUTED_VALUE"""),"TERMINAL DOCSIS 3.1 EMTA WIFI6 F@ST3896")</f>
        <v>TERMINAL DOCSIS 3.1 EMTA WIFI6 F@ST3896</v>
      </c>
      <c r="B4281" s="22">
        <f>IFERROR(__xludf.DUMMYFUNCTION("""COMPUTED_VALUE"""),4.1001552E7)</f>
        <v>41001552</v>
      </c>
      <c r="C4281" s="21" t="str">
        <f>IFERROR(__xludf.DUMMYFUNCTION("""COMPUTED_VALUE"""),"647B1EEE23C0")</f>
        <v>647B1EEE23C0</v>
      </c>
      <c r="D4281" s="21" t="str">
        <f>IFERROR(__xludf.DUMMYFUNCTION("""COMPUTED_VALUE"""),"DIGITEC TECNOLOGIA DIGITAL E REPRES")</f>
        <v>DIGITEC TECNOLOGIA DIGITAL E REPRES</v>
      </c>
      <c r="E4281" s="21">
        <f>IFERROR(__xludf.DUMMYFUNCTION("""COMPUTED_VALUE"""),145359.0)</f>
        <v>145359</v>
      </c>
      <c r="F4281" s="21" t="str">
        <f>IFERROR(__xludf.DUMMYFUNCTION("""COMPUTED_VALUE"""),"INICIALIZADO")</f>
        <v>INICIALIZADO</v>
      </c>
      <c r="G4281" s="23">
        <f>IFERROR(__xludf.DUMMYFUNCTION("""COMPUTED_VALUE"""),45635.53511574074)</f>
        <v>45635.53512</v>
      </c>
      <c r="H4281" s="24" t="str">
        <f>IFERROR(VLOOKUP(B4281,material!A:D,3,0),"")</f>
        <v>WIFI 6</v>
      </c>
    </row>
    <row r="4282" ht="11.25" customHeight="1">
      <c r="A4282" s="21" t="str">
        <f>IFERROR(__xludf.DUMMYFUNCTION("""COMPUTED_VALUE"""),"TERMINAL DOCSIS 3.1 EMTA WIFI6 F@ST3896")</f>
        <v>TERMINAL DOCSIS 3.1 EMTA WIFI6 F@ST3896</v>
      </c>
      <c r="B4282" s="22">
        <f>IFERROR(__xludf.DUMMYFUNCTION("""COMPUTED_VALUE"""),4.1001552E7)</f>
        <v>41001552</v>
      </c>
      <c r="C4282" s="21" t="str">
        <f>IFERROR(__xludf.DUMMYFUNCTION("""COMPUTED_VALUE"""),"647B1EEC9323")</f>
        <v>647B1EEC9323</v>
      </c>
      <c r="D4282" s="21" t="str">
        <f>IFERROR(__xludf.DUMMYFUNCTION("""COMPUTED_VALUE"""),"DIGITEC TECNOLOGIA DIGITAL E REPRES")</f>
        <v>DIGITEC TECNOLOGIA DIGITAL E REPRES</v>
      </c>
      <c r="E4282" s="21">
        <f>IFERROR(__xludf.DUMMYFUNCTION("""COMPUTED_VALUE"""),145359.0)</f>
        <v>145359</v>
      </c>
      <c r="F4282" s="21" t="str">
        <f>IFERROR(__xludf.DUMMYFUNCTION("""COMPUTED_VALUE"""),"INICIALIZADO")</f>
        <v>INICIALIZADO</v>
      </c>
      <c r="G4282" s="23">
        <f>IFERROR(__xludf.DUMMYFUNCTION("""COMPUTED_VALUE"""),45618.74480324074)</f>
        <v>45618.7448</v>
      </c>
      <c r="H4282" s="24" t="str">
        <f>IFERROR(VLOOKUP(B4282,material!A:D,3,0),"")</f>
        <v>WIFI 6</v>
      </c>
    </row>
    <row r="4283" ht="11.25" customHeight="1">
      <c r="A4283" s="21" t="str">
        <f>IFERROR(__xludf.DUMMYFUNCTION("""COMPUTED_VALUE"""),"TERMINAL DOCSIS 3.1 EMTA WIFI6 F@ST3896")</f>
        <v>TERMINAL DOCSIS 3.1 EMTA WIFI6 F@ST3896</v>
      </c>
      <c r="B4283" s="22">
        <f>IFERROR(__xludf.DUMMYFUNCTION("""COMPUTED_VALUE"""),4.1001552E7)</f>
        <v>41001552</v>
      </c>
      <c r="C4283" s="21" t="str">
        <f>IFERROR(__xludf.DUMMYFUNCTION("""COMPUTED_VALUE"""),"647B1EECF2F3")</f>
        <v>647B1EECF2F3</v>
      </c>
      <c r="D4283" s="21" t="str">
        <f>IFERROR(__xludf.DUMMYFUNCTION("""COMPUTED_VALUE"""),"DIGITEC TECNOLOGIA DIGITAL E REPRES")</f>
        <v>DIGITEC TECNOLOGIA DIGITAL E REPRES</v>
      </c>
      <c r="E4283" s="21">
        <f>IFERROR(__xludf.DUMMYFUNCTION("""COMPUTED_VALUE"""),145359.0)</f>
        <v>145359</v>
      </c>
      <c r="F4283" s="21" t="str">
        <f>IFERROR(__xludf.DUMMYFUNCTION("""COMPUTED_VALUE"""),"INICIALIZADO")</f>
        <v>INICIALIZADO</v>
      </c>
      <c r="G4283" s="23">
        <f>IFERROR(__xludf.DUMMYFUNCTION("""COMPUTED_VALUE"""),45625.653182870374)</f>
        <v>45625.65318</v>
      </c>
      <c r="H4283" s="24" t="str">
        <f>IFERROR(VLOOKUP(B4283,material!A:D,3,0),"")</f>
        <v>WIFI 6</v>
      </c>
    </row>
    <row r="4284" ht="11.25" customHeight="1">
      <c r="A4284" s="21" t="str">
        <f>IFERROR(__xludf.DUMMYFUNCTION("""COMPUTED_VALUE"""),"TERMINAL DOCSIS 3.1 EMTA WIFI6 F@ST3896")</f>
        <v>TERMINAL DOCSIS 3.1 EMTA WIFI6 F@ST3896</v>
      </c>
      <c r="B4284" s="22">
        <f>IFERROR(__xludf.DUMMYFUNCTION("""COMPUTED_VALUE"""),4.1001552E7)</f>
        <v>41001552</v>
      </c>
      <c r="C4284" s="21" t="str">
        <f>IFERROR(__xludf.DUMMYFUNCTION("""COMPUTED_VALUE"""),"647B1EECF26E")</f>
        <v>647B1EECF26E</v>
      </c>
      <c r="D4284" s="21" t="str">
        <f>IFERROR(__xludf.DUMMYFUNCTION("""COMPUTED_VALUE"""),"DIGITEC TECNOLOGIA DIGITAL E REPRES")</f>
        <v>DIGITEC TECNOLOGIA DIGITAL E REPRES</v>
      </c>
      <c r="E4284" s="21">
        <f>IFERROR(__xludf.DUMMYFUNCTION("""COMPUTED_VALUE"""),145359.0)</f>
        <v>145359</v>
      </c>
      <c r="F4284" s="21" t="str">
        <f>IFERROR(__xludf.DUMMYFUNCTION("""COMPUTED_VALUE"""),"INICIALIZADO")</f>
        <v>INICIALIZADO</v>
      </c>
      <c r="G4284" s="23">
        <f>IFERROR(__xludf.DUMMYFUNCTION("""COMPUTED_VALUE"""),45625.653182870374)</f>
        <v>45625.65318</v>
      </c>
      <c r="H4284" s="24" t="str">
        <f>IFERROR(VLOOKUP(B4284,material!A:D,3,0),"")</f>
        <v>WIFI 6</v>
      </c>
    </row>
    <row r="4285" ht="11.25" customHeight="1">
      <c r="A4285" s="21" t="str">
        <f>IFERROR(__xludf.DUMMYFUNCTION("""COMPUTED_VALUE"""),"TERMINAL DOCSIS 3.1 EMTA WIFI6 F@ST3896")</f>
        <v>TERMINAL DOCSIS 3.1 EMTA WIFI6 F@ST3896</v>
      </c>
      <c r="B4285" s="22">
        <f>IFERROR(__xludf.DUMMYFUNCTION("""COMPUTED_VALUE"""),4.1001552E7)</f>
        <v>41001552</v>
      </c>
      <c r="C4285" s="21" t="str">
        <f>IFERROR(__xludf.DUMMYFUNCTION("""COMPUTED_VALUE"""),"647B1EECF03E")</f>
        <v>647B1EECF03E</v>
      </c>
      <c r="D4285" s="21" t="str">
        <f>IFERROR(__xludf.DUMMYFUNCTION("""COMPUTED_VALUE"""),"DIGITEC TECNOLOGIA DIGITAL E REPRES")</f>
        <v>DIGITEC TECNOLOGIA DIGITAL E REPRES</v>
      </c>
      <c r="E4285" s="21">
        <f>IFERROR(__xludf.DUMMYFUNCTION("""COMPUTED_VALUE"""),145359.0)</f>
        <v>145359</v>
      </c>
      <c r="F4285" s="21" t="str">
        <f>IFERROR(__xludf.DUMMYFUNCTION("""COMPUTED_VALUE"""),"INICIALIZADO")</f>
        <v>INICIALIZADO</v>
      </c>
      <c r="G4285" s="23">
        <f>IFERROR(__xludf.DUMMYFUNCTION("""COMPUTED_VALUE"""),45625.653182870374)</f>
        <v>45625.65318</v>
      </c>
      <c r="H4285" s="24" t="str">
        <f>IFERROR(VLOOKUP(B4285,material!A:D,3,0),"")</f>
        <v>WIFI 6</v>
      </c>
    </row>
    <row r="4286" ht="11.25" customHeight="1">
      <c r="A4286" s="21" t="str">
        <f>IFERROR(__xludf.DUMMYFUNCTION("""COMPUTED_VALUE"""),"TERMINAL DOCSIS 3.1 EMTA WIFI6 F@ST3896")</f>
        <v>TERMINAL DOCSIS 3.1 EMTA WIFI6 F@ST3896</v>
      </c>
      <c r="B4286" s="22">
        <f>IFERROR(__xludf.DUMMYFUNCTION("""COMPUTED_VALUE"""),4.1001552E7)</f>
        <v>41001552</v>
      </c>
      <c r="C4286" s="21" t="str">
        <f>IFERROR(__xludf.DUMMYFUNCTION("""COMPUTED_VALUE"""),"647B1EECA4E9")</f>
        <v>647B1EECA4E9</v>
      </c>
      <c r="D4286" s="21" t="str">
        <f>IFERROR(__xludf.DUMMYFUNCTION("""COMPUTED_VALUE"""),"DIGITEC TECNOLOGIA DIGITAL E REPRES")</f>
        <v>DIGITEC TECNOLOGIA DIGITAL E REPRES</v>
      </c>
      <c r="E4286" s="21">
        <f>IFERROR(__xludf.DUMMYFUNCTION("""COMPUTED_VALUE"""),145359.0)</f>
        <v>145359</v>
      </c>
      <c r="F4286" s="21" t="str">
        <f>IFERROR(__xludf.DUMMYFUNCTION("""COMPUTED_VALUE"""),"INICIALIZADO")</f>
        <v>INICIALIZADO</v>
      </c>
      <c r="G4286" s="23">
        <f>IFERROR(__xludf.DUMMYFUNCTION("""COMPUTED_VALUE"""),45618.74480324074)</f>
        <v>45618.7448</v>
      </c>
      <c r="H4286" s="24" t="str">
        <f>IFERROR(VLOOKUP(B4286,material!A:D,3,0),"")</f>
        <v>WIFI 6</v>
      </c>
    </row>
    <row r="4287" ht="11.25" customHeight="1">
      <c r="A4287" s="21" t="str">
        <f>IFERROR(__xludf.DUMMYFUNCTION("""COMPUTED_VALUE"""),"TERMINAL DOCSIS 3.1 EMTA WIFI6 F@ST3896")</f>
        <v>TERMINAL DOCSIS 3.1 EMTA WIFI6 F@ST3896</v>
      </c>
      <c r="B4287" s="22">
        <f>IFERROR(__xludf.DUMMYFUNCTION("""COMPUTED_VALUE"""),4.1001552E7)</f>
        <v>41001552</v>
      </c>
      <c r="C4287" s="21" t="str">
        <f>IFERROR(__xludf.DUMMYFUNCTION("""COMPUTED_VALUE"""),"647B1EEC9377")</f>
        <v>647B1EEC9377</v>
      </c>
      <c r="D4287" s="21" t="str">
        <f>IFERROR(__xludf.DUMMYFUNCTION("""COMPUTED_VALUE"""),"DIGITEC TECNOLOGIA DIGITAL E REPRES")</f>
        <v>DIGITEC TECNOLOGIA DIGITAL E REPRES</v>
      </c>
      <c r="E4287" s="21">
        <f>IFERROR(__xludf.DUMMYFUNCTION("""COMPUTED_VALUE"""),145359.0)</f>
        <v>145359</v>
      </c>
      <c r="F4287" s="21" t="str">
        <f>IFERROR(__xludf.DUMMYFUNCTION("""COMPUTED_VALUE"""),"INICIALIZADO")</f>
        <v>INICIALIZADO</v>
      </c>
      <c r="G4287" s="23">
        <f>IFERROR(__xludf.DUMMYFUNCTION("""COMPUTED_VALUE"""),45618.74480324074)</f>
        <v>45618.7448</v>
      </c>
      <c r="H4287" s="24" t="str">
        <f>IFERROR(VLOOKUP(B4287,material!A:D,3,0),"")</f>
        <v>WIFI 6</v>
      </c>
    </row>
    <row r="4288" ht="11.25" customHeight="1">
      <c r="A4288" s="21" t="str">
        <f>IFERROR(__xludf.DUMMYFUNCTION("""COMPUTED_VALUE"""),"TERMINAL DOCSIS 3.1 EMTA WIFI6 F@ST3896")</f>
        <v>TERMINAL DOCSIS 3.1 EMTA WIFI6 F@ST3896</v>
      </c>
      <c r="B4288" s="22">
        <f>IFERROR(__xludf.DUMMYFUNCTION("""COMPUTED_VALUE"""),4.1001552E7)</f>
        <v>41001552</v>
      </c>
      <c r="C4288" s="21" t="str">
        <f>IFERROR(__xludf.DUMMYFUNCTION("""COMPUTED_VALUE"""),"647B1EEC9235")</f>
        <v>647B1EEC9235</v>
      </c>
      <c r="D4288" s="21" t="str">
        <f>IFERROR(__xludf.DUMMYFUNCTION("""COMPUTED_VALUE"""),"DIGITEC TECNOLOGIA DIGITAL E REPRES")</f>
        <v>DIGITEC TECNOLOGIA DIGITAL E REPRES</v>
      </c>
      <c r="E4288" s="21">
        <f>IFERROR(__xludf.DUMMYFUNCTION("""COMPUTED_VALUE"""),145359.0)</f>
        <v>145359</v>
      </c>
      <c r="F4288" s="21" t="str">
        <f>IFERROR(__xludf.DUMMYFUNCTION("""COMPUTED_VALUE"""),"INICIALIZADO")</f>
        <v>INICIALIZADO</v>
      </c>
      <c r="G4288" s="23">
        <f>IFERROR(__xludf.DUMMYFUNCTION("""COMPUTED_VALUE"""),45618.74480324074)</f>
        <v>45618.7448</v>
      </c>
      <c r="H4288" s="24" t="str">
        <f>IFERROR(VLOOKUP(B4288,material!A:D,3,0),"")</f>
        <v>WIFI 6</v>
      </c>
    </row>
    <row r="4289" ht="11.25" customHeight="1">
      <c r="A4289" s="21" t="str">
        <f>IFERROR(__xludf.DUMMYFUNCTION("""COMPUTED_VALUE"""),"TERMINAL DOCSIS 3.1 EMTA WIFI6 F@ST3896")</f>
        <v>TERMINAL DOCSIS 3.1 EMTA WIFI6 F@ST3896</v>
      </c>
      <c r="B4289" s="22">
        <f>IFERROR(__xludf.DUMMYFUNCTION("""COMPUTED_VALUE"""),4.1001552E7)</f>
        <v>41001552</v>
      </c>
      <c r="C4289" s="21" t="str">
        <f>IFERROR(__xludf.DUMMYFUNCTION("""COMPUTED_VALUE"""),"647B1EEC91A2")</f>
        <v>647B1EEC91A2</v>
      </c>
      <c r="D4289" s="21" t="str">
        <f>IFERROR(__xludf.DUMMYFUNCTION("""COMPUTED_VALUE"""),"DIGITEC TECNOLOGIA DIGITAL E REPRES")</f>
        <v>DIGITEC TECNOLOGIA DIGITAL E REPRES</v>
      </c>
      <c r="E4289" s="21">
        <f>IFERROR(__xludf.DUMMYFUNCTION("""COMPUTED_VALUE"""),145359.0)</f>
        <v>145359</v>
      </c>
      <c r="F4289" s="21" t="str">
        <f>IFERROR(__xludf.DUMMYFUNCTION("""COMPUTED_VALUE"""),"INICIALIZADO")</f>
        <v>INICIALIZADO</v>
      </c>
      <c r="G4289" s="23">
        <f>IFERROR(__xludf.DUMMYFUNCTION("""COMPUTED_VALUE"""),45618.74480324074)</f>
        <v>45618.7448</v>
      </c>
      <c r="H4289" s="24" t="str">
        <f>IFERROR(VLOOKUP(B4289,material!A:D,3,0),"")</f>
        <v>WIFI 6</v>
      </c>
    </row>
    <row r="4290" ht="11.25" customHeight="1">
      <c r="A4290" s="21" t="str">
        <f>IFERROR(__xludf.DUMMYFUNCTION("""COMPUTED_VALUE"""),"TERMINAL DOCSIS 3.1 EMTA WIFI6 F@ST3896")</f>
        <v>TERMINAL DOCSIS 3.1 EMTA WIFI6 F@ST3896</v>
      </c>
      <c r="B4290" s="22">
        <f>IFERROR(__xludf.DUMMYFUNCTION("""COMPUTED_VALUE"""),4.1001552E7)</f>
        <v>41001552</v>
      </c>
      <c r="C4290" s="21" t="str">
        <f>IFERROR(__xludf.DUMMYFUNCTION("""COMPUTED_VALUE"""),"647B1EEC906E")</f>
        <v>647B1EEC906E</v>
      </c>
      <c r="D4290" s="21" t="str">
        <f>IFERROR(__xludf.DUMMYFUNCTION("""COMPUTED_VALUE"""),"DIGITEC TECNOLOGIA DIGITAL E REPRES")</f>
        <v>DIGITEC TECNOLOGIA DIGITAL E REPRES</v>
      </c>
      <c r="E4290" s="21">
        <f>IFERROR(__xludf.DUMMYFUNCTION("""COMPUTED_VALUE"""),145359.0)</f>
        <v>145359</v>
      </c>
      <c r="F4290" s="21" t="str">
        <f>IFERROR(__xludf.DUMMYFUNCTION("""COMPUTED_VALUE"""),"INICIALIZADO")</f>
        <v>INICIALIZADO</v>
      </c>
      <c r="G4290" s="23">
        <f>IFERROR(__xludf.DUMMYFUNCTION("""COMPUTED_VALUE"""),45618.74480324074)</f>
        <v>45618.7448</v>
      </c>
      <c r="H4290" s="24" t="str">
        <f>IFERROR(VLOOKUP(B4290,material!A:D,3,0),"")</f>
        <v>WIFI 6</v>
      </c>
    </row>
    <row r="4291" ht="11.25" customHeight="1">
      <c r="A4291" s="21" t="str">
        <f>IFERROR(__xludf.DUMMYFUNCTION("""COMPUTED_VALUE"""),"TERMINAL DOCSIS 3.1 EMTA WIFI6 F@ST3896")</f>
        <v>TERMINAL DOCSIS 3.1 EMTA WIFI6 F@ST3896</v>
      </c>
      <c r="B4291" s="22">
        <f>IFERROR(__xludf.DUMMYFUNCTION("""COMPUTED_VALUE"""),4.1001552E7)</f>
        <v>41001552</v>
      </c>
      <c r="C4291" s="21" t="str">
        <f>IFERROR(__xludf.DUMMYFUNCTION("""COMPUTED_VALUE"""),"647B1EECF404")</f>
        <v>647B1EECF404</v>
      </c>
      <c r="D4291" s="21" t="str">
        <f>IFERROR(__xludf.DUMMYFUNCTION("""COMPUTED_VALUE"""),"DIGITEC TECNOLOGIA DIGITAL E REPRES")</f>
        <v>DIGITEC TECNOLOGIA DIGITAL E REPRES</v>
      </c>
      <c r="E4291" s="21">
        <f>IFERROR(__xludf.DUMMYFUNCTION("""COMPUTED_VALUE"""),145359.0)</f>
        <v>145359</v>
      </c>
      <c r="F4291" s="21" t="str">
        <f>IFERROR(__xludf.DUMMYFUNCTION("""COMPUTED_VALUE"""),"INICIALIZADO")</f>
        <v>INICIALIZADO</v>
      </c>
      <c r="G4291" s="23">
        <f>IFERROR(__xludf.DUMMYFUNCTION("""COMPUTED_VALUE"""),45625.653182870374)</f>
        <v>45625.65318</v>
      </c>
      <c r="H4291" s="24" t="str">
        <f>IFERROR(VLOOKUP(B4291,material!A:D,3,0),"")</f>
        <v>WIFI 6</v>
      </c>
    </row>
    <row r="4292" ht="11.25" customHeight="1">
      <c r="A4292" s="21" t="str">
        <f>IFERROR(__xludf.DUMMYFUNCTION("""COMPUTED_VALUE"""),"TERMINAL DOCSIS 3.1 EMTA WIFI6 F@ST3896")</f>
        <v>TERMINAL DOCSIS 3.1 EMTA WIFI6 F@ST3896</v>
      </c>
      <c r="B4292" s="22">
        <f>IFERROR(__xludf.DUMMYFUNCTION("""COMPUTED_VALUE"""),4.1001552E7)</f>
        <v>41001552</v>
      </c>
      <c r="C4292" s="21" t="str">
        <f>IFERROR(__xludf.DUMMYFUNCTION("""COMPUTED_VALUE"""),"647B1EECEFDC")</f>
        <v>647B1EECEFDC</v>
      </c>
      <c r="D4292" s="21" t="str">
        <f>IFERROR(__xludf.DUMMYFUNCTION("""COMPUTED_VALUE"""),"DIGITEC TECNOLOGIA DIGITAL E REPRES")</f>
        <v>DIGITEC TECNOLOGIA DIGITAL E REPRES</v>
      </c>
      <c r="E4292" s="21">
        <f>IFERROR(__xludf.DUMMYFUNCTION("""COMPUTED_VALUE"""),145359.0)</f>
        <v>145359</v>
      </c>
      <c r="F4292" s="21" t="str">
        <f>IFERROR(__xludf.DUMMYFUNCTION("""COMPUTED_VALUE"""),"INICIALIZADO")</f>
        <v>INICIALIZADO</v>
      </c>
      <c r="G4292" s="23">
        <f>IFERROR(__xludf.DUMMYFUNCTION("""COMPUTED_VALUE"""),45625.653182870374)</f>
        <v>45625.65318</v>
      </c>
      <c r="H4292" s="24" t="str">
        <f>IFERROR(VLOOKUP(B4292,material!A:D,3,0),"")</f>
        <v>WIFI 6</v>
      </c>
    </row>
    <row r="4293" ht="11.25" customHeight="1">
      <c r="A4293" s="21" t="str">
        <f>IFERROR(__xludf.DUMMYFUNCTION("""COMPUTED_VALUE"""),"TERMINAL DOCSIS 3.1 EMTA WIFI6 F@ST3896")</f>
        <v>TERMINAL DOCSIS 3.1 EMTA WIFI6 F@ST3896</v>
      </c>
      <c r="B4293" s="22">
        <f>IFERROR(__xludf.DUMMYFUNCTION("""COMPUTED_VALUE"""),4.1001552E7)</f>
        <v>41001552</v>
      </c>
      <c r="C4293" s="21" t="str">
        <f>IFERROR(__xludf.DUMMYFUNCTION("""COMPUTED_VALUE"""),"647B1EECF20C")</f>
        <v>647B1EECF20C</v>
      </c>
      <c r="D4293" s="21" t="str">
        <f>IFERROR(__xludf.DUMMYFUNCTION("""COMPUTED_VALUE"""),"DIGITEC TECNOLOGIA DIGITAL E REPRES")</f>
        <v>DIGITEC TECNOLOGIA DIGITAL E REPRES</v>
      </c>
      <c r="E4293" s="21">
        <f>IFERROR(__xludf.DUMMYFUNCTION("""COMPUTED_VALUE"""),145359.0)</f>
        <v>145359</v>
      </c>
      <c r="F4293" s="21" t="str">
        <f>IFERROR(__xludf.DUMMYFUNCTION("""COMPUTED_VALUE"""),"INICIALIZADO")</f>
        <v>INICIALIZADO</v>
      </c>
      <c r="G4293" s="23">
        <f>IFERROR(__xludf.DUMMYFUNCTION("""COMPUTED_VALUE"""),45625.653182870374)</f>
        <v>45625.65318</v>
      </c>
      <c r="H4293" s="24" t="str">
        <f>IFERROR(VLOOKUP(B4293,material!A:D,3,0),"")</f>
        <v>WIFI 6</v>
      </c>
    </row>
    <row r="4294" ht="11.25" customHeight="1">
      <c r="A4294" s="21" t="str">
        <f>IFERROR(__xludf.DUMMYFUNCTION("""COMPUTED_VALUE"""),"TERMINAL DOCSIS 3.1 EMTA WIFI6 F@ST3896")</f>
        <v>TERMINAL DOCSIS 3.1 EMTA WIFI6 F@ST3896</v>
      </c>
      <c r="B4294" s="22">
        <f>IFERROR(__xludf.DUMMYFUNCTION("""COMPUTED_VALUE"""),4.1001552E7)</f>
        <v>41001552</v>
      </c>
      <c r="C4294" s="21" t="str">
        <f>IFERROR(__xludf.DUMMYFUNCTION("""COMPUTED_VALUE"""),"647B1EECF1A3")</f>
        <v>647B1EECF1A3</v>
      </c>
      <c r="D4294" s="21" t="str">
        <f>IFERROR(__xludf.DUMMYFUNCTION("""COMPUTED_VALUE"""),"DIGITEC TECNOLOGIA DIGITAL E REPRES")</f>
        <v>DIGITEC TECNOLOGIA DIGITAL E REPRES</v>
      </c>
      <c r="E4294" s="21">
        <f>IFERROR(__xludf.DUMMYFUNCTION("""COMPUTED_VALUE"""),145359.0)</f>
        <v>145359</v>
      </c>
      <c r="F4294" s="21" t="str">
        <f>IFERROR(__xludf.DUMMYFUNCTION("""COMPUTED_VALUE"""),"INICIALIZADO")</f>
        <v>INICIALIZADO</v>
      </c>
      <c r="G4294" s="23">
        <f>IFERROR(__xludf.DUMMYFUNCTION("""COMPUTED_VALUE"""),45625.653182870374)</f>
        <v>45625.65318</v>
      </c>
      <c r="H4294" s="24" t="str">
        <f>IFERROR(VLOOKUP(B4294,material!A:D,3,0),"")</f>
        <v>WIFI 6</v>
      </c>
    </row>
    <row r="4295" ht="11.25" customHeight="1">
      <c r="A4295" s="21" t="str">
        <f>IFERROR(__xludf.DUMMYFUNCTION("""COMPUTED_VALUE"""),"TERMINAL DOCSIS 3.1 EMTA WIFI6 F@ST3896")</f>
        <v>TERMINAL DOCSIS 3.1 EMTA WIFI6 F@ST3896</v>
      </c>
      <c r="B4295" s="22">
        <f>IFERROR(__xludf.DUMMYFUNCTION("""COMPUTED_VALUE"""),4.1001552E7)</f>
        <v>41001552</v>
      </c>
      <c r="C4295" s="21" t="str">
        <f>IFERROR(__xludf.DUMMYFUNCTION("""COMPUTED_VALUE"""),"647B1EECA203")</f>
        <v>647B1EECA203</v>
      </c>
      <c r="D4295" s="21" t="str">
        <f>IFERROR(__xludf.DUMMYFUNCTION("""COMPUTED_VALUE"""),"DIGITEC TECNOLOGIA DIGITAL E REPRES")</f>
        <v>DIGITEC TECNOLOGIA DIGITAL E REPRES</v>
      </c>
      <c r="E4295" s="21">
        <f>IFERROR(__xludf.DUMMYFUNCTION("""COMPUTED_VALUE"""),145359.0)</f>
        <v>145359</v>
      </c>
      <c r="F4295" s="21" t="str">
        <f>IFERROR(__xludf.DUMMYFUNCTION("""COMPUTED_VALUE"""),"INICIALIZADO")</f>
        <v>INICIALIZADO</v>
      </c>
      <c r="G4295" s="23">
        <f>IFERROR(__xludf.DUMMYFUNCTION("""COMPUTED_VALUE"""),45618.74480324074)</f>
        <v>45618.7448</v>
      </c>
      <c r="H4295" s="24" t="str">
        <f>IFERROR(VLOOKUP(B4295,material!A:D,3,0),"")</f>
        <v>WIFI 6</v>
      </c>
    </row>
    <row r="4296" ht="11.25" customHeight="1">
      <c r="A4296" s="21" t="str">
        <f>IFERROR(__xludf.DUMMYFUNCTION("""COMPUTED_VALUE"""),"TERMINAL DOCSIS 3.1 EMTA WIFI6 F@ST3896")</f>
        <v>TERMINAL DOCSIS 3.1 EMTA WIFI6 F@ST3896</v>
      </c>
      <c r="B4296" s="22">
        <f>IFERROR(__xludf.DUMMYFUNCTION("""COMPUTED_VALUE"""),4.1001552E7)</f>
        <v>41001552</v>
      </c>
      <c r="C4296" s="21" t="str">
        <f>IFERROR(__xludf.DUMMYFUNCTION("""COMPUTED_VALUE"""),"647B1EECA48E")</f>
        <v>647B1EECA48E</v>
      </c>
      <c r="D4296" s="21" t="str">
        <f>IFERROR(__xludf.DUMMYFUNCTION("""COMPUTED_VALUE"""),"DIGITEC TECNOLOGIA DIGITAL E REPRES")</f>
        <v>DIGITEC TECNOLOGIA DIGITAL E REPRES</v>
      </c>
      <c r="E4296" s="21">
        <f>IFERROR(__xludf.DUMMYFUNCTION("""COMPUTED_VALUE"""),145359.0)</f>
        <v>145359</v>
      </c>
      <c r="F4296" s="21" t="str">
        <f>IFERROR(__xludf.DUMMYFUNCTION("""COMPUTED_VALUE"""),"INICIALIZADO")</f>
        <v>INICIALIZADO</v>
      </c>
      <c r="G4296" s="23">
        <f>IFERROR(__xludf.DUMMYFUNCTION("""COMPUTED_VALUE"""),45618.74479166667)</f>
        <v>45618.74479</v>
      </c>
      <c r="H4296" s="24" t="str">
        <f>IFERROR(VLOOKUP(B4296,material!A:D,3,0),"")</f>
        <v>WIFI 6</v>
      </c>
    </row>
    <row r="4297" ht="11.25" customHeight="1">
      <c r="A4297" s="21" t="str">
        <f>IFERROR(__xludf.DUMMYFUNCTION("""COMPUTED_VALUE"""),"TERMINAL DOCSIS 3.1 EMTA WIFI6 F@ST3896")</f>
        <v>TERMINAL DOCSIS 3.1 EMTA WIFI6 F@ST3896</v>
      </c>
      <c r="B4297" s="22">
        <f>IFERROR(__xludf.DUMMYFUNCTION("""COMPUTED_VALUE"""),4.1001552E7)</f>
        <v>41001552</v>
      </c>
      <c r="C4297" s="21" t="str">
        <f>IFERROR(__xludf.DUMMYFUNCTION("""COMPUTED_VALUE"""),"647B1EECA345")</f>
        <v>647B1EECA345</v>
      </c>
      <c r="D4297" s="21" t="str">
        <f>IFERROR(__xludf.DUMMYFUNCTION("""COMPUTED_VALUE"""),"DIGITEC TECNOLOGIA DIGITAL E REPRES")</f>
        <v>DIGITEC TECNOLOGIA DIGITAL E REPRES</v>
      </c>
      <c r="E4297" s="21">
        <f>IFERROR(__xludf.DUMMYFUNCTION("""COMPUTED_VALUE"""),145359.0)</f>
        <v>145359</v>
      </c>
      <c r="F4297" s="21" t="str">
        <f>IFERROR(__xludf.DUMMYFUNCTION("""COMPUTED_VALUE"""),"INICIALIZADO")</f>
        <v>INICIALIZADO</v>
      </c>
      <c r="G4297" s="23">
        <f>IFERROR(__xludf.DUMMYFUNCTION("""COMPUTED_VALUE"""),45618.74479166667)</f>
        <v>45618.74479</v>
      </c>
      <c r="H4297" s="24" t="str">
        <f>IFERROR(VLOOKUP(B4297,material!A:D,3,0),"")</f>
        <v>WIFI 6</v>
      </c>
    </row>
    <row r="4298" ht="11.25" customHeight="1">
      <c r="A4298" s="21" t="str">
        <f>IFERROR(__xludf.DUMMYFUNCTION("""COMPUTED_VALUE"""),"TERMINAL DOCSIS 3.1 EMTA WIFI6 F@ST3896")</f>
        <v>TERMINAL DOCSIS 3.1 EMTA WIFI6 F@ST3896</v>
      </c>
      <c r="B4298" s="22">
        <f>IFERROR(__xludf.DUMMYFUNCTION("""COMPUTED_VALUE"""),4.1001552E7)</f>
        <v>41001552</v>
      </c>
      <c r="C4298" s="21" t="str">
        <f>IFERROR(__xludf.DUMMYFUNCTION("""COMPUTED_VALUE"""),"647B1EEC90C2")</f>
        <v>647B1EEC90C2</v>
      </c>
      <c r="D4298" s="21" t="str">
        <f>IFERROR(__xludf.DUMMYFUNCTION("""COMPUTED_VALUE"""),"DIGITEC TECNOLOGIA DIGITAL E REPRES")</f>
        <v>DIGITEC TECNOLOGIA DIGITAL E REPRES</v>
      </c>
      <c r="E4298" s="21">
        <f>IFERROR(__xludf.DUMMYFUNCTION("""COMPUTED_VALUE"""),145359.0)</f>
        <v>145359</v>
      </c>
      <c r="F4298" s="21" t="str">
        <f>IFERROR(__xludf.DUMMYFUNCTION("""COMPUTED_VALUE"""),"INICIALIZADO")</f>
        <v>INICIALIZADO</v>
      </c>
      <c r="G4298" s="23">
        <f>IFERROR(__xludf.DUMMYFUNCTION("""COMPUTED_VALUE"""),45618.74480324074)</f>
        <v>45618.7448</v>
      </c>
      <c r="H4298" s="24" t="str">
        <f>IFERROR(VLOOKUP(B4298,material!A:D,3,0),"")</f>
        <v>WIFI 6</v>
      </c>
    </row>
    <row r="4299" ht="11.25" customHeight="1">
      <c r="A4299" s="21" t="str">
        <f>IFERROR(__xludf.DUMMYFUNCTION("""COMPUTED_VALUE"""),"TERMINAL DOCSIS 3.1 EMTA WIFI6 F@ST3896")</f>
        <v>TERMINAL DOCSIS 3.1 EMTA WIFI6 F@ST3896</v>
      </c>
      <c r="B4299" s="22">
        <f>IFERROR(__xludf.DUMMYFUNCTION("""COMPUTED_VALUE"""),4.1001552E7)</f>
        <v>41001552</v>
      </c>
      <c r="C4299" s="21" t="str">
        <f>IFERROR(__xludf.DUMMYFUNCTION("""COMPUTED_VALUE"""),"647B1EECF2D7")</f>
        <v>647B1EECF2D7</v>
      </c>
      <c r="D4299" s="21" t="str">
        <f>IFERROR(__xludf.DUMMYFUNCTION("""COMPUTED_VALUE"""),"DIGITEC TECNOLOGIA DIGITAL E REPRES")</f>
        <v>DIGITEC TECNOLOGIA DIGITAL E REPRES</v>
      </c>
      <c r="E4299" s="21">
        <f>IFERROR(__xludf.DUMMYFUNCTION("""COMPUTED_VALUE"""),145359.0)</f>
        <v>145359</v>
      </c>
      <c r="F4299" s="21" t="str">
        <f>IFERROR(__xludf.DUMMYFUNCTION("""COMPUTED_VALUE"""),"INICIALIZADO")</f>
        <v>INICIALIZADO</v>
      </c>
      <c r="G4299" s="23">
        <f>IFERROR(__xludf.DUMMYFUNCTION("""COMPUTED_VALUE"""),45625.653182870374)</f>
        <v>45625.65318</v>
      </c>
      <c r="H4299" s="24" t="str">
        <f>IFERROR(VLOOKUP(B4299,material!A:D,3,0),"")</f>
        <v>WIFI 6</v>
      </c>
    </row>
    <row r="4300" ht="11.25" customHeight="1">
      <c r="A4300" s="21" t="str">
        <f>IFERROR(__xludf.DUMMYFUNCTION("""COMPUTED_VALUE"""),"TERMINAL DOCSIS 3.1 EMTA WIFI6 F@ST3896")</f>
        <v>TERMINAL DOCSIS 3.1 EMTA WIFI6 F@ST3896</v>
      </c>
      <c r="B4300" s="22">
        <f>IFERROR(__xludf.DUMMYFUNCTION("""COMPUTED_VALUE"""),4.1001552E7)</f>
        <v>41001552</v>
      </c>
      <c r="C4300" s="21" t="str">
        <f>IFERROR(__xludf.DUMMYFUNCTION("""COMPUTED_VALUE"""),"647B1EECF386")</f>
        <v>647B1EECF386</v>
      </c>
      <c r="D4300" s="21" t="str">
        <f>IFERROR(__xludf.DUMMYFUNCTION("""COMPUTED_VALUE"""),"DIGITEC TECNOLOGIA DIGITAL E REPRES")</f>
        <v>DIGITEC TECNOLOGIA DIGITAL E REPRES</v>
      </c>
      <c r="E4300" s="21">
        <f>IFERROR(__xludf.DUMMYFUNCTION("""COMPUTED_VALUE"""),145359.0)</f>
        <v>145359</v>
      </c>
      <c r="F4300" s="21" t="str">
        <f>IFERROR(__xludf.DUMMYFUNCTION("""COMPUTED_VALUE"""),"INICIALIZADO")</f>
        <v>INICIALIZADO</v>
      </c>
      <c r="G4300" s="23">
        <f>IFERROR(__xludf.DUMMYFUNCTION("""COMPUTED_VALUE"""),45625.653182870374)</f>
        <v>45625.65318</v>
      </c>
      <c r="H4300" s="24" t="str">
        <f>IFERROR(VLOOKUP(B4300,material!A:D,3,0),"")</f>
        <v>WIFI 6</v>
      </c>
    </row>
    <row r="4301" ht="11.25" customHeight="1">
      <c r="A4301" s="21" t="str">
        <f>IFERROR(__xludf.DUMMYFUNCTION("""COMPUTED_VALUE"""),"TERMINAL DOCSIS 3.1 EMTA WIFI6 F@ST3896")</f>
        <v>TERMINAL DOCSIS 3.1 EMTA WIFI6 F@ST3896</v>
      </c>
      <c r="B4301" s="22">
        <f>IFERROR(__xludf.DUMMYFUNCTION("""COMPUTED_VALUE"""),4.1001552E7)</f>
        <v>41001552</v>
      </c>
      <c r="C4301" s="21" t="str">
        <f>IFERROR(__xludf.DUMMYFUNCTION("""COMPUTED_VALUE"""),"647B1EEBA9BB")</f>
        <v>647B1EEBA9BB</v>
      </c>
      <c r="D4301" s="21" t="str">
        <f>IFERROR(__xludf.DUMMYFUNCTION("""COMPUTED_VALUE"""),"DIGITEC TECNOLOGIA DIGITAL E REPRES")</f>
        <v>DIGITEC TECNOLOGIA DIGITAL E REPRES</v>
      </c>
      <c r="E4301" s="21">
        <f>IFERROR(__xludf.DUMMYFUNCTION("""COMPUTED_VALUE"""),145359.0)</f>
        <v>145359</v>
      </c>
      <c r="F4301" s="21" t="str">
        <f>IFERROR(__xludf.DUMMYFUNCTION("""COMPUTED_VALUE"""),"INICIALIZADO")</f>
        <v>INICIALIZADO</v>
      </c>
      <c r="G4301" s="23">
        <f>IFERROR(__xludf.DUMMYFUNCTION("""COMPUTED_VALUE"""),45608.701377314814)</f>
        <v>45608.70138</v>
      </c>
      <c r="H4301" s="24" t="str">
        <f>IFERROR(VLOOKUP(B4301,material!A:D,3,0),"")</f>
        <v>WIFI 6</v>
      </c>
    </row>
    <row r="4302" ht="11.25" customHeight="1">
      <c r="A4302" s="21" t="str">
        <f>IFERROR(__xludf.DUMMYFUNCTION("""COMPUTED_VALUE"""),"TERMINAL DOCSIS 3.1 EMTA WIFI6 F@ST3896")</f>
        <v>TERMINAL DOCSIS 3.1 EMTA WIFI6 F@ST3896</v>
      </c>
      <c r="B4302" s="22">
        <f>IFERROR(__xludf.DUMMYFUNCTION("""COMPUTED_VALUE"""),4.1001552E7)</f>
        <v>41001552</v>
      </c>
      <c r="C4302" s="21" t="str">
        <f>IFERROR(__xludf.DUMMYFUNCTION("""COMPUTED_VALUE"""),"647B1EEBA99F")</f>
        <v>647B1EEBA99F</v>
      </c>
      <c r="D4302" s="21" t="str">
        <f>IFERROR(__xludf.DUMMYFUNCTION("""COMPUTED_VALUE"""),"DIGITEC TECNOLOGIA DIGITAL E REPRES")</f>
        <v>DIGITEC TECNOLOGIA DIGITAL E REPRES</v>
      </c>
      <c r="E4302" s="21">
        <f>IFERROR(__xludf.DUMMYFUNCTION("""COMPUTED_VALUE"""),145359.0)</f>
        <v>145359</v>
      </c>
      <c r="F4302" s="21" t="str">
        <f>IFERROR(__xludf.DUMMYFUNCTION("""COMPUTED_VALUE"""),"INICIALIZADO")</f>
        <v>INICIALIZADO</v>
      </c>
      <c r="G4302" s="23">
        <f>IFERROR(__xludf.DUMMYFUNCTION("""COMPUTED_VALUE"""),45608.701377314814)</f>
        <v>45608.70138</v>
      </c>
      <c r="H4302" s="24" t="str">
        <f>IFERROR(VLOOKUP(B4302,material!A:D,3,0),"")</f>
        <v>WIFI 6</v>
      </c>
    </row>
    <row r="4303" ht="11.25" customHeight="1">
      <c r="A4303" s="21" t="str">
        <f>IFERROR(__xludf.DUMMYFUNCTION("""COMPUTED_VALUE"""),"TERMINAL DOCSIS 3.1 EMTA WIFI6 F@ST3896")</f>
        <v>TERMINAL DOCSIS 3.1 EMTA WIFI6 F@ST3896</v>
      </c>
      <c r="B4303" s="22">
        <f>IFERROR(__xludf.DUMMYFUNCTION("""COMPUTED_VALUE"""),4.1001552E7)</f>
        <v>41001552</v>
      </c>
      <c r="C4303" s="21" t="str">
        <f>IFERROR(__xludf.DUMMYFUNCTION("""COMPUTED_VALUE"""),"647B1EEBAB20")</f>
        <v>647B1EEBAB20</v>
      </c>
      <c r="D4303" s="21" t="str">
        <f>IFERROR(__xludf.DUMMYFUNCTION("""COMPUTED_VALUE"""),"DIGITEC TECNOLOGIA DIGITAL E REPRES")</f>
        <v>DIGITEC TECNOLOGIA DIGITAL E REPRES</v>
      </c>
      <c r="E4303" s="21">
        <f>IFERROR(__xludf.DUMMYFUNCTION("""COMPUTED_VALUE"""),145359.0)</f>
        <v>145359</v>
      </c>
      <c r="F4303" s="21" t="str">
        <f>IFERROR(__xludf.DUMMYFUNCTION("""COMPUTED_VALUE"""),"INICIALIZADO")</f>
        <v>INICIALIZADO</v>
      </c>
      <c r="G4303" s="23">
        <f>IFERROR(__xludf.DUMMYFUNCTION("""COMPUTED_VALUE"""),45608.70136574074)</f>
        <v>45608.70137</v>
      </c>
      <c r="H4303" s="24" t="str">
        <f>IFERROR(VLOOKUP(B4303,material!A:D,3,0),"")</f>
        <v>WIFI 6</v>
      </c>
    </row>
    <row r="4304" ht="11.25" customHeight="1">
      <c r="A4304" s="21" t="str">
        <f>IFERROR(__xludf.DUMMYFUNCTION("""COMPUTED_VALUE"""),"TERMINAL DOCSIS 3.1 EMTA WIFI6 F@ST3896")</f>
        <v>TERMINAL DOCSIS 3.1 EMTA WIFI6 F@ST3896</v>
      </c>
      <c r="B4304" s="22">
        <f>IFERROR(__xludf.DUMMYFUNCTION("""COMPUTED_VALUE"""),4.1001552E7)</f>
        <v>41001552</v>
      </c>
      <c r="C4304" s="21" t="str">
        <f>IFERROR(__xludf.DUMMYFUNCTION("""COMPUTED_VALUE"""),"647B1EEBAB12")</f>
        <v>647B1EEBAB12</v>
      </c>
      <c r="D4304" s="21" t="str">
        <f>IFERROR(__xludf.DUMMYFUNCTION("""COMPUTED_VALUE"""),"DIGITEC TECNOLOGIA DIGITAL E REPRES")</f>
        <v>DIGITEC TECNOLOGIA DIGITAL E REPRES</v>
      </c>
      <c r="E4304" s="21">
        <f>IFERROR(__xludf.DUMMYFUNCTION("""COMPUTED_VALUE"""),145359.0)</f>
        <v>145359</v>
      </c>
      <c r="F4304" s="21" t="str">
        <f>IFERROR(__xludf.DUMMYFUNCTION("""COMPUTED_VALUE"""),"INICIALIZADO")</f>
        <v>INICIALIZADO</v>
      </c>
      <c r="G4304" s="23">
        <f>IFERROR(__xludf.DUMMYFUNCTION("""COMPUTED_VALUE"""),45608.70136574074)</f>
        <v>45608.70137</v>
      </c>
      <c r="H4304" s="24" t="str">
        <f>IFERROR(VLOOKUP(B4304,material!A:D,3,0),"")</f>
        <v>WIFI 6</v>
      </c>
    </row>
    <row r="4305" ht="11.25" customHeight="1">
      <c r="A4305" s="21" t="str">
        <f>IFERROR(__xludf.DUMMYFUNCTION("""COMPUTED_VALUE"""),"TERMINAL DOCSIS 3.1 EMTA WIFI6 F@ST3896")</f>
        <v>TERMINAL DOCSIS 3.1 EMTA WIFI6 F@ST3896</v>
      </c>
      <c r="B4305" s="22">
        <f>IFERROR(__xludf.DUMMYFUNCTION("""COMPUTED_VALUE"""),4.1001552E7)</f>
        <v>41001552</v>
      </c>
      <c r="C4305" s="21" t="str">
        <f>IFERROR(__xludf.DUMMYFUNCTION("""COMPUTED_VALUE"""),"647B1EEBAAEF")</f>
        <v>647B1EEBAAEF</v>
      </c>
      <c r="D4305" s="21" t="str">
        <f>IFERROR(__xludf.DUMMYFUNCTION("""COMPUTED_VALUE"""),"DIGITEC TECNOLOGIA DIGITAL E REPRES")</f>
        <v>DIGITEC TECNOLOGIA DIGITAL E REPRES</v>
      </c>
      <c r="E4305" s="21">
        <f>IFERROR(__xludf.DUMMYFUNCTION("""COMPUTED_VALUE"""),145359.0)</f>
        <v>145359</v>
      </c>
      <c r="F4305" s="21" t="str">
        <f>IFERROR(__xludf.DUMMYFUNCTION("""COMPUTED_VALUE"""),"INICIALIZADO")</f>
        <v>INICIALIZADO</v>
      </c>
      <c r="G4305" s="23">
        <f>IFERROR(__xludf.DUMMYFUNCTION("""COMPUTED_VALUE"""),45608.70136574074)</f>
        <v>45608.70137</v>
      </c>
      <c r="H4305" s="24" t="str">
        <f>IFERROR(VLOOKUP(B4305,material!A:D,3,0),"")</f>
        <v>WIFI 6</v>
      </c>
    </row>
    <row r="4306" ht="11.25" customHeight="1">
      <c r="A4306" s="21" t="str">
        <f>IFERROR(__xludf.DUMMYFUNCTION("""COMPUTED_VALUE"""),"TERMINAL DOCSIS 3.1 EMTA WIFI6 F@ST3896")</f>
        <v>TERMINAL DOCSIS 3.1 EMTA WIFI6 F@ST3896</v>
      </c>
      <c r="B4306" s="22">
        <f>IFERROR(__xludf.DUMMYFUNCTION("""COMPUTED_VALUE"""),4.1001552E7)</f>
        <v>41001552</v>
      </c>
      <c r="C4306" s="21" t="str">
        <f>IFERROR(__xludf.DUMMYFUNCTION("""COMPUTED_VALUE"""),"647B1EEBA86B")</f>
        <v>647B1EEBA86B</v>
      </c>
      <c r="D4306" s="21" t="str">
        <f>IFERROR(__xludf.DUMMYFUNCTION("""COMPUTED_VALUE"""),"DIGITEC TECNOLOGIA DIGITAL E REPRES")</f>
        <v>DIGITEC TECNOLOGIA DIGITAL E REPRES</v>
      </c>
      <c r="E4306" s="21">
        <f>IFERROR(__xludf.DUMMYFUNCTION("""COMPUTED_VALUE"""),145359.0)</f>
        <v>145359</v>
      </c>
      <c r="F4306" s="21" t="str">
        <f>IFERROR(__xludf.DUMMYFUNCTION("""COMPUTED_VALUE"""),"INICIALIZADO")</f>
        <v>INICIALIZADO</v>
      </c>
      <c r="G4306" s="23">
        <f>IFERROR(__xludf.DUMMYFUNCTION("""COMPUTED_VALUE"""),45608.70136574074)</f>
        <v>45608.70137</v>
      </c>
      <c r="H4306" s="24" t="str">
        <f>IFERROR(VLOOKUP(B4306,material!A:D,3,0),"")</f>
        <v>WIFI 6</v>
      </c>
    </row>
    <row r="4307" ht="11.25" customHeight="1">
      <c r="A4307" s="21" t="str">
        <f>IFERROR(__xludf.DUMMYFUNCTION("""COMPUTED_VALUE"""),"TERMINAL DOCSIS 3.1 EMTA WIFI6 F@ST3896")</f>
        <v>TERMINAL DOCSIS 3.1 EMTA WIFI6 F@ST3896</v>
      </c>
      <c r="B4307" s="22">
        <f>IFERROR(__xludf.DUMMYFUNCTION("""COMPUTED_VALUE"""),4.1001552E7)</f>
        <v>41001552</v>
      </c>
      <c r="C4307" s="21" t="str">
        <f>IFERROR(__xludf.DUMMYFUNCTION("""COMPUTED_VALUE"""),"647B1EEBA848")</f>
        <v>647B1EEBA848</v>
      </c>
      <c r="D4307" s="21" t="str">
        <f>IFERROR(__xludf.DUMMYFUNCTION("""COMPUTED_VALUE"""),"DIGITEC TECNOLOGIA DIGITAL E REPRES")</f>
        <v>DIGITEC TECNOLOGIA DIGITAL E REPRES</v>
      </c>
      <c r="E4307" s="21">
        <f>IFERROR(__xludf.DUMMYFUNCTION("""COMPUTED_VALUE"""),145359.0)</f>
        <v>145359</v>
      </c>
      <c r="F4307" s="21" t="str">
        <f>IFERROR(__xludf.DUMMYFUNCTION("""COMPUTED_VALUE"""),"INICIALIZADO")</f>
        <v>INICIALIZADO</v>
      </c>
      <c r="G4307" s="23">
        <f>IFERROR(__xludf.DUMMYFUNCTION("""COMPUTED_VALUE"""),45608.70136574074)</f>
        <v>45608.70137</v>
      </c>
      <c r="H4307" s="24" t="str">
        <f>IFERROR(VLOOKUP(B4307,material!A:D,3,0),"")</f>
        <v>WIFI 6</v>
      </c>
    </row>
    <row r="4308" ht="11.25" customHeight="1">
      <c r="A4308" s="21" t="str">
        <f>IFERROR(__xludf.DUMMYFUNCTION("""COMPUTED_VALUE"""),"TERMINAL DOCSIS 3.1 EMTA WIFI6 F@ST3896")</f>
        <v>TERMINAL DOCSIS 3.1 EMTA WIFI6 F@ST3896</v>
      </c>
      <c r="B4308" s="22">
        <f>IFERROR(__xludf.DUMMYFUNCTION("""COMPUTED_VALUE"""),4.1001552E7)</f>
        <v>41001552</v>
      </c>
      <c r="C4308" s="21" t="str">
        <f>IFERROR(__xludf.DUMMYFUNCTION("""COMPUTED_VALUE"""),"647B1EEBA825")</f>
        <v>647B1EEBA825</v>
      </c>
      <c r="D4308" s="21" t="str">
        <f>IFERROR(__xludf.DUMMYFUNCTION("""COMPUTED_VALUE"""),"DIGITEC TECNOLOGIA DIGITAL E REPRES")</f>
        <v>DIGITEC TECNOLOGIA DIGITAL E REPRES</v>
      </c>
      <c r="E4308" s="21">
        <f>IFERROR(__xludf.DUMMYFUNCTION("""COMPUTED_VALUE"""),145359.0)</f>
        <v>145359</v>
      </c>
      <c r="F4308" s="21" t="str">
        <f>IFERROR(__xludf.DUMMYFUNCTION("""COMPUTED_VALUE"""),"INICIALIZADO")</f>
        <v>INICIALIZADO</v>
      </c>
      <c r="G4308" s="23">
        <f>IFERROR(__xludf.DUMMYFUNCTION("""COMPUTED_VALUE"""),45608.70136574074)</f>
        <v>45608.70137</v>
      </c>
      <c r="H4308" s="24" t="str">
        <f>IFERROR(VLOOKUP(B4308,material!A:D,3,0),"")</f>
        <v>WIFI 6</v>
      </c>
    </row>
    <row r="4309" ht="11.25" customHeight="1">
      <c r="A4309" s="21" t="str">
        <f>IFERROR(__xludf.DUMMYFUNCTION("""COMPUTED_VALUE"""),"TERMINAL DOCSIS 3.1 EMTA WIFI6 F@ST3896")</f>
        <v>TERMINAL DOCSIS 3.1 EMTA WIFI6 F@ST3896</v>
      </c>
      <c r="B4309" s="22">
        <f>IFERROR(__xludf.DUMMYFUNCTION("""COMPUTED_VALUE"""),4.1001552E7)</f>
        <v>41001552</v>
      </c>
      <c r="C4309" s="21" t="str">
        <f>IFERROR(__xludf.DUMMYFUNCTION("""COMPUTED_VALUE"""),"647B1EEBA7D8")</f>
        <v>647B1EEBA7D8</v>
      </c>
      <c r="D4309" s="21" t="str">
        <f>IFERROR(__xludf.DUMMYFUNCTION("""COMPUTED_VALUE"""),"DIGITEC TECNOLOGIA DIGITAL E REPRES")</f>
        <v>DIGITEC TECNOLOGIA DIGITAL E REPRES</v>
      </c>
      <c r="E4309" s="21">
        <f>IFERROR(__xludf.DUMMYFUNCTION("""COMPUTED_VALUE"""),145359.0)</f>
        <v>145359</v>
      </c>
      <c r="F4309" s="21" t="str">
        <f>IFERROR(__xludf.DUMMYFUNCTION("""COMPUTED_VALUE"""),"INICIALIZADO")</f>
        <v>INICIALIZADO</v>
      </c>
      <c r="G4309" s="23">
        <f>IFERROR(__xludf.DUMMYFUNCTION("""COMPUTED_VALUE"""),45608.70136574074)</f>
        <v>45608.70137</v>
      </c>
      <c r="H4309" s="24" t="str">
        <f>IFERROR(VLOOKUP(B4309,material!A:D,3,0),"")</f>
        <v>WIFI 6</v>
      </c>
    </row>
    <row r="4310" ht="11.25" customHeight="1">
      <c r="A4310" s="21" t="str">
        <f>IFERROR(__xludf.DUMMYFUNCTION("""COMPUTED_VALUE"""),"TERMINAL DOCSIS 3.1 EMTA WIFI6 F@ST3896")</f>
        <v>TERMINAL DOCSIS 3.1 EMTA WIFI6 F@ST3896</v>
      </c>
      <c r="B4310" s="22">
        <f>IFERROR(__xludf.DUMMYFUNCTION("""COMPUTED_VALUE"""),4.1001552E7)</f>
        <v>41001552</v>
      </c>
      <c r="C4310" s="21" t="str">
        <f>IFERROR(__xludf.DUMMYFUNCTION("""COMPUTED_VALUE"""),"647B1EEBA952")</f>
        <v>647B1EEBA952</v>
      </c>
      <c r="D4310" s="21" t="str">
        <f>IFERROR(__xludf.DUMMYFUNCTION("""COMPUTED_VALUE"""),"DIGITEC TECNOLOGIA DIGITAL E REPRES")</f>
        <v>DIGITEC TECNOLOGIA DIGITAL E REPRES</v>
      </c>
      <c r="E4310" s="21">
        <f>IFERROR(__xludf.DUMMYFUNCTION("""COMPUTED_VALUE"""),145359.0)</f>
        <v>145359</v>
      </c>
      <c r="F4310" s="21" t="str">
        <f>IFERROR(__xludf.DUMMYFUNCTION("""COMPUTED_VALUE"""),"INICIALIZADO")</f>
        <v>INICIALIZADO</v>
      </c>
      <c r="G4310" s="23">
        <f>IFERROR(__xludf.DUMMYFUNCTION("""COMPUTED_VALUE"""),45608.701377314814)</f>
        <v>45608.70138</v>
      </c>
      <c r="H4310" s="24" t="str">
        <f>IFERROR(VLOOKUP(B4310,material!A:D,3,0),"")</f>
        <v>WIFI 6</v>
      </c>
    </row>
    <row r="4311" ht="11.25" customHeight="1">
      <c r="A4311" s="21" t="str">
        <f>IFERROR(__xludf.DUMMYFUNCTION("""COMPUTED_VALUE"""),"TERMINAL DOCSIS 3.1 EMTA WIFI6 F@ST3896")</f>
        <v>TERMINAL DOCSIS 3.1 EMTA WIFI6 F@ST3896</v>
      </c>
      <c r="B4311" s="22">
        <f>IFERROR(__xludf.DUMMYFUNCTION("""COMPUTED_VALUE"""),4.1001552E7)</f>
        <v>41001552</v>
      </c>
      <c r="C4311" s="21" t="str">
        <f>IFERROR(__xludf.DUMMYFUNCTION("""COMPUTED_VALUE"""),"647B1EEE24E6")</f>
        <v>647B1EEE24E6</v>
      </c>
      <c r="D4311" s="21" t="str">
        <f>IFERROR(__xludf.DUMMYFUNCTION("""COMPUTED_VALUE"""),"DIGITEC TECNOLOGIA DIGITAL E REPRES")</f>
        <v>DIGITEC TECNOLOGIA DIGITAL E REPRES</v>
      </c>
      <c r="E4311" s="21">
        <f>IFERROR(__xludf.DUMMYFUNCTION("""COMPUTED_VALUE"""),145359.0)</f>
        <v>145359</v>
      </c>
      <c r="F4311" s="21" t="str">
        <f>IFERROR(__xludf.DUMMYFUNCTION("""COMPUTED_VALUE"""),"INICIALIZADO")</f>
        <v>INICIALIZADO</v>
      </c>
      <c r="G4311" s="23">
        <f>IFERROR(__xludf.DUMMYFUNCTION("""COMPUTED_VALUE"""),45635.53511574074)</f>
        <v>45635.53512</v>
      </c>
      <c r="H4311" s="24" t="str">
        <f>IFERROR(VLOOKUP(B4311,material!A:D,3,0),"")</f>
        <v>WIFI 6</v>
      </c>
    </row>
    <row r="4312" ht="11.25" customHeight="1">
      <c r="A4312" s="21" t="str">
        <f>IFERROR(__xludf.DUMMYFUNCTION("""COMPUTED_VALUE"""),"TERMINAL DOCSIS 3.1 EMTA WIFI6 F@ST3896")</f>
        <v>TERMINAL DOCSIS 3.1 EMTA WIFI6 F@ST3896</v>
      </c>
      <c r="B4312" s="22">
        <f>IFERROR(__xludf.DUMMYFUNCTION("""COMPUTED_VALUE"""),4.1001552E7)</f>
        <v>41001552</v>
      </c>
      <c r="C4312" s="21" t="str">
        <f>IFERROR(__xludf.DUMMYFUNCTION("""COMPUTED_VALUE"""),"647B1EEE25C6")</f>
        <v>647B1EEE25C6</v>
      </c>
      <c r="D4312" s="21" t="str">
        <f>IFERROR(__xludf.DUMMYFUNCTION("""COMPUTED_VALUE"""),"DIGITEC TECNOLOGIA DIGITAL E REPRES")</f>
        <v>DIGITEC TECNOLOGIA DIGITAL E REPRES</v>
      </c>
      <c r="E4312" s="21">
        <f>IFERROR(__xludf.DUMMYFUNCTION("""COMPUTED_VALUE"""),145359.0)</f>
        <v>145359</v>
      </c>
      <c r="F4312" s="21" t="str">
        <f>IFERROR(__xludf.DUMMYFUNCTION("""COMPUTED_VALUE"""),"INICIALIZADO")</f>
        <v>INICIALIZADO</v>
      </c>
      <c r="G4312" s="23">
        <f>IFERROR(__xludf.DUMMYFUNCTION("""COMPUTED_VALUE"""),45635.53511574074)</f>
        <v>45635.53512</v>
      </c>
      <c r="H4312" s="24" t="str">
        <f>IFERROR(VLOOKUP(B4312,material!A:D,3,0),"")</f>
        <v>WIFI 6</v>
      </c>
    </row>
    <row r="4313" ht="11.25" customHeight="1">
      <c r="A4313" s="21" t="str">
        <f>IFERROR(__xludf.DUMMYFUNCTION("""COMPUTED_VALUE"""),"TERMINAL DOCSIS 3.1 EMTA WIFI6 F@ST3896")</f>
        <v>TERMINAL DOCSIS 3.1 EMTA WIFI6 F@ST3896</v>
      </c>
      <c r="B4313" s="22">
        <f>IFERROR(__xludf.DUMMYFUNCTION("""COMPUTED_VALUE"""),4.1001552E7)</f>
        <v>41001552</v>
      </c>
      <c r="C4313" s="21" t="str">
        <f>IFERROR(__xludf.DUMMYFUNCTION("""COMPUTED_VALUE"""),"647B1EECBFE6")</f>
        <v>647B1EECBFE6</v>
      </c>
      <c r="D4313" s="21" t="str">
        <f>IFERROR(__xludf.DUMMYFUNCTION("""COMPUTED_VALUE"""),"DIGITEC TECNOLOGIA DIGITAL E REPRES")</f>
        <v>DIGITEC TECNOLOGIA DIGITAL E REPRES</v>
      </c>
      <c r="E4313" s="21">
        <f>IFERROR(__xludf.DUMMYFUNCTION("""COMPUTED_VALUE"""),145359.0)</f>
        <v>145359</v>
      </c>
      <c r="F4313" s="21" t="str">
        <f>IFERROR(__xludf.DUMMYFUNCTION("""COMPUTED_VALUE"""),"INICIALIZADO")</f>
        <v>INICIALIZADO</v>
      </c>
      <c r="G4313" s="23">
        <f>IFERROR(__xludf.DUMMYFUNCTION("""COMPUTED_VALUE"""),45635.53511574074)</f>
        <v>45635.53512</v>
      </c>
      <c r="H4313" s="24" t="str">
        <f>IFERROR(VLOOKUP(B4313,material!A:D,3,0),"")</f>
        <v>WIFI 6</v>
      </c>
    </row>
    <row r="4314" ht="11.25" customHeight="1">
      <c r="A4314" s="21" t="str">
        <f>IFERROR(__xludf.DUMMYFUNCTION("""COMPUTED_VALUE"""),"TERMINAL DOCSIS 3.1 EMTA WIFI6 F@ST3896")</f>
        <v>TERMINAL DOCSIS 3.1 EMTA WIFI6 F@ST3896</v>
      </c>
      <c r="B4314" s="22">
        <f>IFERROR(__xludf.DUMMYFUNCTION("""COMPUTED_VALUE"""),4.1001552E7)</f>
        <v>41001552</v>
      </c>
      <c r="C4314" s="21" t="str">
        <f>IFERROR(__xludf.DUMMYFUNCTION("""COMPUTED_VALUE"""),"647B1EEE1128")</f>
        <v>647B1EEE1128</v>
      </c>
      <c r="D4314" s="21" t="str">
        <f>IFERROR(__xludf.DUMMYFUNCTION("""COMPUTED_VALUE"""),"DIGITEC TECNOLOGIA DIGITAL E REPRES")</f>
        <v>DIGITEC TECNOLOGIA DIGITAL E REPRES</v>
      </c>
      <c r="E4314" s="21">
        <f>IFERROR(__xludf.DUMMYFUNCTION("""COMPUTED_VALUE"""),145359.0)</f>
        <v>145359</v>
      </c>
      <c r="F4314" s="21" t="str">
        <f>IFERROR(__xludf.DUMMYFUNCTION("""COMPUTED_VALUE"""),"INICIALIZADO")</f>
        <v>INICIALIZADO</v>
      </c>
      <c r="G4314" s="23">
        <f>IFERROR(__xludf.DUMMYFUNCTION("""COMPUTED_VALUE"""),45635.53511574074)</f>
        <v>45635.53512</v>
      </c>
      <c r="H4314" s="24" t="str">
        <f>IFERROR(VLOOKUP(B4314,material!A:D,3,0),"")</f>
        <v>WIFI 6</v>
      </c>
    </row>
    <row r="4315" ht="11.25" customHeight="1">
      <c r="A4315" s="21" t="str">
        <f>IFERROR(__xludf.DUMMYFUNCTION("""COMPUTED_VALUE"""),"TERMINAL DOCSIS 3.1 EMTA WIFI6 F@ST3896")</f>
        <v>TERMINAL DOCSIS 3.1 EMTA WIFI6 F@ST3896</v>
      </c>
      <c r="B4315" s="22">
        <f>IFERROR(__xludf.DUMMYFUNCTION("""COMPUTED_VALUE"""),4.1001552E7)</f>
        <v>41001552</v>
      </c>
      <c r="C4315" s="21" t="str">
        <f>IFERROR(__xludf.DUMMYFUNCTION("""COMPUTED_VALUE"""),"647B1EEE1105")</f>
        <v>647B1EEE1105</v>
      </c>
      <c r="D4315" s="21" t="str">
        <f>IFERROR(__xludf.DUMMYFUNCTION("""COMPUTED_VALUE"""),"DIGITEC TECNOLOGIA DIGITAL E REPRES")</f>
        <v>DIGITEC TECNOLOGIA DIGITAL E REPRES</v>
      </c>
      <c r="E4315" s="21">
        <f>IFERROR(__xludf.DUMMYFUNCTION("""COMPUTED_VALUE"""),145359.0)</f>
        <v>145359</v>
      </c>
      <c r="F4315" s="21" t="str">
        <f>IFERROR(__xludf.DUMMYFUNCTION("""COMPUTED_VALUE"""),"INICIALIZADO")</f>
        <v>INICIALIZADO</v>
      </c>
      <c r="G4315" s="23">
        <f>IFERROR(__xludf.DUMMYFUNCTION("""COMPUTED_VALUE"""),45635.53511574074)</f>
        <v>45635.53512</v>
      </c>
      <c r="H4315" s="24" t="str">
        <f>IFERROR(VLOOKUP(B4315,material!A:D,3,0),"")</f>
        <v>WIFI 6</v>
      </c>
    </row>
    <row r="4316" ht="11.25" customHeight="1">
      <c r="A4316" s="21" t="str">
        <f>IFERROR(__xludf.DUMMYFUNCTION("""COMPUTED_VALUE"""),"TERMINAL DOCSIS 3.1 EMTA WIFI6 F@ST3896")</f>
        <v>TERMINAL DOCSIS 3.1 EMTA WIFI6 F@ST3896</v>
      </c>
      <c r="B4316" s="22">
        <f>IFERROR(__xludf.DUMMYFUNCTION("""COMPUTED_VALUE"""),4.1001552E7)</f>
        <v>41001552</v>
      </c>
      <c r="C4316" s="21" t="str">
        <f>IFERROR(__xludf.DUMMYFUNCTION("""COMPUTED_VALUE"""),"647B1EEE2429")</f>
        <v>647B1EEE2429</v>
      </c>
      <c r="D4316" s="21" t="str">
        <f>IFERROR(__xludf.DUMMYFUNCTION("""COMPUTED_VALUE"""),"DIGITEC TECNOLOGIA DIGITAL E REPRES")</f>
        <v>DIGITEC TECNOLOGIA DIGITAL E REPRES</v>
      </c>
      <c r="E4316" s="21">
        <f>IFERROR(__xludf.DUMMYFUNCTION("""COMPUTED_VALUE"""),145359.0)</f>
        <v>145359</v>
      </c>
      <c r="F4316" s="21" t="str">
        <f>IFERROR(__xludf.DUMMYFUNCTION("""COMPUTED_VALUE"""),"INICIALIZADO")</f>
        <v>INICIALIZADO</v>
      </c>
      <c r="G4316" s="23">
        <f>IFERROR(__xludf.DUMMYFUNCTION("""COMPUTED_VALUE"""),45635.535104166665)</f>
        <v>45635.5351</v>
      </c>
      <c r="H4316" s="24" t="str">
        <f>IFERROR(VLOOKUP(B4316,material!A:D,3,0),"")</f>
        <v>WIFI 6</v>
      </c>
    </row>
    <row r="4317" ht="11.25" customHeight="1">
      <c r="A4317" s="21" t="str">
        <f>IFERROR(__xludf.DUMMYFUNCTION("""COMPUTED_VALUE"""),"TERMINAL DOCSIS 3.1 EMTA WIFI6 F@ST3896")</f>
        <v>TERMINAL DOCSIS 3.1 EMTA WIFI6 F@ST3896</v>
      </c>
      <c r="B4317" s="22">
        <f>IFERROR(__xludf.DUMMYFUNCTION("""COMPUTED_VALUE"""),4.1001552E7)</f>
        <v>41001552</v>
      </c>
      <c r="C4317" s="21" t="str">
        <f>IFERROR(__xludf.DUMMYFUNCTION("""COMPUTED_VALUE"""),"647B1EEE247D")</f>
        <v>647B1EEE247D</v>
      </c>
      <c r="D4317" s="21" t="str">
        <f>IFERROR(__xludf.DUMMYFUNCTION("""COMPUTED_VALUE"""),"DIGITEC TECNOLOGIA DIGITAL E REPRES")</f>
        <v>DIGITEC TECNOLOGIA DIGITAL E REPRES</v>
      </c>
      <c r="E4317" s="21">
        <f>IFERROR(__xludf.DUMMYFUNCTION("""COMPUTED_VALUE"""),145359.0)</f>
        <v>145359</v>
      </c>
      <c r="F4317" s="21" t="str">
        <f>IFERROR(__xludf.DUMMYFUNCTION("""COMPUTED_VALUE"""),"INICIALIZADO")</f>
        <v>INICIALIZADO</v>
      </c>
      <c r="G4317" s="23">
        <f>IFERROR(__xludf.DUMMYFUNCTION("""COMPUTED_VALUE"""),45635.535104166665)</f>
        <v>45635.5351</v>
      </c>
      <c r="H4317" s="24" t="str">
        <f>IFERROR(VLOOKUP(B4317,material!A:D,3,0),"")</f>
        <v>WIFI 6</v>
      </c>
    </row>
    <row r="4318" ht="11.25" customHeight="1">
      <c r="A4318" s="21" t="str">
        <f>IFERROR(__xludf.DUMMYFUNCTION("""COMPUTED_VALUE"""),"TERMINAL DOCSIS 3.1 EMTA WIFI6 F@ST3896")</f>
        <v>TERMINAL DOCSIS 3.1 EMTA WIFI6 F@ST3896</v>
      </c>
      <c r="B4318" s="22">
        <f>IFERROR(__xludf.DUMMYFUNCTION("""COMPUTED_VALUE"""),4.1001552E7)</f>
        <v>41001552</v>
      </c>
      <c r="C4318" s="21" t="str">
        <f>IFERROR(__xludf.DUMMYFUNCTION("""COMPUTED_VALUE"""),"647B1EEE24AE")</f>
        <v>647B1EEE24AE</v>
      </c>
      <c r="D4318" s="21" t="str">
        <f>IFERROR(__xludf.DUMMYFUNCTION("""COMPUTED_VALUE"""),"DIGITEC TECNOLOGIA DIGITAL E REPRES")</f>
        <v>DIGITEC TECNOLOGIA DIGITAL E REPRES</v>
      </c>
      <c r="E4318" s="21">
        <f>IFERROR(__xludf.DUMMYFUNCTION("""COMPUTED_VALUE"""),145359.0)</f>
        <v>145359</v>
      </c>
      <c r="F4318" s="21" t="str">
        <f>IFERROR(__xludf.DUMMYFUNCTION("""COMPUTED_VALUE"""),"INICIALIZADO")</f>
        <v>INICIALIZADO</v>
      </c>
      <c r="G4318" s="23">
        <f>IFERROR(__xludf.DUMMYFUNCTION("""COMPUTED_VALUE"""),45635.535104166665)</f>
        <v>45635.5351</v>
      </c>
      <c r="H4318" s="24" t="str">
        <f>IFERROR(VLOOKUP(B4318,material!A:D,3,0),"")</f>
        <v>WIFI 6</v>
      </c>
    </row>
    <row r="4319" ht="11.25" customHeight="1">
      <c r="A4319" s="21" t="str">
        <f>IFERROR(__xludf.DUMMYFUNCTION("""COMPUTED_VALUE"""),"TERMINAL DOCSIS 3.1 EMTA WIFI6 F@ST3896")</f>
        <v>TERMINAL DOCSIS 3.1 EMTA WIFI6 F@ST3896</v>
      </c>
      <c r="B4319" s="22">
        <f>IFERROR(__xludf.DUMMYFUNCTION("""COMPUTED_VALUE"""),4.1001552E7)</f>
        <v>41001552</v>
      </c>
      <c r="C4319" s="21" t="str">
        <f>IFERROR(__xludf.DUMMYFUNCTION("""COMPUTED_VALUE"""),"647B1EEE235E")</f>
        <v>647B1EEE235E</v>
      </c>
      <c r="D4319" s="21" t="str">
        <f>IFERROR(__xludf.DUMMYFUNCTION("""COMPUTED_VALUE"""),"DIGITEC TECNOLOGIA DIGITAL E REPRES")</f>
        <v>DIGITEC TECNOLOGIA DIGITAL E REPRES</v>
      </c>
      <c r="E4319" s="21">
        <f>IFERROR(__xludf.DUMMYFUNCTION("""COMPUTED_VALUE"""),145359.0)</f>
        <v>145359</v>
      </c>
      <c r="F4319" s="21" t="str">
        <f>IFERROR(__xludf.DUMMYFUNCTION("""COMPUTED_VALUE"""),"INICIALIZADO")</f>
        <v>INICIALIZADO</v>
      </c>
      <c r="G4319" s="23">
        <f>IFERROR(__xludf.DUMMYFUNCTION("""COMPUTED_VALUE"""),45635.53511574074)</f>
        <v>45635.53512</v>
      </c>
      <c r="H4319" s="24" t="str">
        <f>IFERROR(VLOOKUP(B4319,material!A:D,3,0),"")</f>
        <v>WIFI 6</v>
      </c>
    </row>
    <row r="4320" ht="11.25" customHeight="1">
      <c r="A4320" s="21" t="str">
        <f>IFERROR(__xludf.DUMMYFUNCTION("""COMPUTED_VALUE"""),"TERMINAL DOCSIS 3.1 EMTA WIFI6 F@ST3896")</f>
        <v>TERMINAL DOCSIS 3.1 EMTA WIFI6 F@ST3896</v>
      </c>
      <c r="B4320" s="22">
        <f>IFERROR(__xludf.DUMMYFUNCTION("""COMPUTED_VALUE"""),4.1001552E7)</f>
        <v>41001552</v>
      </c>
      <c r="C4320" s="21" t="str">
        <f>IFERROR(__xludf.DUMMYFUNCTION("""COMPUTED_VALUE"""),"647B1EEBAA08")</f>
        <v>647B1EEBAA08</v>
      </c>
      <c r="D4320" s="21" t="str">
        <f>IFERROR(__xludf.DUMMYFUNCTION("""COMPUTED_VALUE"""),"DIGITEC TECNOLOGIA DIGITAL E REPRES")</f>
        <v>DIGITEC TECNOLOGIA DIGITAL E REPRES</v>
      </c>
      <c r="E4320" s="21">
        <f>IFERROR(__xludf.DUMMYFUNCTION("""COMPUTED_VALUE"""),145359.0)</f>
        <v>145359</v>
      </c>
      <c r="F4320" s="21" t="str">
        <f>IFERROR(__xludf.DUMMYFUNCTION("""COMPUTED_VALUE"""),"INICIALIZADO")</f>
        <v>INICIALIZADO</v>
      </c>
      <c r="G4320" s="23">
        <f>IFERROR(__xludf.DUMMYFUNCTION("""COMPUTED_VALUE"""),45608.701377314814)</f>
        <v>45608.70138</v>
      </c>
      <c r="H4320" s="24" t="str">
        <f>IFERROR(VLOOKUP(B4320,material!A:D,3,0),"")</f>
        <v>WIFI 6</v>
      </c>
    </row>
    <row r="4321" ht="11.25" customHeight="1">
      <c r="A4321" s="21" t="str">
        <f>IFERROR(__xludf.DUMMYFUNCTION("""COMPUTED_VALUE"""),"TERMINAL DOCSIS 3.1 EMTA WIFI6 F@ST3896")</f>
        <v>TERMINAL DOCSIS 3.1 EMTA WIFI6 F@ST3896</v>
      </c>
      <c r="B4321" s="22">
        <f>IFERROR(__xludf.DUMMYFUNCTION("""COMPUTED_VALUE"""),4.1001552E7)</f>
        <v>41001552</v>
      </c>
      <c r="C4321" s="21" t="str">
        <f>IFERROR(__xludf.DUMMYFUNCTION("""COMPUTED_VALUE"""),"647B1EEBAB35")</f>
        <v>647B1EEBAB35</v>
      </c>
      <c r="D4321" s="21" t="str">
        <f>IFERROR(__xludf.DUMMYFUNCTION("""COMPUTED_VALUE"""),"DIGITEC TECNOLOGIA DIGITAL E REPRES")</f>
        <v>DIGITEC TECNOLOGIA DIGITAL E REPRES</v>
      </c>
      <c r="E4321" s="21">
        <f>IFERROR(__xludf.DUMMYFUNCTION("""COMPUTED_VALUE"""),145359.0)</f>
        <v>145359</v>
      </c>
      <c r="F4321" s="21" t="str">
        <f>IFERROR(__xludf.DUMMYFUNCTION("""COMPUTED_VALUE"""),"INICIALIZADO")</f>
        <v>INICIALIZADO</v>
      </c>
      <c r="G4321" s="23">
        <f>IFERROR(__xludf.DUMMYFUNCTION("""COMPUTED_VALUE"""),45608.70136574074)</f>
        <v>45608.70137</v>
      </c>
      <c r="H4321" s="24" t="str">
        <f>IFERROR(VLOOKUP(B4321,material!A:D,3,0),"")</f>
        <v>WIFI 6</v>
      </c>
    </row>
    <row r="4322" ht="11.25" customHeight="1">
      <c r="A4322" s="21" t="str">
        <f>IFERROR(__xludf.DUMMYFUNCTION("""COMPUTED_VALUE"""),"TERMINAL DOCSIS 3.1 EMTA WIFI6 F@ST3896")</f>
        <v>TERMINAL DOCSIS 3.1 EMTA WIFI6 F@ST3896</v>
      </c>
      <c r="B4322" s="22">
        <f>IFERROR(__xludf.DUMMYFUNCTION("""COMPUTED_VALUE"""),4.1001552E7)</f>
        <v>41001552</v>
      </c>
      <c r="C4322" s="21" t="str">
        <f>IFERROR(__xludf.DUMMYFUNCTION("""COMPUTED_VALUE"""),"647B1EEBA887")</f>
        <v>647B1EEBA887</v>
      </c>
      <c r="D4322" s="21" t="str">
        <f>IFERROR(__xludf.DUMMYFUNCTION("""COMPUTED_VALUE"""),"DIGITEC TECNOLOGIA DIGITAL E REPRES")</f>
        <v>DIGITEC TECNOLOGIA DIGITAL E REPRES</v>
      </c>
      <c r="E4322" s="21">
        <f>IFERROR(__xludf.DUMMYFUNCTION("""COMPUTED_VALUE"""),145359.0)</f>
        <v>145359</v>
      </c>
      <c r="F4322" s="21" t="str">
        <f>IFERROR(__xludf.DUMMYFUNCTION("""COMPUTED_VALUE"""),"INICIALIZADO")</f>
        <v>INICIALIZADO</v>
      </c>
      <c r="G4322" s="23">
        <f>IFERROR(__xludf.DUMMYFUNCTION("""COMPUTED_VALUE"""),45608.70136574074)</f>
        <v>45608.70137</v>
      </c>
      <c r="H4322" s="24" t="str">
        <f>IFERROR(VLOOKUP(B4322,material!A:D,3,0),"")</f>
        <v>WIFI 6</v>
      </c>
    </row>
    <row r="4323" ht="11.25" customHeight="1">
      <c r="A4323" s="21" t="str">
        <f>IFERROR(__xludf.DUMMYFUNCTION("""COMPUTED_VALUE"""),"TERMINAL DOCSIS 3.1 EMTA WIFI6 F@ST3896")</f>
        <v>TERMINAL DOCSIS 3.1 EMTA WIFI6 F@ST3896</v>
      </c>
      <c r="B4323" s="22">
        <f>IFERROR(__xludf.DUMMYFUNCTION("""COMPUTED_VALUE"""),4.1001552E7)</f>
        <v>41001552</v>
      </c>
      <c r="C4323" s="21" t="str">
        <f>IFERROR(__xludf.DUMMYFUNCTION("""COMPUTED_VALUE"""),"647B1EEBA833")</f>
        <v>647B1EEBA833</v>
      </c>
      <c r="D4323" s="21" t="str">
        <f>IFERROR(__xludf.DUMMYFUNCTION("""COMPUTED_VALUE"""),"DIGITEC TECNOLOGIA DIGITAL E REPRES")</f>
        <v>DIGITEC TECNOLOGIA DIGITAL E REPRES</v>
      </c>
      <c r="E4323" s="21">
        <f>IFERROR(__xludf.DUMMYFUNCTION("""COMPUTED_VALUE"""),145359.0)</f>
        <v>145359</v>
      </c>
      <c r="F4323" s="21" t="str">
        <f>IFERROR(__xludf.DUMMYFUNCTION("""COMPUTED_VALUE"""),"INICIALIZADO")</f>
        <v>INICIALIZADO</v>
      </c>
      <c r="G4323" s="23">
        <f>IFERROR(__xludf.DUMMYFUNCTION("""COMPUTED_VALUE"""),45608.70136574074)</f>
        <v>45608.70137</v>
      </c>
      <c r="H4323" s="24" t="str">
        <f>IFERROR(VLOOKUP(B4323,material!A:D,3,0),"")</f>
        <v>WIFI 6</v>
      </c>
    </row>
    <row r="4324" ht="11.25" customHeight="1">
      <c r="A4324" s="21" t="str">
        <f>IFERROR(__xludf.DUMMYFUNCTION("""COMPUTED_VALUE"""),"TERMINAL DOCSIS 3.1 EMTA WIFI6 F@ST3896")</f>
        <v>TERMINAL DOCSIS 3.1 EMTA WIFI6 F@ST3896</v>
      </c>
      <c r="B4324" s="22">
        <f>IFERROR(__xludf.DUMMYFUNCTION("""COMPUTED_VALUE"""),4.1001552E7)</f>
        <v>41001552</v>
      </c>
      <c r="C4324" s="21" t="str">
        <f>IFERROR(__xludf.DUMMYFUNCTION("""COMPUTED_VALUE"""),"647B1EEBA960")</f>
        <v>647B1EEBA960</v>
      </c>
      <c r="D4324" s="21" t="str">
        <f>IFERROR(__xludf.DUMMYFUNCTION("""COMPUTED_VALUE"""),"DIGITEC TECNOLOGIA DIGITAL E REPRES")</f>
        <v>DIGITEC TECNOLOGIA DIGITAL E REPRES</v>
      </c>
      <c r="E4324" s="21">
        <f>IFERROR(__xludf.DUMMYFUNCTION("""COMPUTED_VALUE"""),145359.0)</f>
        <v>145359</v>
      </c>
      <c r="F4324" s="21" t="str">
        <f>IFERROR(__xludf.DUMMYFUNCTION("""COMPUTED_VALUE"""),"INICIALIZADO")</f>
        <v>INICIALIZADO</v>
      </c>
      <c r="G4324" s="23">
        <f>IFERROR(__xludf.DUMMYFUNCTION("""COMPUTED_VALUE"""),45608.701377314814)</f>
        <v>45608.70138</v>
      </c>
      <c r="H4324" s="24" t="str">
        <f>IFERROR(VLOOKUP(B4324,material!A:D,3,0),"")</f>
        <v>WIFI 6</v>
      </c>
    </row>
    <row r="4325" ht="11.25" customHeight="1">
      <c r="A4325" s="21" t="str">
        <f>IFERROR(__xludf.DUMMYFUNCTION("""COMPUTED_VALUE"""),"TERMINAL DOCSIS 3.1 EMTA WIFI6 F@ST3896")</f>
        <v>TERMINAL DOCSIS 3.1 EMTA WIFI6 F@ST3896</v>
      </c>
      <c r="B4325" s="22">
        <f>IFERROR(__xludf.DUMMYFUNCTION("""COMPUTED_VALUE"""),4.1001552E7)</f>
        <v>41001552</v>
      </c>
      <c r="C4325" s="21" t="str">
        <f>IFERROR(__xludf.DUMMYFUNCTION("""COMPUTED_VALUE"""),"647B1EEBA8F7")</f>
        <v>647B1EEBA8F7</v>
      </c>
      <c r="D4325" s="21" t="str">
        <f>IFERROR(__xludf.DUMMYFUNCTION("""COMPUTED_VALUE"""),"DIGITEC TECNOLOGIA DIGITAL E REPRES")</f>
        <v>DIGITEC TECNOLOGIA DIGITAL E REPRES</v>
      </c>
      <c r="E4325" s="21">
        <f>IFERROR(__xludf.DUMMYFUNCTION("""COMPUTED_VALUE"""),145359.0)</f>
        <v>145359</v>
      </c>
      <c r="F4325" s="21" t="str">
        <f>IFERROR(__xludf.DUMMYFUNCTION("""COMPUTED_VALUE"""),"INICIALIZADO")</f>
        <v>INICIALIZADO</v>
      </c>
      <c r="G4325" s="23">
        <f>IFERROR(__xludf.DUMMYFUNCTION("""COMPUTED_VALUE"""),45608.70136574074)</f>
        <v>45608.70137</v>
      </c>
      <c r="H4325" s="24" t="str">
        <f>IFERROR(VLOOKUP(B4325,material!A:D,3,0),"")</f>
        <v>WIFI 6</v>
      </c>
    </row>
    <row r="4326" ht="11.25" customHeight="1">
      <c r="A4326" s="21" t="str">
        <f>IFERROR(__xludf.DUMMYFUNCTION("""COMPUTED_VALUE"""),"TERMINAL DOCSIS 3.1 EMTA WIFI6 F@ST3896")</f>
        <v>TERMINAL DOCSIS 3.1 EMTA WIFI6 F@ST3896</v>
      </c>
      <c r="B4326" s="22">
        <f>IFERROR(__xludf.DUMMYFUNCTION("""COMPUTED_VALUE"""),4.1001552E7)</f>
        <v>41001552</v>
      </c>
      <c r="C4326" s="21" t="str">
        <f>IFERROR(__xludf.DUMMYFUNCTION("""COMPUTED_VALUE"""),"647B1EEBA8AA")</f>
        <v>647B1EEBA8AA</v>
      </c>
      <c r="D4326" s="21" t="str">
        <f>IFERROR(__xludf.DUMMYFUNCTION("""COMPUTED_VALUE"""),"DIGITEC TECNOLOGIA DIGITAL E REPRES")</f>
        <v>DIGITEC TECNOLOGIA DIGITAL E REPRES</v>
      </c>
      <c r="E4326" s="21">
        <f>IFERROR(__xludf.DUMMYFUNCTION("""COMPUTED_VALUE"""),145359.0)</f>
        <v>145359</v>
      </c>
      <c r="F4326" s="21" t="str">
        <f>IFERROR(__xludf.DUMMYFUNCTION("""COMPUTED_VALUE"""),"INICIALIZADO")</f>
        <v>INICIALIZADO</v>
      </c>
      <c r="G4326" s="23">
        <f>IFERROR(__xludf.DUMMYFUNCTION("""COMPUTED_VALUE"""),45608.70135416667)</f>
        <v>45608.70135</v>
      </c>
      <c r="H4326" s="24" t="str">
        <f>IFERROR(VLOOKUP(B4326,material!A:D,3,0),"")</f>
        <v>WIFI 6</v>
      </c>
    </row>
    <row r="4327" ht="11.25" customHeight="1">
      <c r="A4327" s="21" t="str">
        <f>IFERROR(__xludf.DUMMYFUNCTION("""COMPUTED_VALUE"""),"TERMINAL DOCSIS 3.1 EMTA WIFI6 F@ST3896")</f>
        <v>TERMINAL DOCSIS 3.1 EMTA WIFI6 F@ST3896</v>
      </c>
      <c r="B4327" s="22">
        <f>IFERROR(__xludf.DUMMYFUNCTION("""COMPUTED_VALUE"""),4.1001552E7)</f>
        <v>41001552</v>
      </c>
      <c r="C4327" s="21" t="str">
        <f>IFERROR(__xludf.DUMMYFUNCTION("""COMPUTED_VALUE"""),"647B1EEBA872")</f>
        <v>647B1EEBA872</v>
      </c>
      <c r="D4327" s="21" t="str">
        <f>IFERROR(__xludf.DUMMYFUNCTION("""COMPUTED_VALUE"""),"DIGITEC TECNOLOGIA DIGITAL E REPRES")</f>
        <v>DIGITEC TECNOLOGIA DIGITAL E REPRES</v>
      </c>
      <c r="E4327" s="21">
        <f>IFERROR(__xludf.DUMMYFUNCTION("""COMPUTED_VALUE"""),145359.0)</f>
        <v>145359</v>
      </c>
      <c r="F4327" s="21" t="str">
        <f>IFERROR(__xludf.DUMMYFUNCTION("""COMPUTED_VALUE"""),"INICIALIZADO")</f>
        <v>INICIALIZADO</v>
      </c>
      <c r="G4327" s="23">
        <f>IFERROR(__xludf.DUMMYFUNCTION("""COMPUTED_VALUE"""),45608.70136574074)</f>
        <v>45608.70137</v>
      </c>
      <c r="H4327" s="24" t="str">
        <f>IFERROR(VLOOKUP(B4327,material!A:D,3,0),"")</f>
        <v>WIFI 6</v>
      </c>
    </row>
    <row r="4328" ht="11.25" customHeight="1">
      <c r="A4328" s="21" t="str">
        <f>IFERROR(__xludf.DUMMYFUNCTION("""COMPUTED_VALUE"""),"TERMINAL DOCSIS 3.1 EMTA WIFI6 F@ST3896")</f>
        <v>TERMINAL DOCSIS 3.1 EMTA WIFI6 F@ST3896</v>
      </c>
      <c r="B4328" s="22">
        <f>IFERROR(__xludf.DUMMYFUNCTION("""COMPUTED_VALUE"""),4.1001552E7)</f>
        <v>41001552</v>
      </c>
      <c r="C4328" s="21" t="str">
        <f>IFERROR(__xludf.DUMMYFUNCTION("""COMPUTED_VALUE"""),"647B1EEBA7E6")</f>
        <v>647B1EEBA7E6</v>
      </c>
      <c r="D4328" s="21" t="str">
        <f>IFERROR(__xludf.DUMMYFUNCTION("""COMPUTED_VALUE"""),"DIGITEC TECNOLOGIA DIGITAL E REPRES")</f>
        <v>DIGITEC TECNOLOGIA DIGITAL E REPRES</v>
      </c>
      <c r="E4328" s="21">
        <f>IFERROR(__xludf.DUMMYFUNCTION("""COMPUTED_VALUE"""),145359.0)</f>
        <v>145359</v>
      </c>
      <c r="F4328" s="21" t="str">
        <f>IFERROR(__xludf.DUMMYFUNCTION("""COMPUTED_VALUE"""),"INICIALIZADO")</f>
        <v>INICIALIZADO</v>
      </c>
      <c r="G4328" s="23">
        <f>IFERROR(__xludf.DUMMYFUNCTION("""COMPUTED_VALUE"""),45608.70136574074)</f>
        <v>45608.70137</v>
      </c>
      <c r="H4328" s="24" t="str">
        <f>IFERROR(VLOOKUP(B4328,material!A:D,3,0),"")</f>
        <v>WIFI 6</v>
      </c>
    </row>
    <row r="4329" ht="11.25" customHeight="1">
      <c r="A4329" s="21" t="str">
        <f>IFERROR(__xludf.DUMMYFUNCTION("""COMPUTED_VALUE"""),"TERMINAL DOCSIS 3.1 EMTA WIFI6 F@ST3896")</f>
        <v>TERMINAL DOCSIS 3.1 EMTA WIFI6 F@ST3896</v>
      </c>
      <c r="B4329" s="22">
        <f>IFERROR(__xludf.DUMMYFUNCTION("""COMPUTED_VALUE"""),4.1001552E7)</f>
        <v>41001552</v>
      </c>
      <c r="C4329" s="21" t="str">
        <f>IFERROR(__xludf.DUMMYFUNCTION("""COMPUTED_VALUE"""),"647B1EEBA8B1")</f>
        <v>647B1EEBA8B1</v>
      </c>
      <c r="D4329" s="21" t="str">
        <f>IFERROR(__xludf.DUMMYFUNCTION("""COMPUTED_VALUE"""),"DIGITEC TECNOLOGIA DIGITAL E REPRES")</f>
        <v>DIGITEC TECNOLOGIA DIGITAL E REPRES</v>
      </c>
      <c r="E4329" s="21">
        <f>IFERROR(__xludf.DUMMYFUNCTION("""COMPUTED_VALUE"""),145359.0)</f>
        <v>145359</v>
      </c>
      <c r="F4329" s="21" t="str">
        <f>IFERROR(__xludf.DUMMYFUNCTION("""COMPUTED_VALUE"""),"INICIALIZADO")</f>
        <v>INICIALIZADO</v>
      </c>
      <c r="G4329" s="23">
        <f>IFERROR(__xludf.DUMMYFUNCTION("""COMPUTED_VALUE"""),45608.70136574074)</f>
        <v>45608.70137</v>
      </c>
      <c r="H4329" s="24" t="str">
        <f>IFERROR(VLOOKUP(B4329,material!A:D,3,0),"")</f>
        <v>WIFI 6</v>
      </c>
    </row>
    <row r="4330" ht="11.25" customHeight="1">
      <c r="A4330" s="21" t="str">
        <f>IFERROR(__xludf.DUMMYFUNCTION("""COMPUTED_VALUE"""),"TERMINAL DOCSIS 3.1 EMTA WIFI6 F@ST3896")</f>
        <v>TERMINAL DOCSIS 3.1 EMTA WIFI6 F@ST3896</v>
      </c>
      <c r="B4330" s="22">
        <f>IFERROR(__xludf.DUMMYFUNCTION("""COMPUTED_VALUE"""),4.1001552E7)</f>
        <v>41001552</v>
      </c>
      <c r="C4330" s="21" t="str">
        <f>IFERROR(__xludf.DUMMYFUNCTION("""COMPUTED_VALUE"""),"647B1EEBA967")</f>
        <v>647B1EEBA967</v>
      </c>
      <c r="D4330" s="21" t="str">
        <f>IFERROR(__xludf.DUMMYFUNCTION("""COMPUTED_VALUE"""),"DIGITEC TECNOLOGIA DIGITAL E REPRES")</f>
        <v>DIGITEC TECNOLOGIA DIGITAL E REPRES</v>
      </c>
      <c r="E4330" s="21">
        <f>IFERROR(__xludf.DUMMYFUNCTION("""COMPUTED_VALUE"""),145359.0)</f>
        <v>145359</v>
      </c>
      <c r="F4330" s="21" t="str">
        <f>IFERROR(__xludf.DUMMYFUNCTION("""COMPUTED_VALUE"""),"INICIALIZADO")</f>
        <v>INICIALIZADO</v>
      </c>
      <c r="G4330" s="23">
        <f>IFERROR(__xludf.DUMMYFUNCTION("""COMPUTED_VALUE"""),45608.701377314814)</f>
        <v>45608.70138</v>
      </c>
      <c r="H4330" s="24" t="str">
        <f>IFERROR(VLOOKUP(B4330,material!A:D,3,0),"")</f>
        <v>WIFI 6</v>
      </c>
    </row>
    <row r="4331" ht="11.25" customHeight="1">
      <c r="A4331" s="21" t="str">
        <f>IFERROR(__xludf.DUMMYFUNCTION("""COMPUTED_VALUE"""),"TERMINAL DOCSIS 3.1 EMTA WIFI6 F@ST3896")</f>
        <v>TERMINAL DOCSIS 3.1 EMTA WIFI6 F@ST3896</v>
      </c>
      <c r="B4331" s="22">
        <f>IFERROR(__xludf.DUMMYFUNCTION("""COMPUTED_VALUE"""),4.1001552E7)</f>
        <v>41001552</v>
      </c>
      <c r="C4331" s="21" t="str">
        <f>IFERROR(__xludf.DUMMYFUNCTION("""COMPUTED_VALUE"""),"647B1EEBA8BF")</f>
        <v>647B1EEBA8BF</v>
      </c>
      <c r="D4331" s="21" t="str">
        <f>IFERROR(__xludf.DUMMYFUNCTION("""COMPUTED_VALUE"""),"DIGITEC TECNOLOGIA DIGITAL E REPRES")</f>
        <v>DIGITEC TECNOLOGIA DIGITAL E REPRES</v>
      </c>
      <c r="E4331" s="21">
        <f>IFERROR(__xludf.DUMMYFUNCTION("""COMPUTED_VALUE"""),145359.0)</f>
        <v>145359</v>
      </c>
      <c r="F4331" s="21" t="str">
        <f>IFERROR(__xludf.DUMMYFUNCTION("""COMPUTED_VALUE"""),"INICIALIZADO")</f>
        <v>INICIALIZADO</v>
      </c>
      <c r="G4331" s="23">
        <f>IFERROR(__xludf.DUMMYFUNCTION("""COMPUTED_VALUE"""),45608.70135416667)</f>
        <v>45608.70135</v>
      </c>
      <c r="H4331" s="24" t="str">
        <f>IFERROR(VLOOKUP(B4331,material!A:D,3,0),"")</f>
        <v>WIFI 6</v>
      </c>
    </row>
    <row r="4332" ht="11.25" customHeight="1">
      <c r="A4332" s="21" t="str">
        <f>IFERROR(__xludf.DUMMYFUNCTION("""COMPUTED_VALUE"""),"TERMINAL DOCSIS 3.1 EMTA WIFI6 F@ST3896")</f>
        <v>TERMINAL DOCSIS 3.1 EMTA WIFI6 F@ST3896</v>
      </c>
      <c r="B4332" s="22">
        <f>IFERROR(__xludf.DUMMYFUNCTION("""COMPUTED_VALUE"""),4.1001552E7)</f>
        <v>41001552</v>
      </c>
      <c r="C4332" s="21" t="str">
        <f>IFERROR(__xludf.DUMMYFUNCTION("""COMPUTED_VALUE"""),"647B1EEBA8DB")</f>
        <v>647B1EEBA8DB</v>
      </c>
      <c r="D4332" s="21" t="str">
        <f>IFERROR(__xludf.DUMMYFUNCTION("""COMPUTED_VALUE"""),"DIGITEC TECNOLOGIA DIGITAL E REPRES")</f>
        <v>DIGITEC TECNOLOGIA DIGITAL E REPRES</v>
      </c>
      <c r="E4332" s="21">
        <f>IFERROR(__xludf.DUMMYFUNCTION("""COMPUTED_VALUE"""),145359.0)</f>
        <v>145359</v>
      </c>
      <c r="F4332" s="21" t="str">
        <f>IFERROR(__xludf.DUMMYFUNCTION("""COMPUTED_VALUE"""),"INICIALIZADO")</f>
        <v>INICIALIZADO</v>
      </c>
      <c r="G4332" s="23">
        <f>IFERROR(__xludf.DUMMYFUNCTION("""COMPUTED_VALUE"""),45608.70136574074)</f>
        <v>45608.70137</v>
      </c>
      <c r="H4332" s="24" t="str">
        <f>IFERROR(VLOOKUP(B4332,material!A:D,3,0),"")</f>
        <v>WIFI 6</v>
      </c>
    </row>
    <row r="4333" ht="11.25" customHeight="1">
      <c r="A4333" s="21" t="str">
        <f>IFERROR(__xludf.DUMMYFUNCTION("""COMPUTED_VALUE"""),"TERMINAL DOCSIS 3.1 EMTA WIFI6 F@ST3896")</f>
        <v>TERMINAL DOCSIS 3.1 EMTA WIFI6 F@ST3896</v>
      </c>
      <c r="B4333" s="22">
        <f>IFERROR(__xludf.DUMMYFUNCTION("""COMPUTED_VALUE"""),4.1001552E7)</f>
        <v>41001552</v>
      </c>
      <c r="C4333" s="21" t="str">
        <f>IFERROR(__xludf.DUMMYFUNCTION("""COMPUTED_VALUE"""),"DC9272737952")</f>
        <v>DC9272737952</v>
      </c>
      <c r="D4333" s="21" t="str">
        <f>IFERROR(__xludf.DUMMYFUNCTION("""COMPUTED_VALUE"""),"DIGITEC TECNOLOGIA DIGITAL E REPRES")</f>
        <v>DIGITEC TECNOLOGIA DIGITAL E REPRES</v>
      </c>
      <c r="E4333" s="21">
        <f>IFERROR(__xludf.DUMMYFUNCTION("""COMPUTED_VALUE"""),145359.0)</f>
        <v>145359</v>
      </c>
      <c r="F4333" s="21" t="str">
        <f>IFERROR(__xludf.DUMMYFUNCTION("""COMPUTED_VALUE"""),"INICIALIZADO")</f>
        <v>INICIALIZADO</v>
      </c>
      <c r="G4333" s="23">
        <f>IFERROR(__xludf.DUMMYFUNCTION("""COMPUTED_VALUE"""),45608.701377314814)</f>
        <v>45608.70138</v>
      </c>
      <c r="H4333" s="24" t="str">
        <f>IFERROR(VLOOKUP(B4333,material!A:D,3,0),"")</f>
        <v>WIFI 6</v>
      </c>
    </row>
    <row r="4334" ht="11.25" customHeight="1">
      <c r="A4334" s="21" t="str">
        <f>IFERROR(__xludf.DUMMYFUNCTION("""COMPUTED_VALUE"""),"TERMINAL DOCSIS 3.1 EMTA WIFI6 F@ST3896")</f>
        <v>TERMINAL DOCSIS 3.1 EMTA WIFI6 F@ST3896</v>
      </c>
      <c r="B4334" s="22">
        <f>IFERROR(__xludf.DUMMYFUNCTION("""COMPUTED_VALUE"""),4.1001552E7)</f>
        <v>41001552</v>
      </c>
      <c r="C4334" s="21" t="str">
        <f>IFERROR(__xludf.DUMMYFUNCTION("""COMPUTED_VALUE"""),"647B1EEE24F4")</f>
        <v>647B1EEE24F4</v>
      </c>
      <c r="D4334" s="21" t="str">
        <f>IFERROR(__xludf.DUMMYFUNCTION("""COMPUTED_VALUE"""),"DIGITEC TECNOLOGIA DIGITAL E REPRES")</f>
        <v>DIGITEC TECNOLOGIA DIGITAL E REPRES</v>
      </c>
      <c r="E4334" s="21">
        <f>IFERROR(__xludf.DUMMYFUNCTION("""COMPUTED_VALUE"""),145359.0)</f>
        <v>145359</v>
      </c>
      <c r="F4334" s="21" t="str">
        <f>IFERROR(__xludf.DUMMYFUNCTION("""COMPUTED_VALUE"""),"INICIALIZADO")</f>
        <v>INICIALIZADO</v>
      </c>
      <c r="G4334" s="23">
        <f>IFERROR(__xludf.DUMMYFUNCTION("""COMPUTED_VALUE"""),45635.53511574074)</f>
        <v>45635.53512</v>
      </c>
      <c r="H4334" s="24" t="str">
        <f>IFERROR(VLOOKUP(B4334,material!A:D,3,0),"")</f>
        <v>WIFI 6</v>
      </c>
    </row>
    <row r="4335" ht="11.25" customHeight="1">
      <c r="A4335" s="21" t="str">
        <f>IFERROR(__xludf.DUMMYFUNCTION("""COMPUTED_VALUE"""),"TERMINAL DOCSIS 3.1 EMTA WIFI6 F@ST3896")</f>
        <v>TERMINAL DOCSIS 3.1 EMTA WIFI6 F@ST3896</v>
      </c>
      <c r="B4335" s="22">
        <f>IFERROR(__xludf.DUMMYFUNCTION("""COMPUTED_VALUE"""),4.1001552E7)</f>
        <v>41001552</v>
      </c>
      <c r="C4335" s="21" t="str">
        <f>IFERROR(__xludf.DUMMYFUNCTION("""COMPUTED_VALUE"""),"647B1EEE2525")</f>
        <v>647B1EEE2525</v>
      </c>
      <c r="D4335" s="21" t="str">
        <f>IFERROR(__xludf.DUMMYFUNCTION("""COMPUTED_VALUE"""),"DIGITEC TECNOLOGIA DIGITAL E REPRES")</f>
        <v>DIGITEC TECNOLOGIA DIGITAL E REPRES</v>
      </c>
      <c r="E4335" s="21">
        <f>IFERROR(__xludf.DUMMYFUNCTION("""COMPUTED_VALUE"""),145359.0)</f>
        <v>145359</v>
      </c>
      <c r="F4335" s="21" t="str">
        <f>IFERROR(__xludf.DUMMYFUNCTION("""COMPUTED_VALUE"""),"INICIALIZADO")</f>
        <v>INICIALIZADO</v>
      </c>
      <c r="G4335" s="23">
        <f>IFERROR(__xludf.DUMMYFUNCTION("""COMPUTED_VALUE"""),45635.53511574074)</f>
        <v>45635.53512</v>
      </c>
      <c r="H4335" s="24" t="str">
        <f>IFERROR(VLOOKUP(B4335,material!A:D,3,0),"")</f>
        <v>WIFI 6</v>
      </c>
    </row>
    <row r="4336" ht="11.25" customHeight="1">
      <c r="A4336" s="21" t="str">
        <f>IFERROR(__xludf.DUMMYFUNCTION("""COMPUTED_VALUE"""),"TERMINAL DOCSIS 3.1 EMTA WIFI6 F@ST3896")</f>
        <v>TERMINAL DOCSIS 3.1 EMTA WIFI6 F@ST3896</v>
      </c>
      <c r="B4336" s="22">
        <f>IFERROR(__xludf.DUMMYFUNCTION("""COMPUTED_VALUE"""),4.1001552E7)</f>
        <v>41001552</v>
      </c>
      <c r="C4336" s="21" t="str">
        <f>IFERROR(__xludf.DUMMYFUNCTION("""COMPUTED_VALUE"""),"647B1EEE2548")</f>
        <v>647B1EEE2548</v>
      </c>
      <c r="D4336" s="21" t="str">
        <f>IFERROR(__xludf.DUMMYFUNCTION("""COMPUTED_VALUE"""),"DIGITEC TECNOLOGIA DIGITAL E REPRES")</f>
        <v>DIGITEC TECNOLOGIA DIGITAL E REPRES</v>
      </c>
      <c r="E4336" s="21">
        <f>IFERROR(__xludf.DUMMYFUNCTION("""COMPUTED_VALUE"""),145359.0)</f>
        <v>145359</v>
      </c>
      <c r="F4336" s="21" t="str">
        <f>IFERROR(__xludf.DUMMYFUNCTION("""COMPUTED_VALUE"""),"INICIALIZADO")</f>
        <v>INICIALIZADO</v>
      </c>
      <c r="G4336" s="23">
        <f>IFERROR(__xludf.DUMMYFUNCTION("""COMPUTED_VALUE"""),45635.53511574074)</f>
        <v>45635.53512</v>
      </c>
      <c r="H4336" s="24" t="str">
        <f>IFERROR(VLOOKUP(B4336,material!A:D,3,0),"")</f>
        <v>WIFI 6</v>
      </c>
    </row>
    <row r="4337" ht="11.25" customHeight="1">
      <c r="A4337" s="21" t="str">
        <f>IFERROR(__xludf.DUMMYFUNCTION("""COMPUTED_VALUE"""),"TERMINAL DOCSIS 3.1 EMTA WIFI6 F@ST3896")</f>
        <v>TERMINAL DOCSIS 3.1 EMTA WIFI6 F@ST3896</v>
      </c>
      <c r="B4337" s="22">
        <f>IFERROR(__xludf.DUMMYFUNCTION("""COMPUTED_VALUE"""),4.1001552E7)</f>
        <v>41001552</v>
      </c>
      <c r="C4337" s="21" t="str">
        <f>IFERROR(__xludf.DUMMYFUNCTION("""COMPUTED_VALUE"""),"647B1EEE25D4")</f>
        <v>647B1EEE25D4</v>
      </c>
      <c r="D4337" s="21" t="str">
        <f>IFERROR(__xludf.DUMMYFUNCTION("""COMPUTED_VALUE"""),"DIGITEC TECNOLOGIA DIGITAL E REPRES")</f>
        <v>DIGITEC TECNOLOGIA DIGITAL E REPRES</v>
      </c>
      <c r="E4337" s="21">
        <f>IFERROR(__xludf.DUMMYFUNCTION("""COMPUTED_VALUE"""),145359.0)</f>
        <v>145359</v>
      </c>
      <c r="F4337" s="21" t="str">
        <f>IFERROR(__xludf.DUMMYFUNCTION("""COMPUTED_VALUE"""),"INICIALIZADO")</f>
        <v>INICIALIZADO</v>
      </c>
      <c r="G4337" s="23">
        <f>IFERROR(__xludf.DUMMYFUNCTION("""COMPUTED_VALUE"""),45635.53511574074)</f>
        <v>45635.53512</v>
      </c>
      <c r="H4337" s="24" t="str">
        <f>IFERROR(VLOOKUP(B4337,material!A:D,3,0),"")</f>
        <v>WIFI 6</v>
      </c>
    </row>
    <row r="4338" ht="11.25" customHeight="1">
      <c r="A4338" s="21" t="str">
        <f>IFERROR(__xludf.DUMMYFUNCTION("""COMPUTED_VALUE"""),"TERMINAL DOCSIS 3.1 EMTA WIFI6 F@ST3896")</f>
        <v>TERMINAL DOCSIS 3.1 EMTA WIFI6 F@ST3896</v>
      </c>
      <c r="B4338" s="22">
        <f>IFERROR(__xludf.DUMMYFUNCTION("""COMPUTED_VALUE"""),4.1001552E7)</f>
        <v>41001552</v>
      </c>
      <c r="C4338" s="21" t="str">
        <f>IFERROR(__xludf.DUMMYFUNCTION("""COMPUTED_VALUE"""),"647B1EEE25FE")</f>
        <v>647B1EEE25FE</v>
      </c>
      <c r="D4338" s="21" t="str">
        <f>IFERROR(__xludf.DUMMYFUNCTION("""COMPUTED_VALUE"""),"DIGITEC TECNOLOGIA DIGITAL E REPRES")</f>
        <v>DIGITEC TECNOLOGIA DIGITAL E REPRES</v>
      </c>
      <c r="E4338" s="21">
        <f>IFERROR(__xludf.DUMMYFUNCTION("""COMPUTED_VALUE"""),145359.0)</f>
        <v>145359</v>
      </c>
      <c r="F4338" s="21" t="str">
        <f>IFERROR(__xludf.DUMMYFUNCTION("""COMPUTED_VALUE"""),"INICIALIZADO")</f>
        <v>INICIALIZADO</v>
      </c>
      <c r="G4338" s="23">
        <f>IFERROR(__xludf.DUMMYFUNCTION("""COMPUTED_VALUE"""),45635.53511574074)</f>
        <v>45635.53512</v>
      </c>
      <c r="H4338" s="24" t="str">
        <f>IFERROR(VLOOKUP(B4338,material!A:D,3,0),"")</f>
        <v>WIFI 6</v>
      </c>
    </row>
    <row r="4339" ht="11.25" customHeight="1">
      <c r="A4339" s="21" t="str">
        <f>IFERROR(__xludf.DUMMYFUNCTION("""COMPUTED_VALUE"""),"TERMINAL DOCSIS 3.1 EMTA WIFI6 F@ST3896")</f>
        <v>TERMINAL DOCSIS 3.1 EMTA WIFI6 F@ST3896</v>
      </c>
      <c r="B4339" s="22">
        <f>IFERROR(__xludf.DUMMYFUNCTION("""COMPUTED_VALUE"""),4.1001552E7)</f>
        <v>41001552</v>
      </c>
      <c r="C4339" s="21" t="str">
        <f>IFERROR(__xludf.DUMMYFUNCTION("""COMPUTED_VALUE"""),"647B1EEE22EE")</f>
        <v>647B1EEE22EE</v>
      </c>
      <c r="D4339" s="21" t="str">
        <f>IFERROR(__xludf.DUMMYFUNCTION("""COMPUTED_VALUE"""),"DIGITEC TECNOLOGIA DIGITAL E REPRES")</f>
        <v>DIGITEC TECNOLOGIA DIGITAL E REPRES</v>
      </c>
      <c r="E4339" s="21">
        <f>IFERROR(__xludf.DUMMYFUNCTION("""COMPUTED_VALUE"""),145359.0)</f>
        <v>145359</v>
      </c>
      <c r="F4339" s="21" t="str">
        <f>IFERROR(__xludf.DUMMYFUNCTION("""COMPUTED_VALUE"""),"INICIALIZADO")</f>
        <v>INICIALIZADO</v>
      </c>
      <c r="G4339" s="23">
        <f>IFERROR(__xludf.DUMMYFUNCTION("""COMPUTED_VALUE"""),45635.53511574074)</f>
        <v>45635.53512</v>
      </c>
      <c r="H4339" s="24" t="str">
        <f>IFERROR(VLOOKUP(B4339,material!A:D,3,0),"")</f>
        <v>WIFI 6</v>
      </c>
    </row>
    <row r="4340" ht="11.25" customHeight="1">
      <c r="A4340" s="21" t="str">
        <f>IFERROR(__xludf.DUMMYFUNCTION("""COMPUTED_VALUE"""),"TERMINAL DOCSIS 3.1 EMTA WIFI6 F@ST3896")</f>
        <v>TERMINAL DOCSIS 3.1 EMTA WIFI6 F@ST3896</v>
      </c>
      <c r="B4340" s="22">
        <f>IFERROR(__xludf.DUMMYFUNCTION("""COMPUTED_VALUE"""),4.1001552E7)</f>
        <v>41001552</v>
      </c>
      <c r="C4340" s="21" t="str">
        <f>IFERROR(__xludf.DUMMYFUNCTION("""COMPUTED_VALUE"""),"647B1EEE23FF")</f>
        <v>647B1EEE23FF</v>
      </c>
      <c r="D4340" s="21" t="str">
        <f>IFERROR(__xludf.DUMMYFUNCTION("""COMPUTED_VALUE"""),"DIGITEC TECNOLOGIA DIGITAL E REPRES")</f>
        <v>DIGITEC TECNOLOGIA DIGITAL E REPRES</v>
      </c>
      <c r="E4340" s="21">
        <f>IFERROR(__xludf.DUMMYFUNCTION("""COMPUTED_VALUE"""),145359.0)</f>
        <v>145359</v>
      </c>
      <c r="F4340" s="21" t="str">
        <f>IFERROR(__xludf.DUMMYFUNCTION("""COMPUTED_VALUE"""),"INICIALIZADO")</f>
        <v>INICIALIZADO</v>
      </c>
      <c r="G4340" s="23">
        <f>IFERROR(__xludf.DUMMYFUNCTION("""COMPUTED_VALUE"""),45635.535104166665)</f>
        <v>45635.5351</v>
      </c>
      <c r="H4340" s="24" t="str">
        <f>IFERROR(VLOOKUP(B4340,material!A:D,3,0),"")</f>
        <v>WIFI 6</v>
      </c>
    </row>
    <row r="4341" ht="11.25" customHeight="1">
      <c r="A4341" s="21" t="str">
        <f>IFERROR(__xludf.DUMMYFUNCTION("""COMPUTED_VALUE"""),"TERMINAL DOCSIS 3.1 EMTA WIFI6 F@ST3896")</f>
        <v>TERMINAL DOCSIS 3.1 EMTA WIFI6 F@ST3896</v>
      </c>
      <c r="B4341" s="22">
        <f>IFERROR(__xludf.DUMMYFUNCTION("""COMPUTED_VALUE"""),4.1001552E7)</f>
        <v>41001552</v>
      </c>
      <c r="C4341" s="21" t="str">
        <f>IFERROR(__xludf.DUMMYFUNCTION("""COMPUTED_VALUE"""),"647B1EEE241B")</f>
        <v>647B1EEE241B</v>
      </c>
      <c r="D4341" s="21" t="str">
        <f>IFERROR(__xludf.DUMMYFUNCTION("""COMPUTED_VALUE"""),"DIGITEC TECNOLOGIA DIGITAL E REPRES")</f>
        <v>DIGITEC TECNOLOGIA DIGITAL E REPRES</v>
      </c>
      <c r="E4341" s="21">
        <f>IFERROR(__xludf.DUMMYFUNCTION("""COMPUTED_VALUE"""),145359.0)</f>
        <v>145359</v>
      </c>
      <c r="F4341" s="21" t="str">
        <f>IFERROR(__xludf.DUMMYFUNCTION("""COMPUTED_VALUE"""),"INICIALIZADO")</f>
        <v>INICIALIZADO</v>
      </c>
      <c r="G4341" s="23">
        <f>IFERROR(__xludf.DUMMYFUNCTION("""COMPUTED_VALUE"""),45635.535104166665)</f>
        <v>45635.5351</v>
      </c>
      <c r="H4341" s="24" t="str">
        <f>IFERROR(VLOOKUP(B4341,material!A:D,3,0),"")</f>
        <v>WIFI 6</v>
      </c>
    </row>
    <row r="4342" ht="11.25" customHeight="1">
      <c r="A4342" s="21" t="str">
        <f>IFERROR(__xludf.DUMMYFUNCTION("""COMPUTED_VALUE"""),"TERMINAL DOCSIS 3.1 EMTA WIFI6 F@ST3896")</f>
        <v>TERMINAL DOCSIS 3.1 EMTA WIFI6 F@ST3896</v>
      </c>
      <c r="B4342" s="22">
        <f>IFERROR(__xludf.DUMMYFUNCTION("""COMPUTED_VALUE"""),4.1001552E7)</f>
        <v>41001552</v>
      </c>
      <c r="C4342" s="21" t="str">
        <f>IFERROR(__xludf.DUMMYFUNCTION("""COMPUTED_VALUE"""),"647B1EEE236C")</f>
        <v>647B1EEE236C</v>
      </c>
      <c r="D4342" s="21" t="str">
        <f>IFERROR(__xludf.DUMMYFUNCTION("""COMPUTED_VALUE"""),"DIGITEC TECNOLOGIA DIGITAL E REPRES")</f>
        <v>DIGITEC TECNOLOGIA DIGITAL E REPRES</v>
      </c>
      <c r="E4342" s="21">
        <f>IFERROR(__xludf.DUMMYFUNCTION("""COMPUTED_VALUE"""),145359.0)</f>
        <v>145359</v>
      </c>
      <c r="F4342" s="21" t="str">
        <f>IFERROR(__xludf.DUMMYFUNCTION("""COMPUTED_VALUE"""),"INICIALIZADO")</f>
        <v>INICIALIZADO</v>
      </c>
      <c r="G4342" s="23">
        <f>IFERROR(__xludf.DUMMYFUNCTION("""COMPUTED_VALUE"""),45635.53511574074)</f>
        <v>45635.53512</v>
      </c>
      <c r="H4342" s="24" t="str">
        <f>IFERROR(VLOOKUP(B4342,material!A:D,3,0),"")</f>
        <v>WIFI 6</v>
      </c>
    </row>
    <row r="4343" ht="11.25" customHeight="1">
      <c r="A4343" s="21" t="str">
        <f>IFERROR(__xludf.DUMMYFUNCTION("""COMPUTED_VALUE"""),"TERMINAL DOCSIS 3.1 EMTA WIFI6 F@ST3896")</f>
        <v>TERMINAL DOCSIS 3.1 EMTA WIFI6 F@ST3896</v>
      </c>
      <c r="B4343" s="22">
        <f>IFERROR(__xludf.DUMMYFUNCTION("""COMPUTED_VALUE"""),4.1001552E7)</f>
        <v>41001552</v>
      </c>
      <c r="C4343" s="21" t="str">
        <f>IFERROR(__xludf.DUMMYFUNCTION("""COMPUTED_VALUE"""),"647B1EEE24ED")</f>
        <v>647B1EEE24ED</v>
      </c>
      <c r="D4343" s="21" t="str">
        <f>IFERROR(__xludf.DUMMYFUNCTION("""COMPUTED_VALUE"""),"DIGITEC TECNOLOGIA DIGITAL E REPRES")</f>
        <v>DIGITEC TECNOLOGIA DIGITAL E REPRES</v>
      </c>
      <c r="E4343" s="21">
        <f>IFERROR(__xludf.DUMMYFUNCTION("""COMPUTED_VALUE"""),145359.0)</f>
        <v>145359</v>
      </c>
      <c r="F4343" s="21" t="str">
        <f>IFERROR(__xludf.DUMMYFUNCTION("""COMPUTED_VALUE"""),"INICIALIZADO")</f>
        <v>INICIALIZADO</v>
      </c>
      <c r="G4343" s="23">
        <f>IFERROR(__xludf.DUMMYFUNCTION("""COMPUTED_VALUE"""),45635.53511574074)</f>
        <v>45635.53512</v>
      </c>
      <c r="H4343" s="24" t="str">
        <f>IFERROR(VLOOKUP(B4343,material!A:D,3,0),"")</f>
        <v>WIFI 6</v>
      </c>
    </row>
    <row r="4344" ht="11.25" customHeight="1">
      <c r="A4344" s="21" t="str">
        <f>IFERROR(__xludf.DUMMYFUNCTION("""COMPUTED_VALUE"""),"TERMINAL DOCSIS 3.1 EMTA WIFI6 F@ST3896")</f>
        <v>TERMINAL DOCSIS 3.1 EMTA WIFI6 F@ST3896</v>
      </c>
      <c r="B4344" s="22">
        <f>IFERROR(__xludf.DUMMYFUNCTION("""COMPUTED_VALUE"""),4.1001552E7)</f>
        <v>41001552</v>
      </c>
      <c r="C4344" s="21" t="str">
        <f>IFERROR(__xludf.DUMMYFUNCTION("""COMPUTED_VALUE"""),"647B1EEE252C")</f>
        <v>647B1EEE252C</v>
      </c>
      <c r="D4344" s="21" t="str">
        <f>IFERROR(__xludf.DUMMYFUNCTION("""COMPUTED_VALUE"""),"DIGITEC TECNOLOGIA DIGITAL E REPRES")</f>
        <v>DIGITEC TECNOLOGIA DIGITAL E REPRES</v>
      </c>
      <c r="E4344" s="21">
        <f>IFERROR(__xludf.DUMMYFUNCTION("""COMPUTED_VALUE"""),145359.0)</f>
        <v>145359</v>
      </c>
      <c r="F4344" s="21" t="str">
        <f>IFERROR(__xludf.DUMMYFUNCTION("""COMPUTED_VALUE"""),"INICIALIZADO")</f>
        <v>INICIALIZADO</v>
      </c>
      <c r="G4344" s="23">
        <f>IFERROR(__xludf.DUMMYFUNCTION("""COMPUTED_VALUE"""),45635.53511574074)</f>
        <v>45635.53512</v>
      </c>
      <c r="H4344" s="24" t="str">
        <f>IFERROR(VLOOKUP(B4344,material!A:D,3,0),"")</f>
        <v>WIFI 6</v>
      </c>
    </row>
    <row r="4345" ht="11.25" customHeight="1">
      <c r="A4345" s="21" t="str">
        <f>IFERROR(__xludf.DUMMYFUNCTION("""COMPUTED_VALUE"""),"TERMINAL DOCSIS 3.1 EMTA WIFI6 F@ST3896")</f>
        <v>TERMINAL DOCSIS 3.1 EMTA WIFI6 F@ST3896</v>
      </c>
      <c r="B4345" s="22">
        <f>IFERROR(__xludf.DUMMYFUNCTION("""COMPUTED_VALUE"""),4.1001552E7)</f>
        <v>41001552</v>
      </c>
      <c r="C4345" s="21" t="str">
        <f>IFERROR(__xludf.DUMMYFUNCTION("""COMPUTED_VALUE"""),"647B1EEE104F")</f>
        <v>647B1EEE104F</v>
      </c>
      <c r="D4345" s="21" t="str">
        <f>IFERROR(__xludf.DUMMYFUNCTION("""COMPUTED_VALUE"""),"DIGITEC TECNOLOGIA DIGITAL E REPRES")</f>
        <v>DIGITEC TECNOLOGIA DIGITAL E REPRES</v>
      </c>
      <c r="E4345" s="21">
        <f>IFERROR(__xludf.DUMMYFUNCTION("""COMPUTED_VALUE"""),145359.0)</f>
        <v>145359</v>
      </c>
      <c r="F4345" s="21" t="str">
        <f>IFERROR(__xludf.DUMMYFUNCTION("""COMPUTED_VALUE"""),"INICIALIZADO")</f>
        <v>INICIALIZADO</v>
      </c>
      <c r="G4345" s="23">
        <f>IFERROR(__xludf.DUMMYFUNCTION("""COMPUTED_VALUE"""),45635.53511574074)</f>
        <v>45635.53512</v>
      </c>
      <c r="H4345" s="24" t="str">
        <f>IFERROR(VLOOKUP(B4345,material!A:D,3,0),"")</f>
        <v>WIFI 6</v>
      </c>
    </row>
    <row r="4346" ht="11.25" customHeight="1">
      <c r="A4346" s="21" t="str">
        <f>IFERROR(__xludf.DUMMYFUNCTION("""COMPUTED_VALUE"""),"TERMINAL DOCSIS 3.1 EMTA WIFI6 F@ST3896")</f>
        <v>TERMINAL DOCSIS 3.1 EMTA WIFI6 F@ST3896</v>
      </c>
      <c r="B4346" s="22">
        <f>IFERROR(__xludf.DUMMYFUNCTION("""COMPUTED_VALUE"""),4.1001552E7)</f>
        <v>41001552</v>
      </c>
      <c r="C4346" s="21" t="str">
        <f>IFERROR(__xludf.DUMMYFUNCTION("""COMPUTED_VALUE"""),"647B1EEE112F")</f>
        <v>647B1EEE112F</v>
      </c>
      <c r="D4346" s="21" t="str">
        <f>IFERROR(__xludf.DUMMYFUNCTION("""COMPUTED_VALUE"""),"DIGITEC TECNOLOGIA DIGITAL E REPRES")</f>
        <v>DIGITEC TECNOLOGIA DIGITAL E REPRES</v>
      </c>
      <c r="E4346" s="21">
        <f>IFERROR(__xludf.DUMMYFUNCTION("""COMPUTED_VALUE"""),145359.0)</f>
        <v>145359</v>
      </c>
      <c r="F4346" s="21" t="str">
        <f>IFERROR(__xludf.DUMMYFUNCTION("""COMPUTED_VALUE"""),"INICIALIZADO")</f>
        <v>INICIALIZADO</v>
      </c>
      <c r="G4346" s="23">
        <f>IFERROR(__xludf.DUMMYFUNCTION("""COMPUTED_VALUE"""),45635.53511574074)</f>
        <v>45635.53512</v>
      </c>
      <c r="H4346" s="24" t="str">
        <f>IFERROR(VLOOKUP(B4346,material!A:D,3,0),"")</f>
        <v>WIFI 6</v>
      </c>
    </row>
    <row r="4347" ht="11.25" customHeight="1">
      <c r="A4347" s="21" t="str">
        <f>IFERROR(__xludf.DUMMYFUNCTION("""COMPUTED_VALUE"""),"TERMINAL DOCSIS 3.1 EMTA WIFI6 F@ST3896")</f>
        <v>TERMINAL DOCSIS 3.1 EMTA WIFI6 F@ST3896</v>
      </c>
      <c r="B4347" s="22">
        <f>IFERROR(__xludf.DUMMYFUNCTION("""COMPUTED_VALUE"""),4.1001552E7)</f>
        <v>41001552</v>
      </c>
      <c r="C4347" s="21" t="str">
        <f>IFERROR(__xludf.DUMMYFUNCTION("""COMPUTED_VALUE"""),"647B1EEE11E5")</f>
        <v>647B1EEE11E5</v>
      </c>
      <c r="D4347" s="21" t="str">
        <f>IFERROR(__xludf.DUMMYFUNCTION("""COMPUTED_VALUE"""),"DIGITEC TECNOLOGIA DIGITAL E REPRES")</f>
        <v>DIGITEC TECNOLOGIA DIGITAL E REPRES</v>
      </c>
      <c r="E4347" s="21">
        <f>IFERROR(__xludf.DUMMYFUNCTION("""COMPUTED_VALUE"""),145359.0)</f>
        <v>145359</v>
      </c>
      <c r="F4347" s="21" t="str">
        <f>IFERROR(__xludf.DUMMYFUNCTION("""COMPUTED_VALUE"""),"INICIALIZADO")</f>
        <v>INICIALIZADO</v>
      </c>
      <c r="G4347" s="23">
        <f>IFERROR(__xludf.DUMMYFUNCTION("""COMPUTED_VALUE"""),45635.53511574074)</f>
        <v>45635.53512</v>
      </c>
      <c r="H4347" s="24" t="str">
        <f>IFERROR(VLOOKUP(B4347,material!A:D,3,0),"")</f>
        <v>WIFI 6</v>
      </c>
    </row>
    <row r="4348" ht="11.25" customHeight="1">
      <c r="A4348" s="21" t="str">
        <f>IFERROR(__xludf.DUMMYFUNCTION("""COMPUTED_VALUE"""),"TERMINAL DOCSIS 3.1 EMTA WIFI6 F@ST3896")</f>
        <v>TERMINAL DOCSIS 3.1 EMTA WIFI6 F@ST3896</v>
      </c>
      <c r="B4348" s="22">
        <f>IFERROR(__xludf.DUMMYFUNCTION("""COMPUTED_VALUE"""),4.1001552E7)</f>
        <v>41001552</v>
      </c>
      <c r="C4348" s="21" t="str">
        <f>IFERROR(__xludf.DUMMYFUNCTION("""COMPUTED_VALUE"""),"647B1EEE2414")</f>
        <v>647B1EEE2414</v>
      </c>
      <c r="D4348" s="21" t="str">
        <f>IFERROR(__xludf.DUMMYFUNCTION("""COMPUTED_VALUE"""),"DIGITEC TECNOLOGIA DIGITAL E REPRES")</f>
        <v>DIGITEC TECNOLOGIA DIGITAL E REPRES</v>
      </c>
      <c r="E4348" s="21">
        <f>IFERROR(__xludf.DUMMYFUNCTION("""COMPUTED_VALUE"""),145359.0)</f>
        <v>145359</v>
      </c>
      <c r="F4348" s="21" t="str">
        <f>IFERROR(__xludf.DUMMYFUNCTION("""COMPUTED_VALUE"""),"INICIALIZADO")</f>
        <v>INICIALIZADO</v>
      </c>
      <c r="G4348" s="23">
        <f>IFERROR(__xludf.DUMMYFUNCTION("""COMPUTED_VALUE"""),45635.535104166665)</f>
        <v>45635.5351</v>
      </c>
      <c r="H4348" s="24" t="str">
        <f>IFERROR(VLOOKUP(B4348,material!A:D,3,0),"")</f>
        <v>WIFI 6</v>
      </c>
    </row>
    <row r="4349" ht="11.25" customHeight="1">
      <c r="A4349" s="21" t="str">
        <f>IFERROR(__xludf.DUMMYFUNCTION("""COMPUTED_VALUE"""),"TERMINAL DOCSIS 3.1 EMTA WIFI6 F@ST3896")</f>
        <v>TERMINAL DOCSIS 3.1 EMTA WIFI6 F@ST3896</v>
      </c>
      <c r="B4349" s="22">
        <f>IFERROR(__xludf.DUMMYFUNCTION("""COMPUTED_VALUE"""),4.1001552E7)</f>
        <v>41001552</v>
      </c>
      <c r="C4349" s="21" t="str">
        <f>IFERROR(__xludf.DUMMYFUNCTION("""COMPUTED_VALUE"""),"647B1EEE24B5")</f>
        <v>647B1EEE24B5</v>
      </c>
      <c r="D4349" s="21" t="str">
        <f>IFERROR(__xludf.DUMMYFUNCTION("""COMPUTED_VALUE"""),"DIGITEC TECNOLOGIA DIGITAL E REPRES")</f>
        <v>DIGITEC TECNOLOGIA DIGITAL E REPRES</v>
      </c>
      <c r="E4349" s="21">
        <f>IFERROR(__xludf.DUMMYFUNCTION("""COMPUTED_VALUE"""),145359.0)</f>
        <v>145359</v>
      </c>
      <c r="F4349" s="21" t="str">
        <f>IFERROR(__xludf.DUMMYFUNCTION("""COMPUTED_VALUE"""),"INICIALIZADO")</f>
        <v>INICIALIZADO</v>
      </c>
      <c r="G4349" s="23">
        <f>IFERROR(__xludf.DUMMYFUNCTION("""COMPUTED_VALUE"""),45635.53511574074)</f>
        <v>45635.53512</v>
      </c>
      <c r="H4349" s="24" t="str">
        <f>IFERROR(VLOOKUP(B4349,material!A:D,3,0),"")</f>
        <v>WIFI 6</v>
      </c>
    </row>
    <row r="4350" ht="11.25" customHeight="1">
      <c r="A4350" s="21" t="str">
        <f>IFERROR(__xludf.DUMMYFUNCTION("""COMPUTED_VALUE"""),"TERMINAL DOCSIS 3.1 EMTA WIFI6 F@ST3896")</f>
        <v>TERMINAL DOCSIS 3.1 EMTA WIFI6 F@ST3896</v>
      </c>
      <c r="B4350" s="22">
        <f>IFERROR(__xludf.DUMMYFUNCTION("""COMPUTED_VALUE"""),4.1001552E7)</f>
        <v>41001552</v>
      </c>
      <c r="C4350" s="21" t="str">
        <f>IFERROR(__xludf.DUMMYFUNCTION("""COMPUTED_VALUE"""),"647B1EEE24D8")</f>
        <v>647B1EEE24D8</v>
      </c>
      <c r="D4350" s="21" t="str">
        <f>IFERROR(__xludf.DUMMYFUNCTION("""COMPUTED_VALUE"""),"DIGITEC TECNOLOGIA DIGITAL E REPRES")</f>
        <v>DIGITEC TECNOLOGIA DIGITAL E REPRES</v>
      </c>
      <c r="E4350" s="21">
        <f>IFERROR(__xludf.DUMMYFUNCTION("""COMPUTED_VALUE"""),145359.0)</f>
        <v>145359</v>
      </c>
      <c r="F4350" s="21" t="str">
        <f>IFERROR(__xludf.DUMMYFUNCTION("""COMPUTED_VALUE"""),"INICIALIZADO")</f>
        <v>INICIALIZADO</v>
      </c>
      <c r="G4350" s="23">
        <f>IFERROR(__xludf.DUMMYFUNCTION("""COMPUTED_VALUE"""),45635.53511574074)</f>
        <v>45635.53512</v>
      </c>
      <c r="H4350" s="24" t="str">
        <f>IFERROR(VLOOKUP(B4350,material!A:D,3,0),"")</f>
        <v>WIFI 6</v>
      </c>
    </row>
    <row r="4351" ht="11.25" customHeight="1">
      <c r="A4351" s="21" t="str">
        <f>IFERROR(__xludf.DUMMYFUNCTION("""COMPUTED_VALUE"""),"TERMINAL DOCSIS 3.1 EMTA WIFI6 F@ST3896")</f>
        <v>TERMINAL DOCSIS 3.1 EMTA WIFI6 F@ST3896</v>
      </c>
      <c r="B4351" s="22">
        <f>IFERROR(__xludf.DUMMYFUNCTION("""COMPUTED_VALUE"""),4.1001552E7)</f>
        <v>41001552</v>
      </c>
      <c r="C4351" s="21" t="str">
        <f>IFERROR(__xludf.DUMMYFUNCTION("""COMPUTED_VALUE"""),"647B1EEE23EA")</f>
        <v>647B1EEE23EA</v>
      </c>
      <c r="D4351" s="21" t="str">
        <f>IFERROR(__xludf.DUMMYFUNCTION("""COMPUTED_VALUE"""),"DIGITEC TECNOLOGIA DIGITAL E REPRES")</f>
        <v>DIGITEC TECNOLOGIA DIGITAL E REPRES</v>
      </c>
      <c r="E4351" s="21">
        <f>IFERROR(__xludf.DUMMYFUNCTION("""COMPUTED_VALUE"""),145359.0)</f>
        <v>145359</v>
      </c>
      <c r="F4351" s="21" t="str">
        <f>IFERROR(__xludf.DUMMYFUNCTION("""COMPUTED_VALUE"""),"INICIALIZADO")</f>
        <v>INICIALIZADO</v>
      </c>
      <c r="G4351" s="23">
        <f>IFERROR(__xludf.DUMMYFUNCTION("""COMPUTED_VALUE"""),45635.535104166665)</f>
        <v>45635.5351</v>
      </c>
      <c r="H4351" s="24" t="str">
        <f>IFERROR(VLOOKUP(B4351,material!A:D,3,0),"")</f>
        <v>WIFI 6</v>
      </c>
    </row>
    <row r="4352" ht="11.25" customHeight="1">
      <c r="A4352" s="21" t="str">
        <f>IFERROR(__xludf.DUMMYFUNCTION("""COMPUTED_VALUE"""),"TERMINAL DOCSIS 3.1 EMTA WIFI6 F@ST3896")</f>
        <v>TERMINAL DOCSIS 3.1 EMTA WIFI6 F@ST3896</v>
      </c>
      <c r="B4352" s="22">
        <f>IFERROR(__xludf.DUMMYFUNCTION("""COMPUTED_VALUE"""),4.1001552E7)</f>
        <v>41001552</v>
      </c>
      <c r="C4352" s="21" t="str">
        <f>IFERROR(__xludf.DUMMYFUNCTION("""COMPUTED_VALUE"""),"647B1EEE23C7")</f>
        <v>647B1EEE23C7</v>
      </c>
      <c r="D4352" s="21" t="str">
        <f>IFERROR(__xludf.DUMMYFUNCTION("""COMPUTED_VALUE"""),"DIGITEC TECNOLOGIA DIGITAL E REPRES")</f>
        <v>DIGITEC TECNOLOGIA DIGITAL E REPRES</v>
      </c>
      <c r="E4352" s="21">
        <f>IFERROR(__xludf.DUMMYFUNCTION("""COMPUTED_VALUE"""),145359.0)</f>
        <v>145359</v>
      </c>
      <c r="F4352" s="21" t="str">
        <f>IFERROR(__xludf.DUMMYFUNCTION("""COMPUTED_VALUE"""),"INICIALIZADO")</f>
        <v>INICIALIZADO</v>
      </c>
      <c r="G4352" s="23">
        <f>IFERROR(__xludf.DUMMYFUNCTION("""COMPUTED_VALUE"""),45635.53511574074)</f>
        <v>45635.53512</v>
      </c>
      <c r="H4352" s="24" t="str">
        <f>IFERROR(VLOOKUP(B4352,material!A:D,3,0),"")</f>
        <v>WIFI 6</v>
      </c>
    </row>
    <row r="4353" ht="11.25" customHeight="1">
      <c r="A4353" s="21" t="str">
        <f>IFERROR(__xludf.DUMMYFUNCTION("""COMPUTED_VALUE"""),"TERMINAL DOCSIS 3.1 EMTA WIFI6 F@ST3896")</f>
        <v>TERMINAL DOCSIS 3.1 EMTA WIFI6 F@ST3896</v>
      </c>
      <c r="B4353" s="22">
        <f>IFERROR(__xludf.DUMMYFUNCTION("""COMPUTED_VALUE"""),4.1001552E7)</f>
        <v>41001552</v>
      </c>
      <c r="C4353" s="21" t="str">
        <f>IFERROR(__xludf.DUMMYFUNCTION("""COMPUTED_VALUE"""),"647B1EEBA9AD")</f>
        <v>647B1EEBA9AD</v>
      </c>
      <c r="D4353" s="21" t="str">
        <f>IFERROR(__xludf.DUMMYFUNCTION("""COMPUTED_VALUE"""),"DIGITEC TECNOLOGIA DIGITAL E REPRES")</f>
        <v>DIGITEC TECNOLOGIA DIGITAL E REPRES</v>
      </c>
      <c r="E4353" s="21">
        <f>IFERROR(__xludf.DUMMYFUNCTION("""COMPUTED_VALUE"""),145359.0)</f>
        <v>145359</v>
      </c>
      <c r="F4353" s="21" t="str">
        <f>IFERROR(__xludf.DUMMYFUNCTION("""COMPUTED_VALUE"""),"INICIALIZADO")</f>
        <v>INICIALIZADO</v>
      </c>
      <c r="G4353" s="23">
        <f>IFERROR(__xludf.DUMMYFUNCTION("""COMPUTED_VALUE"""),45608.701377314814)</f>
        <v>45608.70138</v>
      </c>
      <c r="H4353" s="24" t="str">
        <f>IFERROR(VLOOKUP(B4353,material!A:D,3,0),"")</f>
        <v>WIFI 6</v>
      </c>
    </row>
    <row r="4354" ht="11.25" customHeight="1">
      <c r="A4354" s="21" t="str">
        <f>IFERROR(__xludf.DUMMYFUNCTION("""COMPUTED_VALUE"""),"TERMINAL DOCSIS 3.1 EMTA WIFI6 F@ST3896")</f>
        <v>TERMINAL DOCSIS 3.1 EMTA WIFI6 F@ST3896</v>
      </c>
      <c r="B4354" s="22">
        <f>IFERROR(__xludf.DUMMYFUNCTION("""COMPUTED_VALUE"""),4.1001552E7)</f>
        <v>41001552</v>
      </c>
      <c r="C4354" s="21" t="str">
        <f>IFERROR(__xludf.DUMMYFUNCTION("""COMPUTED_VALUE"""),"647B1EEBA98A")</f>
        <v>647B1EEBA98A</v>
      </c>
      <c r="D4354" s="21" t="str">
        <f>IFERROR(__xludf.DUMMYFUNCTION("""COMPUTED_VALUE"""),"DIGITEC TECNOLOGIA DIGITAL E REPRES")</f>
        <v>DIGITEC TECNOLOGIA DIGITAL E REPRES</v>
      </c>
      <c r="E4354" s="21">
        <f>IFERROR(__xludf.DUMMYFUNCTION("""COMPUTED_VALUE"""),145359.0)</f>
        <v>145359</v>
      </c>
      <c r="F4354" s="21" t="str">
        <f>IFERROR(__xludf.DUMMYFUNCTION("""COMPUTED_VALUE"""),"INICIALIZADO")</f>
        <v>INICIALIZADO</v>
      </c>
      <c r="G4354" s="23">
        <f>IFERROR(__xludf.DUMMYFUNCTION("""COMPUTED_VALUE"""),45608.701377314814)</f>
        <v>45608.70138</v>
      </c>
      <c r="H4354" s="24" t="str">
        <f>IFERROR(VLOOKUP(B4354,material!A:D,3,0),"")</f>
        <v>WIFI 6</v>
      </c>
    </row>
    <row r="4355" ht="11.25" customHeight="1">
      <c r="A4355" s="21" t="str">
        <f>IFERROR(__xludf.DUMMYFUNCTION("""COMPUTED_VALUE"""),"TERMINAL DOCSIS 3.1 EMTA WIFI6 F@ST3896")</f>
        <v>TERMINAL DOCSIS 3.1 EMTA WIFI6 F@ST3896</v>
      </c>
      <c r="B4355" s="22">
        <f>IFERROR(__xludf.DUMMYFUNCTION("""COMPUTED_VALUE"""),4.1001552E7)</f>
        <v>41001552</v>
      </c>
      <c r="C4355" s="21" t="str">
        <f>IFERROR(__xludf.DUMMYFUNCTION("""COMPUTED_VALUE"""),"647B1EEBA89C")</f>
        <v>647B1EEBA89C</v>
      </c>
      <c r="D4355" s="21" t="str">
        <f>IFERROR(__xludf.DUMMYFUNCTION("""COMPUTED_VALUE"""),"DIGITEC TECNOLOGIA DIGITAL E REPRES")</f>
        <v>DIGITEC TECNOLOGIA DIGITAL E REPRES</v>
      </c>
      <c r="E4355" s="21">
        <f>IFERROR(__xludf.DUMMYFUNCTION("""COMPUTED_VALUE"""),145359.0)</f>
        <v>145359</v>
      </c>
      <c r="F4355" s="21" t="str">
        <f>IFERROR(__xludf.DUMMYFUNCTION("""COMPUTED_VALUE"""),"INICIALIZADO")</f>
        <v>INICIALIZADO</v>
      </c>
      <c r="G4355" s="23">
        <f>IFERROR(__xludf.DUMMYFUNCTION("""COMPUTED_VALUE"""),45608.70136574074)</f>
        <v>45608.70137</v>
      </c>
      <c r="H4355" s="24" t="str">
        <f>IFERROR(VLOOKUP(B4355,material!A:D,3,0),"")</f>
        <v>WIFI 6</v>
      </c>
    </row>
    <row r="4356" ht="11.25" customHeight="1">
      <c r="A4356" s="21" t="str">
        <f>IFERROR(__xludf.DUMMYFUNCTION("""COMPUTED_VALUE"""),"TERMINAL DOCSIS 3.1 EMTA WIFI6 F@ST3896")</f>
        <v>TERMINAL DOCSIS 3.1 EMTA WIFI6 F@ST3896</v>
      </c>
      <c r="B4356" s="22">
        <f>IFERROR(__xludf.DUMMYFUNCTION("""COMPUTED_VALUE"""),4.1001552E7)</f>
        <v>41001552</v>
      </c>
      <c r="C4356" s="21" t="str">
        <f>IFERROR(__xludf.DUMMYFUNCTION("""COMPUTED_VALUE"""),"647B1EEBA879")</f>
        <v>647B1EEBA879</v>
      </c>
      <c r="D4356" s="21" t="str">
        <f>IFERROR(__xludf.DUMMYFUNCTION("""COMPUTED_VALUE"""),"DIGITEC TECNOLOGIA DIGITAL E REPRES")</f>
        <v>DIGITEC TECNOLOGIA DIGITAL E REPRES</v>
      </c>
      <c r="E4356" s="21">
        <f>IFERROR(__xludf.DUMMYFUNCTION("""COMPUTED_VALUE"""),145359.0)</f>
        <v>145359</v>
      </c>
      <c r="F4356" s="21" t="str">
        <f>IFERROR(__xludf.DUMMYFUNCTION("""COMPUTED_VALUE"""),"INICIALIZADO")</f>
        <v>INICIALIZADO</v>
      </c>
      <c r="G4356" s="23">
        <f>IFERROR(__xludf.DUMMYFUNCTION("""COMPUTED_VALUE"""),45608.70136574074)</f>
        <v>45608.70137</v>
      </c>
      <c r="H4356" s="24" t="str">
        <f>IFERROR(VLOOKUP(B4356,material!A:D,3,0),"")</f>
        <v>WIFI 6</v>
      </c>
    </row>
    <row r="4357" ht="11.25" customHeight="1">
      <c r="A4357" s="21" t="str">
        <f>IFERROR(__xludf.DUMMYFUNCTION("""COMPUTED_VALUE"""),"TERMINAL DOCSIS 3.1 EMTA WIFI6 F@ST3896")</f>
        <v>TERMINAL DOCSIS 3.1 EMTA WIFI6 F@ST3896</v>
      </c>
      <c r="B4357" s="22">
        <f>IFERROR(__xludf.DUMMYFUNCTION("""COMPUTED_VALUE"""),4.1001552E7)</f>
        <v>41001552</v>
      </c>
      <c r="C4357" s="21" t="str">
        <f>IFERROR(__xludf.DUMMYFUNCTION("""COMPUTED_VALUE"""),"647B1EEBA84F")</f>
        <v>647B1EEBA84F</v>
      </c>
      <c r="D4357" s="21" t="str">
        <f>IFERROR(__xludf.DUMMYFUNCTION("""COMPUTED_VALUE"""),"DIGITEC TECNOLOGIA DIGITAL E REPRES")</f>
        <v>DIGITEC TECNOLOGIA DIGITAL E REPRES</v>
      </c>
      <c r="E4357" s="21">
        <f>IFERROR(__xludf.DUMMYFUNCTION("""COMPUTED_VALUE"""),145359.0)</f>
        <v>145359</v>
      </c>
      <c r="F4357" s="21" t="str">
        <f>IFERROR(__xludf.DUMMYFUNCTION("""COMPUTED_VALUE"""),"INICIALIZADO")</f>
        <v>INICIALIZADO</v>
      </c>
      <c r="G4357" s="23">
        <f>IFERROR(__xludf.DUMMYFUNCTION("""COMPUTED_VALUE"""),45608.70136574074)</f>
        <v>45608.70137</v>
      </c>
      <c r="H4357" s="24" t="str">
        <f>IFERROR(VLOOKUP(B4357,material!A:D,3,0),"")</f>
        <v>WIFI 6</v>
      </c>
    </row>
    <row r="4358" ht="11.25" customHeight="1">
      <c r="A4358" s="21" t="str">
        <f>IFERROR(__xludf.DUMMYFUNCTION("""COMPUTED_VALUE"""),"TERMINAL DOCSIS 3.1 EMTA WIFI6 F@ST3896")</f>
        <v>TERMINAL DOCSIS 3.1 EMTA WIFI6 F@ST3896</v>
      </c>
      <c r="B4358" s="22">
        <f>IFERROR(__xludf.DUMMYFUNCTION("""COMPUTED_VALUE"""),4.1001552E7)</f>
        <v>41001552</v>
      </c>
      <c r="C4358" s="21" t="str">
        <f>IFERROR(__xludf.DUMMYFUNCTION("""COMPUTED_VALUE"""),"647B1EEBA7FB")</f>
        <v>647B1EEBA7FB</v>
      </c>
      <c r="D4358" s="21" t="str">
        <f>IFERROR(__xludf.DUMMYFUNCTION("""COMPUTED_VALUE"""),"DIGITEC TECNOLOGIA DIGITAL E REPRES")</f>
        <v>DIGITEC TECNOLOGIA DIGITAL E REPRES</v>
      </c>
      <c r="E4358" s="21">
        <f>IFERROR(__xludf.DUMMYFUNCTION("""COMPUTED_VALUE"""),145359.0)</f>
        <v>145359</v>
      </c>
      <c r="F4358" s="21" t="str">
        <f>IFERROR(__xludf.DUMMYFUNCTION("""COMPUTED_VALUE"""),"INICIALIZADO")</f>
        <v>INICIALIZADO</v>
      </c>
      <c r="G4358" s="23">
        <f>IFERROR(__xludf.DUMMYFUNCTION("""COMPUTED_VALUE"""),45608.70136574074)</f>
        <v>45608.70137</v>
      </c>
      <c r="H4358" s="24" t="str">
        <f>IFERROR(VLOOKUP(B4358,material!A:D,3,0),"")</f>
        <v>WIFI 6</v>
      </c>
    </row>
    <row r="4359" ht="11.25" customHeight="1">
      <c r="A4359" s="21" t="str">
        <f>IFERROR(__xludf.DUMMYFUNCTION("""COMPUTED_VALUE"""),"TERMINAL DOCSIS 3.1 EMTA WIFI6 F@ST3896")</f>
        <v>TERMINAL DOCSIS 3.1 EMTA WIFI6 F@ST3896</v>
      </c>
      <c r="B4359" s="22">
        <f>IFERROR(__xludf.DUMMYFUNCTION("""COMPUTED_VALUE"""),4.1001552E7)</f>
        <v>41001552</v>
      </c>
      <c r="C4359" s="21" t="str">
        <f>IFERROR(__xludf.DUMMYFUNCTION("""COMPUTED_VALUE"""),"647B1EEBA959")</f>
        <v>647B1EEBA959</v>
      </c>
      <c r="D4359" s="21" t="str">
        <f>IFERROR(__xludf.DUMMYFUNCTION("""COMPUTED_VALUE"""),"DIGITEC TECNOLOGIA DIGITAL E REPRES")</f>
        <v>DIGITEC TECNOLOGIA DIGITAL E REPRES</v>
      </c>
      <c r="E4359" s="21">
        <f>IFERROR(__xludf.DUMMYFUNCTION("""COMPUTED_VALUE"""),145359.0)</f>
        <v>145359</v>
      </c>
      <c r="F4359" s="21" t="str">
        <f>IFERROR(__xludf.DUMMYFUNCTION("""COMPUTED_VALUE"""),"INICIALIZADO")</f>
        <v>INICIALIZADO</v>
      </c>
      <c r="G4359" s="23">
        <f>IFERROR(__xludf.DUMMYFUNCTION("""COMPUTED_VALUE"""),45608.701377314814)</f>
        <v>45608.70138</v>
      </c>
      <c r="H4359" s="24" t="str">
        <f>IFERROR(VLOOKUP(B4359,material!A:D,3,0),"")</f>
        <v>WIFI 6</v>
      </c>
    </row>
    <row r="4360" ht="11.25" customHeight="1">
      <c r="A4360" s="21" t="str">
        <f>IFERROR(__xludf.DUMMYFUNCTION("""COMPUTED_VALUE"""),"TERMINAL DOCSIS 3.1 EMTA WIFI6 F@ST3896")</f>
        <v>TERMINAL DOCSIS 3.1 EMTA WIFI6 F@ST3896</v>
      </c>
      <c r="B4360" s="22">
        <f>IFERROR(__xludf.DUMMYFUNCTION("""COMPUTED_VALUE"""),4.1001552E7)</f>
        <v>41001552</v>
      </c>
      <c r="C4360" s="21" t="str">
        <f>IFERROR(__xludf.DUMMYFUNCTION("""COMPUTED_VALUE"""),"647B1EEBA944")</f>
        <v>647B1EEBA944</v>
      </c>
      <c r="D4360" s="21" t="str">
        <f>IFERROR(__xludf.DUMMYFUNCTION("""COMPUTED_VALUE"""),"DIGITEC TECNOLOGIA DIGITAL E REPRES")</f>
        <v>DIGITEC TECNOLOGIA DIGITAL E REPRES</v>
      </c>
      <c r="E4360" s="21">
        <f>IFERROR(__xludf.DUMMYFUNCTION("""COMPUTED_VALUE"""),145359.0)</f>
        <v>145359</v>
      </c>
      <c r="F4360" s="21" t="str">
        <f>IFERROR(__xludf.DUMMYFUNCTION("""COMPUTED_VALUE"""),"INICIALIZADO")</f>
        <v>INICIALIZADO</v>
      </c>
      <c r="G4360" s="23">
        <f>IFERROR(__xludf.DUMMYFUNCTION("""COMPUTED_VALUE"""),45608.701377314814)</f>
        <v>45608.70138</v>
      </c>
      <c r="H4360" s="24" t="str">
        <f>IFERROR(VLOOKUP(B4360,material!A:D,3,0),"")</f>
        <v>WIFI 6</v>
      </c>
    </row>
    <row r="4361" ht="11.25" customHeight="1">
      <c r="A4361" s="21" t="str">
        <f>IFERROR(__xludf.DUMMYFUNCTION("""COMPUTED_VALUE"""),"TERMINAL DOCSIS 3.1 EMTA WIFI6 F@ST3896")</f>
        <v>TERMINAL DOCSIS 3.1 EMTA WIFI6 F@ST3896</v>
      </c>
      <c r="B4361" s="22">
        <f>IFERROR(__xludf.DUMMYFUNCTION("""COMPUTED_VALUE"""),4.1001552E7)</f>
        <v>41001552</v>
      </c>
      <c r="C4361" s="21" t="str">
        <f>IFERROR(__xludf.DUMMYFUNCTION("""COMPUTED_VALUE"""),"647B1EEBA928")</f>
        <v>647B1EEBA928</v>
      </c>
      <c r="D4361" s="21" t="str">
        <f>IFERROR(__xludf.DUMMYFUNCTION("""COMPUTED_VALUE"""),"DIGITEC TECNOLOGIA DIGITAL E REPRES")</f>
        <v>DIGITEC TECNOLOGIA DIGITAL E REPRES</v>
      </c>
      <c r="E4361" s="21">
        <f>IFERROR(__xludf.DUMMYFUNCTION("""COMPUTED_VALUE"""),145359.0)</f>
        <v>145359</v>
      </c>
      <c r="F4361" s="21" t="str">
        <f>IFERROR(__xludf.DUMMYFUNCTION("""COMPUTED_VALUE"""),"INICIALIZADO")</f>
        <v>INICIALIZADO</v>
      </c>
      <c r="G4361" s="23">
        <f>IFERROR(__xludf.DUMMYFUNCTION("""COMPUTED_VALUE"""),45608.70136574074)</f>
        <v>45608.70137</v>
      </c>
      <c r="H4361" s="24" t="str">
        <f>IFERROR(VLOOKUP(B4361,material!A:D,3,0),"")</f>
        <v>WIFI 6</v>
      </c>
    </row>
    <row r="4362" ht="11.25" customHeight="1">
      <c r="A4362" s="21" t="str">
        <f>IFERROR(__xludf.DUMMYFUNCTION("""COMPUTED_VALUE"""),"TERMINAL DOCSIS 3.1 EMTA WIFI6 F@ST3896")</f>
        <v>TERMINAL DOCSIS 3.1 EMTA WIFI6 F@ST3896</v>
      </c>
      <c r="B4362" s="22">
        <f>IFERROR(__xludf.DUMMYFUNCTION("""COMPUTED_VALUE"""),4.1001552E7)</f>
        <v>41001552</v>
      </c>
      <c r="C4362" s="21" t="str">
        <f>IFERROR(__xludf.DUMMYFUNCTION("""COMPUTED_VALUE"""),"647B1EEBA8FE")</f>
        <v>647B1EEBA8FE</v>
      </c>
      <c r="D4362" s="21" t="str">
        <f>IFERROR(__xludf.DUMMYFUNCTION("""COMPUTED_VALUE"""),"DIGITEC TECNOLOGIA DIGITAL E REPRES")</f>
        <v>DIGITEC TECNOLOGIA DIGITAL E REPRES</v>
      </c>
      <c r="E4362" s="21">
        <f>IFERROR(__xludf.DUMMYFUNCTION("""COMPUTED_VALUE"""),145359.0)</f>
        <v>145359</v>
      </c>
      <c r="F4362" s="21" t="str">
        <f>IFERROR(__xludf.DUMMYFUNCTION("""COMPUTED_VALUE"""),"INICIALIZADO")</f>
        <v>INICIALIZADO</v>
      </c>
      <c r="G4362" s="23">
        <f>IFERROR(__xludf.DUMMYFUNCTION("""COMPUTED_VALUE"""),45608.70136574074)</f>
        <v>45608.70137</v>
      </c>
      <c r="H4362" s="24" t="str">
        <f>IFERROR(VLOOKUP(B4362,material!A:D,3,0),"")</f>
        <v>WIFI 6</v>
      </c>
    </row>
    <row r="4363" ht="11.25" customHeight="1">
      <c r="A4363" s="21" t="str">
        <f>IFERROR(__xludf.DUMMYFUNCTION("""COMPUTED_VALUE"""),"TERMINAL DOCSIS 3.1 EMTA WIFI6 F@ST3896")</f>
        <v>TERMINAL DOCSIS 3.1 EMTA WIFI6 F@ST3896</v>
      </c>
      <c r="B4363" s="22">
        <f>IFERROR(__xludf.DUMMYFUNCTION("""COMPUTED_VALUE"""),4.1001552E7)</f>
        <v>41001552</v>
      </c>
      <c r="C4363" s="21" t="str">
        <f>IFERROR(__xludf.DUMMYFUNCTION("""COMPUTED_VALUE"""),"647B1EEE2652")</f>
        <v>647B1EEE2652</v>
      </c>
      <c r="D4363" s="21" t="str">
        <f>IFERROR(__xludf.DUMMYFUNCTION("""COMPUTED_VALUE"""),"DIGITEC TECNOLOGIA DIGITAL E REPRES")</f>
        <v>DIGITEC TECNOLOGIA DIGITAL E REPRES</v>
      </c>
      <c r="E4363" s="21">
        <f>IFERROR(__xludf.DUMMYFUNCTION("""COMPUTED_VALUE"""),145359.0)</f>
        <v>145359</v>
      </c>
      <c r="F4363" s="21" t="str">
        <f>IFERROR(__xludf.DUMMYFUNCTION("""COMPUTED_VALUE"""),"INICIALIZADO")</f>
        <v>INICIALIZADO</v>
      </c>
      <c r="G4363" s="23">
        <f>IFERROR(__xludf.DUMMYFUNCTION("""COMPUTED_VALUE"""),45635.53511574074)</f>
        <v>45635.53512</v>
      </c>
      <c r="H4363" s="24" t="str">
        <f>IFERROR(VLOOKUP(B4363,material!A:D,3,0),"")</f>
        <v>WIFI 6</v>
      </c>
    </row>
    <row r="4364" ht="11.25" customHeight="1">
      <c r="A4364" s="21" t="str">
        <f>IFERROR(__xludf.DUMMYFUNCTION("""COMPUTED_VALUE"""),"TERMINAL DOCSIS 3.1 EMTA WIFI6 F@ST3896")</f>
        <v>TERMINAL DOCSIS 3.1 EMTA WIFI6 F@ST3896</v>
      </c>
      <c r="B4364" s="22">
        <f>IFERROR(__xludf.DUMMYFUNCTION("""COMPUTED_VALUE"""),4.1001552E7)</f>
        <v>41001552</v>
      </c>
      <c r="C4364" s="21" t="str">
        <f>IFERROR(__xludf.DUMMYFUNCTION("""COMPUTED_VALUE"""),"647B1EEE2502")</f>
        <v>647B1EEE2502</v>
      </c>
      <c r="D4364" s="21" t="str">
        <f>IFERROR(__xludf.DUMMYFUNCTION("""COMPUTED_VALUE"""),"DIGITEC TECNOLOGIA DIGITAL E REPRES")</f>
        <v>DIGITEC TECNOLOGIA DIGITAL E REPRES</v>
      </c>
      <c r="E4364" s="21">
        <f>IFERROR(__xludf.DUMMYFUNCTION("""COMPUTED_VALUE"""),145359.0)</f>
        <v>145359</v>
      </c>
      <c r="F4364" s="21" t="str">
        <f>IFERROR(__xludf.DUMMYFUNCTION("""COMPUTED_VALUE"""),"INICIALIZADO")</f>
        <v>INICIALIZADO</v>
      </c>
      <c r="G4364" s="23">
        <f>IFERROR(__xludf.DUMMYFUNCTION("""COMPUTED_VALUE"""),45635.53511574074)</f>
        <v>45635.53512</v>
      </c>
      <c r="H4364" s="24" t="str">
        <f>IFERROR(VLOOKUP(B4364,material!A:D,3,0),"")</f>
        <v>WIFI 6</v>
      </c>
    </row>
    <row r="4365" ht="11.25" customHeight="1">
      <c r="A4365" s="21" t="str">
        <f>IFERROR(__xludf.DUMMYFUNCTION("""COMPUTED_VALUE"""),"TERMINAL DOCSIS 3.1 EMTA WIFI6 F@ST3896")</f>
        <v>TERMINAL DOCSIS 3.1 EMTA WIFI6 F@ST3896</v>
      </c>
      <c r="B4365" s="22">
        <f>IFERROR(__xludf.DUMMYFUNCTION("""COMPUTED_VALUE"""),4.1001552E7)</f>
        <v>41001552</v>
      </c>
      <c r="C4365" s="21" t="str">
        <f>IFERROR(__xludf.DUMMYFUNCTION("""COMPUTED_VALUE"""),"647B1EEE2613")</f>
        <v>647B1EEE2613</v>
      </c>
      <c r="D4365" s="21" t="str">
        <f>IFERROR(__xludf.DUMMYFUNCTION("""COMPUTED_VALUE"""),"DIGITEC TECNOLOGIA DIGITAL E REPRES")</f>
        <v>DIGITEC TECNOLOGIA DIGITAL E REPRES</v>
      </c>
      <c r="E4365" s="21">
        <f>IFERROR(__xludf.DUMMYFUNCTION("""COMPUTED_VALUE"""),145359.0)</f>
        <v>145359</v>
      </c>
      <c r="F4365" s="21" t="str">
        <f>IFERROR(__xludf.DUMMYFUNCTION("""COMPUTED_VALUE"""),"INICIALIZADO")</f>
        <v>INICIALIZADO</v>
      </c>
      <c r="G4365" s="23">
        <f>IFERROR(__xludf.DUMMYFUNCTION("""COMPUTED_VALUE"""),45635.53511574074)</f>
        <v>45635.53512</v>
      </c>
      <c r="H4365" s="24" t="str">
        <f>IFERROR(VLOOKUP(B4365,material!A:D,3,0),"")</f>
        <v>WIFI 6</v>
      </c>
    </row>
    <row r="4366" ht="11.25" customHeight="1">
      <c r="A4366" s="21" t="str">
        <f>IFERROR(__xludf.DUMMYFUNCTION("""COMPUTED_VALUE"""),"TERMINAL DOCSIS 3.1 EMTA WIFI6 F@ST3896")</f>
        <v>TERMINAL DOCSIS 3.1 EMTA WIFI6 F@ST3896</v>
      </c>
      <c r="B4366" s="22">
        <f>IFERROR(__xludf.DUMMYFUNCTION("""COMPUTED_VALUE"""),4.1001552E7)</f>
        <v>41001552</v>
      </c>
      <c r="C4366" s="21" t="str">
        <f>IFERROR(__xludf.DUMMYFUNCTION("""COMPUTED_VALUE"""),"647B1EEE1121")</f>
        <v>647B1EEE1121</v>
      </c>
      <c r="D4366" s="21" t="str">
        <f>IFERROR(__xludf.DUMMYFUNCTION("""COMPUTED_VALUE"""),"DIGITEC TECNOLOGIA DIGITAL E REPRES")</f>
        <v>DIGITEC TECNOLOGIA DIGITAL E REPRES</v>
      </c>
      <c r="E4366" s="21">
        <f>IFERROR(__xludf.DUMMYFUNCTION("""COMPUTED_VALUE"""),145359.0)</f>
        <v>145359</v>
      </c>
      <c r="F4366" s="21" t="str">
        <f>IFERROR(__xludf.DUMMYFUNCTION("""COMPUTED_VALUE"""),"INICIALIZADO")</f>
        <v>INICIALIZADO</v>
      </c>
      <c r="G4366" s="23">
        <f>IFERROR(__xludf.DUMMYFUNCTION("""COMPUTED_VALUE"""),45635.53511574074)</f>
        <v>45635.53512</v>
      </c>
      <c r="H4366" s="24" t="str">
        <f>IFERROR(VLOOKUP(B4366,material!A:D,3,0),"")</f>
        <v>WIFI 6</v>
      </c>
    </row>
    <row r="4367" ht="11.25" customHeight="1">
      <c r="A4367" s="21" t="str">
        <f>IFERROR(__xludf.DUMMYFUNCTION("""COMPUTED_VALUE"""),"TERMINAL DOCSIS 3.1 EMTA WIFI6 F@ST3896")</f>
        <v>TERMINAL DOCSIS 3.1 EMTA WIFI6 F@ST3896</v>
      </c>
      <c r="B4367" s="22">
        <f>IFERROR(__xludf.DUMMYFUNCTION("""COMPUTED_VALUE"""),4.1001552E7)</f>
        <v>41001552</v>
      </c>
      <c r="C4367" s="21" t="str">
        <f>IFERROR(__xludf.DUMMYFUNCTION("""COMPUTED_VALUE"""),"647B1EEE11C9")</f>
        <v>647B1EEE11C9</v>
      </c>
      <c r="D4367" s="21" t="str">
        <f>IFERROR(__xludf.DUMMYFUNCTION("""COMPUTED_VALUE"""),"DIGITEC TECNOLOGIA DIGITAL E REPRES")</f>
        <v>DIGITEC TECNOLOGIA DIGITAL E REPRES</v>
      </c>
      <c r="E4367" s="21">
        <f>IFERROR(__xludf.DUMMYFUNCTION("""COMPUTED_VALUE"""),145359.0)</f>
        <v>145359</v>
      </c>
      <c r="F4367" s="21" t="str">
        <f>IFERROR(__xludf.DUMMYFUNCTION("""COMPUTED_VALUE"""),"INICIALIZADO")</f>
        <v>INICIALIZADO</v>
      </c>
      <c r="G4367" s="23">
        <f>IFERROR(__xludf.DUMMYFUNCTION("""COMPUTED_VALUE"""),45635.53511574074)</f>
        <v>45635.53512</v>
      </c>
      <c r="H4367" s="24" t="str">
        <f>IFERROR(VLOOKUP(B4367,material!A:D,3,0),"")</f>
        <v>WIFI 6</v>
      </c>
    </row>
    <row r="4368" ht="11.25" customHeight="1">
      <c r="A4368" s="21" t="str">
        <f>IFERROR(__xludf.DUMMYFUNCTION("""COMPUTED_VALUE"""),"TERMINAL DOCSIS 3.1 EMTA WIFI6 F@ST3896")</f>
        <v>TERMINAL DOCSIS 3.1 EMTA WIFI6 F@ST3896</v>
      </c>
      <c r="B4368" s="22">
        <f>IFERROR(__xludf.DUMMYFUNCTION("""COMPUTED_VALUE"""),4.1001552E7)</f>
        <v>41001552</v>
      </c>
      <c r="C4368" s="21" t="str">
        <f>IFERROR(__xludf.DUMMYFUNCTION("""COMPUTED_VALUE"""),"647B1EEE2406")</f>
        <v>647B1EEE2406</v>
      </c>
      <c r="D4368" s="21" t="str">
        <f>IFERROR(__xludf.DUMMYFUNCTION("""COMPUTED_VALUE"""),"DIGITEC TECNOLOGIA DIGITAL E REPRES")</f>
        <v>DIGITEC TECNOLOGIA DIGITAL E REPRES</v>
      </c>
      <c r="E4368" s="21">
        <f>IFERROR(__xludf.DUMMYFUNCTION("""COMPUTED_VALUE"""),145359.0)</f>
        <v>145359</v>
      </c>
      <c r="F4368" s="21" t="str">
        <f>IFERROR(__xludf.DUMMYFUNCTION("""COMPUTED_VALUE"""),"INICIALIZADO")</f>
        <v>INICIALIZADO</v>
      </c>
      <c r="G4368" s="23">
        <f>IFERROR(__xludf.DUMMYFUNCTION("""COMPUTED_VALUE"""),45635.535104166665)</f>
        <v>45635.5351</v>
      </c>
      <c r="H4368" s="24" t="str">
        <f>IFERROR(VLOOKUP(B4368,material!A:D,3,0),"")</f>
        <v>WIFI 6</v>
      </c>
    </row>
    <row r="4369" ht="11.25" customHeight="1">
      <c r="A4369" s="21" t="str">
        <f>IFERROR(__xludf.DUMMYFUNCTION("""COMPUTED_VALUE"""),"TERMINAL DOCSIS 3.1 EMTA WIFI6 F@ST3896")</f>
        <v>TERMINAL DOCSIS 3.1 EMTA WIFI6 F@ST3896</v>
      </c>
      <c r="B4369" s="22">
        <f>IFERROR(__xludf.DUMMYFUNCTION("""COMPUTED_VALUE"""),4.1001552E7)</f>
        <v>41001552</v>
      </c>
      <c r="C4369" s="21" t="str">
        <f>IFERROR(__xludf.DUMMYFUNCTION("""COMPUTED_VALUE"""),"647B1EEE2422")</f>
        <v>647B1EEE2422</v>
      </c>
      <c r="D4369" s="21" t="str">
        <f>IFERROR(__xludf.DUMMYFUNCTION("""COMPUTED_VALUE"""),"DIGITEC TECNOLOGIA DIGITAL E REPRES")</f>
        <v>DIGITEC TECNOLOGIA DIGITAL E REPRES</v>
      </c>
      <c r="E4369" s="21">
        <f>IFERROR(__xludf.DUMMYFUNCTION("""COMPUTED_VALUE"""),145359.0)</f>
        <v>145359</v>
      </c>
      <c r="F4369" s="21" t="str">
        <f>IFERROR(__xludf.DUMMYFUNCTION("""COMPUTED_VALUE"""),"INICIALIZADO")</f>
        <v>INICIALIZADO</v>
      </c>
      <c r="G4369" s="23">
        <f>IFERROR(__xludf.DUMMYFUNCTION("""COMPUTED_VALUE"""),45635.535104166665)</f>
        <v>45635.5351</v>
      </c>
      <c r="H4369" s="24" t="str">
        <f>IFERROR(VLOOKUP(B4369,material!A:D,3,0),"")</f>
        <v>WIFI 6</v>
      </c>
    </row>
    <row r="4370" ht="11.25" customHeight="1">
      <c r="A4370" s="21" t="str">
        <f>IFERROR(__xludf.DUMMYFUNCTION("""COMPUTED_VALUE"""),"TERMINAL DOCSIS 3.1 EMTA WIFI6 F@ST3896")</f>
        <v>TERMINAL DOCSIS 3.1 EMTA WIFI6 F@ST3896</v>
      </c>
      <c r="B4370" s="22">
        <f>IFERROR(__xludf.DUMMYFUNCTION("""COMPUTED_VALUE"""),4.1001552E7)</f>
        <v>41001552</v>
      </c>
      <c r="C4370" s="21" t="str">
        <f>IFERROR(__xludf.DUMMYFUNCTION("""COMPUTED_VALUE"""),"647B1EEE24BC")</f>
        <v>647B1EEE24BC</v>
      </c>
      <c r="D4370" s="21" t="str">
        <f>IFERROR(__xludf.DUMMYFUNCTION("""COMPUTED_VALUE"""),"DIGITEC TECNOLOGIA DIGITAL E REPRES")</f>
        <v>DIGITEC TECNOLOGIA DIGITAL E REPRES</v>
      </c>
      <c r="E4370" s="21">
        <f>IFERROR(__xludf.DUMMYFUNCTION("""COMPUTED_VALUE"""),145359.0)</f>
        <v>145359</v>
      </c>
      <c r="F4370" s="21" t="str">
        <f>IFERROR(__xludf.DUMMYFUNCTION("""COMPUTED_VALUE"""),"INICIALIZADO")</f>
        <v>INICIALIZADO</v>
      </c>
      <c r="G4370" s="23">
        <f>IFERROR(__xludf.DUMMYFUNCTION("""COMPUTED_VALUE"""),45635.53511574074)</f>
        <v>45635.53512</v>
      </c>
      <c r="H4370" s="24" t="str">
        <f>IFERROR(VLOOKUP(B4370,material!A:D,3,0),"")</f>
        <v>WIFI 6</v>
      </c>
    </row>
    <row r="4371" ht="11.25" customHeight="1">
      <c r="A4371" s="21" t="str">
        <f>IFERROR(__xludf.DUMMYFUNCTION("""COMPUTED_VALUE"""),"TERMINAL DOCSIS 3.1 EMTA WIFI6 F@ST3896")</f>
        <v>TERMINAL DOCSIS 3.1 EMTA WIFI6 F@ST3896</v>
      </c>
      <c r="B4371" s="22">
        <f>IFERROR(__xludf.DUMMYFUNCTION("""COMPUTED_VALUE"""),4.1001552E7)</f>
        <v>41001552</v>
      </c>
      <c r="C4371" s="21" t="str">
        <f>IFERROR(__xludf.DUMMYFUNCTION("""COMPUTED_VALUE"""),"647B1EEE23F8")</f>
        <v>647B1EEE23F8</v>
      </c>
      <c r="D4371" s="21" t="str">
        <f>IFERROR(__xludf.DUMMYFUNCTION("""COMPUTED_VALUE"""),"DIGITEC TECNOLOGIA DIGITAL E REPRES")</f>
        <v>DIGITEC TECNOLOGIA DIGITAL E REPRES</v>
      </c>
      <c r="E4371" s="21">
        <f>IFERROR(__xludf.DUMMYFUNCTION("""COMPUTED_VALUE"""),145359.0)</f>
        <v>145359</v>
      </c>
      <c r="F4371" s="21" t="str">
        <f>IFERROR(__xludf.DUMMYFUNCTION("""COMPUTED_VALUE"""),"INICIALIZADO")</f>
        <v>INICIALIZADO</v>
      </c>
      <c r="G4371" s="23">
        <f>IFERROR(__xludf.DUMMYFUNCTION("""COMPUTED_VALUE"""),45635.535104166665)</f>
        <v>45635.5351</v>
      </c>
      <c r="H4371" s="24" t="str">
        <f>IFERROR(VLOOKUP(B4371,material!A:D,3,0),"")</f>
        <v>WIFI 6</v>
      </c>
    </row>
    <row r="4372" ht="11.25" customHeight="1">
      <c r="A4372" s="21" t="str">
        <f>IFERROR(__xludf.DUMMYFUNCTION("""COMPUTED_VALUE"""),"TERMINAL DOCSIS 3.1 EMTA WIFI6 F@ST3896")</f>
        <v>TERMINAL DOCSIS 3.1 EMTA WIFI6 F@ST3896</v>
      </c>
      <c r="B4372" s="22">
        <f>IFERROR(__xludf.DUMMYFUNCTION("""COMPUTED_VALUE"""),4.1001552E7)</f>
        <v>41001552</v>
      </c>
      <c r="C4372" s="21" t="str">
        <f>IFERROR(__xludf.DUMMYFUNCTION("""COMPUTED_VALUE"""),"647B1EECA49C")</f>
        <v>647B1EECA49C</v>
      </c>
      <c r="D4372" s="21" t="str">
        <f>IFERROR(__xludf.DUMMYFUNCTION("""COMPUTED_VALUE"""),"DIGITEC TECNOLOGIA DIGITAL E REPRES")</f>
        <v>DIGITEC TECNOLOGIA DIGITAL E REPRES</v>
      </c>
      <c r="E4372" s="21">
        <f>IFERROR(__xludf.DUMMYFUNCTION("""COMPUTED_VALUE"""),145359.0)</f>
        <v>145359</v>
      </c>
      <c r="F4372" s="21" t="str">
        <f>IFERROR(__xludf.DUMMYFUNCTION("""COMPUTED_VALUE"""),"INICIALIZADO")</f>
        <v>INICIALIZADO</v>
      </c>
      <c r="G4372" s="23">
        <f>IFERROR(__xludf.DUMMYFUNCTION("""COMPUTED_VALUE"""),45618.74479166667)</f>
        <v>45618.74479</v>
      </c>
      <c r="H4372" s="24" t="str">
        <f>IFERROR(VLOOKUP(B4372,material!A:D,3,0),"")</f>
        <v>WIFI 6</v>
      </c>
    </row>
    <row r="4373" ht="11.25" customHeight="1">
      <c r="A4373" s="21" t="str">
        <f>IFERROR(__xludf.DUMMYFUNCTION("""COMPUTED_VALUE"""),"TERMINAL DOCSIS 3.1 EMTA WIFI6 F@ST3896")</f>
        <v>TERMINAL DOCSIS 3.1 EMTA WIFI6 F@ST3896</v>
      </c>
      <c r="B4373" s="22">
        <f>IFERROR(__xludf.DUMMYFUNCTION("""COMPUTED_VALUE"""),4.1001552E7)</f>
        <v>41001552</v>
      </c>
      <c r="C4373" s="21" t="str">
        <f>IFERROR(__xludf.DUMMYFUNCTION("""COMPUTED_VALUE"""),"647B1EECA479")</f>
        <v>647B1EECA479</v>
      </c>
      <c r="D4373" s="21" t="str">
        <f>IFERROR(__xludf.DUMMYFUNCTION("""COMPUTED_VALUE"""),"DIGITEC TECNOLOGIA DIGITAL E REPRES")</f>
        <v>DIGITEC TECNOLOGIA DIGITAL E REPRES</v>
      </c>
      <c r="E4373" s="21">
        <f>IFERROR(__xludf.DUMMYFUNCTION("""COMPUTED_VALUE"""),145359.0)</f>
        <v>145359</v>
      </c>
      <c r="F4373" s="21" t="str">
        <f>IFERROR(__xludf.DUMMYFUNCTION("""COMPUTED_VALUE"""),"INICIALIZADO")</f>
        <v>INICIALIZADO</v>
      </c>
      <c r="G4373" s="23">
        <f>IFERROR(__xludf.DUMMYFUNCTION("""COMPUTED_VALUE"""),45618.74479166667)</f>
        <v>45618.74479</v>
      </c>
      <c r="H4373" s="24" t="str">
        <f>IFERROR(VLOOKUP(B4373,material!A:D,3,0),"")</f>
        <v>WIFI 6</v>
      </c>
    </row>
    <row r="4374" ht="11.25" customHeight="1">
      <c r="A4374" s="21" t="str">
        <f>IFERROR(__xludf.DUMMYFUNCTION("""COMPUTED_VALUE"""),"TERMINAL DOCSIS 3.1 EMTA WIFI6 F@ST3896")</f>
        <v>TERMINAL DOCSIS 3.1 EMTA WIFI6 F@ST3896</v>
      </c>
      <c r="B4374" s="22">
        <f>IFERROR(__xludf.DUMMYFUNCTION("""COMPUTED_VALUE"""),4.1001552E7)</f>
        <v>41001552</v>
      </c>
      <c r="C4374" s="21" t="str">
        <f>IFERROR(__xludf.DUMMYFUNCTION("""COMPUTED_VALUE"""),"647B1EECA42C")</f>
        <v>647B1EECA42C</v>
      </c>
      <c r="D4374" s="21" t="str">
        <f>IFERROR(__xludf.DUMMYFUNCTION("""COMPUTED_VALUE"""),"DIGITEC TECNOLOGIA DIGITAL E REPRES")</f>
        <v>DIGITEC TECNOLOGIA DIGITAL E REPRES</v>
      </c>
      <c r="E4374" s="21">
        <f>IFERROR(__xludf.DUMMYFUNCTION("""COMPUTED_VALUE"""),145359.0)</f>
        <v>145359</v>
      </c>
      <c r="F4374" s="21" t="str">
        <f>IFERROR(__xludf.DUMMYFUNCTION("""COMPUTED_VALUE"""),"INICIALIZADO")</f>
        <v>INICIALIZADO</v>
      </c>
      <c r="G4374" s="23">
        <f>IFERROR(__xludf.DUMMYFUNCTION("""COMPUTED_VALUE"""),45618.74479166667)</f>
        <v>45618.74479</v>
      </c>
      <c r="H4374" s="24" t="str">
        <f>IFERROR(VLOOKUP(B4374,material!A:D,3,0),"")</f>
        <v>WIFI 6</v>
      </c>
    </row>
    <row r="4375" ht="11.25" customHeight="1">
      <c r="A4375" s="21" t="str">
        <f>IFERROR(__xludf.DUMMYFUNCTION("""COMPUTED_VALUE"""),"TERMINAL DOCSIS 3.1 EMTA WIFI6 F@ST3896")</f>
        <v>TERMINAL DOCSIS 3.1 EMTA WIFI6 F@ST3896</v>
      </c>
      <c r="B4375" s="22">
        <f>IFERROR(__xludf.DUMMYFUNCTION("""COMPUTED_VALUE"""),4.1001552E7)</f>
        <v>41001552</v>
      </c>
      <c r="C4375" s="21" t="str">
        <f>IFERROR(__xludf.DUMMYFUNCTION("""COMPUTED_VALUE"""),"647B1EEC92F9")</f>
        <v>647B1EEC92F9</v>
      </c>
      <c r="D4375" s="21" t="str">
        <f>IFERROR(__xludf.DUMMYFUNCTION("""COMPUTED_VALUE"""),"DIGITEC TECNOLOGIA DIGITAL E REPRES")</f>
        <v>DIGITEC TECNOLOGIA DIGITAL E REPRES</v>
      </c>
      <c r="E4375" s="21">
        <f>IFERROR(__xludf.DUMMYFUNCTION("""COMPUTED_VALUE"""),145359.0)</f>
        <v>145359</v>
      </c>
      <c r="F4375" s="21" t="str">
        <f>IFERROR(__xludf.DUMMYFUNCTION("""COMPUTED_VALUE"""),"INICIALIZADO")</f>
        <v>INICIALIZADO</v>
      </c>
      <c r="G4375" s="23">
        <f>IFERROR(__xludf.DUMMYFUNCTION("""COMPUTED_VALUE"""),45618.74480324074)</f>
        <v>45618.7448</v>
      </c>
      <c r="H4375" s="24" t="str">
        <f>IFERROR(VLOOKUP(B4375,material!A:D,3,0),"")</f>
        <v>WIFI 6</v>
      </c>
    </row>
    <row r="4376" ht="11.25" customHeight="1">
      <c r="A4376" s="21" t="str">
        <f>IFERROR(__xludf.DUMMYFUNCTION("""COMPUTED_VALUE"""),"TERMINAL DOCSIS 3.1 EMTA WIFI6 F@ST3896")</f>
        <v>TERMINAL DOCSIS 3.1 EMTA WIFI6 F@ST3896</v>
      </c>
      <c r="B4376" s="22">
        <f>IFERROR(__xludf.DUMMYFUNCTION("""COMPUTED_VALUE"""),4.1001552E7)</f>
        <v>41001552</v>
      </c>
      <c r="C4376" s="21" t="str">
        <f>IFERROR(__xludf.DUMMYFUNCTION("""COMPUTED_VALUE"""),"647B1EECF2BB")</f>
        <v>647B1EECF2BB</v>
      </c>
      <c r="D4376" s="21" t="str">
        <f>IFERROR(__xludf.DUMMYFUNCTION("""COMPUTED_VALUE"""),"DIGITEC TECNOLOGIA DIGITAL E REPRES")</f>
        <v>DIGITEC TECNOLOGIA DIGITAL E REPRES</v>
      </c>
      <c r="E4376" s="21">
        <f>IFERROR(__xludf.DUMMYFUNCTION("""COMPUTED_VALUE"""),145359.0)</f>
        <v>145359</v>
      </c>
      <c r="F4376" s="21" t="str">
        <f>IFERROR(__xludf.DUMMYFUNCTION("""COMPUTED_VALUE"""),"INICIALIZADO")</f>
        <v>INICIALIZADO</v>
      </c>
      <c r="G4376" s="23">
        <f>IFERROR(__xludf.DUMMYFUNCTION("""COMPUTED_VALUE"""),45625.653182870374)</f>
        <v>45625.65318</v>
      </c>
      <c r="H4376" s="24" t="str">
        <f>IFERROR(VLOOKUP(B4376,material!A:D,3,0),"")</f>
        <v>WIFI 6</v>
      </c>
    </row>
    <row r="4377" ht="11.25" customHeight="1">
      <c r="A4377" s="21" t="str">
        <f>IFERROR(__xludf.DUMMYFUNCTION("""COMPUTED_VALUE"""),"TERMINAL DOCSIS 3.1 EMTA WIFI6 F@ST3896")</f>
        <v>TERMINAL DOCSIS 3.1 EMTA WIFI6 F@ST3896</v>
      </c>
      <c r="B4377" s="22">
        <f>IFERROR(__xludf.DUMMYFUNCTION("""COMPUTED_VALUE"""),4.1001552E7)</f>
        <v>41001552</v>
      </c>
      <c r="C4377" s="21" t="str">
        <f>IFERROR(__xludf.DUMMYFUNCTION("""COMPUTED_VALUE"""),"B0924A114690")</f>
        <v>B0924A114690</v>
      </c>
      <c r="D4377" s="21" t="str">
        <f>IFERROR(__xludf.DUMMYFUNCTION("""COMPUTED_VALUE"""),"DIGITEC TECNOLOGIA DIGITAL E REPRES")</f>
        <v>DIGITEC TECNOLOGIA DIGITAL E REPRES</v>
      </c>
      <c r="E4377" s="21">
        <f>IFERROR(__xludf.DUMMYFUNCTION("""COMPUTED_VALUE"""),145359.0)</f>
        <v>145359</v>
      </c>
      <c r="F4377" s="21" t="str">
        <f>IFERROR(__xludf.DUMMYFUNCTION("""COMPUTED_VALUE"""),"INICIALIZADO")</f>
        <v>INICIALIZADO</v>
      </c>
      <c r="G4377" s="23">
        <f>IFERROR(__xludf.DUMMYFUNCTION("""COMPUTED_VALUE"""),45454.55334490741)</f>
        <v>45454.55334</v>
      </c>
      <c r="H4377" s="24" t="str">
        <f>IFERROR(VLOOKUP(B4377,material!A:D,3,0),"")</f>
        <v>WIFI 6</v>
      </c>
    </row>
    <row r="4378" ht="11.25" customHeight="1">
      <c r="A4378" s="21" t="str">
        <f>IFERROR(__xludf.DUMMYFUNCTION("""COMPUTED_VALUE"""),"TERMINAL DOCSIS 3.1 EMTA WIFI6 F@ST3896")</f>
        <v>TERMINAL DOCSIS 3.1 EMTA WIFI6 F@ST3896</v>
      </c>
      <c r="B4378" s="22">
        <f>IFERROR(__xludf.DUMMYFUNCTION("""COMPUTED_VALUE"""),4.1001552E7)</f>
        <v>41001552</v>
      </c>
      <c r="C4378" s="21" t="str">
        <f>IFERROR(__xludf.DUMMYFUNCTION("""COMPUTED_VALUE"""),"5447CCCB26E7")</f>
        <v>5447CCCB26E7</v>
      </c>
      <c r="D4378" s="21" t="str">
        <f>IFERROR(__xludf.DUMMYFUNCTION("""COMPUTED_VALUE"""),"DIGITEC TECNOLOGIA DIGITAL E REPRES")</f>
        <v>DIGITEC TECNOLOGIA DIGITAL E REPRES</v>
      </c>
      <c r="E4378" s="21">
        <f>IFERROR(__xludf.DUMMYFUNCTION("""COMPUTED_VALUE"""),145359.0)</f>
        <v>145359</v>
      </c>
      <c r="F4378" s="21" t="str">
        <f>IFERROR(__xludf.DUMMYFUNCTION("""COMPUTED_VALUE"""),"INICIALIZADO")</f>
        <v>INICIALIZADO</v>
      </c>
      <c r="G4378" s="23">
        <f>IFERROR(__xludf.DUMMYFUNCTION("""COMPUTED_VALUE"""),45012.64767361111)</f>
        <v>45012.64767</v>
      </c>
      <c r="H4378" s="24" t="str">
        <f>IFERROR(VLOOKUP(B4378,material!A:D,3,0),"")</f>
        <v>WIFI 6</v>
      </c>
    </row>
    <row r="4379" ht="11.25" customHeight="1">
      <c r="A4379" s="21" t="str">
        <f>IFERROR(__xludf.DUMMYFUNCTION("""COMPUTED_VALUE"""),"TERMINAL DOCSIS 3.1 EMTA WIFI6 F@ST3896")</f>
        <v>TERMINAL DOCSIS 3.1 EMTA WIFI6 F@ST3896</v>
      </c>
      <c r="B4379" s="22">
        <f>IFERROR(__xludf.DUMMYFUNCTION("""COMPUTED_VALUE"""),4.1001552E7)</f>
        <v>41001552</v>
      </c>
      <c r="C4379" s="21" t="str">
        <f>IFERROR(__xludf.DUMMYFUNCTION("""COMPUTED_VALUE"""),"5447CCCB2749")</f>
        <v>5447CCCB2749</v>
      </c>
      <c r="D4379" s="21" t="str">
        <f>IFERROR(__xludf.DUMMYFUNCTION("""COMPUTED_VALUE"""),"DIGITEC TECNOLOGIA DIGITAL E REPRES")</f>
        <v>DIGITEC TECNOLOGIA DIGITAL E REPRES</v>
      </c>
      <c r="E4379" s="21">
        <f>IFERROR(__xludf.DUMMYFUNCTION("""COMPUTED_VALUE"""),145359.0)</f>
        <v>145359</v>
      </c>
      <c r="F4379" s="21" t="str">
        <f>IFERROR(__xludf.DUMMYFUNCTION("""COMPUTED_VALUE"""),"INICIALIZADO")</f>
        <v>INICIALIZADO</v>
      </c>
      <c r="G4379" s="23">
        <f>IFERROR(__xludf.DUMMYFUNCTION("""COMPUTED_VALUE"""),45622.476273148146)</f>
        <v>45622.47627</v>
      </c>
      <c r="H4379" s="24" t="str">
        <f>IFERROR(VLOOKUP(B4379,material!A:D,3,0),"")</f>
        <v>WIFI 6</v>
      </c>
    </row>
    <row r="4380" ht="11.25" customHeight="1">
      <c r="A4380" s="21" t="str">
        <f>IFERROR(__xludf.DUMMYFUNCTION("""COMPUTED_VALUE"""),"TERMINAL DOCSIS 3.1 EMTA WIFI6 F@ST3896")</f>
        <v>TERMINAL DOCSIS 3.1 EMTA WIFI6 F@ST3896</v>
      </c>
      <c r="B4380" s="22">
        <f>IFERROR(__xludf.DUMMYFUNCTION("""COMPUTED_VALUE"""),4.1001552E7)</f>
        <v>41001552</v>
      </c>
      <c r="C4380" s="21" t="str">
        <f>IFERROR(__xludf.DUMMYFUNCTION("""COMPUTED_VALUE"""),"B0924A11441A")</f>
        <v>B0924A11441A</v>
      </c>
      <c r="D4380" s="21" t="str">
        <f>IFERROR(__xludf.DUMMYFUNCTION("""COMPUTED_VALUE"""),"DIGITEC TECNOLOGIA DIGITAL E REPRES")</f>
        <v>DIGITEC TECNOLOGIA DIGITAL E REPRES</v>
      </c>
      <c r="E4380" s="21">
        <f>IFERROR(__xludf.DUMMYFUNCTION("""COMPUTED_VALUE"""),145359.0)</f>
        <v>145359</v>
      </c>
      <c r="F4380" s="21" t="str">
        <f>IFERROR(__xludf.DUMMYFUNCTION("""COMPUTED_VALUE"""),"INICIALIZADO")</f>
        <v>INICIALIZADO</v>
      </c>
      <c r="G4380" s="23">
        <f>IFERROR(__xludf.DUMMYFUNCTION("""COMPUTED_VALUE"""),45454.55332175926)</f>
        <v>45454.55332</v>
      </c>
      <c r="H4380" s="24" t="str">
        <f>IFERROR(VLOOKUP(B4380,material!A:D,3,0),"")</f>
        <v>WIFI 6</v>
      </c>
    </row>
    <row r="4381" ht="11.25" customHeight="1">
      <c r="A4381" s="21" t="str">
        <f>IFERROR(__xludf.DUMMYFUNCTION("""COMPUTED_VALUE"""),"TERMINAL DOCSIS 3.1 EMTA WIFI6 F@ST3896")</f>
        <v>TERMINAL DOCSIS 3.1 EMTA WIFI6 F@ST3896</v>
      </c>
      <c r="B4381" s="22">
        <f>IFERROR(__xludf.DUMMYFUNCTION("""COMPUTED_VALUE"""),4.1001552E7)</f>
        <v>41001552</v>
      </c>
      <c r="C4381" s="21" t="str">
        <f>IFERROR(__xludf.DUMMYFUNCTION("""COMPUTED_VALUE"""),"CC583001F52F")</f>
        <v>CC583001F52F</v>
      </c>
      <c r="D4381" s="21" t="str">
        <f>IFERROR(__xludf.DUMMYFUNCTION("""COMPUTED_VALUE"""),"DIGITEC TECNOLOGIA DIGITAL E REPRES")</f>
        <v>DIGITEC TECNOLOGIA DIGITAL E REPRES</v>
      </c>
      <c r="E4381" s="21">
        <f>IFERROR(__xludf.DUMMYFUNCTION("""COMPUTED_VALUE"""),145359.0)</f>
        <v>145359</v>
      </c>
      <c r="F4381" s="21" t="str">
        <f>IFERROR(__xludf.DUMMYFUNCTION("""COMPUTED_VALUE"""),"INICIALIZADO")</f>
        <v>INICIALIZADO</v>
      </c>
      <c r="G4381" s="23">
        <f>IFERROR(__xludf.DUMMYFUNCTION("""COMPUTED_VALUE"""),45299.549062499995)</f>
        <v>45299.54906</v>
      </c>
      <c r="H4381" s="24" t="str">
        <f>IFERROR(VLOOKUP(B4381,material!A:D,3,0),"")</f>
        <v>WIFI 6</v>
      </c>
    </row>
    <row r="4382" ht="11.25" customHeight="1">
      <c r="A4382" s="21" t="str">
        <f>IFERROR(__xludf.DUMMYFUNCTION("""COMPUTED_VALUE"""),"DECODER CARDLESS 4K UHD S4KCW3 CABO E IP")</f>
        <v>DECODER CARDLESS 4K UHD S4KCW3 CABO E IP</v>
      </c>
      <c r="B4382" s="22">
        <f>IFERROR(__xludf.DUMMYFUNCTION("""COMPUTED_VALUE"""),4.1001528E7)</f>
        <v>41001528</v>
      </c>
      <c r="C4382" s="21" t="str">
        <f>IFERROR(__xludf.DUMMYFUNCTION("""COMPUTED_VALUE"""),"230049662243")</f>
        <v>230049662243</v>
      </c>
      <c r="D4382" s="21" t="str">
        <f>IFERROR(__xludf.DUMMYFUNCTION("""COMPUTED_VALUE"""),"DIGITEC TECNOLOGIA DIGITAL E REPRES")</f>
        <v>DIGITEC TECNOLOGIA DIGITAL E REPRES</v>
      </c>
      <c r="E4382" s="21">
        <f>IFERROR(__xludf.DUMMYFUNCTION("""COMPUTED_VALUE"""),145359.0)</f>
        <v>145359</v>
      </c>
      <c r="F4382" s="21" t="str">
        <f>IFERROR(__xludf.DUMMYFUNCTION("""COMPUTED_VALUE"""),"INICIALIZADO")</f>
        <v>INICIALIZADO</v>
      </c>
      <c r="G4382" s="23">
        <f>IFERROR(__xludf.DUMMYFUNCTION("""COMPUTED_VALUE"""),45629.714849537035)</f>
        <v>45629.71485</v>
      </c>
      <c r="H4382" s="24" t="str">
        <f>IFERROR(VLOOKUP(B4382,material!A:D,3,0),"")</f>
        <v>4K RFIP</v>
      </c>
    </row>
    <row r="4383" ht="11.25" customHeight="1">
      <c r="A4383" s="21" t="str">
        <f>IFERROR(__xludf.DUMMYFUNCTION("""COMPUTED_VALUE"""),"DECODER CARDLESS 4K UHD S4KCW3 CABO E IP")</f>
        <v>DECODER CARDLESS 4K UHD S4KCW3 CABO E IP</v>
      </c>
      <c r="B4383" s="22">
        <f>IFERROR(__xludf.DUMMYFUNCTION("""COMPUTED_VALUE"""),4.1001528E7)</f>
        <v>41001528</v>
      </c>
      <c r="C4383" s="21" t="str">
        <f>IFERROR(__xludf.DUMMYFUNCTION("""COMPUTED_VALUE"""),"230052840320")</f>
        <v>230052840320</v>
      </c>
      <c r="D4383" s="21" t="str">
        <f>IFERROR(__xludf.DUMMYFUNCTION("""COMPUTED_VALUE"""),"DIGITEC TECNOLOGIA DIGITAL E REPRES")</f>
        <v>DIGITEC TECNOLOGIA DIGITAL E REPRES</v>
      </c>
      <c r="E4383" s="21">
        <f>IFERROR(__xludf.DUMMYFUNCTION("""COMPUTED_VALUE"""),145359.0)</f>
        <v>145359</v>
      </c>
      <c r="F4383" s="21" t="str">
        <f>IFERROR(__xludf.DUMMYFUNCTION("""COMPUTED_VALUE"""),"INICIALIZADO")</f>
        <v>INICIALIZADO</v>
      </c>
      <c r="G4383" s="23">
        <f>IFERROR(__xludf.DUMMYFUNCTION("""COMPUTED_VALUE"""),45629.714849537035)</f>
        <v>45629.71485</v>
      </c>
      <c r="H4383" s="24" t="str">
        <f>IFERROR(VLOOKUP(B4383,material!A:D,3,0),"")</f>
        <v>4K RFIP</v>
      </c>
    </row>
    <row r="4384" ht="11.25" customHeight="1">
      <c r="A4384" s="21" t="str">
        <f>IFERROR(__xludf.DUMMYFUNCTION("""COMPUTED_VALUE"""),"DECODER CARDLESS 4K UHD S4KCW3 CABO E IP")</f>
        <v>DECODER CARDLESS 4K UHD S4KCW3 CABO E IP</v>
      </c>
      <c r="B4384" s="22">
        <f>IFERROR(__xludf.DUMMYFUNCTION("""COMPUTED_VALUE"""),4.1001528E7)</f>
        <v>41001528</v>
      </c>
      <c r="C4384" s="21" t="str">
        <f>IFERROR(__xludf.DUMMYFUNCTION("""COMPUTED_VALUE"""),"230032537686")</f>
        <v>230032537686</v>
      </c>
      <c r="D4384" s="21" t="str">
        <f>IFERROR(__xludf.DUMMYFUNCTION("""COMPUTED_VALUE"""),"DIGITEC TECNOLOGIA DIGITAL E REPRES")</f>
        <v>DIGITEC TECNOLOGIA DIGITAL E REPRES</v>
      </c>
      <c r="E4384" s="21">
        <f>IFERROR(__xludf.DUMMYFUNCTION("""COMPUTED_VALUE"""),145359.0)</f>
        <v>145359</v>
      </c>
      <c r="F4384" s="21" t="str">
        <f>IFERROR(__xludf.DUMMYFUNCTION("""COMPUTED_VALUE"""),"INICIALIZADO")</f>
        <v>INICIALIZADO</v>
      </c>
      <c r="G4384" s="23">
        <f>IFERROR(__xludf.DUMMYFUNCTION("""COMPUTED_VALUE"""),45548.4924537037)</f>
        <v>45548.49245</v>
      </c>
      <c r="H4384" s="24" t="str">
        <f>IFERROR(VLOOKUP(B4384,material!A:D,3,0),"")</f>
        <v>4K RFIP</v>
      </c>
    </row>
    <row r="4385" ht="11.25" customHeight="1">
      <c r="A4385" s="21" t="str">
        <f>IFERROR(__xludf.DUMMYFUNCTION("""COMPUTED_VALUE"""),"DECODER CARDLESS 4K UHD S4KCW3 CABO E IP")</f>
        <v>DECODER CARDLESS 4K UHD S4KCW3 CABO E IP</v>
      </c>
      <c r="B4385" s="22">
        <f>IFERROR(__xludf.DUMMYFUNCTION("""COMPUTED_VALUE"""),4.1001528E7)</f>
        <v>41001528</v>
      </c>
      <c r="C4385" s="21" t="str">
        <f>IFERROR(__xludf.DUMMYFUNCTION("""COMPUTED_VALUE"""),"230035378402")</f>
        <v>230035378402</v>
      </c>
      <c r="D4385" s="21" t="str">
        <f>IFERROR(__xludf.DUMMYFUNCTION("""COMPUTED_VALUE"""),"DIGITEC TECNOLOGIA DIGITAL E REPRES")</f>
        <v>DIGITEC TECNOLOGIA DIGITAL E REPRES</v>
      </c>
      <c r="E4385" s="21">
        <f>IFERROR(__xludf.DUMMYFUNCTION("""COMPUTED_VALUE"""),145359.0)</f>
        <v>145359</v>
      </c>
      <c r="F4385" s="21" t="str">
        <f>IFERROR(__xludf.DUMMYFUNCTION("""COMPUTED_VALUE"""),"INICIALIZADO")</f>
        <v>INICIALIZADO</v>
      </c>
      <c r="G4385" s="23">
        <f>IFERROR(__xludf.DUMMYFUNCTION("""COMPUTED_VALUE"""),45638.68791666666)</f>
        <v>45638.68792</v>
      </c>
      <c r="H4385" s="24" t="str">
        <f>IFERROR(VLOOKUP(B4385,material!A:D,3,0),"")</f>
        <v>4K RFIP</v>
      </c>
    </row>
    <row r="4386" ht="11.25" customHeight="1">
      <c r="A4386" s="21" t="str">
        <f>IFERROR(__xludf.DUMMYFUNCTION("""COMPUTED_VALUE"""),"DECODER CARDLESS 4K UHD S4KCW3 CABO E IP")</f>
        <v>DECODER CARDLESS 4K UHD S4KCW3 CABO E IP</v>
      </c>
      <c r="B4386" s="22">
        <f>IFERROR(__xludf.DUMMYFUNCTION("""COMPUTED_VALUE"""),4.1001528E7)</f>
        <v>41001528</v>
      </c>
      <c r="C4386" s="21" t="str">
        <f>IFERROR(__xludf.DUMMYFUNCTION("""COMPUTED_VALUE"""),"230027431016")</f>
        <v>230027431016</v>
      </c>
      <c r="D4386" s="21" t="str">
        <f>IFERROR(__xludf.DUMMYFUNCTION("""COMPUTED_VALUE"""),"DIGITEC TECNOLOGIA DIGITAL E REPRES")</f>
        <v>DIGITEC TECNOLOGIA DIGITAL E REPRES</v>
      </c>
      <c r="E4386" s="21">
        <f>IFERROR(__xludf.DUMMYFUNCTION("""COMPUTED_VALUE"""),145359.0)</f>
        <v>145359</v>
      </c>
      <c r="F4386" s="21" t="str">
        <f>IFERROR(__xludf.DUMMYFUNCTION("""COMPUTED_VALUE"""),"INICIALIZADO")</f>
        <v>INICIALIZADO</v>
      </c>
      <c r="G4386" s="23">
        <f>IFERROR(__xludf.DUMMYFUNCTION("""COMPUTED_VALUE"""),45629.714849537035)</f>
        <v>45629.71485</v>
      </c>
      <c r="H4386" s="24" t="str">
        <f>IFERROR(VLOOKUP(B4386,material!A:D,3,0),"")</f>
        <v>4K RFIP</v>
      </c>
    </row>
    <row r="4387" ht="11.25" customHeight="1">
      <c r="A4387" s="21" t="str">
        <f>IFERROR(__xludf.DUMMYFUNCTION("""COMPUTED_VALUE"""),"DECODER CARDLESS 4K UHD S4KCW3 CABO E IP")</f>
        <v>DECODER CARDLESS 4K UHD S4KCW3 CABO E IP</v>
      </c>
      <c r="B4387" s="22">
        <f>IFERROR(__xludf.DUMMYFUNCTION("""COMPUTED_VALUE"""),4.1001528E7)</f>
        <v>41001528</v>
      </c>
      <c r="C4387" s="21" t="str">
        <f>IFERROR(__xludf.DUMMYFUNCTION("""COMPUTED_VALUE"""),"230027518600")</f>
        <v>230027518600</v>
      </c>
      <c r="D4387" s="21" t="str">
        <f>IFERROR(__xludf.DUMMYFUNCTION("""COMPUTED_VALUE"""),"DIGITEC TECNOLOGIA DIGITAL E REPRES")</f>
        <v>DIGITEC TECNOLOGIA DIGITAL E REPRES</v>
      </c>
      <c r="E4387" s="21">
        <f>IFERROR(__xludf.DUMMYFUNCTION("""COMPUTED_VALUE"""),145359.0)</f>
        <v>145359</v>
      </c>
      <c r="F4387" s="21" t="str">
        <f>IFERROR(__xludf.DUMMYFUNCTION("""COMPUTED_VALUE"""),"INICIALIZADO")</f>
        <v>INICIALIZADO</v>
      </c>
      <c r="G4387" s="23">
        <f>IFERROR(__xludf.DUMMYFUNCTION("""COMPUTED_VALUE"""),45638.68790509259)</f>
        <v>45638.68791</v>
      </c>
      <c r="H4387" s="24" t="str">
        <f>IFERROR(VLOOKUP(B4387,material!A:D,3,0),"")</f>
        <v>4K RFIP</v>
      </c>
    </row>
    <row r="4388" ht="11.25" customHeight="1">
      <c r="A4388" s="21" t="str">
        <f>IFERROR(__xludf.DUMMYFUNCTION("""COMPUTED_VALUE"""),"DECODER CARDLESS 4K UHD S4KCW3 CABO E IP")</f>
        <v>DECODER CARDLESS 4K UHD S4KCW3 CABO E IP</v>
      </c>
      <c r="B4388" s="22">
        <f>IFERROR(__xludf.DUMMYFUNCTION("""COMPUTED_VALUE"""),4.1001528E7)</f>
        <v>41001528</v>
      </c>
      <c r="C4388" s="21" t="str">
        <f>IFERROR(__xludf.DUMMYFUNCTION("""COMPUTED_VALUE"""),"230027526378")</f>
        <v>230027526378</v>
      </c>
      <c r="D4388" s="21" t="str">
        <f>IFERROR(__xludf.DUMMYFUNCTION("""COMPUTED_VALUE"""),"DIGITEC TECNOLOGIA DIGITAL E REPRES")</f>
        <v>DIGITEC TECNOLOGIA DIGITAL E REPRES</v>
      </c>
      <c r="E4388" s="21">
        <f>IFERROR(__xludf.DUMMYFUNCTION("""COMPUTED_VALUE"""),145359.0)</f>
        <v>145359</v>
      </c>
      <c r="F4388" s="21" t="str">
        <f>IFERROR(__xludf.DUMMYFUNCTION("""COMPUTED_VALUE"""),"INICIALIZADO")</f>
        <v>INICIALIZADO</v>
      </c>
      <c r="G4388" s="23">
        <f>IFERROR(__xludf.DUMMYFUNCTION("""COMPUTED_VALUE"""),45638.68791666666)</f>
        <v>45638.68792</v>
      </c>
      <c r="H4388" s="24" t="str">
        <f>IFERROR(VLOOKUP(B4388,material!A:D,3,0),"")</f>
        <v>4K RFIP</v>
      </c>
    </row>
    <row r="4389" ht="11.25" customHeight="1">
      <c r="A4389" s="21" t="str">
        <f>IFERROR(__xludf.DUMMYFUNCTION("""COMPUTED_VALUE"""),"DECODER CARDLESS 4K UHD S4KCW3 CABO E IP")</f>
        <v>DECODER CARDLESS 4K UHD S4KCW3 CABO E IP</v>
      </c>
      <c r="B4389" s="22">
        <f>IFERROR(__xludf.DUMMYFUNCTION("""COMPUTED_VALUE"""),4.1001528E7)</f>
        <v>41001528</v>
      </c>
      <c r="C4389" s="21" t="str">
        <f>IFERROR(__xludf.DUMMYFUNCTION("""COMPUTED_VALUE"""),"230017315561")</f>
        <v>230017315561</v>
      </c>
      <c r="D4389" s="21" t="str">
        <f>IFERROR(__xludf.DUMMYFUNCTION("""COMPUTED_VALUE"""),"DIGITEC TECNOLOGIA DIGITAL E REPRES")</f>
        <v>DIGITEC TECNOLOGIA DIGITAL E REPRES</v>
      </c>
      <c r="E4389" s="21">
        <f>IFERROR(__xludf.DUMMYFUNCTION("""COMPUTED_VALUE"""),145359.0)</f>
        <v>145359</v>
      </c>
      <c r="F4389" s="21" t="str">
        <f>IFERROR(__xludf.DUMMYFUNCTION("""COMPUTED_VALUE"""),"INICIALIZADO")</f>
        <v>INICIALIZADO</v>
      </c>
      <c r="G4389" s="23">
        <f>IFERROR(__xludf.DUMMYFUNCTION("""COMPUTED_VALUE"""),45638.68790509259)</f>
        <v>45638.68791</v>
      </c>
      <c r="H4389" s="24" t="str">
        <f>IFERROR(VLOOKUP(B4389,material!A:D,3,0),"")</f>
        <v>4K RFIP</v>
      </c>
    </row>
    <row r="4390" ht="11.25" customHeight="1">
      <c r="A4390" s="21" t="str">
        <f>IFERROR(__xludf.DUMMYFUNCTION("""COMPUTED_VALUE"""),"DECODER CARDLESS 4K UHD S4KCW3 CABO E IP")</f>
        <v>DECODER CARDLESS 4K UHD S4KCW3 CABO E IP</v>
      </c>
      <c r="B4390" s="22">
        <f>IFERROR(__xludf.DUMMYFUNCTION("""COMPUTED_VALUE"""),4.1001528E7)</f>
        <v>41001528</v>
      </c>
      <c r="C4390" s="21" t="str">
        <f>IFERROR(__xludf.DUMMYFUNCTION("""COMPUTED_VALUE"""),"230008169102")</f>
        <v>230008169102</v>
      </c>
      <c r="D4390" s="21" t="str">
        <f>IFERROR(__xludf.DUMMYFUNCTION("""COMPUTED_VALUE"""),"DIGITEC TECNOLOGIA DIGITAL E REPRES")</f>
        <v>DIGITEC TECNOLOGIA DIGITAL E REPRES</v>
      </c>
      <c r="E4390" s="21">
        <f>IFERROR(__xludf.DUMMYFUNCTION("""COMPUTED_VALUE"""),145359.0)</f>
        <v>145359</v>
      </c>
      <c r="F4390" s="21" t="str">
        <f>IFERROR(__xludf.DUMMYFUNCTION("""COMPUTED_VALUE"""),"INICIALIZADO")</f>
        <v>INICIALIZADO</v>
      </c>
      <c r="G4390" s="23">
        <f>IFERROR(__xludf.DUMMYFUNCTION("""COMPUTED_VALUE"""),45595.392175925925)</f>
        <v>45595.39218</v>
      </c>
      <c r="H4390" s="24" t="str">
        <f>IFERROR(VLOOKUP(B4390,material!A:D,3,0),"")</f>
        <v>4K RFIP</v>
      </c>
    </row>
    <row r="4391" ht="11.25" customHeight="1">
      <c r="A4391" s="21" t="str">
        <f>IFERROR(__xludf.DUMMYFUNCTION("""COMPUTED_VALUE"""),"DECODER CARDLESS 4K UHD S4KCW3 CABO E IP")</f>
        <v>DECODER CARDLESS 4K UHD S4KCW3 CABO E IP</v>
      </c>
      <c r="B4391" s="22">
        <f>IFERROR(__xludf.DUMMYFUNCTION("""COMPUTED_VALUE"""),4.1001528E7)</f>
        <v>41001528</v>
      </c>
      <c r="C4391" s="21" t="str">
        <f>IFERROR(__xludf.DUMMYFUNCTION("""COMPUTED_VALUE"""),"229991556167")</f>
        <v>229991556167</v>
      </c>
      <c r="D4391" s="21" t="str">
        <f>IFERROR(__xludf.DUMMYFUNCTION("""COMPUTED_VALUE"""),"DIGITEC TECNOLOGIA DIGITAL E REPRES")</f>
        <v>DIGITEC TECNOLOGIA DIGITAL E REPRES</v>
      </c>
      <c r="E4391" s="21">
        <f>IFERROR(__xludf.DUMMYFUNCTION("""COMPUTED_VALUE"""),145359.0)</f>
        <v>145359</v>
      </c>
      <c r="F4391" s="21" t="str">
        <f>IFERROR(__xludf.DUMMYFUNCTION("""COMPUTED_VALUE"""),"INICIALIZADO")</f>
        <v>INICIALIZADO</v>
      </c>
      <c r="G4391" s="23">
        <f>IFERROR(__xludf.DUMMYFUNCTION("""COMPUTED_VALUE"""),45568.77009259259)</f>
        <v>45568.77009</v>
      </c>
      <c r="H4391" s="24" t="str">
        <f>IFERROR(VLOOKUP(B4391,material!A:D,3,0),"")</f>
        <v>4K RFIP</v>
      </c>
    </row>
    <row r="4392" ht="11.25" customHeight="1">
      <c r="A4392" s="21" t="str">
        <f>IFERROR(__xludf.DUMMYFUNCTION("""COMPUTED_VALUE"""),"DECODER CARDLESS 4K UHD S4KCW3 CABO E IP")</f>
        <v>DECODER CARDLESS 4K UHD S4KCW3 CABO E IP</v>
      </c>
      <c r="B4392" s="22">
        <f>IFERROR(__xludf.DUMMYFUNCTION("""COMPUTED_VALUE"""),4.1001528E7)</f>
        <v>41001528</v>
      </c>
      <c r="C4392" s="21" t="str">
        <f>IFERROR(__xludf.DUMMYFUNCTION("""COMPUTED_VALUE"""),"229964936476")</f>
        <v>229964936476</v>
      </c>
      <c r="D4392" s="21" t="str">
        <f>IFERROR(__xludf.DUMMYFUNCTION("""COMPUTED_VALUE"""),"DIGITEC TECNOLOGIA DIGITAL E REPRES")</f>
        <v>DIGITEC TECNOLOGIA DIGITAL E REPRES</v>
      </c>
      <c r="E4392" s="21">
        <f>IFERROR(__xludf.DUMMYFUNCTION("""COMPUTED_VALUE"""),145359.0)</f>
        <v>145359</v>
      </c>
      <c r="F4392" s="21" t="str">
        <f>IFERROR(__xludf.DUMMYFUNCTION("""COMPUTED_VALUE"""),"INICIALIZADO")</f>
        <v>INICIALIZADO</v>
      </c>
      <c r="G4392" s="23">
        <f>IFERROR(__xludf.DUMMYFUNCTION("""COMPUTED_VALUE"""),45609.74686342593)</f>
        <v>45609.74686</v>
      </c>
      <c r="H4392" s="24" t="str">
        <f>IFERROR(VLOOKUP(B4392,material!A:D,3,0),"")</f>
        <v>4K RFIP</v>
      </c>
    </row>
    <row r="4393" ht="11.25" customHeight="1">
      <c r="A4393" s="21" t="str">
        <f>IFERROR(__xludf.DUMMYFUNCTION("""COMPUTED_VALUE"""),"DECODER CARDLESS 4K UHD S4KCW3 CABO E IP")</f>
        <v>DECODER CARDLESS 4K UHD S4KCW3 CABO E IP</v>
      </c>
      <c r="B4393" s="22">
        <f>IFERROR(__xludf.DUMMYFUNCTION("""COMPUTED_VALUE"""),4.1001528E7)</f>
        <v>41001528</v>
      </c>
      <c r="C4393" s="21" t="str">
        <f>IFERROR(__xludf.DUMMYFUNCTION("""COMPUTED_VALUE"""),"229991176276")</f>
        <v>229991176276</v>
      </c>
      <c r="D4393" s="21" t="str">
        <f>IFERROR(__xludf.DUMMYFUNCTION("""COMPUTED_VALUE"""),"DIGITEC TECNOLOGIA DIGITAL E REPRES")</f>
        <v>DIGITEC TECNOLOGIA DIGITAL E REPRES</v>
      </c>
      <c r="E4393" s="21">
        <f>IFERROR(__xludf.DUMMYFUNCTION("""COMPUTED_VALUE"""),145359.0)</f>
        <v>145359</v>
      </c>
      <c r="F4393" s="21" t="str">
        <f>IFERROR(__xludf.DUMMYFUNCTION("""COMPUTED_VALUE"""),"INICIALIZADO")</f>
        <v>INICIALIZADO</v>
      </c>
      <c r="G4393" s="23">
        <f>IFERROR(__xludf.DUMMYFUNCTION("""COMPUTED_VALUE"""),45638.68791666666)</f>
        <v>45638.68792</v>
      </c>
      <c r="H4393" s="24" t="str">
        <f>IFERROR(VLOOKUP(B4393,material!A:D,3,0),"")</f>
        <v>4K RFIP</v>
      </c>
    </row>
    <row r="4394" ht="11.25" customHeight="1">
      <c r="A4394" s="21" t="str">
        <f>IFERROR(__xludf.DUMMYFUNCTION("""COMPUTED_VALUE"""),"DECODER CARDLESS 4K UHD S4KCW3 CABO E IP")</f>
        <v>DECODER CARDLESS 4K UHD S4KCW3 CABO E IP</v>
      </c>
      <c r="B4394" s="22">
        <f>IFERROR(__xludf.DUMMYFUNCTION("""COMPUTED_VALUE"""),4.1001528E7)</f>
        <v>41001528</v>
      </c>
      <c r="C4394" s="21" t="str">
        <f>IFERROR(__xludf.DUMMYFUNCTION("""COMPUTED_VALUE"""),"229968002545")</f>
        <v>229968002545</v>
      </c>
      <c r="D4394" s="21" t="str">
        <f>IFERROR(__xludf.DUMMYFUNCTION("""COMPUTED_VALUE"""),"DIGITEC TECNOLOGIA DIGITAL E REPRES")</f>
        <v>DIGITEC TECNOLOGIA DIGITAL E REPRES</v>
      </c>
      <c r="E4394" s="21">
        <f>IFERROR(__xludf.DUMMYFUNCTION("""COMPUTED_VALUE"""),145359.0)</f>
        <v>145359</v>
      </c>
      <c r="F4394" s="21" t="str">
        <f>IFERROR(__xludf.DUMMYFUNCTION("""COMPUTED_VALUE"""),"INICIALIZADO")</f>
        <v>INICIALIZADO</v>
      </c>
      <c r="G4394" s="23">
        <f>IFERROR(__xludf.DUMMYFUNCTION("""COMPUTED_VALUE"""),44999.92978009259)</f>
        <v>44999.92978</v>
      </c>
      <c r="H4394" s="24" t="str">
        <f>IFERROR(VLOOKUP(B4394,material!A:D,3,0),"")</f>
        <v>4K RFIP</v>
      </c>
    </row>
    <row r="4395" ht="11.25" customHeight="1">
      <c r="A4395" s="21" t="str">
        <f>IFERROR(__xludf.DUMMYFUNCTION("""COMPUTED_VALUE"""),"DECODER CARDLESS 4K UHD S4KCW3 CABO E IP")</f>
        <v>DECODER CARDLESS 4K UHD S4KCW3 CABO E IP</v>
      </c>
      <c r="B4395" s="22">
        <f>IFERROR(__xludf.DUMMYFUNCTION("""COMPUTED_VALUE"""),4.1001528E7)</f>
        <v>41001528</v>
      </c>
      <c r="C4395" s="21" t="str">
        <f>IFERROR(__xludf.DUMMYFUNCTION("""COMPUTED_VALUE"""),"229989217779")</f>
        <v>229989217779</v>
      </c>
      <c r="D4395" s="21" t="str">
        <f>IFERROR(__xludf.DUMMYFUNCTION("""COMPUTED_VALUE"""),"DIGITEC TECNOLOGIA DIGITAL E REPRES")</f>
        <v>DIGITEC TECNOLOGIA DIGITAL E REPRES</v>
      </c>
      <c r="E4395" s="21">
        <f>IFERROR(__xludf.DUMMYFUNCTION("""COMPUTED_VALUE"""),145359.0)</f>
        <v>145359</v>
      </c>
      <c r="F4395" s="21" t="str">
        <f>IFERROR(__xludf.DUMMYFUNCTION("""COMPUTED_VALUE"""),"INICIALIZADO")</f>
        <v>INICIALIZADO</v>
      </c>
      <c r="G4395" s="23">
        <f>IFERROR(__xludf.DUMMYFUNCTION("""COMPUTED_VALUE"""),45638.68790509259)</f>
        <v>45638.68791</v>
      </c>
      <c r="H4395" s="24" t="str">
        <f>IFERROR(VLOOKUP(B4395,material!A:D,3,0),"")</f>
        <v>4K RFIP</v>
      </c>
    </row>
    <row r="4396" ht="11.25" customHeight="1">
      <c r="A4396" s="21" t="str">
        <f>IFERROR(__xludf.DUMMYFUNCTION("""COMPUTED_VALUE"""),"DECODER CARDLESS 4K UHD S4KCW3 CABO E IP")</f>
        <v>DECODER CARDLESS 4K UHD S4KCW3 CABO E IP</v>
      </c>
      <c r="B4396" s="22">
        <f>IFERROR(__xludf.DUMMYFUNCTION("""COMPUTED_VALUE"""),4.1001528E7)</f>
        <v>41001528</v>
      </c>
      <c r="C4396" s="21" t="str">
        <f>IFERROR(__xludf.DUMMYFUNCTION("""COMPUTED_VALUE"""),"229987746177")</f>
        <v>229987746177</v>
      </c>
      <c r="D4396" s="21" t="str">
        <f>IFERROR(__xludf.DUMMYFUNCTION("""COMPUTED_VALUE"""),"DIGITEC TECNOLOGIA DIGITAL E REPRES")</f>
        <v>DIGITEC TECNOLOGIA DIGITAL E REPRES</v>
      </c>
      <c r="E4396" s="21">
        <f>IFERROR(__xludf.DUMMYFUNCTION("""COMPUTED_VALUE"""),145359.0)</f>
        <v>145359</v>
      </c>
      <c r="F4396" s="21" t="str">
        <f>IFERROR(__xludf.DUMMYFUNCTION("""COMPUTED_VALUE"""),"INICIALIZADO")</f>
        <v>INICIALIZADO</v>
      </c>
      <c r="G4396" s="23">
        <f>IFERROR(__xludf.DUMMYFUNCTION("""COMPUTED_VALUE"""),45629.714849537035)</f>
        <v>45629.71485</v>
      </c>
      <c r="H4396" s="24" t="str">
        <f>IFERROR(VLOOKUP(B4396,material!A:D,3,0),"")</f>
        <v>4K RFIP</v>
      </c>
    </row>
    <row r="4397" ht="11.25" customHeight="1">
      <c r="A4397" s="21" t="str">
        <f>IFERROR(__xludf.DUMMYFUNCTION("""COMPUTED_VALUE"""),"DECODER CARDLESS 4K UHD S4KCW3 CABO E IP")</f>
        <v>DECODER CARDLESS 4K UHD S4KCW3 CABO E IP</v>
      </c>
      <c r="B4397" s="22">
        <f>IFERROR(__xludf.DUMMYFUNCTION("""COMPUTED_VALUE"""),4.1001528E7)</f>
        <v>41001528</v>
      </c>
      <c r="C4397" s="21" t="str">
        <f>IFERROR(__xludf.DUMMYFUNCTION("""COMPUTED_VALUE"""),"229987738398")</f>
        <v>229987738398</v>
      </c>
      <c r="D4397" s="21" t="str">
        <f>IFERROR(__xludf.DUMMYFUNCTION("""COMPUTED_VALUE"""),"DIGITEC TECNOLOGIA DIGITAL E REPRES")</f>
        <v>DIGITEC TECNOLOGIA DIGITAL E REPRES</v>
      </c>
      <c r="E4397" s="21">
        <f>IFERROR(__xludf.DUMMYFUNCTION("""COMPUTED_VALUE"""),145359.0)</f>
        <v>145359</v>
      </c>
      <c r="F4397" s="21" t="str">
        <f>IFERROR(__xludf.DUMMYFUNCTION("""COMPUTED_VALUE"""),"INICIALIZADO")</f>
        <v>INICIALIZADO</v>
      </c>
      <c r="G4397" s="23">
        <f>IFERROR(__xludf.DUMMYFUNCTION("""COMPUTED_VALUE"""),45629.714849537035)</f>
        <v>45629.71485</v>
      </c>
      <c r="H4397" s="24" t="str">
        <f>IFERROR(VLOOKUP(B4397,material!A:D,3,0),"")</f>
        <v>4K RFIP</v>
      </c>
    </row>
    <row r="4398" ht="11.25" customHeight="1">
      <c r="A4398" s="21" t="str">
        <f>IFERROR(__xludf.DUMMYFUNCTION("""COMPUTED_VALUE"""),"DECODER CARDLESS 4K UHD S4KCW3 CABO E IP")</f>
        <v>DECODER CARDLESS 4K UHD S4KCW3 CABO E IP</v>
      </c>
      <c r="B4398" s="22">
        <f>IFERROR(__xludf.DUMMYFUNCTION("""COMPUTED_VALUE"""),4.1001528E7)</f>
        <v>41001528</v>
      </c>
      <c r="C4398" s="21" t="str">
        <f>IFERROR(__xludf.DUMMYFUNCTION("""COMPUTED_VALUE"""),"229978440208")</f>
        <v>229978440208</v>
      </c>
      <c r="D4398" s="21" t="str">
        <f>IFERROR(__xludf.DUMMYFUNCTION("""COMPUTED_VALUE"""),"DIGITEC TECNOLOGIA DIGITAL E REPRES")</f>
        <v>DIGITEC TECNOLOGIA DIGITAL E REPRES</v>
      </c>
      <c r="E4398" s="21">
        <f>IFERROR(__xludf.DUMMYFUNCTION("""COMPUTED_VALUE"""),145359.0)</f>
        <v>145359</v>
      </c>
      <c r="F4398" s="21" t="str">
        <f>IFERROR(__xludf.DUMMYFUNCTION("""COMPUTED_VALUE"""),"INICIALIZADO")</f>
        <v>INICIALIZADO</v>
      </c>
      <c r="G4398" s="23">
        <f>IFERROR(__xludf.DUMMYFUNCTION("""COMPUTED_VALUE"""),45638.68790509259)</f>
        <v>45638.68791</v>
      </c>
      <c r="H4398" s="24" t="str">
        <f>IFERROR(VLOOKUP(B4398,material!A:D,3,0),"")</f>
        <v>4K RFIP</v>
      </c>
    </row>
    <row r="4399" ht="11.25" customHeight="1">
      <c r="A4399" s="21" t="str">
        <f>IFERROR(__xludf.DUMMYFUNCTION("""COMPUTED_VALUE"""),"DECODER CARDLESS 4K UHD S4KCW3 CABO E IP")</f>
        <v>DECODER CARDLESS 4K UHD S4KCW3 CABO E IP</v>
      </c>
      <c r="B4399" s="22">
        <f>IFERROR(__xludf.DUMMYFUNCTION("""COMPUTED_VALUE"""),4.1001528E7)</f>
        <v>41001528</v>
      </c>
      <c r="C4399" s="21" t="str">
        <f>IFERROR(__xludf.DUMMYFUNCTION("""COMPUTED_VALUE"""),"229979055374")</f>
        <v>229979055374</v>
      </c>
      <c r="D4399" s="21" t="str">
        <f>IFERROR(__xludf.DUMMYFUNCTION("""COMPUTED_VALUE"""),"DIGITEC TECNOLOGIA DIGITAL E REPRES")</f>
        <v>DIGITEC TECNOLOGIA DIGITAL E REPRES</v>
      </c>
      <c r="E4399" s="21">
        <f>IFERROR(__xludf.DUMMYFUNCTION("""COMPUTED_VALUE"""),145359.0)</f>
        <v>145359</v>
      </c>
      <c r="F4399" s="21" t="str">
        <f>IFERROR(__xludf.DUMMYFUNCTION("""COMPUTED_VALUE"""),"INICIALIZADO")</f>
        <v>INICIALIZADO</v>
      </c>
      <c r="G4399" s="23">
        <f>IFERROR(__xludf.DUMMYFUNCTION("""COMPUTED_VALUE"""),45609.74686342593)</f>
        <v>45609.74686</v>
      </c>
      <c r="H4399" s="24" t="str">
        <f>IFERROR(VLOOKUP(B4399,material!A:D,3,0),"")</f>
        <v>4K RFIP</v>
      </c>
    </row>
    <row r="4400" ht="11.25" customHeight="1">
      <c r="A4400" s="21" t="str">
        <f>IFERROR(__xludf.DUMMYFUNCTION("""COMPUTED_VALUE"""),"DECODER CARDLESS 4K UHD S4KCW3 CABO E IP")</f>
        <v>DECODER CARDLESS 4K UHD S4KCW3 CABO E IP</v>
      </c>
      <c r="B4400" s="22">
        <f>IFERROR(__xludf.DUMMYFUNCTION("""COMPUTED_VALUE"""),4.1001528E7)</f>
        <v>41001528</v>
      </c>
      <c r="C4400" s="21" t="str">
        <f>IFERROR(__xludf.DUMMYFUNCTION("""COMPUTED_VALUE"""),"229981207884")</f>
        <v>229981207884</v>
      </c>
      <c r="D4400" s="21" t="str">
        <f>IFERROR(__xludf.DUMMYFUNCTION("""COMPUTED_VALUE"""),"DIGITEC TECNOLOGIA DIGITAL E REPRES")</f>
        <v>DIGITEC TECNOLOGIA DIGITAL E REPRES</v>
      </c>
      <c r="E4400" s="21">
        <f>IFERROR(__xludf.DUMMYFUNCTION("""COMPUTED_VALUE"""),145359.0)</f>
        <v>145359</v>
      </c>
      <c r="F4400" s="21" t="str">
        <f>IFERROR(__xludf.DUMMYFUNCTION("""COMPUTED_VALUE"""),"INICIALIZADO")</f>
        <v>INICIALIZADO</v>
      </c>
      <c r="G4400" s="23">
        <f>IFERROR(__xludf.DUMMYFUNCTION("""COMPUTED_VALUE"""),45112.738854166666)</f>
        <v>45112.73885</v>
      </c>
      <c r="H4400" s="24" t="str">
        <f>IFERROR(VLOOKUP(B4400,material!A:D,3,0),"")</f>
        <v>4K RFIP</v>
      </c>
    </row>
    <row r="4401" ht="11.25" customHeight="1">
      <c r="A4401" s="21" t="str">
        <f>IFERROR(__xludf.DUMMYFUNCTION("""COMPUTED_VALUE"""),"DECODER CARDLESS 4K UHD S4KCW3 CABO E IP")</f>
        <v>DECODER CARDLESS 4K UHD S4KCW3 CABO E IP</v>
      </c>
      <c r="B4401" s="22">
        <f>IFERROR(__xludf.DUMMYFUNCTION("""COMPUTED_VALUE"""),4.1001528E7)</f>
        <v>41001528</v>
      </c>
      <c r="C4401" s="21" t="str">
        <f>IFERROR(__xludf.DUMMYFUNCTION("""COMPUTED_VALUE"""),"229968001535")</f>
        <v>229968001535</v>
      </c>
      <c r="D4401" s="21" t="str">
        <f>IFERROR(__xludf.DUMMYFUNCTION("""COMPUTED_VALUE"""),"DIGITEC TECNOLOGIA DIGITAL E REPRES")</f>
        <v>DIGITEC TECNOLOGIA DIGITAL E REPRES</v>
      </c>
      <c r="E4401" s="21">
        <f>IFERROR(__xludf.DUMMYFUNCTION("""COMPUTED_VALUE"""),145359.0)</f>
        <v>145359</v>
      </c>
      <c r="F4401" s="21" t="str">
        <f>IFERROR(__xludf.DUMMYFUNCTION("""COMPUTED_VALUE"""),"INICIALIZADO")</f>
        <v>INICIALIZADO</v>
      </c>
      <c r="G4401" s="23">
        <f>IFERROR(__xludf.DUMMYFUNCTION("""COMPUTED_VALUE"""),44999.92978009259)</f>
        <v>44999.92978</v>
      </c>
      <c r="H4401" s="24" t="str">
        <f>IFERROR(VLOOKUP(B4401,material!A:D,3,0),"")</f>
        <v>4K RFIP</v>
      </c>
    </row>
    <row r="4402" ht="11.25" customHeight="1">
      <c r="A4402" s="21" t="str">
        <f>IFERROR(__xludf.DUMMYFUNCTION("""COMPUTED_VALUE"""),"DECODER CARDLESS 4K UHD S4KCW3 CABO E IP")</f>
        <v>DECODER CARDLESS 4K UHD S4KCW3 CABO E IP</v>
      </c>
      <c r="B4402" s="22">
        <f>IFERROR(__xludf.DUMMYFUNCTION("""COMPUTED_VALUE"""),4.1001528E7)</f>
        <v>41001528</v>
      </c>
      <c r="C4402" s="21" t="str">
        <f>IFERROR(__xludf.DUMMYFUNCTION("""COMPUTED_VALUE"""),"229980830621")</f>
        <v>229980830621</v>
      </c>
      <c r="D4402" s="21" t="str">
        <f>IFERROR(__xludf.DUMMYFUNCTION("""COMPUTED_VALUE"""),"DIGITEC TECNOLOGIA DIGITAL E REPRES")</f>
        <v>DIGITEC TECNOLOGIA DIGITAL E REPRES</v>
      </c>
      <c r="E4402" s="21">
        <f>IFERROR(__xludf.DUMMYFUNCTION("""COMPUTED_VALUE"""),145359.0)</f>
        <v>145359</v>
      </c>
      <c r="F4402" s="21" t="str">
        <f>IFERROR(__xludf.DUMMYFUNCTION("""COMPUTED_VALUE"""),"INICIALIZADO")</f>
        <v>INICIALIZADO</v>
      </c>
      <c r="G4402" s="23">
        <f>IFERROR(__xludf.DUMMYFUNCTION("""COMPUTED_VALUE"""),45638.68790509259)</f>
        <v>45638.68791</v>
      </c>
      <c r="H4402" s="24" t="str">
        <f>IFERROR(VLOOKUP(B4402,material!A:D,3,0),"")</f>
        <v>4K RFIP</v>
      </c>
    </row>
    <row r="4403" ht="11.25" customHeight="1">
      <c r="A4403" s="21" t="str">
        <f>IFERROR(__xludf.DUMMYFUNCTION("""COMPUTED_VALUE"""),"DECODER CARDLESS 4K UHD S4KCW3 CABO E IP")</f>
        <v>DECODER CARDLESS 4K UHD S4KCW3 CABO E IP</v>
      </c>
      <c r="B4403" s="22">
        <f>IFERROR(__xludf.DUMMYFUNCTION("""COMPUTED_VALUE"""),4.1001528E7)</f>
        <v>41001528</v>
      </c>
      <c r="C4403" s="21" t="str">
        <f>IFERROR(__xludf.DUMMYFUNCTION("""COMPUTED_VALUE"""),"229978936271")</f>
        <v>229978936271</v>
      </c>
      <c r="D4403" s="21" t="str">
        <f>IFERROR(__xludf.DUMMYFUNCTION("""COMPUTED_VALUE"""),"DIGITEC TECNOLOGIA DIGITAL E REPRES")</f>
        <v>DIGITEC TECNOLOGIA DIGITAL E REPRES</v>
      </c>
      <c r="E4403" s="21">
        <f>IFERROR(__xludf.DUMMYFUNCTION("""COMPUTED_VALUE"""),145359.0)</f>
        <v>145359</v>
      </c>
      <c r="F4403" s="21" t="str">
        <f>IFERROR(__xludf.DUMMYFUNCTION("""COMPUTED_VALUE"""),"INICIALIZADO")</f>
        <v>INICIALIZADO</v>
      </c>
      <c r="G4403" s="23">
        <f>IFERROR(__xludf.DUMMYFUNCTION("""COMPUTED_VALUE"""),45341.36513888889)</f>
        <v>45341.36514</v>
      </c>
      <c r="H4403" s="24" t="str">
        <f>IFERROR(VLOOKUP(B4403,material!A:D,3,0),"")</f>
        <v>4K RFIP</v>
      </c>
    </row>
    <row r="4404" ht="11.25" customHeight="1">
      <c r="A4404" s="21" t="str">
        <f>IFERROR(__xludf.DUMMYFUNCTION("""COMPUTED_VALUE"""),"DECODER CARDLESS 4K UHD S4KCW3 CABO E IP")</f>
        <v>DECODER CARDLESS 4K UHD S4KCW3 CABO E IP</v>
      </c>
      <c r="B4404" s="22">
        <f>IFERROR(__xludf.DUMMYFUNCTION("""COMPUTED_VALUE"""),4.1001528E7)</f>
        <v>41001528</v>
      </c>
      <c r="C4404" s="21" t="str">
        <f>IFERROR(__xludf.DUMMYFUNCTION("""COMPUTED_VALUE"""),"229988487899")</f>
        <v>229988487899</v>
      </c>
      <c r="D4404" s="21" t="str">
        <f>IFERROR(__xludf.DUMMYFUNCTION("""COMPUTED_VALUE"""),"DIGITEC TECNOLOGIA DIGITAL E REPRES")</f>
        <v>DIGITEC TECNOLOGIA DIGITAL E REPRES</v>
      </c>
      <c r="E4404" s="21">
        <f>IFERROR(__xludf.DUMMYFUNCTION("""COMPUTED_VALUE"""),145359.0)</f>
        <v>145359</v>
      </c>
      <c r="F4404" s="21" t="str">
        <f>IFERROR(__xludf.DUMMYFUNCTION("""COMPUTED_VALUE"""),"INICIALIZADO")</f>
        <v>INICIALIZADO</v>
      </c>
      <c r="G4404" s="23">
        <f>IFERROR(__xludf.DUMMYFUNCTION("""COMPUTED_VALUE"""),45609.74686342593)</f>
        <v>45609.74686</v>
      </c>
      <c r="H4404" s="24" t="str">
        <f>IFERROR(VLOOKUP(B4404,material!A:D,3,0),"")</f>
        <v>4K RFIP</v>
      </c>
    </row>
    <row r="4405" ht="11.25" customHeight="1">
      <c r="A4405" s="21" t="str">
        <f>IFERROR(__xludf.DUMMYFUNCTION("""COMPUTED_VALUE"""),"TERMINAL GPON WIFI TCG2232")</f>
        <v>TERMINAL GPON WIFI TCG2232</v>
      </c>
      <c r="B4405" s="22">
        <f>IFERROR(__xludf.DUMMYFUNCTION("""COMPUTED_VALUE"""),4.1001535E7)</f>
        <v>41001535</v>
      </c>
      <c r="C4405" s="21" t="str">
        <f>IFERROR(__xludf.DUMMYFUNCTION("""COMPUTED_VALUE"""),"08C7F524D7C4")</f>
        <v>08C7F524D7C4</v>
      </c>
      <c r="D4405" s="21" t="str">
        <f>IFERROR(__xludf.DUMMYFUNCTION("""COMPUTED_VALUE"""),"DIGITEC TECNOLOGIA DIGITAL E REPRES")</f>
        <v>DIGITEC TECNOLOGIA DIGITAL E REPRES</v>
      </c>
      <c r="E4405" s="21">
        <f>IFERROR(__xludf.DUMMYFUNCTION("""COMPUTED_VALUE"""),145359.0)</f>
        <v>145359</v>
      </c>
      <c r="F4405" s="21" t="str">
        <f>IFERROR(__xludf.DUMMYFUNCTION("""COMPUTED_VALUE"""),"INICIALIZADO")</f>
        <v>INICIALIZADO</v>
      </c>
      <c r="G4405" s="23">
        <f>IFERROR(__xludf.DUMMYFUNCTION("""COMPUTED_VALUE"""),45602.644733796296)</f>
        <v>45602.64473</v>
      </c>
      <c r="H4405" s="24" t="str">
        <f>IFERROR(VLOOKUP(B4405,material!A:D,3,0),"")</f>
        <v>ONT</v>
      </c>
    </row>
    <row r="4406" ht="11.25" customHeight="1">
      <c r="A4406" s="21" t="str">
        <f>IFERROR(__xludf.DUMMYFUNCTION("""COMPUTED_VALUE"""),"TERMINAL GPON WIFI TCG2232")</f>
        <v>TERMINAL GPON WIFI TCG2232</v>
      </c>
      <c r="B4406" s="22">
        <f>IFERROR(__xludf.DUMMYFUNCTION("""COMPUTED_VALUE"""),4.1001535E7)</f>
        <v>41001535</v>
      </c>
      <c r="C4406" s="21" t="str">
        <f>IFERROR(__xludf.DUMMYFUNCTION("""COMPUTED_VALUE"""),"08C7F524D602")</f>
        <v>08C7F524D602</v>
      </c>
      <c r="D4406" s="21" t="str">
        <f>IFERROR(__xludf.DUMMYFUNCTION("""COMPUTED_VALUE"""),"DIGITEC TECNOLOGIA DIGITAL E REPRES")</f>
        <v>DIGITEC TECNOLOGIA DIGITAL E REPRES</v>
      </c>
      <c r="E4406" s="21">
        <f>IFERROR(__xludf.DUMMYFUNCTION("""COMPUTED_VALUE"""),145359.0)</f>
        <v>145359</v>
      </c>
      <c r="F4406" s="21" t="str">
        <f>IFERROR(__xludf.DUMMYFUNCTION("""COMPUTED_VALUE"""),"INICIALIZADO")</f>
        <v>INICIALIZADO</v>
      </c>
      <c r="G4406" s="23">
        <f>IFERROR(__xludf.DUMMYFUNCTION("""COMPUTED_VALUE"""),45384.71680555555)</f>
        <v>45384.71681</v>
      </c>
      <c r="H4406" s="24" t="str">
        <f>IFERROR(VLOOKUP(B4406,material!A:D,3,0),"")</f>
        <v>ONT</v>
      </c>
    </row>
    <row r="4407" ht="11.25" customHeight="1">
      <c r="A4407" s="21" t="str">
        <f>IFERROR(__xludf.DUMMYFUNCTION("""COMPUTED_VALUE"""),"TERMINAL GPON WIFI TCG2232")</f>
        <v>TERMINAL GPON WIFI TCG2232</v>
      </c>
      <c r="B4407" s="22">
        <f>IFERROR(__xludf.DUMMYFUNCTION("""COMPUTED_VALUE"""),4.1001535E7)</f>
        <v>41001535</v>
      </c>
      <c r="C4407" s="21" t="str">
        <f>IFERROR(__xludf.DUMMYFUNCTION("""COMPUTED_VALUE"""),"D4925ED4E9F4")</f>
        <v>D4925ED4E9F4</v>
      </c>
      <c r="D4407" s="21" t="str">
        <f>IFERROR(__xludf.DUMMYFUNCTION("""COMPUTED_VALUE"""),"DIGITEC TECNOLOGIA DIGITAL E REPRES")</f>
        <v>DIGITEC TECNOLOGIA DIGITAL E REPRES</v>
      </c>
      <c r="E4407" s="21">
        <f>IFERROR(__xludf.DUMMYFUNCTION("""COMPUTED_VALUE"""),145359.0)</f>
        <v>145359</v>
      </c>
      <c r="F4407" s="21" t="str">
        <f>IFERROR(__xludf.DUMMYFUNCTION("""COMPUTED_VALUE"""),"INICIALIZADO")</f>
        <v>INICIALIZADO</v>
      </c>
      <c r="G4407" s="23">
        <f>IFERROR(__xludf.DUMMYFUNCTION("""COMPUTED_VALUE"""),45602.644733796296)</f>
        <v>45602.64473</v>
      </c>
      <c r="H4407" s="24" t="str">
        <f>IFERROR(VLOOKUP(B4407,material!A:D,3,0),"")</f>
        <v>ONT</v>
      </c>
    </row>
    <row r="4408" ht="11.25" customHeight="1">
      <c r="A4408" s="21" t="str">
        <f>IFERROR(__xludf.DUMMYFUNCTION("""COMPUTED_VALUE"""),"TERMINAL GPON WIFI TCG2232")</f>
        <v>TERMINAL GPON WIFI TCG2232</v>
      </c>
      <c r="B4408" s="22">
        <f>IFERROR(__xludf.DUMMYFUNCTION("""COMPUTED_VALUE"""),4.1001535E7)</f>
        <v>41001535</v>
      </c>
      <c r="C4408" s="21" t="str">
        <f>IFERROR(__xludf.DUMMYFUNCTION("""COMPUTED_VALUE"""),"08C7F53087D2")</f>
        <v>08C7F53087D2</v>
      </c>
      <c r="D4408" s="21" t="str">
        <f>IFERROR(__xludf.DUMMYFUNCTION("""COMPUTED_VALUE"""),"DIGITEC TECNOLOGIA DIGITAL E REPRES")</f>
        <v>DIGITEC TECNOLOGIA DIGITAL E REPRES</v>
      </c>
      <c r="E4408" s="21">
        <f>IFERROR(__xludf.DUMMYFUNCTION("""COMPUTED_VALUE"""),145359.0)</f>
        <v>145359</v>
      </c>
      <c r="F4408" s="21" t="str">
        <f>IFERROR(__xludf.DUMMYFUNCTION("""COMPUTED_VALUE"""),"INICIALIZADO")</f>
        <v>INICIALIZADO</v>
      </c>
      <c r="G4408" s="23">
        <f>IFERROR(__xludf.DUMMYFUNCTION("""COMPUTED_VALUE"""),45586.76497685185)</f>
        <v>45586.76498</v>
      </c>
      <c r="H4408" s="24" t="str">
        <f>IFERROR(VLOOKUP(B4408,material!A:D,3,0),"")</f>
        <v>ONT</v>
      </c>
    </row>
    <row r="4409" ht="11.25" customHeight="1">
      <c r="A4409" s="21" t="str">
        <f>IFERROR(__xludf.DUMMYFUNCTION("""COMPUTED_VALUE"""),"TERMINAL GPON WIFI TCG2232")</f>
        <v>TERMINAL GPON WIFI TCG2232</v>
      </c>
      <c r="B4409" s="22">
        <f>IFERROR(__xludf.DUMMYFUNCTION("""COMPUTED_VALUE"""),4.1001535E7)</f>
        <v>41001535</v>
      </c>
      <c r="C4409" s="21" t="str">
        <f>IFERROR(__xludf.DUMMYFUNCTION("""COMPUTED_VALUE"""),"08C7F52C4A29")</f>
        <v>08C7F52C4A29</v>
      </c>
      <c r="D4409" s="21" t="str">
        <f>IFERROR(__xludf.DUMMYFUNCTION("""COMPUTED_VALUE"""),"DIGITEC TECNOLOGIA DIGITAL E REPRES")</f>
        <v>DIGITEC TECNOLOGIA DIGITAL E REPRES</v>
      </c>
      <c r="E4409" s="21">
        <f>IFERROR(__xludf.DUMMYFUNCTION("""COMPUTED_VALUE"""),145359.0)</f>
        <v>145359</v>
      </c>
      <c r="F4409" s="21" t="str">
        <f>IFERROR(__xludf.DUMMYFUNCTION("""COMPUTED_VALUE"""),"INICIALIZADO")</f>
        <v>INICIALIZADO</v>
      </c>
      <c r="G4409" s="23">
        <f>IFERROR(__xludf.DUMMYFUNCTION("""COMPUTED_VALUE"""),45436.58461805555)</f>
        <v>45436.58462</v>
      </c>
      <c r="H4409" s="24" t="str">
        <f>IFERROR(VLOOKUP(B4409,material!A:D,3,0),"")</f>
        <v>ONT</v>
      </c>
    </row>
    <row r="4410" ht="11.25" customHeight="1">
      <c r="A4410" s="21" t="str">
        <f>IFERROR(__xludf.DUMMYFUNCTION("""COMPUTED_VALUE"""),"TERMINAL GPON WIFI TCG2232")</f>
        <v>TERMINAL GPON WIFI TCG2232</v>
      </c>
      <c r="B4410" s="22">
        <f>IFERROR(__xludf.DUMMYFUNCTION("""COMPUTED_VALUE"""),4.1001535E7)</f>
        <v>41001535</v>
      </c>
      <c r="C4410" s="21" t="str">
        <f>IFERROR(__xludf.DUMMYFUNCTION("""COMPUTED_VALUE"""),"08C7F52C6D3F")</f>
        <v>08C7F52C6D3F</v>
      </c>
      <c r="D4410" s="21" t="str">
        <f>IFERROR(__xludf.DUMMYFUNCTION("""COMPUTED_VALUE"""),"DIGITEC TECNOLOGIA DIGITAL E REPRES")</f>
        <v>DIGITEC TECNOLOGIA DIGITAL E REPRES</v>
      </c>
      <c r="E4410" s="21">
        <f>IFERROR(__xludf.DUMMYFUNCTION("""COMPUTED_VALUE"""),145359.0)</f>
        <v>145359</v>
      </c>
      <c r="F4410" s="21" t="str">
        <f>IFERROR(__xludf.DUMMYFUNCTION("""COMPUTED_VALUE"""),"INICIALIZADO")</f>
        <v>INICIALIZADO</v>
      </c>
      <c r="G4410" s="23">
        <f>IFERROR(__xludf.DUMMYFUNCTION("""COMPUTED_VALUE"""),45436.58460648148)</f>
        <v>45436.58461</v>
      </c>
      <c r="H4410" s="24" t="str">
        <f>IFERROR(VLOOKUP(B4410,material!A:D,3,0),"")</f>
        <v>ONT</v>
      </c>
    </row>
    <row r="4411" ht="11.25" customHeight="1">
      <c r="A4411" s="21" t="str">
        <f>IFERROR(__xludf.DUMMYFUNCTION("""COMPUTED_VALUE"""),"TERMINAL GPON WIFI TCG2232")</f>
        <v>TERMINAL GPON WIFI TCG2232</v>
      </c>
      <c r="B4411" s="22">
        <f>IFERROR(__xludf.DUMMYFUNCTION("""COMPUTED_VALUE"""),4.1001535E7)</f>
        <v>41001535</v>
      </c>
      <c r="C4411" s="21" t="str">
        <f>IFERROR(__xludf.DUMMYFUNCTION("""COMPUTED_VALUE"""),"08C7F52FB8ED")</f>
        <v>08C7F52FB8ED</v>
      </c>
      <c r="D4411" s="21" t="str">
        <f>IFERROR(__xludf.DUMMYFUNCTION("""COMPUTED_VALUE"""),"DIGITEC TECNOLOGIA DIGITAL E REPRES")</f>
        <v>DIGITEC TECNOLOGIA DIGITAL E REPRES</v>
      </c>
      <c r="E4411" s="21">
        <f>IFERROR(__xludf.DUMMYFUNCTION("""COMPUTED_VALUE"""),145359.0)</f>
        <v>145359</v>
      </c>
      <c r="F4411" s="21" t="str">
        <f>IFERROR(__xludf.DUMMYFUNCTION("""COMPUTED_VALUE"""),"INICIALIZADO")</f>
        <v>INICIALIZADO</v>
      </c>
      <c r="G4411" s="23">
        <f>IFERROR(__xludf.DUMMYFUNCTION("""COMPUTED_VALUE"""),45586.76497685185)</f>
        <v>45586.76498</v>
      </c>
      <c r="H4411" s="24" t="str">
        <f>IFERROR(VLOOKUP(B4411,material!A:D,3,0),"")</f>
        <v>ONT</v>
      </c>
    </row>
    <row r="4412" ht="11.25" customHeight="1">
      <c r="A4412" s="21" t="str">
        <f>IFERROR(__xludf.DUMMYFUNCTION("""COMPUTED_VALUE"""),"TERMINAL GPON WIFI TCG2232")</f>
        <v>TERMINAL GPON WIFI TCG2232</v>
      </c>
      <c r="B4412" s="22">
        <f>IFERROR(__xludf.DUMMYFUNCTION("""COMPUTED_VALUE"""),4.1001535E7)</f>
        <v>41001535</v>
      </c>
      <c r="C4412" s="21" t="str">
        <f>IFERROR(__xludf.DUMMYFUNCTION("""COMPUTED_VALUE"""),"08C7F52C009D")</f>
        <v>08C7F52C009D</v>
      </c>
      <c r="D4412" s="21" t="str">
        <f>IFERROR(__xludf.DUMMYFUNCTION("""COMPUTED_VALUE"""),"DIGITEC TECNOLOGIA DIGITAL E REPRES")</f>
        <v>DIGITEC TECNOLOGIA DIGITAL E REPRES</v>
      </c>
      <c r="E4412" s="21">
        <f>IFERROR(__xludf.DUMMYFUNCTION("""COMPUTED_VALUE"""),145359.0)</f>
        <v>145359</v>
      </c>
      <c r="F4412" s="21" t="str">
        <f>IFERROR(__xludf.DUMMYFUNCTION("""COMPUTED_VALUE"""),"INICIALIZADO")</f>
        <v>INICIALIZADO</v>
      </c>
      <c r="G4412" s="23">
        <f>IFERROR(__xludf.DUMMYFUNCTION("""COMPUTED_VALUE"""),45602.644733796296)</f>
        <v>45602.64473</v>
      </c>
      <c r="H4412" s="24" t="str">
        <f>IFERROR(VLOOKUP(B4412,material!A:D,3,0),"")</f>
        <v>ONT</v>
      </c>
    </row>
    <row r="4413" ht="11.25" customHeight="1">
      <c r="A4413" s="21" t="str">
        <f>IFERROR(__xludf.DUMMYFUNCTION("""COMPUTED_VALUE"""),"TERMINAL GPON WIFI TCG2232")</f>
        <v>TERMINAL GPON WIFI TCG2232</v>
      </c>
      <c r="B4413" s="22">
        <f>IFERROR(__xludf.DUMMYFUNCTION("""COMPUTED_VALUE"""),4.1001535E7)</f>
        <v>41001535</v>
      </c>
      <c r="C4413" s="21" t="str">
        <f>IFERROR(__xludf.DUMMYFUNCTION("""COMPUTED_VALUE"""),"08C7F52F125B")</f>
        <v>08C7F52F125B</v>
      </c>
      <c r="D4413" s="21" t="str">
        <f>IFERROR(__xludf.DUMMYFUNCTION("""COMPUTED_VALUE"""),"DIGITEC TECNOLOGIA DIGITAL E REPRES")</f>
        <v>DIGITEC TECNOLOGIA DIGITAL E REPRES</v>
      </c>
      <c r="E4413" s="21">
        <f>IFERROR(__xludf.DUMMYFUNCTION("""COMPUTED_VALUE"""),145359.0)</f>
        <v>145359</v>
      </c>
      <c r="F4413" s="21" t="str">
        <f>IFERROR(__xludf.DUMMYFUNCTION("""COMPUTED_VALUE"""),"INICIALIZADO")</f>
        <v>INICIALIZADO</v>
      </c>
      <c r="G4413" s="23">
        <f>IFERROR(__xludf.DUMMYFUNCTION("""COMPUTED_VALUE"""),45485.74717592592)</f>
        <v>45485.74718</v>
      </c>
      <c r="H4413" s="24" t="str">
        <f>IFERROR(VLOOKUP(B4413,material!A:D,3,0),"")</f>
        <v>ONT</v>
      </c>
    </row>
    <row r="4414" ht="11.25" customHeight="1">
      <c r="A4414" s="21" t="str">
        <f>IFERROR(__xludf.DUMMYFUNCTION("""COMPUTED_VALUE"""),"TERMINAL GPON WIFI TCG2232")</f>
        <v>TERMINAL GPON WIFI TCG2232</v>
      </c>
      <c r="B4414" s="22">
        <f>IFERROR(__xludf.DUMMYFUNCTION("""COMPUTED_VALUE"""),4.1001535E7)</f>
        <v>41001535</v>
      </c>
      <c r="C4414" s="21" t="str">
        <f>IFERROR(__xludf.DUMMYFUNCTION("""COMPUTED_VALUE"""),"08C7F52A6E0E")</f>
        <v>08C7F52A6E0E</v>
      </c>
      <c r="D4414" s="21" t="str">
        <f>IFERROR(__xludf.DUMMYFUNCTION("""COMPUTED_VALUE"""),"DIGITEC TECNOLOGIA DIGITAL E REPRES")</f>
        <v>DIGITEC TECNOLOGIA DIGITAL E REPRES</v>
      </c>
      <c r="E4414" s="21">
        <f>IFERROR(__xludf.DUMMYFUNCTION("""COMPUTED_VALUE"""),145359.0)</f>
        <v>145359</v>
      </c>
      <c r="F4414" s="21" t="str">
        <f>IFERROR(__xludf.DUMMYFUNCTION("""COMPUTED_VALUE"""),"INICIALIZADO")</f>
        <v>INICIALIZADO</v>
      </c>
      <c r="G4414" s="23">
        <f>IFERROR(__xludf.DUMMYFUNCTION("""COMPUTED_VALUE"""),45436.58461805555)</f>
        <v>45436.58462</v>
      </c>
      <c r="H4414" s="24" t="str">
        <f>IFERROR(VLOOKUP(B4414,material!A:D,3,0),"")</f>
        <v>ONT</v>
      </c>
    </row>
    <row r="4415" ht="11.25" customHeight="1">
      <c r="A4415" s="21" t="str">
        <f>IFERROR(__xludf.DUMMYFUNCTION("""COMPUTED_VALUE"""),"TERMINAL ONT B 610")</f>
        <v>TERMINAL ONT B 610</v>
      </c>
      <c r="B4415" s="22">
        <f>IFERROR(__xludf.DUMMYFUNCTION("""COMPUTED_VALUE"""),4.1001522E7)</f>
        <v>41001522</v>
      </c>
      <c r="C4415" s="21" t="str">
        <f>IFERROR(__xludf.DUMMYFUNCTION("""COMPUTED_VALUE"""),"645E10529012")</f>
        <v>645E10529012</v>
      </c>
      <c r="D4415" s="21" t="str">
        <f>IFERROR(__xludf.DUMMYFUNCTION("""COMPUTED_VALUE"""),"DIGITEC TECNOLOGIA DIGITAL E REPRES")</f>
        <v>DIGITEC TECNOLOGIA DIGITAL E REPRES</v>
      </c>
      <c r="E4415" s="21">
        <f>IFERROR(__xludf.DUMMYFUNCTION("""COMPUTED_VALUE"""),145359.0)</f>
        <v>145359</v>
      </c>
      <c r="F4415" s="21" t="str">
        <f>IFERROR(__xludf.DUMMYFUNCTION("""COMPUTED_VALUE"""),"INICIALIZADO")</f>
        <v>INICIALIZADO</v>
      </c>
      <c r="G4415" s="23">
        <f>IFERROR(__xludf.DUMMYFUNCTION("""COMPUTED_VALUE"""),45602.64472222222)</f>
        <v>45602.64472</v>
      </c>
      <c r="H4415" s="24" t="str">
        <f>IFERROR(VLOOKUP(B4415,material!A:D,3,0),"")</f>
        <v>ONT</v>
      </c>
    </row>
    <row r="4416" ht="11.25" customHeight="1">
      <c r="A4416" s="21" t="str">
        <f>IFERROR(__xludf.DUMMYFUNCTION("""COMPUTED_VALUE"""),"TERMINAL ONT B 610")</f>
        <v>TERMINAL ONT B 610</v>
      </c>
      <c r="B4416" s="22">
        <f>IFERROR(__xludf.DUMMYFUNCTION("""COMPUTED_VALUE"""),4.1001522E7)</f>
        <v>41001522</v>
      </c>
      <c r="C4416" s="21" t="str">
        <f>IFERROR(__xludf.DUMMYFUNCTION("""COMPUTED_VALUE"""),"74E9BF54323E")</f>
        <v>74E9BF54323E</v>
      </c>
      <c r="D4416" s="21" t="str">
        <f>IFERROR(__xludf.DUMMYFUNCTION("""COMPUTED_VALUE"""),"DIGITEC TECNOLOGIA DIGITAL E REPRES")</f>
        <v>DIGITEC TECNOLOGIA DIGITAL E REPRES</v>
      </c>
      <c r="E4416" s="21">
        <f>IFERROR(__xludf.DUMMYFUNCTION("""COMPUTED_VALUE"""),145359.0)</f>
        <v>145359</v>
      </c>
      <c r="F4416" s="21" t="str">
        <f>IFERROR(__xludf.DUMMYFUNCTION("""COMPUTED_VALUE"""),"INICIALIZADO")</f>
        <v>INICIALIZADO</v>
      </c>
      <c r="G4416" s="23">
        <f>IFERROR(__xludf.DUMMYFUNCTION("""COMPUTED_VALUE"""),45602.64472222222)</f>
        <v>45602.64472</v>
      </c>
      <c r="H4416" s="24" t="str">
        <f>IFERROR(VLOOKUP(B4416,material!A:D,3,0),"")</f>
        <v>ONT</v>
      </c>
    </row>
    <row r="4417" ht="11.25" customHeight="1">
      <c r="A4417" s="21" t="str">
        <f>IFERROR(__xludf.DUMMYFUNCTION("""COMPUTED_VALUE"""),"TERMINAL ONT B 610")</f>
        <v>TERMINAL ONT B 610</v>
      </c>
      <c r="B4417" s="22">
        <f>IFERROR(__xludf.DUMMYFUNCTION("""COMPUTED_VALUE"""),4.1001522E7)</f>
        <v>41001522</v>
      </c>
      <c r="C4417" s="21" t="str">
        <f>IFERROR(__xludf.DUMMYFUNCTION("""COMPUTED_VALUE"""),"74E9BF543595")</f>
        <v>74E9BF543595</v>
      </c>
      <c r="D4417" s="21" t="str">
        <f>IFERROR(__xludf.DUMMYFUNCTION("""COMPUTED_VALUE"""),"DIGITEC TECNOLOGIA DIGITAL E REPRES")</f>
        <v>DIGITEC TECNOLOGIA DIGITAL E REPRES</v>
      </c>
      <c r="E4417" s="21">
        <f>IFERROR(__xludf.DUMMYFUNCTION("""COMPUTED_VALUE"""),145359.0)</f>
        <v>145359</v>
      </c>
      <c r="F4417" s="21" t="str">
        <f>IFERROR(__xludf.DUMMYFUNCTION("""COMPUTED_VALUE"""),"INICIALIZADO")</f>
        <v>INICIALIZADO</v>
      </c>
      <c r="G4417" s="23">
        <f>IFERROR(__xludf.DUMMYFUNCTION("""COMPUTED_VALUE"""),45602.644733796296)</f>
        <v>45602.64473</v>
      </c>
      <c r="H4417" s="24" t="str">
        <f>IFERROR(VLOOKUP(B4417,material!A:D,3,0),"")</f>
        <v>ONT</v>
      </c>
    </row>
    <row r="4418" ht="11.25" customHeight="1">
      <c r="A4418" s="21" t="str">
        <f>IFERROR(__xludf.DUMMYFUNCTION("""COMPUTED_VALUE"""),"TERMINAL ONT B 610")</f>
        <v>TERMINAL ONT B 610</v>
      </c>
      <c r="B4418" s="22">
        <f>IFERROR(__xludf.DUMMYFUNCTION("""COMPUTED_VALUE"""),4.1001522E7)</f>
        <v>41001522</v>
      </c>
      <c r="C4418" s="21" t="str">
        <f>IFERROR(__xludf.DUMMYFUNCTION("""COMPUTED_VALUE"""),"74E9BF543544")</f>
        <v>74E9BF543544</v>
      </c>
      <c r="D4418" s="21" t="str">
        <f>IFERROR(__xludf.DUMMYFUNCTION("""COMPUTED_VALUE"""),"DIGITEC TECNOLOGIA DIGITAL E REPRES")</f>
        <v>DIGITEC TECNOLOGIA DIGITAL E REPRES</v>
      </c>
      <c r="E4418" s="21">
        <f>IFERROR(__xludf.DUMMYFUNCTION("""COMPUTED_VALUE"""),145359.0)</f>
        <v>145359</v>
      </c>
      <c r="F4418" s="21" t="str">
        <f>IFERROR(__xludf.DUMMYFUNCTION("""COMPUTED_VALUE"""),"INICIALIZADO")</f>
        <v>INICIALIZADO</v>
      </c>
      <c r="G4418" s="23">
        <f>IFERROR(__xludf.DUMMYFUNCTION("""COMPUTED_VALUE"""),45022.75310185185)</f>
        <v>45022.7531</v>
      </c>
      <c r="H4418" s="24" t="str">
        <f>IFERROR(VLOOKUP(B4418,material!A:D,3,0),"")</f>
        <v>ONT</v>
      </c>
    </row>
    <row r="4419" ht="11.25" customHeight="1">
      <c r="A4419" s="21" t="str">
        <f>IFERROR(__xludf.DUMMYFUNCTION("""COMPUTED_VALUE"""),"TERMINAL ONT B 610")</f>
        <v>TERMINAL ONT B 610</v>
      </c>
      <c r="B4419" s="22">
        <f>IFERROR(__xludf.DUMMYFUNCTION("""COMPUTED_VALUE"""),4.1001522E7)</f>
        <v>41001522</v>
      </c>
      <c r="C4419" s="21" t="str">
        <f>IFERROR(__xludf.DUMMYFUNCTION("""COMPUTED_VALUE"""),"74E9BF543115")</f>
        <v>74E9BF543115</v>
      </c>
      <c r="D4419" s="21" t="str">
        <f>IFERROR(__xludf.DUMMYFUNCTION("""COMPUTED_VALUE"""),"DIGITEC TECNOLOGIA DIGITAL E REPRES")</f>
        <v>DIGITEC TECNOLOGIA DIGITAL E REPRES</v>
      </c>
      <c r="E4419" s="21">
        <f>IFERROR(__xludf.DUMMYFUNCTION("""COMPUTED_VALUE"""),145359.0)</f>
        <v>145359</v>
      </c>
      <c r="F4419" s="21" t="str">
        <f>IFERROR(__xludf.DUMMYFUNCTION("""COMPUTED_VALUE"""),"INICIALIZADO")</f>
        <v>INICIALIZADO</v>
      </c>
      <c r="G4419" s="23">
        <f>IFERROR(__xludf.DUMMYFUNCTION("""COMPUTED_VALUE"""),45602.64472222222)</f>
        <v>45602.64472</v>
      </c>
      <c r="H4419" s="24" t="str">
        <f>IFERROR(VLOOKUP(B4419,material!A:D,3,0),"")</f>
        <v>ONT</v>
      </c>
    </row>
    <row r="4420" ht="11.25" customHeight="1">
      <c r="A4420" s="21" t="str">
        <f>IFERROR(__xludf.DUMMYFUNCTION("""COMPUTED_VALUE"""),"TERMINAL GPON WIFI F689")</f>
        <v>TERMINAL GPON WIFI F689</v>
      </c>
      <c r="B4420" s="22">
        <f>IFERROR(__xludf.DUMMYFUNCTION("""COMPUTED_VALUE"""),4.1001541E7)</f>
        <v>41001541</v>
      </c>
      <c r="C4420" s="21" t="str">
        <f>IFERROR(__xludf.DUMMYFUNCTION("""COMPUTED_VALUE"""),"9C635B8709A6")</f>
        <v>9C635B8709A6</v>
      </c>
      <c r="D4420" s="21" t="str">
        <f>IFERROR(__xludf.DUMMYFUNCTION("""COMPUTED_VALUE"""),"DIGITEC TECNOLOGIA DIGITAL E REPRES")</f>
        <v>DIGITEC TECNOLOGIA DIGITAL E REPRES</v>
      </c>
      <c r="E4420" s="21">
        <f>IFERROR(__xludf.DUMMYFUNCTION("""COMPUTED_VALUE"""),145359.0)</f>
        <v>145359</v>
      </c>
      <c r="F4420" s="21" t="str">
        <f>IFERROR(__xludf.DUMMYFUNCTION("""COMPUTED_VALUE"""),"INICIALIZADO")</f>
        <v>INICIALIZADO</v>
      </c>
      <c r="G4420" s="23">
        <f>IFERROR(__xludf.DUMMYFUNCTION("""COMPUTED_VALUE"""),45324.797060185185)</f>
        <v>45324.79706</v>
      </c>
      <c r="H4420" s="24" t="str">
        <f>IFERROR(VLOOKUP(B4420,material!A:D,3,0),"")</f>
        <v>ONT</v>
      </c>
    </row>
    <row r="4421" ht="11.25" customHeight="1">
      <c r="A4421" s="21" t="str">
        <f>IFERROR(__xludf.DUMMYFUNCTION("""COMPUTED_VALUE"""),"TERMINAL GPON WIFI F689")</f>
        <v>TERMINAL GPON WIFI F689</v>
      </c>
      <c r="B4421" s="22">
        <f>IFERROR(__xludf.DUMMYFUNCTION("""COMPUTED_VALUE"""),4.1001541E7)</f>
        <v>41001541</v>
      </c>
      <c r="C4421" s="21" t="str">
        <f>IFERROR(__xludf.DUMMYFUNCTION("""COMPUTED_VALUE"""),"9C635B8707F6")</f>
        <v>9C635B8707F6</v>
      </c>
      <c r="D4421" s="21" t="str">
        <f>IFERROR(__xludf.DUMMYFUNCTION("""COMPUTED_VALUE"""),"DIGITEC TECNOLOGIA DIGITAL E REPRES")</f>
        <v>DIGITEC TECNOLOGIA DIGITAL E REPRES</v>
      </c>
      <c r="E4421" s="21">
        <f>IFERROR(__xludf.DUMMYFUNCTION("""COMPUTED_VALUE"""),145359.0)</f>
        <v>145359</v>
      </c>
      <c r="F4421" s="21" t="str">
        <f>IFERROR(__xludf.DUMMYFUNCTION("""COMPUTED_VALUE"""),"INICIALIZADO")</f>
        <v>INICIALIZADO</v>
      </c>
      <c r="G4421" s="23">
        <f>IFERROR(__xludf.DUMMYFUNCTION("""COMPUTED_VALUE"""),45324.797060185185)</f>
        <v>45324.79706</v>
      </c>
      <c r="H4421" s="24" t="str">
        <f>IFERROR(VLOOKUP(B4421,material!A:D,3,0),"")</f>
        <v>ONT</v>
      </c>
    </row>
    <row r="4422" ht="11.25" customHeight="1">
      <c r="A4422" s="21" t="str">
        <f>IFERROR(__xludf.DUMMYFUNCTION("""COMPUTED_VALUE"""),"TERMINAL GPON WIFI F689")</f>
        <v>TERMINAL GPON WIFI F689</v>
      </c>
      <c r="B4422" s="22">
        <f>IFERROR(__xludf.DUMMYFUNCTION("""COMPUTED_VALUE"""),4.1001541E7)</f>
        <v>41001541</v>
      </c>
      <c r="C4422" s="21" t="str">
        <f>IFERROR(__xludf.DUMMYFUNCTION("""COMPUTED_VALUE"""),"9C635B83D706")</f>
        <v>9C635B83D706</v>
      </c>
      <c r="D4422" s="21" t="str">
        <f>IFERROR(__xludf.DUMMYFUNCTION("""COMPUTED_VALUE"""),"DIGITEC TECNOLOGIA DIGITAL E REPRES")</f>
        <v>DIGITEC TECNOLOGIA DIGITAL E REPRES</v>
      </c>
      <c r="E4422" s="21">
        <f>IFERROR(__xludf.DUMMYFUNCTION("""COMPUTED_VALUE"""),145359.0)</f>
        <v>145359</v>
      </c>
      <c r="F4422" s="21" t="str">
        <f>IFERROR(__xludf.DUMMYFUNCTION("""COMPUTED_VALUE"""),"INICIALIZADO")</f>
        <v>INICIALIZADO</v>
      </c>
      <c r="G4422" s="23">
        <f>IFERROR(__xludf.DUMMYFUNCTION("""COMPUTED_VALUE"""),45602.644733796296)</f>
        <v>45602.64473</v>
      </c>
      <c r="H4422" s="24" t="str">
        <f>IFERROR(VLOOKUP(B4422,material!A:D,3,0),"")</f>
        <v>ONT</v>
      </c>
    </row>
    <row r="4423" ht="11.25" customHeight="1">
      <c r="A4423" s="21" t="str">
        <f>IFERROR(__xludf.DUMMYFUNCTION("""COMPUTED_VALUE"""),"TERMINAL GPON WIFI F689")</f>
        <v>TERMINAL GPON WIFI F689</v>
      </c>
      <c r="B4423" s="22">
        <f>IFERROR(__xludf.DUMMYFUNCTION("""COMPUTED_VALUE"""),4.1001541E7)</f>
        <v>41001541</v>
      </c>
      <c r="C4423" s="21" t="str">
        <f>IFERROR(__xludf.DUMMYFUNCTION("""COMPUTED_VALUE"""),"9C635B83E804")</f>
        <v>9C635B83E804</v>
      </c>
      <c r="D4423" s="21" t="str">
        <f>IFERROR(__xludf.DUMMYFUNCTION("""COMPUTED_VALUE"""),"DIGITEC TECNOLOGIA DIGITAL E REPRES")</f>
        <v>DIGITEC TECNOLOGIA DIGITAL E REPRES</v>
      </c>
      <c r="E4423" s="21">
        <f>IFERROR(__xludf.DUMMYFUNCTION("""COMPUTED_VALUE"""),145359.0)</f>
        <v>145359</v>
      </c>
      <c r="F4423" s="21" t="str">
        <f>IFERROR(__xludf.DUMMYFUNCTION("""COMPUTED_VALUE"""),"INICIALIZADO")</f>
        <v>INICIALIZADO</v>
      </c>
      <c r="G4423" s="23">
        <f>IFERROR(__xludf.DUMMYFUNCTION("""COMPUTED_VALUE"""),45602.644733796296)</f>
        <v>45602.64473</v>
      </c>
      <c r="H4423" s="24" t="str">
        <f>IFERROR(VLOOKUP(B4423,material!A:D,3,0),"")</f>
        <v>ONT</v>
      </c>
    </row>
    <row r="4424" ht="11.25" customHeight="1">
      <c r="A4424" s="21" t="str">
        <f>IFERROR(__xludf.DUMMYFUNCTION("""COMPUTED_VALUE"""),"TERMINAL GPON WIFI F689")</f>
        <v>TERMINAL GPON WIFI F689</v>
      </c>
      <c r="B4424" s="22">
        <f>IFERROR(__xludf.DUMMYFUNCTION("""COMPUTED_VALUE"""),4.1001541E7)</f>
        <v>41001541</v>
      </c>
      <c r="C4424" s="21" t="str">
        <f>IFERROR(__xludf.DUMMYFUNCTION("""COMPUTED_VALUE"""),"E466AB55B9A6")</f>
        <v>E466AB55B9A6</v>
      </c>
      <c r="D4424" s="21" t="str">
        <f>IFERROR(__xludf.DUMMYFUNCTION("""COMPUTED_VALUE"""),"DIGITEC TECNOLOGIA DIGITAL E REPRES")</f>
        <v>DIGITEC TECNOLOGIA DIGITAL E REPRES</v>
      </c>
      <c r="E4424" s="21">
        <f>IFERROR(__xludf.DUMMYFUNCTION("""COMPUTED_VALUE"""),145359.0)</f>
        <v>145359</v>
      </c>
      <c r="F4424" s="21" t="str">
        <f>IFERROR(__xludf.DUMMYFUNCTION("""COMPUTED_VALUE"""),"INICIALIZADO")</f>
        <v>INICIALIZADO</v>
      </c>
      <c r="G4424" s="23">
        <f>IFERROR(__xludf.DUMMYFUNCTION("""COMPUTED_VALUE"""),45222.72173611111)</f>
        <v>45222.72174</v>
      </c>
      <c r="H4424" s="24" t="str">
        <f>IFERROR(VLOOKUP(B4424,material!A:D,3,0),"")</f>
        <v>ONT</v>
      </c>
    </row>
    <row r="4425" ht="11.25" customHeight="1">
      <c r="A4425" s="21" t="str">
        <f>IFERROR(__xludf.DUMMYFUNCTION("""COMPUTED_VALUE"""),"DECODER 4K ULTRA HD DGCI363 COM IG VOZ")</f>
        <v>DECODER 4K ULTRA HD DGCI363 COM IG VOZ</v>
      </c>
      <c r="B4425" s="22">
        <f>IFERROR(__xludf.DUMMYFUNCTION("""COMPUTED_VALUE"""),4.1001534E7)</f>
        <v>41001534</v>
      </c>
      <c r="C4425" s="21" t="str">
        <f>IFERROR(__xludf.DUMMYFUNCTION("""COMPUTED_VALUE"""),"229917798902")</f>
        <v>229917798902</v>
      </c>
      <c r="D4425" s="21" t="str">
        <f>IFERROR(__xludf.DUMMYFUNCTION("""COMPUTED_VALUE"""),"DIGITEC TECNOLOGIA DIGITAL E REPRES")</f>
        <v>DIGITEC TECNOLOGIA DIGITAL E REPRES</v>
      </c>
      <c r="E4425" s="21">
        <f>IFERROR(__xludf.DUMMYFUNCTION("""COMPUTED_VALUE"""),145359.0)</f>
        <v>145359</v>
      </c>
      <c r="F4425" s="21" t="str">
        <f>IFERROR(__xludf.DUMMYFUNCTION("""COMPUTED_VALUE"""),"INICIALIZADO")</f>
        <v>INICIALIZADO</v>
      </c>
      <c r="G4425" s="23">
        <f>IFERROR(__xludf.DUMMYFUNCTION("""COMPUTED_VALUE"""),45595.392175925925)</f>
        <v>45595.39218</v>
      </c>
      <c r="H4425" s="24" t="str">
        <f>IFERROR(VLOOKUP(B4425,material!A:D,3,0),"")</f>
        <v>4K</v>
      </c>
    </row>
    <row r="4426" ht="11.25" customHeight="1">
      <c r="A4426" s="21" t="str">
        <f>IFERROR(__xludf.DUMMYFUNCTION("""COMPUTED_VALUE"""),"DECODER 4K UHD IP S4KW3 LINUX VAS COM")</f>
        <v>DECODER 4K UHD IP S4KW3 LINUX VAS COM</v>
      </c>
      <c r="B4426" s="22">
        <f>IFERROR(__xludf.DUMMYFUNCTION("""COMPUTED_VALUE"""),4.100153E7)</f>
        <v>41001530</v>
      </c>
      <c r="C4426" s="21" t="str">
        <f>IFERROR(__xludf.DUMMYFUNCTION("""COMPUTED_VALUE"""),"229931226688")</f>
        <v>229931226688</v>
      </c>
      <c r="D4426" s="21" t="str">
        <f>IFERROR(__xludf.DUMMYFUNCTION("""COMPUTED_VALUE"""),"DIGITEC TECNOLOGIA DIGITAL E REPRES")</f>
        <v>DIGITEC TECNOLOGIA DIGITAL E REPRES</v>
      </c>
      <c r="E4426" s="21">
        <f>IFERROR(__xludf.DUMMYFUNCTION("""COMPUTED_VALUE"""),145359.0)</f>
        <v>145359</v>
      </c>
      <c r="F4426" s="21" t="str">
        <f>IFERROR(__xludf.DUMMYFUNCTION("""COMPUTED_VALUE"""),"INICIALIZADO")</f>
        <v>INICIALIZADO</v>
      </c>
      <c r="G4426" s="23">
        <f>IFERROR(__xludf.DUMMYFUNCTION("""COMPUTED_VALUE"""),44999.92979166667)</f>
        <v>44999.92979</v>
      </c>
      <c r="H4426" s="24" t="str">
        <f>IFERROR(VLOOKUP(B4426,material!A:D,3,0),"")</f>
        <v>BOX</v>
      </c>
    </row>
    <row r="4427" ht="11.25" customHeight="1">
      <c r="A4427" s="21" t="str">
        <f>IFERROR(__xludf.DUMMYFUNCTION("""COMPUTED_VALUE"""),"DECODER 4K UHD IP S4KW3 LINUX VAS COM")</f>
        <v>DECODER 4K UHD IP S4KW3 LINUX VAS COM</v>
      </c>
      <c r="B4427" s="22">
        <f>IFERROR(__xludf.DUMMYFUNCTION("""COMPUTED_VALUE"""),4.100153E7)</f>
        <v>41001530</v>
      </c>
      <c r="C4427" s="21" t="str">
        <f>IFERROR(__xludf.DUMMYFUNCTION("""COMPUTED_VALUE"""),"230012930308")</f>
        <v>230012930308</v>
      </c>
      <c r="D4427" s="21" t="str">
        <f>IFERROR(__xludf.DUMMYFUNCTION("""COMPUTED_VALUE"""),"DIGITEC TECNOLOGIA DIGITAL E REPRES")</f>
        <v>DIGITEC TECNOLOGIA DIGITAL E REPRES</v>
      </c>
      <c r="E4427" s="21">
        <f>IFERROR(__xludf.DUMMYFUNCTION("""COMPUTED_VALUE"""),145359.0)</f>
        <v>145359</v>
      </c>
      <c r="F4427" s="21" t="str">
        <f>IFERROR(__xludf.DUMMYFUNCTION("""COMPUTED_VALUE"""),"INICIALIZADO")</f>
        <v>INICIALIZADO</v>
      </c>
      <c r="G4427" s="23">
        <f>IFERROR(__xludf.DUMMYFUNCTION("""COMPUTED_VALUE"""),45643.475023148145)</f>
        <v>45643.47502</v>
      </c>
      <c r="H4427" s="24" t="str">
        <f>IFERROR(VLOOKUP(B4427,material!A:D,3,0),"")</f>
        <v>BOX</v>
      </c>
    </row>
    <row r="4428" ht="11.25" customHeight="1">
      <c r="A4428" s="21" t="str">
        <f>IFERROR(__xludf.DUMMYFUNCTION("""COMPUTED_VALUE"""),"DECODER 4K UHD IP S4KW3 LINUX VAS COM")</f>
        <v>DECODER 4K UHD IP S4KW3 LINUX VAS COM</v>
      </c>
      <c r="B4428" s="22">
        <f>IFERROR(__xludf.DUMMYFUNCTION("""COMPUTED_VALUE"""),4.100153E7)</f>
        <v>41001530</v>
      </c>
      <c r="C4428" s="21" t="str">
        <f>IFERROR(__xludf.DUMMYFUNCTION("""COMPUTED_VALUE"""),"230013818485")</f>
        <v>230013818485</v>
      </c>
      <c r="D4428" s="21" t="str">
        <f>IFERROR(__xludf.DUMMYFUNCTION("""COMPUTED_VALUE"""),"DIGITEC TECNOLOGIA DIGITAL E REPRES")</f>
        <v>DIGITEC TECNOLOGIA DIGITAL E REPRES</v>
      </c>
      <c r="E4428" s="21">
        <f>IFERROR(__xludf.DUMMYFUNCTION("""COMPUTED_VALUE"""),145359.0)</f>
        <v>145359</v>
      </c>
      <c r="F4428" s="21" t="str">
        <f>IFERROR(__xludf.DUMMYFUNCTION("""COMPUTED_VALUE"""),"INICIALIZADO")</f>
        <v>INICIALIZADO</v>
      </c>
      <c r="G4428" s="23">
        <f>IFERROR(__xludf.DUMMYFUNCTION("""COMPUTED_VALUE"""),45643.475023148145)</f>
        <v>45643.47502</v>
      </c>
      <c r="H4428" s="24" t="str">
        <f>IFERROR(VLOOKUP(B4428,material!A:D,3,0),"")</f>
        <v>BOX</v>
      </c>
    </row>
    <row r="4429" ht="11.25" customHeight="1">
      <c r="A4429" s="21" t="str">
        <f>IFERROR(__xludf.DUMMYFUNCTION("""COMPUTED_VALUE"""),"DECODER 4K UHD IP S4KW3 LINUX VAS COM")</f>
        <v>DECODER 4K UHD IP S4KW3 LINUX VAS COM</v>
      </c>
      <c r="B4429" s="22">
        <f>IFERROR(__xludf.DUMMYFUNCTION("""COMPUTED_VALUE"""),4.100153E7)</f>
        <v>41001530</v>
      </c>
      <c r="C4429" s="21" t="str">
        <f>IFERROR(__xludf.DUMMYFUNCTION("""COMPUTED_VALUE"""),"230004376868")</f>
        <v>230004376868</v>
      </c>
      <c r="D4429" s="21" t="str">
        <f>IFERROR(__xludf.DUMMYFUNCTION("""COMPUTED_VALUE"""),"DIGITEC TECNOLOGIA DIGITAL E REPRES")</f>
        <v>DIGITEC TECNOLOGIA DIGITAL E REPRES</v>
      </c>
      <c r="E4429" s="21">
        <f>IFERROR(__xludf.DUMMYFUNCTION("""COMPUTED_VALUE"""),145359.0)</f>
        <v>145359</v>
      </c>
      <c r="F4429" s="21" t="str">
        <f>IFERROR(__xludf.DUMMYFUNCTION("""COMPUTED_VALUE"""),"INICIALIZADO")</f>
        <v>INICIALIZADO</v>
      </c>
      <c r="G4429" s="23">
        <f>IFERROR(__xludf.DUMMYFUNCTION("""COMPUTED_VALUE"""),45643.475023148145)</f>
        <v>45643.47502</v>
      </c>
      <c r="H4429" s="24" t="str">
        <f>IFERROR(VLOOKUP(B4429,material!A:D,3,0),"")</f>
        <v>BOX</v>
      </c>
    </row>
    <row r="4430" ht="11.25" customHeight="1">
      <c r="A4430" s="21" t="str">
        <f>IFERROR(__xludf.DUMMYFUNCTION("""COMPUTED_VALUE"""),"DECODER 4K UHD IP S4KW3 LINUX VAS COM")</f>
        <v>DECODER 4K UHD IP S4KW3 LINUX VAS COM</v>
      </c>
      <c r="B4430" s="22">
        <f>IFERROR(__xludf.DUMMYFUNCTION("""COMPUTED_VALUE"""),4.100153E7)</f>
        <v>41001530</v>
      </c>
      <c r="C4430" s="21" t="str">
        <f>IFERROR(__xludf.DUMMYFUNCTION("""COMPUTED_VALUE"""),"229921156468")</f>
        <v>229921156468</v>
      </c>
      <c r="D4430" s="21" t="str">
        <f>IFERROR(__xludf.DUMMYFUNCTION("""COMPUTED_VALUE"""),"DIGITEC TECNOLOGIA DIGITAL E REPRES")</f>
        <v>DIGITEC TECNOLOGIA DIGITAL E REPRES</v>
      </c>
      <c r="E4430" s="21">
        <f>IFERROR(__xludf.DUMMYFUNCTION("""COMPUTED_VALUE"""),145359.0)</f>
        <v>145359</v>
      </c>
      <c r="F4430" s="21" t="str">
        <f>IFERROR(__xludf.DUMMYFUNCTION("""COMPUTED_VALUE"""),"INICIALIZADO")</f>
        <v>INICIALIZADO</v>
      </c>
      <c r="G4430" s="23">
        <f>IFERROR(__xludf.DUMMYFUNCTION("""COMPUTED_VALUE"""),45609.74686342593)</f>
        <v>45609.74686</v>
      </c>
      <c r="H4430" s="24" t="str">
        <f>IFERROR(VLOOKUP(B4430,material!A:D,3,0),"")</f>
        <v>BOX</v>
      </c>
    </row>
    <row r="4431" ht="11.25" customHeight="1">
      <c r="A4431" s="21" t="str">
        <f>IFERROR(__xludf.DUMMYFUNCTION("""COMPUTED_VALUE"""),"DECODER 4K UHD IP S4KW3 LINUX VAS COM")</f>
        <v>DECODER 4K UHD IP S4KW3 LINUX VAS COM</v>
      </c>
      <c r="B4431" s="22">
        <f>IFERROR(__xludf.DUMMYFUNCTION("""COMPUTED_VALUE"""),4.100153E7)</f>
        <v>41001530</v>
      </c>
      <c r="C4431" s="21" t="str">
        <f>IFERROR(__xludf.DUMMYFUNCTION("""COMPUTED_VALUE"""),"230003310009")</f>
        <v>230003310009</v>
      </c>
      <c r="D4431" s="21" t="str">
        <f>IFERROR(__xludf.DUMMYFUNCTION("""COMPUTED_VALUE"""),"DIGITEC TECNOLOGIA DIGITAL E REPRES")</f>
        <v>DIGITEC TECNOLOGIA DIGITAL E REPRES</v>
      </c>
      <c r="E4431" s="21">
        <f>IFERROR(__xludf.DUMMYFUNCTION("""COMPUTED_VALUE"""),145359.0)</f>
        <v>145359</v>
      </c>
      <c r="F4431" s="21" t="str">
        <f>IFERROR(__xludf.DUMMYFUNCTION("""COMPUTED_VALUE"""),"INICIALIZADO")</f>
        <v>INICIALIZADO</v>
      </c>
      <c r="G4431" s="23">
        <f>IFERROR(__xludf.DUMMYFUNCTION("""COMPUTED_VALUE"""),45643.475023148145)</f>
        <v>45643.47502</v>
      </c>
      <c r="H4431" s="24" t="str">
        <f>IFERROR(VLOOKUP(B4431,material!A:D,3,0),"")</f>
        <v>BOX</v>
      </c>
    </row>
    <row r="4432" ht="11.25" customHeight="1">
      <c r="A4432" s="21" t="str">
        <f>IFERROR(__xludf.DUMMYFUNCTION("""COMPUTED_VALUE"""),"DECODER 4K UHD IP S4KW3 LINUX VAS COM")</f>
        <v>DECODER 4K UHD IP S4KW3 LINUX VAS COM</v>
      </c>
      <c r="B4432" s="22">
        <f>IFERROR(__xludf.DUMMYFUNCTION("""COMPUTED_VALUE"""),4.100153E7)</f>
        <v>41001530</v>
      </c>
      <c r="C4432" s="21" t="str">
        <f>IFERROR(__xludf.DUMMYFUNCTION("""COMPUTED_VALUE"""),"230003512632")</f>
        <v>230003512632</v>
      </c>
      <c r="D4432" s="21" t="str">
        <f>IFERROR(__xludf.DUMMYFUNCTION("""COMPUTED_VALUE"""),"DIGITEC TECNOLOGIA DIGITAL E REPRES")</f>
        <v>DIGITEC TECNOLOGIA DIGITAL E REPRES</v>
      </c>
      <c r="E4432" s="21">
        <f>IFERROR(__xludf.DUMMYFUNCTION("""COMPUTED_VALUE"""),145359.0)</f>
        <v>145359</v>
      </c>
      <c r="F4432" s="21" t="str">
        <f>IFERROR(__xludf.DUMMYFUNCTION("""COMPUTED_VALUE"""),"INICIALIZADO")</f>
        <v>INICIALIZADO</v>
      </c>
      <c r="G4432" s="23">
        <f>IFERROR(__xludf.DUMMYFUNCTION("""COMPUTED_VALUE"""),45643.475023148145)</f>
        <v>45643.47502</v>
      </c>
      <c r="H4432" s="24" t="str">
        <f>IFERROR(VLOOKUP(B4432,material!A:D,3,0),"")</f>
        <v>BOX</v>
      </c>
    </row>
    <row r="4433" ht="11.25" customHeight="1">
      <c r="A4433" s="21" t="str">
        <f>IFERROR(__xludf.DUMMYFUNCTION("""COMPUTED_VALUE"""),"DECODER 4K UHD IP S4KW3 LINUX VAS COM")</f>
        <v>DECODER 4K UHD IP S4KW3 LINUX VAS COM</v>
      </c>
      <c r="B4433" s="22">
        <f>IFERROR(__xludf.DUMMYFUNCTION("""COMPUTED_VALUE"""),4.100153E7)</f>
        <v>41001530</v>
      </c>
      <c r="C4433" s="21" t="str">
        <f>IFERROR(__xludf.DUMMYFUNCTION("""COMPUTED_VALUE"""),"229992378099")</f>
        <v>229992378099</v>
      </c>
      <c r="D4433" s="21" t="str">
        <f>IFERROR(__xludf.DUMMYFUNCTION("""COMPUTED_VALUE"""),"DIGITEC TECNOLOGIA DIGITAL E REPRES")</f>
        <v>DIGITEC TECNOLOGIA DIGITAL E REPRES</v>
      </c>
      <c r="E4433" s="21">
        <f>IFERROR(__xludf.DUMMYFUNCTION("""COMPUTED_VALUE"""),145359.0)</f>
        <v>145359</v>
      </c>
      <c r="F4433" s="21" t="str">
        <f>IFERROR(__xludf.DUMMYFUNCTION("""COMPUTED_VALUE"""),"INICIALIZADO")</f>
        <v>INICIALIZADO</v>
      </c>
      <c r="G4433" s="23">
        <f>IFERROR(__xludf.DUMMYFUNCTION("""COMPUTED_VALUE"""),45643.475023148145)</f>
        <v>45643.47502</v>
      </c>
      <c r="H4433" s="24" t="str">
        <f>IFERROR(VLOOKUP(B4433,material!A:D,3,0),"")</f>
        <v>BOX</v>
      </c>
    </row>
    <row r="4434" ht="11.25" customHeight="1">
      <c r="A4434" s="21" t="str">
        <f>IFERROR(__xludf.DUMMYFUNCTION("""COMPUTED_VALUE"""),"DECODER 4K UHD IP S4KW3 LINUX VAS COM")</f>
        <v>DECODER 4K UHD IP S4KW3 LINUX VAS COM</v>
      </c>
      <c r="B4434" s="22">
        <f>IFERROR(__xludf.DUMMYFUNCTION("""COMPUTED_VALUE"""),4.100153E7)</f>
        <v>41001530</v>
      </c>
      <c r="C4434" s="21" t="str">
        <f>IFERROR(__xludf.DUMMYFUNCTION("""COMPUTED_VALUE"""),"229997001234")</f>
        <v>229997001234</v>
      </c>
      <c r="D4434" s="21" t="str">
        <f>IFERROR(__xludf.DUMMYFUNCTION("""COMPUTED_VALUE"""),"DIGITEC TECNOLOGIA DIGITAL E REPRES")</f>
        <v>DIGITEC TECNOLOGIA DIGITAL E REPRES</v>
      </c>
      <c r="E4434" s="21">
        <f>IFERROR(__xludf.DUMMYFUNCTION("""COMPUTED_VALUE"""),145359.0)</f>
        <v>145359</v>
      </c>
      <c r="F4434" s="21" t="str">
        <f>IFERROR(__xludf.DUMMYFUNCTION("""COMPUTED_VALUE"""),"INICIALIZADO")</f>
        <v>INICIALIZADO</v>
      </c>
      <c r="G4434" s="23">
        <f>IFERROR(__xludf.DUMMYFUNCTION("""COMPUTED_VALUE"""),45643.475023148145)</f>
        <v>45643.47502</v>
      </c>
      <c r="H4434" s="24" t="str">
        <f>IFERROR(VLOOKUP(B4434,material!A:D,3,0),"")</f>
        <v>BOX</v>
      </c>
    </row>
    <row r="4435" ht="11.25" customHeight="1">
      <c r="A4435" s="21" t="str">
        <f>IFERROR(__xludf.DUMMYFUNCTION("""COMPUTED_VALUE"""),"DECODER 4K UHD IP S4KW3 LINUX VAS COM")</f>
        <v>DECODER 4K UHD IP S4KW3 LINUX VAS COM</v>
      </c>
      <c r="B4435" s="22">
        <f>IFERROR(__xludf.DUMMYFUNCTION("""COMPUTED_VALUE"""),4.100153E7)</f>
        <v>41001530</v>
      </c>
      <c r="C4435" s="21" t="str">
        <f>IFERROR(__xludf.DUMMYFUNCTION("""COMPUTED_VALUE"""),"229995341027")</f>
        <v>229995341027</v>
      </c>
      <c r="D4435" s="21" t="str">
        <f>IFERROR(__xludf.DUMMYFUNCTION("""COMPUTED_VALUE"""),"DIGITEC TECNOLOGIA DIGITAL E REPRES")</f>
        <v>DIGITEC TECNOLOGIA DIGITAL E REPRES</v>
      </c>
      <c r="E4435" s="21">
        <f>IFERROR(__xludf.DUMMYFUNCTION("""COMPUTED_VALUE"""),145359.0)</f>
        <v>145359</v>
      </c>
      <c r="F4435" s="21" t="str">
        <f>IFERROR(__xludf.DUMMYFUNCTION("""COMPUTED_VALUE"""),"INICIALIZADO")</f>
        <v>INICIALIZADO</v>
      </c>
      <c r="G4435" s="23">
        <f>IFERROR(__xludf.DUMMYFUNCTION("""COMPUTED_VALUE"""),45643.475023148145)</f>
        <v>45643.47502</v>
      </c>
      <c r="H4435" s="24" t="str">
        <f>IFERROR(VLOOKUP(B4435,material!A:D,3,0),"")</f>
        <v>BOX</v>
      </c>
    </row>
    <row r="4436" ht="11.25" customHeight="1">
      <c r="A4436" s="21" t="str">
        <f>IFERROR(__xludf.DUMMYFUNCTION("""COMPUTED_VALUE"""),"DECODER 4K UHD IP S4KW3 LINUX VAS COM")</f>
        <v>DECODER 4K UHD IP S4KW3 LINUX VAS COM</v>
      </c>
      <c r="B4436" s="22">
        <f>IFERROR(__xludf.DUMMYFUNCTION("""COMPUTED_VALUE"""),4.100153E7)</f>
        <v>41001530</v>
      </c>
      <c r="C4436" s="21" t="str">
        <f>IFERROR(__xludf.DUMMYFUNCTION("""COMPUTED_VALUE"""),"229970093456")</f>
        <v>229970093456</v>
      </c>
      <c r="D4436" s="21" t="str">
        <f>IFERROR(__xludf.DUMMYFUNCTION("""COMPUTED_VALUE"""),"DIGITEC TECNOLOGIA DIGITAL E REPRES")</f>
        <v>DIGITEC TECNOLOGIA DIGITAL E REPRES</v>
      </c>
      <c r="E4436" s="21">
        <f>IFERROR(__xludf.DUMMYFUNCTION("""COMPUTED_VALUE"""),145359.0)</f>
        <v>145359</v>
      </c>
      <c r="F4436" s="21" t="str">
        <f>IFERROR(__xludf.DUMMYFUNCTION("""COMPUTED_VALUE"""),"INICIALIZADO")</f>
        <v>INICIALIZADO</v>
      </c>
      <c r="G4436" s="23">
        <f>IFERROR(__xludf.DUMMYFUNCTION("""COMPUTED_VALUE"""),45201.78085648148)</f>
        <v>45201.78086</v>
      </c>
      <c r="H4436" s="24" t="str">
        <f>IFERROR(VLOOKUP(B4436,material!A:D,3,0),"")</f>
        <v>BOX</v>
      </c>
    </row>
    <row r="4437" ht="11.25" customHeight="1">
      <c r="A4437" s="21" t="str">
        <f>IFERROR(__xludf.DUMMYFUNCTION("""COMPUTED_VALUE"""),"DECODER 4K UHD IP S4KW3 LINUX VAS COM")</f>
        <v>DECODER 4K UHD IP S4KW3 LINUX VAS COM</v>
      </c>
      <c r="B4437" s="22">
        <f>IFERROR(__xludf.DUMMYFUNCTION("""COMPUTED_VALUE"""),4.100153E7)</f>
        <v>41001530</v>
      </c>
      <c r="C4437" s="21" t="str">
        <f>IFERROR(__xludf.DUMMYFUNCTION("""COMPUTED_VALUE"""),"229937052027")</f>
        <v>229937052027</v>
      </c>
      <c r="D4437" s="21" t="str">
        <f>IFERROR(__xludf.DUMMYFUNCTION("""COMPUTED_VALUE"""),"DIGITEC TECNOLOGIA DIGITAL E REPRES")</f>
        <v>DIGITEC TECNOLOGIA DIGITAL E REPRES</v>
      </c>
      <c r="E4437" s="21">
        <f>IFERROR(__xludf.DUMMYFUNCTION("""COMPUTED_VALUE"""),145359.0)</f>
        <v>145359</v>
      </c>
      <c r="F4437" s="21" t="str">
        <f>IFERROR(__xludf.DUMMYFUNCTION("""COMPUTED_VALUE"""),"INICIALIZADO")</f>
        <v>INICIALIZADO</v>
      </c>
      <c r="G4437" s="23">
        <f>IFERROR(__xludf.DUMMYFUNCTION("""COMPUTED_VALUE"""),45643.475023148145)</f>
        <v>45643.47502</v>
      </c>
      <c r="H4437" s="24" t="str">
        <f>IFERROR(VLOOKUP(B4437,material!A:D,3,0),"")</f>
        <v>BOX</v>
      </c>
    </row>
    <row r="4438" ht="11.25" customHeight="1">
      <c r="A4438" s="21" t="str">
        <f>IFERROR(__xludf.DUMMYFUNCTION("""COMPUTED_VALUE"""),"DECODER 4K UHD IP S4KW3 LINUX VAS COM")</f>
        <v>DECODER 4K UHD IP S4KW3 LINUX VAS COM</v>
      </c>
      <c r="B4438" s="22">
        <f>IFERROR(__xludf.DUMMYFUNCTION("""COMPUTED_VALUE"""),4.100153E7)</f>
        <v>41001530</v>
      </c>
      <c r="C4438" s="21" t="str">
        <f>IFERROR(__xludf.DUMMYFUNCTION("""COMPUTED_VALUE"""),"229953366873")</f>
        <v>229953366873</v>
      </c>
      <c r="D4438" s="21" t="str">
        <f>IFERROR(__xludf.DUMMYFUNCTION("""COMPUTED_VALUE"""),"DIGITEC TECNOLOGIA DIGITAL E REPRES")</f>
        <v>DIGITEC TECNOLOGIA DIGITAL E REPRES</v>
      </c>
      <c r="E4438" s="21">
        <f>IFERROR(__xludf.DUMMYFUNCTION("""COMPUTED_VALUE"""),145359.0)</f>
        <v>145359</v>
      </c>
      <c r="F4438" s="21" t="str">
        <f>IFERROR(__xludf.DUMMYFUNCTION("""COMPUTED_VALUE"""),"INICIALIZADO")</f>
        <v>INICIALIZADO</v>
      </c>
      <c r="G4438" s="23">
        <f>IFERROR(__xludf.DUMMYFUNCTION("""COMPUTED_VALUE"""),45201.7808912037)</f>
        <v>45201.78089</v>
      </c>
      <c r="H4438" s="24" t="str">
        <f>IFERROR(VLOOKUP(B4438,material!A:D,3,0),"")</f>
        <v>BOX</v>
      </c>
    </row>
    <row r="4439" ht="11.25" customHeight="1">
      <c r="A4439" s="21" t="str">
        <f>IFERROR(__xludf.DUMMYFUNCTION("""COMPUTED_VALUE"""),"DECODER 4K UHD IP S4KW3 LINUX VAS COM")</f>
        <v>DECODER 4K UHD IP S4KW3 LINUX VAS COM</v>
      </c>
      <c r="B4439" s="22">
        <f>IFERROR(__xludf.DUMMYFUNCTION("""COMPUTED_VALUE"""),4.100153E7)</f>
        <v>41001530</v>
      </c>
      <c r="C4439" s="21" t="str">
        <f>IFERROR(__xludf.DUMMYFUNCTION("""COMPUTED_VALUE"""),"229956205568")</f>
        <v>229956205568</v>
      </c>
      <c r="D4439" s="21" t="str">
        <f>IFERROR(__xludf.DUMMYFUNCTION("""COMPUTED_VALUE"""),"DIGITEC TECNOLOGIA DIGITAL E REPRES")</f>
        <v>DIGITEC TECNOLOGIA DIGITAL E REPRES</v>
      </c>
      <c r="E4439" s="21">
        <f>IFERROR(__xludf.DUMMYFUNCTION("""COMPUTED_VALUE"""),145359.0)</f>
        <v>145359</v>
      </c>
      <c r="F4439" s="21" t="str">
        <f>IFERROR(__xludf.DUMMYFUNCTION("""COMPUTED_VALUE"""),"INICIALIZADO")</f>
        <v>INICIALIZADO</v>
      </c>
      <c r="G4439" s="23">
        <f>IFERROR(__xludf.DUMMYFUNCTION("""COMPUTED_VALUE"""),45643.475023148145)</f>
        <v>45643.47502</v>
      </c>
      <c r="H4439" s="24" t="str">
        <f>IFERROR(VLOOKUP(B4439,material!A:D,3,0),"")</f>
        <v>BOX</v>
      </c>
    </row>
    <row r="4440" ht="11.25" customHeight="1">
      <c r="A4440" s="21" t="str">
        <f>IFERROR(__xludf.DUMMYFUNCTION("""COMPUTED_VALUE"""),"DECODER IP 4K UHD S4KW2 DDR FAST ETH VOZ")</f>
        <v>DECODER IP 4K UHD S4KW2 DDR FAST ETH VOZ</v>
      </c>
      <c r="B4440" s="22">
        <f>IFERROR(__xludf.DUMMYFUNCTION("""COMPUTED_VALUE"""),4.1001538E7)</f>
        <v>41001538</v>
      </c>
      <c r="C4440" s="21" t="str">
        <f>IFERROR(__xludf.DUMMYFUNCTION("""COMPUTED_VALUE"""),"229897844362")</f>
        <v>229897844362</v>
      </c>
      <c r="D4440" s="21" t="str">
        <f>IFERROR(__xludf.DUMMYFUNCTION("""COMPUTED_VALUE"""),"DIGITEC TECNOLOGIA DIGITAL E REPRES")</f>
        <v>DIGITEC TECNOLOGIA DIGITAL E REPRES</v>
      </c>
      <c r="E4440" s="21">
        <f>IFERROR(__xludf.DUMMYFUNCTION("""COMPUTED_VALUE"""),145359.0)</f>
        <v>145359</v>
      </c>
      <c r="F4440" s="21" t="str">
        <f>IFERROR(__xludf.DUMMYFUNCTION("""COMPUTED_VALUE"""),"INICIALIZADO")</f>
        <v>INICIALIZADO</v>
      </c>
      <c r="G4440" s="23">
        <f>IFERROR(__xludf.DUMMYFUNCTION("""COMPUTED_VALUE"""),45625.653182870374)</f>
        <v>45625.65318</v>
      </c>
      <c r="H4440" s="24" t="str">
        <f>IFERROR(VLOOKUP(B4440,material!A:D,3,0),"")</f>
        <v>BOX</v>
      </c>
    </row>
    <row r="4441" ht="11.25" customHeight="1">
      <c r="A4441" s="21" t="str">
        <f>IFERROR(__xludf.DUMMYFUNCTION("""COMPUTED_VALUE"""),"DECODER IP 4K UHD S4KW2 DDR FAST ETH VOZ")</f>
        <v>DECODER IP 4K UHD S4KW2 DDR FAST ETH VOZ</v>
      </c>
      <c r="B4441" s="22">
        <f>IFERROR(__xludf.DUMMYFUNCTION("""COMPUTED_VALUE"""),4.1001538E7)</f>
        <v>41001538</v>
      </c>
      <c r="C4441" s="21" t="str">
        <f>IFERROR(__xludf.DUMMYFUNCTION("""COMPUTED_VALUE"""),"229898276682")</f>
        <v>229898276682</v>
      </c>
      <c r="D4441" s="21" t="str">
        <f>IFERROR(__xludf.DUMMYFUNCTION("""COMPUTED_VALUE"""),"DIGITEC TECNOLOGIA DIGITAL E REPRES")</f>
        <v>DIGITEC TECNOLOGIA DIGITAL E REPRES</v>
      </c>
      <c r="E4441" s="21">
        <f>IFERROR(__xludf.DUMMYFUNCTION("""COMPUTED_VALUE"""),145359.0)</f>
        <v>145359</v>
      </c>
      <c r="F4441" s="21" t="str">
        <f>IFERROR(__xludf.DUMMYFUNCTION("""COMPUTED_VALUE"""),"INICIALIZADO")</f>
        <v>INICIALIZADO</v>
      </c>
      <c r="G4441" s="23">
        <f>IFERROR(__xludf.DUMMYFUNCTION("""COMPUTED_VALUE"""),45609.74686342593)</f>
        <v>45609.74686</v>
      </c>
      <c r="H4441" s="24" t="str">
        <f>IFERROR(VLOOKUP(B4441,material!A:D,3,0),"")</f>
        <v>BOX</v>
      </c>
    </row>
    <row r="4442" ht="11.25" customHeight="1">
      <c r="A4442" s="21" t="str">
        <f>IFERROR(__xludf.DUMMYFUNCTION("""COMPUTED_VALUE"""),"DECODER IP 4K UHD S4KW2 DDR FAST ETH VOZ")</f>
        <v>DECODER IP 4K UHD S4KW2 DDR FAST ETH VOZ</v>
      </c>
      <c r="B4442" s="22">
        <f>IFERROR(__xludf.DUMMYFUNCTION("""COMPUTED_VALUE"""),4.1001538E7)</f>
        <v>41001538</v>
      </c>
      <c r="C4442" s="21" t="str">
        <f>IFERROR(__xludf.DUMMYFUNCTION("""COMPUTED_VALUE"""),"229876066770")</f>
        <v>229876066770</v>
      </c>
      <c r="D4442" s="21" t="str">
        <f>IFERROR(__xludf.DUMMYFUNCTION("""COMPUTED_VALUE"""),"DIGITEC TECNOLOGIA DIGITAL E REPRES")</f>
        <v>DIGITEC TECNOLOGIA DIGITAL E REPRES</v>
      </c>
      <c r="E4442" s="21">
        <f>IFERROR(__xludf.DUMMYFUNCTION("""COMPUTED_VALUE"""),145359.0)</f>
        <v>145359</v>
      </c>
      <c r="F4442" s="21" t="str">
        <f>IFERROR(__xludf.DUMMYFUNCTION("""COMPUTED_VALUE"""),"INICIALIZADO")</f>
        <v>INICIALIZADO</v>
      </c>
      <c r="G4442" s="23">
        <f>IFERROR(__xludf.DUMMYFUNCTION("""COMPUTED_VALUE"""),45625.653182870374)</f>
        <v>45625.65318</v>
      </c>
      <c r="H4442" s="24" t="str">
        <f>IFERROR(VLOOKUP(B4442,material!A:D,3,0),"")</f>
        <v>BOX</v>
      </c>
    </row>
    <row r="4443" ht="11.25" customHeight="1">
      <c r="A4443" s="21" t="str">
        <f>IFERROR(__xludf.DUMMYFUNCTION("""COMPUTED_VALUE"""),"DECODER IP 4K UHD S4KW2 DDR FAST ETH VOZ")</f>
        <v>DECODER IP 4K UHD S4KW2 DDR FAST ETH VOZ</v>
      </c>
      <c r="B4443" s="22">
        <f>IFERROR(__xludf.DUMMYFUNCTION("""COMPUTED_VALUE"""),4.1001538E7)</f>
        <v>41001538</v>
      </c>
      <c r="C4443" s="21" t="str">
        <f>IFERROR(__xludf.DUMMYFUNCTION("""COMPUTED_VALUE"""),"229896608292")</f>
        <v>229896608292</v>
      </c>
      <c r="D4443" s="21" t="str">
        <f>IFERROR(__xludf.DUMMYFUNCTION("""COMPUTED_VALUE"""),"DIGITEC TECNOLOGIA DIGITAL E REPRES")</f>
        <v>DIGITEC TECNOLOGIA DIGITAL E REPRES</v>
      </c>
      <c r="E4443" s="21">
        <f>IFERROR(__xludf.DUMMYFUNCTION("""COMPUTED_VALUE"""),145359.0)</f>
        <v>145359</v>
      </c>
      <c r="F4443" s="21" t="str">
        <f>IFERROR(__xludf.DUMMYFUNCTION("""COMPUTED_VALUE"""),"INICIALIZADO")</f>
        <v>INICIALIZADO</v>
      </c>
      <c r="G4443" s="23">
        <f>IFERROR(__xludf.DUMMYFUNCTION("""COMPUTED_VALUE"""),45625.653182870374)</f>
        <v>45625.65318</v>
      </c>
      <c r="H4443" s="24" t="str">
        <f>IFERROR(VLOOKUP(B4443,material!A:D,3,0),"")</f>
        <v>BOX</v>
      </c>
    </row>
    <row r="4444" ht="11.25" customHeight="1">
      <c r="A4444" s="21" t="str">
        <f>IFERROR(__xludf.DUMMYFUNCTION("""COMPUTED_VALUE"""),"DECODER IP 4K UHD S4KW2 DDR FAST ETH VOZ")</f>
        <v>DECODER IP 4K UHD S4KW2 DDR FAST ETH VOZ</v>
      </c>
      <c r="B4444" s="22">
        <f>IFERROR(__xludf.DUMMYFUNCTION("""COMPUTED_VALUE"""),4.1001538E7)</f>
        <v>41001538</v>
      </c>
      <c r="C4444" s="21" t="str">
        <f>IFERROR(__xludf.DUMMYFUNCTION("""COMPUTED_VALUE"""),"229876146374")</f>
        <v>229876146374</v>
      </c>
      <c r="D4444" s="21" t="str">
        <f>IFERROR(__xludf.DUMMYFUNCTION("""COMPUTED_VALUE"""),"DIGITEC TECNOLOGIA DIGITAL E REPRES")</f>
        <v>DIGITEC TECNOLOGIA DIGITAL E REPRES</v>
      </c>
      <c r="E4444" s="21">
        <f>IFERROR(__xludf.DUMMYFUNCTION("""COMPUTED_VALUE"""),145359.0)</f>
        <v>145359</v>
      </c>
      <c r="F4444" s="21" t="str">
        <f>IFERROR(__xludf.DUMMYFUNCTION("""COMPUTED_VALUE"""),"INICIALIZADO")</f>
        <v>INICIALIZADO</v>
      </c>
      <c r="G4444" s="23">
        <f>IFERROR(__xludf.DUMMYFUNCTION("""COMPUTED_VALUE"""),45625.653182870374)</f>
        <v>45625.65318</v>
      </c>
      <c r="H4444" s="24" t="str">
        <f>IFERROR(VLOOKUP(B4444,material!A:D,3,0),"")</f>
        <v>BOX</v>
      </c>
    </row>
    <row r="4445" ht="11.25" customHeight="1">
      <c r="A4445" s="21" t="str">
        <f>IFERROR(__xludf.DUMMYFUNCTION("""COMPUTED_VALUE"""),"DECODER IP 4K UHD S4KW2 DDR FAST ETH VOZ")</f>
        <v>DECODER IP 4K UHD S4KW2 DDR FAST ETH VOZ</v>
      </c>
      <c r="B4445" s="22">
        <f>IFERROR(__xludf.DUMMYFUNCTION("""COMPUTED_VALUE"""),4.1001538E7)</f>
        <v>41001538</v>
      </c>
      <c r="C4445" s="21" t="str">
        <f>IFERROR(__xludf.DUMMYFUNCTION("""COMPUTED_VALUE"""),"229870944464")</f>
        <v>229870944464</v>
      </c>
      <c r="D4445" s="21" t="str">
        <f>IFERROR(__xludf.DUMMYFUNCTION("""COMPUTED_VALUE"""),"DIGITEC TECNOLOGIA DIGITAL E REPRES")</f>
        <v>DIGITEC TECNOLOGIA DIGITAL E REPRES</v>
      </c>
      <c r="E4445" s="21">
        <f>IFERROR(__xludf.DUMMYFUNCTION("""COMPUTED_VALUE"""),145359.0)</f>
        <v>145359</v>
      </c>
      <c r="F4445" s="21" t="str">
        <f>IFERROR(__xludf.DUMMYFUNCTION("""COMPUTED_VALUE"""),"INICIALIZADO")</f>
        <v>INICIALIZADO</v>
      </c>
      <c r="G4445" s="23">
        <f>IFERROR(__xludf.DUMMYFUNCTION("""COMPUTED_VALUE"""),45625.653182870374)</f>
        <v>45625.65318</v>
      </c>
      <c r="H4445" s="24" t="str">
        <f>IFERROR(VLOOKUP(B4445,material!A:D,3,0),"")</f>
        <v>BOX</v>
      </c>
    </row>
    <row r="4446" ht="11.25" customHeight="1">
      <c r="A4446" s="21" t="str">
        <f>IFERROR(__xludf.DUMMYFUNCTION("""COMPUTED_VALUE"""),"DECODER IP 4K UHD S4KW2 DDR FAST ETH VOZ")</f>
        <v>DECODER IP 4K UHD S4KW2 DDR FAST ETH VOZ</v>
      </c>
      <c r="B4446" s="22">
        <f>IFERROR(__xludf.DUMMYFUNCTION("""COMPUTED_VALUE"""),4.1001538E7)</f>
        <v>41001538</v>
      </c>
      <c r="C4446" s="21" t="str">
        <f>IFERROR(__xludf.DUMMYFUNCTION("""COMPUTED_VALUE"""),"229871980514")</f>
        <v>229871980514</v>
      </c>
      <c r="D4446" s="21" t="str">
        <f>IFERROR(__xludf.DUMMYFUNCTION("""COMPUTED_VALUE"""),"DIGITEC TECNOLOGIA DIGITAL E REPRES")</f>
        <v>DIGITEC TECNOLOGIA DIGITAL E REPRES</v>
      </c>
      <c r="E4446" s="21">
        <f>IFERROR(__xludf.DUMMYFUNCTION("""COMPUTED_VALUE"""),145359.0)</f>
        <v>145359</v>
      </c>
      <c r="F4446" s="21" t="str">
        <f>IFERROR(__xludf.DUMMYFUNCTION("""COMPUTED_VALUE"""),"INICIALIZADO")</f>
        <v>INICIALIZADO</v>
      </c>
      <c r="G4446" s="23">
        <f>IFERROR(__xludf.DUMMYFUNCTION("""COMPUTED_VALUE"""),45625.653182870374)</f>
        <v>45625.65318</v>
      </c>
      <c r="H4446" s="24" t="str">
        <f>IFERROR(VLOOKUP(B4446,material!A:D,3,0),"")</f>
        <v>BOX</v>
      </c>
    </row>
    <row r="4447" ht="11.25" customHeight="1">
      <c r="A4447" s="21" t="str">
        <f>IFERROR(__xludf.DUMMYFUNCTION("""COMPUTED_VALUE"""),"DECODER IP 4K UHD S4KW2 DDR FAST ETH VOZ")</f>
        <v>DECODER IP 4K UHD S4KW2 DDR FAST ETH VOZ</v>
      </c>
      <c r="B4447" s="22">
        <f>IFERROR(__xludf.DUMMYFUNCTION("""COMPUTED_VALUE"""),4.1001538E7)</f>
        <v>41001538</v>
      </c>
      <c r="C4447" s="21" t="str">
        <f>IFERROR(__xludf.DUMMYFUNCTION("""COMPUTED_VALUE"""),"229871756877")</f>
        <v>229871756877</v>
      </c>
      <c r="D4447" s="21" t="str">
        <f>IFERROR(__xludf.DUMMYFUNCTION("""COMPUTED_VALUE"""),"DIGITEC TECNOLOGIA DIGITAL E REPRES")</f>
        <v>DIGITEC TECNOLOGIA DIGITAL E REPRES</v>
      </c>
      <c r="E4447" s="21">
        <f>IFERROR(__xludf.DUMMYFUNCTION("""COMPUTED_VALUE"""),145359.0)</f>
        <v>145359</v>
      </c>
      <c r="F4447" s="21" t="str">
        <f>IFERROR(__xludf.DUMMYFUNCTION("""COMPUTED_VALUE"""),"INICIALIZADO")</f>
        <v>INICIALIZADO</v>
      </c>
      <c r="G4447" s="23">
        <f>IFERROR(__xludf.DUMMYFUNCTION("""COMPUTED_VALUE"""),45625.653182870374)</f>
        <v>45625.65318</v>
      </c>
      <c r="H4447" s="24" t="str">
        <f>IFERROR(VLOOKUP(B4447,material!A:D,3,0),"")</f>
        <v>BOX</v>
      </c>
    </row>
    <row r="4448" ht="11.25" customHeight="1">
      <c r="A4448" s="21" t="str">
        <f>IFERROR(__xludf.DUMMYFUNCTION("""COMPUTED_VALUE"""),"DECODER IP 4K UHD S4KW2 DDR FAST ETH VOZ")</f>
        <v>DECODER IP 4K UHD S4KW2 DDR FAST ETH VOZ</v>
      </c>
      <c r="B4448" s="22">
        <f>IFERROR(__xludf.DUMMYFUNCTION("""COMPUTED_VALUE"""),4.1001538E7)</f>
        <v>41001538</v>
      </c>
      <c r="C4448" s="21" t="str">
        <f>IFERROR(__xludf.DUMMYFUNCTION("""COMPUTED_VALUE"""),"229901284260")</f>
        <v>229901284260</v>
      </c>
      <c r="D4448" s="21" t="str">
        <f>IFERROR(__xludf.DUMMYFUNCTION("""COMPUTED_VALUE"""),"DIGITEC TECNOLOGIA DIGITAL E REPRES")</f>
        <v>DIGITEC TECNOLOGIA DIGITAL E REPRES</v>
      </c>
      <c r="E4448" s="21">
        <f>IFERROR(__xludf.DUMMYFUNCTION("""COMPUTED_VALUE"""),145359.0)</f>
        <v>145359</v>
      </c>
      <c r="F4448" s="21" t="str">
        <f>IFERROR(__xludf.DUMMYFUNCTION("""COMPUTED_VALUE"""),"INICIALIZADO")</f>
        <v>INICIALIZADO</v>
      </c>
      <c r="G4448" s="23">
        <f>IFERROR(__xludf.DUMMYFUNCTION("""COMPUTED_VALUE"""),45625.653182870374)</f>
        <v>45625.65318</v>
      </c>
      <c r="H4448" s="24" t="str">
        <f>IFERROR(VLOOKUP(B4448,material!A:D,3,0),"")</f>
        <v>BOX</v>
      </c>
    </row>
    <row r="4449" ht="11.25" customHeight="1">
      <c r="A4449" s="21" t="str">
        <f>IFERROR(__xludf.DUMMYFUNCTION("""COMPUTED_VALUE"""),"DECODER IP 4K UHD S4KW2 DDR FAST ETH VOZ")</f>
        <v>DECODER IP 4K UHD S4KW2 DDR FAST ETH VOZ</v>
      </c>
      <c r="B4449" s="22">
        <f>IFERROR(__xludf.DUMMYFUNCTION("""COMPUTED_VALUE"""),4.1001538E7)</f>
        <v>41001538</v>
      </c>
      <c r="C4449" s="21" t="str">
        <f>IFERROR(__xludf.DUMMYFUNCTION("""COMPUTED_VALUE"""),"229898560325")</f>
        <v>229898560325</v>
      </c>
      <c r="D4449" s="21" t="str">
        <f>IFERROR(__xludf.DUMMYFUNCTION("""COMPUTED_VALUE"""),"DIGITEC TECNOLOGIA DIGITAL E REPRES")</f>
        <v>DIGITEC TECNOLOGIA DIGITAL E REPRES</v>
      </c>
      <c r="E4449" s="21">
        <f>IFERROR(__xludf.DUMMYFUNCTION("""COMPUTED_VALUE"""),145359.0)</f>
        <v>145359</v>
      </c>
      <c r="F4449" s="21" t="str">
        <f>IFERROR(__xludf.DUMMYFUNCTION("""COMPUTED_VALUE"""),"INICIALIZADO")</f>
        <v>INICIALIZADO</v>
      </c>
      <c r="G4449" s="23">
        <f>IFERROR(__xludf.DUMMYFUNCTION("""COMPUTED_VALUE"""),45625.653182870374)</f>
        <v>45625.65318</v>
      </c>
      <c r="H4449" s="24" t="str">
        <f>IFERROR(VLOOKUP(B4449,material!A:D,3,0),"")</f>
        <v>BOX</v>
      </c>
    </row>
    <row r="4450" ht="11.25" customHeight="1">
      <c r="A4450" s="21" t="str">
        <f>IFERROR(__xludf.DUMMYFUNCTION("""COMPUTED_VALUE"""),"DECODER IP 4K UHD S4KW2 DDR FAST ETH VOZ")</f>
        <v>DECODER IP 4K UHD S4KW2 DDR FAST ETH VOZ</v>
      </c>
      <c r="B4450" s="22">
        <f>IFERROR(__xludf.DUMMYFUNCTION("""COMPUTED_VALUE"""),4.1001538E7)</f>
        <v>41001538</v>
      </c>
      <c r="C4450" s="21" t="str">
        <f>IFERROR(__xludf.DUMMYFUNCTION("""COMPUTED_VALUE"""),"229910732747")</f>
        <v>229910732747</v>
      </c>
      <c r="D4450" s="21" t="str">
        <f>IFERROR(__xludf.DUMMYFUNCTION("""COMPUTED_VALUE"""),"DIGITEC TECNOLOGIA DIGITAL E REPRES")</f>
        <v>DIGITEC TECNOLOGIA DIGITAL E REPRES</v>
      </c>
      <c r="E4450" s="21">
        <f>IFERROR(__xludf.DUMMYFUNCTION("""COMPUTED_VALUE"""),145359.0)</f>
        <v>145359</v>
      </c>
      <c r="F4450" s="21" t="str">
        <f>IFERROR(__xludf.DUMMYFUNCTION("""COMPUTED_VALUE"""),"INICIALIZADO")</f>
        <v>INICIALIZADO</v>
      </c>
      <c r="G4450" s="23">
        <f>IFERROR(__xludf.DUMMYFUNCTION("""COMPUTED_VALUE"""),45640.44991898148)</f>
        <v>45640.44992</v>
      </c>
      <c r="H4450" s="24" t="str">
        <f>IFERROR(VLOOKUP(B4450,material!A:D,3,0),"")</f>
        <v>BOX</v>
      </c>
    </row>
    <row r="4451" ht="11.25" customHeight="1">
      <c r="A4451" s="21" t="str">
        <f>IFERROR(__xludf.DUMMYFUNCTION("""COMPUTED_VALUE"""),"DECODER IP 4K UHD S4KW2 DDR FAST ETH VOZ")</f>
        <v>DECODER IP 4K UHD S4KW2 DDR FAST ETH VOZ</v>
      </c>
      <c r="B4451" s="22">
        <f>IFERROR(__xludf.DUMMYFUNCTION("""COMPUTED_VALUE"""),4.1001538E7)</f>
        <v>41001538</v>
      </c>
      <c r="C4451" s="21" t="str">
        <f>IFERROR(__xludf.DUMMYFUNCTION("""COMPUTED_VALUE"""),"229903112946")</f>
        <v>229903112946</v>
      </c>
      <c r="D4451" s="21" t="str">
        <f>IFERROR(__xludf.DUMMYFUNCTION("""COMPUTED_VALUE"""),"DIGITEC TECNOLOGIA DIGITAL E REPRES")</f>
        <v>DIGITEC TECNOLOGIA DIGITAL E REPRES</v>
      </c>
      <c r="E4451" s="21">
        <f>IFERROR(__xludf.DUMMYFUNCTION("""COMPUTED_VALUE"""),145359.0)</f>
        <v>145359</v>
      </c>
      <c r="F4451" s="21" t="str">
        <f>IFERROR(__xludf.DUMMYFUNCTION("""COMPUTED_VALUE"""),"INICIALIZADO")</f>
        <v>INICIALIZADO</v>
      </c>
      <c r="G4451" s="23">
        <f>IFERROR(__xludf.DUMMYFUNCTION("""COMPUTED_VALUE"""),45625.653182870374)</f>
        <v>45625.65318</v>
      </c>
      <c r="H4451" s="24" t="str">
        <f>IFERROR(VLOOKUP(B4451,material!A:D,3,0),"")</f>
        <v>BOX</v>
      </c>
    </row>
    <row r="4452" ht="11.25" customHeight="1">
      <c r="A4452" s="21" t="str">
        <f>IFERROR(__xludf.DUMMYFUNCTION("""COMPUTED_VALUE"""),"DECODER IP 4K UHD S4KW2 DDR FAST ETH VOZ")</f>
        <v>DECODER IP 4K UHD S4KW2 DDR FAST ETH VOZ</v>
      </c>
      <c r="B4452" s="22">
        <f>IFERROR(__xludf.DUMMYFUNCTION("""COMPUTED_VALUE"""),4.1001538E7)</f>
        <v>41001538</v>
      </c>
      <c r="C4452" s="21" t="str">
        <f>IFERROR(__xludf.DUMMYFUNCTION("""COMPUTED_VALUE"""),"229902490304")</f>
        <v>229902490304</v>
      </c>
      <c r="D4452" s="21" t="str">
        <f>IFERROR(__xludf.DUMMYFUNCTION("""COMPUTED_VALUE"""),"DIGITEC TECNOLOGIA DIGITAL E REPRES")</f>
        <v>DIGITEC TECNOLOGIA DIGITAL E REPRES</v>
      </c>
      <c r="E4452" s="21">
        <f>IFERROR(__xludf.DUMMYFUNCTION("""COMPUTED_VALUE"""),145359.0)</f>
        <v>145359</v>
      </c>
      <c r="F4452" s="21" t="str">
        <f>IFERROR(__xludf.DUMMYFUNCTION("""COMPUTED_VALUE"""),"INICIALIZADO")</f>
        <v>INICIALIZADO</v>
      </c>
      <c r="G4452" s="23">
        <f>IFERROR(__xludf.DUMMYFUNCTION("""COMPUTED_VALUE"""),45625.653182870374)</f>
        <v>45625.65318</v>
      </c>
      <c r="H4452" s="24" t="str">
        <f>IFERROR(VLOOKUP(B4452,material!A:D,3,0),"")</f>
        <v>BOX</v>
      </c>
    </row>
    <row r="4453" ht="11.25" customHeight="1">
      <c r="A4453" s="21" t="str">
        <f>IFERROR(__xludf.DUMMYFUNCTION("""COMPUTED_VALUE"""),"DECODER IP 4K UHD S4KW2 DDR FAST ETH VOZ")</f>
        <v>DECODER IP 4K UHD S4KW2 DDR FAST ETH VOZ</v>
      </c>
      <c r="B4453" s="22">
        <f>IFERROR(__xludf.DUMMYFUNCTION("""COMPUTED_VALUE"""),4.1001538E7)</f>
        <v>41001538</v>
      </c>
      <c r="C4453" s="21" t="str">
        <f>IFERROR(__xludf.DUMMYFUNCTION("""COMPUTED_VALUE"""),"229916605968")</f>
        <v>229916605968</v>
      </c>
      <c r="D4453" s="21" t="str">
        <f>IFERROR(__xludf.DUMMYFUNCTION("""COMPUTED_VALUE"""),"DIGITEC TECNOLOGIA DIGITAL E REPRES")</f>
        <v>DIGITEC TECNOLOGIA DIGITAL E REPRES</v>
      </c>
      <c r="E4453" s="21">
        <f>IFERROR(__xludf.DUMMYFUNCTION("""COMPUTED_VALUE"""),145359.0)</f>
        <v>145359</v>
      </c>
      <c r="F4453" s="21" t="str">
        <f>IFERROR(__xludf.DUMMYFUNCTION("""COMPUTED_VALUE"""),"INICIALIZADO")</f>
        <v>INICIALIZADO</v>
      </c>
      <c r="G4453" s="23">
        <f>IFERROR(__xludf.DUMMYFUNCTION("""COMPUTED_VALUE"""),45625.653182870374)</f>
        <v>45625.65318</v>
      </c>
      <c r="H4453" s="24" t="str">
        <f>IFERROR(VLOOKUP(B4453,material!A:D,3,0),"")</f>
        <v>BOX</v>
      </c>
    </row>
    <row r="4454" ht="11.25" customHeight="1">
      <c r="A4454" s="21" t="str">
        <f>IFERROR(__xludf.DUMMYFUNCTION("""COMPUTED_VALUE"""),"DECODER IP 4K UHD S4KW2 DDR FAST ETH")</f>
        <v>DECODER IP 4K UHD S4KW2 DDR FAST ETH</v>
      </c>
      <c r="B4454" s="22">
        <f>IFERROR(__xludf.DUMMYFUNCTION("""COMPUTED_VALUE"""),4.1001537E7)</f>
        <v>41001537</v>
      </c>
      <c r="C4454" s="21" t="str">
        <f>IFERROR(__xludf.DUMMYFUNCTION("""COMPUTED_VALUE"""),"229862839711")</f>
        <v>229862839711</v>
      </c>
      <c r="D4454" s="21" t="str">
        <f>IFERROR(__xludf.DUMMYFUNCTION("""COMPUTED_VALUE"""),"DIGITEC TECNOLOGIA DIGITAL E REPRES")</f>
        <v>DIGITEC TECNOLOGIA DIGITAL E REPRES</v>
      </c>
      <c r="E4454" s="21">
        <f>IFERROR(__xludf.DUMMYFUNCTION("""COMPUTED_VALUE"""),145359.0)</f>
        <v>145359</v>
      </c>
      <c r="F4454" s="21" t="str">
        <f>IFERROR(__xludf.DUMMYFUNCTION("""COMPUTED_VALUE"""),"INICIALIZADO")</f>
        <v>INICIALIZADO</v>
      </c>
      <c r="G4454" s="23">
        <f>IFERROR(__xludf.DUMMYFUNCTION("""COMPUTED_VALUE"""),45638.68790509259)</f>
        <v>45638.68791</v>
      </c>
      <c r="H4454" s="24" t="str">
        <f>IFERROR(VLOOKUP(B4454,material!A:D,3,0),"")</f>
        <v>BOX</v>
      </c>
    </row>
    <row r="4455" ht="11.25" customHeight="1">
      <c r="A4455" s="21" t="str">
        <f>IFERROR(__xludf.DUMMYFUNCTION("""COMPUTED_VALUE"""),"DECODER IP 4K UHD S4KW2 DDR FAST ETH")</f>
        <v>DECODER IP 4K UHD S4KW2 DDR FAST ETH</v>
      </c>
      <c r="B4455" s="22">
        <f>IFERROR(__xludf.DUMMYFUNCTION("""COMPUTED_VALUE"""),4.1001537E7)</f>
        <v>41001537</v>
      </c>
      <c r="C4455" s="21" t="str">
        <f>IFERROR(__xludf.DUMMYFUNCTION("""COMPUTED_VALUE"""),"229869882127")</f>
        <v>229869882127</v>
      </c>
      <c r="D4455" s="21" t="str">
        <f>IFERROR(__xludf.DUMMYFUNCTION("""COMPUTED_VALUE"""),"DIGITEC TECNOLOGIA DIGITAL E REPRES")</f>
        <v>DIGITEC TECNOLOGIA DIGITAL E REPRES</v>
      </c>
      <c r="E4455" s="21">
        <f>IFERROR(__xludf.DUMMYFUNCTION("""COMPUTED_VALUE"""),145359.0)</f>
        <v>145359</v>
      </c>
      <c r="F4455" s="21" t="str">
        <f>IFERROR(__xludf.DUMMYFUNCTION("""COMPUTED_VALUE"""),"INICIALIZADO")</f>
        <v>INICIALIZADO</v>
      </c>
      <c r="G4455" s="23">
        <f>IFERROR(__xludf.DUMMYFUNCTION("""COMPUTED_VALUE"""),45638.68790509259)</f>
        <v>45638.68791</v>
      </c>
      <c r="H4455" s="24" t="str">
        <f>IFERROR(VLOOKUP(B4455,material!A:D,3,0),"")</f>
        <v>BOX</v>
      </c>
    </row>
    <row r="4456" ht="11.25" customHeight="1">
      <c r="A4456" s="21" t="str">
        <f>IFERROR(__xludf.DUMMYFUNCTION("""COMPUTED_VALUE"""),"DECODER IP 4K UHD S4KW2 DDR FAST ETH")</f>
        <v>DECODER IP 4K UHD S4KW2 DDR FAST ETH</v>
      </c>
      <c r="B4456" s="22">
        <f>IFERROR(__xludf.DUMMYFUNCTION("""COMPUTED_VALUE"""),4.1001537E7)</f>
        <v>41001537</v>
      </c>
      <c r="C4456" s="21" t="str">
        <f>IFERROR(__xludf.DUMMYFUNCTION("""COMPUTED_VALUE"""),"229873249212")</f>
        <v>229873249212</v>
      </c>
      <c r="D4456" s="21" t="str">
        <f>IFERROR(__xludf.DUMMYFUNCTION("""COMPUTED_VALUE"""),"DIGITEC TECNOLOGIA DIGITAL E REPRES")</f>
        <v>DIGITEC TECNOLOGIA DIGITAL E REPRES</v>
      </c>
      <c r="E4456" s="21">
        <f>IFERROR(__xludf.DUMMYFUNCTION("""COMPUTED_VALUE"""),145359.0)</f>
        <v>145359</v>
      </c>
      <c r="F4456" s="21" t="str">
        <f>IFERROR(__xludf.DUMMYFUNCTION("""COMPUTED_VALUE"""),"INICIALIZADO")</f>
        <v>INICIALIZADO</v>
      </c>
      <c r="G4456" s="23">
        <f>IFERROR(__xludf.DUMMYFUNCTION("""COMPUTED_VALUE"""),45441.390868055554)</f>
        <v>45441.39087</v>
      </c>
      <c r="H4456" s="24" t="str">
        <f>IFERROR(VLOOKUP(B4456,material!A:D,3,0),"")</f>
        <v>BOX</v>
      </c>
    </row>
    <row r="4457" ht="11.25" customHeight="1">
      <c r="A4457" s="21" t="str">
        <f>IFERROR(__xludf.DUMMYFUNCTION("""COMPUTED_VALUE"""),"DECODER IP 4K UHD S4KW2 DDR FAST ETH")</f>
        <v>DECODER IP 4K UHD S4KW2 DDR FAST ETH</v>
      </c>
      <c r="B4457" s="22">
        <f>IFERROR(__xludf.DUMMYFUNCTION("""COMPUTED_VALUE"""),4.1001537E7)</f>
        <v>41001537</v>
      </c>
      <c r="C4457" s="21" t="str">
        <f>IFERROR(__xludf.DUMMYFUNCTION("""COMPUTED_VALUE"""),"229872956882")</f>
        <v>229872956882</v>
      </c>
      <c r="D4457" s="21" t="str">
        <f>IFERROR(__xludf.DUMMYFUNCTION("""COMPUTED_VALUE"""),"DIGITEC TECNOLOGIA DIGITAL E REPRES")</f>
        <v>DIGITEC TECNOLOGIA DIGITAL E REPRES</v>
      </c>
      <c r="E4457" s="21">
        <f>IFERROR(__xludf.DUMMYFUNCTION("""COMPUTED_VALUE"""),145359.0)</f>
        <v>145359</v>
      </c>
      <c r="F4457" s="21" t="str">
        <f>IFERROR(__xludf.DUMMYFUNCTION("""COMPUTED_VALUE"""),"INICIALIZADO")</f>
        <v>INICIALIZADO</v>
      </c>
      <c r="G4457" s="23">
        <f>IFERROR(__xludf.DUMMYFUNCTION("""COMPUTED_VALUE"""),45638.68790509259)</f>
        <v>45638.68791</v>
      </c>
      <c r="H4457" s="24" t="str">
        <f>IFERROR(VLOOKUP(B4457,material!A:D,3,0),"")</f>
        <v>BOX</v>
      </c>
    </row>
    <row r="4458" ht="11.25" customHeight="1">
      <c r="A4458" s="21" t="str">
        <f>IFERROR(__xludf.DUMMYFUNCTION("""COMPUTED_VALUE"""),"DECODER IP 4K UHD S4KW2 DDR FAST ETH")</f>
        <v>DECODER IP 4K UHD S4KW2 DDR FAST ETH</v>
      </c>
      <c r="B4458" s="22">
        <f>IFERROR(__xludf.DUMMYFUNCTION("""COMPUTED_VALUE"""),4.1001537E7)</f>
        <v>41001537</v>
      </c>
      <c r="C4458" s="21" t="str">
        <f>IFERROR(__xludf.DUMMYFUNCTION("""COMPUTED_VALUE"""),"229876953333")</f>
        <v>229876953333</v>
      </c>
      <c r="D4458" s="21" t="str">
        <f>IFERROR(__xludf.DUMMYFUNCTION("""COMPUTED_VALUE"""),"DIGITEC TECNOLOGIA DIGITAL E REPRES")</f>
        <v>DIGITEC TECNOLOGIA DIGITAL E REPRES</v>
      </c>
      <c r="E4458" s="21">
        <f>IFERROR(__xludf.DUMMYFUNCTION("""COMPUTED_VALUE"""),145359.0)</f>
        <v>145359</v>
      </c>
      <c r="F4458" s="21" t="str">
        <f>IFERROR(__xludf.DUMMYFUNCTION("""COMPUTED_VALUE"""),"INICIALIZADO")</f>
        <v>INICIALIZADO</v>
      </c>
      <c r="G4458" s="23">
        <f>IFERROR(__xludf.DUMMYFUNCTION("""COMPUTED_VALUE"""),45638.68790509259)</f>
        <v>45638.68791</v>
      </c>
      <c r="H4458" s="24" t="str">
        <f>IFERROR(VLOOKUP(B4458,material!A:D,3,0),"")</f>
        <v>BOX</v>
      </c>
    </row>
    <row r="4459" ht="11.25" customHeight="1">
      <c r="A4459" s="21" t="str">
        <f>IFERROR(__xludf.DUMMYFUNCTION("""COMPUTED_VALUE"""),"DECODER IP 4K UHD S4KW2 DDR FAST ETH")</f>
        <v>DECODER IP 4K UHD S4KW2 DDR FAST ETH</v>
      </c>
      <c r="B4459" s="22">
        <f>IFERROR(__xludf.DUMMYFUNCTION("""COMPUTED_VALUE"""),4.1001537E7)</f>
        <v>41001537</v>
      </c>
      <c r="C4459" s="21" t="str">
        <f>IFERROR(__xludf.DUMMYFUNCTION("""COMPUTED_VALUE"""),"229876934364")</f>
        <v>229876934364</v>
      </c>
      <c r="D4459" s="21" t="str">
        <f>IFERROR(__xludf.DUMMYFUNCTION("""COMPUTED_VALUE"""),"DIGITEC TECNOLOGIA DIGITAL E REPRES")</f>
        <v>DIGITEC TECNOLOGIA DIGITAL E REPRES</v>
      </c>
      <c r="E4459" s="21">
        <f>IFERROR(__xludf.DUMMYFUNCTION("""COMPUTED_VALUE"""),145359.0)</f>
        <v>145359</v>
      </c>
      <c r="F4459" s="21" t="str">
        <f>IFERROR(__xludf.DUMMYFUNCTION("""COMPUTED_VALUE"""),"INICIALIZADO")</f>
        <v>INICIALIZADO</v>
      </c>
      <c r="G4459" s="23">
        <f>IFERROR(__xludf.DUMMYFUNCTION("""COMPUTED_VALUE"""),45638.68790509259)</f>
        <v>45638.68791</v>
      </c>
      <c r="H4459" s="24" t="str">
        <f>IFERROR(VLOOKUP(B4459,material!A:D,3,0),"")</f>
        <v>BOX</v>
      </c>
    </row>
    <row r="4460" ht="11.25" customHeight="1">
      <c r="A4460" s="21" t="str">
        <f>IFERROR(__xludf.DUMMYFUNCTION("""COMPUTED_VALUE"""),"TERMINAL EXTENSOR WIFI MESH AP5541")</f>
        <v>TERMINAL EXTENSOR WIFI MESH AP5541</v>
      </c>
      <c r="B4460" s="22">
        <f>IFERROR(__xludf.DUMMYFUNCTION("""COMPUTED_VALUE"""),4.1001523E7)</f>
        <v>41001523</v>
      </c>
      <c r="C4460" s="21" t="str">
        <f>IFERROR(__xludf.DUMMYFUNCTION("""COMPUTED_VALUE"""),"B4F2676A08A2")</f>
        <v>B4F2676A08A2</v>
      </c>
      <c r="D4460" s="21" t="str">
        <f>IFERROR(__xludf.DUMMYFUNCTION("""COMPUTED_VALUE"""),"DIGITEC TECNOLOGIA DIGITAL E REPRES")</f>
        <v>DIGITEC TECNOLOGIA DIGITAL E REPRES</v>
      </c>
      <c r="E4460" s="21">
        <f>IFERROR(__xludf.DUMMYFUNCTION("""COMPUTED_VALUE"""),145359.0)</f>
        <v>145359</v>
      </c>
      <c r="F4460" s="21" t="str">
        <f>IFERROR(__xludf.DUMMYFUNCTION("""COMPUTED_VALUE"""),"INICIALIZADO")</f>
        <v>INICIALIZADO</v>
      </c>
      <c r="G4460" s="23">
        <f>IFERROR(__xludf.DUMMYFUNCTION("""COMPUTED_VALUE"""),45573.66678240741)</f>
        <v>45573.66678</v>
      </c>
      <c r="H4460" s="24" t="str">
        <f>IFERROR(VLOOKUP(B4460,material!A:D,3,0),"")</f>
        <v>WIFI MESH</v>
      </c>
    </row>
    <row r="4461" ht="11.25" customHeight="1">
      <c r="A4461" s="21" t="str">
        <f>IFERROR(__xludf.DUMMYFUNCTION("""COMPUTED_VALUE"""),"TERMINAL EXTENSOR WIFI MESH AP5541")</f>
        <v>TERMINAL EXTENSOR WIFI MESH AP5541</v>
      </c>
      <c r="B4461" s="22">
        <f>IFERROR(__xludf.DUMMYFUNCTION("""COMPUTED_VALUE"""),4.1001523E7)</f>
        <v>41001523</v>
      </c>
      <c r="C4461" s="21" t="str">
        <f>IFERROR(__xludf.DUMMYFUNCTION("""COMPUTED_VALUE"""),"B4F26768006D")</f>
        <v>B4F26768006D</v>
      </c>
      <c r="D4461" s="21" t="str">
        <f>IFERROR(__xludf.DUMMYFUNCTION("""COMPUTED_VALUE"""),"DIGITEC TECNOLOGIA DIGITAL E REPRES")</f>
        <v>DIGITEC TECNOLOGIA DIGITAL E REPRES</v>
      </c>
      <c r="E4461" s="21">
        <f>IFERROR(__xludf.DUMMYFUNCTION("""COMPUTED_VALUE"""),145359.0)</f>
        <v>145359</v>
      </c>
      <c r="F4461" s="21" t="str">
        <f>IFERROR(__xludf.DUMMYFUNCTION("""COMPUTED_VALUE"""),"INICIALIZADO")</f>
        <v>INICIALIZADO</v>
      </c>
      <c r="G4461" s="23">
        <f>IFERROR(__xludf.DUMMYFUNCTION("""COMPUTED_VALUE"""),45331.77019675926)</f>
        <v>45331.7702</v>
      </c>
      <c r="H4461" s="24" t="str">
        <f>IFERROR(VLOOKUP(B4461,material!A:D,3,0),"")</f>
        <v>WIFI MESH</v>
      </c>
    </row>
    <row r="4462" ht="11.25" customHeight="1">
      <c r="A4462" s="21" t="str">
        <f>IFERROR(__xludf.DUMMYFUNCTION("""COMPUTED_VALUE"""),"TERMINAL EXTENSOR WIFI MESH AP5541")</f>
        <v>TERMINAL EXTENSOR WIFI MESH AP5541</v>
      </c>
      <c r="B4462" s="22">
        <f>IFERROR(__xludf.DUMMYFUNCTION("""COMPUTED_VALUE"""),4.1001523E7)</f>
        <v>41001523</v>
      </c>
      <c r="C4462" s="21" t="str">
        <f>IFERROR(__xludf.DUMMYFUNCTION("""COMPUTED_VALUE"""),"B4F267632C4C")</f>
        <v>B4F267632C4C</v>
      </c>
      <c r="D4462" s="21" t="str">
        <f>IFERROR(__xludf.DUMMYFUNCTION("""COMPUTED_VALUE"""),"DIGITEC TECNOLOGIA DIGITAL E REPRES")</f>
        <v>DIGITEC TECNOLOGIA DIGITAL E REPRES</v>
      </c>
      <c r="E4462" s="21">
        <f>IFERROR(__xludf.DUMMYFUNCTION("""COMPUTED_VALUE"""),145359.0)</f>
        <v>145359</v>
      </c>
      <c r="F4462" s="21" t="str">
        <f>IFERROR(__xludf.DUMMYFUNCTION("""COMPUTED_VALUE"""),"INICIALIZADO")</f>
        <v>INICIALIZADO</v>
      </c>
      <c r="G4462" s="23">
        <f>IFERROR(__xludf.DUMMYFUNCTION("""COMPUTED_VALUE"""),45331.77018518519)</f>
        <v>45331.77019</v>
      </c>
      <c r="H4462" s="24" t="str">
        <f>IFERROR(VLOOKUP(B4462,material!A:D,3,0),"")</f>
        <v>WIFI MESH</v>
      </c>
    </row>
    <row r="4463" ht="11.25" customHeight="1">
      <c r="A4463" s="21" t="str">
        <f>IFERROR(__xludf.DUMMYFUNCTION("""COMPUTED_VALUE"""),"TERMINAL EXTENSOR WIFI MESH AP5541")</f>
        <v>TERMINAL EXTENSOR WIFI MESH AP5541</v>
      </c>
      <c r="B4463" s="22">
        <f>IFERROR(__xludf.DUMMYFUNCTION("""COMPUTED_VALUE"""),4.1001523E7)</f>
        <v>41001523</v>
      </c>
      <c r="C4463" s="21" t="str">
        <f>IFERROR(__xludf.DUMMYFUNCTION("""COMPUTED_VALUE"""),"B4F267682626")</f>
        <v>B4F267682626</v>
      </c>
      <c r="D4463" s="21" t="str">
        <f>IFERROR(__xludf.DUMMYFUNCTION("""COMPUTED_VALUE"""),"DIGITEC TECNOLOGIA DIGITAL E REPRES")</f>
        <v>DIGITEC TECNOLOGIA DIGITAL E REPRES</v>
      </c>
      <c r="E4463" s="21">
        <f>IFERROR(__xludf.DUMMYFUNCTION("""COMPUTED_VALUE"""),145359.0)</f>
        <v>145359</v>
      </c>
      <c r="F4463" s="21" t="str">
        <f>IFERROR(__xludf.DUMMYFUNCTION("""COMPUTED_VALUE"""),"INICIALIZADO")</f>
        <v>INICIALIZADO</v>
      </c>
      <c r="G4463" s="23">
        <f>IFERROR(__xludf.DUMMYFUNCTION("""COMPUTED_VALUE"""),45323.69157407407)</f>
        <v>45323.69157</v>
      </c>
      <c r="H4463" s="24" t="str">
        <f>IFERROR(VLOOKUP(B4463,material!A:D,3,0),"")</f>
        <v>WIFI MESH</v>
      </c>
    </row>
    <row r="4464" ht="11.25" customHeight="1">
      <c r="A4464" s="21" t="str">
        <f>IFERROR(__xludf.DUMMYFUNCTION("""COMPUTED_VALUE"""),"TERMINAL EXTENSOR WIFI MESH AP5541")</f>
        <v>TERMINAL EXTENSOR WIFI MESH AP5541</v>
      </c>
      <c r="B4464" s="22">
        <f>IFERROR(__xludf.DUMMYFUNCTION("""COMPUTED_VALUE"""),4.1001523E7)</f>
        <v>41001523</v>
      </c>
      <c r="C4464" s="21" t="str">
        <f>IFERROR(__xludf.DUMMYFUNCTION("""COMPUTED_VALUE"""),"B4F267632BFE")</f>
        <v>B4F267632BFE</v>
      </c>
      <c r="D4464" s="21" t="str">
        <f>IFERROR(__xludf.DUMMYFUNCTION("""COMPUTED_VALUE"""),"DIGITEC TECNOLOGIA DIGITAL E REPRES")</f>
        <v>DIGITEC TECNOLOGIA DIGITAL E REPRES</v>
      </c>
      <c r="E4464" s="21">
        <f>IFERROR(__xludf.DUMMYFUNCTION("""COMPUTED_VALUE"""),145359.0)</f>
        <v>145359</v>
      </c>
      <c r="F4464" s="21" t="str">
        <f>IFERROR(__xludf.DUMMYFUNCTION("""COMPUTED_VALUE"""),"INICIALIZADO")</f>
        <v>INICIALIZADO</v>
      </c>
      <c r="G4464" s="23">
        <f>IFERROR(__xludf.DUMMYFUNCTION("""COMPUTED_VALUE"""),45331.77018518519)</f>
        <v>45331.77019</v>
      </c>
      <c r="H4464" s="24" t="str">
        <f>IFERROR(VLOOKUP(B4464,material!A:D,3,0),"")</f>
        <v>WIFI MESH</v>
      </c>
    </row>
    <row r="4465" ht="11.25" customHeight="1">
      <c r="A4465" s="21" t="str">
        <f>IFERROR(__xludf.DUMMYFUNCTION("""COMPUTED_VALUE"""),"TERMINAL EXTENSOR WIFI MESH AP5541")</f>
        <v>TERMINAL EXTENSOR WIFI MESH AP5541</v>
      </c>
      <c r="B4465" s="22">
        <f>IFERROR(__xludf.DUMMYFUNCTION("""COMPUTED_VALUE"""),4.1001523E7)</f>
        <v>41001523</v>
      </c>
      <c r="C4465" s="21" t="str">
        <f>IFERROR(__xludf.DUMMYFUNCTION("""COMPUTED_VALUE"""),"B4F267632C28")</f>
        <v>B4F267632C28</v>
      </c>
      <c r="D4465" s="21" t="str">
        <f>IFERROR(__xludf.DUMMYFUNCTION("""COMPUTED_VALUE"""),"DIGITEC TECNOLOGIA DIGITAL E REPRES")</f>
        <v>DIGITEC TECNOLOGIA DIGITAL E REPRES</v>
      </c>
      <c r="E4465" s="21">
        <f>IFERROR(__xludf.DUMMYFUNCTION("""COMPUTED_VALUE"""),145359.0)</f>
        <v>145359</v>
      </c>
      <c r="F4465" s="21" t="str">
        <f>IFERROR(__xludf.DUMMYFUNCTION("""COMPUTED_VALUE"""),"INICIALIZADO")</f>
        <v>INICIALIZADO</v>
      </c>
      <c r="G4465" s="23">
        <f>IFERROR(__xludf.DUMMYFUNCTION("""COMPUTED_VALUE"""),45331.77018518519)</f>
        <v>45331.77019</v>
      </c>
      <c r="H4465" s="24" t="str">
        <f>IFERROR(VLOOKUP(B4465,material!A:D,3,0),"")</f>
        <v>WIFI MESH</v>
      </c>
    </row>
    <row r="4466" ht="11.25" customHeight="1">
      <c r="A4466" s="21" t="str">
        <f>IFERROR(__xludf.DUMMYFUNCTION("""COMPUTED_VALUE"""),"TERMINAL EXTENSOR WIFI MESH AP5541")</f>
        <v>TERMINAL EXTENSOR WIFI MESH AP5541</v>
      </c>
      <c r="B4466" s="22">
        <f>IFERROR(__xludf.DUMMYFUNCTION("""COMPUTED_VALUE"""),4.1001523E7)</f>
        <v>41001523</v>
      </c>
      <c r="C4466" s="21" t="str">
        <f>IFERROR(__xludf.DUMMYFUNCTION("""COMPUTED_VALUE"""),"B4F267632A60")</f>
        <v>B4F267632A60</v>
      </c>
      <c r="D4466" s="21" t="str">
        <f>IFERROR(__xludf.DUMMYFUNCTION("""COMPUTED_VALUE"""),"DIGITEC TECNOLOGIA DIGITAL E REPRES")</f>
        <v>DIGITEC TECNOLOGIA DIGITAL E REPRES</v>
      </c>
      <c r="E4466" s="21">
        <f>IFERROR(__xludf.DUMMYFUNCTION("""COMPUTED_VALUE"""),145359.0)</f>
        <v>145359</v>
      </c>
      <c r="F4466" s="21" t="str">
        <f>IFERROR(__xludf.DUMMYFUNCTION("""COMPUTED_VALUE"""),"INICIALIZADO")</f>
        <v>INICIALIZADO</v>
      </c>
      <c r="G4466" s="23">
        <f>IFERROR(__xludf.DUMMYFUNCTION("""COMPUTED_VALUE"""),45331.77019675926)</f>
        <v>45331.7702</v>
      </c>
      <c r="H4466" s="24" t="str">
        <f>IFERROR(VLOOKUP(B4466,material!A:D,3,0),"")</f>
        <v>WIFI MESH</v>
      </c>
    </row>
    <row r="4467" ht="11.25" customHeight="1">
      <c r="A4467" s="21" t="str">
        <f>IFERROR(__xludf.DUMMYFUNCTION("""COMPUTED_VALUE"""),"TERMINAL EXTENSOR WIFI MESH AP5541")</f>
        <v>TERMINAL EXTENSOR WIFI MESH AP5541</v>
      </c>
      <c r="B4467" s="22">
        <f>IFERROR(__xludf.DUMMYFUNCTION("""COMPUTED_VALUE"""),4.1001523E7)</f>
        <v>41001523</v>
      </c>
      <c r="C4467" s="21" t="str">
        <f>IFERROR(__xludf.DUMMYFUNCTION("""COMPUTED_VALUE"""),"6802B8FEAAC0")</f>
        <v>6802B8FEAAC0</v>
      </c>
      <c r="D4467" s="21" t="str">
        <f>IFERROR(__xludf.DUMMYFUNCTION("""COMPUTED_VALUE"""),"DIGITEC TECNOLOGIA DIGITAL E REPRES")</f>
        <v>DIGITEC TECNOLOGIA DIGITAL E REPRES</v>
      </c>
      <c r="E4467" s="21">
        <f>IFERROR(__xludf.DUMMYFUNCTION("""COMPUTED_VALUE"""),145359.0)</f>
        <v>145359</v>
      </c>
      <c r="F4467" s="21" t="str">
        <f>IFERROR(__xludf.DUMMYFUNCTION("""COMPUTED_VALUE"""),"INICIALIZADO")</f>
        <v>INICIALIZADO</v>
      </c>
      <c r="G4467" s="23">
        <f>IFERROR(__xludf.DUMMYFUNCTION("""COMPUTED_VALUE"""),44999.92973379629)</f>
        <v>44999.92973</v>
      </c>
      <c r="H4467" s="24" t="str">
        <f>IFERROR(VLOOKUP(B4467,material!A:D,3,0),"")</f>
        <v>WIFI MESH</v>
      </c>
    </row>
    <row r="4468" ht="11.25" customHeight="1">
      <c r="A4468" s="21" t="str">
        <f>IFERROR(__xludf.DUMMYFUNCTION("""COMPUTED_VALUE"""),"TERMINAL EXTENSOR WIFI MESH AP5541")</f>
        <v>TERMINAL EXTENSOR WIFI MESH AP5541</v>
      </c>
      <c r="B4468" s="22">
        <f>IFERROR(__xludf.DUMMYFUNCTION("""COMPUTED_VALUE"""),4.1001523E7)</f>
        <v>41001523</v>
      </c>
      <c r="C4468" s="21" t="str">
        <f>IFERROR(__xludf.DUMMYFUNCTION("""COMPUTED_VALUE"""),"6802B8FEAB29")</f>
        <v>6802B8FEAB29</v>
      </c>
      <c r="D4468" s="21" t="str">
        <f>IFERROR(__xludf.DUMMYFUNCTION("""COMPUTED_VALUE"""),"DIGITEC TECNOLOGIA DIGITAL E REPRES")</f>
        <v>DIGITEC TECNOLOGIA DIGITAL E REPRES</v>
      </c>
      <c r="E4468" s="21">
        <f>IFERROR(__xludf.DUMMYFUNCTION("""COMPUTED_VALUE"""),145359.0)</f>
        <v>145359</v>
      </c>
      <c r="F4468" s="21" t="str">
        <f>IFERROR(__xludf.DUMMYFUNCTION("""COMPUTED_VALUE"""),"INICIALIZADO")</f>
        <v>INICIALIZADO</v>
      </c>
      <c r="G4468" s="23">
        <f>IFERROR(__xludf.DUMMYFUNCTION("""COMPUTED_VALUE"""),44999.92973379629)</f>
        <v>44999.92973</v>
      </c>
      <c r="H4468" s="24" t="str">
        <f>IFERROR(VLOOKUP(B4468,material!A:D,3,0),"")</f>
        <v>WIFI MESH</v>
      </c>
    </row>
    <row r="4469" ht="11.25" customHeight="1">
      <c r="A4469" s="21" t="str">
        <f>IFERROR(__xludf.DUMMYFUNCTION("""COMPUTED_VALUE"""),"TERMINAL EXTENSOR WIFI MESH AP5541")</f>
        <v>TERMINAL EXTENSOR WIFI MESH AP5541</v>
      </c>
      <c r="B4469" s="22">
        <f>IFERROR(__xludf.DUMMYFUNCTION("""COMPUTED_VALUE"""),4.1001523E7)</f>
        <v>41001523</v>
      </c>
      <c r="C4469" s="21" t="str">
        <f>IFERROR(__xludf.DUMMYFUNCTION("""COMPUTED_VALUE"""),"B4F2670D2B63")</f>
        <v>B4F2670D2B63</v>
      </c>
      <c r="D4469" s="21" t="str">
        <f>IFERROR(__xludf.DUMMYFUNCTION("""COMPUTED_VALUE"""),"DIGITEC TECNOLOGIA DIGITAL E REPRES")</f>
        <v>DIGITEC TECNOLOGIA DIGITAL E REPRES</v>
      </c>
      <c r="E4469" s="21">
        <f>IFERROR(__xludf.DUMMYFUNCTION("""COMPUTED_VALUE"""),145359.0)</f>
        <v>145359</v>
      </c>
      <c r="F4469" s="21" t="str">
        <f>IFERROR(__xludf.DUMMYFUNCTION("""COMPUTED_VALUE"""),"INICIALIZADO")</f>
        <v>INICIALIZADO</v>
      </c>
      <c r="G4469" s="23">
        <f>IFERROR(__xludf.DUMMYFUNCTION("""COMPUTED_VALUE"""),45000.78171296296)</f>
        <v>45000.78171</v>
      </c>
      <c r="H4469" s="24" t="str">
        <f>IFERROR(VLOOKUP(B4469,material!A:D,3,0),"")</f>
        <v>WIFI MESH</v>
      </c>
    </row>
    <row r="4470" ht="11.25" customHeight="1">
      <c r="A4470" s="21" t="str">
        <f>IFERROR(__xludf.DUMMYFUNCTION("""COMPUTED_VALUE"""),"TERMINAL EXTENSOR WIFI MESH AP5541")</f>
        <v>TERMINAL EXTENSOR WIFI MESH AP5541</v>
      </c>
      <c r="B4470" s="22">
        <f>IFERROR(__xludf.DUMMYFUNCTION("""COMPUTED_VALUE"""),4.1001523E7)</f>
        <v>41001523</v>
      </c>
      <c r="C4470" s="21" t="str">
        <f>IFERROR(__xludf.DUMMYFUNCTION("""COMPUTED_VALUE"""),"B4F267560D0F")</f>
        <v>B4F267560D0F</v>
      </c>
      <c r="D4470" s="21" t="str">
        <f>IFERROR(__xludf.DUMMYFUNCTION("""COMPUTED_VALUE"""),"DIGITEC TECNOLOGIA DIGITAL E REPRES")</f>
        <v>DIGITEC TECNOLOGIA DIGITAL E REPRES</v>
      </c>
      <c r="E4470" s="21">
        <f>IFERROR(__xludf.DUMMYFUNCTION("""COMPUTED_VALUE"""),145359.0)</f>
        <v>145359</v>
      </c>
      <c r="F4470" s="21" t="str">
        <f>IFERROR(__xludf.DUMMYFUNCTION("""COMPUTED_VALUE"""),"INICIALIZADO")</f>
        <v>INICIALIZADO</v>
      </c>
      <c r="G4470" s="23">
        <f>IFERROR(__xludf.DUMMYFUNCTION("""COMPUTED_VALUE"""),44998.65745370371)</f>
        <v>44998.65745</v>
      </c>
      <c r="H4470" s="24" t="str">
        <f>IFERROR(VLOOKUP(B4470,material!A:D,3,0),"")</f>
        <v>WIFI MESH</v>
      </c>
    </row>
    <row r="4471" ht="11.25" customHeight="1">
      <c r="A4471" s="21" t="str">
        <f>IFERROR(__xludf.DUMMYFUNCTION("""COMPUTED_VALUE"""),"TERMINAL EXTENSOR WIFI MESH AP5541")</f>
        <v>TERMINAL EXTENSOR WIFI MESH AP5541</v>
      </c>
      <c r="B4471" s="22">
        <f>IFERROR(__xludf.DUMMYFUNCTION("""COMPUTED_VALUE"""),4.1001523E7)</f>
        <v>41001523</v>
      </c>
      <c r="C4471" s="21" t="str">
        <f>IFERROR(__xludf.DUMMYFUNCTION("""COMPUTED_VALUE"""),"B4F267560E7D")</f>
        <v>B4F267560E7D</v>
      </c>
      <c r="D4471" s="21" t="str">
        <f>IFERROR(__xludf.DUMMYFUNCTION("""COMPUTED_VALUE"""),"DIGITEC TECNOLOGIA DIGITAL E REPRES")</f>
        <v>DIGITEC TECNOLOGIA DIGITAL E REPRES</v>
      </c>
      <c r="E4471" s="21">
        <f>IFERROR(__xludf.DUMMYFUNCTION("""COMPUTED_VALUE"""),145359.0)</f>
        <v>145359</v>
      </c>
      <c r="F4471" s="21" t="str">
        <f>IFERROR(__xludf.DUMMYFUNCTION("""COMPUTED_VALUE"""),"INICIALIZADO")</f>
        <v>INICIALIZADO</v>
      </c>
      <c r="G4471" s="23">
        <f>IFERROR(__xludf.DUMMYFUNCTION("""COMPUTED_VALUE"""),44998.657442129625)</f>
        <v>44998.65744</v>
      </c>
      <c r="H4471" s="24" t="str">
        <f>IFERROR(VLOOKUP(B4471,material!A:D,3,0),"")</f>
        <v>WIFI MESH</v>
      </c>
    </row>
    <row r="4472" ht="11.25" customHeight="1">
      <c r="A4472" s="21" t="str">
        <f>IFERROR(__xludf.DUMMYFUNCTION("""COMPUTED_VALUE"""),"TERMINAL EXTENSOR WIFI MESH AP5541")</f>
        <v>TERMINAL EXTENSOR WIFI MESH AP5541</v>
      </c>
      <c r="B4472" s="22">
        <f>IFERROR(__xludf.DUMMYFUNCTION("""COMPUTED_VALUE"""),4.1001523E7)</f>
        <v>41001523</v>
      </c>
      <c r="C4472" s="21" t="str">
        <f>IFERROR(__xludf.DUMMYFUNCTION("""COMPUTED_VALUE"""),"B4F267511DE7")</f>
        <v>B4F267511DE7</v>
      </c>
      <c r="D4472" s="21" t="str">
        <f>IFERROR(__xludf.DUMMYFUNCTION("""COMPUTED_VALUE"""),"DIGITEC TECNOLOGIA DIGITAL E REPRES")</f>
        <v>DIGITEC TECNOLOGIA DIGITAL E REPRES</v>
      </c>
      <c r="E4472" s="21">
        <f>IFERROR(__xludf.DUMMYFUNCTION("""COMPUTED_VALUE"""),145359.0)</f>
        <v>145359</v>
      </c>
      <c r="F4472" s="21" t="str">
        <f>IFERROR(__xludf.DUMMYFUNCTION("""COMPUTED_VALUE"""),"INICIALIZADO")</f>
        <v>INICIALIZADO</v>
      </c>
      <c r="G4472" s="23">
        <f>IFERROR(__xludf.DUMMYFUNCTION("""COMPUTED_VALUE"""),45106.5985300926)</f>
        <v>45106.59853</v>
      </c>
      <c r="H4472" s="24" t="str">
        <f>IFERROR(VLOOKUP(B4472,material!A:D,3,0),"")</f>
        <v>WIFI MESH</v>
      </c>
    </row>
    <row r="4473" ht="11.25" customHeight="1">
      <c r="A4473" s="21" t="str">
        <f>IFERROR(__xludf.DUMMYFUNCTION("""COMPUTED_VALUE"""),"ROTEADOR ZTE WIFI5 ZXHN H196A MESH BCO")</f>
        <v>ROTEADOR ZTE WIFI5 ZXHN H196A MESH BCO</v>
      </c>
      <c r="B4473" s="22">
        <f>IFERROR(__xludf.DUMMYFUNCTION("""COMPUTED_VALUE"""),4.1001536E7)</f>
        <v>41001536</v>
      </c>
      <c r="C4473" s="21" t="str">
        <f>IFERROR(__xludf.DUMMYFUNCTION("""COMPUTED_VALUE"""),"6877DA59A38B")</f>
        <v>6877DA59A38B</v>
      </c>
      <c r="D4473" s="21" t="str">
        <f>IFERROR(__xludf.DUMMYFUNCTION("""COMPUTED_VALUE"""),"DIGITEC TECNOLOGIA DIGITAL E REPRES")</f>
        <v>DIGITEC TECNOLOGIA DIGITAL E REPRES</v>
      </c>
      <c r="E4473" s="21">
        <f>IFERROR(__xludf.DUMMYFUNCTION("""COMPUTED_VALUE"""),145359.0)</f>
        <v>145359</v>
      </c>
      <c r="F4473" s="21" t="str">
        <f>IFERROR(__xludf.DUMMYFUNCTION("""COMPUTED_VALUE"""),"INICIALIZADO")</f>
        <v>INICIALIZADO</v>
      </c>
      <c r="G4473" s="23">
        <f>IFERROR(__xludf.DUMMYFUNCTION("""COMPUTED_VALUE"""),45415.46543981481)</f>
        <v>45415.46544</v>
      </c>
      <c r="H4473" s="24" t="str">
        <f>IFERROR(VLOOKUP(B4473,material!A:D,3,0),"")</f>
        <v>WIFI MESH</v>
      </c>
    </row>
    <row r="4474" ht="11.25" customHeight="1">
      <c r="A4474" s="21" t="str">
        <f>IFERROR(__xludf.DUMMYFUNCTION("""COMPUTED_VALUE"""),"ROTEADOR ZTE WIFI5 ZXHN H196A MESH BCO")</f>
        <v>ROTEADOR ZTE WIFI5 ZXHN H196A MESH BCO</v>
      </c>
      <c r="B4474" s="22">
        <f>IFERROR(__xludf.DUMMYFUNCTION("""COMPUTED_VALUE"""),4.1001536E7)</f>
        <v>41001536</v>
      </c>
      <c r="C4474" s="21" t="str">
        <f>IFERROR(__xludf.DUMMYFUNCTION("""COMPUTED_VALUE"""),"6877DA59D45F")</f>
        <v>6877DA59D45F</v>
      </c>
      <c r="D4474" s="21" t="str">
        <f>IFERROR(__xludf.DUMMYFUNCTION("""COMPUTED_VALUE"""),"DIGITEC TECNOLOGIA DIGITAL E REPRES")</f>
        <v>DIGITEC TECNOLOGIA DIGITAL E REPRES</v>
      </c>
      <c r="E4474" s="21">
        <f>IFERROR(__xludf.DUMMYFUNCTION("""COMPUTED_VALUE"""),145359.0)</f>
        <v>145359</v>
      </c>
      <c r="F4474" s="21" t="str">
        <f>IFERROR(__xludf.DUMMYFUNCTION("""COMPUTED_VALUE"""),"INICIALIZADO")</f>
        <v>INICIALIZADO</v>
      </c>
      <c r="G4474" s="23">
        <f>IFERROR(__xludf.DUMMYFUNCTION("""COMPUTED_VALUE"""),45415.46545138889)</f>
        <v>45415.46545</v>
      </c>
      <c r="H4474" s="24" t="str">
        <f>IFERROR(VLOOKUP(B4474,material!A:D,3,0),"")</f>
        <v>WIFI MESH</v>
      </c>
    </row>
    <row r="4475" ht="11.25" customHeight="1">
      <c r="A4475" s="21" t="str">
        <f>IFERROR(__xludf.DUMMYFUNCTION("""COMPUTED_VALUE"""),"ROTEADOR ZTE WIFI5 ZXHN H196A MESH BCO")</f>
        <v>ROTEADOR ZTE WIFI5 ZXHN H196A MESH BCO</v>
      </c>
      <c r="B4475" s="22">
        <f>IFERROR(__xludf.DUMMYFUNCTION("""COMPUTED_VALUE"""),4.1001536E7)</f>
        <v>41001536</v>
      </c>
      <c r="C4475" s="21" t="str">
        <f>IFERROR(__xludf.DUMMYFUNCTION("""COMPUTED_VALUE"""),"E0B66809BAD8")</f>
        <v>E0B66809BAD8</v>
      </c>
      <c r="D4475" s="21" t="str">
        <f>IFERROR(__xludf.DUMMYFUNCTION("""COMPUTED_VALUE"""),"DIGITEC TECNOLOGIA DIGITAL E REPRES")</f>
        <v>DIGITEC TECNOLOGIA DIGITAL E REPRES</v>
      </c>
      <c r="E4475" s="21">
        <f>IFERROR(__xludf.DUMMYFUNCTION("""COMPUTED_VALUE"""),145359.0)</f>
        <v>145359</v>
      </c>
      <c r="F4475" s="21" t="str">
        <f>IFERROR(__xludf.DUMMYFUNCTION("""COMPUTED_VALUE"""),"INICIALIZADO")</f>
        <v>INICIALIZADO</v>
      </c>
      <c r="G4475" s="23">
        <f>IFERROR(__xludf.DUMMYFUNCTION("""COMPUTED_VALUE"""),45296.684537037036)</f>
        <v>45296.68454</v>
      </c>
      <c r="H4475" s="24" t="str">
        <f>IFERROR(VLOOKUP(B4475,material!A:D,3,0),"")</f>
        <v>WIFI MESH</v>
      </c>
    </row>
    <row r="4476" ht="11.25" customHeight="1">
      <c r="A4476" s="21" t="str">
        <f>IFERROR(__xludf.DUMMYFUNCTION("""COMPUTED_VALUE"""),"ROTEADOR ZTE WIFI5 ZXHN H196A MESH BCO")</f>
        <v>ROTEADOR ZTE WIFI5 ZXHN H196A MESH BCO</v>
      </c>
      <c r="B4476" s="22">
        <f>IFERROR(__xludf.DUMMYFUNCTION("""COMPUTED_VALUE"""),4.1001536E7)</f>
        <v>41001536</v>
      </c>
      <c r="C4476" s="21" t="str">
        <f>IFERROR(__xludf.DUMMYFUNCTION("""COMPUTED_VALUE"""),"CC29BDEBFF21")</f>
        <v>CC29BDEBFF21</v>
      </c>
      <c r="D4476" s="21" t="str">
        <f>IFERROR(__xludf.DUMMYFUNCTION("""COMPUTED_VALUE"""),"DIGITEC TECNOLOGIA DIGITAL E REPRES")</f>
        <v>DIGITEC TECNOLOGIA DIGITAL E REPRES</v>
      </c>
      <c r="E4476" s="21">
        <f>IFERROR(__xludf.DUMMYFUNCTION("""COMPUTED_VALUE"""),145359.0)</f>
        <v>145359</v>
      </c>
      <c r="F4476" s="21" t="str">
        <f>IFERROR(__xludf.DUMMYFUNCTION("""COMPUTED_VALUE"""),"INICIALIZADO")</f>
        <v>INICIALIZADO</v>
      </c>
      <c r="G4476" s="23">
        <f>IFERROR(__xludf.DUMMYFUNCTION("""COMPUTED_VALUE"""),45296.68451388889)</f>
        <v>45296.68451</v>
      </c>
      <c r="H4476" s="24" t="str">
        <f>IFERROR(VLOOKUP(B4476,material!A:D,3,0),"")</f>
        <v>WIFI MESH</v>
      </c>
    </row>
    <row r="4477" ht="11.25" customHeight="1">
      <c r="A4477" s="21" t="str">
        <f>IFERROR(__xludf.DUMMYFUNCTION("""COMPUTED_VALUE"""),"ROTEADOR ZTE WIFI5 ZXHN H196A MESH BCO")</f>
        <v>ROTEADOR ZTE WIFI5 ZXHN H196A MESH BCO</v>
      </c>
      <c r="B4477" s="22">
        <f>IFERROR(__xludf.DUMMYFUNCTION("""COMPUTED_VALUE"""),4.1001536E7)</f>
        <v>41001536</v>
      </c>
      <c r="C4477" s="21" t="str">
        <f>IFERROR(__xludf.DUMMYFUNCTION("""COMPUTED_VALUE"""),"CC29BDEBF5FD")</f>
        <v>CC29BDEBF5FD</v>
      </c>
      <c r="D4477" s="21" t="str">
        <f>IFERROR(__xludf.DUMMYFUNCTION("""COMPUTED_VALUE"""),"DIGITEC TECNOLOGIA DIGITAL E REPRES")</f>
        <v>DIGITEC TECNOLOGIA DIGITAL E REPRES</v>
      </c>
      <c r="E4477" s="21">
        <f>IFERROR(__xludf.DUMMYFUNCTION("""COMPUTED_VALUE"""),145359.0)</f>
        <v>145359</v>
      </c>
      <c r="F4477" s="21" t="str">
        <f>IFERROR(__xludf.DUMMYFUNCTION("""COMPUTED_VALUE"""),"INICIALIZADO")</f>
        <v>INICIALIZADO</v>
      </c>
      <c r="G4477" s="23">
        <f>IFERROR(__xludf.DUMMYFUNCTION("""COMPUTED_VALUE"""),45296.68451388889)</f>
        <v>45296.68451</v>
      </c>
      <c r="H4477" s="24" t="str">
        <f>IFERROR(VLOOKUP(B4477,material!A:D,3,0),"")</f>
        <v>WIFI MESH</v>
      </c>
    </row>
    <row r="4478" ht="11.25" customHeight="1">
      <c r="A4478" s="21" t="str">
        <f>IFERROR(__xludf.DUMMYFUNCTION("""COMPUTED_VALUE"""),"ROTEADOR ZTE WIFI5 ZXHN H196A MESH BCO")</f>
        <v>ROTEADOR ZTE WIFI5 ZXHN H196A MESH BCO</v>
      </c>
      <c r="B4478" s="22">
        <f>IFERROR(__xludf.DUMMYFUNCTION("""COMPUTED_VALUE"""),4.1001536E7)</f>
        <v>41001536</v>
      </c>
      <c r="C4478" s="21" t="str">
        <f>IFERROR(__xludf.DUMMYFUNCTION("""COMPUTED_VALUE"""),"CC29BDEC25DD")</f>
        <v>CC29BDEC25DD</v>
      </c>
      <c r="D4478" s="21" t="str">
        <f>IFERROR(__xludf.DUMMYFUNCTION("""COMPUTED_VALUE"""),"DIGITEC TECNOLOGIA DIGITAL E REPRES")</f>
        <v>DIGITEC TECNOLOGIA DIGITAL E REPRES</v>
      </c>
      <c r="E4478" s="21">
        <f>IFERROR(__xludf.DUMMYFUNCTION("""COMPUTED_VALUE"""),145359.0)</f>
        <v>145359</v>
      </c>
      <c r="F4478" s="21" t="str">
        <f>IFERROR(__xludf.DUMMYFUNCTION("""COMPUTED_VALUE"""),"INICIALIZADO")</f>
        <v>INICIALIZADO</v>
      </c>
      <c r="G4478" s="23">
        <f>IFERROR(__xludf.DUMMYFUNCTION("""COMPUTED_VALUE"""),45296.68451388889)</f>
        <v>45296.68451</v>
      </c>
      <c r="H4478" s="24" t="str">
        <f>IFERROR(VLOOKUP(B4478,material!A:D,3,0),"")</f>
        <v>WIFI MESH</v>
      </c>
    </row>
    <row r="4479" ht="11.25" customHeight="1">
      <c r="A4479" s="21" t="str">
        <f>IFERROR(__xludf.DUMMYFUNCTION("""COMPUTED_VALUE"""),"ROTEADOR ZTE WIFI5 ZXHN H196A MESH BCO")</f>
        <v>ROTEADOR ZTE WIFI5 ZXHN H196A MESH BCO</v>
      </c>
      <c r="B4479" s="22">
        <f>IFERROR(__xludf.DUMMYFUNCTION("""COMPUTED_VALUE"""),4.1001536E7)</f>
        <v>41001536</v>
      </c>
      <c r="C4479" s="21" t="str">
        <f>IFERROR(__xludf.DUMMYFUNCTION("""COMPUTED_VALUE"""),"CC29BDEBDD05")</f>
        <v>CC29BDEBDD05</v>
      </c>
      <c r="D4479" s="21" t="str">
        <f>IFERROR(__xludf.DUMMYFUNCTION("""COMPUTED_VALUE"""),"DIGITEC TECNOLOGIA DIGITAL E REPRES")</f>
        <v>DIGITEC TECNOLOGIA DIGITAL E REPRES</v>
      </c>
      <c r="E4479" s="21">
        <f>IFERROR(__xludf.DUMMYFUNCTION("""COMPUTED_VALUE"""),145359.0)</f>
        <v>145359</v>
      </c>
      <c r="F4479" s="21" t="str">
        <f>IFERROR(__xludf.DUMMYFUNCTION("""COMPUTED_VALUE"""),"INICIALIZADO")</f>
        <v>INICIALIZADO</v>
      </c>
      <c r="G4479" s="23">
        <f>IFERROR(__xludf.DUMMYFUNCTION("""COMPUTED_VALUE"""),45296.68450231482)</f>
        <v>45296.6845</v>
      </c>
      <c r="H4479" s="24" t="str">
        <f>IFERROR(VLOOKUP(B4479,material!A:D,3,0),"")</f>
        <v>WIFI MESH</v>
      </c>
    </row>
    <row r="4480" ht="11.25" customHeight="1">
      <c r="A4480" s="21" t="str">
        <f>IFERROR(__xludf.DUMMYFUNCTION("""COMPUTED_VALUE"""),"ROTEADOR ZTE WIFI5 ZXHN H196A MESH BCO")</f>
        <v>ROTEADOR ZTE WIFI5 ZXHN H196A MESH BCO</v>
      </c>
      <c r="B4480" s="22">
        <f>IFERROR(__xludf.DUMMYFUNCTION("""COMPUTED_VALUE"""),4.1001536E7)</f>
        <v>41001536</v>
      </c>
      <c r="C4480" s="21" t="str">
        <f>IFERROR(__xludf.DUMMYFUNCTION("""COMPUTED_VALUE"""),"802D1A20435C")</f>
        <v>802D1A20435C</v>
      </c>
      <c r="D4480" s="21" t="str">
        <f>IFERROR(__xludf.DUMMYFUNCTION("""COMPUTED_VALUE"""),"DIGITEC TECNOLOGIA DIGITAL E REPRES")</f>
        <v>DIGITEC TECNOLOGIA DIGITAL E REPRES</v>
      </c>
      <c r="E4480" s="21">
        <f>IFERROR(__xludf.DUMMYFUNCTION("""COMPUTED_VALUE"""),145359.0)</f>
        <v>145359</v>
      </c>
      <c r="F4480" s="21" t="str">
        <f>IFERROR(__xludf.DUMMYFUNCTION("""COMPUTED_VALUE"""),"INICIALIZADO")</f>
        <v>INICIALIZADO</v>
      </c>
      <c r="G4480" s="23">
        <f>IFERROR(__xludf.DUMMYFUNCTION("""COMPUTED_VALUE"""),45642.52415509259)</f>
        <v>45642.52416</v>
      </c>
      <c r="H4480" s="24" t="str">
        <f>IFERROR(VLOOKUP(B4480,material!A:D,3,0),"")</f>
        <v>WIFI MESH</v>
      </c>
    </row>
    <row r="4481" ht="11.25" customHeight="1">
      <c r="A4481" s="21" t="str">
        <f>IFERROR(__xludf.DUMMYFUNCTION("""COMPUTED_VALUE"""),"ROTEADOR ZTE WIFI5 ZXHN H196A MESH BCO")</f>
        <v>ROTEADOR ZTE WIFI5 ZXHN H196A MESH BCO</v>
      </c>
      <c r="B4481" s="22">
        <f>IFERROR(__xludf.DUMMYFUNCTION("""COMPUTED_VALUE"""),4.1001536E7)</f>
        <v>41001536</v>
      </c>
      <c r="C4481" s="21" t="str">
        <f>IFERROR(__xludf.DUMMYFUNCTION("""COMPUTED_VALUE"""),"802D1A20433C")</f>
        <v>802D1A20433C</v>
      </c>
      <c r="D4481" s="21" t="str">
        <f>IFERROR(__xludf.DUMMYFUNCTION("""COMPUTED_VALUE"""),"DIGITEC TECNOLOGIA DIGITAL E REPRES")</f>
        <v>DIGITEC TECNOLOGIA DIGITAL E REPRES</v>
      </c>
      <c r="E4481" s="21">
        <f>IFERROR(__xludf.DUMMYFUNCTION("""COMPUTED_VALUE"""),145359.0)</f>
        <v>145359</v>
      </c>
      <c r="F4481" s="21" t="str">
        <f>IFERROR(__xludf.DUMMYFUNCTION("""COMPUTED_VALUE"""),"INICIALIZADO")</f>
        <v>INICIALIZADO</v>
      </c>
      <c r="G4481" s="23">
        <f>IFERROR(__xludf.DUMMYFUNCTION("""COMPUTED_VALUE"""),45642.52415509259)</f>
        <v>45642.52416</v>
      </c>
      <c r="H4481" s="24" t="str">
        <f>IFERROR(VLOOKUP(B4481,material!A:D,3,0),"")</f>
        <v>WIFI MESH</v>
      </c>
    </row>
    <row r="4482" ht="11.25" customHeight="1">
      <c r="A4482" s="21" t="str">
        <f>IFERROR(__xludf.DUMMYFUNCTION("""COMPUTED_VALUE"""),"ROTEADOR ZTE WIFI5 ZXHN H196A MESH BCO")</f>
        <v>ROTEADOR ZTE WIFI5 ZXHN H196A MESH BCO</v>
      </c>
      <c r="B4482" s="22">
        <f>IFERROR(__xludf.DUMMYFUNCTION("""COMPUTED_VALUE"""),4.1001536E7)</f>
        <v>41001536</v>
      </c>
      <c r="C4482" s="21" t="str">
        <f>IFERROR(__xludf.DUMMYFUNCTION("""COMPUTED_VALUE"""),"802D1A2043DC")</f>
        <v>802D1A2043DC</v>
      </c>
      <c r="D4482" s="21" t="str">
        <f>IFERROR(__xludf.DUMMYFUNCTION("""COMPUTED_VALUE"""),"DIGITEC TECNOLOGIA DIGITAL E REPRES")</f>
        <v>DIGITEC TECNOLOGIA DIGITAL E REPRES</v>
      </c>
      <c r="E4482" s="21">
        <f>IFERROR(__xludf.DUMMYFUNCTION("""COMPUTED_VALUE"""),145359.0)</f>
        <v>145359</v>
      </c>
      <c r="F4482" s="21" t="str">
        <f>IFERROR(__xludf.DUMMYFUNCTION("""COMPUTED_VALUE"""),"INICIALIZADO")</f>
        <v>INICIALIZADO</v>
      </c>
      <c r="G4482" s="23">
        <f>IFERROR(__xludf.DUMMYFUNCTION("""COMPUTED_VALUE"""),45642.52415509259)</f>
        <v>45642.52416</v>
      </c>
      <c r="H4482" s="24" t="str">
        <f>IFERROR(VLOOKUP(B4482,material!A:D,3,0),"")</f>
        <v>WIFI MESH</v>
      </c>
    </row>
    <row r="4483" ht="11.25" customHeight="1">
      <c r="A4483" s="21" t="str">
        <f>IFERROR(__xludf.DUMMYFUNCTION("""COMPUTED_VALUE"""),"ROTEADOR ZTE WIFI5 ZXHN H196A MESH BCO")</f>
        <v>ROTEADOR ZTE WIFI5 ZXHN H196A MESH BCO</v>
      </c>
      <c r="B4483" s="22">
        <f>IFERROR(__xludf.DUMMYFUNCTION("""COMPUTED_VALUE"""),4.1001536E7)</f>
        <v>41001536</v>
      </c>
      <c r="C4483" s="21" t="str">
        <f>IFERROR(__xludf.DUMMYFUNCTION("""COMPUTED_VALUE"""),"802D1A2043AC")</f>
        <v>802D1A2043AC</v>
      </c>
      <c r="D4483" s="21" t="str">
        <f>IFERROR(__xludf.DUMMYFUNCTION("""COMPUTED_VALUE"""),"DIGITEC TECNOLOGIA DIGITAL E REPRES")</f>
        <v>DIGITEC TECNOLOGIA DIGITAL E REPRES</v>
      </c>
      <c r="E4483" s="21">
        <f>IFERROR(__xludf.DUMMYFUNCTION("""COMPUTED_VALUE"""),145359.0)</f>
        <v>145359</v>
      </c>
      <c r="F4483" s="21" t="str">
        <f>IFERROR(__xludf.DUMMYFUNCTION("""COMPUTED_VALUE"""),"INICIALIZADO")</f>
        <v>INICIALIZADO</v>
      </c>
      <c r="G4483" s="23">
        <f>IFERROR(__xludf.DUMMYFUNCTION("""COMPUTED_VALUE"""),45642.52415509259)</f>
        <v>45642.52416</v>
      </c>
      <c r="H4483" s="24" t="str">
        <f>IFERROR(VLOOKUP(B4483,material!A:D,3,0),"")</f>
        <v>WIFI MESH</v>
      </c>
    </row>
    <row r="4484" ht="11.25" customHeight="1">
      <c r="A4484" s="21" t="str">
        <f>IFERROR(__xludf.DUMMYFUNCTION("""COMPUTED_VALUE"""),"ROTEADOR ZTE WIFI5 ZXHN H196A MESH BCO")</f>
        <v>ROTEADOR ZTE WIFI5 ZXHN H196A MESH BCO</v>
      </c>
      <c r="B4484" s="22">
        <f>IFERROR(__xludf.DUMMYFUNCTION("""COMPUTED_VALUE"""),4.1001536E7)</f>
        <v>41001536</v>
      </c>
      <c r="C4484" s="21" t="str">
        <f>IFERROR(__xludf.DUMMYFUNCTION("""COMPUTED_VALUE"""),"802D1A20431C")</f>
        <v>802D1A20431C</v>
      </c>
      <c r="D4484" s="21" t="str">
        <f>IFERROR(__xludf.DUMMYFUNCTION("""COMPUTED_VALUE"""),"DIGITEC TECNOLOGIA DIGITAL E REPRES")</f>
        <v>DIGITEC TECNOLOGIA DIGITAL E REPRES</v>
      </c>
      <c r="E4484" s="21">
        <f>IFERROR(__xludf.DUMMYFUNCTION("""COMPUTED_VALUE"""),145359.0)</f>
        <v>145359</v>
      </c>
      <c r="F4484" s="21" t="str">
        <f>IFERROR(__xludf.DUMMYFUNCTION("""COMPUTED_VALUE"""),"INICIALIZADO")</f>
        <v>INICIALIZADO</v>
      </c>
      <c r="G4484" s="23">
        <f>IFERROR(__xludf.DUMMYFUNCTION("""COMPUTED_VALUE"""),45642.52415509259)</f>
        <v>45642.52416</v>
      </c>
      <c r="H4484" s="24" t="str">
        <f>IFERROR(VLOOKUP(B4484,material!A:D,3,0),"")</f>
        <v>WIFI MESH</v>
      </c>
    </row>
    <row r="4485" ht="11.25" customHeight="1">
      <c r="A4485" s="21" t="str">
        <f>IFERROR(__xludf.DUMMYFUNCTION("""COMPUTED_VALUE"""),"ROTEADOR ZTE WIFI5 ZXHN H196A MESH BCO")</f>
        <v>ROTEADOR ZTE WIFI5 ZXHN H196A MESH BCO</v>
      </c>
      <c r="B4485" s="22">
        <f>IFERROR(__xludf.DUMMYFUNCTION("""COMPUTED_VALUE"""),4.1001536E7)</f>
        <v>41001536</v>
      </c>
      <c r="C4485" s="21" t="str">
        <f>IFERROR(__xludf.DUMMYFUNCTION("""COMPUTED_VALUE"""),"802D1A2043E0")</f>
        <v>802D1A2043E0</v>
      </c>
      <c r="D4485" s="21" t="str">
        <f>IFERROR(__xludf.DUMMYFUNCTION("""COMPUTED_VALUE"""),"DIGITEC TECNOLOGIA DIGITAL E REPRES")</f>
        <v>DIGITEC TECNOLOGIA DIGITAL E REPRES</v>
      </c>
      <c r="E4485" s="21">
        <f>IFERROR(__xludf.DUMMYFUNCTION("""COMPUTED_VALUE"""),145359.0)</f>
        <v>145359</v>
      </c>
      <c r="F4485" s="21" t="str">
        <f>IFERROR(__xludf.DUMMYFUNCTION("""COMPUTED_VALUE"""),"INICIALIZADO")</f>
        <v>INICIALIZADO</v>
      </c>
      <c r="G4485" s="23">
        <f>IFERROR(__xludf.DUMMYFUNCTION("""COMPUTED_VALUE"""),45642.52415509259)</f>
        <v>45642.52416</v>
      </c>
      <c r="H4485" s="24" t="str">
        <f>IFERROR(VLOOKUP(B4485,material!A:D,3,0),"")</f>
        <v>WIFI MESH</v>
      </c>
    </row>
    <row r="4486" ht="11.25" customHeight="1">
      <c r="A4486" s="21" t="str">
        <f>IFERROR(__xludf.DUMMYFUNCTION("""COMPUTED_VALUE"""),"ROTEADOR ZTE WIFI5 ZXHN H196A MESH BCO")</f>
        <v>ROTEADOR ZTE WIFI5 ZXHN H196A MESH BCO</v>
      </c>
      <c r="B4486" s="22">
        <f>IFERROR(__xludf.DUMMYFUNCTION("""COMPUTED_VALUE"""),4.1001536E7)</f>
        <v>41001536</v>
      </c>
      <c r="C4486" s="21" t="str">
        <f>IFERROR(__xludf.DUMMYFUNCTION("""COMPUTED_VALUE"""),"802D1A2043BC")</f>
        <v>802D1A2043BC</v>
      </c>
      <c r="D4486" s="21" t="str">
        <f>IFERROR(__xludf.DUMMYFUNCTION("""COMPUTED_VALUE"""),"DIGITEC TECNOLOGIA DIGITAL E REPRES")</f>
        <v>DIGITEC TECNOLOGIA DIGITAL E REPRES</v>
      </c>
      <c r="E4486" s="21">
        <f>IFERROR(__xludf.DUMMYFUNCTION("""COMPUTED_VALUE"""),145359.0)</f>
        <v>145359</v>
      </c>
      <c r="F4486" s="21" t="str">
        <f>IFERROR(__xludf.DUMMYFUNCTION("""COMPUTED_VALUE"""),"INICIALIZADO")</f>
        <v>INICIALIZADO</v>
      </c>
      <c r="G4486" s="23">
        <f>IFERROR(__xludf.DUMMYFUNCTION("""COMPUTED_VALUE"""),45642.52415509259)</f>
        <v>45642.52416</v>
      </c>
      <c r="H4486" s="24" t="str">
        <f>IFERROR(VLOOKUP(B4486,material!A:D,3,0),"")</f>
        <v>WIFI MESH</v>
      </c>
    </row>
    <row r="4487" ht="11.25" customHeight="1">
      <c r="A4487" s="21" t="str">
        <f>IFERROR(__xludf.DUMMYFUNCTION("""COMPUTED_VALUE"""),"ROTEADOR ZTE WIFI5 ZXHN H196A MESH BCO")</f>
        <v>ROTEADOR ZTE WIFI5 ZXHN H196A MESH BCO</v>
      </c>
      <c r="B4487" s="22">
        <f>IFERROR(__xludf.DUMMYFUNCTION("""COMPUTED_VALUE"""),4.1001536E7)</f>
        <v>41001536</v>
      </c>
      <c r="C4487" s="21" t="str">
        <f>IFERROR(__xludf.DUMMYFUNCTION("""COMPUTED_VALUE"""),"802D1A2042FC")</f>
        <v>802D1A2042FC</v>
      </c>
      <c r="D4487" s="21" t="str">
        <f>IFERROR(__xludf.DUMMYFUNCTION("""COMPUTED_VALUE"""),"DIGITEC TECNOLOGIA DIGITAL E REPRES")</f>
        <v>DIGITEC TECNOLOGIA DIGITAL E REPRES</v>
      </c>
      <c r="E4487" s="21">
        <f>IFERROR(__xludf.DUMMYFUNCTION("""COMPUTED_VALUE"""),145359.0)</f>
        <v>145359</v>
      </c>
      <c r="F4487" s="21" t="str">
        <f>IFERROR(__xludf.DUMMYFUNCTION("""COMPUTED_VALUE"""),"INICIALIZADO")</f>
        <v>INICIALIZADO</v>
      </c>
      <c r="G4487" s="23">
        <f>IFERROR(__xludf.DUMMYFUNCTION("""COMPUTED_VALUE"""),45642.52415509259)</f>
        <v>45642.52416</v>
      </c>
      <c r="H4487" s="24" t="str">
        <f>IFERROR(VLOOKUP(B4487,material!A:D,3,0),"")</f>
        <v>WIFI MESH</v>
      </c>
    </row>
    <row r="4488" ht="11.25" customHeight="1">
      <c r="A4488" s="21" t="str">
        <f>IFERROR(__xludf.DUMMYFUNCTION("""COMPUTED_VALUE"""),"ROTEADOR ZTE WIFI5 ZXHN H196A MESH BCO")</f>
        <v>ROTEADOR ZTE WIFI5 ZXHN H196A MESH BCO</v>
      </c>
      <c r="B4488" s="22">
        <f>IFERROR(__xludf.DUMMYFUNCTION("""COMPUTED_VALUE"""),4.1001536E7)</f>
        <v>41001536</v>
      </c>
      <c r="C4488" s="21" t="str">
        <f>IFERROR(__xludf.DUMMYFUNCTION("""COMPUTED_VALUE"""),"802D1A204210")</f>
        <v>802D1A204210</v>
      </c>
      <c r="D4488" s="21" t="str">
        <f>IFERROR(__xludf.DUMMYFUNCTION("""COMPUTED_VALUE"""),"DIGITEC TECNOLOGIA DIGITAL E REPRES")</f>
        <v>DIGITEC TECNOLOGIA DIGITAL E REPRES</v>
      </c>
      <c r="E4488" s="21">
        <f>IFERROR(__xludf.DUMMYFUNCTION("""COMPUTED_VALUE"""),145359.0)</f>
        <v>145359</v>
      </c>
      <c r="F4488" s="21" t="str">
        <f>IFERROR(__xludf.DUMMYFUNCTION("""COMPUTED_VALUE"""),"INICIALIZADO")</f>
        <v>INICIALIZADO</v>
      </c>
      <c r="G4488" s="23">
        <f>IFERROR(__xludf.DUMMYFUNCTION("""COMPUTED_VALUE"""),45642.52415509259)</f>
        <v>45642.52416</v>
      </c>
      <c r="H4488" s="24" t="str">
        <f>IFERROR(VLOOKUP(B4488,material!A:D,3,0),"")</f>
        <v>WIFI MESH</v>
      </c>
    </row>
    <row r="4489" ht="11.25" customHeight="1">
      <c r="A4489" s="21" t="str">
        <f>IFERROR(__xludf.DUMMYFUNCTION("""COMPUTED_VALUE"""),"ROTEADOR ZTE WIFI5 ZXHN H196A MESH BCO")</f>
        <v>ROTEADOR ZTE WIFI5 ZXHN H196A MESH BCO</v>
      </c>
      <c r="B4489" s="22">
        <f>IFERROR(__xludf.DUMMYFUNCTION("""COMPUTED_VALUE"""),4.1001536E7)</f>
        <v>41001536</v>
      </c>
      <c r="C4489" s="21" t="str">
        <f>IFERROR(__xludf.DUMMYFUNCTION("""COMPUTED_VALUE"""),"802D1A2041B8")</f>
        <v>802D1A2041B8</v>
      </c>
      <c r="D4489" s="21" t="str">
        <f>IFERROR(__xludf.DUMMYFUNCTION("""COMPUTED_VALUE"""),"DIGITEC TECNOLOGIA DIGITAL E REPRES")</f>
        <v>DIGITEC TECNOLOGIA DIGITAL E REPRES</v>
      </c>
      <c r="E4489" s="21">
        <f>IFERROR(__xludf.DUMMYFUNCTION("""COMPUTED_VALUE"""),145359.0)</f>
        <v>145359</v>
      </c>
      <c r="F4489" s="21" t="str">
        <f>IFERROR(__xludf.DUMMYFUNCTION("""COMPUTED_VALUE"""),"INICIALIZADO")</f>
        <v>INICIALIZADO</v>
      </c>
      <c r="G4489" s="23">
        <f>IFERROR(__xludf.DUMMYFUNCTION("""COMPUTED_VALUE"""),45642.52415509259)</f>
        <v>45642.52416</v>
      </c>
      <c r="H4489" s="24" t="str">
        <f>IFERROR(VLOOKUP(B4489,material!A:D,3,0),"")</f>
        <v>WIFI MESH</v>
      </c>
    </row>
    <row r="4490" ht="11.25" customHeight="1">
      <c r="A4490" s="21" t="str">
        <f>IFERROR(__xludf.DUMMYFUNCTION("""COMPUTED_VALUE"""),"ROTEADOR ZTE WIFI5 ZXHN H196A MESH BCO")</f>
        <v>ROTEADOR ZTE WIFI5 ZXHN H196A MESH BCO</v>
      </c>
      <c r="B4490" s="22">
        <f>IFERROR(__xludf.DUMMYFUNCTION("""COMPUTED_VALUE"""),4.1001536E7)</f>
        <v>41001536</v>
      </c>
      <c r="C4490" s="21" t="str">
        <f>IFERROR(__xludf.DUMMYFUNCTION("""COMPUTED_VALUE"""),"802D1A20437C")</f>
        <v>802D1A20437C</v>
      </c>
      <c r="D4490" s="21" t="str">
        <f>IFERROR(__xludf.DUMMYFUNCTION("""COMPUTED_VALUE"""),"DIGITEC TECNOLOGIA DIGITAL E REPRES")</f>
        <v>DIGITEC TECNOLOGIA DIGITAL E REPRES</v>
      </c>
      <c r="E4490" s="21">
        <f>IFERROR(__xludf.DUMMYFUNCTION("""COMPUTED_VALUE"""),145359.0)</f>
        <v>145359</v>
      </c>
      <c r="F4490" s="21" t="str">
        <f>IFERROR(__xludf.DUMMYFUNCTION("""COMPUTED_VALUE"""),"INICIALIZADO")</f>
        <v>INICIALIZADO</v>
      </c>
      <c r="G4490" s="23">
        <f>IFERROR(__xludf.DUMMYFUNCTION("""COMPUTED_VALUE"""),45642.52415509259)</f>
        <v>45642.52416</v>
      </c>
      <c r="H4490" s="24" t="str">
        <f>IFERROR(VLOOKUP(B4490,material!A:D,3,0),"")</f>
        <v>WIFI MESH</v>
      </c>
    </row>
    <row r="4491" ht="11.25" customHeight="1">
      <c r="A4491" s="21" t="str">
        <f>IFERROR(__xludf.DUMMYFUNCTION("""COMPUTED_VALUE"""),"ROTEADOR ZTE WIFI5 ZXHN H196A MESH BCO")</f>
        <v>ROTEADOR ZTE WIFI5 ZXHN H196A MESH BCO</v>
      </c>
      <c r="B4491" s="22">
        <f>IFERROR(__xludf.DUMMYFUNCTION("""COMPUTED_VALUE"""),4.1001536E7)</f>
        <v>41001536</v>
      </c>
      <c r="C4491" s="21" t="str">
        <f>IFERROR(__xludf.DUMMYFUNCTION("""COMPUTED_VALUE"""),"802D1A2042EC")</f>
        <v>802D1A2042EC</v>
      </c>
      <c r="D4491" s="21" t="str">
        <f>IFERROR(__xludf.DUMMYFUNCTION("""COMPUTED_VALUE"""),"DIGITEC TECNOLOGIA DIGITAL E REPRES")</f>
        <v>DIGITEC TECNOLOGIA DIGITAL E REPRES</v>
      </c>
      <c r="E4491" s="21">
        <f>IFERROR(__xludf.DUMMYFUNCTION("""COMPUTED_VALUE"""),145359.0)</f>
        <v>145359</v>
      </c>
      <c r="F4491" s="21" t="str">
        <f>IFERROR(__xludf.DUMMYFUNCTION("""COMPUTED_VALUE"""),"INICIALIZADO")</f>
        <v>INICIALIZADO</v>
      </c>
      <c r="G4491" s="23">
        <f>IFERROR(__xludf.DUMMYFUNCTION("""COMPUTED_VALUE"""),45642.52415509259)</f>
        <v>45642.52416</v>
      </c>
      <c r="H4491" s="24" t="str">
        <f>IFERROR(VLOOKUP(B4491,material!A:D,3,0),"")</f>
        <v>WIFI MESH</v>
      </c>
    </row>
    <row r="4492" ht="11.25" customHeight="1">
      <c r="A4492" s="21" t="str">
        <f>IFERROR(__xludf.DUMMYFUNCTION("""COMPUTED_VALUE"""),"ROTEADOR ZTE WIFI5 ZXHN H196A MESH BCO")</f>
        <v>ROTEADOR ZTE WIFI5 ZXHN H196A MESH BCO</v>
      </c>
      <c r="B4492" s="22">
        <f>IFERROR(__xludf.DUMMYFUNCTION("""COMPUTED_VALUE"""),4.1001536E7)</f>
        <v>41001536</v>
      </c>
      <c r="C4492" s="21" t="str">
        <f>IFERROR(__xludf.DUMMYFUNCTION("""COMPUTED_VALUE"""),"802D1A204384")</f>
        <v>802D1A204384</v>
      </c>
      <c r="D4492" s="21" t="str">
        <f>IFERROR(__xludf.DUMMYFUNCTION("""COMPUTED_VALUE"""),"DIGITEC TECNOLOGIA DIGITAL E REPRES")</f>
        <v>DIGITEC TECNOLOGIA DIGITAL E REPRES</v>
      </c>
      <c r="E4492" s="21">
        <f>IFERROR(__xludf.DUMMYFUNCTION("""COMPUTED_VALUE"""),145359.0)</f>
        <v>145359</v>
      </c>
      <c r="F4492" s="21" t="str">
        <f>IFERROR(__xludf.DUMMYFUNCTION("""COMPUTED_VALUE"""),"INICIALIZADO")</f>
        <v>INICIALIZADO</v>
      </c>
      <c r="G4492" s="23">
        <f>IFERROR(__xludf.DUMMYFUNCTION("""COMPUTED_VALUE"""),45642.52415509259)</f>
        <v>45642.52416</v>
      </c>
      <c r="H4492" s="24" t="str">
        <f>IFERROR(VLOOKUP(B4492,material!A:D,3,0),"")</f>
        <v>WIFI MESH</v>
      </c>
    </row>
    <row r="4493" ht="11.25" customHeight="1">
      <c r="A4493" s="21" t="str">
        <f>IFERROR(__xludf.DUMMYFUNCTION("""COMPUTED_VALUE"""),"ROTEADOR ZTE WIFI5 ZXHN H196A MESH BCO")</f>
        <v>ROTEADOR ZTE WIFI5 ZXHN H196A MESH BCO</v>
      </c>
      <c r="B4493" s="22">
        <f>IFERROR(__xludf.DUMMYFUNCTION("""COMPUTED_VALUE"""),4.1001536E7)</f>
        <v>41001536</v>
      </c>
      <c r="C4493" s="21" t="str">
        <f>IFERROR(__xludf.DUMMYFUNCTION("""COMPUTED_VALUE"""),"802D1A204320")</f>
        <v>802D1A204320</v>
      </c>
      <c r="D4493" s="21" t="str">
        <f>IFERROR(__xludf.DUMMYFUNCTION("""COMPUTED_VALUE"""),"DIGITEC TECNOLOGIA DIGITAL E REPRES")</f>
        <v>DIGITEC TECNOLOGIA DIGITAL E REPRES</v>
      </c>
      <c r="E4493" s="21">
        <f>IFERROR(__xludf.DUMMYFUNCTION("""COMPUTED_VALUE"""),145359.0)</f>
        <v>145359</v>
      </c>
      <c r="F4493" s="21" t="str">
        <f>IFERROR(__xludf.DUMMYFUNCTION("""COMPUTED_VALUE"""),"INICIALIZADO")</f>
        <v>INICIALIZADO</v>
      </c>
      <c r="G4493" s="23">
        <f>IFERROR(__xludf.DUMMYFUNCTION("""COMPUTED_VALUE"""),45642.52415509259)</f>
        <v>45642.52416</v>
      </c>
      <c r="H4493" s="24" t="str">
        <f>IFERROR(VLOOKUP(B4493,material!A:D,3,0),"")</f>
        <v>WIFI MESH</v>
      </c>
    </row>
    <row r="4494" ht="11.25" customHeight="1">
      <c r="A4494" s="21" t="str">
        <f>IFERROR(__xludf.DUMMYFUNCTION("""COMPUTED_VALUE"""),"ROTEADOR ZTE WIFI5 ZXHN H196A MESH BCO")</f>
        <v>ROTEADOR ZTE WIFI5 ZXHN H196A MESH BCO</v>
      </c>
      <c r="B4494" s="22">
        <f>IFERROR(__xludf.DUMMYFUNCTION("""COMPUTED_VALUE"""),4.1001536E7)</f>
        <v>41001536</v>
      </c>
      <c r="C4494" s="21" t="str">
        <f>IFERROR(__xludf.DUMMYFUNCTION("""COMPUTED_VALUE"""),"802D1A20414C")</f>
        <v>802D1A20414C</v>
      </c>
      <c r="D4494" s="21" t="str">
        <f>IFERROR(__xludf.DUMMYFUNCTION("""COMPUTED_VALUE"""),"DIGITEC TECNOLOGIA DIGITAL E REPRES")</f>
        <v>DIGITEC TECNOLOGIA DIGITAL E REPRES</v>
      </c>
      <c r="E4494" s="21">
        <f>IFERROR(__xludf.DUMMYFUNCTION("""COMPUTED_VALUE"""),145359.0)</f>
        <v>145359</v>
      </c>
      <c r="F4494" s="21" t="str">
        <f>IFERROR(__xludf.DUMMYFUNCTION("""COMPUTED_VALUE"""),"INICIALIZADO")</f>
        <v>INICIALIZADO</v>
      </c>
      <c r="G4494" s="23">
        <f>IFERROR(__xludf.DUMMYFUNCTION("""COMPUTED_VALUE"""),45642.52415509259)</f>
        <v>45642.52416</v>
      </c>
      <c r="H4494" s="24" t="str">
        <f>IFERROR(VLOOKUP(B4494,material!A:D,3,0),"")</f>
        <v>WIFI MESH</v>
      </c>
    </row>
    <row r="4495" ht="11.25" customHeight="1">
      <c r="A4495" s="21" t="str">
        <f>IFERROR(__xludf.DUMMYFUNCTION("""COMPUTED_VALUE"""),"ROTEADOR ZTE WIFI5 ZXHN H196A MESH BCO")</f>
        <v>ROTEADOR ZTE WIFI5 ZXHN H196A MESH BCO</v>
      </c>
      <c r="B4495" s="22">
        <f>IFERROR(__xludf.DUMMYFUNCTION("""COMPUTED_VALUE"""),4.1001536E7)</f>
        <v>41001536</v>
      </c>
      <c r="C4495" s="21" t="str">
        <f>IFERROR(__xludf.DUMMYFUNCTION("""COMPUTED_VALUE"""),"6877DA62C96B")</f>
        <v>6877DA62C96B</v>
      </c>
      <c r="D4495" s="21" t="str">
        <f>IFERROR(__xludf.DUMMYFUNCTION("""COMPUTED_VALUE"""),"DIGITEC TECNOLOGIA DIGITAL E REPRES")</f>
        <v>DIGITEC TECNOLOGIA DIGITAL E REPRES</v>
      </c>
      <c r="E4495" s="21">
        <f>IFERROR(__xludf.DUMMYFUNCTION("""COMPUTED_VALUE"""),145359.0)</f>
        <v>145359</v>
      </c>
      <c r="F4495" s="21" t="str">
        <f>IFERROR(__xludf.DUMMYFUNCTION("""COMPUTED_VALUE"""),"INICIALIZADO")</f>
        <v>INICIALIZADO</v>
      </c>
      <c r="G4495" s="23">
        <f>IFERROR(__xludf.DUMMYFUNCTION("""COMPUTED_VALUE"""),45593.48557870371)</f>
        <v>45593.48558</v>
      </c>
      <c r="H4495" s="24" t="str">
        <f>IFERROR(VLOOKUP(B4495,material!A:D,3,0),"")</f>
        <v>WIFI MESH</v>
      </c>
    </row>
    <row r="4496" ht="11.25" customHeight="1">
      <c r="A4496" s="21" t="str">
        <f>IFERROR(__xludf.DUMMYFUNCTION("""COMPUTED_VALUE"""),"ROTEADOR ZTE WIFI5 ZXHN H196A MESH BCO")</f>
        <v>ROTEADOR ZTE WIFI5 ZXHN H196A MESH BCO</v>
      </c>
      <c r="B4496" s="22">
        <f>IFERROR(__xludf.DUMMYFUNCTION("""COMPUTED_VALUE"""),4.1001536E7)</f>
        <v>41001536</v>
      </c>
      <c r="C4496" s="21" t="str">
        <f>IFERROR(__xludf.DUMMYFUNCTION("""COMPUTED_VALUE"""),"6877DA62C977")</f>
        <v>6877DA62C977</v>
      </c>
      <c r="D4496" s="21" t="str">
        <f>IFERROR(__xludf.DUMMYFUNCTION("""COMPUTED_VALUE"""),"DIGITEC TECNOLOGIA DIGITAL E REPRES")</f>
        <v>DIGITEC TECNOLOGIA DIGITAL E REPRES</v>
      </c>
      <c r="E4496" s="21">
        <f>IFERROR(__xludf.DUMMYFUNCTION("""COMPUTED_VALUE"""),145359.0)</f>
        <v>145359</v>
      </c>
      <c r="F4496" s="21" t="str">
        <f>IFERROR(__xludf.DUMMYFUNCTION("""COMPUTED_VALUE"""),"INICIALIZADO")</f>
        <v>INICIALIZADO</v>
      </c>
      <c r="G4496" s="23">
        <f>IFERROR(__xludf.DUMMYFUNCTION("""COMPUTED_VALUE"""),45593.48557870371)</f>
        <v>45593.48558</v>
      </c>
      <c r="H4496" s="24" t="str">
        <f>IFERROR(VLOOKUP(B4496,material!A:D,3,0),"")</f>
        <v>WIFI MESH</v>
      </c>
    </row>
    <row r="4497" ht="11.25" customHeight="1">
      <c r="A4497" s="21" t="str">
        <f>IFERROR(__xludf.DUMMYFUNCTION("""COMPUTED_VALUE"""),"ROTEADOR ZTE WIFI5 ZXHN H196A MESH BCO")</f>
        <v>ROTEADOR ZTE WIFI5 ZXHN H196A MESH BCO</v>
      </c>
      <c r="B4497" s="22">
        <f>IFERROR(__xludf.DUMMYFUNCTION("""COMPUTED_VALUE"""),4.1001536E7)</f>
        <v>41001536</v>
      </c>
      <c r="C4497" s="21" t="str">
        <f>IFERROR(__xludf.DUMMYFUNCTION("""COMPUTED_VALUE"""),"802D1A204398")</f>
        <v>802D1A204398</v>
      </c>
      <c r="D4497" s="21" t="str">
        <f>IFERROR(__xludf.DUMMYFUNCTION("""COMPUTED_VALUE"""),"DIGITEC TECNOLOGIA DIGITAL E REPRES")</f>
        <v>DIGITEC TECNOLOGIA DIGITAL E REPRES</v>
      </c>
      <c r="E4497" s="21">
        <f>IFERROR(__xludf.DUMMYFUNCTION("""COMPUTED_VALUE"""),145359.0)</f>
        <v>145359</v>
      </c>
      <c r="F4497" s="21" t="str">
        <f>IFERROR(__xludf.DUMMYFUNCTION("""COMPUTED_VALUE"""),"INICIALIZADO")</f>
        <v>INICIALIZADO</v>
      </c>
      <c r="G4497" s="23">
        <f>IFERROR(__xludf.DUMMYFUNCTION("""COMPUTED_VALUE"""),45642.52415509259)</f>
        <v>45642.52416</v>
      </c>
      <c r="H4497" s="24" t="str">
        <f>IFERROR(VLOOKUP(B4497,material!A:D,3,0),"")</f>
        <v>WIFI MESH</v>
      </c>
    </row>
    <row r="4498" ht="11.25" customHeight="1">
      <c r="A4498" s="21" t="str">
        <f>IFERROR(__xludf.DUMMYFUNCTION("""COMPUTED_VALUE"""),"ROTEADOR ZTE WIFI5 ZXHN H196A MESH BCO")</f>
        <v>ROTEADOR ZTE WIFI5 ZXHN H196A MESH BCO</v>
      </c>
      <c r="B4498" s="22">
        <f>IFERROR(__xludf.DUMMYFUNCTION("""COMPUTED_VALUE"""),4.1001536E7)</f>
        <v>41001536</v>
      </c>
      <c r="C4498" s="21" t="str">
        <f>IFERROR(__xludf.DUMMYFUNCTION("""COMPUTED_VALUE"""),"802D1A204360")</f>
        <v>802D1A204360</v>
      </c>
      <c r="D4498" s="21" t="str">
        <f>IFERROR(__xludf.DUMMYFUNCTION("""COMPUTED_VALUE"""),"DIGITEC TECNOLOGIA DIGITAL E REPRES")</f>
        <v>DIGITEC TECNOLOGIA DIGITAL E REPRES</v>
      </c>
      <c r="E4498" s="21">
        <f>IFERROR(__xludf.DUMMYFUNCTION("""COMPUTED_VALUE"""),145359.0)</f>
        <v>145359</v>
      </c>
      <c r="F4498" s="21" t="str">
        <f>IFERROR(__xludf.DUMMYFUNCTION("""COMPUTED_VALUE"""),"INICIALIZADO")</f>
        <v>INICIALIZADO</v>
      </c>
      <c r="G4498" s="23">
        <f>IFERROR(__xludf.DUMMYFUNCTION("""COMPUTED_VALUE"""),45642.52415509259)</f>
        <v>45642.52416</v>
      </c>
      <c r="H4498" s="24" t="str">
        <f>IFERROR(VLOOKUP(B4498,material!A:D,3,0),"")</f>
        <v>WIFI MESH</v>
      </c>
    </row>
    <row r="4499" ht="11.25" customHeight="1">
      <c r="A4499" s="21" t="str">
        <f>IFERROR(__xludf.DUMMYFUNCTION("""COMPUTED_VALUE"""),"ROTEADOR ZTE WIFI5 ZXHN H196A MESH BCO")</f>
        <v>ROTEADOR ZTE WIFI5 ZXHN H196A MESH BCO</v>
      </c>
      <c r="B4499" s="22">
        <f>IFERROR(__xludf.DUMMYFUNCTION("""COMPUTED_VALUE"""),4.1001536E7)</f>
        <v>41001536</v>
      </c>
      <c r="C4499" s="21" t="str">
        <f>IFERROR(__xludf.DUMMYFUNCTION("""COMPUTED_VALUE"""),"802D1A204330")</f>
        <v>802D1A204330</v>
      </c>
      <c r="D4499" s="21" t="str">
        <f>IFERROR(__xludf.DUMMYFUNCTION("""COMPUTED_VALUE"""),"DIGITEC TECNOLOGIA DIGITAL E REPRES")</f>
        <v>DIGITEC TECNOLOGIA DIGITAL E REPRES</v>
      </c>
      <c r="E4499" s="21">
        <f>IFERROR(__xludf.DUMMYFUNCTION("""COMPUTED_VALUE"""),145359.0)</f>
        <v>145359</v>
      </c>
      <c r="F4499" s="21" t="str">
        <f>IFERROR(__xludf.DUMMYFUNCTION("""COMPUTED_VALUE"""),"INICIALIZADO")</f>
        <v>INICIALIZADO</v>
      </c>
      <c r="G4499" s="23">
        <f>IFERROR(__xludf.DUMMYFUNCTION("""COMPUTED_VALUE"""),45642.52415509259)</f>
        <v>45642.52416</v>
      </c>
      <c r="H4499" s="24" t="str">
        <f>IFERROR(VLOOKUP(B4499,material!A:D,3,0),"")</f>
        <v>WIFI MESH</v>
      </c>
    </row>
    <row r="4500" ht="11.25" customHeight="1">
      <c r="A4500" s="21" t="str">
        <f>IFERROR(__xludf.DUMMYFUNCTION("""COMPUTED_VALUE"""),"ROTEADOR ZTE WIFI5 ZXHN H196A MESH BCO")</f>
        <v>ROTEADOR ZTE WIFI5 ZXHN H196A MESH BCO</v>
      </c>
      <c r="B4500" s="22">
        <f>IFERROR(__xludf.DUMMYFUNCTION("""COMPUTED_VALUE"""),4.1001536E7)</f>
        <v>41001536</v>
      </c>
      <c r="C4500" s="21" t="str">
        <f>IFERROR(__xludf.DUMMYFUNCTION("""COMPUTED_VALUE"""),"802D1A204300")</f>
        <v>802D1A204300</v>
      </c>
      <c r="D4500" s="21" t="str">
        <f>IFERROR(__xludf.DUMMYFUNCTION("""COMPUTED_VALUE"""),"DIGITEC TECNOLOGIA DIGITAL E REPRES")</f>
        <v>DIGITEC TECNOLOGIA DIGITAL E REPRES</v>
      </c>
      <c r="E4500" s="21">
        <f>IFERROR(__xludf.DUMMYFUNCTION("""COMPUTED_VALUE"""),145359.0)</f>
        <v>145359</v>
      </c>
      <c r="F4500" s="21" t="str">
        <f>IFERROR(__xludf.DUMMYFUNCTION("""COMPUTED_VALUE"""),"INICIALIZADO")</f>
        <v>INICIALIZADO</v>
      </c>
      <c r="G4500" s="23">
        <f>IFERROR(__xludf.DUMMYFUNCTION("""COMPUTED_VALUE"""),45642.52415509259)</f>
        <v>45642.52416</v>
      </c>
      <c r="H4500" s="24" t="str">
        <f>IFERROR(VLOOKUP(B4500,material!A:D,3,0),"")</f>
        <v>WIFI MESH</v>
      </c>
    </row>
    <row r="4501" ht="11.25" customHeight="1">
      <c r="A4501" s="21" t="str">
        <f>IFERROR(__xludf.DUMMYFUNCTION("""COMPUTED_VALUE"""),"ROTEADOR ZTE WIFI5 ZXHN H196A MESH BCO")</f>
        <v>ROTEADOR ZTE WIFI5 ZXHN H196A MESH BCO</v>
      </c>
      <c r="B4501" s="22">
        <f>IFERROR(__xludf.DUMMYFUNCTION("""COMPUTED_VALUE"""),4.1001536E7)</f>
        <v>41001536</v>
      </c>
      <c r="C4501" s="21" t="str">
        <f>IFERROR(__xludf.DUMMYFUNCTION("""COMPUTED_VALUE"""),"802D1A204234")</f>
        <v>802D1A204234</v>
      </c>
      <c r="D4501" s="21" t="str">
        <f>IFERROR(__xludf.DUMMYFUNCTION("""COMPUTED_VALUE"""),"DIGITEC TECNOLOGIA DIGITAL E REPRES")</f>
        <v>DIGITEC TECNOLOGIA DIGITAL E REPRES</v>
      </c>
      <c r="E4501" s="21">
        <f>IFERROR(__xludf.DUMMYFUNCTION("""COMPUTED_VALUE"""),145359.0)</f>
        <v>145359</v>
      </c>
      <c r="F4501" s="21" t="str">
        <f>IFERROR(__xludf.DUMMYFUNCTION("""COMPUTED_VALUE"""),"INICIALIZADO")</f>
        <v>INICIALIZADO</v>
      </c>
      <c r="G4501" s="23">
        <f>IFERROR(__xludf.DUMMYFUNCTION("""COMPUTED_VALUE"""),45642.52415509259)</f>
        <v>45642.52416</v>
      </c>
      <c r="H4501" s="24" t="str">
        <f>IFERROR(VLOOKUP(B4501,material!A:D,3,0),"")</f>
        <v>WIFI MESH</v>
      </c>
    </row>
    <row r="4502" ht="11.25" customHeight="1">
      <c r="A4502" s="21" t="str">
        <f>IFERROR(__xludf.DUMMYFUNCTION("""COMPUTED_VALUE"""),"ROTEADOR ZTE WIFI5 ZXHN H196A MESH BCO")</f>
        <v>ROTEADOR ZTE WIFI5 ZXHN H196A MESH BCO</v>
      </c>
      <c r="B4502" s="22">
        <f>IFERROR(__xludf.DUMMYFUNCTION("""COMPUTED_VALUE"""),4.1001536E7)</f>
        <v>41001536</v>
      </c>
      <c r="C4502" s="21" t="str">
        <f>IFERROR(__xludf.DUMMYFUNCTION("""COMPUTED_VALUE"""),"802D1A01080C")</f>
        <v>802D1A01080C</v>
      </c>
      <c r="D4502" s="21" t="str">
        <f>IFERROR(__xludf.DUMMYFUNCTION("""COMPUTED_VALUE"""),"DIGITEC TECNOLOGIA DIGITAL E REPRES")</f>
        <v>DIGITEC TECNOLOGIA DIGITAL E REPRES</v>
      </c>
      <c r="E4502" s="21">
        <f>IFERROR(__xludf.DUMMYFUNCTION("""COMPUTED_VALUE"""),145359.0)</f>
        <v>145359</v>
      </c>
      <c r="F4502" s="21" t="str">
        <f>IFERROR(__xludf.DUMMYFUNCTION("""COMPUTED_VALUE"""),"INICIALIZADO")</f>
        <v>INICIALIZADO</v>
      </c>
      <c r="G4502" s="23">
        <f>IFERROR(__xludf.DUMMYFUNCTION("""COMPUTED_VALUE"""),45567.434166666666)</f>
        <v>45567.43417</v>
      </c>
      <c r="H4502" s="24" t="str">
        <f>IFERROR(VLOOKUP(B4502,material!A:D,3,0),"")</f>
        <v>WIFI MESH</v>
      </c>
    </row>
    <row r="4503" ht="11.25" customHeight="1">
      <c r="A4503" s="21" t="str">
        <f>IFERROR(__xludf.DUMMYFUNCTION("""COMPUTED_VALUE"""),"ROTEADOR ZTE WIFI5 ZXHN H196A MESH BCO")</f>
        <v>ROTEADOR ZTE WIFI5 ZXHN H196A MESH BCO</v>
      </c>
      <c r="B4503" s="22">
        <f>IFERROR(__xludf.DUMMYFUNCTION("""COMPUTED_VALUE"""),4.1001536E7)</f>
        <v>41001536</v>
      </c>
      <c r="C4503" s="21" t="str">
        <f>IFERROR(__xludf.DUMMYFUNCTION("""COMPUTED_VALUE"""),"802D1A0107EC")</f>
        <v>802D1A0107EC</v>
      </c>
      <c r="D4503" s="21" t="str">
        <f>IFERROR(__xludf.DUMMYFUNCTION("""COMPUTED_VALUE"""),"DIGITEC TECNOLOGIA DIGITAL E REPRES")</f>
        <v>DIGITEC TECNOLOGIA DIGITAL E REPRES</v>
      </c>
      <c r="E4503" s="21">
        <f>IFERROR(__xludf.DUMMYFUNCTION("""COMPUTED_VALUE"""),145359.0)</f>
        <v>145359</v>
      </c>
      <c r="F4503" s="21" t="str">
        <f>IFERROR(__xludf.DUMMYFUNCTION("""COMPUTED_VALUE"""),"INICIALIZADO")</f>
        <v>INICIALIZADO</v>
      </c>
      <c r="G4503" s="23">
        <f>IFERROR(__xludf.DUMMYFUNCTION("""COMPUTED_VALUE"""),45567.434166666666)</f>
        <v>45567.43417</v>
      </c>
      <c r="H4503" s="24" t="str">
        <f>IFERROR(VLOOKUP(B4503,material!A:D,3,0),"")</f>
        <v>WIFI MESH</v>
      </c>
    </row>
    <row r="4504" ht="11.25" customHeight="1">
      <c r="A4504" s="21" t="str">
        <f>IFERROR(__xludf.DUMMYFUNCTION("""COMPUTED_VALUE"""),"ROTEADOR ZTE WIFI5 ZXHN H196A MESH BCO")</f>
        <v>ROTEADOR ZTE WIFI5 ZXHN H196A MESH BCO</v>
      </c>
      <c r="B4504" s="22">
        <f>IFERROR(__xludf.DUMMYFUNCTION("""COMPUTED_VALUE"""),4.1001536E7)</f>
        <v>41001536</v>
      </c>
      <c r="C4504" s="21" t="str">
        <f>IFERROR(__xludf.DUMMYFUNCTION("""COMPUTED_VALUE"""),"802D1A0107F4")</f>
        <v>802D1A0107F4</v>
      </c>
      <c r="D4504" s="21" t="str">
        <f>IFERROR(__xludf.DUMMYFUNCTION("""COMPUTED_VALUE"""),"DIGITEC TECNOLOGIA DIGITAL E REPRES")</f>
        <v>DIGITEC TECNOLOGIA DIGITAL E REPRES</v>
      </c>
      <c r="E4504" s="21">
        <f>IFERROR(__xludf.DUMMYFUNCTION("""COMPUTED_VALUE"""),145359.0)</f>
        <v>145359</v>
      </c>
      <c r="F4504" s="21" t="str">
        <f>IFERROR(__xludf.DUMMYFUNCTION("""COMPUTED_VALUE"""),"INICIALIZADO")</f>
        <v>INICIALIZADO</v>
      </c>
      <c r="G4504" s="23">
        <f>IFERROR(__xludf.DUMMYFUNCTION("""COMPUTED_VALUE"""),45567.434166666666)</f>
        <v>45567.43417</v>
      </c>
      <c r="H4504" s="24" t="str">
        <f>IFERROR(VLOOKUP(B4504,material!A:D,3,0),"")</f>
        <v>WIFI MESH</v>
      </c>
    </row>
    <row r="4505" ht="11.25" customHeight="1">
      <c r="A4505" s="21" t="str">
        <f>IFERROR(__xludf.DUMMYFUNCTION("""COMPUTED_VALUE"""),"ROTEADOR ZTE WIFI5 ZXHN H196A MESH BCO")</f>
        <v>ROTEADOR ZTE WIFI5 ZXHN H196A MESH BCO</v>
      </c>
      <c r="B4505" s="22">
        <f>IFERROR(__xludf.DUMMYFUNCTION("""COMPUTED_VALUE"""),4.1001536E7)</f>
        <v>41001536</v>
      </c>
      <c r="C4505" s="21" t="str">
        <f>IFERROR(__xludf.DUMMYFUNCTION("""COMPUTED_VALUE"""),"802D1A0017D0")</f>
        <v>802D1A0017D0</v>
      </c>
      <c r="D4505" s="21" t="str">
        <f>IFERROR(__xludf.DUMMYFUNCTION("""COMPUTED_VALUE"""),"DIGITEC TECNOLOGIA DIGITAL E REPRES")</f>
        <v>DIGITEC TECNOLOGIA DIGITAL E REPRES</v>
      </c>
      <c r="E4505" s="21">
        <f>IFERROR(__xludf.DUMMYFUNCTION("""COMPUTED_VALUE"""),145359.0)</f>
        <v>145359</v>
      </c>
      <c r="F4505" s="21" t="str">
        <f>IFERROR(__xludf.DUMMYFUNCTION("""COMPUTED_VALUE"""),"INICIALIZADO")</f>
        <v>INICIALIZADO</v>
      </c>
      <c r="G4505" s="23">
        <f>IFERROR(__xludf.DUMMYFUNCTION("""COMPUTED_VALUE"""),45593.48557870371)</f>
        <v>45593.48558</v>
      </c>
      <c r="H4505" s="24" t="str">
        <f>IFERROR(VLOOKUP(B4505,material!A:D,3,0),"")</f>
        <v>WIFI MESH</v>
      </c>
    </row>
    <row r="4506" ht="11.25" customHeight="1">
      <c r="A4506" s="21" t="str">
        <f>IFERROR(__xludf.DUMMYFUNCTION("""COMPUTED_VALUE"""),"ROTEADOR ZTE WIFI5 ZXHN H196A MESH BCO")</f>
        <v>ROTEADOR ZTE WIFI5 ZXHN H196A MESH BCO</v>
      </c>
      <c r="B4506" s="22">
        <f>IFERROR(__xludf.DUMMYFUNCTION("""COMPUTED_VALUE"""),4.1001536E7)</f>
        <v>41001536</v>
      </c>
      <c r="C4506" s="21" t="str">
        <f>IFERROR(__xludf.DUMMYFUNCTION("""COMPUTED_VALUE"""),"6877DA62CE47")</f>
        <v>6877DA62CE47</v>
      </c>
      <c r="D4506" s="21" t="str">
        <f>IFERROR(__xludf.DUMMYFUNCTION("""COMPUTED_VALUE"""),"DIGITEC TECNOLOGIA DIGITAL E REPRES")</f>
        <v>DIGITEC TECNOLOGIA DIGITAL E REPRES</v>
      </c>
      <c r="E4506" s="21">
        <f>IFERROR(__xludf.DUMMYFUNCTION("""COMPUTED_VALUE"""),145359.0)</f>
        <v>145359</v>
      </c>
      <c r="F4506" s="21" t="str">
        <f>IFERROR(__xludf.DUMMYFUNCTION("""COMPUTED_VALUE"""),"INICIALIZADO")</f>
        <v>INICIALIZADO</v>
      </c>
      <c r="G4506" s="23">
        <f>IFERROR(__xludf.DUMMYFUNCTION("""COMPUTED_VALUE"""),45593.48557870371)</f>
        <v>45593.48558</v>
      </c>
      <c r="H4506" s="24" t="str">
        <f>IFERROR(VLOOKUP(B4506,material!A:D,3,0),"")</f>
        <v>WIFI MESH</v>
      </c>
    </row>
    <row r="4507" ht="11.25" customHeight="1">
      <c r="A4507" s="21" t="str">
        <f>IFERROR(__xludf.DUMMYFUNCTION("""COMPUTED_VALUE"""),"ROTEADOR ZTE WIFI5 ZXHN H196A MESH BCO")</f>
        <v>ROTEADOR ZTE WIFI5 ZXHN H196A MESH BCO</v>
      </c>
      <c r="B4507" s="22">
        <f>IFERROR(__xludf.DUMMYFUNCTION("""COMPUTED_VALUE"""),4.1001536E7)</f>
        <v>41001536</v>
      </c>
      <c r="C4507" s="21" t="str">
        <f>IFERROR(__xludf.DUMMYFUNCTION("""COMPUTED_VALUE"""),"6877DA62CD67")</f>
        <v>6877DA62CD67</v>
      </c>
      <c r="D4507" s="21" t="str">
        <f>IFERROR(__xludf.DUMMYFUNCTION("""COMPUTED_VALUE"""),"DIGITEC TECNOLOGIA DIGITAL E REPRES")</f>
        <v>DIGITEC TECNOLOGIA DIGITAL E REPRES</v>
      </c>
      <c r="E4507" s="21">
        <f>IFERROR(__xludf.DUMMYFUNCTION("""COMPUTED_VALUE"""),145359.0)</f>
        <v>145359</v>
      </c>
      <c r="F4507" s="21" t="str">
        <f>IFERROR(__xludf.DUMMYFUNCTION("""COMPUTED_VALUE"""),"INICIALIZADO")</f>
        <v>INICIALIZADO</v>
      </c>
      <c r="G4507" s="23">
        <f>IFERROR(__xludf.DUMMYFUNCTION("""COMPUTED_VALUE"""),45593.485567129625)</f>
        <v>45593.48557</v>
      </c>
      <c r="H4507" s="24" t="str">
        <f>IFERROR(VLOOKUP(B4507,material!A:D,3,0),"")</f>
        <v>WIFI MESH</v>
      </c>
    </row>
    <row r="4508" ht="11.25" customHeight="1">
      <c r="A4508" s="21" t="str">
        <f>IFERROR(__xludf.DUMMYFUNCTION("""COMPUTED_VALUE"""),"ROTEADOR ZTE WIFI5 ZXHN H196A MESH BCO")</f>
        <v>ROTEADOR ZTE WIFI5 ZXHN H196A MESH BCO</v>
      </c>
      <c r="B4508" s="22">
        <f>IFERROR(__xludf.DUMMYFUNCTION("""COMPUTED_VALUE"""),4.1001536E7)</f>
        <v>41001536</v>
      </c>
      <c r="C4508" s="21" t="str">
        <f>IFERROR(__xludf.DUMMYFUNCTION("""COMPUTED_VALUE"""),"6877DA62CE0F")</f>
        <v>6877DA62CE0F</v>
      </c>
      <c r="D4508" s="21" t="str">
        <f>IFERROR(__xludf.DUMMYFUNCTION("""COMPUTED_VALUE"""),"DIGITEC TECNOLOGIA DIGITAL E REPRES")</f>
        <v>DIGITEC TECNOLOGIA DIGITAL E REPRES</v>
      </c>
      <c r="E4508" s="21">
        <f>IFERROR(__xludf.DUMMYFUNCTION("""COMPUTED_VALUE"""),145359.0)</f>
        <v>145359</v>
      </c>
      <c r="F4508" s="21" t="str">
        <f>IFERROR(__xludf.DUMMYFUNCTION("""COMPUTED_VALUE"""),"INICIALIZADO")</f>
        <v>INICIALIZADO</v>
      </c>
      <c r="G4508" s="23">
        <f>IFERROR(__xludf.DUMMYFUNCTION("""COMPUTED_VALUE"""),45593.485567129625)</f>
        <v>45593.48557</v>
      </c>
      <c r="H4508" s="24" t="str">
        <f>IFERROR(VLOOKUP(B4508,material!A:D,3,0),"")</f>
        <v>WIFI MESH</v>
      </c>
    </row>
    <row r="4509" ht="11.25" customHeight="1">
      <c r="A4509" s="21" t="str">
        <f>IFERROR(__xludf.DUMMYFUNCTION("""COMPUTED_VALUE"""),"ROTEADOR ZTE WIFI5 ZXHN H196A MESH BCO")</f>
        <v>ROTEADOR ZTE WIFI5 ZXHN H196A MESH BCO</v>
      </c>
      <c r="B4509" s="22">
        <f>IFERROR(__xludf.DUMMYFUNCTION("""COMPUTED_VALUE"""),4.1001536E7)</f>
        <v>41001536</v>
      </c>
      <c r="C4509" s="21" t="str">
        <f>IFERROR(__xludf.DUMMYFUNCTION("""COMPUTED_VALUE"""),"6877DA625F63")</f>
        <v>6877DA625F63</v>
      </c>
      <c r="D4509" s="21" t="str">
        <f>IFERROR(__xludf.DUMMYFUNCTION("""COMPUTED_VALUE"""),"DIGITEC TECNOLOGIA DIGITAL E REPRES")</f>
        <v>DIGITEC TECNOLOGIA DIGITAL E REPRES</v>
      </c>
      <c r="E4509" s="21">
        <f>IFERROR(__xludf.DUMMYFUNCTION("""COMPUTED_VALUE"""),145359.0)</f>
        <v>145359</v>
      </c>
      <c r="F4509" s="21" t="str">
        <f>IFERROR(__xludf.DUMMYFUNCTION("""COMPUTED_VALUE"""),"INICIALIZADO")</f>
        <v>INICIALIZADO</v>
      </c>
      <c r="G4509" s="23">
        <f>IFERROR(__xludf.DUMMYFUNCTION("""COMPUTED_VALUE"""),45593.48559027778)</f>
        <v>45593.48559</v>
      </c>
      <c r="H4509" s="24" t="str">
        <f>IFERROR(VLOOKUP(B4509,material!A:D,3,0),"")</f>
        <v>WIFI MESH</v>
      </c>
    </row>
    <row r="4510" ht="11.25" customHeight="1">
      <c r="A4510" s="21" t="str">
        <f>IFERROR(__xludf.DUMMYFUNCTION("""COMPUTED_VALUE"""),"ROTEADOR ZTE WIFI5 ZXHN H196A MESH BCO")</f>
        <v>ROTEADOR ZTE WIFI5 ZXHN H196A MESH BCO</v>
      </c>
      <c r="B4510" s="22">
        <f>IFERROR(__xludf.DUMMYFUNCTION("""COMPUTED_VALUE"""),4.1001536E7)</f>
        <v>41001536</v>
      </c>
      <c r="C4510" s="21" t="str">
        <f>IFERROR(__xludf.DUMMYFUNCTION("""COMPUTED_VALUE"""),"6877DA625F87")</f>
        <v>6877DA625F87</v>
      </c>
      <c r="D4510" s="21" t="str">
        <f>IFERROR(__xludf.DUMMYFUNCTION("""COMPUTED_VALUE"""),"DIGITEC TECNOLOGIA DIGITAL E REPRES")</f>
        <v>DIGITEC TECNOLOGIA DIGITAL E REPRES</v>
      </c>
      <c r="E4510" s="21">
        <f>IFERROR(__xludf.DUMMYFUNCTION("""COMPUTED_VALUE"""),145359.0)</f>
        <v>145359</v>
      </c>
      <c r="F4510" s="21" t="str">
        <f>IFERROR(__xludf.DUMMYFUNCTION("""COMPUTED_VALUE"""),"INICIALIZADO")</f>
        <v>INICIALIZADO</v>
      </c>
      <c r="G4510" s="23">
        <f>IFERROR(__xludf.DUMMYFUNCTION("""COMPUTED_VALUE"""),45593.48559027778)</f>
        <v>45593.48559</v>
      </c>
      <c r="H4510" s="24" t="str">
        <f>IFERROR(VLOOKUP(B4510,material!A:D,3,0),"")</f>
        <v>WIFI MESH</v>
      </c>
    </row>
    <row r="4511" ht="11.25" customHeight="1">
      <c r="A4511" s="21" t="str">
        <f>IFERROR(__xludf.DUMMYFUNCTION("""COMPUTED_VALUE"""),"ROTEADOR ZTE WIFI5 ZXHN H196A MESH BCO")</f>
        <v>ROTEADOR ZTE WIFI5 ZXHN H196A MESH BCO</v>
      </c>
      <c r="B4511" s="22">
        <f>IFERROR(__xludf.DUMMYFUNCTION("""COMPUTED_VALUE"""),4.1001536E7)</f>
        <v>41001536</v>
      </c>
      <c r="C4511" s="21" t="str">
        <f>IFERROR(__xludf.DUMMYFUNCTION("""COMPUTED_VALUE"""),"6877DA62C927")</f>
        <v>6877DA62C927</v>
      </c>
      <c r="D4511" s="21" t="str">
        <f>IFERROR(__xludf.DUMMYFUNCTION("""COMPUTED_VALUE"""),"DIGITEC TECNOLOGIA DIGITAL E REPRES")</f>
        <v>DIGITEC TECNOLOGIA DIGITAL E REPRES</v>
      </c>
      <c r="E4511" s="21">
        <f>IFERROR(__xludf.DUMMYFUNCTION("""COMPUTED_VALUE"""),145359.0)</f>
        <v>145359</v>
      </c>
      <c r="F4511" s="21" t="str">
        <f>IFERROR(__xludf.DUMMYFUNCTION("""COMPUTED_VALUE"""),"INICIALIZADO")</f>
        <v>INICIALIZADO</v>
      </c>
      <c r="G4511" s="23">
        <f>IFERROR(__xludf.DUMMYFUNCTION("""COMPUTED_VALUE"""),45593.48559027778)</f>
        <v>45593.48559</v>
      </c>
      <c r="H4511" s="24" t="str">
        <f>IFERROR(VLOOKUP(B4511,material!A:D,3,0),"")</f>
        <v>WIFI MESH</v>
      </c>
    </row>
    <row r="4512" ht="11.25" customHeight="1">
      <c r="A4512" s="21" t="str">
        <f>IFERROR(__xludf.DUMMYFUNCTION("""COMPUTED_VALUE"""),"ROTEADOR ZTE WIFI5 ZXHN H196A MESH BCO")</f>
        <v>ROTEADOR ZTE WIFI5 ZXHN H196A MESH BCO</v>
      </c>
      <c r="B4512" s="22">
        <f>IFERROR(__xludf.DUMMYFUNCTION("""COMPUTED_VALUE"""),4.1001536E7)</f>
        <v>41001536</v>
      </c>
      <c r="C4512" s="21" t="str">
        <f>IFERROR(__xludf.DUMMYFUNCTION("""COMPUTED_VALUE"""),"6877DA62C95F")</f>
        <v>6877DA62C95F</v>
      </c>
      <c r="D4512" s="21" t="str">
        <f>IFERROR(__xludf.DUMMYFUNCTION("""COMPUTED_VALUE"""),"DIGITEC TECNOLOGIA DIGITAL E REPRES")</f>
        <v>DIGITEC TECNOLOGIA DIGITAL E REPRES</v>
      </c>
      <c r="E4512" s="21">
        <f>IFERROR(__xludf.DUMMYFUNCTION("""COMPUTED_VALUE"""),145359.0)</f>
        <v>145359</v>
      </c>
      <c r="F4512" s="21" t="str">
        <f>IFERROR(__xludf.DUMMYFUNCTION("""COMPUTED_VALUE"""),"INICIALIZADO")</f>
        <v>INICIALIZADO</v>
      </c>
      <c r="G4512" s="23">
        <f>IFERROR(__xludf.DUMMYFUNCTION("""COMPUTED_VALUE"""),45593.48559027778)</f>
        <v>45593.48559</v>
      </c>
      <c r="H4512" s="24" t="str">
        <f>IFERROR(VLOOKUP(B4512,material!A:D,3,0),"")</f>
        <v>WIFI MESH</v>
      </c>
    </row>
    <row r="4513" ht="11.25" customHeight="1">
      <c r="A4513" s="21" t="str">
        <f>IFERROR(__xludf.DUMMYFUNCTION("""COMPUTED_VALUE"""),"ROTEADOR ZTE WIFI5 ZXHN H196A MESH BCO")</f>
        <v>ROTEADOR ZTE WIFI5 ZXHN H196A MESH BCO</v>
      </c>
      <c r="B4513" s="22">
        <f>IFERROR(__xludf.DUMMYFUNCTION("""COMPUTED_VALUE"""),4.1001536E7)</f>
        <v>41001536</v>
      </c>
      <c r="C4513" s="21" t="str">
        <f>IFERROR(__xludf.DUMMYFUNCTION("""COMPUTED_VALUE"""),"802D1A001988")</f>
        <v>802D1A001988</v>
      </c>
      <c r="D4513" s="21" t="str">
        <f>IFERROR(__xludf.DUMMYFUNCTION("""COMPUTED_VALUE"""),"DIGITEC TECNOLOGIA DIGITAL E REPRES")</f>
        <v>DIGITEC TECNOLOGIA DIGITAL E REPRES</v>
      </c>
      <c r="E4513" s="21">
        <f>IFERROR(__xludf.DUMMYFUNCTION("""COMPUTED_VALUE"""),145359.0)</f>
        <v>145359</v>
      </c>
      <c r="F4513" s="21" t="str">
        <f>IFERROR(__xludf.DUMMYFUNCTION("""COMPUTED_VALUE"""),"INICIALIZADO")</f>
        <v>INICIALIZADO</v>
      </c>
      <c r="G4513" s="23">
        <f>IFERROR(__xludf.DUMMYFUNCTION("""COMPUTED_VALUE"""),45593.48557870371)</f>
        <v>45593.48558</v>
      </c>
      <c r="H4513" s="24" t="str">
        <f>IFERROR(VLOOKUP(B4513,material!A:D,3,0),"")</f>
        <v>WIFI MESH</v>
      </c>
    </row>
    <row r="4514" ht="11.25" customHeight="1">
      <c r="A4514" s="21" t="str">
        <f>IFERROR(__xludf.DUMMYFUNCTION("""COMPUTED_VALUE"""),"ROTEADOR ZTE WIFI5 ZXHN H196A MESH BCO")</f>
        <v>ROTEADOR ZTE WIFI5 ZXHN H196A MESH BCO</v>
      </c>
      <c r="B4514" s="22">
        <f>IFERROR(__xludf.DUMMYFUNCTION("""COMPUTED_VALUE"""),4.1001536E7)</f>
        <v>41001536</v>
      </c>
      <c r="C4514" s="21" t="str">
        <f>IFERROR(__xludf.DUMMYFUNCTION("""COMPUTED_VALUE"""),"802D1A0017CC")</f>
        <v>802D1A0017CC</v>
      </c>
      <c r="D4514" s="21" t="str">
        <f>IFERROR(__xludf.DUMMYFUNCTION("""COMPUTED_VALUE"""),"DIGITEC TECNOLOGIA DIGITAL E REPRES")</f>
        <v>DIGITEC TECNOLOGIA DIGITAL E REPRES</v>
      </c>
      <c r="E4514" s="21">
        <f>IFERROR(__xludf.DUMMYFUNCTION("""COMPUTED_VALUE"""),145359.0)</f>
        <v>145359</v>
      </c>
      <c r="F4514" s="21" t="str">
        <f>IFERROR(__xludf.DUMMYFUNCTION("""COMPUTED_VALUE"""),"INICIALIZADO")</f>
        <v>INICIALIZADO</v>
      </c>
      <c r="G4514" s="23">
        <f>IFERROR(__xludf.DUMMYFUNCTION("""COMPUTED_VALUE"""),45593.48557870371)</f>
        <v>45593.48558</v>
      </c>
      <c r="H4514" s="24" t="str">
        <f>IFERROR(VLOOKUP(B4514,material!A:D,3,0),"")</f>
        <v>WIFI MESH</v>
      </c>
    </row>
    <row r="4515" ht="11.25" customHeight="1">
      <c r="A4515" s="21" t="str">
        <f>IFERROR(__xludf.DUMMYFUNCTION("""COMPUTED_VALUE"""),"ROTEADOR ZTE WIFI5 ZXHN H196A MESH BCO")</f>
        <v>ROTEADOR ZTE WIFI5 ZXHN H196A MESH BCO</v>
      </c>
      <c r="B4515" s="22">
        <f>IFERROR(__xludf.DUMMYFUNCTION("""COMPUTED_VALUE"""),4.1001536E7)</f>
        <v>41001536</v>
      </c>
      <c r="C4515" s="21" t="str">
        <f>IFERROR(__xludf.DUMMYFUNCTION("""COMPUTED_VALUE"""),"D8E84488E2B2")</f>
        <v>D8E84488E2B2</v>
      </c>
      <c r="D4515" s="21" t="str">
        <f>IFERROR(__xludf.DUMMYFUNCTION("""COMPUTED_VALUE"""),"DIGITEC TECNOLOGIA DIGITAL E REPRES")</f>
        <v>DIGITEC TECNOLOGIA DIGITAL E REPRES</v>
      </c>
      <c r="E4515" s="21">
        <f>IFERROR(__xludf.DUMMYFUNCTION("""COMPUTED_VALUE"""),145359.0)</f>
        <v>145359</v>
      </c>
      <c r="F4515" s="21" t="str">
        <f>IFERROR(__xludf.DUMMYFUNCTION("""COMPUTED_VALUE"""),"INICIALIZADO")</f>
        <v>INICIALIZADO</v>
      </c>
      <c r="G4515" s="23">
        <f>IFERROR(__xludf.DUMMYFUNCTION("""COMPUTED_VALUE"""),45195.51578703704)</f>
        <v>45195.51579</v>
      </c>
      <c r="H4515" s="24" t="str">
        <f>IFERROR(VLOOKUP(B4515,material!A:D,3,0),"")</f>
        <v>WIFI MESH</v>
      </c>
    </row>
    <row r="4516" ht="11.25" customHeight="1">
      <c r="A4516" s="21" t="str">
        <f>IFERROR(__xludf.DUMMYFUNCTION("""COMPUTED_VALUE"""),"ROTEADOR ZTE WIFI5 ZXHN H196A MESH BCO")</f>
        <v>ROTEADOR ZTE WIFI5 ZXHN H196A MESH BCO</v>
      </c>
      <c r="B4516" s="22">
        <f>IFERROR(__xludf.DUMMYFUNCTION("""COMPUTED_VALUE"""),4.1001536E7)</f>
        <v>41001536</v>
      </c>
      <c r="C4516" s="21" t="str">
        <f>IFERROR(__xludf.DUMMYFUNCTION("""COMPUTED_VALUE"""),"D8E8448AB982")</f>
        <v>D8E8448AB982</v>
      </c>
      <c r="D4516" s="21" t="str">
        <f>IFERROR(__xludf.DUMMYFUNCTION("""COMPUTED_VALUE"""),"DIGITEC TECNOLOGIA DIGITAL E REPRES")</f>
        <v>DIGITEC TECNOLOGIA DIGITAL E REPRES</v>
      </c>
      <c r="E4516" s="21">
        <f>IFERROR(__xludf.DUMMYFUNCTION("""COMPUTED_VALUE"""),145359.0)</f>
        <v>145359</v>
      </c>
      <c r="F4516" s="21" t="str">
        <f>IFERROR(__xludf.DUMMYFUNCTION("""COMPUTED_VALUE"""),"INICIALIZADO")</f>
        <v>INICIALIZADO</v>
      </c>
      <c r="G4516" s="23">
        <f>IFERROR(__xludf.DUMMYFUNCTION("""COMPUTED_VALUE"""),45195.515798611115)</f>
        <v>45195.5158</v>
      </c>
      <c r="H4516" s="24" t="str">
        <f>IFERROR(VLOOKUP(B4516,material!A:D,3,0),"")</f>
        <v>WIFI MESH</v>
      </c>
    </row>
    <row r="4517" ht="11.25" customHeight="1">
      <c r="A4517" s="21" t="str">
        <f>IFERROR(__xludf.DUMMYFUNCTION("""COMPUTED_VALUE"""),"ROTEADOR ZTE WIFI5 ZXHN H196A MESH BCO")</f>
        <v>ROTEADOR ZTE WIFI5 ZXHN H196A MESH BCO</v>
      </c>
      <c r="B4517" s="22">
        <f>IFERROR(__xludf.DUMMYFUNCTION("""COMPUTED_VALUE"""),4.1001536E7)</f>
        <v>41001536</v>
      </c>
      <c r="C4517" s="21" t="str">
        <f>IFERROR(__xludf.DUMMYFUNCTION("""COMPUTED_VALUE"""),"6877DA5A3B6F")</f>
        <v>6877DA5A3B6F</v>
      </c>
      <c r="D4517" s="21" t="str">
        <f>IFERROR(__xludf.DUMMYFUNCTION("""COMPUTED_VALUE"""),"DIGITEC TECNOLOGIA DIGITAL E REPRES")</f>
        <v>DIGITEC TECNOLOGIA DIGITAL E REPRES</v>
      </c>
      <c r="E4517" s="21">
        <f>IFERROR(__xludf.DUMMYFUNCTION("""COMPUTED_VALUE"""),145359.0)</f>
        <v>145359</v>
      </c>
      <c r="F4517" s="21" t="str">
        <f>IFERROR(__xludf.DUMMYFUNCTION("""COMPUTED_VALUE"""),"INICIALIZADO")</f>
        <v>INICIALIZADO</v>
      </c>
      <c r="G4517" s="23">
        <f>IFERROR(__xludf.DUMMYFUNCTION("""COMPUTED_VALUE"""),45454.55337962963)</f>
        <v>45454.55338</v>
      </c>
      <c r="H4517" s="24" t="str">
        <f>IFERROR(VLOOKUP(B4517,material!A:D,3,0),"")</f>
        <v>WIFI MESH</v>
      </c>
    </row>
    <row r="4518" ht="11.25" customHeight="1">
      <c r="A4518" s="21" t="str">
        <f>IFERROR(__xludf.DUMMYFUNCTION("""COMPUTED_VALUE"""),"ROTEADOR ZTE WIFI5 ZXHN H196A MESH BCO")</f>
        <v>ROTEADOR ZTE WIFI5 ZXHN H196A MESH BCO</v>
      </c>
      <c r="B4518" s="22">
        <f>IFERROR(__xludf.DUMMYFUNCTION("""COMPUTED_VALUE"""),4.1001536E7)</f>
        <v>41001536</v>
      </c>
      <c r="C4518" s="21" t="str">
        <f>IFERROR(__xludf.DUMMYFUNCTION("""COMPUTED_VALUE"""),"6877DA5A3A9B")</f>
        <v>6877DA5A3A9B</v>
      </c>
      <c r="D4518" s="21" t="str">
        <f>IFERROR(__xludf.DUMMYFUNCTION("""COMPUTED_VALUE"""),"DIGITEC TECNOLOGIA DIGITAL E REPRES")</f>
        <v>DIGITEC TECNOLOGIA DIGITAL E REPRES</v>
      </c>
      <c r="E4518" s="21">
        <f>IFERROR(__xludf.DUMMYFUNCTION("""COMPUTED_VALUE"""),145359.0)</f>
        <v>145359</v>
      </c>
      <c r="F4518" s="21" t="str">
        <f>IFERROR(__xludf.DUMMYFUNCTION("""COMPUTED_VALUE"""),"INICIALIZADO")</f>
        <v>INICIALIZADO</v>
      </c>
      <c r="G4518" s="23">
        <f>IFERROR(__xludf.DUMMYFUNCTION("""COMPUTED_VALUE"""),45454.55337962963)</f>
        <v>45454.55338</v>
      </c>
      <c r="H4518" s="24" t="str">
        <f>IFERROR(VLOOKUP(B4518,material!A:D,3,0),"")</f>
        <v>WIFI MESH</v>
      </c>
    </row>
    <row r="4519" ht="11.25" customHeight="1">
      <c r="A4519" s="21" t="str">
        <f>IFERROR(__xludf.DUMMYFUNCTION("""COMPUTED_VALUE"""),"ROTEADOR ZTE WIFI5 ZXHN H196A MESH BCO")</f>
        <v>ROTEADOR ZTE WIFI5 ZXHN H196A MESH BCO</v>
      </c>
      <c r="B4519" s="22">
        <f>IFERROR(__xludf.DUMMYFUNCTION("""COMPUTED_VALUE"""),4.1001536E7)</f>
        <v>41001536</v>
      </c>
      <c r="C4519" s="21" t="str">
        <f>IFERROR(__xludf.DUMMYFUNCTION("""COMPUTED_VALUE"""),"6877DA5A3633")</f>
        <v>6877DA5A3633</v>
      </c>
      <c r="D4519" s="21" t="str">
        <f>IFERROR(__xludf.DUMMYFUNCTION("""COMPUTED_VALUE"""),"DIGITEC TECNOLOGIA DIGITAL E REPRES")</f>
        <v>DIGITEC TECNOLOGIA DIGITAL E REPRES</v>
      </c>
      <c r="E4519" s="21">
        <f>IFERROR(__xludf.DUMMYFUNCTION("""COMPUTED_VALUE"""),145359.0)</f>
        <v>145359</v>
      </c>
      <c r="F4519" s="21" t="str">
        <f>IFERROR(__xludf.DUMMYFUNCTION("""COMPUTED_VALUE"""),"INICIALIZADO")</f>
        <v>INICIALIZADO</v>
      </c>
      <c r="G4519" s="23">
        <f>IFERROR(__xludf.DUMMYFUNCTION("""COMPUTED_VALUE"""),45478.653229166666)</f>
        <v>45478.65323</v>
      </c>
      <c r="H4519" s="24" t="str">
        <f>IFERROR(VLOOKUP(B4519,material!A:D,3,0),"")</f>
        <v>WIFI MESH</v>
      </c>
    </row>
    <row r="4520" ht="11.25" customHeight="1">
      <c r="A4520" s="21" t="str">
        <f>IFERROR(__xludf.DUMMYFUNCTION("""COMPUTED_VALUE"""),"ROTEADOR ZTE WIFI5 ZXHN H196A MESH BCO")</f>
        <v>ROTEADOR ZTE WIFI5 ZXHN H196A MESH BCO</v>
      </c>
      <c r="B4520" s="22">
        <f>IFERROR(__xludf.DUMMYFUNCTION("""COMPUTED_VALUE"""),4.1001536E7)</f>
        <v>41001536</v>
      </c>
      <c r="C4520" s="21" t="str">
        <f>IFERROR(__xludf.DUMMYFUNCTION("""COMPUTED_VALUE"""),"6877DA5A3623")</f>
        <v>6877DA5A3623</v>
      </c>
      <c r="D4520" s="21" t="str">
        <f>IFERROR(__xludf.DUMMYFUNCTION("""COMPUTED_VALUE"""),"DIGITEC TECNOLOGIA DIGITAL E REPRES")</f>
        <v>DIGITEC TECNOLOGIA DIGITAL E REPRES</v>
      </c>
      <c r="E4520" s="21">
        <f>IFERROR(__xludf.DUMMYFUNCTION("""COMPUTED_VALUE"""),145359.0)</f>
        <v>145359</v>
      </c>
      <c r="F4520" s="21" t="str">
        <f>IFERROR(__xludf.DUMMYFUNCTION("""COMPUTED_VALUE"""),"INICIALIZADO")</f>
        <v>INICIALIZADO</v>
      </c>
      <c r="G4520" s="23">
        <f>IFERROR(__xludf.DUMMYFUNCTION("""COMPUTED_VALUE"""),45478.653229166666)</f>
        <v>45478.65323</v>
      </c>
      <c r="H4520" s="24" t="str">
        <f>IFERROR(VLOOKUP(B4520,material!A:D,3,0),"")</f>
        <v>WIFI MESH</v>
      </c>
    </row>
    <row r="4521" ht="11.25" customHeight="1">
      <c r="A4521" s="21" t="str">
        <f>IFERROR(__xludf.DUMMYFUNCTION("""COMPUTED_VALUE"""),"ROTEADOR ZTE WIFI5 ZXHN H196A MESH BCO")</f>
        <v>ROTEADOR ZTE WIFI5 ZXHN H196A MESH BCO</v>
      </c>
      <c r="B4521" s="22">
        <f>IFERROR(__xludf.DUMMYFUNCTION("""COMPUTED_VALUE"""),4.1001536E7)</f>
        <v>41001536</v>
      </c>
      <c r="C4521" s="21" t="str">
        <f>IFERROR(__xludf.DUMMYFUNCTION("""COMPUTED_VALUE"""),"CC29BDEDB245")</f>
        <v>CC29BDEDB245</v>
      </c>
      <c r="D4521" s="21" t="str">
        <f>IFERROR(__xludf.DUMMYFUNCTION("""COMPUTED_VALUE"""),"DIGITEC TECNOLOGIA DIGITAL E REPRES")</f>
        <v>DIGITEC TECNOLOGIA DIGITAL E REPRES</v>
      </c>
      <c r="E4521" s="21">
        <f>IFERROR(__xludf.DUMMYFUNCTION("""COMPUTED_VALUE"""),145359.0)</f>
        <v>145359</v>
      </c>
      <c r="F4521" s="21" t="str">
        <f>IFERROR(__xludf.DUMMYFUNCTION("""COMPUTED_VALUE"""),"INICIALIZADO")</f>
        <v>INICIALIZADO</v>
      </c>
      <c r="G4521" s="23">
        <f>IFERROR(__xludf.DUMMYFUNCTION("""COMPUTED_VALUE"""),45267.744259259256)</f>
        <v>45267.74426</v>
      </c>
      <c r="H4521" s="24" t="str">
        <f>IFERROR(VLOOKUP(B4521,material!A:D,3,0),"")</f>
        <v>WIFI MESH</v>
      </c>
    </row>
    <row r="4522" ht="11.25" customHeight="1">
      <c r="A4522" s="21" t="str">
        <f>IFERROR(__xludf.DUMMYFUNCTION("""COMPUTED_VALUE"""),"ROTEADOR ZTE WIFI5 ZXHN H196A MESH BCO")</f>
        <v>ROTEADOR ZTE WIFI5 ZXHN H196A MESH BCO</v>
      </c>
      <c r="B4522" s="22">
        <f>IFERROR(__xludf.DUMMYFUNCTION("""COMPUTED_VALUE"""),4.1001536E7)</f>
        <v>41001536</v>
      </c>
      <c r="C4522" s="21" t="str">
        <f>IFERROR(__xludf.DUMMYFUNCTION("""COMPUTED_VALUE"""),"CC29BDEDB2CD")</f>
        <v>CC29BDEDB2CD</v>
      </c>
      <c r="D4522" s="21" t="str">
        <f>IFERROR(__xludf.DUMMYFUNCTION("""COMPUTED_VALUE"""),"DIGITEC TECNOLOGIA DIGITAL E REPRES")</f>
        <v>DIGITEC TECNOLOGIA DIGITAL E REPRES</v>
      </c>
      <c r="E4522" s="21">
        <f>IFERROR(__xludf.DUMMYFUNCTION("""COMPUTED_VALUE"""),145359.0)</f>
        <v>145359</v>
      </c>
      <c r="F4522" s="21" t="str">
        <f>IFERROR(__xludf.DUMMYFUNCTION("""COMPUTED_VALUE"""),"INICIALIZADO")</f>
        <v>INICIALIZADO</v>
      </c>
      <c r="G4522" s="23">
        <f>IFERROR(__xludf.DUMMYFUNCTION("""COMPUTED_VALUE"""),45339.018912037034)</f>
        <v>45339.01891</v>
      </c>
      <c r="H4522" s="24" t="str">
        <f>IFERROR(VLOOKUP(B4522,material!A:D,3,0),"")</f>
        <v>WIFI MESH</v>
      </c>
    </row>
    <row r="4523" ht="11.25" customHeight="1">
      <c r="A4523" s="21" t="str">
        <f>IFERROR(__xludf.DUMMYFUNCTION("""COMPUTED_VALUE"""),"ROTEADOR ZTE WIFI5 ZXHN H196A MESH BCO")</f>
        <v>ROTEADOR ZTE WIFI5 ZXHN H196A MESH BCO</v>
      </c>
      <c r="B4523" s="22">
        <f>IFERROR(__xludf.DUMMYFUNCTION("""COMPUTED_VALUE"""),4.1001536E7)</f>
        <v>41001536</v>
      </c>
      <c r="C4523" s="21" t="str">
        <f>IFERROR(__xludf.DUMMYFUNCTION("""COMPUTED_VALUE"""),"CC29BDEDDE45")</f>
        <v>CC29BDEDDE45</v>
      </c>
      <c r="D4523" s="21" t="str">
        <f>IFERROR(__xludf.DUMMYFUNCTION("""COMPUTED_VALUE"""),"DIGITEC TECNOLOGIA DIGITAL E REPRES")</f>
        <v>DIGITEC TECNOLOGIA DIGITAL E REPRES</v>
      </c>
      <c r="E4523" s="21">
        <f>IFERROR(__xludf.DUMMYFUNCTION("""COMPUTED_VALUE"""),145359.0)</f>
        <v>145359</v>
      </c>
      <c r="F4523" s="21" t="str">
        <f>IFERROR(__xludf.DUMMYFUNCTION("""COMPUTED_VALUE"""),"INICIALIZADO")</f>
        <v>INICIALIZADO</v>
      </c>
      <c r="G4523" s="23">
        <f>IFERROR(__xludf.DUMMYFUNCTION("""COMPUTED_VALUE"""),45267.744259259256)</f>
        <v>45267.74426</v>
      </c>
      <c r="H4523" s="24" t="str">
        <f>IFERROR(VLOOKUP(B4523,material!A:D,3,0),"")</f>
        <v>WIFI MESH</v>
      </c>
    </row>
    <row r="4524" ht="11.25" customHeight="1">
      <c r="A4524" s="21" t="str">
        <f>IFERROR(__xludf.DUMMYFUNCTION("""COMPUTED_VALUE"""),"ROTEADOR ZTE WIFI5 ZXHN H196A MESH BCO")</f>
        <v>ROTEADOR ZTE WIFI5 ZXHN H196A MESH BCO</v>
      </c>
      <c r="B4524" s="22">
        <f>IFERROR(__xludf.DUMMYFUNCTION("""COMPUTED_VALUE"""),4.1001536E7)</f>
        <v>41001536</v>
      </c>
      <c r="C4524" s="21" t="str">
        <f>IFERROR(__xludf.DUMMYFUNCTION("""COMPUTED_VALUE"""),"C094AD99F847")</f>
        <v>C094AD99F847</v>
      </c>
      <c r="D4524" s="21" t="str">
        <f>IFERROR(__xludf.DUMMYFUNCTION("""COMPUTED_VALUE"""),"DIGITEC TECNOLOGIA DIGITAL E REPRES")</f>
        <v>DIGITEC TECNOLOGIA DIGITAL E REPRES</v>
      </c>
      <c r="E4524" s="21">
        <f>IFERROR(__xludf.DUMMYFUNCTION("""COMPUTED_VALUE"""),145359.0)</f>
        <v>145359</v>
      </c>
      <c r="F4524" s="21" t="str">
        <f>IFERROR(__xludf.DUMMYFUNCTION("""COMPUTED_VALUE"""),"INICIALIZADO")</f>
        <v>INICIALIZADO</v>
      </c>
      <c r="G4524" s="23">
        <f>IFERROR(__xludf.DUMMYFUNCTION("""COMPUTED_VALUE"""),45100.67092592592)</f>
        <v>45100.67093</v>
      </c>
      <c r="H4524" s="24" t="str">
        <f>IFERROR(VLOOKUP(B4524,material!A:D,3,0),"")</f>
        <v>WIFI MESH</v>
      </c>
    </row>
    <row r="4525" ht="11.25" customHeight="1">
      <c r="A4525" s="21" t="str">
        <f>IFERROR(__xludf.DUMMYFUNCTION("""COMPUTED_VALUE"""),"ROTEADOR ZTE WIFI5 ZXHN H196A MESH BCO")</f>
        <v>ROTEADOR ZTE WIFI5 ZXHN H196A MESH BCO</v>
      </c>
      <c r="B4525" s="22">
        <f>IFERROR(__xludf.DUMMYFUNCTION("""COMPUTED_VALUE"""),4.1001536E7)</f>
        <v>41001536</v>
      </c>
      <c r="C4525" s="21" t="str">
        <f>IFERROR(__xludf.DUMMYFUNCTION("""COMPUTED_VALUE"""),"6877DA5A3BB7")</f>
        <v>6877DA5A3BB7</v>
      </c>
      <c r="D4525" s="21" t="str">
        <f>IFERROR(__xludf.DUMMYFUNCTION("""COMPUTED_VALUE"""),"DIGITEC TECNOLOGIA DIGITAL E REPRES")</f>
        <v>DIGITEC TECNOLOGIA DIGITAL E REPRES</v>
      </c>
      <c r="E4525" s="21">
        <f>IFERROR(__xludf.DUMMYFUNCTION("""COMPUTED_VALUE"""),145359.0)</f>
        <v>145359</v>
      </c>
      <c r="F4525" s="21" t="str">
        <f>IFERROR(__xludf.DUMMYFUNCTION("""COMPUTED_VALUE"""),"INICIALIZADO")</f>
        <v>INICIALIZADO</v>
      </c>
      <c r="G4525" s="23">
        <f>IFERROR(__xludf.DUMMYFUNCTION("""COMPUTED_VALUE"""),45454.55337962963)</f>
        <v>45454.55338</v>
      </c>
      <c r="H4525" s="24" t="str">
        <f>IFERROR(VLOOKUP(B4525,material!A:D,3,0),"")</f>
        <v>WIFI MESH</v>
      </c>
    </row>
    <row r="4526" ht="11.25" customHeight="1">
      <c r="A4526" s="21" t="str">
        <f>IFERROR(__xludf.DUMMYFUNCTION("""COMPUTED_VALUE"""),"ROTEADOR ZTE WIFI5 ZXHN H196A MESH BCO")</f>
        <v>ROTEADOR ZTE WIFI5 ZXHN H196A MESH BCO</v>
      </c>
      <c r="B4526" s="22">
        <f>IFERROR(__xludf.DUMMYFUNCTION("""COMPUTED_VALUE"""),4.1001536E7)</f>
        <v>41001536</v>
      </c>
      <c r="C4526" s="21" t="str">
        <f>IFERROR(__xludf.DUMMYFUNCTION("""COMPUTED_VALUE"""),"6877DA611267")</f>
        <v>6877DA611267</v>
      </c>
      <c r="D4526" s="21" t="str">
        <f>IFERROR(__xludf.DUMMYFUNCTION("""COMPUTED_VALUE"""),"DIGITEC TECNOLOGIA DIGITAL E REPRES")</f>
        <v>DIGITEC TECNOLOGIA DIGITAL E REPRES</v>
      </c>
      <c r="E4526" s="21">
        <f>IFERROR(__xludf.DUMMYFUNCTION("""COMPUTED_VALUE"""),145359.0)</f>
        <v>145359</v>
      </c>
      <c r="F4526" s="21" t="str">
        <f>IFERROR(__xludf.DUMMYFUNCTION("""COMPUTED_VALUE"""),"INICIALIZADO")</f>
        <v>INICIALIZADO</v>
      </c>
      <c r="G4526" s="23">
        <f>IFERROR(__xludf.DUMMYFUNCTION("""COMPUTED_VALUE"""),45460.606944444444)</f>
        <v>45460.60694</v>
      </c>
      <c r="H4526" s="24" t="str">
        <f>IFERROR(VLOOKUP(B4526,material!A:D,3,0),"")</f>
        <v>WIFI MESH</v>
      </c>
    </row>
    <row r="4527" ht="11.25" customHeight="1">
      <c r="A4527" s="21" t="str">
        <f>IFERROR(__xludf.DUMMYFUNCTION("""COMPUTED_VALUE"""),"ROTEADOR ZTE WIFI5 ZXHN H196A MESH BCO")</f>
        <v>ROTEADOR ZTE WIFI5 ZXHN H196A MESH BCO</v>
      </c>
      <c r="B4527" s="22">
        <f>IFERROR(__xludf.DUMMYFUNCTION("""COMPUTED_VALUE"""),4.1001536E7)</f>
        <v>41001536</v>
      </c>
      <c r="C4527" s="21" t="str">
        <f>IFERROR(__xludf.DUMMYFUNCTION("""COMPUTED_VALUE"""),"802D1A0107B4")</f>
        <v>802D1A0107B4</v>
      </c>
      <c r="D4527" s="21" t="str">
        <f>IFERROR(__xludf.DUMMYFUNCTION("""COMPUTED_VALUE"""),"DIGITEC TECNOLOGIA DIGITAL E REPRES")</f>
        <v>DIGITEC TECNOLOGIA DIGITAL E REPRES</v>
      </c>
      <c r="E4527" s="21">
        <f>IFERROR(__xludf.DUMMYFUNCTION("""COMPUTED_VALUE"""),145359.0)</f>
        <v>145359</v>
      </c>
      <c r="F4527" s="21" t="str">
        <f>IFERROR(__xludf.DUMMYFUNCTION("""COMPUTED_VALUE"""),"INICIALIZADO")</f>
        <v>INICIALIZADO</v>
      </c>
      <c r="G4527" s="23">
        <f>IFERROR(__xludf.DUMMYFUNCTION("""COMPUTED_VALUE"""),45567.434166666666)</f>
        <v>45567.43417</v>
      </c>
      <c r="H4527" s="24" t="str">
        <f>IFERROR(VLOOKUP(B4527,material!A:D,3,0),"")</f>
        <v>WIFI MESH</v>
      </c>
    </row>
    <row r="4528" ht="11.25" customHeight="1">
      <c r="A4528" s="21" t="str">
        <f>IFERROR(__xludf.DUMMYFUNCTION("""COMPUTED_VALUE"""),"ROTEADOR ZTE WIFI5 ZXHN H196A MESH BCO")</f>
        <v>ROTEADOR ZTE WIFI5 ZXHN H196A MESH BCO</v>
      </c>
      <c r="B4528" s="22">
        <f>IFERROR(__xludf.DUMMYFUNCTION("""COMPUTED_VALUE"""),4.1001536E7)</f>
        <v>41001536</v>
      </c>
      <c r="C4528" s="21" t="str">
        <f>IFERROR(__xludf.DUMMYFUNCTION("""COMPUTED_VALUE"""),"802D1A010808")</f>
        <v>802D1A010808</v>
      </c>
      <c r="D4528" s="21" t="str">
        <f>IFERROR(__xludf.DUMMYFUNCTION("""COMPUTED_VALUE"""),"DIGITEC TECNOLOGIA DIGITAL E REPRES")</f>
        <v>DIGITEC TECNOLOGIA DIGITAL E REPRES</v>
      </c>
      <c r="E4528" s="21">
        <f>IFERROR(__xludf.DUMMYFUNCTION("""COMPUTED_VALUE"""),145359.0)</f>
        <v>145359</v>
      </c>
      <c r="F4528" s="21" t="str">
        <f>IFERROR(__xludf.DUMMYFUNCTION("""COMPUTED_VALUE"""),"INICIALIZADO")</f>
        <v>INICIALIZADO</v>
      </c>
      <c r="G4528" s="23">
        <f>IFERROR(__xludf.DUMMYFUNCTION("""COMPUTED_VALUE"""),45567.434166666666)</f>
        <v>45567.43417</v>
      </c>
      <c r="H4528" s="24" t="str">
        <f>IFERROR(VLOOKUP(B4528,material!A:D,3,0),"")</f>
        <v>WIFI MESH</v>
      </c>
    </row>
    <row r="4529" ht="11.25" customHeight="1">
      <c r="A4529" s="21" t="str">
        <f>IFERROR(__xludf.DUMMYFUNCTION("""COMPUTED_VALUE"""),"ROTEADOR ZTE WIFI5 ZXHN H196A MESH BCO")</f>
        <v>ROTEADOR ZTE WIFI5 ZXHN H196A MESH BCO</v>
      </c>
      <c r="B4529" s="22">
        <f>IFERROR(__xludf.DUMMYFUNCTION("""COMPUTED_VALUE"""),4.1001536E7)</f>
        <v>41001536</v>
      </c>
      <c r="C4529" s="21" t="str">
        <f>IFERROR(__xludf.DUMMYFUNCTION("""COMPUTED_VALUE"""),"802D1A010828")</f>
        <v>802D1A010828</v>
      </c>
      <c r="D4529" s="21" t="str">
        <f>IFERROR(__xludf.DUMMYFUNCTION("""COMPUTED_VALUE"""),"DIGITEC TECNOLOGIA DIGITAL E REPRES")</f>
        <v>DIGITEC TECNOLOGIA DIGITAL E REPRES</v>
      </c>
      <c r="E4529" s="21">
        <f>IFERROR(__xludf.DUMMYFUNCTION("""COMPUTED_VALUE"""),145359.0)</f>
        <v>145359</v>
      </c>
      <c r="F4529" s="21" t="str">
        <f>IFERROR(__xludf.DUMMYFUNCTION("""COMPUTED_VALUE"""),"INICIALIZADO")</f>
        <v>INICIALIZADO</v>
      </c>
      <c r="G4529" s="23">
        <f>IFERROR(__xludf.DUMMYFUNCTION("""COMPUTED_VALUE"""),45567.434166666666)</f>
        <v>45567.43417</v>
      </c>
      <c r="H4529" s="24" t="str">
        <f>IFERROR(VLOOKUP(B4529,material!A:D,3,0),"")</f>
        <v>WIFI MESH</v>
      </c>
    </row>
    <row r="4530" ht="11.25" customHeight="1">
      <c r="A4530" s="21" t="str">
        <f>IFERROR(__xludf.DUMMYFUNCTION("""COMPUTED_VALUE"""),"ROTEADOR ZTE WIFI5 ZXHN H196A MESH BCO")</f>
        <v>ROTEADOR ZTE WIFI5 ZXHN H196A MESH BCO</v>
      </c>
      <c r="B4530" s="22">
        <f>IFERROR(__xludf.DUMMYFUNCTION("""COMPUTED_VALUE"""),4.1001536E7)</f>
        <v>41001536</v>
      </c>
      <c r="C4530" s="21" t="str">
        <f>IFERROR(__xludf.DUMMYFUNCTION("""COMPUTED_VALUE"""),"6877DA61FC73")</f>
        <v>6877DA61FC73</v>
      </c>
      <c r="D4530" s="21" t="str">
        <f>IFERROR(__xludf.DUMMYFUNCTION("""COMPUTED_VALUE"""),"DIGITEC TECNOLOGIA DIGITAL E REPRES")</f>
        <v>DIGITEC TECNOLOGIA DIGITAL E REPRES</v>
      </c>
      <c r="E4530" s="21">
        <f>IFERROR(__xludf.DUMMYFUNCTION("""COMPUTED_VALUE"""),145359.0)</f>
        <v>145359</v>
      </c>
      <c r="F4530" s="21" t="str">
        <f>IFERROR(__xludf.DUMMYFUNCTION("""COMPUTED_VALUE"""),"INICIALIZADO")</f>
        <v>INICIALIZADO</v>
      </c>
      <c r="G4530" s="23">
        <f>IFERROR(__xludf.DUMMYFUNCTION("""COMPUTED_VALUE"""),45495.522152777776)</f>
        <v>45495.52215</v>
      </c>
      <c r="H4530" s="24" t="str">
        <f>IFERROR(VLOOKUP(B4530,material!A:D,3,0),"")</f>
        <v>WIFI MESH</v>
      </c>
    </row>
    <row r="4531" ht="11.25" customHeight="1">
      <c r="A4531" s="21" t="str">
        <f>IFERROR(__xludf.DUMMYFUNCTION("""COMPUTED_VALUE"""),"SMART CARD AVULSO MINI")</f>
        <v>SMART CARD AVULSO MINI</v>
      </c>
      <c r="B4531" s="22">
        <f>IFERROR(__xludf.DUMMYFUNCTION("""COMPUTED_VALUE"""),4.1001508E7)</f>
        <v>41001508</v>
      </c>
      <c r="C4531" s="21" t="str">
        <f>IFERROR(__xludf.DUMMYFUNCTION("""COMPUTED_VALUE"""),"246339232528")</f>
        <v>246339232528</v>
      </c>
      <c r="D4531" s="21" t="str">
        <f>IFERROR(__xludf.DUMMYFUNCTION("""COMPUTED_VALUE"""),"DIGITEC TECNOLOGIA DIGITAL E REPRES")</f>
        <v>DIGITEC TECNOLOGIA DIGITAL E REPRES</v>
      </c>
      <c r="E4531" s="21">
        <f>IFERROR(__xludf.DUMMYFUNCTION("""COMPUTED_VALUE"""),145359.0)</f>
        <v>145359</v>
      </c>
      <c r="F4531" s="21" t="str">
        <f>IFERROR(__xludf.DUMMYFUNCTION("""COMPUTED_VALUE"""),"INICIALIZADO")</f>
        <v>INICIALIZADO</v>
      </c>
      <c r="G4531" s="23">
        <f>IFERROR(__xludf.DUMMYFUNCTION("""COMPUTED_VALUE"""),45618.744722222225)</f>
        <v>45618.74472</v>
      </c>
      <c r="H4531" s="24" t="str">
        <f>IFERROR(VLOOKUP(B4531,material!A:D,3,0),"")</f>
        <v>SIM CARD</v>
      </c>
    </row>
    <row r="4532" ht="11.25" customHeight="1">
      <c r="A4532" s="21" t="str">
        <f>IFERROR(__xludf.DUMMYFUNCTION("""COMPUTED_VALUE"""),"TERMINAL GPON WIFI PG2449")</f>
        <v>TERMINAL GPON WIFI PG2449</v>
      </c>
      <c r="B4532" s="22">
        <f>IFERROR(__xludf.DUMMYFUNCTION("""COMPUTED_VALUE"""),4.1001521E7)</f>
        <v>41001521</v>
      </c>
      <c r="C4532" s="21" t="str">
        <f>IFERROR(__xludf.DUMMYFUNCTION("""COMPUTED_VALUE"""),"24E4CE8D7D40")</f>
        <v>24E4CE8D7D40</v>
      </c>
      <c r="D4532" s="21" t="str">
        <f>IFERROR(__xludf.DUMMYFUNCTION("""COMPUTED_VALUE"""),"DIGITEC TECNOLOGIA DIGITAL E REPRES")</f>
        <v>DIGITEC TECNOLOGIA DIGITAL E REPRES</v>
      </c>
      <c r="E4532" s="21">
        <f>IFERROR(__xludf.DUMMYFUNCTION("""COMPUTED_VALUE"""),145359.0)</f>
        <v>145359</v>
      </c>
      <c r="F4532" s="21" t="str">
        <f>IFERROR(__xludf.DUMMYFUNCTION("""COMPUTED_VALUE"""),"INICIALIZADO")</f>
        <v>INICIALIZADO</v>
      </c>
      <c r="G4532" s="23">
        <f>IFERROR(__xludf.DUMMYFUNCTION("""COMPUTED_VALUE"""),45412.651342592595)</f>
        <v>45412.65134</v>
      </c>
      <c r="H4532" s="24" t="str">
        <f>IFERROR(VLOOKUP(B4532,material!A:D,3,0),"")</f>
        <v>GPON 6</v>
      </c>
    </row>
    <row r="4533" ht="11.25" customHeight="1">
      <c r="A4533" s="21" t="str">
        <f>IFERROR(__xludf.DUMMYFUNCTION("""COMPUTED_VALUE"""),"TERMINAL GPON WIFI PG2449")</f>
        <v>TERMINAL GPON WIFI PG2449</v>
      </c>
      <c r="B4533" s="22">
        <f>IFERROR(__xludf.DUMMYFUNCTION("""COMPUTED_VALUE"""),4.1001521E7)</f>
        <v>41001521</v>
      </c>
      <c r="C4533" s="21" t="str">
        <f>IFERROR(__xludf.DUMMYFUNCTION("""COMPUTED_VALUE"""),"1834AF981984")</f>
        <v>1834AF981984</v>
      </c>
      <c r="D4533" s="21" t="str">
        <f>IFERROR(__xludf.DUMMYFUNCTION("""COMPUTED_VALUE"""),"DIGITEC TECNOLOGIA DIGITAL E REPRES")</f>
        <v>DIGITEC TECNOLOGIA DIGITAL E REPRES</v>
      </c>
      <c r="E4533" s="21">
        <f>IFERROR(__xludf.DUMMYFUNCTION("""COMPUTED_VALUE"""),145359.0)</f>
        <v>145359</v>
      </c>
      <c r="F4533" s="21" t="str">
        <f>IFERROR(__xludf.DUMMYFUNCTION("""COMPUTED_VALUE"""),"INICIALIZADO")</f>
        <v>INICIALIZADO</v>
      </c>
      <c r="G4533" s="23">
        <f>IFERROR(__xludf.DUMMYFUNCTION("""COMPUTED_VALUE"""),45602.64472222222)</f>
        <v>45602.64472</v>
      </c>
      <c r="H4533" s="24" t="str">
        <f>IFERROR(VLOOKUP(B4533,material!A:D,3,0),"")</f>
        <v>GPON 6</v>
      </c>
    </row>
    <row r="4534" ht="11.25" customHeight="1">
      <c r="A4534" s="21" t="str">
        <f>IFERROR(__xludf.DUMMYFUNCTION("""COMPUTED_VALUE"""),"TERMINAL GPON WIFI PG2449")</f>
        <v>TERMINAL GPON WIFI PG2449</v>
      </c>
      <c r="B4534" s="22">
        <f>IFERROR(__xludf.DUMMYFUNCTION("""COMPUTED_VALUE"""),4.1001521E7)</f>
        <v>41001521</v>
      </c>
      <c r="C4534" s="21" t="str">
        <f>IFERROR(__xludf.DUMMYFUNCTION("""COMPUTED_VALUE"""),"1834AF97D35C")</f>
        <v>1834AF97D35C</v>
      </c>
      <c r="D4534" s="21" t="str">
        <f>IFERROR(__xludf.DUMMYFUNCTION("""COMPUTED_VALUE"""),"DIGITEC TECNOLOGIA DIGITAL E REPRES")</f>
        <v>DIGITEC TECNOLOGIA DIGITAL E REPRES</v>
      </c>
      <c r="E4534" s="21">
        <f>IFERROR(__xludf.DUMMYFUNCTION("""COMPUTED_VALUE"""),145359.0)</f>
        <v>145359</v>
      </c>
      <c r="F4534" s="21" t="str">
        <f>IFERROR(__xludf.DUMMYFUNCTION("""COMPUTED_VALUE"""),"INICIALIZADO")</f>
        <v>INICIALIZADO</v>
      </c>
      <c r="G4534" s="23">
        <f>IFERROR(__xludf.DUMMYFUNCTION("""COMPUTED_VALUE"""),45602.64472222222)</f>
        <v>45602.64472</v>
      </c>
      <c r="H4534" s="24" t="str">
        <f>IFERROR(VLOOKUP(B4534,material!A:D,3,0),"")</f>
        <v>GPON 6</v>
      </c>
    </row>
    <row r="4535" ht="11.25" customHeight="1">
      <c r="A4535" s="21" t="str">
        <f>IFERROR(__xludf.DUMMYFUNCTION("""COMPUTED_VALUE"""),"TERMINAL DOCSIS 3.1 32X8 EMTA WIF TG3442")</f>
        <v>TERMINAL DOCSIS 3.1 32X8 EMTA WIF TG3442</v>
      </c>
      <c r="B4535" s="22">
        <f>IFERROR(__xludf.DUMMYFUNCTION("""COMPUTED_VALUE"""),4.100152E7)</f>
        <v>41001520</v>
      </c>
      <c r="C4535" s="21" t="str">
        <f>IFERROR(__xludf.DUMMYFUNCTION("""COMPUTED_VALUE"""),"A8705D7344EC")</f>
        <v>A8705D7344EC</v>
      </c>
      <c r="D4535" s="21" t="str">
        <f>IFERROR(__xludf.DUMMYFUNCTION("""COMPUTED_VALUE"""),"DIGITEC TECNOLOGIA DIGITAL E REPRES")</f>
        <v>DIGITEC TECNOLOGIA DIGITAL E REPRES</v>
      </c>
      <c r="E4535" s="21">
        <f>IFERROR(__xludf.DUMMYFUNCTION("""COMPUTED_VALUE"""),145359.0)</f>
        <v>145359</v>
      </c>
      <c r="F4535" s="21" t="str">
        <f>IFERROR(__xludf.DUMMYFUNCTION("""COMPUTED_VALUE"""),"INICIALIZADO")</f>
        <v>INICIALIZADO</v>
      </c>
      <c r="G4535" s="23">
        <f>IFERROR(__xludf.DUMMYFUNCTION("""COMPUTED_VALUE"""),45638.68790509259)</f>
        <v>45638.68791</v>
      </c>
      <c r="H4535" s="24" t="str">
        <f>IFERROR(VLOOKUP(B4535,material!A:D,3,0),"")</f>
        <v>3.1</v>
      </c>
    </row>
    <row r="4536" ht="11.25" customHeight="1">
      <c r="A4536" s="21" t="str">
        <f>IFERROR(__xludf.DUMMYFUNCTION("""COMPUTED_VALUE"""),"TERMINAL DOCSIS 3.1 32X8 EMTA WIF TG3442")</f>
        <v>TERMINAL DOCSIS 3.1 32X8 EMTA WIF TG3442</v>
      </c>
      <c r="B4536" s="22">
        <f>IFERROR(__xludf.DUMMYFUNCTION("""COMPUTED_VALUE"""),4.100152E7)</f>
        <v>41001520</v>
      </c>
      <c r="C4536" s="21" t="str">
        <f>IFERROR(__xludf.DUMMYFUNCTION("""COMPUTED_VALUE"""),"A8705D76A51F")</f>
        <v>A8705D76A51F</v>
      </c>
      <c r="D4536" s="21" t="str">
        <f>IFERROR(__xludf.DUMMYFUNCTION("""COMPUTED_VALUE"""),"DIGITEC TECNOLOGIA DIGITAL E REPRES")</f>
        <v>DIGITEC TECNOLOGIA DIGITAL E REPRES</v>
      </c>
      <c r="E4536" s="21">
        <f>IFERROR(__xludf.DUMMYFUNCTION("""COMPUTED_VALUE"""),145359.0)</f>
        <v>145359</v>
      </c>
      <c r="F4536" s="21" t="str">
        <f>IFERROR(__xludf.DUMMYFUNCTION("""COMPUTED_VALUE"""),"INICIALIZADO")</f>
        <v>INICIALIZADO</v>
      </c>
      <c r="G4536" s="23">
        <f>IFERROR(__xludf.DUMMYFUNCTION("""COMPUTED_VALUE"""),45624.65041666667)</f>
        <v>45624.65042</v>
      </c>
      <c r="H4536" s="24" t="str">
        <f>IFERROR(VLOOKUP(B4536,material!A:D,3,0),"")</f>
        <v>3.1</v>
      </c>
    </row>
    <row r="4537" ht="11.25" customHeight="1">
      <c r="A4537" s="21" t="str">
        <f>IFERROR(__xludf.DUMMYFUNCTION("""COMPUTED_VALUE"""),"TERMINAL DOCSIS 3.1 32X8 EMTA WIF TG3442")</f>
        <v>TERMINAL DOCSIS 3.1 32X8 EMTA WIF TG3442</v>
      </c>
      <c r="B4537" s="22">
        <f>IFERROR(__xludf.DUMMYFUNCTION("""COMPUTED_VALUE"""),4.100152E7)</f>
        <v>41001520</v>
      </c>
      <c r="C4537" s="21" t="str">
        <f>IFERROR(__xludf.DUMMYFUNCTION("""COMPUTED_VALUE"""),"A8705D74111F")</f>
        <v>A8705D74111F</v>
      </c>
      <c r="D4537" s="21" t="str">
        <f>IFERROR(__xludf.DUMMYFUNCTION("""COMPUTED_VALUE"""),"DIGITEC TECNOLOGIA DIGITAL E REPRES")</f>
        <v>DIGITEC TECNOLOGIA DIGITAL E REPRES</v>
      </c>
      <c r="E4537" s="21">
        <f>IFERROR(__xludf.DUMMYFUNCTION("""COMPUTED_VALUE"""),145359.0)</f>
        <v>145359</v>
      </c>
      <c r="F4537" s="21" t="str">
        <f>IFERROR(__xludf.DUMMYFUNCTION("""COMPUTED_VALUE"""),"INICIALIZADO")</f>
        <v>INICIALIZADO</v>
      </c>
      <c r="G4537" s="23">
        <f>IFERROR(__xludf.DUMMYFUNCTION("""COMPUTED_VALUE"""),45628.35653935185)</f>
        <v>45628.35654</v>
      </c>
      <c r="H4537" s="24" t="str">
        <f>IFERROR(VLOOKUP(B4537,material!A:D,3,0),"")</f>
        <v>3.1</v>
      </c>
    </row>
    <row r="4538" ht="11.25" customHeight="1">
      <c r="A4538" s="21" t="str">
        <f>IFERROR(__xludf.DUMMYFUNCTION("""COMPUTED_VALUE"""),"TERMINAL DOCSIS 3.1 32X8 EMTA WIF TG3442")</f>
        <v>TERMINAL DOCSIS 3.1 32X8 EMTA WIF TG3442</v>
      </c>
      <c r="B4538" s="22">
        <f>IFERROR(__xludf.DUMMYFUNCTION("""COMPUTED_VALUE"""),4.100152E7)</f>
        <v>41001520</v>
      </c>
      <c r="C4538" s="21" t="str">
        <f>IFERROR(__xludf.DUMMYFUNCTION("""COMPUTED_VALUE"""),"A8705D792993")</f>
        <v>A8705D792993</v>
      </c>
      <c r="D4538" s="21" t="str">
        <f>IFERROR(__xludf.DUMMYFUNCTION("""COMPUTED_VALUE"""),"DIGITEC TECNOLOGIA DIGITAL E REPRES")</f>
        <v>DIGITEC TECNOLOGIA DIGITAL E REPRES</v>
      </c>
      <c r="E4538" s="21">
        <f>IFERROR(__xludf.DUMMYFUNCTION("""COMPUTED_VALUE"""),145359.0)</f>
        <v>145359</v>
      </c>
      <c r="F4538" s="21" t="str">
        <f>IFERROR(__xludf.DUMMYFUNCTION("""COMPUTED_VALUE"""),"INICIALIZADO")</f>
        <v>INICIALIZADO</v>
      </c>
      <c r="G4538" s="23">
        <f>IFERROR(__xludf.DUMMYFUNCTION("""COMPUTED_VALUE"""),45624.650405092594)</f>
        <v>45624.65041</v>
      </c>
      <c r="H4538" s="24" t="str">
        <f>IFERROR(VLOOKUP(B4538,material!A:D,3,0),"")</f>
        <v>3.1</v>
      </c>
    </row>
    <row r="4539" ht="11.25" customHeight="1">
      <c r="A4539" s="21" t="str">
        <f>IFERROR(__xludf.DUMMYFUNCTION("""COMPUTED_VALUE"""),"TERMINAL DOCSIS 3.1 32X8 EMTA WIF TG3442")</f>
        <v>TERMINAL DOCSIS 3.1 32X8 EMTA WIF TG3442</v>
      </c>
      <c r="B4539" s="22">
        <f>IFERROR(__xludf.DUMMYFUNCTION("""COMPUTED_VALUE"""),4.100152E7)</f>
        <v>41001520</v>
      </c>
      <c r="C4539" s="21" t="str">
        <f>IFERROR(__xludf.DUMMYFUNCTION("""COMPUTED_VALUE"""),"A8705D7DBC29")</f>
        <v>A8705D7DBC29</v>
      </c>
      <c r="D4539" s="21" t="str">
        <f>IFERROR(__xludf.DUMMYFUNCTION("""COMPUTED_VALUE"""),"DIGITEC TECNOLOGIA DIGITAL E REPRES")</f>
        <v>DIGITEC TECNOLOGIA DIGITAL E REPRES</v>
      </c>
      <c r="E4539" s="21">
        <f>IFERROR(__xludf.DUMMYFUNCTION("""COMPUTED_VALUE"""),145359.0)</f>
        <v>145359</v>
      </c>
      <c r="F4539" s="21" t="str">
        <f>IFERROR(__xludf.DUMMYFUNCTION("""COMPUTED_VALUE"""),"INICIALIZADO")</f>
        <v>INICIALIZADO</v>
      </c>
      <c r="G4539" s="23">
        <f>IFERROR(__xludf.DUMMYFUNCTION("""COMPUTED_VALUE"""),45624.650405092594)</f>
        <v>45624.65041</v>
      </c>
      <c r="H4539" s="24" t="str">
        <f>IFERROR(VLOOKUP(B4539,material!A:D,3,0),"")</f>
        <v>3.1</v>
      </c>
    </row>
    <row r="4540" ht="11.25" customHeight="1">
      <c r="A4540" s="21" t="str">
        <f>IFERROR(__xludf.DUMMYFUNCTION("""COMPUTED_VALUE"""),"TERMINAL DOCSIS 3.1 32X8 EMTA WIF TG3442")</f>
        <v>TERMINAL DOCSIS 3.1 32X8 EMTA WIF TG3442</v>
      </c>
      <c r="B4540" s="22">
        <f>IFERROR(__xludf.DUMMYFUNCTION("""COMPUTED_VALUE"""),4.100152E7)</f>
        <v>41001520</v>
      </c>
      <c r="C4540" s="21" t="str">
        <f>IFERROR(__xludf.DUMMYFUNCTION("""COMPUTED_VALUE"""),"A8705D7DD362")</f>
        <v>A8705D7DD362</v>
      </c>
      <c r="D4540" s="21" t="str">
        <f>IFERROR(__xludf.DUMMYFUNCTION("""COMPUTED_VALUE"""),"DIGITEC TECNOLOGIA DIGITAL E REPRES")</f>
        <v>DIGITEC TECNOLOGIA DIGITAL E REPRES</v>
      </c>
      <c r="E4540" s="21">
        <f>IFERROR(__xludf.DUMMYFUNCTION("""COMPUTED_VALUE"""),145359.0)</f>
        <v>145359</v>
      </c>
      <c r="F4540" s="21" t="str">
        <f>IFERROR(__xludf.DUMMYFUNCTION("""COMPUTED_VALUE"""),"INICIALIZADO")</f>
        <v>INICIALIZADO</v>
      </c>
      <c r="G4540" s="23">
        <f>IFERROR(__xludf.DUMMYFUNCTION("""COMPUTED_VALUE"""),45624.650405092594)</f>
        <v>45624.65041</v>
      </c>
      <c r="H4540" s="24" t="str">
        <f>IFERROR(VLOOKUP(B4540,material!A:D,3,0),"")</f>
        <v>3.1</v>
      </c>
    </row>
    <row r="4541" ht="11.25" customHeight="1">
      <c r="A4541" s="21" t="str">
        <f>IFERROR(__xludf.DUMMYFUNCTION("""COMPUTED_VALUE"""),"TERMINAL DOCSIS 3.1 32X8 EMTA WIF TG3442")</f>
        <v>TERMINAL DOCSIS 3.1 32X8 EMTA WIF TG3442</v>
      </c>
      <c r="B4541" s="22">
        <f>IFERROR(__xludf.DUMMYFUNCTION("""COMPUTED_VALUE"""),4.100152E7)</f>
        <v>41001520</v>
      </c>
      <c r="C4541" s="21" t="str">
        <f>IFERROR(__xludf.DUMMYFUNCTION("""COMPUTED_VALUE"""),"A8705D75EBB1")</f>
        <v>A8705D75EBB1</v>
      </c>
      <c r="D4541" s="21" t="str">
        <f>IFERROR(__xludf.DUMMYFUNCTION("""COMPUTED_VALUE"""),"DIGITEC TECNOLOGIA DIGITAL E REPRES")</f>
        <v>DIGITEC TECNOLOGIA DIGITAL E REPRES</v>
      </c>
      <c r="E4541" s="21">
        <f>IFERROR(__xludf.DUMMYFUNCTION("""COMPUTED_VALUE"""),145359.0)</f>
        <v>145359</v>
      </c>
      <c r="F4541" s="21" t="str">
        <f>IFERROR(__xludf.DUMMYFUNCTION("""COMPUTED_VALUE"""),"INICIALIZADO")</f>
        <v>INICIALIZADO</v>
      </c>
      <c r="G4541" s="23">
        <f>IFERROR(__xludf.DUMMYFUNCTION("""COMPUTED_VALUE"""),45624.65041666667)</f>
        <v>45624.65042</v>
      </c>
      <c r="H4541" s="24" t="str">
        <f>IFERROR(VLOOKUP(B4541,material!A:D,3,0),"")</f>
        <v>3.1</v>
      </c>
    </row>
    <row r="4542" ht="11.25" customHeight="1">
      <c r="A4542" s="21" t="str">
        <f>IFERROR(__xludf.DUMMYFUNCTION("""COMPUTED_VALUE"""),"TERMINAL DOCSIS 3.1 32X8 EMTA WIF TG3442")</f>
        <v>TERMINAL DOCSIS 3.1 32X8 EMTA WIF TG3442</v>
      </c>
      <c r="B4542" s="22">
        <f>IFERROR(__xludf.DUMMYFUNCTION("""COMPUTED_VALUE"""),4.100152E7)</f>
        <v>41001520</v>
      </c>
      <c r="C4542" s="21" t="str">
        <f>IFERROR(__xludf.DUMMYFUNCTION("""COMPUTED_VALUE"""),"A8705D7F6669")</f>
        <v>A8705D7F6669</v>
      </c>
      <c r="D4542" s="21" t="str">
        <f>IFERROR(__xludf.DUMMYFUNCTION("""COMPUTED_VALUE"""),"DIGITEC TECNOLOGIA DIGITAL E REPRES")</f>
        <v>DIGITEC TECNOLOGIA DIGITAL E REPRES</v>
      </c>
      <c r="E4542" s="21">
        <f>IFERROR(__xludf.DUMMYFUNCTION("""COMPUTED_VALUE"""),145359.0)</f>
        <v>145359</v>
      </c>
      <c r="F4542" s="21" t="str">
        <f>IFERROR(__xludf.DUMMYFUNCTION("""COMPUTED_VALUE"""),"INICIALIZADO")</f>
        <v>INICIALIZADO</v>
      </c>
      <c r="G4542" s="23">
        <f>IFERROR(__xludf.DUMMYFUNCTION("""COMPUTED_VALUE"""),45624.650405092594)</f>
        <v>45624.65041</v>
      </c>
      <c r="H4542" s="24" t="str">
        <f>IFERROR(VLOOKUP(B4542,material!A:D,3,0),"")</f>
        <v>3.1</v>
      </c>
    </row>
    <row r="4543" ht="11.25" customHeight="1">
      <c r="A4543" s="21" t="str">
        <f>IFERROR(__xludf.DUMMYFUNCTION("""COMPUTED_VALUE"""),"TERMINAL DOCSIS 3.1 32X8 EMTA WIF TG3442")</f>
        <v>TERMINAL DOCSIS 3.1 32X8 EMTA WIF TG3442</v>
      </c>
      <c r="B4543" s="22">
        <f>IFERROR(__xludf.DUMMYFUNCTION("""COMPUTED_VALUE"""),4.100152E7)</f>
        <v>41001520</v>
      </c>
      <c r="C4543" s="21" t="str">
        <f>IFERROR(__xludf.DUMMYFUNCTION("""COMPUTED_VALUE"""),"A8705D7C3CF0")</f>
        <v>A8705D7C3CF0</v>
      </c>
      <c r="D4543" s="21" t="str">
        <f>IFERROR(__xludf.DUMMYFUNCTION("""COMPUTED_VALUE"""),"DIGITEC TECNOLOGIA DIGITAL E REPRES")</f>
        <v>DIGITEC TECNOLOGIA DIGITAL E REPRES</v>
      </c>
      <c r="E4543" s="21">
        <f>IFERROR(__xludf.DUMMYFUNCTION("""COMPUTED_VALUE"""),145359.0)</f>
        <v>145359</v>
      </c>
      <c r="F4543" s="21" t="str">
        <f>IFERROR(__xludf.DUMMYFUNCTION("""COMPUTED_VALUE"""),"INICIALIZADO")</f>
        <v>INICIALIZADO</v>
      </c>
      <c r="G4543" s="23">
        <f>IFERROR(__xludf.DUMMYFUNCTION("""COMPUTED_VALUE"""),45624.650405092594)</f>
        <v>45624.65041</v>
      </c>
      <c r="H4543" s="24" t="str">
        <f>IFERROR(VLOOKUP(B4543,material!A:D,3,0),"")</f>
        <v>3.1</v>
      </c>
    </row>
    <row r="4544" ht="11.25" customHeight="1">
      <c r="A4544" s="21" t="str">
        <f>IFERROR(__xludf.DUMMYFUNCTION("""COMPUTED_VALUE"""),"TERMINAL DOCSIS 3.1 32X8 EMTA WIF TG3442")</f>
        <v>TERMINAL DOCSIS 3.1 32X8 EMTA WIF TG3442</v>
      </c>
      <c r="B4544" s="22">
        <f>IFERROR(__xludf.DUMMYFUNCTION("""COMPUTED_VALUE"""),4.100152E7)</f>
        <v>41001520</v>
      </c>
      <c r="C4544" s="21" t="str">
        <f>IFERROR(__xludf.DUMMYFUNCTION("""COMPUTED_VALUE"""),"A8705D7D243F")</f>
        <v>A8705D7D243F</v>
      </c>
      <c r="D4544" s="21" t="str">
        <f>IFERROR(__xludf.DUMMYFUNCTION("""COMPUTED_VALUE"""),"DIGITEC TECNOLOGIA DIGITAL E REPRES")</f>
        <v>DIGITEC TECNOLOGIA DIGITAL E REPRES</v>
      </c>
      <c r="E4544" s="21">
        <f>IFERROR(__xludf.DUMMYFUNCTION("""COMPUTED_VALUE"""),145359.0)</f>
        <v>145359</v>
      </c>
      <c r="F4544" s="21" t="str">
        <f>IFERROR(__xludf.DUMMYFUNCTION("""COMPUTED_VALUE"""),"INICIALIZADO")</f>
        <v>INICIALIZADO</v>
      </c>
      <c r="G4544" s="23">
        <f>IFERROR(__xludf.DUMMYFUNCTION("""COMPUTED_VALUE"""),45624.650405092594)</f>
        <v>45624.65041</v>
      </c>
      <c r="H4544" s="24" t="str">
        <f>IFERROR(VLOOKUP(B4544,material!A:D,3,0),"")</f>
        <v>3.1</v>
      </c>
    </row>
    <row r="4545" ht="11.25" customHeight="1">
      <c r="A4545" s="21" t="str">
        <f>IFERROR(__xludf.DUMMYFUNCTION("""COMPUTED_VALUE"""),"TERMINAL DOCSIS 3.1 32X8 EMTA WIF TG3442")</f>
        <v>TERMINAL DOCSIS 3.1 32X8 EMTA WIF TG3442</v>
      </c>
      <c r="B4545" s="22">
        <f>IFERROR(__xludf.DUMMYFUNCTION("""COMPUTED_VALUE"""),4.100152E7)</f>
        <v>41001520</v>
      </c>
      <c r="C4545" s="21" t="str">
        <f>IFERROR(__xludf.DUMMYFUNCTION("""COMPUTED_VALUE"""),"A8705D7AF0E3")</f>
        <v>A8705D7AF0E3</v>
      </c>
      <c r="D4545" s="21" t="str">
        <f>IFERROR(__xludf.DUMMYFUNCTION("""COMPUTED_VALUE"""),"DIGITEC TECNOLOGIA DIGITAL E REPRES")</f>
        <v>DIGITEC TECNOLOGIA DIGITAL E REPRES</v>
      </c>
      <c r="E4545" s="21">
        <f>IFERROR(__xludf.DUMMYFUNCTION("""COMPUTED_VALUE"""),145359.0)</f>
        <v>145359</v>
      </c>
      <c r="F4545" s="21" t="str">
        <f>IFERROR(__xludf.DUMMYFUNCTION("""COMPUTED_VALUE"""),"INICIALIZADO")</f>
        <v>INICIALIZADO</v>
      </c>
      <c r="G4545" s="23">
        <f>IFERROR(__xludf.DUMMYFUNCTION("""COMPUTED_VALUE"""),45628.35653935185)</f>
        <v>45628.35654</v>
      </c>
      <c r="H4545" s="24" t="str">
        <f>IFERROR(VLOOKUP(B4545,material!A:D,3,0),"")</f>
        <v>3.1</v>
      </c>
    </row>
    <row r="4546" ht="11.25" customHeight="1">
      <c r="A4546" s="21" t="str">
        <f>IFERROR(__xludf.DUMMYFUNCTION("""COMPUTED_VALUE"""),"TERMINAL DOCSIS 3.1 32X8 EMTA WIF TG3442")</f>
        <v>TERMINAL DOCSIS 3.1 32X8 EMTA WIF TG3442</v>
      </c>
      <c r="B4546" s="22">
        <f>IFERROR(__xludf.DUMMYFUNCTION("""COMPUTED_VALUE"""),4.100152E7)</f>
        <v>41001520</v>
      </c>
      <c r="C4546" s="21" t="str">
        <f>IFERROR(__xludf.DUMMYFUNCTION("""COMPUTED_VALUE"""),"10E17778F387")</f>
        <v>10E17778F387</v>
      </c>
      <c r="D4546" s="21" t="str">
        <f>IFERROR(__xludf.DUMMYFUNCTION("""COMPUTED_VALUE"""),"DIGITEC TECNOLOGIA DIGITAL E REPRES")</f>
        <v>DIGITEC TECNOLOGIA DIGITAL E REPRES</v>
      </c>
      <c r="E4546" s="21">
        <f>IFERROR(__xludf.DUMMYFUNCTION("""COMPUTED_VALUE"""),145359.0)</f>
        <v>145359</v>
      </c>
      <c r="F4546" s="21" t="str">
        <f>IFERROR(__xludf.DUMMYFUNCTION("""COMPUTED_VALUE"""),"INICIALIZADO")</f>
        <v>INICIALIZADO</v>
      </c>
      <c r="G4546" s="23">
        <f>IFERROR(__xludf.DUMMYFUNCTION("""COMPUTED_VALUE"""),45628.35653935185)</f>
        <v>45628.35654</v>
      </c>
      <c r="H4546" s="24" t="str">
        <f>IFERROR(VLOOKUP(B4546,material!A:D,3,0),"")</f>
        <v>3.1</v>
      </c>
    </row>
    <row r="4547" ht="11.25" customHeight="1">
      <c r="A4547" s="21" t="str">
        <f>IFERROR(__xludf.DUMMYFUNCTION("""COMPUTED_VALUE"""),"TERMINAL DOCSIS 3.1 32X8 EMTA WIF TG3442")</f>
        <v>TERMINAL DOCSIS 3.1 32X8 EMTA WIF TG3442</v>
      </c>
      <c r="B4547" s="22">
        <f>IFERROR(__xludf.DUMMYFUNCTION("""COMPUTED_VALUE"""),4.100152E7)</f>
        <v>41001520</v>
      </c>
      <c r="C4547" s="21" t="str">
        <f>IFERROR(__xludf.DUMMYFUNCTION("""COMPUTED_VALUE"""),"F8790A2C3C69")</f>
        <v>F8790A2C3C69</v>
      </c>
      <c r="D4547" s="21" t="str">
        <f>IFERROR(__xludf.DUMMYFUNCTION("""COMPUTED_VALUE"""),"DIGITEC TECNOLOGIA DIGITAL E REPRES")</f>
        <v>DIGITEC TECNOLOGIA DIGITAL E REPRES</v>
      </c>
      <c r="E4547" s="21">
        <f>IFERROR(__xludf.DUMMYFUNCTION("""COMPUTED_VALUE"""),145359.0)</f>
        <v>145359</v>
      </c>
      <c r="F4547" s="21" t="str">
        <f>IFERROR(__xludf.DUMMYFUNCTION("""COMPUTED_VALUE"""),"INICIALIZADO")</f>
        <v>INICIALIZADO</v>
      </c>
      <c r="G4547" s="23">
        <f>IFERROR(__xludf.DUMMYFUNCTION("""COMPUTED_VALUE"""),45628.35653935185)</f>
        <v>45628.35654</v>
      </c>
      <c r="H4547" s="24" t="str">
        <f>IFERROR(VLOOKUP(B4547,material!A:D,3,0),"")</f>
        <v>3.1</v>
      </c>
    </row>
    <row r="4548" ht="11.25" customHeight="1">
      <c r="A4548" s="21" t="str">
        <f>IFERROR(__xludf.DUMMYFUNCTION("""COMPUTED_VALUE"""),"TERMINAL DOCSIS 3.1 32X8 EMTA WIF TG3442")</f>
        <v>TERMINAL DOCSIS 3.1 32X8 EMTA WIF TG3442</v>
      </c>
      <c r="B4548" s="22">
        <f>IFERROR(__xludf.DUMMYFUNCTION("""COMPUTED_VALUE"""),4.100152E7)</f>
        <v>41001520</v>
      </c>
      <c r="C4548" s="21" t="str">
        <f>IFERROR(__xludf.DUMMYFUNCTION("""COMPUTED_VALUE"""),"F820D2056FD2")</f>
        <v>F820D2056FD2</v>
      </c>
      <c r="D4548" s="21" t="str">
        <f>IFERROR(__xludf.DUMMYFUNCTION("""COMPUTED_VALUE"""),"DIGITEC TECNOLOGIA DIGITAL E REPRES")</f>
        <v>DIGITEC TECNOLOGIA DIGITAL E REPRES</v>
      </c>
      <c r="E4548" s="21">
        <f>IFERROR(__xludf.DUMMYFUNCTION("""COMPUTED_VALUE"""),145359.0)</f>
        <v>145359</v>
      </c>
      <c r="F4548" s="21" t="str">
        <f>IFERROR(__xludf.DUMMYFUNCTION("""COMPUTED_VALUE"""),"INICIALIZADO")</f>
        <v>INICIALIZADO</v>
      </c>
      <c r="G4548" s="23">
        <f>IFERROR(__xludf.DUMMYFUNCTION("""COMPUTED_VALUE"""),45602.64472222222)</f>
        <v>45602.64472</v>
      </c>
      <c r="H4548" s="24" t="str">
        <f>IFERROR(VLOOKUP(B4548,material!A:D,3,0),"")</f>
        <v>3.1</v>
      </c>
    </row>
    <row r="4549" ht="11.25" customHeight="1">
      <c r="A4549" s="21" t="str">
        <f>IFERROR(__xludf.DUMMYFUNCTION("""COMPUTED_VALUE"""),"TERMINAL DOCSIS 3.1 32X8 EMTA WIF TG3442")</f>
        <v>TERMINAL DOCSIS 3.1 32X8 EMTA WIF TG3442</v>
      </c>
      <c r="B4549" s="22">
        <f>IFERROR(__xludf.DUMMYFUNCTION("""COMPUTED_VALUE"""),4.100152E7)</f>
        <v>41001520</v>
      </c>
      <c r="C4549" s="21" t="str">
        <f>IFERROR(__xludf.DUMMYFUNCTION("""COMPUTED_VALUE"""),"F820D2057838")</f>
        <v>F820D2057838</v>
      </c>
      <c r="D4549" s="21" t="str">
        <f>IFERROR(__xludf.DUMMYFUNCTION("""COMPUTED_VALUE"""),"DIGITEC TECNOLOGIA DIGITAL E REPRES")</f>
        <v>DIGITEC TECNOLOGIA DIGITAL E REPRES</v>
      </c>
      <c r="E4549" s="21">
        <f>IFERROR(__xludf.DUMMYFUNCTION("""COMPUTED_VALUE"""),145359.0)</f>
        <v>145359</v>
      </c>
      <c r="F4549" s="21" t="str">
        <f>IFERROR(__xludf.DUMMYFUNCTION("""COMPUTED_VALUE"""),"INICIALIZADO")</f>
        <v>INICIALIZADO</v>
      </c>
      <c r="G4549" s="23">
        <f>IFERROR(__xludf.DUMMYFUNCTION("""COMPUTED_VALUE"""),45638.68790509259)</f>
        <v>45638.68791</v>
      </c>
      <c r="H4549" s="24" t="str">
        <f>IFERROR(VLOOKUP(B4549,material!A:D,3,0),"")</f>
        <v>3.1</v>
      </c>
    </row>
    <row r="4550" ht="11.25" customHeight="1">
      <c r="A4550" s="21" t="str">
        <f>IFERROR(__xludf.DUMMYFUNCTION("""COMPUTED_VALUE"""),"TERMINAL DOCSIS 3.1 32X8 EMTA WIF TG3442")</f>
        <v>TERMINAL DOCSIS 3.1 32X8 EMTA WIF TG3442</v>
      </c>
      <c r="B4550" s="22">
        <f>IFERROR(__xludf.DUMMYFUNCTION("""COMPUTED_VALUE"""),4.100152E7)</f>
        <v>41001520</v>
      </c>
      <c r="C4550" s="21" t="str">
        <f>IFERROR(__xludf.DUMMYFUNCTION("""COMPUTED_VALUE"""),"F820D2055BEB")</f>
        <v>F820D2055BEB</v>
      </c>
      <c r="D4550" s="21" t="str">
        <f>IFERROR(__xludf.DUMMYFUNCTION("""COMPUTED_VALUE"""),"DIGITEC TECNOLOGIA DIGITAL E REPRES")</f>
        <v>DIGITEC TECNOLOGIA DIGITAL E REPRES</v>
      </c>
      <c r="E4550" s="21">
        <f>IFERROR(__xludf.DUMMYFUNCTION("""COMPUTED_VALUE"""),145359.0)</f>
        <v>145359</v>
      </c>
      <c r="F4550" s="21" t="str">
        <f>IFERROR(__xludf.DUMMYFUNCTION("""COMPUTED_VALUE"""),"INICIALIZADO")</f>
        <v>INICIALIZADO</v>
      </c>
      <c r="G4550" s="23">
        <f>IFERROR(__xludf.DUMMYFUNCTION("""COMPUTED_VALUE"""),45638.68790509259)</f>
        <v>45638.68791</v>
      </c>
      <c r="H4550" s="24" t="str">
        <f>IFERROR(VLOOKUP(B4550,material!A:D,3,0),"")</f>
        <v>3.1</v>
      </c>
    </row>
    <row r="4551" ht="11.25" customHeight="1">
      <c r="A4551" s="21" t="str">
        <f>IFERROR(__xludf.DUMMYFUNCTION("""COMPUTED_VALUE"""),"TERMINAL DOCSIS 3.1 32X8 EMTA WIF TG3442")</f>
        <v>TERMINAL DOCSIS 3.1 32X8 EMTA WIF TG3442</v>
      </c>
      <c r="B4551" s="22">
        <f>IFERROR(__xludf.DUMMYFUNCTION("""COMPUTED_VALUE"""),4.100152E7)</f>
        <v>41001520</v>
      </c>
      <c r="C4551" s="21" t="str">
        <f>IFERROR(__xludf.DUMMYFUNCTION("""COMPUTED_VALUE"""),"A8705D87FE82")</f>
        <v>A8705D87FE82</v>
      </c>
      <c r="D4551" s="21" t="str">
        <f>IFERROR(__xludf.DUMMYFUNCTION("""COMPUTED_VALUE"""),"DIGITEC TECNOLOGIA DIGITAL E REPRES")</f>
        <v>DIGITEC TECNOLOGIA DIGITAL E REPRES</v>
      </c>
      <c r="E4551" s="21">
        <f>IFERROR(__xludf.DUMMYFUNCTION("""COMPUTED_VALUE"""),145359.0)</f>
        <v>145359</v>
      </c>
      <c r="F4551" s="21" t="str">
        <f>IFERROR(__xludf.DUMMYFUNCTION("""COMPUTED_VALUE"""),"INICIALIZADO")</f>
        <v>INICIALIZADO</v>
      </c>
      <c r="G4551" s="23">
        <f>IFERROR(__xludf.DUMMYFUNCTION("""COMPUTED_VALUE"""),45628.35653935185)</f>
        <v>45628.35654</v>
      </c>
      <c r="H4551" s="24" t="str">
        <f>IFERROR(VLOOKUP(B4551,material!A:D,3,0),"")</f>
        <v>3.1</v>
      </c>
    </row>
    <row r="4552" ht="11.25" customHeight="1">
      <c r="A4552" s="21" t="str">
        <f>IFERROR(__xludf.DUMMYFUNCTION("""COMPUTED_VALUE"""),"TERMINAL DOCSIS 3.1 32X8 EMTA WIF TG3442")</f>
        <v>TERMINAL DOCSIS 3.1 32X8 EMTA WIF TG3442</v>
      </c>
      <c r="B4552" s="22">
        <f>IFERROR(__xludf.DUMMYFUNCTION("""COMPUTED_VALUE"""),4.100152E7)</f>
        <v>41001520</v>
      </c>
      <c r="C4552" s="21" t="str">
        <f>IFERROR(__xludf.DUMMYFUNCTION("""COMPUTED_VALUE"""),"A8705D841871")</f>
        <v>A8705D841871</v>
      </c>
      <c r="D4552" s="21" t="str">
        <f>IFERROR(__xludf.DUMMYFUNCTION("""COMPUTED_VALUE"""),"DIGITEC TECNOLOGIA DIGITAL E REPRES")</f>
        <v>DIGITEC TECNOLOGIA DIGITAL E REPRES</v>
      </c>
      <c r="E4552" s="21">
        <f>IFERROR(__xludf.DUMMYFUNCTION("""COMPUTED_VALUE"""),145359.0)</f>
        <v>145359</v>
      </c>
      <c r="F4552" s="21" t="str">
        <f>IFERROR(__xludf.DUMMYFUNCTION("""COMPUTED_VALUE"""),"INICIALIZADO")</f>
        <v>INICIALIZADO</v>
      </c>
      <c r="G4552" s="23">
        <f>IFERROR(__xludf.DUMMYFUNCTION("""COMPUTED_VALUE"""),45624.65041666667)</f>
        <v>45624.65042</v>
      </c>
      <c r="H4552" s="24" t="str">
        <f>IFERROR(VLOOKUP(B4552,material!A:D,3,0),"")</f>
        <v>3.1</v>
      </c>
    </row>
    <row r="4553" ht="11.25" customHeight="1">
      <c r="A4553" s="21" t="str">
        <f>IFERROR(__xludf.DUMMYFUNCTION("""COMPUTED_VALUE"""),"TERMINAL DOCSIS 3.1 32X8 EMTA WIF TG3442")</f>
        <v>TERMINAL DOCSIS 3.1 32X8 EMTA WIF TG3442</v>
      </c>
      <c r="B4553" s="22">
        <f>IFERROR(__xludf.DUMMYFUNCTION("""COMPUTED_VALUE"""),4.100152E7)</f>
        <v>41001520</v>
      </c>
      <c r="C4553" s="21" t="str">
        <f>IFERROR(__xludf.DUMMYFUNCTION("""COMPUTED_VALUE"""),"A8705D8283CB")</f>
        <v>A8705D8283CB</v>
      </c>
      <c r="D4553" s="21" t="str">
        <f>IFERROR(__xludf.DUMMYFUNCTION("""COMPUTED_VALUE"""),"DIGITEC TECNOLOGIA DIGITAL E REPRES")</f>
        <v>DIGITEC TECNOLOGIA DIGITAL E REPRES</v>
      </c>
      <c r="E4553" s="21">
        <f>IFERROR(__xludf.DUMMYFUNCTION("""COMPUTED_VALUE"""),145359.0)</f>
        <v>145359</v>
      </c>
      <c r="F4553" s="21" t="str">
        <f>IFERROR(__xludf.DUMMYFUNCTION("""COMPUTED_VALUE"""),"INICIALIZADO")</f>
        <v>INICIALIZADO</v>
      </c>
      <c r="G4553" s="23">
        <f>IFERROR(__xludf.DUMMYFUNCTION("""COMPUTED_VALUE"""),45624.650405092594)</f>
        <v>45624.65041</v>
      </c>
      <c r="H4553" s="24" t="str">
        <f>IFERROR(VLOOKUP(B4553,material!A:D,3,0),"")</f>
        <v>3.1</v>
      </c>
    </row>
    <row r="4554" ht="11.25" customHeight="1">
      <c r="A4554" s="21" t="str">
        <f>IFERROR(__xludf.DUMMYFUNCTION("""COMPUTED_VALUE"""),"TERMINAL DOCSIS 3.1 32X8 EMTA WIF TG3442")</f>
        <v>TERMINAL DOCSIS 3.1 32X8 EMTA WIF TG3442</v>
      </c>
      <c r="B4554" s="22">
        <f>IFERROR(__xludf.DUMMYFUNCTION("""COMPUTED_VALUE"""),4.100152E7)</f>
        <v>41001520</v>
      </c>
      <c r="C4554" s="21" t="str">
        <f>IFERROR(__xludf.DUMMYFUNCTION("""COMPUTED_VALUE"""),"A8705D852973")</f>
        <v>A8705D852973</v>
      </c>
      <c r="D4554" s="21" t="str">
        <f>IFERROR(__xludf.DUMMYFUNCTION("""COMPUTED_VALUE"""),"DIGITEC TECNOLOGIA DIGITAL E REPRES")</f>
        <v>DIGITEC TECNOLOGIA DIGITAL E REPRES</v>
      </c>
      <c r="E4554" s="21">
        <f>IFERROR(__xludf.DUMMYFUNCTION("""COMPUTED_VALUE"""),145359.0)</f>
        <v>145359</v>
      </c>
      <c r="F4554" s="21" t="str">
        <f>IFERROR(__xludf.DUMMYFUNCTION("""COMPUTED_VALUE"""),"INICIALIZADO")</f>
        <v>INICIALIZADO</v>
      </c>
      <c r="G4554" s="23">
        <f>IFERROR(__xludf.DUMMYFUNCTION("""COMPUTED_VALUE"""),45624.65041666667)</f>
        <v>45624.65042</v>
      </c>
      <c r="H4554" s="24" t="str">
        <f>IFERROR(VLOOKUP(B4554,material!A:D,3,0),"")</f>
        <v>3.1</v>
      </c>
    </row>
    <row r="4555" ht="11.25" customHeight="1">
      <c r="A4555" s="21" t="str">
        <f>IFERROR(__xludf.DUMMYFUNCTION("""COMPUTED_VALUE"""),"TERMINAL DOCSIS 3.1 32X8 EMTA WIF TG3442")</f>
        <v>TERMINAL DOCSIS 3.1 32X8 EMTA WIF TG3442</v>
      </c>
      <c r="B4555" s="22">
        <f>IFERROR(__xludf.DUMMYFUNCTION("""COMPUTED_VALUE"""),4.100152E7)</f>
        <v>41001520</v>
      </c>
      <c r="C4555" s="21" t="str">
        <f>IFERROR(__xludf.DUMMYFUNCTION("""COMPUTED_VALUE"""),"A8705D8716D4")</f>
        <v>A8705D8716D4</v>
      </c>
      <c r="D4555" s="21" t="str">
        <f>IFERROR(__xludf.DUMMYFUNCTION("""COMPUTED_VALUE"""),"DIGITEC TECNOLOGIA DIGITAL E REPRES")</f>
        <v>DIGITEC TECNOLOGIA DIGITAL E REPRES</v>
      </c>
      <c r="E4555" s="21">
        <f>IFERROR(__xludf.DUMMYFUNCTION("""COMPUTED_VALUE"""),145359.0)</f>
        <v>145359</v>
      </c>
      <c r="F4555" s="21" t="str">
        <f>IFERROR(__xludf.DUMMYFUNCTION("""COMPUTED_VALUE"""),"INICIALIZADO")</f>
        <v>INICIALIZADO</v>
      </c>
      <c r="G4555" s="23">
        <f>IFERROR(__xludf.DUMMYFUNCTION("""COMPUTED_VALUE"""),45638.68790509259)</f>
        <v>45638.68791</v>
      </c>
      <c r="H4555" s="24" t="str">
        <f>IFERROR(VLOOKUP(B4555,material!A:D,3,0),"")</f>
        <v>3.1</v>
      </c>
    </row>
    <row r="4556" ht="11.25" customHeight="1">
      <c r="A4556" s="21" t="str">
        <f>IFERROR(__xludf.DUMMYFUNCTION("""COMPUTED_VALUE"""),"TERMINAL DOCSIS 3.1 32X8 EMTA WIF TG3442")</f>
        <v>TERMINAL DOCSIS 3.1 32X8 EMTA WIF TG3442</v>
      </c>
      <c r="B4556" s="22">
        <f>IFERROR(__xludf.DUMMYFUNCTION("""COMPUTED_VALUE"""),4.100152E7)</f>
        <v>41001520</v>
      </c>
      <c r="C4556" s="21" t="str">
        <f>IFERROR(__xludf.DUMMYFUNCTION("""COMPUTED_VALUE"""),"10E17778BB51")</f>
        <v>10E17778BB51</v>
      </c>
      <c r="D4556" s="21" t="str">
        <f>IFERROR(__xludf.DUMMYFUNCTION("""COMPUTED_VALUE"""),"DIGITEC TECNOLOGIA DIGITAL E REPRES")</f>
        <v>DIGITEC TECNOLOGIA DIGITAL E REPRES</v>
      </c>
      <c r="E4556" s="21">
        <f>IFERROR(__xludf.DUMMYFUNCTION("""COMPUTED_VALUE"""),145359.0)</f>
        <v>145359</v>
      </c>
      <c r="F4556" s="21" t="str">
        <f>IFERROR(__xludf.DUMMYFUNCTION("""COMPUTED_VALUE"""),"INICIALIZADO")</f>
        <v>INICIALIZADO</v>
      </c>
      <c r="G4556" s="23">
        <f>IFERROR(__xludf.DUMMYFUNCTION("""COMPUTED_VALUE"""),45628.35653935185)</f>
        <v>45628.35654</v>
      </c>
      <c r="H4556" s="24" t="str">
        <f>IFERROR(VLOOKUP(B4556,material!A:D,3,0),"")</f>
        <v>3.1</v>
      </c>
    </row>
    <row r="4557" ht="11.25" customHeight="1">
      <c r="A4557" s="21" t="str">
        <f>IFERROR(__xludf.DUMMYFUNCTION("""COMPUTED_VALUE"""),"TERMINAL DOCSIS 3.1 32X8 EMTA WIF TG3442")</f>
        <v>TERMINAL DOCSIS 3.1 32X8 EMTA WIF TG3442</v>
      </c>
      <c r="B4557" s="22">
        <f>IFERROR(__xludf.DUMMYFUNCTION("""COMPUTED_VALUE"""),4.100152E7)</f>
        <v>41001520</v>
      </c>
      <c r="C4557" s="21" t="str">
        <f>IFERROR(__xludf.DUMMYFUNCTION("""COMPUTED_VALUE"""),"F820D20581AC")</f>
        <v>F820D20581AC</v>
      </c>
      <c r="D4557" s="21" t="str">
        <f>IFERROR(__xludf.DUMMYFUNCTION("""COMPUTED_VALUE"""),"DIGITEC TECNOLOGIA DIGITAL E REPRES")</f>
        <v>DIGITEC TECNOLOGIA DIGITAL E REPRES</v>
      </c>
      <c r="E4557" s="21">
        <f>IFERROR(__xludf.DUMMYFUNCTION("""COMPUTED_VALUE"""),145359.0)</f>
        <v>145359</v>
      </c>
      <c r="F4557" s="21" t="str">
        <f>IFERROR(__xludf.DUMMYFUNCTION("""COMPUTED_VALUE"""),"INICIALIZADO")</f>
        <v>INICIALIZADO</v>
      </c>
      <c r="G4557" s="23">
        <f>IFERROR(__xludf.DUMMYFUNCTION("""COMPUTED_VALUE"""),45602.64472222222)</f>
        <v>45602.64472</v>
      </c>
      <c r="H4557" s="24" t="str">
        <f>IFERROR(VLOOKUP(B4557,material!A:D,3,0),"")</f>
        <v>3.1</v>
      </c>
    </row>
    <row r="4558" ht="11.25" customHeight="1">
      <c r="A4558" s="21" t="str">
        <f>IFERROR(__xludf.DUMMYFUNCTION("""COMPUTED_VALUE"""),"TERMINAL DOCSIS 3.1 32X8 EMTA WIF TG3442")</f>
        <v>TERMINAL DOCSIS 3.1 32X8 EMTA WIF TG3442</v>
      </c>
      <c r="B4558" s="22">
        <f>IFERROR(__xludf.DUMMYFUNCTION("""COMPUTED_VALUE"""),4.100152E7)</f>
        <v>41001520</v>
      </c>
      <c r="C4558" s="21" t="str">
        <f>IFERROR(__xludf.DUMMYFUNCTION("""COMPUTED_VALUE"""),"10E17778A47C")</f>
        <v>10E17778A47C</v>
      </c>
      <c r="D4558" s="21" t="str">
        <f>IFERROR(__xludf.DUMMYFUNCTION("""COMPUTED_VALUE"""),"DIGITEC TECNOLOGIA DIGITAL E REPRES")</f>
        <v>DIGITEC TECNOLOGIA DIGITAL E REPRES</v>
      </c>
      <c r="E4558" s="21">
        <f>IFERROR(__xludf.DUMMYFUNCTION("""COMPUTED_VALUE"""),145359.0)</f>
        <v>145359</v>
      </c>
      <c r="F4558" s="21" t="str">
        <f>IFERROR(__xludf.DUMMYFUNCTION("""COMPUTED_VALUE"""),"INICIALIZADO")</f>
        <v>INICIALIZADO</v>
      </c>
      <c r="G4558" s="23">
        <f>IFERROR(__xludf.DUMMYFUNCTION("""COMPUTED_VALUE"""),45628.35653935185)</f>
        <v>45628.35654</v>
      </c>
      <c r="H4558" s="24" t="str">
        <f>IFERROR(VLOOKUP(B4558,material!A:D,3,0),"")</f>
        <v>3.1</v>
      </c>
    </row>
    <row r="4559" ht="11.25" customHeight="1">
      <c r="A4559" s="21" t="str">
        <f>IFERROR(__xludf.DUMMYFUNCTION("""COMPUTED_VALUE"""),"TERMINAL DOCSIS 3.1 32X8 EMTA WIF TG3442")</f>
        <v>TERMINAL DOCSIS 3.1 32X8 EMTA WIF TG3442</v>
      </c>
      <c r="B4559" s="22">
        <f>IFERROR(__xludf.DUMMYFUNCTION("""COMPUTED_VALUE"""),4.100152E7)</f>
        <v>41001520</v>
      </c>
      <c r="C4559" s="21" t="str">
        <f>IFERROR(__xludf.DUMMYFUNCTION("""COMPUTED_VALUE"""),"10E17778A82D")</f>
        <v>10E17778A82D</v>
      </c>
      <c r="D4559" s="21" t="str">
        <f>IFERROR(__xludf.DUMMYFUNCTION("""COMPUTED_VALUE"""),"DIGITEC TECNOLOGIA DIGITAL E REPRES")</f>
        <v>DIGITEC TECNOLOGIA DIGITAL E REPRES</v>
      </c>
      <c r="E4559" s="21">
        <f>IFERROR(__xludf.DUMMYFUNCTION("""COMPUTED_VALUE"""),145359.0)</f>
        <v>145359</v>
      </c>
      <c r="F4559" s="21" t="str">
        <f>IFERROR(__xludf.DUMMYFUNCTION("""COMPUTED_VALUE"""),"INICIALIZADO")</f>
        <v>INICIALIZADO</v>
      </c>
      <c r="G4559" s="23">
        <f>IFERROR(__xludf.DUMMYFUNCTION("""COMPUTED_VALUE"""),45628.35653935185)</f>
        <v>45628.35654</v>
      </c>
      <c r="H4559" s="24" t="str">
        <f>IFERROR(VLOOKUP(B4559,material!A:D,3,0),"")</f>
        <v>3.1</v>
      </c>
    </row>
    <row r="4560" ht="11.25" customHeight="1">
      <c r="A4560" s="21" t="str">
        <f>IFERROR(__xludf.DUMMYFUNCTION("""COMPUTED_VALUE"""),"TERMINAL DOCSIS 3.1 32X8 EMTA WIF TG3442")</f>
        <v>TERMINAL DOCSIS 3.1 32X8 EMTA WIF TG3442</v>
      </c>
      <c r="B4560" s="22">
        <f>IFERROR(__xludf.DUMMYFUNCTION("""COMPUTED_VALUE"""),4.100152E7)</f>
        <v>41001520</v>
      </c>
      <c r="C4560" s="21" t="str">
        <f>IFERROR(__xludf.DUMMYFUNCTION("""COMPUTED_VALUE"""),"A8705D870338")</f>
        <v>A8705D870338</v>
      </c>
      <c r="D4560" s="21" t="str">
        <f>IFERROR(__xludf.DUMMYFUNCTION("""COMPUTED_VALUE"""),"DIGITEC TECNOLOGIA DIGITAL E REPRES")</f>
        <v>DIGITEC TECNOLOGIA DIGITAL E REPRES</v>
      </c>
      <c r="E4560" s="21">
        <f>IFERROR(__xludf.DUMMYFUNCTION("""COMPUTED_VALUE"""),145359.0)</f>
        <v>145359</v>
      </c>
      <c r="F4560" s="21" t="str">
        <f>IFERROR(__xludf.DUMMYFUNCTION("""COMPUTED_VALUE"""),"INICIALIZADO")</f>
        <v>INICIALIZADO</v>
      </c>
      <c r="G4560" s="23">
        <f>IFERROR(__xludf.DUMMYFUNCTION("""COMPUTED_VALUE"""),45624.65041666667)</f>
        <v>45624.65042</v>
      </c>
      <c r="H4560" s="24" t="str">
        <f>IFERROR(VLOOKUP(B4560,material!A:D,3,0),"")</f>
        <v>3.1</v>
      </c>
    </row>
    <row r="4561" ht="11.25" customHeight="1">
      <c r="A4561" s="21" t="str">
        <f>IFERROR(__xludf.DUMMYFUNCTION("""COMPUTED_VALUE"""),"TERMINAL DOCSIS 3.1 32X8 EMTA WIF TG3442")</f>
        <v>TERMINAL DOCSIS 3.1 32X8 EMTA WIF TG3442</v>
      </c>
      <c r="B4561" s="22">
        <f>IFERROR(__xludf.DUMMYFUNCTION("""COMPUTED_VALUE"""),4.100152E7)</f>
        <v>41001520</v>
      </c>
      <c r="C4561" s="21" t="str">
        <f>IFERROR(__xludf.DUMMYFUNCTION("""COMPUTED_VALUE"""),"A8705D730F72")</f>
        <v>A8705D730F72</v>
      </c>
      <c r="D4561" s="21" t="str">
        <f>IFERROR(__xludf.DUMMYFUNCTION("""COMPUTED_VALUE"""),"DIGITEC TECNOLOGIA DIGITAL E REPRES")</f>
        <v>DIGITEC TECNOLOGIA DIGITAL E REPRES</v>
      </c>
      <c r="E4561" s="21">
        <f>IFERROR(__xludf.DUMMYFUNCTION("""COMPUTED_VALUE"""),145359.0)</f>
        <v>145359</v>
      </c>
      <c r="F4561" s="21" t="str">
        <f>IFERROR(__xludf.DUMMYFUNCTION("""COMPUTED_VALUE"""),"INICIALIZADO")</f>
        <v>INICIALIZADO</v>
      </c>
      <c r="G4561" s="23">
        <f>IFERROR(__xludf.DUMMYFUNCTION("""COMPUTED_VALUE"""),45624.65041666667)</f>
        <v>45624.65042</v>
      </c>
      <c r="H4561" s="24" t="str">
        <f>IFERROR(VLOOKUP(B4561,material!A:D,3,0),"")</f>
        <v>3.1</v>
      </c>
    </row>
    <row r="4562" ht="11.25" customHeight="1">
      <c r="A4562" s="21" t="str">
        <f>IFERROR(__xludf.DUMMYFUNCTION("""COMPUTED_VALUE"""),"TERMINAL DOCSIS 3.1 WIFI HI3120")</f>
        <v>TERMINAL DOCSIS 3.1 WIFI HI3120</v>
      </c>
      <c r="B4562" s="22">
        <f>IFERROR(__xludf.DUMMYFUNCTION("""COMPUTED_VALUE"""),4.1001518E7)</f>
        <v>41001518</v>
      </c>
      <c r="C4562" s="21" t="str">
        <f>IFERROR(__xludf.DUMMYFUNCTION("""COMPUTED_VALUE"""),"90AAC3AC0100")</f>
        <v>90AAC3AC0100</v>
      </c>
      <c r="D4562" s="21" t="str">
        <f>IFERROR(__xludf.DUMMYFUNCTION("""COMPUTED_VALUE"""),"DIGITEC TECNOLOGIA DIGITAL E REPRES")</f>
        <v>DIGITEC TECNOLOGIA DIGITAL E REPRES</v>
      </c>
      <c r="E4562" s="21">
        <f>IFERROR(__xludf.DUMMYFUNCTION("""COMPUTED_VALUE"""),145359.0)</f>
        <v>145359</v>
      </c>
      <c r="F4562" s="21" t="str">
        <f>IFERROR(__xludf.DUMMYFUNCTION("""COMPUTED_VALUE"""),"INICIALIZADO")</f>
        <v>INICIALIZADO</v>
      </c>
      <c r="G4562" s="23">
        <f>IFERROR(__xludf.DUMMYFUNCTION("""COMPUTED_VALUE"""),45331.770150462966)</f>
        <v>45331.77015</v>
      </c>
      <c r="H4562" s="24" t="str">
        <f>IFERROR(VLOOKUP(B4562,material!A:D,3,0),"")</f>
        <v>3.1</v>
      </c>
    </row>
    <row r="4563" ht="11.25" customHeight="1">
      <c r="A4563" s="21" t="str">
        <f>IFERROR(__xludf.DUMMYFUNCTION("""COMPUTED_VALUE"""),"TERMINAL DOCSIS 3.1 WIFI HI3120")</f>
        <v>TERMINAL DOCSIS 3.1 WIFI HI3120</v>
      </c>
      <c r="B4563" s="22">
        <f>IFERROR(__xludf.DUMMYFUNCTION("""COMPUTED_VALUE"""),4.1001518E7)</f>
        <v>41001518</v>
      </c>
      <c r="C4563" s="21" t="str">
        <f>IFERROR(__xludf.DUMMYFUNCTION("""COMPUTED_VALUE"""),"10412122E8B0")</f>
        <v>10412122E8B0</v>
      </c>
      <c r="D4563" s="21" t="str">
        <f>IFERROR(__xludf.DUMMYFUNCTION("""COMPUTED_VALUE"""),"DIGITEC TECNOLOGIA DIGITAL E REPRES")</f>
        <v>DIGITEC TECNOLOGIA DIGITAL E REPRES</v>
      </c>
      <c r="E4563" s="21">
        <f>IFERROR(__xludf.DUMMYFUNCTION("""COMPUTED_VALUE"""),145359.0)</f>
        <v>145359</v>
      </c>
      <c r="F4563" s="21" t="str">
        <f>IFERROR(__xludf.DUMMYFUNCTION("""COMPUTED_VALUE"""),"INICIALIZADO")</f>
        <v>INICIALIZADO</v>
      </c>
      <c r="G4563" s="23">
        <f>IFERROR(__xludf.DUMMYFUNCTION("""COMPUTED_VALUE"""),45638.68790509259)</f>
        <v>45638.68791</v>
      </c>
      <c r="H4563" s="24" t="str">
        <f>IFERROR(VLOOKUP(B4563,material!A:D,3,0),"")</f>
        <v>3.1</v>
      </c>
    </row>
    <row r="4564" ht="11.25" customHeight="1">
      <c r="A4564" s="21" t="str">
        <f>IFERROR(__xludf.DUMMYFUNCTION("""COMPUTED_VALUE"""),"TERMINAL DOCSIS 3.1 WIFI HI3120")</f>
        <v>TERMINAL DOCSIS 3.1 WIFI HI3120</v>
      </c>
      <c r="B4564" s="22">
        <f>IFERROR(__xludf.DUMMYFUNCTION("""COMPUTED_VALUE"""),4.1001518E7)</f>
        <v>41001518</v>
      </c>
      <c r="C4564" s="21" t="str">
        <f>IFERROR(__xludf.DUMMYFUNCTION("""COMPUTED_VALUE"""),"1041210B6330")</f>
        <v>1041210B6330</v>
      </c>
      <c r="D4564" s="21" t="str">
        <f>IFERROR(__xludf.DUMMYFUNCTION("""COMPUTED_VALUE"""),"DIGITEC TECNOLOGIA DIGITAL E REPRES")</f>
        <v>DIGITEC TECNOLOGIA DIGITAL E REPRES</v>
      </c>
      <c r="E4564" s="21">
        <f>IFERROR(__xludf.DUMMYFUNCTION("""COMPUTED_VALUE"""),145359.0)</f>
        <v>145359</v>
      </c>
      <c r="F4564" s="21" t="str">
        <f>IFERROR(__xludf.DUMMYFUNCTION("""COMPUTED_VALUE"""),"INICIALIZADO")</f>
        <v>INICIALIZADO</v>
      </c>
      <c r="G4564" s="23">
        <f>IFERROR(__xludf.DUMMYFUNCTION("""COMPUTED_VALUE"""),45609.74685185185)</f>
        <v>45609.74685</v>
      </c>
      <c r="H4564" s="24" t="str">
        <f>IFERROR(VLOOKUP(B4564,material!A:D,3,0),"")</f>
        <v>3.1</v>
      </c>
    </row>
    <row r="4565" ht="11.25" customHeight="1">
      <c r="A4565" s="21" t="str">
        <f>IFERROR(__xludf.DUMMYFUNCTION("""COMPUTED_VALUE"""),"MODEM VOIP GPON WIFI 3.1 HG8245 6T V2")</f>
        <v>MODEM VOIP GPON WIFI 3.1 HG8245 6T V2</v>
      </c>
      <c r="B4565" s="22">
        <f>IFERROR(__xludf.DUMMYFUNCTION("""COMPUTED_VALUE"""),4.1001516E7)</f>
        <v>41001516</v>
      </c>
      <c r="C4565" s="21" t="str">
        <f>IFERROR(__xludf.DUMMYFUNCTION("""COMPUTED_VALUE"""),"C40D969807AF")</f>
        <v>C40D969807AF</v>
      </c>
      <c r="D4565" s="21" t="str">
        <f>IFERROR(__xludf.DUMMYFUNCTION("""COMPUTED_VALUE"""),"DIGITEC TECNOLOGIA DIGITAL E REPRES")</f>
        <v>DIGITEC TECNOLOGIA DIGITAL E REPRES</v>
      </c>
      <c r="E4565" s="21">
        <f>IFERROR(__xludf.DUMMYFUNCTION("""COMPUTED_VALUE"""),145359.0)</f>
        <v>145359</v>
      </c>
      <c r="F4565" s="21" t="str">
        <f>IFERROR(__xludf.DUMMYFUNCTION("""COMPUTED_VALUE"""),"INICIALIZADO")</f>
        <v>INICIALIZADO</v>
      </c>
      <c r="G4565" s="23">
        <f>IFERROR(__xludf.DUMMYFUNCTION("""COMPUTED_VALUE"""),45301.550625)</f>
        <v>45301.55063</v>
      </c>
      <c r="H4565" s="24" t="str">
        <f>IFERROR(VLOOKUP(B4565,material!A:D,3,0),"")</f>
        <v>ONT</v>
      </c>
    </row>
    <row r="4566" ht="11.25" customHeight="1">
      <c r="A4566" s="21" t="str">
        <f>IFERROR(__xludf.DUMMYFUNCTION("""COMPUTED_VALUE"""),"MODEM VOIP EMTA WIFI 3.1 TC3102 32X8")</f>
        <v>MODEM VOIP EMTA WIFI 3.1 TC3102 32X8</v>
      </c>
      <c r="B4566" s="22">
        <f>IFERROR(__xludf.DUMMYFUNCTION("""COMPUTED_VALUE"""),4.1001513E7)</f>
        <v>41001513</v>
      </c>
      <c r="C4566" s="21" t="str">
        <f>IFERROR(__xludf.DUMMYFUNCTION("""COMPUTED_VALUE"""),"08A7C04E492C")</f>
        <v>08A7C04E492C</v>
      </c>
      <c r="D4566" s="21" t="str">
        <f>IFERROR(__xludf.DUMMYFUNCTION("""COMPUTED_VALUE"""),"DIGITEC TECNOLOGIA DIGITAL E REPRES")</f>
        <v>DIGITEC TECNOLOGIA DIGITAL E REPRES</v>
      </c>
      <c r="E4566" s="21">
        <f>IFERROR(__xludf.DUMMYFUNCTION("""COMPUTED_VALUE"""),145359.0)</f>
        <v>145359</v>
      </c>
      <c r="F4566" s="21" t="str">
        <f>IFERROR(__xludf.DUMMYFUNCTION("""COMPUTED_VALUE"""),"INICIALIZADO")</f>
        <v>INICIALIZADO</v>
      </c>
      <c r="G4566" s="23">
        <f>IFERROR(__xludf.DUMMYFUNCTION("""COMPUTED_VALUE"""),45638.68791666666)</f>
        <v>45638.68792</v>
      </c>
      <c r="H4566" s="24" t="str">
        <f>IFERROR(VLOOKUP(B4566,material!A:D,3,0),"")</f>
        <v>3.1</v>
      </c>
    </row>
    <row r="4567" ht="11.25" customHeight="1">
      <c r="A4567" s="21" t="str">
        <f>IFERROR(__xludf.DUMMYFUNCTION("""COMPUTED_VALUE"""),"MODEM VOIP EMTA WIFI 3.1 TC3102 32X8")</f>
        <v>MODEM VOIP EMTA WIFI 3.1 TC3102 32X8</v>
      </c>
      <c r="B4567" s="22">
        <f>IFERROR(__xludf.DUMMYFUNCTION("""COMPUTED_VALUE"""),4.1001513E7)</f>
        <v>41001513</v>
      </c>
      <c r="C4567" s="21" t="str">
        <f>IFERROR(__xludf.DUMMYFUNCTION("""COMPUTED_VALUE"""),"08A7C076CCF4")</f>
        <v>08A7C076CCF4</v>
      </c>
      <c r="D4567" s="21" t="str">
        <f>IFERROR(__xludf.DUMMYFUNCTION("""COMPUTED_VALUE"""),"DIGITEC TECNOLOGIA DIGITAL E REPRES")</f>
        <v>DIGITEC TECNOLOGIA DIGITAL E REPRES</v>
      </c>
      <c r="E4567" s="21">
        <f>IFERROR(__xludf.DUMMYFUNCTION("""COMPUTED_VALUE"""),145359.0)</f>
        <v>145359</v>
      </c>
      <c r="F4567" s="21" t="str">
        <f>IFERROR(__xludf.DUMMYFUNCTION("""COMPUTED_VALUE"""),"INICIALIZADO")</f>
        <v>INICIALIZADO</v>
      </c>
      <c r="G4567" s="23">
        <f>IFERROR(__xludf.DUMMYFUNCTION("""COMPUTED_VALUE"""),45638.68791666666)</f>
        <v>45638.68792</v>
      </c>
      <c r="H4567" s="24" t="str">
        <f>IFERROR(VLOOKUP(B4567,material!A:D,3,0),"")</f>
        <v>3.1</v>
      </c>
    </row>
    <row r="4568" ht="11.25" customHeight="1">
      <c r="A4568" s="21" t="str">
        <f>IFERROR(__xludf.DUMMYFUNCTION("""COMPUTED_VALUE"""),"MODEM VOIP EMTA WIFI 3.1 TC3102 32X8")</f>
        <v>MODEM VOIP EMTA WIFI 3.1 TC3102 32X8</v>
      </c>
      <c r="B4568" s="22">
        <f>IFERROR(__xludf.DUMMYFUNCTION("""COMPUTED_VALUE"""),4.1001513E7)</f>
        <v>41001513</v>
      </c>
      <c r="C4568" s="21" t="str">
        <f>IFERROR(__xludf.DUMMYFUNCTION("""COMPUTED_VALUE"""),"08A7C06B09CC")</f>
        <v>08A7C06B09CC</v>
      </c>
      <c r="D4568" s="21" t="str">
        <f>IFERROR(__xludf.DUMMYFUNCTION("""COMPUTED_VALUE"""),"DIGITEC TECNOLOGIA DIGITAL E REPRES")</f>
        <v>DIGITEC TECNOLOGIA DIGITAL E REPRES</v>
      </c>
      <c r="E4568" s="21">
        <f>IFERROR(__xludf.DUMMYFUNCTION("""COMPUTED_VALUE"""),145359.0)</f>
        <v>145359</v>
      </c>
      <c r="F4568" s="21" t="str">
        <f>IFERROR(__xludf.DUMMYFUNCTION("""COMPUTED_VALUE"""),"INICIALIZADO")</f>
        <v>INICIALIZADO</v>
      </c>
      <c r="G4568" s="23">
        <f>IFERROR(__xludf.DUMMYFUNCTION("""COMPUTED_VALUE"""),45638.68791666666)</f>
        <v>45638.68792</v>
      </c>
      <c r="H4568" s="24" t="str">
        <f>IFERROR(VLOOKUP(B4568,material!A:D,3,0),"")</f>
        <v>3.1</v>
      </c>
    </row>
    <row r="4569" ht="11.25" customHeight="1">
      <c r="A4569" s="21" t="str">
        <f>IFERROR(__xludf.DUMMYFUNCTION("""COMPUTED_VALUE"""),"MODEM VOIP EMTA WIFI 3.1 TC3102 32X8")</f>
        <v>MODEM VOIP EMTA WIFI 3.1 TC3102 32X8</v>
      </c>
      <c r="B4569" s="22">
        <f>IFERROR(__xludf.DUMMYFUNCTION("""COMPUTED_VALUE"""),4.1001513E7)</f>
        <v>41001513</v>
      </c>
      <c r="C4569" s="21" t="str">
        <f>IFERROR(__xludf.DUMMYFUNCTION("""COMPUTED_VALUE"""),"400FC17E4484")</f>
        <v>400FC17E4484</v>
      </c>
      <c r="D4569" s="21" t="str">
        <f>IFERROR(__xludf.DUMMYFUNCTION("""COMPUTED_VALUE"""),"DIGITEC TECNOLOGIA DIGITAL E REPRES")</f>
        <v>DIGITEC TECNOLOGIA DIGITAL E REPRES</v>
      </c>
      <c r="E4569" s="21">
        <f>IFERROR(__xludf.DUMMYFUNCTION("""COMPUTED_VALUE"""),145359.0)</f>
        <v>145359</v>
      </c>
      <c r="F4569" s="21" t="str">
        <f>IFERROR(__xludf.DUMMYFUNCTION("""COMPUTED_VALUE"""),"INICIALIZADO")</f>
        <v>INICIALIZADO</v>
      </c>
      <c r="G4569" s="23">
        <f>IFERROR(__xludf.DUMMYFUNCTION("""COMPUTED_VALUE"""),45638.68791666666)</f>
        <v>45638.68792</v>
      </c>
      <c r="H4569" s="24" t="str">
        <f>IFERROR(VLOOKUP(B4569,material!A:D,3,0),"")</f>
        <v>3.1</v>
      </c>
    </row>
    <row r="4570" ht="11.25" customHeight="1">
      <c r="A4570" s="21" t="str">
        <f>IFERROR(__xludf.DUMMYFUNCTION("""COMPUTED_VALUE"""),"MODEM VOIP EMTA WIFI 3.1 TC3102 32X8")</f>
        <v>MODEM VOIP EMTA WIFI 3.1 TC3102 32X8</v>
      </c>
      <c r="B4570" s="22">
        <f>IFERROR(__xludf.DUMMYFUNCTION("""COMPUTED_VALUE"""),4.1001513E7)</f>
        <v>41001513</v>
      </c>
      <c r="C4570" s="21" t="str">
        <f>IFERROR(__xludf.DUMMYFUNCTION("""COMPUTED_VALUE"""),"400FC17E4A24")</f>
        <v>400FC17E4A24</v>
      </c>
      <c r="D4570" s="21" t="str">
        <f>IFERROR(__xludf.DUMMYFUNCTION("""COMPUTED_VALUE"""),"DIGITEC TECNOLOGIA DIGITAL E REPRES")</f>
        <v>DIGITEC TECNOLOGIA DIGITAL E REPRES</v>
      </c>
      <c r="E4570" s="21">
        <f>IFERROR(__xludf.DUMMYFUNCTION("""COMPUTED_VALUE"""),145359.0)</f>
        <v>145359</v>
      </c>
      <c r="F4570" s="21" t="str">
        <f>IFERROR(__xludf.DUMMYFUNCTION("""COMPUTED_VALUE"""),"INICIALIZADO")</f>
        <v>INICIALIZADO</v>
      </c>
      <c r="G4570" s="23">
        <f>IFERROR(__xludf.DUMMYFUNCTION("""COMPUTED_VALUE"""),45628.35653935185)</f>
        <v>45628.35654</v>
      </c>
      <c r="H4570" s="24" t="str">
        <f>IFERROR(VLOOKUP(B4570,material!A:D,3,0),"")</f>
        <v>3.1</v>
      </c>
    </row>
    <row r="4571" ht="11.25" customHeight="1">
      <c r="A4571" s="21" t="str">
        <f>IFERROR(__xludf.DUMMYFUNCTION("""COMPUTED_VALUE"""),"MODEM VOIP EMTA WIFI 3.1 TC3102 32X8")</f>
        <v>MODEM VOIP EMTA WIFI 3.1 TC3102 32X8</v>
      </c>
      <c r="B4571" s="22">
        <f>IFERROR(__xludf.DUMMYFUNCTION("""COMPUTED_VALUE"""),4.1001513E7)</f>
        <v>41001513</v>
      </c>
      <c r="C4571" s="21" t="str">
        <f>IFERROR(__xludf.DUMMYFUNCTION("""COMPUTED_VALUE"""),"400FC17E4EA4")</f>
        <v>400FC17E4EA4</v>
      </c>
      <c r="D4571" s="21" t="str">
        <f>IFERROR(__xludf.DUMMYFUNCTION("""COMPUTED_VALUE"""),"DIGITEC TECNOLOGIA DIGITAL E REPRES")</f>
        <v>DIGITEC TECNOLOGIA DIGITAL E REPRES</v>
      </c>
      <c r="E4571" s="21">
        <f>IFERROR(__xludf.DUMMYFUNCTION("""COMPUTED_VALUE"""),145359.0)</f>
        <v>145359</v>
      </c>
      <c r="F4571" s="21" t="str">
        <f>IFERROR(__xludf.DUMMYFUNCTION("""COMPUTED_VALUE"""),"INICIALIZADO")</f>
        <v>INICIALIZADO</v>
      </c>
      <c r="G4571" s="23">
        <f>IFERROR(__xludf.DUMMYFUNCTION("""COMPUTED_VALUE"""),45628.35653935185)</f>
        <v>45628.35654</v>
      </c>
      <c r="H4571" s="24" t="str">
        <f>IFERROR(VLOOKUP(B4571,material!A:D,3,0),"")</f>
        <v>3.1</v>
      </c>
    </row>
    <row r="4572" ht="11.25" customHeight="1">
      <c r="A4572" s="21" t="str">
        <f>IFERROR(__xludf.DUMMYFUNCTION("""COMPUTED_VALUE"""),"MODEM VOIP EMTA WIFI 3.1 TC3102 32X8")</f>
        <v>MODEM VOIP EMTA WIFI 3.1 TC3102 32X8</v>
      </c>
      <c r="B4572" s="22">
        <f>IFERROR(__xludf.DUMMYFUNCTION("""COMPUTED_VALUE"""),4.1001513E7)</f>
        <v>41001513</v>
      </c>
      <c r="C4572" s="21" t="str">
        <f>IFERROR(__xludf.DUMMYFUNCTION("""COMPUTED_VALUE"""),"ECA81F215564")</f>
        <v>ECA81F215564</v>
      </c>
      <c r="D4572" s="21" t="str">
        <f>IFERROR(__xludf.DUMMYFUNCTION("""COMPUTED_VALUE"""),"DIGITEC TECNOLOGIA DIGITAL E REPRES")</f>
        <v>DIGITEC TECNOLOGIA DIGITAL E REPRES</v>
      </c>
      <c r="E4572" s="21">
        <f>IFERROR(__xludf.DUMMYFUNCTION("""COMPUTED_VALUE"""),145359.0)</f>
        <v>145359</v>
      </c>
      <c r="F4572" s="21" t="str">
        <f>IFERROR(__xludf.DUMMYFUNCTION("""COMPUTED_VALUE"""),"INICIALIZADO")</f>
        <v>INICIALIZADO</v>
      </c>
      <c r="G4572" s="23">
        <f>IFERROR(__xludf.DUMMYFUNCTION("""COMPUTED_VALUE"""),45628.35653935185)</f>
        <v>45628.35654</v>
      </c>
      <c r="H4572" s="24" t="str">
        <f>IFERROR(VLOOKUP(B4572,material!A:D,3,0),"")</f>
        <v>3.1</v>
      </c>
    </row>
    <row r="4573" ht="11.25" customHeight="1">
      <c r="A4573" s="21" t="str">
        <f>IFERROR(__xludf.DUMMYFUNCTION("""COMPUTED_VALUE"""),"MODEM VOIP EMTA WIFI 3.1 TC3102 32X8")</f>
        <v>MODEM VOIP EMTA WIFI 3.1 TC3102 32X8</v>
      </c>
      <c r="B4573" s="22">
        <f>IFERROR(__xludf.DUMMYFUNCTION("""COMPUTED_VALUE"""),4.1001513E7)</f>
        <v>41001513</v>
      </c>
      <c r="C4573" s="21" t="str">
        <f>IFERROR(__xludf.DUMMYFUNCTION("""COMPUTED_VALUE"""),"ECA81F2122AC")</f>
        <v>ECA81F2122AC</v>
      </c>
      <c r="D4573" s="21" t="str">
        <f>IFERROR(__xludf.DUMMYFUNCTION("""COMPUTED_VALUE"""),"DIGITEC TECNOLOGIA DIGITAL E REPRES")</f>
        <v>DIGITEC TECNOLOGIA DIGITAL E REPRES</v>
      </c>
      <c r="E4573" s="21">
        <f>IFERROR(__xludf.DUMMYFUNCTION("""COMPUTED_VALUE"""),145359.0)</f>
        <v>145359</v>
      </c>
      <c r="F4573" s="21" t="str">
        <f>IFERROR(__xludf.DUMMYFUNCTION("""COMPUTED_VALUE"""),"INICIALIZADO")</f>
        <v>INICIALIZADO</v>
      </c>
      <c r="G4573" s="23">
        <f>IFERROR(__xludf.DUMMYFUNCTION("""COMPUTED_VALUE"""),45628.35653935185)</f>
        <v>45628.35654</v>
      </c>
      <c r="H4573" s="24" t="str">
        <f>IFERROR(VLOOKUP(B4573,material!A:D,3,0),"")</f>
        <v>3.1</v>
      </c>
    </row>
    <row r="4574" ht="11.25" customHeight="1">
      <c r="A4574" s="21" t="str">
        <f>IFERROR(__xludf.DUMMYFUNCTION("""COMPUTED_VALUE"""),"MODEM VOIP EMTA WIFI 3.1 TC3102 32X8")</f>
        <v>MODEM VOIP EMTA WIFI 3.1 TC3102 32X8</v>
      </c>
      <c r="B4574" s="22">
        <f>IFERROR(__xludf.DUMMYFUNCTION("""COMPUTED_VALUE"""),4.1001513E7)</f>
        <v>41001513</v>
      </c>
      <c r="C4574" s="21" t="str">
        <f>IFERROR(__xludf.DUMMYFUNCTION("""COMPUTED_VALUE"""),"1C9ECC8E2D54")</f>
        <v>1C9ECC8E2D54</v>
      </c>
      <c r="D4574" s="21" t="str">
        <f>IFERROR(__xludf.DUMMYFUNCTION("""COMPUTED_VALUE"""),"DIGITEC TECNOLOGIA DIGITAL E REPRES")</f>
        <v>DIGITEC TECNOLOGIA DIGITAL E REPRES</v>
      </c>
      <c r="E4574" s="21">
        <f>IFERROR(__xludf.DUMMYFUNCTION("""COMPUTED_VALUE"""),145359.0)</f>
        <v>145359</v>
      </c>
      <c r="F4574" s="21" t="str">
        <f>IFERROR(__xludf.DUMMYFUNCTION("""COMPUTED_VALUE"""),"INICIALIZADO")</f>
        <v>INICIALIZADO</v>
      </c>
      <c r="G4574" s="23">
        <f>IFERROR(__xludf.DUMMYFUNCTION("""COMPUTED_VALUE"""),45638.68791666666)</f>
        <v>45638.68792</v>
      </c>
      <c r="H4574" s="24" t="str">
        <f>IFERROR(VLOOKUP(B4574,material!A:D,3,0),"")</f>
        <v>3.1</v>
      </c>
    </row>
    <row r="4575" ht="11.25" customHeight="1">
      <c r="A4575" s="21" t="str">
        <f>IFERROR(__xludf.DUMMYFUNCTION("""COMPUTED_VALUE"""),"MODEM VOIP EMTA WIFI 3.1 TC3102 32X8")</f>
        <v>MODEM VOIP EMTA WIFI 3.1 TC3102 32X8</v>
      </c>
      <c r="B4575" s="22">
        <f>IFERROR(__xludf.DUMMYFUNCTION("""COMPUTED_VALUE"""),4.1001513E7)</f>
        <v>41001513</v>
      </c>
      <c r="C4575" s="21" t="str">
        <f>IFERROR(__xludf.DUMMYFUNCTION("""COMPUTED_VALUE"""),"D4E2CB1E135C")</f>
        <v>D4E2CB1E135C</v>
      </c>
      <c r="D4575" s="21" t="str">
        <f>IFERROR(__xludf.DUMMYFUNCTION("""COMPUTED_VALUE"""),"DIGITEC TECNOLOGIA DIGITAL E REPRES")</f>
        <v>DIGITEC TECNOLOGIA DIGITAL E REPRES</v>
      </c>
      <c r="E4575" s="21">
        <f>IFERROR(__xludf.DUMMYFUNCTION("""COMPUTED_VALUE"""),145359.0)</f>
        <v>145359</v>
      </c>
      <c r="F4575" s="21" t="str">
        <f>IFERROR(__xludf.DUMMYFUNCTION("""COMPUTED_VALUE"""),"INICIALIZADO")</f>
        <v>INICIALIZADO</v>
      </c>
      <c r="G4575" s="23">
        <f>IFERROR(__xludf.DUMMYFUNCTION("""COMPUTED_VALUE"""),45638.68791666666)</f>
        <v>45638.68792</v>
      </c>
      <c r="H4575" s="24" t="str">
        <f>IFERROR(VLOOKUP(B4575,material!A:D,3,0),"")</f>
        <v>3.1</v>
      </c>
    </row>
    <row r="4576" ht="11.25" customHeight="1">
      <c r="A4576" s="21" t="str">
        <f>IFERROR(__xludf.DUMMYFUNCTION("""COMPUTED_VALUE"""),"MODEM VOIP EMTA WIFI 3.1 TC3102 32X8")</f>
        <v>MODEM VOIP EMTA WIFI 3.1 TC3102 32X8</v>
      </c>
      <c r="B4576" s="22">
        <f>IFERROR(__xludf.DUMMYFUNCTION("""COMPUTED_VALUE"""),4.1001513E7)</f>
        <v>41001513</v>
      </c>
      <c r="C4576" s="21" t="str">
        <f>IFERROR(__xludf.DUMMYFUNCTION("""COMPUTED_VALUE"""),"D4E2CB1E89DC")</f>
        <v>D4E2CB1E89DC</v>
      </c>
      <c r="D4576" s="21" t="str">
        <f>IFERROR(__xludf.DUMMYFUNCTION("""COMPUTED_VALUE"""),"DIGITEC TECNOLOGIA DIGITAL E REPRES")</f>
        <v>DIGITEC TECNOLOGIA DIGITAL E REPRES</v>
      </c>
      <c r="E4576" s="21">
        <f>IFERROR(__xludf.DUMMYFUNCTION("""COMPUTED_VALUE"""),145359.0)</f>
        <v>145359</v>
      </c>
      <c r="F4576" s="21" t="str">
        <f>IFERROR(__xludf.DUMMYFUNCTION("""COMPUTED_VALUE"""),"INICIALIZADO")</f>
        <v>INICIALIZADO</v>
      </c>
      <c r="G4576" s="23">
        <f>IFERROR(__xludf.DUMMYFUNCTION("""COMPUTED_VALUE"""),45628.35653935185)</f>
        <v>45628.35654</v>
      </c>
      <c r="H4576" s="24" t="str">
        <f>IFERROR(VLOOKUP(B4576,material!A:D,3,0),"")</f>
        <v>3.1</v>
      </c>
    </row>
    <row r="4577" ht="11.25" customHeight="1">
      <c r="A4577" s="21" t="str">
        <f>IFERROR(__xludf.DUMMYFUNCTION("""COMPUTED_VALUE"""),"MODEM VOIP EMTA WIFI 3.1 TC3102 32X8")</f>
        <v>MODEM VOIP EMTA WIFI 3.1 TC3102 32X8</v>
      </c>
      <c r="B4577" s="22">
        <f>IFERROR(__xludf.DUMMYFUNCTION("""COMPUTED_VALUE"""),4.1001513E7)</f>
        <v>41001513</v>
      </c>
      <c r="C4577" s="21" t="str">
        <f>IFERROR(__xludf.DUMMYFUNCTION("""COMPUTED_VALUE"""),"1C9ECCB34E54")</f>
        <v>1C9ECCB34E54</v>
      </c>
      <c r="D4577" s="21" t="str">
        <f>IFERROR(__xludf.DUMMYFUNCTION("""COMPUTED_VALUE"""),"DIGITEC TECNOLOGIA DIGITAL E REPRES")</f>
        <v>DIGITEC TECNOLOGIA DIGITAL E REPRES</v>
      </c>
      <c r="E4577" s="21">
        <f>IFERROR(__xludf.DUMMYFUNCTION("""COMPUTED_VALUE"""),145359.0)</f>
        <v>145359</v>
      </c>
      <c r="F4577" s="21" t="str">
        <f>IFERROR(__xludf.DUMMYFUNCTION("""COMPUTED_VALUE"""),"INICIALIZADO")</f>
        <v>INICIALIZADO</v>
      </c>
      <c r="G4577" s="23">
        <f>IFERROR(__xludf.DUMMYFUNCTION("""COMPUTED_VALUE"""),45638.68791666666)</f>
        <v>45638.68792</v>
      </c>
      <c r="H4577" s="24" t="str">
        <f>IFERROR(VLOOKUP(B4577,material!A:D,3,0),"")</f>
        <v>3.1</v>
      </c>
    </row>
    <row r="4578" ht="11.25" customHeight="1">
      <c r="A4578" s="21" t="str">
        <f>IFERROR(__xludf.DUMMYFUNCTION("""COMPUTED_VALUE"""),"MODEM VOIP EMTA WIFI 3.1 TC3102 32X8")</f>
        <v>MODEM VOIP EMTA WIFI 3.1 TC3102 32X8</v>
      </c>
      <c r="B4578" s="22">
        <f>IFERROR(__xludf.DUMMYFUNCTION("""COMPUTED_VALUE"""),4.1001513E7)</f>
        <v>41001513</v>
      </c>
      <c r="C4578" s="21" t="str">
        <f>IFERROR(__xludf.DUMMYFUNCTION("""COMPUTED_VALUE"""),"D4E2CB8E06AC")</f>
        <v>D4E2CB8E06AC</v>
      </c>
      <c r="D4578" s="21" t="str">
        <f>IFERROR(__xludf.DUMMYFUNCTION("""COMPUTED_VALUE"""),"DIGITEC TECNOLOGIA DIGITAL E REPRES")</f>
        <v>DIGITEC TECNOLOGIA DIGITAL E REPRES</v>
      </c>
      <c r="E4578" s="21">
        <f>IFERROR(__xludf.DUMMYFUNCTION("""COMPUTED_VALUE"""),145359.0)</f>
        <v>145359</v>
      </c>
      <c r="F4578" s="21" t="str">
        <f>IFERROR(__xludf.DUMMYFUNCTION("""COMPUTED_VALUE"""),"INICIALIZADO")</f>
        <v>INICIALIZADO</v>
      </c>
      <c r="G4578" s="23">
        <f>IFERROR(__xludf.DUMMYFUNCTION("""COMPUTED_VALUE"""),45638.68791666666)</f>
        <v>45638.68792</v>
      </c>
      <c r="H4578" s="24" t="str">
        <f>IFERROR(VLOOKUP(B4578,material!A:D,3,0),"")</f>
        <v>3.1</v>
      </c>
    </row>
    <row r="4579" ht="11.25" customHeight="1">
      <c r="A4579" s="21" t="str">
        <f>IFERROR(__xludf.DUMMYFUNCTION("""COMPUTED_VALUE"""),"MODEM VOIP EMTA WIFI 3.1 TC3102 32X8")</f>
        <v>MODEM VOIP EMTA WIFI 3.1 TC3102 32X8</v>
      </c>
      <c r="B4579" s="22">
        <f>IFERROR(__xludf.DUMMYFUNCTION("""COMPUTED_VALUE"""),4.1001513E7)</f>
        <v>41001513</v>
      </c>
      <c r="C4579" s="21" t="str">
        <f>IFERROR(__xludf.DUMMYFUNCTION("""COMPUTED_VALUE"""),"C4509CF4D4BC")</f>
        <v>C4509CF4D4BC</v>
      </c>
      <c r="D4579" s="21" t="str">
        <f>IFERROR(__xludf.DUMMYFUNCTION("""COMPUTED_VALUE"""),"DIGITEC TECNOLOGIA DIGITAL E REPRES")</f>
        <v>DIGITEC TECNOLOGIA DIGITAL E REPRES</v>
      </c>
      <c r="E4579" s="21">
        <f>IFERROR(__xludf.DUMMYFUNCTION("""COMPUTED_VALUE"""),145359.0)</f>
        <v>145359</v>
      </c>
      <c r="F4579" s="21" t="str">
        <f>IFERROR(__xludf.DUMMYFUNCTION("""COMPUTED_VALUE"""),"INICIALIZADO")</f>
        <v>INICIALIZADO</v>
      </c>
      <c r="G4579" s="23">
        <f>IFERROR(__xludf.DUMMYFUNCTION("""COMPUTED_VALUE"""),45604.7409375)</f>
        <v>45604.74094</v>
      </c>
      <c r="H4579" s="24" t="str">
        <f>IFERROR(VLOOKUP(B4579,material!A:D,3,0),"")</f>
        <v>3.1</v>
      </c>
    </row>
    <row r="4580" ht="11.25" customHeight="1">
      <c r="A4580" s="21" t="str">
        <f>IFERROR(__xludf.DUMMYFUNCTION("""COMPUTED_VALUE"""),"MODEM VOIP EMTA WIFI 3.1 TC3102 32X8")</f>
        <v>MODEM VOIP EMTA WIFI 3.1 TC3102 32X8</v>
      </c>
      <c r="B4580" s="22">
        <f>IFERROR(__xludf.DUMMYFUNCTION("""COMPUTED_VALUE"""),4.1001513E7)</f>
        <v>41001513</v>
      </c>
      <c r="C4580" s="21" t="str">
        <f>IFERROR(__xludf.DUMMYFUNCTION("""COMPUTED_VALUE"""),"C4509CF4E20C")</f>
        <v>C4509CF4E20C</v>
      </c>
      <c r="D4580" s="21" t="str">
        <f>IFERROR(__xludf.DUMMYFUNCTION("""COMPUTED_VALUE"""),"DIGITEC TECNOLOGIA DIGITAL E REPRES")</f>
        <v>DIGITEC TECNOLOGIA DIGITAL E REPRES</v>
      </c>
      <c r="E4580" s="21">
        <f>IFERROR(__xludf.DUMMYFUNCTION("""COMPUTED_VALUE"""),145359.0)</f>
        <v>145359</v>
      </c>
      <c r="F4580" s="21" t="str">
        <f>IFERROR(__xludf.DUMMYFUNCTION("""COMPUTED_VALUE"""),"INICIALIZADO")</f>
        <v>INICIALIZADO</v>
      </c>
      <c r="G4580" s="23">
        <f>IFERROR(__xludf.DUMMYFUNCTION("""COMPUTED_VALUE"""),45604.740949074076)</f>
        <v>45604.74095</v>
      </c>
      <c r="H4580" s="24" t="str">
        <f>IFERROR(VLOOKUP(B4580,material!A:D,3,0),"")</f>
        <v>3.1</v>
      </c>
    </row>
    <row r="4581" ht="11.25" customHeight="1">
      <c r="A4581" s="21" t="str">
        <f>IFERROR(__xludf.DUMMYFUNCTION("""COMPUTED_VALUE"""),"MODEM VOIP EMTA WIFI 3.1 TC3102 32X8")</f>
        <v>MODEM VOIP EMTA WIFI 3.1 TC3102 32X8</v>
      </c>
      <c r="B4581" s="22">
        <f>IFERROR(__xludf.DUMMYFUNCTION("""COMPUTED_VALUE"""),4.1001513E7)</f>
        <v>41001513</v>
      </c>
      <c r="C4581" s="21" t="str">
        <f>IFERROR(__xludf.DUMMYFUNCTION("""COMPUTED_VALUE"""),"C4509CF34F34")</f>
        <v>C4509CF34F34</v>
      </c>
      <c r="D4581" s="21" t="str">
        <f>IFERROR(__xludf.DUMMYFUNCTION("""COMPUTED_VALUE"""),"DIGITEC TECNOLOGIA DIGITAL E REPRES")</f>
        <v>DIGITEC TECNOLOGIA DIGITAL E REPRES</v>
      </c>
      <c r="E4581" s="21">
        <f>IFERROR(__xludf.DUMMYFUNCTION("""COMPUTED_VALUE"""),145359.0)</f>
        <v>145359</v>
      </c>
      <c r="F4581" s="21" t="str">
        <f>IFERROR(__xludf.DUMMYFUNCTION("""COMPUTED_VALUE"""),"INICIALIZADO")</f>
        <v>INICIALIZADO</v>
      </c>
      <c r="G4581" s="23">
        <f>IFERROR(__xludf.DUMMYFUNCTION("""COMPUTED_VALUE"""),45604.74092592593)</f>
        <v>45604.74093</v>
      </c>
      <c r="H4581" s="24" t="str">
        <f>IFERROR(VLOOKUP(B4581,material!A:D,3,0),"")</f>
        <v>3.1</v>
      </c>
    </row>
    <row r="4582" ht="11.25" customHeight="1">
      <c r="A4582" s="21" t="str">
        <f>IFERROR(__xludf.DUMMYFUNCTION("""COMPUTED_VALUE"""),"MODEM VOIP EMTA WIFI 3.1 TC3102 32X8")</f>
        <v>MODEM VOIP EMTA WIFI 3.1 TC3102 32X8</v>
      </c>
      <c r="B4582" s="22">
        <f>IFERROR(__xludf.DUMMYFUNCTION("""COMPUTED_VALUE"""),4.1001513E7)</f>
        <v>41001513</v>
      </c>
      <c r="C4582" s="21" t="str">
        <f>IFERROR(__xludf.DUMMYFUNCTION("""COMPUTED_VALUE"""),"C4509CF354A4")</f>
        <v>C4509CF354A4</v>
      </c>
      <c r="D4582" s="21" t="str">
        <f>IFERROR(__xludf.DUMMYFUNCTION("""COMPUTED_VALUE"""),"DIGITEC TECNOLOGIA DIGITAL E REPRES")</f>
        <v>DIGITEC TECNOLOGIA DIGITAL E REPRES</v>
      </c>
      <c r="E4582" s="21">
        <f>IFERROR(__xludf.DUMMYFUNCTION("""COMPUTED_VALUE"""),145359.0)</f>
        <v>145359</v>
      </c>
      <c r="F4582" s="21" t="str">
        <f>IFERROR(__xludf.DUMMYFUNCTION("""COMPUTED_VALUE"""),"INICIALIZADO")</f>
        <v>INICIALIZADO</v>
      </c>
      <c r="G4582" s="23">
        <f>IFERROR(__xludf.DUMMYFUNCTION("""COMPUTED_VALUE"""),45604.74091435185)</f>
        <v>45604.74091</v>
      </c>
      <c r="H4582" s="24" t="str">
        <f>IFERROR(VLOOKUP(B4582,material!A:D,3,0),"")</f>
        <v>3.1</v>
      </c>
    </row>
    <row r="4583" ht="11.25" customHeight="1">
      <c r="A4583" s="21" t="str">
        <f>IFERROR(__xludf.DUMMYFUNCTION("""COMPUTED_VALUE"""),"MODEM VOIP EMTA WIFI 3.1 TC3102 32X8")</f>
        <v>MODEM VOIP EMTA WIFI 3.1 TC3102 32X8</v>
      </c>
      <c r="B4583" s="22">
        <f>IFERROR(__xludf.DUMMYFUNCTION("""COMPUTED_VALUE"""),4.1001513E7)</f>
        <v>41001513</v>
      </c>
      <c r="C4583" s="21" t="str">
        <f>IFERROR(__xludf.DUMMYFUNCTION("""COMPUTED_VALUE"""),"C4509CF355F4")</f>
        <v>C4509CF355F4</v>
      </c>
      <c r="D4583" s="21" t="str">
        <f>IFERROR(__xludf.DUMMYFUNCTION("""COMPUTED_VALUE"""),"DIGITEC TECNOLOGIA DIGITAL E REPRES")</f>
        <v>DIGITEC TECNOLOGIA DIGITAL E REPRES</v>
      </c>
      <c r="E4583" s="21">
        <f>IFERROR(__xludf.DUMMYFUNCTION("""COMPUTED_VALUE"""),145359.0)</f>
        <v>145359</v>
      </c>
      <c r="F4583" s="21" t="str">
        <f>IFERROR(__xludf.DUMMYFUNCTION("""COMPUTED_VALUE"""),"INICIALIZADO")</f>
        <v>INICIALIZADO</v>
      </c>
      <c r="G4583" s="23">
        <f>IFERROR(__xludf.DUMMYFUNCTION("""COMPUTED_VALUE"""),45604.74091435185)</f>
        <v>45604.74091</v>
      </c>
      <c r="H4583" s="24" t="str">
        <f>IFERROR(VLOOKUP(B4583,material!A:D,3,0),"")</f>
        <v>3.1</v>
      </c>
    </row>
    <row r="4584" ht="11.25" customHeight="1">
      <c r="A4584" s="21" t="str">
        <f>IFERROR(__xludf.DUMMYFUNCTION("""COMPUTED_VALUE"""),"MODEM VOIP EMTA WIFI 3.1 TC3102 32X8")</f>
        <v>MODEM VOIP EMTA WIFI 3.1 TC3102 32X8</v>
      </c>
      <c r="B4584" s="22">
        <f>IFERROR(__xludf.DUMMYFUNCTION("""COMPUTED_VALUE"""),4.1001513E7)</f>
        <v>41001513</v>
      </c>
      <c r="C4584" s="21" t="str">
        <f>IFERROR(__xludf.DUMMYFUNCTION("""COMPUTED_VALUE"""),"C4509CF4D9E4")</f>
        <v>C4509CF4D9E4</v>
      </c>
      <c r="D4584" s="21" t="str">
        <f>IFERROR(__xludf.DUMMYFUNCTION("""COMPUTED_VALUE"""),"DIGITEC TECNOLOGIA DIGITAL E REPRES")</f>
        <v>DIGITEC TECNOLOGIA DIGITAL E REPRES</v>
      </c>
      <c r="E4584" s="21">
        <f>IFERROR(__xludf.DUMMYFUNCTION("""COMPUTED_VALUE"""),145359.0)</f>
        <v>145359</v>
      </c>
      <c r="F4584" s="21" t="str">
        <f>IFERROR(__xludf.DUMMYFUNCTION("""COMPUTED_VALUE"""),"INICIALIZADO")</f>
        <v>INICIALIZADO</v>
      </c>
      <c r="G4584" s="23">
        <f>IFERROR(__xludf.DUMMYFUNCTION("""COMPUTED_VALUE"""),45604.74096064815)</f>
        <v>45604.74096</v>
      </c>
      <c r="H4584" s="24" t="str">
        <f>IFERROR(VLOOKUP(B4584,material!A:D,3,0),"")</f>
        <v>3.1</v>
      </c>
    </row>
    <row r="4585" ht="11.25" customHeight="1">
      <c r="A4585" s="21" t="str">
        <f>IFERROR(__xludf.DUMMYFUNCTION("""COMPUTED_VALUE"""),"MODEM VOIP EMTA WIFI 3.1 TC3102 32X8")</f>
        <v>MODEM VOIP EMTA WIFI 3.1 TC3102 32X8</v>
      </c>
      <c r="B4585" s="22">
        <f>IFERROR(__xludf.DUMMYFUNCTION("""COMPUTED_VALUE"""),4.1001513E7)</f>
        <v>41001513</v>
      </c>
      <c r="C4585" s="21" t="str">
        <f>IFERROR(__xludf.DUMMYFUNCTION("""COMPUTED_VALUE"""),"C4509CF4DA74")</f>
        <v>C4509CF4DA74</v>
      </c>
      <c r="D4585" s="21" t="str">
        <f>IFERROR(__xludf.DUMMYFUNCTION("""COMPUTED_VALUE"""),"DIGITEC TECNOLOGIA DIGITAL E REPRES")</f>
        <v>DIGITEC TECNOLOGIA DIGITAL E REPRES</v>
      </c>
      <c r="E4585" s="21">
        <f>IFERROR(__xludf.DUMMYFUNCTION("""COMPUTED_VALUE"""),145359.0)</f>
        <v>145359</v>
      </c>
      <c r="F4585" s="21" t="str">
        <f>IFERROR(__xludf.DUMMYFUNCTION("""COMPUTED_VALUE"""),"INICIALIZADO")</f>
        <v>INICIALIZADO</v>
      </c>
      <c r="G4585" s="23">
        <f>IFERROR(__xludf.DUMMYFUNCTION("""COMPUTED_VALUE"""),45604.74096064815)</f>
        <v>45604.74096</v>
      </c>
      <c r="H4585" s="24" t="str">
        <f>IFERROR(VLOOKUP(B4585,material!A:D,3,0),"")</f>
        <v>3.1</v>
      </c>
    </row>
    <row r="4586" ht="11.25" customHeight="1">
      <c r="A4586" s="21" t="str">
        <f>IFERROR(__xludf.DUMMYFUNCTION("""COMPUTED_VALUE"""),"MODEM VOIP EMTA WIFI 3.1 TC3102 32X8")</f>
        <v>MODEM VOIP EMTA WIFI 3.1 TC3102 32X8</v>
      </c>
      <c r="B4586" s="22">
        <f>IFERROR(__xludf.DUMMYFUNCTION("""COMPUTED_VALUE"""),4.1001513E7)</f>
        <v>41001513</v>
      </c>
      <c r="C4586" s="21" t="str">
        <f>IFERROR(__xludf.DUMMYFUNCTION("""COMPUTED_VALUE"""),"C4509CF4DE04")</f>
        <v>C4509CF4DE04</v>
      </c>
      <c r="D4586" s="21" t="str">
        <f>IFERROR(__xludf.DUMMYFUNCTION("""COMPUTED_VALUE"""),"DIGITEC TECNOLOGIA DIGITAL E REPRES")</f>
        <v>DIGITEC TECNOLOGIA DIGITAL E REPRES</v>
      </c>
      <c r="E4586" s="21">
        <f>IFERROR(__xludf.DUMMYFUNCTION("""COMPUTED_VALUE"""),145359.0)</f>
        <v>145359</v>
      </c>
      <c r="F4586" s="21" t="str">
        <f>IFERROR(__xludf.DUMMYFUNCTION("""COMPUTED_VALUE"""),"INICIALIZADO")</f>
        <v>INICIALIZADO</v>
      </c>
      <c r="G4586" s="23">
        <f>IFERROR(__xludf.DUMMYFUNCTION("""COMPUTED_VALUE"""),45604.74097222222)</f>
        <v>45604.74097</v>
      </c>
      <c r="H4586" s="24" t="str">
        <f>IFERROR(VLOOKUP(B4586,material!A:D,3,0),"")</f>
        <v>3.1</v>
      </c>
    </row>
    <row r="4587" ht="11.25" customHeight="1">
      <c r="A4587" s="21" t="str">
        <f>IFERROR(__xludf.DUMMYFUNCTION("""COMPUTED_VALUE"""),"MODEM VOIP EMTA WIFI 3.1 TC3102 32X8")</f>
        <v>MODEM VOIP EMTA WIFI 3.1 TC3102 32X8</v>
      </c>
      <c r="B4587" s="22">
        <f>IFERROR(__xludf.DUMMYFUNCTION("""COMPUTED_VALUE"""),4.1001513E7)</f>
        <v>41001513</v>
      </c>
      <c r="C4587" s="21" t="str">
        <f>IFERROR(__xludf.DUMMYFUNCTION("""COMPUTED_VALUE"""),"C4509CF4E1C4")</f>
        <v>C4509CF4E1C4</v>
      </c>
      <c r="D4587" s="21" t="str">
        <f>IFERROR(__xludf.DUMMYFUNCTION("""COMPUTED_VALUE"""),"DIGITEC TECNOLOGIA DIGITAL E REPRES")</f>
        <v>DIGITEC TECNOLOGIA DIGITAL E REPRES</v>
      </c>
      <c r="E4587" s="21">
        <f>IFERROR(__xludf.DUMMYFUNCTION("""COMPUTED_VALUE"""),145359.0)</f>
        <v>145359</v>
      </c>
      <c r="F4587" s="21" t="str">
        <f>IFERROR(__xludf.DUMMYFUNCTION("""COMPUTED_VALUE"""),"INICIALIZADO")</f>
        <v>INICIALIZADO</v>
      </c>
      <c r="G4587" s="23">
        <f>IFERROR(__xludf.DUMMYFUNCTION("""COMPUTED_VALUE"""),45604.740949074076)</f>
        <v>45604.74095</v>
      </c>
      <c r="H4587" s="24" t="str">
        <f>IFERROR(VLOOKUP(B4587,material!A:D,3,0),"")</f>
        <v>3.1</v>
      </c>
    </row>
    <row r="4588" ht="11.25" customHeight="1">
      <c r="A4588" s="21" t="str">
        <f>IFERROR(__xludf.DUMMYFUNCTION("""COMPUTED_VALUE"""),"MODEM VOIP EMTA WIFI 3.1 TC3102 32X8")</f>
        <v>MODEM VOIP EMTA WIFI 3.1 TC3102 32X8</v>
      </c>
      <c r="B4588" s="22">
        <f>IFERROR(__xludf.DUMMYFUNCTION("""COMPUTED_VALUE"""),4.1001513E7)</f>
        <v>41001513</v>
      </c>
      <c r="C4588" s="21" t="str">
        <f>IFERROR(__xludf.DUMMYFUNCTION("""COMPUTED_VALUE"""),"C4509CF437B4")</f>
        <v>C4509CF437B4</v>
      </c>
      <c r="D4588" s="21" t="str">
        <f>IFERROR(__xludf.DUMMYFUNCTION("""COMPUTED_VALUE"""),"DIGITEC TECNOLOGIA DIGITAL E REPRES")</f>
        <v>DIGITEC TECNOLOGIA DIGITAL E REPRES</v>
      </c>
      <c r="E4588" s="21">
        <f>IFERROR(__xludf.DUMMYFUNCTION("""COMPUTED_VALUE"""),145359.0)</f>
        <v>145359</v>
      </c>
      <c r="F4588" s="21" t="str">
        <f>IFERROR(__xludf.DUMMYFUNCTION("""COMPUTED_VALUE"""),"INICIALIZADO")</f>
        <v>INICIALIZADO</v>
      </c>
      <c r="G4588" s="23">
        <f>IFERROR(__xludf.DUMMYFUNCTION("""COMPUTED_VALUE"""),45604.740949074076)</f>
        <v>45604.74095</v>
      </c>
      <c r="H4588" s="24" t="str">
        <f>IFERROR(VLOOKUP(B4588,material!A:D,3,0),"")</f>
        <v>3.1</v>
      </c>
    </row>
    <row r="4589" ht="11.25" customHeight="1">
      <c r="A4589" s="21" t="str">
        <f>IFERROR(__xludf.DUMMYFUNCTION("""COMPUTED_VALUE"""),"MODEM VOIP EMTA WIFI 3.1 TC3102 32X8")</f>
        <v>MODEM VOIP EMTA WIFI 3.1 TC3102 32X8</v>
      </c>
      <c r="B4589" s="22">
        <f>IFERROR(__xludf.DUMMYFUNCTION("""COMPUTED_VALUE"""),4.1001513E7)</f>
        <v>41001513</v>
      </c>
      <c r="C4589" s="21" t="str">
        <f>IFERROR(__xludf.DUMMYFUNCTION("""COMPUTED_VALUE"""),"C4509CF4CE74")</f>
        <v>C4509CF4CE74</v>
      </c>
      <c r="D4589" s="21" t="str">
        <f>IFERROR(__xludf.DUMMYFUNCTION("""COMPUTED_VALUE"""),"DIGITEC TECNOLOGIA DIGITAL E REPRES")</f>
        <v>DIGITEC TECNOLOGIA DIGITAL E REPRES</v>
      </c>
      <c r="E4589" s="21">
        <f>IFERROR(__xludf.DUMMYFUNCTION("""COMPUTED_VALUE"""),145359.0)</f>
        <v>145359</v>
      </c>
      <c r="F4589" s="21" t="str">
        <f>IFERROR(__xludf.DUMMYFUNCTION("""COMPUTED_VALUE"""),"INICIALIZADO")</f>
        <v>INICIALIZADO</v>
      </c>
      <c r="G4589" s="23">
        <f>IFERROR(__xludf.DUMMYFUNCTION("""COMPUTED_VALUE"""),45604.740949074076)</f>
        <v>45604.74095</v>
      </c>
      <c r="H4589" s="24" t="str">
        <f>IFERROR(VLOOKUP(B4589,material!A:D,3,0),"")</f>
        <v>3.1</v>
      </c>
    </row>
    <row r="4590" ht="11.25" customHeight="1">
      <c r="A4590" s="21" t="str">
        <f>IFERROR(__xludf.DUMMYFUNCTION("""COMPUTED_VALUE"""),"MODEM VOIP EMTA WIFI 3.1 TC3102 32X8")</f>
        <v>MODEM VOIP EMTA WIFI 3.1 TC3102 32X8</v>
      </c>
      <c r="B4590" s="22">
        <f>IFERROR(__xludf.DUMMYFUNCTION("""COMPUTED_VALUE"""),4.1001513E7)</f>
        <v>41001513</v>
      </c>
      <c r="C4590" s="21" t="str">
        <f>IFERROR(__xludf.DUMMYFUNCTION("""COMPUTED_VALUE"""),"C4509CF354BC")</f>
        <v>C4509CF354BC</v>
      </c>
      <c r="D4590" s="21" t="str">
        <f>IFERROR(__xludf.DUMMYFUNCTION("""COMPUTED_VALUE"""),"DIGITEC TECNOLOGIA DIGITAL E REPRES")</f>
        <v>DIGITEC TECNOLOGIA DIGITAL E REPRES</v>
      </c>
      <c r="E4590" s="21">
        <f>IFERROR(__xludf.DUMMYFUNCTION("""COMPUTED_VALUE"""),145359.0)</f>
        <v>145359</v>
      </c>
      <c r="F4590" s="21" t="str">
        <f>IFERROR(__xludf.DUMMYFUNCTION("""COMPUTED_VALUE"""),"INICIALIZADO")</f>
        <v>INICIALIZADO</v>
      </c>
      <c r="G4590" s="23">
        <f>IFERROR(__xludf.DUMMYFUNCTION("""COMPUTED_VALUE"""),45604.74091435185)</f>
        <v>45604.74091</v>
      </c>
      <c r="H4590" s="24" t="str">
        <f>IFERROR(VLOOKUP(B4590,material!A:D,3,0),"")</f>
        <v>3.1</v>
      </c>
    </row>
    <row r="4591" ht="11.25" customHeight="1">
      <c r="A4591" s="21" t="str">
        <f>IFERROR(__xludf.DUMMYFUNCTION("""COMPUTED_VALUE"""),"MODEM VOIP EMTA WIFI 3.1 TC3102 32X8")</f>
        <v>MODEM VOIP EMTA WIFI 3.1 TC3102 32X8</v>
      </c>
      <c r="B4591" s="22">
        <f>IFERROR(__xludf.DUMMYFUNCTION("""COMPUTED_VALUE"""),4.1001513E7)</f>
        <v>41001513</v>
      </c>
      <c r="C4591" s="21" t="str">
        <f>IFERROR(__xludf.DUMMYFUNCTION("""COMPUTED_VALUE"""),"C4509CF355AC")</f>
        <v>C4509CF355AC</v>
      </c>
      <c r="D4591" s="21" t="str">
        <f>IFERROR(__xludf.DUMMYFUNCTION("""COMPUTED_VALUE"""),"DIGITEC TECNOLOGIA DIGITAL E REPRES")</f>
        <v>DIGITEC TECNOLOGIA DIGITAL E REPRES</v>
      </c>
      <c r="E4591" s="21">
        <f>IFERROR(__xludf.DUMMYFUNCTION("""COMPUTED_VALUE"""),145359.0)</f>
        <v>145359</v>
      </c>
      <c r="F4591" s="21" t="str">
        <f>IFERROR(__xludf.DUMMYFUNCTION("""COMPUTED_VALUE"""),"INICIALIZADO")</f>
        <v>INICIALIZADO</v>
      </c>
      <c r="G4591" s="23">
        <f>IFERROR(__xludf.DUMMYFUNCTION("""COMPUTED_VALUE"""),45604.74091435185)</f>
        <v>45604.74091</v>
      </c>
      <c r="H4591" s="24" t="str">
        <f>IFERROR(VLOOKUP(B4591,material!A:D,3,0),"")</f>
        <v>3.1</v>
      </c>
    </row>
    <row r="4592" ht="11.25" customHeight="1">
      <c r="A4592" s="21" t="str">
        <f>IFERROR(__xludf.DUMMYFUNCTION("""COMPUTED_VALUE"""),"MODEM VOIP EMTA WIFI 3.1 TC3102 32X8")</f>
        <v>MODEM VOIP EMTA WIFI 3.1 TC3102 32X8</v>
      </c>
      <c r="B4592" s="22">
        <f>IFERROR(__xludf.DUMMYFUNCTION("""COMPUTED_VALUE"""),4.1001513E7)</f>
        <v>41001513</v>
      </c>
      <c r="C4592" s="21" t="str">
        <f>IFERROR(__xludf.DUMMYFUNCTION("""COMPUTED_VALUE"""),"C4509CF33FD4")</f>
        <v>C4509CF33FD4</v>
      </c>
      <c r="D4592" s="21" t="str">
        <f>IFERROR(__xludf.DUMMYFUNCTION("""COMPUTED_VALUE"""),"DIGITEC TECNOLOGIA DIGITAL E REPRES")</f>
        <v>DIGITEC TECNOLOGIA DIGITAL E REPRES</v>
      </c>
      <c r="E4592" s="21">
        <f>IFERROR(__xludf.DUMMYFUNCTION("""COMPUTED_VALUE"""),145359.0)</f>
        <v>145359</v>
      </c>
      <c r="F4592" s="21" t="str">
        <f>IFERROR(__xludf.DUMMYFUNCTION("""COMPUTED_VALUE"""),"INICIALIZADO")</f>
        <v>INICIALIZADO</v>
      </c>
      <c r="G4592" s="23">
        <f>IFERROR(__xludf.DUMMYFUNCTION("""COMPUTED_VALUE"""),45604.740891203706)</f>
        <v>45604.74089</v>
      </c>
      <c r="H4592" s="24" t="str">
        <f>IFERROR(VLOOKUP(B4592,material!A:D,3,0),"")</f>
        <v>3.1</v>
      </c>
    </row>
    <row r="4593" ht="11.25" customHeight="1">
      <c r="A4593" s="21" t="str">
        <f>IFERROR(__xludf.DUMMYFUNCTION("""COMPUTED_VALUE"""),"MODEM VOIP EMTA WIFI 3.1 TC3102 32X8")</f>
        <v>MODEM VOIP EMTA WIFI 3.1 TC3102 32X8</v>
      </c>
      <c r="B4593" s="22">
        <f>IFERROR(__xludf.DUMMYFUNCTION("""COMPUTED_VALUE"""),4.1001513E7)</f>
        <v>41001513</v>
      </c>
      <c r="C4593" s="21" t="str">
        <f>IFERROR(__xludf.DUMMYFUNCTION("""COMPUTED_VALUE"""),"C4509CF33E9C")</f>
        <v>C4509CF33E9C</v>
      </c>
      <c r="D4593" s="21" t="str">
        <f>IFERROR(__xludf.DUMMYFUNCTION("""COMPUTED_VALUE"""),"DIGITEC TECNOLOGIA DIGITAL E REPRES")</f>
        <v>DIGITEC TECNOLOGIA DIGITAL E REPRES</v>
      </c>
      <c r="E4593" s="21">
        <f>IFERROR(__xludf.DUMMYFUNCTION("""COMPUTED_VALUE"""),145359.0)</f>
        <v>145359</v>
      </c>
      <c r="F4593" s="21" t="str">
        <f>IFERROR(__xludf.DUMMYFUNCTION("""COMPUTED_VALUE"""),"INICIALIZADO")</f>
        <v>INICIALIZADO</v>
      </c>
      <c r="G4593" s="23">
        <f>IFERROR(__xludf.DUMMYFUNCTION("""COMPUTED_VALUE"""),45604.740891203706)</f>
        <v>45604.74089</v>
      </c>
      <c r="H4593" s="24" t="str">
        <f>IFERROR(VLOOKUP(B4593,material!A:D,3,0),"")</f>
        <v>3.1</v>
      </c>
    </row>
    <row r="4594" ht="11.25" customHeight="1">
      <c r="A4594" s="21" t="str">
        <f>IFERROR(__xludf.DUMMYFUNCTION("""COMPUTED_VALUE"""),"MODEM VOIP EMTA WIFI 3.1 TC3102 32X8")</f>
        <v>MODEM VOIP EMTA WIFI 3.1 TC3102 32X8</v>
      </c>
      <c r="B4594" s="22">
        <f>IFERROR(__xludf.DUMMYFUNCTION("""COMPUTED_VALUE"""),4.1001513E7)</f>
        <v>41001513</v>
      </c>
      <c r="C4594" s="21" t="str">
        <f>IFERROR(__xludf.DUMMYFUNCTION("""COMPUTED_VALUE"""),"C4509CF34694")</f>
        <v>C4509CF34694</v>
      </c>
      <c r="D4594" s="21" t="str">
        <f>IFERROR(__xludf.DUMMYFUNCTION("""COMPUTED_VALUE"""),"DIGITEC TECNOLOGIA DIGITAL E REPRES")</f>
        <v>DIGITEC TECNOLOGIA DIGITAL E REPRES</v>
      </c>
      <c r="E4594" s="21">
        <f>IFERROR(__xludf.DUMMYFUNCTION("""COMPUTED_VALUE"""),145359.0)</f>
        <v>145359</v>
      </c>
      <c r="F4594" s="21" t="str">
        <f>IFERROR(__xludf.DUMMYFUNCTION("""COMPUTED_VALUE"""),"INICIALIZADO")</f>
        <v>INICIALIZADO</v>
      </c>
      <c r="G4594" s="23">
        <f>IFERROR(__xludf.DUMMYFUNCTION("""COMPUTED_VALUE"""),45604.740891203706)</f>
        <v>45604.74089</v>
      </c>
      <c r="H4594" s="24" t="str">
        <f>IFERROR(VLOOKUP(B4594,material!A:D,3,0),"")</f>
        <v>3.1</v>
      </c>
    </row>
    <row r="4595" ht="11.25" customHeight="1">
      <c r="A4595" s="21" t="str">
        <f>IFERROR(__xludf.DUMMYFUNCTION("""COMPUTED_VALUE"""),"MODEM VOIP EMTA WIFI 3.1 TC3102 32X8")</f>
        <v>MODEM VOIP EMTA WIFI 3.1 TC3102 32X8</v>
      </c>
      <c r="B4595" s="22">
        <f>IFERROR(__xludf.DUMMYFUNCTION("""COMPUTED_VALUE"""),4.1001513E7)</f>
        <v>41001513</v>
      </c>
      <c r="C4595" s="21" t="str">
        <f>IFERROR(__xludf.DUMMYFUNCTION("""COMPUTED_VALUE"""),"C4509CF4D774")</f>
        <v>C4509CF4D774</v>
      </c>
      <c r="D4595" s="21" t="str">
        <f>IFERROR(__xludf.DUMMYFUNCTION("""COMPUTED_VALUE"""),"DIGITEC TECNOLOGIA DIGITAL E REPRES")</f>
        <v>DIGITEC TECNOLOGIA DIGITAL E REPRES</v>
      </c>
      <c r="E4595" s="21">
        <f>IFERROR(__xludf.DUMMYFUNCTION("""COMPUTED_VALUE"""),145359.0)</f>
        <v>145359</v>
      </c>
      <c r="F4595" s="21" t="str">
        <f>IFERROR(__xludf.DUMMYFUNCTION("""COMPUTED_VALUE"""),"INICIALIZADO")</f>
        <v>INICIALIZADO</v>
      </c>
      <c r="G4595" s="23">
        <f>IFERROR(__xludf.DUMMYFUNCTION("""COMPUTED_VALUE"""),45604.7409375)</f>
        <v>45604.74094</v>
      </c>
      <c r="H4595" s="24" t="str">
        <f>IFERROR(VLOOKUP(B4595,material!A:D,3,0),"")</f>
        <v>3.1</v>
      </c>
    </row>
    <row r="4596" ht="11.25" customHeight="1">
      <c r="A4596" s="21" t="str">
        <f>IFERROR(__xludf.DUMMYFUNCTION("""COMPUTED_VALUE"""),"MODEM VOIP EMTA WIFI 3.1 TC3102 32X8")</f>
        <v>MODEM VOIP EMTA WIFI 3.1 TC3102 32X8</v>
      </c>
      <c r="B4596" s="22">
        <f>IFERROR(__xludf.DUMMYFUNCTION("""COMPUTED_VALUE"""),4.1001513E7)</f>
        <v>41001513</v>
      </c>
      <c r="C4596" s="21" t="str">
        <f>IFERROR(__xludf.DUMMYFUNCTION("""COMPUTED_VALUE"""),"C4509CF4D1D4")</f>
        <v>C4509CF4D1D4</v>
      </c>
      <c r="D4596" s="21" t="str">
        <f>IFERROR(__xludf.DUMMYFUNCTION("""COMPUTED_VALUE"""),"DIGITEC TECNOLOGIA DIGITAL E REPRES")</f>
        <v>DIGITEC TECNOLOGIA DIGITAL E REPRES</v>
      </c>
      <c r="E4596" s="21">
        <f>IFERROR(__xludf.DUMMYFUNCTION("""COMPUTED_VALUE"""),145359.0)</f>
        <v>145359</v>
      </c>
      <c r="F4596" s="21" t="str">
        <f>IFERROR(__xludf.DUMMYFUNCTION("""COMPUTED_VALUE"""),"INICIALIZADO")</f>
        <v>INICIALIZADO</v>
      </c>
      <c r="G4596" s="23">
        <f>IFERROR(__xludf.DUMMYFUNCTION("""COMPUTED_VALUE"""),45604.740949074076)</f>
        <v>45604.74095</v>
      </c>
      <c r="H4596" s="24" t="str">
        <f>IFERROR(VLOOKUP(B4596,material!A:D,3,0),"")</f>
        <v>3.1</v>
      </c>
    </row>
    <row r="4597" ht="11.25" customHeight="1">
      <c r="A4597" s="21" t="str">
        <f>IFERROR(__xludf.DUMMYFUNCTION("""COMPUTED_VALUE"""),"MODEM VOIP EMTA WIFI 3.1 TC3102 32X8")</f>
        <v>MODEM VOIP EMTA WIFI 3.1 TC3102 32X8</v>
      </c>
      <c r="B4597" s="22">
        <f>IFERROR(__xludf.DUMMYFUNCTION("""COMPUTED_VALUE"""),4.1001513E7)</f>
        <v>41001513</v>
      </c>
      <c r="C4597" s="21" t="str">
        <f>IFERROR(__xludf.DUMMYFUNCTION("""COMPUTED_VALUE"""),"C4509CF35114")</f>
        <v>C4509CF35114</v>
      </c>
      <c r="D4597" s="21" t="str">
        <f>IFERROR(__xludf.DUMMYFUNCTION("""COMPUTED_VALUE"""),"DIGITEC TECNOLOGIA DIGITAL E REPRES")</f>
        <v>DIGITEC TECNOLOGIA DIGITAL E REPRES</v>
      </c>
      <c r="E4597" s="21">
        <f>IFERROR(__xludf.DUMMYFUNCTION("""COMPUTED_VALUE"""),145359.0)</f>
        <v>145359</v>
      </c>
      <c r="F4597" s="21" t="str">
        <f>IFERROR(__xludf.DUMMYFUNCTION("""COMPUTED_VALUE"""),"INICIALIZADO")</f>
        <v>INICIALIZADO</v>
      </c>
      <c r="G4597" s="23">
        <f>IFERROR(__xludf.DUMMYFUNCTION("""COMPUTED_VALUE"""),45604.74092592593)</f>
        <v>45604.74093</v>
      </c>
      <c r="H4597" s="24" t="str">
        <f>IFERROR(VLOOKUP(B4597,material!A:D,3,0),"")</f>
        <v>3.1</v>
      </c>
    </row>
    <row r="4598" ht="11.25" customHeight="1">
      <c r="A4598" s="21" t="str">
        <f>IFERROR(__xludf.DUMMYFUNCTION("""COMPUTED_VALUE"""),"MODEM VOIP EMTA WIFI 3.1 TC3102 32X8")</f>
        <v>MODEM VOIP EMTA WIFI 3.1 TC3102 32X8</v>
      </c>
      <c r="B4598" s="22">
        <f>IFERROR(__xludf.DUMMYFUNCTION("""COMPUTED_VALUE"""),4.1001513E7)</f>
        <v>41001513</v>
      </c>
      <c r="C4598" s="21" t="str">
        <f>IFERROR(__xludf.DUMMYFUNCTION("""COMPUTED_VALUE"""),"C4509CF34D24")</f>
        <v>C4509CF34D24</v>
      </c>
      <c r="D4598" s="21" t="str">
        <f>IFERROR(__xludf.DUMMYFUNCTION("""COMPUTED_VALUE"""),"DIGITEC TECNOLOGIA DIGITAL E REPRES")</f>
        <v>DIGITEC TECNOLOGIA DIGITAL E REPRES</v>
      </c>
      <c r="E4598" s="21">
        <f>IFERROR(__xludf.DUMMYFUNCTION("""COMPUTED_VALUE"""),145359.0)</f>
        <v>145359</v>
      </c>
      <c r="F4598" s="21" t="str">
        <f>IFERROR(__xludf.DUMMYFUNCTION("""COMPUTED_VALUE"""),"INICIALIZADO")</f>
        <v>INICIALIZADO</v>
      </c>
      <c r="G4598" s="23">
        <f>IFERROR(__xludf.DUMMYFUNCTION("""COMPUTED_VALUE"""),45604.74092592593)</f>
        <v>45604.74093</v>
      </c>
      <c r="H4598" s="24" t="str">
        <f>IFERROR(VLOOKUP(B4598,material!A:D,3,0),"")</f>
        <v>3.1</v>
      </c>
    </row>
    <row r="4599" ht="11.25" customHeight="1">
      <c r="A4599" s="21" t="str">
        <f>IFERROR(__xludf.DUMMYFUNCTION("""COMPUTED_VALUE"""),"MODEM VOIP EMTA WIFI 3.1 TC3102 32X8")</f>
        <v>MODEM VOIP EMTA WIFI 3.1 TC3102 32X8</v>
      </c>
      <c r="B4599" s="22">
        <f>IFERROR(__xludf.DUMMYFUNCTION("""COMPUTED_VALUE"""),4.1001513E7)</f>
        <v>41001513</v>
      </c>
      <c r="C4599" s="21" t="str">
        <f>IFERROR(__xludf.DUMMYFUNCTION("""COMPUTED_VALUE"""),"C4509CF344B4")</f>
        <v>C4509CF344B4</v>
      </c>
      <c r="D4599" s="21" t="str">
        <f>IFERROR(__xludf.DUMMYFUNCTION("""COMPUTED_VALUE"""),"DIGITEC TECNOLOGIA DIGITAL E REPRES")</f>
        <v>DIGITEC TECNOLOGIA DIGITAL E REPRES</v>
      </c>
      <c r="E4599" s="21">
        <f>IFERROR(__xludf.DUMMYFUNCTION("""COMPUTED_VALUE"""),145359.0)</f>
        <v>145359</v>
      </c>
      <c r="F4599" s="21" t="str">
        <f>IFERROR(__xludf.DUMMYFUNCTION("""COMPUTED_VALUE"""),"INICIALIZADO")</f>
        <v>INICIALIZADO</v>
      </c>
      <c r="G4599" s="23">
        <f>IFERROR(__xludf.DUMMYFUNCTION("""COMPUTED_VALUE"""),45604.740902777776)</f>
        <v>45604.7409</v>
      </c>
      <c r="H4599" s="24" t="str">
        <f>IFERROR(VLOOKUP(B4599,material!A:D,3,0),"")</f>
        <v>3.1</v>
      </c>
    </row>
    <row r="4600" ht="11.25" customHeight="1">
      <c r="A4600" s="21" t="str">
        <f>IFERROR(__xludf.DUMMYFUNCTION("""COMPUTED_VALUE"""),"MODEM VOIP EMTA WIFI 3.1 TC3102 32X8")</f>
        <v>MODEM VOIP EMTA WIFI 3.1 TC3102 32X8</v>
      </c>
      <c r="B4600" s="22">
        <f>IFERROR(__xludf.DUMMYFUNCTION("""COMPUTED_VALUE"""),4.1001513E7)</f>
        <v>41001513</v>
      </c>
      <c r="C4600" s="21" t="str">
        <f>IFERROR(__xludf.DUMMYFUNCTION("""COMPUTED_VALUE"""),"1C9D7269D204")</f>
        <v>1C9D7269D204</v>
      </c>
      <c r="D4600" s="21" t="str">
        <f>IFERROR(__xludf.DUMMYFUNCTION("""COMPUTED_VALUE"""),"DIGITEC TECNOLOGIA DIGITAL E REPRES")</f>
        <v>DIGITEC TECNOLOGIA DIGITAL E REPRES</v>
      </c>
      <c r="E4600" s="21">
        <f>IFERROR(__xludf.DUMMYFUNCTION("""COMPUTED_VALUE"""),145359.0)</f>
        <v>145359</v>
      </c>
      <c r="F4600" s="21" t="str">
        <f>IFERROR(__xludf.DUMMYFUNCTION("""COMPUTED_VALUE"""),"INICIALIZADO")</f>
        <v>INICIALIZADO</v>
      </c>
      <c r="G4600" s="23">
        <f>IFERROR(__xludf.DUMMYFUNCTION("""COMPUTED_VALUE"""),45638.68791666666)</f>
        <v>45638.68792</v>
      </c>
      <c r="H4600" s="24" t="str">
        <f>IFERROR(VLOOKUP(B4600,material!A:D,3,0),"")</f>
        <v>3.1</v>
      </c>
    </row>
    <row r="4601" ht="11.25" customHeight="1">
      <c r="A4601" s="21" t="str">
        <f>IFERROR(__xludf.DUMMYFUNCTION("""COMPUTED_VALUE"""),"MODEM VOIP EMTA WIFI 3.1 TC3102 32X8")</f>
        <v>MODEM VOIP EMTA WIFI 3.1 TC3102 32X8</v>
      </c>
      <c r="B4601" s="22">
        <f>IFERROR(__xludf.DUMMYFUNCTION("""COMPUTED_VALUE"""),4.1001513E7)</f>
        <v>41001513</v>
      </c>
      <c r="C4601" s="21" t="str">
        <f>IFERROR(__xludf.DUMMYFUNCTION("""COMPUTED_VALUE"""),"C4509CF348D4")</f>
        <v>C4509CF348D4</v>
      </c>
      <c r="D4601" s="21" t="str">
        <f>IFERROR(__xludf.DUMMYFUNCTION("""COMPUTED_VALUE"""),"DIGITEC TECNOLOGIA DIGITAL E REPRES")</f>
        <v>DIGITEC TECNOLOGIA DIGITAL E REPRES</v>
      </c>
      <c r="E4601" s="21">
        <f>IFERROR(__xludf.DUMMYFUNCTION("""COMPUTED_VALUE"""),145359.0)</f>
        <v>145359</v>
      </c>
      <c r="F4601" s="21" t="str">
        <f>IFERROR(__xludf.DUMMYFUNCTION("""COMPUTED_VALUE"""),"INICIALIZADO")</f>
        <v>INICIALIZADO</v>
      </c>
      <c r="G4601" s="23">
        <f>IFERROR(__xludf.DUMMYFUNCTION("""COMPUTED_VALUE"""),45604.74092592593)</f>
        <v>45604.74093</v>
      </c>
      <c r="H4601" s="24" t="str">
        <f>IFERROR(VLOOKUP(B4601,material!A:D,3,0),"")</f>
        <v>3.1</v>
      </c>
    </row>
    <row r="4602" ht="11.25" customHeight="1">
      <c r="A4602" s="21" t="str">
        <f>IFERROR(__xludf.DUMMYFUNCTION("""COMPUTED_VALUE"""),"MODEM VOIP EMTA WIFI 3.1 TC3102 32X8")</f>
        <v>MODEM VOIP EMTA WIFI 3.1 TC3102 32X8</v>
      </c>
      <c r="B4602" s="22">
        <f>IFERROR(__xludf.DUMMYFUNCTION("""COMPUTED_VALUE"""),4.1001513E7)</f>
        <v>41001513</v>
      </c>
      <c r="C4602" s="21" t="str">
        <f>IFERROR(__xludf.DUMMYFUNCTION("""COMPUTED_VALUE"""),"C4509CF3494C")</f>
        <v>C4509CF3494C</v>
      </c>
      <c r="D4602" s="21" t="str">
        <f>IFERROR(__xludf.DUMMYFUNCTION("""COMPUTED_VALUE"""),"DIGITEC TECNOLOGIA DIGITAL E REPRES")</f>
        <v>DIGITEC TECNOLOGIA DIGITAL E REPRES</v>
      </c>
      <c r="E4602" s="21">
        <f>IFERROR(__xludf.DUMMYFUNCTION("""COMPUTED_VALUE"""),145359.0)</f>
        <v>145359</v>
      </c>
      <c r="F4602" s="21" t="str">
        <f>IFERROR(__xludf.DUMMYFUNCTION("""COMPUTED_VALUE"""),"INICIALIZADO")</f>
        <v>INICIALIZADO</v>
      </c>
      <c r="G4602" s="23">
        <f>IFERROR(__xludf.DUMMYFUNCTION("""COMPUTED_VALUE"""),45604.74092592593)</f>
        <v>45604.74093</v>
      </c>
      <c r="H4602" s="24" t="str">
        <f>IFERROR(VLOOKUP(B4602,material!A:D,3,0),"")</f>
        <v>3.1</v>
      </c>
    </row>
    <row r="4603" ht="11.25" customHeight="1">
      <c r="A4603" s="21" t="str">
        <f>IFERROR(__xludf.DUMMYFUNCTION("""COMPUTED_VALUE"""),"MODEM VOIP EMTA WIFI 3.1 TC3102 32X8")</f>
        <v>MODEM VOIP EMTA WIFI 3.1 TC3102 32X8</v>
      </c>
      <c r="B4603" s="22">
        <f>IFERROR(__xludf.DUMMYFUNCTION("""COMPUTED_VALUE"""),4.1001513E7)</f>
        <v>41001513</v>
      </c>
      <c r="C4603" s="21" t="str">
        <f>IFERROR(__xludf.DUMMYFUNCTION("""COMPUTED_VALUE"""),"C4509CF35CE4")</f>
        <v>C4509CF35CE4</v>
      </c>
      <c r="D4603" s="21" t="str">
        <f>IFERROR(__xludf.DUMMYFUNCTION("""COMPUTED_VALUE"""),"DIGITEC TECNOLOGIA DIGITAL E REPRES")</f>
        <v>DIGITEC TECNOLOGIA DIGITAL E REPRES</v>
      </c>
      <c r="E4603" s="21">
        <f>IFERROR(__xludf.DUMMYFUNCTION("""COMPUTED_VALUE"""),145359.0)</f>
        <v>145359</v>
      </c>
      <c r="F4603" s="21" t="str">
        <f>IFERROR(__xludf.DUMMYFUNCTION("""COMPUTED_VALUE"""),"INICIALIZADO")</f>
        <v>INICIALIZADO</v>
      </c>
      <c r="G4603" s="23">
        <f>IFERROR(__xludf.DUMMYFUNCTION("""COMPUTED_VALUE"""),45604.74091435185)</f>
        <v>45604.74091</v>
      </c>
      <c r="H4603" s="24" t="str">
        <f>IFERROR(VLOOKUP(B4603,material!A:D,3,0),"")</f>
        <v>3.1</v>
      </c>
    </row>
    <row r="4604" ht="11.25" customHeight="1">
      <c r="A4604" s="21" t="str">
        <f>IFERROR(__xludf.DUMMYFUNCTION("""COMPUTED_VALUE"""),"MODEM VOIP EMTA WIFI 3.1 TC3102 32X8")</f>
        <v>MODEM VOIP EMTA WIFI 3.1 TC3102 32X8</v>
      </c>
      <c r="B4604" s="22">
        <f>IFERROR(__xludf.DUMMYFUNCTION("""COMPUTED_VALUE"""),4.1001513E7)</f>
        <v>41001513</v>
      </c>
      <c r="C4604" s="21" t="str">
        <f>IFERROR(__xludf.DUMMYFUNCTION("""COMPUTED_VALUE"""),"C4509CF340DC")</f>
        <v>C4509CF340DC</v>
      </c>
      <c r="D4604" s="21" t="str">
        <f>IFERROR(__xludf.DUMMYFUNCTION("""COMPUTED_VALUE"""),"DIGITEC TECNOLOGIA DIGITAL E REPRES")</f>
        <v>DIGITEC TECNOLOGIA DIGITAL E REPRES</v>
      </c>
      <c r="E4604" s="21">
        <f>IFERROR(__xludf.DUMMYFUNCTION("""COMPUTED_VALUE"""),145359.0)</f>
        <v>145359</v>
      </c>
      <c r="F4604" s="21" t="str">
        <f>IFERROR(__xludf.DUMMYFUNCTION("""COMPUTED_VALUE"""),"INICIALIZADO")</f>
        <v>INICIALIZADO</v>
      </c>
      <c r="G4604" s="23">
        <f>IFERROR(__xludf.DUMMYFUNCTION("""COMPUTED_VALUE"""),45604.740891203706)</f>
        <v>45604.74089</v>
      </c>
      <c r="H4604" s="24" t="str">
        <f>IFERROR(VLOOKUP(B4604,material!A:D,3,0),"")</f>
        <v>3.1</v>
      </c>
    </row>
    <row r="4605" ht="11.25" customHeight="1">
      <c r="A4605" s="21" t="str">
        <f>IFERROR(__xludf.DUMMYFUNCTION("""COMPUTED_VALUE"""),"MODEM VOIP EMTA WIFI 3.1 TC3102 32X8")</f>
        <v>MODEM VOIP EMTA WIFI 3.1 TC3102 32X8</v>
      </c>
      <c r="B4605" s="22">
        <f>IFERROR(__xludf.DUMMYFUNCTION("""COMPUTED_VALUE"""),4.1001513E7)</f>
        <v>41001513</v>
      </c>
      <c r="C4605" s="21" t="str">
        <f>IFERROR(__xludf.DUMMYFUNCTION("""COMPUTED_VALUE"""),"C4509CF4E4F4")</f>
        <v>C4509CF4E4F4</v>
      </c>
      <c r="D4605" s="21" t="str">
        <f>IFERROR(__xludf.DUMMYFUNCTION("""COMPUTED_VALUE"""),"DIGITEC TECNOLOGIA DIGITAL E REPRES")</f>
        <v>DIGITEC TECNOLOGIA DIGITAL E REPRES</v>
      </c>
      <c r="E4605" s="21">
        <f>IFERROR(__xludf.DUMMYFUNCTION("""COMPUTED_VALUE"""),145359.0)</f>
        <v>145359</v>
      </c>
      <c r="F4605" s="21" t="str">
        <f>IFERROR(__xludf.DUMMYFUNCTION("""COMPUTED_VALUE"""),"INICIALIZADO")</f>
        <v>INICIALIZADO</v>
      </c>
      <c r="G4605" s="23">
        <f>IFERROR(__xludf.DUMMYFUNCTION("""COMPUTED_VALUE"""),45604.74096064815)</f>
        <v>45604.74096</v>
      </c>
      <c r="H4605" s="24" t="str">
        <f>IFERROR(VLOOKUP(B4605,material!A:D,3,0),"")</f>
        <v>3.1</v>
      </c>
    </row>
    <row r="4606" ht="11.25" customHeight="1">
      <c r="A4606" s="21" t="str">
        <f>IFERROR(__xludf.DUMMYFUNCTION("""COMPUTED_VALUE"""),"MODEM VOIP EMTA WIFI 3.1 TC3102 32X8")</f>
        <v>MODEM VOIP EMTA WIFI 3.1 TC3102 32X8</v>
      </c>
      <c r="B4606" s="22">
        <f>IFERROR(__xludf.DUMMYFUNCTION("""COMPUTED_VALUE"""),4.1001513E7)</f>
        <v>41001513</v>
      </c>
      <c r="C4606" s="21" t="str">
        <f>IFERROR(__xludf.DUMMYFUNCTION("""COMPUTED_VALUE"""),"C4509CF4EC44")</f>
        <v>C4509CF4EC44</v>
      </c>
      <c r="D4606" s="21" t="str">
        <f>IFERROR(__xludf.DUMMYFUNCTION("""COMPUTED_VALUE"""),"DIGITEC TECNOLOGIA DIGITAL E REPRES")</f>
        <v>DIGITEC TECNOLOGIA DIGITAL E REPRES</v>
      </c>
      <c r="E4606" s="21">
        <f>IFERROR(__xludf.DUMMYFUNCTION("""COMPUTED_VALUE"""),145359.0)</f>
        <v>145359</v>
      </c>
      <c r="F4606" s="21" t="str">
        <f>IFERROR(__xludf.DUMMYFUNCTION("""COMPUTED_VALUE"""),"INICIALIZADO")</f>
        <v>INICIALIZADO</v>
      </c>
      <c r="G4606" s="23">
        <f>IFERROR(__xludf.DUMMYFUNCTION("""COMPUTED_VALUE"""),45604.740902777776)</f>
        <v>45604.7409</v>
      </c>
      <c r="H4606" s="24" t="str">
        <f>IFERROR(VLOOKUP(B4606,material!A:D,3,0),"")</f>
        <v>3.1</v>
      </c>
    </row>
    <row r="4607" ht="11.25" customHeight="1">
      <c r="A4607" s="21" t="str">
        <f>IFERROR(__xludf.DUMMYFUNCTION("""COMPUTED_VALUE"""),"MODEM VOIP EMTA WIFI 3.1 TC3102 32X8")</f>
        <v>MODEM VOIP EMTA WIFI 3.1 TC3102 32X8</v>
      </c>
      <c r="B4607" s="22">
        <f>IFERROR(__xludf.DUMMYFUNCTION("""COMPUTED_VALUE"""),4.1001513E7)</f>
        <v>41001513</v>
      </c>
      <c r="C4607" s="21" t="str">
        <f>IFERROR(__xludf.DUMMYFUNCTION("""COMPUTED_VALUE"""),"C4509CF07154")</f>
        <v>C4509CF07154</v>
      </c>
      <c r="D4607" s="21" t="str">
        <f>IFERROR(__xludf.DUMMYFUNCTION("""COMPUTED_VALUE"""),"DIGITEC TECNOLOGIA DIGITAL E REPRES")</f>
        <v>DIGITEC TECNOLOGIA DIGITAL E REPRES</v>
      </c>
      <c r="E4607" s="21">
        <f>IFERROR(__xludf.DUMMYFUNCTION("""COMPUTED_VALUE"""),145359.0)</f>
        <v>145359</v>
      </c>
      <c r="F4607" s="21" t="str">
        <f>IFERROR(__xludf.DUMMYFUNCTION("""COMPUTED_VALUE"""),"INICIALIZADO")</f>
        <v>INICIALIZADO</v>
      </c>
      <c r="G4607" s="23">
        <f>IFERROR(__xludf.DUMMYFUNCTION("""COMPUTED_VALUE"""),45638.68791666666)</f>
        <v>45638.68792</v>
      </c>
      <c r="H4607" s="24" t="str">
        <f>IFERROR(VLOOKUP(B4607,material!A:D,3,0),"")</f>
        <v>3.1</v>
      </c>
    </row>
    <row r="4608" ht="11.25" customHeight="1">
      <c r="A4608" s="21" t="str">
        <f>IFERROR(__xludf.DUMMYFUNCTION("""COMPUTED_VALUE"""),"MODEM VOIP EMTA WIFI 3.1 TC3102 32X8")</f>
        <v>MODEM VOIP EMTA WIFI 3.1 TC3102 32X8</v>
      </c>
      <c r="B4608" s="22">
        <f>IFERROR(__xludf.DUMMYFUNCTION("""COMPUTED_VALUE"""),4.1001513E7)</f>
        <v>41001513</v>
      </c>
      <c r="C4608" s="21" t="str">
        <f>IFERROR(__xludf.DUMMYFUNCTION("""COMPUTED_VALUE"""),"C4509CF04C1C")</f>
        <v>C4509CF04C1C</v>
      </c>
      <c r="D4608" s="21" t="str">
        <f>IFERROR(__xludf.DUMMYFUNCTION("""COMPUTED_VALUE"""),"DIGITEC TECNOLOGIA DIGITAL E REPRES")</f>
        <v>DIGITEC TECNOLOGIA DIGITAL E REPRES</v>
      </c>
      <c r="E4608" s="21">
        <f>IFERROR(__xludf.DUMMYFUNCTION("""COMPUTED_VALUE"""),145359.0)</f>
        <v>145359</v>
      </c>
      <c r="F4608" s="21" t="str">
        <f>IFERROR(__xludf.DUMMYFUNCTION("""COMPUTED_VALUE"""),"INICIALIZADO")</f>
        <v>INICIALIZADO</v>
      </c>
      <c r="G4608" s="23">
        <f>IFERROR(__xludf.DUMMYFUNCTION("""COMPUTED_VALUE"""),45638.68791666666)</f>
        <v>45638.68792</v>
      </c>
      <c r="H4608" s="24" t="str">
        <f>IFERROR(VLOOKUP(B4608,material!A:D,3,0),"")</f>
        <v>3.1</v>
      </c>
    </row>
    <row r="4609" ht="11.25" customHeight="1">
      <c r="A4609" s="21" t="str">
        <f>IFERROR(__xludf.DUMMYFUNCTION("""COMPUTED_VALUE"""),"MODEM VOIP EMTA WIFI 3.1 TC3102 32X8")</f>
        <v>MODEM VOIP EMTA WIFI 3.1 TC3102 32X8</v>
      </c>
      <c r="B4609" s="22">
        <f>IFERROR(__xludf.DUMMYFUNCTION("""COMPUTED_VALUE"""),4.1001513E7)</f>
        <v>41001513</v>
      </c>
      <c r="C4609" s="21" t="str">
        <f>IFERROR(__xludf.DUMMYFUNCTION("""COMPUTED_VALUE"""),"C4509CF0F734")</f>
        <v>C4509CF0F734</v>
      </c>
      <c r="D4609" s="21" t="str">
        <f>IFERROR(__xludf.DUMMYFUNCTION("""COMPUTED_VALUE"""),"DIGITEC TECNOLOGIA DIGITAL E REPRES")</f>
        <v>DIGITEC TECNOLOGIA DIGITAL E REPRES</v>
      </c>
      <c r="E4609" s="21">
        <f>IFERROR(__xludf.DUMMYFUNCTION("""COMPUTED_VALUE"""),145359.0)</f>
        <v>145359</v>
      </c>
      <c r="F4609" s="21" t="str">
        <f>IFERROR(__xludf.DUMMYFUNCTION("""COMPUTED_VALUE"""),"INICIALIZADO")</f>
        <v>INICIALIZADO</v>
      </c>
      <c r="G4609" s="23">
        <f>IFERROR(__xludf.DUMMYFUNCTION("""COMPUTED_VALUE"""),45628.35653935185)</f>
        <v>45628.35654</v>
      </c>
      <c r="H4609" s="24" t="str">
        <f>IFERROR(VLOOKUP(B4609,material!A:D,3,0),"")</f>
        <v>3.1</v>
      </c>
    </row>
    <row r="4610" ht="11.25" customHeight="1">
      <c r="A4610" s="21" t="str">
        <f>IFERROR(__xludf.DUMMYFUNCTION("""COMPUTED_VALUE"""),"MODEM VOIP EMTA WIFI 3.1 TC3102 32X8")</f>
        <v>MODEM VOIP EMTA WIFI 3.1 TC3102 32X8</v>
      </c>
      <c r="B4610" s="22">
        <f>IFERROR(__xludf.DUMMYFUNCTION("""COMPUTED_VALUE"""),4.1001513E7)</f>
        <v>41001513</v>
      </c>
      <c r="C4610" s="21" t="str">
        <f>IFERROR(__xludf.DUMMYFUNCTION("""COMPUTED_VALUE"""),"3C82C0C929C0")</f>
        <v>3C82C0C929C0</v>
      </c>
      <c r="D4610" s="21" t="str">
        <f>IFERROR(__xludf.DUMMYFUNCTION("""COMPUTED_VALUE"""),"DIGITEC TECNOLOGIA DIGITAL E REPRES")</f>
        <v>DIGITEC TECNOLOGIA DIGITAL E REPRES</v>
      </c>
      <c r="E4610" s="21">
        <f>IFERROR(__xludf.DUMMYFUNCTION("""COMPUTED_VALUE"""),145359.0)</f>
        <v>145359</v>
      </c>
      <c r="F4610" s="21" t="str">
        <f>IFERROR(__xludf.DUMMYFUNCTION("""COMPUTED_VALUE"""),"INICIALIZADO")</f>
        <v>INICIALIZADO</v>
      </c>
      <c r="G4610" s="23">
        <f>IFERROR(__xludf.DUMMYFUNCTION("""COMPUTED_VALUE"""),45638.68791666666)</f>
        <v>45638.68792</v>
      </c>
      <c r="H4610" s="24" t="str">
        <f>IFERROR(VLOOKUP(B4610,material!A:D,3,0),"")</f>
        <v>3.1</v>
      </c>
    </row>
    <row r="4611" ht="11.25" customHeight="1">
      <c r="A4611" s="21" t="str">
        <f>IFERROR(__xludf.DUMMYFUNCTION("""COMPUTED_VALUE"""),"MODEM VOIP EMTA WIFI 3.1 TC3102 32X8")</f>
        <v>MODEM VOIP EMTA WIFI 3.1 TC3102 32X8</v>
      </c>
      <c r="B4611" s="22">
        <f>IFERROR(__xludf.DUMMYFUNCTION("""COMPUTED_VALUE"""),4.1001513E7)</f>
        <v>41001513</v>
      </c>
      <c r="C4611" s="21" t="str">
        <f>IFERROR(__xludf.DUMMYFUNCTION("""COMPUTED_VALUE"""),"1C9D726AEAE4")</f>
        <v>1C9D726AEAE4</v>
      </c>
      <c r="D4611" s="21" t="str">
        <f>IFERROR(__xludf.DUMMYFUNCTION("""COMPUTED_VALUE"""),"DIGITEC TECNOLOGIA DIGITAL E REPRES")</f>
        <v>DIGITEC TECNOLOGIA DIGITAL E REPRES</v>
      </c>
      <c r="E4611" s="21">
        <f>IFERROR(__xludf.DUMMYFUNCTION("""COMPUTED_VALUE"""),145359.0)</f>
        <v>145359</v>
      </c>
      <c r="F4611" s="21" t="str">
        <f>IFERROR(__xludf.DUMMYFUNCTION("""COMPUTED_VALUE"""),"INICIALIZADO")</f>
        <v>INICIALIZADO</v>
      </c>
      <c r="G4611" s="23">
        <f>IFERROR(__xludf.DUMMYFUNCTION("""COMPUTED_VALUE"""),45638.68791666666)</f>
        <v>45638.68792</v>
      </c>
      <c r="H4611" s="24" t="str">
        <f>IFERROR(VLOOKUP(B4611,material!A:D,3,0),"")</f>
        <v>3.1</v>
      </c>
    </row>
    <row r="4612" ht="11.25" customHeight="1">
      <c r="A4612" s="21" t="str">
        <f>IFERROR(__xludf.DUMMYFUNCTION("""COMPUTED_VALUE"""),"MODEM VOIP EMTA WIFI 3.1 TC3102 32X8")</f>
        <v>MODEM VOIP EMTA WIFI 3.1 TC3102 32X8</v>
      </c>
      <c r="B4612" s="22">
        <f>IFERROR(__xludf.DUMMYFUNCTION("""COMPUTED_VALUE"""),4.1001513E7)</f>
        <v>41001513</v>
      </c>
      <c r="C4612" s="21" t="str">
        <f>IFERROR(__xludf.DUMMYFUNCTION("""COMPUTED_VALUE"""),"3C82C0CE1EF8")</f>
        <v>3C82C0CE1EF8</v>
      </c>
      <c r="D4612" s="21" t="str">
        <f>IFERROR(__xludf.DUMMYFUNCTION("""COMPUTED_VALUE"""),"DIGITEC TECNOLOGIA DIGITAL E REPRES")</f>
        <v>DIGITEC TECNOLOGIA DIGITAL E REPRES</v>
      </c>
      <c r="E4612" s="21">
        <f>IFERROR(__xludf.DUMMYFUNCTION("""COMPUTED_VALUE"""),145359.0)</f>
        <v>145359</v>
      </c>
      <c r="F4612" s="21" t="str">
        <f>IFERROR(__xludf.DUMMYFUNCTION("""COMPUTED_VALUE"""),"INICIALIZADO")</f>
        <v>INICIALIZADO</v>
      </c>
      <c r="G4612" s="23">
        <f>IFERROR(__xludf.DUMMYFUNCTION("""COMPUTED_VALUE"""),45625.66506944444)</f>
        <v>45625.66507</v>
      </c>
      <c r="H4612" s="24" t="str">
        <f>IFERROR(VLOOKUP(B4612,material!A:D,3,0),"")</f>
        <v>3.1</v>
      </c>
    </row>
    <row r="4613" ht="11.25" customHeight="1">
      <c r="A4613" s="21" t="str">
        <f>IFERROR(__xludf.DUMMYFUNCTION("""COMPUTED_VALUE"""),"MODEM VOIP EMTA WIFI 3.1 TC3102 32X8")</f>
        <v>MODEM VOIP EMTA WIFI 3.1 TC3102 32X8</v>
      </c>
      <c r="B4613" s="22">
        <f>IFERROR(__xludf.DUMMYFUNCTION("""COMPUTED_VALUE"""),4.1001513E7)</f>
        <v>41001513</v>
      </c>
      <c r="C4613" s="21" t="str">
        <f>IFERROR(__xludf.DUMMYFUNCTION("""COMPUTED_VALUE"""),"1C9D7269DB94")</f>
        <v>1C9D7269DB94</v>
      </c>
      <c r="D4613" s="21" t="str">
        <f>IFERROR(__xludf.DUMMYFUNCTION("""COMPUTED_VALUE"""),"DIGITEC TECNOLOGIA DIGITAL E REPRES")</f>
        <v>DIGITEC TECNOLOGIA DIGITAL E REPRES</v>
      </c>
      <c r="E4613" s="21">
        <f>IFERROR(__xludf.DUMMYFUNCTION("""COMPUTED_VALUE"""),145359.0)</f>
        <v>145359</v>
      </c>
      <c r="F4613" s="21" t="str">
        <f>IFERROR(__xludf.DUMMYFUNCTION("""COMPUTED_VALUE"""),"INICIALIZADO")</f>
        <v>INICIALIZADO</v>
      </c>
      <c r="G4613" s="23">
        <f>IFERROR(__xludf.DUMMYFUNCTION("""COMPUTED_VALUE"""),45638.68791666666)</f>
        <v>45638.68792</v>
      </c>
      <c r="H4613" s="24" t="str">
        <f>IFERROR(VLOOKUP(B4613,material!A:D,3,0),"")</f>
        <v>3.1</v>
      </c>
    </row>
    <row r="4614" ht="11.25" customHeight="1">
      <c r="A4614" s="21" t="str">
        <f>IFERROR(__xludf.DUMMYFUNCTION("""COMPUTED_VALUE"""),"MODEM VOIP EMTA WIFI 3.1 TC3102 32X8")</f>
        <v>MODEM VOIP EMTA WIFI 3.1 TC3102 32X8</v>
      </c>
      <c r="B4614" s="22">
        <f>IFERROR(__xludf.DUMMYFUNCTION("""COMPUTED_VALUE"""),4.1001513E7)</f>
        <v>41001513</v>
      </c>
      <c r="C4614" s="21" t="str">
        <f>IFERROR(__xludf.DUMMYFUNCTION("""COMPUTED_VALUE"""),"4075C3B36090")</f>
        <v>4075C3B36090</v>
      </c>
      <c r="D4614" s="21" t="str">
        <f>IFERROR(__xludf.DUMMYFUNCTION("""COMPUTED_VALUE"""),"DIGITEC TECNOLOGIA DIGITAL E REPRES")</f>
        <v>DIGITEC TECNOLOGIA DIGITAL E REPRES</v>
      </c>
      <c r="E4614" s="21">
        <f>IFERROR(__xludf.DUMMYFUNCTION("""COMPUTED_VALUE"""),145359.0)</f>
        <v>145359</v>
      </c>
      <c r="F4614" s="21" t="str">
        <f>IFERROR(__xludf.DUMMYFUNCTION("""COMPUTED_VALUE"""),"INICIALIZADO")</f>
        <v>INICIALIZADO</v>
      </c>
      <c r="G4614" s="23">
        <f>IFERROR(__xludf.DUMMYFUNCTION("""COMPUTED_VALUE"""),45638.68791666666)</f>
        <v>45638.68792</v>
      </c>
      <c r="H4614" s="24" t="str">
        <f>IFERROR(VLOOKUP(B4614,material!A:D,3,0),"")</f>
        <v>3.1</v>
      </c>
    </row>
    <row r="4615" ht="11.25" customHeight="1">
      <c r="A4615" s="21" t="str">
        <f>IFERROR(__xludf.DUMMYFUNCTION("""COMPUTED_VALUE"""),"MODEM VOIP EMTA WIFI 3.1 TC3102 32X8")</f>
        <v>MODEM VOIP EMTA WIFI 3.1 TC3102 32X8</v>
      </c>
      <c r="B4615" s="22">
        <f>IFERROR(__xludf.DUMMYFUNCTION("""COMPUTED_VALUE"""),4.1001513E7)</f>
        <v>41001513</v>
      </c>
      <c r="C4615" s="21" t="str">
        <f>IFERROR(__xludf.DUMMYFUNCTION("""COMPUTED_VALUE"""),"4075C3B52A10")</f>
        <v>4075C3B52A10</v>
      </c>
      <c r="D4615" s="21" t="str">
        <f>IFERROR(__xludf.DUMMYFUNCTION("""COMPUTED_VALUE"""),"DIGITEC TECNOLOGIA DIGITAL E REPRES")</f>
        <v>DIGITEC TECNOLOGIA DIGITAL E REPRES</v>
      </c>
      <c r="E4615" s="21">
        <f>IFERROR(__xludf.DUMMYFUNCTION("""COMPUTED_VALUE"""),145359.0)</f>
        <v>145359</v>
      </c>
      <c r="F4615" s="21" t="str">
        <f>IFERROR(__xludf.DUMMYFUNCTION("""COMPUTED_VALUE"""),"INICIALIZADO")</f>
        <v>INICIALIZADO</v>
      </c>
      <c r="G4615" s="23">
        <f>IFERROR(__xludf.DUMMYFUNCTION("""COMPUTED_VALUE"""),45638.68791666666)</f>
        <v>45638.68792</v>
      </c>
      <c r="H4615" s="24" t="str">
        <f>IFERROR(VLOOKUP(B4615,material!A:D,3,0),"")</f>
        <v>3.1</v>
      </c>
    </row>
    <row r="4616" ht="11.25" customHeight="1">
      <c r="A4616" s="21" t="str">
        <f>IFERROR(__xludf.DUMMYFUNCTION("""COMPUTED_VALUE"""),"MODEM VOIP EMTA WIFI 3.1 TC3102 32X8")</f>
        <v>MODEM VOIP EMTA WIFI 3.1 TC3102 32X8</v>
      </c>
      <c r="B4616" s="22">
        <f>IFERROR(__xludf.DUMMYFUNCTION("""COMPUTED_VALUE"""),4.1001513E7)</f>
        <v>41001513</v>
      </c>
      <c r="C4616" s="21" t="str">
        <f>IFERROR(__xludf.DUMMYFUNCTION("""COMPUTED_VALUE"""),"4075C3B360A4")</f>
        <v>4075C3B360A4</v>
      </c>
      <c r="D4616" s="21" t="str">
        <f>IFERROR(__xludf.DUMMYFUNCTION("""COMPUTED_VALUE"""),"DIGITEC TECNOLOGIA DIGITAL E REPRES")</f>
        <v>DIGITEC TECNOLOGIA DIGITAL E REPRES</v>
      </c>
      <c r="E4616" s="21">
        <f>IFERROR(__xludf.DUMMYFUNCTION("""COMPUTED_VALUE"""),145359.0)</f>
        <v>145359</v>
      </c>
      <c r="F4616" s="21" t="str">
        <f>IFERROR(__xludf.DUMMYFUNCTION("""COMPUTED_VALUE"""),"INICIALIZADO")</f>
        <v>INICIALIZADO</v>
      </c>
      <c r="G4616" s="23">
        <f>IFERROR(__xludf.DUMMYFUNCTION("""COMPUTED_VALUE"""),45628.35653935185)</f>
        <v>45628.35654</v>
      </c>
      <c r="H4616" s="24" t="str">
        <f>IFERROR(VLOOKUP(B4616,material!A:D,3,0),"")</f>
        <v>3.1</v>
      </c>
    </row>
    <row r="4617" ht="11.25" customHeight="1">
      <c r="A4617" s="21" t="str">
        <f>IFERROR(__xludf.DUMMYFUNCTION("""COMPUTED_VALUE"""),"MODEM VOIP EMTA WIFI 3.1 TC3102 32X8")</f>
        <v>MODEM VOIP EMTA WIFI 3.1 TC3102 32X8</v>
      </c>
      <c r="B4617" s="22">
        <f>IFERROR(__xludf.DUMMYFUNCTION("""COMPUTED_VALUE"""),4.1001513E7)</f>
        <v>41001513</v>
      </c>
      <c r="C4617" s="21" t="str">
        <f>IFERROR(__xludf.DUMMYFUNCTION("""COMPUTED_VALUE"""),"B85E71C490A0")</f>
        <v>B85E71C490A0</v>
      </c>
      <c r="D4617" s="21" t="str">
        <f>IFERROR(__xludf.DUMMYFUNCTION("""COMPUTED_VALUE"""),"DIGITEC TECNOLOGIA DIGITAL E REPRES")</f>
        <v>DIGITEC TECNOLOGIA DIGITAL E REPRES</v>
      </c>
      <c r="E4617" s="21">
        <f>IFERROR(__xludf.DUMMYFUNCTION("""COMPUTED_VALUE"""),145359.0)</f>
        <v>145359</v>
      </c>
      <c r="F4617" s="21" t="str">
        <f>IFERROR(__xludf.DUMMYFUNCTION("""COMPUTED_VALUE"""),"INICIALIZADO")</f>
        <v>INICIALIZADO</v>
      </c>
      <c r="G4617" s="23">
        <f>IFERROR(__xludf.DUMMYFUNCTION("""COMPUTED_VALUE"""),45638.68791666666)</f>
        <v>45638.68792</v>
      </c>
      <c r="H4617" s="24" t="str">
        <f>IFERROR(VLOOKUP(B4617,material!A:D,3,0),"")</f>
        <v>3.1</v>
      </c>
    </row>
    <row r="4618" ht="11.25" customHeight="1">
      <c r="A4618" s="21" t="str">
        <f>IFERROR(__xludf.DUMMYFUNCTION("""COMPUTED_VALUE"""),"MODEM VOIP EMTA WIFI 3.1 TC3102 32X8")</f>
        <v>MODEM VOIP EMTA WIFI 3.1 TC3102 32X8</v>
      </c>
      <c r="B4618" s="22">
        <f>IFERROR(__xludf.DUMMYFUNCTION("""COMPUTED_VALUE"""),4.1001513E7)</f>
        <v>41001513</v>
      </c>
      <c r="C4618" s="21" t="str">
        <f>IFERROR(__xludf.DUMMYFUNCTION("""COMPUTED_VALUE"""),"F8D2AC146BC0")</f>
        <v>F8D2AC146BC0</v>
      </c>
      <c r="D4618" s="21" t="str">
        <f>IFERROR(__xludf.DUMMYFUNCTION("""COMPUTED_VALUE"""),"DIGITEC TECNOLOGIA DIGITAL E REPRES")</f>
        <v>DIGITEC TECNOLOGIA DIGITAL E REPRES</v>
      </c>
      <c r="E4618" s="21">
        <f>IFERROR(__xludf.DUMMYFUNCTION("""COMPUTED_VALUE"""),145359.0)</f>
        <v>145359</v>
      </c>
      <c r="F4618" s="21" t="str">
        <f>IFERROR(__xludf.DUMMYFUNCTION("""COMPUTED_VALUE"""),"INICIALIZADO")</f>
        <v>INICIALIZADO</v>
      </c>
      <c r="G4618" s="23">
        <f>IFERROR(__xludf.DUMMYFUNCTION("""COMPUTED_VALUE"""),45581.596539351856)</f>
        <v>45581.59654</v>
      </c>
      <c r="H4618" s="24" t="str">
        <f>IFERROR(VLOOKUP(B4618,material!A:D,3,0),"")</f>
        <v>3.1</v>
      </c>
    </row>
    <row r="4619" ht="11.25" customHeight="1">
      <c r="A4619" s="21" t="str">
        <f>IFERROR(__xludf.DUMMYFUNCTION("""COMPUTED_VALUE"""),"MODEM VOIP EMTA WIFI 3.1 TC3102 32X8")</f>
        <v>MODEM VOIP EMTA WIFI 3.1 TC3102 32X8</v>
      </c>
      <c r="B4619" s="22">
        <f>IFERROR(__xludf.DUMMYFUNCTION("""COMPUTED_VALUE"""),4.1001513E7)</f>
        <v>41001513</v>
      </c>
      <c r="C4619" s="21" t="str">
        <f>IFERROR(__xludf.DUMMYFUNCTION("""COMPUTED_VALUE"""),"484BD4A15A6C")</f>
        <v>484BD4A15A6C</v>
      </c>
      <c r="D4619" s="21" t="str">
        <f>IFERROR(__xludf.DUMMYFUNCTION("""COMPUTED_VALUE"""),"DIGITEC TECNOLOGIA DIGITAL E REPRES")</f>
        <v>DIGITEC TECNOLOGIA DIGITAL E REPRES</v>
      </c>
      <c r="E4619" s="21">
        <f>IFERROR(__xludf.DUMMYFUNCTION("""COMPUTED_VALUE"""),145359.0)</f>
        <v>145359</v>
      </c>
      <c r="F4619" s="21" t="str">
        <f>IFERROR(__xludf.DUMMYFUNCTION("""COMPUTED_VALUE"""),"INICIALIZADO")</f>
        <v>INICIALIZADO</v>
      </c>
      <c r="G4619" s="23">
        <f>IFERROR(__xludf.DUMMYFUNCTION("""COMPUTED_VALUE"""),45638.68791666666)</f>
        <v>45638.68792</v>
      </c>
      <c r="H4619" s="24" t="str">
        <f>IFERROR(VLOOKUP(B4619,material!A:D,3,0),"")</f>
        <v>3.1</v>
      </c>
    </row>
    <row r="4620" ht="11.25" customHeight="1">
      <c r="A4620" s="21" t="str">
        <f>IFERROR(__xludf.DUMMYFUNCTION("""COMPUTED_VALUE"""),"MODEM VOIP EMTA WIFI 3.1 TC3102 32X8")</f>
        <v>MODEM VOIP EMTA WIFI 3.1 TC3102 32X8</v>
      </c>
      <c r="B4620" s="22">
        <f>IFERROR(__xludf.DUMMYFUNCTION("""COMPUTED_VALUE"""),4.1001513E7)</f>
        <v>41001513</v>
      </c>
      <c r="C4620" s="21" t="str">
        <f>IFERROR(__xludf.DUMMYFUNCTION("""COMPUTED_VALUE"""),"484BD4A1A5E4")</f>
        <v>484BD4A1A5E4</v>
      </c>
      <c r="D4620" s="21" t="str">
        <f>IFERROR(__xludf.DUMMYFUNCTION("""COMPUTED_VALUE"""),"DIGITEC TECNOLOGIA DIGITAL E REPRES")</f>
        <v>DIGITEC TECNOLOGIA DIGITAL E REPRES</v>
      </c>
      <c r="E4620" s="21">
        <f>IFERROR(__xludf.DUMMYFUNCTION("""COMPUTED_VALUE"""),145359.0)</f>
        <v>145359</v>
      </c>
      <c r="F4620" s="21" t="str">
        <f>IFERROR(__xludf.DUMMYFUNCTION("""COMPUTED_VALUE"""),"INICIALIZADO")</f>
        <v>INICIALIZADO</v>
      </c>
      <c r="G4620" s="23">
        <f>IFERROR(__xludf.DUMMYFUNCTION("""COMPUTED_VALUE"""),45638.68791666666)</f>
        <v>45638.68792</v>
      </c>
      <c r="H4620" s="24" t="str">
        <f>IFERROR(VLOOKUP(B4620,material!A:D,3,0),"")</f>
        <v>3.1</v>
      </c>
    </row>
    <row r="4621" ht="11.25" customHeight="1">
      <c r="A4621" s="21" t="str">
        <f>IFERROR(__xludf.DUMMYFUNCTION("""COMPUTED_VALUE"""),"MODEM VOIP EMTA WIFI 3.1 TC3102 32X8")</f>
        <v>MODEM VOIP EMTA WIFI 3.1 TC3102 32X8</v>
      </c>
      <c r="B4621" s="22">
        <f>IFERROR(__xludf.DUMMYFUNCTION("""COMPUTED_VALUE"""),4.1001513E7)</f>
        <v>41001513</v>
      </c>
      <c r="C4621" s="21" t="str">
        <f>IFERROR(__xludf.DUMMYFUNCTION("""COMPUTED_VALUE"""),"F8D2AC164EA4")</f>
        <v>F8D2AC164EA4</v>
      </c>
      <c r="D4621" s="21" t="str">
        <f>IFERROR(__xludf.DUMMYFUNCTION("""COMPUTED_VALUE"""),"DIGITEC TECNOLOGIA DIGITAL E REPRES")</f>
        <v>DIGITEC TECNOLOGIA DIGITAL E REPRES</v>
      </c>
      <c r="E4621" s="21">
        <f>IFERROR(__xludf.DUMMYFUNCTION("""COMPUTED_VALUE"""),145359.0)</f>
        <v>145359</v>
      </c>
      <c r="F4621" s="21" t="str">
        <f>IFERROR(__xludf.DUMMYFUNCTION("""COMPUTED_VALUE"""),"INICIALIZADO")</f>
        <v>INICIALIZADO</v>
      </c>
      <c r="G4621" s="23">
        <f>IFERROR(__xludf.DUMMYFUNCTION("""COMPUTED_VALUE"""),45625.66509259259)</f>
        <v>45625.66509</v>
      </c>
      <c r="H4621" s="24" t="str">
        <f>IFERROR(VLOOKUP(B4621,material!A:D,3,0),"")</f>
        <v>3.1</v>
      </c>
    </row>
    <row r="4622" ht="11.25" customHeight="1">
      <c r="A4622" s="21" t="str">
        <f>IFERROR(__xludf.DUMMYFUNCTION("""COMPUTED_VALUE"""),"MODEM VOIP EMTA WIFI 3.1 TC3102 32X8")</f>
        <v>MODEM VOIP EMTA WIFI 3.1 TC3102 32X8</v>
      </c>
      <c r="B4622" s="22">
        <f>IFERROR(__xludf.DUMMYFUNCTION("""COMPUTED_VALUE"""),4.1001513E7)</f>
        <v>41001513</v>
      </c>
      <c r="C4622" s="21" t="str">
        <f>IFERROR(__xludf.DUMMYFUNCTION("""COMPUTED_VALUE"""),"B85E71DC99AC")</f>
        <v>B85E71DC99AC</v>
      </c>
      <c r="D4622" s="21" t="str">
        <f>IFERROR(__xludf.DUMMYFUNCTION("""COMPUTED_VALUE"""),"DIGITEC TECNOLOGIA DIGITAL E REPRES")</f>
        <v>DIGITEC TECNOLOGIA DIGITAL E REPRES</v>
      </c>
      <c r="E4622" s="21">
        <f>IFERROR(__xludf.DUMMYFUNCTION("""COMPUTED_VALUE"""),145359.0)</f>
        <v>145359</v>
      </c>
      <c r="F4622" s="21" t="str">
        <f>IFERROR(__xludf.DUMMYFUNCTION("""COMPUTED_VALUE"""),"INICIALIZADO")</f>
        <v>INICIALIZADO</v>
      </c>
      <c r="G4622" s="23">
        <f>IFERROR(__xludf.DUMMYFUNCTION("""COMPUTED_VALUE"""),45638.68791666666)</f>
        <v>45638.68792</v>
      </c>
      <c r="H4622" s="24" t="str">
        <f>IFERROR(VLOOKUP(B4622,material!A:D,3,0),"")</f>
        <v>3.1</v>
      </c>
    </row>
    <row r="4623" ht="11.25" customHeight="1">
      <c r="A4623" s="21" t="str">
        <f>IFERROR(__xludf.DUMMYFUNCTION("""COMPUTED_VALUE"""),"MODEM VOIP EMTA WIFI 3.1 TC3102 32X8")</f>
        <v>MODEM VOIP EMTA WIFI 3.1 TC3102 32X8</v>
      </c>
      <c r="B4623" s="22">
        <f>IFERROR(__xludf.DUMMYFUNCTION("""COMPUTED_VALUE"""),4.1001513E7)</f>
        <v>41001513</v>
      </c>
      <c r="C4623" s="21" t="str">
        <f>IFERROR(__xludf.DUMMYFUNCTION("""COMPUTED_VALUE"""),"B85E71E16DD8")</f>
        <v>B85E71E16DD8</v>
      </c>
      <c r="D4623" s="21" t="str">
        <f>IFERROR(__xludf.DUMMYFUNCTION("""COMPUTED_VALUE"""),"DIGITEC TECNOLOGIA DIGITAL E REPRES")</f>
        <v>DIGITEC TECNOLOGIA DIGITAL E REPRES</v>
      </c>
      <c r="E4623" s="21">
        <f>IFERROR(__xludf.DUMMYFUNCTION("""COMPUTED_VALUE"""),145359.0)</f>
        <v>145359</v>
      </c>
      <c r="F4623" s="21" t="str">
        <f>IFERROR(__xludf.DUMMYFUNCTION("""COMPUTED_VALUE"""),"INICIALIZADO")</f>
        <v>INICIALIZADO</v>
      </c>
      <c r="G4623" s="23">
        <f>IFERROR(__xludf.DUMMYFUNCTION("""COMPUTED_VALUE"""),45558.833761574075)</f>
        <v>45558.83376</v>
      </c>
      <c r="H4623" s="24" t="str">
        <f>IFERROR(VLOOKUP(B4623,material!A:D,3,0),"")</f>
        <v>3.1</v>
      </c>
    </row>
    <row r="4624" ht="11.25" customHeight="1">
      <c r="A4624" s="21" t="str">
        <f>IFERROR(__xludf.DUMMYFUNCTION("""COMPUTED_VALUE"""),"MODEM VOIP EMTA WIFI 3.1 TC3102 32X8")</f>
        <v>MODEM VOIP EMTA WIFI 3.1 TC3102 32X8</v>
      </c>
      <c r="B4624" s="22">
        <f>IFERROR(__xludf.DUMMYFUNCTION("""COMPUTED_VALUE"""),4.1001513E7)</f>
        <v>41001513</v>
      </c>
      <c r="C4624" s="21" t="str">
        <f>IFERROR(__xludf.DUMMYFUNCTION("""COMPUTED_VALUE"""),"484BD4A3118C")</f>
        <v>484BD4A3118C</v>
      </c>
      <c r="D4624" s="21" t="str">
        <f>IFERROR(__xludf.DUMMYFUNCTION("""COMPUTED_VALUE"""),"DIGITEC TECNOLOGIA DIGITAL E REPRES")</f>
        <v>DIGITEC TECNOLOGIA DIGITAL E REPRES</v>
      </c>
      <c r="E4624" s="21">
        <f>IFERROR(__xludf.DUMMYFUNCTION("""COMPUTED_VALUE"""),145359.0)</f>
        <v>145359</v>
      </c>
      <c r="F4624" s="21" t="str">
        <f>IFERROR(__xludf.DUMMYFUNCTION("""COMPUTED_VALUE"""),"INICIALIZADO")</f>
        <v>INICIALIZADO</v>
      </c>
      <c r="G4624" s="23">
        <f>IFERROR(__xludf.DUMMYFUNCTION("""COMPUTED_VALUE"""),45638.68791666666)</f>
        <v>45638.68792</v>
      </c>
      <c r="H4624" s="24" t="str">
        <f>IFERROR(VLOOKUP(B4624,material!A:D,3,0),"")</f>
        <v>3.1</v>
      </c>
    </row>
    <row r="4625" ht="11.25" customHeight="1">
      <c r="A4625" s="21" t="str">
        <f>IFERROR(__xludf.DUMMYFUNCTION("""COMPUTED_VALUE"""),"MODEM VOIP EMTA WIFI 3.1 TC3102 32X8")</f>
        <v>MODEM VOIP EMTA WIFI 3.1 TC3102 32X8</v>
      </c>
      <c r="B4625" s="22">
        <f>IFERROR(__xludf.DUMMYFUNCTION("""COMPUTED_VALUE"""),4.1001513E7)</f>
        <v>41001513</v>
      </c>
      <c r="C4625" s="21" t="str">
        <f>IFERROR(__xludf.DUMMYFUNCTION("""COMPUTED_VALUE"""),"80DAC2D25A7C")</f>
        <v>80DAC2D25A7C</v>
      </c>
      <c r="D4625" s="21" t="str">
        <f>IFERROR(__xludf.DUMMYFUNCTION("""COMPUTED_VALUE"""),"DIGITEC TECNOLOGIA DIGITAL E REPRES")</f>
        <v>DIGITEC TECNOLOGIA DIGITAL E REPRES</v>
      </c>
      <c r="E4625" s="21">
        <f>IFERROR(__xludf.DUMMYFUNCTION("""COMPUTED_VALUE"""),145359.0)</f>
        <v>145359</v>
      </c>
      <c r="F4625" s="21" t="str">
        <f>IFERROR(__xludf.DUMMYFUNCTION("""COMPUTED_VALUE"""),"INICIALIZADO")</f>
        <v>INICIALIZADO</v>
      </c>
      <c r="G4625" s="23">
        <f>IFERROR(__xludf.DUMMYFUNCTION("""COMPUTED_VALUE"""),45625.665081018524)</f>
        <v>45625.66508</v>
      </c>
      <c r="H4625" s="24" t="str">
        <f>IFERROR(VLOOKUP(B4625,material!A:D,3,0),"")</f>
        <v>3.1</v>
      </c>
    </row>
    <row r="4626" ht="11.25" customHeight="1">
      <c r="A4626" s="21" t="str">
        <f>IFERROR(__xludf.DUMMYFUNCTION("""COMPUTED_VALUE"""),"MODEM VOIP EMTA WIFI 3.1 TC3102 32X8")</f>
        <v>MODEM VOIP EMTA WIFI 3.1 TC3102 32X8</v>
      </c>
      <c r="B4626" s="22">
        <f>IFERROR(__xludf.DUMMYFUNCTION("""COMPUTED_VALUE"""),4.1001513E7)</f>
        <v>41001513</v>
      </c>
      <c r="C4626" s="21" t="str">
        <f>IFERROR(__xludf.DUMMYFUNCTION("""COMPUTED_VALUE"""),"E4BFFAF787AC")</f>
        <v>E4BFFAF787AC</v>
      </c>
      <c r="D4626" s="21" t="str">
        <f>IFERROR(__xludf.DUMMYFUNCTION("""COMPUTED_VALUE"""),"DIGITEC TECNOLOGIA DIGITAL E REPRES")</f>
        <v>DIGITEC TECNOLOGIA DIGITAL E REPRES</v>
      </c>
      <c r="E4626" s="21">
        <f>IFERROR(__xludf.DUMMYFUNCTION("""COMPUTED_VALUE"""),145359.0)</f>
        <v>145359</v>
      </c>
      <c r="F4626" s="21" t="str">
        <f>IFERROR(__xludf.DUMMYFUNCTION("""COMPUTED_VALUE"""),"INICIALIZADO")</f>
        <v>INICIALIZADO</v>
      </c>
      <c r="G4626" s="23">
        <f>IFERROR(__xludf.DUMMYFUNCTION("""COMPUTED_VALUE"""),45638.68791666666)</f>
        <v>45638.68792</v>
      </c>
      <c r="H4626" s="24" t="str">
        <f>IFERROR(VLOOKUP(B4626,material!A:D,3,0),"")</f>
        <v>3.1</v>
      </c>
    </row>
    <row r="4627" ht="11.25" customHeight="1">
      <c r="A4627" s="21" t="str">
        <f>IFERROR(__xludf.DUMMYFUNCTION("""COMPUTED_VALUE"""),"MODEM VOIP EMTA WIFI 3.1 TC3102 32X8")</f>
        <v>MODEM VOIP EMTA WIFI 3.1 TC3102 32X8</v>
      </c>
      <c r="B4627" s="22">
        <f>IFERROR(__xludf.DUMMYFUNCTION("""COMPUTED_VALUE"""),4.1001513E7)</f>
        <v>41001513</v>
      </c>
      <c r="C4627" s="21" t="str">
        <f>IFERROR(__xludf.DUMMYFUNCTION("""COMPUTED_VALUE"""),"484BD4A788EC")</f>
        <v>484BD4A788EC</v>
      </c>
      <c r="D4627" s="21" t="str">
        <f>IFERROR(__xludf.DUMMYFUNCTION("""COMPUTED_VALUE"""),"DIGITEC TECNOLOGIA DIGITAL E REPRES")</f>
        <v>DIGITEC TECNOLOGIA DIGITAL E REPRES</v>
      </c>
      <c r="E4627" s="21">
        <f>IFERROR(__xludf.DUMMYFUNCTION("""COMPUTED_VALUE"""),145359.0)</f>
        <v>145359</v>
      </c>
      <c r="F4627" s="21" t="str">
        <f>IFERROR(__xludf.DUMMYFUNCTION("""COMPUTED_VALUE"""),"INICIALIZADO")</f>
        <v>INICIALIZADO</v>
      </c>
      <c r="G4627" s="23">
        <f>IFERROR(__xludf.DUMMYFUNCTION("""COMPUTED_VALUE"""),45638.68791666666)</f>
        <v>45638.68792</v>
      </c>
      <c r="H4627" s="24" t="str">
        <f>IFERROR(VLOOKUP(B4627,material!A:D,3,0),"")</f>
        <v>3.1</v>
      </c>
    </row>
    <row r="4628" ht="11.25" customHeight="1">
      <c r="A4628" s="21" t="str">
        <f>IFERROR(__xludf.DUMMYFUNCTION("""COMPUTED_VALUE"""),"SC BOPP 8NP NE 128KB AAC005 TRIPLE")</f>
        <v>SC BOPP 8NP NE 128KB AAC005 TRIPLE</v>
      </c>
      <c r="B4628" s="22">
        <f>IFERROR(__xludf.DUMMYFUNCTION("""COMPUTED_VALUE"""),23107.0)</f>
        <v>23107</v>
      </c>
      <c r="C4628" s="21" t="str">
        <f>IFERROR(__xludf.DUMMYFUNCTION("""COMPUTED_VALUE"""),"89550532880016904831")</f>
        <v>89550532880016904831</v>
      </c>
      <c r="D4628" s="21" t="str">
        <f>IFERROR(__xludf.DUMMYFUNCTION("""COMPUTED_VALUE"""),"DIGITEC TECNOLOGIA DIGITAL E REPRES")</f>
        <v>DIGITEC TECNOLOGIA DIGITAL E REPRES</v>
      </c>
      <c r="E4628" s="21">
        <f>IFERROR(__xludf.DUMMYFUNCTION("""COMPUTED_VALUE"""),145359.0)</f>
        <v>145359</v>
      </c>
      <c r="F4628" s="21" t="str">
        <f>IFERROR(__xludf.DUMMYFUNCTION("""COMPUTED_VALUE"""),"INICIALIZADO")</f>
        <v>INICIALIZADO</v>
      </c>
      <c r="G4628" s="23">
        <f>IFERROR(__xludf.DUMMYFUNCTION("""COMPUTED_VALUE"""),45573.70291666666)</f>
        <v>45573.70292</v>
      </c>
      <c r="H4628" s="24" t="str">
        <f>IFERROR(VLOOKUP(B4628,material!A:D,3,0),"")</f>
        <v>CHIP</v>
      </c>
    </row>
    <row r="4629" ht="11.25" customHeight="1">
      <c r="A4629" s="21" t="str">
        <f>IFERROR(__xludf.DUMMYFUNCTION("""COMPUTED_VALUE"""),"SC BOPP 8NP NE 128KB AAC005 TRIPLE")</f>
        <v>SC BOPP 8NP NE 128KB AAC005 TRIPLE</v>
      </c>
      <c r="B4629" s="22">
        <f>IFERROR(__xludf.DUMMYFUNCTION("""COMPUTED_VALUE"""),23107.0)</f>
        <v>23107</v>
      </c>
      <c r="C4629" s="21" t="str">
        <f>IFERROR(__xludf.DUMMYFUNCTION("""COMPUTED_VALUE"""),"89550531860000431661")</f>
        <v>89550531860000431661</v>
      </c>
      <c r="D4629" s="21" t="str">
        <f>IFERROR(__xludf.DUMMYFUNCTION("""COMPUTED_VALUE"""),"DIGITEC TECNOLOGIA DIGITAL E REPRES")</f>
        <v>DIGITEC TECNOLOGIA DIGITAL E REPRES</v>
      </c>
      <c r="E4629" s="21">
        <f>IFERROR(__xludf.DUMMYFUNCTION("""COMPUTED_VALUE"""),145359.0)</f>
        <v>145359</v>
      </c>
      <c r="F4629" s="21" t="str">
        <f>IFERROR(__xludf.DUMMYFUNCTION("""COMPUTED_VALUE"""),"INICIALIZADO")</f>
        <v>INICIALIZADO</v>
      </c>
      <c r="G4629" s="23">
        <f>IFERROR(__xludf.DUMMYFUNCTION("""COMPUTED_VALUE"""),45604.6922800926)</f>
        <v>45604.69228</v>
      </c>
      <c r="H4629" s="24" t="str">
        <f>IFERROR(VLOOKUP(B4629,material!A:D,3,0),"")</f>
        <v>CHIP</v>
      </c>
    </row>
    <row r="4630" ht="11.25" customHeight="1">
      <c r="A4630" s="21" t="str">
        <f>IFERROR(__xludf.DUMMYFUNCTION("""COMPUTED_VALUE"""),"SC BOPP 8NP NE 128KB AAC005 TRIPLE")</f>
        <v>SC BOPP 8NP NE 128KB AAC005 TRIPLE</v>
      </c>
      <c r="B4630" s="22">
        <f>IFERROR(__xludf.DUMMYFUNCTION("""COMPUTED_VALUE"""),23107.0)</f>
        <v>23107</v>
      </c>
      <c r="C4630" s="21" t="str">
        <f>IFERROR(__xludf.DUMMYFUNCTION("""COMPUTED_VALUE"""),"89550531860000431653")</f>
        <v>89550531860000431653</v>
      </c>
      <c r="D4630" s="21" t="str">
        <f>IFERROR(__xludf.DUMMYFUNCTION("""COMPUTED_VALUE"""),"DIGITEC TECNOLOGIA DIGITAL E REPRES")</f>
        <v>DIGITEC TECNOLOGIA DIGITAL E REPRES</v>
      </c>
      <c r="E4630" s="21">
        <f>IFERROR(__xludf.DUMMYFUNCTION("""COMPUTED_VALUE"""),145359.0)</f>
        <v>145359</v>
      </c>
      <c r="F4630" s="21" t="str">
        <f>IFERROR(__xludf.DUMMYFUNCTION("""COMPUTED_VALUE"""),"INICIALIZADO")</f>
        <v>INICIALIZADO</v>
      </c>
      <c r="G4630" s="23">
        <f>IFERROR(__xludf.DUMMYFUNCTION("""COMPUTED_VALUE"""),45604.6922800926)</f>
        <v>45604.69228</v>
      </c>
      <c r="H4630" s="24" t="str">
        <f>IFERROR(VLOOKUP(B4630,material!A:D,3,0),"")</f>
        <v>CHIP</v>
      </c>
    </row>
    <row r="4631" ht="11.25" customHeight="1">
      <c r="A4631" s="21" t="str">
        <f>IFERROR(__xludf.DUMMYFUNCTION("""COMPUTED_VALUE"""),"SC BOPP 8NP NE 128KB AAC005 TRIPLE")</f>
        <v>SC BOPP 8NP NE 128KB AAC005 TRIPLE</v>
      </c>
      <c r="B4631" s="22">
        <f>IFERROR(__xludf.DUMMYFUNCTION("""COMPUTED_VALUE"""),23107.0)</f>
        <v>23107</v>
      </c>
      <c r="C4631" s="21" t="str">
        <f>IFERROR(__xludf.DUMMYFUNCTION("""COMPUTED_VALUE"""),"89550531860000431646")</f>
        <v>89550531860000431646</v>
      </c>
      <c r="D4631" s="21" t="str">
        <f>IFERROR(__xludf.DUMMYFUNCTION("""COMPUTED_VALUE"""),"DIGITEC TECNOLOGIA DIGITAL E REPRES")</f>
        <v>DIGITEC TECNOLOGIA DIGITAL E REPRES</v>
      </c>
      <c r="E4631" s="21">
        <f>IFERROR(__xludf.DUMMYFUNCTION("""COMPUTED_VALUE"""),145359.0)</f>
        <v>145359</v>
      </c>
      <c r="F4631" s="21" t="str">
        <f>IFERROR(__xludf.DUMMYFUNCTION("""COMPUTED_VALUE"""),"INICIALIZADO")</f>
        <v>INICIALIZADO</v>
      </c>
      <c r="G4631" s="23">
        <f>IFERROR(__xludf.DUMMYFUNCTION("""COMPUTED_VALUE"""),45604.6922800926)</f>
        <v>45604.69228</v>
      </c>
      <c r="H4631" s="24" t="str">
        <f>IFERROR(VLOOKUP(B4631,material!A:D,3,0),"")</f>
        <v>CHIP</v>
      </c>
    </row>
    <row r="4632" ht="11.25" customHeight="1">
      <c r="A4632" s="21" t="str">
        <f>IFERROR(__xludf.DUMMYFUNCTION("""COMPUTED_VALUE"""),"SC BOPP 8NP NE 128KB AAC005 TRIPLE")</f>
        <v>SC BOPP 8NP NE 128KB AAC005 TRIPLE</v>
      </c>
      <c r="B4632" s="22">
        <f>IFERROR(__xludf.DUMMYFUNCTION("""COMPUTED_VALUE"""),23107.0)</f>
        <v>23107</v>
      </c>
      <c r="C4632" s="21" t="str">
        <f>IFERROR(__xludf.DUMMYFUNCTION("""COMPUTED_VALUE"""),"89550531860000431638")</f>
        <v>89550531860000431638</v>
      </c>
      <c r="D4632" s="21" t="str">
        <f>IFERROR(__xludf.DUMMYFUNCTION("""COMPUTED_VALUE"""),"DIGITEC TECNOLOGIA DIGITAL E REPRES")</f>
        <v>DIGITEC TECNOLOGIA DIGITAL E REPRES</v>
      </c>
      <c r="E4632" s="21">
        <f>IFERROR(__xludf.DUMMYFUNCTION("""COMPUTED_VALUE"""),145359.0)</f>
        <v>145359</v>
      </c>
      <c r="F4632" s="21" t="str">
        <f>IFERROR(__xludf.DUMMYFUNCTION("""COMPUTED_VALUE"""),"INICIALIZADO")</f>
        <v>INICIALIZADO</v>
      </c>
      <c r="G4632" s="23">
        <f>IFERROR(__xludf.DUMMYFUNCTION("""COMPUTED_VALUE"""),45604.6922800926)</f>
        <v>45604.69228</v>
      </c>
      <c r="H4632" s="24" t="str">
        <f>IFERROR(VLOOKUP(B4632,material!A:D,3,0),"")</f>
        <v>CHIP</v>
      </c>
    </row>
    <row r="4633" ht="11.25" customHeight="1">
      <c r="A4633" s="21" t="str">
        <f>IFERROR(__xludf.DUMMYFUNCTION("""COMPUTED_VALUE"""),"SC BOPP 8NP NE 128KB AAC005 TRIPLE")</f>
        <v>SC BOPP 8NP NE 128KB AAC005 TRIPLE</v>
      </c>
      <c r="B4633" s="22">
        <f>IFERROR(__xludf.DUMMYFUNCTION("""COMPUTED_VALUE"""),23107.0)</f>
        <v>23107</v>
      </c>
      <c r="C4633" s="21" t="str">
        <f>IFERROR(__xludf.DUMMYFUNCTION("""COMPUTED_VALUE"""),"89550531860000431620")</f>
        <v>89550531860000431620</v>
      </c>
      <c r="D4633" s="21" t="str">
        <f>IFERROR(__xludf.DUMMYFUNCTION("""COMPUTED_VALUE"""),"DIGITEC TECNOLOGIA DIGITAL E REPRES")</f>
        <v>DIGITEC TECNOLOGIA DIGITAL E REPRES</v>
      </c>
      <c r="E4633" s="21">
        <f>IFERROR(__xludf.DUMMYFUNCTION("""COMPUTED_VALUE"""),145359.0)</f>
        <v>145359</v>
      </c>
      <c r="F4633" s="21" t="str">
        <f>IFERROR(__xludf.DUMMYFUNCTION("""COMPUTED_VALUE"""),"INICIALIZADO")</f>
        <v>INICIALIZADO</v>
      </c>
      <c r="G4633" s="23">
        <f>IFERROR(__xludf.DUMMYFUNCTION("""COMPUTED_VALUE"""),45604.6922800926)</f>
        <v>45604.69228</v>
      </c>
      <c r="H4633" s="24" t="str">
        <f>IFERROR(VLOOKUP(B4633,material!A:D,3,0),"")</f>
        <v>CHIP</v>
      </c>
    </row>
    <row r="4634" ht="11.25" customHeight="1">
      <c r="A4634" s="21" t="str">
        <f>IFERROR(__xludf.DUMMYFUNCTION("""COMPUTED_VALUE"""),"SC BOPP 8NP NE 128KB AAC005 TRIPLE")</f>
        <v>SC BOPP 8NP NE 128KB AAC005 TRIPLE</v>
      </c>
      <c r="B4634" s="22">
        <f>IFERROR(__xludf.DUMMYFUNCTION("""COMPUTED_VALUE"""),23107.0)</f>
        <v>23107</v>
      </c>
      <c r="C4634" s="21" t="str">
        <f>IFERROR(__xludf.DUMMYFUNCTION("""COMPUTED_VALUE"""),"89550531860000431588")</f>
        <v>89550531860000431588</v>
      </c>
      <c r="D4634" s="21" t="str">
        <f>IFERROR(__xludf.DUMMYFUNCTION("""COMPUTED_VALUE"""),"DIGITEC TECNOLOGIA DIGITAL E REPRES")</f>
        <v>DIGITEC TECNOLOGIA DIGITAL E REPRES</v>
      </c>
      <c r="E4634" s="21">
        <f>IFERROR(__xludf.DUMMYFUNCTION("""COMPUTED_VALUE"""),145359.0)</f>
        <v>145359</v>
      </c>
      <c r="F4634" s="21" t="str">
        <f>IFERROR(__xludf.DUMMYFUNCTION("""COMPUTED_VALUE"""),"INICIALIZADO")</f>
        <v>INICIALIZADO</v>
      </c>
      <c r="G4634" s="23">
        <f>IFERROR(__xludf.DUMMYFUNCTION("""COMPUTED_VALUE"""),45604.6922800926)</f>
        <v>45604.69228</v>
      </c>
      <c r="H4634" s="24" t="str">
        <f>IFERROR(VLOOKUP(B4634,material!A:D,3,0),"")</f>
        <v>CHIP</v>
      </c>
    </row>
    <row r="4635" ht="11.25" customHeight="1">
      <c r="A4635" s="21" t="str">
        <f>IFERROR(__xludf.DUMMYFUNCTION("""COMPUTED_VALUE"""),"SC BOPP 8NP NE 128KB AAC005 TRIPLE")</f>
        <v>SC BOPP 8NP NE 128KB AAC005 TRIPLE</v>
      </c>
      <c r="B4635" s="22">
        <f>IFERROR(__xludf.DUMMYFUNCTION("""COMPUTED_VALUE"""),23107.0)</f>
        <v>23107</v>
      </c>
      <c r="C4635" s="21" t="str">
        <f>IFERROR(__xludf.DUMMYFUNCTION("""COMPUTED_VALUE"""),"89550531860000431562")</f>
        <v>89550531860000431562</v>
      </c>
      <c r="D4635" s="21" t="str">
        <f>IFERROR(__xludf.DUMMYFUNCTION("""COMPUTED_VALUE"""),"DIGITEC TECNOLOGIA DIGITAL E REPRES")</f>
        <v>DIGITEC TECNOLOGIA DIGITAL E REPRES</v>
      </c>
      <c r="E4635" s="21">
        <f>IFERROR(__xludf.DUMMYFUNCTION("""COMPUTED_VALUE"""),145359.0)</f>
        <v>145359</v>
      </c>
      <c r="F4635" s="21" t="str">
        <f>IFERROR(__xludf.DUMMYFUNCTION("""COMPUTED_VALUE"""),"INICIALIZADO")</f>
        <v>INICIALIZADO</v>
      </c>
      <c r="G4635" s="23">
        <f>IFERROR(__xludf.DUMMYFUNCTION("""COMPUTED_VALUE"""),45604.6922800926)</f>
        <v>45604.69228</v>
      </c>
      <c r="H4635" s="24" t="str">
        <f>IFERROR(VLOOKUP(B4635,material!A:D,3,0),"")</f>
        <v>CHIP</v>
      </c>
    </row>
    <row r="4636" ht="11.25" customHeight="1">
      <c r="A4636" s="21" t="str">
        <f>IFERROR(__xludf.DUMMYFUNCTION("""COMPUTED_VALUE"""),"SC BOPP 8NP NE 128KB AAC005 TRIPLE")</f>
        <v>SC BOPP 8NP NE 128KB AAC005 TRIPLE</v>
      </c>
      <c r="B4636" s="22">
        <f>IFERROR(__xludf.DUMMYFUNCTION("""COMPUTED_VALUE"""),23107.0)</f>
        <v>23107</v>
      </c>
      <c r="C4636" s="21" t="str">
        <f>IFERROR(__xludf.DUMMYFUNCTION("""COMPUTED_VALUE"""),"89550531860000431554")</f>
        <v>89550531860000431554</v>
      </c>
      <c r="D4636" s="21" t="str">
        <f>IFERROR(__xludf.DUMMYFUNCTION("""COMPUTED_VALUE"""),"DIGITEC TECNOLOGIA DIGITAL E REPRES")</f>
        <v>DIGITEC TECNOLOGIA DIGITAL E REPRES</v>
      </c>
      <c r="E4636" s="21">
        <f>IFERROR(__xludf.DUMMYFUNCTION("""COMPUTED_VALUE"""),145359.0)</f>
        <v>145359</v>
      </c>
      <c r="F4636" s="21" t="str">
        <f>IFERROR(__xludf.DUMMYFUNCTION("""COMPUTED_VALUE"""),"INICIALIZADO")</f>
        <v>INICIALIZADO</v>
      </c>
      <c r="G4636" s="23">
        <f>IFERROR(__xludf.DUMMYFUNCTION("""COMPUTED_VALUE"""),45604.6922800926)</f>
        <v>45604.69228</v>
      </c>
      <c r="H4636" s="24" t="str">
        <f>IFERROR(VLOOKUP(B4636,material!A:D,3,0),"")</f>
        <v>CHIP</v>
      </c>
    </row>
    <row r="4637" ht="11.25" customHeight="1">
      <c r="A4637" s="21" t="str">
        <f>IFERROR(__xludf.DUMMYFUNCTION("""COMPUTED_VALUE"""),"SC BOPP 8NP NE 128KB AAC005 TRIPLE")</f>
        <v>SC BOPP 8NP NE 128KB AAC005 TRIPLE</v>
      </c>
      <c r="B4637" s="22">
        <f>IFERROR(__xludf.DUMMYFUNCTION("""COMPUTED_VALUE"""),23107.0)</f>
        <v>23107</v>
      </c>
      <c r="C4637" s="21" t="str">
        <f>IFERROR(__xludf.DUMMYFUNCTION("""COMPUTED_VALUE"""),"89550531860000431547")</f>
        <v>89550531860000431547</v>
      </c>
      <c r="D4637" s="21" t="str">
        <f>IFERROR(__xludf.DUMMYFUNCTION("""COMPUTED_VALUE"""),"DIGITEC TECNOLOGIA DIGITAL E REPRES")</f>
        <v>DIGITEC TECNOLOGIA DIGITAL E REPRES</v>
      </c>
      <c r="E4637" s="21">
        <f>IFERROR(__xludf.DUMMYFUNCTION("""COMPUTED_VALUE"""),145359.0)</f>
        <v>145359</v>
      </c>
      <c r="F4637" s="21" t="str">
        <f>IFERROR(__xludf.DUMMYFUNCTION("""COMPUTED_VALUE"""),"INICIALIZADO")</f>
        <v>INICIALIZADO</v>
      </c>
      <c r="G4637" s="23">
        <f>IFERROR(__xludf.DUMMYFUNCTION("""COMPUTED_VALUE"""),45604.6922800926)</f>
        <v>45604.69228</v>
      </c>
      <c r="H4637" s="24" t="str">
        <f>IFERROR(VLOOKUP(B4637,material!A:D,3,0),"")</f>
        <v>CHIP</v>
      </c>
    </row>
    <row r="4638" ht="11.25" customHeight="1">
      <c r="A4638" s="21" t="str">
        <f>IFERROR(__xludf.DUMMYFUNCTION("""COMPUTED_VALUE"""),"SC BOPP 8NP NE 128KB AAC005 TRIPLE")</f>
        <v>SC BOPP 8NP NE 128KB AAC005 TRIPLE</v>
      </c>
      <c r="B4638" s="22">
        <f>IFERROR(__xludf.DUMMYFUNCTION("""COMPUTED_VALUE"""),23107.0)</f>
        <v>23107</v>
      </c>
      <c r="C4638" s="21" t="str">
        <f>IFERROR(__xludf.DUMMYFUNCTION("""COMPUTED_VALUE"""),"89550531860000431539")</f>
        <v>89550531860000431539</v>
      </c>
      <c r="D4638" s="21" t="str">
        <f>IFERROR(__xludf.DUMMYFUNCTION("""COMPUTED_VALUE"""),"DIGITEC TECNOLOGIA DIGITAL E REPRES")</f>
        <v>DIGITEC TECNOLOGIA DIGITAL E REPRES</v>
      </c>
      <c r="E4638" s="21">
        <f>IFERROR(__xludf.DUMMYFUNCTION("""COMPUTED_VALUE"""),145359.0)</f>
        <v>145359</v>
      </c>
      <c r="F4638" s="21" t="str">
        <f>IFERROR(__xludf.DUMMYFUNCTION("""COMPUTED_VALUE"""),"INICIALIZADO")</f>
        <v>INICIALIZADO</v>
      </c>
      <c r="G4638" s="23">
        <f>IFERROR(__xludf.DUMMYFUNCTION("""COMPUTED_VALUE"""),45604.6922800926)</f>
        <v>45604.69228</v>
      </c>
      <c r="H4638" s="24" t="str">
        <f>IFERROR(VLOOKUP(B4638,material!A:D,3,0),"")</f>
        <v>CHIP</v>
      </c>
    </row>
    <row r="4639" ht="11.25" customHeight="1">
      <c r="A4639" s="21" t="str">
        <f>IFERROR(__xludf.DUMMYFUNCTION("""COMPUTED_VALUE"""),"SC BOPP 8NP NE 128KB AAC005 TRIPLE")</f>
        <v>SC BOPP 8NP NE 128KB AAC005 TRIPLE</v>
      </c>
      <c r="B4639" s="22">
        <f>IFERROR(__xludf.DUMMYFUNCTION("""COMPUTED_VALUE"""),23107.0)</f>
        <v>23107</v>
      </c>
      <c r="C4639" s="21" t="str">
        <f>IFERROR(__xludf.DUMMYFUNCTION("""COMPUTED_VALUE"""),"89550531860000431521")</f>
        <v>89550531860000431521</v>
      </c>
      <c r="D4639" s="21" t="str">
        <f>IFERROR(__xludf.DUMMYFUNCTION("""COMPUTED_VALUE"""),"DIGITEC TECNOLOGIA DIGITAL E REPRES")</f>
        <v>DIGITEC TECNOLOGIA DIGITAL E REPRES</v>
      </c>
      <c r="E4639" s="21">
        <f>IFERROR(__xludf.DUMMYFUNCTION("""COMPUTED_VALUE"""),145359.0)</f>
        <v>145359</v>
      </c>
      <c r="F4639" s="21" t="str">
        <f>IFERROR(__xludf.DUMMYFUNCTION("""COMPUTED_VALUE"""),"INICIALIZADO")</f>
        <v>INICIALIZADO</v>
      </c>
      <c r="G4639" s="23">
        <f>IFERROR(__xludf.DUMMYFUNCTION("""COMPUTED_VALUE"""),45604.6922800926)</f>
        <v>45604.69228</v>
      </c>
      <c r="H4639" s="24" t="str">
        <f>IFERROR(VLOOKUP(B4639,material!A:D,3,0),"")</f>
        <v>CHIP</v>
      </c>
    </row>
    <row r="4640" ht="11.25" customHeight="1">
      <c r="A4640" s="21" t="str">
        <f>IFERROR(__xludf.DUMMYFUNCTION("""COMPUTED_VALUE"""),"SC BOPP 8NP NE 128KB AAC005 TRIPLE")</f>
        <v>SC BOPP 8NP NE 128KB AAC005 TRIPLE</v>
      </c>
      <c r="B4640" s="22">
        <f>IFERROR(__xludf.DUMMYFUNCTION("""COMPUTED_VALUE"""),23107.0)</f>
        <v>23107</v>
      </c>
      <c r="C4640" s="21" t="str">
        <f>IFERROR(__xludf.DUMMYFUNCTION("""COMPUTED_VALUE"""),"89550531860000431513")</f>
        <v>89550531860000431513</v>
      </c>
      <c r="D4640" s="21" t="str">
        <f>IFERROR(__xludf.DUMMYFUNCTION("""COMPUTED_VALUE"""),"DIGITEC TECNOLOGIA DIGITAL E REPRES")</f>
        <v>DIGITEC TECNOLOGIA DIGITAL E REPRES</v>
      </c>
      <c r="E4640" s="21">
        <f>IFERROR(__xludf.DUMMYFUNCTION("""COMPUTED_VALUE"""),145359.0)</f>
        <v>145359</v>
      </c>
      <c r="F4640" s="21" t="str">
        <f>IFERROR(__xludf.DUMMYFUNCTION("""COMPUTED_VALUE"""),"INICIALIZADO")</f>
        <v>INICIALIZADO</v>
      </c>
      <c r="G4640" s="23">
        <f>IFERROR(__xludf.DUMMYFUNCTION("""COMPUTED_VALUE"""),45604.6922800926)</f>
        <v>45604.69228</v>
      </c>
      <c r="H4640" s="24" t="str">
        <f>IFERROR(VLOOKUP(B4640,material!A:D,3,0),"")</f>
        <v>CHIP</v>
      </c>
    </row>
    <row r="4641" ht="11.25" customHeight="1">
      <c r="A4641" s="21" t="str">
        <f>IFERROR(__xludf.DUMMYFUNCTION("""COMPUTED_VALUE"""),"SC BOPP 8NP NE 128KB AAC005 TRIPLE")</f>
        <v>SC BOPP 8NP NE 128KB AAC005 TRIPLE</v>
      </c>
      <c r="B4641" s="22">
        <f>IFERROR(__xludf.DUMMYFUNCTION("""COMPUTED_VALUE"""),23107.0)</f>
        <v>23107</v>
      </c>
      <c r="C4641" s="21" t="str">
        <f>IFERROR(__xludf.DUMMYFUNCTION("""COMPUTED_VALUE"""),"89550531860000431505")</f>
        <v>89550531860000431505</v>
      </c>
      <c r="D4641" s="21" t="str">
        <f>IFERROR(__xludf.DUMMYFUNCTION("""COMPUTED_VALUE"""),"DIGITEC TECNOLOGIA DIGITAL E REPRES")</f>
        <v>DIGITEC TECNOLOGIA DIGITAL E REPRES</v>
      </c>
      <c r="E4641" s="21">
        <f>IFERROR(__xludf.DUMMYFUNCTION("""COMPUTED_VALUE"""),145359.0)</f>
        <v>145359</v>
      </c>
      <c r="F4641" s="21" t="str">
        <f>IFERROR(__xludf.DUMMYFUNCTION("""COMPUTED_VALUE"""),"INICIALIZADO")</f>
        <v>INICIALIZADO</v>
      </c>
      <c r="G4641" s="23">
        <f>IFERROR(__xludf.DUMMYFUNCTION("""COMPUTED_VALUE"""),45604.6922800926)</f>
        <v>45604.69228</v>
      </c>
      <c r="H4641" s="24" t="str">
        <f>IFERROR(VLOOKUP(B4641,material!A:D,3,0),"")</f>
        <v>CHIP</v>
      </c>
    </row>
    <row r="4642" ht="11.25" customHeight="1">
      <c r="A4642" s="21" t="str">
        <f>IFERROR(__xludf.DUMMYFUNCTION("""COMPUTED_VALUE"""),"SC BOPP 8NP NE 128KB AAC005 TRIPLE")</f>
        <v>SC BOPP 8NP NE 128KB AAC005 TRIPLE</v>
      </c>
      <c r="B4642" s="22">
        <f>IFERROR(__xludf.DUMMYFUNCTION("""COMPUTED_VALUE"""),23107.0)</f>
        <v>23107</v>
      </c>
      <c r="C4642" s="21" t="str">
        <f>IFERROR(__xludf.DUMMYFUNCTION("""COMPUTED_VALUE"""),"89550531860000431489")</f>
        <v>89550531860000431489</v>
      </c>
      <c r="D4642" s="21" t="str">
        <f>IFERROR(__xludf.DUMMYFUNCTION("""COMPUTED_VALUE"""),"DIGITEC TECNOLOGIA DIGITAL E REPRES")</f>
        <v>DIGITEC TECNOLOGIA DIGITAL E REPRES</v>
      </c>
      <c r="E4642" s="21">
        <f>IFERROR(__xludf.DUMMYFUNCTION("""COMPUTED_VALUE"""),145359.0)</f>
        <v>145359</v>
      </c>
      <c r="F4642" s="21" t="str">
        <f>IFERROR(__xludf.DUMMYFUNCTION("""COMPUTED_VALUE"""),"INICIALIZADO")</f>
        <v>INICIALIZADO</v>
      </c>
      <c r="G4642" s="23">
        <f>IFERROR(__xludf.DUMMYFUNCTION("""COMPUTED_VALUE"""),45604.69226851852)</f>
        <v>45604.69227</v>
      </c>
      <c r="H4642" s="24" t="str">
        <f>IFERROR(VLOOKUP(B4642,material!A:D,3,0),"")</f>
        <v>CHIP</v>
      </c>
    </row>
    <row r="4643" ht="11.25" customHeight="1">
      <c r="A4643" s="21" t="str">
        <f>IFERROR(__xludf.DUMMYFUNCTION("""COMPUTED_VALUE"""),"SC BOPP 8NP NE 128KB AAC005 TRIPLE")</f>
        <v>SC BOPP 8NP NE 128KB AAC005 TRIPLE</v>
      </c>
      <c r="B4643" s="22">
        <f>IFERROR(__xludf.DUMMYFUNCTION("""COMPUTED_VALUE"""),23107.0)</f>
        <v>23107</v>
      </c>
      <c r="C4643" s="21" t="str">
        <f>IFERROR(__xludf.DUMMYFUNCTION("""COMPUTED_VALUE"""),"89550531860000431455")</f>
        <v>89550531860000431455</v>
      </c>
      <c r="D4643" s="21" t="str">
        <f>IFERROR(__xludf.DUMMYFUNCTION("""COMPUTED_VALUE"""),"DIGITEC TECNOLOGIA DIGITAL E REPRES")</f>
        <v>DIGITEC TECNOLOGIA DIGITAL E REPRES</v>
      </c>
      <c r="E4643" s="21">
        <f>IFERROR(__xludf.DUMMYFUNCTION("""COMPUTED_VALUE"""),145359.0)</f>
        <v>145359</v>
      </c>
      <c r="F4643" s="21" t="str">
        <f>IFERROR(__xludf.DUMMYFUNCTION("""COMPUTED_VALUE"""),"INICIALIZADO")</f>
        <v>INICIALIZADO</v>
      </c>
      <c r="G4643" s="23">
        <f>IFERROR(__xludf.DUMMYFUNCTION("""COMPUTED_VALUE"""),45604.69226851852)</f>
        <v>45604.69227</v>
      </c>
      <c r="H4643" s="24" t="str">
        <f>IFERROR(VLOOKUP(B4643,material!A:D,3,0),"")</f>
        <v>CHIP</v>
      </c>
    </row>
    <row r="4644" ht="11.25" customHeight="1">
      <c r="A4644" s="21" t="str">
        <f>IFERROR(__xludf.DUMMYFUNCTION("""COMPUTED_VALUE"""),"SC BOPP 8NP NE 128KB AAC005 TRIPLE")</f>
        <v>SC BOPP 8NP NE 128KB AAC005 TRIPLE</v>
      </c>
      <c r="B4644" s="22">
        <f>IFERROR(__xludf.DUMMYFUNCTION("""COMPUTED_VALUE"""),23107.0)</f>
        <v>23107</v>
      </c>
      <c r="C4644" s="21" t="str">
        <f>IFERROR(__xludf.DUMMYFUNCTION("""COMPUTED_VALUE"""),"89550531860000431448")</f>
        <v>89550531860000431448</v>
      </c>
      <c r="D4644" s="21" t="str">
        <f>IFERROR(__xludf.DUMMYFUNCTION("""COMPUTED_VALUE"""),"DIGITEC TECNOLOGIA DIGITAL E REPRES")</f>
        <v>DIGITEC TECNOLOGIA DIGITAL E REPRES</v>
      </c>
      <c r="E4644" s="21">
        <f>IFERROR(__xludf.DUMMYFUNCTION("""COMPUTED_VALUE"""),145359.0)</f>
        <v>145359</v>
      </c>
      <c r="F4644" s="21" t="str">
        <f>IFERROR(__xludf.DUMMYFUNCTION("""COMPUTED_VALUE"""),"INICIALIZADO")</f>
        <v>INICIALIZADO</v>
      </c>
      <c r="G4644" s="23">
        <f>IFERROR(__xludf.DUMMYFUNCTION("""COMPUTED_VALUE"""),45604.69226851852)</f>
        <v>45604.69227</v>
      </c>
      <c r="H4644" s="24" t="str">
        <f>IFERROR(VLOOKUP(B4644,material!A:D,3,0),"")</f>
        <v>CHIP</v>
      </c>
    </row>
    <row r="4645" ht="11.25" customHeight="1">
      <c r="A4645" s="21" t="str">
        <f>IFERROR(__xludf.DUMMYFUNCTION("""COMPUTED_VALUE"""),"SC BOPP 8NP NE 128KB AAC005 TRIPLE")</f>
        <v>SC BOPP 8NP NE 128KB AAC005 TRIPLE</v>
      </c>
      <c r="B4645" s="22">
        <f>IFERROR(__xludf.DUMMYFUNCTION("""COMPUTED_VALUE"""),23107.0)</f>
        <v>23107</v>
      </c>
      <c r="C4645" s="21" t="str">
        <f>IFERROR(__xludf.DUMMYFUNCTION("""COMPUTED_VALUE"""),"89550531860000431430")</f>
        <v>89550531860000431430</v>
      </c>
      <c r="D4645" s="21" t="str">
        <f>IFERROR(__xludf.DUMMYFUNCTION("""COMPUTED_VALUE"""),"DIGITEC TECNOLOGIA DIGITAL E REPRES")</f>
        <v>DIGITEC TECNOLOGIA DIGITAL E REPRES</v>
      </c>
      <c r="E4645" s="21">
        <f>IFERROR(__xludf.DUMMYFUNCTION("""COMPUTED_VALUE"""),145359.0)</f>
        <v>145359</v>
      </c>
      <c r="F4645" s="21" t="str">
        <f>IFERROR(__xludf.DUMMYFUNCTION("""COMPUTED_VALUE"""),"INICIALIZADO")</f>
        <v>INICIALIZADO</v>
      </c>
      <c r="G4645" s="23">
        <f>IFERROR(__xludf.DUMMYFUNCTION("""COMPUTED_VALUE"""),45604.69226851852)</f>
        <v>45604.69227</v>
      </c>
      <c r="H4645" s="24" t="str">
        <f>IFERROR(VLOOKUP(B4645,material!A:D,3,0),"")</f>
        <v>CHIP</v>
      </c>
    </row>
    <row r="4646" ht="11.25" customHeight="1">
      <c r="A4646" s="21" t="str">
        <f>IFERROR(__xludf.DUMMYFUNCTION("""COMPUTED_VALUE"""),"SC BOPP 8NP NE 128KB AAC005 TRIPLE")</f>
        <v>SC BOPP 8NP NE 128KB AAC005 TRIPLE</v>
      </c>
      <c r="B4646" s="22">
        <f>IFERROR(__xludf.DUMMYFUNCTION("""COMPUTED_VALUE"""),23107.0)</f>
        <v>23107</v>
      </c>
      <c r="C4646" s="21" t="str">
        <f>IFERROR(__xludf.DUMMYFUNCTION("""COMPUTED_VALUE"""),"89550531860000431422")</f>
        <v>89550531860000431422</v>
      </c>
      <c r="D4646" s="21" t="str">
        <f>IFERROR(__xludf.DUMMYFUNCTION("""COMPUTED_VALUE"""),"DIGITEC TECNOLOGIA DIGITAL E REPRES")</f>
        <v>DIGITEC TECNOLOGIA DIGITAL E REPRES</v>
      </c>
      <c r="E4646" s="21">
        <f>IFERROR(__xludf.DUMMYFUNCTION("""COMPUTED_VALUE"""),145359.0)</f>
        <v>145359</v>
      </c>
      <c r="F4646" s="21" t="str">
        <f>IFERROR(__xludf.DUMMYFUNCTION("""COMPUTED_VALUE"""),"INICIALIZADO")</f>
        <v>INICIALIZADO</v>
      </c>
      <c r="G4646" s="23">
        <f>IFERROR(__xludf.DUMMYFUNCTION("""COMPUTED_VALUE"""),45604.69226851852)</f>
        <v>45604.69227</v>
      </c>
      <c r="H4646" s="24" t="str">
        <f>IFERROR(VLOOKUP(B4646,material!A:D,3,0),"")</f>
        <v>CHIP</v>
      </c>
    </row>
    <row r="4647" ht="11.25" customHeight="1">
      <c r="A4647" s="21" t="str">
        <f>IFERROR(__xludf.DUMMYFUNCTION("""COMPUTED_VALUE"""),"SC BOPP 8NP NE 128KB AAC005 TRIPLE")</f>
        <v>SC BOPP 8NP NE 128KB AAC005 TRIPLE</v>
      </c>
      <c r="B4647" s="22">
        <f>IFERROR(__xludf.DUMMYFUNCTION("""COMPUTED_VALUE"""),23107.0)</f>
        <v>23107</v>
      </c>
      <c r="C4647" s="21" t="str">
        <f>IFERROR(__xludf.DUMMYFUNCTION("""COMPUTED_VALUE"""),"89550531860000431315")</f>
        <v>89550531860000431315</v>
      </c>
      <c r="D4647" s="21" t="str">
        <f>IFERROR(__xludf.DUMMYFUNCTION("""COMPUTED_VALUE"""),"DIGITEC TECNOLOGIA DIGITAL E REPRES")</f>
        <v>DIGITEC TECNOLOGIA DIGITAL E REPRES</v>
      </c>
      <c r="E4647" s="21">
        <f>IFERROR(__xludf.DUMMYFUNCTION("""COMPUTED_VALUE"""),145359.0)</f>
        <v>145359</v>
      </c>
      <c r="F4647" s="21" t="str">
        <f>IFERROR(__xludf.DUMMYFUNCTION("""COMPUTED_VALUE"""),"INICIALIZADO")</f>
        <v>INICIALIZADO</v>
      </c>
      <c r="G4647" s="23">
        <f>IFERROR(__xludf.DUMMYFUNCTION("""COMPUTED_VALUE"""),45604.69226851852)</f>
        <v>45604.69227</v>
      </c>
      <c r="H4647" s="24" t="str">
        <f>IFERROR(VLOOKUP(B4647,material!A:D,3,0),"")</f>
        <v>CHIP</v>
      </c>
    </row>
    <row r="4648" ht="11.25" customHeight="1">
      <c r="A4648" s="21" t="str">
        <f>IFERROR(__xludf.DUMMYFUNCTION("""COMPUTED_VALUE"""),"SC BOPP 8NP NE 128KB AAC005 TRIPLE")</f>
        <v>SC BOPP 8NP NE 128KB AAC005 TRIPLE</v>
      </c>
      <c r="B4648" s="22">
        <f>IFERROR(__xludf.DUMMYFUNCTION("""COMPUTED_VALUE"""),23107.0)</f>
        <v>23107</v>
      </c>
      <c r="C4648" s="21" t="str">
        <f>IFERROR(__xludf.DUMMYFUNCTION("""COMPUTED_VALUE"""),"89550531860000431307")</f>
        <v>89550531860000431307</v>
      </c>
      <c r="D4648" s="21" t="str">
        <f>IFERROR(__xludf.DUMMYFUNCTION("""COMPUTED_VALUE"""),"DIGITEC TECNOLOGIA DIGITAL E REPRES")</f>
        <v>DIGITEC TECNOLOGIA DIGITAL E REPRES</v>
      </c>
      <c r="E4648" s="21">
        <f>IFERROR(__xludf.DUMMYFUNCTION("""COMPUTED_VALUE"""),145359.0)</f>
        <v>145359</v>
      </c>
      <c r="F4648" s="21" t="str">
        <f>IFERROR(__xludf.DUMMYFUNCTION("""COMPUTED_VALUE"""),"INICIALIZADO")</f>
        <v>INICIALIZADO</v>
      </c>
      <c r="G4648" s="23">
        <f>IFERROR(__xludf.DUMMYFUNCTION("""COMPUTED_VALUE"""),45604.69226851852)</f>
        <v>45604.69227</v>
      </c>
      <c r="H4648" s="24" t="str">
        <f>IFERROR(VLOOKUP(B4648,material!A:D,3,0),"")</f>
        <v>CHIP</v>
      </c>
    </row>
    <row r="4649" ht="11.25" customHeight="1">
      <c r="A4649" s="21" t="str">
        <f>IFERROR(__xludf.DUMMYFUNCTION("""COMPUTED_VALUE"""),"SC BOPP 8NP NE 128KB AAC005 TRIPLE")</f>
        <v>SC BOPP 8NP NE 128KB AAC005 TRIPLE</v>
      </c>
      <c r="B4649" s="22">
        <f>IFERROR(__xludf.DUMMYFUNCTION("""COMPUTED_VALUE"""),23107.0)</f>
        <v>23107</v>
      </c>
      <c r="C4649" s="21" t="str">
        <f>IFERROR(__xludf.DUMMYFUNCTION("""COMPUTED_VALUE"""),"89550531860000431299")</f>
        <v>89550531860000431299</v>
      </c>
      <c r="D4649" s="21" t="str">
        <f>IFERROR(__xludf.DUMMYFUNCTION("""COMPUTED_VALUE"""),"DIGITEC TECNOLOGIA DIGITAL E REPRES")</f>
        <v>DIGITEC TECNOLOGIA DIGITAL E REPRES</v>
      </c>
      <c r="E4649" s="21">
        <f>IFERROR(__xludf.DUMMYFUNCTION("""COMPUTED_VALUE"""),145359.0)</f>
        <v>145359</v>
      </c>
      <c r="F4649" s="21" t="str">
        <f>IFERROR(__xludf.DUMMYFUNCTION("""COMPUTED_VALUE"""),"INICIALIZADO")</f>
        <v>INICIALIZADO</v>
      </c>
      <c r="G4649" s="23">
        <f>IFERROR(__xludf.DUMMYFUNCTION("""COMPUTED_VALUE"""),45604.69226851852)</f>
        <v>45604.69227</v>
      </c>
      <c r="H4649" s="24" t="str">
        <f>IFERROR(VLOOKUP(B4649,material!A:D,3,0),"")</f>
        <v>CHIP</v>
      </c>
    </row>
    <row r="4650" ht="11.25" customHeight="1">
      <c r="A4650" s="21" t="str">
        <f>IFERROR(__xludf.DUMMYFUNCTION("""COMPUTED_VALUE"""),"SC BOPP 8NP NE 128KB AAC005 TRIPLE")</f>
        <v>SC BOPP 8NP NE 128KB AAC005 TRIPLE</v>
      </c>
      <c r="B4650" s="22">
        <f>IFERROR(__xludf.DUMMYFUNCTION("""COMPUTED_VALUE"""),23107.0)</f>
        <v>23107</v>
      </c>
      <c r="C4650" s="21" t="str">
        <f>IFERROR(__xludf.DUMMYFUNCTION("""COMPUTED_VALUE"""),"89550531860000431281")</f>
        <v>89550531860000431281</v>
      </c>
      <c r="D4650" s="21" t="str">
        <f>IFERROR(__xludf.DUMMYFUNCTION("""COMPUTED_VALUE"""),"DIGITEC TECNOLOGIA DIGITAL E REPRES")</f>
        <v>DIGITEC TECNOLOGIA DIGITAL E REPRES</v>
      </c>
      <c r="E4650" s="21">
        <f>IFERROR(__xludf.DUMMYFUNCTION("""COMPUTED_VALUE"""),145359.0)</f>
        <v>145359</v>
      </c>
      <c r="F4650" s="21" t="str">
        <f>IFERROR(__xludf.DUMMYFUNCTION("""COMPUTED_VALUE"""),"INICIALIZADO")</f>
        <v>INICIALIZADO</v>
      </c>
      <c r="G4650" s="23">
        <f>IFERROR(__xludf.DUMMYFUNCTION("""COMPUTED_VALUE"""),45604.69226851852)</f>
        <v>45604.69227</v>
      </c>
      <c r="H4650" s="24" t="str">
        <f>IFERROR(VLOOKUP(B4650,material!A:D,3,0),"")</f>
        <v>CHIP</v>
      </c>
    </row>
    <row r="4651" ht="11.25" customHeight="1">
      <c r="A4651" s="21" t="str">
        <f>IFERROR(__xludf.DUMMYFUNCTION("""COMPUTED_VALUE"""),"SC BOPP 8NP NE 128KB AAC005 TRIPLE")</f>
        <v>SC BOPP 8NP NE 128KB AAC005 TRIPLE</v>
      </c>
      <c r="B4651" s="22">
        <f>IFERROR(__xludf.DUMMYFUNCTION("""COMPUTED_VALUE"""),23107.0)</f>
        <v>23107</v>
      </c>
      <c r="C4651" s="21" t="str">
        <f>IFERROR(__xludf.DUMMYFUNCTION("""COMPUTED_VALUE"""),"89550531860000431273")</f>
        <v>89550531860000431273</v>
      </c>
      <c r="D4651" s="21" t="str">
        <f>IFERROR(__xludf.DUMMYFUNCTION("""COMPUTED_VALUE"""),"DIGITEC TECNOLOGIA DIGITAL E REPRES")</f>
        <v>DIGITEC TECNOLOGIA DIGITAL E REPRES</v>
      </c>
      <c r="E4651" s="21">
        <f>IFERROR(__xludf.DUMMYFUNCTION("""COMPUTED_VALUE"""),145359.0)</f>
        <v>145359</v>
      </c>
      <c r="F4651" s="21" t="str">
        <f>IFERROR(__xludf.DUMMYFUNCTION("""COMPUTED_VALUE"""),"INICIALIZADO")</f>
        <v>INICIALIZADO</v>
      </c>
      <c r="G4651" s="23">
        <f>IFERROR(__xludf.DUMMYFUNCTION("""COMPUTED_VALUE"""),45604.6922800926)</f>
        <v>45604.69228</v>
      </c>
      <c r="H4651" s="24" t="str">
        <f>IFERROR(VLOOKUP(B4651,material!A:D,3,0),"")</f>
        <v>CHIP</v>
      </c>
    </row>
    <row r="4652" ht="11.25" customHeight="1">
      <c r="A4652" s="21" t="str">
        <f>IFERROR(__xludf.DUMMYFUNCTION("""COMPUTED_VALUE"""),"SC BOPP 8NP NE 128KB AAC005 TRIPLE")</f>
        <v>SC BOPP 8NP NE 128KB AAC005 TRIPLE</v>
      </c>
      <c r="B4652" s="22">
        <f>IFERROR(__xludf.DUMMYFUNCTION("""COMPUTED_VALUE"""),23107.0)</f>
        <v>23107</v>
      </c>
      <c r="C4652" s="21" t="str">
        <f>IFERROR(__xludf.DUMMYFUNCTION("""COMPUTED_VALUE"""),"89550531860001054215")</f>
        <v>89550531860001054215</v>
      </c>
      <c r="D4652" s="21" t="str">
        <f>IFERROR(__xludf.DUMMYFUNCTION("""COMPUTED_VALUE"""),"DIGITEC TECNOLOGIA DIGITAL E REPRES")</f>
        <v>DIGITEC TECNOLOGIA DIGITAL E REPRES</v>
      </c>
      <c r="E4652" s="21">
        <f>IFERROR(__xludf.DUMMYFUNCTION("""COMPUTED_VALUE"""),145359.0)</f>
        <v>145359</v>
      </c>
      <c r="F4652" s="21" t="str">
        <f>IFERROR(__xludf.DUMMYFUNCTION("""COMPUTED_VALUE"""),"INICIALIZADO")</f>
        <v>INICIALIZADO</v>
      </c>
      <c r="G4652" s="23">
        <f>IFERROR(__xludf.DUMMYFUNCTION("""COMPUTED_VALUE"""),45604.6922800926)</f>
        <v>45604.69228</v>
      </c>
      <c r="H4652" s="24" t="str">
        <f>IFERROR(VLOOKUP(B4652,material!A:D,3,0),"")</f>
        <v>CHIP</v>
      </c>
    </row>
    <row r="4653" ht="11.25" customHeight="1">
      <c r="A4653" s="21" t="str">
        <f>IFERROR(__xludf.DUMMYFUNCTION("""COMPUTED_VALUE"""),"SC BOPP 8NP NE 128KB AAC005 TRIPLE")</f>
        <v>SC BOPP 8NP NE 128KB AAC005 TRIPLE</v>
      </c>
      <c r="B4653" s="22">
        <f>IFERROR(__xludf.DUMMYFUNCTION("""COMPUTED_VALUE"""),23107.0)</f>
        <v>23107</v>
      </c>
      <c r="C4653" s="21" t="str">
        <f>IFERROR(__xludf.DUMMYFUNCTION("""COMPUTED_VALUE"""),"89550531860001054207")</f>
        <v>89550531860001054207</v>
      </c>
      <c r="D4653" s="21" t="str">
        <f>IFERROR(__xludf.DUMMYFUNCTION("""COMPUTED_VALUE"""),"DIGITEC TECNOLOGIA DIGITAL E REPRES")</f>
        <v>DIGITEC TECNOLOGIA DIGITAL E REPRES</v>
      </c>
      <c r="E4653" s="21">
        <f>IFERROR(__xludf.DUMMYFUNCTION("""COMPUTED_VALUE"""),145359.0)</f>
        <v>145359</v>
      </c>
      <c r="F4653" s="21" t="str">
        <f>IFERROR(__xludf.DUMMYFUNCTION("""COMPUTED_VALUE"""),"INICIALIZADO")</f>
        <v>INICIALIZADO</v>
      </c>
      <c r="G4653" s="23">
        <f>IFERROR(__xludf.DUMMYFUNCTION("""COMPUTED_VALUE"""),45604.69226851852)</f>
        <v>45604.69227</v>
      </c>
      <c r="H4653" s="24" t="str">
        <f>IFERROR(VLOOKUP(B4653,material!A:D,3,0),"")</f>
        <v>CHIP</v>
      </c>
    </row>
    <row r="4654" ht="11.25" customHeight="1">
      <c r="A4654" s="21" t="str">
        <f>IFERROR(__xludf.DUMMYFUNCTION("""COMPUTED_VALUE"""),"SC BOPP 8NP NE 128KB AAC005 TRIPLE")</f>
        <v>SC BOPP 8NP NE 128KB AAC005 TRIPLE</v>
      </c>
      <c r="B4654" s="22">
        <f>IFERROR(__xludf.DUMMYFUNCTION("""COMPUTED_VALUE"""),23107.0)</f>
        <v>23107</v>
      </c>
      <c r="C4654" s="21" t="str">
        <f>IFERROR(__xludf.DUMMYFUNCTION("""COMPUTED_VALUE"""),"89550531860001054199")</f>
        <v>89550531860001054199</v>
      </c>
      <c r="D4654" s="21" t="str">
        <f>IFERROR(__xludf.DUMMYFUNCTION("""COMPUTED_VALUE"""),"DIGITEC TECNOLOGIA DIGITAL E REPRES")</f>
        <v>DIGITEC TECNOLOGIA DIGITAL E REPRES</v>
      </c>
      <c r="E4654" s="21">
        <f>IFERROR(__xludf.DUMMYFUNCTION("""COMPUTED_VALUE"""),145359.0)</f>
        <v>145359</v>
      </c>
      <c r="F4654" s="21" t="str">
        <f>IFERROR(__xludf.DUMMYFUNCTION("""COMPUTED_VALUE"""),"INICIALIZADO")</f>
        <v>INICIALIZADO</v>
      </c>
      <c r="G4654" s="23">
        <f>IFERROR(__xludf.DUMMYFUNCTION("""COMPUTED_VALUE"""),45604.69226851852)</f>
        <v>45604.69227</v>
      </c>
      <c r="H4654" s="24" t="str">
        <f>IFERROR(VLOOKUP(B4654,material!A:D,3,0),"")</f>
        <v>CHIP</v>
      </c>
    </row>
    <row r="4655" ht="11.25" customHeight="1">
      <c r="A4655" s="21" t="str">
        <f>IFERROR(__xludf.DUMMYFUNCTION("""COMPUTED_VALUE"""),"SC BOPP 8NP NE 128KB AAC005 TRIPLE")</f>
        <v>SC BOPP 8NP NE 128KB AAC005 TRIPLE</v>
      </c>
      <c r="B4655" s="22">
        <f>IFERROR(__xludf.DUMMYFUNCTION("""COMPUTED_VALUE"""),23107.0)</f>
        <v>23107</v>
      </c>
      <c r="C4655" s="21" t="str">
        <f>IFERROR(__xludf.DUMMYFUNCTION("""COMPUTED_VALUE"""),"89550531860001054181")</f>
        <v>89550531860001054181</v>
      </c>
      <c r="D4655" s="21" t="str">
        <f>IFERROR(__xludf.DUMMYFUNCTION("""COMPUTED_VALUE"""),"DIGITEC TECNOLOGIA DIGITAL E REPRES")</f>
        <v>DIGITEC TECNOLOGIA DIGITAL E REPRES</v>
      </c>
      <c r="E4655" s="21">
        <f>IFERROR(__xludf.DUMMYFUNCTION("""COMPUTED_VALUE"""),145359.0)</f>
        <v>145359</v>
      </c>
      <c r="F4655" s="21" t="str">
        <f>IFERROR(__xludf.DUMMYFUNCTION("""COMPUTED_VALUE"""),"INICIALIZADO")</f>
        <v>INICIALIZADO</v>
      </c>
      <c r="G4655" s="23">
        <f>IFERROR(__xludf.DUMMYFUNCTION("""COMPUTED_VALUE"""),45604.69226851852)</f>
        <v>45604.69227</v>
      </c>
      <c r="H4655" s="24" t="str">
        <f>IFERROR(VLOOKUP(B4655,material!A:D,3,0),"")</f>
        <v>CHIP</v>
      </c>
    </row>
    <row r="4656" ht="11.25" customHeight="1">
      <c r="A4656" s="21" t="str">
        <f>IFERROR(__xludf.DUMMYFUNCTION("""COMPUTED_VALUE"""),"SC BOPP 8NP NE 128KB AAC005 TRIPLE")</f>
        <v>SC BOPP 8NP NE 128KB AAC005 TRIPLE</v>
      </c>
      <c r="B4656" s="22">
        <f>IFERROR(__xludf.DUMMYFUNCTION("""COMPUTED_VALUE"""),23107.0)</f>
        <v>23107</v>
      </c>
      <c r="C4656" s="21" t="str">
        <f>IFERROR(__xludf.DUMMYFUNCTION("""COMPUTED_VALUE"""),"89550531860001054173")</f>
        <v>89550531860001054173</v>
      </c>
      <c r="D4656" s="21" t="str">
        <f>IFERROR(__xludf.DUMMYFUNCTION("""COMPUTED_VALUE"""),"DIGITEC TECNOLOGIA DIGITAL E REPRES")</f>
        <v>DIGITEC TECNOLOGIA DIGITAL E REPRES</v>
      </c>
      <c r="E4656" s="21">
        <f>IFERROR(__xludf.DUMMYFUNCTION("""COMPUTED_VALUE"""),145359.0)</f>
        <v>145359</v>
      </c>
      <c r="F4656" s="21" t="str">
        <f>IFERROR(__xludf.DUMMYFUNCTION("""COMPUTED_VALUE"""),"INICIALIZADO")</f>
        <v>INICIALIZADO</v>
      </c>
      <c r="G4656" s="23">
        <f>IFERROR(__xludf.DUMMYFUNCTION("""COMPUTED_VALUE"""),45604.69226851852)</f>
        <v>45604.69227</v>
      </c>
      <c r="H4656" s="24" t="str">
        <f>IFERROR(VLOOKUP(B4656,material!A:D,3,0),"")</f>
        <v>CHIP</v>
      </c>
    </row>
    <row r="4657" ht="11.25" customHeight="1">
      <c r="A4657" s="21" t="str">
        <f>IFERROR(__xludf.DUMMYFUNCTION("""COMPUTED_VALUE"""),"SC BOPP 8NP NE 128KB AAC005 TRIPLE")</f>
        <v>SC BOPP 8NP NE 128KB AAC005 TRIPLE</v>
      </c>
      <c r="B4657" s="22">
        <f>IFERROR(__xludf.DUMMYFUNCTION("""COMPUTED_VALUE"""),23107.0)</f>
        <v>23107</v>
      </c>
      <c r="C4657" s="21" t="str">
        <f>IFERROR(__xludf.DUMMYFUNCTION("""COMPUTED_VALUE"""),"89550531860001054165")</f>
        <v>89550531860001054165</v>
      </c>
      <c r="D4657" s="21" t="str">
        <f>IFERROR(__xludf.DUMMYFUNCTION("""COMPUTED_VALUE"""),"DIGITEC TECNOLOGIA DIGITAL E REPRES")</f>
        <v>DIGITEC TECNOLOGIA DIGITAL E REPRES</v>
      </c>
      <c r="E4657" s="21">
        <f>IFERROR(__xludf.DUMMYFUNCTION("""COMPUTED_VALUE"""),145359.0)</f>
        <v>145359</v>
      </c>
      <c r="F4657" s="21" t="str">
        <f>IFERROR(__xludf.DUMMYFUNCTION("""COMPUTED_VALUE"""),"INICIALIZADO")</f>
        <v>INICIALIZADO</v>
      </c>
      <c r="G4657" s="23">
        <f>IFERROR(__xludf.DUMMYFUNCTION("""COMPUTED_VALUE"""),45604.69226851852)</f>
        <v>45604.69227</v>
      </c>
      <c r="H4657" s="24" t="str">
        <f>IFERROR(VLOOKUP(B4657,material!A:D,3,0),"")</f>
        <v>CHIP</v>
      </c>
    </row>
    <row r="4658" ht="11.25" customHeight="1">
      <c r="A4658" s="21" t="str">
        <f>IFERROR(__xludf.DUMMYFUNCTION("""COMPUTED_VALUE"""),"SC BOPP 8NP NE 128KB AAC005 TRIPLE")</f>
        <v>SC BOPP 8NP NE 128KB AAC005 TRIPLE</v>
      </c>
      <c r="B4658" s="22">
        <f>IFERROR(__xludf.DUMMYFUNCTION("""COMPUTED_VALUE"""),23107.0)</f>
        <v>23107</v>
      </c>
      <c r="C4658" s="21" t="str">
        <f>IFERROR(__xludf.DUMMYFUNCTION("""COMPUTED_VALUE"""),"89550531860001054157")</f>
        <v>89550531860001054157</v>
      </c>
      <c r="D4658" s="21" t="str">
        <f>IFERROR(__xludf.DUMMYFUNCTION("""COMPUTED_VALUE"""),"DIGITEC TECNOLOGIA DIGITAL E REPRES")</f>
        <v>DIGITEC TECNOLOGIA DIGITAL E REPRES</v>
      </c>
      <c r="E4658" s="21">
        <f>IFERROR(__xludf.DUMMYFUNCTION("""COMPUTED_VALUE"""),145359.0)</f>
        <v>145359</v>
      </c>
      <c r="F4658" s="21" t="str">
        <f>IFERROR(__xludf.DUMMYFUNCTION("""COMPUTED_VALUE"""),"INICIALIZADO")</f>
        <v>INICIALIZADO</v>
      </c>
      <c r="G4658" s="23">
        <f>IFERROR(__xludf.DUMMYFUNCTION("""COMPUTED_VALUE"""),45604.69226851852)</f>
        <v>45604.69227</v>
      </c>
      <c r="H4658" s="24" t="str">
        <f>IFERROR(VLOOKUP(B4658,material!A:D,3,0),"")</f>
        <v>CHIP</v>
      </c>
    </row>
    <row r="4659" ht="11.25" customHeight="1">
      <c r="A4659" s="21" t="str">
        <f>IFERROR(__xludf.DUMMYFUNCTION("""COMPUTED_VALUE"""),"SC BOPP 8NP NE 128KB AAC005 TRIPLE")</f>
        <v>SC BOPP 8NP NE 128KB AAC005 TRIPLE</v>
      </c>
      <c r="B4659" s="22">
        <f>IFERROR(__xludf.DUMMYFUNCTION("""COMPUTED_VALUE"""),23107.0)</f>
        <v>23107</v>
      </c>
      <c r="C4659" s="21" t="str">
        <f>IFERROR(__xludf.DUMMYFUNCTION("""COMPUTED_VALUE"""),"89550531860001054140")</f>
        <v>89550531860001054140</v>
      </c>
      <c r="D4659" s="21" t="str">
        <f>IFERROR(__xludf.DUMMYFUNCTION("""COMPUTED_VALUE"""),"DIGITEC TECNOLOGIA DIGITAL E REPRES")</f>
        <v>DIGITEC TECNOLOGIA DIGITAL E REPRES</v>
      </c>
      <c r="E4659" s="21">
        <f>IFERROR(__xludf.DUMMYFUNCTION("""COMPUTED_VALUE"""),145359.0)</f>
        <v>145359</v>
      </c>
      <c r="F4659" s="21" t="str">
        <f>IFERROR(__xludf.DUMMYFUNCTION("""COMPUTED_VALUE"""),"INICIALIZADO")</f>
        <v>INICIALIZADO</v>
      </c>
      <c r="G4659" s="23">
        <f>IFERROR(__xludf.DUMMYFUNCTION("""COMPUTED_VALUE"""),45604.69226851852)</f>
        <v>45604.69227</v>
      </c>
      <c r="H4659" s="24" t="str">
        <f>IFERROR(VLOOKUP(B4659,material!A:D,3,0),"")</f>
        <v>CHIP</v>
      </c>
    </row>
    <row r="4660" ht="11.25" customHeight="1">
      <c r="A4660" s="21" t="str">
        <f>IFERROR(__xludf.DUMMYFUNCTION("""COMPUTED_VALUE"""),"SC BOPP 8NP NE 128KB AAC005 TRIPLE")</f>
        <v>SC BOPP 8NP NE 128KB AAC005 TRIPLE</v>
      </c>
      <c r="B4660" s="22">
        <f>IFERROR(__xludf.DUMMYFUNCTION("""COMPUTED_VALUE"""),23107.0)</f>
        <v>23107</v>
      </c>
      <c r="C4660" s="21" t="str">
        <f>IFERROR(__xludf.DUMMYFUNCTION("""COMPUTED_VALUE"""),"89550531860001054132")</f>
        <v>89550531860001054132</v>
      </c>
      <c r="D4660" s="21" t="str">
        <f>IFERROR(__xludf.DUMMYFUNCTION("""COMPUTED_VALUE"""),"DIGITEC TECNOLOGIA DIGITAL E REPRES")</f>
        <v>DIGITEC TECNOLOGIA DIGITAL E REPRES</v>
      </c>
      <c r="E4660" s="21">
        <f>IFERROR(__xludf.DUMMYFUNCTION("""COMPUTED_VALUE"""),145359.0)</f>
        <v>145359</v>
      </c>
      <c r="F4660" s="21" t="str">
        <f>IFERROR(__xludf.DUMMYFUNCTION("""COMPUTED_VALUE"""),"INICIALIZADO")</f>
        <v>INICIALIZADO</v>
      </c>
      <c r="G4660" s="23">
        <f>IFERROR(__xludf.DUMMYFUNCTION("""COMPUTED_VALUE"""),45604.69226851852)</f>
        <v>45604.69227</v>
      </c>
      <c r="H4660" s="24" t="str">
        <f>IFERROR(VLOOKUP(B4660,material!A:D,3,0),"")</f>
        <v>CHIP</v>
      </c>
    </row>
    <row r="4661" ht="11.25" customHeight="1">
      <c r="A4661" s="21" t="str">
        <f>IFERROR(__xludf.DUMMYFUNCTION("""COMPUTED_VALUE"""),"SC BOPP 8NP NE 128KB AAC005 TRIPLE")</f>
        <v>SC BOPP 8NP NE 128KB AAC005 TRIPLE</v>
      </c>
      <c r="B4661" s="22">
        <f>IFERROR(__xludf.DUMMYFUNCTION("""COMPUTED_VALUE"""),23107.0)</f>
        <v>23107</v>
      </c>
      <c r="C4661" s="21" t="str">
        <f>IFERROR(__xludf.DUMMYFUNCTION("""COMPUTED_VALUE"""),"89550531860001054124")</f>
        <v>89550531860001054124</v>
      </c>
      <c r="D4661" s="21" t="str">
        <f>IFERROR(__xludf.DUMMYFUNCTION("""COMPUTED_VALUE"""),"DIGITEC TECNOLOGIA DIGITAL E REPRES")</f>
        <v>DIGITEC TECNOLOGIA DIGITAL E REPRES</v>
      </c>
      <c r="E4661" s="21">
        <f>IFERROR(__xludf.DUMMYFUNCTION("""COMPUTED_VALUE"""),145359.0)</f>
        <v>145359</v>
      </c>
      <c r="F4661" s="21" t="str">
        <f>IFERROR(__xludf.DUMMYFUNCTION("""COMPUTED_VALUE"""),"INICIALIZADO")</f>
        <v>INICIALIZADO</v>
      </c>
      <c r="G4661" s="23">
        <f>IFERROR(__xludf.DUMMYFUNCTION("""COMPUTED_VALUE"""),45604.69226851852)</f>
        <v>45604.69227</v>
      </c>
      <c r="H4661" s="24" t="str">
        <f>IFERROR(VLOOKUP(B4661,material!A:D,3,0),"")</f>
        <v>CHIP</v>
      </c>
    </row>
    <row r="4662" ht="11.25" customHeight="1">
      <c r="A4662" s="21" t="str">
        <f>IFERROR(__xludf.DUMMYFUNCTION("""COMPUTED_VALUE"""),"SC BOPP 8NP NE 128KB AAC005 TRIPLE")</f>
        <v>SC BOPP 8NP NE 128KB AAC005 TRIPLE</v>
      </c>
      <c r="B4662" s="22">
        <f>IFERROR(__xludf.DUMMYFUNCTION("""COMPUTED_VALUE"""),23107.0)</f>
        <v>23107</v>
      </c>
      <c r="C4662" s="21" t="str">
        <f>IFERROR(__xludf.DUMMYFUNCTION("""COMPUTED_VALUE"""),"89550531860000432115")</f>
        <v>89550531860000432115</v>
      </c>
      <c r="D4662" s="21" t="str">
        <f>IFERROR(__xludf.DUMMYFUNCTION("""COMPUTED_VALUE"""),"DIGITEC TECNOLOGIA DIGITAL E REPRES")</f>
        <v>DIGITEC TECNOLOGIA DIGITAL E REPRES</v>
      </c>
      <c r="E4662" s="21">
        <f>IFERROR(__xludf.DUMMYFUNCTION("""COMPUTED_VALUE"""),145359.0)</f>
        <v>145359</v>
      </c>
      <c r="F4662" s="21" t="str">
        <f>IFERROR(__xludf.DUMMYFUNCTION("""COMPUTED_VALUE"""),"INICIALIZADO")</f>
        <v>INICIALIZADO</v>
      </c>
      <c r="G4662" s="23">
        <f>IFERROR(__xludf.DUMMYFUNCTION("""COMPUTED_VALUE"""),45604.69226851852)</f>
        <v>45604.69227</v>
      </c>
      <c r="H4662" s="24" t="str">
        <f>IFERROR(VLOOKUP(B4662,material!A:D,3,0),"")</f>
        <v>CHIP</v>
      </c>
    </row>
    <row r="4663" ht="11.25" customHeight="1">
      <c r="A4663" s="21" t="str">
        <f>IFERROR(__xludf.DUMMYFUNCTION("""COMPUTED_VALUE"""),"SC BOPP 8NP NE 128KB AAC005 TRIPLE")</f>
        <v>SC BOPP 8NP NE 128KB AAC005 TRIPLE</v>
      </c>
      <c r="B4663" s="22">
        <f>IFERROR(__xludf.DUMMYFUNCTION("""COMPUTED_VALUE"""),23107.0)</f>
        <v>23107</v>
      </c>
      <c r="C4663" s="21" t="str">
        <f>IFERROR(__xludf.DUMMYFUNCTION("""COMPUTED_VALUE"""),"89550531860000432107")</f>
        <v>89550531860000432107</v>
      </c>
      <c r="D4663" s="21" t="str">
        <f>IFERROR(__xludf.DUMMYFUNCTION("""COMPUTED_VALUE"""),"DIGITEC TECNOLOGIA DIGITAL E REPRES")</f>
        <v>DIGITEC TECNOLOGIA DIGITAL E REPRES</v>
      </c>
      <c r="E4663" s="21">
        <f>IFERROR(__xludf.DUMMYFUNCTION("""COMPUTED_VALUE"""),145359.0)</f>
        <v>145359</v>
      </c>
      <c r="F4663" s="21" t="str">
        <f>IFERROR(__xludf.DUMMYFUNCTION("""COMPUTED_VALUE"""),"INICIALIZADO")</f>
        <v>INICIALIZADO</v>
      </c>
      <c r="G4663" s="23">
        <f>IFERROR(__xludf.DUMMYFUNCTION("""COMPUTED_VALUE"""),45604.69226851852)</f>
        <v>45604.69227</v>
      </c>
      <c r="H4663" s="24" t="str">
        <f>IFERROR(VLOOKUP(B4663,material!A:D,3,0),"")</f>
        <v>CHIP</v>
      </c>
    </row>
    <row r="4664" ht="11.25" customHeight="1">
      <c r="A4664" s="21" t="str">
        <f>IFERROR(__xludf.DUMMYFUNCTION("""COMPUTED_VALUE"""),"SC BOPP 8NP NE 128KB AAC005 TRIPLE")</f>
        <v>SC BOPP 8NP NE 128KB AAC005 TRIPLE</v>
      </c>
      <c r="B4664" s="22">
        <f>IFERROR(__xludf.DUMMYFUNCTION("""COMPUTED_VALUE"""),23107.0)</f>
        <v>23107</v>
      </c>
      <c r="C4664" s="21" t="str">
        <f>IFERROR(__xludf.DUMMYFUNCTION("""COMPUTED_VALUE"""),"89550531860000432099")</f>
        <v>89550531860000432099</v>
      </c>
      <c r="D4664" s="21" t="str">
        <f>IFERROR(__xludf.DUMMYFUNCTION("""COMPUTED_VALUE"""),"DIGITEC TECNOLOGIA DIGITAL E REPRES")</f>
        <v>DIGITEC TECNOLOGIA DIGITAL E REPRES</v>
      </c>
      <c r="E4664" s="21">
        <f>IFERROR(__xludf.DUMMYFUNCTION("""COMPUTED_VALUE"""),145359.0)</f>
        <v>145359</v>
      </c>
      <c r="F4664" s="21" t="str">
        <f>IFERROR(__xludf.DUMMYFUNCTION("""COMPUTED_VALUE"""),"INICIALIZADO")</f>
        <v>INICIALIZADO</v>
      </c>
      <c r="G4664" s="23">
        <f>IFERROR(__xludf.DUMMYFUNCTION("""COMPUTED_VALUE"""),45604.69226851852)</f>
        <v>45604.69227</v>
      </c>
      <c r="H4664" s="24" t="str">
        <f>IFERROR(VLOOKUP(B4664,material!A:D,3,0),"")</f>
        <v>CHIP</v>
      </c>
    </row>
    <row r="4665" ht="11.25" customHeight="1">
      <c r="A4665" s="21" t="str">
        <f>IFERROR(__xludf.DUMMYFUNCTION("""COMPUTED_VALUE"""),"SC BOPP 8NP NE 128KB AAC005 TRIPLE")</f>
        <v>SC BOPP 8NP NE 128KB AAC005 TRIPLE</v>
      </c>
      <c r="B4665" s="22">
        <f>IFERROR(__xludf.DUMMYFUNCTION("""COMPUTED_VALUE"""),23107.0)</f>
        <v>23107</v>
      </c>
      <c r="C4665" s="21" t="str">
        <f>IFERROR(__xludf.DUMMYFUNCTION("""COMPUTED_VALUE"""),"89550531860000432057")</f>
        <v>89550531860000432057</v>
      </c>
      <c r="D4665" s="21" t="str">
        <f>IFERROR(__xludf.DUMMYFUNCTION("""COMPUTED_VALUE"""),"DIGITEC TECNOLOGIA DIGITAL E REPRES")</f>
        <v>DIGITEC TECNOLOGIA DIGITAL E REPRES</v>
      </c>
      <c r="E4665" s="21">
        <f>IFERROR(__xludf.DUMMYFUNCTION("""COMPUTED_VALUE"""),145359.0)</f>
        <v>145359</v>
      </c>
      <c r="F4665" s="21" t="str">
        <f>IFERROR(__xludf.DUMMYFUNCTION("""COMPUTED_VALUE"""),"INICIALIZADO")</f>
        <v>INICIALIZADO</v>
      </c>
      <c r="G4665" s="23">
        <f>IFERROR(__xludf.DUMMYFUNCTION("""COMPUTED_VALUE"""),45604.69226851852)</f>
        <v>45604.69227</v>
      </c>
      <c r="H4665" s="24" t="str">
        <f>IFERROR(VLOOKUP(B4665,material!A:D,3,0),"")</f>
        <v>CHIP</v>
      </c>
    </row>
    <row r="4666" ht="11.25" customHeight="1">
      <c r="A4666" s="21" t="str">
        <f>IFERROR(__xludf.DUMMYFUNCTION("""COMPUTED_VALUE"""),"SC BOPP 8NP NE 128KB AAC005 TRIPLE")</f>
        <v>SC BOPP 8NP NE 128KB AAC005 TRIPLE</v>
      </c>
      <c r="B4666" s="22">
        <f>IFERROR(__xludf.DUMMYFUNCTION("""COMPUTED_VALUE"""),23107.0)</f>
        <v>23107</v>
      </c>
      <c r="C4666" s="21" t="str">
        <f>IFERROR(__xludf.DUMMYFUNCTION("""COMPUTED_VALUE"""),"89550531860000432040")</f>
        <v>89550531860000432040</v>
      </c>
      <c r="D4666" s="21" t="str">
        <f>IFERROR(__xludf.DUMMYFUNCTION("""COMPUTED_VALUE"""),"DIGITEC TECNOLOGIA DIGITAL E REPRES")</f>
        <v>DIGITEC TECNOLOGIA DIGITAL E REPRES</v>
      </c>
      <c r="E4666" s="21">
        <f>IFERROR(__xludf.DUMMYFUNCTION("""COMPUTED_VALUE"""),145359.0)</f>
        <v>145359</v>
      </c>
      <c r="F4666" s="21" t="str">
        <f>IFERROR(__xludf.DUMMYFUNCTION("""COMPUTED_VALUE"""),"INICIALIZADO")</f>
        <v>INICIALIZADO</v>
      </c>
      <c r="G4666" s="23">
        <f>IFERROR(__xludf.DUMMYFUNCTION("""COMPUTED_VALUE"""),45604.69226851852)</f>
        <v>45604.69227</v>
      </c>
      <c r="H4666" s="24" t="str">
        <f>IFERROR(VLOOKUP(B4666,material!A:D,3,0),"")</f>
        <v>CHIP</v>
      </c>
    </row>
    <row r="4667" ht="11.25" customHeight="1">
      <c r="A4667" s="21" t="str">
        <f>IFERROR(__xludf.DUMMYFUNCTION("""COMPUTED_VALUE"""),"SC BOPP 8NP NE 128KB AAC005 TRIPLE")</f>
        <v>SC BOPP 8NP NE 128KB AAC005 TRIPLE</v>
      </c>
      <c r="B4667" s="22">
        <f>IFERROR(__xludf.DUMMYFUNCTION("""COMPUTED_VALUE"""),23107.0)</f>
        <v>23107</v>
      </c>
      <c r="C4667" s="21" t="str">
        <f>IFERROR(__xludf.DUMMYFUNCTION("""COMPUTED_VALUE"""),"89550531860000432024")</f>
        <v>89550531860000432024</v>
      </c>
      <c r="D4667" s="21" t="str">
        <f>IFERROR(__xludf.DUMMYFUNCTION("""COMPUTED_VALUE"""),"DIGITEC TECNOLOGIA DIGITAL E REPRES")</f>
        <v>DIGITEC TECNOLOGIA DIGITAL E REPRES</v>
      </c>
      <c r="E4667" s="21">
        <f>IFERROR(__xludf.DUMMYFUNCTION("""COMPUTED_VALUE"""),145359.0)</f>
        <v>145359</v>
      </c>
      <c r="F4667" s="21" t="str">
        <f>IFERROR(__xludf.DUMMYFUNCTION("""COMPUTED_VALUE"""),"INICIALIZADO")</f>
        <v>INICIALIZADO</v>
      </c>
      <c r="G4667" s="23">
        <f>IFERROR(__xludf.DUMMYFUNCTION("""COMPUTED_VALUE"""),45604.69226851852)</f>
        <v>45604.69227</v>
      </c>
      <c r="H4667" s="24" t="str">
        <f>IFERROR(VLOOKUP(B4667,material!A:D,3,0),"")</f>
        <v>CHIP</v>
      </c>
    </row>
    <row r="4668" ht="11.25" customHeight="1">
      <c r="A4668" s="21" t="str">
        <f>IFERROR(__xludf.DUMMYFUNCTION("""COMPUTED_VALUE"""),"SC BOPP 8NP NE 128KB AAC005 TRIPLE")</f>
        <v>SC BOPP 8NP NE 128KB AAC005 TRIPLE</v>
      </c>
      <c r="B4668" s="22">
        <f>IFERROR(__xludf.DUMMYFUNCTION("""COMPUTED_VALUE"""),23107.0)</f>
        <v>23107</v>
      </c>
      <c r="C4668" s="21" t="str">
        <f>IFERROR(__xludf.DUMMYFUNCTION("""COMPUTED_VALUE"""),"89550531860000431810")</f>
        <v>89550531860000431810</v>
      </c>
      <c r="D4668" s="21" t="str">
        <f>IFERROR(__xludf.DUMMYFUNCTION("""COMPUTED_VALUE"""),"DIGITEC TECNOLOGIA DIGITAL E REPRES")</f>
        <v>DIGITEC TECNOLOGIA DIGITAL E REPRES</v>
      </c>
      <c r="E4668" s="21">
        <f>IFERROR(__xludf.DUMMYFUNCTION("""COMPUTED_VALUE"""),145359.0)</f>
        <v>145359</v>
      </c>
      <c r="F4668" s="21" t="str">
        <f>IFERROR(__xludf.DUMMYFUNCTION("""COMPUTED_VALUE"""),"INICIALIZADO")</f>
        <v>INICIALIZADO</v>
      </c>
      <c r="G4668" s="23">
        <f>IFERROR(__xludf.DUMMYFUNCTION("""COMPUTED_VALUE"""),45604.69226851852)</f>
        <v>45604.69227</v>
      </c>
      <c r="H4668" s="24" t="str">
        <f>IFERROR(VLOOKUP(B4668,material!A:D,3,0),"")</f>
        <v>CHIP</v>
      </c>
    </row>
    <row r="4669" ht="11.25" customHeight="1">
      <c r="A4669" s="21" t="str">
        <f>IFERROR(__xludf.DUMMYFUNCTION("""COMPUTED_VALUE"""),"SC BOPP 8NP NE 128KB AAC005 TRIPLE")</f>
        <v>SC BOPP 8NP NE 128KB AAC005 TRIPLE</v>
      </c>
      <c r="B4669" s="22">
        <f>IFERROR(__xludf.DUMMYFUNCTION("""COMPUTED_VALUE"""),23107.0)</f>
        <v>23107</v>
      </c>
      <c r="C4669" s="21" t="str">
        <f>IFERROR(__xludf.DUMMYFUNCTION("""COMPUTED_VALUE"""),"89550531860000431703")</f>
        <v>89550531860000431703</v>
      </c>
      <c r="D4669" s="21" t="str">
        <f>IFERROR(__xludf.DUMMYFUNCTION("""COMPUTED_VALUE"""),"DIGITEC TECNOLOGIA DIGITAL E REPRES")</f>
        <v>DIGITEC TECNOLOGIA DIGITAL E REPRES</v>
      </c>
      <c r="E4669" s="21">
        <f>IFERROR(__xludf.DUMMYFUNCTION("""COMPUTED_VALUE"""),145359.0)</f>
        <v>145359</v>
      </c>
      <c r="F4669" s="21" t="str">
        <f>IFERROR(__xludf.DUMMYFUNCTION("""COMPUTED_VALUE"""),"INICIALIZADO")</f>
        <v>INICIALIZADO</v>
      </c>
      <c r="G4669" s="23">
        <f>IFERROR(__xludf.DUMMYFUNCTION("""COMPUTED_VALUE"""),45604.69226851852)</f>
        <v>45604.69227</v>
      </c>
      <c r="H4669" s="24" t="str">
        <f>IFERROR(VLOOKUP(B4669,material!A:D,3,0),"")</f>
        <v>CHIP</v>
      </c>
    </row>
    <row r="4670" ht="11.25" customHeight="1">
      <c r="A4670" s="21" t="str">
        <f>IFERROR(__xludf.DUMMYFUNCTION("""COMPUTED_VALUE"""),"SC BOPP 8NP NE 128KB AAC005 TRIPLE")</f>
        <v>SC BOPP 8NP NE 128KB AAC005 TRIPLE</v>
      </c>
      <c r="B4670" s="22">
        <f>IFERROR(__xludf.DUMMYFUNCTION("""COMPUTED_VALUE"""),23107.0)</f>
        <v>23107</v>
      </c>
      <c r="C4670" s="21" t="str">
        <f>IFERROR(__xludf.DUMMYFUNCTION("""COMPUTED_VALUE"""),"89550531860000431695")</f>
        <v>89550531860000431695</v>
      </c>
      <c r="D4670" s="21" t="str">
        <f>IFERROR(__xludf.DUMMYFUNCTION("""COMPUTED_VALUE"""),"DIGITEC TECNOLOGIA DIGITAL E REPRES")</f>
        <v>DIGITEC TECNOLOGIA DIGITAL E REPRES</v>
      </c>
      <c r="E4670" s="21">
        <f>IFERROR(__xludf.DUMMYFUNCTION("""COMPUTED_VALUE"""),145359.0)</f>
        <v>145359</v>
      </c>
      <c r="F4670" s="21" t="str">
        <f>IFERROR(__xludf.DUMMYFUNCTION("""COMPUTED_VALUE"""),"INICIALIZADO")</f>
        <v>INICIALIZADO</v>
      </c>
      <c r="G4670" s="23">
        <f>IFERROR(__xludf.DUMMYFUNCTION("""COMPUTED_VALUE"""),45604.69226851852)</f>
        <v>45604.69227</v>
      </c>
      <c r="H4670" s="24" t="str">
        <f>IFERROR(VLOOKUP(B4670,material!A:D,3,0),"")</f>
        <v>CHIP</v>
      </c>
    </row>
    <row r="4671" ht="11.25" customHeight="1">
      <c r="A4671" s="21" t="str">
        <f>IFERROR(__xludf.DUMMYFUNCTION("""COMPUTED_VALUE"""),"SC BOPP 8NP NE 128KB AAC005 TRIPLE")</f>
        <v>SC BOPP 8NP NE 128KB AAC005 TRIPLE</v>
      </c>
      <c r="B4671" s="22">
        <f>IFERROR(__xludf.DUMMYFUNCTION("""COMPUTED_VALUE"""),23107.0)</f>
        <v>23107</v>
      </c>
      <c r="C4671" s="21" t="str">
        <f>IFERROR(__xludf.DUMMYFUNCTION("""COMPUTED_VALUE"""),"89550531860000431687")</f>
        <v>89550531860000431687</v>
      </c>
      <c r="D4671" s="21" t="str">
        <f>IFERROR(__xludf.DUMMYFUNCTION("""COMPUTED_VALUE"""),"DIGITEC TECNOLOGIA DIGITAL E REPRES")</f>
        <v>DIGITEC TECNOLOGIA DIGITAL E REPRES</v>
      </c>
      <c r="E4671" s="21">
        <f>IFERROR(__xludf.DUMMYFUNCTION("""COMPUTED_VALUE"""),145359.0)</f>
        <v>145359</v>
      </c>
      <c r="F4671" s="21" t="str">
        <f>IFERROR(__xludf.DUMMYFUNCTION("""COMPUTED_VALUE"""),"INICIALIZADO")</f>
        <v>INICIALIZADO</v>
      </c>
      <c r="G4671" s="23">
        <f>IFERROR(__xludf.DUMMYFUNCTION("""COMPUTED_VALUE"""),45604.69226851852)</f>
        <v>45604.69227</v>
      </c>
      <c r="H4671" s="24" t="str">
        <f>IFERROR(VLOOKUP(B4671,material!A:D,3,0),"")</f>
        <v>CHIP</v>
      </c>
    </row>
    <row r="4672" ht="11.25" customHeight="1">
      <c r="A4672" s="21" t="str">
        <f>IFERROR(__xludf.DUMMYFUNCTION("""COMPUTED_VALUE"""),"SC BOPP 8NP NE 128KB AAC005 TRIPLE")</f>
        <v>SC BOPP 8NP NE 128KB AAC005 TRIPLE</v>
      </c>
      <c r="B4672" s="22">
        <f>IFERROR(__xludf.DUMMYFUNCTION("""COMPUTED_VALUE"""),23107.0)</f>
        <v>23107</v>
      </c>
      <c r="C4672" s="21" t="str">
        <f>IFERROR(__xludf.DUMMYFUNCTION("""COMPUTED_VALUE"""),"89550531860000431679")</f>
        <v>89550531860000431679</v>
      </c>
      <c r="D4672" s="21" t="str">
        <f>IFERROR(__xludf.DUMMYFUNCTION("""COMPUTED_VALUE"""),"DIGITEC TECNOLOGIA DIGITAL E REPRES")</f>
        <v>DIGITEC TECNOLOGIA DIGITAL E REPRES</v>
      </c>
      <c r="E4672" s="21">
        <f>IFERROR(__xludf.DUMMYFUNCTION("""COMPUTED_VALUE"""),145359.0)</f>
        <v>145359</v>
      </c>
      <c r="F4672" s="21" t="str">
        <f>IFERROR(__xludf.DUMMYFUNCTION("""COMPUTED_VALUE"""),"INICIALIZADO")</f>
        <v>INICIALIZADO</v>
      </c>
      <c r="G4672" s="23">
        <f>IFERROR(__xludf.DUMMYFUNCTION("""COMPUTED_VALUE"""),45604.69226851852)</f>
        <v>45604.69227</v>
      </c>
      <c r="H4672" s="24" t="str">
        <f>IFERROR(VLOOKUP(B4672,material!A:D,3,0),"")</f>
        <v>CHIP</v>
      </c>
    </row>
    <row r="4673" ht="11.25" customHeight="1">
      <c r="A4673" s="21" t="str">
        <f>IFERROR(__xludf.DUMMYFUNCTION("""COMPUTED_VALUE"""),"SC BOPP 8NP NE 128KB AAC005 TRIPLE")</f>
        <v>SC BOPP 8NP NE 128KB AAC005 TRIPLE</v>
      </c>
      <c r="B4673" s="22">
        <f>IFERROR(__xludf.DUMMYFUNCTION("""COMPUTED_VALUE"""),23107.0)</f>
        <v>23107</v>
      </c>
      <c r="C4673" s="21" t="str">
        <f>IFERROR(__xludf.DUMMYFUNCTION("""COMPUTED_VALUE"""),"89550532860001304437")</f>
        <v>89550532860001304437</v>
      </c>
      <c r="D4673" s="21" t="str">
        <f>IFERROR(__xludf.DUMMYFUNCTION("""COMPUTED_VALUE"""),"DIGITEC TECNOLOGIA DIGITAL E REPRES")</f>
        <v>DIGITEC TECNOLOGIA DIGITAL E REPRES</v>
      </c>
      <c r="E4673" s="21">
        <f>IFERROR(__xludf.DUMMYFUNCTION("""COMPUTED_VALUE"""),145359.0)</f>
        <v>145359</v>
      </c>
      <c r="F4673" s="21" t="str">
        <f>IFERROR(__xludf.DUMMYFUNCTION("""COMPUTED_VALUE"""),"INICIALIZADO")</f>
        <v>INICIALIZADO</v>
      </c>
      <c r="G4673" s="23">
        <f>IFERROR(__xludf.DUMMYFUNCTION("""COMPUTED_VALUE"""),45534.62809027778)</f>
        <v>45534.62809</v>
      </c>
      <c r="H4673" s="24" t="str">
        <f>IFERROR(VLOOKUP(B4673,material!A:D,3,0),"")</f>
        <v>CHIP</v>
      </c>
    </row>
    <row r="4674" ht="11.25" customHeight="1">
      <c r="A4674" s="21" t="str">
        <f>IFERROR(__xludf.DUMMYFUNCTION("""COMPUTED_VALUE"""),"SC BOPP 8NP NE 128KB AAC005 TRIPLE")</f>
        <v>SC BOPP 8NP NE 128KB AAC005 TRIPLE</v>
      </c>
      <c r="B4674" s="22">
        <f>IFERROR(__xludf.DUMMYFUNCTION("""COMPUTED_VALUE"""),23107.0)</f>
        <v>23107</v>
      </c>
      <c r="C4674" s="21" t="str">
        <f>IFERROR(__xludf.DUMMYFUNCTION("""COMPUTED_VALUE"""),"89550532860001304452")</f>
        <v>89550532860001304452</v>
      </c>
      <c r="D4674" s="21" t="str">
        <f>IFERROR(__xludf.DUMMYFUNCTION("""COMPUTED_VALUE"""),"DIGITEC TECNOLOGIA DIGITAL E REPRES")</f>
        <v>DIGITEC TECNOLOGIA DIGITAL E REPRES</v>
      </c>
      <c r="E4674" s="21">
        <f>IFERROR(__xludf.DUMMYFUNCTION("""COMPUTED_VALUE"""),145359.0)</f>
        <v>145359</v>
      </c>
      <c r="F4674" s="21" t="str">
        <f>IFERROR(__xludf.DUMMYFUNCTION("""COMPUTED_VALUE"""),"INICIALIZADO")</f>
        <v>INICIALIZADO</v>
      </c>
      <c r="G4674" s="23">
        <f>IFERROR(__xludf.DUMMYFUNCTION("""COMPUTED_VALUE"""),45534.62809027778)</f>
        <v>45534.62809</v>
      </c>
      <c r="H4674" s="24" t="str">
        <f>IFERROR(VLOOKUP(B4674,material!A:D,3,0),"")</f>
        <v>CHIP</v>
      </c>
    </row>
    <row r="4675" ht="11.25" customHeight="1">
      <c r="A4675" s="21" t="str">
        <f>IFERROR(__xludf.DUMMYFUNCTION("""COMPUTED_VALUE"""),"SC BOPP 8NP NE 128KB AAC005 TRIPLE")</f>
        <v>SC BOPP 8NP NE 128KB AAC005 TRIPLE</v>
      </c>
      <c r="B4675" s="22">
        <f>IFERROR(__xludf.DUMMYFUNCTION("""COMPUTED_VALUE"""),23107.0)</f>
        <v>23107</v>
      </c>
      <c r="C4675" s="21" t="str">
        <f>IFERROR(__xludf.DUMMYFUNCTION("""COMPUTED_VALUE"""),"89550532860001304478")</f>
        <v>89550532860001304478</v>
      </c>
      <c r="D4675" s="21" t="str">
        <f>IFERROR(__xludf.DUMMYFUNCTION("""COMPUTED_VALUE"""),"DIGITEC TECNOLOGIA DIGITAL E REPRES")</f>
        <v>DIGITEC TECNOLOGIA DIGITAL E REPRES</v>
      </c>
      <c r="E4675" s="21">
        <f>IFERROR(__xludf.DUMMYFUNCTION("""COMPUTED_VALUE"""),145359.0)</f>
        <v>145359</v>
      </c>
      <c r="F4675" s="21" t="str">
        <f>IFERROR(__xludf.DUMMYFUNCTION("""COMPUTED_VALUE"""),"INICIALIZADO")</f>
        <v>INICIALIZADO</v>
      </c>
      <c r="G4675" s="23">
        <f>IFERROR(__xludf.DUMMYFUNCTION("""COMPUTED_VALUE"""),45534.62809027778)</f>
        <v>45534.62809</v>
      </c>
      <c r="H4675" s="24" t="str">
        <f>IFERROR(VLOOKUP(B4675,material!A:D,3,0),"")</f>
        <v>CHIP</v>
      </c>
    </row>
    <row r="4676" ht="11.25" customHeight="1">
      <c r="A4676" s="21" t="str">
        <f>IFERROR(__xludf.DUMMYFUNCTION("""COMPUTED_VALUE"""),"SC BOPP 8NP NE 128KB AAC005 TRIPLE")</f>
        <v>SC BOPP 8NP NE 128KB AAC005 TRIPLE</v>
      </c>
      <c r="B4676" s="22">
        <f>IFERROR(__xludf.DUMMYFUNCTION("""COMPUTED_VALUE"""),23107.0)</f>
        <v>23107</v>
      </c>
      <c r="C4676" s="21" t="str">
        <f>IFERROR(__xludf.DUMMYFUNCTION("""COMPUTED_VALUE"""),"89550532860001304486")</f>
        <v>89550532860001304486</v>
      </c>
      <c r="D4676" s="21" t="str">
        <f>IFERROR(__xludf.DUMMYFUNCTION("""COMPUTED_VALUE"""),"DIGITEC TECNOLOGIA DIGITAL E REPRES")</f>
        <v>DIGITEC TECNOLOGIA DIGITAL E REPRES</v>
      </c>
      <c r="E4676" s="21">
        <f>IFERROR(__xludf.DUMMYFUNCTION("""COMPUTED_VALUE"""),145359.0)</f>
        <v>145359</v>
      </c>
      <c r="F4676" s="21" t="str">
        <f>IFERROR(__xludf.DUMMYFUNCTION("""COMPUTED_VALUE"""),"INICIALIZADO")</f>
        <v>INICIALIZADO</v>
      </c>
      <c r="G4676" s="23">
        <f>IFERROR(__xludf.DUMMYFUNCTION("""COMPUTED_VALUE"""),45534.62809027778)</f>
        <v>45534.62809</v>
      </c>
      <c r="H4676" s="24" t="str">
        <f>IFERROR(VLOOKUP(B4676,material!A:D,3,0),"")</f>
        <v>CHIP</v>
      </c>
    </row>
    <row r="4677" ht="11.25" customHeight="1">
      <c r="A4677" s="21" t="str">
        <f>IFERROR(__xludf.DUMMYFUNCTION("""COMPUTED_VALUE"""),"SC BOPP 8NP NE 128KB AAC005 TRIPLE")</f>
        <v>SC BOPP 8NP NE 128KB AAC005 TRIPLE</v>
      </c>
      <c r="B4677" s="22">
        <f>IFERROR(__xludf.DUMMYFUNCTION("""COMPUTED_VALUE"""),23107.0)</f>
        <v>23107</v>
      </c>
      <c r="C4677" s="21" t="str">
        <f>IFERROR(__xludf.DUMMYFUNCTION("""COMPUTED_VALUE"""),"89550534890028096045")</f>
        <v>89550534890028096045</v>
      </c>
      <c r="D4677" s="21" t="str">
        <f>IFERROR(__xludf.DUMMYFUNCTION("""COMPUTED_VALUE"""),"DIGITEC TECNOLOGIA DIGITAL E REPRES")</f>
        <v>DIGITEC TECNOLOGIA DIGITAL E REPRES</v>
      </c>
      <c r="E4677" s="21">
        <f>IFERROR(__xludf.DUMMYFUNCTION("""COMPUTED_VALUE"""),145359.0)</f>
        <v>145359</v>
      </c>
      <c r="F4677" s="21" t="str">
        <f>IFERROR(__xludf.DUMMYFUNCTION("""COMPUTED_VALUE"""),"INICIALIZADO")</f>
        <v>INICIALIZADO</v>
      </c>
      <c r="G4677" s="23">
        <f>IFERROR(__xludf.DUMMYFUNCTION("""COMPUTED_VALUE"""),45573.70291666666)</f>
        <v>45573.70292</v>
      </c>
      <c r="H4677" s="24" t="str">
        <f>IFERROR(VLOOKUP(B4677,material!A:D,3,0),"")</f>
        <v>CHIP</v>
      </c>
    </row>
    <row r="4678" ht="11.25" customHeight="1">
      <c r="A4678" s="21" t="str">
        <f>IFERROR(__xludf.DUMMYFUNCTION("""COMPUTED_VALUE"""),"MODEM VOIP EMTA WIFI 3.1 FAST3895")</f>
        <v>MODEM VOIP EMTA WIFI 3.1 FAST3895</v>
      </c>
      <c r="B4678" s="22">
        <f>IFERROR(__xludf.DUMMYFUNCTION("""COMPUTED_VALUE"""),4.1001504E7)</f>
        <v>41001504</v>
      </c>
      <c r="C4678" s="21" t="str">
        <f>IFERROR(__xludf.DUMMYFUNCTION("""COMPUTED_VALUE"""),"38A6592465E1")</f>
        <v>38A6592465E1</v>
      </c>
      <c r="D4678" s="21" t="str">
        <f>IFERROR(__xludf.DUMMYFUNCTION("""COMPUTED_VALUE"""),"DIGITEC TECNOLOGIA DIGITAL E REPRES")</f>
        <v>DIGITEC TECNOLOGIA DIGITAL E REPRES</v>
      </c>
      <c r="E4678" s="21">
        <f>IFERROR(__xludf.DUMMYFUNCTION("""COMPUTED_VALUE"""),145359.0)</f>
        <v>145359</v>
      </c>
      <c r="F4678" s="21" t="str">
        <f>IFERROR(__xludf.DUMMYFUNCTION("""COMPUTED_VALUE"""),"INICIALIZADO")</f>
        <v>INICIALIZADO</v>
      </c>
      <c r="G4678" s="23">
        <f>IFERROR(__xludf.DUMMYFUNCTION("""COMPUTED_VALUE"""),45618.74474537037)</f>
        <v>45618.74475</v>
      </c>
      <c r="H4678" s="24" t="str">
        <f>IFERROR(VLOOKUP(B4678,material!A:D,3,0),"")</f>
        <v>3.1</v>
      </c>
    </row>
    <row r="4679" ht="11.25" customHeight="1">
      <c r="A4679" s="21" t="str">
        <f>IFERROR(__xludf.DUMMYFUNCTION("""COMPUTED_VALUE"""),"MODEM VOIP EMTA WIFI 3.1 FAST3895")</f>
        <v>MODEM VOIP EMTA WIFI 3.1 FAST3895</v>
      </c>
      <c r="B4679" s="22">
        <f>IFERROR(__xludf.DUMMYFUNCTION("""COMPUTED_VALUE"""),4.1001504E7)</f>
        <v>41001504</v>
      </c>
      <c r="C4679" s="21" t="str">
        <f>IFERROR(__xludf.DUMMYFUNCTION("""COMPUTED_VALUE"""),"C03C048655AB")</f>
        <v>C03C048655AB</v>
      </c>
      <c r="D4679" s="21" t="str">
        <f>IFERROR(__xludf.DUMMYFUNCTION("""COMPUTED_VALUE"""),"DIGITEC TECNOLOGIA DIGITAL E REPRES")</f>
        <v>DIGITEC TECNOLOGIA DIGITAL E REPRES</v>
      </c>
      <c r="E4679" s="21">
        <f>IFERROR(__xludf.DUMMYFUNCTION("""COMPUTED_VALUE"""),145359.0)</f>
        <v>145359</v>
      </c>
      <c r="F4679" s="21" t="str">
        <f>IFERROR(__xludf.DUMMYFUNCTION("""COMPUTED_VALUE"""),"INICIALIZADO")</f>
        <v>INICIALIZADO</v>
      </c>
      <c r="G4679" s="23">
        <f>IFERROR(__xludf.DUMMYFUNCTION("""COMPUTED_VALUE"""),45628.35653935185)</f>
        <v>45628.35654</v>
      </c>
      <c r="H4679" s="24" t="str">
        <f>IFERROR(VLOOKUP(B4679,material!A:D,3,0),"")</f>
        <v>3.1</v>
      </c>
    </row>
    <row r="4680" ht="11.25" customHeight="1">
      <c r="A4680" s="21" t="str">
        <f>IFERROR(__xludf.DUMMYFUNCTION("""COMPUTED_VALUE"""),"MODEM VOIP EMTA WIFI 3.1 FAST3895")</f>
        <v>MODEM VOIP EMTA WIFI 3.1 FAST3895</v>
      </c>
      <c r="B4680" s="22">
        <f>IFERROR(__xludf.DUMMYFUNCTION("""COMPUTED_VALUE"""),4.1001504E7)</f>
        <v>41001504</v>
      </c>
      <c r="C4680" s="21" t="str">
        <f>IFERROR(__xludf.DUMMYFUNCTION("""COMPUTED_VALUE"""),"3453D2A7DD6B")</f>
        <v>3453D2A7DD6B</v>
      </c>
      <c r="D4680" s="21" t="str">
        <f>IFERROR(__xludf.DUMMYFUNCTION("""COMPUTED_VALUE"""),"DIGITEC TECNOLOGIA DIGITAL E REPRES")</f>
        <v>DIGITEC TECNOLOGIA DIGITAL E REPRES</v>
      </c>
      <c r="E4680" s="21">
        <f>IFERROR(__xludf.DUMMYFUNCTION("""COMPUTED_VALUE"""),145359.0)</f>
        <v>145359</v>
      </c>
      <c r="F4680" s="21" t="str">
        <f>IFERROR(__xludf.DUMMYFUNCTION("""COMPUTED_VALUE"""),"INICIALIZADO")</f>
        <v>INICIALIZADO</v>
      </c>
      <c r="G4680" s="23">
        <f>IFERROR(__xludf.DUMMYFUNCTION("""COMPUTED_VALUE"""),45618.74474537037)</f>
        <v>45618.74475</v>
      </c>
      <c r="H4680" s="24" t="str">
        <f>IFERROR(VLOOKUP(B4680,material!A:D,3,0),"")</f>
        <v>3.1</v>
      </c>
    </row>
    <row r="4681" ht="11.25" customHeight="1">
      <c r="A4681" s="21" t="str">
        <f>IFERROR(__xludf.DUMMYFUNCTION("""COMPUTED_VALUE"""),"MODEM VOIP EMTA WIFI 3.1 FAST3895")</f>
        <v>MODEM VOIP EMTA WIFI 3.1 FAST3895</v>
      </c>
      <c r="B4681" s="22">
        <f>IFERROR(__xludf.DUMMYFUNCTION("""COMPUTED_VALUE"""),4.1001504E7)</f>
        <v>41001504</v>
      </c>
      <c r="C4681" s="21" t="str">
        <f>IFERROR(__xludf.DUMMYFUNCTION("""COMPUTED_VALUE"""),"44D4546B04F3")</f>
        <v>44D4546B04F3</v>
      </c>
      <c r="D4681" s="21" t="str">
        <f>IFERROR(__xludf.DUMMYFUNCTION("""COMPUTED_VALUE"""),"DIGITEC TECNOLOGIA DIGITAL E REPRES")</f>
        <v>DIGITEC TECNOLOGIA DIGITAL E REPRES</v>
      </c>
      <c r="E4681" s="21">
        <f>IFERROR(__xludf.DUMMYFUNCTION("""COMPUTED_VALUE"""),145359.0)</f>
        <v>145359</v>
      </c>
      <c r="F4681" s="21" t="str">
        <f>IFERROR(__xludf.DUMMYFUNCTION("""COMPUTED_VALUE"""),"INICIALIZADO")</f>
        <v>INICIALIZADO</v>
      </c>
      <c r="G4681" s="23">
        <f>IFERROR(__xludf.DUMMYFUNCTION("""COMPUTED_VALUE"""),45618.74474537037)</f>
        <v>45618.74475</v>
      </c>
      <c r="H4681" s="24" t="str">
        <f>IFERROR(VLOOKUP(B4681,material!A:D,3,0),"")</f>
        <v>3.1</v>
      </c>
    </row>
    <row r="4682" ht="11.25" customHeight="1">
      <c r="A4682" s="21" t="str">
        <f>IFERROR(__xludf.DUMMYFUNCTION("""COMPUTED_VALUE"""),"MODEM VOIP EMTA WIFI 3.1 FAST3895")</f>
        <v>MODEM VOIP EMTA WIFI 3.1 FAST3895</v>
      </c>
      <c r="B4682" s="22">
        <f>IFERROR(__xludf.DUMMYFUNCTION("""COMPUTED_VALUE"""),4.1001504E7)</f>
        <v>41001504</v>
      </c>
      <c r="C4682" s="21" t="str">
        <f>IFERROR(__xludf.DUMMYFUNCTION("""COMPUTED_VALUE"""),"3453D2A8996F")</f>
        <v>3453D2A8996F</v>
      </c>
      <c r="D4682" s="21" t="str">
        <f>IFERROR(__xludf.DUMMYFUNCTION("""COMPUTED_VALUE"""),"DIGITEC TECNOLOGIA DIGITAL E REPRES")</f>
        <v>DIGITEC TECNOLOGIA DIGITAL E REPRES</v>
      </c>
      <c r="E4682" s="21">
        <f>IFERROR(__xludf.DUMMYFUNCTION("""COMPUTED_VALUE"""),145359.0)</f>
        <v>145359</v>
      </c>
      <c r="F4682" s="21" t="str">
        <f>IFERROR(__xludf.DUMMYFUNCTION("""COMPUTED_VALUE"""),"INICIALIZADO")</f>
        <v>INICIALIZADO</v>
      </c>
      <c r="G4682" s="23">
        <f>IFERROR(__xludf.DUMMYFUNCTION("""COMPUTED_VALUE"""),45628.35653935185)</f>
        <v>45628.35654</v>
      </c>
      <c r="H4682" s="24" t="str">
        <f>IFERROR(VLOOKUP(B4682,material!A:D,3,0),"")</f>
        <v>3.1</v>
      </c>
    </row>
    <row r="4683" ht="11.25" customHeight="1">
      <c r="A4683" s="21" t="str">
        <f>IFERROR(__xludf.DUMMYFUNCTION("""COMPUTED_VALUE"""),"MODEM VOIP EMTA WIFI 3.1 FAST3895")</f>
        <v>MODEM VOIP EMTA WIFI 3.1 FAST3895</v>
      </c>
      <c r="B4683" s="22">
        <f>IFERROR(__xludf.DUMMYFUNCTION("""COMPUTED_VALUE"""),4.1001504E7)</f>
        <v>41001504</v>
      </c>
      <c r="C4683" s="21" t="str">
        <f>IFERROR(__xludf.DUMMYFUNCTION("""COMPUTED_VALUE"""),"4C195DCC7D29")</f>
        <v>4C195DCC7D29</v>
      </c>
      <c r="D4683" s="21" t="str">
        <f>IFERROR(__xludf.DUMMYFUNCTION("""COMPUTED_VALUE"""),"DIGITEC TECNOLOGIA DIGITAL E REPRES")</f>
        <v>DIGITEC TECNOLOGIA DIGITAL E REPRES</v>
      </c>
      <c r="E4683" s="21">
        <f>IFERROR(__xludf.DUMMYFUNCTION("""COMPUTED_VALUE"""),145359.0)</f>
        <v>145359</v>
      </c>
      <c r="F4683" s="21" t="str">
        <f>IFERROR(__xludf.DUMMYFUNCTION("""COMPUTED_VALUE"""),"INICIALIZADO")</f>
        <v>INICIALIZADO</v>
      </c>
      <c r="G4683" s="23">
        <f>IFERROR(__xludf.DUMMYFUNCTION("""COMPUTED_VALUE"""),45615.61854166667)</f>
        <v>45615.61854</v>
      </c>
      <c r="H4683" s="24" t="str">
        <f>IFERROR(VLOOKUP(B4683,material!A:D,3,0),"")</f>
        <v>3.1</v>
      </c>
    </row>
    <row r="4684" ht="11.25" customHeight="1">
      <c r="A4684" s="21" t="str">
        <f>IFERROR(__xludf.DUMMYFUNCTION("""COMPUTED_VALUE"""),"MODEM VOIP EMTA WIFI 3.1 FAST3895")</f>
        <v>MODEM VOIP EMTA WIFI 3.1 FAST3895</v>
      </c>
      <c r="B4684" s="22">
        <f>IFERROR(__xludf.DUMMYFUNCTION("""COMPUTED_VALUE"""),4.1001504E7)</f>
        <v>41001504</v>
      </c>
      <c r="C4684" s="21" t="str">
        <f>IFERROR(__xludf.DUMMYFUNCTION("""COMPUTED_VALUE"""),"E4C0E2901C1C")</f>
        <v>E4C0E2901C1C</v>
      </c>
      <c r="D4684" s="21" t="str">
        <f>IFERROR(__xludf.DUMMYFUNCTION("""COMPUTED_VALUE"""),"DIGITEC TECNOLOGIA DIGITAL E REPRES")</f>
        <v>DIGITEC TECNOLOGIA DIGITAL E REPRES</v>
      </c>
      <c r="E4684" s="21">
        <f>IFERROR(__xludf.DUMMYFUNCTION("""COMPUTED_VALUE"""),145359.0)</f>
        <v>145359</v>
      </c>
      <c r="F4684" s="21" t="str">
        <f>IFERROR(__xludf.DUMMYFUNCTION("""COMPUTED_VALUE"""),"INICIALIZADO")</f>
        <v>INICIALIZADO</v>
      </c>
      <c r="G4684" s="23">
        <f>IFERROR(__xludf.DUMMYFUNCTION("""COMPUTED_VALUE"""),45628.35653935185)</f>
        <v>45628.35654</v>
      </c>
      <c r="H4684" s="24" t="str">
        <f>IFERROR(VLOOKUP(B4684,material!A:D,3,0),"")</f>
        <v>3.1</v>
      </c>
    </row>
    <row r="4685" ht="11.25" customHeight="1">
      <c r="A4685" s="21" t="str">
        <f>IFERROR(__xludf.DUMMYFUNCTION("""COMPUTED_VALUE"""),"MODEM VOIP EMTA WIFI 3.1 FAST3895")</f>
        <v>MODEM VOIP EMTA WIFI 3.1 FAST3895</v>
      </c>
      <c r="B4685" s="22">
        <f>IFERROR(__xludf.DUMMYFUNCTION("""COMPUTED_VALUE"""),4.1001504E7)</f>
        <v>41001504</v>
      </c>
      <c r="C4685" s="21" t="str">
        <f>IFERROR(__xludf.DUMMYFUNCTION("""COMPUTED_VALUE"""),"4C195DF9E9FF")</f>
        <v>4C195DF9E9FF</v>
      </c>
      <c r="D4685" s="21" t="str">
        <f>IFERROR(__xludf.DUMMYFUNCTION("""COMPUTED_VALUE"""),"DIGITEC TECNOLOGIA DIGITAL E REPRES")</f>
        <v>DIGITEC TECNOLOGIA DIGITAL E REPRES</v>
      </c>
      <c r="E4685" s="21">
        <f>IFERROR(__xludf.DUMMYFUNCTION("""COMPUTED_VALUE"""),145359.0)</f>
        <v>145359</v>
      </c>
      <c r="F4685" s="21" t="str">
        <f>IFERROR(__xludf.DUMMYFUNCTION("""COMPUTED_VALUE"""),"INICIALIZADO")</f>
        <v>INICIALIZADO</v>
      </c>
      <c r="G4685" s="23">
        <f>IFERROR(__xludf.DUMMYFUNCTION("""COMPUTED_VALUE"""),45615.61854166667)</f>
        <v>45615.61854</v>
      </c>
      <c r="H4685" s="24" t="str">
        <f>IFERROR(VLOOKUP(B4685,material!A:D,3,0),"")</f>
        <v>3.1</v>
      </c>
    </row>
    <row r="4686" ht="11.25" customHeight="1">
      <c r="A4686" s="21" t="str">
        <f>IFERROR(__xludf.DUMMYFUNCTION("""COMPUTED_VALUE"""),"MODEM VOIP EMTA WIFI 3.1 FAST3895")</f>
        <v>MODEM VOIP EMTA WIFI 3.1 FAST3895</v>
      </c>
      <c r="B4686" s="22">
        <f>IFERROR(__xludf.DUMMYFUNCTION("""COMPUTED_VALUE"""),4.1001504E7)</f>
        <v>41001504</v>
      </c>
      <c r="C4686" s="21" t="str">
        <f>IFERROR(__xludf.DUMMYFUNCTION("""COMPUTED_VALUE"""),"E4C0E2987362")</f>
        <v>E4C0E2987362</v>
      </c>
      <c r="D4686" s="21" t="str">
        <f>IFERROR(__xludf.DUMMYFUNCTION("""COMPUTED_VALUE"""),"DIGITEC TECNOLOGIA DIGITAL E REPRES")</f>
        <v>DIGITEC TECNOLOGIA DIGITAL E REPRES</v>
      </c>
      <c r="E4686" s="21">
        <f>IFERROR(__xludf.DUMMYFUNCTION("""COMPUTED_VALUE"""),145359.0)</f>
        <v>145359</v>
      </c>
      <c r="F4686" s="21" t="str">
        <f>IFERROR(__xludf.DUMMYFUNCTION("""COMPUTED_VALUE"""),"INICIALIZADO")</f>
        <v>INICIALIZADO</v>
      </c>
      <c r="G4686" s="23">
        <f>IFERROR(__xludf.DUMMYFUNCTION("""COMPUTED_VALUE"""),45638.68790509259)</f>
        <v>45638.68791</v>
      </c>
      <c r="H4686" s="24" t="str">
        <f>IFERROR(VLOOKUP(B4686,material!A:D,3,0),"")</f>
        <v>3.1</v>
      </c>
    </row>
    <row r="4687" ht="11.25" customHeight="1">
      <c r="A4687" s="21" t="str">
        <f>IFERROR(__xludf.DUMMYFUNCTION("""COMPUTED_VALUE"""),"MODEM VOIP EMTA WIFI 3.1 FAST3895")</f>
        <v>MODEM VOIP EMTA WIFI 3.1 FAST3895</v>
      </c>
      <c r="B4687" s="22">
        <f>IFERROR(__xludf.DUMMYFUNCTION("""COMPUTED_VALUE"""),4.1001504E7)</f>
        <v>41001504</v>
      </c>
      <c r="C4687" s="21" t="str">
        <f>IFERROR(__xludf.DUMMYFUNCTION("""COMPUTED_VALUE"""),"E4C0E24137B8")</f>
        <v>E4C0E24137B8</v>
      </c>
      <c r="D4687" s="21" t="str">
        <f>IFERROR(__xludf.DUMMYFUNCTION("""COMPUTED_VALUE"""),"DIGITEC TECNOLOGIA DIGITAL E REPRES")</f>
        <v>DIGITEC TECNOLOGIA DIGITAL E REPRES</v>
      </c>
      <c r="E4687" s="21">
        <f>IFERROR(__xludf.DUMMYFUNCTION("""COMPUTED_VALUE"""),145359.0)</f>
        <v>145359</v>
      </c>
      <c r="F4687" s="21" t="str">
        <f>IFERROR(__xludf.DUMMYFUNCTION("""COMPUTED_VALUE"""),"INICIALIZADO")</f>
        <v>INICIALIZADO</v>
      </c>
      <c r="G4687" s="23">
        <f>IFERROR(__xludf.DUMMYFUNCTION("""COMPUTED_VALUE"""),45615.61855324074)</f>
        <v>45615.61855</v>
      </c>
      <c r="H4687" s="24" t="str">
        <f>IFERROR(VLOOKUP(B4687,material!A:D,3,0),"")</f>
        <v>3.1</v>
      </c>
    </row>
    <row r="4688" ht="11.25" customHeight="1">
      <c r="A4688" s="21" t="str">
        <f>IFERROR(__xludf.DUMMYFUNCTION("""COMPUTED_VALUE"""),"MODEM VOIP EMTA WIFI 3.1 FAST3895")</f>
        <v>MODEM VOIP EMTA WIFI 3.1 FAST3895</v>
      </c>
      <c r="B4688" s="22">
        <f>IFERROR(__xludf.DUMMYFUNCTION("""COMPUTED_VALUE"""),4.1001504E7)</f>
        <v>41001504</v>
      </c>
      <c r="C4688" s="21" t="str">
        <f>IFERROR(__xludf.DUMMYFUNCTION("""COMPUTED_VALUE"""),"6CFFCE695EE8")</f>
        <v>6CFFCE695EE8</v>
      </c>
      <c r="D4688" s="21" t="str">
        <f>IFERROR(__xludf.DUMMYFUNCTION("""COMPUTED_VALUE"""),"DIGITEC TECNOLOGIA DIGITAL E REPRES")</f>
        <v>DIGITEC TECNOLOGIA DIGITAL E REPRES</v>
      </c>
      <c r="E4688" s="21">
        <f>IFERROR(__xludf.DUMMYFUNCTION("""COMPUTED_VALUE"""),145359.0)</f>
        <v>145359</v>
      </c>
      <c r="F4688" s="21" t="str">
        <f>IFERROR(__xludf.DUMMYFUNCTION("""COMPUTED_VALUE"""),"INICIALIZADO")</f>
        <v>INICIALIZADO</v>
      </c>
      <c r="G4688" s="23">
        <f>IFERROR(__xludf.DUMMYFUNCTION("""COMPUTED_VALUE"""),45618.74474537037)</f>
        <v>45618.74475</v>
      </c>
      <c r="H4688" s="24" t="str">
        <f>IFERROR(VLOOKUP(B4688,material!A:D,3,0),"")</f>
        <v>3.1</v>
      </c>
    </row>
    <row r="4689" ht="11.25" customHeight="1">
      <c r="A4689" s="21" t="str">
        <f>IFERROR(__xludf.DUMMYFUNCTION("""COMPUTED_VALUE"""),"MODEM VOIP EMTA WIFI 3.1 FAST3895")</f>
        <v>MODEM VOIP EMTA WIFI 3.1 FAST3895</v>
      </c>
      <c r="B4689" s="22">
        <f>IFERROR(__xludf.DUMMYFUNCTION("""COMPUTED_VALUE"""),4.1001504E7)</f>
        <v>41001504</v>
      </c>
      <c r="C4689" s="21" t="str">
        <f>IFERROR(__xludf.DUMMYFUNCTION("""COMPUTED_VALUE"""),"D833B7CB3803")</f>
        <v>D833B7CB3803</v>
      </c>
      <c r="D4689" s="21" t="str">
        <f>IFERROR(__xludf.DUMMYFUNCTION("""COMPUTED_VALUE"""),"DIGITEC TECNOLOGIA DIGITAL E REPRES")</f>
        <v>DIGITEC TECNOLOGIA DIGITAL E REPRES</v>
      </c>
      <c r="E4689" s="21">
        <f>IFERROR(__xludf.DUMMYFUNCTION("""COMPUTED_VALUE"""),145359.0)</f>
        <v>145359</v>
      </c>
      <c r="F4689" s="21" t="str">
        <f>IFERROR(__xludf.DUMMYFUNCTION("""COMPUTED_VALUE"""),"INICIALIZADO")</f>
        <v>INICIALIZADO</v>
      </c>
      <c r="G4689" s="23">
        <f>IFERROR(__xludf.DUMMYFUNCTION("""COMPUTED_VALUE"""),45628.35653935185)</f>
        <v>45628.35654</v>
      </c>
      <c r="H4689" s="24" t="str">
        <f>IFERROR(VLOOKUP(B4689,material!A:D,3,0),"")</f>
        <v>3.1</v>
      </c>
    </row>
    <row r="4690" ht="11.25" customHeight="1">
      <c r="A4690" s="21" t="str">
        <f>IFERROR(__xludf.DUMMYFUNCTION("""COMPUTED_VALUE"""),"MODEM VOIP EMTA WIFI 3.1 FAST3895")</f>
        <v>MODEM VOIP EMTA WIFI 3.1 FAST3895</v>
      </c>
      <c r="B4690" s="22">
        <f>IFERROR(__xludf.DUMMYFUNCTION("""COMPUTED_VALUE"""),4.1001504E7)</f>
        <v>41001504</v>
      </c>
      <c r="C4690" s="21" t="str">
        <f>IFERROR(__xludf.DUMMYFUNCTION("""COMPUTED_VALUE"""),"D833B7CC117A")</f>
        <v>D833B7CC117A</v>
      </c>
      <c r="D4690" s="21" t="str">
        <f>IFERROR(__xludf.DUMMYFUNCTION("""COMPUTED_VALUE"""),"DIGITEC TECNOLOGIA DIGITAL E REPRES")</f>
        <v>DIGITEC TECNOLOGIA DIGITAL E REPRES</v>
      </c>
      <c r="E4690" s="21">
        <f>IFERROR(__xludf.DUMMYFUNCTION("""COMPUTED_VALUE"""),145359.0)</f>
        <v>145359</v>
      </c>
      <c r="F4690" s="21" t="str">
        <f>IFERROR(__xludf.DUMMYFUNCTION("""COMPUTED_VALUE"""),"INICIALIZADO")</f>
        <v>INICIALIZADO</v>
      </c>
      <c r="G4690" s="23">
        <f>IFERROR(__xludf.DUMMYFUNCTION("""COMPUTED_VALUE"""),45618.74474537037)</f>
        <v>45618.74475</v>
      </c>
      <c r="H4690" s="24" t="str">
        <f>IFERROR(VLOOKUP(B4690,material!A:D,3,0),"")</f>
        <v>3.1</v>
      </c>
    </row>
    <row r="4691" ht="11.25" customHeight="1">
      <c r="A4691" s="21" t="str">
        <f>IFERROR(__xludf.DUMMYFUNCTION("""COMPUTED_VALUE"""),"MODEM VOIP EMTA WIFI 3.1 FAST3895")</f>
        <v>MODEM VOIP EMTA WIFI 3.1 FAST3895</v>
      </c>
      <c r="B4691" s="22">
        <f>IFERROR(__xludf.DUMMYFUNCTION("""COMPUTED_VALUE"""),4.1001504E7)</f>
        <v>41001504</v>
      </c>
      <c r="C4691" s="21" t="str">
        <f>IFERROR(__xludf.DUMMYFUNCTION("""COMPUTED_VALUE"""),"209A7DB3CB5B")</f>
        <v>209A7DB3CB5B</v>
      </c>
      <c r="D4691" s="21" t="str">
        <f>IFERROR(__xludf.DUMMYFUNCTION("""COMPUTED_VALUE"""),"DIGITEC TECNOLOGIA DIGITAL E REPRES")</f>
        <v>DIGITEC TECNOLOGIA DIGITAL E REPRES</v>
      </c>
      <c r="E4691" s="21">
        <f>IFERROR(__xludf.DUMMYFUNCTION("""COMPUTED_VALUE"""),145359.0)</f>
        <v>145359</v>
      </c>
      <c r="F4691" s="21" t="str">
        <f>IFERROR(__xludf.DUMMYFUNCTION("""COMPUTED_VALUE"""),"INICIALIZADO")</f>
        <v>INICIALIZADO</v>
      </c>
      <c r="G4691" s="23">
        <f>IFERROR(__xludf.DUMMYFUNCTION("""COMPUTED_VALUE"""),45628.35653935185)</f>
        <v>45628.35654</v>
      </c>
      <c r="H4691" s="24" t="str">
        <f>IFERROR(VLOOKUP(B4691,material!A:D,3,0),"")</f>
        <v>3.1</v>
      </c>
    </row>
    <row r="4692" ht="11.25" customHeight="1">
      <c r="A4692" s="21" t="str">
        <f>IFERROR(__xludf.DUMMYFUNCTION("""COMPUTED_VALUE"""),"MODEM VOIP EMTA WIFI 3.1 FAST3895")</f>
        <v>MODEM VOIP EMTA WIFI 3.1 FAST3895</v>
      </c>
      <c r="B4692" s="22">
        <f>IFERROR(__xludf.DUMMYFUNCTION("""COMPUTED_VALUE"""),4.1001504E7)</f>
        <v>41001504</v>
      </c>
      <c r="C4692" s="21" t="str">
        <f>IFERROR(__xludf.DUMMYFUNCTION("""COMPUTED_VALUE"""),"64FD965E2482")</f>
        <v>64FD965E2482</v>
      </c>
      <c r="D4692" s="21" t="str">
        <f>IFERROR(__xludf.DUMMYFUNCTION("""COMPUTED_VALUE"""),"DIGITEC TECNOLOGIA DIGITAL E REPRES")</f>
        <v>DIGITEC TECNOLOGIA DIGITAL E REPRES</v>
      </c>
      <c r="E4692" s="21">
        <f>IFERROR(__xludf.DUMMYFUNCTION("""COMPUTED_VALUE"""),145359.0)</f>
        <v>145359</v>
      </c>
      <c r="F4692" s="21" t="str">
        <f>IFERROR(__xludf.DUMMYFUNCTION("""COMPUTED_VALUE"""),"INICIALIZADO")</f>
        <v>INICIALIZADO</v>
      </c>
      <c r="G4692" s="23">
        <f>IFERROR(__xludf.DUMMYFUNCTION("""COMPUTED_VALUE"""),45628.35653935185)</f>
        <v>45628.35654</v>
      </c>
      <c r="H4692" s="24" t="str">
        <f>IFERROR(VLOOKUP(B4692,material!A:D,3,0),"")</f>
        <v>3.1</v>
      </c>
    </row>
    <row r="4693" ht="11.25" customHeight="1">
      <c r="A4693" s="21" t="str">
        <f>IFERROR(__xludf.DUMMYFUNCTION("""COMPUTED_VALUE"""),"MODEM VOIP EMTA WIFI 3.1 FAST3895")</f>
        <v>MODEM VOIP EMTA WIFI 3.1 FAST3895</v>
      </c>
      <c r="B4693" s="22">
        <f>IFERROR(__xludf.DUMMYFUNCTION("""COMPUTED_VALUE"""),4.1001504E7)</f>
        <v>41001504</v>
      </c>
      <c r="C4693" s="21" t="str">
        <f>IFERROR(__xludf.DUMMYFUNCTION("""COMPUTED_VALUE"""),"64FD965E392E")</f>
        <v>64FD965E392E</v>
      </c>
      <c r="D4693" s="21" t="str">
        <f>IFERROR(__xludf.DUMMYFUNCTION("""COMPUTED_VALUE"""),"DIGITEC TECNOLOGIA DIGITAL E REPRES")</f>
        <v>DIGITEC TECNOLOGIA DIGITAL E REPRES</v>
      </c>
      <c r="E4693" s="21">
        <f>IFERROR(__xludf.DUMMYFUNCTION("""COMPUTED_VALUE"""),145359.0)</f>
        <v>145359</v>
      </c>
      <c r="F4693" s="21" t="str">
        <f>IFERROR(__xludf.DUMMYFUNCTION("""COMPUTED_VALUE"""),"INICIALIZADO")</f>
        <v>INICIALIZADO</v>
      </c>
      <c r="G4693" s="23">
        <f>IFERROR(__xludf.DUMMYFUNCTION("""COMPUTED_VALUE"""),45628.35653935185)</f>
        <v>45628.35654</v>
      </c>
      <c r="H4693" s="24" t="str">
        <f>IFERROR(VLOOKUP(B4693,material!A:D,3,0),"")</f>
        <v>3.1</v>
      </c>
    </row>
    <row r="4694" ht="11.25" customHeight="1">
      <c r="A4694" s="21" t="str">
        <f>IFERROR(__xludf.DUMMYFUNCTION("""COMPUTED_VALUE"""),"MODEM VOIP EMTA WIFI 3.1 FAST3895")</f>
        <v>MODEM VOIP EMTA WIFI 3.1 FAST3895</v>
      </c>
      <c r="B4694" s="22">
        <f>IFERROR(__xludf.DUMMYFUNCTION("""COMPUTED_VALUE"""),4.1001504E7)</f>
        <v>41001504</v>
      </c>
      <c r="C4694" s="21" t="str">
        <f>IFERROR(__xludf.DUMMYFUNCTION("""COMPUTED_VALUE"""),"209A7DB6815E")</f>
        <v>209A7DB6815E</v>
      </c>
      <c r="D4694" s="21" t="str">
        <f>IFERROR(__xludf.DUMMYFUNCTION("""COMPUTED_VALUE"""),"DIGITEC TECNOLOGIA DIGITAL E REPRES")</f>
        <v>DIGITEC TECNOLOGIA DIGITAL E REPRES</v>
      </c>
      <c r="E4694" s="21">
        <f>IFERROR(__xludf.DUMMYFUNCTION("""COMPUTED_VALUE"""),145359.0)</f>
        <v>145359</v>
      </c>
      <c r="F4694" s="21" t="str">
        <f>IFERROR(__xludf.DUMMYFUNCTION("""COMPUTED_VALUE"""),"INICIALIZADO")</f>
        <v>INICIALIZADO</v>
      </c>
      <c r="G4694" s="23">
        <f>IFERROR(__xludf.DUMMYFUNCTION("""COMPUTED_VALUE"""),45602.64472222222)</f>
        <v>45602.64472</v>
      </c>
      <c r="H4694" s="24" t="str">
        <f>IFERROR(VLOOKUP(B4694,material!A:D,3,0),"")</f>
        <v>3.1</v>
      </c>
    </row>
    <row r="4695" ht="11.25" customHeight="1">
      <c r="A4695" s="21" t="str">
        <f>IFERROR(__xludf.DUMMYFUNCTION("""COMPUTED_VALUE"""),"MODEM VOIP EMTA WIFI 3.1 FAST3895")</f>
        <v>MODEM VOIP EMTA WIFI 3.1 FAST3895</v>
      </c>
      <c r="B4695" s="22">
        <f>IFERROR(__xludf.DUMMYFUNCTION("""COMPUTED_VALUE"""),4.1001504E7)</f>
        <v>41001504</v>
      </c>
      <c r="C4695" s="21" t="str">
        <f>IFERROR(__xludf.DUMMYFUNCTION("""COMPUTED_VALUE"""),"8CFDDE87BFBB")</f>
        <v>8CFDDE87BFBB</v>
      </c>
      <c r="D4695" s="21" t="str">
        <f>IFERROR(__xludf.DUMMYFUNCTION("""COMPUTED_VALUE"""),"DIGITEC TECNOLOGIA DIGITAL E REPRES")</f>
        <v>DIGITEC TECNOLOGIA DIGITAL E REPRES</v>
      </c>
      <c r="E4695" s="21">
        <f>IFERROR(__xludf.DUMMYFUNCTION("""COMPUTED_VALUE"""),145359.0)</f>
        <v>145359</v>
      </c>
      <c r="F4695" s="21" t="str">
        <f>IFERROR(__xludf.DUMMYFUNCTION("""COMPUTED_VALUE"""),"INICIALIZADO")</f>
        <v>INICIALIZADO</v>
      </c>
      <c r="G4695" s="23">
        <f>IFERROR(__xludf.DUMMYFUNCTION("""COMPUTED_VALUE"""),45628.35653935185)</f>
        <v>45628.35654</v>
      </c>
      <c r="H4695" s="24" t="str">
        <f>IFERROR(VLOOKUP(B4695,material!A:D,3,0),"")</f>
        <v>3.1</v>
      </c>
    </row>
    <row r="4696" ht="11.25" customHeight="1">
      <c r="A4696" s="21" t="str">
        <f>IFERROR(__xludf.DUMMYFUNCTION("""COMPUTED_VALUE"""),"MODEM VOIP EMTA WIFI 3.1 FAST3895")</f>
        <v>MODEM VOIP EMTA WIFI 3.1 FAST3895</v>
      </c>
      <c r="B4696" s="22">
        <f>IFERROR(__xludf.DUMMYFUNCTION("""COMPUTED_VALUE"""),4.1001504E7)</f>
        <v>41001504</v>
      </c>
      <c r="C4696" s="21" t="str">
        <f>IFERROR(__xludf.DUMMYFUNCTION("""COMPUTED_VALUE"""),"6CBAB8FF42A0")</f>
        <v>6CBAB8FF42A0</v>
      </c>
      <c r="D4696" s="21" t="str">
        <f>IFERROR(__xludf.DUMMYFUNCTION("""COMPUTED_VALUE"""),"DIGITEC TECNOLOGIA DIGITAL E REPRES")</f>
        <v>DIGITEC TECNOLOGIA DIGITAL E REPRES</v>
      </c>
      <c r="E4696" s="21">
        <f>IFERROR(__xludf.DUMMYFUNCTION("""COMPUTED_VALUE"""),145359.0)</f>
        <v>145359</v>
      </c>
      <c r="F4696" s="21" t="str">
        <f>IFERROR(__xludf.DUMMYFUNCTION("""COMPUTED_VALUE"""),"INICIALIZADO")</f>
        <v>INICIALIZADO</v>
      </c>
      <c r="G4696" s="23">
        <f>IFERROR(__xludf.DUMMYFUNCTION("""COMPUTED_VALUE"""),45638.68790509259)</f>
        <v>45638.68791</v>
      </c>
      <c r="H4696" s="24" t="str">
        <f>IFERROR(VLOOKUP(B4696,material!A:D,3,0),"")</f>
        <v>3.1</v>
      </c>
    </row>
    <row r="4697" ht="11.25" customHeight="1">
      <c r="A4697" s="21" t="str">
        <f>IFERROR(__xludf.DUMMYFUNCTION("""COMPUTED_VALUE"""),"MODEM VOIP EMTA WIFI 3.1 FAST3895")</f>
        <v>MODEM VOIP EMTA WIFI 3.1 FAST3895</v>
      </c>
      <c r="B4697" s="22">
        <f>IFERROR(__xludf.DUMMYFUNCTION("""COMPUTED_VALUE"""),4.1001504E7)</f>
        <v>41001504</v>
      </c>
      <c r="C4697" s="21" t="str">
        <f>IFERROR(__xludf.DUMMYFUNCTION("""COMPUTED_VALUE"""),"186A81D6B18C")</f>
        <v>186A81D6B18C</v>
      </c>
      <c r="D4697" s="21" t="str">
        <f>IFERROR(__xludf.DUMMYFUNCTION("""COMPUTED_VALUE"""),"DIGITEC TECNOLOGIA DIGITAL E REPRES")</f>
        <v>DIGITEC TECNOLOGIA DIGITAL E REPRES</v>
      </c>
      <c r="E4697" s="21">
        <f>IFERROR(__xludf.DUMMYFUNCTION("""COMPUTED_VALUE"""),145359.0)</f>
        <v>145359</v>
      </c>
      <c r="F4697" s="21" t="str">
        <f>IFERROR(__xludf.DUMMYFUNCTION("""COMPUTED_VALUE"""),"INICIALIZADO")</f>
        <v>INICIALIZADO</v>
      </c>
      <c r="G4697" s="23">
        <f>IFERROR(__xludf.DUMMYFUNCTION("""COMPUTED_VALUE"""),45618.74474537037)</f>
        <v>45618.74475</v>
      </c>
      <c r="H4697" s="24" t="str">
        <f>IFERROR(VLOOKUP(B4697,material!A:D,3,0),"")</f>
        <v>3.1</v>
      </c>
    </row>
    <row r="4698" ht="11.25" customHeight="1">
      <c r="A4698" s="21" t="str">
        <f>IFERROR(__xludf.DUMMYFUNCTION("""COMPUTED_VALUE"""),"MODEM VOIP EMTA WIFI 3.1 FAST3895")</f>
        <v>MODEM VOIP EMTA WIFI 3.1 FAST3895</v>
      </c>
      <c r="B4698" s="22">
        <f>IFERROR(__xludf.DUMMYFUNCTION("""COMPUTED_VALUE"""),4.1001504E7)</f>
        <v>41001504</v>
      </c>
      <c r="C4698" s="21" t="str">
        <f>IFERROR(__xludf.DUMMYFUNCTION("""COMPUTED_VALUE"""),"5CFA259BAFB8")</f>
        <v>5CFA259BAFB8</v>
      </c>
      <c r="D4698" s="21" t="str">
        <f>IFERROR(__xludf.DUMMYFUNCTION("""COMPUTED_VALUE"""),"DIGITEC TECNOLOGIA DIGITAL E REPRES")</f>
        <v>DIGITEC TECNOLOGIA DIGITAL E REPRES</v>
      </c>
      <c r="E4698" s="21">
        <f>IFERROR(__xludf.DUMMYFUNCTION("""COMPUTED_VALUE"""),145359.0)</f>
        <v>145359</v>
      </c>
      <c r="F4698" s="21" t="str">
        <f>IFERROR(__xludf.DUMMYFUNCTION("""COMPUTED_VALUE"""),"INICIALIZADO")</f>
        <v>INICIALIZADO</v>
      </c>
      <c r="G4698" s="23">
        <f>IFERROR(__xludf.DUMMYFUNCTION("""COMPUTED_VALUE"""),45618.74474537037)</f>
        <v>45618.74475</v>
      </c>
      <c r="H4698" s="24" t="str">
        <f>IFERROR(VLOOKUP(B4698,material!A:D,3,0),"")</f>
        <v>3.1</v>
      </c>
    </row>
    <row r="4699" ht="11.25" customHeight="1">
      <c r="A4699" s="21" t="str">
        <f>IFERROR(__xludf.DUMMYFUNCTION("""COMPUTED_VALUE"""),"MODEM VOIP EMTA WIFI 3.1 FAST3895")</f>
        <v>MODEM VOIP EMTA WIFI 3.1 FAST3895</v>
      </c>
      <c r="B4699" s="22">
        <f>IFERROR(__xludf.DUMMYFUNCTION("""COMPUTED_VALUE"""),4.1001504E7)</f>
        <v>41001504</v>
      </c>
      <c r="C4699" s="21" t="str">
        <f>IFERROR(__xludf.DUMMYFUNCTION("""COMPUTED_VALUE"""),"D833B7CBBDE3")</f>
        <v>D833B7CBBDE3</v>
      </c>
      <c r="D4699" s="21" t="str">
        <f>IFERROR(__xludf.DUMMYFUNCTION("""COMPUTED_VALUE"""),"DIGITEC TECNOLOGIA DIGITAL E REPRES")</f>
        <v>DIGITEC TECNOLOGIA DIGITAL E REPRES</v>
      </c>
      <c r="E4699" s="21">
        <f>IFERROR(__xludf.DUMMYFUNCTION("""COMPUTED_VALUE"""),145359.0)</f>
        <v>145359</v>
      </c>
      <c r="F4699" s="21" t="str">
        <f>IFERROR(__xludf.DUMMYFUNCTION("""COMPUTED_VALUE"""),"INICIALIZADO")</f>
        <v>INICIALIZADO</v>
      </c>
      <c r="G4699" s="23">
        <f>IFERROR(__xludf.DUMMYFUNCTION("""COMPUTED_VALUE"""),45618.74474537037)</f>
        <v>45618.74475</v>
      </c>
      <c r="H4699" s="24" t="str">
        <f>IFERROR(VLOOKUP(B4699,material!A:D,3,0),"")</f>
        <v>3.1</v>
      </c>
    </row>
    <row r="4700" ht="11.25" customHeight="1">
      <c r="A4700" s="21" t="str">
        <f>IFERROR(__xludf.DUMMYFUNCTION("""COMPUTED_VALUE"""),"MODEM VOIP EMTA WIFI 3.1 FAST3895")</f>
        <v>MODEM VOIP EMTA WIFI 3.1 FAST3895</v>
      </c>
      <c r="B4700" s="22">
        <f>IFERROR(__xludf.DUMMYFUNCTION("""COMPUTED_VALUE"""),4.1001504E7)</f>
        <v>41001504</v>
      </c>
      <c r="C4700" s="21" t="str">
        <f>IFERROR(__xludf.DUMMYFUNCTION("""COMPUTED_VALUE"""),"94988F953BAE")</f>
        <v>94988F953BAE</v>
      </c>
      <c r="D4700" s="21" t="str">
        <f>IFERROR(__xludf.DUMMYFUNCTION("""COMPUTED_VALUE"""),"DIGITEC TECNOLOGIA DIGITAL E REPRES")</f>
        <v>DIGITEC TECNOLOGIA DIGITAL E REPRES</v>
      </c>
      <c r="E4700" s="21">
        <f>IFERROR(__xludf.DUMMYFUNCTION("""COMPUTED_VALUE"""),145359.0)</f>
        <v>145359</v>
      </c>
      <c r="F4700" s="21" t="str">
        <f>IFERROR(__xludf.DUMMYFUNCTION("""COMPUTED_VALUE"""),"INICIALIZADO")</f>
        <v>INICIALIZADO</v>
      </c>
      <c r="G4700" s="23">
        <f>IFERROR(__xludf.DUMMYFUNCTION("""COMPUTED_VALUE"""),45618.744733796295)</f>
        <v>45618.74473</v>
      </c>
      <c r="H4700" s="24" t="str">
        <f>IFERROR(VLOOKUP(B4700,material!A:D,3,0),"")</f>
        <v>3.1</v>
      </c>
    </row>
    <row r="4701" ht="11.25" customHeight="1">
      <c r="A4701" s="21" t="str">
        <f>IFERROR(__xludf.DUMMYFUNCTION("""COMPUTED_VALUE"""),"MODEM VOIP EMTA WIFI 3.1 FAST3895")</f>
        <v>MODEM VOIP EMTA WIFI 3.1 FAST3895</v>
      </c>
      <c r="B4701" s="22">
        <f>IFERROR(__xludf.DUMMYFUNCTION("""COMPUTED_VALUE"""),4.1001504E7)</f>
        <v>41001504</v>
      </c>
      <c r="C4701" s="21" t="str">
        <f>IFERROR(__xludf.DUMMYFUNCTION("""COMPUTED_VALUE"""),"94988F951FAE")</f>
        <v>94988F951FAE</v>
      </c>
      <c r="D4701" s="21" t="str">
        <f>IFERROR(__xludf.DUMMYFUNCTION("""COMPUTED_VALUE"""),"DIGITEC TECNOLOGIA DIGITAL E REPRES")</f>
        <v>DIGITEC TECNOLOGIA DIGITAL E REPRES</v>
      </c>
      <c r="E4701" s="21">
        <f>IFERROR(__xludf.DUMMYFUNCTION("""COMPUTED_VALUE"""),145359.0)</f>
        <v>145359</v>
      </c>
      <c r="F4701" s="21" t="str">
        <f>IFERROR(__xludf.DUMMYFUNCTION("""COMPUTED_VALUE"""),"INICIALIZADO")</f>
        <v>INICIALIZADO</v>
      </c>
      <c r="G4701" s="23">
        <f>IFERROR(__xludf.DUMMYFUNCTION("""COMPUTED_VALUE"""),45618.744733796295)</f>
        <v>45618.74473</v>
      </c>
      <c r="H4701" s="24" t="str">
        <f>IFERROR(VLOOKUP(B4701,material!A:D,3,0),"")</f>
        <v>3.1</v>
      </c>
    </row>
    <row r="4702" ht="11.25" customHeight="1">
      <c r="A4702" s="21" t="str">
        <f>IFERROR(__xludf.DUMMYFUNCTION("""COMPUTED_VALUE"""),"MODEM VOIP EMTA WIFI 3.1 FAST3895")</f>
        <v>MODEM VOIP EMTA WIFI 3.1 FAST3895</v>
      </c>
      <c r="B4702" s="22">
        <f>IFERROR(__xludf.DUMMYFUNCTION("""COMPUTED_VALUE"""),4.1001504E7)</f>
        <v>41001504</v>
      </c>
      <c r="C4702" s="21" t="str">
        <f>IFERROR(__xludf.DUMMYFUNCTION("""COMPUTED_VALUE"""),"94988F92F4A8")</f>
        <v>94988F92F4A8</v>
      </c>
      <c r="D4702" s="21" t="str">
        <f>IFERROR(__xludf.DUMMYFUNCTION("""COMPUTED_VALUE"""),"DIGITEC TECNOLOGIA DIGITAL E REPRES")</f>
        <v>DIGITEC TECNOLOGIA DIGITAL E REPRES</v>
      </c>
      <c r="E4702" s="21">
        <f>IFERROR(__xludf.DUMMYFUNCTION("""COMPUTED_VALUE"""),145359.0)</f>
        <v>145359</v>
      </c>
      <c r="F4702" s="21" t="str">
        <f>IFERROR(__xludf.DUMMYFUNCTION("""COMPUTED_VALUE"""),"INICIALIZADO")</f>
        <v>INICIALIZADO</v>
      </c>
      <c r="G4702" s="23">
        <f>IFERROR(__xludf.DUMMYFUNCTION("""COMPUTED_VALUE"""),45615.61855324074)</f>
        <v>45615.61855</v>
      </c>
      <c r="H4702" s="24" t="str">
        <f>IFERROR(VLOOKUP(B4702,material!A:D,3,0),"")</f>
        <v>3.1</v>
      </c>
    </row>
    <row r="4703" ht="11.25" customHeight="1">
      <c r="A4703" s="21" t="str">
        <f>IFERROR(__xludf.DUMMYFUNCTION("""COMPUTED_VALUE"""),"MODEM VOIP EMTA WIFI 3.1 FAST3895")</f>
        <v>MODEM VOIP EMTA WIFI 3.1 FAST3895</v>
      </c>
      <c r="B4703" s="22">
        <f>IFERROR(__xludf.DUMMYFUNCTION("""COMPUTED_VALUE"""),4.1001504E7)</f>
        <v>41001504</v>
      </c>
      <c r="C4703" s="21" t="str">
        <f>IFERROR(__xludf.DUMMYFUNCTION("""COMPUTED_VALUE"""),"CC5830E13B43")</f>
        <v>CC5830E13B43</v>
      </c>
      <c r="D4703" s="21" t="str">
        <f>IFERROR(__xludf.DUMMYFUNCTION("""COMPUTED_VALUE"""),"DIGITEC TECNOLOGIA DIGITAL E REPRES")</f>
        <v>DIGITEC TECNOLOGIA DIGITAL E REPRES</v>
      </c>
      <c r="E4703" s="21">
        <f>IFERROR(__xludf.DUMMYFUNCTION("""COMPUTED_VALUE"""),145359.0)</f>
        <v>145359</v>
      </c>
      <c r="F4703" s="21" t="str">
        <f>IFERROR(__xludf.DUMMYFUNCTION("""COMPUTED_VALUE"""),"INICIALIZADO")</f>
        <v>INICIALIZADO</v>
      </c>
      <c r="G4703" s="23">
        <f>IFERROR(__xludf.DUMMYFUNCTION("""COMPUTED_VALUE"""),45615.61855324074)</f>
        <v>45615.61855</v>
      </c>
      <c r="H4703" s="24" t="str">
        <f>IFERROR(VLOOKUP(B4703,material!A:D,3,0),"")</f>
        <v>3.1</v>
      </c>
    </row>
    <row r="4704" ht="11.25" customHeight="1">
      <c r="A4704" s="21" t="str">
        <f>IFERROR(__xludf.DUMMYFUNCTION("""COMPUTED_VALUE"""),"MODEM VOIP EMTA WIFI 3.1 FAST3895")</f>
        <v>MODEM VOIP EMTA WIFI 3.1 FAST3895</v>
      </c>
      <c r="B4704" s="22">
        <f>IFERROR(__xludf.DUMMYFUNCTION("""COMPUTED_VALUE"""),4.1001504E7)</f>
        <v>41001504</v>
      </c>
      <c r="C4704" s="21" t="str">
        <f>IFERROR(__xludf.DUMMYFUNCTION("""COMPUTED_VALUE"""),"943C967A7CC7")</f>
        <v>943C967A7CC7</v>
      </c>
      <c r="D4704" s="21" t="str">
        <f>IFERROR(__xludf.DUMMYFUNCTION("""COMPUTED_VALUE"""),"DIGITEC TECNOLOGIA DIGITAL E REPRES")</f>
        <v>DIGITEC TECNOLOGIA DIGITAL E REPRES</v>
      </c>
      <c r="E4704" s="21">
        <f>IFERROR(__xludf.DUMMYFUNCTION("""COMPUTED_VALUE"""),145359.0)</f>
        <v>145359</v>
      </c>
      <c r="F4704" s="21" t="str">
        <f>IFERROR(__xludf.DUMMYFUNCTION("""COMPUTED_VALUE"""),"INICIALIZADO")</f>
        <v>INICIALIZADO</v>
      </c>
      <c r="G4704" s="23">
        <f>IFERROR(__xludf.DUMMYFUNCTION("""COMPUTED_VALUE"""),45618.744733796295)</f>
        <v>45618.74473</v>
      </c>
      <c r="H4704" s="24" t="str">
        <f>IFERROR(VLOOKUP(B4704,material!A:D,3,0),"")</f>
        <v>3.1</v>
      </c>
    </row>
    <row r="4705" ht="11.25" customHeight="1">
      <c r="A4705" s="21" t="str">
        <f>IFERROR(__xludf.DUMMYFUNCTION("""COMPUTED_VALUE"""),"MODEM VOIP EMTA WIFI 3.1 FAST3895")</f>
        <v>MODEM VOIP EMTA WIFI 3.1 FAST3895</v>
      </c>
      <c r="B4705" s="22">
        <f>IFERROR(__xludf.DUMMYFUNCTION("""COMPUTED_VALUE"""),4.1001504E7)</f>
        <v>41001504</v>
      </c>
      <c r="C4705" s="21" t="str">
        <f>IFERROR(__xludf.DUMMYFUNCTION("""COMPUTED_VALUE"""),"482952452E2F")</f>
        <v>482952452E2F</v>
      </c>
      <c r="D4705" s="21" t="str">
        <f>IFERROR(__xludf.DUMMYFUNCTION("""COMPUTED_VALUE"""),"DIGITEC TECNOLOGIA DIGITAL E REPRES")</f>
        <v>DIGITEC TECNOLOGIA DIGITAL E REPRES</v>
      </c>
      <c r="E4705" s="21">
        <f>IFERROR(__xludf.DUMMYFUNCTION("""COMPUTED_VALUE"""),145359.0)</f>
        <v>145359</v>
      </c>
      <c r="F4705" s="21" t="str">
        <f>IFERROR(__xludf.DUMMYFUNCTION("""COMPUTED_VALUE"""),"INICIALIZADO")</f>
        <v>INICIALIZADO</v>
      </c>
      <c r="G4705" s="23">
        <f>IFERROR(__xludf.DUMMYFUNCTION("""COMPUTED_VALUE"""),45602.64472222222)</f>
        <v>45602.64472</v>
      </c>
      <c r="H4705" s="24" t="str">
        <f>IFERROR(VLOOKUP(B4705,material!A:D,3,0),"")</f>
        <v>3.1</v>
      </c>
    </row>
    <row r="4706" ht="11.25" customHeight="1">
      <c r="A4706" s="21" t="str">
        <f>IFERROR(__xludf.DUMMYFUNCTION("""COMPUTED_VALUE"""),"MODEM VOIP EMTA WIFI 3.1 FAST3895")</f>
        <v>MODEM VOIP EMTA WIFI 3.1 FAST3895</v>
      </c>
      <c r="B4706" s="22">
        <f>IFERROR(__xludf.DUMMYFUNCTION("""COMPUTED_VALUE"""),4.1001504E7)</f>
        <v>41001504</v>
      </c>
      <c r="C4706" s="21" t="str">
        <f>IFERROR(__xludf.DUMMYFUNCTION("""COMPUTED_VALUE"""),"482952462A1A")</f>
        <v>482952462A1A</v>
      </c>
      <c r="D4706" s="21" t="str">
        <f>IFERROR(__xludf.DUMMYFUNCTION("""COMPUTED_VALUE"""),"DIGITEC TECNOLOGIA DIGITAL E REPRES")</f>
        <v>DIGITEC TECNOLOGIA DIGITAL E REPRES</v>
      </c>
      <c r="E4706" s="21">
        <f>IFERROR(__xludf.DUMMYFUNCTION("""COMPUTED_VALUE"""),145359.0)</f>
        <v>145359</v>
      </c>
      <c r="F4706" s="21" t="str">
        <f>IFERROR(__xludf.DUMMYFUNCTION("""COMPUTED_VALUE"""),"INICIALIZADO")</f>
        <v>INICIALIZADO</v>
      </c>
      <c r="G4706" s="23">
        <f>IFERROR(__xludf.DUMMYFUNCTION("""COMPUTED_VALUE"""),45615.61855324074)</f>
        <v>45615.61855</v>
      </c>
      <c r="H4706" s="24" t="str">
        <f>IFERROR(VLOOKUP(B4706,material!A:D,3,0),"")</f>
        <v>3.1</v>
      </c>
    </row>
    <row r="4707" ht="11.25" customHeight="1">
      <c r="A4707" s="21" t="str">
        <f>IFERROR(__xludf.DUMMYFUNCTION("""COMPUTED_VALUE"""),"MODEM VOIP EMTA WIFI 3.1 FAST3895")</f>
        <v>MODEM VOIP EMTA WIFI 3.1 FAST3895</v>
      </c>
      <c r="B4707" s="22">
        <f>IFERROR(__xludf.DUMMYFUNCTION("""COMPUTED_VALUE"""),4.1001504E7)</f>
        <v>41001504</v>
      </c>
      <c r="C4707" s="21" t="str">
        <f>IFERROR(__xludf.DUMMYFUNCTION("""COMPUTED_VALUE"""),"44D454A2BE32")</f>
        <v>44D454A2BE32</v>
      </c>
      <c r="D4707" s="21" t="str">
        <f>IFERROR(__xludf.DUMMYFUNCTION("""COMPUTED_VALUE"""),"DIGITEC TECNOLOGIA DIGITAL E REPRES")</f>
        <v>DIGITEC TECNOLOGIA DIGITAL E REPRES</v>
      </c>
      <c r="E4707" s="21">
        <f>IFERROR(__xludf.DUMMYFUNCTION("""COMPUTED_VALUE"""),145359.0)</f>
        <v>145359</v>
      </c>
      <c r="F4707" s="21" t="str">
        <f>IFERROR(__xludf.DUMMYFUNCTION("""COMPUTED_VALUE"""),"INICIALIZADO")</f>
        <v>INICIALIZADO</v>
      </c>
      <c r="G4707" s="23">
        <f>IFERROR(__xludf.DUMMYFUNCTION("""COMPUTED_VALUE"""),45618.74474537037)</f>
        <v>45618.74475</v>
      </c>
      <c r="H4707" s="24" t="str">
        <f>IFERROR(VLOOKUP(B4707,material!A:D,3,0),"")</f>
        <v>3.1</v>
      </c>
    </row>
    <row r="4708" ht="11.25" customHeight="1">
      <c r="A4708" s="21" t="str">
        <f>IFERROR(__xludf.DUMMYFUNCTION("""COMPUTED_VALUE"""),"MODEM VOIP EMTA WIFI 3.1 FAST3895")</f>
        <v>MODEM VOIP EMTA WIFI 3.1 FAST3895</v>
      </c>
      <c r="B4708" s="22">
        <f>IFERROR(__xludf.DUMMYFUNCTION("""COMPUTED_VALUE"""),4.1001504E7)</f>
        <v>41001504</v>
      </c>
      <c r="C4708" s="21" t="str">
        <f>IFERROR(__xludf.DUMMYFUNCTION("""COMPUTED_VALUE"""),"44D454A21E9E")</f>
        <v>44D454A21E9E</v>
      </c>
      <c r="D4708" s="21" t="str">
        <f>IFERROR(__xludf.DUMMYFUNCTION("""COMPUTED_VALUE"""),"DIGITEC TECNOLOGIA DIGITAL E REPRES")</f>
        <v>DIGITEC TECNOLOGIA DIGITAL E REPRES</v>
      </c>
      <c r="E4708" s="21">
        <f>IFERROR(__xludf.DUMMYFUNCTION("""COMPUTED_VALUE"""),145359.0)</f>
        <v>145359</v>
      </c>
      <c r="F4708" s="21" t="str">
        <f>IFERROR(__xludf.DUMMYFUNCTION("""COMPUTED_VALUE"""),"INICIALIZADO")</f>
        <v>INICIALIZADO</v>
      </c>
      <c r="G4708" s="23">
        <f>IFERROR(__xludf.DUMMYFUNCTION("""COMPUTED_VALUE"""),45638.68790509259)</f>
        <v>45638.68791</v>
      </c>
      <c r="H4708" s="24" t="str">
        <f>IFERROR(VLOOKUP(B4708,material!A:D,3,0),"")</f>
        <v>3.1</v>
      </c>
    </row>
    <row r="4709" ht="11.25" customHeight="1">
      <c r="A4709" s="21" t="str">
        <f>IFERROR(__xludf.DUMMYFUNCTION("""COMPUTED_VALUE"""),"MODEM VOIP EMTA WIFI 3.1 FAST3895")</f>
        <v>MODEM VOIP EMTA WIFI 3.1 FAST3895</v>
      </c>
      <c r="B4709" s="22">
        <f>IFERROR(__xludf.DUMMYFUNCTION("""COMPUTED_VALUE"""),4.1001504E7)</f>
        <v>41001504</v>
      </c>
      <c r="C4709" s="21" t="str">
        <f>IFERROR(__xludf.DUMMYFUNCTION("""COMPUTED_VALUE"""),"841EA38BC160")</f>
        <v>841EA38BC160</v>
      </c>
      <c r="D4709" s="21" t="str">
        <f>IFERROR(__xludf.DUMMYFUNCTION("""COMPUTED_VALUE"""),"DIGITEC TECNOLOGIA DIGITAL E REPRES")</f>
        <v>DIGITEC TECNOLOGIA DIGITAL E REPRES</v>
      </c>
      <c r="E4709" s="21">
        <f>IFERROR(__xludf.DUMMYFUNCTION("""COMPUTED_VALUE"""),145359.0)</f>
        <v>145359</v>
      </c>
      <c r="F4709" s="21" t="str">
        <f>IFERROR(__xludf.DUMMYFUNCTION("""COMPUTED_VALUE"""),"INICIALIZADO")</f>
        <v>INICIALIZADO</v>
      </c>
      <c r="G4709" s="23">
        <f>IFERROR(__xludf.DUMMYFUNCTION("""COMPUTED_VALUE"""),45615.61855324074)</f>
        <v>45615.61855</v>
      </c>
      <c r="H4709" s="24" t="str">
        <f>IFERROR(VLOOKUP(B4709,material!A:D,3,0),"")</f>
        <v>3.1</v>
      </c>
    </row>
    <row r="4710" ht="11.25" customHeight="1">
      <c r="A4710" s="21" t="str">
        <f>IFERROR(__xludf.DUMMYFUNCTION("""COMPUTED_VALUE"""),"MODEM VOIP EMTA WIFI 3.1 FAST3895")</f>
        <v>MODEM VOIP EMTA WIFI 3.1 FAST3895</v>
      </c>
      <c r="B4710" s="22">
        <f>IFERROR(__xludf.DUMMYFUNCTION("""COMPUTED_VALUE"""),4.1001504E7)</f>
        <v>41001504</v>
      </c>
      <c r="C4710" s="21" t="str">
        <f>IFERROR(__xludf.DUMMYFUNCTION("""COMPUTED_VALUE"""),"B0FC88EA8728")</f>
        <v>B0FC88EA8728</v>
      </c>
      <c r="D4710" s="21" t="str">
        <f>IFERROR(__xludf.DUMMYFUNCTION("""COMPUTED_VALUE"""),"DIGITEC TECNOLOGIA DIGITAL E REPRES")</f>
        <v>DIGITEC TECNOLOGIA DIGITAL E REPRES</v>
      </c>
      <c r="E4710" s="21">
        <f>IFERROR(__xludf.DUMMYFUNCTION("""COMPUTED_VALUE"""),145359.0)</f>
        <v>145359</v>
      </c>
      <c r="F4710" s="21" t="str">
        <f>IFERROR(__xludf.DUMMYFUNCTION("""COMPUTED_VALUE"""),"INICIALIZADO")</f>
        <v>INICIALIZADO</v>
      </c>
      <c r="G4710" s="23">
        <f>IFERROR(__xludf.DUMMYFUNCTION("""COMPUTED_VALUE"""),45638.68790509259)</f>
        <v>45638.68791</v>
      </c>
      <c r="H4710" s="24" t="str">
        <f>IFERROR(VLOOKUP(B4710,material!A:D,3,0),"")</f>
        <v>3.1</v>
      </c>
    </row>
    <row r="4711" ht="11.25" customHeight="1">
      <c r="A4711" s="21" t="str">
        <f>IFERROR(__xludf.DUMMYFUNCTION("""COMPUTED_VALUE"""),"MODEM VOIP EMTA WIFI 3.1 FAST3895")</f>
        <v>MODEM VOIP EMTA WIFI 3.1 FAST3895</v>
      </c>
      <c r="B4711" s="22">
        <f>IFERROR(__xludf.DUMMYFUNCTION("""COMPUTED_VALUE"""),4.1001504E7)</f>
        <v>41001504</v>
      </c>
      <c r="C4711" s="21" t="str">
        <f>IFERROR(__xludf.DUMMYFUNCTION("""COMPUTED_VALUE"""),"D0CF0EFCBAEE")</f>
        <v>D0CF0EFCBAEE</v>
      </c>
      <c r="D4711" s="21" t="str">
        <f>IFERROR(__xludf.DUMMYFUNCTION("""COMPUTED_VALUE"""),"DIGITEC TECNOLOGIA DIGITAL E REPRES")</f>
        <v>DIGITEC TECNOLOGIA DIGITAL E REPRES</v>
      </c>
      <c r="E4711" s="21">
        <f>IFERROR(__xludf.DUMMYFUNCTION("""COMPUTED_VALUE"""),145359.0)</f>
        <v>145359</v>
      </c>
      <c r="F4711" s="21" t="str">
        <f>IFERROR(__xludf.DUMMYFUNCTION("""COMPUTED_VALUE"""),"INICIALIZADO")</f>
        <v>INICIALIZADO</v>
      </c>
      <c r="G4711" s="23">
        <f>IFERROR(__xludf.DUMMYFUNCTION("""COMPUTED_VALUE"""),45352.70925925926)</f>
        <v>45352.70926</v>
      </c>
      <c r="H4711" s="24" t="str">
        <f>IFERROR(VLOOKUP(B4711,material!A:D,3,0),"")</f>
        <v>3.1</v>
      </c>
    </row>
    <row r="4712" ht="11.25" customHeight="1">
      <c r="A4712" s="21" t="str">
        <f>IFERROR(__xludf.DUMMYFUNCTION("""COMPUTED_VALUE"""),"MODEM VOIP EMTA WIFI 3.1 FAST3895")</f>
        <v>MODEM VOIP EMTA WIFI 3.1 FAST3895</v>
      </c>
      <c r="B4712" s="22">
        <f>IFERROR(__xludf.DUMMYFUNCTION("""COMPUTED_VALUE"""),4.1001504E7)</f>
        <v>41001504</v>
      </c>
      <c r="C4712" s="21" t="str">
        <f>IFERROR(__xludf.DUMMYFUNCTION("""COMPUTED_VALUE"""),"94988F308F0C")</f>
        <v>94988F308F0C</v>
      </c>
      <c r="D4712" s="21" t="str">
        <f>IFERROR(__xludf.DUMMYFUNCTION("""COMPUTED_VALUE"""),"DIGITEC TECNOLOGIA DIGITAL E REPRES")</f>
        <v>DIGITEC TECNOLOGIA DIGITAL E REPRES</v>
      </c>
      <c r="E4712" s="21">
        <f>IFERROR(__xludf.DUMMYFUNCTION("""COMPUTED_VALUE"""),145359.0)</f>
        <v>145359</v>
      </c>
      <c r="F4712" s="21" t="str">
        <f>IFERROR(__xludf.DUMMYFUNCTION("""COMPUTED_VALUE"""),"INICIALIZADO")</f>
        <v>INICIALIZADO</v>
      </c>
      <c r="G4712" s="23">
        <f>IFERROR(__xludf.DUMMYFUNCTION("""COMPUTED_VALUE"""),45615.61855324074)</f>
        <v>45615.61855</v>
      </c>
      <c r="H4712" s="24" t="str">
        <f>IFERROR(VLOOKUP(B4712,material!A:D,3,0),"")</f>
        <v>3.1</v>
      </c>
    </row>
    <row r="4713" ht="11.25" customHeight="1">
      <c r="A4713" s="21" t="str">
        <f>IFERROR(__xludf.DUMMYFUNCTION("""COMPUTED_VALUE"""),"MODEM VOIP EMTA WIFI 3.1 FAST3895")</f>
        <v>MODEM VOIP EMTA WIFI 3.1 FAST3895</v>
      </c>
      <c r="B4713" s="22">
        <f>IFERROR(__xludf.DUMMYFUNCTION("""COMPUTED_VALUE"""),4.1001504E7)</f>
        <v>41001504</v>
      </c>
      <c r="C4713" s="21" t="str">
        <f>IFERROR(__xludf.DUMMYFUNCTION("""COMPUTED_VALUE"""),"CC5830E091BB")</f>
        <v>CC5830E091BB</v>
      </c>
      <c r="D4713" s="21" t="str">
        <f>IFERROR(__xludf.DUMMYFUNCTION("""COMPUTED_VALUE"""),"DIGITEC TECNOLOGIA DIGITAL E REPRES")</f>
        <v>DIGITEC TECNOLOGIA DIGITAL E REPRES</v>
      </c>
      <c r="E4713" s="21">
        <f>IFERROR(__xludf.DUMMYFUNCTION("""COMPUTED_VALUE"""),145359.0)</f>
        <v>145359</v>
      </c>
      <c r="F4713" s="21" t="str">
        <f>IFERROR(__xludf.DUMMYFUNCTION("""COMPUTED_VALUE"""),"INICIALIZADO")</f>
        <v>INICIALIZADO</v>
      </c>
      <c r="G4713" s="23">
        <f>IFERROR(__xludf.DUMMYFUNCTION("""COMPUTED_VALUE"""),45615.61855324074)</f>
        <v>45615.61855</v>
      </c>
      <c r="H4713" s="24" t="str">
        <f>IFERROR(VLOOKUP(B4713,material!A:D,3,0),"")</f>
        <v>3.1</v>
      </c>
    </row>
    <row r="4714" ht="11.25" customHeight="1">
      <c r="A4714" s="21" t="str">
        <f>IFERROR(__xludf.DUMMYFUNCTION("""COMPUTED_VALUE"""),"MODEM VOIP EMTA WIFI 3.1 FAST3895")</f>
        <v>MODEM VOIP EMTA WIFI 3.1 FAST3895</v>
      </c>
      <c r="B4714" s="22">
        <f>IFERROR(__xludf.DUMMYFUNCTION("""COMPUTED_VALUE"""),4.1001504E7)</f>
        <v>41001504</v>
      </c>
      <c r="C4714" s="21" t="str">
        <f>IFERROR(__xludf.DUMMYFUNCTION("""COMPUTED_VALUE"""),"B0FC88EAD547")</f>
        <v>B0FC88EAD547</v>
      </c>
      <c r="D4714" s="21" t="str">
        <f>IFERROR(__xludf.DUMMYFUNCTION("""COMPUTED_VALUE"""),"DIGITEC TECNOLOGIA DIGITAL E REPRES")</f>
        <v>DIGITEC TECNOLOGIA DIGITAL E REPRES</v>
      </c>
      <c r="E4714" s="21">
        <f>IFERROR(__xludf.DUMMYFUNCTION("""COMPUTED_VALUE"""),145359.0)</f>
        <v>145359</v>
      </c>
      <c r="F4714" s="21" t="str">
        <f>IFERROR(__xludf.DUMMYFUNCTION("""COMPUTED_VALUE"""),"INICIALIZADO")</f>
        <v>INICIALIZADO</v>
      </c>
      <c r="G4714" s="23">
        <f>IFERROR(__xludf.DUMMYFUNCTION("""COMPUTED_VALUE"""),45615.61855324074)</f>
        <v>45615.61855</v>
      </c>
      <c r="H4714" s="24" t="str">
        <f>IFERROR(VLOOKUP(B4714,material!A:D,3,0),"")</f>
        <v>3.1</v>
      </c>
    </row>
    <row r="4715" ht="11.25" customHeight="1">
      <c r="A4715" s="21" t="str">
        <f>IFERROR(__xludf.DUMMYFUNCTION("""COMPUTED_VALUE"""),"MODEM VOIP EMTA WIFI 3.1 FAST3895")</f>
        <v>MODEM VOIP EMTA WIFI 3.1 FAST3895</v>
      </c>
      <c r="B4715" s="22">
        <f>IFERROR(__xludf.DUMMYFUNCTION("""COMPUTED_VALUE"""),4.1001504E7)</f>
        <v>41001504</v>
      </c>
      <c r="C4715" s="21" t="str">
        <f>IFERROR(__xludf.DUMMYFUNCTION("""COMPUTED_VALUE"""),"CC5830E0817D")</f>
        <v>CC5830E0817D</v>
      </c>
      <c r="D4715" s="21" t="str">
        <f>IFERROR(__xludf.DUMMYFUNCTION("""COMPUTED_VALUE"""),"DIGITEC TECNOLOGIA DIGITAL E REPRES")</f>
        <v>DIGITEC TECNOLOGIA DIGITAL E REPRES</v>
      </c>
      <c r="E4715" s="21">
        <f>IFERROR(__xludf.DUMMYFUNCTION("""COMPUTED_VALUE"""),145359.0)</f>
        <v>145359</v>
      </c>
      <c r="F4715" s="21" t="str">
        <f>IFERROR(__xludf.DUMMYFUNCTION("""COMPUTED_VALUE"""),"INICIALIZADO")</f>
        <v>INICIALIZADO</v>
      </c>
      <c r="G4715" s="23">
        <f>IFERROR(__xludf.DUMMYFUNCTION("""COMPUTED_VALUE"""),45615.61855324074)</f>
        <v>45615.61855</v>
      </c>
      <c r="H4715" s="24" t="str">
        <f>IFERROR(VLOOKUP(B4715,material!A:D,3,0),"")</f>
        <v>3.1</v>
      </c>
    </row>
    <row r="4716" ht="11.25" customHeight="1">
      <c r="A4716" s="21" t="str">
        <f>IFERROR(__xludf.DUMMYFUNCTION("""COMPUTED_VALUE"""),"MODEM VOIP EMTA WIFI 3.1 FAST3895")</f>
        <v>MODEM VOIP EMTA WIFI 3.1 FAST3895</v>
      </c>
      <c r="B4716" s="22">
        <f>IFERROR(__xludf.DUMMYFUNCTION("""COMPUTED_VALUE"""),4.1001504E7)</f>
        <v>41001504</v>
      </c>
      <c r="C4716" s="21" t="str">
        <f>IFERROR(__xludf.DUMMYFUNCTION("""COMPUTED_VALUE"""),"841EA391D7C5")</f>
        <v>841EA391D7C5</v>
      </c>
      <c r="D4716" s="21" t="str">
        <f>IFERROR(__xludf.DUMMYFUNCTION("""COMPUTED_VALUE"""),"DIGITEC TECNOLOGIA DIGITAL E REPRES")</f>
        <v>DIGITEC TECNOLOGIA DIGITAL E REPRES</v>
      </c>
      <c r="E4716" s="21">
        <f>IFERROR(__xludf.DUMMYFUNCTION("""COMPUTED_VALUE"""),145359.0)</f>
        <v>145359</v>
      </c>
      <c r="F4716" s="21" t="str">
        <f>IFERROR(__xludf.DUMMYFUNCTION("""COMPUTED_VALUE"""),"INICIALIZADO")</f>
        <v>INICIALIZADO</v>
      </c>
      <c r="G4716" s="23">
        <f>IFERROR(__xludf.DUMMYFUNCTION("""COMPUTED_VALUE"""),45618.74474537037)</f>
        <v>45618.74475</v>
      </c>
      <c r="H4716" s="24" t="str">
        <f>IFERROR(VLOOKUP(B4716,material!A:D,3,0),"")</f>
        <v>3.1</v>
      </c>
    </row>
    <row r="4717" ht="11.25" customHeight="1">
      <c r="A4717" s="21" t="str">
        <f>IFERROR(__xludf.DUMMYFUNCTION("""COMPUTED_VALUE"""),"MODEM VOIP EMTA WIFI 3.1 FAST3895")</f>
        <v>MODEM VOIP EMTA WIFI 3.1 FAST3895</v>
      </c>
      <c r="B4717" s="22">
        <f>IFERROR(__xludf.DUMMYFUNCTION("""COMPUTED_VALUE"""),4.1001504E7)</f>
        <v>41001504</v>
      </c>
      <c r="C4717" s="21" t="str">
        <f>IFERROR(__xludf.DUMMYFUNCTION("""COMPUTED_VALUE"""),"841EA38D37EE")</f>
        <v>841EA38D37EE</v>
      </c>
      <c r="D4717" s="21" t="str">
        <f>IFERROR(__xludf.DUMMYFUNCTION("""COMPUTED_VALUE"""),"DIGITEC TECNOLOGIA DIGITAL E REPRES")</f>
        <v>DIGITEC TECNOLOGIA DIGITAL E REPRES</v>
      </c>
      <c r="E4717" s="21">
        <f>IFERROR(__xludf.DUMMYFUNCTION("""COMPUTED_VALUE"""),145359.0)</f>
        <v>145359</v>
      </c>
      <c r="F4717" s="21" t="str">
        <f>IFERROR(__xludf.DUMMYFUNCTION("""COMPUTED_VALUE"""),"INICIALIZADO")</f>
        <v>INICIALIZADO</v>
      </c>
      <c r="G4717" s="23">
        <f>IFERROR(__xludf.DUMMYFUNCTION("""COMPUTED_VALUE"""),45638.68790509259)</f>
        <v>45638.68791</v>
      </c>
      <c r="H4717" s="24" t="str">
        <f>IFERROR(VLOOKUP(B4717,material!A:D,3,0),"")</f>
        <v>3.1</v>
      </c>
    </row>
    <row r="4718" ht="11.25" customHeight="1">
      <c r="A4718" s="21" t="str">
        <f>IFERROR(__xludf.DUMMYFUNCTION("""COMPUTED_VALUE"""),"MODEM VOIP EMTA WIFI 3.1 FAST3895")</f>
        <v>MODEM VOIP EMTA WIFI 3.1 FAST3895</v>
      </c>
      <c r="B4718" s="22">
        <f>IFERROR(__xludf.DUMMYFUNCTION("""COMPUTED_VALUE"""),4.1001504E7)</f>
        <v>41001504</v>
      </c>
      <c r="C4718" s="21" t="str">
        <f>IFERROR(__xludf.DUMMYFUNCTION("""COMPUTED_VALUE"""),"582FF7967B5A")</f>
        <v>582FF7967B5A</v>
      </c>
      <c r="D4718" s="21" t="str">
        <f>IFERROR(__xludf.DUMMYFUNCTION("""COMPUTED_VALUE"""),"DIGITEC TECNOLOGIA DIGITAL E REPRES")</f>
        <v>DIGITEC TECNOLOGIA DIGITAL E REPRES</v>
      </c>
      <c r="E4718" s="21">
        <f>IFERROR(__xludf.DUMMYFUNCTION("""COMPUTED_VALUE"""),145359.0)</f>
        <v>145359</v>
      </c>
      <c r="F4718" s="21" t="str">
        <f>IFERROR(__xludf.DUMMYFUNCTION("""COMPUTED_VALUE"""),"INICIALIZADO")</f>
        <v>INICIALIZADO</v>
      </c>
      <c r="G4718" s="23">
        <f>IFERROR(__xludf.DUMMYFUNCTION("""COMPUTED_VALUE"""),45615.61854166667)</f>
        <v>45615.61854</v>
      </c>
      <c r="H4718" s="24" t="str">
        <f>IFERROR(VLOOKUP(B4718,material!A:D,3,0),"")</f>
        <v>3.1</v>
      </c>
    </row>
    <row r="4719" ht="11.25" customHeight="1">
      <c r="A4719" s="21" t="str">
        <f>IFERROR(__xludf.DUMMYFUNCTION("""COMPUTED_VALUE"""),"MODEM VOIP EMTA WIFI 3.1 FAST3895")</f>
        <v>MODEM VOIP EMTA WIFI 3.1 FAST3895</v>
      </c>
      <c r="B4719" s="22">
        <f>IFERROR(__xludf.DUMMYFUNCTION("""COMPUTED_VALUE"""),4.1001504E7)</f>
        <v>41001504</v>
      </c>
      <c r="C4719" s="21" t="str">
        <f>IFERROR(__xludf.DUMMYFUNCTION("""COMPUTED_VALUE"""),"841EA391C844")</f>
        <v>841EA391C844</v>
      </c>
      <c r="D4719" s="21" t="str">
        <f>IFERROR(__xludf.DUMMYFUNCTION("""COMPUTED_VALUE"""),"DIGITEC TECNOLOGIA DIGITAL E REPRES")</f>
        <v>DIGITEC TECNOLOGIA DIGITAL E REPRES</v>
      </c>
      <c r="E4719" s="21">
        <f>IFERROR(__xludf.DUMMYFUNCTION("""COMPUTED_VALUE"""),145359.0)</f>
        <v>145359</v>
      </c>
      <c r="F4719" s="21" t="str">
        <f>IFERROR(__xludf.DUMMYFUNCTION("""COMPUTED_VALUE"""),"INICIALIZADO")</f>
        <v>INICIALIZADO</v>
      </c>
      <c r="G4719" s="23">
        <f>IFERROR(__xludf.DUMMYFUNCTION("""COMPUTED_VALUE"""),45618.74474537037)</f>
        <v>45618.74475</v>
      </c>
      <c r="H4719" s="24" t="str">
        <f>IFERROR(VLOOKUP(B4719,material!A:D,3,0),"")</f>
        <v>3.1</v>
      </c>
    </row>
    <row r="4720" ht="11.25" customHeight="1">
      <c r="A4720" s="21" t="str">
        <f>IFERROR(__xludf.DUMMYFUNCTION("""COMPUTED_VALUE"""),"MODEM VOIP EMTA WIFI 3.1 FAST3895")</f>
        <v>MODEM VOIP EMTA WIFI 3.1 FAST3895</v>
      </c>
      <c r="B4720" s="22">
        <f>IFERROR(__xludf.DUMMYFUNCTION("""COMPUTED_VALUE"""),4.1001504E7)</f>
        <v>41001504</v>
      </c>
      <c r="C4720" s="21" t="str">
        <f>IFERROR(__xludf.DUMMYFUNCTION("""COMPUTED_VALUE"""),"841EA38852B6")</f>
        <v>841EA38852B6</v>
      </c>
      <c r="D4720" s="21" t="str">
        <f>IFERROR(__xludf.DUMMYFUNCTION("""COMPUTED_VALUE"""),"DIGITEC TECNOLOGIA DIGITAL E REPRES")</f>
        <v>DIGITEC TECNOLOGIA DIGITAL E REPRES</v>
      </c>
      <c r="E4720" s="21">
        <f>IFERROR(__xludf.DUMMYFUNCTION("""COMPUTED_VALUE"""),145359.0)</f>
        <v>145359</v>
      </c>
      <c r="F4720" s="21" t="str">
        <f>IFERROR(__xludf.DUMMYFUNCTION("""COMPUTED_VALUE"""),"INICIALIZADO")</f>
        <v>INICIALIZADO</v>
      </c>
      <c r="G4720" s="23">
        <f>IFERROR(__xludf.DUMMYFUNCTION("""COMPUTED_VALUE"""),45628.35653935185)</f>
        <v>45628.35654</v>
      </c>
      <c r="H4720" s="24" t="str">
        <f>IFERROR(VLOOKUP(B4720,material!A:D,3,0),"")</f>
        <v>3.1</v>
      </c>
    </row>
    <row r="4721" ht="11.25" customHeight="1">
      <c r="A4721" s="21" t="str">
        <f>IFERROR(__xludf.DUMMYFUNCTION("""COMPUTED_VALUE"""),"MODEM VOIP EMTA WIFI 3.1 FAST3895")</f>
        <v>MODEM VOIP EMTA WIFI 3.1 FAST3895</v>
      </c>
      <c r="B4721" s="22">
        <f>IFERROR(__xludf.DUMMYFUNCTION("""COMPUTED_VALUE"""),4.1001504E7)</f>
        <v>41001504</v>
      </c>
      <c r="C4721" s="21" t="str">
        <f>IFERROR(__xludf.DUMMYFUNCTION("""COMPUTED_VALUE"""),"582FF700A5BD")</f>
        <v>582FF700A5BD</v>
      </c>
      <c r="D4721" s="21" t="str">
        <f>IFERROR(__xludf.DUMMYFUNCTION("""COMPUTED_VALUE"""),"DIGITEC TECNOLOGIA DIGITAL E REPRES")</f>
        <v>DIGITEC TECNOLOGIA DIGITAL E REPRES</v>
      </c>
      <c r="E4721" s="21">
        <f>IFERROR(__xludf.DUMMYFUNCTION("""COMPUTED_VALUE"""),145359.0)</f>
        <v>145359</v>
      </c>
      <c r="F4721" s="21" t="str">
        <f>IFERROR(__xludf.DUMMYFUNCTION("""COMPUTED_VALUE"""),"INICIALIZADO")</f>
        <v>INICIALIZADO</v>
      </c>
      <c r="G4721" s="23">
        <f>IFERROR(__xludf.DUMMYFUNCTION("""COMPUTED_VALUE"""),45628.35653935185)</f>
        <v>45628.35654</v>
      </c>
      <c r="H4721" s="24" t="str">
        <f>IFERROR(VLOOKUP(B4721,material!A:D,3,0),"")</f>
        <v>3.1</v>
      </c>
    </row>
    <row r="4722" ht="11.25" customHeight="1">
      <c r="A4722" s="21" t="str">
        <f>IFERROR(__xludf.DUMMYFUNCTION("""COMPUTED_VALUE"""),"MODEM VOIP EMTA WIFI 3.1 FAST3895")</f>
        <v>MODEM VOIP EMTA WIFI 3.1 FAST3895</v>
      </c>
      <c r="B4722" s="22">
        <f>IFERROR(__xludf.DUMMYFUNCTION("""COMPUTED_VALUE"""),4.1001504E7)</f>
        <v>41001504</v>
      </c>
      <c r="C4722" s="21" t="str">
        <f>IFERROR(__xludf.DUMMYFUNCTION("""COMPUTED_VALUE"""),"841EA38BE0CB")</f>
        <v>841EA38BE0CB</v>
      </c>
      <c r="D4722" s="21" t="str">
        <f>IFERROR(__xludf.DUMMYFUNCTION("""COMPUTED_VALUE"""),"DIGITEC TECNOLOGIA DIGITAL E REPRES")</f>
        <v>DIGITEC TECNOLOGIA DIGITAL E REPRES</v>
      </c>
      <c r="E4722" s="21">
        <f>IFERROR(__xludf.DUMMYFUNCTION("""COMPUTED_VALUE"""),145359.0)</f>
        <v>145359</v>
      </c>
      <c r="F4722" s="21" t="str">
        <f>IFERROR(__xludf.DUMMYFUNCTION("""COMPUTED_VALUE"""),"INICIALIZADO")</f>
        <v>INICIALIZADO</v>
      </c>
      <c r="G4722" s="23">
        <f>IFERROR(__xludf.DUMMYFUNCTION("""COMPUTED_VALUE"""),45602.64472222222)</f>
        <v>45602.64472</v>
      </c>
      <c r="H4722" s="24" t="str">
        <f>IFERROR(VLOOKUP(B4722,material!A:D,3,0),"")</f>
        <v>3.1</v>
      </c>
    </row>
    <row r="4723" ht="11.25" customHeight="1">
      <c r="A4723" s="21" t="str">
        <f>IFERROR(__xludf.DUMMYFUNCTION("""COMPUTED_VALUE"""),"MODEM VOIP EMTA WIFI 3.1 FAST3895")</f>
        <v>MODEM VOIP EMTA WIFI 3.1 FAST3895</v>
      </c>
      <c r="B4723" s="22">
        <f>IFERROR(__xludf.DUMMYFUNCTION("""COMPUTED_VALUE"""),4.1001504E7)</f>
        <v>41001504</v>
      </c>
      <c r="C4723" s="21" t="str">
        <f>IFERROR(__xludf.DUMMYFUNCTION("""COMPUTED_VALUE"""),"C4EB42A0EFF3")</f>
        <v>C4EB42A0EFF3</v>
      </c>
      <c r="D4723" s="21" t="str">
        <f>IFERROR(__xludf.DUMMYFUNCTION("""COMPUTED_VALUE"""),"DIGITEC TECNOLOGIA DIGITAL E REPRES")</f>
        <v>DIGITEC TECNOLOGIA DIGITAL E REPRES</v>
      </c>
      <c r="E4723" s="21">
        <f>IFERROR(__xludf.DUMMYFUNCTION("""COMPUTED_VALUE"""),145359.0)</f>
        <v>145359</v>
      </c>
      <c r="F4723" s="21" t="str">
        <f>IFERROR(__xludf.DUMMYFUNCTION("""COMPUTED_VALUE"""),"INICIALIZADO")</f>
        <v>INICIALIZADO</v>
      </c>
      <c r="G4723" s="23">
        <f>IFERROR(__xludf.DUMMYFUNCTION("""COMPUTED_VALUE"""),45618.744733796295)</f>
        <v>45618.74473</v>
      </c>
      <c r="H4723" s="24" t="str">
        <f>IFERROR(VLOOKUP(B4723,material!A:D,3,0),"")</f>
        <v>3.1</v>
      </c>
    </row>
    <row r="4724" ht="11.25" customHeight="1">
      <c r="A4724" s="21" t="str">
        <f>IFERROR(__xludf.DUMMYFUNCTION("""COMPUTED_VALUE"""),"MODEM VOIP EMTA WIFI 3.1 FAST3895")</f>
        <v>MODEM VOIP EMTA WIFI 3.1 FAST3895</v>
      </c>
      <c r="B4724" s="22">
        <f>IFERROR(__xludf.DUMMYFUNCTION("""COMPUTED_VALUE"""),4.1001504E7)</f>
        <v>41001504</v>
      </c>
      <c r="C4724" s="21" t="str">
        <f>IFERROR(__xludf.DUMMYFUNCTION("""COMPUTED_VALUE"""),"943C96AE5398")</f>
        <v>943C96AE5398</v>
      </c>
      <c r="D4724" s="21" t="str">
        <f>IFERROR(__xludf.DUMMYFUNCTION("""COMPUTED_VALUE"""),"DIGITEC TECNOLOGIA DIGITAL E REPRES")</f>
        <v>DIGITEC TECNOLOGIA DIGITAL E REPRES</v>
      </c>
      <c r="E4724" s="21">
        <f>IFERROR(__xludf.DUMMYFUNCTION("""COMPUTED_VALUE"""),145359.0)</f>
        <v>145359</v>
      </c>
      <c r="F4724" s="21" t="str">
        <f>IFERROR(__xludf.DUMMYFUNCTION("""COMPUTED_VALUE"""),"INICIALIZADO")</f>
        <v>INICIALIZADO</v>
      </c>
      <c r="G4724" s="23">
        <f>IFERROR(__xludf.DUMMYFUNCTION("""COMPUTED_VALUE"""),45628.35653935185)</f>
        <v>45628.35654</v>
      </c>
      <c r="H4724" s="24" t="str">
        <f>IFERROR(VLOOKUP(B4724,material!A:D,3,0),"")</f>
        <v>3.1</v>
      </c>
    </row>
    <row r="4725" ht="11.25" customHeight="1">
      <c r="A4725" s="21" t="str">
        <f>IFERROR(__xludf.DUMMYFUNCTION("""COMPUTED_VALUE"""),"MODEM VOIP EMTA WIFI 3.1 FAST3895")</f>
        <v>MODEM VOIP EMTA WIFI 3.1 FAST3895</v>
      </c>
      <c r="B4725" s="22">
        <f>IFERROR(__xludf.DUMMYFUNCTION("""COMPUTED_VALUE"""),4.1001504E7)</f>
        <v>41001504</v>
      </c>
      <c r="C4725" s="21" t="str">
        <f>IFERROR(__xludf.DUMMYFUNCTION("""COMPUTED_VALUE"""),"B0FC88EA6E5B")</f>
        <v>B0FC88EA6E5B</v>
      </c>
      <c r="D4725" s="21" t="str">
        <f>IFERROR(__xludf.DUMMYFUNCTION("""COMPUTED_VALUE"""),"DIGITEC TECNOLOGIA DIGITAL E REPRES")</f>
        <v>DIGITEC TECNOLOGIA DIGITAL E REPRES</v>
      </c>
      <c r="E4725" s="21">
        <f>IFERROR(__xludf.DUMMYFUNCTION("""COMPUTED_VALUE"""),145359.0)</f>
        <v>145359</v>
      </c>
      <c r="F4725" s="21" t="str">
        <f>IFERROR(__xludf.DUMMYFUNCTION("""COMPUTED_VALUE"""),"INICIALIZADO")</f>
        <v>INICIALIZADO</v>
      </c>
      <c r="G4725" s="23">
        <f>IFERROR(__xludf.DUMMYFUNCTION("""COMPUTED_VALUE"""),45628.35653935185)</f>
        <v>45628.35654</v>
      </c>
      <c r="H4725" s="24" t="str">
        <f>IFERROR(VLOOKUP(B4725,material!A:D,3,0),"")</f>
        <v>3.1</v>
      </c>
    </row>
    <row r="4726" ht="11.25" customHeight="1">
      <c r="A4726" s="21" t="str">
        <f>IFERROR(__xludf.DUMMYFUNCTION("""COMPUTED_VALUE"""),"MODEM VOIP EMTA WIFI 3.1 FAST3895")</f>
        <v>MODEM VOIP EMTA WIFI 3.1 FAST3895</v>
      </c>
      <c r="B4726" s="22">
        <f>IFERROR(__xludf.DUMMYFUNCTION("""COMPUTED_VALUE"""),4.1001504E7)</f>
        <v>41001504</v>
      </c>
      <c r="C4726" s="21" t="str">
        <f>IFERROR(__xludf.DUMMYFUNCTION("""COMPUTED_VALUE"""),"943C96AAB9F2")</f>
        <v>943C96AAB9F2</v>
      </c>
      <c r="D4726" s="21" t="str">
        <f>IFERROR(__xludf.DUMMYFUNCTION("""COMPUTED_VALUE"""),"DIGITEC TECNOLOGIA DIGITAL E REPRES")</f>
        <v>DIGITEC TECNOLOGIA DIGITAL E REPRES</v>
      </c>
      <c r="E4726" s="21">
        <f>IFERROR(__xludf.DUMMYFUNCTION("""COMPUTED_VALUE"""),145359.0)</f>
        <v>145359</v>
      </c>
      <c r="F4726" s="21" t="str">
        <f>IFERROR(__xludf.DUMMYFUNCTION("""COMPUTED_VALUE"""),"INICIALIZADO")</f>
        <v>INICIALIZADO</v>
      </c>
      <c r="G4726" s="23">
        <f>IFERROR(__xludf.DUMMYFUNCTION("""COMPUTED_VALUE"""),45615.61855324074)</f>
        <v>45615.61855</v>
      </c>
      <c r="H4726" s="24" t="str">
        <f>IFERROR(VLOOKUP(B4726,material!A:D,3,0),"")</f>
        <v>3.1</v>
      </c>
    </row>
    <row r="4727" ht="11.25" customHeight="1">
      <c r="A4727" s="21" t="str">
        <f>IFERROR(__xludf.DUMMYFUNCTION("""COMPUTED_VALUE"""),"MODEM VOIP EMTA WIFI 3.1 FAST3895")</f>
        <v>MODEM VOIP EMTA WIFI 3.1 FAST3895</v>
      </c>
      <c r="B4727" s="22">
        <f>IFERROR(__xludf.DUMMYFUNCTION("""COMPUTED_VALUE"""),4.1001504E7)</f>
        <v>41001504</v>
      </c>
      <c r="C4727" s="21" t="str">
        <f>IFERROR(__xludf.DUMMYFUNCTION("""COMPUTED_VALUE"""),"C03C048724C5")</f>
        <v>C03C048724C5</v>
      </c>
      <c r="D4727" s="21" t="str">
        <f>IFERROR(__xludf.DUMMYFUNCTION("""COMPUTED_VALUE"""),"DIGITEC TECNOLOGIA DIGITAL E REPRES")</f>
        <v>DIGITEC TECNOLOGIA DIGITAL E REPRES</v>
      </c>
      <c r="E4727" s="21">
        <f>IFERROR(__xludf.DUMMYFUNCTION("""COMPUTED_VALUE"""),145359.0)</f>
        <v>145359</v>
      </c>
      <c r="F4727" s="21" t="str">
        <f>IFERROR(__xludf.DUMMYFUNCTION("""COMPUTED_VALUE"""),"INICIALIZADO")</f>
        <v>INICIALIZADO</v>
      </c>
      <c r="G4727" s="23">
        <f>IFERROR(__xludf.DUMMYFUNCTION("""COMPUTED_VALUE"""),45615.61854166667)</f>
        <v>45615.61854</v>
      </c>
      <c r="H4727" s="24" t="str">
        <f>IFERROR(VLOOKUP(B4727,material!A:D,3,0),"")</f>
        <v>3.1</v>
      </c>
    </row>
    <row r="4728" ht="11.25" customHeight="1">
      <c r="A4728" s="21" t="str">
        <f>IFERROR(__xludf.DUMMYFUNCTION("""COMPUTED_VALUE"""),"MODEM VOIP EMTA WIFI 3.1 CH8568")</f>
        <v>MODEM VOIP EMTA WIFI 3.1 CH8568</v>
      </c>
      <c r="B4728" s="22">
        <f>IFERROR(__xludf.DUMMYFUNCTION("""COMPUTED_VALUE"""),4.1001485E7)</f>
        <v>41001485</v>
      </c>
      <c r="C4728" s="21" t="str">
        <f>IFERROR(__xludf.DUMMYFUNCTION("""COMPUTED_VALUE"""),"6802B8DAF11A")</f>
        <v>6802B8DAF11A</v>
      </c>
      <c r="D4728" s="21" t="str">
        <f>IFERROR(__xludf.DUMMYFUNCTION("""COMPUTED_VALUE"""),"DIGITEC TECNOLOGIA DIGITAL E REPRES")</f>
        <v>DIGITEC TECNOLOGIA DIGITAL E REPRES</v>
      </c>
      <c r="E4728" s="21">
        <f>IFERROR(__xludf.DUMMYFUNCTION("""COMPUTED_VALUE"""),145359.0)</f>
        <v>145359</v>
      </c>
      <c r="F4728" s="21" t="str">
        <f>IFERROR(__xludf.DUMMYFUNCTION("""COMPUTED_VALUE"""),"INICIALIZADO")</f>
        <v>INICIALIZADO</v>
      </c>
      <c r="G4728" s="23">
        <f>IFERROR(__xludf.DUMMYFUNCTION("""COMPUTED_VALUE"""),45586.70667824074)</f>
        <v>45586.70668</v>
      </c>
      <c r="H4728" s="24" t="str">
        <f>IFERROR(VLOOKUP(B4728,material!A:D,3,0),"")</f>
        <v>3.1</v>
      </c>
    </row>
    <row r="4729" ht="11.25" customHeight="1">
      <c r="A4729" s="21" t="str">
        <f>IFERROR(__xludf.DUMMYFUNCTION("""COMPUTED_VALUE"""),"MODEM VOIP EMTA WIFI 3.1 CH8568")</f>
        <v>MODEM VOIP EMTA WIFI 3.1 CH8568</v>
      </c>
      <c r="B4729" s="22">
        <f>IFERROR(__xludf.DUMMYFUNCTION("""COMPUTED_VALUE"""),4.1001485E7)</f>
        <v>41001485</v>
      </c>
      <c r="C4729" s="21" t="str">
        <f>IFERROR(__xludf.DUMMYFUNCTION("""COMPUTED_VALUE"""),"6802B8E01E24")</f>
        <v>6802B8E01E24</v>
      </c>
      <c r="D4729" s="21" t="str">
        <f>IFERROR(__xludf.DUMMYFUNCTION("""COMPUTED_VALUE"""),"DIGITEC TECNOLOGIA DIGITAL E REPRES")</f>
        <v>DIGITEC TECNOLOGIA DIGITAL E REPRES</v>
      </c>
      <c r="E4729" s="21">
        <f>IFERROR(__xludf.DUMMYFUNCTION("""COMPUTED_VALUE"""),145359.0)</f>
        <v>145359</v>
      </c>
      <c r="F4729" s="21" t="str">
        <f>IFERROR(__xludf.DUMMYFUNCTION("""COMPUTED_VALUE"""),"INICIALIZADO")</f>
        <v>INICIALIZADO</v>
      </c>
      <c r="G4729" s="23">
        <f>IFERROR(__xludf.DUMMYFUNCTION("""COMPUTED_VALUE"""),45632.57184027778)</f>
        <v>45632.57184</v>
      </c>
      <c r="H4729" s="24" t="str">
        <f>IFERROR(VLOOKUP(B4729,material!A:D,3,0),"")</f>
        <v>3.1</v>
      </c>
    </row>
    <row r="4730" ht="11.25" customHeight="1">
      <c r="A4730" s="21" t="str">
        <f>IFERROR(__xludf.DUMMYFUNCTION("""COMPUTED_VALUE"""),"MODEM VOIP EMTA WIFI 3.1 CH8568")</f>
        <v>MODEM VOIP EMTA WIFI 3.1 CH8568</v>
      </c>
      <c r="B4730" s="22">
        <f>IFERROR(__xludf.DUMMYFUNCTION("""COMPUTED_VALUE"""),4.1001485E7)</f>
        <v>41001485</v>
      </c>
      <c r="C4730" s="21" t="str">
        <f>IFERROR(__xludf.DUMMYFUNCTION("""COMPUTED_VALUE"""),"6802B8DFA465")</f>
        <v>6802B8DFA465</v>
      </c>
      <c r="D4730" s="21" t="str">
        <f>IFERROR(__xludf.DUMMYFUNCTION("""COMPUTED_VALUE"""),"DIGITEC TECNOLOGIA DIGITAL E REPRES")</f>
        <v>DIGITEC TECNOLOGIA DIGITAL E REPRES</v>
      </c>
      <c r="E4730" s="21">
        <f>IFERROR(__xludf.DUMMYFUNCTION("""COMPUTED_VALUE"""),145359.0)</f>
        <v>145359</v>
      </c>
      <c r="F4730" s="21" t="str">
        <f>IFERROR(__xludf.DUMMYFUNCTION("""COMPUTED_VALUE"""),"INICIALIZADO")</f>
        <v>INICIALIZADO</v>
      </c>
      <c r="G4730" s="23">
        <f>IFERROR(__xludf.DUMMYFUNCTION("""COMPUTED_VALUE"""),45632.5718287037)</f>
        <v>45632.57183</v>
      </c>
      <c r="H4730" s="24" t="str">
        <f>IFERROR(VLOOKUP(B4730,material!A:D,3,0),"")</f>
        <v>3.1</v>
      </c>
    </row>
    <row r="4731" ht="11.25" customHeight="1">
      <c r="A4731" s="21" t="str">
        <f>IFERROR(__xludf.DUMMYFUNCTION("""COMPUTED_VALUE"""),"MODEM VOIP EMTA WIFI 3.1 CH8568")</f>
        <v>MODEM VOIP EMTA WIFI 3.1 CH8568</v>
      </c>
      <c r="B4731" s="22">
        <f>IFERROR(__xludf.DUMMYFUNCTION("""COMPUTED_VALUE"""),4.1001485E7)</f>
        <v>41001485</v>
      </c>
      <c r="C4731" s="21" t="str">
        <f>IFERROR(__xludf.DUMMYFUNCTION("""COMPUTED_VALUE"""),"6802B8F8F24F")</f>
        <v>6802B8F8F24F</v>
      </c>
      <c r="D4731" s="21" t="str">
        <f>IFERROR(__xludf.DUMMYFUNCTION("""COMPUTED_VALUE"""),"DIGITEC TECNOLOGIA DIGITAL E REPRES")</f>
        <v>DIGITEC TECNOLOGIA DIGITAL E REPRES</v>
      </c>
      <c r="E4731" s="21">
        <f>IFERROR(__xludf.DUMMYFUNCTION("""COMPUTED_VALUE"""),145359.0)</f>
        <v>145359</v>
      </c>
      <c r="F4731" s="21" t="str">
        <f>IFERROR(__xludf.DUMMYFUNCTION("""COMPUTED_VALUE"""),"INICIALIZADO")</f>
        <v>INICIALIZADO</v>
      </c>
      <c r="G4731" s="23">
        <f>IFERROR(__xludf.DUMMYFUNCTION("""COMPUTED_VALUE"""),45632.57184027778)</f>
        <v>45632.57184</v>
      </c>
      <c r="H4731" s="24" t="str">
        <f>IFERROR(VLOOKUP(B4731,material!A:D,3,0),"")</f>
        <v>3.1</v>
      </c>
    </row>
    <row r="4732" ht="11.25" customHeight="1">
      <c r="A4732" s="21" t="str">
        <f>IFERROR(__xludf.DUMMYFUNCTION("""COMPUTED_VALUE"""),"MODEM VOIP EMTA WIFI 3.1 CH8568")</f>
        <v>MODEM VOIP EMTA WIFI 3.1 CH8568</v>
      </c>
      <c r="B4732" s="22">
        <f>IFERROR(__xludf.DUMMYFUNCTION("""COMPUTED_VALUE"""),4.1001485E7)</f>
        <v>41001485</v>
      </c>
      <c r="C4732" s="21" t="str">
        <f>IFERROR(__xludf.DUMMYFUNCTION("""COMPUTED_VALUE"""),"B4F2670B9F7F")</f>
        <v>B4F2670B9F7F</v>
      </c>
      <c r="D4732" s="21" t="str">
        <f>IFERROR(__xludf.DUMMYFUNCTION("""COMPUTED_VALUE"""),"DIGITEC TECNOLOGIA DIGITAL E REPRES")</f>
        <v>DIGITEC TECNOLOGIA DIGITAL E REPRES</v>
      </c>
      <c r="E4732" s="21">
        <f>IFERROR(__xludf.DUMMYFUNCTION("""COMPUTED_VALUE"""),145359.0)</f>
        <v>145359</v>
      </c>
      <c r="F4732" s="21" t="str">
        <f>IFERROR(__xludf.DUMMYFUNCTION("""COMPUTED_VALUE"""),"INICIALIZADO")</f>
        <v>INICIALIZADO</v>
      </c>
      <c r="G4732" s="23">
        <f>IFERROR(__xludf.DUMMYFUNCTION("""COMPUTED_VALUE"""),45632.57184027778)</f>
        <v>45632.57184</v>
      </c>
      <c r="H4732" s="24" t="str">
        <f>IFERROR(VLOOKUP(B4732,material!A:D,3,0),"")</f>
        <v>3.1</v>
      </c>
    </row>
    <row r="4733" ht="11.25" customHeight="1">
      <c r="A4733" s="21" t="str">
        <f>IFERROR(__xludf.DUMMYFUNCTION("""COMPUTED_VALUE"""),"MODEM VOIP EMTA WIFI 3.1 CH8568")</f>
        <v>MODEM VOIP EMTA WIFI 3.1 CH8568</v>
      </c>
      <c r="B4733" s="22">
        <f>IFERROR(__xludf.DUMMYFUNCTION("""COMPUTED_VALUE"""),4.1001485E7)</f>
        <v>41001485</v>
      </c>
      <c r="C4733" s="21" t="str">
        <f>IFERROR(__xludf.DUMMYFUNCTION("""COMPUTED_VALUE"""),"6802B864428F")</f>
        <v>6802B864428F</v>
      </c>
      <c r="D4733" s="21" t="str">
        <f>IFERROR(__xludf.DUMMYFUNCTION("""COMPUTED_VALUE"""),"DIGITEC TECNOLOGIA DIGITAL E REPRES")</f>
        <v>DIGITEC TECNOLOGIA DIGITAL E REPRES</v>
      </c>
      <c r="E4733" s="21">
        <f>IFERROR(__xludf.DUMMYFUNCTION("""COMPUTED_VALUE"""),145359.0)</f>
        <v>145359</v>
      </c>
      <c r="F4733" s="21" t="str">
        <f>IFERROR(__xludf.DUMMYFUNCTION("""COMPUTED_VALUE"""),"INICIALIZADO")</f>
        <v>INICIALIZADO</v>
      </c>
      <c r="G4733" s="23">
        <f>IFERROR(__xludf.DUMMYFUNCTION("""COMPUTED_VALUE"""),45632.5718287037)</f>
        <v>45632.57183</v>
      </c>
      <c r="H4733" s="24" t="str">
        <f>IFERROR(VLOOKUP(B4733,material!A:D,3,0),"")</f>
        <v>3.1</v>
      </c>
    </row>
    <row r="4734" ht="11.25" customHeight="1">
      <c r="A4734" s="21" t="str">
        <f>IFERROR(__xludf.DUMMYFUNCTION("""COMPUTED_VALUE"""),"MODEM VOIP EMTA WIFI 3.1 CH8568")</f>
        <v>MODEM VOIP EMTA WIFI 3.1 CH8568</v>
      </c>
      <c r="B4734" s="22">
        <f>IFERROR(__xludf.DUMMYFUNCTION("""COMPUTED_VALUE"""),4.1001485E7)</f>
        <v>41001485</v>
      </c>
      <c r="C4734" s="21" t="str">
        <f>IFERROR(__xludf.DUMMYFUNCTION("""COMPUTED_VALUE"""),"B4F2674EFF63")</f>
        <v>B4F2674EFF63</v>
      </c>
      <c r="D4734" s="21" t="str">
        <f>IFERROR(__xludf.DUMMYFUNCTION("""COMPUTED_VALUE"""),"DIGITEC TECNOLOGIA DIGITAL E REPRES")</f>
        <v>DIGITEC TECNOLOGIA DIGITAL E REPRES</v>
      </c>
      <c r="E4734" s="21">
        <f>IFERROR(__xludf.DUMMYFUNCTION("""COMPUTED_VALUE"""),145359.0)</f>
        <v>145359</v>
      </c>
      <c r="F4734" s="21" t="str">
        <f>IFERROR(__xludf.DUMMYFUNCTION("""COMPUTED_VALUE"""),"INICIALIZADO")</f>
        <v>INICIALIZADO</v>
      </c>
      <c r="G4734" s="23">
        <f>IFERROR(__xludf.DUMMYFUNCTION("""COMPUTED_VALUE"""),45628.35653935185)</f>
        <v>45628.35654</v>
      </c>
      <c r="H4734" s="24" t="str">
        <f>IFERROR(VLOOKUP(B4734,material!A:D,3,0),"")</f>
        <v>3.1</v>
      </c>
    </row>
    <row r="4735" ht="11.25" customHeight="1">
      <c r="A4735" s="21" t="str">
        <f>IFERROR(__xludf.DUMMYFUNCTION("""COMPUTED_VALUE"""),"MODEM VOIP EMTA WIFI 3.1 CH8568")</f>
        <v>MODEM VOIP EMTA WIFI 3.1 CH8568</v>
      </c>
      <c r="B4735" s="22">
        <f>IFERROR(__xludf.DUMMYFUNCTION("""COMPUTED_VALUE"""),4.1001485E7)</f>
        <v>41001485</v>
      </c>
      <c r="C4735" s="21" t="str">
        <f>IFERROR(__xludf.DUMMYFUNCTION("""COMPUTED_VALUE"""),"B4F26732EDFC")</f>
        <v>B4F26732EDFC</v>
      </c>
      <c r="D4735" s="21" t="str">
        <f>IFERROR(__xludf.DUMMYFUNCTION("""COMPUTED_VALUE"""),"DIGITEC TECNOLOGIA DIGITAL E REPRES")</f>
        <v>DIGITEC TECNOLOGIA DIGITAL E REPRES</v>
      </c>
      <c r="E4735" s="21">
        <f>IFERROR(__xludf.DUMMYFUNCTION("""COMPUTED_VALUE"""),145359.0)</f>
        <v>145359</v>
      </c>
      <c r="F4735" s="21" t="str">
        <f>IFERROR(__xludf.DUMMYFUNCTION("""COMPUTED_VALUE"""),"INICIALIZADO")</f>
        <v>INICIALIZADO</v>
      </c>
      <c r="G4735" s="23">
        <f>IFERROR(__xludf.DUMMYFUNCTION("""COMPUTED_VALUE"""),45638.68789351852)</f>
        <v>45638.68789</v>
      </c>
      <c r="H4735" s="24" t="str">
        <f>IFERROR(VLOOKUP(B4735,material!A:D,3,0),"")</f>
        <v>3.1</v>
      </c>
    </row>
    <row r="4736" ht="11.25" customHeight="1">
      <c r="A4736" s="21" t="str">
        <f>IFERROR(__xludf.DUMMYFUNCTION("""COMPUTED_VALUE"""),"MODEM VOIP EMTA WIFI 3.1 CH8568")</f>
        <v>MODEM VOIP EMTA WIFI 3.1 CH8568</v>
      </c>
      <c r="B4736" s="22">
        <f>IFERROR(__xludf.DUMMYFUNCTION("""COMPUTED_VALUE"""),4.1001485E7)</f>
        <v>41001485</v>
      </c>
      <c r="C4736" s="21" t="str">
        <f>IFERROR(__xludf.DUMMYFUNCTION("""COMPUTED_VALUE"""),"6802B8A4CA40")</f>
        <v>6802B8A4CA40</v>
      </c>
      <c r="D4736" s="21" t="str">
        <f>IFERROR(__xludf.DUMMYFUNCTION("""COMPUTED_VALUE"""),"DIGITEC TECNOLOGIA DIGITAL E REPRES")</f>
        <v>DIGITEC TECNOLOGIA DIGITAL E REPRES</v>
      </c>
      <c r="E4736" s="21">
        <f>IFERROR(__xludf.DUMMYFUNCTION("""COMPUTED_VALUE"""),145359.0)</f>
        <v>145359</v>
      </c>
      <c r="F4736" s="21" t="str">
        <f>IFERROR(__xludf.DUMMYFUNCTION("""COMPUTED_VALUE"""),"INICIALIZADO")</f>
        <v>INICIALIZADO</v>
      </c>
      <c r="G4736" s="23">
        <f>IFERROR(__xludf.DUMMYFUNCTION("""COMPUTED_VALUE"""),45632.5718287037)</f>
        <v>45632.57183</v>
      </c>
      <c r="H4736" s="24" t="str">
        <f>IFERROR(VLOOKUP(B4736,material!A:D,3,0),"")</f>
        <v>3.1</v>
      </c>
    </row>
    <row r="4737" ht="11.25" customHeight="1">
      <c r="A4737" s="21" t="str">
        <f>IFERROR(__xludf.DUMMYFUNCTION("""COMPUTED_VALUE"""),"MODEM VOIPEMTA WIFI 3.1 CGA4233CLB")</f>
        <v>MODEM VOIPEMTA WIFI 3.1 CGA4233CLB</v>
      </c>
      <c r="B4737" s="22">
        <f>IFERROR(__xludf.DUMMYFUNCTION("""COMPUTED_VALUE"""),4.1001482E7)</f>
        <v>41001482</v>
      </c>
      <c r="C4737" s="21" t="str">
        <f>IFERROR(__xludf.DUMMYFUNCTION("""COMPUTED_VALUE"""),"6C55E8BF6324")</f>
        <v>6C55E8BF6324</v>
      </c>
      <c r="D4737" s="21" t="str">
        <f>IFERROR(__xludf.DUMMYFUNCTION("""COMPUTED_VALUE"""),"DIGITEC TECNOLOGIA DIGITAL E REPRES")</f>
        <v>DIGITEC TECNOLOGIA DIGITAL E REPRES</v>
      </c>
      <c r="E4737" s="21">
        <f>IFERROR(__xludf.DUMMYFUNCTION("""COMPUTED_VALUE"""),145359.0)</f>
        <v>145359</v>
      </c>
      <c r="F4737" s="21" t="str">
        <f>IFERROR(__xludf.DUMMYFUNCTION("""COMPUTED_VALUE"""),"INICIALIZADO")</f>
        <v>INICIALIZADO</v>
      </c>
      <c r="G4737" s="23">
        <f>IFERROR(__xludf.DUMMYFUNCTION("""COMPUTED_VALUE"""),45600.47598379629)</f>
        <v>45600.47598</v>
      </c>
      <c r="H4737" s="24" t="str">
        <f>IFERROR(VLOOKUP(B4737,material!A:D,3,0),"")</f>
        <v>3.1</v>
      </c>
    </row>
    <row r="4738" ht="11.25" customHeight="1">
      <c r="A4738" s="21" t="str">
        <f>IFERROR(__xludf.DUMMYFUNCTION("""COMPUTED_VALUE"""),"MODEM VOIPEMTA WIFI 3.1 CGA4233CLB")</f>
        <v>MODEM VOIPEMTA WIFI 3.1 CGA4233CLB</v>
      </c>
      <c r="B4738" s="22">
        <f>IFERROR(__xludf.DUMMYFUNCTION("""COMPUTED_VALUE"""),4.1001482E7)</f>
        <v>41001482</v>
      </c>
      <c r="C4738" s="21" t="str">
        <f>IFERROR(__xludf.DUMMYFUNCTION("""COMPUTED_VALUE"""),"A0FF707DE554")</f>
        <v>A0FF707DE554</v>
      </c>
      <c r="D4738" s="21" t="str">
        <f>IFERROR(__xludf.DUMMYFUNCTION("""COMPUTED_VALUE"""),"DIGITEC TECNOLOGIA DIGITAL E REPRES")</f>
        <v>DIGITEC TECNOLOGIA DIGITAL E REPRES</v>
      </c>
      <c r="E4738" s="21">
        <f>IFERROR(__xludf.DUMMYFUNCTION("""COMPUTED_VALUE"""),145359.0)</f>
        <v>145359</v>
      </c>
      <c r="F4738" s="21" t="str">
        <f>IFERROR(__xludf.DUMMYFUNCTION("""COMPUTED_VALUE"""),"INICIALIZADO")</f>
        <v>INICIALIZADO</v>
      </c>
      <c r="G4738" s="23">
        <f>IFERROR(__xludf.DUMMYFUNCTION("""COMPUTED_VALUE"""),45600.47598379629)</f>
        <v>45600.47598</v>
      </c>
      <c r="H4738" s="24" t="str">
        <f>IFERROR(VLOOKUP(B4738,material!A:D,3,0),"")</f>
        <v>3.1</v>
      </c>
    </row>
    <row r="4739" ht="11.25" customHeight="1">
      <c r="A4739" s="21" t="str">
        <f>IFERROR(__xludf.DUMMYFUNCTION("""COMPUTED_VALUE"""),"MODEM VOIPEMTA WIFI 3.1 CGA4233CLB")</f>
        <v>MODEM VOIPEMTA WIFI 3.1 CGA4233CLB</v>
      </c>
      <c r="B4739" s="22">
        <f>IFERROR(__xludf.DUMMYFUNCTION("""COMPUTED_VALUE"""),4.1001482E7)</f>
        <v>41001482</v>
      </c>
      <c r="C4739" s="21" t="str">
        <f>IFERROR(__xludf.DUMMYFUNCTION("""COMPUTED_VALUE"""),"6C55E8C16CAC")</f>
        <v>6C55E8C16CAC</v>
      </c>
      <c r="D4739" s="21" t="str">
        <f>IFERROR(__xludf.DUMMYFUNCTION("""COMPUTED_VALUE"""),"DIGITEC TECNOLOGIA DIGITAL E REPRES")</f>
        <v>DIGITEC TECNOLOGIA DIGITAL E REPRES</v>
      </c>
      <c r="E4739" s="21">
        <f>IFERROR(__xludf.DUMMYFUNCTION("""COMPUTED_VALUE"""),145359.0)</f>
        <v>145359</v>
      </c>
      <c r="F4739" s="21" t="str">
        <f>IFERROR(__xludf.DUMMYFUNCTION("""COMPUTED_VALUE"""),"INICIALIZADO")</f>
        <v>INICIALIZADO</v>
      </c>
      <c r="G4739" s="23">
        <f>IFERROR(__xludf.DUMMYFUNCTION("""COMPUTED_VALUE"""),45600.47598379629)</f>
        <v>45600.47598</v>
      </c>
      <c r="H4739" s="24" t="str">
        <f>IFERROR(VLOOKUP(B4739,material!A:D,3,0),"")</f>
        <v>3.1</v>
      </c>
    </row>
    <row r="4740" ht="11.25" customHeight="1">
      <c r="A4740" s="21" t="str">
        <f>IFERROR(__xludf.DUMMYFUNCTION("""COMPUTED_VALUE"""),"MODEM VOIPEMTA WIFI 3.1 CGA4233CLB")</f>
        <v>MODEM VOIPEMTA WIFI 3.1 CGA4233CLB</v>
      </c>
      <c r="B4740" s="22">
        <f>IFERROR(__xludf.DUMMYFUNCTION("""COMPUTED_VALUE"""),4.1001482E7)</f>
        <v>41001482</v>
      </c>
      <c r="C4740" s="21" t="str">
        <f>IFERROR(__xludf.DUMMYFUNCTION("""COMPUTED_VALUE"""),"6C55E8CCB3E4")</f>
        <v>6C55E8CCB3E4</v>
      </c>
      <c r="D4740" s="21" t="str">
        <f>IFERROR(__xludf.DUMMYFUNCTION("""COMPUTED_VALUE"""),"DIGITEC TECNOLOGIA DIGITAL E REPRES")</f>
        <v>DIGITEC TECNOLOGIA DIGITAL E REPRES</v>
      </c>
      <c r="E4740" s="21">
        <f>IFERROR(__xludf.DUMMYFUNCTION("""COMPUTED_VALUE"""),145359.0)</f>
        <v>145359</v>
      </c>
      <c r="F4740" s="21" t="str">
        <f>IFERROR(__xludf.DUMMYFUNCTION("""COMPUTED_VALUE"""),"INICIALIZADO")</f>
        <v>INICIALIZADO</v>
      </c>
      <c r="G4740" s="23">
        <f>IFERROR(__xludf.DUMMYFUNCTION("""COMPUTED_VALUE"""),45600.47598379629)</f>
        <v>45600.47598</v>
      </c>
      <c r="H4740" s="24" t="str">
        <f>IFERROR(VLOOKUP(B4740,material!A:D,3,0),"")</f>
        <v>3.1</v>
      </c>
    </row>
    <row r="4741" ht="11.25" customHeight="1">
      <c r="A4741" s="21" t="str">
        <f>IFERROR(__xludf.DUMMYFUNCTION("""COMPUTED_VALUE"""),"MODEM VOIPEMTA WIFI 3.1 CGA4233CLB")</f>
        <v>MODEM VOIPEMTA WIFI 3.1 CGA4233CLB</v>
      </c>
      <c r="B4741" s="22">
        <f>IFERROR(__xludf.DUMMYFUNCTION("""COMPUTED_VALUE"""),4.1001482E7)</f>
        <v>41001482</v>
      </c>
      <c r="C4741" s="21" t="str">
        <f>IFERROR(__xludf.DUMMYFUNCTION("""COMPUTED_VALUE"""),"A0FF702D37B4")</f>
        <v>A0FF702D37B4</v>
      </c>
      <c r="D4741" s="21" t="str">
        <f>IFERROR(__xludf.DUMMYFUNCTION("""COMPUTED_VALUE"""),"DIGITEC TECNOLOGIA DIGITAL E REPRES")</f>
        <v>DIGITEC TECNOLOGIA DIGITAL E REPRES</v>
      </c>
      <c r="E4741" s="21">
        <f>IFERROR(__xludf.DUMMYFUNCTION("""COMPUTED_VALUE"""),145359.0)</f>
        <v>145359</v>
      </c>
      <c r="F4741" s="21" t="str">
        <f>IFERROR(__xludf.DUMMYFUNCTION("""COMPUTED_VALUE"""),"INICIALIZADO")</f>
        <v>INICIALIZADO</v>
      </c>
      <c r="G4741" s="23">
        <f>IFERROR(__xludf.DUMMYFUNCTION("""COMPUTED_VALUE"""),45600.47598379629)</f>
        <v>45600.47598</v>
      </c>
      <c r="H4741" s="24" t="str">
        <f>IFERROR(VLOOKUP(B4741,material!A:D,3,0),"")</f>
        <v>3.1</v>
      </c>
    </row>
    <row r="4742" ht="11.25" customHeight="1">
      <c r="A4742" s="21" t="str">
        <f>IFERROR(__xludf.DUMMYFUNCTION("""COMPUTED_VALUE"""),"MODEM VOIPEMTA WIFI 3.1 CGA4233CLB")</f>
        <v>MODEM VOIPEMTA WIFI 3.1 CGA4233CLB</v>
      </c>
      <c r="B4742" s="22">
        <f>IFERROR(__xludf.DUMMYFUNCTION("""COMPUTED_VALUE"""),4.1001482E7)</f>
        <v>41001482</v>
      </c>
      <c r="C4742" s="21" t="str">
        <f>IFERROR(__xludf.DUMMYFUNCTION("""COMPUTED_VALUE"""),"5C7D7D64F5C4")</f>
        <v>5C7D7D64F5C4</v>
      </c>
      <c r="D4742" s="21" t="str">
        <f>IFERROR(__xludf.DUMMYFUNCTION("""COMPUTED_VALUE"""),"DIGITEC TECNOLOGIA DIGITAL E REPRES")</f>
        <v>DIGITEC TECNOLOGIA DIGITAL E REPRES</v>
      </c>
      <c r="E4742" s="21">
        <f>IFERROR(__xludf.DUMMYFUNCTION("""COMPUTED_VALUE"""),145359.0)</f>
        <v>145359</v>
      </c>
      <c r="F4742" s="21" t="str">
        <f>IFERROR(__xludf.DUMMYFUNCTION("""COMPUTED_VALUE"""),"INICIALIZADO")</f>
        <v>INICIALIZADO</v>
      </c>
      <c r="G4742" s="23">
        <f>IFERROR(__xludf.DUMMYFUNCTION("""COMPUTED_VALUE"""),45555.59186342593)</f>
        <v>45555.59186</v>
      </c>
      <c r="H4742" s="24" t="str">
        <f>IFERROR(VLOOKUP(B4742,material!A:D,3,0),"")</f>
        <v>3.1</v>
      </c>
    </row>
    <row r="4743" ht="11.25" customHeight="1">
      <c r="A4743" s="21" t="str">
        <f>IFERROR(__xludf.DUMMYFUNCTION("""COMPUTED_VALUE"""),"MODEM VOIPEMTA WIFI 3.1 CGA4233CLB")</f>
        <v>MODEM VOIPEMTA WIFI 3.1 CGA4233CLB</v>
      </c>
      <c r="B4743" s="22">
        <f>IFERROR(__xludf.DUMMYFUNCTION("""COMPUTED_VALUE"""),4.1001482E7)</f>
        <v>41001482</v>
      </c>
      <c r="C4743" s="21" t="str">
        <f>IFERROR(__xludf.DUMMYFUNCTION("""COMPUTED_VALUE"""),"A0FF70D316E4")</f>
        <v>A0FF70D316E4</v>
      </c>
      <c r="D4743" s="21" t="str">
        <f>IFERROR(__xludf.DUMMYFUNCTION("""COMPUTED_VALUE"""),"DIGITEC TECNOLOGIA DIGITAL E REPRES")</f>
        <v>DIGITEC TECNOLOGIA DIGITAL E REPRES</v>
      </c>
      <c r="E4743" s="21">
        <f>IFERROR(__xludf.DUMMYFUNCTION("""COMPUTED_VALUE"""),145359.0)</f>
        <v>145359</v>
      </c>
      <c r="F4743" s="21" t="str">
        <f>IFERROR(__xludf.DUMMYFUNCTION("""COMPUTED_VALUE"""),"INICIALIZADO")</f>
        <v>INICIALIZADO</v>
      </c>
      <c r="G4743" s="23">
        <f>IFERROR(__xludf.DUMMYFUNCTION("""COMPUTED_VALUE"""),45600.47597222222)</f>
        <v>45600.47597</v>
      </c>
      <c r="H4743" s="24" t="str">
        <f>IFERROR(VLOOKUP(B4743,material!A:D,3,0),"")</f>
        <v>3.1</v>
      </c>
    </row>
    <row r="4744" ht="11.25" customHeight="1">
      <c r="A4744" s="21" t="str">
        <f>IFERROR(__xludf.DUMMYFUNCTION("""COMPUTED_VALUE"""),"MODEM VOIPEMTA WIFI 3.1 CGA4233CLB")</f>
        <v>MODEM VOIPEMTA WIFI 3.1 CGA4233CLB</v>
      </c>
      <c r="B4744" s="22">
        <f>IFERROR(__xludf.DUMMYFUNCTION("""COMPUTED_VALUE"""),4.1001482E7)</f>
        <v>41001482</v>
      </c>
      <c r="C4744" s="21" t="str">
        <f>IFERROR(__xludf.DUMMYFUNCTION("""COMPUTED_VALUE"""),"484BD47B51D4")</f>
        <v>484BD47B51D4</v>
      </c>
      <c r="D4744" s="21" t="str">
        <f>IFERROR(__xludf.DUMMYFUNCTION("""COMPUTED_VALUE"""),"DIGITEC TECNOLOGIA DIGITAL E REPRES")</f>
        <v>DIGITEC TECNOLOGIA DIGITAL E REPRES</v>
      </c>
      <c r="E4744" s="21">
        <f>IFERROR(__xludf.DUMMYFUNCTION("""COMPUTED_VALUE"""),145359.0)</f>
        <v>145359</v>
      </c>
      <c r="F4744" s="21" t="str">
        <f>IFERROR(__xludf.DUMMYFUNCTION("""COMPUTED_VALUE"""),"INICIALIZADO")</f>
        <v>INICIALIZADO</v>
      </c>
      <c r="G4744" s="23">
        <f>IFERROR(__xludf.DUMMYFUNCTION("""COMPUTED_VALUE"""),45600.47597222222)</f>
        <v>45600.47597</v>
      </c>
      <c r="H4744" s="24" t="str">
        <f>IFERROR(VLOOKUP(B4744,material!A:D,3,0),"")</f>
        <v>3.1</v>
      </c>
    </row>
    <row r="4745" ht="11.25" customHeight="1">
      <c r="A4745" s="21" t="str">
        <f>IFERROR(__xludf.DUMMYFUNCTION("""COMPUTED_VALUE"""),"MODEM VOIPEMTA WIFI 3.1 CGA4233CLB")</f>
        <v>MODEM VOIPEMTA WIFI 3.1 CGA4233CLB</v>
      </c>
      <c r="B4745" s="22">
        <f>IFERROR(__xludf.DUMMYFUNCTION("""COMPUTED_VALUE"""),4.1001482E7)</f>
        <v>41001482</v>
      </c>
      <c r="C4745" s="21" t="str">
        <f>IFERROR(__xludf.DUMMYFUNCTION("""COMPUTED_VALUE"""),"5C7D7D6B6E0C")</f>
        <v>5C7D7D6B6E0C</v>
      </c>
      <c r="D4745" s="21" t="str">
        <f>IFERROR(__xludf.DUMMYFUNCTION("""COMPUTED_VALUE"""),"DIGITEC TECNOLOGIA DIGITAL E REPRES")</f>
        <v>DIGITEC TECNOLOGIA DIGITAL E REPRES</v>
      </c>
      <c r="E4745" s="21">
        <f>IFERROR(__xludf.DUMMYFUNCTION("""COMPUTED_VALUE"""),145359.0)</f>
        <v>145359</v>
      </c>
      <c r="F4745" s="21" t="str">
        <f>IFERROR(__xludf.DUMMYFUNCTION("""COMPUTED_VALUE"""),"INICIALIZADO")</f>
        <v>INICIALIZADO</v>
      </c>
      <c r="G4745" s="23">
        <f>IFERROR(__xludf.DUMMYFUNCTION("""COMPUTED_VALUE"""),45600.47597222222)</f>
        <v>45600.47597</v>
      </c>
      <c r="H4745" s="24" t="str">
        <f>IFERROR(VLOOKUP(B4745,material!A:D,3,0),"")</f>
        <v>3.1</v>
      </c>
    </row>
    <row r="4746" ht="11.25" customHeight="1">
      <c r="A4746" s="21" t="str">
        <f>IFERROR(__xludf.DUMMYFUNCTION("""COMPUTED_VALUE"""),"MODEM VOIPEMTA WIFI 3.1 CGA4233CLB")</f>
        <v>MODEM VOIPEMTA WIFI 3.1 CGA4233CLB</v>
      </c>
      <c r="B4746" s="22">
        <f>IFERROR(__xludf.DUMMYFUNCTION("""COMPUTED_VALUE"""),4.1001482E7)</f>
        <v>41001482</v>
      </c>
      <c r="C4746" s="21" t="str">
        <f>IFERROR(__xludf.DUMMYFUNCTION("""COMPUTED_VALUE"""),"5C7D7D6DA554")</f>
        <v>5C7D7D6DA554</v>
      </c>
      <c r="D4746" s="21" t="str">
        <f>IFERROR(__xludf.DUMMYFUNCTION("""COMPUTED_VALUE"""),"DIGITEC TECNOLOGIA DIGITAL E REPRES")</f>
        <v>DIGITEC TECNOLOGIA DIGITAL E REPRES</v>
      </c>
      <c r="E4746" s="21">
        <f>IFERROR(__xludf.DUMMYFUNCTION("""COMPUTED_VALUE"""),145359.0)</f>
        <v>145359</v>
      </c>
      <c r="F4746" s="21" t="str">
        <f>IFERROR(__xludf.DUMMYFUNCTION("""COMPUTED_VALUE"""),"INICIALIZADO")</f>
        <v>INICIALIZADO</v>
      </c>
      <c r="G4746" s="23">
        <f>IFERROR(__xludf.DUMMYFUNCTION("""COMPUTED_VALUE"""),45600.47597222222)</f>
        <v>45600.47597</v>
      </c>
      <c r="H4746" s="24" t="str">
        <f>IFERROR(VLOOKUP(B4746,material!A:D,3,0),"")</f>
        <v>3.1</v>
      </c>
    </row>
    <row r="4747" ht="11.25" customHeight="1">
      <c r="A4747" s="21" t="str">
        <f>IFERROR(__xludf.DUMMYFUNCTION("""COMPUTED_VALUE"""),"MODEM VOIPEMTA WIFI 3.1 CGA4233CLB")</f>
        <v>MODEM VOIPEMTA WIFI 3.1 CGA4233CLB</v>
      </c>
      <c r="B4747" s="22">
        <f>IFERROR(__xludf.DUMMYFUNCTION("""COMPUTED_VALUE"""),4.1001482E7)</f>
        <v>41001482</v>
      </c>
      <c r="C4747" s="21" t="str">
        <f>IFERROR(__xludf.DUMMYFUNCTION("""COMPUTED_VALUE"""),"484BD49DDE94")</f>
        <v>484BD49DDE94</v>
      </c>
      <c r="D4747" s="21" t="str">
        <f>IFERROR(__xludf.DUMMYFUNCTION("""COMPUTED_VALUE"""),"DIGITEC TECNOLOGIA DIGITAL E REPRES")</f>
        <v>DIGITEC TECNOLOGIA DIGITAL E REPRES</v>
      </c>
      <c r="E4747" s="21">
        <f>IFERROR(__xludf.DUMMYFUNCTION("""COMPUTED_VALUE"""),145359.0)</f>
        <v>145359</v>
      </c>
      <c r="F4747" s="21" t="str">
        <f>IFERROR(__xludf.DUMMYFUNCTION("""COMPUTED_VALUE"""),"INICIALIZADO")</f>
        <v>INICIALIZADO</v>
      </c>
      <c r="G4747" s="23">
        <f>IFERROR(__xludf.DUMMYFUNCTION("""COMPUTED_VALUE"""),45600.47598379629)</f>
        <v>45600.47598</v>
      </c>
      <c r="H4747" s="24" t="str">
        <f>IFERROR(VLOOKUP(B4747,material!A:D,3,0),"")</f>
        <v>3.1</v>
      </c>
    </row>
    <row r="4748" ht="11.25" customHeight="1">
      <c r="A4748" s="21" t="str">
        <f>IFERROR(__xludf.DUMMYFUNCTION("""COMPUTED_VALUE"""),"MODEM VOIPEMTA WIFI 3.1 CGA4233CLB")</f>
        <v>MODEM VOIPEMTA WIFI 3.1 CGA4233CLB</v>
      </c>
      <c r="B4748" s="22">
        <f>IFERROR(__xludf.DUMMYFUNCTION("""COMPUTED_VALUE"""),4.1001482E7)</f>
        <v>41001482</v>
      </c>
      <c r="C4748" s="21" t="str">
        <f>IFERROR(__xludf.DUMMYFUNCTION("""COMPUTED_VALUE"""),"484BD4893CCC")</f>
        <v>484BD4893CCC</v>
      </c>
      <c r="D4748" s="21" t="str">
        <f>IFERROR(__xludf.DUMMYFUNCTION("""COMPUTED_VALUE"""),"DIGITEC TECNOLOGIA DIGITAL E REPRES")</f>
        <v>DIGITEC TECNOLOGIA DIGITAL E REPRES</v>
      </c>
      <c r="E4748" s="21">
        <f>IFERROR(__xludf.DUMMYFUNCTION("""COMPUTED_VALUE"""),145359.0)</f>
        <v>145359</v>
      </c>
      <c r="F4748" s="21" t="str">
        <f>IFERROR(__xludf.DUMMYFUNCTION("""COMPUTED_VALUE"""),"INICIALIZADO")</f>
        <v>INICIALIZADO</v>
      </c>
      <c r="G4748" s="23">
        <f>IFERROR(__xludf.DUMMYFUNCTION("""COMPUTED_VALUE"""),45600.47597222222)</f>
        <v>45600.47597</v>
      </c>
      <c r="H4748" s="24" t="str">
        <f>IFERROR(VLOOKUP(B4748,material!A:D,3,0),"")</f>
        <v>3.1</v>
      </c>
    </row>
    <row r="4749" ht="11.25" customHeight="1">
      <c r="A4749" s="21" t="str">
        <f>IFERROR(__xludf.DUMMYFUNCTION("""COMPUTED_VALUE"""),"MODEM VOIPEMTA WIFI 3.1 CGA4233CLB")</f>
        <v>MODEM VOIPEMTA WIFI 3.1 CGA4233CLB</v>
      </c>
      <c r="B4749" s="22">
        <f>IFERROR(__xludf.DUMMYFUNCTION("""COMPUTED_VALUE"""),4.1001482E7)</f>
        <v>41001482</v>
      </c>
      <c r="C4749" s="21" t="str">
        <f>IFERROR(__xludf.DUMMYFUNCTION("""COMPUTED_VALUE"""),"484BD4783E9C")</f>
        <v>484BD4783E9C</v>
      </c>
      <c r="D4749" s="21" t="str">
        <f>IFERROR(__xludf.DUMMYFUNCTION("""COMPUTED_VALUE"""),"DIGITEC TECNOLOGIA DIGITAL E REPRES")</f>
        <v>DIGITEC TECNOLOGIA DIGITAL E REPRES</v>
      </c>
      <c r="E4749" s="21">
        <f>IFERROR(__xludf.DUMMYFUNCTION("""COMPUTED_VALUE"""),145359.0)</f>
        <v>145359</v>
      </c>
      <c r="F4749" s="21" t="str">
        <f>IFERROR(__xludf.DUMMYFUNCTION("""COMPUTED_VALUE"""),"INICIALIZADO")</f>
        <v>INICIALIZADO</v>
      </c>
      <c r="G4749" s="23">
        <f>IFERROR(__xludf.DUMMYFUNCTION("""COMPUTED_VALUE"""),45404.38715277778)</f>
        <v>45404.38715</v>
      </c>
      <c r="H4749" s="24" t="str">
        <f>IFERROR(VLOOKUP(B4749,material!A:D,3,0),"")</f>
        <v>3.1</v>
      </c>
    </row>
    <row r="4750" ht="11.25" customHeight="1">
      <c r="A4750" s="21" t="str">
        <f>IFERROR(__xludf.DUMMYFUNCTION("""COMPUTED_VALUE"""),"MODEM VOIP EMTA WIFI 3.1 CG3000")</f>
        <v>MODEM VOIP EMTA WIFI 3.1 CG3000</v>
      </c>
      <c r="B4750" s="22">
        <f>IFERROR(__xludf.DUMMYFUNCTION("""COMPUTED_VALUE"""),4.1001486E7)</f>
        <v>41001486</v>
      </c>
      <c r="C4750" s="21" t="str">
        <f>IFERROR(__xludf.DUMMYFUNCTION("""COMPUTED_VALUE"""),"9877E7B9F8A8")</f>
        <v>9877E7B9F8A8</v>
      </c>
      <c r="D4750" s="21" t="str">
        <f>IFERROR(__xludf.DUMMYFUNCTION("""COMPUTED_VALUE"""),"DIGITEC TECNOLOGIA DIGITAL E REPRES")</f>
        <v>DIGITEC TECNOLOGIA DIGITAL E REPRES</v>
      </c>
      <c r="E4750" s="21">
        <f>IFERROR(__xludf.DUMMYFUNCTION("""COMPUTED_VALUE"""),145359.0)</f>
        <v>145359</v>
      </c>
      <c r="F4750" s="21" t="str">
        <f>IFERROR(__xludf.DUMMYFUNCTION("""COMPUTED_VALUE"""),"INICIALIZADO")</f>
        <v>INICIALIZADO</v>
      </c>
      <c r="G4750" s="23">
        <f>IFERROR(__xludf.DUMMYFUNCTION("""COMPUTED_VALUE"""),45635.53497685185)</f>
        <v>45635.53498</v>
      </c>
      <c r="H4750" s="24" t="str">
        <f>IFERROR(VLOOKUP(B4750,material!A:D,3,0),"")</f>
        <v>3.1</v>
      </c>
    </row>
    <row r="4751" ht="11.25" customHeight="1">
      <c r="A4751" s="21" t="str">
        <f>IFERROR(__xludf.DUMMYFUNCTION("""COMPUTED_VALUE"""),"MODEM VOIP EMTA WIFI 3.1 CG3000")</f>
        <v>MODEM VOIP EMTA WIFI 3.1 CG3000</v>
      </c>
      <c r="B4751" s="22">
        <f>IFERROR(__xludf.DUMMYFUNCTION("""COMPUTED_VALUE"""),4.1001486E7)</f>
        <v>41001486</v>
      </c>
      <c r="C4751" s="21" t="str">
        <f>IFERROR(__xludf.DUMMYFUNCTION("""COMPUTED_VALUE"""),"9877E7BB63D6")</f>
        <v>9877E7BB63D6</v>
      </c>
      <c r="D4751" s="21" t="str">
        <f>IFERROR(__xludf.DUMMYFUNCTION("""COMPUTED_VALUE"""),"DIGITEC TECNOLOGIA DIGITAL E REPRES")</f>
        <v>DIGITEC TECNOLOGIA DIGITAL E REPRES</v>
      </c>
      <c r="E4751" s="21">
        <f>IFERROR(__xludf.DUMMYFUNCTION("""COMPUTED_VALUE"""),145359.0)</f>
        <v>145359</v>
      </c>
      <c r="F4751" s="21" t="str">
        <f>IFERROR(__xludf.DUMMYFUNCTION("""COMPUTED_VALUE"""),"INICIALIZADO")</f>
        <v>INICIALIZADO</v>
      </c>
      <c r="G4751" s="23">
        <f>IFERROR(__xludf.DUMMYFUNCTION("""COMPUTED_VALUE"""),45582.500439814816)</f>
        <v>45582.50044</v>
      </c>
      <c r="H4751" s="24" t="str">
        <f>IFERROR(VLOOKUP(B4751,material!A:D,3,0),"")</f>
        <v>3.1</v>
      </c>
    </row>
    <row r="4752" ht="11.25" customHeight="1">
      <c r="A4752" s="21" t="str">
        <f>IFERROR(__xludf.DUMMYFUNCTION("""COMPUTED_VALUE"""),"MODEM VOIP EMTA WIFI 3.1 CG3000")</f>
        <v>MODEM VOIP EMTA WIFI 3.1 CG3000</v>
      </c>
      <c r="B4752" s="22">
        <f>IFERROR(__xludf.DUMMYFUNCTION("""COMPUTED_VALUE"""),4.1001486E7)</f>
        <v>41001486</v>
      </c>
      <c r="C4752" s="21" t="str">
        <f>IFERROR(__xludf.DUMMYFUNCTION("""COMPUTED_VALUE"""),"9877E7BBF723")</f>
        <v>9877E7BBF723</v>
      </c>
      <c r="D4752" s="21" t="str">
        <f>IFERROR(__xludf.DUMMYFUNCTION("""COMPUTED_VALUE"""),"DIGITEC TECNOLOGIA DIGITAL E REPRES")</f>
        <v>DIGITEC TECNOLOGIA DIGITAL E REPRES</v>
      </c>
      <c r="E4752" s="21">
        <f>IFERROR(__xludf.DUMMYFUNCTION("""COMPUTED_VALUE"""),145359.0)</f>
        <v>145359</v>
      </c>
      <c r="F4752" s="21" t="str">
        <f>IFERROR(__xludf.DUMMYFUNCTION("""COMPUTED_VALUE"""),"INICIALIZADO")</f>
        <v>INICIALIZADO</v>
      </c>
      <c r="G4752" s="23">
        <f>IFERROR(__xludf.DUMMYFUNCTION("""COMPUTED_VALUE"""),45582.500439814816)</f>
        <v>45582.50044</v>
      </c>
      <c r="H4752" s="24" t="str">
        <f>IFERROR(VLOOKUP(B4752,material!A:D,3,0),"")</f>
        <v>3.1</v>
      </c>
    </row>
    <row r="4753" ht="11.25" customHeight="1">
      <c r="A4753" s="21" t="str">
        <f>IFERROR(__xludf.DUMMYFUNCTION("""COMPUTED_VALUE"""),"MODEM VOIP EMTA WIFI 3.1 CG3000")</f>
        <v>MODEM VOIP EMTA WIFI 3.1 CG3000</v>
      </c>
      <c r="B4753" s="22">
        <f>IFERROR(__xludf.DUMMYFUNCTION("""COMPUTED_VALUE"""),4.1001486E7)</f>
        <v>41001486</v>
      </c>
      <c r="C4753" s="21" t="str">
        <f>IFERROR(__xludf.DUMMYFUNCTION("""COMPUTED_VALUE"""),"9877E7B97DF0")</f>
        <v>9877E7B97DF0</v>
      </c>
      <c r="D4753" s="21" t="str">
        <f>IFERROR(__xludf.DUMMYFUNCTION("""COMPUTED_VALUE"""),"DIGITEC TECNOLOGIA DIGITAL E REPRES")</f>
        <v>DIGITEC TECNOLOGIA DIGITAL E REPRES</v>
      </c>
      <c r="E4753" s="21">
        <f>IFERROR(__xludf.DUMMYFUNCTION("""COMPUTED_VALUE"""),145359.0)</f>
        <v>145359</v>
      </c>
      <c r="F4753" s="21" t="str">
        <f>IFERROR(__xludf.DUMMYFUNCTION("""COMPUTED_VALUE"""),"INICIALIZADO")</f>
        <v>INICIALIZADO</v>
      </c>
      <c r="G4753" s="23">
        <f>IFERROR(__xludf.DUMMYFUNCTION("""COMPUTED_VALUE"""),45635.53497685185)</f>
        <v>45635.53498</v>
      </c>
      <c r="H4753" s="24" t="str">
        <f>IFERROR(VLOOKUP(B4753,material!A:D,3,0),"")</f>
        <v>3.1</v>
      </c>
    </row>
    <row r="4754" ht="11.25" customHeight="1">
      <c r="A4754" s="21" t="str">
        <f>IFERROR(__xludf.DUMMYFUNCTION("""COMPUTED_VALUE"""),"MODEM VOIP EMTA WIFI 3.1 CG3000")</f>
        <v>MODEM VOIP EMTA WIFI 3.1 CG3000</v>
      </c>
      <c r="B4754" s="22">
        <f>IFERROR(__xludf.DUMMYFUNCTION("""COMPUTED_VALUE"""),4.1001486E7)</f>
        <v>41001486</v>
      </c>
      <c r="C4754" s="21" t="str">
        <f>IFERROR(__xludf.DUMMYFUNCTION("""COMPUTED_VALUE"""),"9877E7BFF714")</f>
        <v>9877E7BFF714</v>
      </c>
      <c r="D4754" s="21" t="str">
        <f>IFERROR(__xludf.DUMMYFUNCTION("""COMPUTED_VALUE"""),"DIGITEC TECNOLOGIA DIGITAL E REPRES")</f>
        <v>DIGITEC TECNOLOGIA DIGITAL E REPRES</v>
      </c>
      <c r="E4754" s="21">
        <f>IFERROR(__xludf.DUMMYFUNCTION("""COMPUTED_VALUE"""),145359.0)</f>
        <v>145359</v>
      </c>
      <c r="F4754" s="21" t="str">
        <f>IFERROR(__xludf.DUMMYFUNCTION("""COMPUTED_VALUE"""),"INICIALIZADO")</f>
        <v>INICIALIZADO</v>
      </c>
      <c r="G4754" s="23">
        <f>IFERROR(__xludf.DUMMYFUNCTION("""COMPUTED_VALUE"""),45635.53497685185)</f>
        <v>45635.53498</v>
      </c>
      <c r="H4754" s="24" t="str">
        <f>IFERROR(VLOOKUP(B4754,material!A:D,3,0),"")</f>
        <v>3.1</v>
      </c>
    </row>
    <row r="4755" ht="11.25" customHeight="1">
      <c r="A4755" s="21" t="str">
        <f>IFERROR(__xludf.DUMMYFUNCTION("""COMPUTED_VALUE"""),"MODEM VOIP EMTA WIFI 3.1 CG3000")</f>
        <v>MODEM VOIP EMTA WIFI 3.1 CG3000</v>
      </c>
      <c r="B4755" s="22">
        <f>IFERROR(__xludf.DUMMYFUNCTION("""COMPUTED_VALUE"""),4.1001486E7)</f>
        <v>41001486</v>
      </c>
      <c r="C4755" s="21" t="str">
        <f>IFERROR(__xludf.DUMMYFUNCTION("""COMPUTED_VALUE"""),"8401122AE503")</f>
        <v>8401122AE503</v>
      </c>
      <c r="D4755" s="21" t="str">
        <f>IFERROR(__xludf.DUMMYFUNCTION("""COMPUTED_VALUE"""),"DIGITEC TECNOLOGIA DIGITAL E REPRES")</f>
        <v>DIGITEC TECNOLOGIA DIGITAL E REPRES</v>
      </c>
      <c r="E4755" s="21">
        <f>IFERROR(__xludf.DUMMYFUNCTION("""COMPUTED_VALUE"""),145359.0)</f>
        <v>145359</v>
      </c>
      <c r="F4755" s="21" t="str">
        <f>IFERROR(__xludf.DUMMYFUNCTION("""COMPUTED_VALUE"""),"INICIALIZADO")</f>
        <v>INICIALIZADO</v>
      </c>
      <c r="G4755" s="23">
        <f>IFERROR(__xludf.DUMMYFUNCTION("""COMPUTED_VALUE"""),45635.53498842593)</f>
        <v>45635.53499</v>
      </c>
      <c r="H4755" s="24" t="str">
        <f>IFERROR(VLOOKUP(B4755,material!A:D,3,0),"")</f>
        <v>3.1</v>
      </c>
    </row>
    <row r="4756" ht="11.25" customHeight="1">
      <c r="A4756" s="21" t="str">
        <f>IFERROR(__xludf.DUMMYFUNCTION("""COMPUTED_VALUE"""),"MODEM VOIP EMTA WIFI 3.1 CG3000")</f>
        <v>MODEM VOIP EMTA WIFI 3.1 CG3000</v>
      </c>
      <c r="B4756" s="22">
        <f>IFERROR(__xludf.DUMMYFUNCTION("""COMPUTED_VALUE"""),4.1001486E7)</f>
        <v>41001486</v>
      </c>
      <c r="C4756" s="21" t="str">
        <f>IFERROR(__xludf.DUMMYFUNCTION("""COMPUTED_VALUE"""),"84011204B06A")</f>
        <v>84011204B06A</v>
      </c>
      <c r="D4756" s="21" t="str">
        <f>IFERROR(__xludf.DUMMYFUNCTION("""COMPUTED_VALUE"""),"DIGITEC TECNOLOGIA DIGITAL E REPRES")</f>
        <v>DIGITEC TECNOLOGIA DIGITAL E REPRES</v>
      </c>
      <c r="E4756" s="21">
        <f>IFERROR(__xludf.DUMMYFUNCTION("""COMPUTED_VALUE"""),145359.0)</f>
        <v>145359</v>
      </c>
      <c r="F4756" s="21" t="str">
        <f>IFERROR(__xludf.DUMMYFUNCTION("""COMPUTED_VALUE"""),"INICIALIZADO")</f>
        <v>INICIALIZADO</v>
      </c>
      <c r="G4756" s="23">
        <f>IFERROR(__xludf.DUMMYFUNCTION("""COMPUTED_VALUE"""),45635.53498842593)</f>
        <v>45635.53499</v>
      </c>
      <c r="H4756" s="24" t="str">
        <f>IFERROR(VLOOKUP(B4756,material!A:D,3,0),"")</f>
        <v>3.1</v>
      </c>
    </row>
    <row r="4757" ht="11.25" customHeight="1">
      <c r="A4757" s="21" t="str">
        <f>IFERROR(__xludf.DUMMYFUNCTION("""COMPUTED_VALUE"""),"MODEM VOIP EMTA WIFI 3.1 CG3000")</f>
        <v>MODEM VOIP EMTA WIFI 3.1 CG3000</v>
      </c>
      <c r="B4757" s="22">
        <f>IFERROR(__xludf.DUMMYFUNCTION("""COMPUTED_VALUE"""),4.1001486E7)</f>
        <v>41001486</v>
      </c>
      <c r="C4757" s="21" t="str">
        <f>IFERROR(__xludf.DUMMYFUNCTION("""COMPUTED_VALUE"""),"84011204EF5C")</f>
        <v>84011204EF5C</v>
      </c>
      <c r="D4757" s="21" t="str">
        <f>IFERROR(__xludf.DUMMYFUNCTION("""COMPUTED_VALUE"""),"DIGITEC TECNOLOGIA DIGITAL E REPRES")</f>
        <v>DIGITEC TECNOLOGIA DIGITAL E REPRES</v>
      </c>
      <c r="E4757" s="21">
        <f>IFERROR(__xludf.DUMMYFUNCTION("""COMPUTED_VALUE"""),145359.0)</f>
        <v>145359</v>
      </c>
      <c r="F4757" s="21" t="str">
        <f>IFERROR(__xludf.DUMMYFUNCTION("""COMPUTED_VALUE"""),"INICIALIZADO")</f>
        <v>INICIALIZADO</v>
      </c>
      <c r="G4757" s="23">
        <f>IFERROR(__xludf.DUMMYFUNCTION("""COMPUTED_VALUE"""),45635.53498842593)</f>
        <v>45635.53499</v>
      </c>
      <c r="H4757" s="24" t="str">
        <f>IFERROR(VLOOKUP(B4757,material!A:D,3,0),"")</f>
        <v>3.1</v>
      </c>
    </row>
    <row r="4758" ht="11.25" customHeight="1">
      <c r="A4758" s="21" t="str">
        <f>IFERROR(__xludf.DUMMYFUNCTION("""COMPUTED_VALUE"""),"MODEM VOIP EMTA WIFI 3.1 CG3000")</f>
        <v>MODEM VOIP EMTA WIFI 3.1 CG3000</v>
      </c>
      <c r="B4758" s="22">
        <f>IFERROR(__xludf.DUMMYFUNCTION("""COMPUTED_VALUE"""),4.1001486E7)</f>
        <v>41001486</v>
      </c>
      <c r="C4758" s="21" t="str">
        <f>IFERROR(__xludf.DUMMYFUNCTION("""COMPUTED_VALUE"""),"840112077B6D")</f>
        <v>840112077B6D</v>
      </c>
      <c r="D4758" s="21" t="str">
        <f>IFERROR(__xludf.DUMMYFUNCTION("""COMPUTED_VALUE"""),"DIGITEC TECNOLOGIA DIGITAL E REPRES")</f>
        <v>DIGITEC TECNOLOGIA DIGITAL E REPRES</v>
      </c>
      <c r="E4758" s="21">
        <f>IFERROR(__xludf.DUMMYFUNCTION("""COMPUTED_VALUE"""),145359.0)</f>
        <v>145359</v>
      </c>
      <c r="F4758" s="21" t="str">
        <f>IFERROR(__xludf.DUMMYFUNCTION("""COMPUTED_VALUE"""),"INICIALIZADO")</f>
        <v>INICIALIZADO</v>
      </c>
      <c r="G4758" s="23">
        <f>IFERROR(__xludf.DUMMYFUNCTION("""COMPUTED_VALUE"""),45635.53498842593)</f>
        <v>45635.53499</v>
      </c>
      <c r="H4758" s="24" t="str">
        <f>IFERROR(VLOOKUP(B4758,material!A:D,3,0),"")</f>
        <v>3.1</v>
      </c>
    </row>
    <row r="4759" ht="11.25" customHeight="1">
      <c r="A4759" s="21" t="str">
        <f>IFERROR(__xludf.DUMMYFUNCTION("""COMPUTED_VALUE"""),"MODEM VOIP EMTA WIFI 3.1 CG3000")</f>
        <v>MODEM VOIP EMTA WIFI 3.1 CG3000</v>
      </c>
      <c r="B4759" s="22">
        <f>IFERROR(__xludf.DUMMYFUNCTION("""COMPUTED_VALUE"""),4.1001486E7)</f>
        <v>41001486</v>
      </c>
      <c r="C4759" s="21" t="str">
        <f>IFERROR(__xludf.DUMMYFUNCTION("""COMPUTED_VALUE"""),"840112075A8F")</f>
        <v>840112075A8F</v>
      </c>
      <c r="D4759" s="21" t="str">
        <f>IFERROR(__xludf.DUMMYFUNCTION("""COMPUTED_VALUE"""),"DIGITEC TECNOLOGIA DIGITAL E REPRES")</f>
        <v>DIGITEC TECNOLOGIA DIGITAL E REPRES</v>
      </c>
      <c r="E4759" s="21">
        <f>IFERROR(__xludf.DUMMYFUNCTION("""COMPUTED_VALUE"""),145359.0)</f>
        <v>145359</v>
      </c>
      <c r="F4759" s="21" t="str">
        <f>IFERROR(__xludf.DUMMYFUNCTION("""COMPUTED_VALUE"""),"INICIALIZADO")</f>
        <v>INICIALIZADO</v>
      </c>
      <c r="G4759" s="23">
        <f>IFERROR(__xludf.DUMMYFUNCTION("""COMPUTED_VALUE"""),45635.53498842593)</f>
        <v>45635.53499</v>
      </c>
      <c r="H4759" s="24" t="str">
        <f>IFERROR(VLOOKUP(B4759,material!A:D,3,0),"")</f>
        <v>3.1</v>
      </c>
    </row>
    <row r="4760" ht="11.25" customHeight="1">
      <c r="A4760" s="21" t="str">
        <f>IFERROR(__xludf.DUMMYFUNCTION("""COMPUTED_VALUE"""),"MODEM VOIP EMTA WIFI 3.1 CG3000")</f>
        <v>MODEM VOIP EMTA WIFI 3.1 CG3000</v>
      </c>
      <c r="B4760" s="22">
        <f>IFERROR(__xludf.DUMMYFUNCTION("""COMPUTED_VALUE"""),4.1001486E7)</f>
        <v>41001486</v>
      </c>
      <c r="C4760" s="21" t="str">
        <f>IFERROR(__xludf.DUMMYFUNCTION("""COMPUTED_VALUE"""),"9877E7BE1548")</f>
        <v>9877E7BE1548</v>
      </c>
      <c r="D4760" s="21" t="str">
        <f>IFERROR(__xludf.DUMMYFUNCTION("""COMPUTED_VALUE"""),"DIGITEC TECNOLOGIA DIGITAL E REPRES")</f>
        <v>DIGITEC TECNOLOGIA DIGITAL E REPRES</v>
      </c>
      <c r="E4760" s="21">
        <f>IFERROR(__xludf.DUMMYFUNCTION("""COMPUTED_VALUE"""),145359.0)</f>
        <v>145359</v>
      </c>
      <c r="F4760" s="21" t="str">
        <f>IFERROR(__xludf.DUMMYFUNCTION("""COMPUTED_VALUE"""),"INICIALIZADO")</f>
        <v>INICIALIZADO</v>
      </c>
      <c r="G4760" s="23">
        <f>IFERROR(__xludf.DUMMYFUNCTION("""COMPUTED_VALUE"""),45635.53497685185)</f>
        <v>45635.53498</v>
      </c>
      <c r="H4760" s="24" t="str">
        <f>IFERROR(VLOOKUP(B4760,material!A:D,3,0),"")</f>
        <v>3.1</v>
      </c>
    </row>
    <row r="4761" ht="11.25" customHeight="1">
      <c r="A4761" s="21" t="str">
        <f>IFERROR(__xludf.DUMMYFUNCTION("""COMPUTED_VALUE"""),"MODEM VOIP EMTA WIFI 3.1 CG3000")</f>
        <v>MODEM VOIP EMTA WIFI 3.1 CG3000</v>
      </c>
      <c r="B4761" s="22">
        <f>IFERROR(__xludf.DUMMYFUNCTION("""COMPUTED_VALUE"""),4.1001486E7)</f>
        <v>41001486</v>
      </c>
      <c r="C4761" s="21" t="str">
        <f>IFERROR(__xludf.DUMMYFUNCTION("""COMPUTED_VALUE"""),"9877E7BFCBFC")</f>
        <v>9877E7BFCBFC</v>
      </c>
      <c r="D4761" s="21" t="str">
        <f>IFERROR(__xludf.DUMMYFUNCTION("""COMPUTED_VALUE"""),"DIGITEC TECNOLOGIA DIGITAL E REPRES")</f>
        <v>DIGITEC TECNOLOGIA DIGITAL E REPRES</v>
      </c>
      <c r="E4761" s="21">
        <f>IFERROR(__xludf.DUMMYFUNCTION("""COMPUTED_VALUE"""),145359.0)</f>
        <v>145359</v>
      </c>
      <c r="F4761" s="21" t="str">
        <f>IFERROR(__xludf.DUMMYFUNCTION("""COMPUTED_VALUE"""),"INICIALIZADO")</f>
        <v>INICIALIZADO</v>
      </c>
      <c r="G4761" s="23">
        <f>IFERROR(__xludf.DUMMYFUNCTION("""COMPUTED_VALUE"""),45635.53497685185)</f>
        <v>45635.53498</v>
      </c>
      <c r="H4761" s="24" t="str">
        <f>IFERROR(VLOOKUP(B4761,material!A:D,3,0),"")</f>
        <v>3.1</v>
      </c>
    </row>
    <row r="4762" ht="11.25" customHeight="1">
      <c r="A4762" s="21" t="str">
        <f>IFERROR(__xludf.DUMMYFUNCTION("""COMPUTED_VALUE"""),"MODEM VOIP EMTA WIFI 3.1 CG3000")</f>
        <v>MODEM VOIP EMTA WIFI 3.1 CG3000</v>
      </c>
      <c r="B4762" s="22">
        <f>IFERROR(__xludf.DUMMYFUNCTION("""COMPUTED_VALUE"""),4.1001486E7)</f>
        <v>41001486</v>
      </c>
      <c r="C4762" s="21" t="str">
        <f>IFERROR(__xludf.DUMMYFUNCTION("""COMPUTED_VALUE"""),"84011204D880")</f>
        <v>84011204D880</v>
      </c>
      <c r="D4762" s="21" t="str">
        <f>IFERROR(__xludf.DUMMYFUNCTION("""COMPUTED_VALUE"""),"DIGITEC TECNOLOGIA DIGITAL E REPRES")</f>
        <v>DIGITEC TECNOLOGIA DIGITAL E REPRES</v>
      </c>
      <c r="E4762" s="21">
        <f>IFERROR(__xludf.DUMMYFUNCTION("""COMPUTED_VALUE"""),145359.0)</f>
        <v>145359</v>
      </c>
      <c r="F4762" s="21" t="str">
        <f>IFERROR(__xludf.DUMMYFUNCTION("""COMPUTED_VALUE"""),"INICIALIZADO")</f>
        <v>INICIALIZADO</v>
      </c>
      <c r="G4762" s="23">
        <f>IFERROR(__xludf.DUMMYFUNCTION("""COMPUTED_VALUE"""),45565.38377314815)</f>
        <v>45565.38377</v>
      </c>
      <c r="H4762" s="24" t="str">
        <f>IFERROR(VLOOKUP(B4762,material!A:D,3,0),"")</f>
        <v>3.1</v>
      </c>
    </row>
    <row r="4763" ht="11.25" customHeight="1">
      <c r="A4763" s="21" t="str">
        <f>IFERROR(__xludf.DUMMYFUNCTION("""COMPUTED_VALUE"""),"MODEM VOIP EMTA WIFI 3.1 CG3000")</f>
        <v>MODEM VOIP EMTA WIFI 3.1 CG3000</v>
      </c>
      <c r="B4763" s="22">
        <f>IFERROR(__xludf.DUMMYFUNCTION("""COMPUTED_VALUE"""),4.1001486E7)</f>
        <v>41001486</v>
      </c>
      <c r="C4763" s="21" t="str">
        <f>IFERROR(__xludf.DUMMYFUNCTION("""COMPUTED_VALUE"""),"8401122AF492")</f>
        <v>8401122AF492</v>
      </c>
      <c r="D4763" s="21" t="str">
        <f>IFERROR(__xludf.DUMMYFUNCTION("""COMPUTED_VALUE"""),"DIGITEC TECNOLOGIA DIGITAL E REPRES")</f>
        <v>DIGITEC TECNOLOGIA DIGITAL E REPRES</v>
      </c>
      <c r="E4763" s="21">
        <f>IFERROR(__xludf.DUMMYFUNCTION("""COMPUTED_VALUE"""),145359.0)</f>
        <v>145359</v>
      </c>
      <c r="F4763" s="21" t="str">
        <f>IFERROR(__xludf.DUMMYFUNCTION("""COMPUTED_VALUE"""),"INICIALIZADO")</f>
        <v>INICIALIZADO</v>
      </c>
      <c r="G4763" s="23">
        <f>IFERROR(__xludf.DUMMYFUNCTION("""COMPUTED_VALUE"""),45635.53498842593)</f>
        <v>45635.53499</v>
      </c>
      <c r="H4763" s="24" t="str">
        <f>IFERROR(VLOOKUP(B4763,material!A:D,3,0),"")</f>
        <v>3.1</v>
      </c>
    </row>
    <row r="4764" ht="11.25" customHeight="1">
      <c r="A4764" s="21" t="str">
        <f>IFERROR(__xludf.DUMMYFUNCTION("""COMPUTED_VALUE"""),"MODEM VOIP EMTA WIFI 3.1 CG3000")</f>
        <v>MODEM VOIP EMTA WIFI 3.1 CG3000</v>
      </c>
      <c r="B4764" s="22">
        <f>IFERROR(__xludf.DUMMYFUNCTION("""COMPUTED_VALUE"""),4.1001486E7)</f>
        <v>41001486</v>
      </c>
      <c r="C4764" s="21" t="str">
        <f>IFERROR(__xludf.DUMMYFUNCTION("""COMPUTED_VALUE"""),"84011205DFE7")</f>
        <v>84011205DFE7</v>
      </c>
      <c r="D4764" s="21" t="str">
        <f>IFERROR(__xludf.DUMMYFUNCTION("""COMPUTED_VALUE"""),"DIGITEC TECNOLOGIA DIGITAL E REPRES")</f>
        <v>DIGITEC TECNOLOGIA DIGITAL E REPRES</v>
      </c>
      <c r="E4764" s="21">
        <f>IFERROR(__xludf.DUMMYFUNCTION("""COMPUTED_VALUE"""),145359.0)</f>
        <v>145359</v>
      </c>
      <c r="F4764" s="21" t="str">
        <f>IFERROR(__xludf.DUMMYFUNCTION("""COMPUTED_VALUE"""),"INICIALIZADO")</f>
        <v>INICIALIZADO</v>
      </c>
      <c r="G4764" s="23">
        <f>IFERROR(__xludf.DUMMYFUNCTION("""COMPUTED_VALUE"""),45635.53498842593)</f>
        <v>45635.53499</v>
      </c>
      <c r="H4764" s="24" t="str">
        <f>IFERROR(VLOOKUP(B4764,material!A:D,3,0),"")</f>
        <v>3.1</v>
      </c>
    </row>
    <row r="4765" ht="11.25" customHeight="1">
      <c r="A4765" s="21" t="str">
        <f>IFERROR(__xludf.DUMMYFUNCTION("""COMPUTED_VALUE"""),"MODEM VOIP EMTA WIFI 3.1 CG3000")</f>
        <v>MODEM VOIP EMTA WIFI 3.1 CG3000</v>
      </c>
      <c r="B4765" s="22">
        <f>IFERROR(__xludf.DUMMYFUNCTION("""COMPUTED_VALUE"""),4.1001486E7)</f>
        <v>41001486</v>
      </c>
      <c r="C4765" s="21" t="str">
        <f>IFERROR(__xludf.DUMMYFUNCTION("""COMPUTED_VALUE"""),"840112808609")</f>
        <v>840112808609</v>
      </c>
      <c r="D4765" s="21" t="str">
        <f>IFERROR(__xludf.DUMMYFUNCTION("""COMPUTED_VALUE"""),"DIGITEC TECNOLOGIA DIGITAL E REPRES")</f>
        <v>DIGITEC TECNOLOGIA DIGITAL E REPRES</v>
      </c>
      <c r="E4765" s="21">
        <f>IFERROR(__xludf.DUMMYFUNCTION("""COMPUTED_VALUE"""),145359.0)</f>
        <v>145359</v>
      </c>
      <c r="F4765" s="21" t="str">
        <f>IFERROR(__xludf.DUMMYFUNCTION("""COMPUTED_VALUE"""),"INICIALIZADO")</f>
        <v>INICIALIZADO</v>
      </c>
      <c r="G4765" s="23">
        <f>IFERROR(__xludf.DUMMYFUNCTION("""COMPUTED_VALUE"""),45638.68790509259)</f>
        <v>45638.68791</v>
      </c>
      <c r="H4765" s="24" t="str">
        <f>IFERROR(VLOOKUP(B4765,material!A:D,3,0),"")</f>
        <v>3.1</v>
      </c>
    </row>
    <row r="4766" ht="11.25" customHeight="1">
      <c r="A4766" s="21" t="str">
        <f>IFERROR(__xludf.DUMMYFUNCTION("""COMPUTED_VALUE"""),"MODEM VOIP EMTA WIFI 3.1 CG3000")</f>
        <v>MODEM VOIP EMTA WIFI 3.1 CG3000</v>
      </c>
      <c r="B4766" s="22">
        <f>IFERROR(__xludf.DUMMYFUNCTION("""COMPUTED_VALUE"""),4.1001486E7)</f>
        <v>41001486</v>
      </c>
      <c r="C4766" s="21" t="str">
        <f>IFERROR(__xludf.DUMMYFUNCTION("""COMPUTED_VALUE"""),"840112608D90")</f>
        <v>840112608D90</v>
      </c>
      <c r="D4766" s="21" t="str">
        <f>IFERROR(__xludf.DUMMYFUNCTION("""COMPUTED_VALUE"""),"DIGITEC TECNOLOGIA DIGITAL E REPRES")</f>
        <v>DIGITEC TECNOLOGIA DIGITAL E REPRES</v>
      </c>
      <c r="E4766" s="21">
        <f>IFERROR(__xludf.DUMMYFUNCTION("""COMPUTED_VALUE"""),145359.0)</f>
        <v>145359</v>
      </c>
      <c r="F4766" s="21" t="str">
        <f>IFERROR(__xludf.DUMMYFUNCTION("""COMPUTED_VALUE"""),"INICIALIZADO")</f>
        <v>INICIALIZADO</v>
      </c>
      <c r="G4766" s="23">
        <f>IFERROR(__xludf.DUMMYFUNCTION("""COMPUTED_VALUE"""),45635.53498842593)</f>
        <v>45635.53499</v>
      </c>
      <c r="H4766" s="24" t="str">
        <f>IFERROR(VLOOKUP(B4766,material!A:D,3,0),"")</f>
        <v>3.1</v>
      </c>
    </row>
    <row r="4767" ht="11.25" customHeight="1">
      <c r="A4767" s="21" t="str">
        <f>IFERROR(__xludf.DUMMYFUNCTION("""COMPUTED_VALUE"""),"MODEM VOIP EMTA WIFI 3.1 CG3000")</f>
        <v>MODEM VOIP EMTA WIFI 3.1 CG3000</v>
      </c>
      <c r="B4767" s="22">
        <f>IFERROR(__xludf.DUMMYFUNCTION("""COMPUTED_VALUE"""),4.1001486E7)</f>
        <v>41001486</v>
      </c>
      <c r="C4767" s="21" t="str">
        <f>IFERROR(__xludf.DUMMYFUNCTION("""COMPUTED_VALUE"""),"8401123930A9")</f>
        <v>8401123930A9</v>
      </c>
      <c r="D4767" s="21" t="str">
        <f>IFERROR(__xludf.DUMMYFUNCTION("""COMPUTED_VALUE"""),"DIGITEC TECNOLOGIA DIGITAL E REPRES")</f>
        <v>DIGITEC TECNOLOGIA DIGITAL E REPRES</v>
      </c>
      <c r="E4767" s="21">
        <f>IFERROR(__xludf.DUMMYFUNCTION("""COMPUTED_VALUE"""),145359.0)</f>
        <v>145359</v>
      </c>
      <c r="F4767" s="21" t="str">
        <f>IFERROR(__xludf.DUMMYFUNCTION("""COMPUTED_VALUE"""),"INICIALIZADO")</f>
        <v>INICIALIZADO</v>
      </c>
      <c r="G4767" s="23">
        <f>IFERROR(__xludf.DUMMYFUNCTION("""COMPUTED_VALUE"""),45635.53498842593)</f>
        <v>45635.53499</v>
      </c>
      <c r="H4767" s="24" t="str">
        <f>IFERROR(VLOOKUP(B4767,material!A:D,3,0),"")</f>
        <v>3.1</v>
      </c>
    </row>
    <row r="4768" ht="11.25" customHeight="1">
      <c r="A4768" s="21" t="str">
        <f>IFERROR(__xludf.DUMMYFUNCTION("""COMPUTED_VALUE"""),"MODEM VOIP EMTA WIFI 3.1 CG3000")</f>
        <v>MODEM VOIP EMTA WIFI 3.1 CG3000</v>
      </c>
      <c r="B4768" s="22">
        <f>IFERROR(__xludf.DUMMYFUNCTION("""COMPUTED_VALUE"""),4.1001486E7)</f>
        <v>41001486</v>
      </c>
      <c r="C4768" s="21" t="str">
        <f>IFERROR(__xludf.DUMMYFUNCTION("""COMPUTED_VALUE"""),"84011205F33C")</f>
        <v>84011205F33C</v>
      </c>
      <c r="D4768" s="21" t="str">
        <f>IFERROR(__xludf.DUMMYFUNCTION("""COMPUTED_VALUE"""),"DIGITEC TECNOLOGIA DIGITAL E REPRES")</f>
        <v>DIGITEC TECNOLOGIA DIGITAL E REPRES</v>
      </c>
      <c r="E4768" s="21">
        <f>IFERROR(__xludf.DUMMYFUNCTION("""COMPUTED_VALUE"""),145359.0)</f>
        <v>145359</v>
      </c>
      <c r="F4768" s="21" t="str">
        <f>IFERROR(__xludf.DUMMYFUNCTION("""COMPUTED_VALUE"""),"INICIALIZADO")</f>
        <v>INICIALIZADO</v>
      </c>
      <c r="G4768" s="23">
        <f>IFERROR(__xludf.DUMMYFUNCTION("""COMPUTED_VALUE"""),45635.53498842593)</f>
        <v>45635.53499</v>
      </c>
      <c r="H4768" s="24" t="str">
        <f>IFERROR(VLOOKUP(B4768,material!A:D,3,0),"")</f>
        <v>3.1</v>
      </c>
    </row>
    <row r="4769" ht="11.25" customHeight="1">
      <c r="A4769" s="21" t="str">
        <f>IFERROR(__xludf.DUMMYFUNCTION("""COMPUTED_VALUE"""),"MODEM VOIP EMTA WIFI 3.1 CG3000")</f>
        <v>MODEM VOIP EMTA WIFI 3.1 CG3000</v>
      </c>
      <c r="B4769" s="22">
        <f>IFERROR(__xludf.DUMMYFUNCTION("""COMPUTED_VALUE"""),4.1001486E7)</f>
        <v>41001486</v>
      </c>
      <c r="C4769" s="21" t="str">
        <f>IFERROR(__xludf.DUMMYFUNCTION("""COMPUTED_VALUE"""),"743AEF755679")</f>
        <v>743AEF755679</v>
      </c>
      <c r="D4769" s="21" t="str">
        <f>IFERROR(__xludf.DUMMYFUNCTION("""COMPUTED_VALUE"""),"DIGITEC TECNOLOGIA DIGITAL E REPRES")</f>
        <v>DIGITEC TECNOLOGIA DIGITAL E REPRES</v>
      </c>
      <c r="E4769" s="21">
        <f>IFERROR(__xludf.DUMMYFUNCTION("""COMPUTED_VALUE"""),145359.0)</f>
        <v>145359</v>
      </c>
      <c r="F4769" s="21" t="str">
        <f>IFERROR(__xludf.DUMMYFUNCTION("""COMPUTED_VALUE"""),"INICIALIZADO")</f>
        <v>INICIALIZADO</v>
      </c>
      <c r="G4769" s="23">
        <f>IFERROR(__xludf.DUMMYFUNCTION("""COMPUTED_VALUE"""),45635.53498842593)</f>
        <v>45635.53499</v>
      </c>
      <c r="H4769" s="24" t="str">
        <f>IFERROR(VLOOKUP(B4769,material!A:D,3,0),"")</f>
        <v>3.1</v>
      </c>
    </row>
    <row r="4770" ht="11.25" customHeight="1">
      <c r="A4770" s="21" t="str">
        <f>IFERROR(__xludf.DUMMYFUNCTION("""COMPUTED_VALUE"""),"MODEM VOIP EMTA WIFI 3.1 CG3000")</f>
        <v>MODEM VOIP EMTA WIFI 3.1 CG3000</v>
      </c>
      <c r="B4770" s="22">
        <f>IFERROR(__xludf.DUMMYFUNCTION("""COMPUTED_VALUE"""),4.1001486E7)</f>
        <v>41001486</v>
      </c>
      <c r="C4770" s="21" t="str">
        <f>IFERROR(__xludf.DUMMYFUNCTION("""COMPUTED_VALUE"""),"743AEF326DCE")</f>
        <v>743AEF326DCE</v>
      </c>
      <c r="D4770" s="21" t="str">
        <f>IFERROR(__xludf.DUMMYFUNCTION("""COMPUTED_VALUE"""),"DIGITEC TECNOLOGIA DIGITAL E REPRES")</f>
        <v>DIGITEC TECNOLOGIA DIGITAL E REPRES</v>
      </c>
      <c r="E4770" s="21">
        <f>IFERROR(__xludf.DUMMYFUNCTION("""COMPUTED_VALUE"""),145359.0)</f>
        <v>145359</v>
      </c>
      <c r="F4770" s="21" t="str">
        <f>IFERROR(__xludf.DUMMYFUNCTION("""COMPUTED_VALUE"""),"INICIALIZADO")</f>
        <v>INICIALIZADO</v>
      </c>
      <c r="G4770" s="23">
        <f>IFERROR(__xludf.DUMMYFUNCTION("""COMPUTED_VALUE"""),45635.535)</f>
        <v>45635.535</v>
      </c>
      <c r="H4770" s="24" t="str">
        <f>IFERROR(VLOOKUP(B4770,material!A:D,3,0),"")</f>
        <v>3.1</v>
      </c>
    </row>
    <row r="4771" ht="11.25" customHeight="1">
      <c r="A4771" s="21" t="str">
        <f>IFERROR(__xludf.DUMMYFUNCTION("""COMPUTED_VALUE"""),"MODEM VOIP EMTA WIFI 3.1 CG3000")</f>
        <v>MODEM VOIP EMTA WIFI 3.1 CG3000</v>
      </c>
      <c r="B4771" s="22">
        <f>IFERROR(__xludf.DUMMYFUNCTION("""COMPUTED_VALUE"""),4.1001486E7)</f>
        <v>41001486</v>
      </c>
      <c r="C4771" s="21" t="str">
        <f>IFERROR(__xludf.DUMMYFUNCTION("""COMPUTED_VALUE"""),"743AEF30D416")</f>
        <v>743AEF30D416</v>
      </c>
      <c r="D4771" s="21" t="str">
        <f>IFERROR(__xludf.DUMMYFUNCTION("""COMPUTED_VALUE"""),"DIGITEC TECNOLOGIA DIGITAL E REPRES")</f>
        <v>DIGITEC TECNOLOGIA DIGITAL E REPRES</v>
      </c>
      <c r="E4771" s="21">
        <f>IFERROR(__xludf.DUMMYFUNCTION("""COMPUTED_VALUE"""),145359.0)</f>
        <v>145359</v>
      </c>
      <c r="F4771" s="21" t="str">
        <f>IFERROR(__xludf.DUMMYFUNCTION("""COMPUTED_VALUE"""),"INICIALIZADO")</f>
        <v>INICIALIZADO</v>
      </c>
      <c r="G4771" s="23">
        <f>IFERROR(__xludf.DUMMYFUNCTION("""COMPUTED_VALUE"""),45635.535)</f>
        <v>45635.535</v>
      </c>
      <c r="H4771" s="24" t="str">
        <f>IFERROR(VLOOKUP(B4771,material!A:D,3,0),"")</f>
        <v>3.1</v>
      </c>
    </row>
    <row r="4772" ht="11.25" customHeight="1">
      <c r="A4772" s="21" t="str">
        <f>IFERROR(__xludf.DUMMYFUNCTION("""COMPUTED_VALUE"""),"MODEM VOIP EMTA WIFI 3.1 CG3000")</f>
        <v>MODEM VOIP EMTA WIFI 3.1 CG3000</v>
      </c>
      <c r="B4772" s="22">
        <f>IFERROR(__xludf.DUMMYFUNCTION("""COMPUTED_VALUE"""),4.1001486E7)</f>
        <v>41001486</v>
      </c>
      <c r="C4772" s="21" t="str">
        <f>IFERROR(__xludf.DUMMYFUNCTION("""COMPUTED_VALUE"""),"84011295D068")</f>
        <v>84011295D068</v>
      </c>
      <c r="D4772" s="21" t="str">
        <f>IFERROR(__xludf.DUMMYFUNCTION("""COMPUTED_VALUE"""),"DIGITEC TECNOLOGIA DIGITAL E REPRES")</f>
        <v>DIGITEC TECNOLOGIA DIGITAL E REPRES</v>
      </c>
      <c r="E4772" s="21">
        <f>IFERROR(__xludf.DUMMYFUNCTION("""COMPUTED_VALUE"""),145359.0)</f>
        <v>145359</v>
      </c>
      <c r="F4772" s="21" t="str">
        <f>IFERROR(__xludf.DUMMYFUNCTION("""COMPUTED_VALUE"""),"INICIALIZADO")</f>
        <v>INICIALIZADO</v>
      </c>
      <c r="G4772" s="23">
        <f>IFERROR(__xludf.DUMMYFUNCTION("""COMPUTED_VALUE"""),45582.50041666666)</f>
        <v>45582.50042</v>
      </c>
      <c r="H4772" s="24" t="str">
        <f>IFERROR(VLOOKUP(B4772,material!A:D,3,0),"")</f>
        <v>3.1</v>
      </c>
    </row>
    <row r="4773" ht="11.25" customHeight="1">
      <c r="A4773" s="21" t="str">
        <f>IFERROR(__xludf.DUMMYFUNCTION("""COMPUTED_VALUE"""),"MODEM VOIP EMTA WIFI 3.1 CG3000")</f>
        <v>MODEM VOIP EMTA WIFI 3.1 CG3000</v>
      </c>
      <c r="B4773" s="22">
        <f>IFERROR(__xludf.DUMMYFUNCTION("""COMPUTED_VALUE"""),4.1001486E7)</f>
        <v>41001486</v>
      </c>
      <c r="C4773" s="21" t="str">
        <f>IFERROR(__xludf.DUMMYFUNCTION("""COMPUTED_VALUE"""),"84011282C87E")</f>
        <v>84011282C87E</v>
      </c>
      <c r="D4773" s="21" t="str">
        <f>IFERROR(__xludf.DUMMYFUNCTION("""COMPUTED_VALUE"""),"DIGITEC TECNOLOGIA DIGITAL E REPRES")</f>
        <v>DIGITEC TECNOLOGIA DIGITAL E REPRES</v>
      </c>
      <c r="E4773" s="21">
        <f>IFERROR(__xludf.DUMMYFUNCTION("""COMPUTED_VALUE"""),145359.0)</f>
        <v>145359</v>
      </c>
      <c r="F4773" s="21" t="str">
        <f>IFERROR(__xludf.DUMMYFUNCTION("""COMPUTED_VALUE"""),"INICIALIZADO")</f>
        <v>INICIALIZADO</v>
      </c>
      <c r="G4773" s="23">
        <f>IFERROR(__xludf.DUMMYFUNCTION("""COMPUTED_VALUE"""),45635.53498842593)</f>
        <v>45635.53499</v>
      </c>
      <c r="H4773" s="24" t="str">
        <f>IFERROR(VLOOKUP(B4773,material!A:D,3,0),"")</f>
        <v>3.1</v>
      </c>
    </row>
    <row r="4774" ht="11.25" customHeight="1">
      <c r="A4774" s="21" t="str">
        <f>IFERROR(__xludf.DUMMYFUNCTION("""COMPUTED_VALUE"""),"MODEM VOIP EMTA WIFI 3.1 CG3000")</f>
        <v>MODEM VOIP EMTA WIFI 3.1 CG3000</v>
      </c>
      <c r="B4774" s="22">
        <f>IFERROR(__xludf.DUMMYFUNCTION("""COMPUTED_VALUE"""),4.1001486E7)</f>
        <v>41001486</v>
      </c>
      <c r="C4774" s="21" t="str">
        <f>IFERROR(__xludf.DUMMYFUNCTION("""COMPUTED_VALUE"""),"8401129369F7")</f>
        <v>8401129369F7</v>
      </c>
      <c r="D4774" s="21" t="str">
        <f>IFERROR(__xludf.DUMMYFUNCTION("""COMPUTED_VALUE"""),"DIGITEC TECNOLOGIA DIGITAL E REPRES")</f>
        <v>DIGITEC TECNOLOGIA DIGITAL E REPRES</v>
      </c>
      <c r="E4774" s="21">
        <f>IFERROR(__xludf.DUMMYFUNCTION("""COMPUTED_VALUE"""),145359.0)</f>
        <v>145359</v>
      </c>
      <c r="F4774" s="21" t="str">
        <f>IFERROR(__xludf.DUMMYFUNCTION("""COMPUTED_VALUE"""),"INICIALIZADO")</f>
        <v>INICIALIZADO</v>
      </c>
      <c r="G4774" s="23">
        <f>IFERROR(__xludf.DUMMYFUNCTION("""COMPUTED_VALUE"""),45628.35653935185)</f>
        <v>45628.35654</v>
      </c>
      <c r="H4774" s="24" t="str">
        <f>IFERROR(VLOOKUP(B4774,material!A:D,3,0),"")</f>
        <v>3.1</v>
      </c>
    </row>
    <row r="4775" ht="11.25" customHeight="1">
      <c r="A4775" s="21" t="str">
        <f>IFERROR(__xludf.DUMMYFUNCTION("""COMPUTED_VALUE"""),"MODEM VOIP EMTA WIFI 3.1 CG3000")</f>
        <v>MODEM VOIP EMTA WIFI 3.1 CG3000</v>
      </c>
      <c r="B4775" s="22">
        <f>IFERROR(__xludf.DUMMYFUNCTION("""COMPUTED_VALUE"""),4.1001486E7)</f>
        <v>41001486</v>
      </c>
      <c r="C4775" s="21" t="str">
        <f>IFERROR(__xludf.DUMMYFUNCTION("""COMPUTED_VALUE"""),"840112BD2965")</f>
        <v>840112BD2965</v>
      </c>
      <c r="D4775" s="21" t="str">
        <f>IFERROR(__xludf.DUMMYFUNCTION("""COMPUTED_VALUE"""),"DIGITEC TECNOLOGIA DIGITAL E REPRES")</f>
        <v>DIGITEC TECNOLOGIA DIGITAL E REPRES</v>
      </c>
      <c r="E4775" s="21">
        <f>IFERROR(__xludf.DUMMYFUNCTION("""COMPUTED_VALUE"""),145359.0)</f>
        <v>145359</v>
      </c>
      <c r="F4775" s="21" t="str">
        <f>IFERROR(__xludf.DUMMYFUNCTION("""COMPUTED_VALUE"""),"INICIALIZADO")</f>
        <v>INICIALIZADO</v>
      </c>
      <c r="G4775" s="23">
        <f>IFERROR(__xludf.DUMMYFUNCTION("""COMPUTED_VALUE"""),45635.53498842593)</f>
        <v>45635.53499</v>
      </c>
      <c r="H4775" s="24" t="str">
        <f>IFERROR(VLOOKUP(B4775,material!A:D,3,0),"")</f>
        <v>3.1</v>
      </c>
    </row>
    <row r="4776" ht="11.25" customHeight="1">
      <c r="A4776" s="21" t="str">
        <f>IFERROR(__xludf.DUMMYFUNCTION("""COMPUTED_VALUE"""),"MODEM VOIP EMTA WIFI 3.1 CG3000")</f>
        <v>MODEM VOIP EMTA WIFI 3.1 CG3000</v>
      </c>
      <c r="B4776" s="22">
        <f>IFERROR(__xludf.DUMMYFUNCTION("""COMPUTED_VALUE"""),4.1001486E7)</f>
        <v>41001486</v>
      </c>
      <c r="C4776" s="21" t="str">
        <f>IFERROR(__xludf.DUMMYFUNCTION("""COMPUTED_VALUE"""),"743AEF3262DE")</f>
        <v>743AEF3262DE</v>
      </c>
      <c r="D4776" s="21" t="str">
        <f>IFERROR(__xludf.DUMMYFUNCTION("""COMPUTED_VALUE"""),"DIGITEC TECNOLOGIA DIGITAL E REPRES")</f>
        <v>DIGITEC TECNOLOGIA DIGITAL E REPRES</v>
      </c>
      <c r="E4776" s="21">
        <f>IFERROR(__xludf.DUMMYFUNCTION("""COMPUTED_VALUE"""),145359.0)</f>
        <v>145359</v>
      </c>
      <c r="F4776" s="21" t="str">
        <f>IFERROR(__xludf.DUMMYFUNCTION("""COMPUTED_VALUE"""),"INICIALIZADO")</f>
        <v>INICIALIZADO</v>
      </c>
      <c r="G4776" s="23">
        <f>IFERROR(__xludf.DUMMYFUNCTION("""COMPUTED_VALUE"""),45635.535)</f>
        <v>45635.535</v>
      </c>
      <c r="H4776" s="24" t="str">
        <f>IFERROR(VLOOKUP(B4776,material!A:D,3,0),"")</f>
        <v>3.1</v>
      </c>
    </row>
    <row r="4777" ht="11.25" customHeight="1">
      <c r="A4777" s="21" t="str">
        <f>IFERROR(__xludf.DUMMYFUNCTION("""COMPUTED_VALUE"""),"MODEM VOIP EMTA WIFI 3.1 CG3000")</f>
        <v>MODEM VOIP EMTA WIFI 3.1 CG3000</v>
      </c>
      <c r="B4777" s="22">
        <f>IFERROR(__xludf.DUMMYFUNCTION("""COMPUTED_VALUE"""),4.1001486E7)</f>
        <v>41001486</v>
      </c>
      <c r="C4777" s="21" t="str">
        <f>IFERROR(__xludf.DUMMYFUNCTION("""COMPUTED_VALUE"""),"840112BDF6DB")</f>
        <v>840112BDF6DB</v>
      </c>
      <c r="D4777" s="21" t="str">
        <f>IFERROR(__xludf.DUMMYFUNCTION("""COMPUTED_VALUE"""),"DIGITEC TECNOLOGIA DIGITAL E REPRES")</f>
        <v>DIGITEC TECNOLOGIA DIGITAL E REPRES</v>
      </c>
      <c r="E4777" s="21">
        <f>IFERROR(__xludf.DUMMYFUNCTION("""COMPUTED_VALUE"""),145359.0)</f>
        <v>145359</v>
      </c>
      <c r="F4777" s="21" t="str">
        <f>IFERROR(__xludf.DUMMYFUNCTION("""COMPUTED_VALUE"""),"INICIALIZADO")</f>
        <v>INICIALIZADO</v>
      </c>
      <c r="G4777" s="23">
        <f>IFERROR(__xludf.DUMMYFUNCTION("""COMPUTED_VALUE"""),45635.535)</f>
        <v>45635.535</v>
      </c>
      <c r="H4777" s="24" t="str">
        <f>IFERROR(VLOOKUP(B4777,material!A:D,3,0),"")</f>
        <v>3.1</v>
      </c>
    </row>
    <row r="4778" ht="11.25" customHeight="1">
      <c r="A4778" s="21" t="str">
        <f>IFERROR(__xludf.DUMMYFUNCTION("""COMPUTED_VALUE"""),"MODEM VOIP EMTA WIFI 3.1 CG3000")</f>
        <v>MODEM VOIP EMTA WIFI 3.1 CG3000</v>
      </c>
      <c r="B4778" s="22">
        <f>IFERROR(__xludf.DUMMYFUNCTION("""COMPUTED_VALUE"""),4.1001486E7)</f>
        <v>41001486</v>
      </c>
      <c r="C4778" s="21" t="str">
        <f>IFERROR(__xludf.DUMMYFUNCTION("""COMPUTED_VALUE"""),"84011296E0A4")</f>
        <v>84011296E0A4</v>
      </c>
      <c r="D4778" s="21" t="str">
        <f>IFERROR(__xludf.DUMMYFUNCTION("""COMPUTED_VALUE"""),"DIGITEC TECNOLOGIA DIGITAL E REPRES")</f>
        <v>DIGITEC TECNOLOGIA DIGITAL E REPRES</v>
      </c>
      <c r="E4778" s="21">
        <f>IFERROR(__xludf.DUMMYFUNCTION("""COMPUTED_VALUE"""),145359.0)</f>
        <v>145359</v>
      </c>
      <c r="F4778" s="21" t="str">
        <f>IFERROR(__xludf.DUMMYFUNCTION("""COMPUTED_VALUE"""),"INICIALIZADO")</f>
        <v>INICIALIZADO</v>
      </c>
      <c r="G4778" s="23">
        <f>IFERROR(__xludf.DUMMYFUNCTION("""COMPUTED_VALUE"""),45635.53498842593)</f>
        <v>45635.53499</v>
      </c>
      <c r="H4778" s="24" t="str">
        <f>IFERROR(VLOOKUP(B4778,material!A:D,3,0),"")</f>
        <v>3.1</v>
      </c>
    </row>
    <row r="4779" ht="11.25" customHeight="1">
      <c r="A4779" s="21" t="str">
        <f>IFERROR(__xludf.DUMMYFUNCTION("""COMPUTED_VALUE"""),"MODEM VOIP EMTA WIFI 3.1 CG3000")</f>
        <v>MODEM VOIP EMTA WIFI 3.1 CG3000</v>
      </c>
      <c r="B4779" s="22">
        <f>IFERROR(__xludf.DUMMYFUNCTION("""COMPUTED_VALUE"""),4.1001486E7)</f>
        <v>41001486</v>
      </c>
      <c r="C4779" s="21" t="str">
        <f>IFERROR(__xludf.DUMMYFUNCTION("""COMPUTED_VALUE"""),"84011296C2D6")</f>
        <v>84011296C2D6</v>
      </c>
      <c r="D4779" s="21" t="str">
        <f>IFERROR(__xludf.DUMMYFUNCTION("""COMPUTED_VALUE"""),"DIGITEC TECNOLOGIA DIGITAL E REPRES")</f>
        <v>DIGITEC TECNOLOGIA DIGITAL E REPRES</v>
      </c>
      <c r="E4779" s="21">
        <f>IFERROR(__xludf.DUMMYFUNCTION("""COMPUTED_VALUE"""),145359.0)</f>
        <v>145359</v>
      </c>
      <c r="F4779" s="21" t="str">
        <f>IFERROR(__xludf.DUMMYFUNCTION("""COMPUTED_VALUE"""),"INICIALIZADO")</f>
        <v>INICIALIZADO</v>
      </c>
      <c r="G4779" s="23">
        <f>IFERROR(__xludf.DUMMYFUNCTION("""COMPUTED_VALUE"""),45635.53498842593)</f>
        <v>45635.53499</v>
      </c>
      <c r="H4779" s="24" t="str">
        <f>IFERROR(VLOOKUP(B4779,material!A:D,3,0),"")</f>
        <v>3.1</v>
      </c>
    </row>
    <row r="4780" ht="11.25" customHeight="1">
      <c r="A4780" s="21" t="str">
        <f>IFERROR(__xludf.DUMMYFUNCTION("""COMPUTED_VALUE"""),"MODEM VOIP EMTA WIFI 3.1 CG3000")</f>
        <v>MODEM VOIP EMTA WIFI 3.1 CG3000</v>
      </c>
      <c r="B4780" s="22">
        <f>IFERROR(__xludf.DUMMYFUNCTION("""COMPUTED_VALUE"""),4.1001486E7)</f>
        <v>41001486</v>
      </c>
      <c r="C4780" s="21" t="str">
        <f>IFERROR(__xludf.DUMMYFUNCTION("""COMPUTED_VALUE"""),"84011297BABC")</f>
        <v>84011297BABC</v>
      </c>
      <c r="D4780" s="21" t="str">
        <f>IFERROR(__xludf.DUMMYFUNCTION("""COMPUTED_VALUE"""),"DIGITEC TECNOLOGIA DIGITAL E REPRES")</f>
        <v>DIGITEC TECNOLOGIA DIGITAL E REPRES</v>
      </c>
      <c r="E4780" s="21">
        <f>IFERROR(__xludf.DUMMYFUNCTION("""COMPUTED_VALUE"""),145359.0)</f>
        <v>145359</v>
      </c>
      <c r="F4780" s="21" t="str">
        <f>IFERROR(__xludf.DUMMYFUNCTION("""COMPUTED_VALUE"""),"INICIALIZADO")</f>
        <v>INICIALIZADO</v>
      </c>
      <c r="G4780" s="23">
        <f>IFERROR(__xludf.DUMMYFUNCTION("""COMPUTED_VALUE"""),45635.53498842593)</f>
        <v>45635.53499</v>
      </c>
      <c r="H4780" s="24" t="str">
        <f>IFERROR(VLOOKUP(B4780,material!A:D,3,0),"")</f>
        <v>3.1</v>
      </c>
    </row>
    <row r="4781" ht="11.25" customHeight="1">
      <c r="A4781" s="21" t="str">
        <f>IFERROR(__xludf.DUMMYFUNCTION("""COMPUTED_VALUE"""),"MODEM VOIP EMTA WIFI 3.1 CG3000")</f>
        <v>MODEM VOIP EMTA WIFI 3.1 CG3000</v>
      </c>
      <c r="B4781" s="22">
        <f>IFERROR(__xludf.DUMMYFUNCTION("""COMPUTED_VALUE"""),4.1001486E7)</f>
        <v>41001486</v>
      </c>
      <c r="C4781" s="21" t="str">
        <f>IFERROR(__xludf.DUMMYFUNCTION("""COMPUTED_VALUE"""),"743AEF9B634D")</f>
        <v>743AEF9B634D</v>
      </c>
      <c r="D4781" s="21" t="str">
        <f>IFERROR(__xludf.DUMMYFUNCTION("""COMPUTED_VALUE"""),"DIGITEC TECNOLOGIA DIGITAL E REPRES")</f>
        <v>DIGITEC TECNOLOGIA DIGITAL E REPRES</v>
      </c>
      <c r="E4781" s="21">
        <f>IFERROR(__xludf.DUMMYFUNCTION("""COMPUTED_VALUE"""),145359.0)</f>
        <v>145359</v>
      </c>
      <c r="F4781" s="21" t="str">
        <f>IFERROR(__xludf.DUMMYFUNCTION("""COMPUTED_VALUE"""),"INICIALIZADO")</f>
        <v>INICIALIZADO</v>
      </c>
      <c r="G4781" s="23">
        <f>IFERROR(__xludf.DUMMYFUNCTION("""COMPUTED_VALUE"""),45635.53498842593)</f>
        <v>45635.53499</v>
      </c>
      <c r="H4781" s="24" t="str">
        <f>IFERROR(VLOOKUP(B4781,material!A:D,3,0),"")</f>
        <v>3.1</v>
      </c>
    </row>
    <row r="4782" ht="11.25" customHeight="1">
      <c r="A4782" s="21" t="str">
        <f>IFERROR(__xludf.DUMMYFUNCTION("""COMPUTED_VALUE"""),"MODEM VOIP EMTA WIFI 3.1 CG3000")</f>
        <v>MODEM VOIP EMTA WIFI 3.1 CG3000</v>
      </c>
      <c r="B4782" s="22">
        <f>IFERROR(__xludf.DUMMYFUNCTION("""COMPUTED_VALUE"""),4.1001486E7)</f>
        <v>41001486</v>
      </c>
      <c r="C4782" s="21" t="str">
        <f>IFERROR(__xludf.DUMMYFUNCTION("""COMPUTED_VALUE"""),"743AEF9C970E")</f>
        <v>743AEF9C970E</v>
      </c>
      <c r="D4782" s="21" t="str">
        <f>IFERROR(__xludf.DUMMYFUNCTION("""COMPUTED_VALUE"""),"DIGITEC TECNOLOGIA DIGITAL E REPRES")</f>
        <v>DIGITEC TECNOLOGIA DIGITAL E REPRES</v>
      </c>
      <c r="E4782" s="21">
        <f>IFERROR(__xludf.DUMMYFUNCTION("""COMPUTED_VALUE"""),145359.0)</f>
        <v>145359</v>
      </c>
      <c r="F4782" s="21" t="str">
        <f>IFERROR(__xludf.DUMMYFUNCTION("""COMPUTED_VALUE"""),"INICIALIZADO")</f>
        <v>INICIALIZADO</v>
      </c>
      <c r="G4782" s="23">
        <f>IFERROR(__xludf.DUMMYFUNCTION("""COMPUTED_VALUE"""),45635.53498842593)</f>
        <v>45635.53499</v>
      </c>
      <c r="H4782" s="24" t="str">
        <f>IFERROR(VLOOKUP(B4782,material!A:D,3,0),"")</f>
        <v>3.1</v>
      </c>
    </row>
    <row r="4783" ht="11.25" customHeight="1">
      <c r="A4783" s="21" t="str">
        <f>IFERROR(__xludf.DUMMYFUNCTION("""COMPUTED_VALUE"""),"MODEM VOIP EMTA WIFI 3.1 CG3000")</f>
        <v>MODEM VOIP EMTA WIFI 3.1 CG3000</v>
      </c>
      <c r="B4783" s="22">
        <f>IFERROR(__xludf.DUMMYFUNCTION("""COMPUTED_VALUE"""),4.1001486E7)</f>
        <v>41001486</v>
      </c>
      <c r="C4783" s="21" t="str">
        <f>IFERROR(__xludf.DUMMYFUNCTION("""COMPUTED_VALUE"""),"743AEF5DD3A2")</f>
        <v>743AEF5DD3A2</v>
      </c>
      <c r="D4783" s="21" t="str">
        <f>IFERROR(__xludf.DUMMYFUNCTION("""COMPUTED_VALUE"""),"DIGITEC TECNOLOGIA DIGITAL E REPRES")</f>
        <v>DIGITEC TECNOLOGIA DIGITAL E REPRES</v>
      </c>
      <c r="E4783" s="21">
        <f>IFERROR(__xludf.DUMMYFUNCTION("""COMPUTED_VALUE"""),145359.0)</f>
        <v>145359</v>
      </c>
      <c r="F4783" s="21" t="str">
        <f>IFERROR(__xludf.DUMMYFUNCTION("""COMPUTED_VALUE"""),"INICIALIZADO")</f>
        <v>INICIALIZADO</v>
      </c>
      <c r="G4783" s="23">
        <f>IFERROR(__xludf.DUMMYFUNCTION("""COMPUTED_VALUE"""),45635.53497685185)</f>
        <v>45635.53498</v>
      </c>
      <c r="H4783" s="24" t="str">
        <f>IFERROR(VLOOKUP(B4783,material!A:D,3,0),"")</f>
        <v>3.1</v>
      </c>
    </row>
    <row r="4784" ht="11.25" customHeight="1">
      <c r="A4784" s="21" t="str">
        <f>IFERROR(__xludf.DUMMYFUNCTION("""COMPUTED_VALUE"""),"MODEM VOIP EMTA WIFI 3.1 CG3000")</f>
        <v>MODEM VOIP EMTA WIFI 3.1 CG3000</v>
      </c>
      <c r="B4784" s="22">
        <f>IFERROR(__xludf.DUMMYFUNCTION("""COMPUTED_VALUE"""),4.1001486E7)</f>
        <v>41001486</v>
      </c>
      <c r="C4784" s="21" t="str">
        <f>IFERROR(__xludf.DUMMYFUNCTION("""COMPUTED_VALUE"""),"1834AF639A0C")</f>
        <v>1834AF639A0C</v>
      </c>
      <c r="D4784" s="21" t="str">
        <f>IFERROR(__xludf.DUMMYFUNCTION("""COMPUTED_VALUE"""),"DIGITEC TECNOLOGIA DIGITAL E REPRES")</f>
        <v>DIGITEC TECNOLOGIA DIGITAL E REPRES</v>
      </c>
      <c r="E4784" s="21">
        <f>IFERROR(__xludf.DUMMYFUNCTION("""COMPUTED_VALUE"""),145359.0)</f>
        <v>145359</v>
      </c>
      <c r="F4784" s="21" t="str">
        <f>IFERROR(__xludf.DUMMYFUNCTION("""COMPUTED_VALUE"""),"INICIALIZADO")</f>
        <v>INICIALIZADO</v>
      </c>
      <c r="G4784" s="23">
        <f>IFERROR(__xludf.DUMMYFUNCTION("""COMPUTED_VALUE"""),45635.535)</f>
        <v>45635.535</v>
      </c>
      <c r="H4784" s="24" t="str">
        <f>IFERROR(VLOOKUP(B4784,material!A:D,3,0),"")</f>
        <v>3.1</v>
      </c>
    </row>
    <row r="4785" ht="11.25" customHeight="1">
      <c r="A4785" s="21" t="str">
        <f>IFERROR(__xludf.DUMMYFUNCTION("""COMPUTED_VALUE"""),"MODEM VOIP EMTA WIFI 3.1 CG3000")</f>
        <v>MODEM VOIP EMTA WIFI 3.1 CG3000</v>
      </c>
      <c r="B4785" s="22">
        <f>IFERROR(__xludf.DUMMYFUNCTION("""COMPUTED_VALUE"""),4.1001486E7)</f>
        <v>41001486</v>
      </c>
      <c r="C4785" s="21" t="str">
        <f>IFERROR(__xludf.DUMMYFUNCTION("""COMPUTED_VALUE"""),"1834AF9902A0")</f>
        <v>1834AF9902A0</v>
      </c>
      <c r="D4785" s="21" t="str">
        <f>IFERROR(__xludf.DUMMYFUNCTION("""COMPUTED_VALUE"""),"DIGITEC TECNOLOGIA DIGITAL E REPRES")</f>
        <v>DIGITEC TECNOLOGIA DIGITAL E REPRES</v>
      </c>
      <c r="E4785" s="21">
        <f>IFERROR(__xludf.DUMMYFUNCTION("""COMPUTED_VALUE"""),145359.0)</f>
        <v>145359</v>
      </c>
      <c r="F4785" s="21" t="str">
        <f>IFERROR(__xludf.DUMMYFUNCTION("""COMPUTED_VALUE"""),"INICIALIZADO")</f>
        <v>INICIALIZADO</v>
      </c>
      <c r="G4785" s="23">
        <f>IFERROR(__xludf.DUMMYFUNCTION("""COMPUTED_VALUE"""),45635.535)</f>
        <v>45635.535</v>
      </c>
      <c r="H4785" s="24" t="str">
        <f>IFERROR(VLOOKUP(B4785,material!A:D,3,0),"")</f>
        <v>3.1</v>
      </c>
    </row>
    <row r="4786" ht="11.25" customHeight="1">
      <c r="A4786" s="21" t="str">
        <f>IFERROR(__xludf.DUMMYFUNCTION("""COMPUTED_VALUE"""),"MODEM VOIP EMTA WIFI 3.1 CG3000")</f>
        <v>MODEM VOIP EMTA WIFI 3.1 CG3000</v>
      </c>
      <c r="B4786" s="22">
        <f>IFERROR(__xludf.DUMMYFUNCTION("""COMPUTED_VALUE"""),4.1001486E7)</f>
        <v>41001486</v>
      </c>
      <c r="C4786" s="21" t="str">
        <f>IFERROR(__xludf.DUMMYFUNCTION("""COMPUTED_VALUE"""),"840112E9521F")</f>
        <v>840112E9521F</v>
      </c>
      <c r="D4786" s="21" t="str">
        <f>IFERROR(__xludf.DUMMYFUNCTION("""COMPUTED_VALUE"""),"DIGITEC TECNOLOGIA DIGITAL E REPRES")</f>
        <v>DIGITEC TECNOLOGIA DIGITAL E REPRES</v>
      </c>
      <c r="E4786" s="21">
        <f>IFERROR(__xludf.DUMMYFUNCTION("""COMPUTED_VALUE"""),145359.0)</f>
        <v>145359</v>
      </c>
      <c r="F4786" s="21" t="str">
        <f>IFERROR(__xludf.DUMMYFUNCTION("""COMPUTED_VALUE"""),"INICIALIZADO")</f>
        <v>INICIALIZADO</v>
      </c>
      <c r="G4786" s="23">
        <f>IFERROR(__xludf.DUMMYFUNCTION("""COMPUTED_VALUE"""),45635.53498842593)</f>
        <v>45635.53499</v>
      </c>
      <c r="H4786" s="24" t="str">
        <f>IFERROR(VLOOKUP(B4786,material!A:D,3,0),"")</f>
        <v>3.1</v>
      </c>
    </row>
    <row r="4787" ht="11.25" customHeight="1">
      <c r="A4787" s="21" t="str">
        <f>IFERROR(__xludf.DUMMYFUNCTION("""COMPUTED_VALUE"""),"MODEM VOIP EMTA WIFI 3.1 CG3000")</f>
        <v>MODEM VOIP EMTA WIFI 3.1 CG3000</v>
      </c>
      <c r="B4787" s="22">
        <f>IFERROR(__xludf.DUMMYFUNCTION("""COMPUTED_VALUE"""),4.1001486E7)</f>
        <v>41001486</v>
      </c>
      <c r="C4787" s="21" t="str">
        <f>IFERROR(__xludf.DUMMYFUNCTION("""COMPUTED_VALUE"""),"840112DAA870")</f>
        <v>840112DAA870</v>
      </c>
      <c r="D4787" s="21" t="str">
        <f>IFERROR(__xludf.DUMMYFUNCTION("""COMPUTED_VALUE"""),"DIGITEC TECNOLOGIA DIGITAL E REPRES")</f>
        <v>DIGITEC TECNOLOGIA DIGITAL E REPRES</v>
      </c>
      <c r="E4787" s="21">
        <f>IFERROR(__xludf.DUMMYFUNCTION("""COMPUTED_VALUE"""),145359.0)</f>
        <v>145359</v>
      </c>
      <c r="F4787" s="21" t="str">
        <f>IFERROR(__xludf.DUMMYFUNCTION("""COMPUTED_VALUE"""),"INICIALIZADO")</f>
        <v>INICIALIZADO</v>
      </c>
      <c r="G4787" s="23">
        <f>IFERROR(__xludf.DUMMYFUNCTION("""COMPUTED_VALUE"""),45635.535)</f>
        <v>45635.535</v>
      </c>
      <c r="H4787" s="24" t="str">
        <f>IFERROR(VLOOKUP(B4787,material!A:D,3,0),"")</f>
        <v>3.1</v>
      </c>
    </row>
    <row r="4788" ht="11.25" customHeight="1">
      <c r="A4788" s="21" t="str">
        <f>IFERROR(__xludf.DUMMYFUNCTION("""COMPUTED_VALUE"""),"MODEM VOIP EMTA WIFI 3.1 CG3000")</f>
        <v>MODEM VOIP EMTA WIFI 3.1 CG3000</v>
      </c>
      <c r="B4788" s="22">
        <f>IFERROR(__xludf.DUMMYFUNCTION("""COMPUTED_VALUE"""),4.1001486E7)</f>
        <v>41001486</v>
      </c>
      <c r="C4788" s="21" t="str">
        <f>IFERROR(__xludf.DUMMYFUNCTION("""COMPUTED_VALUE"""),"840112DC2349")</f>
        <v>840112DC2349</v>
      </c>
      <c r="D4788" s="21" t="str">
        <f>IFERROR(__xludf.DUMMYFUNCTION("""COMPUTED_VALUE"""),"DIGITEC TECNOLOGIA DIGITAL E REPRES")</f>
        <v>DIGITEC TECNOLOGIA DIGITAL E REPRES</v>
      </c>
      <c r="E4788" s="21">
        <f>IFERROR(__xludf.DUMMYFUNCTION("""COMPUTED_VALUE"""),145359.0)</f>
        <v>145359</v>
      </c>
      <c r="F4788" s="21" t="str">
        <f>IFERROR(__xludf.DUMMYFUNCTION("""COMPUTED_VALUE"""),"INICIALIZADO")</f>
        <v>INICIALIZADO</v>
      </c>
      <c r="G4788" s="23">
        <f>IFERROR(__xludf.DUMMYFUNCTION("""COMPUTED_VALUE"""),45635.535)</f>
        <v>45635.535</v>
      </c>
      <c r="H4788" s="24" t="str">
        <f>IFERROR(VLOOKUP(B4788,material!A:D,3,0),"")</f>
        <v>3.1</v>
      </c>
    </row>
    <row r="4789" ht="11.25" customHeight="1">
      <c r="A4789" s="21" t="str">
        <f>IFERROR(__xludf.DUMMYFUNCTION("""COMPUTED_VALUE"""),"MODEM VOIP EMTA WIFI 3.1 CG3000")</f>
        <v>MODEM VOIP EMTA WIFI 3.1 CG3000</v>
      </c>
      <c r="B4789" s="22">
        <f>IFERROR(__xludf.DUMMYFUNCTION("""COMPUTED_VALUE"""),4.1001486E7)</f>
        <v>41001486</v>
      </c>
      <c r="C4789" s="21" t="str">
        <f>IFERROR(__xludf.DUMMYFUNCTION("""COMPUTED_VALUE"""),"743AEFC5CF04")</f>
        <v>743AEFC5CF04</v>
      </c>
      <c r="D4789" s="21" t="str">
        <f>IFERROR(__xludf.DUMMYFUNCTION("""COMPUTED_VALUE"""),"DIGITEC TECNOLOGIA DIGITAL E REPRES")</f>
        <v>DIGITEC TECNOLOGIA DIGITAL E REPRES</v>
      </c>
      <c r="E4789" s="21">
        <f>IFERROR(__xludf.DUMMYFUNCTION("""COMPUTED_VALUE"""),145359.0)</f>
        <v>145359</v>
      </c>
      <c r="F4789" s="21" t="str">
        <f>IFERROR(__xludf.DUMMYFUNCTION("""COMPUTED_VALUE"""),"INICIALIZADO")</f>
        <v>INICIALIZADO</v>
      </c>
      <c r="G4789" s="23">
        <f>IFERROR(__xludf.DUMMYFUNCTION("""COMPUTED_VALUE"""),45635.53498842593)</f>
        <v>45635.53499</v>
      </c>
      <c r="H4789" s="24" t="str">
        <f>IFERROR(VLOOKUP(B4789,material!A:D,3,0),"")</f>
        <v>3.1</v>
      </c>
    </row>
    <row r="4790" ht="11.25" customHeight="1">
      <c r="A4790" s="21" t="str">
        <f>IFERROR(__xludf.DUMMYFUNCTION("""COMPUTED_VALUE"""),"MODEM VOIP EMTA WIFI 3.1 CG3000")</f>
        <v>MODEM VOIP EMTA WIFI 3.1 CG3000</v>
      </c>
      <c r="B4790" s="22">
        <f>IFERROR(__xludf.DUMMYFUNCTION("""COMPUTED_VALUE"""),4.1001486E7)</f>
        <v>41001486</v>
      </c>
      <c r="C4790" s="21" t="str">
        <f>IFERROR(__xludf.DUMMYFUNCTION("""COMPUTED_VALUE"""),"743AEF73481B")</f>
        <v>743AEF73481B</v>
      </c>
      <c r="D4790" s="21" t="str">
        <f>IFERROR(__xludf.DUMMYFUNCTION("""COMPUTED_VALUE"""),"DIGITEC TECNOLOGIA DIGITAL E REPRES")</f>
        <v>DIGITEC TECNOLOGIA DIGITAL E REPRES</v>
      </c>
      <c r="E4790" s="21">
        <f>IFERROR(__xludf.DUMMYFUNCTION("""COMPUTED_VALUE"""),145359.0)</f>
        <v>145359</v>
      </c>
      <c r="F4790" s="21" t="str">
        <f>IFERROR(__xludf.DUMMYFUNCTION("""COMPUTED_VALUE"""),"INICIALIZADO")</f>
        <v>INICIALIZADO</v>
      </c>
      <c r="G4790" s="23">
        <f>IFERROR(__xludf.DUMMYFUNCTION("""COMPUTED_VALUE"""),45534.570810185185)</f>
        <v>45534.57081</v>
      </c>
      <c r="H4790" s="24" t="str">
        <f>IFERROR(VLOOKUP(B4790,material!A:D,3,0),"")</f>
        <v>3.1</v>
      </c>
    </row>
    <row r="4791" ht="11.25" customHeight="1">
      <c r="A4791" s="21" t="str">
        <f>IFERROR(__xludf.DUMMYFUNCTION("""COMPUTED_VALUE"""),"MODEM VOIP EMTA WIFI 3.1 CG3000")</f>
        <v>MODEM VOIP EMTA WIFI 3.1 CG3000</v>
      </c>
      <c r="B4791" s="22">
        <f>IFERROR(__xludf.DUMMYFUNCTION("""COMPUTED_VALUE"""),4.1001486E7)</f>
        <v>41001486</v>
      </c>
      <c r="C4791" s="21" t="str">
        <f>IFERROR(__xludf.DUMMYFUNCTION("""COMPUTED_VALUE"""),"743AEF76D787")</f>
        <v>743AEF76D787</v>
      </c>
      <c r="D4791" s="21" t="str">
        <f>IFERROR(__xludf.DUMMYFUNCTION("""COMPUTED_VALUE"""),"DIGITEC TECNOLOGIA DIGITAL E REPRES")</f>
        <v>DIGITEC TECNOLOGIA DIGITAL E REPRES</v>
      </c>
      <c r="E4791" s="21">
        <f>IFERROR(__xludf.DUMMYFUNCTION("""COMPUTED_VALUE"""),145359.0)</f>
        <v>145359</v>
      </c>
      <c r="F4791" s="21" t="str">
        <f>IFERROR(__xludf.DUMMYFUNCTION("""COMPUTED_VALUE"""),"INICIALIZADO")</f>
        <v>INICIALIZADO</v>
      </c>
      <c r="G4791" s="23">
        <f>IFERROR(__xludf.DUMMYFUNCTION("""COMPUTED_VALUE"""),45635.53498842593)</f>
        <v>45635.53499</v>
      </c>
      <c r="H4791" s="24" t="str">
        <f>IFERROR(VLOOKUP(B4791,material!A:D,3,0),"")</f>
        <v>3.1</v>
      </c>
    </row>
    <row r="4792" ht="11.25" customHeight="1">
      <c r="A4792" s="21" t="str">
        <f>IFERROR(__xludf.DUMMYFUNCTION("""COMPUTED_VALUE"""),"MODEM VOIP EMTA WIFI 3.1 CG3000")</f>
        <v>MODEM VOIP EMTA WIFI 3.1 CG3000</v>
      </c>
      <c r="B4792" s="22">
        <f>IFERROR(__xludf.DUMMYFUNCTION("""COMPUTED_VALUE"""),4.1001486E7)</f>
        <v>41001486</v>
      </c>
      <c r="C4792" s="21" t="str">
        <f>IFERROR(__xludf.DUMMYFUNCTION("""COMPUTED_VALUE"""),"743AEFAFC0FD")</f>
        <v>743AEFAFC0FD</v>
      </c>
      <c r="D4792" s="21" t="str">
        <f>IFERROR(__xludf.DUMMYFUNCTION("""COMPUTED_VALUE"""),"DIGITEC TECNOLOGIA DIGITAL E REPRES")</f>
        <v>DIGITEC TECNOLOGIA DIGITAL E REPRES</v>
      </c>
      <c r="E4792" s="21">
        <f>IFERROR(__xludf.DUMMYFUNCTION("""COMPUTED_VALUE"""),145359.0)</f>
        <v>145359</v>
      </c>
      <c r="F4792" s="21" t="str">
        <f>IFERROR(__xludf.DUMMYFUNCTION("""COMPUTED_VALUE"""),"INICIALIZADO")</f>
        <v>INICIALIZADO</v>
      </c>
      <c r="G4792" s="23">
        <f>IFERROR(__xludf.DUMMYFUNCTION("""COMPUTED_VALUE"""),45635.53498842593)</f>
        <v>45635.53499</v>
      </c>
      <c r="H4792" s="24" t="str">
        <f>IFERROR(VLOOKUP(B4792,material!A:D,3,0),"")</f>
        <v>3.1</v>
      </c>
    </row>
    <row r="4793" ht="11.25" customHeight="1">
      <c r="A4793" s="21" t="str">
        <f>IFERROR(__xludf.DUMMYFUNCTION("""COMPUTED_VALUE"""),"MODEM VOIP EMTA WIFI 3.1 CG3000")</f>
        <v>MODEM VOIP EMTA WIFI 3.1 CG3000</v>
      </c>
      <c r="B4793" s="22">
        <f>IFERROR(__xludf.DUMMYFUNCTION("""COMPUTED_VALUE"""),4.1001486E7)</f>
        <v>41001486</v>
      </c>
      <c r="C4793" s="21" t="str">
        <f>IFERROR(__xludf.DUMMYFUNCTION("""COMPUTED_VALUE"""),"743AEF726C6D")</f>
        <v>743AEF726C6D</v>
      </c>
      <c r="D4793" s="21" t="str">
        <f>IFERROR(__xludf.DUMMYFUNCTION("""COMPUTED_VALUE"""),"DIGITEC TECNOLOGIA DIGITAL E REPRES")</f>
        <v>DIGITEC TECNOLOGIA DIGITAL E REPRES</v>
      </c>
      <c r="E4793" s="21">
        <f>IFERROR(__xludf.DUMMYFUNCTION("""COMPUTED_VALUE"""),145359.0)</f>
        <v>145359</v>
      </c>
      <c r="F4793" s="21" t="str">
        <f>IFERROR(__xludf.DUMMYFUNCTION("""COMPUTED_VALUE"""),"INICIALIZADO")</f>
        <v>INICIALIZADO</v>
      </c>
      <c r="G4793" s="23">
        <f>IFERROR(__xludf.DUMMYFUNCTION("""COMPUTED_VALUE"""),45635.53498842593)</f>
        <v>45635.53499</v>
      </c>
      <c r="H4793" s="24" t="str">
        <f>IFERROR(VLOOKUP(B4793,material!A:D,3,0),"")</f>
        <v>3.1</v>
      </c>
    </row>
    <row r="4794" ht="11.25" customHeight="1">
      <c r="A4794" s="21" t="str">
        <f>IFERROR(__xludf.DUMMYFUNCTION("""COMPUTED_VALUE"""),"MODEM VOIP EMTA WIFI 3.1 CG3000")</f>
        <v>MODEM VOIP EMTA WIFI 3.1 CG3000</v>
      </c>
      <c r="B4794" s="22">
        <f>IFERROR(__xludf.DUMMYFUNCTION("""COMPUTED_VALUE"""),4.1001486E7)</f>
        <v>41001486</v>
      </c>
      <c r="C4794" s="21" t="str">
        <f>IFERROR(__xludf.DUMMYFUNCTION("""COMPUTED_VALUE"""),"840112C03BCD")</f>
        <v>840112C03BCD</v>
      </c>
      <c r="D4794" s="21" t="str">
        <f>IFERROR(__xludf.DUMMYFUNCTION("""COMPUTED_VALUE"""),"DIGITEC TECNOLOGIA DIGITAL E REPRES")</f>
        <v>DIGITEC TECNOLOGIA DIGITAL E REPRES</v>
      </c>
      <c r="E4794" s="21">
        <f>IFERROR(__xludf.DUMMYFUNCTION("""COMPUTED_VALUE"""),145359.0)</f>
        <v>145359</v>
      </c>
      <c r="F4794" s="21" t="str">
        <f>IFERROR(__xludf.DUMMYFUNCTION("""COMPUTED_VALUE"""),"INICIALIZADO")</f>
        <v>INICIALIZADO</v>
      </c>
      <c r="G4794" s="23">
        <f>IFERROR(__xludf.DUMMYFUNCTION("""COMPUTED_VALUE"""),45635.535)</f>
        <v>45635.535</v>
      </c>
      <c r="H4794" s="24" t="str">
        <f>IFERROR(VLOOKUP(B4794,material!A:D,3,0),"")</f>
        <v>3.1</v>
      </c>
    </row>
    <row r="4795" ht="11.25" customHeight="1">
      <c r="A4795" s="21" t="str">
        <f>IFERROR(__xludf.DUMMYFUNCTION("""COMPUTED_VALUE"""),"MODEM VOIP EMTA WIFI 3.1 CG3000")</f>
        <v>MODEM VOIP EMTA WIFI 3.1 CG3000</v>
      </c>
      <c r="B4795" s="22">
        <f>IFERROR(__xludf.DUMMYFUNCTION("""COMPUTED_VALUE"""),4.1001486E7)</f>
        <v>41001486</v>
      </c>
      <c r="C4795" s="21" t="str">
        <f>IFERROR(__xludf.DUMMYFUNCTION("""COMPUTED_VALUE"""),"840112EAE762")</f>
        <v>840112EAE762</v>
      </c>
      <c r="D4795" s="21" t="str">
        <f>IFERROR(__xludf.DUMMYFUNCTION("""COMPUTED_VALUE"""),"DIGITEC TECNOLOGIA DIGITAL E REPRES")</f>
        <v>DIGITEC TECNOLOGIA DIGITAL E REPRES</v>
      </c>
      <c r="E4795" s="21">
        <f>IFERROR(__xludf.DUMMYFUNCTION("""COMPUTED_VALUE"""),145359.0)</f>
        <v>145359</v>
      </c>
      <c r="F4795" s="21" t="str">
        <f>IFERROR(__xludf.DUMMYFUNCTION("""COMPUTED_VALUE"""),"INICIALIZADO")</f>
        <v>INICIALIZADO</v>
      </c>
      <c r="G4795" s="23">
        <f>IFERROR(__xludf.DUMMYFUNCTION("""COMPUTED_VALUE"""),45635.53498842593)</f>
        <v>45635.53499</v>
      </c>
      <c r="H4795" s="24" t="str">
        <f>IFERROR(VLOOKUP(B4795,material!A:D,3,0),"")</f>
        <v>3.1</v>
      </c>
    </row>
    <row r="4796" ht="11.25" customHeight="1">
      <c r="A4796" s="21" t="str">
        <f>IFERROR(__xludf.DUMMYFUNCTION("""COMPUTED_VALUE"""),"MODEM VOIP EMTA WIFI 3.1 CG3000")</f>
        <v>MODEM VOIP EMTA WIFI 3.1 CG3000</v>
      </c>
      <c r="B4796" s="22">
        <f>IFERROR(__xludf.DUMMYFUNCTION("""COMPUTED_VALUE"""),4.1001486E7)</f>
        <v>41001486</v>
      </c>
      <c r="C4796" s="21" t="str">
        <f>IFERROR(__xludf.DUMMYFUNCTION("""COMPUTED_VALUE"""),"743AEF95ABC4")</f>
        <v>743AEF95ABC4</v>
      </c>
      <c r="D4796" s="21" t="str">
        <f>IFERROR(__xludf.DUMMYFUNCTION("""COMPUTED_VALUE"""),"DIGITEC TECNOLOGIA DIGITAL E REPRES")</f>
        <v>DIGITEC TECNOLOGIA DIGITAL E REPRES</v>
      </c>
      <c r="E4796" s="21">
        <f>IFERROR(__xludf.DUMMYFUNCTION("""COMPUTED_VALUE"""),145359.0)</f>
        <v>145359</v>
      </c>
      <c r="F4796" s="21" t="str">
        <f>IFERROR(__xludf.DUMMYFUNCTION("""COMPUTED_VALUE"""),"INICIALIZADO")</f>
        <v>INICIALIZADO</v>
      </c>
      <c r="G4796" s="23">
        <f>IFERROR(__xludf.DUMMYFUNCTION("""COMPUTED_VALUE"""),45638.68789351852)</f>
        <v>45638.68789</v>
      </c>
      <c r="H4796" s="24" t="str">
        <f>IFERROR(VLOOKUP(B4796,material!A:D,3,0),"")</f>
        <v>3.1</v>
      </c>
    </row>
    <row r="4797" ht="11.25" customHeight="1">
      <c r="A4797" s="21" t="str">
        <f>IFERROR(__xludf.DUMMYFUNCTION("""COMPUTED_VALUE"""),"MODEM VOIP EMTA WIFI 3.1 CG3000")</f>
        <v>MODEM VOIP EMTA WIFI 3.1 CG3000</v>
      </c>
      <c r="B4797" s="22">
        <f>IFERROR(__xludf.DUMMYFUNCTION("""COMPUTED_VALUE"""),4.1001486E7)</f>
        <v>41001486</v>
      </c>
      <c r="C4797" s="21" t="str">
        <f>IFERROR(__xludf.DUMMYFUNCTION("""COMPUTED_VALUE"""),"1834AF27BF78")</f>
        <v>1834AF27BF78</v>
      </c>
      <c r="D4797" s="21" t="str">
        <f>IFERROR(__xludf.DUMMYFUNCTION("""COMPUTED_VALUE"""),"DIGITEC TECNOLOGIA DIGITAL E REPRES")</f>
        <v>DIGITEC TECNOLOGIA DIGITAL E REPRES</v>
      </c>
      <c r="E4797" s="21">
        <f>IFERROR(__xludf.DUMMYFUNCTION("""COMPUTED_VALUE"""),145359.0)</f>
        <v>145359</v>
      </c>
      <c r="F4797" s="21" t="str">
        <f>IFERROR(__xludf.DUMMYFUNCTION("""COMPUTED_VALUE"""),"INICIALIZADO")</f>
        <v>INICIALIZADO</v>
      </c>
      <c r="G4797" s="23">
        <f>IFERROR(__xludf.DUMMYFUNCTION("""COMPUTED_VALUE"""),45635.535)</f>
        <v>45635.535</v>
      </c>
      <c r="H4797" s="24" t="str">
        <f>IFERROR(VLOOKUP(B4797,material!A:D,3,0),"")</f>
        <v>3.1</v>
      </c>
    </row>
    <row r="4798" ht="11.25" customHeight="1">
      <c r="A4798" s="21" t="str">
        <f>IFERROR(__xludf.DUMMYFUNCTION("""COMPUTED_VALUE"""),"MODEM VOIP EMTA WIFI 3.1 CG3000")</f>
        <v>MODEM VOIP EMTA WIFI 3.1 CG3000</v>
      </c>
      <c r="B4798" s="22">
        <f>IFERROR(__xludf.DUMMYFUNCTION("""COMPUTED_VALUE"""),4.1001486E7)</f>
        <v>41001486</v>
      </c>
      <c r="C4798" s="21" t="str">
        <f>IFERROR(__xludf.DUMMYFUNCTION("""COMPUTED_VALUE"""),"1834AF6112C4")</f>
        <v>1834AF6112C4</v>
      </c>
      <c r="D4798" s="21" t="str">
        <f>IFERROR(__xludf.DUMMYFUNCTION("""COMPUTED_VALUE"""),"DIGITEC TECNOLOGIA DIGITAL E REPRES")</f>
        <v>DIGITEC TECNOLOGIA DIGITAL E REPRES</v>
      </c>
      <c r="E4798" s="21">
        <f>IFERROR(__xludf.DUMMYFUNCTION("""COMPUTED_VALUE"""),145359.0)</f>
        <v>145359</v>
      </c>
      <c r="F4798" s="21" t="str">
        <f>IFERROR(__xludf.DUMMYFUNCTION("""COMPUTED_VALUE"""),"INICIALIZADO")</f>
        <v>INICIALIZADO</v>
      </c>
      <c r="G4798" s="23">
        <f>IFERROR(__xludf.DUMMYFUNCTION("""COMPUTED_VALUE"""),45635.535)</f>
        <v>45635.535</v>
      </c>
      <c r="H4798" s="24" t="str">
        <f>IFERROR(VLOOKUP(B4798,material!A:D,3,0),"")</f>
        <v>3.1</v>
      </c>
    </row>
    <row r="4799" ht="11.25" customHeight="1">
      <c r="A4799" s="21" t="str">
        <f>IFERROR(__xludf.DUMMYFUNCTION("""COMPUTED_VALUE"""),"MODEM VOIP EMTA WIFI 3.1 CG3000")</f>
        <v>MODEM VOIP EMTA WIFI 3.1 CG3000</v>
      </c>
      <c r="B4799" s="22">
        <f>IFERROR(__xludf.DUMMYFUNCTION("""COMPUTED_VALUE"""),4.1001486E7)</f>
        <v>41001486</v>
      </c>
      <c r="C4799" s="21" t="str">
        <f>IFERROR(__xludf.DUMMYFUNCTION("""COMPUTED_VALUE"""),"840112E9C5AD")</f>
        <v>840112E9C5AD</v>
      </c>
      <c r="D4799" s="21" t="str">
        <f>IFERROR(__xludf.DUMMYFUNCTION("""COMPUTED_VALUE"""),"DIGITEC TECNOLOGIA DIGITAL E REPRES")</f>
        <v>DIGITEC TECNOLOGIA DIGITAL E REPRES</v>
      </c>
      <c r="E4799" s="21">
        <f>IFERROR(__xludf.DUMMYFUNCTION("""COMPUTED_VALUE"""),145359.0)</f>
        <v>145359</v>
      </c>
      <c r="F4799" s="21" t="str">
        <f>IFERROR(__xludf.DUMMYFUNCTION("""COMPUTED_VALUE"""),"INICIALIZADO")</f>
        <v>INICIALIZADO</v>
      </c>
      <c r="G4799" s="23">
        <f>IFERROR(__xludf.DUMMYFUNCTION("""COMPUTED_VALUE"""),45635.53498842593)</f>
        <v>45635.53499</v>
      </c>
      <c r="H4799" s="24" t="str">
        <f>IFERROR(VLOOKUP(B4799,material!A:D,3,0),"")</f>
        <v>3.1</v>
      </c>
    </row>
    <row r="4800" ht="11.25" customHeight="1">
      <c r="A4800" s="21" t="str">
        <f>IFERROR(__xludf.DUMMYFUNCTION("""COMPUTED_VALUE"""),"MODEM VOIP EMTA WIFI 3.1 CG3000")</f>
        <v>MODEM VOIP EMTA WIFI 3.1 CG3000</v>
      </c>
      <c r="B4800" s="22">
        <f>IFERROR(__xludf.DUMMYFUNCTION("""COMPUTED_VALUE"""),4.1001486E7)</f>
        <v>41001486</v>
      </c>
      <c r="C4800" s="21" t="str">
        <f>IFERROR(__xludf.DUMMYFUNCTION("""COMPUTED_VALUE"""),"9877E70C0080")</f>
        <v>9877E70C0080</v>
      </c>
      <c r="D4800" s="21" t="str">
        <f>IFERROR(__xludf.DUMMYFUNCTION("""COMPUTED_VALUE"""),"DIGITEC TECNOLOGIA DIGITAL E REPRES")</f>
        <v>DIGITEC TECNOLOGIA DIGITAL E REPRES</v>
      </c>
      <c r="E4800" s="21">
        <f>IFERROR(__xludf.DUMMYFUNCTION("""COMPUTED_VALUE"""),145359.0)</f>
        <v>145359</v>
      </c>
      <c r="F4800" s="21" t="str">
        <f>IFERROR(__xludf.DUMMYFUNCTION("""COMPUTED_VALUE"""),"INICIALIZADO")</f>
        <v>INICIALIZADO</v>
      </c>
      <c r="G4800" s="23">
        <f>IFERROR(__xludf.DUMMYFUNCTION("""COMPUTED_VALUE"""),45635.53497685185)</f>
        <v>45635.53498</v>
      </c>
      <c r="H4800" s="24" t="str">
        <f>IFERROR(VLOOKUP(B4800,material!A:D,3,0),"")</f>
        <v>3.1</v>
      </c>
    </row>
    <row r="4801" ht="11.25" customHeight="1">
      <c r="A4801" s="21" t="str">
        <f>IFERROR(__xludf.DUMMYFUNCTION("""COMPUTED_VALUE"""),"MODEM VOIP EMTA WIFI 3.1 CG3000")</f>
        <v>MODEM VOIP EMTA WIFI 3.1 CG3000</v>
      </c>
      <c r="B4801" s="22">
        <f>IFERROR(__xludf.DUMMYFUNCTION("""COMPUTED_VALUE"""),4.1001486E7)</f>
        <v>41001486</v>
      </c>
      <c r="C4801" s="21" t="str">
        <f>IFERROR(__xludf.DUMMYFUNCTION("""COMPUTED_VALUE"""),"9877E70A5B37")</f>
        <v>9877E70A5B37</v>
      </c>
      <c r="D4801" s="21" t="str">
        <f>IFERROR(__xludf.DUMMYFUNCTION("""COMPUTED_VALUE"""),"DIGITEC TECNOLOGIA DIGITAL E REPRES")</f>
        <v>DIGITEC TECNOLOGIA DIGITAL E REPRES</v>
      </c>
      <c r="E4801" s="21">
        <f>IFERROR(__xludf.DUMMYFUNCTION("""COMPUTED_VALUE"""),145359.0)</f>
        <v>145359</v>
      </c>
      <c r="F4801" s="21" t="str">
        <f>IFERROR(__xludf.DUMMYFUNCTION("""COMPUTED_VALUE"""),"INICIALIZADO")</f>
        <v>INICIALIZADO</v>
      </c>
      <c r="G4801" s="23">
        <f>IFERROR(__xludf.DUMMYFUNCTION("""COMPUTED_VALUE"""),45635.53497685185)</f>
        <v>45635.53498</v>
      </c>
      <c r="H4801" s="24" t="str">
        <f>IFERROR(VLOOKUP(B4801,material!A:D,3,0),"")</f>
        <v>3.1</v>
      </c>
    </row>
    <row r="4802" ht="11.25" customHeight="1">
      <c r="A4802" s="21" t="str">
        <f>IFERROR(__xludf.DUMMYFUNCTION("""COMPUTED_VALUE"""),"MODEM VOIP EMTA WIFI 3.1 CG3000")</f>
        <v>MODEM VOIP EMTA WIFI 3.1 CG3000</v>
      </c>
      <c r="B4802" s="22">
        <f>IFERROR(__xludf.DUMMYFUNCTION("""COMPUTED_VALUE"""),4.1001486E7)</f>
        <v>41001486</v>
      </c>
      <c r="C4802" s="21" t="str">
        <f>IFERROR(__xludf.DUMMYFUNCTION("""COMPUTED_VALUE"""),"9877E702ACAF")</f>
        <v>9877E702ACAF</v>
      </c>
      <c r="D4802" s="21" t="str">
        <f>IFERROR(__xludf.DUMMYFUNCTION("""COMPUTED_VALUE"""),"DIGITEC TECNOLOGIA DIGITAL E REPRES")</f>
        <v>DIGITEC TECNOLOGIA DIGITAL E REPRES</v>
      </c>
      <c r="E4802" s="21">
        <f>IFERROR(__xludf.DUMMYFUNCTION("""COMPUTED_VALUE"""),145359.0)</f>
        <v>145359</v>
      </c>
      <c r="F4802" s="21" t="str">
        <f>IFERROR(__xludf.DUMMYFUNCTION("""COMPUTED_VALUE"""),"INICIALIZADO")</f>
        <v>INICIALIZADO</v>
      </c>
      <c r="G4802" s="23">
        <f>IFERROR(__xludf.DUMMYFUNCTION("""COMPUTED_VALUE"""),45635.53498842593)</f>
        <v>45635.53499</v>
      </c>
      <c r="H4802" s="24" t="str">
        <f>IFERROR(VLOOKUP(B4802,material!A:D,3,0),"")</f>
        <v>3.1</v>
      </c>
    </row>
    <row r="4803" ht="11.25" customHeight="1">
      <c r="A4803" s="21" t="str">
        <f>IFERROR(__xludf.DUMMYFUNCTION("""COMPUTED_VALUE"""),"MODEM VOIP EMTA WIFI 3.1 CG3000")</f>
        <v>MODEM VOIP EMTA WIFI 3.1 CG3000</v>
      </c>
      <c r="B4803" s="22">
        <f>IFERROR(__xludf.DUMMYFUNCTION("""COMPUTED_VALUE"""),4.1001486E7)</f>
        <v>41001486</v>
      </c>
      <c r="C4803" s="21" t="str">
        <f>IFERROR(__xludf.DUMMYFUNCTION("""COMPUTED_VALUE"""),"9877E702E53B")</f>
        <v>9877E702E53B</v>
      </c>
      <c r="D4803" s="21" t="str">
        <f>IFERROR(__xludf.DUMMYFUNCTION("""COMPUTED_VALUE"""),"DIGITEC TECNOLOGIA DIGITAL E REPRES")</f>
        <v>DIGITEC TECNOLOGIA DIGITAL E REPRES</v>
      </c>
      <c r="E4803" s="21">
        <f>IFERROR(__xludf.DUMMYFUNCTION("""COMPUTED_VALUE"""),145359.0)</f>
        <v>145359</v>
      </c>
      <c r="F4803" s="21" t="str">
        <f>IFERROR(__xludf.DUMMYFUNCTION("""COMPUTED_VALUE"""),"INICIALIZADO")</f>
        <v>INICIALIZADO</v>
      </c>
      <c r="G4803" s="23">
        <f>IFERROR(__xludf.DUMMYFUNCTION("""COMPUTED_VALUE"""),45638.68789351852)</f>
        <v>45638.68789</v>
      </c>
      <c r="H4803" s="24" t="str">
        <f>IFERROR(VLOOKUP(B4803,material!A:D,3,0),"")</f>
        <v>3.1</v>
      </c>
    </row>
    <row r="4804" ht="11.25" customHeight="1">
      <c r="A4804" s="21" t="str">
        <f>IFERROR(__xludf.DUMMYFUNCTION("""COMPUTED_VALUE"""),"MODEM VOIP EMTA WIFI 3.1 CG3000")</f>
        <v>MODEM VOIP EMTA WIFI 3.1 CG3000</v>
      </c>
      <c r="B4804" s="22">
        <f>IFERROR(__xludf.DUMMYFUNCTION("""COMPUTED_VALUE"""),4.1001486E7)</f>
        <v>41001486</v>
      </c>
      <c r="C4804" s="21" t="str">
        <f>IFERROR(__xludf.DUMMYFUNCTION("""COMPUTED_VALUE"""),"9877E708C775")</f>
        <v>9877E708C775</v>
      </c>
      <c r="D4804" s="21" t="str">
        <f>IFERROR(__xludf.DUMMYFUNCTION("""COMPUTED_VALUE"""),"DIGITEC TECNOLOGIA DIGITAL E REPRES")</f>
        <v>DIGITEC TECNOLOGIA DIGITAL E REPRES</v>
      </c>
      <c r="E4804" s="21">
        <f>IFERROR(__xludf.DUMMYFUNCTION("""COMPUTED_VALUE"""),145359.0)</f>
        <v>145359</v>
      </c>
      <c r="F4804" s="21" t="str">
        <f>IFERROR(__xludf.DUMMYFUNCTION("""COMPUTED_VALUE"""),"INICIALIZADO")</f>
        <v>INICIALIZADO</v>
      </c>
      <c r="G4804" s="23">
        <f>IFERROR(__xludf.DUMMYFUNCTION("""COMPUTED_VALUE"""),45635.53497685185)</f>
        <v>45635.53498</v>
      </c>
      <c r="H4804" s="24" t="str">
        <f>IFERROR(VLOOKUP(B4804,material!A:D,3,0),"")</f>
        <v>3.1</v>
      </c>
    </row>
    <row r="4805" ht="11.25" customHeight="1">
      <c r="A4805" s="21" t="str">
        <f>IFERROR(__xludf.DUMMYFUNCTION("""COMPUTED_VALUE"""),"MODEM VOIP EMTA WIFI 3.1 CG3000")</f>
        <v>MODEM VOIP EMTA WIFI 3.1 CG3000</v>
      </c>
      <c r="B4805" s="22">
        <f>IFERROR(__xludf.DUMMYFUNCTION("""COMPUTED_VALUE"""),4.1001486E7)</f>
        <v>41001486</v>
      </c>
      <c r="C4805" s="21" t="str">
        <f>IFERROR(__xludf.DUMMYFUNCTION("""COMPUTED_VALUE"""),"9877E70BA1C1")</f>
        <v>9877E70BA1C1</v>
      </c>
      <c r="D4805" s="21" t="str">
        <f>IFERROR(__xludf.DUMMYFUNCTION("""COMPUTED_VALUE"""),"DIGITEC TECNOLOGIA DIGITAL E REPRES")</f>
        <v>DIGITEC TECNOLOGIA DIGITAL E REPRES</v>
      </c>
      <c r="E4805" s="21">
        <f>IFERROR(__xludf.DUMMYFUNCTION("""COMPUTED_VALUE"""),145359.0)</f>
        <v>145359</v>
      </c>
      <c r="F4805" s="21" t="str">
        <f>IFERROR(__xludf.DUMMYFUNCTION("""COMPUTED_VALUE"""),"INICIALIZADO")</f>
        <v>INICIALIZADO</v>
      </c>
      <c r="G4805" s="23">
        <f>IFERROR(__xludf.DUMMYFUNCTION("""COMPUTED_VALUE"""),45635.53497685185)</f>
        <v>45635.53498</v>
      </c>
      <c r="H4805" s="24" t="str">
        <f>IFERROR(VLOOKUP(B4805,material!A:D,3,0),"")</f>
        <v>3.1</v>
      </c>
    </row>
    <row r="4806" ht="11.25" customHeight="1">
      <c r="A4806" s="21" t="str">
        <f>IFERROR(__xludf.DUMMYFUNCTION("""COMPUTED_VALUE"""),"MODEM VOIP EMTA WIFI 3.1 CG3000")</f>
        <v>MODEM VOIP EMTA WIFI 3.1 CG3000</v>
      </c>
      <c r="B4806" s="22">
        <f>IFERROR(__xludf.DUMMYFUNCTION("""COMPUTED_VALUE"""),4.1001486E7)</f>
        <v>41001486</v>
      </c>
      <c r="C4806" s="21" t="str">
        <f>IFERROR(__xludf.DUMMYFUNCTION("""COMPUTED_VALUE"""),"9877E702DBBE")</f>
        <v>9877E702DBBE</v>
      </c>
      <c r="D4806" s="21" t="str">
        <f>IFERROR(__xludf.DUMMYFUNCTION("""COMPUTED_VALUE"""),"DIGITEC TECNOLOGIA DIGITAL E REPRES")</f>
        <v>DIGITEC TECNOLOGIA DIGITAL E REPRES</v>
      </c>
      <c r="E4806" s="21">
        <f>IFERROR(__xludf.DUMMYFUNCTION("""COMPUTED_VALUE"""),145359.0)</f>
        <v>145359</v>
      </c>
      <c r="F4806" s="21" t="str">
        <f>IFERROR(__xludf.DUMMYFUNCTION("""COMPUTED_VALUE"""),"INICIALIZADO")</f>
        <v>INICIALIZADO</v>
      </c>
      <c r="G4806" s="23">
        <f>IFERROR(__xludf.DUMMYFUNCTION("""COMPUTED_VALUE"""),45635.53498842593)</f>
        <v>45635.53499</v>
      </c>
      <c r="H4806" s="24" t="str">
        <f>IFERROR(VLOOKUP(B4806,material!A:D,3,0),"")</f>
        <v>3.1</v>
      </c>
    </row>
    <row r="4807" ht="11.25" customHeight="1">
      <c r="A4807" s="21" t="str">
        <f>IFERROR(__xludf.DUMMYFUNCTION("""COMPUTED_VALUE"""),"MODEM VOIP EMTA WIFI 3.1 CG3000")</f>
        <v>MODEM VOIP EMTA WIFI 3.1 CG3000</v>
      </c>
      <c r="B4807" s="22">
        <f>IFERROR(__xludf.DUMMYFUNCTION("""COMPUTED_VALUE"""),4.1001486E7)</f>
        <v>41001486</v>
      </c>
      <c r="C4807" s="21" t="str">
        <f>IFERROR(__xludf.DUMMYFUNCTION("""COMPUTED_VALUE"""),"9877E7059C2B")</f>
        <v>9877E7059C2B</v>
      </c>
      <c r="D4807" s="21" t="str">
        <f>IFERROR(__xludf.DUMMYFUNCTION("""COMPUTED_VALUE"""),"DIGITEC TECNOLOGIA DIGITAL E REPRES")</f>
        <v>DIGITEC TECNOLOGIA DIGITAL E REPRES</v>
      </c>
      <c r="E4807" s="21">
        <f>IFERROR(__xludf.DUMMYFUNCTION("""COMPUTED_VALUE"""),145359.0)</f>
        <v>145359</v>
      </c>
      <c r="F4807" s="21" t="str">
        <f>IFERROR(__xludf.DUMMYFUNCTION("""COMPUTED_VALUE"""),"INICIALIZADO")</f>
        <v>INICIALIZADO</v>
      </c>
      <c r="G4807" s="23">
        <f>IFERROR(__xludf.DUMMYFUNCTION("""COMPUTED_VALUE"""),45635.53498842593)</f>
        <v>45635.53499</v>
      </c>
      <c r="H4807" s="24" t="str">
        <f>IFERROR(VLOOKUP(B4807,material!A:D,3,0),"")</f>
        <v>3.1</v>
      </c>
    </row>
    <row r="4808" ht="11.25" customHeight="1">
      <c r="A4808" s="21" t="str">
        <f>IFERROR(__xludf.DUMMYFUNCTION("""COMPUTED_VALUE"""),"MODEM VOIP EMTA WIFI 3.1 CG3000")</f>
        <v>MODEM VOIP EMTA WIFI 3.1 CG3000</v>
      </c>
      <c r="B4808" s="22">
        <f>IFERROR(__xludf.DUMMYFUNCTION("""COMPUTED_VALUE"""),4.1001486E7)</f>
        <v>41001486</v>
      </c>
      <c r="C4808" s="21" t="str">
        <f>IFERROR(__xludf.DUMMYFUNCTION("""COMPUTED_VALUE"""),"9877E70566F5")</f>
        <v>9877E70566F5</v>
      </c>
      <c r="D4808" s="21" t="str">
        <f>IFERROR(__xludf.DUMMYFUNCTION("""COMPUTED_VALUE"""),"DIGITEC TECNOLOGIA DIGITAL E REPRES")</f>
        <v>DIGITEC TECNOLOGIA DIGITAL E REPRES</v>
      </c>
      <c r="E4808" s="21">
        <f>IFERROR(__xludf.DUMMYFUNCTION("""COMPUTED_VALUE"""),145359.0)</f>
        <v>145359</v>
      </c>
      <c r="F4808" s="21" t="str">
        <f>IFERROR(__xludf.DUMMYFUNCTION("""COMPUTED_VALUE"""),"INICIALIZADO")</f>
        <v>INICIALIZADO</v>
      </c>
      <c r="G4808" s="23">
        <f>IFERROR(__xludf.DUMMYFUNCTION("""COMPUTED_VALUE"""),45582.500439814816)</f>
        <v>45582.50044</v>
      </c>
      <c r="H4808" s="24" t="str">
        <f>IFERROR(VLOOKUP(B4808,material!A:D,3,0),"")</f>
        <v>3.1</v>
      </c>
    </row>
    <row r="4809" ht="11.25" customHeight="1">
      <c r="A4809" s="21" t="str">
        <f>IFERROR(__xludf.DUMMYFUNCTION("""COMPUTED_VALUE"""),"MODEM VOIP EMTA WIFI 3.1 CG3000")</f>
        <v>MODEM VOIP EMTA WIFI 3.1 CG3000</v>
      </c>
      <c r="B4809" s="22">
        <f>IFERROR(__xludf.DUMMYFUNCTION("""COMPUTED_VALUE"""),4.1001486E7)</f>
        <v>41001486</v>
      </c>
      <c r="C4809" s="21" t="str">
        <f>IFERROR(__xludf.DUMMYFUNCTION("""COMPUTED_VALUE"""),"9877E7024530")</f>
        <v>9877E7024530</v>
      </c>
      <c r="D4809" s="21" t="str">
        <f>IFERROR(__xludf.DUMMYFUNCTION("""COMPUTED_VALUE"""),"DIGITEC TECNOLOGIA DIGITAL E REPRES")</f>
        <v>DIGITEC TECNOLOGIA DIGITAL E REPRES</v>
      </c>
      <c r="E4809" s="21">
        <f>IFERROR(__xludf.DUMMYFUNCTION("""COMPUTED_VALUE"""),145359.0)</f>
        <v>145359</v>
      </c>
      <c r="F4809" s="21" t="str">
        <f>IFERROR(__xludf.DUMMYFUNCTION("""COMPUTED_VALUE"""),"INICIALIZADO")</f>
        <v>INICIALIZADO</v>
      </c>
      <c r="G4809" s="23">
        <f>IFERROR(__xludf.DUMMYFUNCTION("""COMPUTED_VALUE"""),45635.53498842593)</f>
        <v>45635.53499</v>
      </c>
      <c r="H4809" s="24" t="str">
        <f>IFERROR(VLOOKUP(B4809,material!A:D,3,0),"")</f>
        <v>3.1</v>
      </c>
    </row>
    <row r="4810" ht="11.25" customHeight="1">
      <c r="A4810" s="21" t="str">
        <f>IFERROR(__xludf.DUMMYFUNCTION("""COMPUTED_VALUE"""),"MODEM VOIP EMTA WIFI 3.1 CG3000")</f>
        <v>MODEM VOIP EMTA WIFI 3.1 CG3000</v>
      </c>
      <c r="B4810" s="22">
        <f>IFERROR(__xludf.DUMMYFUNCTION("""COMPUTED_VALUE"""),4.1001486E7)</f>
        <v>41001486</v>
      </c>
      <c r="C4810" s="21" t="str">
        <f>IFERROR(__xludf.DUMMYFUNCTION("""COMPUTED_VALUE"""),"9877E705B5A0")</f>
        <v>9877E705B5A0</v>
      </c>
      <c r="D4810" s="21" t="str">
        <f>IFERROR(__xludf.DUMMYFUNCTION("""COMPUTED_VALUE"""),"DIGITEC TECNOLOGIA DIGITAL E REPRES")</f>
        <v>DIGITEC TECNOLOGIA DIGITAL E REPRES</v>
      </c>
      <c r="E4810" s="21">
        <f>IFERROR(__xludf.DUMMYFUNCTION("""COMPUTED_VALUE"""),145359.0)</f>
        <v>145359</v>
      </c>
      <c r="F4810" s="21" t="str">
        <f>IFERROR(__xludf.DUMMYFUNCTION("""COMPUTED_VALUE"""),"INICIALIZADO")</f>
        <v>INICIALIZADO</v>
      </c>
      <c r="G4810" s="23">
        <f>IFERROR(__xludf.DUMMYFUNCTION("""COMPUTED_VALUE"""),45635.53497685185)</f>
        <v>45635.53498</v>
      </c>
      <c r="H4810" s="24" t="str">
        <f>IFERROR(VLOOKUP(B4810,material!A:D,3,0),"")</f>
        <v>3.1</v>
      </c>
    </row>
    <row r="4811" ht="11.25" customHeight="1">
      <c r="A4811" s="21" t="str">
        <f>IFERROR(__xludf.DUMMYFUNCTION("""COMPUTED_VALUE"""),"MODEM VOIP EMTA WIFI 3.1 CG3000")</f>
        <v>MODEM VOIP EMTA WIFI 3.1 CG3000</v>
      </c>
      <c r="B4811" s="22">
        <f>IFERROR(__xludf.DUMMYFUNCTION("""COMPUTED_VALUE"""),4.1001486E7)</f>
        <v>41001486</v>
      </c>
      <c r="C4811" s="21" t="str">
        <f>IFERROR(__xludf.DUMMYFUNCTION("""COMPUTED_VALUE"""),"1834AF29AB69")</f>
        <v>1834AF29AB69</v>
      </c>
      <c r="D4811" s="21" t="str">
        <f>IFERROR(__xludf.DUMMYFUNCTION("""COMPUTED_VALUE"""),"DIGITEC TECNOLOGIA DIGITAL E REPRES")</f>
        <v>DIGITEC TECNOLOGIA DIGITAL E REPRES</v>
      </c>
      <c r="E4811" s="21">
        <f>IFERROR(__xludf.DUMMYFUNCTION("""COMPUTED_VALUE"""),145359.0)</f>
        <v>145359</v>
      </c>
      <c r="F4811" s="21" t="str">
        <f>IFERROR(__xludf.DUMMYFUNCTION("""COMPUTED_VALUE"""),"INICIALIZADO")</f>
        <v>INICIALIZADO</v>
      </c>
      <c r="G4811" s="23">
        <f>IFERROR(__xludf.DUMMYFUNCTION("""COMPUTED_VALUE"""),45635.535)</f>
        <v>45635.535</v>
      </c>
      <c r="H4811" s="24" t="str">
        <f>IFERROR(VLOOKUP(B4811,material!A:D,3,0),"")</f>
        <v>3.1</v>
      </c>
    </row>
    <row r="4812" ht="11.25" customHeight="1">
      <c r="A4812" s="21" t="str">
        <f>IFERROR(__xludf.DUMMYFUNCTION("""COMPUTED_VALUE"""),"MODEM VOIP EMTA WIFI 3.1 CG3000")</f>
        <v>MODEM VOIP EMTA WIFI 3.1 CG3000</v>
      </c>
      <c r="B4812" s="22">
        <f>IFERROR(__xludf.DUMMYFUNCTION("""COMPUTED_VALUE"""),4.1001486E7)</f>
        <v>41001486</v>
      </c>
      <c r="C4812" s="21" t="str">
        <f>IFERROR(__xludf.DUMMYFUNCTION("""COMPUTED_VALUE"""),"1834AF61B098")</f>
        <v>1834AF61B098</v>
      </c>
      <c r="D4812" s="21" t="str">
        <f>IFERROR(__xludf.DUMMYFUNCTION("""COMPUTED_VALUE"""),"DIGITEC TECNOLOGIA DIGITAL E REPRES")</f>
        <v>DIGITEC TECNOLOGIA DIGITAL E REPRES</v>
      </c>
      <c r="E4812" s="21">
        <f>IFERROR(__xludf.DUMMYFUNCTION("""COMPUTED_VALUE"""),145359.0)</f>
        <v>145359</v>
      </c>
      <c r="F4812" s="21" t="str">
        <f>IFERROR(__xludf.DUMMYFUNCTION("""COMPUTED_VALUE"""),"INICIALIZADO")</f>
        <v>INICIALIZADO</v>
      </c>
      <c r="G4812" s="23">
        <f>IFERROR(__xludf.DUMMYFUNCTION("""COMPUTED_VALUE"""),45638.68790509259)</f>
        <v>45638.68791</v>
      </c>
      <c r="H4812" s="24" t="str">
        <f>IFERROR(VLOOKUP(B4812,material!A:D,3,0),"")</f>
        <v>3.1</v>
      </c>
    </row>
    <row r="4813" ht="11.25" customHeight="1">
      <c r="A4813" s="21" t="str">
        <f>IFERROR(__xludf.DUMMYFUNCTION("""COMPUTED_VALUE"""),"MODEM VOIP EMTA WIFI 3.1 CG3000")</f>
        <v>MODEM VOIP EMTA WIFI 3.1 CG3000</v>
      </c>
      <c r="B4813" s="22">
        <f>IFERROR(__xludf.DUMMYFUNCTION("""COMPUTED_VALUE"""),4.1001486E7)</f>
        <v>41001486</v>
      </c>
      <c r="C4813" s="21" t="str">
        <f>IFERROR(__xludf.DUMMYFUNCTION("""COMPUTED_VALUE"""),"1834AF629B11")</f>
        <v>1834AF629B11</v>
      </c>
      <c r="D4813" s="21" t="str">
        <f>IFERROR(__xludf.DUMMYFUNCTION("""COMPUTED_VALUE"""),"DIGITEC TECNOLOGIA DIGITAL E REPRES")</f>
        <v>DIGITEC TECNOLOGIA DIGITAL E REPRES</v>
      </c>
      <c r="E4813" s="21">
        <f>IFERROR(__xludf.DUMMYFUNCTION("""COMPUTED_VALUE"""),145359.0)</f>
        <v>145359</v>
      </c>
      <c r="F4813" s="21" t="str">
        <f>IFERROR(__xludf.DUMMYFUNCTION("""COMPUTED_VALUE"""),"INICIALIZADO")</f>
        <v>INICIALIZADO</v>
      </c>
      <c r="G4813" s="23">
        <f>IFERROR(__xludf.DUMMYFUNCTION("""COMPUTED_VALUE"""),45635.535)</f>
        <v>45635.535</v>
      </c>
      <c r="H4813" s="24" t="str">
        <f>IFERROR(VLOOKUP(B4813,material!A:D,3,0),"")</f>
        <v>3.1</v>
      </c>
    </row>
    <row r="4814" ht="11.25" customHeight="1">
      <c r="A4814" s="21" t="str">
        <f>IFERROR(__xludf.DUMMYFUNCTION("""COMPUTED_VALUE"""),"MODEM VOIP EMTA WIFI 3.1 CG3000")</f>
        <v>MODEM VOIP EMTA WIFI 3.1 CG3000</v>
      </c>
      <c r="B4814" s="22">
        <f>IFERROR(__xludf.DUMMYFUNCTION("""COMPUTED_VALUE"""),4.1001486E7)</f>
        <v>41001486</v>
      </c>
      <c r="C4814" s="21" t="str">
        <f>IFERROR(__xludf.DUMMYFUNCTION("""COMPUTED_VALUE"""),"840112EB82A4")</f>
        <v>840112EB82A4</v>
      </c>
      <c r="D4814" s="21" t="str">
        <f>IFERROR(__xludf.DUMMYFUNCTION("""COMPUTED_VALUE"""),"DIGITEC TECNOLOGIA DIGITAL E REPRES")</f>
        <v>DIGITEC TECNOLOGIA DIGITAL E REPRES</v>
      </c>
      <c r="E4814" s="21">
        <f>IFERROR(__xludf.DUMMYFUNCTION("""COMPUTED_VALUE"""),145359.0)</f>
        <v>145359</v>
      </c>
      <c r="F4814" s="21" t="str">
        <f>IFERROR(__xludf.DUMMYFUNCTION("""COMPUTED_VALUE"""),"INICIALIZADO")</f>
        <v>INICIALIZADO</v>
      </c>
      <c r="G4814" s="23">
        <f>IFERROR(__xludf.DUMMYFUNCTION("""COMPUTED_VALUE"""),45635.53498842593)</f>
        <v>45635.53499</v>
      </c>
      <c r="H4814" s="24" t="str">
        <f>IFERROR(VLOOKUP(B4814,material!A:D,3,0),"")</f>
        <v>3.1</v>
      </c>
    </row>
    <row r="4815" ht="11.25" customHeight="1">
      <c r="A4815" s="21" t="str">
        <f>IFERROR(__xludf.DUMMYFUNCTION("""COMPUTED_VALUE"""),"MODEM VOIP EMTA WIFI 3.1 CG3000")</f>
        <v>MODEM VOIP EMTA WIFI 3.1 CG3000</v>
      </c>
      <c r="B4815" s="22">
        <f>IFERROR(__xludf.DUMMYFUNCTION("""COMPUTED_VALUE"""),4.1001486E7)</f>
        <v>41001486</v>
      </c>
      <c r="C4815" s="21" t="str">
        <f>IFERROR(__xludf.DUMMYFUNCTION("""COMPUTED_VALUE"""),"840112ECE336")</f>
        <v>840112ECE336</v>
      </c>
      <c r="D4815" s="21" t="str">
        <f>IFERROR(__xludf.DUMMYFUNCTION("""COMPUTED_VALUE"""),"DIGITEC TECNOLOGIA DIGITAL E REPRES")</f>
        <v>DIGITEC TECNOLOGIA DIGITAL E REPRES</v>
      </c>
      <c r="E4815" s="21">
        <f>IFERROR(__xludf.DUMMYFUNCTION("""COMPUTED_VALUE"""),145359.0)</f>
        <v>145359</v>
      </c>
      <c r="F4815" s="21" t="str">
        <f>IFERROR(__xludf.DUMMYFUNCTION("""COMPUTED_VALUE"""),"INICIALIZADO")</f>
        <v>INICIALIZADO</v>
      </c>
      <c r="G4815" s="23">
        <f>IFERROR(__xludf.DUMMYFUNCTION("""COMPUTED_VALUE"""),45635.53498842593)</f>
        <v>45635.53499</v>
      </c>
      <c r="H4815" s="24" t="str">
        <f>IFERROR(VLOOKUP(B4815,material!A:D,3,0),"")</f>
        <v>3.1</v>
      </c>
    </row>
    <row r="4816" ht="11.25" customHeight="1">
      <c r="A4816" s="21" t="str">
        <f>IFERROR(__xludf.DUMMYFUNCTION("""COMPUTED_VALUE"""),"MODEM VOIP EMTA WIFI 3.1 CG3000")</f>
        <v>MODEM VOIP EMTA WIFI 3.1 CG3000</v>
      </c>
      <c r="B4816" s="22">
        <f>IFERROR(__xludf.DUMMYFUNCTION("""COMPUTED_VALUE"""),4.1001486E7)</f>
        <v>41001486</v>
      </c>
      <c r="C4816" s="21" t="str">
        <f>IFERROR(__xludf.DUMMYFUNCTION("""COMPUTED_VALUE"""),"9877E747EA36")</f>
        <v>9877E747EA36</v>
      </c>
      <c r="D4816" s="21" t="str">
        <f>IFERROR(__xludf.DUMMYFUNCTION("""COMPUTED_VALUE"""),"DIGITEC TECNOLOGIA DIGITAL E REPRES")</f>
        <v>DIGITEC TECNOLOGIA DIGITAL E REPRES</v>
      </c>
      <c r="E4816" s="21">
        <f>IFERROR(__xludf.DUMMYFUNCTION("""COMPUTED_VALUE"""),145359.0)</f>
        <v>145359</v>
      </c>
      <c r="F4816" s="21" t="str">
        <f>IFERROR(__xludf.DUMMYFUNCTION("""COMPUTED_VALUE"""),"INICIALIZADO")</f>
        <v>INICIALIZADO</v>
      </c>
      <c r="G4816" s="23">
        <f>IFERROR(__xludf.DUMMYFUNCTION("""COMPUTED_VALUE"""),45635.53497685185)</f>
        <v>45635.53498</v>
      </c>
      <c r="H4816" s="24" t="str">
        <f>IFERROR(VLOOKUP(B4816,material!A:D,3,0),"")</f>
        <v>3.1</v>
      </c>
    </row>
    <row r="4817" ht="11.25" customHeight="1">
      <c r="A4817" s="21" t="str">
        <f>IFERROR(__xludf.DUMMYFUNCTION("""COMPUTED_VALUE"""),"MODEM VOIP EMTA WIFI 3.1 CG3000")</f>
        <v>MODEM VOIP EMTA WIFI 3.1 CG3000</v>
      </c>
      <c r="B4817" s="22">
        <f>IFERROR(__xludf.DUMMYFUNCTION("""COMPUTED_VALUE"""),4.1001486E7)</f>
        <v>41001486</v>
      </c>
      <c r="C4817" s="21" t="str">
        <f>IFERROR(__xludf.DUMMYFUNCTION("""COMPUTED_VALUE"""),"9877E7472EFD")</f>
        <v>9877E7472EFD</v>
      </c>
      <c r="D4817" s="21" t="str">
        <f>IFERROR(__xludf.DUMMYFUNCTION("""COMPUTED_VALUE"""),"DIGITEC TECNOLOGIA DIGITAL E REPRES")</f>
        <v>DIGITEC TECNOLOGIA DIGITAL E REPRES</v>
      </c>
      <c r="E4817" s="21">
        <f>IFERROR(__xludf.DUMMYFUNCTION("""COMPUTED_VALUE"""),145359.0)</f>
        <v>145359</v>
      </c>
      <c r="F4817" s="21" t="str">
        <f>IFERROR(__xludf.DUMMYFUNCTION("""COMPUTED_VALUE"""),"INICIALIZADO")</f>
        <v>INICIALIZADO</v>
      </c>
      <c r="G4817" s="23">
        <f>IFERROR(__xludf.DUMMYFUNCTION("""COMPUTED_VALUE"""),45635.53497685185)</f>
        <v>45635.53498</v>
      </c>
      <c r="H4817" s="24" t="str">
        <f>IFERROR(VLOOKUP(B4817,material!A:D,3,0),"")</f>
        <v>3.1</v>
      </c>
    </row>
    <row r="4818" ht="11.25" customHeight="1">
      <c r="A4818" s="21" t="str">
        <f>IFERROR(__xludf.DUMMYFUNCTION("""COMPUTED_VALUE"""),"MODEM VOIP EMTA WIFI 3.1 CG3000")</f>
        <v>MODEM VOIP EMTA WIFI 3.1 CG3000</v>
      </c>
      <c r="B4818" s="22">
        <f>IFERROR(__xludf.DUMMYFUNCTION("""COMPUTED_VALUE"""),4.1001486E7)</f>
        <v>41001486</v>
      </c>
      <c r="C4818" s="21" t="str">
        <f>IFERROR(__xludf.DUMMYFUNCTION("""COMPUTED_VALUE"""),"9877E70A3375")</f>
        <v>9877E70A3375</v>
      </c>
      <c r="D4818" s="21" t="str">
        <f>IFERROR(__xludf.DUMMYFUNCTION("""COMPUTED_VALUE"""),"DIGITEC TECNOLOGIA DIGITAL E REPRES")</f>
        <v>DIGITEC TECNOLOGIA DIGITAL E REPRES</v>
      </c>
      <c r="E4818" s="21">
        <f>IFERROR(__xludf.DUMMYFUNCTION("""COMPUTED_VALUE"""),145359.0)</f>
        <v>145359</v>
      </c>
      <c r="F4818" s="21" t="str">
        <f>IFERROR(__xludf.DUMMYFUNCTION("""COMPUTED_VALUE"""),"INICIALIZADO")</f>
        <v>INICIALIZADO</v>
      </c>
      <c r="G4818" s="23">
        <f>IFERROR(__xludf.DUMMYFUNCTION("""COMPUTED_VALUE"""),45635.53497685185)</f>
        <v>45635.53498</v>
      </c>
      <c r="H4818" s="24" t="str">
        <f>IFERROR(VLOOKUP(B4818,material!A:D,3,0),"")</f>
        <v>3.1</v>
      </c>
    </row>
    <row r="4819" ht="11.25" customHeight="1">
      <c r="A4819" s="21" t="str">
        <f>IFERROR(__xludf.DUMMYFUNCTION("""COMPUTED_VALUE"""),"MODEM VOIP EMTA WIFI 3.1 CG3000")</f>
        <v>MODEM VOIP EMTA WIFI 3.1 CG3000</v>
      </c>
      <c r="B4819" s="22">
        <f>IFERROR(__xludf.DUMMYFUNCTION("""COMPUTED_VALUE"""),4.1001486E7)</f>
        <v>41001486</v>
      </c>
      <c r="C4819" s="21" t="str">
        <f>IFERROR(__xludf.DUMMYFUNCTION("""COMPUTED_VALUE"""),"9877E7491FCC")</f>
        <v>9877E7491FCC</v>
      </c>
      <c r="D4819" s="21" t="str">
        <f>IFERROR(__xludf.DUMMYFUNCTION("""COMPUTED_VALUE"""),"DIGITEC TECNOLOGIA DIGITAL E REPRES")</f>
        <v>DIGITEC TECNOLOGIA DIGITAL E REPRES</v>
      </c>
      <c r="E4819" s="21">
        <f>IFERROR(__xludf.DUMMYFUNCTION("""COMPUTED_VALUE"""),145359.0)</f>
        <v>145359</v>
      </c>
      <c r="F4819" s="21" t="str">
        <f>IFERROR(__xludf.DUMMYFUNCTION("""COMPUTED_VALUE"""),"INICIALIZADO")</f>
        <v>INICIALIZADO</v>
      </c>
      <c r="G4819" s="23">
        <f>IFERROR(__xludf.DUMMYFUNCTION("""COMPUTED_VALUE"""),45638.68790509259)</f>
        <v>45638.68791</v>
      </c>
      <c r="H4819" s="24" t="str">
        <f>IFERROR(VLOOKUP(B4819,material!A:D,3,0),"")</f>
        <v>3.1</v>
      </c>
    </row>
    <row r="4820" ht="11.25" customHeight="1">
      <c r="A4820" s="21" t="str">
        <f>IFERROR(__xludf.DUMMYFUNCTION("""COMPUTED_VALUE"""),"MODEM VOIP EMTA WIFI 3.1 CG3000")</f>
        <v>MODEM VOIP EMTA WIFI 3.1 CG3000</v>
      </c>
      <c r="B4820" s="22">
        <f>IFERROR(__xludf.DUMMYFUNCTION("""COMPUTED_VALUE"""),4.1001486E7)</f>
        <v>41001486</v>
      </c>
      <c r="C4820" s="21" t="str">
        <f>IFERROR(__xludf.DUMMYFUNCTION("""COMPUTED_VALUE"""),"9877E7082078")</f>
        <v>9877E7082078</v>
      </c>
      <c r="D4820" s="21" t="str">
        <f>IFERROR(__xludf.DUMMYFUNCTION("""COMPUTED_VALUE"""),"DIGITEC TECNOLOGIA DIGITAL E REPRES")</f>
        <v>DIGITEC TECNOLOGIA DIGITAL E REPRES</v>
      </c>
      <c r="E4820" s="21">
        <f>IFERROR(__xludf.DUMMYFUNCTION("""COMPUTED_VALUE"""),145359.0)</f>
        <v>145359</v>
      </c>
      <c r="F4820" s="21" t="str">
        <f>IFERROR(__xludf.DUMMYFUNCTION("""COMPUTED_VALUE"""),"INICIALIZADO")</f>
        <v>INICIALIZADO</v>
      </c>
      <c r="G4820" s="23">
        <f>IFERROR(__xludf.DUMMYFUNCTION("""COMPUTED_VALUE"""),45635.53497685185)</f>
        <v>45635.53498</v>
      </c>
      <c r="H4820" s="24" t="str">
        <f>IFERROR(VLOOKUP(B4820,material!A:D,3,0),"")</f>
        <v>3.1</v>
      </c>
    </row>
    <row r="4821" ht="11.25" customHeight="1">
      <c r="A4821" s="21" t="str">
        <f>IFERROR(__xludf.DUMMYFUNCTION("""COMPUTED_VALUE"""),"MODEM VOIP EMTA WIFI 3.1 CG3000")</f>
        <v>MODEM VOIP EMTA WIFI 3.1 CG3000</v>
      </c>
      <c r="B4821" s="22">
        <f>IFERROR(__xludf.DUMMYFUNCTION("""COMPUTED_VALUE"""),4.1001486E7)</f>
        <v>41001486</v>
      </c>
      <c r="C4821" s="21" t="str">
        <f>IFERROR(__xludf.DUMMYFUNCTION("""COMPUTED_VALUE"""),"1834AF264C47")</f>
        <v>1834AF264C47</v>
      </c>
      <c r="D4821" s="21" t="str">
        <f>IFERROR(__xludf.DUMMYFUNCTION("""COMPUTED_VALUE"""),"DIGITEC TECNOLOGIA DIGITAL E REPRES")</f>
        <v>DIGITEC TECNOLOGIA DIGITAL E REPRES</v>
      </c>
      <c r="E4821" s="21">
        <f>IFERROR(__xludf.DUMMYFUNCTION("""COMPUTED_VALUE"""),145359.0)</f>
        <v>145359</v>
      </c>
      <c r="F4821" s="21" t="str">
        <f>IFERROR(__xludf.DUMMYFUNCTION("""COMPUTED_VALUE"""),"INICIALIZADO")</f>
        <v>INICIALIZADO</v>
      </c>
      <c r="G4821" s="23">
        <f>IFERROR(__xludf.DUMMYFUNCTION("""COMPUTED_VALUE"""),45635.535)</f>
        <v>45635.535</v>
      </c>
      <c r="H4821" s="24" t="str">
        <f>IFERROR(VLOOKUP(B4821,material!A:D,3,0),"")</f>
        <v>3.1</v>
      </c>
    </row>
    <row r="4822" ht="11.25" customHeight="1">
      <c r="A4822" s="21" t="str">
        <f>IFERROR(__xludf.DUMMYFUNCTION("""COMPUTED_VALUE"""),"MODEM VOIP EMTA WIFI 3.1 CG3000")</f>
        <v>MODEM VOIP EMTA WIFI 3.1 CG3000</v>
      </c>
      <c r="B4822" s="22">
        <f>IFERROR(__xludf.DUMMYFUNCTION("""COMPUTED_VALUE"""),4.1001486E7)</f>
        <v>41001486</v>
      </c>
      <c r="C4822" s="21" t="str">
        <f>IFERROR(__xludf.DUMMYFUNCTION("""COMPUTED_VALUE"""),"840112EBFFCB")</f>
        <v>840112EBFFCB</v>
      </c>
      <c r="D4822" s="21" t="str">
        <f>IFERROR(__xludf.DUMMYFUNCTION("""COMPUTED_VALUE"""),"DIGITEC TECNOLOGIA DIGITAL E REPRES")</f>
        <v>DIGITEC TECNOLOGIA DIGITAL E REPRES</v>
      </c>
      <c r="E4822" s="21">
        <f>IFERROR(__xludf.DUMMYFUNCTION("""COMPUTED_VALUE"""),145359.0)</f>
        <v>145359</v>
      </c>
      <c r="F4822" s="21" t="str">
        <f>IFERROR(__xludf.DUMMYFUNCTION("""COMPUTED_VALUE"""),"INICIALIZADO")</f>
        <v>INICIALIZADO</v>
      </c>
      <c r="G4822" s="23">
        <f>IFERROR(__xludf.DUMMYFUNCTION("""COMPUTED_VALUE"""),45635.53498842593)</f>
        <v>45635.53499</v>
      </c>
      <c r="H4822" s="24" t="str">
        <f>IFERROR(VLOOKUP(B4822,material!A:D,3,0),"")</f>
        <v>3.1</v>
      </c>
    </row>
    <row r="4823" ht="11.25" customHeight="1">
      <c r="A4823" s="21" t="str">
        <f>IFERROR(__xludf.DUMMYFUNCTION("""COMPUTED_VALUE"""),"MODEM VOIP EMTA WIFI 3.1 CG3000")</f>
        <v>MODEM VOIP EMTA WIFI 3.1 CG3000</v>
      </c>
      <c r="B4823" s="22">
        <f>IFERROR(__xludf.DUMMYFUNCTION("""COMPUTED_VALUE"""),4.1001486E7)</f>
        <v>41001486</v>
      </c>
      <c r="C4823" s="21" t="str">
        <f>IFERROR(__xludf.DUMMYFUNCTION("""COMPUTED_VALUE"""),"9877E74ACEBC")</f>
        <v>9877E74ACEBC</v>
      </c>
      <c r="D4823" s="21" t="str">
        <f>IFERROR(__xludf.DUMMYFUNCTION("""COMPUTED_VALUE"""),"DIGITEC TECNOLOGIA DIGITAL E REPRES")</f>
        <v>DIGITEC TECNOLOGIA DIGITAL E REPRES</v>
      </c>
      <c r="E4823" s="21">
        <f>IFERROR(__xludf.DUMMYFUNCTION("""COMPUTED_VALUE"""),145359.0)</f>
        <v>145359</v>
      </c>
      <c r="F4823" s="21" t="str">
        <f>IFERROR(__xludf.DUMMYFUNCTION("""COMPUTED_VALUE"""),"INICIALIZADO")</f>
        <v>INICIALIZADO</v>
      </c>
      <c r="G4823" s="23">
        <f>IFERROR(__xludf.DUMMYFUNCTION("""COMPUTED_VALUE"""),45635.53497685185)</f>
        <v>45635.53498</v>
      </c>
      <c r="H4823" s="24" t="str">
        <f>IFERROR(VLOOKUP(B4823,material!A:D,3,0),"")</f>
        <v>3.1</v>
      </c>
    </row>
    <row r="4824" ht="11.25" customHeight="1">
      <c r="A4824" s="21" t="str">
        <f>IFERROR(__xludf.DUMMYFUNCTION("""COMPUTED_VALUE"""),"MODEM VOIP EMTA WIFI 3.1 CG3000")</f>
        <v>MODEM VOIP EMTA WIFI 3.1 CG3000</v>
      </c>
      <c r="B4824" s="22">
        <f>IFERROR(__xludf.DUMMYFUNCTION("""COMPUTED_VALUE"""),4.1001486E7)</f>
        <v>41001486</v>
      </c>
      <c r="C4824" s="21" t="str">
        <f>IFERROR(__xludf.DUMMYFUNCTION("""COMPUTED_VALUE"""),"9877E74A8DB6")</f>
        <v>9877E74A8DB6</v>
      </c>
      <c r="D4824" s="21" t="str">
        <f>IFERROR(__xludf.DUMMYFUNCTION("""COMPUTED_VALUE"""),"DIGITEC TECNOLOGIA DIGITAL E REPRES")</f>
        <v>DIGITEC TECNOLOGIA DIGITAL E REPRES</v>
      </c>
      <c r="E4824" s="21">
        <f>IFERROR(__xludf.DUMMYFUNCTION("""COMPUTED_VALUE"""),145359.0)</f>
        <v>145359</v>
      </c>
      <c r="F4824" s="21" t="str">
        <f>IFERROR(__xludf.DUMMYFUNCTION("""COMPUTED_VALUE"""),"INICIALIZADO")</f>
        <v>INICIALIZADO</v>
      </c>
      <c r="G4824" s="23">
        <f>IFERROR(__xludf.DUMMYFUNCTION("""COMPUTED_VALUE"""),45635.53497685185)</f>
        <v>45635.53498</v>
      </c>
      <c r="H4824" s="24" t="str">
        <f>IFERROR(VLOOKUP(B4824,material!A:D,3,0),"")</f>
        <v>3.1</v>
      </c>
    </row>
    <row r="4825" ht="11.25" customHeight="1">
      <c r="A4825" s="21" t="str">
        <f>IFERROR(__xludf.DUMMYFUNCTION("""COMPUTED_VALUE"""),"MODEM VOIP EMTA WIFI 3.1 CG3000")</f>
        <v>MODEM VOIP EMTA WIFI 3.1 CG3000</v>
      </c>
      <c r="B4825" s="22">
        <f>IFERROR(__xludf.DUMMYFUNCTION("""COMPUTED_VALUE"""),4.1001486E7)</f>
        <v>41001486</v>
      </c>
      <c r="C4825" s="21" t="str">
        <f>IFERROR(__xludf.DUMMYFUNCTION("""COMPUTED_VALUE"""),"9877E74A9C6C")</f>
        <v>9877E74A9C6C</v>
      </c>
      <c r="D4825" s="21" t="str">
        <f>IFERROR(__xludf.DUMMYFUNCTION("""COMPUTED_VALUE"""),"DIGITEC TECNOLOGIA DIGITAL E REPRES")</f>
        <v>DIGITEC TECNOLOGIA DIGITAL E REPRES</v>
      </c>
      <c r="E4825" s="21">
        <f>IFERROR(__xludf.DUMMYFUNCTION("""COMPUTED_VALUE"""),145359.0)</f>
        <v>145359</v>
      </c>
      <c r="F4825" s="21" t="str">
        <f>IFERROR(__xludf.DUMMYFUNCTION("""COMPUTED_VALUE"""),"INICIALIZADO")</f>
        <v>INICIALIZADO</v>
      </c>
      <c r="G4825" s="23">
        <f>IFERROR(__xludf.DUMMYFUNCTION("""COMPUTED_VALUE"""),45635.53497685185)</f>
        <v>45635.53498</v>
      </c>
      <c r="H4825" s="24" t="str">
        <f>IFERROR(VLOOKUP(B4825,material!A:D,3,0),"")</f>
        <v>3.1</v>
      </c>
    </row>
    <row r="4826" ht="11.25" customHeight="1">
      <c r="A4826" s="21" t="str">
        <f>IFERROR(__xludf.DUMMYFUNCTION("""COMPUTED_VALUE"""),"MODEM VOIP EMTA WIFI 3.1 CG3000")</f>
        <v>MODEM VOIP EMTA WIFI 3.1 CG3000</v>
      </c>
      <c r="B4826" s="22">
        <f>IFERROR(__xludf.DUMMYFUNCTION("""COMPUTED_VALUE"""),4.1001486E7)</f>
        <v>41001486</v>
      </c>
      <c r="C4826" s="21" t="str">
        <f>IFERROR(__xludf.DUMMYFUNCTION("""COMPUTED_VALUE"""),"9877E74BA577")</f>
        <v>9877E74BA577</v>
      </c>
      <c r="D4826" s="21" t="str">
        <f>IFERROR(__xludf.DUMMYFUNCTION("""COMPUTED_VALUE"""),"DIGITEC TECNOLOGIA DIGITAL E REPRES")</f>
        <v>DIGITEC TECNOLOGIA DIGITAL E REPRES</v>
      </c>
      <c r="E4826" s="21">
        <f>IFERROR(__xludf.DUMMYFUNCTION("""COMPUTED_VALUE"""),145359.0)</f>
        <v>145359</v>
      </c>
      <c r="F4826" s="21" t="str">
        <f>IFERROR(__xludf.DUMMYFUNCTION("""COMPUTED_VALUE"""),"INICIALIZADO")</f>
        <v>INICIALIZADO</v>
      </c>
      <c r="G4826" s="23">
        <f>IFERROR(__xludf.DUMMYFUNCTION("""COMPUTED_VALUE"""),45635.53497685185)</f>
        <v>45635.53498</v>
      </c>
      <c r="H4826" s="24" t="str">
        <f>IFERROR(VLOOKUP(B4826,material!A:D,3,0),"")</f>
        <v>3.1</v>
      </c>
    </row>
    <row r="4827" ht="11.25" customHeight="1">
      <c r="A4827" s="21" t="str">
        <f>IFERROR(__xludf.DUMMYFUNCTION("""COMPUTED_VALUE"""),"MODEM VOIP EMTA WIFI 3.1 HGJ310")</f>
        <v>MODEM VOIP EMTA WIFI 3.1 HGJ310</v>
      </c>
      <c r="B4827" s="22">
        <f>IFERROR(__xludf.DUMMYFUNCTION("""COMPUTED_VALUE"""),4.1001481E7)</f>
        <v>41001481</v>
      </c>
      <c r="C4827" s="21" t="str">
        <f>IFERROR(__xludf.DUMMYFUNCTION("""COMPUTED_VALUE"""),"C85D38E8B0CC")</f>
        <v>C85D38E8B0CC</v>
      </c>
      <c r="D4827" s="21" t="str">
        <f>IFERROR(__xludf.DUMMYFUNCTION("""COMPUTED_VALUE"""),"DIGITEC TECNOLOGIA DIGITAL E REPRES")</f>
        <v>DIGITEC TECNOLOGIA DIGITAL E REPRES</v>
      </c>
      <c r="E4827" s="21">
        <f>IFERROR(__xludf.DUMMYFUNCTION("""COMPUTED_VALUE"""),145359.0)</f>
        <v>145359</v>
      </c>
      <c r="F4827" s="21" t="str">
        <f>IFERROR(__xludf.DUMMYFUNCTION("""COMPUTED_VALUE"""),"INICIALIZADO")</f>
        <v>INICIALIZADO</v>
      </c>
      <c r="G4827" s="23">
        <f>IFERROR(__xludf.DUMMYFUNCTION("""COMPUTED_VALUE"""),45639.64981481481)</f>
        <v>45639.64981</v>
      </c>
      <c r="H4827" s="24" t="str">
        <f>IFERROR(VLOOKUP(B4827,material!A:D,3,0),"")</f>
        <v>3.1</v>
      </c>
    </row>
    <row r="4828" ht="11.25" customHeight="1">
      <c r="A4828" s="21" t="str">
        <f>IFERROR(__xludf.DUMMYFUNCTION("""COMPUTED_VALUE"""),"MODEM VOIP EMTA WIFI 3.1 HGJ310")</f>
        <v>MODEM VOIP EMTA WIFI 3.1 HGJ310</v>
      </c>
      <c r="B4828" s="22">
        <f>IFERROR(__xludf.DUMMYFUNCTION("""COMPUTED_VALUE"""),4.1001481E7)</f>
        <v>41001481</v>
      </c>
      <c r="C4828" s="21" t="str">
        <f>IFERROR(__xludf.DUMMYFUNCTION("""COMPUTED_VALUE"""),"C85D38EB983F")</f>
        <v>C85D38EB983F</v>
      </c>
      <c r="D4828" s="21" t="str">
        <f>IFERROR(__xludf.DUMMYFUNCTION("""COMPUTED_VALUE"""),"DIGITEC TECNOLOGIA DIGITAL E REPRES")</f>
        <v>DIGITEC TECNOLOGIA DIGITAL E REPRES</v>
      </c>
      <c r="E4828" s="21">
        <f>IFERROR(__xludf.DUMMYFUNCTION("""COMPUTED_VALUE"""),145359.0)</f>
        <v>145359</v>
      </c>
      <c r="F4828" s="21" t="str">
        <f>IFERROR(__xludf.DUMMYFUNCTION("""COMPUTED_VALUE"""),"INICIALIZADO")</f>
        <v>INICIALIZADO</v>
      </c>
      <c r="G4828" s="23">
        <f>IFERROR(__xludf.DUMMYFUNCTION("""COMPUTED_VALUE"""),45639.64981481481)</f>
        <v>45639.64981</v>
      </c>
      <c r="H4828" s="24" t="str">
        <f>IFERROR(VLOOKUP(B4828,material!A:D,3,0),"")</f>
        <v>3.1</v>
      </c>
    </row>
    <row r="4829" ht="11.25" customHeight="1">
      <c r="A4829" s="21" t="str">
        <f>IFERROR(__xludf.DUMMYFUNCTION("""COMPUTED_VALUE"""),"MODEM VOIP EMTA WIFI 3.1 HGJ310")</f>
        <v>MODEM VOIP EMTA WIFI 3.1 HGJ310</v>
      </c>
      <c r="B4829" s="22">
        <f>IFERROR(__xludf.DUMMYFUNCTION("""COMPUTED_VALUE"""),4.1001481E7)</f>
        <v>41001481</v>
      </c>
      <c r="C4829" s="21" t="str">
        <f>IFERROR(__xludf.DUMMYFUNCTION("""COMPUTED_VALUE"""),"8C444FD51AC2")</f>
        <v>8C444FD51AC2</v>
      </c>
      <c r="D4829" s="21" t="str">
        <f>IFERROR(__xludf.DUMMYFUNCTION("""COMPUTED_VALUE"""),"DIGITEC TECNOLOGIA DIGITAL E REPRES")</f>
        <v>DIGITEC TECNOLOGIA DIGITAL E REPRES</v>
      </c>
      <c r="E4829" s="21">
        <f>IFERROR(__xludf.DUMMYFUNCTION("""COMPUTED_VALUE"""),145359.0)</f>
        <v>145359</v>
      </c>
      <c r="F4829" s="21" t="str">
        <f>IFERROR(__xludf.DUMMYFUNCTION("""COMPUTED_VALUE"""),"INICIALIZADO")</f>
        <v>INICIALIZADO</v>
      </c>
      <c r="G4829" s="23">
        <f>IFERROR(__xludf.DUMMYFUNCTION("""COMPUTED_VALUE"""),45639.64980324074)</f>
        <v>45639.6498</v>
      </c>
      <c r="H4829" s="24" t="str">
        <f>IFERROR(VLOOKUP(B4829,material!A:D,3,0),"")</f>
        <v>3.1</v>
      </c>
    </row>
    <row r="4830" ht="11.25" customHeight="1">
      <c r="A4830" s="21" t="str">
        <f>IFERROR(__xludf.DUMMYFUNCTION("""COMPUTED_VALUE"""),"MODEM VOIP EMTA WIFI 3.1 HGJ310")</f>
        <v>MODEM VOIP EMTA WIFI 3.1 HGJ310</v>
      </c>
      <c r="B4830" s="22">
        <f>IFERROR(__xludf.DUMMYFUNCTION("""COMPUTED_VALUE"""),4.1001481E7)</f>
        <v>41001481</v>
      </c>
      <c r="C4830" s="21" t="str">
        <f>IFERROR(__xludf.DUMMYFUNCTION("""COMPUTED_VALUE"""),"C85D38E9430F")</f>
        <v>C85D38E9430F</v>
      </c>
      <c r="D4830" s="21" t="str">
        <f>IFERROR(__xludf.DUMMYFUNCTION("""COMPUTED_VALUE"""),"DIGITEC TECNOLOGIA DIGITAL E REPRES")</f>
        <v>DIGITEC TECNOLOGIA DIGITAL E REPRES</v>
      </c>
      <c r="E4830" s="21">
        <f>IFERROR(__xludf.DUMMYFUNCTION("""COMPUTED_VALUE"""),145359.0)</f>
        <v>145359</v>
      </c>
      <c r="F4830" s="21" t="str">
        <f>IFERROR(__xludf.DUMMYFUNCTION("""COMPUTED_VALUE"""),"INICIALIZADO")</f>
        <v>INICIALIZADO</v>
      </c>
      <c r="G4830" s="23">
        <f>IFERROR(__xludf.DUMMYFUNCTION("""COMPUTED_VALUE"""),45639.64981481481)</f>
        <v>45639.64981</v>
      </c>
      <c r="H4830" s="24" t="str">
        <f>IFERROR(VLOOKUP(B4830,material!A:D,3,0),"")</f>
        <v>3.1</v>
      </c>
    </row>
    <row r="4831" ht="11.25" customHeight="1">
      <c r="A4831" s="21" t="str">
        <f>IFERROR(__xludf.DUMMYFUNCTION("""COMPUTED_VALUE"""),"MODEM VOIP EMTA WIFI 3.1 HGJ310")</f>
        <v>MODEM VOIP EMTA WIFI 3.1 HGJ310</v>
      </c>
      <c r="B4831" s="22">
        <f>IFERROR(__xludf.DUMMYFUNCTION("""COMPUTED_VALUE"""),4.1001481E7)</f>
        <v>41001481</v>
      </c>
      <c r="C4831" s="21" t="str">
        <f>IFERROR(__xludf.DUMMYFUNCTION("""COMPUTED_VALUE"""),"C85D38EC50BC")</f>
        <v>C85D38EC50BC</v>
      </c>
      <c r="D4831" s="21" t="str">
        <f>IFERROR(__xludf.DUMMYFUNCTION("""COMPUTED_VALUE"""),"DIGITEC TECNOLOGIA DIGITAL E REPRES")</f>
        <v>DIGITEC TECNOLOGIA DIGITAL E REPRES</v>
      </c>
      <c r="E4831" s="21">
        <f>IFERROR(__xludf.DUMMYFUNCTION("""COMPUTED_VALUE"""),145359.0)</f>
        <v>145359</v>
      </c>
      <c r="F4831" s="21" t="str">
        <f>IFERROR(__xludf.DUMMYFUNCTION("""COMPUTED_VALUE"""),"INICIALIZADO")</f>
        <v>INICIALIZADO</v>
      </c>
      <c r="G4831" s="23">
        <f>IFERROR(__xludf.DUMMYFUNCTION("""COMPUTED_VALUE"""),45639.64981481481)</f>
        <v>45639.64981</v>
      </c>
      <c r="H4831" s="24" t="str">
        <f>IFERROR(VLOOKUP(B4831,material!A:D,3,0),"")</f>
        <v>3.1</v>
      </c>
    </row>
    <row r="4832" ht="11.25" customHeight="1">
      <c r="A4832" s="21" t="str">
        <f>IFERROR(__xludf.DUMMYFUNCTION("""COMPUTED_VALUE"""),"MODEM VOIP EMTA WIFI 3.1 HGJ310")</f>
        <v>MODEM VOIP EMTA WIFI 3.1 HGJ310</v>
      </c>
      <c r="B4832" s="22">
        <f>IFERROR(__xludf.DUMMYFUNCTION("""COMPUTED_VALUE"""),4.1001481E7)</f>
        <v>41001481</v>
      </c>
      <c r="C4832" s="21" t="str">
        <f>IFERROR(__xludf.DUMMYFUNCTION("""COMPUTED_VALUE"""),"C85D38E8C2D8")</f>
        <v>C85D38E8C2D8</v>
      </c>
      <c r="D4832" s="21" t="str">
        <f>IFERROR(__xludf.DUMMYFUNCTION("""COMPUTED_VALUE"""),"DIGITEC TECNOLOGIA DIGITAL E REPRES")</f>
        <v>DIGITEC TECNOLOGIA DIGITAL E REPRES</v>
      </c>
      <c r="E4832" s="21">
        <f>IFERROR(__xludf.DUMMYFUNCTION("""COMPUTED_VALUE"""),145359.0)</f>
        <v>145359</v>
      </c>
      <c r="F4832" s="21" t="str">
        <f>IFERROR(__xludf.DUMMYFUNCTION("""COMPUTED_VALUE"""),"INICIALIZADO")</f>
        <v>INICIALIZADO</v>
      </c>
      <c r="G4832" s="23">
        <f>IFERROR(__xludf.DUMMYFUNCTION("""COMPUTED_VALUE"""),45639.64981481481)</f>
        <v>45639.64981</v>
      </c>
      <c r="H4832" s="24" t="str">
        <f>IFERROR(VLOOKUP(B4832,material!A:D,3,0),"")</f>
        <v>3.1</v>
      </c>
    </row>
    <row r="4833" ht="11.25" customHeight="1">
      <c r="A4833" s="21" t="str">
        <f>IFERROR(__xludf.DUMMYFUNCTION("""COMPUTED_VALUE"""),"MODEM VOIP EMTA WIFI 3.1 HGJ310")</f>
        <v>MODEM VOIP EMTA WIFI 3.1 HGJ310</v>
      </c>
      <c r="B4833" s="22">
        <f>IFERROR(__xludf.DUMMYFUNCTION("""COMPUTED_VALUE"""),4.1001481E7)</f>
        <v>41001481</v>
      </c>
      <c r="C4833" s="21" t="str">
        <f>IFERROR(__xludf.DUMMYFUNCTION("""COMPUTED_VALUE"""),"8C444FD6F3AB")</f>
        <v>8C444FD6F3AB</v>
      </c>
      <c r="D4833" s="21" t="str">
        <f>IFERROR(__xludf.DUMMYFUNCTION("""COMPUTED_VALUE"""),"DIGITEC TECNOLOGIA DIGITAL E REPRES")</f>
        <v>DIGITEC TECNOLOGIA DIGITAL E REPRES</v>
      </c>
      <c r="E4833" s="21">
        <f>IFERROR(__xludf.DUMMYFUNCTION("""COMPUTED_VALUE"""),145359.0)</f>
        <v>145359</v>
      </c>
      <c r="F4833" s="21" t="str">
        <f>IFERROR(__xludf.DUMMYFUNCTION("""COMPUTED_VALUE"""),"INICIALIZADO")</f>
        <v>INICIALIZADO</v>
      </c>
      <c r="G4833" s="23">
        <f>IFERROR(__xludf.DUMMYFUNCTION("""COMPUTED_VALUE"""),45639.64980324074)</f>
        <v>45639.6498</v>
      </c>
      <c r="H4833" s="24" t="str">
        <f>IFERROR(VLOOKUP(B4833,material!A:D,3,0),"")</f>
        <v>3.1</v>
      </c>
    </row>
    <row r="4834" ht="11.25" customHeight="1">
      <c r="A4834" s="21" t="str">
        <f>IFERROR(__xludf.DUMMYFUNCTION("""COMPUTED_VALUE"""),"MODEM VOIP EMTA WIFI 3.1 HGJ310")</f>
        <v>MODEM VOIP EMTA WIFI 3.1 HGJ310</v>
      </c>
      <c r="B4834" s="22">
        <f>IFERROR(__xludf.DUMMYFUNCTION("""COMPUTED_VALUE"""),4.1001481E7)</f>
        <v>41001481</v>
      </c>
      <c r="C4834" s="21" t="str">
        <f>IFERROR(__xludf.DUMMYFUNCTION("""COMPUTED_VALUE"""),"C85D38D6040B")</f>
        <v>C85D38D6040B</v>
      </c>
      <c r="D4834" s="21" t="str">
        <f>IFERROR(__xludf.DUMMYFUNCTION("""COMPUTED_VALUE"""),"DIGITEC TECNOLOGIA DIGITAL E REPRES")</f>
        <v>DIGITEC TECNOLOGIA DIGITAL E REPRES</v>
      </c>
      <c r="E4834" s="21">
        <f>IFERROR(__xludf.DUMMYFUNCTION("""COMPUTED_VALUE"""),145359.0)</f>
        <v>145359</v>
      </c>
      <c r="F4834" s="21" t="str">
        <f>IFERROR(__xludf.DUMMYFUNCTION("""COMPUTED_VALUE"""),"INICIALIZADO")</f>
        <v>INICIALIZADO</v>
      </c>
      <c r="G4834" s="23">
        <f>IFERROR(__xludf.DUMMYFUNCTION("""COMPUTED_VALUE"""),45638.68789351852)</f>
        <v>45638.68789</v>
      </c>
      <c r="H4834" s="24" t="str">
        <f>IFERROR(VLOOKUP(B4834,material!A:D,3,0),"")</f>
        <v>3.1</v>
      </c>
    </row>
    <row r="4835" ht="11.25" customHeight="1">
      <c r="A4835" s="21" t="str">
        <f>IFERROR(__xludf.DUMMYFUNCTION("""COMPUTED_VALUE"""),"MODEM VOIP EMTA WIFI 3.1 HGJ310")</f>
        <v>MODEM VOIP EMTA WIFI 3.1 HGJ310</v>
      </c>
      <c r="B4835" s="22">
        <f>IFERROR(__xludf.DUMMYFUNCTION("""COMPUTED_VALUE"""),4.1001481E7)</f>
        <v>41001481</v>
      </c>
      <c r="C4835" s="21" t="str">
        <f>IFERROR(__xludf.DUMMYFUNCTION("""COMPUTED_VALUE"""),"C85D38A7DADC")</f>
        <v>C85D38A7DADC</v>
      </c>
      <c r="D4835" s="21" t="str">
        <f>IFERROR(__xludf.DUMMYFUNCTION("""COMPUTED_VALUE"""),"DIGITEC TECNOLOGIA DIGITAL E REPRES")</f>
        <v>DIGITEC TECNOLOGIA DIGITAL E REPRES</v>
      </c>
      <c r="E4835" s="21">
        <f>IFERROR(__xludf.DUMMYFUNCTION("""COMPUTED_VALUE"""),145359.0)</f>
        <v>145359</v>
      </c>
      <c r="F4835" s="21" t="str">
        <f>IFERROR(__xludf.DUMMYFUNCTION("""COMPUTED_VALUE"""),"INICIALIZADO")</f>
        <v>INICIALIZADO</v>
      </c>
      <c r="G4835" s="23">
        <f>IFERROR(__xludf.DUMMYFUNCTION("""COMPUTED_VALUE"""),45639.64984953703)</f>
        <v>45639.64985</v>
      </c>
      <c r="H4835" s="24" t="str">
        <f>IFERROR(VLOOKUP(B4835,material!A:D,3,0),"")</f>
        <v>3.1</v>
      </c>
    </row>
    <row r="4836" ht="11.25" customHeight="1">
      <c r="A4836" s="21" t="str">
        <f>IFERROR(__xludf.DUMMYFUNCTION("""COMPUTED_VALUE"""),"MODEM VOIP EMTA WIFI 3.1 HGJ310")</f>
        <v>MODEM VOIP EMTA WIFI 3.1 HGJ310</v>
      </c>
      <c r="B4836" s="22">
        <f>IFERROR(__xludf.DUMMYFUNCTION("""COMPUTED_VALUE"""),4.1001481E7)</f>
        <v>41001481</v>
      </c>
      <c r="C4836" s="21" t="str">
        <f>IFERROR(__xludf.DUMMYFUNCTION("""COMPUTED_VALUE"""),"8C444FD7C629")</f>
        <v>8C444FD7C629</v>
      </c>
      <c r="D4836" s="21" t="str">
        <f>IFERROR(__xludf.DUMMYFUNCTION("""COMPUTED_VALUE"""),"DIGITEC TECNOLOGIA DIGITAL E REPRES")</f>
        <v>DIGITEC TECNOLOGIA DIGITAL E REPRES</v>
      </c>
      <c r="E4836" s="21">
        <f>IFERROR(__xludf.DUMMYFUNCTION("""COMPUTED_VALUE"""),145359.0)</f>
        <v>145359</v>
      </c>
      <c r="F4836" s="21" t="str">
        <f>IFERROR(__xludf.DUMMYFUNCTION("""COMPUTED_VALUE"""),"INICIALIZADO")</f>
        <v>INICIALIZADO</v>
      </c>
      <c r="G4836" s="23">
        <f>IFERROR(__xludf.DUMMYFUNCTION("""COMPUTED_VALUE"""),45639.64980324074)</f>
        <v>45639.6498</v>
      </c>
      <c r="H4836" s="24" t="str">
        <f>IFERROR(VLOOKUP(B4836,material!A:D,3,0),"")</f>
        <v>3.1</v>
      </c>
    </row>
    <row r="4837" ht="11.25" customHeight="1">
      <c r="A4837" s="21" t="str">
        <f>IFERROR(__xludf.DUMMYFUNCTION("""COMPUTED_VALUE"""),"MODEM VOIP EMTA WIFI 3.1 HGJ310")</f>
        <v>MODEM VOIP EMTA WIFI 3.1 HGJ310</v>
      </c>
      <c r="B4837" s="22">
        <f>IFERROR(__xludf.DUMMYFUNCTION("""COMPUTED_VALUE"""),4.1001481E7)</f>
        <v>41001481</v>
      </c>
      <c r="C4837" s="21" t="str">
        <f>IFERROR(__xludf.DUMMYFUNCTION("""COMPUTED_VALUE"""),"8C444FD97AA6")</f>
        <v>8C444FD97AA6</v>
      </c>
      <c r="D4837" s="21" t="str">
        <f>IFERROR(__xludf.DUMMYFUNCTION("""COMPUTED_VALUE"""),"DIGITEC TECNOLOGIA DIGITAL E REPRES")</f>
        <v>DIGITEC TECNOLOGIA DIGITAL E REPRES</v>
      </c>
      <c r="E4837" s="21">
        <f>IFERROR(__xludf.DUMMYFUNCTION("""COMPUTED_VALUE"""),145359.0)</f>
        <v>145359</v>
      </c>
      <c r="F4837" s="21" t="str">
        <f>IFERROR(__xludf.DUMMYFUNCTION("""COMPUTED_VALUE"""),"INICIALIZADO")</f>
        <v>INICIALIZADO</v>
      </c>
      <c r="G4837" s="23">
        <f>IFERROR(__xludf.DUMMYFUNCTION("""COMPUTED_VALUE"""),45639.64980324074)</f>
        <v>45639.6498</v>
      </c>
      <c r="H4837" s="24" t="str">
        <f>IFERROR(VLOOKUP(B4837,material!A:D,3,0),"")</f>
        <v>3.1</v>
      </c>
    </row>
    <row r="4838" ht="11.25" customHeight="1">
      <c r="A4838" s="21" t="str">
        <f>IFERROR(__xludf.DUMMYFUNCTION("""COMPUTED_VALUE"""),"MODEM VOIP EMTA WIFI 3.1 HGJ310")</f>
        <v>MODEM VOIP EMTA WIFI 3.1 HGJ310</v>
      </c>
      <c r="B4838" s="22">
        <f>IFERROR(__xludf.DUMMYFUNCTION("""COMPUTED_VALUE"""),4.1001481E7)</f>
        <v>41001481</v>
      </c>
      <c r="C4838" s="21" t="str">
        <f>IFERROR(__xludf.DUMMYFUNCTION("""COMPUTED_VALUE"""),"8C444FD8AA5F")</f>
        <v>8C444FD8AA5F</v>
      </c>
      <c r="D4838" s="21" t="str">
        <f>IFERROR(__xludf.DUMMYFUNCTION("""COMPUTED_VALUE"""),"DIGITEC TECNOLOGIA DIGITAL E REPRES")</f>
        <v>DIGITEC TECNOLOGIA DIGITAL E REPRES</v>
      </c>
      <c r="E4838" s="21">
        <f>IFERROR(__xludf.DUMMYFUNCTION("""COMPUTED_VALUE"""),145359.0)</f>
        <v>145359</v>
      </c>
      <c r="F4838" s="21" t="str">
        <f>IFERROR(__xludf.DUMMYFUNCTION("""COMPUTED_VALUE"""),"INICIALIZADO")</f>
        <v>INICIALIZADO</v>
      </c>
      <c r="G4838" s="23">
        <f>IFERROR(__xludf.DUMMYFUNCTION("""COMPUTED_VALUE"""),45639.64980324074)</f>
        <v>45639.6498</v>
      </c>
      <c r="H4838" s="24" t="str">
        <f>IFERROR(VLOOKUP(B4838,material!A:D,3,0),"")</f>
        <v>3.1</v>
      </c>
    </row>
    <row r="4839" ht="11.25" customHeight="1">
      <c r="A4839" s="21" t="str">
        <f>IFERROR(__xludf.DUMMYFUNCTION("""COMPUTED_VALUE"""),"MODEM VOIP EMTA WIFI 3.1 HGJ310")</f>
        <v>MODEM VOIP EMTA WIFI 3.1 HGJ310</v>
      </c>
      <c r="B4839" s="22">
        <f>IFERROR(__xludf.DUMMYFUNCTION("""COMPUTED_VALUE"""),4.1001481E7)</f>
        <v>41001481</v>
      </c>
      <c r="C4839" s="21" t="str">
        <f>IFERROR(__xludf.DUMMYFUNCTION("""COMPUTED_VALUE"""),"8C444FD92A18")</f>
        <v>8C444FD92A18</v>
      </c>
      <c r="D4839" s="21" t="str">
        <f>IFERROR(__xludf.DUMMYFUNCTION("""COMPUTED_VALUE"""),"DIGITEC TECNOLOGIA DIGITAL E REPRES")</f>
        <v>DIGITEC TECNOLOGIA DIGITAL E REPRES</v>
      </c>
      <c r="E4839" s="21">
        <f>IFERROR(__xludf.DUMMYFUNCTION("""COMPUTED_VALUE"""),145359.0)</f>
        <v>145359</v>
      </c>
      <c r="F4839" s="21" t="str">
        <f>IFERROR(__xludf.DUMMYFUNCTION("""COMPUTED_VALUE"""),"INICIALIZADO")</f>
        <v>INICIALIZADO</v>
      </c>
      <c r="G4839" s="23">
        <f>IFERROR(__xludf.DUMMYFUNCTION("""COMPUTED_VALUE"""),45639.64980324074)</f>
        <v>45639.6498</v>
      </c>
      <c r="H4839" s="24" t="str">
        <f>IFERROR(VLOOKUP(B4839,material!A:D,3,0),"")</f>
        <v>3.1</v>
      </c>
    </row>
    <row r="4840" ht="11.25" customHeight="1">
      <c r="A4840" s="21" t="str">
        <f>IFERROR(__xludf.DUMMYFUNCTION("""COMPUTED_VALUE"""),"MODEM VOIP EMTA WIFI 3.1 HGJ310")</f>
        <v>MODEM VOIP EMTA WIFI 3.1 HGJ310</v>
      </c>
      <c r="B4840" s="22">
        <f>IFERROR(__xludf.DUMMYFUNCTION("""COMPUTED_VALUE"""),4.1001481E7)</f>
        <v>41001481</v>
      </c>
      <c r="C4840" s="21" t="str">
        <f>IFERROR(__xludf.DUMMYFUNCTION("""COMPUTED_VALUE"""),"C85D38D3FC9F")</f>
        <v>C85D38D3FC9F</v>
      </c>
      <c r="D4840" s="21" t="str">
        <f>IFERROR(__xludf.DUMMYFUNCTION("""COMPUTED_VALUE"""),"DIGITEC TECNOLOGIA DIGITAL E REPRES")</f>
        <v>DIGITEC TECNOLOGIA DIGITAL E REPRES</v>
      </c>
      <c r="E4840" s="21">
        <f>IFERROR(__xludf.DUMMYFUNCTION("""COMPUTED_VALUE"""),145359.0)</f>
        <v>145359</v>
      </c>
      <c r="F4840" s="21" t="str">
        <f>IFERROR(__xludf.DUMMYFUNCTION("""COMPUTED_VALUE"""),"INICIALIZADO")</f>
        <v>INICIALIZADO</v>
      </c>
      <c r="G4840" s="23">
        <f>IFERROR(__xludf.DUMMYFUNCTION("""COMPUTED_VALUE"""),45639.64983796296)</f>
        <v>45639.64984</v>
      </c>
      <c r="H4840" s="24" t="str">
        <f>IFERROR(VLOOKUP(B4840,material!A:D,3,0),"")</f>
        <v>3.1</v>
      </c>
    </row>
    <row r="4841" ht="11.25" customHeight="1">
      <c r="A4841" s="21" t="str">
        <f>IFERROR(__xludf.DUMMYFUNCTION("""COMPUTED_VALUE"""),"MODEM VOIP EMTA WIFI 3.1 HGJ310")</f>
        <v>MODEM VOIP EMTA WIFI 3.1 HGJ310</v>
      </c>
      <c r="B4841" s="22">
        <f>IFERROR(__xludf.DUMMYFUNCTION("""COMPUTED_VALUE"""),4.1001481E7)</f>
        <v>41001481</v>
      </c>
      <c r="C4841" s="21" t="str">
        <f>IFERROR(__xludf.DUMMYFUNCTION("""COMPUTED_VALUE"""),"C85D38698AD5")</f>
        <v>C85D38698AD5</v>
      </c>
      <c r="D4841" s="21" t="str">
        <f>IFERROR(__xludf.DUMMYFUNCTION("""COMPUTED_VALUE"""),"DIGITEC TECNOLOGIA DIGITAL E REPRES")</f>
        <v>DIGITEC TECNOLOGIA DIGITAL E REPRES</v>
      </c>
      <c r="E4841" s="21">
        <f>IFERROR(__xludf.DUMMYFUNCTION("""COMPUTED_VALUE"""),145359.0)</f>
        <v>145359</v>
      </c>
      <c r="F4841" s="21" t="str">
        <f>IFERROR(__xludf.DUMMYFUNCTION("""COMPUTED_VALUE"""),"INICIALIZADO")</f>
        <v>INICIALIZADO</v>
      </c>
      <c r="G4841" s="23">
        <f>IFERROR(__xludf.DUMMYFUNCTION("""COMPUTED_VALUE"""),45639.64979166667)</f>
        <v>45639.64979</v>
      </c>
      <c r="H4841" s="24" t="str">
        <f>IFERROR(VLOOKUP(B4841,material!A:D,3,0),"")</f>
        <v>3.1</v>
      </c>
    </row>
    <row r="4842" ht="11.25" customHeight="1">
      <c r="A4842" s="21" t="str">
        <f>IFERROR(__xludf.DUMMYFUNCTION("""COMPUTED_VALUE"""),"MODEM VOIP EMTA WIFI 3.1 HGJ310")</f>
        <v>MODEM VOIP EMTA WIFI 3.1 HGJ310</v>
      </c>
      <c r="B4842" s="22">
        <f>IFERROR(__xludf.DUMMYFUNCTION("""COMPUTED_VALUE"""),4.1001481E7)</f>
        <v>41001481</v>
      </c>
      <c r="C4842" s="21" t="str">
        <f>IFERROR(__xludf.DUMMYFUNCTION("""COMPUTED_VALUE"""),"C85D38682F2F")</f>
        <v>C85D38682F2F</v>
      </c>
      <c r="D4842" s="21" t="str">
        <f>IFERROR(__xludf.DUMMYFUNCTION("""COMPUTED_VALUE"""),"DIGITEC TECNOLOGIA DIGITAL E REPRES")</f>
        <v>DIGITEC TECNOLOGIA DIGITAL E REPRES</v>
      </c>
      <c r="E4842" s="21">
        <f>IFERROR(__xludf.DUMMYFUNCTION("""COMPUTED_VALUE"""),145359.0)</f>
        <v>145359</v>
      </c>
      <c r="F4842" s="21" t="str">
        <f>IFERROR(__xludf.DUMMYFUNCTION("""COMPUTED_VALUE"""),"INICIALIZADO")</f>
        <v>INICIALIZADO</v>
      </c>
      <c r="G4842" s="23">
        <f>IFERROR(__xludf.DUMMYFUNCTION("""COMPUTED_VALUE"""),45639.64979166667)</f>
        <v>45639.64979</v>
      </c>
      <c r="H4842" s="24" t="str">
        <f>IFERROR(VLOOKUP(B4842,material!A:D,3,0),"")</f>
        <v>3.1</v>
      </c>
    </row>
    <row r="4843" ht="11.25" customHeight="1">
      <c r="A4843" s="21" t="str">
        <f>IFERROR(__xludf.DUMMYFUNCTION("""COMPUTED_VALUE"""),"MODEM VOIP EMTA WIFI 3.1 HGJ310")</f>
        <v>MODEM VOIP EMTA WIFI 3.1 HGJ310</v>
      </c>
      <c r="B4843" s="22">
        <f>IFERROR(__xludf.DUMMYFUNCTION("""COMPUTED_VALUE"""),4.1001481E7)</f>
        <v>41001481</v>
      </c>
      <c r="C4843" s="21" t="str">
        <f>IFERROR(__xludf.DUMMYFUNCTION("""COMPUTED_VALUE"""),"C85D38F1AA2A")</f>
        <v>C85D38F1AA2A</v>
      </c>
      <c r="D4843" s="21" t="str">
        <f>IFERROR(__xludf.DUMMYFUNCTION("""COMPUTED_VALUE"""),"DIGITEC TECNOLOGIA DIGITAL E REPRES")</f>
        <v>DIGITEC TECNOLOGIA DIGITAL E REPRES</v>
      </c>
      <c r="E4843" s="21">
        <f>IFERROR(__xludf.DUMMYFUNCTION("""COMPUTED_VALUE"""),145359.0)</f>
        <v>145359</v>
      </c>
      <c r="F4843" s="21" t="str">
        <f>IFERROR(__xludf.DUMMYFUNCTION("""COMPUTED_VALUE"""),"INICIALIZADO")</f>
        <v>INICIALIZADO</v>
      </c>
      <c r="G4843" s="23">
        <f>IFERROR(__xludf.DUMMYFUNCTION("""COMPUTED_VALUE"""),45639.64981481481)</f>
        <v>45639.64981</v>
      </c>
      <c r="H4843" s="24" t="str">
        <f>IFERROR(VLOOKUP(B4843,material!A:D,3,0),"")</f>
        <v>3.1</v>
      </c>
    </row>
    <row r="4844" ht="11.25" customHeight="1">
      <c r="A4844" s="21" t="str">
        <f>IFERROR(__xludf.DUMMYFUNCTION("""COMPUTED_VALUE"""),"MODEM VOIP EMTA WIFI 3.1 HGJ310")</f>
        <v>MODEM VOIP EMTA WIFI 3.1 HGJ310</v>
      </c>
      <c r="B4844" s="22">
        <f>IFERROR(__xludf.DUMMYFUNCTION("""COMPUTED_VALUE"""),4.1001481E7)</f>
        <v>41001481</v>
      </c>
      <c r="C4844" s="21" t="str">
        <f>IFERROR(__xludf.DUMMYFUNCTION("""COMPUTED_VALUE"""),"C85D38F7664F")</f>
        <v>C85D38F7664F</v>
      </c>
      <c r="D4844" s="21" t="str">
        <f>IFERROR(__xludf.DUMMYFUNCTION("""COMPUTED_VALUE"""),"DIGITEC TECNOLOGIA DIGITAL E REPRES")</f>
        <v>DIGITEC TECNOLOGIA DIGITAL E REPRES</v>
      </c>
      <c r="E4844" s="21">
        <f>IFERROR(__xludf.DUMMYFUNCTION("""COMPUTED_VALUE"""),145359.0)</f>
        <v>145359</v>
      </c>
      <c r="F4844" s="21" t="str">
        <f>IFERROR(__xludf.DUMMYFUNCTION("""COMPUTED_VALUE"""),"INICIALIZADO")</f>
        <v>INICIALIZADO</v>
      </c>
      <c r="G4844" s="23">
        <f>IFERROR(__xludf.DUMMYFUNCTION("""COMPUTED_VALUE"""),45639.64981481481)</f>
        <v>45639.64981</v>
      </c>
      <c r="H4844" s="24" t="str">
        <f>IFERROR(VLOOKUP(B4844,material!A:D,3,0),"")</f>
        <v>3.1</v>
      </c>
    </row>
    <row r="4845" ht="11.25" customHeight="1">
      <c r="A4845" s="21" t="str">
        <f>IFERROR(__xludf.DUMMYFUNCTION("""COMPUTED_VALUE"""),"MODEM VOIP EMTA WIFI 3.1 HGJ310")</f>
        <v>MODEM VOIP EMTA WIFI 3.1 HGJ310</v>
      </c>
      <c r="B4845" s="22">
        <f>IFERROR(__xludf.DUMMYFUNCTION("""COMPUTED_VALUE"""),4.1001481E7)</f>
        <v>41001481</v>
      </c>
      <c r="C4845" s="21" t="str">
        <f>IFERROR(__xludf.DUMMYFUNCTION("""COMPUTED_VALUE"""),"C85D38EEDF2E")</f>
        <v>C85D38EEDF2E</v>
      </c>
      <c r="D4845" s="21" t="str">
        <f>IFERROR(__xludf.DUMMYFUNCTION("""COMPUTED_VALUE"""),"DIGITEC TECNOLOGIA DIGITAL E REPRES")</f>
        <v>DIGITEC TECNOLOGIA DIGITAL E REPRES</v>
      </c>
      <c r="E4845" s="21">
        <f>IFERROR(__xludf.DUMMYFUNCTION("""COMPUTED_VALUE"""),145359.0)</f>
        <v>145359</v>
      </c>
      <c r="F4845" s="21" t="str">
        <f>IFERROR(__xludf.DUMMYFUNCTION("""COMPUTED_VALUE"""),"INICIALIZADO")</f>
        <v>INICIALIZADO</v>
      </c>
      <c r="G4845" s="23">
        <f>IFERROR(__xludf.DUMMYFUNCTION("""COMPUTED_VALUE"""),45639.64981481481)</f>
        <v>45639.64981</v>
      </c>
      <c r="H4845" s="24" t="str">
        <f>IFERROR(VLOOKUP(B4845,material!A:D,3,0),"")</f>
        <v>3.1</v>
      </c>
    </row>
    <row r="4846" ht="11.25" customHeight="1">
      <c r="A4846" s="21" t="str">
        <f>IFERROR(__xludf.DUMMYFUNCTION("""COMPUTED_VALUE"""),"MODEM VOIP EMTA WIFI 3.1 HGJ310")</f>
        <v>MODEM VOIP EMTA WIFI 3.1 HGJ310</v>
      </c>
      <c r="B4846" s="22">
        <f>IFERROR(__xludf.DUMMYFUNCTION("""COMPUTED_VALUE"""),4.1001481E7)</f>
        <v>41001481</v>
      </c>
      <c r="C4846" s="21" t="str">
        <f>IFERROR(__xludf.DUMMYFUNCTION("""COMPUTED_VALUE"""),"C85D38FCDE02")</f>
        <v>C85D38FCDE02</v>
      </c>
      <c r="D4846" s="21" t="str">
        <f>IFERROR(__xludf.DUMMYFUNCTION("""COMPUTED_VALUE"""),"DIGITEC TECNOLOGIA DIGITAL E REPRES")</f>
        <v>DIGITEC TECNOLOGIA DIGITAL E REPRES</v>
      </c>
      <c r="E4846" s="21">
        <f>IFERROR(__xludf.DUMMYFUNCTION("""COMPUTED_VALUE"""),145359.0)</f>
        <v>145359</v>
      </c>
      <c r="F4846" s="21" t="str">
        <f>IFERROR(__xludf.DUMMYFUNCTION("""COMPUTED_VALUE"""),"INICIALIZADO")</f>
        <v>INICIALIZADO</v>
      </c>
      <c r="G4846" s="23">
        <f>IFERROR(__xludf.DUMMYFUNCTION("""COMPUTED_VALUE"""),45639.64981481481)</f>
        <v>45639.64981</v>
      </c>
      <c r="H4846" s="24" t="str">
        <f>IFERROR(VLOOKUP(B4846,material!A:D,3,0),"")</f>
        <v>3.1</v>
      </c>
    </row>
    <row r="4847" ht="11.25" customHeight="1">
      <c r="A4847" s="21" t="str">
        <f>IFERROR(__xludf.DUMMYFUNCTION("""COMPUTED_VALUE"""),"MODEM VOIP EMTA WIFI 3.1 HGJ310")</f>
        <v>MODEM VOIP EMTA WIFI 3.1 HGJ310</v>
      </c>
      <c r="B4847" s="22">
        <f>IFERROR(__xludf.DUMMYFUNCTION("""COMPUTED_VALUE"""),4.1001481E7)</f>
        <v>41001481</v>
      </c>
      <c r="C4847" s="21" t="str">
        <f>IFERROR(__xludf.DUMMYFUNCTION("""COMPUTED_VALUE"""),"C85D38F8334E")</f>
        <v>C85D38F8334E</v>
      </c>
      <c r="D4847" s="21" t="str">
        <f>IFERROR(__xludf.DUMMYFUNCTION("""COMPUTED_VALUE"""),"DIGITEC TECNOLOGIA DIGITAL E REPRES")</f>
        <v>DIGITEC TECNOLOGIA DIGITAL E REPRES</v>
      </c>
      <c r="E4847" s="21">
        <f>IFERROR(__xludf.DUMMYFUNCTION("""COMPUTED_VALUE"""),145359.0)</f>
        <v>145359</v>
      </c>
      <c r="F4847" s="21" t="str">
        <f>IFERROR(__xludf.DUMMYFUNCTION("""COMPUTED_VALUE"""),"INICIALIZADO")</f>
        <v>INICIALIZADO</v>
      </c>
      <c r="G4847" s="23">
        <f>IFERROR(__xludf.DUMMYFUNCTION("""COMPUTED_VALUE"""),45124.785578703704)</f>
        <v>45124.78558</v>
      </c>
      <c r="H4847" s="24" t="str">
        <f>IFERROR(VLOOKUP(B4847,material!A:D,3,0),"")</f>
        <v>3.1</v>
      </c>
    </row>
    <row r="4848" ht="11.25" customHeight="1">
      <c r="A4848" s="21" t="str">
        <f>IFERROR(__xludf.DUMMYFUNCTION("""COMPUTED_VALUE"""),"MODEM VOIP EMTA WIFI 3.1 HGJ310")</f>
        <v>MODEM VOIP EMTA WIFI 3.1 HGJ310</v>
      </c>
      <c r="B4848" s="22">
        <f>IFERROR(__xludf.DUMMYFUNCTION("""COMPUTED_VALUE"""),4.1001481E7)</f>
        <v>41001481</v>
      </c>
      <c r="C4848" s="21" t="str">
        <f>IFERROR(__xludf.DUMMYFUNCTION("""COMPUTED_VALUE"""),"C85D38FD7C00")</f>
        <v>C85D38FD7C00</v>
      </c>
      <c r="D4848" s="21" t="str">
        <f>IFERROR(__xludf.DUMMYFUNCTION("""COMPUTED_VALUE"""),"DIGITEC TECNOLOGIA DIGITAL E REPRES")</f>
        <v>DIGITEC TECNOLOGIA DIGITAL E REPRES</v>
      </c>
      <c r="E4848" s="21">
        <f>IFERROR(__xludf.DUMMYFUNCTION("""COMPUTED_VALUE"""),145359.0)</f>
        <v>145359</v>
      </c>
      <c r="F4848" s="21" t="str">
        <f>IFERROR(__xludf.DUMMYFUNCTION("""COMPUTED_VALUE"""),"INICIALIZADO")</f>
        <v>INICIALIZADO</v>
      </c>
      <c r="G4848" s="23">
        <f>IFERROR(__xludf.DUMMYFUNCTION("""COMPUTED_VALUE"""),45639.64981481481)</f>
        <v>45639.64981</v>
      </c>
      <c r="H4848" s="24" t="str">
        <f>IFERROR(VLOOKUP(B4848,material!A:D,3,0),"")</f>
        <v>3.1</v>
      </c>
    </row>
    <row r="4849" ht="11.25" customHeight="1">
      <c r="A4849" s="21" t="str">
        <f>IFERROR(__xludf.DUMMYFUNCTION("""COMPUTED_VALUE"""),"MODEM VOIP EMTA WIFI 3.1 HGJ310")</f>
        <v>MODEM VOIP EMTA WIFI 3.1 HGJ310</v>
      </c>
      <c r="B4849" s="22">
        <f>IFERROR(__xludf.DUMMYFUNCTION("""COMPUTED_VALUE"""),4.1001481E7)</f>
        <v>41001481</v>
      </c>
      <c r="C4849" s="21" t="str">
        <f>IFERROR(__xludf.DUMMYFUNCTION("""COMPUTED_VALUE"""),"D86C5A023F6E")</f>
        <v>D86C5A023F6E</v>
      </c>
      <c r="D4849" s="21" t="str">
        <f>IFERROR(__xludf.DUMMYFUNCTION("""COMPUTED_VALUE"""),"DIGITEC TECNOLOGIA DIGITAL E REPRES")</f>
        <v>DIGITEC TECNOLOGIA DIGITAL E REPRES</v>
      </c>
      <c r="E4849" s="21">
        <f>IFERROR(__xludf.DUMMYFUNCTION("""COMPUTED_VALUE"""),145359.0)</f>
        <v>145359</v>
      </c>
      <c r="F4849" s="21" t="str">
        <f>IFERROR(__xludf.DUMMYFUNCTION("""COMPUTED_VALUE"""),"INICIALIZADO")</f>
        <v>INICIALIZADO</v>
      </c>
      <c r="G4849" s="23">
        <f>IFERROR(__xludf.DUMMYFUNCTION("""COMPUTED_VALUE"""),45639.64981481481)</f>
        <v>45639.64981</v>
      </c>
      <c r="H4849" s="24" t="str">
        <f>IFERROR(VLOOKUP(B4849,material!A:D,3,0),"")</f>
        <v>3.1</v>
      </c>
    </row>
    <row r="4850" ht="11.25" customHeight="1">
      <c r="A4850" s="21" t="str">
        <f>IFERROR(__xludf.DUMMYFUNCTION("""COMPUTED_VALUE"""),"MODEM VOIP EMTA WIFI 3.1 HGJ310")</f>
        <v>MODEM VOIP EMTA WIFI 3.1 HGJ310</v>
      </c>
      <c r="B4850" s="22">
        <f>IFERROR(__xludf.DUMMYFUNCTION("""COMPUTED_VALUE"""),4.1001481E7)</f>
        <v>41001481</v>
      </c>
      <c r="C4850" s="21" t="str">
        <f>IFERROR(__xludf.DUMMYFUNCTION("""COMPUTED_VALUE"""),"C85D38FE0123")</f>
        <v>C85D38FE0123</v>
      </c>
      <c r="D4850" s="21" t="str">
        <f>IFERROR(__xludf.DUMMYFUNCTION("""COMPUTED_VALUE"""),"DIGITEC TECNOLOGIA DIGITAL E REPRES")</f>
        <v>DIGITEC TECNOLOGIA DIGITAL E REPRES</v>
      </c>
      <c r="E4850" s="21">
        <f>IFERROR(__xludf.DUMMYFUNCTION("""COMPUTED_VALUE"""),145359.0)</f>
        <v>145359</v>
      </c>
      <c r="F4850" s="21" t="str">
        <f>IFERROR(__xludf.DUMMYFUNCTION("""COMPUTED_VALUE"""),"INICIALIZADO")</f>
        <v>INICIALIZADO</v>
      </c>
      <c r="G4850" s="23">
        <f>IFERROR(__xludf.DUMMYFUNCTION("""COMPUTED_VALUE"""),45639.64981481481)</f>
        <v>45639.64981</v>
      </c>
      <c r="H4850" s="24" t="str">
        <f>IFERROR(VLOOKUP(B4850,material!A:D,3,0),"")</f>
        <v>3.1</v>
      </c>
    </row>
    <row r="4851" ht="11.25" customHeight="1">
      <c r="A4851" s="21" t="str">
        <f>IFERROR(__xludf.DUMMYFUNCTION("""COMPUTED_VALUE"""),"MODEM VOIP EMTA WIFI 3.1 HGJ310")</f>
        <v>MODEM VOIP EMTA WIFI 3.1 HGJ310</v>
      </c>
      <c r="B4851" s="22">
        <f>IFERROR(__xludf.DUMMYFUNCTION("""COMPUTED_VALUE"""),4.1001481E7)</f>
        <v>41001481</v>
      </c>
      <c r="C4851" s="21" t="str">
        <f>IFERROR(__xludf.DUMMYFUNCTION("""COMPUTED_VALUE"""),"C85D38EEAEB3")</f>
        <v>C85D38EEAEB3</v>
      </c>
      <c r="D4851" s="21" t="str">
        <f>IFERROR(__xludf.DUMMYFUNCTION("""COMPUTED_VALUE"""),"DIGITEC TECNOLOGIA DIGITAL E REPRES")</f>
        <v>DIGITEC TECNOLOGIA DIGITAL E REPRES</v>
      </c>
      <c r="E4851" s="21">
        <f>IFERROR(__xludf.DUMMYFUNCTION("""COMPUTED_VALUE"""),145359.0)</f>
        <v>145359</v>
      </c>
      <c r="F4851" s="21" t="str">
        <f>IFERROR(__xludf.DUMMYFUNCTION("""COMPUTED_VALUE"""),"INICIALIZADO")</f>
        <v>INICIALIZADO</v>
      </c>
      <c r="G4851" s="23">
        <f>IFERROR(__xludf.DUMMYFUNCTION("""COMPUTED_VALUE"""),45639.64981481481)</f>
        <v>45639.64981</v>
      </c>
      <c r="H4851" s="24" t="str">
        <f>IFERROR(VLOOKUP(B4851,material!A:D,3,0),"")</f>
        <v>3.1</v>
      </c>
    </row>
    <row r="4852" ht="11.25" customHeight="1">
      <c r="A4852" s="21" t="str">
        <f>IFERROR(__xludf.DUMMYFUNCTION("""COMPUTED_VALUE"""),"MODEM VOIP EMTA WIFI 3.1 HGJ310")</f>
        <v>MODEM VOIP EMTA WIFI 3.1 HGJ310</v>
      </c>
      <c r="B4852" s="22">
        <f>IFERROR(__xludf.DUMMYFUNCTION("""COMPUTED_VALUE"""),4.1001481E7)</f>
        <v>41001481</v>
      </c>
      <c r="C4852" s="21" t="str">
        <f>IFERROR(__xludf.DUMMYFUNCTION("""COMPUTED_VALUE"""),"C85D38F74E85")</f>
        <v>C85D38F74E85</v>
      </c>
      <c r="D4852" s="21" t="str">
        <f>IFERROR(__xludf.DUMMYFUNCTION("""COMPUTED_VALUE"""),"DIGITEC TECNOLOGIA DIGITAL E REPRES")</f>
        <v>DIGITEC TECNOLOGIA DIGITAL E REPRES</v>
      </c>
      <c r="E4852" s="21">
        <f>IFERROR(__xludf.DUMMYFUNCTION("""COMPUTED_VALUE"""),145359.0)</f>
        <v>145359</v>
      </c>
      <c r="F4852" s="21" t="str">
        <f>IFERROR(__xludf.DUMMYFUNCTION("""COMPUTED_VALUE"""),"INICIALIZADO")</f>
        <v>INICIALIZADO</v>
      </c>
      <c r="G4852" s="23">
        <f>IFERROR(__xludf.DUMMYFUNCTION("""COMPUTED_VALUE"""),45639.64981481481)</f>
        <v>45639.64981</v>
      </c>
      <c r="H4852" s="24" t="str">
        <f>IFERROR(VLOOKUP(B4852,material!A:D,3,0),"")</f>
        <v>3.1</v>
      </c>
    </row>
    <row r="4853" ht="11.25" customHeight="1">
      <c r="A4853" s="21" t="str">
        <f>IFERROR(__xludf.DUMMYFUNCTION("""COMPUTED_VALUE"""),"MODEM VOIP EMTA WIFI 3.1 HGJ310")</f>
        <v>MODEM VOIP EMTA WIFI 3.1 HGJ310</v>
      </c>
      <c r="B4853" s="22">
        <f>IFERROR(__xludf.DUMMYFUNCTION("""COMPUTED_VALUE"""),4.1001481E7)</f>
        <v>41001481</v>
      </c>
      <c r="C4853" s="21" t="str">
        <f>IFERROR(__xludf.DUMMYFUNCTION("""COMPUTED_VALUE"""),"D86C5A000FA6")</f>
        <v>D86C5A000FA6</v>
      </c>
      <c r="D4853" s="21" t="str">
        <f>IFERROR(__xludf.DUMMYFUNCTION("""COMPUTED_VALUE"""),"DIGITEC TECNOLOGIA DIGITAL E REPRES")</f>
        <v>DIGITEC TECNOLOGIA DIGITAL E REPRES</v>
      </c>
      <c r="E4853" s="21">
        <f>IFERROR(__xludf.DUMMYFUNCTION("""COMPUTED_VALUE"""),145359.0)</f>
        <v>145359</v>
      </c>
      <c r="F4853" s="21" t="str">
        <f>IFERROR(__xludf.DUMMYFUNCTION("""COMPUTED_VALUE"""),"INICIALIZADO")</f>
        <v>INICIALIZADO</v>
      </c>
      <c r="G4853" s="23">
        <f>IFERROR(__xludf.DUMMYFUNCTION("""COMPUTED_VALUE"""),45639.64981481481)</f>
        <v>45639.64981</v>
      </c>
      <c r="H4853" s="24" t="str">
        <f>IFERROR(VLOOKUP(B4853,material!A:D,3,0),"")</f>
        <v>3.1</v>
      </c>
    </row>
    <row r="4854" ht="11.25" customHeight="1">
      <c r="A4854" s="21" t="str">
        <f>IFERROR(__xludf.DUMMYFUNCTION("""COMPUTED_VALUE"""),"MODEM VOIP EMTA WIFI 3.1 HGJ310")</f>
        <v>MODEM VOIP EMTA WIFI 3.1 HGJ310</v>
      </c>
      <c r="B4854" s="22">
        <f>IFERROR(__xludf.DUMMYFUNCTION("""COMPUTED_VALUE"""),4.1001481E7)</f>
        <v>41001481</v>
      </c>
      <c r="C4854" s="21" t="str">
        <f>IFERROR(__xludf.DUMMYFUNCTION("""COMPUTED_VALUE"""),"C85D38FD0F8E")</f>
        <v>C85D38FD0F8E</v>
      </c>
      <c r="D4854" s="21" t="str">
        <f>IFERROR(__xludf.DUMMYFUNCTION("""COMPUTED_VALUE"""),"DIGITEC TECNOLOGIA DIGITAL E REPRES")</f>
        <v>DIGITEC TECNOLOGIA DIGITAL E REPRES</v>
      </c>
      <c r="E4854" s="21">
        <f>IFERROR(__xludf.DUMMYFUNCTION("""COMPUTED_VALUE"""),145359.0)</f>
        <v>145359</v>
      </c>
      <c r="F4854" s="21" t="str">
        <f>IFERROR(__xludf.DUMMYFUNCTION("""COMPUTED_VALUE"""),"INICIALIZADO")</f>
        <v>INICIALIZADO</v>
      </c>
      <c r="G4854" s="23">
        <f>IFERROR(__xludf.DUMMYFUNCTION("""COMPUTED_VALUE"""),45639.64981481481)</f>
        <v>45639.64981</v>
      </c>
      <c r="H4854" s="24" t="str">
        <f>IFERROR(VLOOKUP(B4854,material!A:D,3,0),"")</f>
        <v>3.1</v>
      </c>
    </row>
    <row r="4855" ht="11.25" customHeight="1">
      <c r="A4855" s="21" t="str">
        <f>IFERROR(__xludf.DUMMYFUNCTION("""COMPUTED_VALUE"""),"MODEM VOIP EMTA WIFI 3.1 HGJ310")</f>
        <v>MODEM VOIP EMTA WIFI 3.1 HGJ310</v>
      </c>
      <c r="B4855" s="22">
        <f>IFERROR(__xludf.DUMMYFUNCTION("""COMPUTED_VALUE"""),4.1001481E7)</f>
        <v>41001481</v>
      </c>
      <c r="C4855" s="21" t="str">
        <f>IFERROR(__xludf.DUMMYFUNCTION("""COMPUTED_VALUE"""),"D86C5A02C0CB")</f>
        <v>D86C5A02C0CB</v>
      </c>
      <c r="D4855" s="21" t="str">
        <f>IFERROR(__xludf.DUMMYFUNCTION("""COMPUTED_VALUE"""),"DIGITEC TECNOLOGIA DIGITAL E REPRES")</f>
        <v>DIGITEC TECNOLOGIA DIGITAL E REPRES</v>
      </c>
      <c r="E4855" s="21">
        <f>IFERROR(__xludf.DUMMYFUNCTION("""COMPUTED_VALUE"""),145359.0)</f>
        <v>145359</v>
      </c>
      <c r="F4855" s="21" t="str">
        <f>IFERROR(__xludf.DUMMYFUNCTION("""COMPUTED_VALUE"""),"INICIALIZADO")</f>
        <v>INICIALIZADO</v>
      </c>
      <c r="G4855" s="23">
        <f>IFERROR(__xludf.DUMMYFUNCTION("""COMPUTED_VALUE"""),45639.64981481481)</f>
        <v>45639.64981</v>
      </c>
      <c r="H4855" s="24" t="str">
        <f>IFERROR(VLOOKUP(B4855,material!A:D,3,0),"")</f>
        <v>3.1</v>
      </c>
    </row>
    <row r="4856" ht="11.25" customHeight="1">
      <c r="A4856" s="21" t="str">
        <f>IFERROR(__xludf.DUMMYFUNCTION("""COMPUTED_VALUE"""),"MODEM VOIP EMTA WIFI 3.1 HGJ310")</f>
        <v>MODEM VOIP EMTA WIFI 3.1 HGJ310</v>
      </c>
      <c r="B4856" s="22">
        <f>IFERROR(__xludf.DUMMYFUNCTION("""COMPUTED_VALUE"""),4.1001481E7)</f>
        <v>41001481</v>
      </c>
      <c r="C4856" s="21" t="str">
        <f>IFERROR(__xludf.DUMMYFUNCTION("""COMPUTED_VALUE"""),"C85D38F02001")</f>
        <v>C85D38F02001</v>
      </c>
      <c r="D4856" s="21" t="str">
        <f>IFERROR(__xludf.DUMMYFUNCTION("""COMPUTED_VALUE"""),"DIGITEC TECNOLOGIA DIGITAL E REPRES")</f>
        <v>DIGITEC TECNOLOGIA DIGITAL E REPRES</v>
      </c>
      <c r="E4856" s="21">
        <f>IFERROR(__xludf.DUMMYFUNCTION("""COMPUTED_VALUE"""),145359.0)</f>
        <v>145359</v>
      </c>
      <c r="F4856" s="21" t="str">
        <f>IFERROR(__xludf.DUMMYFUNCTION("""COMPUTED_VALUE"""),"INICIALIZADO")</f>
        <v>INICIALIZADO</v>
      </c>
      <c r="G4856" s="23">
        <f>IFERROR(__xludf.DUMMYFUNCTION("""COMPUTED_VALUE"""),45639.64981481481)</f>
        <v>45639.64981</v>
      </c>
      <c r="H4856" s="24" t="str">
        <f>IFERROR(VLOOKUP(B4856,material!A:D,3,0),"")</f>
        <v>3.1</v>
      </c>
    </row>
    <row r="4857" ht="11.25" customHeight="1">
      <c r="A4857" s="21" t="str">
        <f>IFERROR(__xludf.DUMMYFUNCTION("""COMPUTED_VALUE"""),"MODEM VOIP EMTA WIFI 3.1 HGJ310")</f>
        <v>MODEM VOIP EMTA WIFI 3.1 HGJ310</v>
      </c>
      <c r="B4857" s="22">
        <f>IFERROR(__xludf.DUMMYFUNCTION("""COMPUTED_VALUE"""),4.1001481E7)</f>
        <v>41001481</v>
      </c>
      <c r="C4857" s="21" t="str">
        <f>IFERROR(__xludf.DUMMYFUNCTION("""COMPUTED_VALUE"""),"C85D38EEB2E2")</f>
        <v>C85D38EEB2E2</v>
      </c>
      <c r="D4857" s="21" t="str">
        <f>IFERROR(__xludf.DUMMYFUNCTION("""COMPUTED_VALUE"""),"DIGITEC TECNOLOGIA DIGITAL E REPRES")</f>
        <v>DIGITEC TECNOLOGIA DIGITAL E REPRES</v>
      </c>
      <c r="E4857" s="21">
        <f>IFERROR(__xludf.DUMMYFUNCTION("""COMPUTED_VALUE"""),145359.0)</f>
        <v>145359</v>
      </c>
      <c r="F4857" s="21" t="str">
        <f>IFERROR(__xludf.DUMMYFUNCTION("""COMPUTED_VALUE"""),"INICIALIZADO")</f>
        <v>INICIALIZADO</v>
      </c>
      <c r="G4857" s="23">
        <f>IFERROR(__xludf.DUMMYFUNCTION("""COMPUTED_VALUE"""),45639.64981481481)</f>
        <v>45639.64981</v>
      </c>
      <c r="H4857" s="24" t="str">
        <f>IFERROR(VLOOKUP(B4857,material!A:D,3,0),"")</f>
        <v>3.1</v>
      </c>
    </row>
    <row r="4858" ht="11.25" customHeight="1">
      <c r="A4858" s="21" t="str">
        <f>IFERROR(__xludf.DUMMYFUNCTION("""COMPUTED_VALUE"""),"MODEM VOIP EMTA WIFI 3.1 HGJ310")</f>
        <v>MODEM VOIP EMTA WIFI 3.1 HGJ310</v>
      </c>
      <c r="B4858" s="22">
        <f>IFERROR(__xludf.DUMMYFUNCTION("""COMPUTED_VALUE"""),4.1001481E7)</f>
        <v>41001481</v>
      </c>
      <c r="C4858" s="21" t="str">
        <f>IFERROR(__xludf.DUMMYFUNCTION("""COMPUTED_VALUE"""),"C85D38F755FC")</f>
        <v>C85D38F755FC</v>
      </c>
      <c r="D4858" s="21" t="str">
        <f>IFERROR(__xludf.DUMMYFUNCTION("""COMPUTED_VALUE"""),"DIGITEC TECNOLOGIA DIGITAL E REPRES")</f>
        <v>DIGITEC TECNOLOGIA DIGITAL E REPRES</v>
      </c>
      <c r="E4858" s="21">
        <f>IFERROR(__xludf.DUMMYFUNCTION("""COMPUTED_VALUE"""),145359.0)</f>
        <v>145359</v>
      </c>
      <c r="F4858" s="21" t="str">
        <f>IFERROR(__xludf.DUMMYFUNCTION("""COMPUTED_VALUE"""),"INICIALIZADO")</f>
        <v>INICIALIZADO</v>
      </c>
      <c r="G4858" s="23">
        <f>IFERROR(__xludf.DUMMYFUNCTION("""COMPUTED_VALUE"""),45639.64981481481)</f>
        <v>45639.64981</v>
      </c>
      <c r="H4858" s="24" t="str">
        <f>IFERROR(VLOOKUP(B4858,material!A:D,3,0),"")</f>
        <v>3.1</v>
      </c>
    </row>
    <row r="4859" ht="11.25" customHeight="1">
      <c r="A4859" s="21" t="str">
        <f>IFERROR(__xludf.DUMMYFUNCTION("""COMPUTED_VALUE"""),"MODEM VOIP EMTA WIFI 3.1 HGJ310")</f>
        <v>MODEM VOIP EMTA WIFI 3.1 HGJ310</v>
      </c>
      <c r="B4859" s="22">
        <f>IFERROR(__xludf.DUMMYFUNCTION("""COMPUTED_VALUE"""),4.1001481E7)</f>
        <v>41001481</v>
      </c>
      <c r="C4859" s="21" t="str">
        <f>IFERROR(__xludf.DUMMYFUNCTION("""COMPUTED_VALUE"""),"C85D38F73373")</f>
        <v>C85D38F73373</v>
      </c>
      <c r="D4859" s="21" t="str">
        <f>IFERROR(__xludf.DUMMYFUNCTION("""COMPUTED_VALUE"""),"DIGITEC TECNOLOGIA DIGITAL E REPRES")</f>
        <v>DIGITEC TECNOLOGIA DIGITAL E REPRES</v>
      </c>
      <c r="E4859" s="21">
        <f>IFERROR(__xludf.DUMMYFUNCTION("""COMPUTED_VALUE"""),145359.0)</f>
        <v>145359</v>
      </c>
      <c r="F4859" s="21" t="str">
        <f>IFERROR(__xludf.DUMMYFUNCTION("""COMPUTED_VALUE"""),"INICIALIZADO")</f>
        <v>INICIALIZADO</v>
      </c>
      <c r="G4859" s="23">
        <f>IFERROR(__xludf.DUMMYFUNCTION("""COMPUTED_VALUE"""),45639.64980324074)</f>
        <v>45639.6498</v>
      </c>
      <c r="H4859" s="24" t="str">
        <f>IFERROR(VLOOKUP(B4859,material!A:D,3,0),"")</f>
        <v>3.1</v>
      </c>
    </row>
    <row r="4860" ht="11.25" customHeight="1">
      <c r="A4860" s="21" t="str">
        <f>IFERROR(__xludf.DUMMYFUNCTION("""COMPUTED_VALUE"""),"MODEM VOIP EMTA WIFI 3.1 HGJ310")</f>
        <v>MODEM VOIP EMTA WIFI 3.1 HGJ310</v>
      </c>
      <c r="B4860" s="22">
        <f>IFERROR(__xludf.DUMMYFUNCTION("""COMPUTED_VALUE"""),4.1001481E7)</f>
        <v>41001481</v>
      </c>
      <c r="C4860" s="21" t="str">
        <f>IFERROR(__xludf.DUMMYFUNCTION("""COMPUTED_VALUE"""),"C85D38F719DB")</f>
        <v>C85D38F719DB</v>
      </c>
      <c r="D4860" s="21" t="str">
        <f>IFERROR(__xludf.DUMMYFUNCTION("""COMPUTED_VALUE"""),"DIGITEC TECNOLOGIA DIGITAL E REPRES")</f>
        <v>DIGITEC TECNOLOGIA DIGITAL E REPRES</v>
      </c>
      <c r="E4860" s="21">
        <f>IFERROR(__xludf.DUMMYFUNCTION("""COMPUTED_VALUE"""),145359.0)</f>
        <v>145359</v>
      </c>
      <c r="F4860" s="21" t="str">
        <f>IFERROR(__xludf.DUMMYFUNCTION("""COMPUTED_VALUE"""),"INICIALIZADO")</f>
        <v>INICIALIZADO</v>
      </c>
      <c r="G4860" s="23">
        <f>IFERROR(__xludf.DUMMYFUNCTION("""COMPUTED_VALUE"""),45639.64980324074)</f>
        <v>45639.6498</v>
      </c>
      <c r="H4860" s="24" t="str">
        <f>IFERROR(VLOOKUP(B4860,material!A:D,3,0),"")</f>
        <v>3.1</v>
      </c>
    </row>
    <row r="4861" ht="11.25" customHeight="1">
      <c r="A4861" s="21" t="str">
        <f>IFERROR(__xludf.DUMMYFUNCTION("""COMPUTED_VALUE"""),"MODEM VOIP EMTA WIFI 3.1 HGJ310")</f>
        <v>MODEM VOIP EMTA WIFI 3.1 HGJ310</v>
      </c>
      <c r="B4861" s="22">
        <f>IFERROR(__xludf.DUMMYFUNCTION("""COMPUTED_VALUE"""),4.1001481E7)</f>
        <v>41001481</v>
      </c>
      <c r="C4861" s="21" t="str">
        <f>IFERROR(__xludf.DUMMYFUNCTION("""COMPUTED_VALUE"""),"C85D386AB1D1")</f>
        <v>C85D386AB1D1</v>
      </c>
      <c r="D4861" s="21" t="str">
        <f>IFERROR(__xludf.DUMMYFUNCTION("""COMPUTED_VALUE"""),"DIGITEC TECNOLOGIA DIGITAL E REPRES")</f>
        <v>DIGITEC TECNOLOGIA DIGITAL E REPRES</v>
      </c>
      <c r="E4861" s="21">
        <f>IFERROR(__xludf.DUMMYFUNCTION("""COMPUTED_VALUE"""),145359.0)</f>
        <v>145359</v>
      </c>
      <c r="F4861" s="21" t="str">
        <f>IFERROR(__xludf.DUMMYFUNCTION("""COMPUTED_VALUE"""),"INICIALIZADO")</f>
        <v>INICIALIZADO</v>
      </c>
      <c r="G4861" s="23">
        <f>IFERROR(__xludf.DUMMYFUNCTION("""COMPUTED_VALUE"""),45639.64979166667)</f>
        <v>45639.64979</v>
      </c>
      <c r="H4861" s="24" t="str">
        <f>IFERROR(VLOOKUP(B4861,material!A:D,3,0),"")</f>
        <v>3.1</v>
      </c>
    </row>
    <row r="4862" ht="11.25" customHeight="1">
      <c r="A4862" s="21" t="str">
        <f>IFERROR(__xludf.DUMMYFUNCTION("""COMPUTED_VALUE"""),"MODEM VOIP EMTA WIFI 3.1 HGJ310")</f>
        <v>MODEM VOIP EMTA WIFI 3.1 HGJ310</v>
      </c>
      <c r="B4862" s="22">
        <f>IFERROR(__xludf.DUMMYFUNCTION("""COMPUTED_VALUE"""),4.1001481E7)</f>
        <v>41001481</v>
      </c>
      <c r="C4862" s="21" t="str">
        <f>IFERROR(__xludf.DUMMYFUNCTION("""COMPUTED_VALUE"""),"C85D38FEF5C1")</f>
        <v>C85D38FEF5C1</v>
      </c>
      <c r="D4862" s="21" t="str">
        <f>IFERROR(__xludf.DUMMYFUNCTION("""COMPUTED_VALUE"""),"DIGITEC TECNOLOGIA DIGITAL E REPRES")</f>
        <v>DIGITEC TECNOLOGIA DIGITAL E REPRES</v>
      </c>
      <c r="E4862" s="21">
        <f>IFERROR(__xludf.DUMMYFUNCTION("""COMPUTED_VALUE"""),145359.0)</f>
        <v>145359</v>
      </c>
      <c r="F4862" s="21" t="str">
        <f>IFERROR(__xludf.DUMMYFUNCTION("""COMPUTED_VALUE"""),"INICIALIZADO")</f>
        <v>INICIALIZADO</v>
      </c>
      <c r="G4862" s="23">
        <f>IFERROR(__xludf.DUMMYFUNCTION("""COMPUTED_VALUE"""),45560.436944444446)</f>
        <v>45560.43694</v>
      </c>
      <c r="H4862" s="24" t="str">
        <f>IFERROR(VLOOKUP(B4862,material!A:D,3,0),"")</f>
        <v>3.1</v>
      </c>
    </row>
    <row r="4863" ht="11.25" customHeight="1">
      <c r="A4863" s="21" t="str">
        <f>IFERROR(__xludf.DUMMYFUNCTION("""COMPUTED_VALUE"""),"MODEM VOIP EMTA WIFI 3.1 HGJ310")</f>
        <v>MODEM VOIP EMTA WIFI 3.1 HGJ310</v>
      </c>
      <c r="B4863" s="22">
        <f>IFERROR(__xludf.DUMMYFUNCTION("""COMPUTED_VALUE"""),4.1001481E7)</f>
        <v>41001481</v>
      </c>
      <c r="C4863" s="21" t="str">
        <f>IFERROR(__xludf.DUMMYFUNCTION("""COMPUTED_VALUE"""),"C85D38FDD42F")</f>
        <v>C85D38FDD42F</v>
      </c>
      <c r="D4863" s="21" t="str">
        <f>IFERROR(__xludf.DUMMYFUNCTION("""COMPUTED_VALUE"""),"DIGITEC TECNOLOGIA DIGITAL E REPRES")</f>
        <v>DIGITEC TECNOLOGIA DIGITAL E REPRES</v>
      </c>
      <c r="E4863" s="21">
        <f>IFERROR(__xludf.DUMMYFUNCTION("""COMPUTED_VALUE"""),145359.0)</f>
        <v>145359</v>
      </c>
      <c r="F4863" s="21" t="str">
        <f>IFERROR(__xludf.DUMMYFUNCTION("""COMPUTED_VALUE"""),"INICIALIZADO")</f>
        <v>INICIALIZADO</v>
      </c>
      <c r="G4863" s="23">
        <f>IFERROR(__xludf.DUMMYFUNCTION("""COMPUTED_VALUE"""),45639.64981481481)</f>
        <v>45639.64981</v>
      </c>
      <c r="H4863" s="24" t="str">
        <f>IFERROR(VLOOKUP(B4863,material!A:D,3,0),"")</f>
        <v>3.1</v>
      </c>
    </row>
    <row r="4864" ht="11.25" customHeight="1">
      <c r="A4864" s="21" t="str">
        <f>IFERROR(__xludf.DUMMYFUNCTION("""COMPUTED_VALUE"""),"MODEM VOIP EMTA WIFI 3.1 HGJ310")</f>
        <v>MODEM VOIP EMTA WIFI 3.1 HGJ310</v>
      </c>
      <c r="B4864" s="22">
        <f>IFERROR(__xludf.DUMMYFUNCTION("""COMPUTED_VALUE"""),4.1001481E7)</f>
        <v>41001481</v>
      </c>
      <c r="C4864" s="21" t="str">
        <f>IFERROR(__xludf.DUMMYFUNCTION("""COMPUTED_VALUE"""),"8C444FE6173C")</f>
        <v>8C444FE6173C</v>
      </c>
      <c r="D4864" s="21" t="str">
        <f>IFERROR(__xludf.DUMMYFUNCTION("""COMPUTED_VALUE"""),"DIGITEC TECNOLOGIA DIGITAL E REPRES")</f>
        <v>DIGITEC TECNOLOGIA DIGITAL E REPRES</v>
      </c>
      <c r="E4864" s="21">
        <f>IFERROR(__xludf.DUMMYFUNCTION("""COMPUTED_VALUE"""),145359.0)</f>
        <v>145359</v>
      </c>
      <c r="F4864" s="21" t="str">
        <f>IFERROR(__xludf.DUMMYFUNCTION("""COMPUTED_VALUE"""),"INICIALIZADO")</f>
        <v>INICIALIZADO</v>
      </c>
      <c r="G4864" s="23">
        <f>IFERROR(__xludf.DUMMYFUNCTION("""COMPUTED_VALUE"""),45639.64980324074)</f>
        <v>45639.6498</v>
      </c>
      <c r="H4864" s="24" t="str">
        <f>IFERROR(VLOOKUP(B4864,material!A:D,3,0),"")</f>
        <v>3.1</v>
      </c>
    </row>
    <row r="4865" ht="11.25" customHeight="1">
      <c r="A4865" s="21" t="str">
        <f>IFERROR(__xludf.DUMMYFUNCTION("""COMPUTED_VALUE"""),"MODEM VOIP EMTA WIFI 3.1 HGJ310")</f>
        <v>MODEM VOIP EMTA WIFI 3.1 HGJ310</v>
      </c>
      <c r="B4865" s="22">
        <f>IFERROR(__xludf.DUMMYFUNCTION("""COMPUTED_VALUE"""),4.1001481E7)</f>
        <v>41001481</v>
      </c>
      <c r="C4865" s="21" t="str">
        <f>IFERROR(__xludf.DUMMYFUNCTION("""COMPUTED_VALUE"""),"8C444FDDE327")</f>
        <v>8C444FDDE327</v>
      </c>
      <c r="D4865" s="21" t="str">
        <f>IFERROR(__xludf.DUMMYFUNCTION("""COMPUTED_VALUE"""),"DIGITEC TECNOLOGIA DIGITAL E REPRES")</f>
        <v>DIGITEC TECNOLOGIA DIGITAL E REPRES</v>
      </c>
      <c r="E4865" s="21">
        <f>IFERROR(__xludf.DUMMYFUNCTION("""COMPUTED_VALUE"""),145359.0)</f>
        <v>145359</v>
      </c>
      <c r="F4865" s="21" t="str">
        <f>IFERROR(__xludf.DUMMYFUNCTION("""COMPUTED_VALUE"""),"INICIALIZADO")</f>
        <v>INICIALIZADO</v>
      </c>
      <c r="G4865" s="23">
        <f>IFERROR(__xludf.DUMMYFUNCTION("""COMPUTED_VALUE"""),45639.64980324074)</f>
        <v>45639.6498</v>
      </c>
      <c r="H4865" s="24" t="str">
        <f>IFERROR(VLOOKUP(B4865,material!A:D,3,0),"")</f>
        <v>3.1</v>
      </c>
    </row>
    <row r="4866" ht="11.25" customHeight="1">
      <c r="A4866" s="21" t="str">
        <f>IFERROR(__xludf.DUMMYFUNCTION("""COMPUTED_VALUE"""),"MODEM VOIP EMTA WIFI 3.1 HGJ310")</f>
        <v>MODEM VOIP EMTA WIFI 3.1 HGJ310</v>
      </c>
      <c r="B4866" s="22">
        <f>IFERROR(__xludf.DUMMYFUNCTION("""COMPUTED_VALUE"""),4.1001481E7)</f>
        <v>41001481</v>
      </c>
      <c r="C4866" s="21" t="str">
        <f>IFERROR(__xludf.DUMMYFUNCTION("""COMPUTED_VALUE"""),"8C444FC0B08E")</f>
        <v>8C444FC0B08E</v>
      </c>
      <c r="D4866" s="21" t="str">
        <f>IFERROR(__xludf.DUMMYFUNCTION("""COMPUTED_VALUE"""),"DIGITEC TECNOLOGIA DIGITAL E REPRES")</f>
        <v>DIGITEC TECNOLOGIA DIGITAL E REPRES</v>
      </c>
      <c r="E4866" s="21">
        <f>IFERROR(__xludf.DUMMYFUNCTION("""COMPUTED_VALUE"""),145359.0)</f>
        <v>145359</v>
      </c>
      <c r="F4866" s="21" t="str">
        <f>IFERROR(__xludf.DUMMYFUNCTION("""COMPUTED_VALUE"""),"INICIALIZADO")</f>
        <v>INICIALIZADO</v>
      </c>
      <c r="G4866" s="23">
        <f>IFERROR(__xludf.DUMMYFUNCTION("""COMPUTED_VALUE"""),45628.35653935185)</f>
        <v>45628.35654</v>
      </c>
      <c r="H4866" s="24" t="str">
        <f>IFERROR(VLOOKUP(B4866,material!A:D,3,0),"")</f>
        <v>3.1</v>
      </c>
    </row>
    <row r="4867" ht="11.25" customHeight="1">
      <c r="A4867" s="21" t="str">
        <f>IFERROR(__xludf.DUMMYFUNCTION("""COMPUTED_VALUE"""),"MODEM VOIP EMTA WIFI 3.1 HGJ310")</f>
        <v>MODEM VOIP EMTA WIFI 3.1 HGJ310</v>
      </c>
      <c r="B4867" s="22">
        <f>IFERROR(__xludf.DUMMYFUNCTION("""COMPUTED_VALUE"""),4.1001481E7)</f>
        <v>41001481</v>
      </c>
      <c r="C4867" s="21" t="str">
        <f>IFERROR(__xludf.DUMMYFUNCTION("""COMPUTED_VALUE"""),"8C444FC26685")</f>
        <v>8C444FC26685</v>
      </c>
      <c r="D4867" s="21" t="str">
        <f>IFERROR(__xludf.DUMMYFUNCTION("""COMPUTED_VALUE"""),"DIGITEC TECNOLOGIA DIGITAL E REPRES")</f>
        <v>DIGITEC TECNOLOGIA DIGITAL E REPRES</v>
      </c>
      <c r="E4867" s="21">
        <f>IFERROR(__xludf.DUMMYFUNCTION("""COMPUTED_VALUE"""),145359.0)</f>
        <v>145359</v>
      </c>
      <c r="F4867" s="21" t="str">
        <f>IFERROR(__xludf.DUMMYFUNCTION("""COMPUTED_VALUE"""),"INICIALIZADO")</f>
        <v>INICIALIZADO</v>
      </c>
      <c r="G4867" s="23">
        <f>IFERROR(__xludf.DUMMYFUNCTION("""COMPUTED_VALUE"""),45639.64980324074)</f>
        <v>45639.6498</v>
      </c>
      <c r="H4867" s="24" t="str">
        <f>IFERROR(VLOOKUP(B4867,material!A:D,3,0),"")</f>
        <v>3.1</v>
      </c>
    </row>
    <row r="4868" ht="11.25" customHeight="1">
      <c r="A4868" s="21" t="str">
        <f>IFERROR(__xludf.DUMMYFUNCTION("""COMPUTED_VALUE"""),"MODEM VOIP EMTA WIFI 3.1 HGJ310")</f>
        <v>MODEM VOIP EMTA WIFI 3.1 HGJ310</v>
      </c>
      <c r="B4868" s="22">
        <f>IFERROR(__xludf.DUMMYFUNCTION("""COMPUTED_VALUE"""),4.1001481E7)</f>
        <v>41001481</v>
      </c>
      <c r="C4868" s="21" t="str">
        <f>IFERROR(__xludf.DUMMYFUNCTION("""COMPUTED_VALUE"""),"8C444FC06A56")</f>
        <v>8C444FC06A56</v>
      </c>
      <c r="D4868" s="21" t="str">
        <f>IFERROR(__xludf.DUMMYFUNCTION("""COMPUTED_VALUE"""),"DIGITEC TECNOLOGIA DIGITAL E REPRES")</f>
        <v>DIGITEC TECNOLOGIA DIGITAL E REPRES</v>
      </c>
      <c r="E4868" s="21">
        <f>IFERROR(__xludf.DUMMYFUNCTION("""COMPUTED_VALUE"""),145359.0)</f>
        <v>145359</v>
      </c>
      <c r="F4868" s="21" t="str">
        <f>IFERROR(__xludf.DUMMYFUNCTION("""COMPUTED_VALUE"""),"INICIALIZADO")</f>
        <v>INICIALIZADO</v>
      </c>
      <c r="G4868" s="23">
        <f>IFERROR(__xludf.DUMMYFUNCTION("""COMPUTED_VALUE"""),45639.64980324074)</f>
        <v>45639.6498</v>
      </c>
      <c r="H4868" s="24" t="str">
        <f>IFERROR(VLOOKUP(B4868,material!A:D,3,0),"")</f>
        <v>3.1</v>
      </c>
    </row>
    <row r="4869" ht="11.25" customHeight="1">
      <c r="A4869" s="21" t="str">
        <f>IFERROR(__xludf.DUMMYFUNCTION("""COMPUTED_VALUE"""),"MODEM VOIP EMTA WIFI 3.1 HGJ310")</f>
        <v>MODEM VOIP EMTA WIFI 3.1 HGJ310</v>
      </c>
      <c r="B4869" s="22">
        <f>IFERROR(__xludf.DUMMYFUNCTION("""COMPUTED_VALUE"""),4.1001481E7)</f>
        <v>41001481</v>
      </c>
      <c r="C4869" s="21" t="str">
        <f>IFERROR(__xludf.DUMMYFUNCTION("""COMPUTED_VALUE"""),"8C444FDECEAA")</f>
        <v>8C444FDECEAA</v>
      </c>
      <c r="D4869" s="21" t="str">
        <f>IFERROR(__xludf.DUMMYFUNCTION("""COMPUTED_VALUE"""),"DIGITEC TECNOLOGIA DIGITAL E REPRES")</f>
        <v>DIGITEC TECNOLOGIA DIGITAL E REPRES</v>
      </c>
      <c r="E4869" s="21">
        <f>IFERROR(__xludf.DUMMYFUNCTION("""COMPUTED_VALUE"""),145359.0)</f>
        <v>145359</v>
      </c>
      <c r="F4869" s="21" t="str">
        <f>IFERROR(__xludf.DUMMYFUNCTION("""COMPUTED_VALUE"""),"INICIALIZADO")</f>
        <v>INICIALIZADO</v>
      </c>
      <c r="G4869" s="23">
        <f>IFERROR(__xludf.DUMMYFUNCTION("""COMPUTED_VALUE"""),45639.64980324074)</f>
        <v>45639.6498</v>
      </c>
      <c r="H4869" s="24" t="str">
        <f>IFERROR(VLOOKUP(B4869,material!A:D,3,0),"")</f>
        <v>3.1</v>
      </c>
    </row>
    <row r="4870" ht="11.25" customHeight="1">
      <c r="A4870" s="21" t="str">
        <f>IFERROR(__xludf.DUMMYFUNCTION("""COMPUTED_VALUE"""),"MODEM VOIP EMTA WIFI 3.1 HGJ310")</f>
        <v>MODEM VOIP EMTA WIFI 3.1 HGJ310</v>
      </c>
      <c r="B4870" s="22">
        <f>IFERROR(__xludf.DUMMYFUNCTION("""COMPUTED_VALUE"""),4.1001481E7)</f>
        <v>41001481</v>
      </c>
      <c r="C4870" s="21" t="str">
        <f>IFERROR(__xludf.DUMMYFUNCTION("""COMPUTED_VALUE"""),"C85D38F2BFEC")</f>
        <v>C85D38F2BFEC</v>
      </c>
      <c r="D4870" s="21" t="str">
        <f>IFERROR(__xludf.DUMMYFUNCTION("""COMPUTED_VALUE"""),"DIGITEC TECNOLOGIA DIGITAL E REPRES")</f>
        <v>DIGITEC TECNOLOGIA DIGITAL E REPRES</v>
      </c>
      <c r="E4870" s="21">
        <f>IFERROR(__xludf.DUMMYFUNCTION("""COMPUTED_VALUE"""),145359.0)</f>
        <v>145359</v>
      </c>
      <c r="F4870" s="21" t="str">
        <f>IFERROR(__xludf.DUMMYFUNCTION("""COMPUTED_VALUE"""),"INICIALIZADO")</f>
        <v>INICIALIZADO</v>
      </c>
      <c r="G4870" s="23">
        <f>IFERROR(__xludf.DUMMYFUNCTION("""COMPUTED_VALUE"""),45639.64981481481)</f>
        <v>45639.64981</v>
      </c>
      <c r="H4870" s="24" t="str">
        <f>IFERROR(VLOOKUP(B4870,material!A:D,3,0),"")</f>
        <v>3.1</v>
      </c>
    </row>
    <row r="4871" ht="11.25" customHeight="1">
      <c r="A4871" s="21" t="str">
        <f>IFERROR(__xludf.DUMMYFUNCTION("""COMPUTED_VALUE"""),"MODEM VOIP EMTA WIFI 3.1 HGJ310")</f>
        <v>MODEM VOIP EMTA WIFI 3.1 HGJ310</v>
      </c>
      <c r="B4871" s="22">
        <f>IFERROR(__xludf.DUMMYFUNCTION("""COMPUTED_VALUE"""),4.1001481E7)</f>
        <v>41001481</v>
      </c>
      <c r="C4871" s="21" t="str">
        <f>IFERROR(__xludf.DUMMYFUNCTION("""COMPUTED_VALUE"""),"D86C5A039985")</f>
        <v>D86C5A039985</v>
      </c>
      <c r="D4871" s="21" t="str">
        <f>IFERROR(__xludf.DUMMYFUNCTION("""COMPUTED_VALUE"""),"DIGITEC TECNOLOGIA DIGITAL E REPRES")</f>
        <v>DIGITEC TECNOLOGIA DIGITAL E REPRES</v>
      </c>
      <c r="E4871" s="21">
        <f>IFERROR(__xludf.DUMMYFUNCTION("""COMPUTED_VALUE"""),145359.0)</f>
        <v>145359</v>
      </c>
      <c r="F4871" s="21" t="str">
        <f>IFERROR(__xludf.DUMMYFUNCTION("""COMPUTED_VALUE"""),"INICIALIZADO")</f>
        <v>INICIALIZADO</v>
      </c>
      <c r="G4871" s="23">
        <f>IFERROR(__xludf.DUMMYFUNCTION("""COMPUTED_VALUE"""),45639.64981481481)</f>
        <v>45639.64981</v>
      </c>
      <c r="H4871" s="24" t="str">
        <f>IFERROR(VLOOKUP(B4871,material!A:D,3,0),"")</f>
        <v>3.1</v>
      </c>
    </row>
    <row r="4872" ht="11.25" customHeight="1">
      <c r="A4872" s="21" t="str">
        <f>IFERROR(__xludf.DUMMYFUNCTION("""COMPUTED_VALUE"""),"MODEM VOIP EMTA WIFI 3.1 HGJ310")</f>
        <v>MODEM VOIP EMTA WIFI 3.1 HGJ310</v>
      </c>
      <c r="B4872" s="22">
        <f>IFERROR(__xludf.DUMMYFUNCTION("""COMPUTED_VALUE"""),4.1001481E7)</f>
        <v>41001481</v>
      </c>
      <c r="C4872" s="21" t="str">
        <f>IFERROR(__xludf.DUMMYFUNCTION("""COMPUTED_VALUE"""),"C85D386511CE")</f>
        <v>C85D386511CE</v>
      </c>
      <c r="D4872" s="21" t="str">
        <f>IFERROR(__xludf.DUMMYFUNCTION("""COMPUTED_VALUE"""),"DIGITEC TECNOLOGIA DIGITAL E REPRES")</f>
        <v>DIGITEC TECNOLOGIA DIGITAL E REPRES</v>
      </c>
      <c r="E4872" s="21">
        <f>IFERROR(__xludf.DUMMYFUNCTION("""COMPUTED_VALUE"""),145359.0)</f>
        <v>145359</v>
      </c>
      <c r="F4872" s="21" t="str">
        <f>IFERROR(__xludf.DUMMYFUNCTION("""COMPUTED_VALUE"""),"INICIALIZADO")</f>
        <v>INICIALIZADO</v>
      </c>
      <c r="G4872" s="23">
        <f>IFERROR(__xludf.DUMMYFUNCTION("""COMPUTED_VALUE"""),45639.64979166667)</f>
        <v>45639.64979</v>
      </c>
      <c r="H4872" s="24" t="str">
        <f>IFERROR(VLOOKUP(B4872,material!A:D,3,0),"")</f>
        <v>3.1</v>
      </c>
    </row>
    <row r="4873" ht="11.25" customHeight="1">
      <c r="A4873" s="21" t="str">
        <f>IFERROR(__xludf.DUMMYFUNCTION("""COMPUTED_VALUE"""),"MODEM VOIP EMTA WIFI 3.1 HGJ310")</f>
        <v>MODEM VOIP EMTA WIFI 3.1 HGJ310</v>
      </c>
      <c r="B4873" s="22">
        <f>IFERROR(__xludf.DUMMYFUNCTION("""COMPUTED_VALUE"""),4.1001481E7)</f>
        <v>41001481</v>
      </c>
      <c r="C4873" s="21" t="str">
        <f>IFERROR(__xludf.DUMMYFUNCTION("""COMPUTED_VALUE"""),"C85D38F5149E")</f>
        <v>C85D38F5149E</v>
      </c>
      <c r="D4873" s="21" t="str">
        <f>IFERROR(__xludf.DUMMYFUNCTION("""COMPUTED_VALUE"""),"DIGITEC TECNOLOGIA DIGITAL E REPRES")</f>
        <v>DIGITEC TECNOLOGIA DIGITAL E REPRES</v>
      </c>
      <c r="E4873" s="21">
        <f>IFERROR(__xludf.DUMMYFUNCTION("""COMPUTED_VALUE"""),145359.0)</f>
        <v>145359</v>
      </c>
      <c r="F4873" s="21" t="str">
        <f>IFERROR(__xludf.DUMMYFUNCTION("""COMPUTED_VALUE"""),"INICIALIZADO")</f>
        <v>INICIALIZADO</v>
      </c>
      <c r="G4873" s="23">
        <f>IFERROR(__xludf.DUMMYFUNCTION("""COMPUTED_VALUE"""),45639.64980324074)</f>
        <v>45639.6498</v>
      </c>
      <c r="H4873" s="24" t="str">
        <f>IFERROR(VLOOKUP(B4873,material!A:D,3,0),"")</f>
        <v>3.1</v>
      </c>
    </row>
    <row r="4874" ht="11.25" customHeight="1">
      <c r="A4874" s="21" t="str">
        <f>IFERROR(__xludf.DUMMYFUNCTION("""COMPUTED_VALUE"""),"MODEM VOIP EMTA WIFI 3.1 HGJ310")</f>
        <v>MODEM VOIP EMTA WIFI 3.1 HGJ310</v>
      </c>
      <c r="B4874" s="22">
        <f>IFERROR(__xludf.DUMMYFUNCTION("""COMPUTED_VALUE"""),4.1001481E7)</f>
        <v>41001481</v>
      </c>
      <c r="C4874" s="21" t="str">
        <f>IFERROR(__xludf.DUMMYFUNCTION("""COMPUTED_VALUE"""),"D86C5A0004D2")</f>
        <v>D86C5A0004D2</v>
      </c>
      <c r="D4874" s="21" t="str">
        <f>IFERROR(__xludf.DUMMYFUNCTION("""COMPUTED_VALUE"""),"DIGITEC TECNOLOGIA DIGITAL E REPRES")</f>
        <v>DIGITEC TECNOLOGIA DIGITAL E REPRES</v>
      </c>
      <c r="E4874" s="21">
        <f>IFERROR(__xludf.DUMMYFUNCTION("""COMPUTED_VALUE"""),145359.0)</f>
        <v>145359</v>
      </c>
      <c r="F4874" s="21" t="str">
        <f>IFERROR(__xludf.DUMMYFUNCTION("""COMPUTED_VALUE"""),"INICIALIZADO")</f>
        <v>INICIALIZADO</v>
      </c>
      <c r="G4874" s="23">
        <f>IFERROR(__xludf.DUMMYFUNCTION("""COMPUTED_VALUE"""),45639.64981481481)</f>
        <v>45639.64981</v>
      </c>
      <c r="H4874" s="24" t="str">
        <f>IFERROR(VLOOKUP(B4874,material!A:D,3,0),"")</f>
        <v>3.1</v>
      </c>
    </row>
    <row r="4875" ht="11.25" customHeight="1">
      <c r="A4875" s="21" t="str">
        <f>IFERROR(__xludf.DUMMYFUNCTION("""COMPUTED_VALUE"""),"MODEM VOIP EMTA WIFI 3.1 HGJ310")</f>
        <v>MODEM VOIP EMTA WIFI 3.1 HGJ310</v>
      </c>
      <c r="B4875" s="22">
        <f>IFERROR(__xludf.DUMMYFUNCTION("""COMPUTED_VALUE"""),4.1001481E7)</f>
        <v>41001481</v>
      </c>
      <c r="C4875" s="21" t="str">
        <f>IFERROR(__xludf.DUMMYFUNCTION("""COMPUTED_VALUE"""),"D86C5A0149AA")</f>
        <v>D86C5A0149AA</v>
      </c>
      <c r="D4875" s="21" t="str">
        <f>IFERROR(__xludf.DUMMYFUNCTION("""COMPUTED_VALUE"""),"DIGITEC TECNOLOGIA DIGITAL E REPRES")</f>
        <v>DIGITEC TECNOLOGIA DIGITAL E REPRES</v>
      </c>
      <c r="E4875" s="21">
        <f>IFERROR(__xludf.DUMMYFUNCTION("""COMPUTED_VALUE"""),145359.0)</f>
        <v>145359</v>
      </c>
      <c r="F4875" s="21" t="str">
        <f>IFERROR(__xludf.DUMMYFUNCTION("""COMPUTED_VALUE"""),"INICIALIZADO")</f>
        <v>INICIALIZADO</v>
      </c>
      <c r="G4875" s="23">
        <f>IFERROR(__xludf.DUMMYFUNCTION("""COMPUTED_VALUE"""),45560.436944444446)</f>
        <v>45560.43694</v>
      </c>
      <c r="H4875" s="24" t="str">
        <f>IFERROR(VLOOKUP(B4875,material!A:D,3,0),"")</f>
        <v>3.1</v>
      </c>
    </row>
    <row r="4876" ht="11.25" customHeight="1">
      <c r="A4876" s="21" t="str">
        <f>IFERROR(__xludf.DUMMYFUNCTION("""COMPUTED_VALUE"""),"MODEM VOIP EMTA WIFI 3.1 HGJ310")</f>
        <v>MODEM VOIP EMTA WIFI 3.1 HGJ310</v>
      </c>
      <c r="B4876" s="22">
        <f>IFERROR(__xludf.DUMMYFUNCTION("""COMPUTED_VALUE"""),4.1001481E7)</f>
        <v>41001481</v>
      </c>
      <c r="C4876" s="21" t="str">
        <f>IFERROR(__xludf.DUMMYFUNCTION("""COMPUTED_VALUE"""),"C85D38F5062E")</f>
        <v>C85D38F5062E</v>
      </c>
      <c r="D4876" s="21" t="str">
        <f>IFERROR(__xludf.DUMMYFUNCTION("""COMPUTED_VALUE"""),"DIGITEC TECNOLOGIA DIGITAL E REPRES")</f>
        <v>DIGITEC TECNOLOGIA DIGITAL E REPRES</v>
      </c>
      <c r="E4876" s="21">
        <f>IFERROR(__xludf.DUMMYFUNCTION("""COMPUTED_VALUE"""),145359.0)</f>
        <v>145359</v>
      </c>
      <c r="F4876" s="21" t="str">
        <f>IFERROR(__xludf.DUMMYFUNCTION("""COMPUTED_VALUE"""),"INICIALIZADO")</f>
        <v>INICIALIZADO</v>
      </c>
      <c r="G4876" s="23">
        <f>IFERROR(__xludf.DUMMYFUNCTION("""COMPUTED_VALUE"""),45639.64981481481)</f>
        <v>45639.64981</v>
      </c>
      <c r="H4876" s="24" t="str">
        <f>IFERROR(VLOOKUP(B4876,material!A:D,3,0),"")</f>
        <v>3.1</v>
      </c>
    </row>
    <row r="4877" ht="11.25" customHeight="1">
      <c r="A4877" s="21" t="str">
        <f>IFERROR(__xludf.DUMMYFUNCTION("""COMPUTED_VALUE"""),"MODEM VOIP EMTA WIFI 3.1 HGJ310")</f>
        <v>MODEM VOIP EMTA WIFI 3.1 HGJ310</v>
      </c>
      <c r="B4877" s="22">
        <f>IFERROR(__xludf.DUMMYFUNCTION("""COMPUTED_VALUE"""),4.1001481E7)</f>
        <v>41001481</v>
      </c>
      <c r="C4877" s="21" t="str">
        <f>IFERROR(__xludf.DUMMYFUNCTION("""COMPUTED_VALUE"""),"C85D38EFC379")</f>
        <v>C85D38EFC379</v>
      </c>
      <c r="D4877" s="21" t="str">
        <f>IFERROR(__xludf.DUMMYFUNCTION("""COMPUTED_VALUE"""),"DIGITEC TECNOLOGIA DIGITAL E REPRES")</f>
        <v>DIGITEC TECNOLOGIA DIGITAL E REPRES</v>
      </c>
      <c r="E4877" s="21">
        <f>IFERROR(__xludf.DUMMYFUNCTION("""COMPUTED_VALUE"""),145359.0)</f>
        <v>145359</v>
      </c>
      <c r="F4877" s="21" t="str">
        <f>IFERROR(__xludf.DUMMYFUNCTION("""COMPUTED_VALUE"""),"INICIALIZADO")</f>
        <v>INICIALIZADO</v>
      </c>
      <c r="G4877" s="23">
        <f>IFERROR(__xludf.DUMMYFUNCTION("""COMPUTED_VALUE"""),45639.64981481481)</f>
        <v>45639.64981</v>
      </c>
      <c r="H4877" s="24" t="str">
        <f>IFERROR(VLOOKUP(B4877,material!A:D,3,0),"")</f>
        <v>3.1</v>
      </c>
    </row>
    <row r="4878" ht="11.25" customHeight="1">
      <c r="A4878" s="21" t="str">
        <f>IFERROR(__xludf.DUMMYFUNCTION("""COMPUTED_VALUE"""),"MODEM VOIP EMTA WIFI 3.1 HGJ310")</f>
        <v>MODEM VOIP EMTA WIFI 3.1 HGJ310</v>
      </c>
      <c r="B4878" s="22">
        <f>IFERROR(__xludf.DUMMYFUNCTION("""COMPUTED_VALUE"""),4.1001481E7)</f>
        <v>41001481</v>
      </c>
      <c r="C4878" s="21" t="str">
        <f>IFERROR(__xludf.DUMMYFUNCTION("""COMPUTED_VALUE"""),"C85D38EEE96F")</f>
        <v>C85D38EEE96F</v>
      </c>
      <c r="D4878" s="21" t="str">
        <f>IFERROR(__xludf.DUMMYFUNCTION("""COMPUTED_VALUE"""),"DIGITEC TECNOLOGIA DIGITAL E REPRES")</f>
        <v>DIGITEC TECNOLOGIA DIGITAL E REPRES</v>
      </c>
      <c r="E4878" s="21">
        <f>IFERROR(__xludf.DUMMYFUNCTION("""COMPUTED_VALUE"""),145359.0)</f>
        <v>145359</v>
      </c>
      <c r="F4878" s="21" t="str">
        <f>IFERROR(__xludf.DUMMYFUNCTION("""COMPUTED_VALUE"""),"INICIALIZADO")</f>
        <v>INICIALIZADO</v>
      </c>
      <c r="G4878" s="23">
        <f>IFERROR(__xludf.DUMMYFUNCTION("""COMPUTED_VALUE"""),45639.64981481481)</f>
        <v>45639.64981</v>
      </c>
      <c r="H4878" s="24" t="str">
        <f>IFERROR(VLOOKUP(B4878,material!A:D,3,0),"")</f>
        <v>3.1</v>
      </c>
    </row>
    <row r="4879" ht="11.25" customHeight="1">
      <c r="A4879" s="21" t="str">
        <f>IFERROR(__xludf.DUMMYFUNCTION("""COMPUTED_VALUE"""),"MODEM VOIP EMTA WIFI 3.1 HGJ310")</f>
        <v>MODEM VOIP EMTA WIFI 3.1 HGJ310</v>
      </c>
      <c r="B4879" s="22">
        <f>IFERROR(__xludf.DUMMYFUNCTION("""COMPUTED_VALUE"""),4.1001481E7)</f>
        <v>41001481</v>
      </c>
      <c r="C4879" s="21" t="str">
        <f>IFERROR(__xludf.DUMMYFUNCTION("""COMPUTED_VALUE"""),"C85D38FCE9FC")</f>
        <v>C85D38FCE9FC</v>
      </c>
      <c r="D4879" s="21" t="str">
        <f>IFERROR(__xludf.DUMMYFUNCTION("""COMPUTED_VALUE"""),"DIGITEC TECNOLOGIA DIGITAL E REPRES")</f>
        <v>DIGITEC TECNOLOGIA DIGITAL E REPRES</v>
      </c>
      <c r="E4879" s="21">
        <f>IFERROR(__xludf.DUMMYFUNCTION("""COMPUTED_VALUE"""),145359.0)</f>
        <v>145359</v>
      </c>
      <c r="F4879" s="21" t="str">
        <f>IFERROR(__xludf.DUMMYFUNCTION("""COMPUTED_VALUE"""),"INICIALIZADO")</f>
        <v>INICIALIZADO</v>
      </c>
      <c r="G4879" s="23">
        <f>IFERROR(__xludf.DUMMYFUNCTION("""COMPUTED_VALUE"""),45639.64981481481)</f>
        <v>45639.64981</v>
      </c>
      <c r="H4879" s="24" t="str">
        <f>IFERROR(VLOOKUP(B4879,material!A:D,3,0),"")</f>
        <v>3.1</v>
      </c>
    </row>
    <row r="4880" ht="11.25" customHeight="1">
      <c r="A4880" s="21" t="str">
        <f>IFERROR(__xludf.DUMMYFUNCTION("""COMPUTED_VALUE"""),"MODEM VOIP EMTA WIFI 3.1 HGJ310")</f>
        <v>MODEM VOIP EMTA WIFI 3.1 HGJ310</v>
      </c>
      <c r="B4880" s="22">
        <f>IFERROR(__xludf.DUMMYFUNCTION("""COMPUTED_VALUE"""),4.1001481E7)</f>
        <v>41001481</v>
      </c>
      <c r="C4880" s="21" t="str">
        <f>IFERROR(__xludf.DUMMYFUNCTION("""COMPUTED_VALUE"""),"D86C5A009C6A")</f>
        <v>D86C5A009C6A</v>
      </c>
      <c r="D4880" s="21" t="str">
        <f>IFERROR(__xludf.DUMMYFUNCTION("""COMPUTED_VALUE"""),"DIGITEC TECNOLOGIA DIGITAL E REPRES")</f>
        <v>DIGITEC TECNOLOGIA DIGITAL E REPRES</v>
      </c>
      <c r="E4880" s="21">
        <f>IFERROR(__xludf.DUMMYFUNCTION("""COMPUTED_VALUE"""),145359.0)</f>
        <v>145359</v>
      </c>
      <c r="F4880" s="21" t="str">
        <f>IFERROR(__xludf.DUMMYFUNCTION("""COMPUTED_VALUE"""),"INICIALIZADO")</f>
        <v>INICIALIZADO</v>
      </c>
      <c r="G4880" s="23">
        <f>IFERROR(__xludf.DUMMYFUNCTION("""COMPUTED_VALUE"""),45639.64981481481)</f>
        <v>45639.64981</v>
      </c>
      <c r="H4880" s="24" t="str">
        <f>IFERROR(VLOOKUP(B4880,material!A:D,3,0),"")</f>
        <v>3.1</v>
      </c>
    </row>
    <row r="4881" ht="11.25" customHeight="1">
      <c r="A4881" s="21" t="str">
        <f>IFERROR(__xludf.DUMMYFUNCTION("""COMPUTED_VALUE"""),"MODEM VOIP EMTA WIFI 3.1 HGJ310")</f>
        <v>MODEM VOIP EMTA WIFI 3.1 HGJ310</v>
      </c>
      <c r="B4881" s="22">
        <f>IFERROR(__xludf.DUMMYFUNCTION("""COMPUTED_VALUE"""),4.1001481E7)</f>
        <v>41001481</v>
      </c>
      <c r="C4881" s="21" t="str">
        <f>IFERROR(__xludf.DUMMYFUNCTION("""COMPUTED_VALUE"""),"D86C5A07140D")</f>
        <v>D86C5A07140D</v>
      </c>
      <c r="D4881" s="21" t="str">
        <f>IFERROR(__xludf.DUMMYFUNCTION("""COMPUTED_VALUE"""),"DIGITEC TECNOLOGIA DIGITAL E REPRES")</f>
        <v>DIGITEC TECNOLOGIA DIGITAL E REPRES</v>
      </c>
      <c r="E4881" s="21">
        <f>IFERROR(__xludf.DUMMYFUNCTION("""COMPUTED_VALUE"""),145359.0)</f>
        <v>145359</v>
      </c>
      <c r="F4881" s="21" t="str">
        <f>IFERROR(__xludf.DUMMYFUNCTION("""COMPUTED_VALUE"""),"INICIALIZADO")</f>
        <v>INICIALIZADO</v>
      </c>
      <c r="G4881" s="23">
        <f>IFERROR(__xludf.DUMMYFUNCTION("""COMPUTED_VALUE"""),45639.64982638889)</f>
        <v>45639.64983</v>
      </c>
      <c r="H4881" s="24" t="str">
        <f>IFERROR(VLOOKUP(B4881,material!A:D,3,0),"")</f>
        <v>3.1</v>
      </c>
    </row>
    <row r="4882" ht="11.25" customHeight="1">
      <c r="A4882" s="21" t="str">
        <f>IFERROR(__xludf.DUMMYFUNCTION("""COMPUTED_VALUE"""),"MODEM VOIP EMTA WIFI 3.1 HGJ310")</f>
        <v>MODEM VOIP EMTA WIFI 3.1 HGJ310</v>
      </c>
      <c r="B4882" s="22">
        <f>IFERROR(__xludf.DUMMYFUNCTION("""COMPUTED_VALUE"""),4.1001481E7)</f>
        <v>41001481</v>
      </c>
      <c r="C4882" s="21" t="str">
        <f>IFERROR(__xludf.DUMMYFUNCTION("""COMPUTED_VALUE"""),"D86C5A0881FE")</f>
        <v>D86C5A0881FE</v>
      </c>
      <c r="D4882" s="21" t="str">
        <f>IFERROR(__xludf.DUMMYFUNCTION("""COMPUTED_VALUE"""),"DIGITEC TECNOLOGIA DIGITAL E REPRES")</f>
        <v>DIGITEC TECNOLOGIA DIGITAL E REPRES</v>
      </c>
      <c r="E4882" s="21">
        <f>IFERROR(__xludf.DUMMYFUNCTION("""COMPUTED_VALUE"""),145359.0)</f>
        <v>145359</v>
      </c>
      <c r="F4882" s="21" t="str">
        <f>IFERROR(__xludf.DUMMYFUNCTION("""COMPUTED_VALUE"""),"INICIALIZADO")</f>
        <v>INICIALIZADO</v>
      </c>
      <c r="G4882" s="23">
        <f>IFERROR(__xludf.DUMMYFUNCTION("""COMPUTED_VALUE"""),45639.64982638889)</f>
        <v>45639.64983</v>
      </c>
      <c r="H4882" s="24" t="str">
        <f>IFERROR(VLOOKUP(B4882,material!A:D,3,0),"")</f>
        <v>3.1</v>
      </c>
    </row>
    <row r="4883" ht="11.25" customHeight="1">
      <c r="A4883" s="21" t="str">
        <f>IFERROR(__xludf.DUMMYFUNCTION("""COMPUTED_VALUE"""),"MODEM VOIP EMTA WIFI 3.1 HGJ310")</f>
        <v>MODEM VOIP EMTA WIFI 3.1 HGJ310</v>
      </c>
      <c r="B4883" s="22">
        <f>IFERROR(__xludf.DUMMYFUNCTION("""COMPUTED_VALUE"""),4.1001481E7)</f>
        <v>41001481</v>
      </c>
      <c r="C4883" s="21" t="str">
        <f>IFERROR(__xludf.DUMMYFUNCTION("""COMPUTED_VALUE"""),"D86C5A06C9BB")</f>
        <v>D86C5A06C9BB</v>
      </c>
      <c r="D4883" s="21" t="str">
        <f>IFERROR(__xludf.DUMMYFUNCTION("""COMPUTED_VALUE"""),"DIGITEC TECNOLOGIA DIGITAL E REPRES")</f>
        <v>DIGITEC TECNOLOGIA DIGITAL E REPRES</v>
      </c>
      <c r="E4883" s="21">
        <f>IFERROR(__xludf.DUMMYFUNCTION("""COMPUTED_VALUE"""),145359.0)</f>
        <v>145359</v>
      </c>
      <c r="F4883" s="21" t="str">
        <f>IFERROR(__xludf.DUMMYFUNCTION("""COMPUTED_VALUE"""),"INICIALIZADO")</f>
        <v>INICIALIZADO</v>
      </c>
      <c r="G4883" s="23">
        <f>IFERROR(__xludf.DUMMYFUNCTION("""COMPUTED_VALUE"""),45639.64982638889)</f>
        <v>45639.64983</v>
      </c>
      <c r="H4883" s="24" t="str">
        <f>IFERROR(VLOOKUP(B4883,material!A:D,3,0),"")</f>
        <v>3.1</v>
      </c>
    </row>
    <row r="4884" ht="11.25" customHeight="1">
      <c r="A4884" s="21" t="str">
        <f>IFERROR(__xludf.DUMMYFUNCTION("""COMPUTED_VALUE"""),"MODEM VOIP EMTA WIFI 3.1 HGJ310")</f>
        <v>MODEM VOIP EMTA WIFI 3.1 HGJ310</v>
      </c>
      <c r="B4884" s="22">
        <f>IFERROR(__xludf.DUMMYFUNCTION("""COMPUTED_VALUE"""),4.1001481E7)</f>
        <v>41001481</v>
      </c>
      <c r="C4884" s="21" t="str">
        <f>IFERROR(__xludf.DUMMYFUNCTION("""COMPUTED_VALUE"""),"C85D38F3085B")</f>
        <v>C85D38F3085B</v>
      </c>
      <c r="D4884" s="21" t="str">
        <f>IFERROR(__xludf.DUMMYFUNCTION("""COMPUTED_VALUE"""),"DIGITEC TECNOLOGIA DIGITAL E REPRES")</f>
        <v>DIGITEC TECNOLOGIA DIGITAL E REPRES</v>
      </c>
      <c r="E4884" s="21">
        <f>IFERROR(__xludf.DUMMYFUNCTION("""COMPUTED_VALUE"""),145359.0)</f>
        <v>145359</v>
      </c>
      <c r="F4884" s="21" t="str">
        <f>IFERROR(__xludf.DUMMYFUNCTION("""COMPUTED_VALUE"""),"INICIALIZADO")</f>
        <v>INICIALIZADO</v>
      </c>
      <c r="G4884" s="23">
        <f>IFERROR(__xludf.DUMMYFUNCTION("""COMPUTED_VALUE"""),45639.64981481481)</f>
        <v>45639.64981</v>
      </c>
      <c r="H4884" s="24" t="str">
        <f>IFERROR(VLOOKUP(B4884,material!A:D,3,0),"")</f>
        <v>3.1</v>
      </c>
    </row>
    <row r="4885" ht="11.25" customHeight="1">
      <c r="A4885" s="21" t="str">
        <f>IFERROR(__xludf.DUMMYFUNCTION("""COMPUTED_VALUE"""),"MODEM VOIP EMTA WIFI 3.1 HGJ310")</f>
        <v>MODEM VOIP EMTA WIFI 3.1 HGJ310</v>
      </c>
      <c r="B4885" s="22">
        <f>IFERROR(__xludf.DUMMYFUNCTION("""COMPUTED_VALUE"""),4.1001481E7)</f>
        <v>41001481</v>
      </c>
      <c r="C4885" s="21" t="str">
        <f>IFERROR(__xludf.DUMMYFUNCTION("""COMPUTED_VALUE"""),"C85D3813340C")</f>
        <v>C85D3813340C</v>
      </c>
      <c r="D4885" s="21" t="str">
        <f>IFERROR(__xludf.DUMMYFUNCTION("""COMPUTED_VALUE"""),"DIGITEC TECNOLOGIA DIGITAL E REPRES")</f>
        <v>DIGITEC TECNOLOGIA DIGITAL E REPRES</v>
      </c>
      <c r="E4885" s="21">
        <f>IFERROR(__xludf.DUMMYFUNCTION("""COMPUTED_VALUE"""),145359.0)</f>
        <v>145359</v>
      </c>
      <c r="F4885" s="21" t="str">
        <f>IFERROR(__xludf.DUMMYFUNCTION("""COMPUTED_VALUE"""),"INICIALIZADO")</f>
        <v>INICIALIZADO</v>
      </c>
      <c r="G4885" s="23">
        <f>IFERROR(__xludf.DUMMYFUNCTION("""COMPUTED_VALUE"""),45639.64979166667)</f>
        <v>45639.64979</v>
      </c>
      <c r="H4885" s="24" t="str">
        <f>IFERROR(VLOOKUP(B4885,material!A:D,3,0),"")</f>
        <v>3.1</v>
      </c>
    </row>
    <row r="4886" ht="11.25" customHeight="1">
      <c r="A4886" s="21" t="str">
        <f>IFERROR(__xludf.DUMMYFUNCTION("""COMPUTED_VALUE"""),"MODEM VOIP EMTA WIFI 3.1 HGJ310")</f>
        <v>MODEM VOIP EMTA WIFI 3.1 HGJ310</v>
      </c>
      <c r="B4886" s="22">
        <f>IFERROR(__xludf.DUMMYFUNCTION("""COMPUTED_VALUE"""),4.1001481E7)</f>
        <v>41001481</v>
      </c>
      <c r="C4886" s="21" t="str">
        <f>IFERROR(__xludf.DUMMYFUNCTION("""COMPUTED_VALUE"""),"C85D38F24AC8")</f>
        <v>C85D38F24AC8</v>
      </c>
      <c r="D4886" s="21" t="str">
        <f>IFERROR(__xludf.DUMMYFUNCTION("""COMPUTED_VALUE"""),"DIGITEC TECNOLOGIA DIGITAL E REPRES")</f>
        <v>DIGITEC TECNOLOGIA DIGITAL E REPRES</v>
      </c>
      <c r="E4886" s="21">
        <f>IFERROR(__xludf.DUMMYFUNCTION("""COMPUTED_VALUE"""),145359.0)</f>
        <v>145359</v>
      </c>
      <c r="F4886" s="21" t="str">
        <f>IFERROR(__xludf.DUMMYFUNCTION("""COMPUTED_VALUE"""),"INICIALIZADO")</f>
        <v>INICIALIZADO</v>
      </c>
      <c r="G4886" s="23">
        <f>IFERROR(__xludf.DUMMYFUNCTION("""COMPUTED_VALUE"""),45639.64981481481)</f>
        <v>45639.64981</v>
      </c>
      <c r="H4886" s="24" t="str">
        <f>IFERROR(VLOOKUP(B4886,material!A:D,3,0),"")</f>
        <v>3.1</v>
      </c>
    </row>
    <row r="4887" ht="11.25" customHeight="1">
      <c r="A4887" s="21" t="str">
        <f>IFERROR(__xludf.DUMMYFUNCTION("""COMPUTED_VALUE"""),"MODEM VOIP EMTA WIFI 3.1 HGJ310")</f>
        <v>MODEM VOIP EMTA WIFI 3.1 HGJ310</v>
      </c>
      <c r="B4887" s="22">
        <f>IFERROR(__xludf.DUMMYFUNCTION("""COMPUTED_VALUE"""),4.1001481E7)</f>
        <v>41001481</v>
      </c>
      <c r="C4887" s="21" t="str">
        <f>IFERROR(__xludf.DUMMYFUNCTION("""COMPUTED_VALUE"""),"C85D38013D21")</f>
        <v>C85D38013D21</v>
      </c>
      <c r="D4887" s="21" t="str">
        <f>IFERROR(__xludf.DUMMYFUNCTION("""COMPUTED_VALUE"""),"DIGITEC TECNOLOGIA DIGITAL E REPRES")</f>
        <v>DIGITEC TECNOLOGIA DIGITAL E REPRES</v>
      </c>
      <c r="E4887" s="21">
        <f>IFERROR(__xludf.DUMMYFUNCTION("""COMPUTED_VALUE"""),145359.0)</f>
        <v>145359</v>
      </c>
      <c r="F4887" s="21" t="str">
        <f>IFERROR(__xludf.DUMMYFUNCTION("""COMPUTED_VALUE"""),"INICIALIZADO")</f>
        <v>INICIALIZADO</v>
      </c>
      <c r="G4887" s="23">
        <f>IFERROR(__xludf.DUMMYFUNCTION("""COMPUTED_VALUE"""),45639.64980324074)</f>
        <v>45639.6498</v>
      </c>
      <c r="H4887" s="24" t="str">
        <f>IFERROR(VLOOKUP(B4887,material!A:D,3,0),"")</f>
        <v>3.1</v>
      </c>
    </row>
    <row r="4888" ht="11.25" customHeight="1">
      <c r="A4888" s="21" t="str">
        <f>IFERROR(__xludf.DUMMYFUNCTION("""COMPUTED_VALUE"""),"MODEM VOIP EMTA WIFI 3.1 HGJ310")</f>
        <v>MODEM VOIP EMTA WIFI 3.1 HGJ310</v>
      </c>
      <c r="B4888" s="22">
        <f>IFERROR(__xludf.DUMMYFUNCTION("""COMPUTED_VALUE"""),4.1001481E7)</f>
        <v>41001481</v>
      </c>
      <c r="C4888" s="21" t="str">
        <f>IFERROR(__xludf.DUMMYFUNCTION("""COMPUTED_VALUE"""),"8C444FE03AA3")</f>
        <v>8C444FE03AA3</v>
      </c>
      <c r="D4888" s="21" t="str">
        <f>IFERROR(__xludf.DUMMYFUNCTION("""COMPUTED_VALUE"""),"DIGITEC TECNOLOGIA DIGITAL E REPRES")</f>
        <v>DIGITEC TECNOLOGIA DIGITAL E REPRES</v>
      </c>
      <c r="E4888" s="21">
        <f>IFERROR(__xludf.DUMMYFUNCTION("""COMPUTED_VALUE"""),145359.0)</f>
        <v>145359</v>
      </c>
      <c r="F4888" s="21" t="str">
        <f>IFERROR(__xludf.DUMMYFUNCTION("""COMPUTED_VALUE"""),"INICIALIZADO")</f>
        <v>INICIALIZADO</v>
      </c>
      <c r="G4888" s="23">
        <f>IFERROR(__xludf.DUMMYFUNCTION("""COMPUTED_VALUE"""),45639.64980324074)</f>
        <v>45639.6498</v>
      </c>
      <c r="H4888" s="24" t="str">
        <f>IFERROR(VLOOKUP(B4888,material!A:D,3,0),"")</f>
        <v>3.1</v>
      </c>
    </row>
    <row r="4889" ht="11.25" customHeight="1">
      <c r="A4889" s="21" t="str">
        <f>IFERROR(__xludf.DUMMYFUNCTION("""COMPUTED_VALUE"""),"MODEM VOIP EMTA WIFI 3.1 HGJ310")</f>
        <v>MODEM VOIP EMTA WIFI 3.1 HGJ310</v>
      </c>
      <c r="B4889" s="22">
        <f>IFERROR(__xludf.DUMMYFUNCTION("""COMPUTED_VALUE"""),4.1001481E7)</f>
        <v>41001481</v>
      </c>
      <c r="C4889" s="21" t="str">
        <f>IFERROR(__xludf.DUMMYFUNCTION("""COMPUTED_VALUE"""),"8C444FE774C5")</f>
        <v>8C444FE774C5</v>
      </c>
      <c r="D4889" s="21" t="str">
        <f>IFERROR(__xludf.DUMMYFUNCTION("""COMPUTED_VALUE"""),"DIGITEC TECNOLOGIA DIGITAL E REPRES")</f>
        <v>DIGITEC TECNOLOGIA DIGITAL E REPRES</v>
      </c>
      <c r="E4889" s="21">
        <f>IFERROR(__xludf.DUMMYFUNCTION("""COMPUTED_VALUE"""),145359.0)</f>
        <v>145359</v>
      </c>
      <c r="F4889" s="21" t="str">
        <f>IFERROR(__xludf.DUMMYFUNCTION("""COMPUTED_VALUE"""),"INICIALIZADO")</f>
        <v>INICIALIZADO</v>
      </c>
      <c r="G4889" s="23">
        <f>IFERROR(__xludf.DUMMYFUNCTION("""COMPUTED_VALUE"""),45639.64980324074)</f>
        <v>45639.6498</v>
      </c>
      <c r="H4889" s="24" t="str">
        <f>IFERROR(VLOOKUP(B4889,material!A:D,3,0),"")</f>
        <v>3.1</v>
      </c>
    </row>
    <row r="4890" ht="11.25" customHeight="1">
      <c r="A4890" s="21" t="str">
        <f>IFERROR(__xludf.DUMMYFUNCTION("""COMPUTED_VALUE"""),"MODEM VOIP EMTA WIFI 3.1 HGJ310")</f>
        <v>MODEM VOIP EMTA WIFI 3.1 HGJ310</v>
      </c>
      <c r="B4890" s="22">
        <f>IFERROR(__xludf.DUMMYFUNCTION("""COMPUTED_VALUE"""),4.1001481E7)</f>
        <v>41001481</v>
      </c>
      <c r="C4890" s="21" t="str">
        <f>IFERROR(__xludf.DUMMYFUNCTION("""COMPUTED_VALUE"""),"8C444FE0DA45")</f>
        <v>8C444FE0DA45</v>
      </c>
      <c r="D4890" s="21" t="str">
        <f>IFERROR(__xludf.DUMMYFUNCTION("""COMPUTED_VALUE"""),"DIGITEC TECNOLOGIA DIGITAL E REPRES")</f>
        <v>DIGITEC TECNOLOGIA DIGITAL E REPRES</v>
      </c>
      <c r="E4890" s="21">
        <f>IFERROR(__xludf.DUMMYFUNCTION("""COMPUTED_VALUE"""),145359.0)</f>
        <v>145359</v>
      </c>
      <c r="F4890" s="21" t="str">
        <f>IFERROR(__xludf.DUMMYFUNCTION("""COMPUTED_VALUE"""),"INICIALIZADO")</f>
        <v>INICIALIZADO</v>
      </c>
      <c r="G4890" s="23">
        <f>IFERROR(__xludf.DUMMYFUNCTION("""COMPUTED_VALUE"""),45639.64980324074)</f>
        <v>45639.6498</v>
      </c>
      <c r="H4890" s="24" t="str">
        <f>IFERROR(VLOOKUP(B4890,material!A:D,3,0),"")</f>
        <v>3.1</v>
      </c>
    </row>
    <row r="4891" ht="11.25" customHeight="1">
      <c r="A4891" s="21" t="str">
        <f>IFERROR(__xludf.DUMMYFUNCTION("""COMPUTED_VALUE"""),"MODEM VOIP EMTA WIFI 3.1 HGJ310")</f>
        <v>MODEM VOIP EMTA WIFI 3.1 HGJ310</v>
      </c>
      <c r="B4891" s="22">
        <f>IFERROR(__xludf.DUMMYFUNCTION("""COMPUTED_VALUE"""),4.1001481E7)</f>
        <v>41001481</v>
      </c>
      <c r="C4891" s="21" t="str">
        <f>IFERROR(__xludf.DUMMYFUNCTION("""COMPUTED_VALUE"""),"8C444FE022AF")</f>
        <v>8C444FE022AF</v>
      </c>
      <c r="D4891" s="21" t="str">
        <f>IFERROR(__xludf.DUMMYFUNCTION("""COMPUTED_VALUE"""),"DIGITEC TECNOLOGIA DIGITAL E REPRES")</f>
        <v>DIGITEC TECNOLOGIA DIGITAL E REPRES</v>
      </c>
      <c r="E4891" s="21">
        <f>IFERROR(__xludf.DUMMYFUNCTION("""COMPUTED_VALUE"""),145359.0)</f>
        <v>145359</v>
      </c>
      <c r="F4891" s="21" t="str">
        <f>IFERROR(__xludf.DUMMYFUNCTION("""COMPUTED_VALUE"""),"INICIALIZADO")</f>
        <v>INICIALIZADO</v>
      </c>
      <c r="G4891" s="23">
        <f>IFERROR(__xludf.DUMMYFUNCTION("""COMPUTED_VALUE"""),45639.64980324074)</f>
        <v>45639.6498</v>
      </c>
      <c r="H4891" s="24" t="str">
        <f>IFERROR(VLOOKUP(B4891,material!A:D,3,0),"")</f>
        <v>3.1</v>
      </c>
    </row>
    <row r="4892" ht="11.25" customHeight="1">
      <c r="A4892" s="21" t="str">
        <f>IFERROR(__xludf.DUMMYFUNCTION("""COMPUTED_VALUE"""),"MODEM VOIP EMTA WIFI 3.1 HGJ310")</f>
        <v>MODEM VOIP EMTA WIFI 3.1 HGJ310</v>
      </c>
      <c r="B4892" s="22">
        <f>IFERROR(__xludf.DUMMYFUNCTION("""COMPUTED_VALUE"""),4.1001481E7)</f>
        <v>41001481</v>
      </c>
      <c r="C4892" s="21" t="str">
        <f>IFERROR(__xludf.DUMMYFUNCTION("""COMPUTED_VALUE"""),"8C444FE6B708")</f>
        <v>8C444FE6B708</v>
      </c>
      <c r="D4892" s="21" t="str">
        <f>IFERROR(__xludf.DUMMYFUNCTION("""COMPUTED_VALUE"""),"DIGITEC TECNOLOGIA DIGITAL E REPRES")</f>
        <v>DIGITEC TECNOLOGIA DIGITAL E REPRES</v>
      </c>
      <c r="E4892" s="21">
        <f>IFERROR(__xludf.DUMMYFUNCTION("""COMPUTED_VALUE"""),145359.0)</f>
        <v>145359</v>
      </c>
      <c r="F4892" s="21" t="str">
        <f>IFERROR(__xludf.DUMMYFUNCTION("""COMPUTED_VALUE"""),"INICIALIZADO")</f>
        <v>INICIALIZADO</v>
      </c>
      <c r="G4892" s="23">
        <f>IFERROR(__xludf.DUMMYFUNCTION("""COMPUTED_VALUE"""),45639.64980324074)</f>
        <v>45639.6498</v>
      </c>
      <c r="H4892" s="24" t="str">
        <f>IFERROR(VLOOKUP(B4892,material!A:D,3,0),"")</f>
        <v>3.1</v>
      </c>
    </row>
    <row r="4893" ht="11.25" customHeight="1">
      <c r="A4893" s="21" t="str">
        <f>IFERROR(__xludf.DUMMYFUNCTION("""COMPUTED_VALUE"""),"MODEM VOIP EMTA WIFI 3.1 HGJ310")</f>
        <v>MODEM VOIP EMTA WIFI 3.1 HGJ310</v>
      </c>
      <c r="B4893" s="22">
        <f>IFERROR(__xludf.DUMMYFUNCTION("""COMPUTED_VALUE"""),4.1001481E7)</f>
        <v>41001481</v>
      </c>
      <c r="C4893" s="21" t="str">
        <f>IFERROR(__xludf.DUMMYFUNCTION("""COMPUTED_VALUE"""),"C85D38EC803B")</f>
        <v>C85D38EC803B</v>
      </c>
      <c r="D4893" s="21" t="str">
        <f>IFERROR(__xludf.DUMMYFUNCTION("""COMPUTED_VALUE"""),"DIGITEC TECNOLOGIA DIGITAL E REPRES")</f>
        <v>DIGITEC TECNOLOGIA DIGITAL E REPRES</v>
      </c>
      <c r="E4893" s="21">
        <f>IFERROR(__xludf.DUMMYFUNCTION("""COMPUTED_VALUE"""),145359.0)</f>
        <v>145359</v>
      </c>
      <c r="F4893" s="21" t="str">
        <f>IFERROR(__xludf.DUMMYFUNCTION("""COMPUTED_VALUE"""),"INICIALIZADO")</f>
        <v>INICIALIZADO</v>
      </c>
      <c r="G4893" s="23">
        <f>IFERROR(__xludf.DUMMYFUNCTION("""COMPUTED_VALUE"""),45639.64981481481)</f>
        <v>45639.64981</v>
      </c>
      <c r="H4893" s="24" t="str">
        <f>IFERROR(VLOOKUP(B4893,material!A:D,3,0),"")</f>
        <v>3.1</v>
      </c>
    </row>
    <row r="4894" ht="11.25" customHeight="1">
      <c r="A4894" s="21" t="str">
        <f>IFERROR(__xludf.DUMMYFUNCTION("""COMPUTED_VALUE"""),"MODEM VOIP EMTA WIFI 3.1 HGJ310")</f>
        <v>MODEM VOIP EMTA WIFI 3.1 HGJ310</v>
      </c>
      <c r="B4894" s="22">
        <f>IFERROR(__xludf.DUMMYFUNCTION("""COMPUTED_VALUE"""),4.1001481E7)</f>
        <v>41001481</v>
      </c>
      <c r="C4894" s="21" t="str">
        <f>IFERROR(__xludf.DUMMYFUNCTION("""COMPUTED_VALUE"""),"D86C5A0919D5")</f>
        <v>D86C5A0919D5</v>
      </c>
      <c r="D4894" s="21" t="str">
        <f>IFERROR(__xludf.DUMMYFUNCTION("""COMPUTED_VALUE"""),"DIGITEC TECNOLOGIA DIGITAL E REPRES")</f>
        <v>DIGITEC TECNOLOGIA DIGITAL E REPRES</v>
      </c>
      <c r="E4894" s="21">
        <f>IFERROR(__xludf.DUMMYFUNCTION("""COMPUTED_VALUE"""),145359.0)</f>
        <v>145359</v>
      </c>
      <c r="F4894" s="21" t="str">
        <f>IFERROR(__xludf.DUMMYFUNCTION("""COMPUTED_VALUE"""),"INICIALIZADO")</f>
        <v>INICIALIZADO</v>
      </c>
      <c r="G4894" s="23">
        <f>IFERROR(__xludf.DUMMYFUNCTION("""COMPUTED_VALUE"""),45639.64982638889)</f>
        <v>45639.64983</v>
      </c>
      <c r="H4894" s="24" t="str">
        <f>IFERROR(VLOOKUP(B4894,material!A:D,3,0),"")</f>
        <v>3.1</v>
      </c>
    </row>
    <row r="4895" ht="11.25" customHeight="1">
      <c r="A4895" s="21" t="str">
        <f>IFERROR(__xludf.DUMMYFUNCTION("""COMPUTED_VALUE"""),"MODEM VOIP EMTA WIFI 3.1 HGJ310")</f>
        <v>MODEM VOIP EMTA WIFI 3.1 HGJ310</v>
      </c>
      <c r="B4895" s="22">
        <f>IFERROR(__xludf.DUMMYFUNCTION("""COMPUTED_VALUE"""),4.1001481E7)</f>
        <v>41001481</v>
      </c>
      <c r="C4895" s="21" t="str">
        <f>IFERROR(__xludf.DUMMYFUNCTION("""COMPUTED_VALUE"""),"D86C5A3C1D55")</f>
        <v>D86C5A3C1D55</v>
      </c>
      <c r="D4895" s="21" t="str">
        <f>IFERROR(__xludf.DUMMYFUNCTION("""COMPUTED_VALUE"""),"DIGITEC TECNOLOGIA DIGITAL E REPRES")</f>
        <v>DIGITEC TECNOLOGIA DIGITAL E REPRES</v>
      </c>
      <c r="E4895" s="21">
        <f>IFERROR(__xludf.DUMMYFUNCTION("""COMPUTED_VALUE"""),145359.0)</f>
        <v>145359</v>
      </c>
      <c r="F4895" s="21" t="str">
        <f>IFERROR(__xludf.DUMMYFUNCTION("""COMPUTED_VALUE"""),"INICIALIZADO")</f>
        <v>INICIALIZADO</v>
      </c>
      <c r="G4895" s="23">
        <f>IFERROR(__xludf.DUMMYFUNCTION("""COMPUTED_VALUE"""),45639.64982638889)</f>
        <v>45639.64983</v>
      </c>
      <c r="H4895" s="24" t="str">
        <f>IFERROR(VLOOKUP(B4895,material!A:D,3,0),"")</f>
        <v>3.1</v>
      </c>
    </row>
    <row r="4896" ht="11.25" customHeight="1">
      <c r="A4896" s="21" t="str">
        <f>IFERROR(__xludf.DUMMYFUNCTION("""COMPUTED_VALUE"""),"MODEM VOIP EMTA WIFI 3.1 HGJ310")</f>
        <v>MODEM VOIP EMTA WIFI 3.1 HGJ310</v>
      </c>
      <c r="B4896" s="22">
        <f>IFERROR(__xludf.DUMMYFUNCTION("""COMPUTED_VALUE"""),4.1001481E7)</f>
        <v>41001481</v>
      </c>
      <c r="C4896" s="21" t="str">
        <f>IFERROR(__xludf.DUMMYFUNCTION("""COMPUTED_VALUE"""),"D86C5A088A9B")</f>
        <v>D86C5A088A9B</v>
      </c>
      <c r="D4896" s="21" t="str">
        <f>IFERROR(__xludf.DUMMYFUNCTION("""COMPUTED_VALUE"""),"DIGITEC TECNOLOGIA DIGITAL E REPRES")</f>
        <v>DIGITEC TECNOLOGIA DIGITAL E REPRES</v>
      </c>
      <c r="E4896" s="21">
        <f>IFERROR(__xludf.DUMMYFUNCTION("""COMPUTED_VALUE"""),145359.0)</f>
        <v>145359</v>
      </c>
      <c r="F4896" s="21" t="str">
        <f>IFERROR(__xludf.DUMMYFUNCTION("""COMPUTED_VALUE"""),"INICIALIZADO")</f>
        <v>INICIALIZADO</v>
      </c>
      <c r="G4896" s="23">
        <f>IFERROR(__xludf.DUMMYFUNCTION("""COMPUTED_VALUE"""),45639.64982638889)</f>
        <v>45639.64983</v>
      </c>
      <c r="H4896" s="24" t="str">
        <f>IFERROR(VLOOKUP(B4896,material!A:D,3,0),"")</f>
        <v>3.1</v>
      </c>
    </row>
    <row r="4897" ht="11.25" customHeight="1">
      <c r="A4897" s="21" t="str">
        <f>IFERROR(__xludf.DUMMYFUNCTION("""COMPUTED_VALUE"""),"MODEM VOIP EMTA WIFI 3.1 HGJ310")</f>
        <v>MODEM VOIP EMTA WIFI 3.1 HGJ310</v>
      </c>
      <c r="B4897" s="22">
        <f>IFERROR(__xludf.DUMMYFUNCTION("""COMPUTED_VALUE"""),4.1001481E7)</f>
        <v>41001481</v>
      </c>
      <c r="C4897" s="21" t="str">
        <f>IFERROR(__xludf.DUMMYFUNCTION("""COMPUTED_VALUE"""),"D86C5A081FE2")</f>
        <v>D86C5A081FE2</v>
      </c>
      <c r="D4897" s="21" t="str">
        <f>IFERROR(__xludf.DUMMYFUNCTION("""COMPUTED_VALUE"""),"DIGITEC TECNOLOGIA DIGITAL E REPRES")</f>
        <v>DIGITEC TECNOLOGIA DIGITAL E REPRES</v>
      </c>
      <c r="E4897" s="21">
        <f>IFERROR(__xludf.DUMMYFUNCTION("""COMPUTED_VALUE"""),145359.0)</f>
        <v>145359</v>
      </c>
      <c r="F4897" s="21" t="str">
        <f>IFERROR(__xludf.DUMMYFUNCTION("""COMPUTED_VALUE"""),"INICIALIZADO")</f>
        <v>INICIALIZADO</v>
      </c>
      <c r="G4897" s="23">
        <f>IFERROR(__xludf.DUMMYFUNCTION("""COMPUTED_VALUE"""),45639.64982638889)</f>
        <v>45639.64983</v>
      </c>
      <c r="H4897" s="24" t="str">
        <f>IFERROR(VLOOKUP(B4897,material!A:D,3,0),"")</f>
        <v>3.1</v>
      </c>
    </row>
    <row r="4898" ht="11.25" customHeight="1">
      <c r="A4898" s="21" t="str">
        <f>IFERROR(__xludf.DUMMYFUNCTION("""COMPUTED_VALUE"""),"MODEM VOIP EMTA WIFI 3.1 HGJ310")</f>
        <v>MODEM VOIP EMTA WIFI 3.1 HGJ310</v>
      </c>
      <c r="B4898" s="22">
        <f>IFERROR(__xludf.DUMMYFUNCTION("""COMPUTED_VALUE"""),4.1001481E7)</f>
        <v>41001481</v>
      </c>
      <c r="C4898" s="21" t="str">
        <f>IFERROR(__xludf.DUMMYFUNCTION("""COMPUTED_VALUE"""),"D86C5A3B0769")</f>
        <v>D86C5A3B0769</v>
      </c>
      <c r="D4898" s="21" t="str">
        <f>IFERROR(__xludf.DUMMYFUNCTION("""COMPUTED_VALUE"""),"DIGITEC TECNOLOGIA DIGITAL E REPRES")</f>
        <v>DIGITEC TECNOLOGIA DIGITAL E REPRES</v>
      </c>
      <c r="E4898" s="21">
        <f>IFERROR(__xludf.DUMMYFUNCTION("""COMPUTED_VALUE"""),145359.0)</f>
        <v>145359</v>
      </c>
      <c r="F4898" s="21" t="str">
        <f>IFERROR(__xludf.DUMMYFUNCTION("""COMPUTED_VALUE"""),"INICIALIZADO")</f>
        <v>INICIALIZADO</v>
      </c>
      <c r="G4898" s="23">
        <f>IFERROR(__xludf.DUMMYFUNCTION("""COMPUTED_VALUE"""),45560.436944444446)</f>
        <v>45560.43694</v>
      </c>
      <c r="H4898" s="24" t="str">
        <f>IFERROR(VLOOKUP(B4898,material!A:D,3,0),"")</f>
        <v>3.1</v>
      </c>
    </row>
    <row r="4899" ht="11.25" customHeight="1">
      <c r="A4899" s="21" t="str">
        <f>IFERROR(__xludf.DUMMYFUNCTION("""COMPUTED_VALUE"""),"MODEM VOIP EMTA WIFI 3.1 HGJ310")</f>
        <v>MODEM VOIP EMTA WIFI 3.1 HGJ310</v>
      </c>
      <c r="B4899" s="22">
        <f>IFERROR(__xludf.DUMMYFUNCTION("""COMPUTED_VALUE"""),4.1001481E7)</f>
        <v>41001481</v>
      </c>
      <c r="C4899" s="21" t="str">
        <f>IFERROR(__xludf.DUMMYFUNCTION("""COMPUTED_VALUE"""),"D86C5A074CFB")</f>
        <v>D86C5A074CFB</v>
      </c>
      <c r="D4899" s="21" t="str">
        <f>IFERROR(__xludf.DUMMYFUNCTION("""COMPUTED_VALUE"""),"DIGITEC TECNOLOGIA DIGITAL E REPRES")</f>
        <v>DIGITEC TECNOLOGIA DIGITAL E REPRES</v>
      </c>
      <c r="E4899" s="21">
        <f>IFERROR(__xludf.DUMMYFUNCTION("""COMPUTED_VALUE"""),145359.0)</f>
        <v>145359</v>
      </c>
      <c r="F4899" s="21" t="str">
        <f>IFERROR(__xludf.DUMMYFUNCTION("""COMPUTED_VALUE"""),"INICIALIZADO")</f>
        <v>INICIALIZADO</v>
      </c>
      <c r="G4899" s="23">
        <f>IFERROR(__xludf.DUMMYFUNCTION("""COMPUTED_VALUE"""),45639.64982638889)</f>
        <v>45639.64983</v>
      </c>
      <c r="H4899" s="24" t="str">
        <f>IFERROR(VLOOKUP(B4899,material!A:D,3,0),"")</f>
        <v>3.1</v>
      </c>
    </row>
    <row r="4900" ht="11.25" customHeight="1">
      <c r="A4900" s="21" t="str">
        <f>IFERROR(__xludf.DUMMYFUNCTION("""COMPUTED_VALUE"""),"MODEM VOIP EMTA WIFI 3.1 HGJ310")</f>
        <v>MODEM VOIP EMTA WIFI 3.1 HGJ310</v>
      </c>
      <c r="B4900" s="22">
        <f>IFERROR(__xludf.DUMMYFUNCTION("""COMPUTED_VALUE"""),4.1001481E7)</f>
        <v>41001481</v>
      </c>
      <c r="C4900" s="21" t="str">
        <f>IFERROR(__xludf.DUMMYFUNCTION("""COMPUTED_VALUE"""),"D86C5A0706D8")</f>
        <v>D86C5A0706D8</v>
      </c>
      <c r="D4900" s="21" t="str">
        <f>IFERROR(__xludf.DUMMYFUNCTION("""COMPUTED_VALUE"""),"DIGITEC TECNOLOGIA DIGITAL E REPRES")</f>
        <v>DIGITEC TECNOLOGIA DIGITAL E REPRES</v>
      </c>
      <c r="E4900" s="21">
        <f>IFERROR(__xludf.DUMMYFUNCTION("""COMPUTED_VALUE"""),145359.0)</f>
        <v>145359</v>
      </c>
      <c r="F4900" s="21" t="str">
        <f>IFERROR(__xludf.DUMMYFUNCTION("""COMPUTED_VALUE"""),"INICIALIZADO")</f>
        <v>INICIALIZADO</v>
      </c>
      <c r="G4900" s="23">
        <f>IFERROR(__xludf.DUMMYFUNCTION("""COMPUTED_VALUE"""),45639.64982638889)</f>
        <v>45639.64983</v>
      </c>
      <c r="H4900" s="24" t="str">
        <f>IFERROR(VLOOKUP(B4900,material!A:D,3,0),"")</f>
        <v>3.1</v>
      </c>
    </row>
    <row r="4901" ht="11.25" customHeight="1">
      <c r="A4901" s="21" t="str">
        <f>IFERROR(__xludf.DUMMYFUNCTION("""COMPUTED_VALUE"""),"MODEM VOIP EMTA WIFI 3.1 HGJ310")</f>
        <v>MODEM VOIP EMTA WIFI 3.1 HGJ310</v>
      </c>
      <c r="B4901" s="22">
        <f>IFERROR(__xludf.DUMMYFUNCTION("""COMPUTED_VALUE"""),4.1001481E7)</f>
        <v>41001481</v>
      </c>
      <c r="C4901" s="21" t="str">
        <f>IFERROR(__xludf.DUMMYFUNCTION("""COMPUTED_VALUE"""),"D86C5A41A657")</f>
        <v>D86C5A41A657</v>
      </c>
      <c r="D4901" s="21" t="str">
        <f>IFERROR(__xludf.DUMMYFUNCTION("""COMPUTED_VALUE"""),"DIGITEC TECNOLOGIA DIGITAL E REPRES")</f>
        <v>DIGITEC TECNOLOGIA DIGITAL E REPRES</v>
      </c>
      <c r="E4901" s="21">
        <f>IFERROR(__xludf.DUMMYFUNCTION("""COMPUTED_VALUE"""),145359.0)</f>
        <v>145359</v>
      </c>
      <c r="F4901" s="21" t="str">
        <f>IFERROR(__xludf.DUMMYFUNCTION("""COMPUTED_VALUE"""),"INICIALIZADO")</f>
        <v>INICIALIZADO</v>
      </c>
      <c r="G4901" s="23">
        <f>IFERROR(__xludf.DUMMYFUNCTION("""COMPUTED_VALUE"""),45639.64982638889)</f>
        <v>45639.64983</v>
      </c>
      <c r="H4901" s="24" t="str">
        <f>IFERROR(VLOOKUP(B4901,material!A:D,3,0),"")</f>
        <v>3.1</v>
      </c>
    </row>
    <row r="4902" ht="11.25" customHeight="1">
      <c r="A4902" s="21" t="str">
        <f>IFERROR(__xludf.DUMMYFUNCTION("""COMPUTED_VALUE"""),"MODEM VOIP EMTA WIFI 3.1 HGJ310")</f>
        <v>MODEM VOIP EMTA WIFI 3.1 HGJ310</v>
      </c>
      <c r="B4902" s="22">
        <f>IFERROR(__xludf.DUMMYFUNCTION("""COMPUTED_VALUE"""),4.1001481E7)</f>
        <v>41001481</v>
      </c>
      <c r="C4902" s="21" t="str">
        <f>IFERROR(__xludf.DUMMYFUNCTION("""COMPUTED_VALUE"""),"D86C5A093B8C")</f>
        <v>D86C5A093B8C</v>
      </c>
      <c r="D4902" s="21" t="str">
        <f>IFERROR(__xludf.DUMMYFUNCTION("""COMPUTED_VALUE"""),"DIGITEC TECNOLOGIA DIGITAL E REPRES")</f>
        <v>DIGITEC TECNOLOGIA DIGITAL E REPRES</v>
      </c>
      <c r="E4902" s="21">
        <f>IFERROR(__xludf.DUMMYFUNCTION("""COMPUTED_VALUE"""),145359.0)</f>
        <v>145359</v>
      </c>
      <c r="F4902" s="21" t="str">
        <f>IFERROR(__xludf.DUMMYFUNCTION("""COMPUTED_VALUE"""),"INICIALIZADO")</f>
        <v>INICIALIZADO</v>
      </c>
      <c r="G4902" s="23">
        <f>IFERROR(__xludf.DUMMYFUNCTION("""COMPUTED_VALUE"""),45639.64982638889)</f>
        <v>45639.64983</v>
      </c>
      <c r="H4902" s="24" t="str">
        <f>IFERROR(VLOOKUP(B4902,material!A:D,3,0),"")</f>
        <v>3.1</v>
      </c>
    </row>
    <row r="4903" ht="11.25" customHeight="1">
      <c r="A4903" s="21" t="str">
        <f>IFERROR(__xludf.DUMMYFUNCTION("""COMPUTED_VALUE"""),"MODEM VOIP EMTA WIFI 3.1 HGJ310")</f>
        <v>MODEM VOIP EMTA WIFI 3.1 HGJ310</v>
      </c>
      <c r="B4903" s="22">
        <f>IFERROR(__xludf.DUMMYFUNCTION("""COMPUTED_VALUE"""),4.1001481E7)</f>
        <v>41001481</v>
      </c>
      <c r="C4903" s="21" t="str">
        <f>IFERROR(__xludf.DUMMYFUNCTION("""COMPUTED_VALUE"""),"D86C5A06EA22")</f>
        <v>D86C5A06EA22</v>
      </c>
      <c r="D4903" s="21" t="str">
        <f>IFERROR(__xludf.DUMMYFUNCTION("""COMPUTED_VALUE"""),"DIGITEC TECNOLOGIA DIGITAL E REPRES")</f>
        <v>DIGITEC TECNOLOGIA DIGITAL E REPRES</v>
      </c>
      <c r="E4903" s="21">
        <f>IFERROR(__xludf.DUMMYFUNCTION("""COMPUTED_VALUE"""),145359.0)</f>
        <v>145359</v>
      </c>
      <c r="F4903" s="21" t="str">
        <f>IFERROR(__xludf.DUMMYFUNCTION("""COMPUTED_VALUE"""),"INICIALIZADO")</f>
        <v>INICIALIZADO</v>
      </c>
      <c r="G4903" s="23">
        <f>IFERROR(__xludf.DUMMYFUNCTION("""COMPUTED_VALUE"""),45639.64982638889)</f>
        <v>45639.64983</v>
      </c>
      <c r="H4903" s="24" t="str">
        <f>IFERROR(VLOOKUP(B4903,material!A:D,3,0),"")</f>
        <v>3.1</v>
      </c>
    </row>
    <row r="4904" ht="11.25" customHeight="1">
      <c r="A4904" s="21" t="str">
        <f>IFERROR(__xludf.DUMMYFUNCTION("""COMPUTED_VALUE"""),"MODEM VOIP EMTA WIFI 3.1 HGJ310")</f>
        <v>MODEM VOIP EMTA WIFI 3.1 HGJ310</v>
      </c>
      <c r="B4904" s="22">
        <f>IFERROR(__xludf.DUMMYFUNCTION("""COMPUTED_VALUE"""),4.1001481E7)</f>
        <v>41001481</v>
      </c>
      <c r="C4904" s="21" t="str">
        <f>IFERROR(__xludf.DUMMYFUNCTION("""COMPUTED_VALUE"""),"C85D38FA70B4")</f>
        <v>C85D38FA70B4</v>
      </c>
      <c r="D4904" s="21" t="str">
        <f>IFERROR(__xludf.DUMMYFUNCTION("""COMPUTED_VALUE"""),"DIGITEC TECNOLOGIA DIGITAL E REPRES")</f>
        <v>DIGITEC TECNOLOGIA DIGITAL E REPRES</v>
      </c>
      <c r="E4904" s="21">
        <f>IFERROR(__xludf.DUMMYFUNCTION("""COMPUTED_VALUE"""),145359.0)</f>
        <v>145359</v>
      </c>
      <c r="F4904" s="21" t="str">
        <f>IFERROR(__xludf.DUMMYFUNCTION("""COMPUTED_VALUE"""),"INICIALIZADO")</f>
        <v>INICIALIZADO</v>
      </c>
      <c r="G4904" s="23">
        <f>IFERROR(__xludf.DUMMYFUNCTION("""COMPUTED_VALUE"""),45639.64981481481)</f>
        <v>45639.64981</v>
      </c>
      <c r="H4904" s="24" t="str">
        <f>IFERROR(VLOOKUP(B4904,material!A:D,3,0),"")</f>
        <v>3.1</v>
      </c>
    </row>
    <row r="4905" ht="11.25" customHeight="1">
      <c r="A4905" s="21" t="str">
        <f>IFERROR(__xludf.DUMMYFUNCTION("""COMPUTED_VALUE"""),"MODEM VOIP EMTA WIFI 3.1 HGJ310")</f>
        <v>MODEM VOIP EMTA WIFI 3.1 HGJ310</v>
      </c>
      <c r="B4905" s="22">
        <f>IFERROR(__xludf.DUMMYFUNCTION("""COMPUTED_VALUE"""),4.1001481E7)</f>
        <v>41001481</v>
      </c>
      <c r="C4905" s="21" t="str">
        <f>IFERROR(__xludf.DUMMYFUNCTION("""COMPUTED_VALUE"""),"D86C5A3D493D")</f>
        <v>D86C5A3D493D</v>
      </c>
      <c r="D4905" s="21" t="str">
        <f>IFERROR(__xludf.DUMMYFUNCTION("""COMPUTED_VALUE"""),"DIGITEC TECNOLOGIA DIGITAL E REPRES")</f>
        <v>DIGITEC TECNOLOGIA DIGITAL E REPRES</v>
      </c>
      <c r="E4905" s="21">
        <f>IFERROR(__xludf.DUMMYFUNCTION("""COMPUTED_VALUE"""),145359.0)</f>
        <v>145359</v>
      </c>
      <c r="F4905" s="21" t="str">
        <f>IFERROR(__xludf.DUMMYFUNCTION("""COMPUTED_VALUE"""),"INICIALIZADO")</f>
        <v>INICIALIZADO</v>
      </c>
      <c r="G4905" s="23">
        <f>IFERROR(__xludf.DUMMYFUNCTION("""COMPUTED_VALUE"""),45639.64982638889)</f>
        <v>45639.64983</v>
      </c>
      <c r="H4905" s="24" t="str">
        <f>IFERROR(VLOOKUP(B4905,material!A:D,3,0),"")</f>
        <v>3.1</v>
      </c>
    </row>
    <row r="4906" ht="11.25" customHeight="1">
      <c r="A4906" s="21" t="str">
        <f>IFERROR(__xludf.DUMMYFUNCTION("""COMPUTED_VALUE"""),"MODEM VOIP EMTA WIFI 3.1 HGJ310")</f>
        <v>MODEM VOIP EMTA WIFI 3.1 HGJ310</v>
      </c>
      <c r="B4906" s="22">
        <f>IFERROR(__xludf.DUMMYFUNCTION("""COMPUTED_VALUE"""),4.1001481E7)</f>
        <v>41001481</v>
      </c>
      <c r="C4906" s="21" t="str">
        <f>IFERROR(__xludf.DUMMYFUNCTION("""COMPUTED_VALUE"""),"D86C5A3BC86E")</f>
        <v>D86C5A3BC86E</v>
      </c>
      <c r="D4906" s="21" t="str">
        <f>IFERROR(__xludf.DUMMYFUNCTION("""COMPUTED_VALUE"""),"DIGITEC TECNOLOGIA DIGITAL E REPRES")</f>
        <v>DIGITEC TECNOLOGIA DIGITAL E REPRES</v>
      </c>
      <c r="E4906" s="21">
        <f>IFERROR(__xludf.DUMMYFUNCTION("""COMPUTED_VALUE"""),145359.0)</f>
        <v>145359</v>
      </c>
      <c r="F4906" s="21" t="str">
        <f>IFERROR(__xludf.DUMMYFUNCTION("""COMPUTED_VALUE"""),"INICIALIZADO")</f>
        <v>INICIALIZADO</v>
      </c>
      <c r="G4906" s="23">
        <f>IFERROR(__xludf.DUMMYFUNCTION("""COMPUTED_VALUE"""),45639.64982638889)</f>
        <v>45639.64983</v>
      </c>
      <c r="H4906" s="24" t="str">
        <f>IFERROR(VLOOKUP(B4906,material!A:D,3,0),"")</f>
        <v>3.1</v>
      </c>
    </row>
    <row r="4907" ht="11.25" customHeight="1">
      <c r="A4907" s="21" t="str">
        <f>IFERROR(__xludf.DUMMYFUNCTION("""COMPUTED_VALUE"""),"MODEM VOIP EMTA WIFI 3.1 HGJ310")</f>
        <v>MODEM VOIP EMTA WIFI 3.1 HGJ310</v>
      </c>
      <c r="B4907" s="22">
        <f>IFERROR(__xludf.DUMMYFUNCTION("""COMPUTED_VALUE"""),4.1001481E7)</f>
        <v>41001481</v>
      </c>
      <c r="C4907" s="21" t="str">
        <f>IFERROR(__xludf.DUMMYFUNCTION("""COMPUTED_VALUE"""),"C85D38FA4BB5")</f>
        <v>C85D38FA4BB5</v>
      </c>
      <c r="D4907" s="21" t="str">
        <f>IFERROR(__xludf.DUMMYFUNCTION("""COMPUTED_VALUE"""),"DIGITEC TECNOLOGIA DIGITAL E REPRES")</f>
        <v>DIGITEC TECNOLOGIA DIGITAL E REPRES</v>
      </c>
      <c r="E4907" s="21">
        <f>IFERROR(__xludf.DUMMYFUNCTION("""COMPUTED_VALUE"""),145359.0)</f>
        <v>145359</v>
      </c>
      <c r="F4907" s="21" t="str">
        <f>IFERROR(__xludf.DUMMYFUNCTION("""COMPUTED_VALUE"""),"INICIALIZADO")</f>
        <v>INICIALIZADO</v>
      </c>
      <c r="G4907" s="23">
        <f>IFERROR(__xludf.DUMMYFUNCTION("""COMPUTED_VALUE"""),45639.64981481481)</f>
        <v>45639.64981</v>
      </c>
      <c r="H4907" s="24" t="str">
        <f>IFERROR(VLOOKUP(B4907,material!A:D,3,0),"")</f>
        <v>3.1</v>
      </c>
    </row>
    <row r="4908" ht="11.25" customHeight="1">
      <c r="A4908" s="21" t="str">
        <f>IFERROR(__xludf.DUMMYFUNCTION("""COMPUTED_VALUE"""),"MODEM VOIP EMTA WIFI 3.1 HGJ310")</f>
        <v>MODEM VOIP EMTA WIFI 3.1 HGJ310</v>
      </c>
      <c r="B4908" s="22">
        <f>IFERROR(__xludf.DUMMYFUNCTION("""COMPUTED_VALUE"""),4.1001481E7)</f>
        <v>41001481</v>
      </c>
      <c r="C4908" s="21" t="str">
        <f>IFERROR(__xludf.DUMMYFUNCTION("""COMPUTED_VALUE"""),"D86C5A06A19E")</f>
        <v>D86C5A06A19E</v>
      </c>
      <c r="D4908" s="21" t="str">
        <f>IFERROR(__xludf.DUMMYFUNCTION("""COMPUTED_VALUE"""),"DIGITEC TECNOLOGIA DIGITAL E REPRES")</f>
        <v>DIGITEC TECNOLOGIA DIGITAL E REPRES</v>
      </c>
      <c r="E4908" s="21">
        <f>IFERROR(__xludf.DUMMYFUNCTION("""COMPUTED_VALUE"""),145359.0)</f>
        <v>145359</v>
      </c>
      <c r="F4908" s="21" t="str">
        <f>IFERROR(__xludf.DUMMYFUNCTION("""COMPUTED_VALUE"""),"INICIALIZADO")</f>
        <v>INICIALIZADO</v>
      </c>
      <c r="G4908" s="23">
        <f>IFERROR(__xludf.DUMMYFUNCTION("""COMPUTED_VALUE"""),45639.64982638889)</f>
        <v>45639.64983</v>
      </c>
      <c r="H4908" s="24" t="str">
        <f>IFERROR(VLOOKUP(B4908,material!A:D,3,0),"")</f>
        <v>3.1</v>
      </c>
    </row>
    <row r="4909" ht="11.25" customHeight="1">
      <c r="A4909" s="21" t="str">
        <f>IFERROR(__xludf.DUMMYFUNCTION("""COMPUTED_VALUE"""),"MODEM VOIP EMTA WIFI 3.1 HGJ310")</f>
        <v>MODEM VOIP EMTA WIFI 3.1 HGJ310</v>
      </c>
      <c r="B4909" s="22">
        <f>IFERROR(__xludf.DUMMYFUNCTION("""COMPUTED_VALUE"""),4.1001481E7)</f>
        <v>41001481</v>
      </c>
      <c r="C4909" s="21" t="str">
        <f>IFERROR(__xludf.DUMMYFUNCTION("""COMPUTED_VALUE"""),"D86C5A39B1FF")</f>
        <v>D86C5A39B1FF</v>
      </c>
      <c r="D4909" s="21" t="str">
        <f>IFERROR(__xludf.DUMMYFUNCTION("""COMPUTED_VALUE"""),"DIGITEC TECNOLOGIA DIGITAL E REPRES")</f>
        <v>DIGITEC TECNOLOGIA DIGITAL E REPRES</v>
      </c>
      <c r="E4909" s="21">
        <f>IFERROR(__xludf.DUMMYFUNCTION("""COMPUTED_VALUE"""),145359.0)</f>
        <v>145359</v>
      </c>
      <c r="F4909" s="21" t="str">
        <f>IFERROR(__xludf.DUMMYFUNCTION("""COMPUTED_VALUE"""),"INICIALIZADO")</f>
        <v>INICIALIZADO</v>
      </c>
      <c r="G4909" s="23">
        <f>IFERROR(__xludf.DUMMYFUNCTION("""COMPUTED_VALUE"""),45639.64982638889)</f>
        <v>45639.64983</v>
      </c>
      <c r="H4909" s="24" t="str">
        <f>IFERROR(VLOOKUP(B4909,material!A:D,3,0),"")</f>
        <v>3.1</v>
      </c>
    </row>
    <row r="4910" ht="11.25" customHeight="1">
      <c r="A4910" s="21" t="str">
        <f>IFERROR(__xludf.DUMMYFUNCTION("""COMPUTED_VALUE"""),"MODEM VOIP EMTA WIFI 3.1 HGJ310")</f>
        <v>MODEM VOIP EMTA WIFI 3.1 HGJ310</v>
      </c>
      <c r="B4910" s="22">
        <f>IFERROR(__xludf.DUMMYFUNCTION("""COMPUTED_VALUE"""),4.1001481E7)</f>
        <v>41001481</v>
      </c>
      <c r="C4910" s="21" t="str">
        <f>IFERROR(__xludf.DUMMYFUNCTION("""COMPUTED_VALUE"""),"D86C5A40C1E2")</f>
        <v>D86C5A40C1E2</v>
      </c>
      <c r="D4910" s="21" t="str">
        <f>IFERROR(__xludf.DUMMYFUNCTION("""COMPUTED_VALUE"""),"DIGITEC TECNOLOGIA DIGITAL E REPRES")</f>
        <v>DIGITEC TECNOLOGIA DIGITAL E REPRES</v>
      </c>
      <c r="E4910" s="21">
        <f>IFERROR(__xludf.DUMMYFUNCTION("""COMPUTED_VALUE"""),145359.0)</f>
        <v>145359</v>
      </c>
      <c r="F4910" s="21" t="str">
        <f>IFERROR(__xludf.DUMMYFUNCTION("""COMPUTED_VALUE"""),"INICIALIZADO")</f>
        <v>INICIALIZADO</v>
      </c>
      <c r="G4910" s="23">
        <f>IFERROR(__xludf.DUMMYFUNCTION("""COMPUTED_VALUE"""),45639.64982638889)</f>
        <v>45639.64983</v>
      </c>
      <c r="H4910" s="24" t="str">
        <f>IFERROR(VLOOKUP(B4910,material!A:D,3,0),"")</f>
        <v>3.1</v>
      </c>
    </row>
    <row r="4911" ht="11.25" customHeight="1">
      <c r="A4911" s="21" t="str">
        <f>IFERROR(__xludf.DUMMYFUNCTION("""COMPUTED_VALUE"""),"MODEM VOIP EMTA WIFI 3.1 HGJ310")</f>
        <v>MODEM VOIP EMTA WIFI 3.1 HGJ310</v>
      </c>
      <c r="B4911" s="22">
        <f>IFERROR(__xludf.DUMMYFUNCTION("""COMPUTED_VALUE"""),4.1001481E7)</f>
        <v>41001481</v>
      </c>
      <c r="C4911" s="21" t="str">
        <f>IFERROR(__xludf.DUMMYFUNCTION("""COMPUTED_VALUE"""),"C85D38FFCF7F")</f>
        <v>C85D38FFCF7F</v>
      </c>
      <c r="D4911" s="21" t="str">
        <f>IFERROR(__xludf.DUMMYFUNCTION("""COMPUTED_VALUE"""),"DIGITEC TECNOLOGIA DIGITAL E REPRES")</f>
        <v>DIGITEC TECNOLOGIA DIGITAL E REPRES</v>
      </c>
      <c r="E4911" s="21">
        <f>IFERROR(__xludf.DUMMYFUNCTION("""COMPUTED_VALUE"""),145359.0)</f>
        <v>145359</v>
      </c>
      <c r="F4911" s="21" t="str">
        <f>IFERROR(__xludf.DUMMYFUNCTION("""COMPUTED_VALUE"""),"INICIALIZADO")</f>
        <v>INICIALIZADO</v>
      </c>
      <c r="G4911" s="23">
        <f>IFERROR(__xludf.DUMMYFUNCTION("""COMPUTED_VALUE"""),45639.64981481481)</f>
        <v>45639.64981</v>
      </c>
      <c r="H4911" s="24" t="str">
        <f>IFERROR(VLOOKUP(B4911,material!A:D,3,0),"")</f>
        <v>3.1</v>
      </c>
    </row>
    <row r="4912" ht="11.25" customHeight="1">
      <c r="A4912" s="21" t="str">
        <f>IFERROR(__xludf.DUMMYFUNCTION("""COMPUTED_VALUE"""),"MODEM VOIP EMTA WIFI 3.1 HGJ310")</f>
        <v>MODEM VOIP EMTA WIFI 3.1 HGJ310</v>
      </c>
      <c r="B4912" s="22">
        <f>IFERROR(__xludf.DUMMYFUNCTION("""COMPUTED_VALUE"""),4.1001481E7)</f>
        <v>41001481</v>
      </c>
      <c r="C4912" s="21" t="str">
        <f>IFERROR(__xludf.DUMMYFUNCTION("""COMPUTED_VALUE"""),"D86C5A3D6353")</f>
        <v>D86C5A3D6353</v>
      </c>
      <c r="D4912" s="21" t="str">
        <f>IFERROR(__xludf.DUMMYFUNCTION("""COMPUTED_VALUE"""),"DIGITEC TECNOLOGIA DIGITAL E REPRES")</f>
        <v>DIGITEC TECNOLOGIA DIGITAL E REPRES</v>
      </c>
      <c r="E4912" s="21">
        <f>IFERROR(__xludf.DUMMYFUNCTION("""COMPUTED_VALUE"""),145359.0)</f>
        <v>145359</v>
      </c>
      <c r="F4912" s="21" t="str">
        <f>IFERROR(__xludf.DUMMYFUNCTION("""COMPUTED_VALUE"""),"INICIALIZADO")</f>
        <v>INICIALIZADO</v>
      </c>
      <c r="G4912" s="23">
        <f>IFERROR(__xludf.DUMMYFUNCTION("""COMPUTED_VALUE"""),45639.64982638889)</f>
        <v>45639.64983</v>
      </c>
      <c r="H4912" s="24" t="str">
        <f>IFERROR(VLOOKUP(B4912,material!A:D,3,0),"")</f>
        <v>3.1</v>
      </c>
    </row>
    <row r="4913" ht="11.25" customHeight="1">
      <c r="A4913" s="21" t="str">
        <f>IFERROR(__xludf.DUMMYFUNCTION("""COMPUTED_VALUE"""),"MODEM VOIP EMTA WIFI 3.1 HGJ310")</f>
        <v>MODEM VOIP EMTA WIFI 3.1 HGJ310</v>
      </c>
      <c r="B4913" s="22">
        <f>IFERROR(__xludf.DUMMYFUNCTION("""COMPUTED_VALUE"""),4.1001481E7)</f>
        <v>41001481</v>
      </c>
      <c r="C4913" s="21" t="str">
        <f>IFERROR(__xludf.DUMMYFUNCTION("""COMPUTED_VALUE"""),"C85D386623A9")</f>
        <v>C85D386623A9</v>
      </c>
      <c r="D4913" s="21" t="str">
        <f>IFERROR(__xludf.DUMMYFUNCTION("""COMPUTED_VALUE"""),"DIGITEC TECNOLOGIA DIGITAL E REPRES")</f>
        <v>DIGITEC TECNOLOGIA DIGITAL E REPRES</v>
      </c>
      <c r="E4913" s="21">
        <f>IFERROR(__xludf.DUMMYFUNCTION("""COMPUTED_VALUE"""),145359.0)</f>
        <v>145359</v>
      </c>
      <c r="F4913" s="21" t="str">
        <f>IFERROR(__xludf.DUMMYFUNCTION("""COMPUTED_VALUE"""),"INICIALIZADO")</f>
        <v>INICIALIZADO</v>
      </c>
      <c r="G4913" s="23">
        <f>IFERROR(__xludf.DUMMYFUNCTION("""COMPUTED_VALUE"""),45639.64979166667)</f>
        <v>45639.64979</v>
      </c>
      <c r="H4913" s="24" t="str">
        <f>IFERROR(VLOOKUP(B4913,material!A:D,3,0),"")</f>
        <v>3.1</v>
      </c>
    </row>
    <row r="4914" ht="11.25" customHeight="1">
      <c r="A4914" s="21" t="str">
        <f>IFERROR(__xludf.DUMMYFUNCTION("""COMPUTED_VALUE"""),"MODEM VOIP EMTA WIFI 3.1 HGJ310")</f>
        <v>MODEM VOIP EMTA WIFI 3.1 HGJ310</v>
      </c>
      <c r="B4914" s="22">
        <f>IFERROR(__xludf.DUMMYFUNCTION("""COMPUTED_VALUE"""),4.1001481E7)</f>
        <v>41001481</v>
      </c>
      <c r="C4914" s="21" t="str">
        <f>IFERROR(__xludf.DUMMYFUNCTION("""COMPUTED_VALUE"""),"C85D386EEBCF")</f>
        <v>C85D386EEBCF</v>
      </c>
      <c r="D4914" s="21" t="str">
        <f>IFERROR(__xludf.DUMMYFUNCTION("""COMPUTED_VALUE"""),"DIGITEC TECNOLOGIA DIGITAL E REPRES")</f>
        <v>DIGITEC TECNOLOGIA DIGITAL E REPRES</v>
      </c>
      <c r="E4914" s="21">
        <f>IFERROR(__xludf.DUMMYFUNCTION("""COMPUTED_VALUE"""),145359.0)</f>
        <v>145359</v>
      </c>
      <c r="F4914" s="21" t="str">
        <f>IFERROR(__xludf.DUMMYFUNCTION("""COMPUTED_VALUE"""),"INICIALIZADO")</f>
        <v>INICIALIZADO</v>
      </c>
      <c r="G4914" s="23">
        <f>IFERROR(__xludf.DUMMYFUNCTION("""COMPUTED_VALUE"""),45639.64979166667)</f>
        <v>45639.64979</v>
      </c>
      <c r="H4914" s="24" t="str">
        <f>IFERROR(VLOOKUP(B4914,material!A:D,3,0),"")</f>
        <v>3.1</v>
      </c>
    </row>
    <row r="4915" ht="11.25" customHeight="1">
      <c r="A4915" s="21" t="str">
        <f>IFERROR(__xludf.DUMMYFUNCTION("""COMPUTED_VALUE"""),"MODEM VOIP EMTA WIFI 3.1 HGJ310")</f>
        <v>MODEM VOIP EMTA WIFI 3.1 HGJ310</v>
      </c>
      <c r="B4915" s="22">
        <f>IFERROR(__xludf.DUMMYFUNCTION("""COMPUTED_VALUE"""),4.1001481E7)</f>
        <v>41001481</v>
      </c>
      <c r="C4915" s="21" t="str">
        <f>IFERROR(__xludf.DUMMYFUNCTION("""COMPUTED_VALUE"""),"C85D385DB19C")</f>
        <v>C85D385DB19C</v>
      </c>
      <c r="D4915" s="21" t="str">
        <f>IFERROR(__xludf.DUMMYFUNCTION("""COMPUTED_VALUE"""),"DIGITEC TECNOLOGIA DIGITAL E REPRES")</f>
        <v>DIGITEC TECNOLOGIA DIGITAL E REPRES</v>
      </c>
      <c r="E4915" s="21">
        <f>IFERROR(__xludf.DUMMYFUNCTION("""COMPUTED_VALUE"""),145359.0)</f>
        <v>145359</v>
      </c>
      <c r="F4915" s="21" t="str">
        <f>IFERROR(__xludf.DUMMYFUNCTION("""COMPUTED_VALUE"""),"INICIALIZADO")</f>
        <v>INICIALIZADO</v>
      </c>
      <c r="G4915" s="23">
        <f>IFERROR(__xludf.DUMMYFUNCTION("""COMPUTED_VALUE"""),45639.64979166667)</f>
        <v>45639.64979</v>
      </c>
      <c r="H4915" s="24" t="str">
        <f>IFERROR(VLOOKUP(B4915,material!A:D,3,0),"")</f>
        <v>3.1</v>
      </c>
    </row>
    <row r="4916" ht="11.25" customHeight="1">
      <c r="A4916" s="21" t="str">
        <f>IFERROR(__xludf.DUMMYFUNCTION("""COMPUTED_VALUE"""),"MODEM VOIP EMTA WIFI 3.1 HGJ310")</f>
        <v>MODEM VOIP EMTA WIFI 3.1 HGJ310</v>
      </c>
      <c r="B4916" s="22">
        <f>IFERROR(__xludf.DUMMYFUNCTION("""COMPUTED_VALUE"""),4.1001481E7)</f>
        <v>41001481</v>
      </c>
      <c r="C4916" s="21" t="str">
        <f>IFERROR(__xludf.DUMMYFUNCTION("""COMPUTED_VALUE"""),"C85D3808DEF3")</f>
        <v>C85D3808DEF3</v>
      </c>
      <c r="D4916" s="21" t="str">
        <f>IFERROR(__xludf.DUMMYFUNCTION("""COMPUTED_VALUE"""),"DIGITEC TECNOLOGIA DIGITAL E REPRES")</f>
        <v>DIGITEC TECNOLOGIA DIGITAL E REPRES</v>
      </c>
      <c r="E4916" s="21">
        <f>IFERROR(__xludf.DUMMYFUNCTION("""COMPUTED_VALUE"""),145359.0)</f>
        <v>145359</v>
      </c>
      <c r="F4916" s="21" t="str">
        <f>IFERROR(__xludf.DUMMYFUNCTION("""COMPUTED_VALUE"""),"INICIALIZADO")</f>
        <v>INICIALIZADO</v>
      </c>
      <c r="G4916" s="23">
        <f>IFERROR(__xludf.DUMMYFUNCTION("""COMPUTED_VALUE"""),45639.64980324074)</f>
        <v>45639.6498</v>
      </c>
      <c r="H4916" s="24" t="str">
        <f>IFERROR(VLOOKUP(B4916,material!A:D,3,0),"")</f>
        <v>3.1</v>
      </c>
    </row>
    <row r="4917" ht="11.25" customHeight="1">
      <c r="A4917" s="21" t="str">
        <f>IFERROR(__xludf.DUMMYFUNCTION("""COMPUTED_VALUE"""),"MODEM VOIP EMTA WIFI 3.1 HGJ310")</f>
        <v>MODEM VOIP EMTA WIFI 3.1 HGJ310</v>
      </c>
      <c r="B4917" s="22">
        <f>IFERROR(__xludf.DUMMYFUNCTION("""COMPUTED_VALUE"""),4.1001481E7)</f>
        <v>41001481</v>
      </c>
      <c r="C4917" s="21" t="str">
        <f>IFERROR(__xludf.DUMMYFUNCTION("""COMPUTED_VALUE"""),"C85D3815018E")</f>
        <v>C85D3815018E</v>
      </c>
      <c r="D4917" s="21" t="str">
        <f>IFERROR(__xludf.DUMMYFUNCTION("""COMPUTED_VALUE"""),"DIGITEC TECNOLOGIA DIGITAL E REPRES")</f>
        <v>DIGITEC TECNOLOGIA DIGITAL E REPRES</v>
      </c>
      <c r="E4917" s="21">
        <f>IFERROR(__xludf.DUMMYFUNCTION("""COMPUTED_VALUE"""),145359.0)</f>
        <v>145359</v>
      </c>
      <c r="F4917" s="21" t="str">
        <f>IFERROR(__xludf.DUMMYFUNCTION("""COMPUTED_VALUE"""),"INICIALIZADO")</f>
        <v>INICIALIZADO</v>
      </c>
      <c r="G4917" s="23">
        <f>IFERROR(__xludf.DUMMYFUNCTION("""COMPUTED_VALUE"""),45639.64978009259)</f>
        <v>45639.64978</v>
      </c>
      <c r="H4917" s="24" t="str">
        <f>IFERROR(VLOOKUP(B4917,material!A:D,3,0),"")</f>
        <v>3.1</v>
      </c>
    </row>
    <row r="4918" ht="11.25" customHeight="1">
      <c r="A4918" s="21" t="str">
        <f>IFERROR(__xludf.DUMMYFUNCTION("""COMPUTED_VALUE"""),"MODEM VOIP EMTA WIFI 3.1 HGJ310")</f>
        <v>MODEM VOIP EMTA WIFI 3.1 HGJ310</v>
      </c>
      <c r="B4918" s="22">
        <f>IFERROR(__xludf.DUMMYFUNCTION("""COMPUTED_VALUE"""),4.1001481E7)</f>
        <v>41001481</v>
      </c>
      <c r="C4918" s="21" t="str">
        <f>IFERROR(__xludf.DUMMYFUNCTION("""COMPUTED_VALUE"""),"C85D3865F6F4")</f>
        <v>C85D3865F6F4</v>
      </c>
      <c r="D4918" s="21" t="str">
        <f>IFERROR(__xludf.DUMMYFUNCTION("""COMPUTED_VALUE"""),"DIGITEC TECNOLOGIA DIGITAL E REPRES")</f>
        <v>DIGITEC TECNOLOGIA DIGITAL E REPRES</v>
      </c>
      <c r="E4918" s="21">
        <f>IFERROR(__xludf.DUMMYFUNCTION("""COMPUTED_VALUE"""),145359.0)</f>
        <v>145359</v>
      </c>
      <c r="F4918" s="21" t="str">
        <f>IFERROR(__xludf.DUMMYFUNCTION("""COMPUTED_VALUE"""),"INICIALIZADO")</f>
        <v>INICIALIZADO</v>
      </c>
      <c r="G4918" s="23">
        <f>IFERROR(__xludf.DUMMYFUNCTION("""COMPUTED_VALUE"""),45628.35653935185)</f>
        <v>45628.35654</v>
      </c>
      <c r="H4918" s="24" t="str">
        <f>IFERROR(VLOOKUP(B4918,material!A:D,3,0),"")</f>
        <v>3.1</v>
      </c>
    </row>
    <row r="4919" ht="11.25" customHeight="1">
      <c r="A4919" s="21" t="str">
        <f>IFERROR(__xludf.DUMMYFUNCTION("""COMPUTED_VALUE"""),"MODEM VOIP EMTA WIFI 3.1 HGJ310")</f>
        <v>MODEM VOIP EMTA WIFI 3.1 HGJ310</v>
      </c>
      <c r="B4919" s="22">
        <f>IFERROR(__xludf.DUMMYFUNCTION("""COMPUTED_VALUE"""),4.1001481E7)</f>
        <v>41001481</v>
      </c>
      <c r="C4919" s="21" t="str">
        <f>IFERROR(__xludf.DUMMYFUNCTION("""COMPUTED_VALUE"""),"8C444FEC8F09")</f>
        <v>8C444FEC8F09</v>
      </c>
      <c r="D4919" s="21" t="str">
        <f>IFERROR(__xludf.DUMMYFUNCTION("""COMPUTED_VALUE"""),"DIGITEC TECNOLOGIA DIGITAL E REPRES")</f>
        <v>DIGITEC TECNOLOGIA DIGITAL E REPRES</v>
      </c>
      <c r="E4919" s="21">
        <f>IFERROR(__xludf.DUMMYFUNCTION("""COMPUTED_VALUE"""),145359.0)</f>
        <v>145359</v>
      </c>
      <c r="F4919" s="21" t="str">
        <f>IFERROR(__xludf.DUMMYFUNCTION("""COMPUTED_VALUE"""),"INICIALIZADO")</f>
        <v>INICIALIZADO</v>
      </c>
      <c r="G4919" s="23">
        <f>IFERROR(__xludf.DUMMYFUNCTION("""COMPUTED_VALUE"""),45639.64980324074)</f>
        <v>45639.6498</v>
      </c>
      <c r="H4919" s="24" t="str">
        <f>IFERROR(VLOOKUP(B4919,material!A:D,3,0),"")</f>
        <v>3.1</v>
      </c>
    </row>
    <row r="4920" ht="11.25" customHeight="1">
      <c r="A4920" s="21" t="str">
        <f>IFERROR(__xludf.DUMMYFUNCTION("""COMPUTED_VALUE"""),"MODEM VOIP EMTA WIFI 3.1 HGJ310")</f>
        <v>MODEM VOIP EMTA WIFI 3.1 HGJ310</v>
      </c>
      <c r="B4920" s="22">
        <f>IFERROR(__xludf.DUMMYFUNCTION("""COMPUTED_VALUE"""),4.1001481E7)</f>
        <v>41001481</v>
      </c>
      <c r="C4920" s="21" t="str">
        <f>IFERROR(__xludf.DUMMYFUNCTION("""COMPUTED_VALUE"""),"C85D386001CB")</f>
        <v>C85D386001CB</v>
      </c>
      <c r="D4920" s="21" t="str">
        <f>IFERROR(__xludf.DUMMYFUNCTION("""COMPUTED_VALUE"""),"DIGITEC TECNOLOGIA DIGITAL E REPRES")</f>
        <v>DIGITEC TECNOLOGIA DIGITAL E REPRES</v>
      </c>
      <c r="E4920" s="21">
        <f>IFERROR(__xludf.DUMMYFUNCTION("""COMPUTED_VALUE"""),145359.0)</f>
        <v>145359</v>
      </c>
      <c r="F4920" s="21" t="str">
        <f>IFERROR(__xludf.DUMMYFUNCTION("""COMPUTED_VALUE"""),"INICIALIZADO")</f>
        <v>INICIALIZADO</v>
      </c>
      <c r="G4920" s="23">
        <f>IFERROR(__xludf.DUMMYFUNCTION("""COMPUTED_VALUE"""),45639.64979166667)</f>
        <v>45639.64979</v>
      </c>
      <c r="H4920" s="24" t="str">
        <f>IFERROR(VLOOKUP(B4920,material!A:D,3,0),"")</f>
        <v>3.1</v>
      </c>
    </row>
    <row r="4921" ht="11.25" customHeight="1">
      <c r="A4921" s="21" t="str">
        <f>IFERROR(__xludf.DUMMYFUNCTION("""COMPUTED_VALUE"""),"MODEM VOIP EMTA WIFI 3.1 HGJ310")</f>
        <v>MODEM VOIP EMTA WIFI 3.1 HGJ310</v>
      </c>
      <c r="B4921" s="22">
        <f>IFERROR(__xludf.DUMMYFUNCTION("""COMPUTED_VALUE"""),4.1001481E7)</f>
        <v>41001481</v>
      </c>
      <c r="C4921" s="21" t="str">
        <f>IFERROR(__xludf.DUMMYFUNCTION("""COMPUTED_VALUE"""),"C85D38656CB2")</f>
        <v>C85D38656CB2</v>
      </c>
      <c r="D4921" s="21" t="str">
        <f>IFERROR(__xludf.DUMMYFUNCTION("""COMPUTED_VALUE"""),"DIGITEC TECNOLOGIA DIGITAL E REPRES")</f>
        <v>DIGITEC TECNOLOGIA DIGITAL E REPRES</v>
      </c>
      <c r="E4921" s="21">
        <f>IFERROR(__xludf.DUMMYFUNCTION("""COMPUTED_VALUE"""),145359.0)</f>
        <v>145359</v>
      </c>
      <c r="F4921" s="21" t="str">
        <f>IFERROR(__xludf.DUMMYFUNCTION("""COMPUTED_VALUE"""),"INICIALIZADO")</f>
        <v>INICIALIZADO</v>
      </c>
      <c r="G4921" s="23">
        <f>IFERROR(__xludf.DUMMYFUNCTION("""COMPUTED_VALUE"""),45560.436956018515)</f>
        <v>45560.43696</v>
      </c>
      <c r="H4921" s="24" t="str">
        <f>IFERROR(VLOOKUP(B4921,material!A:D,3,0),"")</f>
        <v>3.1</v>
      </c>
    </row>
    <row r="4922" ht="11.25" customHeight="1">
      <c r="A4922" s="21" t="str">
        <f>IFERROR(__xludf.DUMMYFUNCTION("""COMPUTED_VALUE"""),"MODEM VOIP EMTA WIFI 3.1 HGJ310")</f>
        <v>MODEM VOIP EMTA WIFI 3.1 HGJ310</v>
      </c>
      <c r="B4922" s="22">
        <f>IFERROR(__xludf.DUMMYFUNCTION("""COMPUTED_VALUE"""),4.1001481E7)</f>
        <v>41001481</v>
      </c>
      <c r="C4922" s="21" t="str">
        <f>IFERROR(__xludf.DUMMYFUNCTION("""COMPUTED_VALUE"""),"C85D38616749")</f>
        <v>C85D38616749</v>
      </c>
      <c r="D4922" s="21" t="str">
        <f>IFERROR(__xludf.DUMMYFUNCTION("""COMPUTED_VALUE"""),"DIGITEC TECNOLOGIA DIGITAL E REPRES")</f>
        <v>DIGITEC TECNOLOGIA DIGITAL E REPRES</v>
      </c>
      <c r="E4922" s="21">
        <f>IFERROR(__xludf.DUMMYFUNCTION("""COMPUTED_VALUE"""),145359.0)</f>
        <v>145359</v>
      </c>
      <c r="F4922" s="21" t="str">
        <f>IFERROR(__xludf.DUMMYFUNCTION("""COMPUTED_VALUE"""),"INICIALIZADO")</f>
        <v>INICIALIZADO</v>
      </c>
      <c r="G4922" s="23">
        <f>IFERROR(__xludf.DUMMYFUNCTION("""COMPUTED_VALUE"""),45639.64979166667)</f>
        <v>45639.64979</v>
      </c>
      <c r="H4922" s="24" t="str">
        <f>IFERROR(VLOOKUP(B4922,material!A:D,3,0),"")</f>
        <v>3.1</v>
      </c>
    </row>
    <row r="4923" ht="11.25" customHeight="1">
      <c r="A4923" s="21" t="str">
        <f>IFERROR(__xludf.DUMMYFUNCTION("""COMPUTED_VALUE"""),"MODEM VOIP EMTA WIFI 3.1 HGJ310")</f>
        <v>MODEM VOIP EMTA WIFI 3.1 HGJ310</v>
      </c>
      <c r="B4923" s="22">
        <f>IFERROR(__xludf.DUMMYFUNCTION("""COMPUTED_VALUE"""),4.1001481E7)</f>
        <v>41001481</v>
      </c>
      <c r="C4923" s="21" t="str">
        <f>IFERROR(__xludf.DUMMYFUNCTION("""COMPUTED_VALUE"""),"C85D38145A4B")</f>
        <v>C85D38145A4B</v>
      </c>
      <c r="D4923" s="21" t="str">
        <f>IFERROR(__xludf.DUMMYFUNCTION("""COMPUTED_VALUE"""),"DIGITEC TECNOLOGIA DIGITAL E REPRES")</f>
        <v>DIGITEC TECNOLOGIA DIGITAL E REPRES</v>
      </c>
      <c r="E4923" s="21">
        <f>IFERROR(__xludf.DUMMYFUNCTION("""COMPUTED_VALUE"""),145359.0)</f>
        <v>145359</v>
      </c>
      <c r="F4923" s="21" t="str">
        <f>IFERROR(__xludf.DUMMYFUNCTION("""COMPUTED_VALUE"""),"INICIALIZADO")</f>
        <v>INICIALIZADO</v>
      </c>
      <c r="G4923" s="23">
        <f>IFERROR(__xludf.DUMMYFUNCTION("""COMPUTED_VALUE"""),45639.64979166667)</f>
        <v>45639.64979</v>
      </c>
      <c r="H4923" s="24" t="str">
        <f>IFERROR(VLOOKUP(B4923,material!A:D,3,0),"")</f>
        <v>3.1</v>
      </c>
    </row>
    <row r="4924" ht="11.25" customHeight="1">
      <c r="A4924" s="21" t="str">
        <f>IFERROR(__xludf.DUMMYFUNCTION("""COMPUTED_VALUE"""),"MODEM VOIP EMTA WIFI 3.1 HGJ310")</f>
        <v>MODEM VOIP EMTA WIFI 3.1 HGJ310</v>
      </c>
      <c r="B4924" s="22">
        <f>IFERROR(__xludf.DUMMYFUNCTION("""COMPUTED_VALUE"""),4.1001481E7)</f>
        <v>41001481</v>
      </c>
      <c r="C4924" s="21" t="str">
        <f>IFERROR(__xludf.DUMMYFUNCTION("""COMPUTED_VALUE"""),"C85D385AF285")</f>
        <v>C85D385AF285</v>
      </c>
      <c r="D4924" s="21" t="str">
        <f>IFERROR(__xludf.DUMMYFUNCTION("""COMPUTED_VALUE"""),"DIGITEC TECNOLOGIA DIGITAL E REPRES")</f>
        <v>DIGITEC TECNOLOGIA DIGITAL E REPRES</v>
      </c>
      <c r="E4924" s="21">
        <f>IFERROR(__xludf.DUMMYFUNCTION("""COMPUTED_VALUE"""),145359.0)</f>
        <v>145359</v>
      </c>
      <c r="F4924" s="21" t="str">
        <f>IFERROR(__xludf.DUMMYFUNCTION("""COMPUTED_VALUE"""),"INICIALIZADO")</f>
        <v>INICIALIZADO</v>
      </c>
      <c r="G4924" s="23">
        <f>IFERROR(__xludf.DUMMYFUNCTION("""COMPUTED_VALUE"""),45639.64979166667)</f>
        <v>45639.64979</v>
      </c>
      <c r="H4924" s="24" t="str">
        <f>IFERROR(VLOOKUP(B4924,material!A:D,3,0),"")</f>
        <v>3.1</v>
      </c>
    </row>
    <row r="4925" ht="11.25" customHeight="1">
      <c r="A4925" s="21" t="str">
        <f>IFERROR(__xludf.DUMMYFUNCTION("""COMPUTED_VALUE"""),"MODEM VOIP EMTA WIFI 3.1 HGJ310")</f>
        <v>MODEM VOIP EMTA WIFI 3.1 HGJ310</v>
      </c>
      <c r="B4925" s="22">
        <f>IFERROR(__xludf.DUMMYFUNCTION("""COMPUTED_VALUE"""),4.1001481E7)</f>
        <v>41001481</v>
      </c>
      <c r="C4925" s="21" t="str">
        <f>IFERROR(__xludf.DUMMYFUNCTION("""COMPUTED_VALUE"""),"C85D381C311B")</f>
        <v>C85D381C311B</v>
      </c>
      <c r="D4925" s="21" t="str">
        <f>IFERROR(__xludf.DUMMYFUNCTION("""COMPUTED_VALUE"""),"DIGITEC TECNOLOGIA DIGITAL E REPRES")</f>
        <v>DIGITEC TECNOLOGIA DIGITAL E REPRES</v>
      </c>
      <c r="E4925" s="21">
        <f>IFERROR(__xludf.DUMMYFUNCTION("""COMPUTED_VALUE"""),145359.0)</f>
        <v>145359</v>
      </c>
      <c r="F4925" s="21" t="str">
        <f>IFERROR(__xludf.DUMMYFUNCTION("""COMPUTED_VALUE"""),"INICIALIZADO")</f>
        <v>INICIALIZADO</v>
      </c>
      <c r="G4925" s="23">
        <f>IFERROR(__xludf.DUMMYFUNCTION("""COMPUTED_VALUE"""),45639.64978009259)</f>
        <v>45639.64978</v>
      </c>
      <c r="H4925" s="24" t="str">
        <f>IFERROR(VLOOKUP(B4925,material!A:D,3,0),"")</f>
        <v>3.1</v>
      </c>
    </row>
    <row r="4926" ht="11.25" customHeight="1">
      <c r="A4926" s="21" t="str">
        <f>IFERROR(__xludf.DUMMYFUNCTION("""COMPUTED_VALUE"""),"MODEM VOIP EMTA WIFI 3.1 HGJ310")</f>
        <v>MODEM VOIP EMTA WIFI 3.1 HGJ310</v>
      </c>
      <c r="B4926" s="22">
        <f>IFERROR(__xludf.DUMMYFUNCTION("""COMPUTED_VALUE"""),4.1001481E7)</f>
        <v>41001481</v>
      </c>
      <c r="C4926" s="21" t="str">
        <f>IFERROR(__xludf.DUMMYFUNCTION("""COMPUTED_VALUE"""),"C85D3807E515")</f>
        <v>C85D3807E515</v>
      </c>
      <c r="D4926" s="21" t="str">
        <f>IFERROR(__xludf.DUMMYFUNCTION("""COMPUTED_VALUE"""),"DIGITEC TECNOLOGIA DIGITAL E REPRES")</f>
        <v>DIGITEC TECNOLOGIA DIGITAL E REPRES</v>
      </c>
      <c r="E4926" s="21">
        <f>IFERROR(__xludf.DUMMYFUNCTION("""COMPUTED_VALUE"""),145359.0)</f>
        <v>145359</v>
      </c>
      <c r="F4926" s="21" t="str">
        <f>IFERROR(__xludf.DUMMYFUNCTION("""COMPUTED_VALUE"""),"INICIALIZADO")</f>
        <v>INICIALIZADO</v>
      </c>
      <c r="G4926" s="23">
        <f>IFERROR(__xludf.DUMMYFUNCTION("""COMPUTED_VALUE"""),45639.64980324074)</f>
        <v>45639.6498</v>
      </c>
      <c r="H4926" s="24" t="str">
        <f>IFERROR(VLOOKUP(B4926,material!A:D,3,0),"")</f>
        <v>3.1</v>
      </c>
    </row>
    <row r="4927" ht="11.25" customHeight="1">
      <c r="A4927" s="21" t="str">
        <f>IFERROR(__xludf.DUMMYFUNCTION("""COMPUTED_VALUE"""),"MODEM VOIP EMTA WIFI 3.1 HGJ310")</f>
        <v>MODEM VOIP EMTA WIFI 3.1 HGJ310</v>
      </c>
      <c r="B4927" s="22">
        <f>IFERROR(__xludf.DUMMYFUNCTION("""COMPUTED_VALUE"""),4.1001481E7)</f>
        <v>41001481</v>
      </c>
      <c r="C4927" s="21" t="str">
        <f>IFERROR(__xludf.DUMMYFUNCTION("""COMPUTED_VALUE"""),"C85D38647FB5")</f>
        <v>C85D38647FB5</v>
      </c>
      <c r="D4927" s="21" t="str">
        <f>IFERROR(__xludf.DUMMYFUNCTION("""COMPUTED_VALUE"""),"DIGITEC TECNOLOGIA DIGITAL E REPRES")</f>
        <v>DIGITEC TECNOLOGIA DIGITAL E REPRES</v>
      </c>
      <c r="E4927" s="21">
        <f>IFERROR(__xludf.DUMMYFUNCTION("""COMPUTED_VALUE"""),145359.0)</f>
        <v>145359</v>
      </c>
      <c r="F4927" s="21" t="str">
        <f>IFERROR(__xludf.DUMMYFUNCTION("""COMPUTED_VALUE"""),"INICIALIZADO")</f>
        <v>INICIALIZADO</v>
      </c>
      <c r="G4927" s="23">
        <f>IFERROR(__xludf.DUMMYFUNCTION("""COMPUTED_VALUE"""),45639.64979166667)</f>
        <v>45639.64979</v>
      </c>
      <c r="H4927" s="24" t="str">
        <f>IFERROR(VLOOKUP(B4927,material!A:D,3,0),"")</f>
        <v>3.1</v>
      </c>
    </row>
    <row r="4928" ht="11.25" customHeight="1">
      <c r="A4928" s="21" t="str">
        <f>IFERROR(__xludf.DUMMYFUNCTION("""COMPUTED_VALUE"""),"MODEM VOIP EMTA WIFI 3.1 HGJ310")</f>
        <v>MODEM VOIP EMTA WIFI 3.1 HGJ310</v>
      </c>
      <c r="B4928" s="22">
        <f>IFERROR(__xludf.DUMMYFUNCTION("""COMPUTED_VALUE"""),4.1001481E7)</f>
        <v>41001481</v>
      </c>
      <c r="C4928" s="21" t="str">
        <f>IFERROR(__xludf.DUMMYFUNCTION("""COMPUTED_VALUE"""),"C85D3809368F")</f>
        <v>C85D3809368F</v>
      </c>
      <c r="D4928" s="21" t="str">
        <f>IFERROR(__xludf.DUMMYFUNCTION("""COMPUTED_VALUE"""),"DIGITEC TECNOLOGIA DIGITAL E REPRES")</f>
        <v>DIGITEC TECNOLOGIA DIGITAL E REPRES</v>
      </c>
      <c r="E4928" s="21">
        <f>IFERROR(__xludf.DUMMYFUNCTION("""COMPUTED_VALUE"""),145359.0)</f>
        <v>145359</v>
      </c>
      <c r="F4928" s="21" t="str">
        <f>IFERROR(__xludf.DUMMYFUNCTION("""COMPUTED_VALUE"""),"INICIALIZADO")</f>
        <v>INICIALIZADO</v>
      </c>
      <c r="G4928" s="23">
        <f>IFERROR(__xludf.DUMMYFUNCTION("""COMPUTED_VALUE"""),45639.64980324074)</f>
        <v>45639.6498</v>
      </c>
      <c r="H4928" s="24" t="str">
        <f>IFERROR(VLOOKUP(B4928,material!A:D,3,0),"")</f>
        <v>3.1</v>
      </c>
    </row>
    <row r="4929" ht="11.25" customHeight="1">
      <c r="A4929" s="21" t="str">
        <f>IFERROR(__xludf.DUMMYFUNCTION("""COMPUTED_VALUE"""),"MODEM VOIP EMTA WIFI 3.1 HGJ310")</f>
        <v>MODEM VOIP EMTA WIFI 3.1 HGJ310</v>
      </c>
      <c r="B4929" s="22">
        <f>IFERROR(__xludf.DUMMYFUNCTION("""COMPUTED_VALUE"""),4.1001481E7)</f>
        <v>41001481</v>
      </c>
      <c r="C4929" s="21" t="str">
        <f>IFERROR(__xludf.DUMMYFUNCTION("""COMPUTED_VALUE"""),"C85D3801A7C5")</f>
        <v>C85D3801A7C5</v>
      </c>
      <c r="D4929" s="21" t="str">
        <f>IFERROR(__xludf.DUMMYFUNCTION("""COMPUTED_VALUE"""),"DIGITEC TECNOLOGIA DIGITAL E REPRES")</f>
        <v>DIGITEC TECNOLOGIA DIGITAL E REPRES</v>
      </c>
      <c r="E4929" s="21">
        <f>IFERROR(__xludf.DUMMYFUNCTION("""COMPUTED_VALUE"""),145359.0)</f>
        <v>145359</v>
      </c>
      <c r="F4929" s="21" t="str">
        <f>IFERROR(__xludf.DUMMYFUNCTION("""COMPUTED_VALUE"""),"INICIALIZADO")</f>
        <v>INICIALIZADO</v>
      </c>
      <c r="G4929" s="23">
        <f>IFERROR(__xludf.DUMMYFUNCTION("""COMPUTED_VALUE"""),45639.64980324074)</f>
        <v>45639.6498</v>
      </c>
      <c r="H4929" s="24" t="str">
        <f>IFERROR(VLOOKUP(B4929,material!A:D,3,0),"")</f>
        <v>3.1</v>
      </c>
    </row>
    <row r="4930" ht="11.25" customHeight="1">
      <c r="A4930" s="21" t="str">
        <f>IFERROR(__xludf.DUMMYFUNCTION("""COMPUTED_VALUE"""),"MODEM VOIP EMTA WIFI 3.1 HGJ310")</f>
        <v>MODEM VOIP EMTA WIFI 3.1 HGJ310</v>
      </c>
      <c r="B4930" s="22">
        <f>IFERROR(__xludf.DUMMYFUNCTION("""COMPUTED_VALUE"""),4.1001481E7)</f>
        <v>41001481</v>
      </c>
      <c r="C4930" s="21" t="str">
        <f>IFERROR(__xludf.DUMMYFUNCTION("""COMPUTED_VALUE"""),"C85D386397F8")</f>
        <v>C85D386397F8</v>
      </c>
      <c r="D4930" s="21" t="str">
        <f>IFERROR(__xludf.DUMMYFUNCTION("""COMPUTED_VALUE"""),"DIGITEC TECNOLOGIA DIGITAL E REPRES")</f>
        <v>DIGITEC TECNOLOGIA DIGITAL E REPRES</v>
      </c>
      <c r="E4930" s="21">
        <f>IFERROR(__xludf.DUMMYFUNCTION("""COMPUTED_VALUE"""),145359.0)</f>
        <v>145359</v>
      </c>
      <c r="F4930" s="21" t="str">
        <f>IFERROR(__xludf.DUMMYFUNCTION("""COMPUTED_VALUE"""),"INICIALIZADO")</f>
        <v>INICIALIZADO</v>
      </c>
      <c r="G4930" s="23">
        <f>IFERROR(__xludf.DUMMYFUNCTION("""COMPUTED_VALUE"""),45639.64979166667)</f>
        <v>45639.64979</v>
      </c>
      <c r="H4930" s="24" t="str">
        <f>IFERROR(VLOOKUP(B4930,material!A:D,3,0),"")</f>
        <v>3.1</v>
      </c>
    </row>
    <row r="4931" ht="11.25" customHeight="1">
      <c r="A4931" s="21" t="str">
        <f>IFERROR(__xludf.DUMMYFUNCTION("""COMPUTED_VALUE"""),"MODEM VOIP EMTA WIFI 3.1 HGJ310")</f>
        <v>MODEM VOIP EMTA WIFI 3.1 HGJ310</v>
      </c>
      <c r="B4931" s="22">
        <f>IFERROR(__xludf.DUMMYFUNCTION("""COMPUTED_VALUE"""),4.1001481E7)</f>
        <v>41001481</v>
      </c>
      <c r="C4931" s="21" t="str">
        <f>IFERROR(__xludf.DUMMYFUNCTION("""COMPUTED_VALUE"""),"C85D38082DD8")</f>
        <v>C85D38082DD8</v>
      </c>
      <c r="D4931" s="21" t="str">
        <f>IFERROR(__xludf.DUMMYFUNCTION("""COMPUTED_VALUE"""),"DIGITEC TECNOLOGIA DIGITAL E REPRES")</f>
        <v>DIGITEC TECNOLOGIA DIGITAL E REPRES</v>
      </c>
      <c r="E4931" s="21">
        <f>IFERROR(__xludf.DUMMYFUNCTION("""COMPUTED_VALUE"""),145359.0)</f>
        <v>145359</v>
      </c>
      <c r="F4931" s="21" t="str">
        <f>IFERROR(__xludf.DUMMYFUNCTION("""COMPUTED_VALUE"""),"INICIALIZADO")</f>
        <v>INICIALIZADO</v>
      </c>
      <c r="G4931" s="23">
        <f>IFERROR(__xludf.DUMMYFUNCTION("""COMPUTED_VALUE"""),45639.64980324074)</f>
        <v>45639.6498</v>
      </c>
      <c r="H4931" s="24" t="str">
        <f>IFERROR(VLOOKUP(B4931,material!A:D,3,0),"")</f>
        <v>3.1</v>
      </c>
    </row>
    <row r="4932" ht="11.25" customHeight="1">
      <c r="A4932" s="21" t="str">
        <f>IFERROR(__xludf.DUMMYFUNCTION("""COMPUTED_VALUE"""),"MODEM VOIP EMTA WIFI 3.1 HGJ310")</f>
        <v>MODEM VOIP EMTA WIFI 3.1 HGJ310</v>
      </c>
      <c r="B4932" s="22">
        <f>IFERROR(__xludf.DUMMYFUNCTION("""COMPUTED_VALUE"""),4.1001481E7)</f>
        <v>41001481</v>
      </c>
      <c r="C4932" s="21" t="str">
        <f>IFERROR(__xludf.DUMMYFUNCTION("""COMPUTED_VALUE"""),"C85D3808C4B3")</f>
        <v>C85D3808C4B3</v>
      </c>
      <c r="D4932" s="21" t="str">
        <f>IFERROR(__xludf.DUMMYFUNCTION("""COMPUTED_VALUE"""),"DIGITEC TECNOLOGIA DIGITAL E REPRES")</f>
        <v>DIGITEC TECNOLOGIA DIGITAL E REPRES</v>
      </c>
      <c r="E4932" s="21">
        <f>IFERROR(__xludf.DUMMYFUNCTION("""COMPUTED_VALUE"""),145359.0)</f>
        <v>145359</v>
      </c>
      <c r="F4932" s="21" t="str">
        <f>IFERROR(__xludf.DUMMYFUNCTION("""COMPUTED_VALUE"""),"INICIALIZADO")</f>
        <v>INICIALIZADO</v>
      </c>
      <c r="G4932" s="23">
        <f>IFERROR(__xludf.DUMMYFUNCTION("""COMPUTED_VALUE"""),45639.64980324074)</f>
        <v>45639.6498</v>
      </c>
      <c r="H4932" s="24" t="str">
        <f>IFERROR(VLOOKUP(B4932,material!A:D,3,0),"")</f>
        <v>3.1</v>
      </c>
    </row>
    <row r="4933" ht="11.25" customHeight="1">
      <c r="A4933" s="21" t="str">
        <f>IFERROR(__xludf.DUMMYFUNCTION("""COMPUTED_VALUE"""),"MODEM VOIP EMTA WIFI 3.1 HGJ310")</f>
        <v>MODEM VOIP EMTA WIFI 3.1 HGJ310</v>
      </c>
      <c r="B4933" s="22">
        <f>IFERROR(__xludf.DUMMYFUNCTION("""COMPUTED_VALUE"""),4.1001481E7)</f>
        <v>41001481</v>
      </c>
      <c r="C4933" s="21" t="str">
        <f>IFERROR(__xludf.DUMMYFUNCTION("""COMPUTED_VALUE"""),"C85D385CF7BA")</f>
        <v>C85D385CF7BA</v>
      </c>
      <c r="D4933" s="21" t="str">
        <f>IFERROR(__xludf.DUMMYFUNCTION("""COMPUTED_VALUE"""),"DIGITEC TECNOLOGIA DIGITAL E REPRES")</f>
        <v>DIGITEC TECNOLOGIA DIGITAL E REPRES</v>
      </c>
      <c r="E4933" s="21">
        <f>IFERROR(__xludf.DUMMYFUNCTION("""COMPUTED_VALUE"""),145359.0)</f>
        <v>145359</v>
      </c>
      <c r="F4933" s="21" t="str">
        <f>IFERROR(__xludf.DUMMYFUNCTION("""COMPUTED_VALUE"""),"INICIALIZADO")</f>
        <v>INICIALIZADO</v>
      </c>
      <c r="G4933" s="23">
        <f>IFERROR(__xludf.DUMMYFUNCTION("""COMPUTED_VALUE"""),45639.64979166667)</f>
        <v>45639.64979</v>
      </c>
      <c r="H4933" s="24" t="str">
        <f>IFERROR(VLOOKUP(B4933,material!A:D,3,0),"")</f>
        <v>3.1</v>
      </c>
    </row>
    <row r="4934" ht="11.25" customHeight="1">
      <c r="A4934" s="21" t="str">
        <f>IFERROR(__xludf.DUMMYFUNCTION("""COMPUTED_VALUE"""),"MODEM VOIP EMTA WIFI 3.1 HGJ310")</f>
        <v>MODEM VOIP EMTA WIFI 3.1 HGJ310</v>
      </c>
      <c r="B4934" s="22">
        <f>IFERROR(__xludf.DUMMYFUNCTION("""COMPUTED_VALUE"""),4.1001481E7)</f>
        <v>41001481</v>
      </c>
      <c r="C4934" s="21" t="str">
        <f>IFERROR(__xludf.DUMMYFUNCTION("""COMPUTED_VALUE"""),"C85D3815950C")</f>
        <v>C85D3815950C</v>
      </c>
      <c r="D4934" s="21" t="str">
        <f>IFERROR(__xludf.DUMMYFUNCTION("""COMPUTED_VALUE"""),"DIGITEC TECNOLOGIA DIGITAL E REPRES")</f>
        <v>DIGITEC TECNOLOGIA DIGITAL E REPRES</v>
      </c>
      <c r="E4934" s="21">
        <f>IFERROR(__xludf.DUMMYFUNCTION("""COMPUTED_VALUE"""),145359.0)</f>
        <v>145359</v>
      </c>
      <c r="F4934" s="21" t="str">
        <f>IFERROR(__xludf.DUMMYFUNCTION("""COMPUTED_VALUE"""),"INICIALIZADO")</f>
        <v>INICIALIZADO</v>
      </c>
      <c r="G4934" s="23">
        <f>IFERROR(__xludf.DUMMYFUNCTION("""COMPUTED_VALUE"""),45639.64978009259)</f>
        <v>45639.64978</v>
      </c>
      <c r="H4934" s="24" t="str">
        <f>IFERROR(VLOOKUP(B4934,material!A:D,3,0),"")</f>
        <v>3.1</v>
      </c>
    </row>
    <row r="4935" ht="11.25" customHeight="1">
      <c r="A4935" s="21" t="str">
        <f>IFERROR(__xludf.DUMMYFUNCTION("""COMPUTED_VALUE"""),"MODEM VOIP EMTA WIFI 3.1 HGJ310")</f>
        <v>MODEM VOIP EMTA WIFI 3.1 HGJ310</v>
      </c>
      <c r="B4935" s="22">
        <f>IFERROR(__xludf.DUMMYFUNCTION("""COMPUTED_VALUE"""),4.1001481E7)</f>
        <v>41001481</v>
      </c>
      <c r="C4935" s="21" t="str">
        <f>IFERROR(__xludf.DUMMYFUNCTION("""COMPUTED_VALUE"""),"C85D38620ADB")</f>
        <v>C85D38620ADB</v>
      </c>
      <c r="D4935" s="21" t="str">
        <f>IFERROR(__xludf.DUMMYFUNCTION("""COMPUTED_VALUE"""),"DIGITEC TECNOLOGIA DIGITAL E REPRES")</f>
        <v>DIGITEC TECNOLOGIA DIGITAL E REPRES</v>
      </c>
      <c r="E4935" s="21">
        <f>IFERROR(__xludf.DUMMYFUNCTION("""COMPUTED_VALUE"""),145359.0)</f>
        <v>145359</v>
      </c>
      <c r="F4935" s="21" t="str">
        <f>IFERROR(__xludf.DUMMYFUNCTION("""COMPUTED_VALUE"""),"INICIALIZADO")</f>
        <v>INICIALIZADO</v>
      </c>
      <c r="G4935" s="23">
        <f>IFERROR(__xludf.DUMMYFUNCTION("""COMPUTED_VALUE"""),45639.64979166667)</f>
        <v>45639.64979</v>
      </c>
      <c r="H4935" s="24" t="str">
        <f>IFERROR(VLOOKUP(B4935,material!A:D,3,0),"")</f>
        <v>3.1</v>
      </c>
    </row>
    <row r="4936" ht="11.25" customHeight="1">
      <c r="A4936" s="21" t="str">
        <f>IFERROR(__xludf.DUMMYFUNCTION("""COMPUTED_VALUE"""),"MODEM VOIP EMTA WIFI 3.1 HGJ310")</f>
        <v>MODEM VOIP EMTA WIFI 3.1 HGJ310</v>
      </c>
      <c r="B4936" s="22">
        <f>IFERROR(__xludf.DUMMYFUNCTION("""COMPUTED_VALUE"""),4.1001481E7)</f>
        <v>41001481</v>
      </c>
      <c r="C4936" s="21" t="str">
        <f>IFERROR(__xludf.DUMMYFUNCTION("""COMPUTED_VALUE"""),"C85D385BAC7C")</f>
        <v>C85D385BAC7C</v>
      </c>
      <c r="D4936" s="21" t="str">
        <f>IFERROR(__xludf.DUMMYFUNCTION("""COMPUTED_VALUE"""),"DIGITEC TECNOLOGIA DIGITAL E REPRES")</f>
        <v>DIGITEC TECNOLOGIA DIGITAL E REPRES</v>
      </c>
      <c r="E4936" s="21">
        <f>IFERROR(__xludf.DUMMYFUNCTION("""COMPUTED_VALUE"""),145359.0)</f>
        <v>145359</v>
      </c>
      <c r="F4936" s="21" t="str">
        <f>IFERROR(__xludf.DUMMYFUNCTION("""COMPUTED_VALUE"""),"INICIALIZADO")</f>
        <v>INICIALIZADO</v>
      </c>
      <c r="G4936" s="23">
        <f>IFERROR(__xludf.DUMMYFUNCTION("""COMPUTED_VALUE"""),45639.64979166667)</f>
        <v>45639.64979</v>
      </c>
      <c r="H4936" s="24" t="str">
        <f>IFERROR(VLOOKUP(B4936,material!A:D,3,0),"")</f>
        <v>3.1</v>
      </c>
    </row>
    <row r="4937" ht="11.25" customHeight="1">
      <c r="A4937" s="21" t="str">
        <f>IFERROR(__xludf.DUMMYFUNCTION("""COMPUTED_VALUE"""),"MODEM VOIP EMTA WIFI 3.1 HGJ310")</f>
        <v>MODEM VOIP EMTA WIFI 3.1 HGJ310</v>
      </c>
      <c r="B4937" s="22">
        <f>IFERROR(__xludf.DUMMYFUNCTION("""COMPUTED_VALUE"""),4.1001481E7)</f>
        <v>41001481</v>
      </c>
      <c r="C4937" s="21" t="str">
        <f>IFERROR(__xludf.DUMMYFUNCTION("""COMPUTED_VALUE"""),"8C444FE9E1D4")</f>
        <v>8C444FE9E1D4</v>
      </c>
      <c r="D4937" s="21" t="str">
        <f>IFERROR(__xludf.DUMMYFUNCTION("""COMPUTED_VALUE"""),"DIGITEC TECNOLOGIA DIGITAL E REPRES")</f>
        <v>DIGITEC TECNOLOGIA DIGITAL E REPRES</v>
      </c>
      <c r="E4937" s="21">
        <f>IFERROR(__xludf.DUMMYFUNCTION("""COMPUTED_VALUE"""),145359.0)</f>
        <v>145359</v>
      </c>
      <c r="F4937" s="21" t="str">
        <f>IFERROR(__xludf.DUMMYFUNCTION("""COMPUTED_VALUE"""),"INICIALIZADO")</f>
        <v>INICIALIZADO</v>
      </c>
      <c r="G4937" s="23">
        <f>IFERROR(__xludf.DUMMYFUNCTION("""COMPUTED_VALUE"""),45638.68789351852)</f>
        <v>45638.68789</v>
      </c>
      <c r="H4937" s="24" t="str">
        <f>IFERROR(VLOOKUP(B4937,material!A:D,3,0),"")</f>
        <v>3.1</v>
      </c>
    </row>
    <row r="4938" ht="11.25" customHeight="1">
      <c r="A4938" s="21" t="str">
        <f>IFERROR(__xludf.DUMMYFUNCTION("""COMPUTED_VALUE"""),"MODEM VOIP EMTA WIFI 3.1 HGJ310")</f>
        <v>MODEM VOIP EMTA WIFI 3.1 HGJ310</v>
      </c>
      <c r="B4938" s="22">
        <f>IFERROR(__xludf.DUMMYFUNCTION("""COMPUTED_VALUE"""),4.1001481E7)</f>
        <v>41001481</v>
      </c>
      <c r="C4938" s="21" t="str">
        <f>IFERROR(__xludf.DUMMYFUNCTION("""COMPUTED_VALUE"""),"8C444FE9DBC2")</f>
        <v>8C444FE9DBC2</v>
      </c>
      <c r="D4938" s="21" t="str">
        <f>IFERROR(__xludf.DUMMYFUNCTION("""COMPUTED_VALUE"""),"DIGITEC TECNOLOGIA DIGITAL E REPRES")</f>
        <v>DIGITEC TECNOLOGIA DIGITAL E REPRES</v>
      </c>
      <c r="E4938" s="21">
        <f>IFERROR(__xludf.DUMMYFUNCTION("""COMPUTED_VALUE"""),145359.0)</f>
        <v>145359</v>
      </c>
      <c r="F4938" s="21" t="str">
        <f>IFERROR(__xludf.DUMMYFUNCTION("""COMPUTED_VALUE"""),"INICIALIZADO")</f>
        <v>INICIALIZADO</v>
      </c>
      <c r="G4938" s="23">
        <f>IFERROR(__xludf.DUMMYFUNCTION("""COMPUTED_VALUE"""),45639.64979166667)</f>
        <v>45639.64979</v>
      </c>
      <c r="H4938" s="24" t="str">
        <f>IFERROR(VLOOKUP(B4938,material!A:D,3,0),"")</f>
        <v>3.1</v>
      </c>
    </row>
    <row r="4939" ht="11.25" customHeight="1">
      <c r="A4939" s="21" t="str">
        <f>IFERROR(__xludf.DUMMYFUNCTION("""COMPUTED_VALUE"""),"MODEM VOIP EMTA WIFI 3.1 HGJ310")</f>
        <v>MODEM VOIP EMTA WIFI 3.1 HGJ310</v>
      </c>
      <c r="B4939" s="22">
        <f>IFERROR(__xludf.DUMMYFUNCTION("""COMPUTED_VALUE"""),4.1001481E7)</f>
        <v>41001481</v>
      </c>
      <c r="C4939" s="21" t="str">
        <f>IFERROR(__xludf.DUMMYFUNCTION("""COMPUTED_VALUE"""),"8C444FEC82D0")</f>
        <v>8C444FEC82D0</v>
      </c>
      <c r="D4939" s="21" t="str">
        <f>IFERROR(__xludf.DUMMYFUNCTION("""COMPUTED_VALUE"""),"DIGITEC TECNOLOGIA DIGITAL E REPRES")</f>
        <v>DIGITEC TECNOLOGIA DIGITAL E REPRES</v>
      </c>
      <c r="E4939" s="21">
        <f>IFERROR(__xludf.DUMMYFUNCTION("""COMPUTED_VALUE"""),145359.0)</f>
        <v>145359</v>
      </c>
      <c r="F4939" s="21" t="str">
        <f>IFERROR(__xludf.DUMMYFUNCTION("""COMPUTED_VALUE"""),"INICIALIZADO")</f>
        <v>INICIALIZADO</v>
      </c>
      <c r="G4939" s="23">
        <f>IFERROR(__xludf.DUMMYFUNCTION("""COMPUTED_VALUE"""),45639.64980324074)</f>
        <v>45639.6498</v>
      </c>
      <c r="H4939" s="24" t="str">
        <f>IFERROR(VLOOKUP(B4939,material!A:D,3,0),"")</f>
        <v>3.1</v>
      </c>
    </row>
    <row r="4940" ht="11.25" customHeight="1">
      <c r="A4940" s="21" t="str">
        <f>IFERROR(__xludf.DUMMYFUNCTION("""COMPUTED_VALUE"""),"MODEM VOIP EMTA WIFI 3.1 HGJ310")</f>
        <v>MODEM VOIP EMTA WIFI 3.1 HGJ310</v>
      </c>
      <c r="B4940" s="22">
        <f>IFERROR(__xludf.DUMMYFUNCTION("""COMPUTED_VALUE"""),4.1001481E7)</f>
        <v>41001481</v>
      </c>
      <c r="C4940" s="21" t="str">
        <f>IFERROR(__xludf.DUMMYFUNCTION("""COMPUTED_VALUE"""),"D86C5A3C08D3")</f>
        <v>D86C5A3C08D3</v>
      </c>
      <c r="D4940" s="21" t="str">
        <f>IFERROR(__xludf.DUMMYFUNCTION("""COMPUTED_VALUE"""),"DIGITEC TECNOLOGIA DIGITAL E REPRES")</f>
        <v>DIGITEC TECNOLOGIA DIGITAL E REPRES</v>
      </c>
      <c r="E4940" s="21">
        <f>IFERROR(__xludf.DUMMYFUNCTION("""COMPUTED_VALUE"""),145359.0)</f>
        <v>145359</v>
      </c>
      <c r="F4940" s="21" t="str">
        <f>IFERROR(__xludf.DUMMYFUNCTION("""COMPUTED_VALUE"""),"INICIALIZADO")</f>
        <v>INICIALIZADO</v>
      </c>
      <c r="G4940" s="23">
        <f>IFERROR(__xludf.DUMMYFUNCTION("""COMPUTED_VALUE"""),45639.64982638889)</f>
        <v>45639.64983</v>
      </c>
      <c r="H4940" s="24" t="str">
        <f>IFERROR(VLOOKUP(B4940,material!A:D,3,0),"")</f>
        <v>3.1</v>
      </c>
    </row>
    <row r="4941" ht="11.25" customHeight="1">
      <c r="A4941" s="21" t="str">
        <f>IFERROR(__xludf.DUMMYFUNCTION("""COMPUTED_VALUE"""),"MODEM VOIP EMTA WIFI 3.1 HGJ310")</f>
        <v>MODEM VOIP EMTA WIFI 3.1 HGJ310</v>
      </c>
      <c r="B4941" s="22">
        <f>IFERROR(__xludf.DUMMYFUNCTION("""COMPUTED_VALUE"""),4.1001481E7)</f>
        <v>41001481</v>
      </c>
      <c r="C4941" s="21" t="str">
        <f>IFERROR(__xludf.DUMMYFUNCTION("""COMPUTED_VALUE"""),"C85D38F9E6BA")</f>
        <v>C85D38F9E6BA</v>
      </c>
      <c r="D4941" s="21" t="str">
        <f>IFERROR(__xludf.DUMMYFUNCTION("""COMPUTED_VALUE"""),"DIGITEC TECNOLOGIA DIGITAL E REPRES")</f>
        <v>DIGITEC TECNOLOGIA DIGITAL E REPRES</v>
      </c>
      <c r="E4941" s="21">
        <f>IFERROR(__xludf.DUMMYFUNCTION("""COMPUTED_VALUE"""),145359.0)</f>
        <v>145359</v>
      </c>
      <c r="F4941" s="21" t="str">
        <f>IFERROR(__xludf.DUMMYFUNCTION("""COMPUTED_VALUE"""),"INICIALIZADO")</f>
        <v>INICIALIZADO</v>
      </c>
      <c r="G4941" s="23">
        <f>IFERROR(__xludf.DUMMYFUNCTION("""COMPUTED_VALUE"""),45628.35653935185)</f>
        <v>45628.35654</v>
      </c>
      <c r="H4941" s="24" t="str">
        <f>IFERROR(VLOOKUP(B4941,material!A:D,3,0),"")</f>
        <v>3.1</v>
      </c>
    </row>
    <row r="4942" ht="11.25" customHeight="1">
      <c r="A4942" s="21" t="str">
        <f>IFERROR(__xludf.DUMMYFUNCTION("""COMPUTED_VALUE"""),"MODEM VOIP EMTA WIFI 3.1 HGJ310")</f>
        <v>MODEM VOIP EMTA WIFI 3.1 HGJ310</v>
      </c>
      <c r="B4942" s="22">
        <f>IFERROR(__xludf.DUMMYFUNCTION("""COMPUTED_VALUE"""),4.1001481E7)</f>
        <v>41001481</v>
      </c>
      <c r="C4942" s="21" t="str">
        <f>IFERROR(__xludf.DUMMYFUNCTION("""COMPUTED_VALUE"""),"D86C5A41A90C")</f>
        <v>D86C5A41A90C</v>
      </c>
      <c r="D4942" s="21" t="str">
        <f>IFERROR(__xludf.DUMMYFUNCTION("""COMPUTED_VALUE"""),"DIGITEC TECNOLOGIA DIGITAL E REPRES")</f>
        <v>DIGITEC TECNOLOGIA DIGITAL E REPRES</v>
      </c>
      <c r="E4942" s="21">
        <f>IFERROR(__xludf.DUMMYFUNCTION("""COMPUTED_VALUE"""),145359.0)</f>
        <v>145359</v>
      </c>
      <c r="F4942" s="21" t="str">
        <f>IFERROR(__xludf.DUMMYFUNCTION("""COMPUTED_VALUE"""),"INICIALIZADO")</f>
        <v>INICIALIZADO</v>
      </c>
      <c r="G4942" s="23">
        <f>IFERROR(__xludf.DUMMYFUNCTION("""COMPUTED_VALUE"""),45639.64982638889)</f>
        <v>45639.64983</v>
      </c>
      <c r="H4942" s="24" t="str">
        <f>IFERROR(VLOOKUP(B4942,material!A:D,3,0),"")</f>
        <v>3.1</v>
      </c>
    </row>
    <row r="4943" ht="11.25" customHeight="1">
      <c r="A4943" s="21" t="str">
        <f>IFERROR(__xludf.DUMMYFUNCTION("""COMPUTED_VALUE"""),"MODEM VOIP EMTA WIFI 3.1 HGJ310")</f>
        <v>MODEM VOIP EMTA WIFI 3.1 HGJ310</v>
      </c>
      <c r="B4943" s="22">
        <f>IFERROR(__xludf.DUMMYFUNCTION("""COMPUTED_VALUE"""),4.1001481E7)</f>
        <v>41001481</v>
      </c>
      <c r="C4943" s="21" t="str">
        <f>IFERROR(__xludf.DUMMYFUNCTION("""COMPUTED_VALUE"""),"C85D38F97697")</f>
        <v>C85D38F97697</v>
      </c>
      <c r="D4943" s="21" t="str">
        <f>IFERROR(__xludf.DUMMYFUNCTION("""COMPUTED_VALUE"""),"DIGITEC TECNOLOGIA DIGITAL E REPRES")</f>
        <v>DIGITEC TECNOLOGIA DIGITAL E REPRES</v>
      </c>
      <c r="E4943" s="21">
        <f>IFERROR(__xludf.DUMMYFUNCTION("""COMPUTED_VALUE"""),145359.0)</f>
        <v>145359</v>
      </c>
      <c r="F4943" s="21" t="str">
        <f>IFERROR(__xludf.DUMMYFUNCTION("""COMPUTED_VALUE"""),"INICIALIZADO")</f>
        <v>INICIALIZADO</v>
      </c>
      <c r="G4943" s="23">
        <f>IFERROR(__xludf.DUMMYFUNCTION("""COMPUTED_VALUE"""),45639.64981481481)</f>
        <v>45639.64981</v>
      </c>
      <c r="H4943" s="24" t="str">
        <f>IFERROR(VLOOKUP(B4943,material!A:D,3,0),"")</f>
        <v>3.1</v>
      </c>
    </row>
    <row r="4944" ht="11.25" customHeight="1">
      <c r="A4944" s="21" t="str">
        <f>IFERROR(__xludf.DUMMYFUNCTION("""COMPUTED_VALUE"""),"MODEM VOIP EMTA WIFI 3.1 HGJ310")</f>
        <v>MODEM VOIP EMTA WIFI 3.1 HGJ310</v>
      </c>
      <c r="B4944" s="22">
        <f>IFERROR(__xludf.DUMMYFUNCTION("""COMPUTED_VALUE"""),4.1001481E7)</f>
        <v>41001481</v>
      </c>
      <c r="C4944" s="21" t="str">
        <f>IFERROR(__xludf.DUMMYFUNCTION("""COMPUTED_VALUE"""),"C85D381246FA")</f>
        <v>C85D381246FA</v>
      </c>
      <c r="D4944" s="21" t="str">
        <f>IFERROR(__xludf.DUMMYFUNCTION("""COMPUTED_VALUE"""),"DIGITEC TECNOLOGIA DIGITAL E REPRES")</f>
        <v>DIGITEC TECNOLOGIA DIGITAL E REPRES</v>
      </c>
      <c r="E4944" s="21">
        <f>IFERROR(__xludf.DUMMYFUNCTION("""COMPUTED_VALUE"""),145359.0)</f>
        <v>145359</v>
      </c>
      <c r="F4944" s="21" t="str">
        <f>IFERROR(__xludf.DUMMYFUNCTION("""COMPUTED_VALUE"""),"INICIALIZADO")</f>
        <v>INICIALIZADO</v>
      </c>
      <c r="G4944" s="23">
        <f>IFERROR(__xludf.DUMMYFUNCTION("""COMPUTED_VALUE"""),45639.64979166667)</f>
        <v>45639.64979</v>
      </c>
      <c r="H4944" s="24" t="str">
        <f>IFERROR(VLOOKUP(B4944,material!A:D,3,0),"")</f>
        <v>3.1</v>
      </c>
    </row>
    <row r="4945" ht="11.25" customHeight="1">
      <c r="A4945" s="21" t="str">
        <f>IFERROR(__xludf.DUMMYFUNCTION("""COMPUTED_VALUE"""),"MODEM VOIP EMTA WIFI 3.1 HGJ310")</f>
        <v>MODEM VOIP EMTA WIFI 3.1 HGJ310</v>
      </c>
      <c r="B4945" s="22">
        <f>IFERROR(__xludf.DUMMYFUNCTION("""COMPUTED_VALUE"""),4.1001481E7)</f>
        <v>41001481</v>
      </c>
      <c r="C4945" s="21" t="str">
        <f>IFERROR(__xludf.DUMMYFUNCTION("""COMPUTED_VALUE"""),"C85D3810F595")</f>
        <v>C85D3810F595</v>
      </c>
      <c r="D4945" s="21" t="str">
        <f>IFERROR(__xludf.DUMMYFUNCTION("""COMPUTED_VALUE"""),"DIGITEC TECNOLOGIA DIGITAL E REPRES")</f>
        <v>DIGITEC TECNOLOGIA DIGITAL E REPRES</v>
      </c>
      <c r="E4945" s="21">
        <f>IFERROR(__xludf.DUMMYFUNCTION("""COMPUTED_VALUE"""),145359.0)</f>
        <v>145359</v>
      </c>
      <c r="F4945" s="21" t="str">
        <f>IFERROR(__xludf.DUMMYFUNCTION("""COMPUTED_VALUE"""),"INICIALIZADO")</f>
        <v>INICIALIZADO</v>
      </c>
      <c r="G4945" s="23">
        <f>IFERROR(__xludf.DUMMYFUNCTION("""COMPUTED_VALUE"""),45639.64979166667)</f>
        <v>45639.64979</v>
      </c>
      <c r="H4945" s="24" t="str">
        <f>IFERROR(VLOOKUP(B4945,material!A:D,3,0),"")</f>
        <v>3.1</v>
      </c>
    </row>
    <row r="4946" ht="11.25" customHeight="1">
      <c r="A4946" s="21" t="str">
        <f>IFERROR(__xludf.DUMMYFUNCTION("""COMPUTED_VALUE"""),"MODEM VOIP EMTA WIFI 3.1 HGJ310")</f>
        <v>MODEM VOIP EMTA WIFI 3.1 HGJ310</v>
      </c>
      <c r="B4946" s="22">
        <f>IFERROR(__xludf.DUMMYFUNCTION("""COMPUTED_VALUE"""),4.1001481E7)</f>
        <v>41001481</v>
      </c>
      <c r="C4946" s="21" t="str">
        <f>IFERROR(__xludf.DUMMYFUNCTION("""COMPUTED_VALUE"""),"C85D38016529")</f>
        <v>C85D38016529</v>
      </c>
      <c r="D4946" s="21" t="str">
        <f>IFERROR(__xludf.DUMMYFUNCTION("""COMPUTED_VALUE"""),"DIGITEC TECNOLOGIA DIGITAL E REPRES")</f>
        <v>DIGITEC TECNOLOGIA DIGITAL E REPRES</v>
      </c>
      <c r="E4946" s="21">
        <f>IFERROR(__xludf.DUMMYFUNCTION("""COMPUTED_VALUE"""),145359.0)</f>
        <v>145359</v>
      </c>
      <c r="F4946" s="21" t="str">
        <f>IFERROR(__xludf.DUMMYFUNCTION("""COMPUTED_VALUE"""),"INICIALIZADO")</f>
        <v>INICIALIZADO</v>
      </c>
      <c r="G4946" s="23">
        <f>IFERROR(__xludf.DUMMYFUNCTION("""COMPUTED_VALUE"""),45639.64980324074)</f>
        <v>45639.6498</v>
      </c>
      <c r="H4946" s="24" t="str">
        <f>IFERROR(VLOOKUP(B4946,material!A:D,3,0),"")</f>
        <v>3.1</v>
      </c>
    </row>
    <row r="4947" ht="11.25" customHeight="1">
      <c r="A4947" s="21" t="str">
        <f>IFERROR(__xludf.DUMMYFUNCTION("""COMPUTED_VALUE"""),"MODEM VOIP EMTA WIFI 3.1 HGJ310")</f>
        <v>MODEM VOIP EMTA WIFI 3.1 HGJ310</v>
      </c>
      <c r="B4947" s="22">
        <f>IFERROR(__xludf.DUMMYFUNCTION("""COMPUTED_VALUE"""),4.1001481E7)</f>
        <v>41001481</v>
      </c>
      <c r="C4947" s="21" t="str">
        <f>IFERROR(__xludf.DUMMYFUNCTION("""COMPUTED_VALUE"""),"C85D386C0876")</f>
        <v>C85D386C0876</v>
      </c>
      <c r="D4947" s="21" t="str">
        <f>IFERROR(__xludf.DUMMYFUNCTION("""COMPUTED_VALUE"""),"DIGITEC TECNOLOGIA DIGITAL E REPRES")</f>
        <v>DIGITEC TECNOLOGIA DIGITAL E REPRES</v>
      </c>
      <c r="E4947" s="21">
        <f>IFERROR(__xludf.DUMMYFUNCTION("""COMPUTED_VALUE"""),145359.0)</f>
        <v>145359</v>
      </c>
      <c r="F4947" s="21" t="str">
        <f>IFERROR(__xludf.DUMMYFUNCTION("""COMPUTED_VALUE"""),"INICIALIZADO")</f>
        <v>INICIALIZADO</v>
      </c>
      <c r="G4947" s="23">
        <f>IFERROR(__xludf.DUMMYFUNCTION("""COMPUTED_VALUE"""),45639.64979166667)</f>
        <v>45639.64979</v>
      </c>
      <c r="H4947" s="24" t="str">
        <f>IFERROR(VLOOKUP(B4947,material!A:D,3,0),"")</f>
        <v>3.1</v>
      </c>
    </row>
    <row r="4948" ht="11.25" customHeight="1">
      <c r="A4948" s="21" t="str">
        <f>IFERROR(__xludf.DUMMYFUNCTION("""COMPUTED_VALUE"""),"MODEM VOIP EMTA WIFI 3.1 HGJ310")</f>
        <v>MODEM VOIP EMTA WIFI 3.1 HGJ310</v>
      </c>
      <c r="B4948" s="22">
        <f>IFERROR(__xludf.DUMMYFUNCTION("""COMPUTED_VALUE"""),4.1001481E7)</f>
        <v>41001481</v>
      </c>
      <c r="C4948" s="21" t="str">
        <f>IFERROR(__xludf.DUMMYFUNCTION("""COMPUTED_VALUE"""),"C85D38084857")</f>
        <v>C85D38084857</v>
      </c>
      <c r="D4948" s="21" t="str">
        <f>IFERROR(__xludf.DUMMYFUNCTION("""COMPUTED_VALUE"""),"DIGITEC TECNOLOGIA DIGITAL E REPRES")</f>
        <v>DIGITEC TECNOLOGIA DIGITAL E REPRES</v>
      </c>
      <c r="E4948" s="21">
        <f>IFERROR(__xludf.DUMMYFUNCTION("""COMPUTED_VALUE"""),145359.0)</f>
        <v>145359</v>
      </c>
      <c r="F4948" s="21" t="str">
        <f>IFERROR(__xludf.DUMMYFUNCTION("""COMPUTED_VALUE"""),"INICIALIZADO")</f>
        <v>INICIALIZADO</v>
      </c>
      <c r="G4948" s="23">
        <f>IFERROR(__xludf.DUMMYFUNCTION("""COMPUTED_VALUE"""),45639.64980324074)</f>
        <v>45639.6498</v>
      </c>
      <c r="H4948" s="24" t="str">
        <f>IFERROR(VLOOKUP(B4948,material!A:D,3,0),"")</f>
        <v>3.1</v>
      </c>
    </row>
    <row r="4949" ht="11.25" customHeight="1">
      <c r="A4949" s="21" t="str">
        <f>IFERROR(__xludf.DUMMYFUNCTION("""COMPUTED_VALUE"""),"MODEM VOIP EMTA WIFI 3.1 HGJ310")</f>
        <v>MODEM VOIP EMTA WIFI 3.1 HGJ310</v>
      </c>
      <c r="B4949" s="22">
        <f>IFERROR(__xludf.DUMMYFUNCTION("""COMPUTED_VALUE"""),4.1001481E7)</f>
        <v>41001481</v>
      </c>
      <c r="C4949" s="21" t="str">
        <f>IFERROR(__xludf.DUMMYFUNCTION("""COMPUTED_VALUE"""),"C85D3861C608")</f>
        <v>C85D3861C608</v>
      </c>
      <c r="D4949" s="21" t="str">
        <f>IFERROR(__xludf.DUMMYFUNCTION("""COMPUTED_VALUE"""),"DIGITEC TECNOLOGIA DIGITAL E REPRES")</f>
        <v>DIGITEC TECNOLOGIA DIGITAL E REPRES</v>
      </c>
      <c r="E4949" s="21">
        <f>IFERROR(__xludf.DUMMYFUNCTION("""COMPUTED_VALUE"""),145359.0)</f>
        <v>145359</v>
      </c>
      <c r="F4949" s="21" t="str">
        <f>IFERROR(__xludf.DUMMYFUNCTION("""COMPUTED_VALUE"""),"INICIALIZADO")</f>
        <v>INICIALIZADO</v>
      </c>
      <c r="G4949" s="23">
        <f>IFERROR(__xludf.DUMMYFUNCTION("""COMPUTED_VALUE"""),45639.64979166667)</f>
        <v>45639.64979</v>
      </c>
      <c r="H4949" s="24" t="str">
        <f>IFERROR(VLOOKUP(B4949,material!A:D,3,0),"")</f>
        <v>3.1</v>
      </c>
    </row>
    <row r="4950" ht="11.25" customHeight="1">
      <c r="A4950" s="21" t="str">
        <f>IFERROR(__xludf.DUMMYFUNCTION("""COMPUTED_VALUE"""),"MODEM VOIP EMTA WIFI 3.1 HGJ310")</f>
        <v>MODEM VOIP EMTA WIFI 3.1 HGJ310</v>
      </c>
      <c r="B4950" s="22">
        <f>IFERROR(__xludf.DUMMYFUNCTION("""COMPUTED_VALUE"""),4.1001481E7)</f>
        <v>41001481</v>
      </c>
      <c r="C4950" s="21" t="str">
        <f>IFERROR(__xludf.DUMMYFUNCTION("""COMPUTED_VALUE"""),"C85D38651594")</f>
        <v>C85D38651594</v>
      </c>
      <c r="D4950" s="21" t="str">
        <f>IFERROR(__xludf.DUMMYFUNCTION("""COMPUTED_VALUE"""),"DIGITEC TECNOLOGIA DIGITAL E REPRES")</f>
        <v>DIGITEC TECNOLOGIA DIGITAL E REPRES</v>
      </c>
      <c r="E4950" s="21">
        <f>IFERROR(__xludf.DUMMYFUNCTION("""COMPUTED_VALUE"""),145359.0)</f>
        <v>145359</v>
      </c>
      <c r="F4950" s="21" t="str">
        <f>IFERROR(__xludf.DUMMYFUNCTION("""COMPUTED_VALUE"""),"INICIALIZADO")</f>
        <v>INICIALIZADO</v>
      </c>
      <c r="G4950" s="23">
        <f>IFERROR(__xludf.DUMMYFUNCTION("""COMPUTED_VALUE"""),45639.64979166667)</f>
        <v>45639.64979</v>
      </c>
      <c r="H4950" s="24" t="str">
        <f>IFERROR(VLOOKUP(B4950,material!A:D,3,0),"")</f>
        <v>3.1</v>
      </c>
    </row>
    <row r="4951" ht="11.25" customHeight="1">
      <c r="A4951" s="21" t="str">
        <f>IFERROR(__xludf.DUMMYFUNCTION("""COMPUTED_VALUE"""),"MODEM VOIP EMTA WIFI 3.1 HGJ310")</f>
        <v>MODEM VOIP EMTA WIFI 3.1 HGJ310</v>
      </c>
      <c r="B4951" s="22">
        <f>IFERROR(__xludf.DUMMYFUNCTION("""COMPUTED_VALUE"""),4.1001481E7)</f>
        <v>41001481</v>
      </c>
      <c r="C4951" s="21" t="str">
        <f>IFERROR(__xludf.DUMMYFUNCTION("""COMPUTED_VALUE"""),"C85D385DE256")</f>
        <v>C85D385DE256</v>
      </c>
      <c r="D4951" s="21" t="str">
        <f>IFERROR(__xludf.DUMMYFUNCTION("""COMPUTED_VALUE"""),"DIGITEC TECNOLOGIA DIGITAL E REPRES")</f>
        <v>DIGITEC TECNOLOGIA DIGITAL E REPRES</v>
      </c>
      <c r="E4951" s="21">
        <f>IFERROR(__xludf.DUMMYFUNCTION("""COMPUTED_VALUE"""),145359.0)</f>
        <v>145359</v>
      </c>
      <c r="F4951" s="21" t="str">
        <f>IFERROR(__xludf.DUMMYFUNCTION("""COMPUTED_VALUE"""),"INICIALIZADO")</f>
        <v>INICIALIZADO</v>
      </c>
      <c r="G4951" s="23">
        <f>IFERROR(__xludf.DUMMYFUNCTION("""COMPUTED_VALUE"""),45639.64979166667)</f>
        <v>45639.64979</v>
      </c>
      <c r="H4951" s="24" t="str">
        <f>IFERROR(VLOOKUP(B4951,material!A:D,3,0),"")</f>
        <v>3.1</v>
      </c>
    </row>
    <row r="4952" ht="11.25" customHeight="1">
      <c r="A4952" s="21" t="str">
        <f>IFERROR(__xludf.DUMMYFUNCTION("""COMPUTED_VALUE"""),"MODEM VOIP EMTA WIFI 3.1 HGJ310")</f>
        <v>MODEM VOIP EMTA WIFI 3.1 HGJ310</v>
      </c>
      <c r="B4952" s="22">
        <f>IFERROR(__xludf.DUMMYFUNCTION("""COMPUTED_VALUE"""),4.1001481E7)</f>
        <v>41001481</v>
      </c>
      <c r="C4952" s="21" t="str">
        <f>IFERROR(__xludf.DUMMYFUNCTION("""COMPUTED_VALUE"""),"C85D3814A713")</f>
        <v>C85D3814A713</v>
      </c>
      <c r="D4952" s="21" t="str">
        <f>IFERROR(__xludf.DUMMYFUNCTION("""COMPUTED_VALUE"""),"DIGITEC TECNOLOGIA DIGITAL E REPRES")</f>
        <v>DIGITEC TECNOLOGIA DIGITAL E REPRES</v>
      </c>
      <c r="E4952" s="21">
        <f>IFERROR(__xludf.DUMMYFUNCTION("""COMPUTED_VALUE"""),145359.0)</f>
        <v>145359</v>
      </c>
      <c r="F4952" s="21" t="str">
        <f>IFERROR(__xludf.DUMMYFUNCTION("""COMPUTED_VALUE"""),"INICIALIZADO")</f>
        <v>INICIALIZADO</v>
      </c>
      <c r="G4952" s="23">
        <f>IFERROR(__xludf.DUMMYFUNCTION("""COMPUTED_VALUE"""),45639.64979166667)</f>
        <v>45639.64979</v>
      </c>
      <c r="H4952" s="24" t="str">
        <f>IFERROR(VLOOKUP(B4952,material!A:D,3,0),"")</f>
        <v>3.1</v>
      </c>
    </row>
    <row r="4953" ht="11.25" customHeight="1">
      <c r="A4953" s="21" t="str">
        <f>IFERROR(__xludf.DUMMYFUNCTION("""COMPUTED_VALUE"""),"MODEM VOIP EMTA WIFI 3.1 HGJ310")</f>
        <v>MODEM VOIP EMTA WIFI 3.1 HGJ310</v>
      </c>
      <c r="B4953" s="22">
        <f>IFERROR(__xludf.DUMMYFUNCTION("""COMPUTED_VALUE"""),4.1001481E7)</f>
        <v>41001481</v>
      </c>
      <c r="C4953" s="21" t="str">
        <f>IFERROR(__xludf.DUMMYFUNCTION("""COMPUTED_VALUE"""),"C85D38105AB5")</f>
        <v>C85D38105AB5</v>
      </c>
      <c r="D4953" s="21" t="str">
        <f>IFERROR(__xludf.DUMMYFUNCTION("""COMPUTED_VALUE"""),"DIGITEC TECNOLOGIA DIGITAL E REPRES")</f>
        <v>DIGITEC TECNOLOGIA DIGITAL E REPRES</v>
      </c>
      <c r="E4953" s="21">
        <f>IFERROR(__xludf.DUMMYFUNCTION("""COMPUTED_VALUE"""),145359.0)</f>
        <v>145359</v>
      </c>
      <c r="F4953" s="21" t="str">
        <f>IFERROR(__xludf.DUMMYFUNCTION("""COMPUTED_VALUE"""),"INICIALIZADO")</f>
        <v>INICIALIZADO</v>
      </c>
      <c r="G4953" s="23">
        <f>IFERROR(__xludf.DUMMYFUNCTION("""COMPUTED_VALUE"""),45639.64979166667)</f>
        <v>45639.64979</v>
      </c>
      <c r="H4953" s="24" t="str">
        <f>IFERROR(VLOOKUP(B4953,material!A:D,3,0),"")</f>
        <v>3.1</v>
      </c>
    </row>
    <row r="4954" ht="11.25" customHeight="1">
      <c r="A4954" s="21" t="str">
        <f>IFERROR(__xludf.DUMMYFUNCTION("""COMPUTED_VALUE"""),"MODEM VOIP EMTA WIFI 3.1 HGJ310")</f>
        <v>MODEM VOIP EMTA WIFI 3.1 HGJ310</v>
      </c>
      <c r="B4954" s="22">
        <f>IFERROR(__xludf.DUMMYFUNCTION("""COMPUTED_VALUE"""),4.1001481E7)</f>
        <v>41001481</v>
      </c>
      <c r="C4954" s="21" t="str">
        <f>IFERROR(__xludf.DUMMYFUNCTION("""COMPUTED_VALUE"""),"C85D381B1937")</f>
        <v>C85D381B1937</v>
      </c>
      <c r="D4954" s="21" t="str">
        <f>IFERROR(__xludf.DUMMYFUNCTION("""COMPUTED_VALUE"""),"DIGITEC TECNOLOGIA DIGITAL E REPRES")</f>
        <v>DIGITEC TECNOLOGIA DIGITAL E REPRES</v>
      </c>
      <c r="E4954" s="21">
        <f>IFERROR(__xludf.DUMMYFUNCTION("""COMPUTED_VALUE"""),145359.0)</f>
        <v>145359</v>
      </c>
      <c r="F4954" s="21" t="str">
        <f>IFERROR(__xludf.DUMMYFUNCTION("""COMPUTED_VALUE"""),"INICIALIZADO")</f>
        <v>INICIALIZADO</v>
      </c>
      <c r="G4954" s="23">
        <f>IFERROR(__xludf.DUMMYFUNCTION("""COMPUTED_VALUE"""),45639.64978009259)</f>
        <v>45639.64978</v>
      </c>
      <c r="H4954" s="24" t="str">
        <f>IFERROR(VLOOKUP(B4954,material!A:D,3,0),"")</f>
        <v>3.1</v>
      </c>
    </row>
    <row r="4955" ht="11.25" customHeight="1">
      <c r="A4955" s="21" t="str">
        <f>IFERROR(__xludf.DUMMYFUNCTION("""COMPUTED_VALUE"""),"MODEM VOIP EMTA WIFI 3.1 HGJ310")</f>
        <v>MODEM VOIP EMTA WIFI 3.1 HGJ310</v>
      </c>
      <c r="B4955" s="22">
        <f>IFERROR(__xludf.DUMMYFUNCTION("""COMPUTED_VALUE"""),4.1001481E7)</f>
        <v>41001481</v>
      </c>
      <c r="C4955" s="21" t="str">
        <f>IFERROR(__xludf.DUMMYFUNCTION("""COMPUTED_VALUE"""),"C85D380C6DE8")</f>
        <v>C85D380C6DE8</v>
      </c>
      <c r="D4955" s="21" t="str">
        <f>IFERROR(__xludf.DUMMYFUNCTION("""COMPUTED_VALUE"""),"DIGITEC TECNOLOGIA DIGITAL E REPRES")</f>
        <v>DIGITEC TECNOLOGIA DIGITAL E REPRES</v>
      </c>
      <c r="E4955" s="21">
        <f>IFERROR(__xludf.DUMMYFUNCTION("""COMPUTED_VALUE"""),145359.0)</f>
        <v>145359</v>
      </c>
      <c r="F4955" s="21" t="str">
        <f>IFERROR(__xludf.DUMMYFUNCTION("""COMPUTED_VALUE"""),"INICIALIZADO")</f>
        <v>INICIALIZADO</v>
      </c>
      <c r="G4955" s="23">
        <f>IFERROR(__xludf.DUMMYFUNCTION("""COMPUTED_VALUE"""),45639.64979166667)</f>
        <v>45639.64979</v>
      </c>
      <c r="H4955" s="24" t="str">
        <f>IFERROR(VLOOKUP(B4955,material!A:D,3,0),"")</f>
        <v>3.1</v>
      </c>
    </row>
    <row r="4956" ht="11.25" customHeight="1">
      <c r="A4956" s="21" t="str">
        <f>IFERROR(__xludf.DUMMYFUNCTION("""COMPUTED_VALUE"""),"MODEM VOIP EMTA WIFI 3.1 HGJ310")</f>
        <v>MODEM VOIP EMTA WIFI 3.1 HGJ310</v>
      </c>
      <c r="B4956" s="22">
        <f>IFERROR(__xludf.DUMMYFUNCTION("""COMPUTED_VALUE"""),4.1001481E7)</f>
        <v>41001481</v>
      </c>
      <c r="C4956" s="21" t="str">
        <f>IFERROR(__xludf.DUMMYFUNCTION("""COMPUTED_VALUE"""),"C85D3806BD5C")</f>
        <v>C85D3806BD5C</v>
      </c>
      <c r="D4956" s="21" t="str">
        <f>IFERROR(__xludf.DUMMYFUNCTION("""COMPUTED_VALUE"""),"DIGITEC TECNOLOGIA DIGITAL E REPRES")</f>
        <v>DIGITEC TECNOLOGIA DIGITAL E REPRES</v>
      </c>
      <c r="E4956" s="21">
        <f>IFERROR(__xludf.DUMMYFUNCTION("""COMPUTED_VALUE"""),145359.0)</f>
        <v>145359</v>
      </c>
      <c r="F4956" s="21" t="str">
        <f>IFERROR(__xludf.DUMMYFUNCTION("""COMPUTED_VALUE"""),"INICIALIZADO")</f>
        <v>INICIALIZADO</v>
      </c>
      <c r="G4956" s="23">
        <f>IFERROR(__xludf.DUMMYFUNCTION("""COMPUTED_VALUE"""),45639.64980324074)</f>
        <v>45639.6498</v>
      </c>
      <c r="H4956" s="24" t="str">
        <f>IFERROR(VLOOKUP(B4956,material!A:D,3,0),"")</f>
        <v>3.1</v>
      </c>
    </row>
    <row r="4957" ht="11.25" customHeight="1">
      <c r="A4957" s="21" t="str">
        <f>IFERROR(__xludf.DUMMYFUNCTION("""COMPUTED_VALUE"""),"MODEM VOIP EMTA WIFI 3.1 HGJ310")</f>
        <v>MODEM VOIP EMTA WIFI 3.1 HGJ310</v>
      </c>
      <c r="B4957" s="22">
        <f>IFERROR(__xludf.DUMMYFUNCTION("""COMPUTED_VALUE"""),4.1001481E7)</f>
        <v>41001481</v>
      </c>
      <c r="C4957" s="21" t="str">
        <f>IFERROR(__xludf.DUMMYFUNCTION("""COMPUTED_VALUE"""),"C85D38110627")</f>
        <v>C85D38110627</v>
      </c>
      <c r="D4957" s="21" t="str">
        <f>IFERROR(__xludf.DUMMYFUNCTION("""COMPUTED_VALUE"""),"DIGITEC TECNOLOGIA DIGITAL E REPRES")</f>
        <v>DIGITEC TECNOLOGIA DIGITAL E REPRES</v>
      </c>
      <c r="E4957" s="21">
        <f>IFERROR(__xludf.DUMMYFUNCTION("""COMPUTED_VALUE"""),145359.0)</f>
        <v>145359</v>
      </c>
      <c r="F4957" s="21" t="str">
        <f>IFERROR(__xludf.DUMMYFUNCTION("""COMPUTED_VALUE"""),"INICIALIZADO")</f>
        <v>INICIALIZADO</v>
      </c>
      <c r="G4957" s="23">
        <f>IFERROR(__xludf.DUMMYFUNCTION("""COMPUTED_VALUE"""),45639.64979166667)</f>
        <v>45639.64979</v>
      </c>
      <c r="H4957" s="24" t="str">
        <f>IFERROR(VLOOKUP(B4957,material!A:D,3,0),"")</f>
        <v>3.1</v>
      </c>
    </row>
    <row r="4958" ht="11.25" customHeight="1">
      <c r="A4958" s="21" t="str">
        <f>IFERROR(__xludf.DUMMYFUNCTION("""COMPUTED_VALUE"""),"MODEM VOIP EMTA WIFI 3.1 HGJ310")</f>
        <v>MODEM VOIP EMTA WIFI 3.1 HGJ310</v>
      </c>
      <c r="B4958" s="22">
        <f>IFERROR(__xludf.DUMMYFUNCTION("""COMPUTED_VALUE"""),4.1001481E7)</f>
        <v>41001481</v>
      </c>
      <c r="C4958" s="21" t="str">
        <f>IFERROR(__xludf.DUMMYFUNCTION("""COMPUTED_VALUE"""),"C85D380215C6")</f>
        <v>C85D380215C6</v>
      </c>
      <c r="D4958" s="21" t="str">
        <f>IFERROR(__xludf.DUMMYFUNCTION("""COMPUTED_VALUE"""),"DIGITEC TECNOLOGIA DIGITAL E REPRES")</f>
        <v>DIGITEC TECNOLOGIA DIGITAL E REPRES</v>
      </c>
      <c r="E4958" s="21">
        <f>IFERROR(__xludf.DUMMYFUNCTION("""COMPUTED_VALUE"""),145359.0)</f>
        <v>145359</v>
      </c>
      <c r="F4958" s="21" t="str">
        <f>IFERROR(__xludf.DUMMYFUNCTION("""COMPUTED_VALUE"""),"INICIALIZADO")</f>
        <v>INICIALIZADO</v>
      </c>
      <c r="G4958" s="23">
        <f>IFERROR(__xludf.DUMMYFUNCTION("""COMPUTED_VALUE"""),45639.64980324074)</f>
        <v>45639.6498</v>
      </c>
      <c r="H4958" s="24" t="str">
        <f>IFERROR(VLOOKUP(B4958,material!A:D,3,0),"")</f>
        <v>3.1</v>
      </c>
    </row>
    <row r="4959" ht="11.25" customHeight="1">
      <c r="A4959" s="21" t="str">
        <f>IFERROR(__xludf.DUMMYFUNCTION("""COMPUTED_VALUE"""),"MODEM VOIP EMTA WIFI 3.1 HGJ310")</f>
        <v>MODEM VOIP EMTA WIFI 3.1 HGJ310</v>
      </c>
      <c r="B4959" s="22">
        <f>IFERROR(__xludf.DUMMYFUNCTION("""COMPUTED_VALUE"""),4.1001481E7)</f>
        <v>41001481</v>
      </c>
      <c r="C4959" s="21" t="str">
        <f>IFERROR(__xludf.DUMMYFUNCTION("""COMPUTED_VALUE"""),"C85D38011B40")</f>
        <v>C85D38011B40</v>
      </c>
      <c r="D4959" s="21" t="str">
        <f>IFERROR(__xludf.DUMMYFUNCTION("""COMPUTED_VALUE"""),"DIGITEC TECNOLOGIA DIGITAL E REPRES")</f>
        <v>DIGITEC TECNOLOGIA DIGITAL E REPRES</v>
      </c>
      <c r="E4959" s="21">
        <f>IFERROR(__xludf.DUMMYFUNCTION("""COMPUTED_VALUE"""),145359.0)</f>
        <v>145359</v>
      </c>
      <c r="F4959" s="21" t="str">
        <f>IFERROR(__xludf.DUMMYFUNCTION("""COMPUTED_VALUE"""),"INICIALIZADO")</f>
        <v>INICIALIZADO</v>
      </c>
      <c r="G4959" s="23">
        <f>IFERROR(__xludf.DUMMYFUNCTION("""COMPUTED_VALUE"""),45639.64980324074)</f>
        <v>45639.6498</v>
      </c>
      <c r="H4959" s="24" t="str">
        <f>IFERROR(VLOOKUP(B4959,material!A:D,3,0),"")</f>
        <v>3.1</v>
      </c>
    </row>
    <row r="4960" ht="11.25" customHeight="1">
      <c r="A4960" s="21" t="str">
        <f>IFERROR(__xludf.DUMMYFUNCTION("""COMPUTED_VALUE"""),"MODEM VOIP EMTA WIFI 3.1 HGJ310")</f>
        <v>MODEM VOIP EMTA WIFI 3.1 HGJ310</v>
      </c>
      <c r="B4960" s="22">
        <f>IFERROR(__xludf.DUMMYFUNCTION("""COMPUTED_VALUE"""),4.1001481E7)</f>
        <v>41001481</v>
      </c>
      <c r="C4960" s="21" t="str">
        <f>IFERROR(__xludf.DUMMYFUNCTION("""COMPUTED_VALUE"""),"C85D380152C9")</f>
        <v>C85D380152C9</v>
      </c>
      <c r="D4960" s="21" t="str">
        <f>IFERROR(__xludf.DUMMYFUNCTION("""COMPUTED_VALUE"""),"DIGITEC TECNOLOGIA DIGITAL E REPRES")</f>
        <v>DIGITEC TECNOLOGIA DIGITAL E REPRES</v>
      </c>
      <c r="E4960" s="21">
        <f>IFERROR(__xludf.DUMMYFUNCTION("""COMPUTED_VALUE"""),145359.0)</f>
        <v>145359</v>
      </c>
      <c r="F4960" s="21" t="str">
        <f>IFERROR(__xludf.DUMMYFUNCTION("""COMPUTED_VALUE"""),"INICIALIZADO")</f>
        <v>INICIALIZADO</v>
      </c>
      <c r="G4960" s="23">
        <f>IFERROR(__xludf.DUMMYFUNCTION("""COMPUTED_VALUE"""),45639.64980324074)</f>
        <v>45639.6498</v>
      </c>
      <c r="H4960" s="24" t="str">
        <f>IFERROR(VLOOKUP(B4960,material!A:D,3,0),"")</f>
        <v>3.1</v>
      </c>
    </row>
    <row r="4961" ht="11.25" customHeight="1">
      <c r="A4961" s="21" t="str">
        <f>IFERROR(__xludf.DUMMYFUNCTION("""COMPUTED_VALUE"""),"MODEM VOIP EMTA WIFI 3.1 HGJ310")</f>
        <v>MODEM VOIP EMTA WIFI 3.1 HGJ310</v>
      </c>
      <c r="B4961" s="22">
        <f>IFERROR(__xludf.DUMMYFUNCTION("""COMPUTED_VALUE"""),4.1001481E7)</f>
        <v>41001481</v>
      </c>
      <c r="C4961" s="21" t="str">
        <f>IFERROR(__xludf.DUMMYFUNCTION("""COMPUTED_VALUE"""),"C85D3810FEC5")</f>
        <v>C85D3810FEC5</v>
      </c>
      <c r="D4961" s="21" t="str">
        <f>IFERROR(__xludf.DUMMYFUNCTION("""COMPUTED_VALUE"""),"DIGITEC TECNOLOGIA DIGITAL E REPRES")</f>
        <v>DIGITEC TECNOLOGIA DIGITAL E REPRES</v>
      </c>
      <c r="E4961" s="21">
        <f>IFERROR(__xludf.DUMMYFUNCTION("""COMPUTED_VALUE"""),145359.0)</f>
        <v>145359</v>
      </c>
      <c r="F4961" s="21" t="str">
        <f>IFERROR(__xludf.DUMMYFUNCTION("""COMPUTED_VALUE"""),"INICIALIZADO")</f>
        <v>INICIALIZADO</v>
      </c>
      <c r="G4961" s="23">
        <f>IFERROR(__xludf.DUMMYFUNCTION("""COMPUTED_VALUE"""),45638.68789351852)</f>
        <v>45638.68789</v>
      </c>
      <c r="H4961" s="24" t="str">
        <f>IFERROR(VLOOKUP(B4961,material!A:D,3,0),"")</f>
        <v>3.1</v>
      </c>
    </row>
    <row r="4962" ht="11.25" customHeight="1">
      <c r="A4962" s="21" t="str">
        <f>IFERROR(__xludf.DUMMYFUNCTION("""COMPUTED_VALUE"""),"MODEM VOIP EMTA WIFI 3.1 HGJ310")</f>
        <v>MODEM VOIP EMTA WIFI 3.1 HGJ310</v>
      </c>
      <c r="B4962" s="22">
        <f>IFERROR(__xludf.DUMMYFUNCTION("""COMPUTED_VALUE"""),4.1001481E7)</f>
        <v>41001481</v>
      </c>
      <c r="C4962" s="21" t="str">
        <f>IFERROR(__xludf.DUMMYFUNCTION("""COMPUTED_VALUE"""),"C85D38007D18")</f>
        <v>C85D38007D18</v>
      </c>
      <c r="D4962" s="21" t="str">
        <f>IFERROR(__xludf.DUMMYFUNCTION("""COMPUTED_VALUE"""),"DIGITEC TECNOLOGIA DIGITAL E REPRES")</f>
        <v>DIGITEC TECNOLOGIA DIGITAL E REPRES</v>
      </c>
      <c r="E4962" s="21">
        <f>IFERROR(__xludf.DUMMYFUNCTION("""COMPUTED_VALUE"""),145359.0)</f>
        <v>145359</v>
      </c>
      <c r="F4962" s="21" t="str">
        <f>IFERROR(__xludf.DUMMYFUNCTION("""COMPUTED_VALUE"""),"INICIALIZADO")</f>
        <v>INICIALIZADO</v>
      </c>
      <c r="G4962" s="23">
        <f>IFERROR(__xludf.DUMMYFUNCTION("""COMPUTED_VALUE"""),45639.64980324074)</f>
        <v>45639.6498</v>
      </c>
      <c r="H4962" s="24" t="str">
        <f>IFERROR(VLOOKUP(B4962,material!A:D,3,0),"")</f>
        <v>3.1</v>
      </c>
    </row>
    <row r="4963" ht="11.25" customHeight="1">
      <c r="A4963" s="21" t="str">
        <f>IFERROR(__xludf.DUMMYFUNCTION("""COMPUTED_VALUE"""),"MODEM VOIP EMTA WIFI 3.1 HGJ310")</f>
        <v>MODEM VOIP EMTA WIFI 3.1 HGJ310</v>
      </c>
      <c r="B4963" s="22">
        <f>IFERROR(__xludf.DUMMYFUNCTION("""COMPUTED_VALUE"""),4.1001481E7)</f>
        <v>41001481</v>
      </c>
      <c r="C4963" s="21" t="str">
        <f>IFERROR(__xludf.DUMMYFUNCTION("""COMPUTED_VALUE"""),"C85D381365D7")</f>
        <v>C85D381365D7</v>
      </c>
      <c r="D4963" s="21" t="str">
        <f>IFERROR(__xludf.DUMMYFUNCTION("""COMPUTED_VALUE"""),"DIGITEC TECNOLOGIA DIGITAL E REPRES")</f>
        <v>DIGITEC TECNOLOGIA DIGITAL E REPRES</v>
      </c>
      <c r="E4963" s="21">
        <f>IFERROR(__xludf.DUMMYFUNCTION("""COMPUTED_VALUE"""),145359.0)</f>
        <v>145359</v>
      </c>
      <c r="F4963" s="21" t="str">
        <f>IFERROR(__xludf.DUMMYFUNCTION("""COMPUTED_VALUE"""),"INICIALIZADO")</f>
        <v>INICIALIZADO</v>
      </c>
      <c r="G4963" s="23">
        <f>IFERROR(__xludf.DUMMYFUNCTION("""COMPUTED_VALUE"""),45639.64979166667)</f>
        <v>45639.64979</v>
      </c>
      <c r="H4963" s="24" t="str">
        <f>IFERROR(VLOOKUP(B4963,material!A:D,3,0),"")</f>
        <v>3.1</v>
      </c>
    </row>
    <row r="4964" ht="11.25" customHeight="1">
      <c r="A4964" s="21" t="str">
        <f>IFERROR(__xludf.DUMMYFUNCTION("""COMPUTED_VALUE"""),"MODEM VOIP EMTA WIFI 3.1 HGJ310")</f>
        <v>MODEM VOIP EMTA WIFI 3.1 HGJ310</v>
      </c>
      <c r="B4964" s="22">
        <f>IFERROR(__xludf.DUMMYFUNCTION("""COMPUTED_VALUE"""),4.1001481E7)</f>
        <v>41001481</v>
      </c>
      <c r="C4964" s="21" t="str">
        <f>IFERROR(__xludf.DUMMYFUNCTION("""COMPUTED_VALUE"""),"C85D38069FD4")</f>
        <v>C85D38069FD4</v>
      </c>
      <c r="D4964" s="21" t="str">
        <f>IFERROR(__xludf.DUMMYFUNCTION("""COMPUTED_VALUE"""),"DIGITEC TECNOLOGIA DIGITAL E REPRES")</f>
        <v>DIGITEC TECNOLOGIA DIGITAL E REPRES</v>
      </c>
      <c r="E4964" s="21">
        <f>IFERROR(__xludf.DUMMYFUNCTION("""COMPUTED_VALUE"""),145359.0)</f>
        <v>145359</v>
      </c>
      <c r="F4964" s="21" t="str">
        <f>IFERROR(__xludf.DUMMYFUNCTION("""COMPUTED_VALUE"""),"INICIALIZADO")</f>
        <v>INICIALIZADO</v>
      </c>
      <c r="G4964" s="23">
        <f>IFERROR(__xludf.DUMMYFUNCTION("""COMPUTED_VALUE"""),45639.64980324074)</f>
        <v>45639.6498</v>
      </c>
      <c r="H4964" s="24" t="str">
        <f>IFERROR(VLOOKUP(B4964,material!A:D,3,0),"")</f>
        <v>3.1</v>
      </c>
    </row>
    <row r="4965" ht="11.25" customHeight="1">
      <c r="A4965" s="21" t="str">
        <f>IFERROR(__xludf.DUMMYFUNCTION("""COMPUTED_VALUE"""),"MODEM VOIP EMTA WIFI 3.1 HGJ310")</f>
        <v>MODEM VOIP EMTA WIFI 3.1 HGJ310</v>
      </c>
      <c r="B4965" s="22">
        <f>IFERROR(__xludf.DUMMYFUNCTION("""COMPUTED_VALUE"""),4.1001481E7)</f>
        <v>41001481</v>
      </c>
      <c r="C4965" s="21" t="str">
        <f>IFERROR(__xludf.DUMMYFUNCTION("""COMPUTED_VALUE"""),"C85D381D1D46")</f>
        <v>C85D381D1D46</v>
      </c>
      <c r="D4965" s="21" t="str">
        <f>IFERROR(__xludf.DUMMYFUNCTION("""COMPUTED_VALUE"""),"DIGITEC TECNOLOGIA DIGITAL E REPRES")</f>
        <v>DIGITEC TECNOLOGIA DIGITAL E REPRES</v>
      </c>
      <c r="E4965" s="21">
        <f>IFERROR(__xludf.DUMMYFUNCTION("""COMPUTED_VALUE"""),145359.0)</f>
        <v>145359</v>
      </c>
      <c r="F4965" s="21" t="str">
        <f>IFERROR(__xludf.DUMMYFUNCTION("""COMPUTED_VALUE"""),"INICIALIZADO")</f>
        <v>INICIALIZADO</v>
      </c>
      <c r="G4965" s="23">
        <f>IFERROR(__xludf.DUMMYFUNCTION("""COMPUTED_VALUE"""),45639.64979166667)</f>
        <v>45639.64979</v>
      </c>
      <c r="H4965" s="24" t="str">
        <f>IFERROR(VLOOKUP(B4965,material!A:D,3,0),"")</f>
        <v>3.1</v>
      </c>
    </row>
    <row r="4966" ht="11.25" customHeight="1">
      <c r="A4966" s="21" t="str">
        <f>IFERROR(__xludf.DUMMYFUNCTION("""COMPUTED_VALUE"""),"MODEM VOIP EMTA WIFI 3.1 HGJ310")</f>
        <v>MODEM VOIP EMTA WIFI 3.1 HGJ310</v>
      </c>
      <c r="B4966" s="22">
        <f>IFERROR(__xludf.DUMMYFUNCTION("""COMPUTED_VALUE"""),4.1001481E7)</f>
        <v>41001481</v>
      </c>
      <c r="C4966" s="21" t="str">
        <f>IFERROR(__xludf.DUMMYFUNCTION("""COMPUTED_VALUE"""),"C85D381142C6")</f>
        <v>C85D381142C6</v>
      </c>
      <c r="D4966" s="21" t="str">
        <f>IFERROR(__xludf.DUMMYFUNCTION("""COMPUTED_VALUE"""),"DIGITEC TECNOLOGIA DIGITAL E REPRES")</f>
        <v>DIGITEC TECNOLOGIA DIGITAL E REPRES</v>
      </c>
      <c r="E4966" s="21">
        <f>IFERROR(__xludf.DUMMYFUNCTION("""COMPUTED_VALUE"""),145359.0)</f>
        <v>145359</v>
      </c>
      <c r="F4966" s="21" t="str">
        <f>IFERROR(__xludf.DUMMYFUNCTION("""COMPUTED_VALUE"""),"INICIALIZADO")</f>
        <v>INICIALIZADO</v>
      </c>
      <c r="G4966" s="23">
        <f>IFERROR(__xludf.DUMMYFUNCTION("""COMPUTED_VALUE"""),45639.64979166667)</f>
        <v>45639.64979</v>
      </c>
      <c r="H4966" s="24" t="str">
        <f>IFERROR(VLOOKUP(B4966,material!A:D,3,0),"")</f>
        <v>3.1</v>
      </c>
    </row>
    <row r="4967" ht="11.25" customHeight="1">
      <c r="A4967" s="21" t="str">
        <f>IFERROR(__xludf.DUMMYFUNCTION("""COMPUTED_VALUE"""),"MODEM VOIP EMTA WIFI 3.1 HGJ310")</f>
        <v>MODEM VOIP EMTA WIFI 3.1 HGJ310</v>
      </c>
      <c r="B4967" s="22">
        <f>IFERROR(__xludf.DUMMYFUNCTION("""COMPUTED_VALUE"""),4.1001481E7)</f>
        <v>41001481</v>
      </c>
      <c r="C4967" s="21" t="str">
        <f>IFERROR(__xludf.DUMMYFUNCTION("""COMPUTED_VALUE"""),"C85D38698652")</f>
        <v>C85D38698652</v>
      </c>
      <c r="D4967" s="21" t="str">
        <f>IFERROR(__xludf.DUMMYFUNCTION("""COMPUTED_VALUE"""),"DIGITEC TECNOLOGIA DIGITAL E REPRES")</f>
        <v>DIGITEC TECNOLOGIA DIGITAL E REPRES</v>
      </c>
      <c r="E4967" s="21">
        <f>IFERROR(__xludf.DUMMYFUNCTION("""COMPUTED_VALUE"""),145359.0)</f>
        <v>145359</v>
      </c>
      <c r="F4967" s="21" t="str">
        <f>IFERROR(__xludf.DUMMYFUNCTION("""COMPUTED_VALUE"""),"INICIALIZADO")</f>
        <v>INICIALIZADO</v>
      </c>
      <c r="G4967" s="23">
        <f>IFERROR(__xludf.DUMMYFUNCTION("""COMPUTED_VALUE"""),45639.64979166667)</f>
        <v>45639.64979</v>
      </c>
      <c r="H4967" s="24" t="str">
        <f>IFERROR(VLOOKUP(B4967,material!A:D,3,0),"")</f>
        <v>3.1</v>
      </c>
    </row>
    <row r="4968" ht="11.25" customHeight="1">
      <c r="A4968" s="21" t="str">
        <f>IFERROR(__xludf.DUMMYFUNCTION("""COMPUTED_VALUE"""),"MODEM VOIP EMTA WIFI 3.1 HGJ310")</f>
        <v>MODEM VOIP EMTA WIFI 3.1 HGJ310</v>
      </c>
      <c r="B4968" s="22">
        <f>IFERROR(__xludf.DUMMYFUNCTION("""COMPUTED_VALUE"""),4.1001481E7)</f>
        <v>41001481</v>
      </c>
      <c r="C4968" s="21" t="str">
        <f>IFERROR(__xludf.DUMMYFUNCTION("""COMPUTED_VALUE"""),"C85D3860FF30")</f>
        <v>C85D3860FF30</v>
      </c>
      <c r="D4968" s="21" t="str">
        <f>IFERROR(__xludf.DUMMYFUNCTION("""COMPUTED_VALUE"""),"DIGITEC TECNOLOGIA DIGITAL E REPRES")</f>
        <v>DIGITEC TECNOLOGIA DIGITAL E REPRES</v>
      </c>
      <c r="E4968" s="21">
        <f>IFERROR(__xludf.DUMMYFUNCTION("""COMPUTED_VALUE"""),145359.0)</f>
        <v>145359</v>
      </c>
      <c r="F4968" s="21" t="str">
        <f>IFERROR(__xludf.DUMMYFUNCTION("""COMPUTED_VALUE"""),"INICIALIZADO")</f>
        <v>INICIALIZADO</v>
      </c>
      <c r="G4968" s="23">
        <f>IFERROR(__xludf.DUMMYFUNCTION("""COMPUTED_VALUE"""),45639.64979166667)</f>
        <v>45639.64979</v>
      </c>
      <c r="H4968" s="24" t="str">
        <f>IFERROR(VLOOKUP(B4968,material!A:D,3,0),"")</f>
        <v>3.1</v>
      </c>
    </row>
    <row r="4969" ht="11.25" customHeight="1">
      <c r="A4969" s="21" t="str">
        <f>IFERROR(__xludf.DUMMYFUNCTION("""COMPUTED_VALUE"""),"MODEM VOIP EMTA WIFI 3.1 HGJ310")</f>
        <v>MODEM VOIP EMTA WIFI 3.1 HGJ310</v>
      </c>
      <c r="B4969" s="22">
        <f>IFERROR(__xludf.DUMMYFUNCTION("""COMPUTED_VALUE"""),4.1001481E7)</f>
        <v>41001481</v>
      </c>
      <c r="C4969" s="21" t="str">
        <f>IFERROR(__xludf.DUMMYFUNCTION("""COMPUTED_VALUE"""),"C85D381C37AB")</f>
        <v>C85D381C37AB</v>
      </c>
      <c r="D4969" s="21" t="str">
        <f>IFERROR(__xludf.DUMMYFUNCTION("""COMPUTED_VALUE"""),"DIGITEC TECNOLOGIA DIGITAL E REPRES")</f>
        <v>DIGITEC TECNOLOGIA DIGITAL E REPRES</v>
      </c>
      <c r="E4969" s="21">
        <f>IFERROR(__xludf.DUMMYFUNCTION("""COMPUTED_VALUE"""),145359.0)</f>
        <v>145359</v>
      </c>
      <c r="F4969" s="21" t="str">
        <f>IFERROR(__xludf.DUMMYFUNCTION("""COMPUTED_VALUE"""),"INICIALIZADO")</f>
        <v>INICIALIZADO</v>
      </c>
      <c r="G4969" s="23">
        <f>IFERROR(__xludf.DUMMYFUNCTION("""COMPUTED_VALUE"""),45639.64979166667)</f>
        <v>45639.64979</v>
      </c>
      <c r="H4969" s="24" t="str">
        <f>IFERROR(VLOOKUP(B4969,material!A:D,3,0),"")</f>
        <v>3.1</v>
      </c>
    </row>
    <row r="4970" ht="11.25" customHeight="1">
      <c r="A4970" s="21" t="str">
        <f>IFERROR(__xludf.DUMMYFUNCTION("""COMPUTED_VALUE"""),"MODEM VOIP EMTA WIFI 3.1 HGJ310")</f>
        <v>MODEM VOIP EMTA WIFI 3.1 HGJ310</v>
      </c>
      <c r="B4970" s="22">
        <f>IFERROR(__xludf.DUMMYFUNCTION("""COMPUTED_VALUE"""),4.1001481E7)</f>
        <v>41001481</v>
      </c>
      <c r="C4970" s="21" t="str">
        <f>IFERROR(__xludf.DUMMYFUNCTION("""COMPUTED_VALUE"""),"C85D3818450B")</f>
        <v>C85D3818450B</v>
      </c>
      <c r="D4970" s="21" t="str">
        <f>IFERROR(__xludf.DUMMYFUNCTION("""COMPUTED_VALUE"""),"DIGITEC TECNOLOGIA DIGITAL E REPRES")</f>
        <v>DIGITEC TECNOLOGIA DIGITAL E REPRES</v>
      </c>
      <c r="E4970" s="21">
        <f>IFERROR(__xludf.DUMMYFUNCTION("""COMPUTED_VALUE"""),145359.0)</f>
        <v>145359</v>
      </c>
      <c r="F4970" s="21" t="str">
        <f>IFERROR(__xludf.DUMMYFUNCTION("""COMPUTED_VALUE"""),"INICIALIZADO")</f>
        <v>INICIALIZADO</v>
      </c>
      <c r="G4970" s="23">
        <f>IFERROR(__xludf.DUMMYFUNCTION("""COMPUTED_VALUE"""),45639.64978009259)</f>
        <v>45639.64978</v>
      </c>
      <c r="H4970" s="24" t="str">
        <f>IFERROR(VLOOKUP(B4970,material!A:D,3,0),"")</f>
        <v>3.1</v>
      </c>
    </row>
    <row r="4971" ht="11.25" customHeight="1">
      <c r="A4971" s="21" t="str">
        <f>IFERROR(__xludf.DUMMYFUNCTION("""COMPUTED_VALUE"""),"MODEM VOIP EMTA WIFI 3.1 HGJ310")</f>
        <v>MODEM VOIP EMTA WIFI 3.1 HGJ310</v>
      </c>
      <c r="B4971" s="22">
        <f>IFERROR(__xludf.DUMMYFUNCTION("""COMPUTED_VALUE"""),4.1001481E7)</f>
        <v>41001481</v>
      </c>
      <c r="C4971" s="21" t="str">
        <f>IFERROR(__xludf.DUMMYFUNCTION("""COMPUTED_VALUE"""),"C85D38121193")</f>
        <v>C85D38121193</v>
      </c>
      <c r="D4971" s="21" t="str">
        <f>IFERROR(__xludf.DUMMYFUNCTION("""COMPUTED_VALUE"""),"DIGITEC TECNOLOGIA DIGITAL E REPRES")</f>
        <v>DIGITEC TECNOLOGIA DIGITAL E REPRES</v>
      </c>
      <c r="E4971" s="21">
        <f>IFERROR(__xludf.DUMMYFUNCTION("""COMPUTED_VALUE"""),145359.0)</f>
        <v>145359</v>
      </c>
      <c r="F4971" s="21" t="str">
        <f>IFERROR(__xludf.DUMMYFUNCTION("""COMPUTED_VALUE"""),"INICIALIZADO")</f>
        <v>INICIALIZADO</v>
      </c>
      <c r="G4971" s="23">
        <f>IFERROR(__xludf.DUMMYFUNCTION("""COMPUTED_VALUE"""),45639.64979166667)</f>
        <v>45639.64979</v>
      </c>
      <c r="H4971" s="24" t="str">
        <f>IFERROR(VLOOKUP(B4971,material!A:D,3,0),"")</f>
        <v>3.1</v>
      </c>
    </row>
    <row r="4972" ht="11.25" customHeight="1">
      <c r="A4972" s="21" t="str">
        <f>IFERROR(__xludf.DUMMYFUNCTION("""COMPUTED_VALUE"""),"MODEM VOIP EMTA WIFI 3.1 HGJ310")</f>
        <v>MODEM VOIP EMTA WIFI 3.1 HGJ310</v>
      </c>
      <c r="B4972" s="22">
        <f>IFERROR(__xludf.DUMMYFUNCTION("""COMPUTED_VALUE"""),4.1001481E7)</f>
        <v>41001481</v>
      </c>
      <c r="C4972" s="21" t="str">
        <f>IFERROR(__xludf.DUMMYFUNCTION("""COMPUTED_VALUE"""),"C85D3814A728")</f>
        <v>C85D3814A728</v>
      </c>
      <c r="D4972" s="21" t="str">
        <f>IFERROR(__xludf.DUMMYFUNCTION("""COMPUTED_VALUE"""),"DIGITEC TECNOLOGIA DIGITAL E REPRES")</f>
        <v>DIGITEC TECNOLOGIA DIGITAL E REPRES</v>
      </c>
      <c r="E4972" s="21">
        <f>IFERROR(__xludf.DUMMYFUNCTION("""COMPUTED_VALUE"""),145359.0)</f>
        <v>145359</v>
      </c>
      <c r="F4972" s="21" t="str">
        <f>IFERROR(__xludf.DUMMYFUNCTION("""COMPUTED_VALUE"""),"INICIALIZADO")</f>
        <v>INICIALIZADO</v>
      </c>
      <c r="G4972" s="23">
        <f>IFERROR(__xludf.DUMMYFUNCTION("""COMPUTED_VALUE"""),45639.64979166667)</f>
        <v>45639.64979</v>
      </c>
      <c r="H4972" s="24" t="str">
        <f>IFERROR(VLOOKUP(B4972,material!A:D,3,0),"")</f>
        <v>3.1</v>
      </c>
    </row>
    <row r="4973" ht="11.25" customHeight="1">
      <c r="A4973" s="21" t="str">
        <f>IFERROR(__xludf.DUMMYFUNCTION("""COMPUTED_VALUE"""),"MODEM VOIP EMTA WIFI 3.1 HGJ310")</f>
        <v>MODEM VOIP EMTA WIFI 3.1 HGJ310</v>
      </c>
      <c r="B4973" s="22">
        <f>IFERROR(__xludf.DUMMYFUNCTION("""COMPUTED_VALUE"""),4.1001481E7)</f>
        <v>41001481</v>
      </c>
      <c r="C4973" s="21" t="str">
        <f>IFERROR(__xludf.DUMMYFUNCTION("""COMPUTED_VALUE"""),"C85D380695FC")</f>
        <v>C85D380695FC</v>
      </c>
      <c r="D4973" s="21" t="str">
        <f>IFERROR(__xludf.DUMMYFUNCTION("""COMPUTED_VALUE"""),"DIGITEC TECNOLOGIA DIGITAL E REPRES")</f>
        <v>DIGITEC TECNOLOGIA DIGITAL E REPRES</v>
      </c>
      <c r="E4973" s="21">
        <f>IFERROR(__xludf.DUMMYFUNCTION("""COMPUTED_VALUE"""),145359.0)</f>
        <v>145359</v>
      </c>
      <c r="F4973" s="21" t="str">
        <f>IFERROR(__xludf.DUMMYFUNCTION("""COMPUTED_VALUE"""),"INICIALIZADO")</f>
        <v>INICIALIZADO</v>
      </c>
      <c r="G4973" s="23">
        <f>IFERROR(__xludf.DUMMYFUNCTION("""COMPUTED_VALUE"""),45639.64980324074)</f>
        <v>45639.6498</v>
      </c>
      <c r="H4973" s="24" t="str">
        <f>IFERROR(VLOOKUP(B4973,material!A:D,3,0),"")</f>
        <v>3.1</v>
      </c>
    </row>
    <row r="4974" ht="11.25" customHeight="1">
      <c r="A4974" s="21" t="str">
        <f>IFERROR(__xludf.DUMMYFUNCTION("""COMPUTED_VALUE"""),"MODEM VOIP EMTA WIFI 3.1 HGJ310")</f>
        <v>MODEM VOIP EMTA WIFI 3.1 HGJ310</v>
      </c>
      <c r="B4974" s="22">
        <f>IFERROR(__xludf.DUMMYFUNCTION("""COMPUTED_VALUE"""),4.1001481E7)</f>
        <v>41001481</v>
      </c>
      <c r="C4974" s="21" t="str">
        <f>IFERROR(__xludf.DUMMYFUNCTION("""COMPUTED_VALUE"""),"C85D38150443")</f>
        <v>C85D38150443</v>
      </c>
      <c r="D4974" s="21" t="str">
        <f>IFERROR(__xludf.DUMMYFUNCTION("""COMPUTED_VALUE"""),"DIGITEC TECNOLOGIA DIGITAL E REPRES")</f>
        <v>DIGITEC TECNOLOGIA DIGITAL E REPRES</v>
      </c>
      <c r="E4974" s="21">
        <f>IFERROR(__xludf.DUMMYFUNCTION("""COMPUTED_VALUE"""),145359.0)</f>
        <v>145359</v>
      </c>
      <c r="F4974" s="21" t="str">
        <f>IFERROR(__xludf.DUMMYFUNCTION("""COMPUTED_VALUE"""),"INICIALIZADO")</f>
        <v>INICIALIZADO</v>
      </c>
      <c r="G4974" s="23">
        <f>IFERROR(__xludf.DUMMYFUNCTION("""COMPUTED_VALUE"""),45639.64978009259)</f>
        <v>45639.64978</v>
      </c>
      <c r="H4974" s="24" t="str">
        <f>IFERROR(VLOOKUP(B4974,material!A:D,3,0),"")</f>
        <v>3.1</v>
      </c>
    </row>
    <row r="4975" ht="11.25" customHeight="1">
      <c r="A4975" s="21" t="str">
        <f>IFERROR(__xludf.DUMMYFUNCTION("""COMPUTED_VALUE"""),"MODEM VOIP EMTA WIFI 3.1 HGJ310")</f>
        <v>MODEM VOIP EMTA WIFI 3.1 HGJ310</v>
      </c>
      <c r="B4975" s="22">
        <f>IFERROR(__xludf.DUMMYFUNCTION("""COMPUTED_VALUE"""),4.1001481E7)</f>
        <v>41001481</v>
      </c>
      <c r="C4975" s="21" t="str">
        <f>IFERROR(__xludf.DUMMYFUNCTION("""COMPUTED_VALUE"""),"C85D385C0FFD")</f>
        <v>C85D385C0FFD</v>
      </c>
      <c r="D4975" s="21" t="str">
        <f>IFERROR(__xludf.DUMMYFUNCTION("""COMPUTED_VALUE"""),"DIGITEC TECNOLOGIA DIGITAL E REPRES")</f>
        <v>DIGITEC TECNOLOGIA DIGITAL E REPRES</v>
      </c>
      <c r="E4975" s="21">
        <f>IFERROR(__xludf.DUMMYFUNCTION("""COMPUTED_VALUE"""),145359.0)</f>
        <v>145359</v>
      </c>
      <c r="F4975" s="21" t="str">
        <f>IFERROR(__xludf.DUMMYFUNCTION("""COMPUTED_VALUE"""),"INICIALIZADO")</f>
        <v>INICIALIZADO</v>
      </c>
      <c r="G4975" s="23">
        <f>IFERROR(__xludf.DUMMYFUNCTION("""COMPUTED_VALUE"""),45639.64979166667)</f>
        <v>45639.64979</v>
      </c>
      <c r="H4975" s="24" t="str">
        <f>IFERROR(VLOOKUP(B4975,material!A:D,3,0),"")</f>
        <v>3.1</v>
      </c>
    </row>
    <row r="4976" ht="11.25" customHeight="1">
      <c r="A4976" s="21" t="str">
        <f>IFERROR(__xludf.DUMMYFUNCTION("""COMPUTED_VALUE"""),"MODEM VOIP EMTA WIFI 3.1 HGJ310")</f>
        <v>MODEM VOIP EMTA WIFI 3.1 HGJ310</v>
      </c>
      <c r="B4976" s="22">
        <f>IFERROR(__xludf.DUMMYFUNCTION("""COMPUTED_VALUE"""),4.1001481E7)</f>
        <v>41001481</v>
      </c>
      <c r="C4976" s="21" t="str">
        <f>IFERROR(__xludf.DUMMYFUNCTION("""COMPUTED_VALUE"""),"D86C5A66B608")</f>
        <v>D86C5A66B608</v>
      </c>
      <c r="D4976" s="21" t="str">
        <f>IFERROR(__xludf.DUMMYFUNCTION("""COMPUTED_VALUE"""),"DIGITEC TECNOLOGIA DIGITAL E REPRES")</f>
        <v>DIGITEC TECNOLOGIA DIGITAL E REPRES</v>
      </c>
      <c r="E4976" s="21">
        <f>IFERROR(__xludf.DUMMYFUNCTION("""COMPUTED_VALUE"""),145359.0)</f>
        <v>145359</v>
      </c>
      <c r="F4976" s="21" t="str">
        <f>IFERROR(__xludf.DUMMYFUNCTION("""COMPUTED_VALUE"""),"INICIALIZADO")</f>
        <v>INICIALIZADO</v>
      </c>
      <c r="G4976" s="23">
        <f>IFERROR(__xludf.DUMMYFUNCTION("""COMPUTED_VALUE"""),45639.64982638889)</f>
        <v>45639.64983</v>
      </c>
      <c r="H4976" s="24" t="str">
        <f>IFERROR(VLOOKUP(B4976,material!A:D,3,0),"")</f>
        <v>3.1</v>
      </c>
    </row>
    <row r="4977" ht="11.25" customHeight="1">
      <c r="A4977" s="21" t="str">
        <f>IFERROR(__xludf.DUMMYFUNCTION("""COMPUTED_VALUE"""),"MODEM VOIP EMTA WIFI 3.1 HGJ310")</f>
        <v>MODEM VOIP EMTA WIFI 3.1 HGJ310</v>
      </c>
      <c r="B4977" s="22">
        <f>IFERROR(__xludf.DUMMYFUNCTION("""COMPUTED_VALUE"""),4.1001481E7)</f>
        <v>41001481</v>
      </c>
      <c r="C4977" s="21" t="str">
        <f>IFERROR(__xludf.DUMMYFUNCTION("""COMPUTED_VALUE"""),"D86C5A56B605")</f>
        <v>D86C5A56B605</v>
      </c>
      <c r="D4977" s="21" t="str">
        <f>IFERROR(__xludf.DUMMYFUNCTION("""COMPUTED_VALUE"""),"DIGITEC TECNOLOGIA DIGITAL E REPRES")</f>
        <v>DIGITEC TECNOLOGIA DIGITAL E REPRES</v>
      </c>
      <c r="E4977" s="21">
        <f>IFERROR(__xludf.DUMMYFUNCTION("""COMPUTED_VALUE"""),145359.0)</f>
        <v>145359</v>
      </c>
      <c r="F4977" s="21" t="str">
        <f>IFERROR(__xludf.DUMMYFUNCTION("""COMPUTED_VALUE"""),"INICIALIZADO")</f>
        <v>INICIALIZADO</v>
      </c>
      <c r="G4977" s="23">
        <f>IFERROR(__xludf.DUMMYFUNCTION("""COMPUTED_VALUE"""),45639.64982638889)</f>
        <v>45639.64983</v>
      </c>
      <c r="H4977" s="24" t="str">
        <f>IFERROR(VLOOKUP(B4977,material!A:D,3,0),"")</f>
        <v>3.1</v>
      </c>
    </row>
    <row r="4978" ht="11.25" customHeight="1">
      <c r="A4978" s="21" t="str">
        <f>IFERROR(__xludf.DUMMYFUNCTION("""COMPUTED_VALUE"""),"MODEM VOIP EMTA WIFI 3.1 HGJ310")</f>
        <v>MODEM VOIP EMTA WIFI 3.1 HGJ310</v>
      </c>
      <c r="B4978" s="22">
        <f>IFERROR(__xludf.DUMMYFUNCTION("""COMPUTED_VALUE"""),4.1001481E7)</f>
        <v>41001481</v>
      </c>
      <c r="C4978" s="21" t="str">
        <f>IFERROR(__xludf.DUMMYFUNCTION("""COMPUTED_VALUE"""),"D86C5A56B4B5")</f>
        <v>D86C5A56B4B5</v>
      </c>
      <c r="D4978" s="21" t="str">
        <f>IFERROR(__xludf.DUMMYFUNCTION("""COMPUTED_VALUE"""),"DIGITEC TECNOLOGIA DIGITAL E REPRES")</f>
        <v>DIGITEC TECNOLOGIA DIGITAL E REPRES</v>
      </c>
      <c r="E4978" s="21">
        <f>IFERROR(__xludf.DUMMYFUNCTION("""COMPUTED_VALUE"""),145359.0)</f>
        <v>145359</v>
      </c>
      <c r="F4978" s="21" t="str">
        <f>IFERROR(__xludf.DUMMYFUNCTION("""COMPUTED_VALUE"""),"INICIALIZADO")</f>
        <v>INICIALIZADO</v>
      </c>
      <c r="G4978" s="23">
        <f>IFERROR(__xludf.DUMMYFUNCTION("""COMPUTED_VALUE"""),45638.68789351852)</f>
        <v>45638.68789</v>
      </c>
      <c r="H4978" s="24" t="str">
        <f>IFERROR(VLOOKUP(B4978,material!A:D,3,0),"")</f>
        <v>3.1</v>
      </c>
    </row>
    <row r="4979" ht="11.25" customHeight="1">
      <c r="A4979" s="21" t="str">
        <f>IFERROR(__xludf.DUMMYFUNCTION("""COMPUTED_VALUE"""),"MODEM VOIP EMTA WIFI 3.1 HGJ310")</f>
        <v>MODEM VOIP EMTA WIFI 3.1 HGJ310</v>
      </c>
      <c r="B4979" s="22">
        <f>IFERROR(__xludf.DUMMYFUNCTION("""COMPUTED_VALUE"""),4.1001481E7)</f>
        <v>41001481</v>
      </c>
      <c r="C4979" s="21" t="str">
        <f>IFERROR(__xludf.DUMMYFUNCTION("""COMPUTED_VALUE"""),"D86C5A665F14")</f>
        <v>D86C5A665F14</v>
      </c>
      <c r="D4979" s="21" t="str">
        <f>IFERROR(__xludf.DUMMYFUNCTION("""COMPUTED_VALUE"""),"DIGITEC TECNOLOGIA DIGITAL E REPRES")</f>
        <v>DIGITEC TECNOLOGIA DIGITAL E REPRES</v>
      </c>
      <c r="E4979" s="21">
        <f>IFERROR(__xludf.DUMMYFUNCTION("""COMPUTED_VALUE"""),145359.0)</f>
        <v>145359</v>
      </c>
      <c r="F4979" s="21" t="str">
        <f>IFERROR(__xludf.DUMMYFUNCTION("""COMPUTED_VALUE"""),"INICIALIZADO")</f>
        <v>INICIALIZADO</v>
      </c>
      <c r="G4979" s="23">
        <f>IFERROR(__xludf.DUMMYFUNCTION("""COMPUTED_VALUE"""),45639.64982638889)</f>
        <v>45639.64983</v>
      </c>
      <c r="H4979" s="24" t="str">
        <f>IFERROR(VLOOKUP(B4979,material!A:D,3,0),"")</f>
        <v>3.1</v>
      </c>
    </row>
    <row r="4980" ht="11.25" customHeight="1">
      <c r="A4980" s="21" t="str">
        <f>IFERROR(__xludf.DUMMYFUNCTION("""COMPUTED_VALUE"""),"MODEM VOIP EMTA WIFI 3.1 HGJ310")</f>
        <v>MODEM VOIP EMTA WIFI 3.1 HGJ310</v>
      </c>
      <c r="B4980" s="22">
        <f>IFERROR(__xludf.DUMMYFUNCTION("""COMPUTED_VALUE"""),4.1001481E7)</f>
        <v>41001481</v>
      </c>
      <c r="C4980" s="21" t="str">
        <f>IFERROR(__xludf.DUMMYFUNCTION("""COMPUTED_VALUE"""),"D86C5A5E68FC")</f>
        <v>D86C5A5E68FC</v>
      </c>
      <c r="D4980" s="21" t="str">
        <f>IFERROR(__xludf.DUMMYFUNCTION("""COMPUTED_VALUE"""),"DIGITEC TECNOLOGIA DIGITAL E REPRES")</f>
        <v>DIGITEC TECNOLOGIA DIGITAL E REPRES</v>
      </c>
      <c r="E4980" s="21">
        <f>IFERROR(__xludf.DUMMYFUNCTION("""COMPUTED_VALUE"""),145359.0)</f>
        <v>145359</v>
      </c>
      <c r="F4980" s="21" t="str">
        <f>IFERROR(__xludf.DUMMYFUNCTION("""COMPUTED_VALUE"""),"INICIALIZADO")</f>
        <v>INICIALIZADO</v>
      </c>
      <c r="G4980" s="23">
        <f>IFERROR(__xludf.DUMMYFUNCTION("""COMPUTED_VALUE"""),45638.68789351852)</f>
        <v>45638.68789</v>
      </c>
      <c r="H4980" s="24" t="str">
        <f>IFERROR(VLOOKUP(B4980,material!A:D,3,0),"")</f>
        <v>3.1</v>
      </c>
    </row>
    <row r="4981" ht="11.25" customHeight="1">
      <c r="A4981" s="21" t="str">
        <f>IFERROR(__xludf.DUMMYFUNCTION("""COMPUTED_VALUE"""),"MODEM VOIP EMTA WIFI 3.1 HGJ310")</f>
        <v>MODEM VOIP EMTA WIFI 3.1 HGJ310</v>
      </c>
      <c r="B4981" s="22">
        <f>IFERROR(__xludf.DUMMYFUNCTION("""COMPUTED_VALUE"""),4.1001481E7)</f>
        <v>41001481</v>
      </c>
      <c r="C4981" s="21" t="str">
        <f>IFERROR(__xludf.DUMMYFUNCTION("""COMPUTED_VALUE"""),"D86C5A67117F")</f>
        <v>D86C5A67117F</v>
      </c>
      <c r="D4981" s="21" t="str">
        <f>IFERROR(__xludf.DUMMYFUNCTION("""COMPUTED_VALUE"""),"DIGITEC TECNOLOGIA DIGITAL E REPRES")</f>
        <v>DIGITEC TECNOLOGIA DIGITAL E REPRES</v>
      </c>
      <c r="E4981" s="21">
        <f>IFERROR(__xludf.DUMMYFUNCTION("""COMPUTED_VALUE"""),145359.0)</f>
        <v>145359</v>
      </c>
      <c r="F4981" s="21" t="str">
        <f>IFERROR(__xludf.DUMMYFUNCTION("""COMPUTED_VALUE"""),"INICIALIZADO")</f>
        <v>INICIALIZADO</v>
      </c>
      <c r="G4981" s="23">
        <f>IFERROR(__xludf.DUMMYFUNCTION("""COMPUTED_VALUE"""),45639.64982638889)</f>
        <v>45639.64983</v>
      </c>
      <c r="H4981" s="24" t="str">
        <f>IFERROR(VLOOKUP(B4981,material!A:D,3,0),"")</f>
        <v>3.1</v>
      </c>
    </row>
    <row r="4982" ht="11.25" customHeight="1">
      <c r="A4982" s="21" t="str">
        <f>IFERROR(__xludf.DUMMYFUNCTION("""COMPUTED_VALUE"""),"MODEM VOIP EMTA WIFI 3.1 HGJ310")</f>
        <v>MODEM VOIP EMTA WIFI 3.1 HGJ310</v>
      </c>
      <c r="B4982" s="22">
        <f>IFERROR(__xludf.DUMMYFUNCTION("""COMPUTED_VALUE"""),4.1001481E7)</f>
        <v>41001481</v>
      </c>
      <c r="C4982" s="21" t="str">
        <f>IFERROR(__xludf.DUMMYFUNCTION("""COMPUTED_VALUE"""),"D86C5A667675")</f>
        <v>D86C5A667675</v>
      </c>
      <c r="D4982" s="21" t="str">
        <f>IFERROR(__xludf.DUMMYFUNCTION("""COMPUTED_VALUE"""),"DIGITEC TECNOLOGIA DIGITAL E REPRES")</f>
        <v>DIGITEC TECNOLOGIA DIGITAL E REPRES</v>
      </c>
      <c r="E4982" s="21">
        <f>IFERROR(__xludf.DUMMYFUNCTION("""COMPUTED_VALUE"""),145359.0)</f>
        <v>145359</v>
      </c>
      <c r="F4982" s="21" t="str">
        <f>IFERROR(__xludf.DUMMYFUNCTION("""COMPUTED_VALUE"""),"INICIALIZADO")</f>
        <v>INICIALIZADO</v>
      </c>
      <c r="G4982" s="23">
        <f>IFERROR(__xludf.DUMMYFUNCTION("""COMPUTED_VALUE"""),45639.64982638889)</f>
        <v>45639.64983</v>
      </c>
      <c r="H4982" s="24" t="str">
        <f>IFERROR(VLOOKUP(B4982,material!A:D,3,0),"")</f>
        <v>3.1</v>
      </c>
    </row>
    <row r="4983" ht="11.25" customHeight="1">
      <c r="A4983" s="21" t="str">
        <f>IFERROR(__xludf.DUMMYFUNCTION("""COMPUTED_VALUE"""),"MODEM VOIP EMTA WIFI 3.1 HGJ310")</f>
        <v>MODEM VOIP EMTA WIFI 3.1 HGJ310</v>
      </c>
      <c r="B4983" s="22">
        <f>IFERROR(__xludf.DUMMYFUNCTION("""COMPUTED_VALUE"""),4.1001481E7)</f>
        <v>41001481</v>
      </c>
      <c r="C4983" s="21" t="str">
        <f>IFERROR(__xludf.DUMMYFUNCTION("""COMPUTED_VALUE"""),"D86C5A6880FF")</f>
        <v>D86C5A6880FF</v>
      </c>
      <c r="D4983" s="21" t="str">
        <f>IFERROR(__xludf.DUMMYFUNCTION("""COMPUTED_VALUE"""),"DIGITEC TECNOLOGIA DIGITAL E REPRES")</f>
        <v>DIGITEC TECNOLOGIA DIGITAL E REPRES</v>
      </c>
      <c r="E4983" s="21">
        <f>IFERROR(__xludf.DUMMYFUNCTION("""COMPUTED_VALUE"""),145359.0)</f>
        <v>145359</v>
      </c>
      <c r="F4983" s="21" t="str">
        <f>IFERROR(__xludf.DUMMYFUNCTION("""COMPUTED_VALUE"""),"INICIALIZADO")</f>
        <v>INICIALIZADO</v>
      </c>
      <c r="G4983" s="23">
        <f>IFERROR(__xludf.DUMMYFUNCTION("""COMPUTED_VALUE"""),45639.64982638889)</f>
        <v>45639.64983</v>
      </c>
      <c r="H4983" s="24" t="str">
        <f>IFERROR(VLOOKUP(B4983,material!A:D,3,0),"")</f>
        <v>3.1</v>
      </c>
    </row>
    <row r="4984" ht="11.25" customHeight="1">
      <c r="A4984" s="21" t="str">
        <f>IFERROR(__xludf.DUMMYFUNCTION("""COMPUTED_VALUE"""),"MODEM VOIP EMTA WIFI 3.1 HGJ310")</f>
        <v>MODEM VOIP EMTA WIFI 3.1 HGJ310</v>
      </c>
      <c r="B4984" s="22">
        <f>IFERROR(__xludf.DUMMYFUNCTION("""COMPUTED_VALUE"""),4.1001481E7)</f>
        <v>41001481</v>
      </c>
      <c r="C4984" s="21" t="str">
        <f>IFERROR(__xludf.DUMMYFUNCTION("""COMPUTED_VALUE"""),"D86C5A40A406")</f>
        <v>D86C5A40A406</v>
      </c>
      <c r="D4984" s="21" t="str">
        <f>IFERROR(__xludf.DUMMYFUNCTION("""COMPUTED_VALUE"""),"DIGITEC TECNOLOGIA DIGITAL E REPRES")</f>
        <v>DIGITEC TECNOLOGIA DIGITAL E REPRES</v>
      </c>
      <c r="E4984" s="21">
        <f>IFERROR(__xludf.DUMMYFUNCTION("""COMPUTED_VALUE"""),145359.0)</f>
        <v>145359</v>
      </c>
      <c r="F4984" s="21" t="str">
        <f>IFERROR(__xludf.DUMMYFUNCTION("""COMPUTED_VALUE"""),"INICIALIZADO")</f>
        <v>INICIALIZADO</v>
      </c>
      <c r="G4984" s="23">
        <f>IFERROR(__xludf.DUMMYFUNCTION("""COMPUTED_VALUE"""),45639.64982638889)</f>
        <v>45639.64983</v>
      </c>
      <c r="H4984" s="24" t="str">
        <f>IFERROR(VLOOKUP(B4984,material!A:D,3,0),"")</f>
        <v>3.1</v>
      </c>
    </row>
    <row r="4985" ht="11.25" customHeight="1">
      <c r="A4985" s="21" t="str">
        <f>IFERROR(__xludf.DUMMYFUNCTION("""COMPUTED_VALUE"""),"MODEM VOIP EMTA WIFI 3.1 HGJ310")</f>
        <v>MODEM VOIP EMTA WIFI 3.1 HGJ310</v>
      </c>
      <c r="B4985" s="22">
        <f>IFERROR(__xludf.DUMMYFUNCTION("""COMPUTED_VALUE"""),4.1001481E7)</f>
        <v>41001481</v>
      </c>
      <c r="C4985" s="21" t="str">
        <f>IFERROR(__xludf.DUMMYFUNCTION("""COMPUTED_VALUE"""),"C85D3870EBEE")</f>
        <v>C85D3870EBEE</v>
      </c>
      <c r="D4985" s="21" t="str">
        <f>IFERROR(__xludf.DUMMYFUNCTION("""COMPUTED_VALUE"""),"DIGITEC TECNOLOGIA DIGITAL E REPRES")</f>
        <v>DIGITEC TECNOLOGIA DIGITAL E REPRES</v>
      </c>
      <c r="E4985" s="21">
        <f>IFERROR(__xludf.DUMMYFUNCTION("""COMPUTED_VALUE"""),145359.0)</f>
        <v>145359</v>
      </c>
      <c r="F4985" s="21" t="str">
        <f>IFERROR(__xludf.DUMMYFUNCTION("""COMPUTED_VALUE"""),"INICIALIZADO")</f>
        <v>INICIALIZADO</v>
      </c>
      <c r="G4985" s="23">
        <f>IFERROR(__xludf.DUMMYFUNCTION("""COMPUTED_VALUE"""),45638.68789351852)</f>
        <v>45638.68789</v>
      </c>
      <c r="H4985" s="24" t="str">
        <f>IFERROR(VLOOKUP(B4985,material!A:D,3,0),"")</f>
        <v>3.1</v>
      </c>
    </row>
    <row r="4986" ht="11.25" customHeight="1">
      <c r="A4986" s="21" t="str">
        <f>IFERROR(__xludf.DUMMYFUNCTION("""COMPUTED_VALUE"""),"MODEM VOIP EMTA WIFI 3.1 HGJ310")</f>
        <v>MODEM VOIP EMTA WIFI 3.1 HGJ310</v>
      </c>
      <c r="B4986" s="22">
        <f>IFERROR(__xludf.DUMMYFUNCTION("""COMPUTED_VALUE"""),4.1001481E7)</f>
        <v>41001481</v>
      </c>
      <c r="C4986" s="21" t="str">
        <f>IFERROR(__xludf.DUMMYFUNCTION("""COMPUTED_VALUE"""),"C85D380568EE")</f>
        <v>C85D380568EE</v>
      </c>
      <c r="D4986" s="21" t="str">
        <f>IFERROR(__xludf.DUMMYFUNCTION("""COMPUTED_VALUE"""),"DIGITEC TECNOLOGIA DIGITAL E REPRES")</f>
        <v>DIGITEC TECNOLOGIA DIGITAL E REPRES</v>
      </c>
      <c r="E4986" s="21">
        <f>IFERROR(__xludf.DUMMYFUNCTION("""COMPUTED_VALUE"""),145359.0)</f>
        <v>145359</v>
      </c>
      <c r="F4986" s="21" t="str">
        <f>IFERROR(__xludf.DUMMYFUNCTION("""COMPUTED_VALUE"""),"INICIALIZADO")</f>
        <v>INICIALIZADO</v>
      </c>
      <c r="G4986" s="23">
        <f>IFERROR(__xludf.DUMMYFUNCTION("""COMPUTED_VALUE"""),45639.64980324074)</f>
        <v>45639.6498</v>
      </c>
      <c r="H4986" s="24" t="str">
        <f>IFERROR(VLOOKUP(B4986,material!A:D,3,0),"")</f>
        <v>3.1</v>
      </c>
    </row>
    <row r="4987" ht="11.25" customHeight="1">
      <c r="A4987" s="21" t="str">
        <f>IFERROR(__xludf.DUMMYFUNCTION("""COMPUTED_VALUE"""),"MODEM VOIP EMTA WIFI 3.1 HGJ310")</f>
        <v>MODEM VOIP EMTA WIFI 3.1 HGJ310</v>
      </c>
      <c r="B4987" s="22">
        <f>IFERROR(__xludf.DUMMYFUNCTION("""COMPUTED_VALUE"""),4.1001481E7)</f>
        <v>41001481</v>
      </c>
      <c r="C4987" s="21" t="str">
        <f>IFERROR(__xludf.DUMMYFUNCTION("""COMPUTED_VALUE"""),"C85D386CE9CD")</f>
        <v>C85D386CE9CD</v>
      </c>
      <c r="D4987" s="21" t="str">
        <f>IFERROR(__xludf.DUMMYFUNCTION("""COMPUTED_VALUE"""),"DIGITEC TECNOLOGIA DIGITAL E REPRES")</f>
        <v>DIGITEC TECNOLOGIA DIGITAL E REPRES</v>
      </c>
      <c r="E4987" s="21">
        <f>IFERROR(__xludf.DUMMYFUNCTION("""COMPUTED_VALUE"""),145359.0)</f>
        <v>145359</v>
      </c>
      <c r="F4987" s="21" t="str">
        <f>IFERROR(__xludf.DUMMYFUNCTION("""COMPUTED_VALUE"""),"INICIALIZADO")</f>
        <v>INICIALIZADO</v>
      </c>
      <c r="G4987" s="23">
        <f>IFERROR(__xludf.DUMMYFUNCTION("""COMPUTED_VALUE"""),45639.64979166667)</f>
        <v>45639.64979</v>
      </c>
      <c r="H4987" s="24" t="str">
        <f>IFERROR(VLOOKUP(B4987,material!A:D,3,0),"")</f>
        <v>3.1</v>
      </c>
    </row>
    <row r="4988" ht="11.25" customHeight="1">
      <c r="A4988" s="21" t="str">
        <f>IFERROR(__xludf.DUMMYFUNCTION("""COMPUTED_VALUE"""),"MODEM VOIP EMTA WIFI 3.1 HGJ310")</f>
        <v>MODEM VOIP EMTA WIFI 3.1 HGJ310</v>
      </c>
      <c r="B4988" s="22">
        <f>IFERROR(__xludf.DUMMYFUNCTION("""COMPUTED_VALUE"""),4.1001481E7)</f>
        <v>41001481</v>
      </c>
      <c r="C4988" s="21" t="str">
        <f>IFERROR(__xludf.DUMMYFUNCTION("""COMPUTED_VALUE"""),"C85D386C285F")</f>
        <v>C85D386C285F</v>
      </c>
      <c r="D4988" s="21" t="str">
        <f>IFERROR(__xludf.DUMMYFUNCTION("""COMPUTED_VALUE"""),"DIGITEC TECNOLOGIA DIGITAL E REPRES")</f>
        <v>DIGITEC TECNOLOGIA DIGITAL E REPRES</v>
      </c>
      <c r="E4988" s="21">
        <f>IFERROR(__xludf.DUMMYFUNCTION("""COMPUTED_VALUE"""),145359.0)</f>
        <v>145359</v>
      </c>
      <c r="F4988" s="21" t="str">
        <f>IFERROR(__xludf.DUMMYFUNCTION("""COMPUTED_VALUE"""),"INICIALIZADO")</f>
        <v>INICIALIZADO</v>
      </c>
      <c r="G4988" s="23">
        <f>IFERROR(__xludf.DUMMYFUNCTION("""COMPUTED_VALUE"""),45639.64979166667)</f>
        <v>45639.64979</v>
      </c>
      <c r="H4988" s="24" t="str">
        <f>IFERROR(VLOOKUP(B4988,material!A:D,3,0),"")</f>
        <v>3.1</v>
      </c>
    </row>
    <row r="4989" ht="11.25" customHeight="1">
      <c r="A4989" s="21" t="str">
        <f>IFERROR(__xludf.DUMMYFUNCTION("""COMPUTED_VALUE"""),"MODEM VOIP EMTA WIFI 3.1 HGJ310")</f>
        <v>MODEM VOIP EMTA WIFI 3.1 HGJ310</v>
      </c>
      <c r="B4989" s="22">
        <f>IFERROR(__xludf.DUMMYFUNCTION("""COMPUTED_VALUE"""),4.1001481E7)</f>
        <v>41001481</v>
      </c>
      <c r="C4989" s="21" t="str">
        <f>IFERROR(__xludf.DUMMYFUNCTION("""COMPUTED_VALUE"""),"C85D3804CA48")</f>
        <v>C85D3804CA48</v>
      </c>
      <c r="D4989" s="21" t="str">
        <f>IFERROR(__xludf.DUMMYFUNCTION("""COMPUTED_VALUE"""),"DIGITEC TECNOLOGIA DIGITAL E REPRES")</f>
        <v>DIGITEC TECNOLOGIA DIGITAL E REPRES</v>
      </c>
      <c r="E4989" s="21">
        <f>IFERROR(__xludf.DUMMYFUNCTION("""COMPUTED_VALUE"""),145359.0)</f>
        <v>145359</v>
      </c>
      <c r="F4989" s="21" t="str">
        <f>IFERROR(__xludf.DUMMYFUNCTION("""COMPUTED_VALUE"""),"INICIALIZADO")</f>
        <v>INICIALIZADO</v>
      </c>
      <c r="G4989" s="23">
        <f>IFERROR(__xludf.DUMMYFUNCTION("""COMPUTED_VALUE"""),45639.64980324074)</f>
        <v>45639.6498</v>
      </c>
      <c r="H4989" s="24" t="str">
        <f>IFERROR(VLOOKUP(B4989,material!A:D,3,0),"")</f>
        <v>3.1</v>
      </c>
    </row>
    <row r="4990" ht="11.25" customHeight="1">
      <c r="A4990" s="21" t="str">
        <f>IFERROR(__xludf.DUMMYFUNCTION("""COMPUTED_VALUE"""),"MODEM VOIP EMTA WIFI 3.1 HGJ310")</f>
        <v>MODEM VOIP EMTA WIFI 3.1 HGJ310</v>
      </c>
      <c r="B4990" s="22">
        <f>IFERROR(__xludf.DUMMYFUNCTION("""COMPUTED_VALUE"""),4.1001481E7)</f>
        <v>41001481</v>
      </c>
      <c r="C4990" s="21" t="str">
        <f>IFERROR(__xludf.DUMMYFUNCTION("""COMPUTED_VALUE"""),"C85D3885241A")</f>
        <v>C85D3885241A</v>
      </c>
      <c r="D4990" s="21" t="str">
        <f>IFERROR(__xludf.DUMMYFUNCTION("""COMPUTED_VALUE"""),"DIGITEC TECNOLOGIA DIGITAL E REPRES")</f>
        <v>DIGITEC TECNOLOGIA DIGITAL E REPRES</v>
      </c>
      <c r="E4990" s="21">
        <f>IFERROR(__xludf.DUMMYFUNCTION("""COMPUTED_VALUE"""),145359.0)</f>
        <v>145359</v>
      </c>
      <c r="F4990" s="21" t="str">
        <f>IFERROR(__xludf.DUMMYFUNCTION("""COMPUTED_VALUE"""),"INICIALIZADO")</f>
        <v>INICIALIZADO</v>
      </c>
      <c r="G4990" s="23">
        <f>IFERROR(__xludf.DUMMYFUNCTION("""COMPUTED_VALUE"""),45639.64983796296)</f>
        <v>45639.64984</v>
      </c>
      <c r="H4990" s="24" t="str">
        <f>IFERROR(VLOOKUP(B4990,material!A:D,3,0),"")</f>
        <v>3.1</v>
      </c>
    </row>
    <row r="4991" ht="11.25" customHeight="1">
      <c r="A4991" s="21" t="str">
        <f>IFERROR(__xludf.DUMMYFUNCTION("""COMPUTED_VALUE"""),"MODEM VOIP EMTA WIFI 3.1 HGJ310")</f>
        <v>MODEM VOIP EMTA WIFI 3.1 HGJ310</v>
      </c>
      <c r="B4991" s="22">
        <f>IFERROR(__xludf.DUMMYFUNCTION("""COMPUTED_VALUE"""),4.1001481E7)</f>
        <v>41001481</v>
      </c>
      <c r="C4991" s="21" t="str">
        <f>IFERROR(__xludf.DUMMYFUNCTION("""COMPUTED_VALUE"""),"C85D3882EC1E")</f>
        <v>C85D3882EC1E</v>
      </c>
      <c r="D4991" s="21" t="str">
        <f>IFERROR(__xludf.DUMMYFUNCTION("""COMPUTED_VALUE"""),"DIGITEC TECNOLOGIA DIGITAL E REPRES")</f>
        <v>DIGITEC TECNOLOGIA DIGITAL E REPRES</v>
      </c>
      <c r="E4991" s="21">
        <f>IFERROR(__xludf.DUMMYFUNCTION("""COMPUTED_VALUE"""),145359.0)</f>
        <v>145359</v>
      </c>
      <c r="F4991" s="21" t="str">
        <f>IFERROR(__xludf.DUMMYFUNCTION("""COMPUTED_VALUE"""),"INICIALIZADO")</f>
        <v>INICIALIZADO</v>
      </c>
      <c r="G4991" s="23">
        <f>IFERROR(__xludf.DUMMYFUNCTION("""COMPUTED_VALUE"""),45639.64983796296)</f>
        <v>45639.64984</v>
      </c>
      <c r="H4991" s="24" t="str">
        <f>IFERROR(VLOOKUP(B4991,material!A:D,3,0),"")</f>
        <v>3.1</v>
      </c>
    </row>
    <row r="4992" ht="11.25" customHeight="1">
      <c r="A4992" s="21" t="str">
        <f>IFERROR(__xludf.DUMMYFUNCTION("""COMPUTED_VALUE"""),"MODEM VOIP EMTA WIFI 3.1 HGJ310")</f>
        <v>MODEM VOIP EMTA WIFI 3.1 HGJ310</v>
      </c>
      <c r="B4992" s="22">
        <f>IFERROR(__xludf.DUMMYFUNCTION("""COMPUTED_VALUE"""),4.1001481E7)</f>
        <v>41001481</v>
      </c>
      <c r="C4992" s="21" t="str">
        <f>IFERROR(__xludf.DUMMYFUNCTION("""COMPUTED_VALUE"""),"C85D38729693")</f>
        <v>C85D38729693</v>
      </c>
      <c r="D4992" s="21" t="str">
        <f>IFERROR(__xludf.DUMMYFUNCTION("""COMPUTED_VALUE"""),"DIGITEC TECNOLOGIA DIGITAL E REPRES")</f>
        <v>DIGITEC TECNOLOGIA DIGITAL E REPRES</v>
      </c>
      <c r="E4992" s="21">
        <f>IFERROR(__xludf.DUMMYFUNCTION("""COMPUTED_VALUE"""),145359.0)</f>
        <v>145359</v>
      </c>
      <c r="F4992" s="21" t="str">
        <f>IFERROR(__xludf.DUMMYFUNCTION("""COMPUTED_VALUE"""),"INICIALIZADO")</f>
        <v>INICIALIZADO</v>
      </c>
      <c r="G4992" s="23">
        <f>IFERROR(__xludf.DUMMYFUNCTION("""COMPUTED_VALUE"""),45639.64979166667)</f>
        <v>45639.64979</v>
      </c>
      <c r="H4992" s="24" t="str">
        <f>IFERROR(VLOOKUP(B4992,material!A:D,3,0),"")</f>
        <v>3.1</v>
      </c>
    </row>
    <row r="4993" ht="11.25" customHeight="1">
      <c r="A4993" s="21" t="str">
        <f>IFERROR(__xludf.DUMMYFUNCTION("""COMPUTED_VALUE"""),"MODEM VOIP EMTA WIFI 3.1 HGJ310")</f>
        <v>MODEM VOIP EMTA WIFI 3.1 HGJ310</v>
      </c>
      <c r="B4993" s="22">
        <f>IFERROR(__xludf.DUMMYFUNCTION("""COMPUTED_VALUE"""),4.1001481E7)</f>
        <v>41001481</v>
      </c>
      <c r="C4993" s="21" t="str">
        <f>IFERROR(__xludf.DUMMYFUNCTION("""COMPUTED_VALUE"""),"C85D38738A35")</f>
        <v>C85D38738A35</v>
      </c>
      <c r="D4993" s="21" t="str">
        <f>IFERROR(__xludf.DUMMYFUNCTION("""COMPUTED_VALUE"""),"DIGITEC TECNOLOGIA DIGITAL E REPRES")</f>
        <v>DIGITEC TECNOLOGIA DIGITAL E REPRES</v>
      </c>
      <c r="E4993" s="21">
        <f>IFERROR(__xludf.DUMMYFUNCTION("""COMPUTED_VALUE"""),145359.0)</f>
        <v>145359</v>
      </c>
      <c r="F4993" s="21" t="str">
        <f>IFERROR(__xludf.DUMMYFUNCTION("""COMPUTED_VALUE"""),"INICIALIZADO")</f>
        <v>INICIALIZADO</v>
      </c>
      <c r="G4993" s="23">
        <f>IFERROR(__xludf.DUMMYFUNCTION("""COMPUTED_VALUE"""),45639.64979166667)</f>
        <v>45639.64979</v>
      </c>
      <c r="H4993" s="24" t="str">
        <f>IFERROR(VLOOKUP(B4993,material!A:D,3,0),"")</f>
        <v>3.1</v>
      </c>
    </row>
    <row r="4994" ht="11.25" customHeight="1">
      <c r="A4994" s="21" t="str">
        <f>IFERROR(__xludf.DUMMYFUNCTION("""COMPUTED_VALUE"""),"MODEM VOIP EMTA WIFI 3.1 HGJ310")</f>
        <v>MODEM VOIP EMTA WIFI 3.1 HGJ310</v>
      </c>
      <c r="B4994" s="22">
        <f>IFERROR(__xludf.DUMMYFUNCTION("""COMPUTED_VALUE"""),4.1001481E7)</f>
        <v>41001481</v>
      </c>
      <c r="C4994" s="21" t="str">
        <f>IFERROR(__xludf.DUMMYFUNCTION("""COMPUTED_VALUE"""),"C85D3871DF27")</f>
        <v>C85D3871DF27</v>
      </c>
      <c r="D4994" s="21" t="str">
        <f>IFERROR(__xludf.DUMMYFUNCTION("""COMPUTED_VALUE"""),"DIGITEC TECNOLOGIA DIGITAL E REPRES")</f>
        <v>DIGITEC TECNOLOGIA DIGITAL E REPRES</v>
      </c>
      <c r="E4994" s="21">
        <f>IFERROR(__xludf.DUMMYFUNCTION("""COMPUTED_VALUE"""),145359.0)</f>
        <v>145359</v>
      </c>
      <c r="F4994" s="21" t="str">
        <f>IFERROR(__xludf.DUMMYFUNCTION("""COMPUTED_VALUE"""),"INICIALIZADO")</f>
        <v>INICIALIZADO</v>
      </c>
      <c r="G4994" s="23">
        <f>IFERROR(__xludf.DUMMYFUNCTION("""COMPUTED_VALUE"""),45639.64979166667)</f>
        <v>45639.64979</v>
      </c>
      <c r="H4994" s="24" t="str">
        <f>IFERROR(VLOOKUP(B4994,material!A:D,3,0),"")</f>
        <v>3.1</v>
      </c>
    </row>
    <row r="4995" ht="11.25" customHeight="1">
      <c r="A4995" s="21" t="str">
        <f>IFERROR(__xludf.DUMMYFUNCTION("""COMPUTED_VALUE"""),"MODEM VOIP EMTA WIFI 3.1 HGJ310")</f>
        <v>MODEM VOIP EMTA WIFI 3.1 HGJ310</v>
      </c>
      <c r="B4995" s="22">
        <f>IFERROR(__xludf.DUMMYFUNCTION("""COMPUTED_VALUE"""),4.1001481E7)</f>
        <v>41001481</v>
      </c>
      <c r="C4995" s="21" t="str">
        <f>IFERROR(__xludf.DUMMYFUNCTION("""COMPUTED_VALUE"""),"C85D3875F0C9")</f>
        <v>C85D3875F0C9</v>
      </c>
      <c r="D4995" s="21" t="str">
        <f>IFERROR(__xludf.DUMMYFUNCTION("""COMPUTED_VALUE"""),"DIGITEC TECNOLOGIA DIGITAL E REPRES")</f>
        <v>DIGITEC TECNOLOGIA DIGITAL E REPRES</v>
      </c>
      <c r="E4995" s="21">
        <f>IFERROR(__xludf.DUMMYFUNCTION("""COMPUTED_VALUE"""),145359.0)</f>
        <v>145359</v>
      </c>
      <c r="F4995" s="21" t="str">
        <f>IFERROR(__xludf.DUMMYFUNCTION("""COMPUTED_VALUE"""),"INICIALIZADO")</f>
        <v>INICIALIZADO</v>
      </c>
      <c r="G4995" s="23">
        <f>IFERROR(__xludf.DUMMYFUNCTION("""COMPUTED_VALUE"""),45639.64983796296)</f>
        <v>45639.64984</v>
      </c>
      <c r="H4995" s="24" t="str">
        <f>IFERROR(VLOOKUP(B4995,material!A:D,3,0),"")</f>
        <v>3.1</v>
      </c>
    </row>
    <row r="4996" ht="11.25" customHeight="1">
      <c r="A4996" s="21" t="str">
        <f>IFERROR(__xludf.DUMMYFUNCTION("""COMPUTED_VALUE"""),"MODEM VOIP EMTA WIFI 3.1 HGJ310")</f>
        <v>MODEM VOIP EMTA WIFI 3.1 HGJ310</v>
      </c>
      <c r="B4996" s="22">
        <f>IFERROR(__xludf.DUMMYFUNCTION("""COMPUTED_VALUE"""),4.1001481E7)</f>
        <v>41001481</v>
      </c>
      <c r="C4996" s="21" t="str">
        <f>IFERROR(__xludf.DUMMYFUNCTION("""COMPUTED_VALUE"""),"C85D387351C5")</f>
        <v>C85D387351C5</v>
      </c>
      <c r="D4996" s="21" t="str">
        <f>IFERROR(__xludf.DUMMYFUNCTION("""COMPUTED_VALUE"""),"DIGITEC TECNOLOGIA DIGITAL E REPRES")</f>
        <v>DIGITEC TECNOLOGIA DIGITAL E REPRES</v>
      </c>
      <c r="E4996" s="21">
        <f>IFERROR(__xludf.DUMMYFUNCTION("""COMPUTED_VALUE"""),145359.0)</f>
        <v>145359</v>
      </c>
      <c r="F4996" s="21" t="str">
        <f>IFERROR(__xludf.DUMMYFUNCTION("""COMPUTED_VALUE"""),"INICIALIZADO")</f>
        <v>INICIALIZADO</v>
      </c>
      <c r="G4996" s="23">
        <f>IFERROR(__xludf.DUMMYFUNCTION("""COMPUTED_VALUE"""),45639.64979166667)</f>
        <v>45639.64979</v>
      </c>
      <c r="H4996" s="24" t="str">
        <f>IFERROR(VLOOKUP(B4996,material!A:D,3,0),"")</f>
        <v>3.1</v>
      </c>
    </row>
    <row r="4997" ht="11.25" customHeight="1">
      <c r="A4997" s="21" t="str">
        <f>IFERROR(__xludf.DUMMYFUNCTION("""COMPUTED_VALUE"""),"MODEM VOIP EMTA WIFI 3.1 HGJ310")</f>
        <v>MODEM VOIP EMTA WIFI 3.1 HGJ310</v>
      </c>
      <c r="B4997" s="22">
        <f>IFERROR(__xludf.DUMMYFUNCTION("""COMPUTED_VALUE"""),4.1001481E7)</f>
        <v>41001481</v>
      </c>
      <c r="C4997" s="21" t="str">
        <f>IFERROR(__xludf.DUMMYFUNCTION("""COMPUTED_VALUE"""),"C85D387538CA")</f>
        <v>C85D387538CA</v>
      </c>
      <c r="D4997" s="21" t="str">
        <f>IFERROR(__xludf.DUMMYFUNCTION("""COMPUTED_VALUE"""),"DIGITEC TECNOLOGIA DIGITAL E REPRES")</f>
        <v>DIGITEC TECNOLOGIA DIGITAL E REPRES</v>
      </c>
      <c r="E4997" s="21">
        <f>IFERROR(__xludf.DUMMYFUNCTION("""COMPUTED_VALUE"""),145359.0)</f>
        <v>145359</v>
      </c>
      <c r="F4997" s="21" t="str">
        <f>IFERROR(__xludf.DUMMYFUNCTION("""COMPUTED_VALUE"""),"INICIALIZADO")</f>
        <v>INICIALIZADO</v>
      </c>
      <c r="G4997" s="23">
        <f>IFERROR(__xludf.DUMMYFUNCTION("""COMPUTED_VALUE"""),45639.64983796296)</f>
        <v>45639.64984</v>
      </c>
      <c r="H4997" s="24" t="str">
        <f>IFERROR(VLOOKUP(B4997,material!A:D,3,0),"")</f>
        <v>3.1</v>
      </c>
    </row>
    <row r="4998" ht="11.25" customHeight="1">
      <c r="A4998" s="21" t="str">
        <f>IFERROR(__xludf.DUMMYFUNCTION("""COMPUTED_VALUE"""),"MODEM VOIP EMTA WIFI 3.1 HGJ310")</f>
        <v>MODEM VOIP EMTA WIFI 3.1 HGJ310</v>
      </c>
      <c r="B4998" s="22">
        <f>IFERROR(__xludf.DUMMYFUNCTION("""COMPUTED_VALUE"""),4.1001481E7)</f>
        <v>41001481</v>
      </c>
      <c r="C4998" s="21" t="str">
        <f>IFERROR(__xludf.DUMMYFUNCTION("""COMPUTED_VALUE"""),"8C444FC15642")</f>
        <v>8C444FC15642</v>
      </c>
      <c r="D4998" s="21" t="str">
        <f>IFERROR(__xludf.DUMMYFUNCTION("""COMPUTED_VALUE"""),"DIGITEC TECNOLOGIA DIGITAL E REPRES")</f>
        <v>DIGITEC TECNOLOGIA DIGITAL E REPRES</v>
      </c>
      <c r="E4998" s="21">
        <f>IFERROR(__xludf.DUMMYFUNCTION("""COMPUTED_VALUE"""),145359.0)</f>
        <v>145359</v>
      </c>
      <c r="F4998" s="21" t="str">
        <f>IFERROR(__xludf.DUMMYFUNCTION("""COMPUTED_VALUE"""),"INICIALIZADO")</f>
        <v>INICIALIZADO</v>
      </c>
      <c r="G4998" s="23">
        <f>IFERROR(__xludf.DUMMYFUNCTION("""COMPUTED_VALUE"""),45639.64980324074)</f>
        <v>45639.6498</v>
      </c>
      <c r="H4998" s="24" t="str">
        <f>IFERROR(VLOOKUP(B4998,material!A:D,3,0),"")</f>
        <v>3.1</v>
      </c>
    </row>
    <row r="4999" ht="11.25" customHeight="1">
      <c r="A4999" s="21" t="str">
        <f>IFERROR(__xludf.DUMMYFUNCTION("""COMPUTED_VALUE"""),"MODEM VOIP EMTA WIFI 3.1 HGJ310")</f>
        <v>MODEM VOIP EMTA WIFI 3.1 HGJ310</v>
      </c>
      <c r="B4999" s="22">
        <f>IFERROR(__xludf.DUMMYFUNCTION("""COMPUTED_VALUE"""),4.1001481E7)</f>
        <v>41001481</v>
      </c>
      <c r="C4999" s="21" t="str">
        <f>IFERROR(__xludf.DUMMYFUNCTION("""COMPUTED_VALUE"""),"8C444FEA971E")</f>
        <v>8C444FEA971E</v>
      </c>
      <c r="D4999" s="21" t="str">
        <f>IFERROR(__xludf.DUMMYFUNCTION("""COMPUTED_VALUE"""),"DIGITEC TECNOLOGIA DIGITAL E REPRES")</f>
        <v>DIGITEC TECNOLOGIA DIGITAL E REPRES</v>
      </c>
      <c r="E4999" s="21">
        <f>IFERROR(__xludf.DUMMYFUNCTION("""COMPUTED_VALUE"""),145359.0)</f>
        <v>145359</v>
      </c>
      <c r="F4999" s="21" t="str">
        <f>IFERROR(__xludf.DUMMYFUNCTION("""COMPUTED_VALUE"""),"INICIALIZADO")</f>
        <v>INICIALIZADO</v>
      </c>
      <c r="G4999" s="23">
        <f>IFERROR(__xludf.DUMMYFUNCTION("""COMPUTED_VALUE"""),45639.64979166667)</f>
        <v>45639.64979</v>
      </c>
      <c r="H4999" s="24" t="str">
        <f>IFERROR(VLOOKUP(B4999,material!A:D,3,0),"")</f>
        <v>3.1</v>
      </c>
    </row>
    <row r="5000" ht="11.25" customHeight="1">
      <c r="A5000" s="21" t="str">
        <f>IFERROR(__xludf.DUMMYFUNCTION("""COMPUTED_VALUE"""),"MODEM VOIP EMTA WIFI 3.1 HGJ310")</f>
        <v>MODEM VOIP EMTA WIFI 3.1 HGJ310</v>
      </c>
      <c r="B5000" s="22">
        <f>IFERROR(__xludf.DUMMYFUNCTION("""COMPUTED_VALUE"""),4.1001481E7)</f>
        <v>41001481</v>
      </c>
      <c r="C5000" s="21" t="str">
        <f>IFERROR(__xludf.DUMMYFUNCTION("""COMPUTED_VALUE"""),"C85D380400D0")</f>
        <v>C85D380400D0</v>
      </c>
      <c r="D5000" s="21" t="str">
        <f>IFERROR(__xludf.DUMMYFUNCTION("""COMPUTED_VALUE"""),"DIGITEC TECNOLOGIA DIGITAL E REPRES")</f>
        <v>DIGITEC TECNOLOGIA DIGITAL E REPRES</v>
      </c>
      <c r="E5000" s="21">
        <f>IFERROR(__xludf.DUMMYFUNCTION("""COMPUTED_VALUE"""),145359.0)</f>
        <v>145359</v>
      </c>
      <c r="F5000" s="21" t="str">
        <f>IFERROR(__xludf.DUMMYFUNCTION("""COMPUTED_VALUE"""),"INICIALIZADO")</f>
        <v>INICIALIZADO</v>
      </c>
      <c r="G5000" s="23">
        <f>IFERROR(__xludf.DUMMYFUNCTION("""COMPUTED_VALUE"""),45639.64980324074)</f>
        <v>45639.6498</v>
      </c>
      <c r="H5000" s="24" t="str">
        <f>IFERROR(VLOOKUP(B5000,material!A:D,3,0),"")</f>
        <v>3.1</v>
      </c>
    </row>
    <row r="5001" ht="11.25" customHeight="1">
      <c r="A5001" s="21" t="str">
        <f>IFERROR(__xludf.DUMMYFUNCTION("""COMPUTED_VALUE"""),"MODEM VOIP EMTA WIFI 3.1 HGJ310")</f>
        <v>MODEM VOIP EMTA WIFI 3.1 HGJ310</v>
      </c>
      <c r="B5001" s="22">
        <f>IFERROR(__xludf.DUMMYFUNCTION("""COMPUTED_VALUE"""),4.1001481E7)</f>
        <v>41001481</v>
      </c>
      <c r="C5001" s="21" t="str">
        <f>IFERROR(__xludf.DUMMYFUNCTION("""COMPUTED_VALUE"""),"C85D3879EA0E")</f>
        <v>C85D3879EA0E</v>
      </c>
      <c r="D5001" s="21" t="str">
        <f>IFERROR(__xludf.DUMMYFUNCTION("""COMPUTED_VALUE"""),"DIGITEC TECNOLOGIA DIGITAL E REPRES")</f>
        <v>DIGITEC TECNOLOGIA DIGITAL E REPRES</v>
      </c>
      <c r="E5001" s="21">
        <f>IFERROR(__xludf.DUMMYFUNCTION("""COMPUTED_VALUE"""),145359.0)</f>
        <v>145359</v>
      </c>
      <c r="F5001" s="21" t="str">
        <f>IFERROR(__xludf.DUMMYFUNCTION("""COMPUTED_VALUE"""),"INICIALIZADO")</f>
        <v>INICIALIZADO</v>
      </c>
      <c r="G5001" s="23">
        <f>IFERROR(__xludf.DUMMYFUNCTION("""COMPUTED_VALUE"""),45639.64983796296)</f>
        <v>45639.64984</v>
      </c>
      <c r="H5001" s="24" t="str">
        <f>IFERROR(VLOOKUP(B5001,material!A:D,3,0),"")</f>
        <v>3.1</v>
      </c>
    </row>
    <row r="5002" ht="11.25" customHeight="1">
      <c r="A5002" s="21" t="str">
        <f>IFERROR(__xludf.DUMMYFUNCTION("""COMPUTED_VALUE"""),"MODEM VOIP EMTA WIFI 3.1 HGJ310")</f>
        <v>MODEM VOIP EMTA WIFI 3.1 HGJ310</v>
      </c>
      <c r="B5002" s="22">
        <f>IFERROR(__xludf.DUMMYFUNCTION("""COMPUTED_VALUE"""),4.1001481E7)</f>
        <v>41001481</v>
      </c>
      <c r="C5002" s="21" t="str">
        <f>IFERROR(__xludf.DUMMYFUNCTION("""COMPUTED_VALUE"""),"C85D380335F3")</f>
        <v>C85D380335F3</v>
      </c>
      <c r="D5002" s="21" t="str">
        <f>IFERROR(__xludf.DUMMYFUNCTION("""COMPUTED_VALUE"""),"DIGITEC TECNOLOGIA DIGITAL E REPRES")</f>
        <v>DIGITEC TECNOLOGIA DIGITAL E REPRES</v>
      </c>
      <c r="E5002" s="21">
        <f>IFERROR(__xludf.DUMMYFUNCTION("""COMPUTED_VALUE"""),145359.0)</f>
        <v>145359</v>
      </c>
      <c r="F5002" s="21" t="str">
        <f>IFERROR(__xludf.DUMMYFUNCTION("""COMPUTED_VALUE"""),"INICIALIZADO")</f>
        <v>INICIALIZADO</v>
      </c>
      <c r="G5002" s="23">
        <f>IFERROR(__xludf.DUMMYFUNCTION("""COMPUTED_VALUE"""),45639.64980324074)</f>
        <v>45639.6498</v>
      </c>
      <c r="H5002" s="24" t="str">
        <f>IFERROR(VLOOKUP(B5002,material!A:D,3,0),"")</f>
        <v>3.1</v>
      </c>
    </row>
    <row r="5003" ht="11.25" customHeight="1">
      <c r="A5003" s="21" t="str">
        <f>IFERROR(__xludf.DUMMYFUNCTION("""COMPUTED_VALUE"""),"MODEM VOIP EMTA WIFI 3.1 HGJ310")</f>
        <v>MODEM VOIP EMTA WIFI 3.1 HGJ310</v>
      </c>
      <c r="B5003" s="22">
        <f>IFERROR(__xludf.DUMMYFUNCTION("""COMPUTED_VALUE"""),4.1001481E7)</f>
        <v>41001481</v>
      </c>
      <c r="C5003" s="21" t="str">
        <f>IFERROR(__xludf.DUMMYFUNCTION("""COMPUTED_VALUE"""),"C85D3805B412")</f>
        <v>C85D3805B412</v>
      </c>
      <c r="D5003" s="21" t="str">
        <f>IFERROR(__xludf.DUMMYFUNCTION("""COMPUTED_VALUE"""),"DIGITEC TECNOLOGIA DIGITAL E REPRES")</f>
        <v>DIGITEC TECNOLOGIA DIGITAL E REPRES</v>
      </c>
      <c r="E5003" s="21">
        <f>IFERROR(__xludf.DUMMYFUNCTION("""COMPUTED_VALUE"""),145359.0)</f>
        <v>145359</v>
      </c>
      <c r="F5003" s="21" t="str">
        <f>IFERROR(__xludf.DUMMYFUNCTION("""COMPUTED_VALUE"""),"INICIALIZADO")</f>
        <v>INICIALIZADO</v>
      </c>
      <c r="G5003" s="23">
        <f>IFERROR(__xludf.DUMMYFUNCTION("""COMPUTED_VALUE"""),45639.64980324074)</f>
        <v>45639.6498</v>
      </c>
      <c r="H5003" s="24" t="str">
        <f>IFERROR(VLOOKUP(B5003,material!A:D,3,0),"")</f>
        <v>3.1</v>
      </c>
    </row>
    <row r="5004" ht="11.25" customHeight="1">
      <c r="A5004" s="21" t="str">
        <f>IFERROR(__xludf.DUMMYFUNCTION("""COMPUTED_VALUE"""),"MODEM VOIP EMTA WIFI 3.1 HGJ310")</f>
        <v>MODEM VOIP EMTA WIFI 3.1 HGJ310</v>
      </c>
      <c r="B5004" s="22">
        <f>IFERROR(__xludf.DUMMYFUNCTION("""COMPUTED_VALUE"""),4.1001481E7)</f>
        <v>41001481</v>
      </c>
      <c r="C5004" s="21" t="str">
        <f>IFERROR(__xludf.DUMMYFUNCTION("""COMPUTED_VALUE"""),"C85D3803D541")</f>
        <v>C85D3803D541</v>
      </c>
      <c r="D5004" s="21" t="str">
        <f>IFERROR(__xludf.DUMMYFUNCTION("""COMPUTED_VALUE"""),"DIGITEC TECNOLOGIA DIGITAL E REPRES")</f>
        <v>DIGITEC TECNOLOGIA DIGITAL E REPRES</v>
      </c>
      <c r="E5004" s="21">
        <f>IFERROR(__xludf.DUMMYFUNCTION("""COMPUTED_VALUE"""),145359.0)</f>
        <v>145359</v>
      </c>
      <c r="F5004" s="21" t="str">
        <f>IFERROR(__xludf.DUMMYFUNCTION("""COMPUTED_VALUE"""),"INICIALIZADO")</f>
        <v>INICIALIZADO</v>
      </c>
      <c r="G5004" s="23">
        <f>IFERROR(__xludf.DUMMYFUNCTION("""COMPUTED_VALUE"""),45639.64980324074)</f>
        <v>45639.6498</v>
      </c>
      <c r="H5004" s="24" t="str">
        <f>IFERROR(VLOOKUP(B5004,material!A:D,3,0),"")</f>
        <v>3.1</v>
      </c>
    </row>
    <row r="5005" ht="11.25" customHeight="1">
      <c r="A5005" s="21" t="str">
        <f>IFERROR(__xludf.DUMMYFUNCTION("""COMPUTED_VALUE"""),"MODEM VOIP EMTA WIFI 3.1 HGJ310")</f>
        <v>MODEM VOIP EMTA WIFI 3.1 HGJ310</v>
      </c>
      <c r="B5005" s="22">
        <f>IFERROR(__xludf.DUMMYFUNCTION("""COMPUTED_VALUE"""),4.1001481E7)</f>
        <v>41001481</v>
      </c>
      <c r="C5005" s="21" t="str">
        <f>IFERROR(__xludf.DUMMYFUNCTION("""COMPUTED_VALUE"""),"C85D3873CC29")</f>
        <v>C85D3873CC29</v>
      </c>
      <c r="D5005" s="21" t="str">
        <f>IFERROR(__xludf.DUMMYFUNCTION("""COMPUTED_VALUE"""),"DIGITEC TECNOLOGIA DIGITAL E REPRES")</f>
        <v>DIGITEC TECNOLOGIA DIGITAL E REPRES</v>
      </c>
      <c r="E5005" s="21">
        <f>IFERROR(__xludf.DUMMYFUNCTION("""COMPUTED_VALUE"""),145359.0)</f>
        <v>145359</v>
      </c>
      <c r="F5005" s="21" t="str">
        <f>IFERROR(__xludf.DUMMYFUNCTION("""COMPUTED_VALUE"""),"INICIALIZADO")</f>
        <v>INICIALIZADO</v>
      </c>
      <c r="G5005" s="23">
        <f>IFERROR(__xludf.DUMMYFUNCTION("""COMPUTED_VALUE"""),45639.64983796296)</f>
        <v>45639.64984</v>
      </c>
      <c r="H5005" s="24" t="str">
        <f>IFERROR(VLOOKUP(B5005,material!A:D,3,0),"")</f>
        <v>3.1</v>
      </c>
    </row>
    <row r="5006" ht="11.25" customHeight="1">
      <c r="A5006" s="21" t="str">
        <f>IFERROR(__xludf.DUMMYFUNCTION("""COMPUTED_VALUE"""),"MODEM VOIP EMTA WIFI 3.1 HGJ310")</f>
        <v>MODEM VOIP EMTA WIFI 3.1 HGJ310</v>
      </c>
      <c r="B5006" s="22">
        <f>IFERROR(__xludf.DUMMYFUNCTION("""COMPUTED_VALUE"""),4.1001481E7)</f>
        <v>41001481</v>
      </c>
      <c r="C5006" s="21" t="str">
        <f>IFERROR(__xludf.DUMMYFUNCTION("""COMPUTED_VALUE"""),"C85D380FB35D")</f>
        <v>C85D380FB35D</v>
      </c>
      <c r="D5006" s="21" t="str">
        <f>IFERROR(__xludf.DUMMYFUNCTION("""COMPUTED_VALUE"""),"DIGITEC TECNOLOGIA DIGITAL E REPRES")</f>
        <v>DIGITEC TECNOLOGIA DIGITAL E REPRES</v>
      </c>
      <c r="E5006" s="21">
        <f>IFERROR(__xludf.DUMMYFUNCTION("""COMPUTED_VALUE"""),145359.0)</f>
        <v>145359</v>
      </c>
      <c r="F5006" s="21" t="str">
        <f>IFERROR(__xludf.DUMMYFUNCTION("""COMPUTED_VALUE"""),"INICIALIZADO")</f>
        <v>INICIALIZADO</v>
      </c>
      <c r="G5006" s="23">
        <f>IFERROR(__xludf.DUMMYFUNCTION("""COMPUTED_VALUE"""),45639.64979166667)</f>
        <v>45639.64979</v>
      </c>
      <c r="H5006" s="24" t="str">
        <f>IFERROR(VLOOKUP(B5006,material!A:D,3,0),"")</f>
        <v>3.1</v>
      </c>
    </row>
    <row r="5007" ht="11.25" customHeight="1">
      <c r="A5007" s="21" t="str">
        <f>IFERROR(__xludf.DUMMYFUNCTION("""COMPUTED_VALUE"""),"MODEM VOIP EMTA WIFI 3.1 HGJ310")</f>
        <v>MODEM VOIP EMTA WIFI 3.1 HGJ310</v>
      </c>
      <c r="B5007" s="22">
        <f>IFERROR(__xludf.DUMMYFUNCTION("""COMPUTED_VALUE"""),4.1001481E7)</f>
        <v>41001481</v>
      </c>
      <c r="C5007" s="21" t="str">
        <f>IFERROR(__xludf.DUMMYFUNCTION("""COMPUTED_VALUE"""),"C85D3858E84F")</f>
        <v>C85D3858E84F</v>
      </c>
      <c r="D5007" s="21" t="str">
        <f>IFERROR(__xludf.DUMMYFUNCTION("""COMPUTED_VALUE"""),"DIGITEC TECNOLOGIA DIGITAL E REPRES")</f>
        <v>DIGITEC TECNOLOGIA DIGITAL E REPRES</v>
      </c>
      <c r="E5007" s="21">
        <f>IFERROR(__xludf.DUMMYFUNCTION("""COMPUTED_VALUE"""),145359.0)</f>
        <v>145359</v>
      </c>
      <c r="F5007" s="21" t="str">
        <f>IFERROR(__xludf.DUMMYFUNCTION("""COMPUTED_VALUE"""),"INICIALIZADO")</f>
        <v>INICIALIZADO</v>
      </c>
      <c r="G5007" s="23">
        <f>IFERROR(__xludf.DUMMYFUNCTION("""COMPUTED_VALUE"""),45639.64979166667)</f>
        <v>45639.64979</v>
      </c>
      <c r="H5007" s="24" t="str">
        <f>IFERROR(VLOOKUP(B5007,material!A:D,3,0),"")</f>
        <v>3.1</v>
      </c>
    </row>
    <row r="5008" ht="11.25" customHeight="1">
      <c r="A5008" s="21" t="str">
        <f>IFERROR(__xludf.DUMMYFUNCTION("""COMPUTED_VALUE"""),"MODEM VOIP EMTA WIFI 3.1 HGJ310")</f>
        <v>MODEM VOIP EMTA WIFI 3.1 HGJ310</v>
      </c>
      <c r="B5008" s="22">
        <f>IFERROR(__xludf.DUMMYFUNCTION("""COMPUTED_VALUE"""),4.1001481E7)</f>
        <v>41001481</v>
      </c>
      <c r="C5008" s="21" t="str">
        <f>IFERROR(__xludf.DUMMYFUNCTION("""COMPUTED_VALUE"""),"C85D3816B86C")</f>
        <v>C85D3816B86C</v>
      </c>
      <c r="D5008" s="21" t="str">
        <f>IFERROR(__xludf.DUMMYFUNCTION("""COMPUTED_VALUE"""),"DIGITEC TECNOLOGIA DIGITAL E REPRES")</f>
        <v>DIGITEC TECNOLOGIA DIGITAL E REPRES</v>
      </c>
      <c r="E5008" s="21">
        <f>IFERROR(__xludf.DUMMYFUNCTION("""COMPUTED_VALUE"""),145359.0)</f>
        <v>145359</v>
      </c>
      <c r="F5008" s="21" t="str">
        <f>IFERROR(__xludf.DUMMYFUNCTION("""COMPUTED_VALUE"""),"INICIALIZADO")</f>
        <v>INICIALIZADO</v>
      </c>
      <c r="G5008" s="23">
        <f>IFERROR(__xludf.DUMMYFUNCTION("""COMPUTED_VALUE"""),45639.64978009259)</f>
        <v>45639.64978</v>
      </c>
      <c r="H5008" s="24" t="str">
        <f>IFERROR(VLOOKUP(B5008,material!A:D,3,0),"")</f>
        <v>3.1</v>
      </c>
    </row>
    <row r="5009" ht="11.25" customHeight="1">
      <c r="A5009" s="21" t="str">
        <f>IFERROR(__xludf.DUMMYFUNCTION("""COMPUTED_VALUE"""),"MODEM VOIP EMTA WIFI 3.1 HGJ310")</f>
        <v>MODEM VOIP EMTA WIFI 3.1 HGJ310</v>
      </c>
      <c r="B5009" s="22">
        <f>IFERROR(__xludf.DUMMYFUNCTION("""COMPUTED_VALUE"""),4.1001481E7)</f>
        <v>41001481</v>
      </c>
      <c r="C5009" s="21" t="str">
        <f>IFERROR(__xludf.DUMMYFUNCTION("""COMPUTED_VALUE"""),"C85D380F1D00")</f>
        <v>C85D380F1D00</v>
      </c>
      <c r="D5009" s="21" t="str">
        <f>IFERROR(__xludf.DUMMYFUNCTION("""COMPUTED_VALUE"""),"DIGITEC TECNOLOGIA DIGITAL E REPRES")</f>
        <v>DIGITEC TECNOLOGIA DIGITAL E REPRES</v>
      </c>
      <c r="E5009" s="21">
        <f>IFERROR(__xludf.DUMMYFUNCTION("""COMPUTED_VALUE"""),145359.0)</f>
        <v>145359</v>
      </c>
      <c r="F5009" s="21" t="str">
        <f>IFERROR(__xludf.DUMMYFUNCTION("""COMPUTED_VALUE"""),"INICIALIZADO")</f>
        <v>INICIALIZADO</v>
      </c>
      <c r="G5009" s="23">
        <f>IFERROR(__xludf.DUMMYFUNCTION("""COMPUTED_VALUE"""),45639.64979166667)</f>
        <v>45639.64979</v>
      </c>
      <c r="H5009" s="24" t="str">
        <f>IFERROR(VLOOKUP(B5009,material!A:D,3,0),"")</f>
        <v>3.1</v>
      </c>
    </row>
    <row r="5010" ht="11.25" customHeight="1">
      <c r="A5010" s="21" t="str">
        <f>IFERROR(__xludf.DUMMYFUNCTION("""COMPUTED_VALUE"""),"MODEM VOIP EMTA WIFI 3.1 HGJ310")</f>
        <v>MODEM VOIP EMTA WIFI 3.1 HGJ310</v>
      </c>
      <c r="B5010" s="22">
        <f>IFERROR(__xludf.DUMMYFUNCTION("""COMPUTED_VALUE"""),4.1001481E7)</f>
        <v>41001481</v>
      </c>
      <c r="C5010" s="21" t="str">
        <f>IFERROR(__xludf.DUMMYFUNCTION("""COMPUTED_VALUE"""),"D86C5A5525F4")</f>
        <v>D86C5A5525F4</v>
      </c>
      <c r="D5010" s="21" t="str">
        <f>IFERROR(__xludf.DUMMYFUNCTION("""COMPUTED_VALUE"""),"DIGITEC TECNOLOGIA DIGITAL E REPRES")</f>
        <v>DIGITEC TECNOLOGIA DIGITAL E REPRES</v>
      </c>
      <c r="E5010" s="21">
        <f>IFERROR(__xludf.DUMMYFUNCTION("""COMPUTED_VALUE"""),145359.0)</f>
        <v>145359</v>
      </c>
      <c r="F5010" s="21" t="str">
        <f>IFERROR(__xludf.DUMMYFUNCTION("""COMPUTED_VALUE"""),"INICIALIZADO")</f>
        <v>INICIALIZADO</v>
      </c>
      <c r="G5010" s="23">
        <f>IFERROR(__xludf.DUMMYFUNCTION("""COMPUTED_VALUE"""),45639.64982638889)</f>
        <v>45639.64983</v>
      </c>
      <c r="H5010" s="24" t="str">
        <f>IFERROR(VLOOKUP(B5010,material!A:D,3,0),"")</f>
        <v>3.1</v>
      </c>
    </row>
    <row r="5011" ht="11.25" customHeight="1">
      <c r="A5011" s="21" t="str">
        <f>IFERROR(__xludf.DUMMYFUNCTION("""COMPUTED_VALUE"""),"MODEM VOIP EMTA WIFI 3.1 HGJ310")</f>
        <v>MODEM VOIP EMTA WIFI 3.1 HGJ310</v>
      </c>
      <c r="B5011" s="22">
        <f>IFERROR(__xludf.DUMMYFUNCTION("""COMPUTED_VALUE"""),4.1001481E7)</f>
        <v>41001481</v>
      </c>
      <c r="C5011" s="21" t="str">
        <f>IFERROR(__xludf.DUMMYFUNCTION("""COMPUTED_VALUE"""),"D86C5A5C2A85")</f>
        <v>D86C5A5C2A85</v>
      </c>
      <c r="D5011" s="21" t="str">
        <f>IFERROR(__xludf.DUMMYFUNCTION("""COMPUTED_VALUE"""),"DIGITEC TECNOLOGIA DIGITAL E REPRES")</f>
        <v>DIGITEC TECNOLOGIA DIGITAL E REPRES</v>
      </c>
      <c r="E5011" s="21">
        <f>IFERROR(__xludf.DUMMYFUNCTION("""COMPUTED_VALUE"""),145359.0)</f>
        <v>145359</v>
      </c>
      <c r="F5011" s="21" t="str">
        <f>IFERROR(__xludf.DUMMYFUNCTION("""COMPUTED_VALUE"""),"INICIALIZADO")</f>
        <v>INICIALIZADO</v>
      </c>
      <c r="G5011" s="23">
        <f>IFERROR(__xludf.DUMMYFUNCTION("""COMPUTED_VALUE"""),45638.68789351852)</f>
        <v>45638.68789</v>
      </c>
      <c r="H5011" s="24" t="str">
        <f>IFERROR(VLOOKUP(B5011,material!A:D,3,0),"")</f>
        <v>3.1</v>
      </c>
    </row>
    <row r="5012" ht="11.25" customHeight="1">
      <c r="A5012" s="21" t="str">
        <f>IFERROR(__xludf.DUMMYFUNCTION("""COMPUTED_VALUE"""),"MODEM VOIP EMTA WIFI 3.1 HGJ310")</f>
        <v>MODEM VOIP EMTA WIFI 3.1 HGJ310</v>
      </c>
      <c r="B5012" s="22">
        <f>IFERROR(__xludf.DUMMYFUNCTION("""COMPUTED_VALUE"""),4.1001481E7)</f>
        <v>41001481</v>
      </c>
      <c r="C5012" s="21" t="str">
        <f>IFERROR(__xludf.DUMMYFUNCTION("""COMPUTED_VALUE"""),"D86C5A5BFC41")</f>
        <v>D86C5A5BFC41</v>
      </c>
      <c r="D5012" s="21" t="str">
        <f>IFERROR(__xludf.DUMMYFUNCTION("""COMPUTED_VALUE"""),"DIGITEC TECNOLOGIA DIGITAL E REPRES")</f>
        <v>DIGITEC TECNOLOGIA DIGITAL E REPRES</v>
      </c>
      <c r="E5012" s="21">
        <f>IFERROR(__xludf.DUMMYFUNCTION("""COMPUTED_VALUE"""),145359.0)</f>
        <v>145359</v>
      </c>
      <c r="F5012" s="21" t="str">
        <f>IFERROR(__xludf.DUMMYFUNCTION("""COMPUTED_VALUE"""),"INICIALIZADO")</f>
        <v>INICIALIZADO</v>
      </c>
      <c r="G5012" s="23">
        <f>IFERROR(__xludf.DUMMYFUNCTION("""COMPUTED_VALUE"""),45628.35653935185)</f>
        <v>45628.35654</v>
      </c>
      <c r="H5012" s="24" t="str">
        <f>IFERROR(VLOOKUP(B5012,material!A:D,3,0),"")</f>
        <v>3.1</v>
      </c>
    </row>
    <row r="5013" ht="11.25" customHeight="1">
      <c r="A5013" s="21" t="str">
        <f>IFERROR(__xludf.DUMMYFUNCTION("""COMPUTED_VALUE"""),"MODEM VOIP EMTA WIFI 3.1 HGJ310")</f>
        <v>MODEM VOIP EMTA WIFI 3.1 HGJ310</v>
      </c>
      <c r="B5013" s="22">
        <f>IFERROR(__xludf.DUMMYFUNCTION("""COMPUTED_VALUE"""),4.1001481E7)</f>
        <v>41001481</v>
      </c>
      <c r="C5013" s="21" t="str">
        <f>IFERROR(__xludf.DUMMYFUNCTION("""COMPUTED_VALUE"""),"D86C5A5FC892")</f>
        <v>D86C5A5FC892</v>
      </c>
      <c r="D5013" s="21" t="str">
        <f>IFERROR(__xludf.DUMMYFUNCTION("""COMPUTED_VALUE"""),"DIGITEC TECNOLOGIA DIGITAL E REPRES")</f>
        <v>DIGITEC TECNOLOGIA DIGITAL E REPRES</v>
      </c>
      <c r="E5013" s="21">
        <f>IFERROR(__xludf.DUMMYFUNCTION("""COMPUTED_VALUE"""),145359.0)</f>
        <v>145359</v>
      </c>
      <c r="F5013" s="21" t="str">
        <f>IFERROR(__xludf.DUMMYFUNCTION("""COMPUTED_VALUE"""),"INICIALIZADO")</f>
        <v>INICIALIZADO</v>
      </c>
      <c r="G5013" s="23">
        <f>IFERROR(__xludf.DUMMYFUNCTION("""COMPUTED_VALUE"""),45639.64982638889)</f>
        <v>45639.64983</v>
      </c>
      <c r="H5013" s="24" t="str">
        <f>IFERROR(VLOOKUP(B5013,material!A:D,3,0),"")</f>
        <v>3.1</v>
      </c>
    </row>
    <row r="5014" ht="11.25" customHeight="1">
      <c r="A5014" s="21" t="str">
        <f>IFERROR(__xludf.DUMMYFUNCTION("""COMPUTED_VALUE"""),"MODEM VOIP EMTA WIFI 3.1 HGJ310")</f>
        <v>MODEM VOIP EMTA WIFI 3.1 HGJ310</v>
      </c>
      <c r="B5014" s="22">
        <f>IFERROR(__xludf.DUMMYFUNCTION("""COMPUTED_VALUE"""),4.1001481E7)</f>
        <v>41001481</v>
      </c>
      <c r="C5014" s="21" t="str">
        <f>IFERROR(__xludf.DUMMYFUNCTION("""COMPUTED_VALUE"""),"D86C5A527607")</f>
        <v>D86C5A527607</v>
      </c>
      <c r="D5014" s="21" t="str">
        <f>IFERROR(__xludf.DUMMYFUNCTION("""COMPUTED_VALUE"""),"DIGITEC TECNOLOGIA DIGITAL E REPRES")</f>
        <v>DIGITEC TECNOLOGIA DIGITAL E REPRES</v>
      </c>
      <c r="E5014" s="21">
        <f>IFERROR(__xludf.DUMMYFUNCTION("""COMPUTED_VALUE"""),145359.0)</f>
        <v>145359</v>
      </c>
      <c r="F5014" s="21" t="str">
        <f>IFERROR(__xludf.DUMMYFUNCTION("""COMPUTED_VALUE"""),"INICIALIZADO")</f>
        <v>INICIALIZADO</v>
      </c>
      <c r="G5014" s="23">
        <f>IFERROR(__xludf.DUMMYFUNCTION("""COMPUTED_VALUE"""),45639.64981481481)</f>
        <v>45639.64981</v>
      </c>
      <c r="H5014" s="24" t="str">
        <f>IFERROR(VLOOKUP(B5014,material!A:D,3,0),"")</f>
        <v>3.1</v>
      </c>
    </row>
    <row r="5015" ht="11.25" customHeight="1">
      <c r="A5015" s="21" t="str">
        <f>IFERROR(__xludf.DUMMYFUNCTION("""COMPUTED_VALUE"""),"MODEM VOIP EMTA WIFI 3.1 HGJ310")</f>
        <v>MODEM VOIP EMTA WIFI 3.1 HGJ310</v>
      </c>
      <c r="B5015" s="22">
        <f>IFERROR(__xludf.DUMMYFUNCTION("""COMPUTED_VALUE"""),4.1001481E7)</f>
        <v>41001481</v>
      </c>
      <c r="C5015" s="21" t="str">
        <f>IFERROR(__xludf.DUMMYFUNCTION("""COMPUTED_VALUE"""),"D86C5A56C532")</f>
        <v>D86C5A56C532</v>
      </c>
      <c r="D5015" s="21" t="str">
        <f>IFERROR(__xludf.DUMMYFUNCTION("""COMPUTED_VALUE"""),"DIGITEC TECNOLOGIA DIGITAL E REPRES")</f>
        <v>DIGITEC TECNOLOGIA DIGITAL E REPRES</v>
      </c>
      <c r="E5015" s="21">
        <f>IFERROR(__xludf.DUMMYFUNCTION("""COMPUTED_VALUE"""),145359.0)</f>
        <v>145359</v>
      </c>
      <c r="F5015" s="21" t="str">
        <f>IFERROR(__xludf.DUMMYFUNCTION("""COMPUTED_VALUE"""),"INICIALIZADO")</f>
        <v>INICIALIZADO</v>
      </c>
      <c r="G5015" s="23">
        <f>IFERROR(__xludf.DUMMYFUNCTION("""COMPUTED_VALUE"""),45639.64982638889)</f>
        <v>45639.64983</v>
      </c>
      <c r="H5015" s="24" t="str">
        <f>IFERROR(VLOOKUP(B5015,material!A:D,3,0),"")</f>
        <v>3.1</v>
      </c>
    </row>
    <row r="5016" ht="11.25" customHeight="1">
      <c r="A5016" s="21" t="str">
        <f>IFERROR(__xludf.DUMMYFUNCTION("""COMPUTED_VALUE"""),"MODEM VOIP EMTA WIFI 3.1 HGJ310")</f>
        <v>MODEM VOIP EMTA WIFI 3.1 HGJ310</v>
      </c>
      <c r="B5016" s="22">
        <f>IFERROR(__xludf.DUMMYFUNCTION("""COMPUTED_VALUE"""),4.1001481E7)</f>
        <v>41001481</v>
      </c>
      <c r="C5016" s="21" t="str">
        <f>IFERROR(__xludf.DUMMYFUNCTION("""COMPUTED_VALUE"""),"D86C5A485583")</f>
        <v>D86C5A485583</v>
      </c>
      <c r="D5016" s="21" t="str">
        <f>IFERROR(__xludf.DUMMYFUNCTION("""COMPUTED_VALUE"""),"DIGITEC TECNOLOGIA DIGITAL E REPRES")</f>
        <v>DIGITEC TECNOLOGIA DIGITAL E REPRES</v>
      </c>
      <c r="E5016" s="21">
        <f>IFERROR(__xludf.DUMMYFUNCTION("""COMPUTED_VALUE"""),145359.0)</f>
        <v>145359</v>
      </c>
      <c r="F5016" s="21" t="str">
        <f>IFERROR(__xludf.DUMMYFUNCTION("""COMPUTED_VALUE"""),"INICIALIZADO")</f>
        <v>INICIALIZADO</v>
      </c>
      <c r="G5016" s="23">
        <f>IFERROR(__xludf.DUMMYFUNCTION("""COMPUTED_VALUE"""),45639.64981481481)</f>
        <v>45639.64981</v>
      </c>
      <c r="H5016" s="24" t="str">
        <f>IFERROR(VLOOKUP(B5016,material!A:D,3,0),"")</f>
        <v>3.1</v>
      </c>
    </row>
    <row r="5017" ht="11.25" customHeight="1">
      <c r="A5017" s="21" t="str">
        <f>IFERROR(__xludf.DUMMYFUNCTION("""COMPUTED_VALUE"""),"MODEM VOIP EMTA WIFI 3.1 HGJ310")</f>
        <v>MODEM VOIP EMTA WIFI 3.1 HGJ310</v>
      </c>
      <c r="B5017" s="22">
        <f>IFERROR(__xludf.DUMMYFUNCTION("""COMPUTED_VALUE"""),4.1001481E7)</f>
        <v>41001481</v>
      </c>
      <c r="C5017" s="21" t="str">
        <f>IFERROR(__xludf.DUMMYFUNCTION("""COMPUTED_VALUE"""),"D86C5A5A8892")</f>
        <v>D86C5A5A8892</v>
      </c>
      <c r="D5017" s="21" t="str">
        <f>IFERROR(__xludf.DUMMYFUNCTION("""COMPUTED_VALUE"""),"DIGITEC TECNOLOGIA DIGITAL E REPRES")</f>
        <v>DIGITEC TECNOLOGIA DIGITAL E REPRES</v>
      </c>
      <c r="E5017" s="21">
        <f>IFERROR(__xludf.DUMMYFUNCTION("""COMPUTED_VALUE"""),145359.0)</f>
        <v>145359</v>
      </c>
      <c r="F5017" s="21" t="str">
        <f>IFERROR(__xludf.DUMMYFUNCTION("""COMPUTED_VALUE"""),"INICIALIZADO")</f>
        <v>INICIALIZADO</v>
      </c>
      <c r="G5017" s="23">
        <f>IFERROR(__xludf.DUMMYFUNCTION("""COMPUTED_VALUE"""),45639.64982638889)</f>
        <v>45639.64983</v>
      </c>
      <c r="H5017" s="24" t="str">
        <f>IFERROR(VLOOKUP(B5017,material!A:D,3,0),"")</f>
        <v>3.1</v>
      </c>
    </row>
    <row r="5018" ht="11.25" customHeight="1">
      <c r="A5018" s="21" t="str">
        <f>IFERROR(__xludf.DUMMYFUNCTION("""COMPUTED_VALUE"""),"MODEM VOIP EMTA WIFI 3.1 HGJ310")</f>
        <v>MODEM VOIP EMTA WIFI 3.1 HGJ310</v>
      </c>
      <c r="B5018" s="22">
        <f>IFERROR(__xludf.DUMMYFUNCTION("""COMPUTED_VALUE"""),4.1001481E7)</f>
        <v>41001481</v>
      </c>
      <c r="C5018" s="21" t="str">
        <f>IFERROR(__xludf.DUMMYFUNCTION("""COMPUTED_VALUE"""),"D86C5A550C32")</f>
        <v>D86C5A550C32</v>
      </c>
      <c r="D5018" s="21" t="str">
        <f>IFERROR(__xludf.DUMMYFUNCTION("""COMPUTED_VALUE"""),"DIGITEC TECNOLOGIA DIGITAL E REPRES")</f>
        <v>DIGITEC TECNOLOGIA DIGITAL E REPRES</v>
      </c>
      <c r="E5018" s="21">
        <f>IFERROR(__xludf.DUMMYFUNCTION("""COMPUTED_VALUE"""),145359.0)</f>
        <v>145359</v>
      </c>
      <c r="F5018" s="21" t="str">
        <f>IFERROR(__xludf.DUMMYFUNCTION("""COMPUTED_VALUE"""),"INICIALIZADO")</f>
        <v>INICIALIZADO</v>
      </c>
      <c r="G5018" s="23">
        <f>IFERROR(__xludf.DUMMYFUNCTION("""COMPUTED_VALUE"""),45639.64981481481)</f>
        <v>45639.64981</v>
      </c>
      <c r="H5018" s="24" t="str">
        <f>IFERROR(VLOOKUP(B5018,material!A:D,3,0),"")</f>
        <v>3.1</v>
      </c>
    </row>
    <row r="5019" ht="11.25" customHeight="1">
      <c r="A5019" s="21" t="str">
        <f>IFERROR(__xludf.DUMMYFUNCTION("""COMPUTED_VALUE"""),"MODEM VOIP EMTA WIFI 3.1 HGJ310")</f>
        <v>MODEM VOIP EMTA WIFI 3.1 HGJ310</v>
      </c>
      <c r="B5019" s="22">
        <f>IFERROR(__xludf.DUMMYFUNCTION("""COMPUTED_VALUE"""),4.1001481E7)</f>
        <v>41001481</v>
      </c>
      <c r="C5019" s="21" t="str">
        <f>IFERROR(__xludf.DUMMYFUNCTION("""COMPUTED_VALUE"""),"D86C5A597FC6")</f>
        <v>D86C5A597FC6</v>
      </c>
      <c r="D5019" s="21" t="str">
        <f>IFERROR(__xludf.DUMMYFUNCTION("""COMPUTED_VALUE"""),"DIGITEC TECNOLOGIA DIGITAL E REPRES")</f>
        <v>DIGITEC TECNOLOGIA DIGITAL E REPRES</v>
      </c>
      <c r="E5019" s="21">
        <f>IFERROR(__xludf.DUMMYFUNCTION("""COMPUTED_VALUE"""),145359.0)</f>
        <v>145359</v>
      </c>
      <c r="F5019" s="21" t="str">
        <f>IFERROR(__xludf.DUMMYFUNCTION("""COMPUTED_VALUE"""),"INICIALIZADO")</f>
        <v>INICIALIZADO</v>
      </c>
      <c r="G5019" s="23">
        <f>IFERROR(__xludf.DUMMYFUNCTION("""COMPUTED_VALUE"""),45639.64982638889)</f>
        <v>45639.64983</v>
      </c>
      <c r="H5019" s="24" t="str">
        <f>IFERROR(VLOOKUP(B5019,material!A:D,3,0),"")</f>
        <v>3.1</v>
      </c>
    </row>
    <row r="5020" ht="11.25" customHeight="1">
      <c r="A5020" s="21" t="str">
        <f>IFERROR(__xludf.DUMMYFUNCTION("""COMPUTED_VALUE"""),"MODEM VOIP EMTA WIFI 3.1 HGJ310")</f>
        <v>MODEM VOIP EMTA WIFI 3.1 HGJ310</v>
      </c>
      <c r="B5020" s="22">
        <f>IFERROR(__xludf.DUMMYFUNCTION("""COMPUTED_VALUE"""),4.1001481E7)</f>
        <v>41001481</v>
      </c>
      <c r="C5020" s="21" t="str">
        <f>IFERROR(__xludf.DUMMYFUNCTION("""COMPUTED_VALUE"""),"C85D38926457")</f>
        <v>C85D38926457</v>
      </c>
      <c r="D5020" s="21" t="str">
        <f>IFERROR(__xludf.DUMMYFUNCTION("""COMPUTED_VALUE"""),"DIGITEC TECNOLOGIA DIGITAL E REPRES")</f>
        <v>DIGITEC TECNOLOGIA DIGITAL E REPRES</v>
      </c>
      <c r="E5020" s="21">
        <f>IFERROR(__xludf.DUMMYFUNCTION("""COMPUTED_VALUE"""),145359.0)</f>
        <v>145359</v>
      </c>
      <c r="F5020" s="21" t="str">
        <f>IFERROR(__xludf.DUMMYFUNCTION("""COMPUTED_VALUE"""),"INICIALIZADO")</f>
        <v>INICIALIZADO</v>
      </c>
      <c r="G5020" s="23">
        <f>IFERROR(__xludf.DUMMYFUNCTION("""COMPUTED_VALUE"""),45639.64982638889)</f>
        <v>45639.64983</v>
      </c>
      <c r="H5020" s="24" t="str">
        <f>IFERROR(VLOOKUP(B5020,material!A:D,3,0),"")</f>
        <v>3.1</v>
      </c>
    </row>
    <row r="5021" ht="11.25" customHeight="1">
      <c r="A5021" s="21" t="str">
        <f>IFERROR(__xludf.DUMMYFUNCTION("""COMPUTED_VALUE"""),"MODEM VOIP EMTA WIFI 3.1 HGJ310")</f>
        <v>MODEM VOIP EMTA WIFI 3.1 HGJ310</v>
      </c>
      <c r="B5021" s="22">
        <f>IFERROR(__xludf.DUMMYFUNCTION("""COMPUTED_VALUE"""),4.1001481E7)</f>
        <v>41001481</v>
      </c>
      <c r="C5021" s="21" t="str">
        <f>IFERROR(__xludf.DUMMYFUNCTION("""COMPUTED_VALUE"""),"C85D388279D9")</f>
        <v>C85D388279D9</v>
      </c>
      <c r="D5021" s="21" t="str">
        <f>IFERROR(__xludf.DUMMYFUNCTION("""COMPUTED_VALUE"""),"DIGITEC TECNOLOGIA DIGITAL E REPRES")</f>
        <v>DIGITEC TECNOLOGIA DIGITAL E REPRES</v>
      </c>
      <c r="E5021" s="21">
        <f>IFERROR(__xludf.DUMMYFUNCTION("""COMPUTED_VALUE"""),145359.0)</f>
        <v>145359</v>
      </c>
      <c r="F5021" s="21" t="str">
        <f>IFERROR(__xludf.DUMMYFUNCTION("""COMPUTED_VALUE"""),"INICIALIZADO")</f>
        <v>INICIALIZADO</v>
      </c>
      <c r="G5021" s="23">
        <f>IFERROR(__xludf.DUMMYFUNCTION("""COMPUTED_VALUE"""),45639.64983796296)</f>
        <v>45639.64984</v>
      </c>
      <c r="H5021" s="24" t="str">
        <f>IFERROR(VLOOKUP(B5021,material!A:D,3,0),"")</f>
        <v>3.1</v>
      </c>
    </row>
    <row r="5022" ht="11.25" customHeight="1">
      <c r="A5022" s="21" t="str">
        <f>IFERROR(__xludf.DUMMYFUNCTION("""COMPUTED_VALUE"""),"MODEM VOIP EMTA WIFI 3.1 HGJ310")</f>
        <v>MODEM VOIP EMTA WIFI 3.1 HGJ310</v>
      </c>
      <c r="B5022" s="22">
        <f>IFERROR(__xludf.DUMMYFUNCTION("""COMPUTED_VALUE"""),4.1001481E7)</f>
        <v>41001481</v>
      </c>
      <c r="C5022" s="21" t="str">
        <f>IFERROR(__xludf.DUMMYFUNCTION("""COMPUTED_VALUE"""),"C85D3882C92C")</f>
        <v>C85D3882C92C</v>
      </c>
      <c r="D5022" s="21" t="str">
        <f>IFERROR(__xludf.DUMMYFUNCTION("""COMPUTED_VALUE"""),"DIGITEC TECNOLOGIA DIGITAL E REPRES")</f>
        <v>DIGITEC TECNOLOGIA DIGITAL E REPRES</v>
      </c>
      <c r="E5022" s="21">
        <f>IFERROR(__xludf.DUMMYFUNCTION("""COMPUTED_VALUE"""),145359.0)</f>
        <v>145359</v>
      </c>
      <c r="F5022" s="21" t="str">
        <f>IFERROR(__xludf.DUMMYFUNCTION("""COMPUTED_VALUE"""),"INICIALIZADO")</f>
        <v>INICIALIZADO</v>
      </c>
      <c r="G5022" s="23">
        <f>IFERROR(__xludf.DUMMYFUNCTION("""COMPUTED_VALUE"""),45639.64983796296)</f>
        <v>45639.64984</v>
      </c>
      <c r="H5022" s="24" t="str">
        <f>IFERROR(VLOOKUP(B5022,material!A:D,3,0),"")</f>
        <v>3.1</v>
      </c>
    </row>
    <row r="5023" ht="11.25" customHeight="1">
      <c r="A5023" s="21" t="str">
        <f>IFERROR(__xludf.DUMMYFUNCTION("""COMPUTED_VALUE"""),"MODEM VOIP EMTA WIFI 3.1 HGJ310")</f>
        <v>MODEM VOIP EMTA WIFI 3.1 HGJ310</v>
      </c>
      <c r="B5023" s="22">
        <f>IFERROR(__xludf.DUMMYFUNCTION("""COMPUTED_VALUE"""),4.1001481E7)</f>
        <v>41001481</v>
      </c>
      <c r="C5023" s="21" t="str">
        <f>IFERROR(__xludf.DUMMYFUNCTION("""COMPUTED_VALUE"""),"C85D388E670D")</f>
        <v>C85D388E670D</v>
      </c>
      <c r="D5023" s="21" t="str">
        <f>IFERROR(__xludf.DUMMYFUNCTION("""COMPUTED_VALUE"""),"DIGITEC TECNOLOGIA DIGITAL E REPRES")</f>
        <v>DIGITEC TECNOLOGIA DIGITAL E REPRES</v>
      </c>
      <c r="E5023" s="21">
        <f>IFERROR(__xludf.DUMMYFUNCTION("""COMPUTED_VALUE"""),145359.0)</f>
        <v>145359</v>
      </c>
      <c r="F5023" s="21" t="str">
        <f>IFERROR(__xludf.DUMMYFUNCTION("""COMPUTED_VALUE"""),"INICIALIZADO")</f>
        <v>INICIALIZADO</v>
      </c>
      <c r="G5023" s="23">
        <f>IFERROR(__xludf.DUMMYFUNCTION("""COMPUTED_VALUE"""),45639.64982638889)</f>
        <v>45639.64983</v>
      </c>
      <c r="H5023" s="24" t="str">
        <f>IFERROR(VLOOKUP(B5023,material!A:D,3,0),"")</f>
        <v>3.1</v>
      </c>
    </row>
    <row r="5024" ht="11.25" customHeight="1">
      <c r="A5024" s="21" t="str">
        <f>IFERROR(__xludf.DUMMYFUNCTION("""COMPUTED_VALUE"""),"MODEM VOIP EMTA WIFI 3.1 HGJ310")</f>
        <v>MODEM VOIP EMTA WIFI 3.1 HGJ310</v>
      </c>
      <c r="B5024" s="22">
        <f>IFERROR(__xludf.DUMMYFUNCTION("""COMPUTED_VALUE"""),4.1001481E7)</f>
        <v>41001481</v>
      </c>
      <c r="C5024" s="21" t="str">
        <f>IFERROR(__xludf.DUMMYFUNCTION("""COMPUTED_VALUE"""),"8C444FEAE089")</f>
        <v>8C444FEAE089</v>
      </c>
      <c r="D5024" s="21" t="str">
        <f>IFERROR(__xludf.DUMMYFUNCTION("""COMPUTED_VALUE"""),"DIGITEC TECNOLOGIA DIGITAL E REPRES")</f>
        <v>DIGITEC TECNOLOGIA DIGITAL E REPRES</v>
      </c>
      <c r="E5024" s="21">
        <f>IFERROR(__xludf.DUMMYFUNCTION("""COMPUTED_VALUE"""),145359.0)</f>
        <v>145359</v>
      </c>
      <c r="F5024" s="21" t="str">
        <f>IFERROR(__xludf.DUMMYFUNCTION("""COMPUTED_VALUE"""),"INICIALIZADO")</f>
        <v>INICIALIZADO</v>
      </c>
      <c r="G5024" s="23">
        <f>IFERROR(__xludf.DUMMYFUNCTION("""COMPUTED_VALUE"""),45639.64979166667)</f>
        <v>45639.64979</v>
      </c>
      <c r="H5024" s="24" t="str">
        <f>IFERROR(VLOOKUP(B5024,material!A:D,3,0),"")</f>
        <v>3.1</v>
      </c>
    </row>
    <row r="5025" ht="11.25" customHeight="1">
      <c r="A5025" s="21" t="str">
        <f>IFERROR(__xludf.DUMMYFUNCTION("""COMPUTED_VALUE"""),"MODEM VOIP EMTA WIFI 3.1 HGJ310")</f>
        <v>MODEM VOIP EMTA WIFI 3.1 HGJ310</v>
      </c>
      <c r="B5025" s="22">
        <f>IFERROR(__xludf.DUMMYFUNCTION("""COMPUTED_VALUE"""),4.1001481E7)</f>
        <v>41001481</v>
      </c>
      <c r="C5025" s="21" t="str">
        <f>IFERROR(__xludf.DUMMYFUNCTION("""COMPUTED_VALUE"""),"8C444FEB7CA4")</f>
        <v>8C444FEB7CA4</v>
      </c>
      <c r="D5025" s="21" t="str">
        <f>IFERROR(__xludf.DUMMYFUNCTION("""COMPUTED_VALUE"""),"DIGITEC TECNOLOGIA DIGITAL E REPRES")</f>
        <v>DIGITEC TECNOLOGIA DIGITAL E REPRES</v>
      </c>
      <c r="E5025" s="21">
        <f>IFERROR(__xludf.DUMMYFUNCTION("""COMPUTED_VALUE"""),145359.0)</f>
        <v>145359</v>
      </c>
      <c r="F5025" s="21" t="str">
        <f>IFERROR(__xludf.DUMMYFUNCTION("""COMPUTED_VALUE"""),"INICIALIZADO")</f>
        <v>INICIALIZADO</v>
      </c>
      <c r="G5025" s="23">
        <f>IFERROR(__xludf.DUMMYFUNCTION("""COMPUTED_VALUE"""),45639.64980324074)</f>
        <v>45639.6498</v>
      </c>
      <c r="H5025" s="24" t="str">
        <f>IFERROR(VLOOKUP(B5025,material!A:D,3,0),"")</f>
        <v>3.1</v>
      </c>
    </row>
    <row r="5026" ht="11.25" customHeight="1">
      <c r="A5026" s="21" t="str">
        <f>IFERROR(__xludf.DUMMYFUNCTION("""COMPUTED_VALUE"""),"MODEM VOIP EMTA WIFI 3.1 HGJ310")</f>
        <v>MODEM VOIP EMTA WIFI 3.1 HGJ310</v>
      </c>
      <c r="B5026" s="22">
        <f>IFERROR(__xludf.DUMMYFUNCTION("""COMPUTED_VALUE"""),4.1001481E7)</f>
        <v>41001481</v>
      </c>
      <c r="C5026" s="21" t="str">
        <f>IFERROR(__xludf.DUMMYFUNCTION("""COMPUTED_VALUE"""),"8C444FEB04A1")</f>
        <v>8C444FEB04A1</v>
      </c>
      <c r="D5026" s="21" t="str">
        <f>IFERROR(__xludf.DUMMYFUNCTION("""COMPUTED_VALUE"""),"DIGITEC TECNOLOGIA DIGITAL E REPRES")</f>
        <v>DIGITEC TECNOLOGIA DIGITAL E REPRES</v>
      </c>
      <c r="E5026" s="21">
        <f>IFERROR(__xludf.DUMMYFUNCTION("""COMPUTED_VALUE"""),145359.0)</f>
        <v>145359</v>
      </c>
      <c r="F5026" s="21" t="str">
        <f>IFERROR(__xludf.DUMMYFUNCTION("""COMPUTED_VALUE"""),"INICIALIZADO")</f>
        <v>INICIALIZADO</v>
      </c>
      <c r="G5026" s="23">
        <f>IFERROR(__xludf.DUMMYFUNCTION("""COMPUTED_VALUE"""),45639.64979166667)</f>
        <v>45639.64979</v>
      </c>
      <c r="H5026" s="24" t="str">
        <f>IFERROR(VLOOKUP(B5026,material!A:D,3,0),"")</f>
        <v>3.1</v>
      </c>
    </row>
    <row r="5027" ht="11.25" customHeight="1">
      <c r="A5027" s="21" t="str">
        <f>IFERROR(__xludf.DUMMYFUNCTION("""COMPUTED_VALUE"""),"MODEM VOIP EMTA WIFI 3.1 HGJ310")</f>
        <v>MODEM VOIP EMTA WIFI 3.1 HGJ310</v>
      </c>
      <c r="B5027" s="22">
        <f>IFERROR(__xludf.DUMMYFUNCTION("""COMPUTED_VALUE"""),4.1001481E7)</f>
        <v>41001481</v>
      </c>
      <c r="C5027" s="21" t="str">
        <f>IFERROR(__xludf.DUMMYFUNCTION("""COMPUTED_VALUE"""),"C85D3880E4F1")</f>
        <v>C85D3880E4F1</v>
      </c>
      <c r="D5027" s="21" t="str">
        <f>IFERROR(__xludf.DUMMYFUNCTION("""COMPUTED_VALUE"""),"DIGITEC TECNOLOGIA DIGITAL E REPRES")</f>
        <v>DIGITEC TECNOLOGIA DIGITAL E REPRES</v>
      </c>
      <c r="E5027" s="21">
        <f>IFERROR(__xludf.DUMMYFUNCTION("""COMPUTED_VALUE"""),145359.0)</f>
        <v>145359</v>
      </c>
      <c r="F5027" s="21" t="str">
        <f>IFERROR(__xludf.DUMMYFUNCTION("""COMPUTED_VALUE"""),"INICIALIZADO")</f>
        <v>INICIALIZADO</v>
      </c>
      <c r="G5027" s="23">
        <f>IFERROR(__xludf.DUMMYFUNCTION("""COMPUTED_VALUE"""),45638.68789351852)</f>
        <v>45638.68789</v>
      </c>
      <c r="H5027" s="24" t="str">
        <f>IFERROR(VLOOKUP(B5027,material!A:D,3,0),"")</f>
        <v>3.1</v>
      </c>
    </row>
    <row r="5028" ht="11.25" customHeight="1">
      <c r="A5028" s="21" t="str">
        <f>IFERROR(__xludf.DUMMYFUNCTION("""COMPUTED_VALUE"""),"MODEM VOIP EMTA WIFI 3.1 HGJ310")</f>
        <v>MODEM VOIP EMTA WIFI 3.1 HGJ310</v>
      </c>
      <c r="B5028" s="22">
        <f>IFERROR(__xludf.DUMMYFUNCTION("""COMPUTED_VALUE"""),4.1001481E7)</f>
        <v>41001481</v>
      </c>
      <c r="C5028" s="21" t="str">
        <f>IFERROR(__xludf.DUMMYFUNCTION("""COMPUTED_VALUE"""),"C85D38736C44")</f>
        <v>C85D38736C44</v>
      </c>
      <c r="D5028" s="21" t="str">
        <f>IFERROR(__xludf.DUMMYFUNCTION("""COMPUTED_VALUE"""),"DIGITEC TECNOLOGIA DIGITAL E REPRES")</f>
        <v>DIGITEC TECNOLOGIA DIGITAL E REPRES</v>
      </c>
      <c r="E5028" s="21">
        <f>IFERROR(__xludf.DUMMYFUNCTION("""COMPUTED_VALUE"""),145359.0)</f>
        <v>145359</v>
      </c>
      <c r="F5028" s="21" t="str">
        <f>IFERROR(__xludf.DUMMYFUNCTION("""COMPUTED_VALUE"""),"INICIALIZADO")</f>
        <v>INICIALIZADO</v>
      </c>
      <c r="G5028" s="23">
        <f>IFERROR(__xludf.DUMMYFUNCTION("""COMPUTED_VALUE"""),45639.64979166667)</f>
        <v>45639.64979</v>
      </c>
      <c r="H5028" s="24" t="str">
        <f>IFERROR(VLOOKUP(B5028,material!A:D,3,0),"")</f>
        <v>3.1</v>
      </c>
    </row>
    <row r="5029" ht="11.25" customHeight="1">
      <c r="A5029" s="21" t="str">
        <f>IFERROR(__xludf.DUMMYFUNCTION("""COMPUTED_VALUE"""),"MODEM VOIP EMTA WIFI 3.1 HGJ310")</f>
        <v>MODEM VOIP EMTA WIFI 3.1 HGJ310</v>
      </c>
      <c r="B5029" s="22">
        <f>IFERROR(__xludf.DUMMYFUNCTION("""COMPUTED_VALUE"""),4.1001481E7)</f>
        <v>41001481</v>
      </c>
      <c r="C5029" s="21" t="str">
        <f>IFERROR(__xludf.DUMMYFUNCTION("""COMPUTED_VALUE"""),"C85D387326F3")</f>
        <v>C85D387326F3</v>
      </c>
      <c r="D5029" s="21" t="str">
        <f>IFERROR(__xludf.DUMMYFUNCTION("""COMPUTED_VALUE"""),"DIGITEC TECNOLOGIA DIGITAL E REPRES")</f>
        <v>DIGITEC TECNOLOGIA DIGITAL E REPRES</v>
      </c>
      <c r="E5029" s="21">
        <f>IFERROR(__xludf.DUMMYFUNCTION("""COMPUTED_VALUE"""),145359.0)</f>
        <v>145359</v>
      </c>
      <c r="F5029" s="21" t="str">
        <f>IFERROR(__xludf.DUMMYFUNCTION("""COMPUTED_VALUE"""),"INICIALIZADO")</f>
        <v>INICIALIZADO</v>
      </c>
      <c r="G5029" s="23">
        <f>IFERROR(__xludf.DUMMYFUNCTION("""COMPUTED_VALUE"""),45639.64979166667)</f>
        <v>45639.64979</v>
      </c>
      <c r="H5029" s="24" t="str">
        <f>IFERROR(VLOOKUP(B5029,material!A:D,3,0),"")</f>
        <v>3.1</v>
      </c>
    </row>
    <row r="5030" ht="11.25" customHeight="1">
      <c r="A5030" s="21" t="str">
        <f>IFERROR(__xludf.DUMMYFUNCTION("""COMPUTED_VALUE"""),"MODEM VOIP EMTA WIFI 3.1 HGJ310")</f>
        <v>MODEM VOIP EMTA WIFI 3.1 HGJ310</v>
      </c>
      <c r="B5030" s="22">
        <f>IFERROR(__xludf.DUMMYFUNCTION("""COMPUTED_VALUE"""),4.1001481E7)</f>
        <v>41001481</v>
      </c>
      <c r="C5030" s="21" t="str">
        <f>IFERROR(__xludf.DUMMYFUNCTION("""COMPUTED_VALUE"""),"C85D38723891")</f>
        <v>C85D38723891</v>
      </c>
      <c r="D5030" s="21" t="str">
        <f>IFERROR(__xludf.DUMMYFUNCTION("""COMPUTED_VALUE"""),"DIGITEC TECNOLOGIA DIGITAL E REPRES")</f>
        <v>DIGITEC TECNOLOGIA DIGITAL E REPRES</v>
      </c>
      <c r="E5030" s="21">
        <f>IFERROR(__xludf.DUMMYFUNCTION("""COMPUTED_VALUE"""),145359.0)</f>
        <v>145359</v>
      </c>
      <c r="F5030" s="21" t="str">
        <f>IFERROR(__xludf.DUMMYFUNCTION("""COMPUTED_VALUE"""),"INICIALIZADO")</f>
        <v>INICIALIZADO</v>
      </c>
      <c r="G5030" s="23">
        <f>IFERROR(__xludf.DUMMYFUNCTION("""COMPUTED_VALUE"""),45639.64979166667)</f>
        <v>45639.64979</v>
      </c>
      <c r="H5030" s="24" t="str">
        <f>IFERROR(VLOOKUP(B5030,material!A:D,3,0),"")</f>
        <v>3.1</v>
      </c>
    </row>
    <row r="5031" ht="11.25" customHeight="1">
      <c r="A5031" s="21" t="str">
        <f>IFERROR(__xludf.DUMMYFUNCTION("""COMPUTED_VALUE"""),"MODEM VOIP EMTA WIFI 3.1 HGJ310")</f>
        <v>MODEM VOIP EMTA WIFI 3.1 HGJ310</v>
      </c>
      <c r="B5031" s="22">
        <f>IFERROR(__xludf.DUMMYFUNCTION("""COMPUTED_VALUE"""),4.1001481E7)</f>
        <v>41001481</v>
      </c>
      <c r="C5031" s="21" t="str">
        <f>IFERROR(__xludf.DUMMYFUNCTION("""COMPUTED_VALUE"""),"C85D38890541")</f>
        <v>C85D38890541</v>
      </c>
      <c r="D5031" s="21" t="str">
        <f>IFERROR(__xludf.DUMMYFUNCTION("""COMPUTED_VALUE"""),"DIGITEC TECNOLOGIA DIGITAL E REPRES")</f>
        <v>DIGITEC TECNOLOGIA DIGITAL E REPRES</v>
      </c>
      <c r="E5031" s="21">
        <f>IFERROR(__xludf.DUMMYFUNCTION("""COMPUTED_VALUE"""),145359.0)</f>
        <v>145359</v>
      </c>
      <c r="F5031" s="21" t="str">
        <f>IFERROR(__xludf.DUMMYFUNCTION("""COMPUTED_VALUE"""),"INICIALIZADO")</f>
        <v>INICIALIZADO</v>
      </c>
      <c r="G5031" s="23">
        <f>IFERROR(__xludf.DUMMYFUNCTION("""COMPUTED_VALUE"""),45639.64983796296)</f>
        <v>45639.64984</v>
      </c>
      <c r="H5031" s="24" t="str">
        <f>IFERROR(VLOOKUP(B5031,material!A:D,3,0),"")</f>
        <v>3.1</v>
      </c>
    </row>
    <row r="5032" ht="11.25" customHeight="1">
      <c r="A5032" s="21" t="str">
        <f>IFERROR(__xludf.DUMMYFUNCTION("""COMPUTED_VALUE"""),"MODEM VOIP EMTA WIFI 3.1 HGJ310")</f>
        <v>MODEM VOIP EMTA WIFI 3.1 HGJ310</v>
      </c>
      <c r="B5032" s="22">
        <f>IFERROR(__xludf.DUMMYFUNCTION("""COMPUTED_VALUE"""),4.1001481E7)</f>
        <v>41001481</v>
      </c>
      <c r="C5032" s="21" t="str">
        <f>IFERROR(__xludf.DUMMYFUNCTION("""COMPUTED_VALUE"""),"C85D38904035")</f>
        <v>C85D38904035</v>
      </c>
      <c r="D5032" s="21" t="str">
        <f>IFERROR(__xludf.DUMMYFUNCTION("""COMPUTED_VALUE"""),"DIGITEC TECNOLOGIA DIGITAL E REPRES")</f>
        <v>DIGITEC TECNOLOGIA DIGITAL E REPRES</v>
      </c>
      <c r="E5032" s="21">
        <f>IFERROR(__xludf.DUMMYFUNCTION("""COMPUTED_VALUE"""),145359.0)</f>
        <v>145359</v>
      </c>
      <c r="F5032" s="21" t="str">
        <f>IFERROR(__xludf.DUMMYFUNCTION("""COMPUTED_VALUE"""),"INICIALIZADO")</f>
        <v>INICIALIZADO</v>
      </c>
      <c r="G5032" s="23">
        <f>IFERROR(__xludf.DUMMYFUNCTION("""COMPUTED_VALUE"""),45639.64982638889)</f>
        <v>45639.64983</v>
      </c>
      <c r="H5032" s="24" t="str">
        <f>IFERROR(VLOOKUP(B5032,material!A:D,3,0),"")</f>
        <v>3.1</v>
      </c>
    </row>
    <row r="5033" ht="11.25" customHeight="1">
      <c r="A5033" s="21" t="str">
        <f>IFERROR(__xludf.DUMMYFUNCTION("""COMPUTED_VALUE"""),"MODEM VOIP EMTA WIFI 3.1 HGJ310")</f>
        <v>MODEM VOIP EMTA WIFI 3.1 HGJ310</v>
      </c>
      <c r="B5033" s="22">
        <f>IFERROR(__xludf.DUMMYFUNCTION("""COMPUTED_VALUE"""),4.1001481E7)</f>
        <v>41001481</v>
      </c>
      <c r="C5033" s="21" t="str">
        <f>IFERROR(__xludf.DUMMYFUNCTION("""COMPUTED_VALUE"""),"C85D3878DA5E")</f>
        <v>C85D3878DA5E</v>
      </c>
      <c r="D5033" s="21" t="str">
        <f>IFERROR(__xludf.DUMMYFUNCTION("""COMPUTED_VALUE"""),"DIGITEC TECNOLOGIA DIGITAL E REPRES")</f>
        <v>DIGITEC TECNOLOGIA DIGITAL E REPRES</v>
      </c>
      <c r="E5033" s="21">
        <f>IFERROR(__xludf.DUMMYFUNCTION("""COMPUTED_VALUE"""),145359.0)</f>
        <v>145359</v>
      </c>
      <c r="F5033" s="21" t="str">
        <f>IFERROR(__xludf.DUMMYFUNCTION("""COMPUTED_VALUE"""),"INICIALIZADO")</f>
        <v>INICIALIZADO</v>
      </c>
      <c r="G5033" s="23">
        <f>IFERROR(__xludf.DUMMYFUNCTION("""COMPUTED_VALUE"""),45639.64983796296)</f>
        <v>45639.64984</v>
      </c>
      <c r="H5033" s="24" t="str">
        <f>IFERROR(VLOOKUP(B5033,material!A:D,3,0),"")</f>
        <v>3.1</v>
      </c>
    </row>
    <row r="5034" ht="11.25" customHeight="1">
      <c r="A5034" s="21" t="str">
        <f>IFERROR(__xludf.DUMMYFUNCTION("""COMPUTED_VALUE"""),"MODEM VOIP EMTA WIFI 3.1 HGJ310")</f>
        <v>MODEM VOIP EMTA WIFI 3.1 HGJ310</v>
      </c>
      <c r="B5034" s="22">
        <f>IFERROR(__xludf.DUMMYFUNCTION("""COMPUTED_VALUE"""),4.1001481E7)</f>
        <v>41001481</v>
      </c>
      <c r="C5034" s="21" t="str">
        <f>IFERROR(__xludf.DUMMYFUNCTION("""COMPUTED_VALUE"""),"C85D3873ADCF")</f>
        <v>C85D3873ADCF</v>
      </c>
      <c r="D5034" s="21" t="str">
        <f>IFERROR(__xludf.DUMMYFUNCTION("""COMPUTED_VALUE"""),"DIGITEC TECNOLOGIA DIGITAL E REPRES")</f>
        <v>DIGITEC TECNOLOGIA DIGITAL E REPRES</v>
      </c>
      <c r="E5034" s="21">
        <f>IFERROR(__xludf.DUMMYFUNCTION("""COMPUTED_VALUE"""),145359.0)</f>
        <v>145359</v>
      </c>
      <c r="F5034" s="21" t="str">
        <f>IFERROR(__xludf.DUMMYFUNCTION("""COMPUTED_VALUE"""),"INICIALIZADO")</f>
        <v>INICIALIZADO</v>
      </c>
      <c r="G5034" s="23">
        <f>IFERROR(__xludf.DUMMYFUNCTION("""COMPUTED_VALUE"""),45639.64980324074)</f>
        <v>45639.6498</v>
      </c>
      <c r="H5034" s="24" t="str">
        <f>IFERROR(VLOOKUP(B5034,material!A:D,3,0),"")</f>
        <v>3.1</v>
      </c>
    </row>
    <row r="5035" ht="11.25" customHeight="1">
      <c r="A5035" s="21" t="str">
        <f>IFERROR(__xludf.DUMMYFUNCTION("""COMPUTED_VALUE"""),"MODEM VOIP EMTA WIFI 3.1 HGJ310")</f>
        <v>MODEM VOIP EMTA WIFI 3.1 HGJ310</v>
      </c>
      <c r="B5035" s="22">
        <f>IFERROR(__xludf.DUMMYFUNCTION("""COMPUTED_VALUE"""),4.1001481E7)</f>
        <v>41001481</v>
      </c>
      <c r="C5035" s="21" t="str">
        <f>IFERROR(__xludf.DUMMYFUNCTION("""COMPUTED_VALUE"""),"C85D387867B0")</f>
        <v>C85D387867B0</v>
      </c>
      <c r="D5035" s="21" t="str">
        <f>IFERROR(__xludf.DUMMYFUNCTION("""COMPUTED_VALUE"""),"DIGITEC TECNOLOGIA DIGITAL E REPRES")</f>
        <v>DIGITEC TECNOLOGIA DIGITAL E REPRES</v>
      </c>
      <c r="E5035" s="21">
        <f>IFERROR(__xludf.DUMMYFUNCTION("""COMPUTED_VALUE"""),145359.0)</f>
        <v>145359</v>
      </c>
      <c r="F5035" s="21" t="str">
        <f>IFERROR(__xludf.DUMMYFUNCTION("""COMPUTED_VALUE"""),"INICIALIZADO")</f>
        <v>INICIALIZADO</v>
      </c>
      <c r="G5035" s="23">
        <f>IFERROR(__xludf.DUMMYFUNCTION("""COMPUTED_VALUE"""),45639.64983796296)</f>
        <v>45639.64984</v>
      </c>
      <c r="H5035" s="24" t="str">
        <f>IFERROR(VLOOKUP(B5035,material!A:D,3,0),"")</f>
        <v>3.1</v>
      </c>
    </row>
    <row r="5036" ht="11.25" customHeight="1">
      <c r="A5036" s="21" t="str">
        <f>IFERROR(__xludf.DUMMYFUNCTION("""COMPUTED_VALUE"""),"MODEM VOIP EMTA WIFI 3.1 HGJ310")</f>
        <v>MODEM VOIP EMTA WIFI 3.1 HGJ310</v>
      </c>
      <c r="B5036" s="22">
        <f>IFERROR(__xludf.DUMMYFUNCTION("""COMPUTED_VALUE"""),4.1001481E7)</f>
        <v>41001481</v>
      </c>
      <c r="C5036" s="21" t="str">
        <f>IFERROR(__xludf.DUMMYFUNCTION("""COMPUTED_VALUE"""),"C85D3873DB17")</f>
        <v>C85D3873DB17</v>
      </c>
      <c r="D5036" s="21" t="str">
        <f>IFERROR(__xludf.DUMMYFUNCTION("""COMPUTED_VALUE"""),"DIGITEC TECNOLOGIA DIGITAL E REPRES")</f>
        <v>DIGITEC TECNOLOGIA DIGITAL E REPRES</v>
      </c>
      <c r="E5036" s="21">
        <f>IFERROR(__xludf.DUMMYFUNCTION("""COMPUTED_VALUE"""),145359.0)</f>
        <v>145359</v>
      </c>
      <c r="F5036" s="21" t="str">
        <f>IFERROR(__xludf.DUMMYFUNCTION("""COMPUTED_VALUE"""),"INICIALIZADO")</f>
        <v>INICIALIZADO</v>
      </c>
      <c r="G5036" s="23">
        <f>IFERROR(__xludf.DUMMYFUNCTION("""COMPUTED_VALUE"""),45639.64983796296)</f>
        <v>45639.64984</v>
      </c>
      <c r="H5036" s="24" t="str">
        <f>IFERROR(VLOOKUP(B5036,material!A:D,3,0),"")</f>
        <v>3.1</v>
      </c>
    </row>
    <row r="5037" ht="11.25" customHeight="1">
      <c r="A5037" s="21" t="str">
        <f>IFERROR(__xludf.DUMMYFUNCTION("""COMPUTED_VALUE"""),"MODEM VOIP EMTA WIFI 3.1 HGJ310")</f>
        <v>MODEM VOIP EMTA WIFI 3.1 HGJ310</v>
      </c>
      <c r="B5037" s="22">
        <f>IFERROR(__xludf.DUMMYFUNCTION("""COMPUTED_VALUE"""),4.1001481E7)</f>
        <v>41001481</v>
      </c>
      <c r="C5037" s="21" t="str">
        <f>IFERROR(__xludf.DUMMYFUNCTION("""COMPUTED_VALUE"""),"C85D38057A91")</f>
        <v>C85D38057A91</v>
      </c>
      <c r="D5037" s="21" t="str">
        <f>IFERROR(__xludf.DUMMYFUNCTION("""COMPUTED_VALUE"""),"DIGITEC TECNOLOGIA DIGITAL E REPRES")</f>
        <v>DIGITEC TECNOLOGIA DIGITAL E REPRES</v>
      </c>
      <c r="E5037" s="21">
        <f>IFERROR(__xludf.DUMMYFUNCTION("""COMPUTED_VALUE"""),145359.0)</f>
        <v>145359</v>
      </c>
      <c r="F5037" s="21" t="str">
        <f>IFERROR(__xludf.DUMMYFUNCTION("""COMPUTED_VALUE"""),"INICIALIZADO")</f>
        <v>INICIALIZADO</v>
      </c>
      <c r="G5037" s="23">
        <f>IFERROR(__xludf.DUMMYFUNCTION("""COMPUTED_VALUE"""),45639.64980324074)</f>
        <v>45639.6498</v>
      </c>
      <c r="H5037" s="24" t="str">
        <f>IFERROR(VLOOKUP(B5037,material!A:D,3,0),"")</f>
        <v>3.1</v>
      </c>
    </row>
    <row r="5038" ht="11.25" customHeight="1">
      <c r="A5038" s="21" t="str">
        <f>IFERROR(__xludf.DUMMYFUNCTION("""COMPUTED_VALUE"""),"MODEM VOIP EMTA WIFI 3.1 HGJ310")</f>
        <v>MODEM VOIP EMTA WIFI 3.1 HGJ310</v>
      </c>
      <c r="B5038" s="22">
        <f>IFERROR(__xludf.DUMMYFUNCTION("""COMPUTED_VALUE"""),4.1001481E7)</f>
        <v>41001481</v>
      </c>
      <c r="C5038" s="21" t="str">
        <f>IFERROR(__xludf.DUMMYFUNCTION("""COMPUTED_VALUE"""),"C85D387151BB")</f>
        <v>C85D387151BB</v>
      </c>
      <c r="D5038" s="21" t="str">
        <f>IFERROR(__xludf.DUMMYFUNCTION("""COMPUTED_VALUE"""),"DIGITEC TECNOLOGIA DIGITAL E REPRES")</f>
        <v>DIGITEC TECNOLOGIA DIGITAL E REPRES</v>
      </c>
      <c r="E5038" s="21">
        <f>IFERROR(__xludf.DUMMYFUNCTION("""COMPUTED_VALUE"""),145359.0)</f>
        <v>145359</v>
      </c>
      <c r="F5038" s="21" t="str">
        <f>IFERROR(__xludf.DUMMYFUNCTION("""COMPUTED_VALUE"""),"INICIALIZADO")</f>
        <v>INICIALIZADO</v>
      </c>
      <c r="G5038" s="23">
        <f>IFERROR(__xludf.DUMMYFUNCTION("""COMPUTED_VALUE"""),45639.64979166667)</f>
        <v>45639.64979</v>
      </c>
      <c r="H5038" s="24" t="str">
        <f>IFERROR(VLOOKUP(B5038,material!A:D,3,0),"")</f>
        <v>3.1</v>
      </c>
    </row>
    <row r="5039" ht="11.25" customHeight="1">
      <c r="A5039" s="21" t="str">
        <f>IFERROR(__xludf.DUMMYFUNCTION("""COMPUTED_VALUE"""),"MODEM VOIP EMTA WIFI 3.1 HGJ310")</f>
        <v>MODEM VOIP EMTA WIFI 3.1 HGJ310</v>
      </c>
      <c r="B5039" s="22">
        <f>IFERROR(__xludf.DUMMYFUNCTION("""COMPUTED_VALUE"""),4.1001481E7)</f>
        <v>41001481</v>
      </c>
      <c r="C5039" s="21" t="str">
        <f>IFERROR(__xludf.DUMMYFUNCTION("""COMPUTED_VALUE"""),"8C444FEB63C9")</f>
        <v>8C444FEB63C9</v>
      </c>
      <c r="D5039" s="21" t="str">
        <f>IFERROR(__xludf.DUMMYFUNCTION("""COMPUTED_VALUE"""),"DIGITEC TECNOLOGIA DIGITAL E REPRES")</f>
        <v>DIGITEC TECNOLOGIA DIGITAL E REPRES</v>
      </c>
      <c r="E5039" s="21">
        <f>IFERROR(__xludf.DUMMYFUNCTION("""COMPUTED_VALUE"""),145359.0)</f>
        <v>145359</v>
      </c>
      <c r="F5039" s="21" t="str">
        <f>IFERROR(__xludf.DUMMYFUNCTION("""COMPUTED_VALUE"""),"INICIALIZADO")</f>
        <v>INICIALIZADO</v>
      </c>
      <c r="G5039" s="23">
        <f>IFERROR(__xludf.DUMMYFUNCTION("""COMPUTED_VALUE"""),45639.64980324074)</f>
        <v>45639.6498</v>
      </c>
      <c r="H5039" s="24" t="str">
        <f>IFERROR(VLOOKUP(B5039,material!A:D,3,0),"")</f>
        <v>3.1</v>
      </c>
    </row>
    <row r="5040" ht="11.25" customHeight="1">
      <c r="A5040" s="21" t="str">
        <f>IFERROR(__xludf.DUMMYFUNCTION("""COMPUTED_VALUE"""),"MODEM VOIP EMTA WIFI 3.1 HGJ310")</f>
        <v>MODEM VOIP EMTA WIFI 3.1 HGJ310</v>
      </c>
      <c r="B5040" s="22">
        <f>IFERROR(__xludf.DUMMYFUNCTION("""COMPUTED_VALUE"""),4.1001481E7)</f>
        <v>41001481</v>
      </c>
      <c r="C5040" s="21" t="str">
        <f>IFERROR(__xludf.DUMMYFUNCTION("""COMPUTED_VALUE"""),"D86C5A4E8979")</f>
        <v>D86C5A4E8979</v>
      </c>
      <c r="D5040" s="21" t="str">
        <f>IFERROR(__xludf.DUMMYFUNCTION("""COMPUTED_VALUE"""),"DIGITEC TECNOLOGIA DIGITAL E REPRES")</f>
        <v>DIGITEC TECNOLOGIA DIGITAL E REPRES</v>
      </c>
      <c r="E5040" s="21">
        <f>IFERROR(__xludf.DUMMYFUNCTION("""COMPUTED_VALUE"""),145359.0)</f>
        <v>145359</v>
      </c>
      <c r="F5040" s="21" t="str">
        <f>IFERROR(__xludf.DUMMYFUNCTION("""COMPUTED_VALUE"""),"INICIALIZADO")</f>
        <v>INICIALIZADO</v>
      </c>
      <c r="G5040" s="23">
        <f>IFERROR(__xludf.DUMMYFUNCTION("""COMPUTED_VALUE"""),45639.64981481481)</f>
        <v>45639.64981</v>
      </c>
      <c r="H5040" s="24" t="str">
        <f>IFERROR(VLOOKUP(B5040,material!A:D,3,0),"")</f>
        <v>3.1</v>
      </c>
    </row>
    <row r="5041" ht="11.25" customHeight="1">
      <c r="A5041" s="21" t="str">
        <f>IFERROR(__xludf.DUMMYFUNCTION("""COMPUTED_VALUE"""),"MODEM VOIP EMTA WIFI 3.1 HGJ310")</f>
        <v>MODEM VOIP EMTA WIFI 3.1 HGJ310</v>
      </c>
      <c r="B5041" s="22">
        <f>IFERROR(__xludf.DUMMYFUNCTION("""COMPUTED_VALUE"""),4.1001481E7)</f>
        <v>41001481</v>
      </c>
      <c r="C5041" s="21" t="str">
        <f>IFERROR(__xludf.DUMMYFUNCTION("""COMPUTED_VALUE"""),"D86C5A4A60F4")</f>
        <v>D86C5A4A60F4</v>
      </c>
      <c r="D5041" s="21" t="str">
        <f>IFERROR(__xludf.DUMMYFUNCTION("""COMPUTED_VALUE"""),"DIGITEC TECNOLOGIA DIGITAL E REPRES")</f>
        <v>DIGITEC TECNOLOGIA DIGITAL E REPRES</v>
      </c>
      <c r="E5041" s="21">
        <f>IFERROR(__xludf.DUMMYFUNCTION("""COMPUTED_VALUE"""),145359.0)</f>
        <v>145359</v>
      </c>
      <c r="F5041" s="21" t="str">
        <f>IFERROR(__xludf.DUMMYFUNCTION("""COMPUTED_VALUE"""),"INICIALIZADO")</f>
        <v>INICIALIZADO</v>
      </c>
      <c r="G5041" s="23">
        <f>IFERROR(__xludf.DUMMYFUNCTION("""COMPUTED_VALUE"""),45639.64981481481)</f>
        <v>45639.64981</v>
      </c>
      <c r="H5041" s="24" t="str">
        <f>IFERROR(VLOOKUP(B5041,material!A:D,3,0),"")</f>
        <v>3.1</v>
      </c>
    </row>
    <row r="5042" ht="11.25" customHeight="1">
      <c r="A5042" s="21" t="str">
        <f>IFERROR(__xludf.DUMMYFUNCTION("""COMPUTED_VALUE"""),"MODEM VOIP EMTA WIFI 3.1 HGJ310")</f>
        <v>MODEM VOIP EMTA WIFI 3.1 HGJ310</v>
      </c>
      <c r="B5042" s="22">
        <f>IFERROR(__xludf.DUMMYFUNCTION("""COMPUTED_VALUE"""),4.1001481E7)</f>
        <v>41001481</v>
      </c>
      <c r="C5042" s="21" t="str">
        <f>IFERROR(__xludf.DUMMYFUNCTION("""COMPUTED_VALUE"""),"D86C5A5735FD")</f>
        <v>D86C5A5735FD</v>
      </c>
      <c r="D5042" s="21" t="str">
        <f>IFERROR(__xludf.DUMMYFUNCTION("""COMPUTED_VALUE"""),"DIGITEC TECNOLOGIA DIGITAL E REPRES")</f>
        <v>DIGITEC TECNOLOGIA DIGITAL E REPRES</v>
      </c>
      <c r="E5042" s="21">
        <f>IFERROR(__xludf.DUMMYFUNCTION("""COMPUTED_VALUE"""),145359.0)</f>
        <v>145359</v>
      </c>
      <c r="F5042" s="21" t="str">
        <f>IFERROR(__xludf.DUMMYFUNCTION("""COMPUTED_VALUE"""),"INICIALIZADO")</f>
        <v>INICIALIZADO</v>
      </c>
      <c r="G5042" s="23">
        <f>IFERROR(__xludf.DUMMYFUNCTION("""COMPUTED_VALUE"""),45628.35653935185)</f>
        <v>45628.35654</v>
      </c>
      <c r="H5042" s="24" t="str">
        <f>IFERROR(VLOOKUP(B5042,material!A:D,3,0),"")</f>
        <v>3.1</v>
      </c>
    </row>
    <row r="5043" ht="11.25" customHeight="1">
      <c r="A5043" s="21" t="str">
        <f>IFERROR(__xludf.DUMMYFUNCTION("""COMPUTED_VALUE"""),"MODEM VOIP EMTA WIFI 3.1 HGJ310")</f>
        <v>MODEM VOIP EMTA WIFI 3.1 HGJ310</v>
      </c>
      <c r="B5043" s="22">
        <f>IFERROR(__xludf.DUMMYFUNCTION("""COMPUTED_VALUE"""),4.1001481E7)</f>
        <v>41001481</v>
      </c>
      <c r="C5043" s="21" t="str">
        <f>IFERROR(__xludf.DUMMYFUNCTION("""COMPUTED_VALUE"""),"D86C5A48A1E2")</f>
        <v>D86C5A48A1E2</v>
      </c>
      <c r="D5043" s="21" t="str">
        <f>IFERROR(__xludf.DUMMYFUNCTION("""COMPUTED_VALUE"""),"DIGITEC TECNOLOGIA DIGITAL E REPRES")</f>
        <v>DIGITEC TECNOLOGIA DIGITAL E REPRES</v>
      </c>
      <c r="E5043" s="21">
        <f>IFERROR(__xludf.DUMMYFUNCTION("""COMPUTED_VALUE"""),145359.0)</f>
        <v>145359</v>
      </c>
      <c r="F5043" s="21" t="str">
        <f>IFERROR(__xludf.DUMMYFUNCTION("""COMPUTED_VALUE"""),"INICIALIZADO")</f>
        <v>INICIALIZADO</v>
      </c>
      <c r="G5043" s="23">
        <f>IFERROR(__xludf.DUMMYFUNCTION("""COMPUTED_VALUE"""),45628.35652777778)</f>
        <v>45628.35653</v>
      </c>
      <c r="H5043" s="24" t="str">
        <f>IFERROR(VLOOKUP(B5043,material!A:D,3,0),"")</f>
        <v>3.1</v>
      </c>
    </row>
    <row r="5044" ht="11.25" customHeight="1">
      <c r="A5044" s="21" t="str">
        <f>IFERROR(__xludf.DUMMYFUNCTION("""COMPUTED_VALUE"""),"MODEM VOIP EMTA WIFI 3.1 HGJ310")</f>
        <v>MODEM VOIP EMTA WIFI 3.1 HGJ310</v>
      </c>
      <c r="B5044" s="22">
        <f>IFERROR(__xludf.DUMMYFUNCTION("""COMPUTED_VALUE"""),4.1001481E7)</f>
        <v>41001481</v>
      </c>
      <c r="C5044" s="21" t="str">
        <f>IFERROR(__xludf.DUMMYFUNCTION("""COMPUTED_VALUE"""),"D86C5A4D8B42")</f>
        <v>D86C5A4D8B42</v>
      </c>
      <c r="D5044" s="21" t="str">
        <f>IFERROR(__xludf.DUMMYFUNCTION("""COMPUTED_VALUE"""),"DIGITEC TECNOLOGIA DIGITAL E REPRES")</f>
        <v>DIGITEC TECNOLOGIA DIGITAL E REPRES</v>
      </c>
      <c r="E5044" s="21">
        <f>IFERROR(__xludf.DUMMYFUNCTION("""COMPUTED_VALUE"""),145359.0)</f>
        <v>145359</v>
      </c>
      <c r="F5044" s="21" t="str">
        <f>IFERROR(__xludf.DUMMYFUNCTION("""COMPUTED_VALUE"""),"INICIALIZADO")</f>
        <v>INICIALIZADO</v>
      </c>
      <c r="G5044" s="23">
        <f>IFERROR(__xludf.DUMMYFUNCTION("""COMPUTED_VALUE"""),45638.68789351852)</f>
        <v>45638.68789</v>
      </c>
      <c r="H5044" s="24" t="str">
        <f>IFERROR(VLOOKUP(B5044,material!A:D,3,0),"")</f>
        <v>3.1</v>
      </c>
    </row>
    <row r="5045" ht="11.25" customHeight="1">
      <c r="A5045" s="21" t="str">
        <f>IFERROR(__xludf.DUMMYFUNCTION("""COMPUTED_VALUE"""),"MODEM VOIP EMTA WIFI 3.1 HGJ310")</f>
        <v>MODEM VOIP EMTA WIFI 3.1 HGJ310</v>
      </c>
      <c r="B5045" s="22">
        <f>IFERROR(__xludf.DUMMYFUNCTION("""COMPUTED_VALUE"""),4.1001481E7)</f>
        <v>41001481</v>
      </c>
      <c r="C5045" s="21" t="str">
        <f>IFERROR(__xludf.DUMMYFUNCTION("""COMPUTED_VALUE"""),"D86C5A4D7DB9")</f>
        <v>D86C5A4D7DB9</v>
      </c>
      <c r="D5045" s="21" t="str">
        <f>IFERROR(__xludf.DUMMYFUNCTION("""COMPUTED_VALUE"""),"DIGITEC TECNOLOGIA DIGITAL E REPRES")</f>
        <v>DIGITEC TECNOLOGIA DIGITAL E REPRES</v>
      </c>
      <c r="E5045" s="21">
        <f>IFERROR(__xludf.DUMMYFUNCTION("""COMPUTED_VALUE"""),145359.0)</f>
        <v>145359</v>
      </c>
      <c r="F5045" s="21" t="str">
        <f>IFERROR(__xludf.DUMMYFUNCTION("""COMPUTED_VALUE"""),"INICIALIZADO")</f>
        <v>INICIALIZADO</v>
      </c>
      <c r="G5045" s="23">
        <f>IFERROR(__xludf.DUMMYFUNCTION("""COMPUTED_VALUE"""),45639.64981481481)</f>
        <v>45639.64981</v>
      </c>
      <c r="H5045" s="24" t="str">
        <f>IFERROR(VLOOKUP(B5045,material!A:D,3,0),"")</f>
        <v>3.1</v>
      </c>
    </row>
    <row r="5046" ht="11.25" customHeight="1">
      <c r="A5046" s="21" t="str">
        <f>IFERROR(__xludf.DUMMYFUNCTION("""COMPUTED_VALUE"""),"MODEM VOIP EMTA WIFI 3.1 HGJ310")</f>
        <v>MODEM VOIP EMTA WIFI 3.1 HGJ310</v>
      </c>
      <c r="B5046" s="22">
        <f>IFERROR(__xludf.DUMMYFUNCTION("""COMPUTED_VALUE"""),4.1001481E7)</f>
        <v>41001481</v>
      </c>
      <c r="C5046" s="21" t="str">
        <f>IFERROR(__xludf.DUMMYFUNCTION("""COMPUTED_VALUE"""),"D86C5A59B8B4")</f>
        <v>D86C5A59B8B4</v>
      </c>
      <c r="D5046" s="21" t="str">
        <f>IFERROR(__xludf.DUMMYFUNCTION("""COMPUTED_VALUE"""),"DIGITEC TECNOLOGIA DIGITAL E REPRES")</f>
        <v>DIGITEC TECNOLOGIA DIGITAL E REPRES</v>
      </c>
      <c r="E5046" s="21">
        <f>IFERROR(__xludf.DUMMYFUNCTION("""COMPUTED_VALUE"""),145359.0)</f>
        <v>145359</v>
      </c>
      <c r="F5046" s="21" t="str">
        <f>IFERROR(__xludf.DUMMYFUNCTION("""COMPUTED_VALUE"""),"INICIALIZADO")</f>
        <v>INICIALIZADO</v>
      </c>
      <c r="G5046" s="23">
        <f>IFERROR(__xludf.DUMMYFUNCTION("""COMPUTED_VALUE"""),45628.35653935185)</f>
        <v>45628.35654</v>
      </c>
      <c r="H5046" s="24" t="str">
        <f>IFERROR(VLOOKUP(B5046,material!A:D,3,0),"")</f>
        <v>3.1</v>
      </c>
    </row>
    <row r="5047" ht="11.25" customHeight="1">
      <c r="A5047" s="21" t="str">
        <f>IFERROR(__xludf.DUMMYFUNCTION("""COMPUTED_VALUE"""),"MODEM VOIP EMTA WIFI 3.1 HGJ310")</f>
        <v>MODEM VOIP EMTA WIFI 3.1 HGJ310</v>
      </c>
      <c r="B5047" s="22">
        <f>IFERROR(__xludf.DUMMYFUNCTION("""COMPUTED_VALUE"""),4.1001481E7)</f>
        <v>41001481</v>
      </c>
      <c r="C5047" s="21" t="str">
        <f>IFERROR(__xludf.DUMMYFUNCTION("""COMPUTED_VALUE"""),"D86C5A4EB33A")</f>
        <v>D86C5A4EB33A</v>
      </c>
      <c r="D5047" s="21" t="str">
        <f>IFERROR(__xludf.DUMMYFUNCTION("""COMPUTED_VALUE"""),"DIGITEC TECNOLOGIA DIGITAL E REPRES")</f>
        <v>DIGITEC TECNOLOGIA DIGITAL E REPRES</v>
      </c>
      <c r="E5047" s="21">
        <f>IFERROR(__xludf.DUMMYFUNCTION("""COMPUTED_VALUE"""),145359.0)</f>
        <v>145359</v>
      </c>
      <c r="F5047" s="21" t="str">
        <f>IFERROR(__xludf.DUMMYFUNCTION("""COMPUTED_VALUE"""),"INICIALIZADO")</f>
        <v>INICIALIZADO</v>
      </c>
      <c r="G5047" s="23">
        <f>IFERROR(__xludf.DUMMYFUNCTION("""COMPUTED_VALUE"""),45628.35653935185)</f>
        <v>45628.35654</v>
      </c>
      <c r="H5047" s="24" t="str">
        <f>IFERROR(VLOOKUP(B5047,material!A:D,3,0),"")</f>
        <v>3.1</v>
      </c>
    </row>
    <row r="5048" ht="11.25" customHeight="1">
      <c r="A5048" s="21" t="str">
        <f>IFERROR(__xludf.DUMMYFUNCTION("""COMPUTED_VALUE"""),"MODEM VOIP EMTA WIFI 3.1 HGJ310")</f>
        <v>MODEM VOIP EMTA WIFI 3.1 HGJ310</v>
      </c>
      <c r="B5048" s="22">
        <f>IFERROR(__xludf.DUMMYFUNCTION("""COMPUTED_VALUE"""),4.1001481E7)</f>
        <v>41001481</v>
      </c>
      <c r="C5048" s="21" t="str">
        <f>IFERROR(__xludf.DUMMYFUNCTION("""COMPUTED_VALUE"""),"D86C5A48BF01")</f>
        <v>D86C5A48BF01</v>
      </c>
      <c r="D5048" s="21" t="str">
        <f>IFERROR(__xludf.DUMMYFUNCTION("""COMPUTED_VALUE"""),"DIGITEC TECNOLOGIA DIGITAL E REPRES")</f>
        <v>DIGITEC TECNOLOGIA DIGITAL E REPRES</v>
      </c>
      <c r="E5048" s="21">
        <f>IFERROR(__xludf.DUMMYFUNCTION("""COMPUTED_VALUE"""),145359.0)</f>
        <v>145359</v>
      </c>
      <c r="F5048" s="21" t="str">
        <f>IFERROR(__xludf.DUMMYFUNCTION("""COMPUTED_VALUE"""),"INICIALIZADO")</f>
        <v>INICIALIZADO</v>
      </c>
      <c r="G5048" s="23">
        <f>IFERROR(__xludf.DUMMYFUNCTION("""COMPUTED_VALUE"""),45639.64981481481)</f>
        <v>45639.64981</v>
      </c>
      <c r="H5048" s="24" t="str">
        <f>IFERROR(VLOOKUP(B5048,material!A:D,3,0),"")</f>
        <v>3.1</v>
      </c>
    </row>
    <row r="5049" ht="11.25" customHeight="1">
      <c r="A5049" s="21" t="str">
        <f>IFERROR(__xludf.DUMMYFUNCTION("""COMPUTED_VALUE"""),"MODEM VOIP EMTA WIFI 3.1 HGJ310")</f>
        <v>MODEM VOIP EMTA WIFI 3.1 HGJ310</v>
      </c>
      <c r="B5049" s="22">
        <f>IFERROR(__xludf.DUMMYFUNCTION("""COMPUTED_VALUE"""),4.1001481E7)</f>
        <v>41001481</v>
      </c>
      <c r="C5049" s="21" t="str">
        <f>IFERROR(__xludf.DUMMYFUNCTION("""COMPUTED_VALUE"""),"C85D38852498")</f>
        <v>C85D38852498</v>
      </c>
      <c r="D5049" s="21" t="str">
        <f>IFERROR(__xludf.DUMMYFUNCTION("""COMPUTED_VALUE"""),"DIGITEC TECNOLOGIA DIGITAL E REPRES")</f>
        <v>DIGITEC TECNOLOGIA DIGITAL E REPRES</v>
      </c>
      <c r="E5049" s="21">
        <f>IFERROR(__xludf.DUMMYFUNCTION("""COMPUTED_VALUE"""),145359.0)</f>
        <v>145359</v>
      </c>
      <c r="F5049" s="21" t="str">
        <f>IFERROR(__xludf.DUMMYFUNCTION("""COMPUTED_VALUE"""),"INICIALIZADO")</f>
        <v>INICIALIZADO</v>
      </c>
      <c r="G5049" s="23">
        <f>IFERROR(__xludf.DUMMYFUNCTION("""COMPUTED_VALUE"""),45639.64983796296)</f>
        <v>45639.64984</v>
      </c>
      <c r="H5049" s="24" t="str">
        <f>IFERROR(VLOOKUP(B5049,material!A:D,3,0),"")</f>
        <v>3.1</v>
      </c>
    </row>
    <row r="5050" ht="11.25" customHeight="1">
      <c r="A5050" s="21" t="str">
        <f>IFERROR(__xludf.DUMMYFUNCTION("""COMPUTED_VALUE"""),"MODEM VOIP EMTA WIFI 3.1 HGJ310")</f>
        <v>MODEM VOIP EMTA WIFI 3.1 HGJ310</v>
      </c>
      <c r="B5050" s="22">
        <f>IFERROR(__xludf.DUMMYFUNCTION("""COMPUTED_VALUE"""),4.1001481E7)</f>
        <v>41001481</v>
      </c>
      <c r="C5050" s="21" t="str">
        <f>IFERROR(__xludf.DUMMYFUNCTION("""COMPUTED_VALUE"""),"C85D38931461")</f>
        <v>C85D38931461</v>
      </c>
      <c r="D5050" s="21" t="str">
        <f>IFERROR(__xludf.DUMMYFUNCTION("""COMPUTED_VALUE"""),"DIGITEC TECNOLOGIA DIGITAL E REPRES")</f>
        <v>DIGITEC TECNOLOGIA DIGITAL E REPRES</v>
      </c>
      <c r="E5050" s="21">
        <f>IFERROR(__xludf.DUMMYFUNCTION("""COMPUTED_VALUE"""),145359.0)</f>
        <v>145359</v>
      </c>
      <c r="F5050" s="21" t="str">
        <f>IFERROR(__xludf.DUMMYFUNCTION("""COMPUTED_VALUE"""),"INICIALIZADO")</f>
        <v>INICIALIZADO</v>
      </c>
      <c r="G5050" s="23">
        <f>IFERROR(__xludf.DUMMYFUNCTION("""COMPUTED_VALUE"""),45639.64982638889)</f>
        <v>45639.64983</v>
      </c>
      <c r="H5050" s="24" t="str">
        <f>IFERROR(VLOOKUP(B5050,material!A:D,3,0),"")</f>
        <v>3.1</v>
      </c>
    </row>
    <row r="5051" ht="11.25" customHeight="1">
      <c r="A5051" s="21" t="str">
        <f>IFERROR(__xludf.DUMMYFUNCTION("""COMPUTED_VALUE"""),"MODEM VOIP EMTA WIFI 3.1 HGJ310")</f>
        <v>MODEM VOIP EMTA WIFI 3.1 HGJ310</v>
      </c>
      <c r="B5051" s="22">
        <f>IFERROR(__xludf.DUMMYFUNCTION("""COMPUTED_VALUE"""),4.1001481E7)</f>
        <v>41001481</v>
      </c>
      <c r="C5051" s="21" t="str">
        <f>IFERROR(__xludf.DUMMYFUNCTION("""COMPUTED_VALUE"""),"C85D38930AB3")</f>
        <v>C85D38930AB3</v>
      </c>
      <c r="D5051" s="21" t="str">
        <f>IFERROR(__xludf.DUMMYFUNCTION("""COMPUTED_VALUE"""),"DIGITEC TECNOLOGIA DIGITAL E REPRES")</f>
        <v>DIGITEC TECNOLOGIA DIGITAL E REPRES</v>
      </c>
      <c r="E5051" s="21">
        <f>IFERROR(__xludf.DUMMYFUNCTION("""COMPUTED_VALUE"""),145359.0)</f>
        <v>145359</v>
      </c>
      <c r="F5051" s="21" t="str">
        <f>IFERROR(__xludf.DUMMYFUNCTION("""COMPUTED_VALUE"""),"INICIALIZADO")</f>
        <v>INICIALIZADO</v>
      </c>
      <c r="G5051" s="23">
        <f>IFERROR(__xludf.DUMMYFUNCTION("""COMPUTED_VALUE"""),45639.64982638889)</f>
        <v>45639.64983</v>
      </c>
      <c r="H5051" s="24" t="str">
        <f>IFERROR(VLOOKUP(B5051,material!A:D,3,0),"")</f>
        <v>3.1</v>
      </c>
    </row>
    <row r="5052" ht="11.25" customHeight="1">
      <c r="A5052" s="21" t="str">
        <f>IFERROR(__xludf.DUMMYFUNCTION("""COMPUTED_VALUE"""),"MODEM VOIP EMTA WIFI 3.1 HGJ310")</f>
        <v>MODEM VOIP EMTA WIFI 3.1 HGJ310</v>
      </c>
      <c r="B5052" s="22">
        <f>IFERROR(__xludf.DUMMYFUNCTION("""COMPUTED_VALUE"""),4.1001481E7)</f>
        <v>41001481</v>
      </c>
      <c r="C5052" s="21" t="str">
        <f>IFERROR(__xludf.DUMMYFUNCTION("""COMPUTED_VALUE"""),"C85D3892C5A1")</f>
        <v>C85D3892C5A1</v>
      </c>
      <c r="D5052" s="21" t="str">
        <f>IFERROR(__xludf.DUMMYFUNCTION("""COMPUTED_VALUE"""),"DIGITEC TECNOLOGIA DIGITAL E REPRES")</f>
        <v>DIGITEC TECNOLOGIA DIGITAL E REPRES</v>
      </c>
      <c r="E5052" s="21">
        <f>IFERROR(__xludf.DUMMYFUNCTION("""COMPUTED_VALUE"""),145359.0)</f>
        <v>145359</v>
      </c>
      <c r="F5052" s="21" t="str">
        <f>IFERROR(__xludf.DUMMYFUNCTION("""COMPUTED_VALUE"""),"INICIALIZADO")</f>
        <v>INICIALIZADO</v>
      </c>
      <c r="G5052" s="23">
        <f>IFERROR(__xludf.DUMMYFUNCTION("""COMPUTED_VALUE"""),45560.436956018515)</f>
        <v>45560.43696</v>
      </c>
      <c r="H5052" s="24" t="str">
        <f>IFERROR(VLOOKUP(B5052,material!A:D,3,0),"")</f>
        <v>3.1</v>
      </c>
    </row>
    <row r="5053" ht="11.25" customHeight="1">
      <c r="A5053" s="21" t="str">
        <f>IFERROR(__xludf.DUMMYFUNCTION("""COMPUTED_VALUE"""),"MODEM VOIP EMTA WIFI 3.1 HGJ310")</f>
        <v>MODEM VOIP EMTA WIFI 3.1 HGJ310</v>
      </c>
      <c r="B5053" s="22">
        <f>IFERROR(__xludf.DUMMYFUNCTION("""COMPUTED_VALUE"""),4.1001481E7)</f>
        <v>41001481</v>
      </c>
      <c r="C5053" s="21" t="str">
        <f>IFERROR(__xludf.DUMMYFUNCTION("""COMPUTED_VALUE"""),"C85D38899412")</f>
        <v>C85D38899412</v>
      </c>
      <c r="D5053" s="21" t="str">
        <f>IFERROR(__xludf.DUMMYFUNCTION("""COMPUTED_VALUE"""),"DIGITEC TECNOLOGIA DIGITAL E REPRES")</f>
        <v>DIGITEC TECNOLOGIA DIGITAL E REPRES</v>
      </c>
      <c r="E5053" s="21">
        <f>IFERROR(__xludf.DUMMYFUNCTION("""COMPUTED_VALUE"""),145359.0)</f>
        <v>145359</v>
      </c>
      <c r="F5053" s="21" t="str">
        <f>IFERROR(__xludf.DUMMYFUNCTION("""COMPUTED_VALUE"""),"INICIALIZADO")</f>
        <v>INICIALIZADO</v>
      </c>
      <c r="G5053" s="23">
        <f>IFERROR(__xludf.DUMMYFUNCTION("""COMPUTED_VALUE"""),45639.64983796296)</f>
        <v>45639.64984</v>
      </c>
      <c r="H5053" s="24" t="str">
        <f>IFERROR(VLOOKUP(B5053,material!A:D,3,0),"")</f>
        <v>3.1</v>
      </c>
    </row>
    <row r="5054" ht="11.25" customHeight="1">
      <c r="A5054" s="21" t="str">
        <f>IFERROR(__xludf.DUMMYFUNCTION("""COMPUTED_VALUE"""),"MODEM VOIP EMTA WIFI 3.1 HGJ310")</f>
        <v>MODEM VOIP EMTA WIFI 3.1 HGJ310</v>
      </c>
      <c r="B5054" s="22">
        <f>IFERROR(__xludf.DUMMYFUNCTION("""COMPUTED_VALUE"""),4.1001481E7)</f>
        <v>41001481</v>
      </c>
      <c r="C5054" s="21" t="str">
        <f>IFERROR(__xludf.DUMMYFUNCTION("""COMPUTED_VALUE"""),"C85D389469B6")</f>
        <v>C85D389469B6</v>
      </c>
      <c r="D5054" s="21" t="str">
        <f>IFERROR(__xludf.DUMMYFUNCTION("""COMPUTED_VALUE"""),"DIGITEC TECNOLOGIA DIGITAL E REPRES")</f>
        <v>DIGITEC TECNOLOGIA DIGITAL E REPRES</v>
      </c>
      <c r="E5054" s="21">
        <f>IFERROR(__xludf.DUMMYFUNCTION("""COMPUTED_VALUE"""),145359.0)</f>
        <v>145359</v>
      </c>
      <c r="F5054" s="21" t="str">
        <f>IFERROR(__xludf.DUMMYFUNCTION("""COMPUTED_VALUE"""),"INICIALIZADO")</f>
        <v>INICIALIZADO</v>
      </c>
      <c r="G5054" s="23">
        <f>IFERROR(__xludf.DUMMYFUNCTION("""COMPUTED_VALUE"""),45639.64982638889)</f>
        <v>45639.64983</v>
      </c>
      <c r="H5054" s="24" t="str">
        <f>IFERROR(VLOOKUP(B5054,material!A:D,3,0),"")</f>
        <v>3.1</v>
      </c>
    </row>
    <row r="5055" ht="11.25" customHeight="1">
      <c r="A5055" s="21" t="str">
        <f>IFERROR(__xludf.DUMMYFUNCTION("""COMPUTED_VALUE"""),"MODEM VOIP EMTA WIFI 3.1 HGJ310")</f>
        <v>MODEM VOIP EMTA WIFI 3.1 HGJ310</v>
      </c>
      <c r="B5055" s="22">
        <f>IFERROR(__xludf.DUMMYFUNCTION("""COMPUTED_VALUE"""),4.1001481E7)</f>
        <v>41001481</v>
      </c>
      <c r="C5055" s="21" t="str">
        <f>IFERROR(__xludf.DUMMYFUNCTION("""COMPUTED_VALUE"""),"C85D38883929")</f>
        <v>C85D38883929</v>
      </c>
      <c r="D5055" s="21" t="str">
        <f>IFERROR(__xludf.DUMMYFUNCTION("""COMPUTED_VALUE"""),"DIGITEC TECNOLOGIA DIGITAL E REPRES")</f>
        <v>DIGITEC TECNOLOGIA DIGITAL E REPRES</v>
      </c>
      <c r="E5055" s="21">
        <f>IFERROR(__xludf.DUMMYFUNCTION("""COMPUTED_VALUE"""),145359.0)</f>
        <v>145359</v>
      </c>
      <c r="F5055" s="21" t="str">
        <f>IFERROR(__xludf.DUMMYFUNCTION("""COMPUTED_VALUE"""),"INICIALIZADO")</f>
        <v>INICIALIZADO</v>
      </c>
      <c r="G5055" s="23">
        <f>IFERROR(__xludf.DUMMYFUNCTION("""COMPUTED_VALUE"""),45639.64983796296)</f>
        <v>45639.64984</v>
      </c>
      <c r="H5055" s="24" t="str">
        <f>IFERROR(VLOOKUP(B5055,material!A:D,3,0),"")</f>
        <v>3.1</v>
      </c>
    </row>
    <row r="5056" ht="11.25" customHeight="1">
      <c r="A5056" s="21" t="str">
        <f>IFERROR(__xludf.DUMMYFUNCTION("""COMPUTED_VALUE"""),"MODEM VOIP EMTA WIFI 3.1 HGJ310")</f>
        <v>MODEM VOIP EMTA WIFI 3.1 HGJ310</v>
      </c>
      <c r="B5056" s="22">
        <f>IFERROR(__xludf.DUMMYFUNCTION("""COMPUTED_VALUE"""),4.1001481E7)</f>
        <v>41001481</v>
      </c>
      <c r="C5056" s="21" t="str">
        <f>IFERROR(__xludf.DUMMYFUNCTION("""COMPUTED_VALUE"""),"C85D3887ADCA")</f>
        <v>C85D3887ADCA</v>
      </c>
      <c r="D5056" s="21" t="str">
        <f>IFERROR(__xludf.DUMMYFUNCTION("""COMPUTED_VALUE"""),"DIGITEC TECNOLOGIA DIGITAL E REPRES")</f>
        <v>DIGITEC TECNOLOGIA DIGITAL E REPRES</v>
      </c>
      <c r="E5056" s="21">
        <f>IFERROR(__xludf.DUMMYFUNCTION("""COMPUTED_VALUE"""),145359.0)</f>
        <v>145359</v>
      </c>
      <c r="F5056" s="21" t="str">
        <f>IFERROR(__xludf.DUMMYFUNCTION("""COMPUTED_VALUE"""),"INICIALIZADO")</f>
        <v>INICIALIZADO</v>
      </c>
      <c r="G5056" s="23">
        <f>IFERROR(__xludf.DUMMYFUNCTION("""COMPUTED_VALUE"""),45639.64983796296)</f>
        <v>45639.64984</v>
      </c>
      <c r="H5056" s="24" t="str">
        <f>IFERROR(VLOOKUP(B5056,material!A:D,3,0),"")</f>
        <v>3.1</v>
      </c>
    </row>
    <row r="5057" ht="11.25" customHeight="1">
      <c r="A5057" s="21" t="str">
        <f>IFERROR(__xludf.DUMMYFUNCTION("""COMPUTED_VALUE"""),"MODEM VOIP EMTA WIFI 3.1 HGJ310")</f>
        <v>MODEM VOIP EMTA WIFI 3.1 HGJ310</v>
      </c>
      <c r="B5057" s="22">
        <f>IFERROR(__xludf.DUMMYFUNCTION("""COMPUTED_VALUE"""),4.1001481E7)</f>
        <v>41001481</v>
      </c>
      <c r="C5057" s="21" t="str">
        <f>IFERROR(__xludf.DUMMYFUNCTION("""COMPUTED_VALUE"""),"C85D388BE090")</f>
        <v>C85D388BE090</v>
      </c>
      <c r="D5057" s="21" t="str">
        <f>IFERROR(__xludf.DUMMYFUNCTION("""COMPUTED_VALUE"""),"DIGITEC TECNOLOGIA DIGITAL E REPRES")</f>
        <v>DIGITEC TECNOLOGIA DIGITAL E REPRES</v>
      </c>
      <c r="E5057" s="21">
        <f>IFERROR(__xludf.DUMMYFUNCTION("""COMPUTED_VALUE"""),145359.0)</f>
        <v>145359</v>
      </c>
      <c r="F5057" s="21" t="str">
        <f>IFERROR(__xludf.DUMMYFUNCTION("""COMPUTED_VALUE"""),"INICIALIZADO")</f>
        <v>INICIALIZADO</v>
      </c>
      <c r="G5057" s="23">
        <f>IFERROR(__xludf.DUMMYFUNCTION("""COMPUTED_VALUE"""),45639.64982638889)</f>
        <v>45639.64983</v>
      </c>
      <c r="H5057" s="24" t="str">
        <f>IFERROR(VLOOKUP(B5057,material!A:D,3,0),"")</f>
        <v>3.1</v>
      </c>
    </row>
    <row r="5058" ht="11.25" customHeight="1">
      <c r="A5058" s="21" t="str">
        <f>IFERROR(__xludf.DUMMYFUNCTION("""COMPUTED_VALUE"""),"MODEM VOIP EMTA WIFI 3.1 HGJ310")</f>
        <v>MODEM VOIP EMTA WIFI 3.1 HGJ310</v>
      </c>
      <c r="B5058" s="22">
        <f>IFERROR(__xludf.DUMMYFUNCTION("""COMPUTED_VALUE"""),4.1001481E7)</f>
        <v>41001481</v>
      </c>
      <c r="C5058" s="21" t="str">
        <f>IFERROR(__xludf.DUMMYFUNCTION("""COMPUTED_VALUE"""),"C85D3892B4A6")</f>
        <v>C85D3892B4A6</v>
      </c>
      <c r="D5058" s="21" t="str">
        <f>IFERROR(__xludf.DUMMYFUNCTION("""COMPUTED_VALUE"""),"DIGITEC TECNOLOGIA DIGITAL E REPRES")</f>
        <v>DIGITEC TECNOLOGIA DIGITAL E REPRES</v>
      </c>
      <c r="E5058" s="21">
        <f>IFERROR(__xludf.DUMMYFUNCTION("""COMPUTED_VALUE"""),145359.0)</f>
        <v>145359</v>
      </c>
      <c r="F5058" s="21" t="str">
        <f>IFERROR(__xludf.DUMMYFUNCTION("""COMPUTED_VALUE"""),"INICIALIZADO")</f>
        <v>INICIALIZADO</v>
      </c>
      <c r="G5058" s="23">
        <f>IFERROR(__xludf.DUMMYFUNCTION("""COMPUTED_VALUE"""),45639.64982638889)</f>
        <v>45639.64983</v>
      </c>
      <c r="H5058" s="24" t="str">
        <f>IFERROR(VLOOKUP(B5058,material!A:D,3,0),"")</f>
        <v>3.1</v>
      </c>
    </row>
    <row r="5059" ht="11.25" customHeight="1">
      <c r="A5059" s="21" t="str">
        <f>IFERROR(__xludf.DUMMYFUNCTION("""COMPUTED_VALUE"""),"MODEM VOIP EMTA WIFI 3.1 HGJ310")</f>
        <v>MODEM VOIP EMTA WIFI 3.1 HGJ310</v>
      </c>
      <c r="B5059" s="22">
        <f>IFERROR(__xludf.DUMMYFUNCTION("""COMPUTED_VALUE"""),4.1001481E7)</f>
        <v>41001481</v>
      </c>
      <c r="C5059" s="21" t="str">
        <f>IFERROR(__xludf.DUMMYFUNCTION("""COMPUTED_VALUE"""),"C85D388AFF0F")</f>
        <v>C85D388AFF0F</v>
      </c>
      <c r="D5059" s="21" t="str">
        <f>IFERROR(__xludf.DUMMYFUNCTION("""COMPUTED_VALUE"""),"DIGITEC TECNOLOGIA DIGITAL E REPRES")</f>
        <v>DIGITEC TECNOLOGIA DIGITAL E REPRES</v>
      </c>
      <c r="E5059" s="21">
        <f>IFERROR(__xludf.DUMMYFUNCTION("""COMPUTED_VALUE"""),145359.0)</f>
        <v>145359</v>
      </c>
      <c r="F5059" s="21" t="str">
        <f>IFERROR(__xludf.DUMMYFUNCTION("""COMPUTED_VALUE"""),"INICIALIZADO")</f>
        <v>INICIALIZADO</v>
      </c>
      <c r="G5059" s="23">
        <f>IFERROR(__xludf.DUMMYFUNCTION("""COMPUTED_VALUE"""),45639.64982638889)</f>
        <v>45639.64983</v>
      </c>
      <c r="H5059" s="24" t="str">
        <f>IFERROR(VLOOKUP(B5059,material!A:D,3,0),"")</f>
        <v>3.1</v>
      </c>
    </row>
    <row r="5060" ht="11.25" customHeight="1">
      <c r="A5060" s="21" t="str">
        <f>IFERROR(__xludf.DUMMYFUNCTION("""COMPUTED_VALUE"""),"MODEM VOIP EMTA WIFI 3.1 HGJ310")</f>
        <v>MODEM VOIP EMTA WIFI 3.1 HGJ310</v>
      </c>
      <c r="B5060" s="22">
        <f>IFERROR(__xludf.DUMMYFUNCTION("""COMPUTED_VALUE"""),4.1001481E7)</f>
        <v>41001481</v>
      </c>
      <c r="C5060" s="21" t="str">
        <f>IFERROR(__xludf.DUMMYFUNCTION("""COMPUTED_VALUE"""),"C85D388A6D35")</f>
        <v>C85D388A6D35</v>
      </c>
      <c r="D5060" s="21" t="str">
        <f>IFERROR(__xludf.DUMMYFUNCTION("""COMPUTED_VALUE"""),"DIGITEC TECNOLOGIA DIGITAL E REPRES")</f>
        <v>DIGITEC TECNOLOGIA DIGITAL E REPRES</v>
      </c>
      <c r="E5060" s="21">
        <f>IFERROR(__xludf.DUMMYFUNCTION("""COMPUTED_VALUE"""),145359.0)</f>
        <v>145359</v>
      </c>
      <c r="F5060" s="21" t="str">
        <f>IFERROR(__xludf.DUMMYFUNCTION("""COMPUTED_VALUE"""),"INICIALIZADO")</f>
        <v>INICIALIZADO</v>
      </c>
      <c r="G5060" s="23">
        <f>IFERROR(__xludf.DUMMYFUNCTION("""COMPUTED_VALUE"""),45639.64983796296)</f>
        <v>45639.64984</v>
      </c>
      <c r="H5060" s="24" t="str">
        <f>IFERROR(VLOOKUP(B5060,material!A:D,3,0),"")</f>
        <v>3.1</v>
      </c>
    </row>
    <row r="5061" ht="11.25" customHeight="1">
      <c r="A5061" s="21" t="str">
        <f>IFERROR(__xludf.DUMMYFUNCTION("""COMPUTED_VALUE"""),"MODEM VOIP EMTA WIFI 3.1 HGJ310")</f>
        <v>MODEM VOIP EMTA WIFI 3.1 HGJ310</v>
      </c>
      <c r="B5061" s="22">
        <f>IFERROR(__xludf.DUMMYFUNCTION("""COMPUTED_VALUE"""),4.1001481E7)</f>
        <v>41001481</v>
      </c>
      <c r="C5061" s="21" t="str">
        <f>IFERROR(__xludf.DUMMYFUNCTION("""COMPUTED_VALUE"""),"C85D388AE1DB")</f>
        <v>C85D388AE1DB</v>
      </c>
      <c r="D5061" s="21" t="str">
        <f>IFERROR(__xludf.DUMMYFUNCTION("""COMPUTED_VALUE"""),"DIGITEC TECNOLOGIA DIGITAL E REPRES")</f>
        <v>DIGITEC TECNOLOGIA DIGITAL E REPRES</v>
      </c>
      <c r="E5061" s="21">
        <f>IFERROR(__xludf.DUMMYFUNCTION("""COMPUTED_VALUE"""),145359.0)</f>
        <v>145359</v>
      </c>
      <c r="F5061" s="21" t="str">
        <f>IFERROR(__xludf.DUMMYFUNCTION("""COMPUTED_VALUE"""),"INICIALIZADO")</f>
        <v>INICIALIZADO</v>
      </c>
      <c r="G5061" s="23">
        <f>IFERROR(__xludf.DUMMYFUNCTION("""COMPUTED_VALUE"""),45639.64982638889)</f>
        <v>45639.64983</v>
      </c>
      <c r="H5061" s="24" t="str">
        <f>IFERROR(VLOOKUP(B5061,material!A:D,3,0),"")</f>
        <v>3.1</v>
      </c>
    </row>
    <row r="5062" ht="11.25" customHeight="1">
      <c r="A5062" s="21" t="str">
        <f>IFERROR(__xludf.DUMMYFUNCTION("""COMPUTED_VALUE"""),"MODEM VOIP EMTA WIFI 3.1 HGJ310")</f>
        <v>MODEM VOIP EMTA WIFI 3.1 HGJ310</v>
      </c>
      <c r="B5062" s="22">
        <f>IFERROR(__xludf.DUMMYFUNCTION("""COMPUTED_VALUE"""),4.1001481E7)</f>
        <v>41001481</v>
      </c>
      <c r="C5062" s="21" t="str">
        <f>IFERROR(__xludf.DUMMYFUNCTION("""COMPUTED_VALUE"""),"C85D387A9223")</f>
        <v>C85D387A9223</v>
      </c>
      <c r="D5062" s="21" t="str">
        <f>IFERROR(__xludf.DUMMYFUNCTION("""COMPUTED_VALUE"""),"DIGITEC TECNOLOGIA DIGITAL E REPRES")</f>
        <v>DIGITEC TECNOLOGIA DIGITAL E REPRES</v>
      </c>
      <c r="E5062" s="21">
        <f>IFERROR(__xludf.DUMMYFUNCTION("""COMPUTED_VALUE"""),145359.0)</f>
        <v>145359</v>
      </c>
      <c r="F5062" s="21" t="str">
        <f>IFERROR(__xludf.DUMMYFUNCTION("""COMPUTED_VALUE"""),"INICIALIZADO")</f>
        <v>INICIALIZADO</v>
      </c>
      <c r="G5062" s="23">
        <f>IFERROR(__xludf.DUMMYFUNCTION("""COMPUTED_VALUE"""),45639.64983796296)</f>
        <v>45639.64984</v>
      </c>
      <c r="H5062" s="24" t="str">
        <f>IFERROR(VLOOKUP(B5062,material!A:D,3,0),"")</f>
        <v>3.1</v>
      </c>
    </row>
    <row r="5063" ht="11.25" customHeight="1">
      <c r="A5063" s="21" t="str">
        <f>IFERROR(__xludf.DUMMYFUNCTION("""COMPUTED_VALUE"""),"MODEM VOIP EMTA WIFI 3.1 HGJ310")</f>
        <v>MODEM VOIP EMTA WIFI 3.1 HGJ310</v>
      </c>
      <c r="B5063" s="22">
        <f>IFERROR(__xludf.DUMMYFUNCTION("""COMPUTED_VALUE"""),4.1001481E7)</f>
        <v>41001481</v>
      </c>
      <c r="C5063" s="21" t="str">
        <f>IFERROR(__xludf.DUMMYFUNCTION("""COMPUTED_VALUE"""),"C85D3880A3BA")</f>
        <v>C85D3880A3BA</v>
      </c>
      <c r="D5063" s="21" t="str">
        <f>IFERROR(__xludf.DUMMYFUNCTION("""COMPUTED_VALUE"""),"DIGITEC TECNOLOGIA DIGITAL E REPRES")</f>
        <v>DIGITEC TECNOLOGIA DIGITAL E REPRES</v>
      </c>
      <c r="E5063" s="21">
        <f>IFERROR(__xludf.DUMMYFUNCTION("""COMPUTED_VALUE"""),145359.0)</f>
        <v>145359</v>
      </c>
      <c r="F5063" s="21" t="str">
        <f>IFERROR(__xludf.DUMMYFUNCTION("""COMPUTED_VALUE"""),"INICIALIZADO")</f>
        <v>INICIALIZADO</v>
      </c>
      <c r="G5063" s="23">
        <f>IFERROR(__xludf.DUMMYFUNCTION("""COMPUTED_VALUE"""),45639.64983796296)</f>
        <v>45639.64984</v>
      </c>
      <c r="H5063" s="24" t="str">
        <f>IFERROR(VLOOKUP(B5063,material!A:D,3,0),"")</f>
        <v>3.1</v>
      </c>
    </row>
    <row r="5064" ht="11.25" customHeight="1">
      <c r="A5064" s="21" t="str">
        <f>IFERROR(__xludf.DUMMYFUNCTION("""COMPUTED_VALUE"""),"MODEM VOIP EMTA WIFI 3.1 HGJ310")</f>
        <v>MODEM VOIP EMTA WIFI 3.1 HGJ310</v>
      </c>
      <c r="B5064" s="22">
        <f>IFERROR(__xludf.DUMMYFUNCTION("""COMPUTED_VALUE"""),4.1001481E7)</f>
        <v>41001481</v>
      </c>
      <c r="C5064" s="21" t="str">
        <f>IFERROR(__xludf.DUMMYFUNCTION("""COMPUTED_VALUE"""),"C85D3882467F")</f>
        <v>C85D3882467F</v>
      </c>
      <c r="D5064" s="21" t="str">
        <f>IFERROR(__xludf.DUMMYFUNCTION("""COMPUTED_VALUE"""),"DIGITEC TECNOLOGIA DIGITAL E REPRES")</f>
        <v>DIGITEC TECNOLOGIA DIGITAL E REPRES</v>
      </c>
      <c r="E5064" s="21">
        <f>IFERROR(__xludf.DUMMYFUNCTION("""COMPUTED_VALUE"""),145359.0)</f>
        <v>145359</v>
      </c>
      <c r="F5064" s="21" t="str">
        <f>IFERROR(__xludf.DUMMYFUNCTION("""COMPUTED_VALUE"""),"INICIALIZADO")</f>
        <v>INICIALIZADO</v>
      </c>
      <c r="G5064" s="23">
        <f>IFERROR(__xludf.DUMMYFUNCTION("""COMPUTED_VALUE"""),45639.64983796296)</f>
        <v>45639.64984</v>
      </c>
      <c r="H5064" s="24" t="str">
        <f>IFERROR(VLOOKUP(B5064,material!A:D,3,0),"")</f>
        <v>3.1</v>
      </c>
    </row>
    <row r="5065" ht="11.25" customHeight="1">
      <c r="A5065" s="21" t="str">
        <f>IFERROR(__xludf.DUMMYFUNCTION("""COMPUTED_VALUE"""),"MODEM VOIP EMTA WIFI 3.1 HGJ310")</f>
        <v>MODEM VOIP EMTA WIFI 3.1 HGJ310</v>
      </c>
      <c r="B5065" s="22">
        <f>IFERROR(__xludf.DUMMYFUNCTION("""COMPUTED_VALUE"""),4.1001481E7)</f>
        <v>41001481</v>
      </c>
      <c r="C5065" s="21" t="str">
        <f>IFERROR(__xludf.DUMMYFUNCTION("""COMPUTED_VALUE"""),"C85D388CAA86")</f>
        <v>C85D388CAA86</v>
      </c>
      <c r="D5065" s="21" t="str">
        <f>IFERROR(__xludf.DUMMYFUNCTION("""COMPUTED_VALUE"""),"DIGITEC TECNOLOGIA DIGITAL E REPRES")</f>
        <v>DIGITEC TECNOLOGIA DIGITAL E REPRES</v>
      </c>
      <c r="E5065" s="21">
        <f>IFERROR(__xludf.DUMMYFUNCTION("""COMPUTED_VALUE"""),145359.0)</f>
        <v>145359</v>
      </c>
      <c r="F5065" s="21" t="str">
        <f>IFERROR(__xludf.DUMMYFUNCTION("""COMPUTED_VALUE"""),"INICIALIZADO")</f>
        <v>INICIALIZADO</v>
      </c>
      <c r="G5065" s="23">
        <f>IFERROR(__xludf.DUMMYFUNCTION("""COMPUTED_VALUE"""),45638.68789351852)</f>
        <v>45638.68789</v>
      </c>
      <c r="H5065" s="24" t="str">
        <f>IFERROR(VLOOKUP(B5065,material!A:D,3,0),"")</f>
        <v>3.1</v>
      </c>
    </row>
    <row r="5066" ht="11.25" customHeight="1">
      <c r="A5066" s="21" t="str">
        <f>IFERROR(__xludf.DUMMYFUNCTION("""COMPUTED_VALUE"""),"MODEM VOIP EMTA WIFI 3.1 HGJ310")</f>
        <v>MODEM VOIP EMTA WIFI 3.1 HGJ310</v>
      </c>
      <c r="B5066" s="22">
        <f>IFERROR(__xludf.DUMMYFUNCTION("""COMPUTED_VALUE"""),4.1001481E7)</f>
        <v>41001481</v>
      </c>
      <c r="C5066" s="21" t="str">
        <f>IFERROR(__xludf.DUMMYFUNCTION("""COMPUTED_VALUE"""),"C85D387FB750")</f>
        <v>C85D387FB750</v>
      </c>
      <c r="D5066" s="21" t="str">
        <f>IFERROR(__xludf.DUMMYFUNCTION("""COMPUTED_VALUE"""),"DIGITEC TECNOLOGIA DIGITAL E REPRES")</f>
        <v>DIGITEC TECNOLOGIA DIGITAL E REPRES</v>
      </c>
      <c r="E5066" s="21">
        <f>IFERROR(__xludf.DUMMYFUNCTION("""COMPUTED_VALUE"""),145359.0)</f>
        <v>145359</v>
      </c>
      <c r="F5066" s="21" t="str">
        <f>IFERROR(__xludf.DUMMYFUNCTION("""COMPUTED_VALUE"""),"INICIALIZADO")</f>
        <v>INICIALIZADO</v>
      </c>
      <c r="G5066" s="23">
        <f>IFERROR(__xludf.DUMMYFUNCTION("""COMPUTED_VALUE"""),45639.64983796296)</f>
        <v>45639.64984</v>
      </c>
      <c r="H5066" s="24" t="str">
        <f>IFERROR(VLOOKUP(B5066,material!A:D,3,0),"")</f>
        <v>3.1</v>
      </c>
    </row>
    <row r="5067" ht="11.25" customHeight="1">
      <c r="A5067" s="21" t="str">
        <f>IFERROR(__xludf.DUMMYFUNCTION("""COMPUTED_VALUE"""),"MODEM VOIP EMTA WIFI 3.1 HGJ310")</f>
        <v>MODEM VOIP EMTA WIFI 3.1 HGJ310</v>
      </c>
      <c r="B5067" s="22">
        <f>IFERROR(__xludf.DUMMYFUNCTION("""COMPUTED_VALUE"""),4.1001481E7)</f>
        <v>41001481</v>
      </c>
      <c r="C5067" s="21" t="str">
        <f>IFERROR(__xludf.DUMMYFUNCTION("""COMPUTED_VALUE"""),"C85D38DB4C08")</f>
        <v>C85D38DB4C08</v>
      </c>
      <c r="D5067" s="21" t="str">
        <f>IFERROR(__xludf.DUMMYFUNCTION("""COMPUTED_VALUE"""),"DIGITEC TECNOLOGIA DIGITAL E REPRES")</f>
        <v>DIGITEC TECNOLOGIA DIGITAL E REPRES</v>
      </c>
      <c r="E5067" s="21">
        <f>IFERROR(__xludf.DUMMYFUNCTION("""COMPUTED_VALUE"""),145359.0)</f>
        <v>145359</v>
      </c>
      <c r="F5067" s="21" t="str">
        <f>IFERROR(__xludf.DUMMYFUNCTION("""COMPUTED_VALUE"""),"INICIALIZADO")</f>
        <v>INICIALIZADO</v>
      </c>
      <c r="G5067" s="23">
        <f>IFERROR(__xludf.DUMMYFUNCTION("""COMPUTED_VALUE"""),45639.64983796296)</f>
        <v>45639.64984</v>
      </c>
      <c r="H5067" s="24" t="str">
        <f>IFERROR(VLOOKUP(B5067,material!A:D,3,0),"")</f>
        <v>3.1</v>
      </c>
    </row>
    <row r="5068" ht="11.25" customHeight="1">
      <c r="A5068" s="21" t="str">
        <f>IFERROR(__xludf.DUMMYFUNCTION("""COMPUTED_VALUE"""),"MODEM VOIP EMTA WIFI 3.1 HGJ310")</f>
        <v>MODEM VOIP EMTA WIFI 3.1 HGJ310</v>
      </c>
      <c r="B5068" s="22">
        <f>IFERROR(__xludf.DUMMYFUNCTION("""COMPUTED_VALUE"""),4.1001481E7)</f>
        <v>41001481</v>
      </c>
      <c r="C5068" s="21" t="str">
        <f>IFERROR(__xludf.DUMMYFUNCTION("""COMPUTED_VALUE"""),"C85D38DB1D9A")</f>
        <v>C85D38DB1D9A</v>
      </c>
      <c r="D5068" s="21" t="str">
        <f>IFERROR(__xludf.DUMMYFUNCTION("""COMPUTED_VALUE"""),"DIGITEC TECNOLOGIA DIGITAL E REPRES")</f>
        <v>DIGITEC TECNOLOGIA DIGITAL E REPRES</v>
      </c>
      <c r="E5068" s="21">
        <f>IFERROR(__xludf.DUMMYFUNCTION("""COMPUTED_VALUE"""),145359.0)</f>
        <v>145359</v>
      </c>
      <c r="F5068" s="21" t="str">
        <f>IFERROR(__xludf.DUMMYFUNCTION("""COMPUTED_VALUE"""),"INICIALIZADO")</f>
        <v>INICIALIZADO</v>
      </c>
      <c r="G5068" s="23">
        <f>IFERROR(__xludf.DUMMYFUNCTION("""COMPUTED_VALUE"""),45639.64983796296)</f>
        <v>45639.64984</v>
      </c>
      <c r="H5068" s="24" t="str">
        <f>IFERROR(VLOOKUP(B5068,material!A:D,3,0),"")</f>
        <v>3.1</v>
      </c>
    </row>
    <row r="5069" ht="11.25" customHeight="1">
      <c r="A5069" s="21" t="str">
        <f>IFERROR(__xludf.DUMMYFUNCTION("""COMPUTED_VALUE"""),"MODEM VOIP EMTA WIFI 3.1 HGJ310")</f>
        <v>MODEM VOIP EMTA WIFI 3.1 HGJ310</v>
      </c>
      <c r="B5069" s="22">
        <f>IFERROR(__xludf.DUMMYFUNCTION("""COMPUTED_VALUE"""),4.1001481E7)</f>
        <v>41001481</v>
      </c>
      <c r="C5069" s="21" t="str">
        <f>IFERROR(__xludf.DUMMYFUNCTION("""COMPUTED_VALUE"""),"C85D38A5ED5C")</f>
        <v>C85D38A5ED5C</v>
      </c>
      <c r="D5069" s="21" t="str">
        <f>IFERROR(__xludf.DUMMYFUNCTION("""COMPUTED_VALUE"""),"DIGITEC TECNOLOGIA DIGITAL E REPRES")</f>
        <v>DIGITEC TECNOLOGIA DIGITAL E REPRES</v>
      </c>
      <c r="E5069" s="21">
        <f>IFERROR(__xludf.DUMMYFUNCTION("""COMPUTED_VALUE"""),145359.0)</f>
        <v>145359</v>
      </c>
      <c r="F5069" s="21" t="str">
        <f>IFERROR(__xludf.DUMMYFUNCTION("""COMPUTED_VALUE"""),"INICIALIZADO")</f>
        <v>INICIALIZADO</v>
      </c>
      <c r="G5069" s="23">
        <f>IFERROR(__xludf.DUMMYFUNCTION("""COMPUTED_VALUE"""),45639.64984953703)</f>
        <v>45639.64985</v>
      </c>
      <c r="H5069" s="24" t="str">
        <f>IFERROR(VLOOKUP(B5069,material!A:D,3,0),"")</f>
        <v>3.1</v>
      </c>
    </row>
    <row r="5070" ht="11.25" customHeight="1">
      <c r="A5070" s="21" t="str">
        <f>IFERROR(__xludf.DUMMYFUNCTION("""COMPUTED_VALUE"""),"MODEM VOIP EMTA WIFI 3.1 HGJ310")</f>
        <v>MODEM VOIP EMTA WIFI 3.1 HGJ310</v>
      </c>
      <c r="B5070" s="22">
        <f>IFERROR(__xludf.DUMMYFUNCTION("""COMPUTED_VALUE"""),4.1001481E7)</f>
        <v>41001481</v>
      </c>
      <c r="C5070" s="21" t="str">
        <f>IFERROR(__xludf.DUMMYFUNCTION("""COMPUTED_VALUE"""),"C85D389FD3BB")</f>
        <v>C85D389FD3BB</v>
      </c>
      <c r="D5070" s="21" t="str">
        <f>IFERROR(__xludf.DUMMYFUNCTION("""COMPUTED_VALUE"""),"DIGITEC TECNOLOGIA DIGITAL E REPRES")</f>
        <v>DIGITEC TECNOLOGIA DIGITAL E REPRES</v>
      </c>
      <c r="E5070" s="21">
        <f>IFERROR(__xludf.DUMMYFUNCTION("""COMPUTED_VALUE"""),145359.0)</f>
        <v>145359</v>
      </c>
      <c r="F5070" s="21" t="str">
        <f>IFERROR(__xludf.DUMMYFUNCTION("""COMPUTED_VALUE"""),"INICIALIZADO")</f>
        <v>INICIALIZADO</v>
      </c>
      <c r="G5070" s="23">
        <f>IFERROR(__xludf.DUMMYFUNCTION("""COMPUTED_VALUE"""),45639.64982638889)</f>
        <v>45639.64983</v>
      </c>
      <c r="H5070" s="24" t="str">
        <f>IFERROR(VLOOKUP(B5070,material!A:D,3,0),"")</f>
        <v>3.1</v>
      </c>
    </row>
    <row r="5071" ht="11.25" customHeight="1">
      <c r="A5071" s="21" t="str">
        <f>IFERROR(__xludf.DUMMYFUNCTION("""COMPUTED_VALUE"""),"MODEM VOIP EMTA WIFI 3.1 HGJ310")</f>
        <v>MODEM VOIP EMTA WIFI 3.1 HGJ310</v>
      </c>
      <c r="B5071" s="22">
        <f>IFERROR(__xludf.DUMMYFUNCTION("""COMPUTED_VALUE"""),4.1001481E7)</f>
        <v>41001481</v>
      </c>
      <c r="C5071" s="21" t="str">
        <f>IFERROR(__xludf.DUMMYFUNCTION("""COMPUTED_VALUE"""),"C85D38A5F47F")</f>
        <v>C85D38A5F47F</v>
      </c>
      <c r="D5071" s="21" t="str">
        <f>IFERROR(__xludf.DUMMYFUNCTION("""COMPUTED_VALUE"""),"DIGITEC TECNOLOGIA DIGITAL E REPRES")</f>
        <v>DIGITEC TECNOLOGIA DIGITAL E REPRES</v>
      </c>
      <c r="E5071" s="21">
        <f>IFERROR(__xludf.DUMMYFUNCTION("""COMPUTED_VALUE"""),145359.0)</f>
        <v>145359</v>
      </c>
      <c r="F5071" s="21" t="str">
        <f>IFERROR(__xludf.DUMMYFUNCTION("""COMPUTED_VALUE"""),"INICIALIZADO")</f>
        <v>INICIALIZADO</v>
      </c>
      <c r="G5071" s="23">
        <f>IFERROR(__xludf.DUMMYFUNCTION("""COMPUTED_VALUE"""),45639.64984953703)</f>
        <v>45639.64985</v>
      </c>
      <c r="H5071" s="24" t="str">
        <f>IFERROR(VLOOKUP(B5071,material!A:D,3,0),"")</f>
        <v>3.1</v>
      </c>
    </row>
    <row r="5072" ht="11.25" customHeight="1">
      <c r="A5072" s="21" t="str">
        <f>IFERROR(__xludf.DUMMYFUNCTION("""COMPUTED_VALUE"""),"MODEM VOIP EMTA WIFI 3.1 HGJ310")</f>
        <v>MODEM VOIP EMTA WIFI 3.1 HGJ310</v>
      </c>
      <c r="B5072" s="22">
        <f>IFERROR(__xludf.DUMMYFUNCTION("""COMPUTED_VALUE"""),4.1001481E7)</f>
        <v>41001481</v>
      </c>
      <c r="C5072" s="21" t="str">
        <f>IFERROR(__xludf.DUMMYFUNCTION("""COMPUTED_VALUE"""),"C85D389EF6A8")</f>
        <v>C85D389EF6A8</v>
      </c>
      <c r="D5072" s="21" t="str">
        <f>IFERROR(__xludf.DUMMYFUNCTION("""COMPUTED_VALUE"""),"DIGITEC TECNOLOGIA DIGITAL E REPRES")</f>
        <v>DIGITEC TECNOLOGIA DIGITAL E REPRES</v>
      </c>
      <c r="E5072" s="21">
        <f>IFERROR(__xludf.DUMMYFUNCTION("""COMPUTED_VALUE"""),145359.0)</f>
        <v>145359</v>
      </c>
      <c r="F5072" s="21" t="str">
        <f>IFERROR(__xludf.DUMMYFUNCTION("""COMPUTED_VALUE"""),"INICIALIZADO")</f>
        <v>INICIALIZADO</v>
      </c>
      <c r="G5072" s="23">
        <f>IFERROR(__xludf.DUMMYFUNCTION("""COMPUTED_VALUE"""),45639.64982638889)</f>
        <v>45639.64983</v>
      </c>
      <c r="H5072" s="24" t="str">
        <f>IFERROR(VLOOKUP(B5072,material!A:D,3,0),"")</f>
        <v>3.1</v>
      </c>
    </row>
    <row r="5073" ht="11.25" customHeight="1">
      <c r="A5073" s="21" t="str">
        <f>IFERROR(__xludf.DUMMYFUNCTION("""COMPUTED_VALUE"""),"MODEM VOIP EMTA WIFI 3.1 HGJ310")</f>
        <v>MODEM VOIP EMTA WIFI 3.1 HGJ310</v>
      </c>
      <c r="B5073" s="22">
        <f>IFERROR(__xludf.DUMMYFUNCTION("""COMPUTED_VALUE"""),4.1001481E7)</f>
        <v>41001481</v>
      </c>
      <c r="C5073" s="21" t="str">
        <f>IFERROR(__xludf.DUMMYFUNCTION("""COMPUTED_VALUE"""),"C85D3896413A")</f>
        <v>C85D3896413A</v>
      </c>
      <c r="D5073" s="21" t="str">
        <f>IFERROR(__xludf.DUMMYFUNCTION("""COMPUTED_VALUE"""),"DIGITEC TECNOLOGIA DIGITAL E REPRES")</f>
        <v>DIGITEC TECNOLOGIA DIGITAL E REPRES</v>
      </c>
      <c r="E5073" s="21">
        <f>IFERROR(__xludf.DUMMYFUNCTION("""COMPUTED_VALUE"""),145359.0)</f>
        <v>145359</v>
      </c>
      <c r="F5073" s="21" t="str">
        <f>IFERROR(__xludf.DUMMYFUNCTION("""COMPUTED_VALUE"""),"INICIALIZADO")</f>
        <v>INICIALIZADO</v>
      </c>
      <c r="G5073" s="23">
        <f>IFERROR(__xludf.DUMMYFUNCTION("""COMPUTED_VALUE"""),45639.64982638889)</f>
        <v>45639.64983</v>
      </c>
      <c r="H5073" s="24" t="str">
        <f>IFERROR(VLOOKUP(B5073,material!A:D,3,0),"")</f>
        <v>3.1</v>
      </c>
    </row>
    <row r="5074" ht="11.25" customHeight="1">
      <c r="A5074" s="21" t="str">
        <f>IFERROR(__xludf.DUMMYFUNCTION("""COMPUTED_VALUE"""),"MODEM VOIP EMTA WIFI 3.1 HGJ310")</f>
        <v>MODEM VOIP EMTA WIFI 3.1 HGJ310</v>
      </c>
      <c r="B5074" s="22">
        <f>IFERROR(__xludf.DUMMYFUNCTION("""COMPUTED_VALUE"""),4.1001481E7)</f>
        <v>41001481</v>
      </c>
      <c r="C5074" s="21" t="str">
        <f>IFERROR(__xludf.DUMMYFUNCTION("""COMPUTED_VALUE"""),"C85D38A1CB52")</f>
        <v>C85D38A1CB52</v>
      </c>
      <c r="D5074" s="21" t="str">
        <f>IFERROR(__xludf.DUMMYFUNCTION("""COMPUTED_VALUE"""),"DIGITEC TECNOLOGIA DIGITAL E REPRES")</f>
        <v>DIGITEC TECNOLOGIA DIGITAL E REPRES</v>
      </c>
      <c r="E5074" s="21">
        <f>IFERROR(__xludf.DUMMYFUNCTION("""COMPUTED_VALUE"""),145359.0)</f>
        <v>145359</v>
      </c>
      <c r="F5074" s="21" t="str">
        <f>IFERROR(__xludf.DUMMYFUNCTION("""COMPUTED_VALUE"""),"INICIALIZADO")</f>
        <v>INICIALIZADO</v>
      </c>
      <c r="G5074" s="23">
        <f>IFERROR(__xludf.DUMMYFUNCTION("""COMPUTED_VALUE"""),45639.64982638889)</f>
        <v>45639.64983</v>
      </c>
      <c r="H5074" s="24" t="str">
        <f>IFERROR(VLOOKUP(B5074,material!A:D,3,0),"")</f>
        <v>3.1</v>
      </c>
    </row>
    <row r="5075" ht="11.25" customHeight="1">
      <c r="A5075" s="21" t="str">
        <f>IFERROR(__xludf.DUMMYFUNCTION("""COMPUTED_VALUE"""),"MODEM VOIP EMTA WIFI 3.1 HGJ310")</f>
        <v>MODEM VOIP EMTA WIFI 3.1 HGJ310</v>
      </c>
      <c r="B5075" s="22">
        <f>IFERROR(__xludf.DUMMYFUNCTION("""COMPUTED_VALUE"""),4.1001481E7)</f>
        <v>41001481</v>
      </c>
      <c r="C5075" s="21" t="str">
        <f>IFERROR(__xludf.DUMMYFUNCTION("""COMPUTED_VALUE"""),"C85D38DA1426")</f>
        <v>C85D38DA1426</v>
      </c>
      <c r="D5075" s="21" t="str">
        <f>IFERROR(__xludf.DUMMYFUNCTION("""COMPUTED_VALUE"""),"DIGITEC TECNOLOGIA DIGITAL E REPRES")</f>
        <v>DIGITEC TECNOLOGIA DIGITAL E REPRES</v>
      </c>
      <c r="E5075" s="21">
        <f>IFERROR(__xludf.DUMMYFUNCTION("""COMPUTED_VALUE"""),145359.0)</f>
        <v>145359</v>
      </c>
      <c r="F5075" s="21" t="str">
        <f>IFERROR(__xludf.DUMMYFUNCTION("""COMPUTED_VALUE"""),"INICIALIZADO")</f>
        <v>INICIALIZADO</v>
      </c>
      <c r="G5075" s="23">
        <f>IFERROR(__xludf.DUMMYFUNCTION("""COMPUTED_VALUE"""),45639.64983796296)</f>
        <v>45639.64984</v>
      </c>
      <c r="H5075" s="24" t="str">
        <f>IFERROR(VLOOKUP(B5075,material!A:D,3,0),"")</f>
        <v>3.1</v>
      </c>
    </row>
    <row r="5076" ht="11.25" customHeight="1">
      <c r="A5076" s="21" t="str">
        <f>IFERROR(__xludf.DUMMYFUNCTION("""COMPUTED_VALUE"""),"MODEM VOIP EMTA WIFI 3.1 HGJ310")</f>
        <v>MODEM VOIP EMTA WIFI 3.1 HGJ310</v>
      </c>
      <c r="B5076" s="22">
        <f>IFERROR(__xludf.DUMMYFUNCTION("""COMPUTED_VALUE"""),4.1001481E7)</f>
        <v>41001481</v>
      </c>
      <c r="C5076" s="21" t="str">
        <f>IFERROR(__xludf.DUMMYFUNCTION("""COMPUTED_VALUE"""),"C85D38A1BBFB")</f>
        <v>C85D38A1BBFB</v>
      </c>
      <c r="D5076" s="21" t="str">
        <f>IFERROR(__xludf.DUMMYFUNCTION("""COMPUTED_VALUE"""),"DIGITEC TECNOLOGIA DIGITAL E REPRES")</f>
        <v>DIGITEC TECNOLOGIA DIGITAL E REPRES</v>
      </c>
      <c r="E5076" s="21">
        <f>IFERROR(__xludf.DUMMYFUNCTION("""COMPUTED_VALUE"""),145359.0)</f>
        <v>145359</v>
      </c>
      <c r="F5076" s="21" t="str">
        <f>IFERROR(__xludf.DUMMYFUNCTION("""COMPUTED_VALUE"""),"INICIALIZADO")</f>
        <v>INICIALIZADO</v>
      </c>
      <c r="G5076" s="23">
        <f>IFERROR(__xludf.DUMMYFUNCTION("""COMPUTED_VALUE"""),45639.64982638889)</f>
        <v>45639.64983</v>
      </c>
      <c r="H5076" s="24" t="str">
        <f>IFERROR(VLOOKUP(B5076,material!A:D,3,0),"")</f>
        <v>3.1</v>
      </c>
    </row>
    <row r="5077" ht="11.25" customHeight="1">
      <c r="A5077" s="21" t="str">
        <f>IFERROR(__xludf.DUMMYFUNCTION("""COMPUTED_VALUE"""),"MODEM VOIP EMTA WIFI 3.1 HGJ310")</f>
        <v>MODEM VOIP EMTA WIFI 3.1 HGJ310</v>
      </c>
      <c r="B5077" s="22">
        <f>IFERROR(__xludf.DUMMYFUNCTION("""COMPUTED_VALUE"""),4.1001481E7)</f>
        <v>41001481</v>
      </c>
      <c r="C5077" s="21" t="str">
        <f>IFERROR(__xludf.DUMMYFUNCTION("""COMPUTED_VALUE"""),"C85D38A276EE")</f>
        <v>C85D38A276EE</v>
      </c>
      <c r="D5077" s="21" t="str">
        <f>IFERROR(__xludf.DUMMYFUNCTION("""COMPUTED_VALUE"""),"DIGITEC TECNOLOGIA DIGITAL E REPRES")</f>
        <v>DIGITEC TECNOLOGIA DIGITAL E REPRES</v>
      </c>
      <c r="E5077" s="21">
        <f>IFERROR(__xludf.DUMMYFUNCTION("""COMPUTED_VALUE"""),145359.0)</f>
        <v>145359</v>
      </c>
      <c r="F5077" s="21" t="str">
        <f>IFERROR(__xludf.DUMMYFUNCTION("""COMPUTED_VALUE"""),"INICIALIZADO")</f>
        <v>INICIALIZADO</v>
      </c>
      <c r="G5077" s="23">
        <f>IFERROR(__xludf.DUMMYFUNCTION("""COMPUTED_VALUE"""),45639.64983796296)</f>
        <v>45639.64984</v>
      </c>
      <c r="H5077" s="24" t="str">
        <f>IFERROR(VLOOKUP(B5077,material!A:D,3,0),"")</f>
        <v>3.1</v>
      </c>
    </row>
    <row r="5078" ht="11.25" customHeight="1">
      <c r="A5078" s="21" t="str">
        <f>IFERROR(__xludf.DUMMYFUNCTION("""COMPUTED_VALUE"""),"MODEM VOIP EMTA WIFI 3.1 HGJ310")</f>
        <v>MODEM VOIP EMTA WIFI 3.1 HGJ310</v>
      </c>
      <c r="B5078" s="22">
        <f>IFERROR(__xludf.DUMMYFUNCTION("""COMPUTED_VALUE"""),4.1001481E7)</f>
        <v>41001481</v>
      </c>
      <c r="C5078" s="21" t="str">
        <f>IFERROR(__xludf.DUMMYFUNCTION("""COMPUTED_VALUE"""),"C85D38A4106E")</f>
        <v>C85D38A4106E</v>
      </c>
      <c r="D5078" s="21" t="str">
        <f>IFERROR(__xludf.DUMMYFUNCTION("""COMPUTED_VALUE"""),"DIGITEC TECNOLOGIA DIGITAL E REPRES")</f>
        <v>DIGITEC TECNOLOGIA DIGITAL E REPRES</v>
      </c>
      <c r="E5078" s="21">
        <f>IFERROR(__xludf.DUMMYFUNCTION("""COMPUTED_VALUE"""),145359.0)</f>
        <v>145359</v>
      </c>
      <c r="F5078" s="21" t="str">
        <f>IFERROR(__xludf.DUMMYFUNCTION("""COMPUTED_VALUE"""),"INICIALIZADO")</f>
        <v>INICIALIZADO</v>
      </c>
      <c r="G5078" s="23">
        <f>IFERROR(__xludf.DUMMYFUNCTION("""COMPUTED_VALUE"""),45639.64983796296)</f>
        <v>45639.64984</v>
      </c>
      <c r="H5078" s="24" t="str">
        <f>IFERROR(VLOOKUP(B5078,material!A:D,3,0),"")</f>
        <v>3.1</v>
      </c>
    </row>
    <row r="5079" ht="11.25" customHeight="1">
      <c r="A5079" s="21" t="str">
        <f>IFERROR(__xludf.DUMMYFUNCTION("""COMPUTED_VALUE"""),"MODEM VOIP EMTA WIFI 3.1 HGJ310")</f>
        <v>MODEM VOIP EMTA WIFI 3.1 HGJ310</v>
      </c>
      <c r="B5079" s="22">
        <f>IFERROR(__xludf.DUMMYFUNCTION("""COMPUTED_VALUE"""),4.1001481E7)</f>
        <v>41001481</v>
      </c>
      <c r="C5079" s="21" t="str">
        <f>IFERROR(__xludf.DUMMYFUNCTION("""COMPUTED_VALUE"""),"C85D3896796B")</f>
        <v>C85D3896796B</v>
      </c>
      <c r="D5079" s="21" t="str">
        <f>IFERROR(__xludf.DUMMYFUNCTION("""COMPUTED_VALUE"""),"DIGITEC TECNOLOGIA DIGITAL E REPRES")</f>
        <v>DIGITEC TECNOLOGIA DIGITAL E REPRES</v>
      </c>
      <c r="E5079" s="21">
        <f>IFERROR(__xludf.DUMMYFUNCTION("""COMPUTED_VALUE"""),145359.0)</f>
        <v>145359</v>
      </c>
      <c r="F5079" s="21" t="str">
        <f>IFERROR(__xludf.DUMMYFUNCTION("""COMPUTED_VALUE"""),"INICIALIZADO")</f>
        <v>INICIALIZADO</v>
      </c>
      <c r="G5079" s="23">
        <f>IFERROR(__xludf.DUMMYFUNCTION("""COMPUTED_VALUE"""),45639.64982638889)</f>
        <v>45639.64983</v>
      </c>
      <c r="H5079" s="24" t="str">
        <f>IFERROR(VLOOKUP(B5079,material!A:D,3,0),"")</f>
        <v>3.1</v>
      </c>
    </row>
    <row r="5080" ht="11.25" customHeight="1">
      <c r="A5080" s="21" t="str">
        <f>IFERROR(__xludf.DUMMYFUNCTION("""COMPUTED_VALUE"""),"MODEM VOIP EMTA WIFI 3.1 HGJ310")</f>
        <v>MODEM VOIP EMTA WIFI 3.1 HGJ310</v>
      </c>
      <c r="B5080" s="22">
        <f>IFERROR(__xludf.DUMMYFUNCTION("""COMPUTED_VALUE"""),4.1001481E7)</f>
        <v>41001481</v>
      </c>
      <c r="C5080" s="21" t="str">
        <f>IFERROR(__xludf.DUMMYFUNCTION("""COMPUTED_VALUE"""),"C85D38A29ADC")</f>
        <v>C85D38A29ADC</v>
      </c>
      <c r="D5080" s="21" t="str">
        <f>IFERROR(__xludf.DUMMYFUNCTION("""COMPUTED_VALUE"""),"DIGITEC TECNOLOGIA DIGITAL E REPRES")</f>
        <v>DIGITEC TECNOLOGIA DIGITAL E REPRES</v>
      </c>
      <c r="E5080" s="21">
        <f>IFERROR(__xludf.DUMMYFUNCTION("""COMPUTED_VALUE"""),145359.0)</f>
        <v>145359</v>
      </c>
      <c r="F5080" s="21" t="str">
        <f>IFERROR(__xludf.DUMMYFUNCTION("""COMPUTED_VALUE"""),"INICIALIZADO")</f>
        <v>INICIALIZADO</v>
      </c>
      <c r="G5080" s="23">
        <f>IFERROR(__xludf.DUMMYFUNCTION("""COMPUTED_VALUE"""),45639.64983796296)</f>
        <v>45639.64984</v>
      </c>
      <c r="H5080" s="24" t="str">
        <f>IFERROR(VLOOKUP(B5080,material!A:D,3,0),"")</f>
        <v>3.1</v>
      </c>
    </row>
    <row r="5081" ht="11.25" customHeight="1">
      <c r="A5081" s="21" t="str">
        <f>IFERROR(__xludf.DUMMYFUNCTION("""COMPUTED_VALUE"""),"MODEM VOIP EMTA WIFI 3.1 HGJ310")</f>
        <v>MODEM VOIP EMTA WIFI 3.1 HGJ310</v>
      </c>
      <c r="B5081" s="22">
        <f>IFERROR(__xludf.DUMMYFUNCTION("""COMPUTED_VALUE"""),4.1001481E7)</f>
        <v>41001481</v>
      </c>
      <c r="C5081" s="21" t="str">
        <f>IFERROR(__xludf.DUMMYFUNCTION("""COMPUTED_VALUE"""),"C85D38A28D92")</f>
        <v>C85D38A28D92</v>
      </c>
      <c r="D5081" s="21" t="str">
        <f>IFERROR(__xludf.DUMMYFUNCTION("""COMPUTED_VALUE"""),"DIGITEC TECNOLOGIA DIGITAL E REPRES")</f>
        <v>DIGITEC TECNOLOGIA DIGITAL E REPRES</v>
      </c>
      <c r="E5081" s="21">
        <f>IFERROR(__xludf.DUMMYFUNCTION("""COMPUTED_VALUE"""),145359.0)</f>
        <v>145359</v>
      </c>
      <c r="F5081" s="21" t="str">
        <f>IFERROR(__xludf.DUMMYFUNCTION("""COMPUTED_VALUE"""),"INICIALIZADO")</f>
        <v>INICIALIZADO</v>
      </c>
      <c r="G5081" s="23">
        <f>IFERROR(__xludf.DUMMYFUNCTION("""COMPUTED_VALUE"""),45639.64983796296)</f>
        <v>45639.64984</v>
      </c>
      <c r="H5081" s="24" t="str">
        <f>IFERROR(VLOOKUP(B5081,material!A:D,3,0),"")</f>
        <v>3.1</v>
      </c>
    </row>
    <row r="5082" ht="11.25" customHeight="1">
      <c r="A5082" s="21" t="str">
        <f>IFERROR(__xludf.DUMMYFUNCTION("""COMPUTED_VALUE"""),"MODEM VOIP EMTA WIFI 3.1 HGJ310")</f>
        <v>MODEM VOIP EMTA WIFI 3.1 HGJ310</v>
      </c>
      <c r="B5082" s="22">
        <f>IFERROR(__xludf.DUMMYFUNCTION("""COMPUTED_VALUE"""),4.1001481E7)</f>
        <v>41001481</v>
      </c>
      <c r="C5082" s="21" t="str">
        <f>IFERROR(__xludf.DUMMYFUNCTION("""COMPUTED_VALUE"""),"C85D3896E742")</f>
        <v>C85D3896E742</v>
      </c>
      <c r="D5082" s="21" t="str">
        <f>IFERROR(__xludf.DUMMYFUNCTION("""COMPUTED_VALUE"""),"DIGITEC TECNOLOGIA DIGITAL E REPRES")</f>
        <v>DIGITEC TECNOLOGIA DIGITAL E REPRES</v>
      </c>
      <c r="E5082" s="21">
        <f>IFERROR(__xludf.DUMMYFUNCTION("""COMPUTED_VALUE"""),145359.0)</f>
        <v>145359</v>
      </c>
      <c r="F5082" s="21" t="str">
        <f>IFERROR(__xludf.DUMMYFUNCTION("""COMPUTED_VALUE"""),"INICIALIZADO")</f>
        <v>INICIALIZADO</v>
      </c>
      <c r="G5082" s="23">
        <f>IFERROR(__xludf.DUMMYFUNCTION("""COMPUTED_VALUE"""),45639.64982638889)</f>
        <v>45639.64983</v>
      </c>
      <c r="H5082" s="24" t="str">
        <f>IFERROR(VLOOKUP(B5082,material!A:D,3,0),"")</f>
        <v>3.1</v>
      </c>
    </row>
    <row r="5083" ht="11.25" customHeight="1">
      <c r="A5083" s="21" t="str">
        <f>IFERROR(__xludf.DUMMYFUNCTION("""COMPUTED_VALUE"""),"MODEM VOIP EMTA WIFI 3.1 HGJ310")</f>
        <v>MODEM VOIP EMTA WIFI 3.1 HGJ310</v>
      </c>
      <c r="B5083" s="22">
        <f>IFERROR(__xludf.DUMMYFUNCTION("""COMPUTED_VALUE"""),4.1001481E7)</f>
        <v>41001481</v>
      </c>
      <c r="C5083" s="21" t="str">
        <f>IFERROR(__xludf.DUMMYFUNCTION("""COMPUTED_VALUE"""),"C85D38A37270")</f>
        <v>C85D38A37270</v>
      </c>
      <c r="D5083" s="21" t="str">
        <f>IFERROR(__xludf.DUMMYFUNCTION("""COMPUTED_VALUE"""),"DIGITEC TECNOLOGIA DIGITAL E REPRES")</f>
        <v>DIGITEC TECNOLOGIA DIGITAL E REPRES</v>
      </c>
      <c r="E5083" s="21">
        <f>IFERROR(__xludf.DUMMYFUNCTION("""COMPUTED_VALUE"""),145359.0)</f>
        <v>145359</v>
      </c>
      <c r="F5083" s="21" t="str">
        <f>IFERROR(__xludf.DUMMYFUNCTION("""COMPUTED_VALUE"""),"INICIALIZADO")</f>
        <v>INICIALIZADO</v>
      </c>
      <c r="G5083" s="23">
        <f>IFERROR(__xludf.DUMMYFUNCTION("""COMPUTED_VALUE"""),45639.64983796296)</f>
        <v>45639.64984</v>
      </c>
      <c r="H5083" s="24" t="str">
        <f>IFERROR(VLOOKUP(B5083,material!A:D,3,0),"")</f>
        <v>3.1</v>
      </c>
    </row>
    <row r="5084" ht="11.25" customHeight="1">
      <c r="A5084" s="21" t="str">
        <f>IFERROR(__xludf.DUMMYFUNCTION("""COMPUTED_VALUE"""),"MODEM VOIP EMTA WIFI 3.1 HGJ310")</f>
        <v>MODEM VOIP EMTA WIFI 3.1 HGJ310</v>
      </c>
      <c r="B5084" s="22">
        <f>IFERROR(__xludf.DUMMYFUNCTION("""COMPUTED_VALUE"""),4.1001481E7)</f>
        <v>41001481</v>
      </c>
      <c r="C5084" s="21" t="str">
        <f>IFERROR(__xludf.DUMMYFUNCTION("""COMPUTED_VALUE"""),"C85D38A1E18D")</f>
        <v>C85D38A1E18D</v>
      </c>
      <c r="D5084" s="21" t="str">
        <f>IFERROR(__xludf.DUMMYFUNCTION("""COMPUTED_VALUE"""),"DIGITEC TECNOLOGIA DIGITAL E REPRES")</f>
        <v>DIGITEC TECNOLOGIA DIGITAL E REPRES</v>
      </c>
      <c r="E5084" s="21">
        <f>IFERROR(__xludf.DUMMYFUNCTION("""COMPUTED_VALUE"""),145359.0)</f>
        <v>145359</v>
      </c>
      <c r="F5084" s="21" t="str">
        <f>IFERROR(__xludf.DUMMYFUNCTION("""COMPUTED_VALUE"""),"INICIALIZADO")</f>
        <v>INICIALIZADO</v>
      </c>
      <c r="G5084" s="23">
        <f>IFERROR(__xludf.DUMMYFUNCTION("""COMPUTED_VALUE"""),45639.64983796296)</f>
        <v>45639.64984</v>
      </c>
      <c r="H5084" s="24" t="str">
        <f>IFERROR(VLOOKUP(B5084,material!A:D,3,0),"")</f>
        <v>3.1</v>
      </c>
    </row>
    <row r="5085" ht="11.25" customHeight="1">
      <c r="A5085" s="21" t="str">
        <f>IFERROR(__xludf.DUMMYFUNCTION("""COMPUTED_VALUE"""),"MODEM VOIP EMTA WIFI 3.1 HGJ310")</f>
        <v>MODEM VOIP EMTA WIFI 3.1 HGJ310</v>
      </c>
      <c r="B5085" s="22">
        <f>IFERROR(__xludf.DUMMYFUNCTION("""COMPUTED_VALUE"""),4.1001481E7)</f>
        <v>41001481</v>
      </c>
      <c r="C5085" s="21" t="str">
        <f>IFERROR(__xludf.DUMMYFUNCTION("""COMPUTED_VALUE"""),"C85D38A143A4")</f>
        <v>C85D38A143A4</v>
      </c>
      <c r="D5085" s="21" t="str">
        <f>IFERROR(__xludf.DUMMYFUNCTION("""COMPUTED_VALUE"""),"DIGITEC TECNOLOGIA DIGITAL E REPRES")</f>
        <v>DIGITEC TECNOLOGIA DIGITAL E REPRES</v>
      </c>
      <c r="E5085" s="21">
        <f>IFERROR(__xludf.DUMMYFUNCTION("""COMPUTED_VALUE"""),145359.0)</f>
        <v>145359</v>
      </c>
      <c r="F5085" s="21" t="str">
        <f>IFERROR(__xludf.DUMMYFUNCTION("""COMPUTED_VALUE"""),"INICIALIZADO")</f>
        <v>INICIALIZADO</v>
      </c>
      <c r="G5085" s="23">
        <f>IFERROR(__xludf.DUMMYFUNCTION("""COMPUTED_VALUE"""),45639.64982638889)</f>
        <v>45639.64983</v>
      </c>
      <c r="H5085" s="24" t="str">
        <f>IFERROR(VLOOKUP(B5085,material!A:D,3,0),"")</f>
        <v>3.1</v>
      </c>
    </row>
    <row r="5086" ht="11.25" customHeight="1">
      <c r="A5086" s="21" t="str">
        <f>IFERROR(__xludf.DUMMYFUNCTION("""COMPUTED_VALUE"""),"MODEM VOIP EMTA WIFI 3.1 HGJ310")</f>
        <v>MODEM VOIP EMTA WIFI 3.1 HGJ310</v>
      </c>
      <c r="B5086" s="22">
        <f>IFERROR(__xludf.DUMMYFUNCTION("""COMPUTED_VALUE"""),4.1001481E7)</f>
        <v>41001481</v>
      </c>
      <c r="C5086" s="21" t="str">
        <f>IFERROR(__xludf.DUMMYFUNCTION("""COMPUTED_VALUE"""),"C85D38A4127B")</f>
        <v>C85D38A4127B</v>
      </c>
      <c r="D5086" s="21" t="str">
        <f>IFERROR(__xludf.DUMMYFUNCTION("""COMPUTED_VALUE"""),"DIGITEC TECNOLOGIA DIGITAL E REPRES")</f>
        <v>DIGITEC TECNOLOGIA DIGITAL E REPRES</v>
      </c>
      <c r="E5086" s="21">
        <f>IFERROR(__xludf.DUMMYFUNCTION("""COMPUTED_VALUE"""),145359.0)</f>
        <v>145359</v>
      </c>
      <c r="F5086" s="21" t="str">
        <f>IFERROR(__xludf.DUMMYFUNCTION("""COMPUTED_VALUE"""),"INICIALIZADO")</f>
        <v>INICIALIZADO</v>
      </c>
      <c r="G5086" s="23">
        <f>IFERROR(__xludf.DUMMYFUNCTION("""COMPUTED_VALUE"""),45639.64984953703)</f>
        <v>45639.64985</v>
      </c>
      <c r="H5086" s="24" t="str">
        <f>IFERROR(VLOOKUP(B5086,material!A:D,3,0),"")</f>
        <v>3.1</v>
      </c>
    </row>
    <row r="5087" ht="11.25" customHeight="1">
      <c r="A5087" s="21" t="str">
        <f>IFERROR(__xludf.DUMMYFUNCTION("""COMPUTED_VALUE"""),"MODEM VOIP EMTA WIFI 3.1 HGJ310")</f>
        <v>MODEM VOIP EMTA WIFI 3.1 HGJ310</v>
      </c>
      <c r="B5087" s="22">
        <f>IFERROR(__xludf.DUMMYFUNCTION("""COMPUTED_VALUE"""),4.1001481E7)</f>
        <v>41001481</v>
      </c>
      <c r="C5087" s="21" t="str">
        <f>IFERROR(__xludf.DUMMYFUNCTION("""COMPUTED_VALUE"""),"C85D38A08C8C")</f>
        <v>C85D38A08C8C</v>
      </c>
      <c r="D5087" s="21" t="str">
        <f>IFERROR(__xludf.DUMMYFUNCTION("""COMPUTED_VALUE"""),"DIGITEC TECNOLOGIA DIGITAL E REPRES")</f>
        <v>DIGITEC TECNOLOGIA DIGITAL E REPRES</v>
      </c>
      <c r="E5087" s="21">
        <f>IFERROR(__xludf.DUMMYFUNCTION("""COMPUTED_VALUE"""),145359.0)</f>
        <v>145359</v>
      </c>
      <c r="F5087" s="21" t="str">
        <f>IFERROR(__xludf.DUMMYFUNCTION("""COMPUTED_VALUE"""),"INICIALIZADO")</f>
        <v>INICIALIZADO</v>
      </c>
      <c r="G5087" s="23">
        <f>IFERROR(__xludf.DUMMYFUNCTION("""COMPUTED_VALUE"""),45628.35653935185)</f>
        <v>45628.35654</v>
      </c>
      <c r="H5087" s="24" t="str">
        <f>IFERROR(VLOOKUP(B5087,material!A:D,3,0),"")</f>
        <v>3.1</v>
      </c>
    </row>
    <row r="5088" ht="11.25" customHeight="1">
      <c r="A5088" s="21" t="str">
        <f>IFERROR(__xludf.DUMMYFUNCTION("""COMPUTED_VALUE"""),"MODEM VOIP EMTA WIFI 3.1 HGJ310")</f>
        <v>MODEM VOIP EMTA WIFI 3.1 HGJ310</v>
      </c>
      <c r="B5088" s="22">
        <f>IFERROR(__xludf.DUMMYFUNCTION("""COMPUTED_VALUE"""),4.1001481E7)</f>
        <v>41001481</v>
      </c>
      <c r="C5088" s="21" t="str">
        <f>IFERROR(__xludf.DUMMYFUNCTION("""COMPUTED_VALUE"""),"C85D38A13159")</f>
        <v>C85D38A13159</v>
      </c>
      <c r="D5088" s="21" t="str">
        <f>IFERROR(__xludf.DUMMYFUNCTION("""COMPUTED_VALUE"""),"DIGITEC TECNOLOGIA DIGITAL E REPRES")</f>
        <v>DIGITEC TECNOLOGIA DIGITAL E REPRES</v>
      </c>
      <c r="E5088" s="21">
        <f>IFERROR(__xludf.DUMMYFUNCTION("""COMPUTED_VALUE"""),145359.0)</f>
        <v>145359</v>
      </c>
      <c r="F5088" s="21" t="str">
        <f>IFERROR(__xludf.DUMMYFUNCTION("""COMPUTED_VALUE"""),"INICIALIZADO")</f>
        <v>INICIALIZADO</v>
      </c>
      <c r="G5088" s="23">
        <f>IFERROR(__xludf.DUMMYFUNCTION("""COMPUTED_VALUE"""),45639.64982638889)</f>
        <v>45639.64983</v>
      </c>
      <c r="H5088" s="24" t="str">
        <f>IFERROR(VLOOKUP(B5088,material!A:D,3,0),"")</f>
        <v>3.1</v>
      </c>
    </row>
    <row r="5089" ht="11.25" customHeight="1">
      <c r="A5089" s="21" t="str">
        <f>IFERROR(__xludf.DUMMYFUNCTION("""COMPUTED_VALUE"""),"MODEM VOIP EMTA WIFI 3.1 HGJ310")</f>
        <v>MODEM VOIP EMTA WIFI 3.1 HGJ310</v>
      </c>
      <c r="B5089" s="22">
        <f>IFERROR(__xludf.DUMMYFUNCTION("""COMPUTED_VALUE"""),4.1001481E7)</f>
        <v>41001481</v>
      </c>
      <c r="C5089" s="21" t="str">
        <f>IFERROR(__xludf.DUMMYFUNCTION("""COMPUTED_VALUE"""),"C85D38CAE883")</f>
        <v>C85D38CAE883</v>
      </c>
      <c r="D5089" s="21" t="str">
        <f>IFERROR(__xludf.DUMMYFUNCTION("""COMPUTED_VALUE"""),"DIGITEC TECNOLOGIA DIGITAL E REPRES")</f>
        <v>DIGITEC TECNOLOGIA DIGITAL E REPRES</v>
      </c>
      <c r="E5089" s="21">
        <f>IFERROR(__xludf.DUMMYFUNCTION("""COMPUTED_VALUE"""),145359.0)</f>
        <v>145359</v>
      </c>
      <c r="F5089" s="21" t="str">
        <f>IFERROR(__xludf.DUMMYFUNCTION("""COMPUTED_VALUE"""),"INICIALIZADO")</f>
        <v>INICIALIZADO</v>
      </c>
      <c r="G5089" s="23">
        <f>IFERROR(__xludf.DUMMYFUNCTION("""COMPUTED_VALUE"""),45639.64984953703)</f>
        <v>45639.64985</v>
      </c>
      <c r="H5089" s="24" t="str">
        <f>IFERROR(VLOOKUP(B5089,material!A:D,3,0),"")</f>
        <v>3.1</v>
      </c>
    </row>
    <row r="5090" ht="11.25" customHeight="1">
      <c r="A5090" s="21" t="str">
        <f>IFERROR(__xludf.DUMMYFUNCTION("""COMPUTED_VALUE"""),"MODEM VOIP EMTA WIFI 3.1 HGJ310")</f>
        <v>MODEM VOIP EMTA WIFI 3.1 HGJ310</v>
      </c>
      <c r="B5090" s="22">
        <f>IFERROR(__xludf.DUMMYFUNCTION("""COMPUTED_VALUE"""),4.1001481E7)</f>
        <v>41001481</v>
      </c>
      <c r="C5090" s="21" t="str">
        <f>IFERROR(__xludf.DUMMYFUNCTION("""COMPUTED_VALUE"""),"C85D38E6F8FC")</f>
        <v>C85D38E6F8FC</v>
      </c>
      <c r="D5090" s="21" t="str">
        <f>IFERROR(__xludf.DUMMYFUNCTION("""COMPUTED_VALUE"""),"DIGITEC TECNOLOGIA DIGITAL E REPRES")</f>
        <v>DIGITEC TECNOLOGIA DIGITAL E REPRES</v>
      </c>
      <c r="E5090" s="21">
        <f>IFERROR(__xludf.DUMMYFUNCTION("""COMPUTED_VALUE"""),145359.0)</f>
        <v>145359</v>
      </c>
      <c r="F5090" s="21" t="str">
        <f>IFERROR(__xludf.DUMMYFUNCTION("""COMPUTED_VALUE"""),"INICIALIZADO")</f>
        <v>INICIALIZADO</v>
      </c>
      <c r="G5090" s="23">
        <f>IFERROR(__xludf.DUMMYFUNCTION("""COMPUTED_VALUE"""),45628.35653935185)</f>
        <v>45628.35654</v>
      </c>
      <c r="H5090" s="24" t="str">
        <f>IFERROR(VLOOKUP(B5090,material!A:D,3,0),"")</f>
        <v>3.1</v>
      </c>
    </row>
    <row r="5091" ht="11.25" customHeight="1">
      <c r="A5091" s="21" t="str">
        <f>IFERROR(__xludf.DUMMYFUNCTION("""COMPUTED_VALUE"""),"MODEM VOIP EMTA WIFI 3.1 HGJ310")</f>
        <v>MODEM VOIP EMTA WIFI 3.1 HGJ310</v>
      </c>
      <c r="B5091" s="22">
        <f>IFERROR(__xludf.DUMMYFUNCTION("""COMPUTED_VALUE"""),4.1001481E7)</f>
        <v>41001481</v>
      </c>
      <c r="C5091" s="21" t="str">
        <f>IFERROR(__xludf.DUMMYFUNCTION("""COMPUTED_VALUE"""),"C85D388BFE81")</f>
        <v>C85D388BFE81</v>
      </c>
      <c r="D5091" s="21" t="str">
        <f>IFERROR(__xludf.DUMMYFUNCTION("""COMPUTED_VALUE"""),"DIGITEC TECNOLOGIA DIGITAL E REPRES")</f>
        <v>DIGITEC TECNOLOGIA DIGITAL E REPRES</v>
      </c>
      <c r="E5091" s="21">
        <f>IFERROR(__xludf.DUMMYFUNCTION("""COMPUTED_VALUE"""),145359.0)</f>
        <v>145359</v>
      </c>
      <c r="F5091" s="21" t="str">
        <f>IFERROR(__xludf.DUMMYFUNCTION("""COMPUTED_VALUE"""),"INICIALIZADO")</f>
        <v>INICIALIZADO</v>
      </c>
      <c r="G5091" s="23">
        <f>IFERROR(__xludf.DUMMYFUNCTION("""COMPUTED_VALUE"""),45639.64982638889)</f>
        <v>45639.64983</v>
      </c>
      <c r="H5091" s="24" t="str">
        <f>IFERROR(VLOOKUP(B5091,material!A:D,3,0),"")</f>
        <v>3.1</v>
      </c>
    </row>
    <row r="5092" ht="11.25" customHeight="1">
      <c r="A5092" s="21" t="str">
        <f>IFERROR(__xludf.DUMMYFUNCTION("""COMPUTED_VALUE"""),"MODEM VOIP EMTA WIFI 3.1 HGJ310")</f>
        <v>MODEM VOIP EMTA WIFI 3.1 HGJ310</v>
      </c>
      <c r="B5092" s="22">
        <f>IFERROR(__xludf.DUMMYFUNCTION("""COMPUTED_VALUE"""),4.1001481E7)</f>
        <v>41001481</v>
      </c>
      <c r="C5092" s="21" t="str">
        <f>IFERROR(__xludf.DUMMYFUNCTION("""COMPUTED_VALUE"""),"C85D389F1E47")</f>
        <v>C85D389F1E47</v>
      </c>
      <c r="D5092" s="21" t="str">
        <f>IFERROR(__xludf.DUMMYFUNCTION("""COMPUTED_VALUE"""),"DIGITEC TECNOLOGIA DIGITAL E REPRES")</f>
        <v>DIGITEC TECNOLOGIA DIGITAL E REPRES</v>
      </c>
      <c r="E5092" s="21">
        <f>IFERROR(__xludf.DUMMYFUNCTION("""COMPUTED_VALUE"""),145359.0)</f>
        <v>145359</v>
      </c>
      <c r="F5092" s="21" t="str">
        <f>IFERROR(__xludf.DUMMYFUNCTION("""COMPUTED_VALUE"""),"INICIALIZADO")</f>
        <v>INICIALIZADO</v>
      </c>
      <c r="G5092" s="23">
        <f>IFERROR(__xludf.DUMMYFUNCTION("""COMPUTED_VALUE"""),45639.64982638889)</f>
        <v>45639.64983</v>
      </c>
      <c r="H5092" s="24" t="str">
        <f>IFERROR(VLOOKUP(B5092,material!A:D,3,0),"")</f>
        <v>3.1</v>
      </c>
    </row>
    <row r="5093" ht="11.25" customHeight="1">
      <c r="A5093" s="21" t="str">
        <f>IFERROR(__xludf.DUMMYFUNCTION("""COMPUTED_VALUE"""),"MODEM VOIP EMTA WIFI 3.1 HGJ310")</f>
        <v>MODEM VOIP EMTA WIFI 3.1 HGJ310</v>
      </c>
      <c r="B5093" s="22">
        <f>IFERROR(__xludf.DUMMYFUNCTION("""COMPUTED_VALUE"""),4.1001481E7)</f>
        <v>41001481</v>
      </c>
      <c r="C5093" s="21" t="str">
        <f>IFERROR(__xludf.DUMMYFUNCTION("""COMPUTED_VALUE"""),"C85D38D8E0C7")</f>
        <v>C85D38D8E0C7</v>
      </c>
      <c r="D5093" s="21" t="str">
        <f>IFERROR(__xludf.DUMMYFUNCTION("""COMPUTED_VALUE"""),"DIGITEC TECNOLOGIA DIGITAL E REPRES")</f>
        <v>DIGITEC TECNOLOGIA DIGITAL E REPRES</v>
      </c>
      <c r="E5093" s="21">
        <f>IFERROR(__xludf.DUMMYFUNCTION("""COMPUTED_VALUE"""),145359.0)</f>
        <v>145359</v>
      </c>
      <c r="F5093" s="21" t="str">
        <f>IFERROR(__xludf.DUMMYFUNCTION("""COMPUTED_VALUE"""),"INICIALIZADO")</f>
        <v>INICIALIZADO</v>
      </c>
      <c r="G5093" s="23">
        <f>IFERROR(__xludf.DUMMYFUNCTION("""COMPUTED_VALUE"""),45639.64983796296)</f>
        <v>45639.64984</v>
      </c>
      <c r="H5093" s="24" t="str">
        <f>IFERROR(VLOOKUP(B5093,material!A:D,3,0),"")</f>
        <v>3.1</v>
      </c>
    </row>
    <row r="5094" ht="11.25" customHeight="1">
      <c r="A5094" s="21" t="str">
        <f>IFERROR(__xludf.DUMMYFUNCTION("""COMPUTED_VALUE"""),"MODEM VOIP EMTA WIFI 3.1 HGJ310")</f>
        <v>MODEM VOIP EMTA WIFI 3.1 HGJ310</v>
      </c>
      <c r="B5094" s="22">
        <f>IFERROR(__xludf.DUMMYFUNCTION("""COMPUTED_VALUE"""),4.1001481E7)</f>
        <v>41001481</v>
      </c>
      <c r="C5094" s="21" t="str">
        <f>IFERROR(__xludf.DUMMYFUNCTION("""COMPUTED_VALUE"""),"C85D38A2B66C")</f>
        <v>C85D38A2B66C</v>
      </c>
      <c r="D5094" s="21" t="str">
        <f>IFERROR(__xludf.DUMMYFUNCTION("""COMPUTED_VALUE"""),"DIGITEC TECNOLOGIA DIGITAL E REPRES")</f>
        <v>DIGITEC TECNOLOGIA DIGITAL E REPRES</v>
      </c>
      <c r="E5094" s="21">
        <f>IFERROR(__xludf.DUMMYFUNCTION("""COMPUTED_VALUE"""),145359.0)</f>
        <v>145359</v>
      </c>
      <c r="F5094" s="21" t="str">
        <f>IFERROR(__xludf.DUMMYFUNCTION("""COMPUTED_VALUE"""),"INICIALIZADO")</f>
        <v>INICIALIZADO</v>
      </c>
      <c r="G5094" s="23">
        <f>IFERROR(__xludf.DUMMYFUNCTION("""COMPUTED_VALUE"""),45639.64983796296)</f>
        <v>45639.64984</v>
      </c>
      <c r="H5094" s="24" t="str">
        <f>IFERROR(VLOOKUP(B5094,material!A:D,3,0),"")</f>
        <v>3.1</v>
      </c>
    </row>
    <row r="5095" ht="11.25" customHeight="1">
      <c r="A5095" s="21" t="str">
        <f>IFERROR(__xludf.DUMMYFUNCTION("""COMPUTED_VALUE"""),"MODEM VOIP EMTA WIFI 3.1 HGJ310")</f>
        <v>MODEM VOIP EMTA WIFI 3.1 HGJ310</v>
      </c>
      <c r="B5095" s="22">
        <f>IFERROR(__xludf.DUMMYFUNCTION("""COMPUTED_VALUE"""),4.1001481E7)</f>
        <v>41001481</v>
      </c>
      <c r="C5095" s="21" t="str">
        <f>IFERROR(__xludf.DUMMYFUNCTION("""COMPUTED_VALUE"""),"C85D38A399A6")</f>
        <v>C85D38A399A6</v>
      </c>
      <c r="D5095" s="21" t="str">
        <f>IFERROR(__xludf.DUMMYFUNCTION("""COMPUTED_VALUE"""),"DIGITEC TECNOLOGIA DIGITAL E REPRES")</f>
        <v>DIGITEC TECNOLOGIA DIGITAL E REPRES</v>
      </c>
      <c r="E5095" s="21">
        <f>IFERROR(__xludf.DUMMYFUNCTION("""COMPUTED_VALUE"""),145359.0)</f>
        <v>145359</v>
      </c>
      <c r="F5095" s="21" t="str">
        <f>IFERROR(__xludf.DUMMYFUNCTION("""COMPUTED_VALUE"""),"INICIALIZADO")</f>
        <v>INICIALIZADO</v>
      </c>
      <c r="G5095" s="23">
        <f>IFERROR(__xludf.DUMMYFUNCTION("""COMPUTED_VALUE"""),45639.64983796296)</f>
        <v>45639.64984</v>
      </c>
      <c r="H5095" s="24" t="str">
        <f>IFERROR(VLOOKUP(B5095,material!A:D,3,0),"")</f>
        <v>3.1</v>
      </c>
    </row>
    <row r="5096" ht="11.25" customHeight="1">
      <c r="A5096" s="21" t="str">
        <f>IFERROR(__xludf.DUMMYFUNCTION("""COMPUTED_VALUE"""),"MODEM VOIP EMTA WIFI 3.1 HGJ310")</f>
        <v>MODEM VOIP EMTA WIFI 3.1 HGJ310</v>
      </c>
      <c r="B5096" s="22">
        <f>IFERROR(__xludf.DUMMYFUNCTION("""COMPUTED_VALUE"""),4.1001481E7)</f>
        <v>41001481</v>
      </c>
      <c r="C5096" s="21" t="str">
        <f>IFERROR(__xludf.DUMMYFUNCTION("""COMPUTED_VALUE"""),"C85D38A7A4E2")</f>
        <v>C85D38A7A4E2</v>
      </c>
      <c r="D5096" s="21" t="str">
        <f>IFERROR(__xludf.DUMMYFUNCTION("""COMPUTED_VALUE"""),"DIGITEC TECNOLOGIA DIGITAL E REPRES")</f>
        <v>DIGITEC TECNOLOGIA DIGITAL E REPRES</v>
      </c>
      <c r="E5096" s="21">
        <f>IFERROR(__xludf.DUMMYFUNCTION("""COMPUTED_VALUE"""),145359.0)</f>
        <v>145359</v>
      </c>
      <c r="F5096" s="21" t="str">
        <f>IFERROR(__xludf.DUMMYFUNCTION("""COMPUTED_VALUE"""),"INICIALIZADO")</f>
        <v>INICIALIZADO</v>
      </c>
      <c r="G5096" s="23">
        <f>IFERROR(__xludf.DUMMYFUNCTION("""COMPUTED_VALUE"""),45639.64984953703)</f>
        <v>45639.64985</v>
      </c>
      <c r="H5096" s="24" t="str">
        <f>IFERROR(VLOOKUP(B5096,material!A:D,3,0),"")</f>
        <v>3.1</v>
      </c>
    </row>
    <row r="5097" ht="11.25" customHeight="1">
      <c r="A5097" s="21" t="str">
        <f>IFERROR(__xludf.DUMMYFUNCTION("""COMPUTED_VALUE"""),"MODEM VOIP EMTA WIFI 3.1 HGJ310")</f>
        <v>MODEM VOIP EMTA WIFI 3.1 HGJ310</v>
      </c>
      <c r="B5097" s="22">
        <f>IFERROR(__xludf.DUMMYFUNCTION("""COMPUTED_VALUE"""),4.1001481E7)</f>
        <v>41001481</v>
      </c>
      <c r="C5097" s="21" t="str">
        <f>IFERROR(__xludf.DUMMYFUNCTION("""COMPUTED_VALUE"""),"C85D38DA9F5B")</f>
        <v>C85D38DA9F5B</v>
      </c>
      <c r="D5097" s="21" t="str">
        <f>IFERROR(__xludf.DUMMYFUNCTION("""COMPUTED_VALUE"""),"DIGITEC TECNOLOGIA DIGITAL E REPRES")</f>
        <v>DIGITEC TECNOLOGIA DIGITAL E REPRES</v>
      </c>
      <c r="E5097" s="21">
        <f>IFERROR(__xludf.DUMMYFUNCTION("""COMPUTED_VALUE"""),145359.0)</f>
        <v>145359</v>
      </c>
      <c r="F5097" s="21" t="str">
        <f>IFERROR(__xludf.DUMMYFUNCTION("""COMPUTED_VALUE"""),"INICIALIZADO")</f>
        <v>INICIALIZADO</v>
      </c>
      <c r="G5097" s="23">
        <f>IFERROR(__xludf.DUMMYFUNCTION("""COMPUTED_VALUE"""),45639.64983796296)</f>
        <v>45639.64984</v>
      </c>
      <c r="H5097" s="24" t="str">
        <f>IFERROR(VLOOKUP(B5097,material!A:D,3,0),"")</f>
        <v>3.1</v>
      </c>
    </row>
    <row r="5098" ht="11.25" customHeight="1">
      <c r="A5098" s="21" t="str">
        <f>IFERROR(__xludf.DUMMYFUNCTION("""COMPUTED_VALUE"""),"MODEM VOIP EMTA WIFI 3.1 HGJ310")</f>
        <v>MODEM VOIP EMTA WIFI 3.1 HGJ310</v>
      </c>
      <c r="B5098" s="22">
        <f>IFERROR(__xludf.DUMMYFUNCTION("""COMPUTED_VALUE"""),4.1001481E7)</f>
        <v>41001481</v>
      </c>
      <c r="C5098" s="21" t="str">
        <f>IFERROR(__xludf.DUMMYFUNCTION("""COMPUTED_VALUE"""),"C85D38970A34")</f>
        <v>C85D38970A34</v>
      </c>
      <c r="D5098" s="21" t="str">
        <f>IFERROR(__xludf.DUMMYFUNCTION("""COMPUTED_VALUE"""),"DIGITEC TECNOLOGIA DIGITAL E REPRES")</f>
        <v>DIGITEC TECNOLOGIA DIGITAL E REPRES</v>
      </c>
      <c r="E5098" s="21">
        <f>IFERROR(__xludf.DUMMYFUNCTION("""COMPUTED_VALUE"""),145359.0)</f>
        <v>145359</v>
      </c>
      <c r="F5098" s="21" t="str">
        <f>IFERROR(__xludf.DUMMYFUNCTION("""COMPUTED_VALUE"""),"INICIALIZADO")</f>
        <v>INICIALIZADO</v>
      </c>
      <c r="G5098" s="23">
        <f>IFERROR(__xludf.DUMMYFUNCTION("""COMPUTED_VALUE"""),45639.64982638889)</f>
        <v>45639.64983</v>
      </c>
      <c r="H5098" s="24" t="str">
        <f>IFERROR(VLOOKUP(B5098,material!A:D,3,0),"")</f>
        <v>3.1</v>
      </c>
    </row>
    <row r="5099" ht="11.25" customHeight="1">
      <c r="A5099" s="21" t="str">
        <f>IFERROR(__xludf.DUMMYFUNCTION("""COMPUTED_VALUE"""),"MODEM VOIP EMTA WIFI 3.1 HGJ310")</f>
        <v>MODEM VOIP EMTA WIFI 3.1 HGJ310</v>
      </c>
      <c r="B5099" s="22">
        <f>IFERROR(__xludf.DUMMYFUNCTION("""COMPUTED_VALUE"""),4.1001481E7)</f>
        <v>41001481</v>
      </c>
      <c r="C5099" s="21" t="str">
        <f>IFERROR(__xludf.DUMMYFUNCTION("""COMPUTED_VALUE"""),"C85D389B0042")</f>
        <v>C85D389B0042</v>
      </c>
      <c r="D5099" s="21" t="str">
        <f>IFERROR(__xludf.DUMMYFUNCTION("""COMPUTED_VALUE"""),"DIGITEC TECNOLOGIA DIGITAL E REPRES")</f>
        <v>DIGITEC TECNOLOGIA DIGITAL E REPRES</v>
      </c>
      <c r="E5099" s="21">
        <f>IFERROR(__xludf.DUMMYFUNCTION("""COMPUTED_VALUE"""),145359.0)</f>
        <v>145359</v>
      </c>
      <c r="F5099" s="21" t="str">
        <f>IFERROR(__xludf.DUMMYFUNCTION("""COMPUTED_VALUE"""),"INICIALIZADO")</f>
        <v>INICIALIZADO</v>
      </c>
      <c r="G5099" s="23">
        <f>IFERROR(__xludf.DUMMYFUNCTION("""COMPUTED_VALUE"""),45639.64982638889)</f>
        <v>45639.64983</v>
      </c>
      <c r="H5099" s="24" t="str">
        <f>IFERROR(VLOOKUP(B5099,material!A:D,3,0),"")</f>
        <v>3.1</v>
      </c>
    </row>
    <row r="5100" ht="11.25" customHeight="1">
      <c r="A5100" s="21" t="str">
        <f>IFERROR(__xludf.DUMMYFUNCTION("""COMPUTED_VALUE"""),"MODEM VOIP EMTA WIFI 3.1 HGJ310")</f>
        <v>MODEM VOIP EMTA WIFI 3.1 HGJ310</v>
      </c>
      <c r="B5100" s="22">
        <f>IFERROR(__xludf.DUMMYFUNCTION("""COMPUTED_VALUE"""),4.1001481E7)</f>
        <v>41001481</v>
      </c>
      <c r="C5100" s="21" t="str">
        <f>IFERROR(__xludf.DUMMYFUNCTION("""COMPUTED_VALUE"""),"C85D38A2CBEA")</f>
        <v>C85D38A2CBEA</v>
      </c>
      <c r="D5100" s="21" t="str">
        <f>IFERROR(__xludf.DUMMYFUNCTION("""COMPUTED_VALUE"""),"DIGITEC TECNOLOGIA DIGITAL E REPRES")</f>
        <v>DIGITEC TECNOLOGIA DIGITAL E REPRES</v>
      </c>
      <c r="E5100" s="21">
        <f>IFERROR(__xludf.DUMMYFUNCTION("""COMPUTED_VALUE"""),145359.0)</f>
        <v>145359</v>
      </c>
      <c r="F5100" s="21" t="str">
        <f>IFERROR(__xludf.DUMMYFUNCTION("""COMPUTED_VALUE"""),"INICIALIZADO")</f>
        <v>INICIALIZADO</v>
      </c>
      <c r="G5100" s="23">
        <f>IFERROR(__xludf.DUMMYFUNCTION("""COMPUTED_VALUE"""),45639.64983796296)</f>
        <v>45639.64984</v>
      </c>
      <c r="H5100" s="24" t="str">
        <f>IFERROR(VLOOKUP(B5100,material!A:D,3,0),"")</f>
        <v>3.1</v>
      </c>
    </row>
    <row r="5101" ht="11.25" customHeight="1">
      <c r="A5101" s="21" t="str">
        <f>IFERROR(__xludf.DUMMYFUNCTION("""COMPUTED_VALUE"""),"MODEM VOIP EMTA WIFI 3.1 HGJ310")</f>
        <v>MODEM VOIP EMTA WIFI 3.1 HGJ310</v>
      </c>
      <c r="B5101" s="22">
        <f>IFERROR(__xludf.DUMMYFUNCTION("""COMPUTED_VALUE"""),4.1001481E7)</f>
        <v>41001481</v>
      </c>
      <c r="C5101" s="21" t="str">
        <f>IFERROR(__xludf.DUMMYFUNCTION("""COMPUTED_VALUE"""),"D86C5A47C4A5")</f>
        <v>D86C5A47C4A5</v>
      </c>
      <c r="D5101" s="21" t="str">
        <f>IFERROR(__xludf.DUMMYFUNCTION("""COMPUTED_VALUE"""),"DIGITEC TECNOLOGIA DIGITAL E REPRES")</f>
        <v>DIGITEC TECNOLOGIA DIGITAL E REPRES</v>
      </c>
      <c r="E5101" s="21">
        <f>IFERROR(__xludf.DUMMYFUNCTION("""COMPUTED_VALUE"""),145359.0)</f>
        <v>145359</v>
      </c>
      <c r="F5101" s="21" t="str">
        <f>IFERROR(__xludf.DUMMYFUNCTION("""COMPUTED_VALUE"""),"INICIALIZADO")</f>
        <v>INICIALIZADO</v>
      </c>
      <c r="G5101" s="23">
        <f>IFERROR(__xludf.DUMMYFUNCTION("""COMPUTED_VALUE"""),45639.64981481481)</f>
        <v>45639.64981</v>
      </c>
      <c r="H5101" s="24" t="str">
        <f>IFERROR(VLOOKUP(B5101,material!A:D,3,0),"")</f>
        <v>3.1</v>
      </c>
    </row>
    <row r="5102" ht="11.25" customHeight="1">
      <c r="A5102" s="21" t="str">
        <f>IFERROR(__xludf.DUMMYFUNCTION("""COMPUTED_VALUE"""),"MODEM VOIP EMTA WIFI 3.1 HGJ310")</f>
        <v>MODEM VOIP EMTA WIFI 3.1 HGJ310</v>
      </c>
      <c r="B5102" s="22">
        <f>IFERROR(__xludf.DUMMYFUNCTION("""COMPUTED_VALUE"""),4.1001481E7)</f>
        <v>41001481</v>
      </c>
      <c r="C5102" s="21" t="str">
        <f>IFERROR(__xludf.DUMMYFUNCTION("""COMPUTED_VALUE"""),"C85D38E50BBB")</f>
        <v>C85D38E50BBB</v>
      </c>
      <c r="D5102" s="21" t="str">
        <f>IFERROR(__xludf.DUMMYFUNCTION("""COMPUTED_VALUE"""),"DIGITEC TECNOLOGIA DIGITAL E REPRES")</f>
        <v>DIGITEC TECNOLOGIA DIGITAL E REPRES</v>
      </c>
      <c r="E5102" s="21">
        <f>IFERROR(__xludf.DUMMYFUNCTION("""COMPUTED_VALUE"""),145359.0)</f>
        <v>145359</v>
      </c>
      <c r="F5102" s="21" t="str">
        <f>IFERROR(__xludf.DUMMYFUNCTION("""COMPUTED_VALUE"""),"INICIALIZADO")</f>
        <v>INICIALIZADO</v>
      </c>
      <c r="G5102" s="23">
        <f>IFERROR(__xludf.DUMMYFUNCTION("""COMPUTED_VALUE"""),45639.64981481481)</f>
        <v>45639.64981</v>
      </c>
      <c r="H5102" s="24" t="str">
        <f>IFERROR(VLOOKUP(B5102,material!A:D,3,0),"")</f>
        <v>3.1</v>
      </c>
    </row>
    <row r="5103" ht="11.25" customHeight="1">
      <c r="A5103" s="21" t="str">
        <f>IFERROR(__xludf.DUMMYFUNCTION("""COMPUTED_VALUE"""),"MODEM VOIP EMTA WIFI 3.1 HGJ310")</f>
        <v>MODEM VOIP EMTA WIFI 3.1 HGJ310</v>
      </c>
      <c r="B5103" s="22">
        <f>IFERROR(__xludf.DUMMYFUNCTION("""COMPUTED_VALUE"""),4.1001481E7)</f>
        <v>41001481</v>
      </c>
      <c r="C5103" s="21" t="str">
        <f>IFERROR(__xludf.DUMMYFUNCTION("""COMPUTED_VALUE"""),"C85D38E5B0B2")</f>
        <v>C85D38E5B0B2</v>
      </c>
      <c r="D5103" s="21" t="str">
        <f>IFERROR(__xludf.DUMMYFUNCTION("""COMPUTED_VALUE"""),"DIGITEC TECNOLOGIA DIGITAL E REPRES")</f>
        <v>DIGITEC TECNOLOGIA DIGITAL E REPRES</v>
      </c>
      <c r="E5103" s="21">
        <f>IFERROR(__xludf.DUMMYFUNCTION("""COMPUTED_VALUE"""),145359.0)</f>
        <v>145359</v>
      </c>
      <c r="F5103" s="21" t="str">
        <f>IFERROR(__xludf.DUMMYFUNCTION("""COMPUTED_VALUE"""),"INICIALIZADO")</f>
        <v>INICIALIZADO</v>
      </c>
      <c r="G5103" s="23">
        <f>IFERROR(__xludf.DUMMYFUNCTION("""COMPUTED_VALUE"""),45639.64981481481)</f>
        <v>45639.64981</v>
      </c>
      <c r="H5103" s="24" t="str">
        <f>IFERROR(VLOOKUP(B5103,material!A:D,3,0),"")</f>
        <v>3.1</v>
      </c>
    </row>
    <row r="5104" ht="11.25" customHeight="1">
      <c r="A5104" s="21" t="str">
        <f>IFERROR(__xludf.DUMMYFUNCTION("""COMPUTED_VALUE"""),"MODEM VOIP EMTA WIFI 3.1 HGJ310")</f>
        <v>MODEM VOIP EMTA WIFI 3.1 HGJ310</v>
      </c>
      <c r="B5104" s="22">
        <f>IFERROR(__xludf.DUMMYFUNCTION("""COMPUTED_VALUE"""),4.1001481E7)</f>
        <v>41001481</v>
      </c>
      <c r="C5104" s="21" t="str">
        <f>IFERROR(__xludf.DUMMYFUNCTION("""COMPUTED_VALUE"""),"C85D38DBF8CA")</f>
        <v>C85D38DBF8CA</v>
      </c>
      <c r="D5104" s="21" t="str">
        <f>IFERROR(__xludf.DUMMYFUNCTION("""COMPUTED_VALUE"""),"DIGITEC TECNOLOGIA DIGITAL E REPRES")</f>
        <v>DIGITEC TECNOLOGIA DIGITAL E REPRES</v>
      </c>
      <c r="E5104" s="21">
        <f>IFERROR(__xludf.DUMMYFUNCTION("""COMPUTED_VALUE"""),145359.0)</f>
        <v>145359</v>
      </c>
      <c r="F5104" s="21" t="str">
        <f>IFERROR(__xludf.DUMMYFUNCTION("""COMPUTED_VALUE"""),"INICIALIZADO")</f>
        <v>INICIALIZADO</v>
      </c>
      <c r="G5104" s="23">
        <f>IFERROR(__xludf.DUMMYFUNCTION("""COMPUTED_VALUE"""),45639.64983796296)</f>
        <v>45639.64984</v>
      </c>
      <c r="H5104" s="24" t="str">
        <f>IFERROR(VLOOKUP(B5104,material!A:D,3,0),"")</f>
        <v>3.1</v>
      </c>
    </row>
    <row r="5105" ht="11.25" customHeight="1">
      <c r="A5105" s="21" t="str">
        <f>IFERROR(__xludf.DUMMYFUNCTION("""COMPUTED_VALUE"""),"MODEM VOIP EMTA WIFI 3.1 HGJ310")</f>
        <v>MODEM VOIP EMTA WIFI 3.1 HGJ310</v>
      </c>
      <c r="B5105" s="22">
        <f>IFERROR(__xludf.DUMMYFUNCTION("""COMPUTED_VALUE"""),4.1001481E7)</f>
        <v>41001481</v>
      </c>
      <c r="C5105" s="21" t="str">
        <f>IFERROR(__xludf.DUMMYFUNCTION("""COMPUTED_VALUE"""),"C85D38DA9CBB")</f>
        <v>C85D38DA9CBB</v>
      </c>
      <c r="D5105" s="21" t="str">
        <f>IFERROR(__xludf.DUMMYFUNCTION("""COMPUTED_VALUE"""),"DIGITEC TECNOLOGIA DIGITAL E REPRES")</f>
        <v>DIGITEC TECNOLOGIA DIGITAL E REPRES</v>
      </c>
      <c r="E5105" s="21">
        <f>IFERROR(__xludf.DUMMYFUNCTION("""COMPUTED_VALUE"""),145359.0)</f>
        <v>145359</v>
      </c>
      <c r="F5105" s="21" t="str">
        <f>IFERROR(__xludf.DUMMYFUNCTION("""COMPUTED_VALUE"""),"INICIALIZADO")</f>
        <v>INICIALIZADO</v>
      </c>
      <c r="G5105" s="23">
        <f>IFERROR(__xludf.DUMMYFUNCTION("""COMPUTED_VALUE"""),45639.64983796296)</f>
        <v>45639.64984</v>
      </c>
      <c r="H5105" s="24" t="str">
        <f>IFERROR(VLOOKUP(B5105,material!A:D,3,0),"")</f>
        <v>3.1</v>
      </c>
    </row>
    <row r="5106" ht="11.25" customHeight="1">
      <c r="A5106" s="21" t="str">
        <f>IFERROR(__xludf.DUMMYFUNCTION("""COMPUTED_VALUE"""),"MODEM VOIP EMTA WIFI 3.1 HGJ310")</f>
        <v>MODEM VOIP EMTA WIFI 3.1 HGJ310</v>
      </c>
      <c r="B5106" s="22">
        <f>IFERROR(__xludf.DUMMYFUNCTION("""COMPUTED_VALUE"""),4.1001481E7)</f>
        <v>41001481</v>
      </c>
      <c r="C5106" s="21" t="str">
        <f>IFERROR(__xludf.DUMMYFUNCTION("""COMPUTED_VALUE"""),"C85D38DCC2EA")</f>
        <v>C85D38DCC2EA</v>
      </c>
      <c r="D5106" s="21" t="str">
        <f>IFERROR(__xludf.DUMMYFUNCTION("""COMPUTED_VALUE"""),"DIGITEC TECNOLOGIA DIGITAL E REPRES")</f>
        <v>DIGITEC TECNOLOGIA DIGITAL E REPRES</v>
      </c>
      <c r="E5106" s="21">
        <f>IFERROR(__xludf.DUMMYFUNCTION("""COMPUTED_VALUE"""),145359.0)</f>
        <v>145359</v>
      </c>
      <c r="F5106" s="21" t="str">
        <f>IFERROR(__xludf.DUMMYFUNCTION("""COMPUTED_VALUE"""),"INICIALIZADO")</f>
        <v>INICIALIZADO</v>
      </c>
      <c r="G5106" s="23">
        <f>IFERROR(__xludf.DUMMYFUNCTION("""COMPUTED_VALUE"""),45639.64981481481)</f>
        <v>45639.64981</v>
      </c>
      <c r="H5106" s="24" t="str">
        <f>IFERROR(VLOOKUP(B5106,material!A:D,3,0),"")</f>
        <v>3.1</v>
      </c>
    </row>
    <row r="5107" ht="11.25" customHeight="1">
      <c r="A5107" s="21" t="str">
        <f>IFERROR(__xludf.DUMMYFUNCTION("""COMPUTED_VALUE"""),"MODEM VOIP EMTA WIFI 3.1 HGJ310")</f>
        <v>MODEM VOIP EMTA WIFI 3.1 HGJ310</v>
      </c>
      <c r="B5107" s="22">
        <f>IFERROR(__xludf.DUMMYFUNCTION("""COMPUTED_VALUE"""),4.1001481E7)</f>
        <v>41001481</v>
      </c>
      <c r="C5107" s="21" t="str">
        <f>IFERROR(__xludf.DUMMYFUNCTION("""COMPUTED_VALUE"""),"C85D38DA54F4")</f>
        <v>C85D38DA54F4</v>
      </c>
      <c r="D5107" s="21" t="str">
        <f>IFERROR(__xludf.DUMMYFUNCTION("""COMPUTED_VALUE"""),"DIGITEC TECNOLOGIA DIGITAL E REPRES")</f>
        <v>DIGITEC TECNOLOGIA DIGITAL E REPRES</v>
      </c>
      <c r="E5107" s="21">
        <f>IFERROR(__xludf.DUMMYFUNCTION("""COMPUTED_VALUE"""),145359.0)</f>
        <v>145359</v>
      </c>
      <c r="F5107" s="21" t="str">
        <f>IFERROR(__xludf.DUMMYFUNCTION("""COMPUTED_VALUE"""),"INICIALIZADO")</f>
        <v>INICIALIZADO</v>
      </c>
      <c r="G5107" s="23">
        <f>IFERROR(__xludf.DUMMYFUNCTION("""COMPUTED_VALUE"""),45639.64983796296)</f>
        <v>45639.64984</v>
      </c>
      <c r="H5107" s="24" t="str">
        <f>IFERROR(VLOOKUP(B5107,material!A:D,3,0),"")</f>
        <v>3.1</v>
      </c>
    </row>
    <row r="5108" ht="11.25" customHeight="1">
      <c r="A5108" s="21" t="str">
        <f>IFERROR(__xludf.DUMMYFUNCTION("""COMPUTED_VALUE"""),"MODEM VOIP EMTA WIFI 3.1 HGJ310")</f>
        <v>MODEM VOIP EMTA WIFI 3.1 HGJ310</v>
      </c>
      <c r="B5108" s="22">
        <f>IFERROR(__xludf.DUMMYFUNCTION("""COMPUTED_VALUE"""),4.1001481E7)</f>
        <v>41001481</v>
      </c>
      <c r="C5108" s="21" t="str">
        <f>IFERROR(__xludf.DUMMYFUNCTION("""COMPUTED_VALUE"""),"C85D38D71607")</f>
        <v>C85D38D71607</v>
      </c>
      <c r="D5108" s="21" t="str">
        <f>IFERROR(__xludf.DUMMYFUNCTION("""COMPUTED_VALUE"""),"DIGITEC TECNOLOGIA DIGITAL E REPRES")</f>
        <v>DIGITEC TECNOLOGIA DIGITAL E REPRES</v>
      </c>
      <c r="E5108" s="21">
        <f>IFERROR(__xludf.DUMMYFUNCTION("""COMPUTED_VALUE"""),145359.0)</f>
        <v>145359</v>
      </c>
      <c r="F5108" s="21" t="str">
        <f>IFERROR(__xludf.DUMMYFUNCTION("""COMPUTED_VALUE"""),"INICIALIZADO")</f>
        <v>INICIALIZADO</v>
      </c>
      <c r="G5108" s="23">
        <f>IFERROR(__xludf.DUMMYFUNCTION("""COMPUTED_VALUE"""),45639.64983796296)</f>
        <v>45639.64984</v>
      </c>
      <c r="H5108" s="24" t="str">
        <f>IFERROR(VLOOKUP(B5108,material!A:D,3,0),"")</f>
        <v>3.1</v>
      </c>
    </row>
    <row r="5109" ht="11.25" customHeight="1">
      <c r="A5109" s="21" t="str">
        <f>IFERROR(__xludf.DUMMYFUNCTION("""COMPUTED_VALUE"""),"MODEM VOIP EMTA WIFI 3.1 HGJ310")</f>
        <v>MODEM VOIP EMTA WIFI 3.1 HGJ310</v>
      </c>
      <c r="B5109" s="22">
        <f>IFERROR(__xludf.DUMMYFUNCTION("""COMPUTED_VALUE"""),4.1001481E7)</f>
        <v>41001481</v>
      </c>
      <c r="C5109" s="21" t="str">
        <f>IFERROR(__xludf.DUMMYFUNCTION("""COMPUTED_VALUE"""),"C85D38D5E33B")</f>
        <v>C85D38D5E33B</v>
      </c>
      <c r="D5109" s="21" t="str">
        <f>IFERROR(__xludf.DUMMYFUNCTION("""COMPUTED_VALUE"""),"DIGITEC TECNOLOGIA DIGITAL E REPRES")</f>
        <v>DIGITEC TECNOLOGIA DIGITAL E REPRES</v>
      </c>
      <c r="E5109" s="21">
        <f>IFERROR(__xludf.DUMMYFUNCTION("""COMPUTED_VALUE"""),145359.0)</f>
        <v>145359</v>
      </c>
      <c r="F5109" s="21" t="str">
        <f>IFERROR(__xludf.DUMMYFUNCTION("""COMPUTED_VALUE"""),"INICIALIZADO")</f>
        <v>INICIALIZADO</v>
      </c>
      <c r="G5109" s="23">
        <f>IFERROR(__xludf.DUMMYFUNCTION("""COMPUTED_VALUE"""),45639.64983796296)</f>
        <v>45639.64984</v>
      </c>
      <c r="H5109" s="24" t="str">
        <f>IFERROR(VLOOKUP(B5109,material!A:D,3,0),"")</f>
        <v>3.1</v>
      </c>
    </row>
    <row r="5110" ht="11.25" customHeight="1">
      <c r="A5110" s="21" t="str">
        <f>IFERROR(__xludf.DUMMYFUNCTION("""COMPUTED_VALUE"""),"MODEM VOIP EMTA WIFI 3.1 HGJ310")</f>
        <v>MODEM VOIP EMTA WIFI 3.1 HGJ310</v>
      </c>
      <c r="B5110" s="22">
        <f>IFERROR(__xludf.DUMMYFUNCTION("""COMPUTED_VALUE"""),4.1001481E7)</f>
        <v>41001481</v>
      </c>
      <c r="C5110" s="21" t="str">
        <f>IFERROR(__xludf.DUMMYFUNCTION("""COMPUTED_VALUE"""),"C85D38DB3B61")</f>
        <v>C85D38DB3B61</v>
      </c>
      <c r="D5110" s="21" t="str">
        <f>IFERROR(__xludf.DUMMYFUNCTION("""COMPUTED_VALUE"""),"DIGITEC TECNOLOGIA DIGITAL E REPRES")</f>
        <v>DIGITEC TECNOLOGIA DIGITAL E REPRES</v>
      </c>
      <c r="E5110" s="21">
        <f>IFERROR(__xludf.DUMMYFUNCTION("""COMPUTED_VALUE"""),145359.0)</f>
        <v>145359</v>
      </c>
      <c r="F5110" s="21" t="str">
        <f>IFERROR(__xludf.DUMMYFUNCTION("""COMPUTED_VALUE"""),"INICIALIZADO")</f>
        <v>INICIALIZADO</v>
      </c>
      <c r="G5110" s="23">
        <f>IFERROR(__xludf.DUMMYFUNCTION("""COMPUTED_VALUE"""),45639.64983796296)</f>
        <v>45639.64984</v>
      </c>
      <c r="H5110" s="24" t="str">
        <f>IFERROR(VLOOKUP(B5110,material!A:D,3,0),"")</f>
        <v>3.1</v>
      </c>
    </row>
    <row r="5111" ht="11.25" customHeight="1">
      <c r="A5111" s="21" t="str">
        <f>IFERROR(__xludf.DUMMYFUNCTION("""COMPUTED_VALUE"""),"MODEM VOIP EMTA WIFI 3.1 HGJ310")</f>
        <v>MODEM VOIP EMTA WIFI 3.1 HGJ310</v>
      </c>
      <c r="B5111" s="22">
        <f>IFERROR(__xludf.DUMMYFUNCTION("""COMPUTED_VALUE"""),4.1001481E7)</f>
        <v>41001481</v>
      </c>
      <c r="C5111" s="21" t="str">
        <f>IFERROR(__xludf.DUMMYFUNCTION("""COMPUTED_VALUE"""),"C85D38E69AE5")</f>
        <v>C85D38E69AE5</v>
      </c>
      <c r="D5111" s="21" t="str">
        <f>IFERROR(__xludf.DUMMYFUNCTION("""COMPUTED_VALUE"""),"DIGITEC TECNOLOGIA DIGITAL E REPRES")</f>
        <v>DIGITEC TECNOLOGIA DIGITAL E REPRES</v>
      </c>
      <c r="E5111" s="21">
        <f>IFERROR(__xludf.DUMMYFUNCTION("""COMPUTED_VALUE"""),145359.0)</f>
        <v>145359</v>
      </c>
      <c r="F5111" s="21" t="str">
        <f>IFERROR(__xludf.DUMMYFUNCTION("""COMPUTED_VALUE"""),"INICIALIZADO")</f>
        <v>INICIALIZADO</v>
      </c>
      <c r="G5111" s="23">
        <f>IFERROR(__xludf.DUMMYFUNCTION("""COMPUTED_VALUE"""),45639.64981481481)</f>
        <v>45639.64981</v>
      </c>
      <c r="H5111" s="24" t="str">
        <f>IFERROR(VLOOKUP(B5111,material!A:D,3,0),"")</f>
        <v>3.1</v>
      </c>
    </row>
    <row r="5112" ht="11.25" customHeight="1">
      <c r="A5112" s="21" t="str">
        <f>IFERROR(__xludf.DUMMYFUNCTION("""COMPUTED_VALUE"""),"MODEM VOIP EMTA WIFI 3.1 HGJ310")</f>
        <v>MODEM VOIP EMTA WIFI 3.1 HGJ310</v>
      </c>
      <c r="B5112" s="22">
        <f>IFERROR(__xludf.DUMMYFUNCTION("""COMPUTED_VALUE"""),4.1001481E7)</f>
        <v>41001481</v>
      </c>
      <c r="C5112" s="21" t="str">
        <f>IFERROR(__xludf.DUMMYFUNCTION("""COMPUTED_VALUE"""),"C85D38CA1461")</f>
        <v>C85D38CA1461</v>
      </c>
      <c r="D5112" s="21" t="str">
        <f>IFERROR(__xludf.DUMMYFUNCTION("""COMPUTED_VALUE"""),"DIGITEC TECNOLOGIA DIGITAL E REPRES")</f>
        <v>DIGITEC TECNOLOGIA DIGITAL E REPRES</v>
      </c>
      <c r="E5112" s="21">
        <f>IFERROR(__xludf.DUMMYFUNCTION("""COMPUTED_VALUE"""),145359.0)</f>
        <v>145359</v>
      </c>
      <c r="F5112" s="21" t="str">
        <f>IFERROR(__xludf.DUMMYFUNCTION("""COMPUTED_VALUE"""),"INICIALIZADO")</f>
        <v>INICIALIZADO</v>
      </c>
      <c r="G5112" s="23">
        <f>IFERROR(__xludf.DUMMYFUNCTION("""COMPUTED_VALUE"""),45639.64984953703)</f>
        <v>45639.64985</v>
      </c>
      <c r="H5112" s="24" t="str">
        <f>IFERROR(VLOOKUP(B5112,material!A:D,3,0),"")</f>
        <v>3.1</v>
      </c>
    </row>
    <row r="5113" ht="11.25" customHeight="1">
      <c r="A5113" s="21" t="str">
        <f>IFERROR(__xludf.DUMMYFUNCTION("""COMPUTED_VALUE"""),"MODEM VOIP EMTA WIFI 3.1 HGJ310")</f>
        <v>MODEM VOIP EMTA WIFI 3.1 HGJ310</v>
      </c>
      <c r="B5113" s="22">
        <f>IFERROR(__xludf.DUMMYFUNCTION("""COMPUTED_VALUE"""),4.1001481E7)</f>
        <v>41001481</v>
      </c>
      <c r="C5113" s="21" t="str">
        <f>IFERROR(__xludf.DUMMYFUNCTION("""COMPUTED_VALUE"""),"C85D38CE9722")</f>
        <v>C85D38CE9722</v>
      </c>
      <c r="D5113" s="21" t="str">
        <f>IFERROR(__xludf.DUMMYFUNCTION("""COMPUTED_VALUE"""),"DIGITEC TECNOLOGIA DIGITAL E REPRES")</f>
        <v>DIGITEC TECNOLOGIA DIGITAL E REPRES</v>
      </c>
      <c r="E5113" s="21">
        <f>IFERROR(__xludf.DUMMYFUNCTION("""COMPUTED_VALUE"""),145359.0)</f>
        <v>145359</v>
      </c>
      <c r="F5113" s="21" t="str">
        <f>IFERROR(__xludf.DUMMYFUNCTION("""COMPUTED_VALUE"""),"INICIALIZADO")</f>
        <v>INICIALIZADO</v>
      </c>
      <c r="G5113" s="23">
        <f>IFERROR(__xludf.DUMMYFUNCTION("""COMPUTED_VALUE"""),45639.64983796296)</f>
        <v>45639.64984</v>
      </c>
      <c r="H5113" s="24" t="str">
        <f>IFERROR(VLOOKUP(B5113,material!A:D,3,0),"")</f>
        <v>3.1</v>
      </c>
    </row>
    <row r="5114" ht="11.25" customHeight="1">
      <c r="A5114" s="21" t="str">
        <f>IFERROR(__xludf.DUMMYFUNCTION("""COMPUTED_VALUE"""),"MODEM VOIP EMTA WIFI 3.1 HGJ310")</f>
        <v>MODEM VOIP EMTA WIFI 3.1 HGJ310</v>
      </c>
      <c r="B5114" s="22">
        <f>IFERROR(__xludf.DUMMYFUNCTION("""COMPUTED_VALUE"""),4.1001481E7)</f>
        <v>41001481</v>
      </c>
      <c r="C5114" s="21" t="str">
        <f>IFERROR(__xludf.DUMMYFUNCTION("""COMPUTED_VALUE"""),"C85D38DA8DF7")</f>
        <v>C85D38DA8DF7</v>
      </c>
      <c r="D5114" s="21" t="str">
        <f>IFERROR(__xludf.DUMMYFUNCTION("""COMPUTED_VALUE"""),"DIGITEC TECNOLOGIA DIGITAL E REPRES")</f>
        <v>DIGITEC TECNOLOGIA DIGITAL E REPRES</v>
      </c>
      <c r="E5114" s="21">
        <f>IFERROR(__xludf.DUMMYFUNCTION("""COMPUTED_VALUE"""),145359.0)</f>
        <v>145359</v>
      </c>
      <c r="F5114" s="21" t="str">
        <f>IFERROR(__xludf.DUMMYFUNCTION("""COMPUTED_VALUE"""),"INICIALIZADO")</f>
        <v>INICIALIZADO</v>
      </c>
      <c r="G5114" s="23">
        <f>IFERROR(__xludf.DUMMYFUNCTION("""COMPUTED_VALUE"""),45639.64983796296)</f>
        <v>45639.64984</v>
      </c>
      <c r="H5114" s="24" t="str">
        <f>IFERROR(VLOOKUP(B5114,material!A:D,3,0),"")</f>
        <v>3.1</v>
      </c>
    </row>
    <row r="5115" ht="11.25" customHeight="1">
      <c r="A5115" s="21" t="str">
        <f>IFERROR(__xludf.DUMMYFUNCTION("""COMPUTED_VALUE"""),"MODEM VOIP EMTA WIFI 3.1 HGJ310")</f>
        <v>MODEM VOIP EMTA WIFI 3.1 HGJ310</v>
      </c>
      <c r="B5115" s="22">
        <f>IFERROR(__xludf.DUMMYFUNCTION("""COMPUTED_VALUE"""),4.1001481E7)</f>
        <v>41001481</v>
      </c>
      <c r="C5115" s="21" t="str">
        <f>IFERROR(__xludf.DUMMYFUNCTION("""COMPUTED_VALUE"""),"C85D38D970D3")</f>
        <v>C85D38D970D3</v>
      </c>
      <c r="D5115" s="21" t="str">
        <f>IFERROR(__xludf.DUMMYFUNCTION("""COMPUTED_VALUE"""),"DIGITEC TECNOLOGIA DIGITAL E REPRES")</f>
        <v>DIGITEC TECNOLOGIA DIGITAL E REPRES</v>
      </c>
      <c r="E5115" s="21">
        <f>IFERROR(__xludf.DUMMYFUNCTION("""COMPUTED_VALUE"""),145359.0)</f>
        <v>145359</v>
      </c>
      <c r="F5115" s="21" t="str">
        <f>IFERROR(__xludf.DUMMYFUNCTION("""COMPUTED_VALUE"""),"INICIALIZADO")</f>
        <v>INICIALIZADO</v>
      </c>
      <c r="G5115" s="23">
        <f>IFERROR(__xludf.DUMMYFUNCTION("""COMPUTED_VALUE"""),45639.64983796296)</f>
        <v>45639.64984</v>
      </c>
      <c r="H5115" s="24" t="str">
        <f>IFERROR(VLOOKUP(B5115,material!A:D,3,0),"")</f>
        <v>3.1</v>
      </c>
    </row>
    <row r="5116" ht="11.25" customHeight="1">
      <c r="A5116" s="21" t="str">
        <f>IFERROR(__xludf.DUMMYFUNCTION("""COMPUTED_VALUE"""),"MODEM VOIP EMTA WIFI 3.1 HGJ310")</f>
        <v>MODEM VOIP EMTA WIFI 3.1 HGJ310</v>
      </c>
      <c r="B5116" s="22">
        <f>IFERROR(__xludf.DUMMYFUNCTION("""COMPUTED_VALUE"""),4.1001481E7)</f>
        <v>41001481</v>
      </c>
      <c r="C5116" s="21" t="str">
        <f>IFERROR(__xludf.DUMMYFUNCTION("""COMPUTED_VALUE"""),"C85D38D79A75")</f>
        <v>C85D38D79A75</v>
      </c>
      <c r="D5116" s="21" t="str">
        <f>IFERROR(__xludf.DUMMYFUNCTION("""COMPUTED_VALUE"""),"DIGITEC TECNOLOGIA DIGITAL E REPRES")</f>
        <v>DIGITEC TECNOLOGIA DIGITAL E REPRES</v>
      </c>
      <c r="E5116" s="21">
        <f>IFERROR(__xludf.DUMMYFUNCTION("""COMPUTED_VALUE"""),145359.0)</f>
        <v>145359</v>
      </c>
      <c r="F5116" s="21" t="str">
        <f>IFERROR(__xludf.DUMMYFUNCTION("""COMPUTED_VALUE"""),"INICIALIZADO")</f>
        <v>INICIALIZADO</v>
      </c>
      <c r="G5116" s="23">
        <f>IFERROR(__xludf.DUMMYFUNCTION("""COMPUTED_VALUE"""),45639.64983796296)</f>
        <v>45639.64984</v>
      </c>
      <c r="H5116" s="24" t="str">
        <f>IFERROR(VLOOKUP(B5116,material!A:D,3,0),"")</f>
        <v>3.1</v>
      </c>
    </row>
    <row r="5117" ht="11.25" customHeight="1">
      <c r="A5117" s="21" t="str">
        <f>IFERROR(__xludf.DUMMYFUNCTION("""COMPUTED_VALUE"""),"MODEM VOIP EMTA WIFI 3.1 HGJ310")</f>
        <v>MODEM VOIP EMTA WIFI 3.1 HGJ310</v>
      </c>
      <c r="B5117" s="22">
        <f>IFERROR(__xludf.DUMMYFUNCTION("""COMPUTED_VALUE"""),4.1001481E7)</f>
        <v>41001481</v>
      </c>
      <c r="C5117" s="21" t="str">
        <f>IFERROR(__xludf.DUMMYFUNCTION("""COMPUTED_VALUE"""),"C85D38E6BD83")</f>
        <v>C85D38E6BD83</v>
      </c>
      <c r="D5117" s="21" t="str">
        <f>IFERROR(__xludf.DUMMYFUNCTION("""COMPUTED_VALUE"""),"DIGITEC TECNOLOGIA DIGITAL E REPRES")</f>
        <v>DIGITEC TECNOLOGIA DIGITAL E REPRES</v>
      </c>
      <c r="E5117" s="21">
        <f>IFERROR(__xludf.DUMMYFUNCTION("""COMPUTED_VALUE"""),145359.0)</f>
        <v>145359</v>
      </c>
      <c r="F5117" s="21" t="str">
        <f>IFERROR(__xludf.DUMMYFUNCTION("""COMPUTED_VALUE"""),"INICIALIZADO")</f>
        <v>INICIALIZADO</v>
      </c>
      <c r="G5117" s="23">
        <f>IFERROR(__xludf.DUMMYFUNCTION("""COMPUTED_VALUE"""),45639.64981481481)</f>
        <v>45639.64981</v>
      </c>
      <c r="H5117" s="24" t="str">
        <f>IFERROR(VLOOKUP(B5117,material!A:D,3,0),"")</f>
        <v>3.1</v>
      </c>
    </row>
    <row r="5118" ht="11.25" customHeight="1">
      <c r="A5118" s="21" t="str">
        <f>IFERROR(__xludf.DUMMYFUNCTION("""COMPUTED_VALUE"""),"MODEM VOIP EMTA WIFI 3.1 HGJ310")</f>
        <v>MODEM VOIP EMTA WIFI 3.1 HGJ310</v>
      </c>
      <c r="B5118" s="22">
        <f>IFERROR(__xludf.DUMMYFUNCTION("""COMPUTED_VALUE"""),4.1001481E7)</f>
        <v>41001481</v>
      </c>
      <c r="C5118" s="21" t="str">
        <f>IFERROR(__xludf.DUMMYFUNCTION("""COMPUTED_VALUE"""),"C85D38D7EBEA")</f>
        <v>C85D38D7EBEA</v>
      </c>
      <c r="D5118" s="21" t="str">
        <f>IFERROR(__xludf.DUMMYFUNCTION("""COMPUTED_VALUE"""),"DIGITEC TECNOLOGIA DIGITAL E REPRES")</f>
        <v>DIGITEC TECNOLOGIA DIGITAL E REPRES</v>
      </c>
      <c r="E5118" s="21">
        <f>IFERROR(__xludf.DUMMYFUNCTION("""COMPUTED_VALUE"""),145359.0)</f>
        <v>145359</v>
      </c>
      <c r="F5118" s="21" t="str">
        <f>IFERROR(__xludf.DUMMYFUNCTION("""COMPUTED_VALUE"""),"INICIALIZADO")</f>
        <v>INICIALIZADO</v>
      </c>
      <c r="G5118" s="23">
        <f>IFERROR(__xludf.DUMMYFUNCTION("""COMPUTED_VALUE"""),45639.64983796296)</f>
        <v>45639.64984</v>
      </c>
      <c r="H5118" s="24" t="str">
        <f>IFERROR(VLOOKUP(B5118,material!A:D,3,0),"")</f>
        <v>3.1</v>
      </c>
    </row>
    <row r="5119" ht="11.25" customHeight="1">
      <c r="A5119" s="21" t="str">
        <f>IFERROR(__xludf.DUMMYFUNCTION("""COMPUTED_VALUE"""),"MODEM VOIP EMTA WIFI 3.1 HGJ310")</f>
        <v>MODEM VOIP EMTA WIFI 3.1 HGJ310</v>
      </c>
      <c r="B5119" s="22">
        <f>IFERROR(__xludf.DUMMYFUNCTION("""COMPUTED_VALUE"""),4.1001481E7)</f>
        <v>41001481</v>
      </c>
      <c r="C5119" s="21" t="str">
        <f>IFERROR(__xludf.DUMMYFUNCTION("""COMPUTED_VALUE"""),"C85D38A8B9BD")</f>
        <v>C85D38A8B9BD</v>
      </c>
      <c r="D5119" s="21" t="str">
        <f>IFERROR(__xludf.DUMMYFUNCTION("""COMPUTED_VALUE"""),"DIGITEC TECNOLOGIA DIGITAL E REPRES")</f>
        <v>DIGITEC TECNOLOGIA DIGITAL E REPRES</v>
      </c>
      <c r="E5119" s="21">
        <f>IFERROR(__xludf.DUMMYFUNCTION("""COMPUTED_VALUE"""),145359.0)</f>
        <v>145359</v>
      </c>
      <c r="F5119" s="21" t="str">
        <f>IFERROR(__xludf.DUMMYFUNCTION("""COMPUTED_VALUE"""),"INICIALIZADO")</f>
        <v>INICIALIZADO</v>
      </c>
      <c r="G5119" s="23">
        <f>IFERROR(__xludf.DUMMYFUNCTION("""COMPUTED_VALUE"""),45639.64984953703)</f>
        <v>45639.64985</v>
      </c>
      <c r="H5119" s="24" t="str">
        <f>IFERROR(VLOOKUP(B5119,material!A:D,3,0),"")</f>
        <v>3.1</v>
      </c>
    </row>
    <row r="5120" ht="11.25" customHeight="1">
      <c r="A5120" s="21" t="str">
        <f>IFERROR(__xludf.DUMMYFUNCTION("""COMPUTED_VALUE"""),"MODEM VOIP EMTA WIFI 3.1 HGJ310")</f>
        <v>MODEM VOIP EMTA WIFI 3.1 HGJ310</v>
      </c>
      <c r="B5120" s="22">
        <f>IFERROR(__xludf.DUMMYFUNCTION("""COMPUTED_VALUE"""),4.1001481E7)</f>
        <v>41001481</v>
      </c>
      <c r="C5120" s="21" t="str">
        <f>IFERROR(__xludf.DUMMYFUNCTION("""COMPUTED_VALUE"""),"C85D38DB9048")</f>
        <v>C85D38DB9048</v>
      </c>
      <c r="D5120" s="21" t="str">
        <f>IFERROR(__xludf.DUMMYFUNCTION("""COMPUTED_VALUE"""),"DIGITEC TECNOLOGIA DIGITAL E REPRES")</f>
        <v>DIGITEC TECNOLOGIA DIGITAL E REPRES</v>
      </c>
      <c r="E5120" s="21">
        <f>IFERROR(__xludf.DUMMYFUNCTION("""COMPUTED_VALUE"""),145359.0)</f>
        <v>145359</v>
      </c>
      <c r="F5120" s="21" t="str">
        <f>IFERROR(__xludf.DUMMYFUNCTION("""COMPUTED_VALUE"""),"INICIALIZADO")</f>
        <v>INICIALIZADO</v>
      </c>
      <c r="G5120" s="23">
        <f>IFERROR(__xludf.DUMMYFUNCTION("""COMPUTED_VALUE"""),45639.64983796296)</f>
        <v>45639.64984</v>
      </c>
      <c r="H5120" s="24" t="str">
        <f>IFERROR(VLOOKUP(B5120,material!A:D,3,0),"")</f>
        <v>3.1</v>
      </c>
    </row>
    <row r="5121" ht="11.25" customHeight="1">
      <c r="A5121" s="21" t="str">
        <f>IFERROR(__xludf.DUMMYFUNCTION("""COMPUTED_VALUE"""),"MODEM VOIP EMTA WIFI 3.1 HGJ310")</f>
        <v>MODEM VOIP EMTA WIFI 3.1 HGJ310</v>
      </c>
      <c r="B5121" s="22">
        <f>IFERROR(__xludf.DUMMYFUNCTION("""COMPUTED_VALUE"""),4.1001481E7)</f>
        <v>41001481</v>
      </c>
      <c r="C5121" s="21" t="str">
        <f>IFERROR(__xludf.DUMMYFUNCTION("""COMPUTED_VALUE"""),"C85D38CC00BB")</f>
        <v>C85D38CC00BB</v>
      </c>
      <c r="D5121" s="21" t="str">
        <f>IFERROR(__xludf.DUMMYFUNCTION("""COMPUTED_VALUE"""),"DIGITEC TECNOLOGIA DIGITAL E REPRES")</f>
        <v>DIGITEC TECNOLOGIA DIGITAL E REPRES</v>
      </c>
      <c r="E5121" s="21">
        <f>IFERROR(__xludf.DUMMYFUNCTION("""COMPUTED_VALUE"""),145359.0)</f>
        <v>145359</v>
      </c>
      <c r="F5121" s="21" t="str">
        <f>IFERROR(__xludf.DUMMYFUNCTION("""COMPUTED_VALUE"""),"INICIALIZADO")</f>
        <v>INICIALIZADO</v>
      </c>
      <c r="G5121" s="23">
        <f>IFERROR(__xludf.DUMMYFUNCTION("""COMPUTED_VALUE"""),45639.64984953703)</f>
        <v>45639.64985</v>
      </c>
      <c r="H5121" s="24" t="str">
        <f>IFERROR(VLOOKUP(B5121,material!A:D,3,0),"")</f>
        <v>3.1</v>
      </c>
    </row>
    <row r="5122" ht="11.25" customHeight="1">
      <c r="A5122" s="21" t="str">
        <f>IFERROR(__xludf.DUMMYFUNCTION("""COMPUTED_VALUE"""),"MODEM VOIP EMTA WIFI 3.1 HGJ310")</f>
        <v>MODEM VOIP EMTA WIFI 3.1 HGJ310</v>
      </c>
      <c r="B5122" s="22">
        <f>IFERROR(__xludf.DUMMYFUNCTION("""COMPUTED_VALUE"""),4.1001481E7)</f>
        <v>41001481</v>
      </c>
      <c r="C5122" s="21" t="str">
        <f>IFERROR(__xludf.DUMMYFUNCTION("""COMPUTED_VALUE"""),"C85D38CAFF7B")</f>
        <v>C85D38CAFF7B</v>
      </c>
      <c r="D5122" s="21" t="str">
        <f>IFERROR(__xludf.DUMMYFUNCTION("""COMPUTED_VALUE"""),"DIGITEC TECNOLOGIA DIGITAL E REPRES")</f>
        <v>DIGITEC TECNOLOGIA DIGITAL E REPRES</v>
      </c>
      <c r="E5122" s="21">
        <f>IFERROR(__xludf.DUMMYFUNCTION("""COMPUTED_VALUE"""),145359.0)</f>
        <v>145359</v>
      </c>
      <c r="F5122" s="21" t="str">
        <f>IFERROR(__xludf.DUMMYFUNCTION("""COMPUTED_VALUE"""),"INICIALIZADO")</f>
        <v>INICIALIZADO</v>
      </c>
      <c r="G5122" s="23">
        <f>IFERROR(__xludf.DUMMYFUNCTION("""COMPUTED_VALUE"""),45639.64984953703)</f>
        <v>45639.64985</v>
      </c>
      <c r="H5122" s="24" t="str">
        <f>IFERROR(VLOOKUP(B5122,material!A:D,3,0),"")</f>
        <v>3.1</v>
      </c>
    </row>
    <row r="5123" ht="11.25" customHeight="1">
      <c r="A5123" s="21" t="str">
        <f>IFERROR(__xludf.DUMMYFUNCTION("""COMPUTED_VALUE"""),"MODEM VOIP EMTA WIFI 3.1 HGJ310")</f>
        <v>MODEM VOIP EMTA WIFI 3.1 HGJ310</v>
      </c>
      <c r="B5123" s="22">
        <f>IFERROR(__xludf.DUMMYFUNCTION("""COMPUTED_VALUE"""),4.1001481E7)</f>
        <v>41001481</v>
      </c>
      <c r="C5123" s="21" t="str">
        <f>IFERROR(__xludf.DUMMYFUNCTION("""COMPUTED_VALUE"""),"D86C5A47DB49")</f>
        <v>D86C5A47DB49</v>
      </c>
      <c r="D5123" s="21" t="str">
        <f>IFERROR(__xludf.DUMMYFUNCTION("""COMPUTED_VALUE"""),"DIGITEC TECNOLOGIA DIGITAL E REPRES")</f>
        <v>DIGITEC TECNOLOGIA DIGITAL E REPRES</v>
      </c>
      <c r="E5123" s="21">
        <f>IFERROR(__xludf.DUMMYFUNCTION("""COMPUTED_VALUE"""),145359.0)</f>
        <v>145359</v>
      </c>
      <c r="F5123" s="21" t="str">
        <f>IFERROR(__xludf.DUMMYFUNCTION("""COMPUTED_VALUE"""),"INICIALIZADO")</f>
        <v>INICIALIZADO</v>
      </c>
      <c r="G5123" s="23">
        <f>IFERROR(__xludf.DUMMYFUNCTION("""COMPUTED_VALUE"""),45639.64981481481)</f>
        <v>45639.64981</v>
      </c>
      <c r="H5123" s="24" t="str">
        <f>IFERROR(VLOOKUP(B5123,material!A:D,3,0),"")</f>
        <v>3.1</v>
      </c>
    </row>
    <row r="5124" ht="11.25" customHeight="1">
      <c r="A5124" s="21" t="str">
        <f>IFERROR(__xludf.DUMMYFUNCTION("""COMPUTED_VALUE"""),"MODEM VOIP EMTA WIFI 3.1 HGJ310")</f>
        <v>MODEM VOIP EMTA WIFI 3.1 HGJ310</v>
      </c>
      <c r="B5124" s="22">
        <f>IFERROR(__xludf.DUMMYFUNCTION("""COMPUTED_VALUE"""),4.1001481E7)</f>
        <v>41001481</v>
      </c>
      <c r="C5124" s="21" t="str">
        <f>IFERROR(__xludf.DUMMYFUNCTION("""COMPUTED_VALUE"""),"D86C5A46EA5C")</f>
        <v>D86C5A46EA5C</v>
      </c>
      <c r="D5124" s="21" t="str">
        <f>IFERROR(__xludf.DUMMYFUNCTION("""COMPUTED_VALUE"""),"DIGITEC TECNOLOGIA DIGITAL E REPRES")</f>
        <v>DIGITEC TECNOLOGIA DIGITAL E REPRES</v>
      </c>
      <c r="E5124" s="21">
        <f>IFERROR(__xludf.DUMMYFUNCTION("""COMPUTED_VALUE"""),145359.0)</f>
        <v>145359</v>
      </c>
      <c r="F5124" s="21" t="str">
        <f>IFERROR(__xludf.DUMMYFUNCTION("""COMPUTED_VALUE"""),"INICIALIZADO")</f>
        <v>INICIALIZADO</v>
      </c>
      <c r="G5124" s="23">
        <f>IFERROR(__xludf.DUMMYFUNCTION("""COMPUTED_VALUE"""),45639.64982638889)</f>
        <v>45639.64983</v>
      </c>
      <c r="H5124" s="24" t="str">
        <f>IFERROR(VLOOKUP(B5124,material!A:D,3,0),"")</f>
        <v>3.1</v>
      </c>
    </row>
    <row r="5125" ht="11.25" customHeight="1">
      <c r="A5125" s="21" t="str">
        <f>IFERROR(__xludf.DUMMYFUNCTION("""COMPUTED_VALUE"""),"MODEM VOIP EMTA WIFI 3.1 HGJ310")</f>
        <v>MODEM VOIP EMTA WIFI 3.1 HGJ310</v>
      </c>
      <c r="B5125" s="22">
        <f>IFERROR(__xludf.DUMMYFUNCTION("""COMPUTED_VALUE"""),4.1001481E7)</f>
        <v>41001481</v>
      </c>
      <c r="C5125" s="21" t="str">
        <f>IFERROR(__xludf.DUMMYFUNCTION("""COMPUTED_VALUE"""),"8C444FD61437")</f>
        <v>8C444FD61437</v>
      </c>
      <c r="D5125" s="21" t="str">
        <f>IFERROR(__xludf.DUMMYFUNCTION("""COMPUTED_VALUE"""),"DIGITEC TECNOLOGIA DIGITAL E REPRES")</f>
        <v>DIGITEC TECNOLOGIA DIGITAL E REPRES</v>
      </c>
      <c r="E5125" s="21">
        <f>IFERROR(__xludf.DUMMYFUNCTION("""COMPUTED_VALUE"""),145359.0)</f>
        <v>145359</v>
      </c>
      <c r="F5125" s="21" t="str">
        <f>IFERROR(__xludf.DUMMYFUNCTION("""COMPUTED_VALUE"""),"INICIALIZADO")</f>
        <v>INICIALIZADO</v>
      </c>
      <c r="G5125" s="23">
        <f>IFERROR(__xludf.DUMMYFUNCTION("""COMPUTED_VALUE"""),45639.64980324074)</f>
        <v>45639.6498</v>
      </c>
      <c r="H5125" s="24" t="str">
        <f>IFERROR(VLOOKUP(B5125,material!A:D,3,0),"")</f>
        <v>3.1</v>
      </c>
    </row>
    <row r="5126" ht="11.25" customHeight="1">
      <c r="A5126" s="21" t="str">
        <f>IFERROR(__xludf.DUMMYFUNCTION("""COMPUTED_VALUE"""),"MODEM VOIP EMTA WIFI 3.1 HGJ310")</f>
        <v>MODEM VOIP EMTA WIFI 3.1 HGJ310</v>
      </c>
      <c r="B5126" s="22">
        <f>IFERROR(__xludf.DUMMYFUNCTION("""COMPUTED_VALUE"""),4.1001481E7)</f>
        <v>41001481</v>
      </c>
      <c r="C5126" s="21" t="str">
        <f>IFERROR(__xludf.DUMMYFUNCTION("""COMPUTED_VALUE"""),"C85D38A819C7")</f>
        <v>C85D38A819C7</v>
      </c>
      <c r="D5126" s="21" t="str">
        <f>IFERROR(__xludf.DUMMYFUNCTION("""COMPUTED_VALUE"""),"DIGITEC TECNOLOGIA DIGITAL E REPRES")</f>
        <v>DIGITEC TECNOLOGIA DIGITAL E REPRES</v>
      </c>
      <c r="E5126" s="21">
        <f>IFERROR(__xludf.DUMMYFUNCTION("""COMPUTED_VALUE"""),145359.0)</f>
        <v>145359</v>
      </c>
      <c r="F5126" s="21" t="str">
        <f>IFERROR(__xludf.DUMMYFUNCTION("""COMPUTED_VALUE"""),"INICIALIZADO")</f>
        <v>INICIALIZADO</v>
      </c>
      <c r="G5126" s="23">
        <f>IFERROR(__xludf.DUMMYFUNCTION("""COMPUTED_VALUE"""),45639.64984953703)</f>
        <v>45639.64985</v>
      </c>
      <c r="H5126" s="24" t="str">
        <f>IFERROR(VLOOKUP(B5126,material!A:D,3,0),"")</f>
        <v>3.1</v>
      </c>
    </row>
    <row r="5127" ht="11.25" customHeight="1">
      <c r="A5127" s="21" t="str">
        <f>IFERROR(__xludf.DUMMYFUNCTION("""COMPUTED_VALUE"""),"MODEM VOIP EMTA WIFI 3.1 HGJ310")</f>
        <v>MODEM VOIP EMTA WIFI 3.1 HGJ310</v>
      </c>
      <c r="B5127" s="22">
        <f>IFERROR(__xludf.DUMMYFUNCTION("""COMPUTED_VALUE"""),4.1001481E7)</f>
        <v>41001481</v>
      </c>
      <c r="C5127" s="21" t="str">
        <f>IFERROR(__xludf.DUMMYFUNCTION("""COMPUTED_VALUE"""),"C85D38CCAEA3")</f>
        <v>C85D38CCAEA3</v>
      </c>
      <c r="D5127" s="21" t="str">
        <f>IFERROR(__xludf.DUMMYFUNCTION("""COMPUTED_VALUE"""),"DIGITEC TECNOLOGIA DIGITAL E REPRES")</f>
        <v>DIGITEC TECNOLOGIA DIGITAL E REPRES</v>
      </c>
      <c r="E5127" s="21">
        <f>IFERROR(__xludf.DUMMYFUNCTION("""COMPUTED_VALUE"""),145359.0)</f>
        <v>145359</v>
      </c>
      <c r="F5127" s="21" t="str">
        <f>IFERROR(__xludf.DUMMYFUNCTION("""COMPUTED_VALUE"""),"INICIALIZADO")</f>
        <v>INICIALIZADO</v>
      </c>
      <c r="G5127" s="23">
        <f>IFERROR(__xludf.DUMMYFUNCTION("""COMPUTED_VALUE"""),45639.64984953703)</f>
        <v>45639.64985</v>
      </c>
      <c r="H5127" s="24" t="str">
        <f>IFERROR(VLOOKUP(B5127,material!A:D,3,0),"")</f>
        <v>3.1</v>
      </c>
    </row>
    <row r="5128" ht="11.25" customHeight="1">
      <c r="A5128" s="21" t="str">
        <f>IFERROR(__xludf.DUMMYFUNCTION("""COMPUTED_VALUE"""),"MODEM VOIP EMTA WIFI 3.1 HGJ310")</f>
        <v>MODEM VOIP EMTA WIFI 3.1 HGJ310</v>
      </c>
      <c r="B5128" s="22">
        <f>IFERROR(__xludf.DUMMYFUNCTION("""COMPUTED_VALUE"""),4.1001481E7)</f>
        <v>41001481</v>
      </c>
      <c r="C5128" s="21" t="str">
        <f>IFERROR(__xludf.DUMMYFUNCTION("""COMPUTED_VALUE"""),"8C444FD6DF53")</f>
        <v>8C444FD6DF53</v>
      </c>
      <c r="D5128" s="21" t="str">
        <f>IFERROR(__xludf.DUMMYFUNCTION("""COMPUTED_VALUE"""),"DIGITEC TECNOLOGIA DIGITAL E REPRES")</f>
        <v>DIGITEC TECNOLOGIA DIGITAL E REPRES</v>
      </c>
      <c r="E5128" s="21">
        <f>IFERROR(__xludf.DUMMYFUNCTION("""COMPUTED_VALUE"""),145359.0)</f>
        <v>145359</v>
      </c>
      <c r="F5128" s="21" t="str">
        <f>IFERROR(__xludf.DUMMYFUNCTION("""COMPUTED_VALUE"""),"INICIALIZADO")</f>
        <v>INICIALIZADO</v>
      </c>
      <c r="G5128" s="23">
        <f>IFERROR(__xludf.DUMMYFUNCTION("""COMPUTED_VALUE"""),45639.64980324074)</f>
        <v>45639.6498</v>
      </c>
      <c r="H5128" s="24" t="str">
        <f>IFERROR(VLOOKUP(B5128,material!A:D,3,0),"")</f>
        <v>3.1</v>
      </c>
    </row>
    <row r="5129" ht="11.25" customHeight="1">
      <c r="A5129" s="21" t="str">
        <f>IFERROR(__xludf.DUMMYFUNCTION("""COMPUTED_VALUE"""),"MODEM VOIP EMTA WIFI 3.1 HGJ310")</f>
        <v>MODEM VOIP EMTA WIFI 3.1 HGJ310</v>
      </c>
      <c r="B512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c>
      <c r="D5129" s="21" t="str">
        <f>IFERROR(__xludf.DUMMYFUNCTION("""COMPUTED_VALUE"""),"DIGITEC TECNOLOGIA DIGITAL E REPRES")</f>
        <v>DIGITEC TECNOLOGIA DIGITAL E REPRES</v>
      </c>
      <c r="E5129" s="21">
        <f>IFERROR(__xludf.DUMMYFUNCTION("""COMPUTED_VALUE"""),145359.0)</f>
        <v>145359</v>
      </c>
      <c r="F5129" s="21" t="str">
        <f>IFERROR(__xludf.DUMMYFUNCTION("""COMPUTED_VALUE"""),"INICIALIZADO")</f>
        <v>INICIALIZADO</v>
      </c>
      <c r="G5129" s="23">
        <f>IFERROR(__xludf.DUMMYFUNCTION("""COMPUTED_VALUE"""),45639.64983796296)</f>
        <v>45639.64984</v>
      </c>
      <c r="H5129" s="24" t="str">
        <f>IFERROR(VLOOKUP(B5129,material!A:D,3,0),"")</f>
        <v>3.1</v>
      </c>
    </row>
    <row r="5130" ht="11.25" customHeight="1">
      <c r="A5130" s="21" t="str">
        <f>IFERROR(__xludf.DUMMYFUNCTION("""COMPUTED_VALUE"""),"MODEM VOIP EMTA WIFI 3.1 HGJ310")</f>
        <v>MODEM VOIP EMTA WIFI 3.1 HGJ310</v>
      </c>
      <c r="B5130" s="22">
        <f>IFERROR(__xludf.DUMMYFUNCTION("""COMPUTED_VALUE"""),4.1001481E7)</f>
        <v>41001481</v>
      </c>
      <c r="C5130" s="21" t="str">
        <f>IFERROR(__xludf.DUMMYFUNCTION("""COMPUTED_VALUE"""),"C85D38D61B03")</f>
        <v>C85D38D61B03</v>
      </c>
      <c r="D5130" s="21" t="str">
        <f>IFERROR(__xludf.DUMMYFUNCTION("""COMPUTED_VALUE"""),"DIGITEC TECNOLOGIA DIGITAL E REPRES")</f>
        <v>DIGITEC TECNOLOGIA DIGITAL E REPRES</v>
      </c>
      <c r="E5130" s="21">
        <f>IFERROR(__xludf.DUMMYFUNCTION("""COMPUTED_VALUE"""),145359.0)</f>
        <v>145359</v>
      </c>
      <c r="F5130" s="21" t="str">
        <f>IFERROR(__xludf.DUMMYFUNCTION("""COMPUTED_VALUE"""),"INICIALIZADO")</f>
        <v>INICIALIZADO</v>
      </c>
      <c r="G5130" s="23">
        <f>IFERROR(__xludf.DUMMYFUNCTION("""COMPUTED_VALUE"""),45639.64983796296)</f>
        <v>45639.64984</v>
      </c>
      <c r="H5130" s="24" t="str">
        <f>IFERROR(VLOOKUP(B5130,material!A:D,3,0),"")</f>
        <v>3.1</v>
      </c>
    </row>
    <row r="5131" ht="11.25" customHeight="1">
      <c r="A5131" s="21" t="str">
        <f>IFERROR(__xludf.DUMMYFUNCTION("""COMPUTED_VALUE"""),"MODEM VOIP EMTA WIFI 3.1 HGJ310")</f>
        <v>MODEM VOIP EMTA WIFI 3.1 HGJ310</v>
      </c>
      <c r="B5131" s="22">
        <f>IFERROR(__xludf.DUMMYFUNCTION("""COMPUTED_VALUE"""),4.1001481E7)</f>
        <v>41001481</v>
      </c>
      <c r="C5131" s="21" t="str">
        <f>IFERROR(__xludf.DUMMYFUNCTION("""COMPUTED_VALUE"""),"8C444FD4FEC9")</f>
        <v>8C444FD4FEC9</v>
      </c>
      <c r="D5131" s="21" t="str">
        <f>IFERROR(__xludf.DUMMYFUNCTION("""COMPUTED_VALUE"""),"DIGITEC TECNOLOGIA DIGITAL E REPRES")</f>
        <v>DIGITEC TECNOLOGIA DIGITAL E REPRES</v>
      </c>
      <c r="E5131" s="21">
        <f>IFERROR(__xludf.DUMMYFUNCTION("""COMPUTED_VALUE"""),145359.0)</f>
        <v>145359</v>
      </c>
      <c r="F5131" s="21" t="str">
        <f>IFERROR(__xludf.DUMMYFUNCTION("""COMPUTED_VALUE"""),"INICIALIZADO")</f>
        <v>INICIALIZADO</v>
      </c>
      <c r="G5131" s="23">
        <f>IFERROR(__xludf.DUMMYFUNCTION("""COMPUTED_VALUE"""),45639.64980324074)</f>
        <v>45639.6498</v>
      </c>
      <c r="H5131" s="24" t="str">
        <f>IFERROR(VLOOKUP(B5131,material!A:D,3,0),"")</f>
        <v>3.1</v>
      </c>
    </row>
    <row r="5132" ht="11.25" customHeight="1">
      <c r="A5132" s="21" t="str">
        <f>IFERROR(__xludf.DUMMYFUNCTION("""COMPUTED_VALUE"""),"MODEM VOIP EMTA WIFI 3.1 HGJ310")</f>
        <v>MODEM VOIP EMTA WIFI 3.1 HGJ310</v>
      </c>
      <c r="B5132" s="22">
        <f>IFERROR(__xludf.DUMMYFUNCTION("""COMPUTED_VALUE"""),4.1001481E7)</f>
        <v>41001481</v>
      </c>
      <c r="C5132" s="21" t="str">
        <f>IFERROR(__xludf.DUMMYFUNCTION("""COMPUTED_VALUE"""),"8C444FD650EB")</f>
        <v>8C444FD650EB</v>
      </c>
      <c r="D5132" s="21" t="str">
        <f>IFERROR(__xludf.DUMMYFUNCTION("""COMPUTED_VALUE"""),"DIGITEC TECNOLOGIA DIGITAL E REPRES")</f>
        <v>DIGITEC TECNOLOGIA DIGITAL E REPRES</v>
      </c>
      <c r="E5132" s="21">
        <f>IFERROR(__xludf.DUMMYFUNCTION("""COMPUTED_VALUE"""),145359.0)</f>
        <v>145359</v>
      </c>
      <c r="F5132" s="21" t="str">
        <f>IFERROR(__xludf.DUMMYFUNCTION("""COMPUTED_VALUE"""),"INICIALIZADO")</f>
        <v>INICIALIZADO</v>
      </c>
      <c r="G5132" s="23">
        <f>IFERROR(__xludf.DUMMYFUNCTION("""COMPUTED_VALUE"""),45639.64980324074)</f>
        <v>45639.6498</v>
      </c>
      <c r="H5132" s="24" t="str">
        <f>IFERROR(VLOOKUP(B5132,material!A:D,3,0),"")</f>
        <v>3.1</v>
      </c>
    </row>
    <row r="5133" ht="11.25" customHeight="1">
      <c r="A5133" s="21" t="str">
        <f>IFERROR(__xludf.DUMMYFUNCTION("""COMPUTED_VALUE"""),"MODEM VOIP EMTA WIFI 3.1 HGJ310")</f>
        <v>MODEM VOIP EMTA WIFI 3.1 HGJ310</v>
      </c>
      <c r="B5133" s="22">
        <f>IFERROR(__xludf.DUMMYFUNCTION("""COMPUTED_VALUE"""),4.1001481E7)</f>
        <v>41001481</v>
      </c>
      <c r="C5133" s="21" t="str">
        <f>IFERROR(__xludf.DUMMYFUNCTION("""COMPUTED_VALUE"""),"C85D38CF1B9D")</f>
        <v>C85D38CF1B9D</v>
      </c>
      <c r="D5133" s="21" t="str">
        <f>IFERROR(__xludf.DUMMYFUNCTION("""COMPUTED_VALUE"""),"DIGITEC TECNOLOGIA DIGITAL E REPRES")</f>
        <v>DIGITEC TECNOLOGIA DIGITAL E REPRES</v>
      </c>
      <c r="E5133" s="21">
        <f>IFERROR(__xludf.DUMMYFUNCTION("""COMPUTED_VALUE"""),145359.0)</f>
        <v>145359</v>
      </c>
      <c r="F5133" s="21" t="str">
        <f>IFERROR(__xludf.DUMMYFUNCTION("""COMPUTED_VALUE"""),"INICIALIZADO")</f>
        <v>INICIALIZADO</v>
      </c>
      <c r="G5133" s="23">
        <f>IFERROR(__xludf.DUMMYFUNCTION("""COMPUTED_VALUE"""),45628.35653935185)</f>
        <v>45628.35654</v>
      </c>
      <c r="H5133" s="24" t="str">
        <f>IFERROR(VLOOKUP(B5133,material!A:D,3,0),"")</f>
        <v>3.1</v>
      </c>
    </row>
    <row r="5134" ht="11.25" customHeight="1">
      <c r="A5134" s="21" t="str">
        <f>IFERROR(__xludf.DUMMYFUNCTION("""COMPUTED_VALUE"""),"MODEM VOIP EMTA WIFI 3.1 HGJ310")</f>
        <v>MODEM VOIP EMTA WIFI 3.1 HGJ310</v>
      </c>
      <c r="B5134" s="22">
        <f>IFERROR(__xludf.DUMMYFUNCTION("""COMPUTED_VALUE"""),4.1001481E7)</f>
        <v>41001481</v>
      </c>
      <c r="C5134" s="21" t="str">
        <f>IFERROR(__xludf.DUMMYFUNCTION("""COMPUTED_VALUE"""),"C85D38CB5C03")</f>
        <v>C85D38CB5C03</v>
      </c>
      <c r="D5134" s="21" t="str">
        <f>IFERROR(__xludf.DUMMYFUNCTION("""COMPUTED_VALUE"""),"DIGITEC TECNOLOGIA DIGITAL E REPRES")</f>
        <v>DIGITEC TECNOLOGIA DIGITAL E REPRES</v>
      </c>
      <c r="E5134" s="21">
        <f>IFERROR(__xludf.DUMMYFUNCTION("""COMPUTED_VALUE"""),145359.0)</f>
        <v>145359</v>
      </c>
      <c r="F5134" s="21" t="str">
        <f>IFERROR(__xludf.DUMMYFUNCTION("""COMPUTED_VALUE"""),"INICIALIZADO")</f>
        <v>INICIALIZADO</v>
      </c>
      <c r="G5134" s="23">
        <f>IFERROR(__xludf.DUMMYFUNCTION("""COMPUTED_VALUE"""),45639.64984953703)</f>
        <v>45639.64985</v>
      </c>
      <c r="H5134" s="24" t="str">
        <f>IFERROR(VLOOKUP(B5134,material!A:D,3,0),"")</f>
        <v>3.1</v>
      </c>
    </row>
    <row r="5135" ht="11.25" customHeight="1">
      <c r="A5135" s="21" t="str">
        <f>IFERROR(__xludf.DUMMYFUNCTION("""COMPUTED_VALUE"""),"MODEM VOIP EMTA WIFI 3.1 HGJ310")</f>
        <v>MODEM VOIP EMTA WIFI 3.1 HGJ310</v>
      </c>
      <c r="B5135" s="22">
        <f>IFERROR(__xludf.DUMMYFUNCTION("""COMPUTED_VALUE"""),4.1001481E7)</f>
        <v>41001481</v>
      </c>
      <c r="C5135" s="21" t="str">
        <f>IFERROR(__xludf.DUMMYFUNCTION("""COMPUTED_VALUE"""),"8C444FD4D23E")</f>
        <v>8C444FD4D23E</v>
      </c>
      <c r="D5135" s="21" t="str">
        <f>IFERROR(__xludf.DUMMYFUNCTION("""COMPUTED_VALUE"""),"DIGITEC TECNOLOGIA DIGITAL E REPRES")</f>
        <v>DIGITEC TECNOLOGIA DIGITAL E REPRES</v>
      </c>
      <c r="E5135" s="21">
        <f>IFERROR(__xludf.DUMMYFUNCTION("""COMPUTED_VALUE"""),145359.0)</f>
        <v>145359</v>
      </c>
      <c r="F5135" s="21" t="str">
        <f>IFERROR(__xludf.DUMMYFUNCTION("""COMPUTED_VALUE"""),"INICIALIZADO")</f>
        <v>INICIALIZADO</v>
      </c>
      <c r="G5135" s="23">
        <f>IFERROR(__xludf.DUMMYFUNCTION("""COMPUTED_VALUE"""),45639.64980324074)</f>
        <v>45639.6498</v>
      </c>
      <c r="H5135" s="24" t="str">
        <f>IFERROR(VLOOKUP(B5135,material!A:D,3,0),"")</f>
        <v>3.1</v>
      </c>
    </row>
    <row r="5136" ht="11.25" customHeight="1">
      <c r="A5136" s="21" t="str">
        <f>IFERROR(__xludf.DUMMYFUNCTION("""COMPUTED_VALUE"""),"MODEM VOIP EMTA WIFI 3.1 HGJ310")</f>
        <v>MODEM VOIP EMTA WIFI 3.1 HGJ310</v>
      </c>
      <c r="B5136" s="22">
        <f>IFERROR(__xludf.DUMMYFUNCTION("""COMPUTED_VALUE"""),4.1001481E7)</f>
        <v>41001481</v>
      </c>
      <c r="C5136" s="21" t="str">
        <f>IFERROR(__xludf.DUMMYFUNCTION("""COMPUTED_VALUE"""),"8C444FD92595")</f>
        <v>8C444FD92595</v>
      </c>
      <c r="D5136" s="21" t="str">
        <f>IFERROR(__xludf.DUMMYFUNCTION("""COMPUTED_VALUE"""),"DIGITEC TECNOLOGIA DIGITAL E REPRES")</f>
        <v>DIGITEC TECNOLOGIA DIGITAL E REPRES</v>
      </c>
      <c r="E5136" s="21">
        <f>IFERROR(__xludf.DUMMYFUNCTION("""COMPUTED_VALUE"""),145359.0)</f>
        <v>145359</v>
      </c>
      <c r="F5136" s="21" t="str">
        <f>IFERROR(__xludf.DUMMYFUNCTION("""COMPUTED_VALUE"""),"INICIALIZADO")</f>
        <v>INICIALIZADO</v>
      </c>
      <c r="G5136" s="23">
        <f>IFERROR(__xludf.DUMMYFUNCTION("""COMPUTED_VALUE"""),45639.64980324074)</f>
        <v>45639.6498</v>
      </c>
      <c r="H5136" s="24" t="str">
        <f>IFERROR(VLOOKUP(B5136,material!A:D,3,0),"")</f>
        <v>3.1</v>
      </c>
    </row>
    <row r="5137" ht="11.25" customHeight="1">
      <c r="A5137" s="21" t="str">
        <f>IFERROR(__xludf.DUMMYFUNCTION("""COMPUTED_VALUE"""),"MODEM VOIP EMTA WIFI 3.1 HGJ310")</f>
        <v>MODEM VOIP EMTA WIFI 3.1 HGJ310</v>
      </c>
      <c r="B5137" s="22">
        <f>IFERROR(__xludf.DUMMYFUNCTION("""COMPUTED_VALUE"""),4.1001481E7)</f>
        <v>41001481</v>
      </c>
      <c r="C5137" s="21" t="str">
        <f>IFERROR(__xludf.DUMMYFUNCTION("""COMPUTED_VALUE"""),"C85D38DC74FC")</f>
        <v>C85D38DC74FC</v>
      </c>
      <c r="D5137" s="21" t="str">
        <f>IFERROR(__xludf.DUMMYFUNCTION("""COMPUTED_VALUE"""),"DIGITEC TECNOLOGIA DIGITAL E REPRES")</f>
        <v>DIGITEC TECNOLOGIA DIGITAL E REPRES</v>
      </c>
      <c r="E5137" s="21">
        <f>IFERROR(__xludf.DUMMYFUNCTION("""COMPUTED_VALUE"""),145359.0)</f>
        <v>145359</v>
      </c>
      <c r="F5137" s="21" t="str">
        <f>IFERROR(__xludf.DUMMYFUNCTION("""COMPUTED_VALUE"""),"INICIALIZADO")</f>
        <v>INICIALIZADO</v>
      </c>
      <c r="G5137" s="23">
        <f>IFERROR(__xludf.DUMMYFUNCTION("""COMPUTED_VALUE"""),45639.64983796296)</f>
        <v>45639.64984</v>
      </c>
      <c r="H5137" s="24" t="str">
        <f>IFERROR(VLOOKUP(B5137,material!A:D,3,0),"")</f>
        <v>3.1</v>
      </c>
    </row>
    <row r="5138" ht="11.25" customHeight="1">
      <c r="A5138" s="21" t="str">
        <f>IFERROR(__xludf.DUMMYFUNCTION("""COMPUTED_VALUE"""),"MODEM VOIP EMTA WIFI 3.1 HGJ310")</f>
        <v>MODEM VOIP EMTA WIFI 3.1 HGJ310</v>
      </c>
      <c r="B5138" s="22">
        <f>IFERROR(__xludf.DUMMYFUNCTION("""COMPUTED_VALUE"""),4.1001481E7)</f>
        <v>41001481</v>
      </c>
      <c r="C5138" s="21" t="str">
        <f>IFERROR(__xludf.DUMMYFUNCTION("""COMPUTED_VALUE"""),"C85D38E735C5")</f>
        <v>C85D38E735C5</v>
      </c>
      <c r="D5138" s="21" t="str">
        <f>IFERROR(__xludf.DUMMYFUNCTION("""COMPUTED_VALUE"""),"DIGITEC TECNOLOGIA DIGITAL E REPRES")</f>
        <v>DIGITEC TECNOLOGIA DIGITAL E REPRES</v>
      </c>
      <c r="E5138" s="21">
        <f>IFERROR(__xludf.DUMMYFUNCTION("""COMPUTED_VALUE"""),145359.0)</f>
        <v>145359</v>
      </c>
      <c r="F5138" s="21" t="str">
        <f>IFERROR(__xludf.DUMMYFUNCTION("""COMPUTED_VALUE"""),"INICIALIZADO")</f>
        <v>INICIALIZADO</v>
      </c>
      <c r="G5138" s="23">
        <f>IFERROR(__xludf.DUMMYFUNCTION("""COMPUTED_VALUE"""),45639.64981481481)</f>
        <v>45639.64981</v>
      </c>
      <c r="H5138" s="24" t="str">
        <f>IFERROR(VLOOKUP(B5138,material!A:D,3,0),"")</f>
        <v>3.1</v>
      </c>
    </row>
    <row r="5139" ht="11.25" customHeight="1">
      <c r="A5139" s="21" t="str">
        <f>IFERROR(__xludf.DUMMYFUNCTION("""COMPUTED_VALUE"""),"MODEM VOIP EMTA WIFI 3.1 HGJ310")</f>
        <v>MODEM VOIP EMTA WIFI 3.1 HGJ310</v>
      </c>
      <c r="B5139" s="22">
        <f>IFERROR(__xludf.DUMMYFUNCTION("""COMPUTED_VALUE"""),4.1001481E7)</f>
        <v>41001481</v>
      </c>
      <c r="C5139" s="21" t="str">
        <f>IFERROR(__xludf.DUMMYFUNCTION("""COMPUTED_VALUE"""),"C85D38D17A12")</f>
        <v>C85D38D17A12</v>
      </c>
      <c r="D5139" s="21" t="str">
        <f>IFERROR(__xludf.DUMMYFUNCTION("""COMPUTED_VALUE"""),"DIGITEC TECNOLOGIA DIGITAL E REPRES")</f>
        <v>DIGITEC TECNOLOGIA DIGITAL E REPRES</v>
      </c>
      <c r="E5139" s="21">
        <f>IFERROR(__xludf.DUMMYFUNCTION("""COMPUTED_VALUE"""),145359.0)</f>
        <v>145359</v>
      </c>
      <c r="F5139" s="21" t="str">
        <f>IFERROR(__xludf.DUMMYFUNCTION("""COMPUTED_VALUE"""),"INICIALIZADO")</f>
        <v>INICIALIZADO</v>
      </c>
      <c r="G5139" s="23">
        <f>IFERROR(__xludf.DUMMYFUNCTION("""COMPUTED_VALUE"""),45639.64983796296)</f>
        <v>45639.64984</v>
      </c>
      <c r="H5139" s="24" t="str">
        <f>IFERROR(VLOOKUP(B5139,material!A:D,3,0),"")</f>
        <v>3.1</v>
      </c>
    </row>
    <row r="5140" ht="11.25" customHeight="1">
      <c r="A5140" s="21" t="str">
        <f>IFERROR(__xludf.DUMMYFUNCTION("""COMPUTED_VALUE"""),"MODEM VOIP EMTA WIFI 3.1 HGJ310")</f>
        <v>MODEM VOIP EMTA WIFI 3.1 HGJ310</v>
      </c>
      <c r="B5140" s="22">
        <f>IFERROR(__xludf.DUMMYFUNCTION("""COMPUTED_VALUE"""),4.1001481E7)</f>
        <v>41001481</v>
      </c>
      <c r="C5140" s="21" t="str">
        <f>IFERROR(__xludf.DUMMYFUNCTION("""COMPUTED_VALUE"""),"C85D38CDF3CF")</f>
        <v>C85D38CDF3CF</v>
      </c>
      <c r="D5140" s="21" t="str">
        <f>IFERROR(__xludf.DUMMYFUNCTION("""COMPUTED_VALUE"""),"DIGITEC TECNOLOGIA DIGITAL E REPRES")</f>
        <v>DIGITEC TECNOLOGIA DIGITAL E REPRES</v>
      </c>
      <c r="E5140" s="21">
        <f>IFERROR(__xludf.DUMMYFUNCTION("""COMPUTED_VALUE"""),145359.0)</f>
        <v>145359</v>
      </c>
      <c r="F5140" s="21" t="str">
        <f>IFERROR(__xludf.DUMMYFUNCTION("""COMPUTED_VALUE"""),"INICIALIZADO")</f>
        <v>INICIALIZADO</v>
      </c>
      <c r="G5140" s="23">
        <f>IFERROR(__xludf.DUMMYFUNCTION("""COMPUTED_VALUE"""),45639.64984953703)</f>
        <v>45639.64985</v>
      </c>
      <c r="H5140" s="24" t="str">
        <f>IFERROR(VLOOKUP(B5140,material!A:D,3,0),"")</f>
        <v>3.1</v>
      </c>
    </row>
    <row r="5141" ht="11.25" customHeight="1">
      <c r="A5141" s="21" t="str">
        <f>IFERROR(__xludf.DUMMYFUNCTION("""COMPUTED_VALUE"""),"MODEM VOIP EMTA WIFI 3.1 HGJ310")</f>
        <v>MODEM VOIP EMTA WIFI 3.1 HGJ310</v>
      </c>
      <c r="B5141" s="22">
        <f>IFERROR(__xludf.DUMMYFUNCTION("""COMPUTED_VALUE"""),4.1001481E7)</f>
        <v>41001481</v>
      </c>
      <c r="C5141" s="21" t="str">
        <f>IFERROR(__xludf.DUMMYFUNCTION("""COMPUTED_VALUE"""),"C85D38D2073F")</f>
        <v>C85D38D2073F</v>
      </c>
      <c r="D5141" s="21" t="str">
        <f>IFERROR(__xludf.DUMMYFUNCTION("""COMPUTED_VALUE"""),"DIGITEC TECNOLOGIA DIGITAL E REPRES")</f>
        <v>DIGITEC TECNOLOGIA DIGITAL E REPRES</v>
      </c>
      <c r="E5141" s="21">
        <f>IFERROR(__xludf.DUMMYFUNCTION("""COMPUTED_VALUE"""),145359.0)</f>
        <v>145359</v>
      </c>
      <c r="F5141" s="21" t="str">
        <f>IFERROR(__xludf.DUMMYFUNCTION("""COMPUTED_VALUE"""),"INICIALIZADO")</f>
        <v>INICIALIZADO</v>
      </c>
      <c r="G5141" s="23">
        <f>IFERROR(__xludf.DUMMYFUNCTION("""COMPUTED_VALUE"""),45639.64983796296)</f>
        <v>45639.64984</v>
      </c>
      <c r="H5141" s="24" t="str">
        <f>IFERROR(VLOOKUP(B5141,material!A:D,3,0),"")</f>
        <v>3.1</v>
      </c>
    </row>
    <row r="5142" ht="11.25" customHeight="1">
      <c r="A5142" s="21" t="str">
        <f>IFERROR(__xludf.DUMMYFUNCTION("""COMPUTED_VALUE"""),"MODEM VOIP EMTA WIFI 3.1 HGJ310")</f>
        <v>MODEM VOIP EMTA WIFI 3.1 HGJ310</v>
      </c>
      <c r="B5142" s="22">
        <f>IFERROR(__xludf.DUMMYFUNCTION("""COMPUTED_VALUE"""),4.1001481E7)</f>
        <v>41001481</v>
      </c>
      <c r="C5142" s="21" t="str">
        <f>IFERROR(__xludf.DUMMYFUNCTION("""COMPUTED_VALUE"""),"8C444FD3EBA7")</f>
        <v>8C444FD3EBA7</v>
      </c>
      <c r="D5142" s="21" t="str">
        <f>IFERROR(__xludf.DUMMYFUNCTION("""COMPUTED_VALUE"""),"DIGITEC TECNOLOGIA DIGITAL E REPRES")</f>
        <v>DIGITEC TECNOLOGIA DIGITAL E REPRES</v>
      </c>
      <c r="E5142" s="21">
        <f>IFERROR(__xludf.DUMMYFUNCTION("""COMPUTED_VALUE"""),145359.0)</f>
        <v>145359</v>
      </c>
      <c r="F5142" s="21" t="str">
        <f>IFERROR(__xludf.DUMMYFUNCTION("""COMPUTED_VALUE"""),"INICIALIZADO")</f>
        <v>INICIALIZADO</v>
      </c>
      <c r="G5142" s="23">
        <f>IFERROR(__xludf.DUMMYFUNCTION("""COMPUTED_VALUE"""),45639.64980324074)</f>
        <v>45639.6498</v>
      </c>
      <c r="H5142" s="24" t="str">
        <f>IFERROR(VLOOKUP(B5142,material!A:D,3,0),"")</f>
        <v>3.1</v>
      </c>
    </row>
    <row r="5143" ht="11.25" customHeight="1">
      <c r="A5143" s="21" t="str">
        <f>IFERROR(__xludf.DUMMYFUNCTION("""COMPUTED_VALUE"""),"TERMINAL ONT WIFI HGU HP610")</f>
        <v>TERMINAL ONT WIFI HGU HP610</v>
      </c>
      <c r="B5143" s="22">
        <f>IFERROR(__xludf.DUMMYFUNCTION("""COMPUTED_VALUE"""),4.1001478E7)</f>
        <v>41001478</v>
      </c>
      <c r="C5143" s="21" t="str">
        <f>IFERROR(__xludf.DUMMYFUNCTION("""COMPUTED_VALUE"""),"C85D38B27DFC")</f>
        <v>C85D38B27DFC</v>
      </c>
      <c r="D5143" s="21" t="str">
        <f>IFERROR(__xludf.DUMMYFUNCTION("""COMPUTED_VALUE"""),"DIGITEC TECNOLOGIA DIGITAL E REPRES")</f>
        <v>DIGITEC TECNOLOGIA DIGITAL E REPRES</v>
      </c>
      <c r="E5143" s="21">
        <f>IFERROR(__xludf.DUMMYFUNCTION("""COMPUTED_VALUE"""),145359.0)</f>
        <v>145359</v>
      </c>
      <c r="F5143" s="21" t="str">
        <f>IFERROR(__xludf.DUMMYFUNCTION("""COMPUTED_VALUE"""),"INICIALIZADO")</f>
        <v>INICIALIZADO</v>
      </c>
      <c r="G5143" s="23">
        <f>IFERROR(__xludf.DUMMYFUNCTION("""COMPUTED_VALUE"""),45642.524143518516)</f>
        <v>45642.52414</v>
      </c>
      <c r="H5143" s="24" t="str">
        <f>IFERROR(VLOOKUP(B5143,material!A:D,3,0),"")</f>
        <v>ONT</v>
      </c>
    </row>
    <row r="5144" ht="11.25" customHeight="1">
      <c r="A5144" s="21" t="str">
        <f>IFERROR(__xludf.DUMMYFUNCTION("""COMPUTED_VALUE"""),"TERMINAL ONT WIFI HGU HP610")</f>
        <v>TERMINAL ONT WIFI HGU HP610</v>
      </c>
      <c r="B5144" s="22">
        <f>IFERROR(__xludf.DUMMYFUNCTION("""COMPUTED_VALUE"""),4.1001478E7)</f>
        <v>41001478</v>
      </c>
      <c r="C5144" s="21" t="str">
        <f>IFERROR(__xludf.DUMMYFUNCTION("""COMPUTED_VALUE"""),"4CD08A3DE49C")</f>
        <v>4CD08A3DE49C</v>
      </c>
      <c r="D5144" s="21" t="str">
        <f>IFERROR(__xludf.DUMMYFUNCTION("""COMPUTED_VALUE"""),"DIGITEC TECNOLOGIA DIGITAL E REPRES")</f>
        <v>DIGITEC TECNOLOGIA DIGITAL E REPRES</v>
      </c>
      <c r="E5144" s="21">
        <f>IFERROR(__xludf.DUMMYFUNCTION("""COMPUTED_VALUE"""),145359.0)</f>
        <v>145359</v>
      </c>
      <c r="F5144" s="21" t="str">
        <f>IFERROR(__xludf.DUMMYFUNCTION("""COMPUTED_VALUE"""),"INICIALIZADO")</f>
        <v>INICIALIZADO</v>
      </c>
      <c r="G5144" s="23">
        <f>IFERROR(__xludf.DUMMYFUNCTION("""COMPUTED_VALUE"""),45642.52415509259)</f>
        <v>45642.52416</v>
      </c>
      <c r="H5144" s="24" t="str">
        <f>IFERROR(VLOOKUP(B5144,material!A:D,3,0),"")</f>
        <v>ONT</v>
      </c>
    </row>
    <row r="5145" ht="11.25" customHeight="1">
      <c r="A5145" s="21" t="str">
        <f>IFERROR(__xludf.DUMMYFUNCTION("""COMPUTED_VALUE"""),"TERMINAL ONT WIFI HGU HP610")</f>
        <v>TERMINAL ONT WIFI HGU HP610</v>
      </c>
      <c r="B5145" s="22">
        <f>IFERROR(__xludf.DUMMYFUNCTION("""COMPUTED_VALUE"""),4.1001478E7)</f>
        <v>41001478</v>
      </c>
      <c r="C5145" s="21" t="str">
        <f>IFERROR(__xludf.DUMMYFUNCTION("""COMPUTED_VALUE"""),"4CD08A3F0F98")</f>
        <v>4CD08A3F0F98</v>
      </c>
      <c r="D5145" s="21" t="str">
        <f>IFERROR(__xludf.DUMMYFUNCTION("""COMPUTED_VALUE"""),"DIGITEC TECNOLOGIA DIGITAL E REPRES")</f>
        <v>DIGITEC TECNOLOGIA DIGITAL E REPRES</v>
      </c>
      <c r="E5145" s="21">
        <f>IFERROR(__xludf.DUMMYFUNCTION("""COMPUTED_VALUE"""),145359.0)</f>
        <v>145359</v>
      </c>
      <c r="F5145" s="21" t="str">
        <f>IFERROR(__xludf.DUMMYFUNCTION("""COMPUTED_VALUE"""),"INICIALIZADO")</f>
        <v>INICIALIZADO</v>
      </c>
      <c r="G5145" s="23">
        <f>IFERROR(__xludf.DUMMYFUNCTION("""COMPUTED_VALUE"""),45642.52415509259)</f>
        <v>45642.52416</v>
      </c>
      <c r="H5145" s="24" t="str">
        <f>IFERROR(VLOOKUP(B5145,material!A:D,3,0),"")</f>
        <v>ONT</v>
      </c>
    </row>
    <row r="5146" ht="11.25" customHeight="1">
      <c r="A5146" s="21" t="str">
        <f>IFERROR(__xludf.DUMMYFUNCTION("""COMPUTED_VALUE"""),"TERMINAL ONT WIFI HGU HP610")</f>
        <v>TERMINAL ONT WIFI HGU HP610</v>
      </c>
      <c r="B5146" s="22">
        <f>IFERROR(__xludf.DUMMYFUNCTION("""COMPUTED_VALUE"""),4.1001478E7)</f>
        <v>41001478</v>
      </c>
      <c r="C5146" s="21" t="str">
        <f>IFERROR(__xludf.DUMMYFUNCTION("""COMPUTED_VALUE"""),"4CD08A4D0E90")</f>
        <v>4CD08A4D0E90</v>
      </c>
      <c r="D5146" s="21" t="str">
        <f>IFERROR(__xludf.DUMMYFUNCTION("""COMPUTED_VALUE"""),"DIGITEC TECNOLOGIA DIGITAL E REPRES")</f>
        <v>DIGITEC TECNOLOGIA DIGITAL E REPRES</v>
      </c>
      <c r="E5146" s="21">
        <f>IFERROR(__xludf.DUMMYFUNCTION("""COMPUTED_VALUE"""),145359.0)</f>
        <v>145359</v>
      </c>
      <c r="F5146" s="21" t="str">
        <f>IFERROR(__xludf.DUMMYFUNCTION("""COMPUTED_VALUE"""),"INICIALIZADO")</f>
        <v>INICIALIZADO</v>
      </c>
      <c r="G5146" s="23">
        <f>IFERROR(__xludf.DUMMYFUNCTION("""COMPUTED_VALUE"""),45642.52415509259)</f>
        <v>45642.52416</v>
      </c>
      <c r="H5146" s="24" t="str">
        <f>IFERROR(VLOOKUP(B5146,material!A:D,3,0),"")</f>
        <v>ONT</v>
      </c>
    </row>
    <row r="5147" ht="11.25" customHeight="1">
      <c r="A5147" s="21" t="str">
        <f>IFERROR(__xludf.DUMMYFUNCTION("""COMPUTED_VALUE"""),"TERMINAL ONT WIFI HGU HP610")</f>
        <v>TERMINAL ONT WIFI HGU HP610</v>
      </c>
      <c r="B5147" s="22">
        <f>IFERROR(__xludf.DUMMYFUNCTION("""COMPUTED_VALUE"""),4.1001478E7)</f>
        <v>41001478</v>
      </c>
      <c r="C5147" s="21" t="str">
        <f>IFERROR(__xludf.DUMMYFUNCTION("""COMPUTED_VALUE"""),"4CD08A3A7578")</f>
        <v>4CD08A3A7578</v>
      </c>
      <c r="D5147" s="21" t="str">
        <f>IFERROR(__xludf.DUMMYFUNCTION("""COMPUTED_VALUE"""),"DIGITEC TECNOLOGIA DIGITAL E REPRES")</f>
        <v>DIGITEC TECNOLOGIA DIGITAL E REPRES</v>
      </c>
      <c r="E5147" s="21">
        <f>IFERROR(__xludf.DUMMYFUNCTION("""COMPUTED_VALUE"""),145359.0)</f>
        <v>145359</v>
      </c>
      <c r="F5147" s="21" t="str">
        <f>IFERROR(__xludf.DUMMYFUNCTION("""COMPUTED_VALUE"""),"INICIALIZADO")</f>
        <v>INICIALIZADO</v>
      </c>
      <c r="G5147" s="23">
        <f>IFERROR(__xludf.DUMMYFUNCTION("""COMPUTED_VALUE"""),45642.524143518516)</f>
        <v>45642.52414</v>
      </c>
      <c r="H5147" s="24" t="str">
        <f>IFERROR(VLOOKUP(B5147,material!A:D,3,0),"")</f>
        <v>ONT</v>
      </c>
    </row>
    <row r="5148" ht="11.25" customHeight="1">
      <c r="A5148" s="21" t="str">
        <f>IFERROR(__xludf.DUMMYFUNCTION("""COMPUTED_VALUE"""),"TERMINAL ONT WIFI HGU HP610")</f>
        <v>TERMINAL ONT WIFI HGU HP610</v>
      </c>
      <c r="B5148" s="22">
        <f>IFERROR(__xludf.DUMMYFUNCTION("""COMPUTED_VALUE"""),4.1001478E7)</f>
        <v>41001478</v>
      </c>
      <c r="C5148" s="21" t="str">
        <f>IFERROR(__xludf.DUMMYFUNCTION("""COMPUTED_VALUE"""),"4CD08A4EE4F4")</f>
        <v>4CD08A4EE4F4</v>
      </c>
      <c r="D5148" s="21" t="str">
        <f>IFERROR(__xludf.DUMMYFUNCTION("""COMPUTED_VALUE"""),"DIGITEC TECNOLOGIA DIGITAL E REPRES")</f>
        <v>DIGITEC TECNOLOGIA DIGITAL E REPRES</v>
      </c>
      <c r="E5148" s="21">
        <f>IFERROR(__xludf.DUMMYFUNCTION("""COMPUTED_VALUE"""),145359.0)</f>
        <v>145359</v>
      </c>
      <c r="F5148" s="21" t="str">
        <f>IFERROR(__xludf.DUMMYFUNCTION("""COMPUTED_VALUE"""),"INICIALIZADO")</f>
        <v>INICIALIZADO</v>
      </c>
      <c r="G5148" s="23">
        <f>IFERROR(__xludf.DUMMYFUNCTION("""COMPUTED_VALUE"""),45642.52415509259)</f>
        <v>45642.52416</v>
      </c>
      <c r="H5148" s="24" t="str">
        <f>IFERROR(VLOOKUP(B5148,material!A:D,3,0),"")</f>
        <v>ONT</v>
      </c>
    </row>
    <row r="5149" ht="11.25" customHeight="1">
      <c r="A5149" s="21" t="str">
        <f>IFERROR(__xludf.DUMMYFUNCTION("""COMPUTED_VALUE"""),"TERMINAL ONT WIFI HGU HP610")</f>
        <v>TERMINAL ONT WIFI HGU HP610</v>
      </c>
      <c r="B5149" s="22">
        <f>IFERROR(__xludf.DUMMYFUNCTION("""COMPUTED_VALUE"""),4.1001478E7)</f>
        <v>41001478</v>
      </c>
      <c r="C5149" s="21" t="str">
        <f>IFERROR(__xludf.DUMMYFUNCTION("""COMPUTED_VALUE"""),"4CD08A57F74C")</f>
        <v>4CD08A57F74C</v>
      </c>
      <c r="D5149" s="21" t="str">
        <f>IFERROR(__xludf.DUMMYFUNCTION("""COMPUTED_VALUE"""),"DIGITEC TECNOLOGIA DIGITAL E REPRES")</f>
        <v>DIGITEC TECNOLOGIA DIGITAL E REPRES</v>
      </c>
      <c r="E5149" s="21">
        <f>IFERROR(__xludf.DUMMYFUNCTION("""COMPUTED_VALUE"""),145359.0)</f>
        <v>145359</v>
      </c>
      <c r="F5149" s="21" t="str">
        <f>IFERROR(__xludf.DUMMYFUNCTION("""COMPUTED_VALUE"""),"INICIALIZADO")</f>
        <v>INICIALIZADO</v>
      </c>
      <c r="G5149" s="23">
        <f>IFERROR(__xludf.DUMMYFUNCTION("""COMPUTED_VALUE"""),45642.52415509259)</f>
        <v>45642.52416</v>
      </c>
      <c r="H5149" s="24" t="str">
        <f>IFERROR(VLOOKUP(B5149,material!A:D,3,0),"")</f>
        <v>ONT</v>
      </c>
    </row>
    <row r="5150" ht="11.25" customHeight="1">
      <c r="A5150" s="21" t="str">
        <f>IFERROR(__xludf.DUMMYFUNCTION("""COMPUTED_VALUE"""),"TERMINAL ONT WIFI HGU HP610")</f>
        <v>TERMINAL ONT WIFI HGU HP610</v>
      </c>
      <c r="B5150" s="22">
        <f>IFERROR(__xludf.DUMMYFUNCTION("""COMPUTED_VALUE"""),4.1001478E7)</f>
        <v>41001478</v>
      </c>
      <c r="C5150" s="21" t="str">
        <f>IFERROR(__xludf.DUMMYFUNCTION("""COMPUTED_VALUE"""),"4CD08A579F54")</f>
        <v>4CD08A579F54</v>
      </c>
      <c r="D5150" s="21" t="str">
        <f>IFERROR(__xludf.DUMMYFUNCTION("""COMPUTED_VALUE"""),"DIGITEC TECNOLOGIA DIGITAL E REPRES")</f>
        <v>DIGITEC TECNOLOGIA DIGITAL E REPRES</v>
      </c>
      <c r="E5150" s="21">
        <f>IFERROR(__xludf.DUMMYFUNCTION("""COMPUTED_VALUE"""),145359.0)</f>
        <v>145359</v>
      </c>
      <c r="F5150" s="21" t="str">
        <f>IFERROR(__xludf.DUMMYFUNCTION("""COMPUTED_VALUE"""),"INICIALIZADO")</f>
        <v>INICIALIZADO</v>
      </c>
      <c r="G5150" s="23">
        <f>IFERROR(__xludf.DUMMYFUNCTION("""COMPUTED_VALUE"""),45642.52415509259)</f>
        <v>45642.52416</v>
      </c>
      <c r="H5150" s="24" t="str">
        <f>IFERROR(VLOOKUP(B5150,material!A:D,3,0),"")</f>
        <v>ONT</v>
      </c>
    </row>
    <row r="5151" ht="11.25" customHeight="1">
      <c r="A5151" s="21" t="str">
        <f>IFERROR(__xludf.DUMMYFUNCTION("""COMPUTED_VALUE"""),"TERMINAL ONT WIFI HGU HP610")</f>
        <v>TERMINAL ONT WIFI HGU HP610</v>
      </c>
      <c r="B5151" s="22">
        <f>IFERROR(__xludf.DUMMYFUNCTION("""COMPUTED_VALUE"""),4.1001478E7)</f>
        <v>41001478</v>
      </c>
      <c r="C5151" s="21" t="str">
        <f>IFERROR(__xludf.DUMMYFUNCTION("""COMPUTED_VALUE"""),"4CD08A56854C")</f>
        <v>4CD08A56854C</v>
      </c>
      <c r="D5151" s="21" t="str">
        <f>IFERROR(__xludf.DUMMYFUNCTION("""COMPUTED_VALUE"""),"DIGITEC TECNOLOGIA DIGITAL E REPRES")</f>
        <v>DIGITEC TECNOLOGIA DIGITAL E REPRES</v>
      </c>
      <c r="E5151" s="21">
        <f>IFERROR(__xludf.DUMMYFUNCTION("""COMPUTED_VALUE"""),145359.0)</f>
        <v>145359</v>
      </c>
      <c r="F5151" s="21" t="str">
        <f>IFERROR(__xludf.DUMMYFUNCTION("""COMPUTED_VALUE"""),"INICIALIZADO")</f>
        <v>INICIALIZADO</v>
      </c>
      <c r="G5151" s="23">
        <f>IFERROR(__xludf.DUMMYFUNCTION("""COMPUTED_VALUE"""),45642.52415509259)</f>
        <v>45642.52416</v>
      </c>
      <c r="H5151" s="24" t="str">
        <f>IFERROR(VLOOKUP(B5151,material!A:D,3,0),"")</f>
        <v>ONT</v>
      </c>
    </row>
    <row r="5152" ht="11.25" customHeight="1">
      <c r="A5152" s="21" t="str">
        <f>IFERROR(__xludf.DUMMYFUNCTION("""COMPUTED_VALUE"""),"TERMINAL ONT WIFI HGU HP610")</f>
        <v>TERMINAL ONT WIFI HGU HP610</v>
      </c>
      <c r="B5152" s="22">
        <f>IFERROR(__xludf.DUMMYFUNCTION("""COMPUTED_VALUE"""),4.1001478E7)</f>
        <v>41001478</v>
      </c>
      <c r="C5152" s="21" t="str">
        <f>IFERROR(__xludf.DUMMYFUNCTION("""COMPUTED_VALUE"""),"C85D38B557E8")</f>
        <v>C85D38B557E8</v>
      </c>
      <c r="D5152" s="21" t="str">
        <f>IFERROR(__xludf.DUMMYFUNCTION("""COMPUTED_VALUE"""),"DIGITEC TECNOLOGIA DIGITAL E REPRES")</f>
        <v>DIGITEC TECNOLOGIA DIGITAL E REPRES</v>
      </c>
      <c r="E5152" s="21">
        <f>IFERROR(__xludf.DUMMYFUNCTION("""COMPUTED_VALUE"""),145359.0)</f>
        <v>145359</v>
      </c>
      <c r="F5152" s="21" t="str">
        <f>IFERROR(__xludf.DUMMYFUNCTION("""COMPUTED_VALUE"""),"INICIALIZADO")</f>
        <v>INICIALIZADO</v>
      </c>
      <c r="G5152" s="23">
        <f>IFERROR(__xludf.DUMMYFUNCTION("""COMPUTED_VALUE"""),45642.524143518516)</f>
        <v>45642.52414</v>
      </c>
      <c r="H5152" s="24" t="str">
        <f>IFERROR(VLOOKUP(B5152,material!A:D,3,0),"")</f>
        <v>ONT</v>
      </c>
    </row>
    <row r="5153" ht="11.25" customHeight="1">
      <c r="A5153" s="21" t="str">
        <f>IFERROR(__xludf.DUMMYFUNCTION("""COMPUTED_VALUE"""),"TERMINAL ONT WIFI HGU HP610")</f>
        <v>TERMINAL ONT WIFI HGU HP610</v>
      </c>
      <c r="B5153" s="22">
        <f>IFERROR(__xludf.DUMMYFUNCTION("""COMPUTED_VALUE"""),4.1001478E7)</f>
        <v>41001478</v>
      </c>
      <c r="C5153" s="21" t="str">
        <f>IFERROR(__xludf.DUMMYFUNCTION("""COMPUTED_VALUE"""),"D86C5A0F46F0")</f>
        <v>D86C5A0F46F0</v>
      </c>
      <c r="D5153" s="21" t="str">
        <f>IFERROR(__xludf.DUMMYFUNCTION("""COMPUTED_VALUE"""),"DIGITEC TECNOLOGIA DIGITAL E REPRES")</f>
        <v>DIGITEC TECNOLOGIA DIGITAL E REPRES</v>
      </c>
      <c r="E5153" s="21">
        <f>IFERROR(__xludf.DUMMYFUNCTION("""COMPUTED_VALUE"""),145359.0)</f>
        <v>145359</v>
      </c>
      <c r="F5153" s="21" t="str">
        <f>IFERROR(__xludf.DUMMYFUNCTION("""COMPUTED_VALUE"""),"INICIALIZADO")</f>
        <v>INICIALIZADO</v>
      </c>
      <c r="G5153" s="23">
        <f>IFERROR(__xludf.DUMMYFUNCTION("""COMPUTED_VALUE"""),45642.524143518516)</f>
        <v>45642.52414</v>
      </c>
      <c r="H5153" s="24" t="str">
        <f>IFERROR(VLOOKUP(B5153,material!A:D,3,0),"")</f>
        <v>ONT</v>
      </c>
    </row>
    <row r="5154" ht="11.25" customHeight="1">
      <c r="A5154" s="21" t="str">
        <f>IFERROR(__xludf.DUMMYFUNCTION("""COMPUTED_VALUE"""),"TERMINAL ONT WIFI HGU HP610")</f>
        <v>TERMINAL ONT WIFI HGU HP610</v>
      </c>
      <c r="B5154" s="22">
        <f>IFERROR(__xludf.DUMMYFUNCTION("""COMPUTED_VALUE"""),4.1001478E7)</f>
        <v>41001478</v>
      </c>
      <c r="C5154" s="21" t="str">
        <f>IFERROR(__xludf.DUMMYFUNCTION("""COMPUTED_VALUE"""),"D86C5A0CABD4")</f>
        <v>D86C5A0CABD4</v>
      </c>
      <c r="D5154" s="21" t="str">
        <f>IFERROR(__xludf.DUMMYFUNCTION("""COMPUTED_VALUE"""),"DIGITEC TECNOLOGIA DIGITAL E REPRES")</f>
        <v>DIGITEC TECNOLOGIA DIGITAL E REPRES</v>
      </c>
      <c r="E5154" s="21">
        <f>IFERROR(__xludf.DUMMYFUNCTION("""COMPUTED_VALUE"""),145359.0)</f>
        <v>145359</v>
      </c>
      <c r="F5154" s="21" t="str">
        <f>IFERROR(__xludf.DUMMYFUNCTION("""COMPUTED_VALUE"""),"INICIALIZADO")</f>
        <v>INICIALIZADO</v>
      </c>
      <c r="G5154" s="23">
        <f>IFERROR(__xludf.DUMMYFUNCTION("""COMPUTED_VALUE"""),45642.524143518516)</f>
        <v>45642.52414</v>
      </c>
      <c r="H5154" s="24" t="str">
        <f>IFERROR(VLOOKUP(B5154,material!A:D,3,0),"")</f>
        <v>ONT</v>
      </c>
    </row>
    <row r="5155" ht="11.25" customHeight="1">
      <c r="A5155" s="21" t="str">
        <f>IFERROR(__xludf.DUMMYFUNCTION("""COMPUTED_VALUE"""),"TERMINAL ONT WIFI HGU HP610")</f>
        <v>TERMINAL ONT WIFI HGU HP610</v>
      </c>
      <c r="B5155" s="22">
        <f>IFERROR(__xludf.DUMMYFUNCTION("""COMPUTED_VALUE"""),4.1001478E7)</f>
        <v>41001478</v>
      </c>
      <c r="C5155" s="21" t="str">
        <f>IFERROR(__xludf.DUMMYFUNCTION("""COMPUTED_VALUE"""),"D86C5A0D7C44")</f>
        <v>D86C5A0D7C44</v>
      </c>
      <c r="D5155" s="21" t="str">
        <f>IFERROR(__xludf.DUMMYFUNCTION("""COMPUTED_VALUE"""),"DIGITEC TECNOLOGIA DIGITAL E REPRES")</f>
        <v>DIGITEC TECNOLOGIA DIGITAL E REPRES</v>
      </c>
      <c r="E5155" s="21">
        <f>IFERROR(__xludf.DUMMYFUNCTION("""COMPUTED_VALUE"""),145359.0)</f>
        <v>145359</v>
      </c>
      <c r="F5155" s="21" t="str">
        <f>IFERROR(__xludf.DUMMYFUNCTION("""COMPUTED_VALUE"""),"INICIALIZADO")</f>
        <v>INICIALIZADO</v>
      </c>
      <c r="G5155" s="23">
        <f>IFERROR(__xludf.DUMMYFUNCTION("""COMPUTED_VALUE"""),45642.524143518516)</f>
        <v>45642.52414</v>
      </c>
      <c r="H5155" s="24" t="str">
        <f>IFERROR(VLOOKUP(B5155,material!A:D,3,0),"")</f>
        <v>ONT</v>
      </c>
    </row>
    <row r="5156" ht="11.25" customHeight="1">
      <c r="A5156" s="21" t="str">
        <f>IFERROR(__xludf.DUMMYFUNCTION("""COMPUTED_VALUE"""),"TERMINAL ONT WIFI HGU HP610")</f>
        <v>TERMINAL ONT WIFI HGU HP610</v>
      </c>
      <c r="B5156" s="22">
        <f>IFERROR(__xludf.DUMMYFUNCTION("""COMPUTED_VALUE"""),4.1001478E7)</f>
        <v>41001478</v>
      </c>
      <c r="C5156" s="21" t="str">
        <f>IFERROR(__xludf.DUMMYFUNCTION("""COMPUTED_VALUE"""),"4CD08A5377A8")</f>
        <v>4CD08A5377A8</v>
      </c>
      <c r="D5156" s="21" t="str">
        <f>IFERROR(__xludf.DUMMYFUNCTION("""COMPUTED_VALUE"""),"DIGITEC TECNOLOGIA DIGITAL E REPRES")</f>
        <v>DIGITEC TECNOLOGIA DIGITAL E REPRES</v>
      </c>
      <c r="E5156" s="21">
        <f>IFERROR(__xludf.DUMMYFUNCTION("""COMPUTED_VALUE"""),145359.0)</f>
        <v>145359</v>
      </c>
      <c r="F5156" s="21" t="str">
        <f>IFERROR(__xludf.DUMMYFUNCTION("""COMPUTED_VALUE"""),"INICIALIZADO")</f>
        <v>INICIALIZADO</v>
      </c>
      <c r="G5156" s="23">
        <f>IFERROR(__xludf.DUMMYFUNCTION("""COMPUTED_VALUE"""),45642.52415509259)</f>
        <v>45642.52416</v>
      </c>
      <c r="H5156" s="24" t="str">
        <f>IFERROR(VLOOKUP(B5156,material!A:D,3,0),"")</f>
        <v>ONT</v>
      </c>
    </row>
    <row r="5157" ht="11.25" customHeight="1">
      <c r="A5157" s="21" t="str">
        <f>IFERROR(__xludf.DUMMYFUNCTION("""COMPUTED_VALUE"""),"TERMINAL ONT WIFI HGU HP610")</f>
        <v>TERMINAL ONT WIFI HGU HP610</v>
      </c>
      <c r="B5157" s="22">
        <f>IFERROR(__xludf.DUMMYFUNCTION("""COMPUTED_VALUE"""),4.1001478E7)</f>
        <v>41001478</v>
      </c>
      <c r="C5157" s="21" t="str">
        <f>IFERROR(__xludf.DUMMYFUNCTION("""COMPUTED_VALUE"""),"C85D382A04E0")</f>
        <v>C85D382A04E0</v>
      </c>
      <c r="D5157" s="21" t="str">
        <f>IFERROR(__xludf.DUMMYFUNCTION("""COMPUTED_VALUE"""),"DIGITEC TECNOLOGIA DIGITAL E REPRES")</f>
        <v>DIGITEC TECNOLOGIA DIGITAL E REPRES</v>
      </c>
      <c r="E5157" s="21">
        <f>IFERROR(__xludf.DUMMYFUNCTION("""COMPUTED_VALUE"""),145359.0)</f>
        <v>145359</v>
      </c>
      <c r="F5157" s="21" t="str">
        <f>IFERROR(__xludf.DUMMYFUNCTION("""COMPUTED_VALUE"""),"INICIALIZADO")</f>
        <v>INICIALIZADO</v>
      </c>
      <c r="G5157" s="23">
        <f>IFERROR(__xludf.DUMMYFUNCTION("""COMPUTED_VALUE"""),45642.52415509259)</f>
        <v>45642.52416</v>
      </c>
      <c r="H5157" s="24" t="str">
        <f>IFERROR(VLOOKUP(B5157,material!A:D,3,0),"")</f>
        <v>ONT</v>
      </c>
    </row>
    <row r="5158" ht="11.25" customHeight="1">
      <c r="A5158" s="21" t="str">
        <f>IFERROR(__xludf.DUMMYFUNCTION("""COMPUTED_VALUE"""),"TERMINAL ONT WIFI HGU HP610")</f>
        <v>TERMINAL ONT WIFI HGU HP610</v>
      </c>
      <c r="B5158" s="22">
        <f>IFERROR(__xludf.DUMMYFUNCTION("""COMPUTED_VALUE"""),4.1001478E7)</f>
        <v>41001478</v>
      </c>
      <c r="C5158" s="21" t="str">
        <f>IFERROR(__xludf.DUMMYFUNCTION("""COMPUTED_VALUE"""),"C85D38211B3C")</f>
        <v>C85D38211B3C</v>
      </c>
      <c r="D5158" s="21" t="str">
        <f>IFERROR(__xludf.DUMMYFUNCTION("""COMPUTED_VALUE"""),"DIGITEC TECNOLOGIA DIGITAL E REPRES")</f>
        <v>DIGITEC TECNOLOGIA DIGITAL E REPRES</v>
      </c>
      <c r="E5158" s="21">
        <f>IFERROR(__xludf.DUMMYFUNCTION("""COMPUTED_VALUE"""),145359.0)</f>
        <v>145359</v>
      </c>
      <c r="F5158" s="21" t="str">
        <f>IFERROR(__xludf.DUMMYFUNCTION("""COMPUTED_VALUE"""),"INICIALIZADO")</f>
        <v>INICIALIZADO</v>
      </c>
      <c r="G5158" s="23">
        <f>IFERROR(__xludf.DUMMYFUNCTION("""COMPUTED_VALUE"""),45642.52415509259)</f>
        <v>45642.52416</v>
      </c>
      <c r="H5158" s="24" t="str">
        <f>IFERROR(VLOOKUP(B5158,material!A:D,3,0),"")</f>
        <v>ONT</v>
      </c>
    </row>
    <row r="5159" ht="11.25" customHeight="1">
      <c r="A5159" s="21" t="str">
        <f>IFERROR(__xludf.DUMMYFUNCTION("""COMPUTED_VALUE"""),"TERMINAL ONT WIFI HGU HP610")</f>
        <v>TERMINAL ONT WIFI HGU HP610</v>
      </c>
      <c r="B5159" s="22">
        <f>IFERROR(__xludf.DUMMYFUNCTION("""COMPUTED_VALUE"""),4.1001478E7)</f>
        <v>41001478</v>
      </c>
      <c r="C5159" s="21" t="str">
        <f>IFERROR(__xludf.DUMMYFUNCTION("""COMPUTED_VALUE"""),"4CD08A54F5C4")</f>
        <v>4CD08A54F5C4</v>
      </c>
      <c r="D5159" s="21" t="str">
        <f>IFERROR(__xludf.DUMMYFUNCTION("""COMPUTED_VALUE"""),"DIGITEC TECNOLOGIA DIGITAL E REPRES")</f>
        <v>DIGITEC TECNOLOGIA DIGITAL E REPRES</v>
      </c>
      <c r="E5159" s="21">
        <f>IFERROR(__xludf.DUMMYFUNCTION("""COMPUTED_VALUE"""),145359.0)</f>
        <v>145359</v>
      </c>
      <c r="F5159" s="21" t="str">
        <f>IFERROR(__xludf.DUMMYFUNCTION("""COMPUTED_VALUE"""),"INICIALIZADO")</f>
        <v>INICIALIZADO</v>
      </c>
      <c r="G5159" s="23">
        <f>IFERROR(__xludf.DUMMYFUNCTION("""COMPUTED_VALUE"""),45642.52415509259)</f>
        <v>45642.52416</v>
      </c>
      <c r="H5159" s="24" t="str">
        <f>IFERROR(VLOOKUP(B5159,material!A:D,3,0),"")</f>
        <v>ONT</v>
      </c>
    </row>
    <row r="5160" ht="11.25" customHeight="1">
      <c r="A5160" s="21" t="str">
        <f>IFERROR(__xludf.DUMMYFUNCTION("""COMPUTED_VALUE"""),"TERMINAL ONT WIFI HGU HP610")</f>
        <v>TERMINAL ONT WIFI HGU HP610</v>
      </c>
      <c r="B5160" s="22">
        <f>IFERROR(__xludf.DUMMYFUNCTION("""COMPUTED_VALUE"""),4.1001478E7)</f>
        <v>41001478</v>
      </c>
      <c r="C5160" s="21" t="str">
        <f>IFERROR(__xludf.DUMMYFUNCTION("""COMPUTED_VALUE"""),"C85D38254590")</f>
        <v>C85D38254590</v>
      </c>
      <c r="D5160" s="21" t="str">
        <f>IFERROR(__xludf.DUMMYFUNCTION("""COMPUTED_VALUE"""),"DIGITEC TECNOLOGIA DIGITAL E REPRES")</f>
        <v>DIGITEC TECNOLOGIA DIGITAL E REPRES</v>
      </c>
      <c r="E5160" s="21">
        <f>IFERROR(__xludf.DUMMYFUNCTION("""COMPUTED_VALUE"""),145359.0)</f>
        <v>145359</v>
      </c>
      <c r="F5160" s="21" t="str">
        <f>IFERROR(__xludf.DUMMYFUNCTION("""COMPUTED_VALUE"""),"INICIALIZADO")</f>
        <v>INICIALIZADO</v>
      </c>
      <c r="G5160" s="23">
        <f>IFERROR(__xludf.DUMMYFUNCTION("""COMPUTED_VALUE"""),45642.52415509259)</f>
        <v>45642.52416</v>
      </c>
      <c r="H5160" s="24" t="str">
        <f>IFERROR(VLOOKUP(B5160,material!A:D,3,0),"")</f>
        <v>ONT</v>
      </c>
    </row>
    <row r="5161" ht="11.25" customHeight="1">
      <c r="A5161" s="21" t="str">
        <f>IFERROR(__xludf.DUMMYFUNCTION("""COMPUTED_VALUE"""),"TERMINAL ONT WIFI HGU HP610")</f>
        <v>TERMINAL ONT WIFI HGU HP610</v>
      </c>
      <c r="B5161" s="22">
        <f>IFERROR(__xludf.DUMMYFUNCTION("""COMPUTED_VALUE"""),4.1001478E7)</f>
        <v>41001478</v>
      </c>
      <c r="C5161" s="21" t="str">
        <f>IFERROR(__xludf.DUMMYFUNCTION("""COMPUTED_VALUE"""),"4CD08A55BB44")</f>
        <v>4CD08A55BB44</v>
      </c>
      <c r="D5161" s="21" t="str">
        <f>IFERROR(__xludf.DUMMYFUNCTION("""COMPUTED_VALUE"""),"DIGITEC TECNOLOGIA DIGITAL E REPRES")</f>
        <v>DIGITEC TECNOLOGIA DIGITAL E REPRES</v>
      </c>
      <c r="E5161" s="21">
        <f>IFERROR(__xludf.DUMMYFUNCTION("""COMPUTED_VALUE"""),145359.0)</f>
        <v>145359</v>
      </c>
      <c r="F5161" s="21" t="str">
        <f>IFERROR(__xludf.DUMMYFUNCTION("""COMPUTED_VALUE"""),"INICIALIZADO")</f>
        <v>INICIALIZADO</v>
      </c>
      <c r="G5161" s="23">
        <f>IFERROR(__xludf.DUMMYFUNCTION("""COMPUTED_VALUE"""),45642.52415509259)</f>
        <v>45642.52416</v>
      </c>
      <c r="H5161" s="24" t="str">
        <f>IFERROR(VLOOKUP(B5161,material!A:D,3,0),"")</f>
        <v>ONT</v>
      </c>
    </row>
    <row r="5162" ht="11.25" customHeight="1">
      <c r="A5162" s="21" t="str">
        <f>IFERROR(__xludf.DUMMYFUNCTION("""COMPUTED_VALUE"""),"TERMINAL ONT WIFI HGU HP610")</f>
        <v>TERMINAL ONT WIFI HGU HP610</v>
      </c>
      <c r="B5162" s="22">
        <f>IFERROR(__xludf.DUMMYFUNCTION("""COMPUTED_VALUE"""),4.1001478E7)</f>
        <v>41001478</v>
      </c>
      <c r="C5162" s="21" t="str">
        <f>IFERROR(__xludf.DUMMYFUNCTION("""COMPUTED_VALUE"""),"D86C5A11565C")</f>
        <v>D86C5A11565C</v>
      </c>
      <c r="D5162" s="21" t="str">
        <f>IFERROR(__xludf.DUMMYFUNCTION("""COMPUTED_VALUE"""),"DIGITEC TECNOLOGIA DIGITAL E REPRES")</f>
        <v>DIGITEC TECNOLOGIA DIGITAL E REPRES</v>
      </c>
      <c r="E5162" s="21">
        <f>IFERROR(__xludf.DUMMYFUNCTION("""COMPUTED_VALUE"""),145359.0)</f>
        <v>145359</v>
      </c>
      <c r="F5162" s="21" t="str">
        <f>IFERROR(__xludf.DUMMYFUNCTION("""COMPUTED_VALUE"""),"INICIALIZADO")</f>
        <v>INICIALIZADO</v>
      </c>
      <c r="G5162" s="23">
        <f>IFERROR(__xludf.DUMMYFUNCTION("""COMPUTED_VALUE"""),45642.524143518516)</f>
        <v>45642.52414</v>
      </c>
      <c r="H5162" s="24" t="str">
        <f>IFERROR(VLOOKUP(B5162,material!A:D,3,0),"")</f>
        <v>ONT</v>
      </c>
    </row>
    <row r="5163" ht="11.25" customHeight="1">
      <c r="A5163" s="21" t="str">
        <f>IFERROR(__xludf.DUMMYFUNCTION("""COMPUTED_VALUE"""),"TERMINAL ONT WIFI HGU HP610")</f>
        <v>TERMINAL ONT WIFI HGU HP610</v>
      </c>
      <c r="B5163" s="22">
        <f>IFERROR(__xludf.DUMMYFUNCTION("""COMPUTED_VALUE"""),4.1001478E7)</f>
        <v>41001478</v>
      </c>
      <c r="C5163" s="21" t="str">
        <f>IFERROR(__xludf.DUMMYFUNCTION("""COMPUTED_VALUE"""),"D86C5A11C330")</f>
        <v>D86C5A11C330</v>
      </c>
      <c r="D5163" s="21" t="str">
        <f>IFERROR(__xludf.DUMMYFUNCTION("""COMPUTED_VALUE"""),"DIGITEC TECNOLOGIA DIGITAL E REPRES")</f>
        <v>DIGITEC TECNOLOGIA DIGITAL E REPRES</v>
      </c>
      <c r="E5163" s="21">
        <f>IFERROR(__xludf.DUMMYFUNCTION("""COMPUTED_VALUE"""),145359.0)</f>
        <v>145359</v>
      </c>
      <c r="F5163" s="21" t="str">
        <f>IFERROR(__xludf.DUMMYFUNCTION("""COMPUTED_VALUE"""),"INICIALIZADO")</f>
        <v>INICIALIZADO</v>
      </c>
      <c r="G5163" s="23">
        <f>IFERROR(__xludf.DUMMYFUNCTION("""COMPUTED_VALUE"""),45642.524143518516)</f>
        <v>45642.52414</v>
      </c>
      <c r="H5163" s="24" t="str">
        <f>IFERROR(VLOOKUP(B5163,material!A:D,3,0),"")</f>
        <v>ONT</v>
      </c>
    </row>
    <row r="5164" ht="11.25" customHeight="1">
      <c r="A5164" s="21" t="str">
        <f>IFERROR(__xludf.DUMMYFUNCTION("""COMPUTED_VALUE"""),"TERMINAL ONT WIFI HGU HP610")</f>
        <v>TERMINAL ONT WIFI HGU HP610</v>
      </c>
      <c r="B5164" s="22">
        <f>IFERROR(__xludf.DUMMYFUNCTION("""COMPUTED_VALUE"""),4.1001478E7)</f>
        <v>41001478</v>
      </c>
      <c r="C5164" s="21" t="str">
        <f>IFERROR(__xludf.DUMMYFUNCTION("""COMPUTED_VALUE"""),"D86C5A144920")</f>
        <v>D86C5A144920</v>
      </c>
      <c r="D5164" s="21" t="str">
        <f>IFERROR(__xludf.DUMMYFUNCTION("""COMPUTED_VALUE"""),"DIGITEC TECNOLOGIA DIGITAL E REPRES")</f>
        <v>DIGITEC TECNOLOGIA DIGITAL E REPRES</v>
      </c>
      <c r="E5164" s="21">
        <f>IFERROR(__xludf.DUMMYFUNCTION("""COMPUTED_VALUE"""),145359.0)</f>
        <v>145359</v>
      </c>
      <c r="F5164" s="21" t="str">
        <f>IFERROR(__xludf.DUMMYFUNCTION("""COMPUTED_VALUE"""),"INICIALIZADO")</f>
        <v>INICIALIZADO</v>
      </c>
      <c r="G5164" s="23">
        <f>IFERROR(__xludf.DUMMYFUNCTION("""COMPUTED_VALUE"""),45642.524143518516)</f>
        <v>45642.52414</v>
      </c>
      <c r="H5164" s="24" t="str">
        <f>IFERROR(VLOOKUP(B5164,material!A:D,3,0),"")</f>
        <v>ONT</v>
      </c>
    </row>
    <row r="5165" ht="11.25" customHeight="1">
      <c r="A5165" s="21" t="str">
        <f>IFERROR(__xludf.DUMMYFUNCTION("""COMPUTED_VALUE"""),"TERMINAL ONT WIFI HGU HP610")</f>
        <v>TERMINAL ONT WIFI HGU HP610</v>
      </c>
      <c r="B5165" s="22">
        <f>IFERROR(__xludf.DUMMYFUNCTION("""COMPUTED_VALUE"""),4.1001478E7)</f>
        <v>41001478</v>
      </c>
      <c r="C5165" s="21" t="str">
        <f>IFERROR(__xludf.DUMMYFUNCTION("""COMPUTED_VALUE"""),"C85D38B6BF98")</f>
        <v>C85D38B6BF98</v>
      </c>
      <c r="D5165" s="21" t="str">
        <f>IFERROR(__xludf.DUMMYFUNCTION("""COMPUTED_VALUE"""),"DIGITEC TECNOLOGIA DIGITAL E REPRES")</f>
        <v>DIGITEC TECNOLOGIA DIGITAL E REPRES</v>
      </c>
      <c r="E5165" s="21">
        <f>IFERROR(__xludf.DUMMYFUNCTION("""COMPUTED_VALUE"""),145359.0)</f>
        <v>145359</v>
      </c>
      <c r="F5165" s="21" t="str">
        <f>IFERROR(__xludf.DUMMYFUNCTION("""COMPUTED_VALUE"""),"INICIALIZADO")</f>
        <v>INICIALIZADO</v>
      </c>
      <c r="G5165" s="23">
        <f>IFERROR(__xludf.DUMMYFUNCTION("""COMPUTED_VALUE"""),45642.524143518516)</f>
        <v>45642.52414</v>
      </c>
      <c r="H5165" s="24" t="str">
        <f>IFERROR(VLOOKUP(B5165,material!A:D,3,0),"")</f>
        <v>ONT</v>
      </c>
    </row>
    <row r="5166" ht="11.25" customHeight="1">
      <c r="A5166" s="21" t="str">
        <f>IFERROR(__xludf.DUMMYFUNCTION("""COMPUTED_VALUE"""),"TERMINAL ONT WIFI HGU HP610")</f>
        <v>TERMINAL ONT WIFI HGU HP610</v>
      </c>
      <c r="B5166" s="22">
        <f>IFERROR(__xludf.DUMMYFUNCTION("""COMPUTED_VALUE"""),4.1001478E7)</f>
        <v>41001478</v>
      </c>
      <c r="C5166" s="21" t="str">
        <f>IFERROR(__xludf.DUMMYFUNCTION("""COMPUTED_VALUE"""),"D86C5A0BC188")</f>
        <v>D86C5A0BC188</v>
      </c>
      <c r="D5166" s="21" t="str">
        <f>IFERROR(__xludf.DUMMYFUNCTION("""COMPUTED_VALUE"""),"DIGITEC TECNOLOGIA DIGITAL E REPRES")</f>
        <v>DIGITEC TECNOLOGIA DIGITAL E REPRES</v>
      </c>
      <c r="E5166" s="21">
        <f>IFERROR(__xludf.DUMMYFUNCTION("""COMPUTED_VALUE"""),145359.0)</f>
        <v>145359</v>
      </c>
      <c r="F5166" s="21" t="str">
        <f>IFERROR(__xludf.DUMMYFUNCTION("""COMPUTED_VALUE"""),"INICIALIZADO")</f>
        <v>INICIALIZADO</v>
      </c>
      <c r="G5166" s="23">
        <f>IFERROR(__xludf.DUMMYFUNCTION("""COMPUTED_VALUE"""),45642.524143518516)</f>
        <v>45642.52414</v>
      </c>
      <c r="H5166" s="24" t="str">
        <f>IFERROR(VLOOKUP(B5166,material!A:D,3,0),"")</f>
        <v>ONT</v>
      </c>
    </row>
    <row r="5167" ht="11.25" customHeight="1">
      <c r="A5167" s="21" t="str">
        <f>IFERROR(__xludf.DUMMYFUNCTION("""COMPUTED_VALUE"""),"TERMINAL ONT WIFI HGU HP610")</f>
        <v>TERMINAL ONT WIFI HGU HP610</v>
      </c>
      <c r="B5167" s="22">
        <f>IFERROR(__xludf.DUMMYFUNCTION("""COMPUTED_VALUE"""),4.1001478E7)</f>
        <v>41001478</v>
      </c>
      <c r="C5167" s="21" t="str">
        <f>IFERROR(__xludf.DUMMYFUNCTION("""COMPUTED_VALUE"""),"D86C5A0C2358")</f>
        <v>D86C5A0C2358</v>
      </c>
      <c r="D5167" s="21" t="str">
        <f>IFERROR(__xludf.DUMMYFUNCTION("""COMPUTED_VALUE"""),"DIGITEC TECNOLOGIA DIGITAL E REPRES")</f>
        <v>DIGITEC TECNOLOGIA DIGITAL E REPRES</v>
      </c>
      <c r="E5167" s="21">
        <f>IFERROR(__xludf.DUMMYFUNCTION("""COMPUTED_VALUE"""),145359.0)</f>
        <v>145359</v>
      </c>
      <c r="F5167" s="21" t="str">
        <f>IFERROR(__xludf.DUMMYFUNCTION("""COMPUTED_VALUE"""),"INICIALIZADO")</f>
        <v>INICIALIZADO</v>
      </c>
      <c r="G5167" s="23">
        <f>IFERROR(__xludf.DUMMYFUNCTION("""COMPUTED_VALUE"""),45642.524143518516)</f>
        <v>45642.52414</v>
      </c>
      <c r="H5167" s="24" t="str">
        <f>IFERROR(VLOOKUP(B5167,material!A:D,3,0),"")</f>
        <v>ONT</v>
      </c>
    </row>
    <row r="5168" ht="11.25" customHeight="1">
      <c r="A5168" s="21" t="str">
        <f>IFERROR(__xludf.DUMMYFUNCTION("""COMPUTED_VALUE"""),"TERMINAL ONT WIFI HGU HP610")</f>
        <v>TERMINAL ONT WIFI HGU HP610</v>
      </c>
      <c r="B5168" s="22">
        <f>IFERROR(__xludf.DUMMYFUNCTION("""COMPUTED_VALUE"""),4.1001478E7)</f>
        <v>41001478</v>
      </c>
      <c r="C5168" s="21" t="str">
        <f>IFERROR(__xludf.DUMMYFUNCTION("""COMPUTED_VALUE"""),"C85D38B59488")</f>
        <v>C85D38B59488</v>
      </c>
      <c r="D5168" s="21" t="str">
        <f>IFERROR(__xludf.DUMMYFUNCTION("""COMPUTED_VALUE"""),"DIGITEC TECNOLOGIA DIGITAL E REPRES")</f>
        <v>DIGITEC TECNOLOGIA DIGITAL E REPRES</v>
      </c>
      <c r="E5168" s="21">
        <f>IFERROR(__xludf.DUMMYFUNCTION("""COMPUTED_VALUE"""),145359.0)</f>
        <v>145359</v>
      </c>
      <c r="F5168" s="21" t="str">
        <f>IFERROR(__xludf.DUMMYFUNCTION("""COMPUTED_VALUE"""),"INICIALIZADO")</f>
        <v>INICIALIZADO</v>
      </c>
      <c r="G5168" s="23">
        <f>IFERROR(__xludf.DUMMYFUNCTION("""COMPUTED_VALUE"""),45642.524143518516)</f>
        <v>45642.52414</v>
      </c>
      <c r="H5168" s="24" t="str">
        <f>IFERROR(VLOOKUP(B5168,material!A:D,3,0),"")</f>
        <v>ONT</v>
      </c>
    </row>
    <row r="5169" ht="11.25" customHeight="1">
      <c r="A5169" s="21" t="str">
        <f>IFERROR(__xludf.DUMMYFUNCTION("""COMPUTED_VALUE"""),"TERMINAL ONT WIFI HGU HP610")</f>
        <v>TERMINAL ONT WIFI HGU HP610</v>
      </c>
      <c r="B5169" s="22">
        <f>IFERROR(__xludf.DUMMYFUNCTION("""COMPUTED_VALUE"""),4.1001478E7)</f>
        <v>41001478</v>
      </c>
      <c r="C5169" s="21" t="str">
        <f>IFERROR(__xludf.DUMMYFUNCTION("""COMPUTED_VALUE"""),"C85D382784CC")</f>
        <v>C85D382784CC</v>
      </c>
      <c r="D5169" s="21" t="str">
        <f>IFERROR(__xludf.DUMMYFUNCTION("""COMPUTED_VALUE"""),"DIGITEC TECNOLOGIA DIGITAL E REPRES")</f>
        <v>DIGITEC TECNOLOGIA DIGITAL E REPRES</v>
      </c>
      <c r="E5169" s="21">
        <f>IFERROR(__xludf.DUMMYFUNCTION("""COMPUTED_VALUE"""),145359.0)</f>
        <v>145359</v>
      </c>
      <c r="F5169" s="21" t="str">
        <f>IFERROR(__xludf.DUMMYFUNCTION("""COMPUTED_VALUE"""),"INICIALIZADO")</f>
        <v>INICIALIZADO</v>
      </c>
      <c r="G5169" s="23">
        <f>IFERROR(__xludf.DUMMYFUNCTION("""COMPUTED_VALUE"""),45642.52415509259)</f>
        <v>45642.52416</v>
      </c>
      <c r="H5169" s="24" t="str">
        <f>IFERROR(VLOOKUP(B5169,material!A:D,3,0),"")</f>
        <v>ONT</v>
      </c>
    </row>
    <row r="5170" ht="11.25" customHeight="1">
      <c r="A5170" s="21" t="str">
        <f>IFERROR(__xludf.DUMMYFUNCTION("""COMPUTED_VALUE"""),"TERMINAL ONT WIFI HGU HP610")</f>
        <v>TERMINAL ONT WIFI HGU HP610</v>
      </c>
      <c r="B5170" s="22">
        <f>IFERROR(__xludf.DUMMYFUNCTION("""COMPUTED_VALUE"""),4.1001478E7)</f>
        <v>41001478</v>
      </c>
      <c r="C5170" s="21" t="str">
        <f>IFERROR(__xludf.DUMMYFUNCTION("""COMPUTED_VALUE"""),"C85D383BD47C")</f>
        <v>C85D383BD47C</v>
      </c>
      <c r="D5170" s="21" t="str">
        <f>IFERROR(__xludf.DUMMYFUNCTION("""COMPUTED_VALUE"""),"DIGITEC TECNOLOGIA DIGITAL E REPRES")</f>
        <v>DIGITEC TECNOLOGIA DIGITAL E REPRES</v>
      </c>
      <c r="E5170" s="21">
        <f>IFERROR(__xludf.DUMMYFUNCTION("""COMPUTED_VALUE"""),145359.0)</f>
        <v>145359</v>
      </c>
      <c r="F5170" s="21" t="str">
        <f>IFERROR(__xludf.DUMMYFUNCTION("""COMPUTED_VALUE"""),"INICIALIZADO")</f>
        <v>INICIALIZADO</v>
      </c>
      <c r="G5170" s="23">
        <f>IFERROR(__xludf.DUMMYFUNCTION("""COMPUTED_VALUE"""),45642.52415509259)</f>
        <v>45642.52416</v>
      </c>
      <c r="H5170" s="24" t="str">
        <f>IFERROR(VLOOKUP(B5170,material!A:D,3,0),"")</f>
        <v>ONT</v>
      </c>
    </row>
    <row r="5171" ht="11.25" customHeight="1">
      <c r="A5171" s="21" t="str">
        <f>IFERROR(__xludf.DUMMYFUNCTION("""COMPUTED_VALUE"""),"TERMINAL ONT WIFI HGU HP610")</f>
        <v>TERMINAL ONT WIFI HGU HP610</v>
      </c>
      <c r="B5171" s="22">
        <f>IFERROR(__xludf.DUMMYFUNCTION("""COMPUTED_VALUE"""),4.1001478E7)</f>
        <v>41001478</v>
      </c>
      <c r="C5171" s="21" t="str">
        <f>IFERROR(__xludf.DUMMYFUNCTION("""COMPUTED_VALUE"""),"C85D382AD6CC")</f>
        <v>C85D382AD6CC</v>
      </c>
      <c r="D5171" s="21" t="str">
        <f>IFERROR(__xludf.DUMMYFUNCTION("""COMPUTED_VALUE"""),"DIGITEC TECNOLOGIA DIGITAL E REPRES")</f>
        <v>DIGITEC TECNOLOGIA DIGITAL E REPRES</v>
      </c>
      <c r="E5171" s="21">
        <f>IFERROR(__xludf.DUMMYFUNCTION("""COMPUTED_VALUE"""),145359.0)</f>
        <v>145359</v>
      </c>
      <c r="F5171" s="21" t="str">
        <f>IFERROR(__xludf.DUMMYFUNCTION("""COMPUTED_VALUE"""),"INICIALIZADO")</f>
        <v>INICIALIZADO</v>
      </c>
      <c r="G5171" s="23">
        <f>IFERROR(__xludf.DUMMYFUNCTION("""COMPUTED_VALUE"""),45642.52415509259)</f>
        <v>45642.52416</v>
      </c>
      <c r="H5171" s="24" t="str">
        <f>IFERROR(VLOOKUP(B5171,material!A:D,3,0),"")</f>
        <v>ONT</v>
      </c>
    </row>
    <row r="5172" ht="11.25" customHeight="1">
      <c r="A5172" s="21" t="str">
        <f>IFERROR(__xludf.DUMMYFUNCTION("""COMPUTED_VALUE"""),"TERMINAL ONT WIFI HGU HP610")</f>
        <v>TERMINAL ONT WIFI HGU HP610</v>
      </c>
      <c r="B5172" s="22">
        <f>IFERROR(__xludf.DUMMYFUNCTION("""COMPUTED_VALUE"""),4.1001478E7)</f>
        <v>41001478</v>
      </c>
      <c r="C5172" s="21" t="str">
        <f>IFERROR(__xludf.DUMMYFUNCTION("""COMPUTED_VALUE"""),"C85D383C8B9C")</f>
        <v>C85D383C8B9C</v>
      </c>
      <c r="D5172" s="21" t="str">
        <f>IFERROR(__xludf.DUMMYFUNCTION("""COMPUTED_VALUE"""),"DIGITEC TECNOLOGIA DIGITAL E REPRES")</f>
        <v>DIGITEC TECNOLOGIA DIGITAL E REPRES</v>
      </c>
      <c r="E5172" s="21">
        <f>IFERROR(__xludf.DUMMYFUNCTION("""COMPUTED_VALUE"""),145359.0)</f>
        <v>145359</v>
      </c>
      <c r="F5172" s="21" t="str">
        <f>IFERROR(__xludf.DUMMYFUNCTION("""COMPUTED_VALUE"""),"INICIALIZADO")</f>
        <v>INICIALIZADO</v>
      </c>
      <c r="G5172" s="23">
        <f>IFERROR(__xludf.DUMMYFUNCTION("""COMPUTED_VALUE"""),45642.52415509259)</f>
        <v>45642.52416</v>
      </c>
      <c r="H5172" s="24" t="str">
        <f>IFERROR(VLOOKUP(B5172,material!A:D,3,0),"")</f>
        <v>ONT</v>
      </c>
    </row>
    <row r="5173" ht="11.25" customHeight="1">
      <c r="A5173" s="21" t="str">
        <f>IFERROR(__xludf.DUMMYFUNCTION("""COMPUTED_VALUE"""),"TERMINAL ONT WIFI HGU HP610")</f>
        <v>TERMINAL ONT WIFI HGU HP610</v>
      </c>
      <c r="B5173" s="22">
        <f>IFERROR(__xludf.DUMMYFUNCTION("""COMPUTED_VALUE"""),4.1001478E7)</f>
        <v>41001478</v>
      </c>
      <c r="C5173" s="21" t="str">
        <f>IFERROR(__xludf.DUMMYFUNCTION("""COMPUTED_VALUE"""),"C85D382DBD38")</f>
        <v>C85D382DBD38</v>
      </c>
      <c r="D5173" s="21" t="str">
        <f>IFERROR(__xludf.DUMMYFUNCTION("""COMPUTED_VALUE"""),"DIGITEC TECNOLOGIA DIGITAL E REPRES")</f>
        <v>DIGITEC TECNOLOGIA DIGITAL E REPRES</v>
      </c>
      <c r="E5173" s="21">
        <f>IFERROR(__xludf.DUMMYFUNCTION("""COMPUTED_VALUE"""),145359.0)</f>
        <v>145359</v>
      </c>
      <c r="F5173" s="21" t="str">
        <f>IFERROR(__xludf.DUMMYFUNCTION("""COMPUTED_VALUE"""),"INICIALIZADO")</f>
        <v>INICIALIZADO</v>
      </c>
      <c r="G5173" s="23">
        <f>IFERROR(__xludf.DUMMYFUNCTION("""COMPUTED_VALUE"""),45642.52415509259)</f>
        <v>45642.52416</v>
      </c>
      <c r="H5173" s="24" t="str">
        <f>IFERROR(VLOOKUP(B5173,material!A:D,3,0),"")</f>
        <v>ONT</v>
      </c>
    </row>
    <row r="5174" ht="11.25" customHeight="1">
      <c r="A5174" s="21" t="str">
        <f>IFERROR(__xludf.DUMMYFUNCTION("""COMPUTED_VALUE"""),"TERMINAL ONT WIFI HGU HP610")</f>
        <v>TERMINAL ONT WIFI HGU HP610</v>
      </c>
      <c r="B5174" s="22">
        <f>IFERROR(__xludf.DUMMYFUNCTION("""COMPUTED_VALUE"""),4.1001478E7)</f>
        <v>41001478</v>
      </c>
      <c r="C5174" s="21" t="str">
        <f>IFERROR(__xludf.DUMMYFUNCTION("""COMPUTED_VALUE"""),"C85D382DB61C")</f>
        <v>C85D382DB61C</v>
      </c>
      <c r="D5174" s="21" t="str">
        <f>IFERROR(__xludf.DUMMYFUNCTION("""COMPUTED_VALUE"""),"DIGITEC TECNOLOGIA DIGITAL E REPRES")</f>
        <v>DIGITEC TECNOLOGIA DIGITAL E REPRES</v>
      </c>
      <c r="E5174" s="21">
        <f>IFERROR(__xludf.DUMMYFUNCTION("""COMPUTED_VALUE"""),145359.0)</f>
        <v>145359</v>
      </c>
      <c r="F5174" s="21" t="str">
        <f>IFERROR(__xludf.DUMMYFUNCTION("""COMPUTED_VALUE"""),"INICIALIZADO")</f>
        <v>INICIALIZADO</v>
      </c>
      <c r="G5174" s="23">
        <f>IFERROR(__xludf.DUMMYFUNCTION("""COMPUTED_VALUE"""),45642.52415509259)</f>
        <v>45642.52416</v>
      </c>
      <c r="H5174" s="24" t="str">
        <f>IFERROR(VLOOKUP(B5174,material!A:D,3,0),"")</f>
        <v>ONT</v>
      </c>
    </row>
    <row r="5175" ht="11.25" customHeight="1">
      <c r="A5175" s="21" t="str">
        <f>IFERROR(__xludf.DUMMYFUNCTION("""COMPUTED_VALUE"""),"TERMINAL ONT WIFI HGU HP610")</f>
        <v>TERMINAL ONT WIFI HGU HP610</v>
      </c>
      <c r="B5175" s="22">
        <f>IFERROR(__xludf.DUMMYFUNCTION("""COMPUTED_VALUE"""),4.1001478E7)</f>
        <v>41001478</v>
      </c>
      <c r="C5175" s="21" t="str">
        <f>IFERROR(__xludf.DUMMYFUNCTION("""COMPUTED_VALUE"""),"C85D382DFBB8")</f>
        <v>C85D382DFBB8</v>
      </c>
      <c r="D5175" s="21" t="str">
        <f>IFERROR(__xludf.DUMMYFUNCTION("""COMPUTED_VALUE"""),"DIGITEC TECNOLOGIA DIGITAL E REPRES")</f>
        <v>DIGITEC TECNOLOGIA DIGITAL E REPRES</v>
      </c>
      <c r="E5175" s="21">
        <f>IFERROR(__xludf.DUMMYFUNCTION("""COMPUTED_VALUE"""),145359.0)</f>
        <v>145359</v>
      </c>
      <c r="F5175" s="21" t="str">
        <f>IFERROR(__xludf.DUMMYFUNCTION("""COMPUTED_VALUE"""),"INICIALIZADO")</f>
        <v>INICIALIZADO</v>
      </c>
      <c r="G5175" s="23">
        <f>IFERROR(__xludf.DUMMYFUNCTION("""COMPUTED_VALUE"""),45642.52415509259)</f>
        <v>45642.52416</v>
      </c>
      <c r="H5175" s="24" t="str">
        <f>IFERROR(VLOOKUP(B5175,material!A:D,3,0),"")</f>
        <v>ONT</v>
      </c>
    </row>
    <row r="5176" ht="11.25" customHeight="1">
      <c r="A5176" s="21" t="str">
        <f>IFERROR(__xludf.DUMMYFUNCTION("""COMPUTED_VALUE"""),"TERMINAL ONT WIFI HGU HP610")</f>
        <v>TERMINAL ONT WIFI HGU HP610</v>
      </c>
      <c r="B5176" s="22">
        <f>IFERROR(__xludf.DUMMYFUNCTION("""COMPUTED_VALUE"""),4.1001478E7)</f>
        <v>41001478</v>
      </c>
      <c r="C5176" s="21" t="str">
        <f>IFERROR(__xludf.DUMMYFUNCTION("""COMPUTED_VALUE"""),"C85D384E104C")</f>
        <v>C85D384E104C</v>
      </c>
      <c r="D5176" s="21" t="str">
        <f>IFERROR(__xludf.DUMMYFUNCTION("""COMPUTED_VALUE"""),"DIGITEC TECNOLOGIA DIGITAL E REPRES")</f>
        <v>DIGITEC TECNOLOGIA DIGITAL E REPRES</v>
      </c>
      <c r="E5176" s="21">
        <f>IFERROR(__xludf.DUMMYFUNCTION("""COMPUTED_VALUE"""),145359.0)</f>
        <v>145359</v>
      </c>
      <c r="F5176" s="21" t="str">
        <f>IFERROR(__xludf.DUMMYFUNCTION("""COMPUTED_VALUE"""),"INICIALIZADO")</f>
        <v>INICIALIZADO</v>
      </c>
      <c r="G5176" s="23">
        <f>IFERROR(__xludf.DUMMYFUNCTION("""COMPUTED_VALUE"""),45642.524143518516)</f>
        <v>45642.52414</v>
      </c>
      <c r="H5176" s="24" t="str">
        <f>IFERROR(VLOOKUP(B5176,material!A:D,3,0),"")</f>
        <v>ONT</v>
      </c>
    </row>
    <row r="5177" ht="11.25" customHeight="1">
      <c r="A5177" s="21" t="str">
        <f>IFERROR(__xludf.DUMMYFUNCTION("""COMPUTED_VALUE"""),"TERMINAL ONT WIFI HGU HP610")</f>
        <v>TERMINAL ONT WIFI HGU HP610</v>
      </c>
      <c r="B5177" s="22">
        <f>IFERROR(__xludf.DUMMYFUNCTION("""COMPUTED_VALUE"""),4.1001478E7)</f>
        <v>41001478</v>
      </c>
      <c r="C5177" s="21" t="str">
        <f>IFERROR(__xludf.DUMMYFUNCTION("""COMPUTED_VALUE"""),"C85D38474280")</f>
        <v>C85D38474280</v>
      </c>
      <c r="D5177" s="21" t="str">
        <f>IFERROR(__xludf.DUMMYFUNCTION("""COMPUTED_VALUE"""),"DIGITEC TECNOLOGIA DIGITAL E REPRES")</f>
        <v>DIGITEC TECNOLOGIA DIGITAL E REPRES</v>
      </c>
      <c r="E5177" s="21">
        <f>IFERROR(__xludf.DUMMYFUNCTION("""COMPUTED_VALUE"""),145359.0)</f>
        <v>145359</v>
      </c>
      <c r="F5177" s="21" t="str">
        <f>IFERROR(__xludf.DUMMYFUNCTION("""COMPUTED_VALUE"""),"INICIALIZADO")</f>
        <v>INICIALIZADO</v>
      </c>
      <c r="G5177" s="23">
        <f>IFERROR(__xludf.DUMMYFUNCTION("""COMPUTED_VALUE"""),45642.524143518516)</f>
        <v>45642.52414</v>
      </c>
      <c r="H5177" s="24" t="str">
        <f>IFERROR(VLOOKUP(B5177,material!A:D,3,0),"")</f>
        <v>ONT</v>
      </c>
    </row>
    <row r="5178" ht="11.25" customHeight="1">
      <c r="A5178" s="21" t="str">
        <f>IFERROR(__xludf.DUMMYFUNCTION("""COMPUTED_VALUE"""),"TERMINAL ONT WIFI HGU HP610")</f>
        <v>TERMINAL ONT WIFI HGU HP610</v>
      </c>
      <c r="B5178" s="22">
        <f>IFERROR(__xludf.DUMMYFUNCTION("""COMPUTED_VALUE"""),4.1001478E7)</f>
        <v>41001478</v>
      </c>
      <c r="C5178" s="21" t="str">
        <f>IFERROR(__xludf.DUMMYFUNCTION("""COMPUTED_VALUE"""),"C85D383FA32C")</f>
        <v>C85D383FA32C</v>
      </c>
      <c r="D5178" s="21" t="str">
        <f>IFERROR(__xludf.DUMMYFUNCTION("""COMPUTED_VALUE"""),"DIGITEC TECNOLOGIA DIGITAL E REPRES")</f>
        <v>DIGITEC TECNOLOGIA DIGITAL E REPRES</v>
      </c>
      <c r="E5178" s="21">
        <f>IFERROR(__xludf.DUMMYFUNCTION("""COMPUTED_VALUE"""),145359.0)</f>
        <v>145359</v>
      </c>
      <c r="F5178" s="21" t="str">
        <f>IFERROR(__xludf.DUMMYFUNCTION("""COMPUTED_VALUE"""),"INICIALIZADO")</f>
        <v>INICIALIZADO</v>
      </c>
      <c r="G5178" s="23">
        <f>IFERROR(__xludf.DUMMYFUNCTION("""COMPUTED_VALUE"""),45642.52415509259)</f>
        <v>45642.52416</v>
      </c>
      <c r="H5178" s="24" t="str">
        <f>IFERROR(VLOOKUP(B5178,material!A:D,3,0),"")</f>
        <v>ONT</v>
      </c>
    </row>
    <row r="5179" ht="11.25" customHeight="1">
      <c r="A5179" s="21" t="str">
        <f>IFERROR(__xludf.DUMMYFUNCTION("""COMPUTED_VALUE"""),"TERMINAL ONT WIFI HGU HP610")</f>
        <v>TERMINAL ONT WIFI HGU HP610</v>
      </c>
      <c r="B5179" s="22">
        <f>IFERROR(__xludf.DUMMYFUNCTION("""COMPUTED_VALUE"""),4.1001478E7)</f>
        <v>41001478</v>
      </c>
      <c r="C5179" s="21" t="str">
        <f>IFERROR(__xludf.DUMMYFUNCTION("""COMPUTED_VALUE"""),"C85D3845B988")</f>
        <v>C85D3845B988</v>
      </c>
      <c r="D5179" s="21" t="str">
        <f>IFERROR(__xludf.DUMMYFUNCTION("""COMPUTED_VALUE"""),"DIGITEC TECNOLOGIA DIGITAL E REPRES")</f>
        <v>DIGITEC TECNOLOGIA DIGITAL E REPRES</v>
      </c>
      <c r="E5179" s="21">
        <f>IFERROR(__xludf.DUMMYFUNCTION("""COMPUTED_VALUE"""),145359.0)</f>
        <v>145359</v>
      </c>
      <c r="F5179" s="21" t="str">
        <f>IFERROR(__xludf.DUMMYFUNCTION("""COMPUTED_VALUE"""),"INICIALIZADO")</f>
        <v>INICIALIZADO</v>
      </c>
      <c r="G5179" s="23">
        <f>IFERROR(__xludf.DUMMYFUNCTION("""COMPUTED_VALUE"""),45642.52415509259)</f>
        <v>45642.52416</v>
      </c>
      <c r="H5179" s="24" t="str">
        <f>IFERROR(VLOOKUP(B5179,material!A:D,3,0),"")</f>
        <v>ONT</v>
      </c>
    </row>
    <row r="5180" ht="11.25" customHeight="1">
      <c r="A5180" s="21" t="str">
        <f>IFERROR(__xludf.DUMMYFUNCTION("""COMPUTED_VALUE"""),"TERMINAL ONT WIFI HGU HP610")</f>
        <v>TERMINAL ONT WIFI HGU HP610</v>
      </c>
      <c r="B5180" s="22">
        <f>IFERROR(__xludf.DUMMYFUNCTION("""COMPUTED_VALUE"""),4.1001478E7)</f>
        <v>41001478</v>
      </c>
      <c r="C5180" s="21" t="str">
        <f>IFERROR(__xludf.DUMMYFUNCTION("""COMPUTED_VALUE"""),"C85D38462AF8")</f>
        <v>C85D38462AF8</v>
      </c>
      <c r="D5180" s="21" t="str">
        <f>IFERROR(__xludf.DUMMYFUNCTION("""COMPUTED_VALUE"""),"DIGITEC TECNOLOGIA DIGITAL E REPRES")</f>
        <v>DIGITEC TECNOLOGIA DIGITAL E REPRES</v>
      </c>
      <c r="E5180" s="21">
        <f>IFERROR(__xludf.DUMMYFUNCTION("""COMPUTED_VALUE"""),145359.0)</f>
        <v>145359</v>
      </c>
      <c r="F5180" s="21" t="str">
        <f>IFERROR(__xludf.DUMMYFUNCTION("""COMPUTED_VALUE"""),"INICIALIZADO")</f>
        <v>INICIALIZADO</v>
      </c>
      <c r="G5180" s="23">
        <f>IFERROR(__xludf.DUMMYFUNCTION("""COMPUTED_VALUE"""),45642.52415509259)</f>
        <v>45642.52416</v>
      </c>
      <c r="H5180" s="24" t="str">
        <f>IFERROR(VLOOKUP(B5180,material!A:D,3,0),"")</f>
        <v>ONT</v>
      </c>
    </row>
    <row r="5181" ht="11.25" customHeight="1">
      <c r="A5181" s="21" t="str">
        <f>IFERROR(__xludf.DUMMYFUNCTION("""COMPUTED_VALUE"""),"TERMINAL ONT WIFI HGU HP610")</f>
        <v>TERMINAL ONT WIFI HGU HP610</v>
      </c>
      <c r="B5181" s="22">
        <f>IFERROR(__xludf.DUMMYFUNCTION("""COMPUTED_VALUE"""),4.1001478E7)</f>
        <v>41001478</v>
      </c>
      <c r="C5181" s="21" t="str">
        <f>IFERROR(__xludf.DUMMYFUNCTION("""COMPUTED_VALUE"""),"C85D384896F8")</f>
        <v>C85D384896F8</v>
      </c>
      <c r="D5181" s="21" t="str">
        <f>IFERROR(__xludf.DUMMYFUNCTION("""COMPUTED_VALUE"""),"DIGITEC TECNOLOGIA DIGITAL E REPRES")</f>
        <v>DIGITEC TECNOLOGIA DIGITAL E REPRES</v>
      </c>
      <c r="E5181" s="21">
        <f>IFERROR(__xludf.DUMMYFUNCTION("""COMPUTED_VALUE"""),145359.0)</f>
        <v>145359</v>
      </c>
      <c r="F5181" s="21" t="str">
        <f>IFERROR(__xludf.DUMMYFUNCTION("""COMPUTED_VALUE"""),"INICIALIZADO")</f>
        <v>INICIALIZADO</v>
      </c>
      <c r="G5181" s="23">
        <f>IFERROR(__xludf.DUMMYFUNCTION("""COMPUTED_VALUE"""),45642.524143518516)</f>
        <v>45642.52414</v>
      </c>
      <c r="H5181" s="24" t="str">
        <f>IFERROR(VLOOKUP(B5181,material!A:D,3,0),"")</f>
        <v>ONT</v>
      </c>
    </row>
    <row r="5182" ht="11.25" customHeight="1">
      <c r="A5182" s="21" t="str">
        <f>IFERROR(__xludf.DUMMYFUNCTION("""COMPUTED_VALUE"""),"TERMINAL ONT WIFI HGU HP610")</f>
        <v>TERMINAL ONT WIFI HGU HP610</v>
      </c>
      <c r="B5182" s="22">
        <f>IFERROR(__xludf.DUMMYFUNCTION("""COMPUTED_VALUE"""),4.1001478E7)</f>
        <v>41001478</v>
      </c>
      <c r="C5182" s="21" t="str">
        <f>IFERROR(__xludf.DUMMYFUNCTION("""COMPUTED_VALUE"""),"C85D38475C84")</f>
        <v>C85D38475C84</v>
      </c>
      <c r="D5182" s="21" t="str">
        <f>IFERROR(__xludf.DUMMYFUNCTION("""COMPUTED_VALUE"""),"DIGITEC TECNOLOGIA DIGITAL E REPRES")</f>
        <v>DIGITEC TECNOLOGIA DIGITAL E REPRES</v>
      </c>
      <c r="E5182" s="21">
        <f>IFERROR(__xludf.DUMMYFUNCTION("""COMPUTED_VALUE"""),145359.0)</f>
        <v>145359</v>
      </c>
      <c r="F5182" s="21" t="str">
        <f>IFERROR(__xludf.DUMMYFUNCTION("""COMPUTED_VALUE"""),"INICIALIZADO")</f>
        <v>INICIALIZADO</v>
      </c>
      <c r="G5182" s="23">
        <f>IFERROR(__xludf.DUMMYFUNCTION("""COMPUTED_VALUE"""),45642.524143518516)</f>
        <v>45642.52414</v>
      </c>
      <c r="H5182" s="24" t="str">
        <f>IFERROR(VLOOKUP(B5182,material!A:D,3,0),"")</f>
        <v>ONT</v>
      </c>
    </row>
    <row r="5183" ht="11.25" customHeight="1">
      <c r="A5183" s="21" t="str">
        <f>IFERROR(__xludf.DUMMYFUNCTION("""COMPUTED_VALUE"""),"TERMINAL ONT WIFI HGU HP610")</f>
        <v>TERMINAL ONT WIFI HGU HP610</v>
      </c>
      <c r="B5183" s="22">
        <f>IFERROR(__xludf.DUMMYFUNCTION("""COMPUTED_VALUE"""),4.1001478E7)</f>
        <v>41001478</v>
      </c>
      <c r="C5183" s="21" t="str">
        <f>IFERROR(__xludf.DUMMYFUNCTION("""COMPUTED_VALUE"""),"C85D3847A9A0")</f>
        <v>C85D3847A9A0</v>
      </c>
      <c r="D5183" s="21" t="str">
        <f>IFERROR(__xludf.DUMMYFUNCTION("""COMPUTED_VALUE"""),"DIGITEC TECNOLOGIA DIGITAL E REPRES")</f>
        <v>DIGITEC TECNOLOGIA DIGITAL E REPRES</v>
      </c>
      <c r="E5183" s="21">
        <f>IFERROR(__xludf.DUMMYFUNCTION("""COMPUTED_VALUE"""),145359.0)</f>
        <v>145359</v>
      </c>
      <c r="F5183" s="21" t="str">
        <f>IFERROR(__xludf.DUMMYFUNCTION("""COMPUTED_VALUE"""),"INICIALIZADO")</f>
        <v>INICIALIZADO</v>
      </c>
      <c r="G5183" s="23">
        <f>IFERROR(__xludf.DUMMYFUNCTION("""COMPUTED_VALUE"""),45642.524143518516)</f>
        <v>45642.52414</v>
      </c>
      <c r="H5183" s="24" t="str">
        <f>IFERROR(VLOOKUP(B5183,material!A:D,3,0),"")</f>
        <v>ONT</v>
      </c>
    </row>
    <row r="5184" ht="11.25" customHeight="1">
      <c r="A5184" s="21" t="str">
        <f>IFERROR(__xludf.DUMMYFUNCTION("""COMPUTED_VALUE"""),"TERMINAL ONT WIFI HGU HP610")</f>
        <v>TERMINAL ONT WIFI HGU HP610</v>
      </c>
      <c r="B5184" s="22">
        <f>IFERROR(__xludf.DUMMYFUNCTION("""COMPUTED_VALUE"""),4.1001478E7)</f>
        <v>41001478</v>
      </c>
      <c r="C5184" s="21" t="str">
        <f>IFERROR(__xludf.DUMMYFUNCTION("""COMPUTED_VALUE"""),"C85D38478164")</f>
        <v>C85D38478164</v>
      </c>
      <c r="D5184" s="21" t="str">
        <f>IFERROR(__xludf.DUMMYFUNCTION("""COMPUTED_VALUE"""),"DIGITEC TECNOLOGIA DIGITAL E REPRES")</f>
        <v>DIGITEC TECNOLOGIA DIGITAL E REPRES</v>
      </c>
      <c r="E5184" s="21">
        <f>IFERROR(__xludf.DUMMYFUNCTION("""COMPUTED_VALUE"""),145359.0)</f>
        <v>145359</v>
      </c>
      <c r="F5184" s="21" t="str">
        <f>IFERROR(__xludf.DUMMYFUNCTION("""COMPUTED_VALUE"""),"INICIALIZADO")</f>
        <v>INICIALIZADO</v>
      </c>
      <c r="G5184" s="23">
        <f>IFERROR(__xludf.DUMMYFUNCTION("""COMPUTED_VALUE"""),45642.524143518516)</f>
        <v>45642.52414</v>
      </c>
      <c r="H5184" s="24" t="str">
        <f>IFERROR(VLOOKUP(B5184,material!A:D,3,0),"")</f>
        <v>ONT</v>
      </c>
    </row>
    <row r="5185" ht="11.25" customHeight="1">
      <c r="A5185" s="21" t="str">
        <f>IFERROR(__xludf.DUMMYFUNCTION("""COMPUTED_VALUE"""),"TERMINAL ONT WIFI HGU HP610")</f>
        <v>TERMINAL ONT WIFI HGU HP610</v>
      </c>
      <c r="B5185" s="22">
        <f>IFERROR(__xludf.DUMMYFUNCTION("""COMPUTED_VALUE"""),4.1001478E7)</f>
        <v>41001478</v>
      </c>
      <c r="C5185" s="21" t="str">
        <f>IFERROR(__xludf.DUMMYFUNCTION("""COMPUTED_VALUE"""),"C85D384B9BC8")</f>
        <v>C85D384B9BC8</v>
      </c>
      <c r="D5185" s="21" t="str">
        <f>IFERROR(__xludf.DUMMYFUNCTION("""COMPUTED_VALUE"""),"DIGITEC TECNOLOGIA DIGITAL E REPRES")</f>
        <v>DIGITEC TECNOLOGIA DIGITAL E REPRES</v>
      </c>
      <c r="E5185" s="21">
        <f>IFERROR(__xludf.DUMMYFUNCTION("""COMPUTED_VALUE"""),145359.0)</f>
        <v>145359</v>
      </c>
      <c r="F5185" s="21" t="str">
        <f>IFERROR(__xludf.DUMMYFUNCTION("""COMPUTED_VALUE"""),"INICIALIZADO")</f>
        <v>INICIALIZADO</v>
      </c>
      <c r="G5185" s="23">
        <f>IFERROR(__xludf.DUMMYFUNCTION("""COMPUTED_VALUE"""),45642.524143518516)</f>
        <v>45642.52414</v>
      </c>
      <c r="H5185" s="24" t="str">
        <f>IFERROR(VLOOKUP(B5185,material!A:D,3,0),"")</f>
        <v>ONT</v>
      </c>
    </row>
    <row r="5186" ht="11.25" customHeight="1">
      <c r="A5186" s="21" t="str">
        <f>IFERROR(__xludf.DUMMYFUNCTION("""COMPUTED_VALUE"""),"TERMINAL ONT WIFI HGU HP610")</f>
        <v>TERMINAL ONT WIFI HGU HP610</v>
      </c>
      <c r="B5186" s="22">
        <f>IFERROR(__xludf.DUMMYFUNCTION("""COMPUTED_VALUE"""),4.1001478E7)</f>
        <v>41001478</v>
      </c>
      <c r="C5186" s="21" t="str">
        <f>IFERROR(__xludf.DUMMYFUNCTION("""COMPUTED_VALUE"""),"C85D3850F2F8")</f>
        <v>C85D3850F2F8</v>
      </c>
      <c r="D5186" s="21" t="str">
        <f>IFERROR(__xludf.DUMMYFUNCTION("""COMPUTED_VALUE"""),"DIGITEC TECNOLOGIA DIGITAL E REPRES")</f>
        <v>DIGITEC TECNOLOGIA DIGITAL E REPRES</v>
      </c>
      <c r="E5186" s="21">
        <f>IFERROR(__xludf.DUMMYFUNCTION("""COMPUTED_VALUE"""),145359.0)</f>
        <v>145359</v>
      </c>
      <c r="F5186" s="21" t="str">
        <f>IFERROR(__xludf.DUMMYFUNCTION("""COMPUTED_VALUE"""),"INICIALIZADO")</f>
        <v>INICIALIZADO</v>
      </c>
      <c r="G5186" s="23">
        <f>IFERROR(__xludf.DUMMYFUNCTION("""COMPUTED_VALUE"""),45642.524143518516)</f>
        <v>45642.52414</v>
      </c>
      <c r="H5186" s="24" t="str">
        <f>IFERROR(VLOOKUP(B5186,material!A:D,3,0),"")</f>
        <v>ONT</v>
      </c>
    </row>
    <row r="5187" ht="11.25" customHeight="1">
      <c r="A5187" s="21" t="str">
        <f>IFERROR(__xludf.DUMMYFUNCTION("""COMPUTED_VALUE"""),"TERMINAL ONT WIFI HGU HP610")</f>
        <v>TERMINAL ONT WIFI HGU HP610</v>
      </c>
      <c r="B5187" s="22">
        <f>IFERROR(__xludf.DUMMYFUNCTION("""COMPUTED_VALUE"""),4.1001478E7)</f>
        <v>41001478</v>
      </c>
      <c r="C5187" s="21" t="str">
        <f>IFERROR(__xludf.DUMMYFUNCTION("""COMPUTED_VALUE"""),"C85D38B158B4")</f>
        <v>C85D38B158B4</v>
      </c>
      <c r="D5187" s="21" t="str">
        <f>IFERROR(__xludf.DUMMYFUNCTION("""COMPUTED_VALUE"""),"DIGITEC TECNOLOGIA DIGITAL E REPRES")</f>
        <v>DIGITEC TECNOLOGIA DIGITAL E REPRES</v>
      </c>
      <c r="E5187" s="21">
        <f>IFERROR(__xludf.DUMMYFUNCTION("""COMPUTED_VALUE"""),145359.0)</f>
        <v>145359</v>
      </c>
      <c r="F5187" s="21" t="str">
        <f>IFERROR(__xludf.DUMMYFUNCTION("""COMPUTED_VALUE"""),"INICIALIZADO")</f>
        <v>INICIALIZADO</v>
      </c>
      <c r="G5187" s="23">
        <f>IFERROR(__xludf.DUMMYFUNCTION("""COMPUTED_VALUE"""),45642.524143518516)</f>
        <v>45642.52414</v>
      </c>
      <c r="H5187" s="24" t="str">
        <f>IFERROR(VLOOKUP(B5187,material!A:D,3,0),"")</f>
        <v>ONT</v>
      </c>
    </row>
    <row r="5188" ht="11.25" customHeight="1">
      <c r="A5188" s="21" t="str">
        <f>IFERROR(__xludf.DUMMYFUNCTION("""COMPUTED_VALUE"""),"TERMINAL ONT WIFI HGU HP610")</f>
        <v>TERMINAL ONT WIFI HGU HP610</v>
      </c>
      <c r="B5188" s="22">
        <f>IFERROR(__xludf.DUMMYFUNCTION("""COMPUTED_VALUE"""),4.1001478E7)</f>
        <v>41001478</v>
      </c>
      <c r="C5188" s="21" t="str">
        <f>IFERROR(__xludf.DUMMYFUNCTION("""COMPUTED_VALUE"""),"C85D38B2140C")</f>
        <v>C85D38B2140C</v>
      </c>
      <c r="D5188" s="21" t="str">
        <f>IFERROR(__xludf.DUMMYFUNCTION("""COMPUTED_VALUE"""),"DIGITEC TECNOLOGIA DIGITAL E REPRES")</f>
        <v>DIGITEC TECNOLOGIA DIGITAL E REPRES</v>
      </c>
      <c r="E5188" s="21">
        <f>IFERROR(__xludf.DUMMYFUNCTION("""COMPUTED_VALUE"""),145359.0)</f>
        <v>145359</v>
      </c>
      <c r="F5188" s="21" t="str">
        <f>IFERROR(__xludf.DUMMYFUNCTION("""COMPUTED_VALUE"""),"INICIALIZADO")</f>
        <v>INICIALIZADO</v>
      </c>
      <c r="G5188" s="23">
        <f>IFERROR(__xludf.DUMMYFUNCTION("""COMPUTED_VALUE"""),45642.524143518516)</f>
        <v>45642.52414</v>
      </c>
      <c r="H5188" s="24" t="str">
        <f>IFERROR(VLOOKUP(B5188,material!A:D,3,0),"")</f>
        <v>ONT</v>
      </c>
    </row>
    <row r="5189" ht="11.25" customHeight="1">
      <c r="A5189" s="21" t="str">
        <f>IFERROR(__xludf.DUMMYFUNCTION("""COMPUTED_VALUE"""),"TERMINAL ONT WIFI HGU HP610")</f>
        <v>TERMINAL ONT WIFI HGU HP610</v>
      </c>
      <c r="B5189" s="22">
        <f>IFERROR(__xludf.DUMMYFUNCTION("""COMPUTED_VALUE"""),4.1001478E7)</f>
        <v>41001478</v>
      </c>
      <c r="C5189" s="21" t="str">
        <f>IFERROR(__xludf.DUMMYFUNCTION("""COMPUTED_VALUE"""),"C85D38B25D18")</f>
        <v>C85D38B25D18</v>
      </c>
      <c r="D5189" s="21" t="str">
        <f>IFERROR(__xludf.DUMMYFUNCTION("""COMPUTED_VALUE"""),"DIGITEC TECNOLOGIA DIGITAL E REPRES")</f>
        <v>DIGITEC TECNOLOGIA DIGITAL E REPRES</v>
      </c>
      <c r="E5189" s="21">
        <f>IFERROR(__xludf.DUMMYFUNCTION("""COMPUTED_VALUE"""),145359.0)</f>
        <v>145359</v>
      </c>
      <c r="F5189" s="21" t="str">
        <f>IFERROR(__xludf.DUMMYFUNCTION("""COMPUTED_VALUE"""),"INICIALIZADO")</f>
        <v>INICIALIZADO</v>
      </c>
      <c r="G5189" s="23">
        <f>IFERROR(__xludf.DUMMYFUNCTION("""COMPUTED_VALUE"""),45642.524143518516)</f>
        <v>45642.52414</v>
      </c>
      <c r="H5189" s="24" t="str">
        <f>IFERROR(VLOOKUP(B5189,material!A:D,3,0),"")</f>
        <v>ONT</v>
      </c>
    </row>
    <row r="5190" ht="11.25" customHeight="1">
      <c r="A5190" s="21" t="str">
        <f>IFERROR(__xludf.DUMMYFUNCTION("""COMPUTED_VALUE"""),"TERMINAL ONT WIFI HGU HP610")</f>
        <v>TERMINAL ONT WIFI HGU HP610</v>
      </c>
      <c r="B5190" s="22">
        <f>IFERROR(__xludf.DUMMYFUNCTION("""COMPUTED_VALUE"""),4.1001478E7)</f>
        <v>41001478</v>
      </c>
      <c r="C5190" s="21" t="str">
        <f>IFERROR(__xludf.DUMMYFUNCTION("""COMPUTED_VALUE"""),"C85D38B08CF4")</f>
        <v>C85D38B08CF4</v>
      </c>
      <c r="D5190" s="21" t="str">
        <f>IFERROR(__xludf.DUMMYFUNCTION("""COMPUTED_VALUE"""),"DIGITEC TECNOLOGIA DIGITAL E REPRES")</f>
        <v>DIGITEC TECNOLOGIA DIGITAL E REPRES</v>
      </c>
      <c r="E5190" s="21">
        <f>IFERROR(__xludf.DUMMYFUNCTION("""COMPUTED_VALUE"""),145359.0)</f>
        <v>145359</v>
      </c>
      <c r="F5190" s="21" t="str">
        <f>IFERROR(__xludf.DUMMYFUNCTION("""COMPUTED_VALUE"""),"INICIALIZADO")</f>
        <v>INICIALIZADO</v>
      </c>
      <c r="G5190" s="23">
        <f>IFERROR(__xludf.DUMMYFUNCTION("""COMPUTED_VALUE"""),45642.524143518516)</f>
        <v>45642.52414</v>
      </c>
      <c r="H5190" s="24" t="str">
        <f>IFERROR(VLOOKUP(B5190,material!A:D,3,0),"")</f>
        <v>ONT</v>
      </c>
    </row>
    <row r="5191" ht="11.25" customHeight="1">
      <c r="A5191" s="21" t="str">
        <f>IFERROR(__xludf.DUMMYFUNCTION("""COMPUTED_VALUE"""),"TERMINAL ONT WIFI HGU HP610")</f>
        <v>TERMINAL ONT WIFI HGU HP610</v>
      </c>
      <c r="B5191" s="22">
        <f>IFERROR(__xludf.DUMMYFUNCTION("""COMPUTED_VALUE"""),4.1001478E7)</f>
        <v>41001478</v>
      </c>
      <c r="C5191" s="21" t="str">
        <f>IFERROR(__xludf.DUMMYFUNCTION("""COMPUTED_VALUE"""),"C85D38B0CF84")</f>
        <v>C85D38B0CF84</v>
      </c>
      <c r="D5191" s="21" t="str">
        <f>IFERROR(__xludf.DUMMYFUNCTION("""COMPUTED_VALUE"""),"DIGITEC TECNOLOGIA DIGITAL E REPRES")</f>
        <v>DIGITEC TECNOLOGIA DIGITAL E REPRES</v>
      </c>
      <c r="E5191" s="21">
        <f>IFERROR(__xludf.DUMMYFUNCTION("""COMPUTED_VALUE"""),145359.0)</f>
        <v>145359</v>
      </c>
      <c r="F5191" s="21" t="str">
        <f>IFERROR(__xludf.DUMMYFUNCTION("""COMPUTED_VALUE"""),"INICIALIZADO")</f>
        <v>INICIALIZADO</v>
      </c>
      <c r="G5191" s="23">
        <f>IFERROR(__xludf.DUMMYFUNCTION("""COMPUTED_VALUE"""),45642.524143518516)</f>
        <v>45642.52414</v>
      </c>
      <c r="H5191" s="24" t="str">
        <f>IFERROR(VLOOKUP(B5191,material!A:D,3,0),"")</f>
        <v>ONT</v>
      </c>
    </row>
    <row r="5192" ht="11.25" customHeight="1">
      <c r="A5192" s="21" t="str">
        <f>IFERROR(__xludf.DUMMYFUNCTION("""COMPUTED_VALUE"""),"DECODER 4K ULTRA HD DGCI363 COM IG")</f>
        <v>DECODER 4K ULTRA HD DGCI363 COM IG</v>
      </c>
      <c r="B5192" s="22">
        <f>IFERROR(__xludf.DUMMYFUNCTION("""COMPUTED_VALUE"""),4.1001484E7)</f>
        <v>41001484</v>
      </c>
      <c r="C5192" s="21" t="str">
        <f>IFERROR(__xludf.DUMMYFUNCTION("""COMPUTED_VALUE"""),"229858686881")</f>
        <v>229858686881</v>
      </c>
      <c r="D5192" s="21" t="str">
        <f>IFERROR(__xludf.DUMMYFUNCTION("""COMPUTED_VALUE"""),"DIGITEC TECNOLOGIA DIGITAL E REPRES")</f>
        <v>DIGITEC TECNOLOGIA DIGITAL E REPRES</v>
      </c>
      <c r="E5192" s="21">
        <f>IFERROR(__xludf.DUMMYFUNCTION("""COMPUTED_VALUE"""),145359.0)</f>
        <v>145359</v>
      </c>
      <c r="F5192" s="21" t="str">
        <f>IFERROR(__xludf.DUMMYFUNCTION("""COMPUTED_VALUE"""),"INICIALIZADO")</f>
        <v>INICIALIZADO</v>
      </c>
      <c r="G5192" s="23">
        <f>IFERROR(__xludf.DUMMYFUNCTION("""COMPUTED_VALUE"""),45595.392164351855)</f>
        <v>45595.39216</v>
      </c>
      <c r="H5192" s="24" t="str">
        <f>IFERROR(VLOOKUP(B5192,material!A:D,3,0),"")</f>
        <v>4K</v>
      </c>
    </row>
    <row r="5193" ht="11.25" customHeight="1">
      <c r="A5193" s="21" t="str">
        <f>IFERROR(__xludf.DUMMYFUNCTION("""COMPUTED_VALUE"""),"DECODER 4K ULTRA HD DGCI363 COM IG")</f>
        <v>DECODER 4K ULTRA HD DGCI363 COM IG</v>
      </c>
      <c r="B5193" s="22">
        <f>IFERROR(__xludf.DUMMYFUNCTION("""COMPUTED_VALUE"""),4.1001484E7)</f>
        <v>41001484</v>
      </c>
      <c r="C5193" s="21" t="str">
        <f>IFERROR(__xludf.DUMMYFUNCTION("""COMPUTED_VALUE"""),"229857233642")</f>
        <v>229857233642</v>
      </c>
      <c r="D5193" s="21" t="str">
        <f>IFERROR(__xludf.DUMMYFUNCTION("""COMPUTED_VALUE"""),"DIGITEC TECNOLOGIA DIGITAL E REPRES")</f>
        <v>DIGITEC TECNOLOGIA DIGITAL E REPRES</v>
      </c>
      <c r="E5193" s="21">
        <f>IFERROR(__xludf.DUMMYFUNCTION("""COMPUTED_VALUE"""),145359.0)</f>
        <v>145359</v>
      </c>
      <c r="F5193" s="21" t="str">
        <f>IFERROR(__xludf.DUMMYFUNCTION("""COMPUTED_VALUE"""),"INICIALIZADO")</f>
        <v>INICIALIZADO</v>
      </c>
      <c r="G5193" s="23">
        <f>IFERROR(__xludf.DUMMYFUNCTION("""COMPUTED_VALUE"""),45615.61858796296)</f>
        <v>45615.61859</v>
      </c>
      <c r="H5193" s="24" t="str">
        <f>IFERROR(VLOOKUP(B5193,material!A:D,3,0),"")</f>
        <v>4K</v>
      </c>
    </row>
    <row r="5194" ht="11.25" customHeight="1">
      <c r="A5194" s="21" t="str">
        <f>IFERROR(__xludf.DUMMYFUNCTION("""COMPUTED_VALUE"""),"DECODER 4K ULTRA HD DGCI363 COM IG")</f>
        <v>DECODER 4K ULTRA HD DGCI363 COM IG</v>
      </c>
      <c r="B5194" s="22">
        <f>IFERROR(__xludf.DUMMYFUNCTION("""COMPUTED_VALUE"""),4.1001484E7)</f>
        <v>41001484</v>
      </c>
      <c r="C5194" s="21" t="str">
        <f>IFERROR(__xludf.DUMMYFUNCTION("""COMPUTED_VALUE"""),"229791868485")</f>
        <v>229791868485</v>
      </c>
      <c r="D5194" s="21" t="str">
        <f>IFERROR(__xludf.DUMMYFUNCTION("""COMPUTED_VALUE"""),"DIGITEC TECNOLOGIA DIGITAL E REPRES")</f>
        <v>DIGITEC TECNOLOGIA DIGITAL E REPRES</v>
      </c>
      <c r="E5194" s="21">
        <f>IFERROR(__xludf.DUMMYFUNCTION("""COMPUTED_VALUE"""),145359.0)</f>
        <v>145359</v>
      </c>
      <c r="F5194" s="21" t="str">
        <f>IFERROR(__xludf.DUMMYFUNCTION("""COMPUTED_VALUE"""),"INICIALIZADO")</f>
        <v>INICIALIZADO</v>
      </c>
      <c r="G5194" s="23">
        <f>IFERROR(__xludf.DUMMYFUNCTION("""COMPUTED_VALUE"""),45597.41777777778)</f>
        <v>45597.41778</v>
      </c>
      <c r="H5194" s="24" t="str">
        <f>IFERROR(VLOOKUP(B5194,material!A:D,3,0),"")</f>
        <v>4K</v>
      </c>
    </row>
    <row r="5195" ht="11.25" customHeight="1">
      <c r="A5195" s="21" t="str">
        <f>IFERROR(__xludf.DUMMYFUNCTION("""COMPUTED_VALUE"""),"DECODER 4K ULTRA HD DGCI363 COM IG")</f>
        <v>DECODER 4K ULTRA HD DGCI363 COM IG</v>
      </c>
      <c r="B5195" s="22">
        <f>IFERROR(__xludf.DUMMYFUNCTION("""COMPUTED_VALUE"""),4.1001484E7)</f>
        <v>41001484</v>
      </c>
      <c r="C5195" s="21" t="str">
        <f>IFERROR(__xludf.DUMMYFUNCTION("""COMPUTED_VALUE"""),"229772397685")</f>
        <v>229772397685</v>
      </c>
      <c r="D5195" s="21" t="str">
        <f>IFERROR(__xludf.DUMMYFUNCTION("""COMPUTED_VALUE"""),"DIGITEC TECNOLOGIA DIGITAL E REPRES")</f>
        <v>DIGITEC TECNOLOGIA DIGITAL E REPRES</v>
      </c>
      <c r="E5195" s="21">
        <f>IFERROR(__xludf.DUMMYFUNCTION("""COMPUTED_VALUE"""),145359.0)</f>
        <v>145359</v>
      </c>
      <c r="F5195" s="21" t="str">
        <f>IFERROR(__xludf.DUMMYFUNCTION("""COMPUTED_VALUE"""),"INICIALIZADO")</f>
        <v>INICIALIZADO</v>
      </c>
      <c r="G5195" s="23">
        <f>IFERROR(__xludf.DUMMYFUNCTION("""COMPUTED_VALUE"""),45625.653182870374)</f>
        <v>45625.65318</v>
      </c>
      <c r="H5195" s="24" t="str">
        <f>IFERROR(VLOOKUP(B5195,material!A:D,3,0),"")</f>
        <v>4K</v>
      </c>
    </row>
    <row r="5196" ht="11.25" customHeight="1">
      <c r="A5196" s="21" t="str">
        <f>IFERROR(__xludf.DUMMYFUNCTION("""COMPUTED_VALUE"""),"DECODER 4K ULTRA HD DGCI363 COM IG")</f>
        <v>DECODER 4K ULTRA HD DGCI363 COM IG</v>
      </c>
      <c r="B5196" s="22">
        <f>IFERROR(__xludf.DUMMYFUNCTION("""COMPUTED_VALUE"""),4.1001484E7)</f>
        <v>41001484</v>
      </c>
      <c r="C5196" s="21" t="str">
        <f>IFERROR(__xludf.DUMMYFUNCTION("""COMPUTED_VALUE"""),"229790456788")</f>
        <v>229790456788</v>
      </c>
      <c r="D5196" s="21" t="str">
        <f>IFERROR(__xludf.DUMMYFUNCTION("""COMPUTED_VALUE"""),"DIGITEC TECNOLOGIA DIGITAL E REPRES")</f>
        <v>DIGITEC TECNOLOGIA DIGITAL E REPRES</v>
      </c>
      <c r="E5196" s="21">
        <f>IFERROR(__xludf.DUMMYFUNCTION("""COMPUTED_VALUE"""),145359.0)</f>
        <v>145359</v>
      </c>
      <c r="F5196" s="21" t="str">
        <f>IFERROR(__xludf.DUMMYFUNCTION("""COMPUTED_VALUE"""),"INICIALIZADO")</f>
        <v>INICIALIZADO</v>
      </c>
      <c r="G5196" s="23">
        <f>IFERROR(__xludf.DUMMYFUNCTION("""COMPUTED_VALUE"""),45618.74478009259)</f>
        <v>45618.74478</v>
      </c>
      <c r="H5196" s="24" t="str">
        <f>IFERROR(VLOOKUP(B5196,material!A:D,3,0),"")</f>
        <v>4K</v>
      </c>
    </row>
    <row r="5197" ht="11.25" customHeight="1">
      <c r="A5197" s="21" t="str">
        <f>IFERROR(__xludf.DUMMYFUNCTION("""COMPUTED_VALUE"""),"DECODER 4K ULTRA HD DGCI363 COM IG")</f>
        <v>DECODER 4K ULTRA HD DGCI363 COM IG</v>
      </c>
      <c r="B5197" s="22">
        <f>IFERROR(__xludf.DUMMYFUNCTION("""COMPUTED_VALUE"""),4.1001484E7)</f>
        <v>41001484</v>
      </c>
      <c r="C5197" s="21" t="str">
        <f>IFERROR(__xludf.DUMMYFUNCTION("""COMPUTED_VALUE"""),"229789603641")</f>
        <v>229789603641</v>
      </c>
      <c r="D5197" s="21" t="str">
        <f>IFERROR(__xludf.DUMMYFUNCTION("""COMPUTED_VALUE"""),"DIGITEC TECNOLOGIA DIGITAL E REPRES")</f>
        <v>DIGITEC TECNOLOGIA DIGITAL E REPRES</v>
      </c>
      <c r="E5197" s="21">
        <f>IFERROR(__xludf.DUMMYFUNCTION("""COMPUTED_VALUE"""),145359.0)</f>
        <v>145359</v>
      </c>
      <c r="F5197" s="21" t="str">
        <f>IFERROR(__xludf.DUMMYFUNCTION("""COMPUTED_VALUE"""),"INICIALIZADO")</f>
        <v>INICIALIZADO</v>
      </c>
      <c r="G5197" s="23">
        <f>IFERROR(__xludf.DUMMYFUNCTION("""COMPUTED_VALUE"""),45615.61858796296)</f>
        <v>45615.61859</v>
      </c>
      <c r="H5197" s="24" t="str">
        <f>IFERROR(VLOOKUP(B5197,material!A:D,3,0),"")</f>
        <v>4K</v>
      </c>
    </row>
    <row r="5198" ht="11.25" customHeight="1">
      <c r="A5198" s="21" t="str">
        <f>IFERROR(__xludf.DUMMYFUNCTION("""COMPUTED_VALUE"""),"DECODER 4K ULTRA HD DGCI363 COM IG")</f>
        <v>DECODER 4K ULTRA HD DGCI363 COM IG</v>
      </c>
      <c r="B5198" s="22">
        <f>IFERROR(__xludf.DUMMYFUNCTION("""COMPUTED_VALUE"""),4.1001484E7)</f>
        <v>41001484</v>
      </c>
      <c r="C5198" s="21" t="str">
        <f>IFERROR(__xludf.DUMMYFUNCTION("""COMPUTED_VALUE"""),"229789843339")</f>
        <v>229789843339</v>
      </c>
      <c r="D5198" s="21" t="str">
        <f>IFERROR(__xludf.DUMMYFUNCTION("""COMPUTED_VALUE"""),"DIGITEC TECNOLOGIA DIGITAL E REPRES")</f>
        <v>DIGITEC TECNOLOGIA DIGITAL E REPRES</v>
      </c>
      <c r="E5198" s="21">
        <f>IFERROR(__xludf.DUMMYFUNCTION("""COMPUTED_VALUE"""),145359.0)</f>
        <v>145359</v>
      </c>
      <c r="F5198" s="21" t="str">
        <f>IFERROR(__xludf.DUMMYFUNCTION("""COMPUTED_VALUE"""),"INICIALIZADO")</f>
        <v>INICIALIZADO</v>
      </c>
      <c r="G5198" s="23">
        <f>IFERROR(__xludf.DUMMYFUNCTION("""COMPUTED_VALUE"""),45618.74478009259)</f>
        <v>45618.74478</v>
      </c>
      <c r="H5198" s="24" t="str">
        <f>IFERROR(VLOOKUP(B5198,material!A:D,3,0),"")</f>
        <v>4K</v>
      </c>
    </row>
    <row r="5199" ht="11.25" customHeight="1">
      <c r="A5199" s="21" t="str">
        <f>IFERROR(__xludf.DUMMYFUNCTION("""COMPUTED_VALUE"""),"DECODER 4K ULTRA HD DGCI363 COM IG")</f>
        <v>DECODER 4K ULTRA HD DGCI363 COM IG</v>
      </c>
      <c r="B5199" s="22">
        <f>IFERROR(__xludf.DUMMYFUNCTION("""COMPUTED_VALUE"""),4.1001484E7)</f>
        <v>41001484</v>
      </c>
      <c r="C5199" s="21" t="str">
        <f>IFERROR(__xludf.DUMMYFUNCTION("""COMPUTED_VALUE"""),"229789001024")</f>
        <v>229789001024</v>
      </c>
      <c r="D5199" s="21" t="str">
        <f>IFERROR(__xludf.DUMMYFUNCTION("""COMPUTED_VALUE"""),"DIGITEC TECNOLOGIA DIGITAL E REPRES")</f>
        <v>DIGITEC TECNOLOGIA DIGITAL E REPRES</v>
      </c>
      <c r="E5199" s="21">
        <f>IFERROR(__xludf.DUMMYFUNCTION("""COMPUTED_VALUE"""),145359.0)</f>
        <v>145359</v>
      </c>
      <c r="F5199" s="21" t="str">
        <f>IFERROR(__xludf.DUMMYFUNCTION("""COMPUTED_VALUE"""),"INICIALIZADO")</f>
        <v>INICIALIZADO</v>
      </c>
      <c r="G5199" s="23">
        <f>IFERROR(__xludf.DUMMYFUNCTION("""COMPUTED_VALUE"""),45618.74478009259)</f>
        <v>45618.74478</v>
      </c>
      <c r="H5199" s="24" t="str">
        <f>IFERROR(VLOOKUP(B5199,material!A:D,3,0),"")</f>
        <v>4K</v>
      </c>
    </row>
    <row r="5200" ht="11.25" customHeight="1">
      <c r="A5200" s="21" t="str">
        <f>IFERROR(__xludf.DUMMYFUNCTION("""COMPUTED_VALUE"""),"DECODER 4K ULTRA HD DGCI363 COM IG")</f>
        <v>DECODER 4K ULTRA HD DGCI363 COM IG</v>
      </c>
      <c r="B5200" s="22">
        <f>IFERROR(__xludf.DUMMYFUNCTION("""COMPUTED_VALUE"""),4.1001484E7)</f>
        <v>41001484</v>
      </c>
      <c r="C5200" s="21" t="str">
        <f>IFERROR(__xludf.DUMMYFUNCTION("""COMPUTED_VALUE"""),"229768701927")</f>
        <v>229768701927</v>
      </c>
      <c r="D5200" s="21" t="str">
        <f>IFERROR(__xludf.DUMMYFUNCTION("""COMPUTED_VALUE"""),"DIGITEC TECNOLOGIA DIGITAL E REPRES")</f>
        <v>DIGITEC TECNOLOGIA DIGITAL E REPRES</v>
      </c>
      <c r="E5200" s="21">
        <f>IFERROR(__xludf.DUMMYFUNCTION("""COMPUTED_VALUE"""),145359.0)</f>
        <v>145359</v>
      </c>
      <c r="F5200" s="21" t="str">
        <f>IFERROR(__xludf.DUMMYFUNCTION("""COMPUTED_VALUE"""),"INICIALIZADO")</f>
        <v>INICIALIZADO</v>
      </c>
      <c r="G5200" s="23">
        <f>IFERROR(__xludf.DUMMYFUNCTION("""COMPUTED_VALUE"""),45625.653182870374)</f>
        <v>45625.65318</v>
      </c>
      <c r="H5200" s="24" t="str">
        <f>IFERROR(VLOOKUP(B5200,material!A:D,3,0),"")</f>
        <v>4K</v>
      </c>
    </row>
    <row r="5201" ht="11.25" customHeight="1">
      <c r="A5201" s="21" t="str">
        <f>IFERROR(__xludf.DUMMYFUNCTION("""COMPUTED_VALUE"""),"DECODER 4K ULTRA HD DGCI363 COM IG")</f>
        <v>DECODER 4K ULTRA HD DGCI363 COM IG</v>
      </c>
      <c r="B5201" s="22">
        <f>IFERROR(__xludf.DUMMYFUNCTION("""COMPUTED_VALUE"""),4.1001484E7)</f>
        <v>41001484</v>
      </c>
      <c r="C5201" s="21" t="str">
        <f>IFERROR(__xludf.DUMMYFUNCTION("""COMPUTED_VALUE"""),"229789339192")</f>
        <v>229789339192</v>
      </c>
      <c r="D5201" s="21" t="str">
        <f>IFERROR(__xludf.DUMMYFUNCTION("""COMPUTED_VALUE"""),"DIGITEC TECNOLOGIA DIGITAL E REPRES")</f>
        <v>DIGITEC TECNOLOGIA DIGITAL E REPRES</v>
      </c>
      <c r="E5201" s="21">
        <f>IFERROR(__xludf.DUMMYFUNCTION("""COMPUTED_VALUE"""),145359.0)</f>
        <v>145359</v>
      </c>
      <c r="F5201" s="21" t="str">
        <f>IFERROR(__xludf.DUMMYFUNCTION("""COMPUTED_VALUE"""),"INICIALIZADO")</f>
        <v>INICIALIZADO</v>
      </c>
      <c r="G5201" s="23">
        <f>IFERROR(__xludf.DUMMYFUNCTION("""COMPUTED_VALUE"""),45615.61858796296)</f>
        <v>45615.61859</v>
      </c>
      <c r="H5201" s="24" t="str">
        <f>IFERROR(VLOOKUP(B5201,material!A:D,3,0),"")</f>
        <v>4K</v>
      </c>
    </row>
    <row r="5202" ht="11.25" customHeight="1">
      <c r="A5202" s="21" t="str">
        <f>IFERROR(__xludf.DUMMYFUNCTION("""COMPUTED_VALUE"""),"DECODER 4K ULTRA HD DGCI363 COM IG")</f>
        <v>DECODER 4K ULTRA HD DGCI363 COM IG</v>
      </c>
      <c r="B5202" s="22">
        <f>IFERROR(__xludf.DUMMYFUNCTION("""COMPUTED_VALUE"""),4.1001484E7)</f>
        <v>41001484</v>
      </c>
      <c r="C5202" s="21" t="str">
        <f>IFERROR(__xludf.DUMMYFUNCTION("""COMPUTED_VALUE"""),"229789214759")</f>
        <v>229789214759</v>
      </c>
      <c r="D5202" s="21" t="str">
        <f>IFERROR(__xludf.DUMMYFUNCTION("""COMPUTED_VALUE"""),"DIGITEC TECNOLOGIA DIGITAL E REPRES")</f>
        <v>DIGITEC TECNOLOGIA DIGITAL E REPRES</v>
      </c>
      <c r="E5202" s="21">
        <f>IFERROR(__xludf.DUMMYFUNCTION("""COMPUTED_VALUE"""),145359.0)</f>
        <v>145359</v>
      </c>
      <c r="F5202" s="21" t="str">
        <f>IFERROR(__xludf.DUMMYFUNCTION("""COMPUTED_VALUE"""),"INICIALIZADO")</f>
        <v>INICIALIZADO</v>
      </c>
      <c r="G5202" s="23">
        <f>IFERROR(__xludf.DUMMYFUNCTION("""COMPUTED_VALUE"""),45615.61858796296)</f>
        <v>45615.61859</v>
      </c>
      <c r="H5202" s="24" t="str">
        <f>IFERROR(VLOOKUP(B5202,material!A:D,3,0),"")</f>
        <v>4K</v>
      </c>
    </row>
    <row r="5203" ht="11.25" customHeight="1">
      <c r="A5203" s="21" t="str">
        <f>IFERROR(__xludf.DUMMYFUNCTION("""COMPUTED_VALUE"""),"DECODER 4K ULTRA HD DGCI363 COM IG")</f>
        <v>DECODER 4K ULTRA HD DGCI363 COM IG</v>
      </c>
      <c r="B5203" s="22">
        <f>IFERROR(__xludf.DUMMYFUNCTION("""COMPUTED_VALUE"""),4.1001484E7)</f>
        <v>41001484</v>
      </c>
      <c r="C5203" s="21" t="str">
        <f>IFERROR(__xludf.DUMMYFUNCTION("""COMPUTED_VALUE"""),"229768927279")</f>
        <v>229768927279</v>
      </c>
      <c r="D5203" s="21" t="str">
        <f>IFERROR(__xludf.DUMMYFUNCTION("""COMPUTED_VALUE"""),"DIGITEC TECNOLOGIA DIGITAL E REPRES")</f>
        <v>DIGITEC TECNOLOGIA DIGITAL E REPRES</v>
      </c>
      <c r="E5203" s="21">
        <f>IFERROR(__xludf.DUMMYFUNCTION("""COMPUTED_VALUE"""),145359.0)</f>
        <v>145359</v>
      </c>
      <c r="F5203" s="21" t="str">
        <f>IFERROR(__xludf.DUMMYFUNCTION("""COMPUTED_VALUE"""),"INICIALIZADO")</f>
        <v>INICIALIZADO</v>
      </c>
      <c r="G5203" s="23">
        <f>IFERROR(__xludf.DUMMYFUNCTION("""COMPUTED_VALUE"""),45618.74478009259)</f>
        <v>45618.74478</v>
      </c>
      <c r="H5203" s="24" t="str">
        <f>IFERROR(VLOOKUP(B5203,material!A:D,3,0),"")</f>
        <v>4K</v>
      </c>
    </row>
    <row r="5204" ht="11.25" customHeight="1">
      <c r="A5204" s="21" t="str">
        <f>IFERROR(__xludf.DUMMYFUNCTION("""COMPUTED_VALUE"""),"DECODER 4K ULTRA HD DGCI363 COM IG")</f>
        <v>DECODER 4K ULTRA HD DGCI363 COM IG</v>
      </c>
      <c r="B5204" s="22">
        <f>IFERROR(__xludf.DUMMYFUNCTION("""COMPUTED_VALUE"""),4.1001484E7)</f>
        <v>41001484</v>
      </c>
      <c r="C5204" s="21" t="str">
        <f>IFERROR(__xludf.DUMMYFUNCTION("""COMPUTED_VALUE"""),"229770330616")</f>
        <v>229770330616</v>
      </c>
      <c r="D5204" s="21" t="str">
        <f>IFERROR(__xludf.DUMMYFUNCTION("""COMPUTED_VALUE"""),"DIGITEC TECNOLOGIA DIGITAL E REPRES")</f>
        <v>DIGITEC TECNOLOGIA DIGITAL E REPRES</v>
      </c>
      <c r="E5204" s="21">
        <f>IFERROR(__xludf.DUMMYFUNCTION("""COMPUTED_VALUE"""),145359.0)</f>
        <v>145359</v>
      </c>
      <c r="F5204" s="21" t="str">
        <f>IFERROR(__xludf.DUMMYFUNCTION("""COMPUTED_VALUE"""),"INICIALIZADO")</f>
        <v>INICIALIZADO</v>
      </c>
      <c r="G5204" s="23">
        <f>IFERROR(__xludf.DUMMYFUNCTION("""COMPUTED_VALUE"""),45618.74478009259)</f>
        <v>45618.74478</v>
      </c>
      <c r="H5204" s="24" t="str">
        <f>IFERROR(VLOOKUP(B5204,material!A:D,3,0),"")</f>
        <v>4K</v>
      </c>
    </row>
    <row r="5205" ht="11.25" customHeight="1">
      <c r="A5205" s="21" t="str">
        <f>IFERROR(__xludf.DUMMYFUNCTION("""COMPUTED_VALUE"""),"DECODER 4K ULTRA HD DGCI363 COM IG")</f>
        <v>DECODER 4K ULTRA HD DGCI363 COM IG</v>
      </c>
      <c r="B5205" s="22">
        <f>IFERROR(__xludf.DUMMYFUNCTION("""COMPUTED_VALUE"""),4.1001484E7)</f>
        <v>41001484</v>
      </c>
      <c r="C5205" s="21" t="str">
        <f>IFERROR(__xludf.DUMMYFUNCTION("""COMPUTED_VALUE"""),"229788796682")</f>
        <v>229788796682</v>
      </c>
      <c r="D5205" s="21" t="str">
        <f>IFERROR(__xludf.DUMMYFUNCTION("""COMPUTED_VALUE"""),"DIGITEC TECNOLOGIA DIGITAL E REPRES")</f>
        <v>DIGITEC TECNOLOGIA DIGITAL E REPRES</v>
      </c>
      <c r="E5205" s="21">
        <f>IFERROR(__xludf.DUMMYFUNCTION("""COMPUTED_VALUE"""),145359.0)</f>
        <v>145359</v>
      </c>
      <c r="F5205" s="21" t="str">
        <f>IFERROR(__xludf.DUMMYFUNCTION("""COMPUTED_VALUE"""),"INICIALIZADO")</f>
        <v>INICIALIZADO</v>
      </c>
      <c r="G5205" s="23">
        <f>IFERROR(__xludf.DUMMYFUNCTION("""COMPUTED_VALUE"""),45625.653182870374)</f>
        <v>45625.65318</v>
      </c>
      <c r="H5205" s="24" t="str">
        <f>IFERROR(VLOOKUP(B5205,material!A:D,3,0),"")</f>
        <v>4K</v>
      </c>
    </row>
    <row r="5206" ht="11.25" customHeight="1">
      <c r="A5206" s="21" t="str">
        <f>IFERROR(__xludf.DUMMYFUNCTION("""COMPUTED_VALUE"""),"DECODER 4K ULTRA HD DGCI363 COM IG")</f>
        <v>DECODER 4K ULTRA HD DGCI363 COM IG</v>
      </c>
      <c r="B5206" s="22">
        <f>IFERROR(__xludf.DUMMYFUNCTION("""COMPUTED_VALUE"""),4.1001484E7)</f>
        <v>41001484</v>
      </c>
      <c r="C5206" s="21" t="str">
        <f>IFERROR(__xludf.DUMMYFUNCTION("""COMPUTED_VALUE"""),"229788656163")</f>
        <v>229788656163</v>
      </c>
      <c r="D5206" s="21" t="str">
        <f>IFERROR(__xludf.DUMMYFUNCTION("""COMPUTED_VALUE"""),"DIGITEC TECNOLOGIA DIGITAL E REPRES")</f>
        <v>DIGITEC TECNOLOGIA DIGITAL E REPRES</v>
      </c>
      <c r="E5206" s="21">
        <f>IFERROR(__xludf.DUMMYFUNCTION("""COMPUTED_VALUE"""),145359.0)</f>
        <v>145359</v>
      </c>
      <c r="F5206" s="21" t="str">
        <f>IFERROR(__xludf.DUMMYFUNCTION("""COMPUTED_VALUE"""),"INICIALIZADO")</f>
        <v>INICIALIZADO</v>
      </c>
      <c r="G5206" s="23">
        <f>IFERROR(__xludf.DUMMYFUNCTION("""COMPUTED_VALUE"""),45618.74478009259)</f>
        <v>45618.74478</v>
      </c>
      <c r="H5206" s="24" t="str">
        <f>IFERROR(VLOOKUP(B5206,material!A:D,3,0),"")</f>
        <v>4K</v>
      </c>
    </row>
    <row r="5207" ht="11.25" customHeight="1">
      <c r="A5207" s="21" t="str">
        <f>IFERROR(__xludf.DUMMYFUNCTION("""COMPUTED_VALUE"""),"DECODER 4K ULTRA HD DGCI363 COM IG")</f>
        <v>DECODER 4K ULTRA HD DGCI363 COM IG</v>
      </c>
      <c r="B5207" s="22">
        <f>IFERROR(__xludf.DUMMYFUNCTION("""COMPUTED_VALUE"""),4.1001484E7)</f>
        <v>41001484</v>
      </c>
      <c r="C5207" s="21" t="str">
        <f>IFERROR(__xludf.DUMMYFUNCTION("""COMPUTED_VALUE"""),"229771427680")</f>
        <v>229771427680</v>
      </c>
      <c r="D5207" s="21" t="str">
        <f>IFERROR(__xludf.DUMMYFUNCTION("""COMPUTED_VALUE"""),"DIGITEC TECNOLOGIA DIGITAL E REPRES")</f>
        <v>DIGITEC TECNOLOGIA DIGITAL E REPRES</v>
      </c>
      <c r="E5207" s="21">
        <f>IFERROR(__xludf.DUMMYFUNCTION("""COMPUTED_VALUE"""),145359.0)</f>
        <v>145359</v>
      </c>
      <c r="F5207" s="21" t="str">
        <f>IFERROR(__xludf.DUMMYFUNCTION("""COMPUTED_VALUE"""),"INICIALIZADO")</f>
        <v>INICIALIZADO</v>
      </c>
      <c r="G5207" s="23">
        <f>IFERROR(__xludf.DUMMYFUNCTION("""COMPUTED_VALUE"""),45618.74478009259)</f>
        <v>45618.74478</v>
      </c>
      <c r="H5207" s="24" t="str">
        <f>IFERROR(VLOOKUP(B5207,material!A:D,3,0),"")</f>
        <v>4K</v>
      </c>
    </row>
    <row r="5208" ht="11.25" customHeight="1">
      <c r="A5208" s="21" t="str">
        <f>IFERROR(__xludf.DUMMYFUNCTION("""COMPUTED_VALUE"""),"DECODER 4K ULTRA HD DGCI363 COM IG")</f>
        <v>DECODER 4K ULTRA HD DGCI363 COM IG</v>
      </c>
      <c r="B5208" s="22">
        <f>IFERROR(__xludf.DUMMYFUNCTION("""COMPUTED_VALUE"""),4.1001484E7)</f>
        <v>41001484</v>
      </c>
      <c r="C5208" s="21" t="str">
        <f>IFERROR(__xludf.DUMMYFUNCTION("""COMPUTED_VALUE"""),"229768488493")</f>
        <v>229768488493</v>
      </c>
      <c r="D5208" s="21" t="str">
        <f>IFERROR(__xludf.DUMMYFUNCTION("""COMPUTED_VALUE"""),"DIGITEC TECNOLOGIA DIGITAL E REPRES")</f>
        <v>DIGITEC TECNOLOGIA DIGITAL E REPRES</v>
      </c>
      <c r="E5208" s="21">
        <f>IFERROR(__xludf.DUMMYFUNCTION("""COMPUTED_VALUE"""),145359.0)</f>
        <v>145359</v>
      </c>
      <c r="F5208" s="21" t="str">
        <f>IFERROR(__xludf.DUMMYFUNCTION("""COMPUTED_VALUE"""),"INICIALIZADO")</f>
        <v>INICIALIZADO</v>
      </c>
      <c r="G5208" s="23">
        <f>IFERROR(__xludf.DUMMYFUNCTION("""COMPUTED_VALUE"""),45618.74478009259)</f>
        <v>45618.74478</v>
      </c>
      <c r="H5208" s="24" t="str">
        <f>IFERROR(VLOOKUP(B5208,material!A:D,3,0),"")</f>
        <v>4K</v>
      </c>
    </row>
    <row r="5209" ht="11.25" customHeight="1">
      <c r="A5209" s="21" t="str">
        <f>IFERROR(__xludf.DUMMYFUNCTION("""COMPUTED_VALUE"""),"DECODER 4K ULTRA HD DGCI363 COM IG")</f>
        <v>DECODER 4K ULTRA HD DGCI363 COM IG</v>
      </c>
      <c r="B5209" s="22">
        <f>IFERROR(__xludf.DUMMYFUNCTION("""COMPUTED_VALUE"""),4.1001484E7)</f>
        <v>41001484</v>
      </c>
      <c r="C5209" s="21" t="str">
        <f>IFERROR(__xludf.DUMMYFUNCTION("""COMPUTED_VALUE"""),"229725322239")</f>
        <v>229725322239</v>
      </c>
      <c r="D5209" s="21" t="str">
        <f>IFERROR(__xludf.DUMMYFUNCTION("""COMPUTED_VALUE"""),"DIGITEC TECNOLOGIA DIGITAL E REPRES")</f>
        <v>DIGITEC TECNOLOGIA DIGITAL E REPRES</v>
      </c>
      <c r="E5209" s="21">
        <f>IFERROR(__xludf.DUMMYFUNCTION("""COMPUTED_VALUE"""),145359.0)</f>
        <v>145359</v>
      </c>
      <c r="F5209" s="21" t="str">
        <f>IFERROR(__xludf.DUMMYFUNCTION("""COMPUTED_VALUE"""),"INICIALIZADO")</f>
        <v>INICIALIZADO</v>
      </c>
      <c r="G5209" s="23">
        <f>IFERROR(__xludf.DUMMYFUNCTION("""COMPUTED_VALUE"""),45625.653182870374)</f>
        <v>45625.65318</v>
      </c>
      <c r="H5209" s="24" t="str">
        <f>IFERROR(VLOOKUP(B5209,material!A:D,3,0),"")</f>
        <v>4K</v>
      </c>
    </row>
    <row r="5210" ht="11.25" customHeight="1">
      <c r="A5210" s="21" t="str">
        <f>IFERROR(__xludf.DUMMYFUNCTION("""COMPUTED_VALUE"""),"DECODER 4K ULTRA HD DGCI363 COM IG")</f>
        <v>DECODER 4K ULTRA HD DGCI363 COM IG</v>
      </c>
      <c r="B5210" s="22">
        <f>IFERROR(__xludf.DUMMYFUNCTION("""COMPUTED_VALUE"""),4.1001484E7)</f>
        <v>41001484</v>
      </c>
      <c r="C5210" s="21" t="str">
        <f>IFERROR(__xludf.DUMMYFUNCTION("""COMPUTED_VALUE"""),"229725342039")</f>
        <v>229725342039</v>
      </c>
      <c r="D5210" s="21" t="str">
        <f>IFERROR(__xludf.DUMMYFUNCTION("""COMPUTED_VALUE"""),"DIGITEC TECNOLOGIA DIGITAL E REPRES")</f>
        <v>DIGITEC TECNOLOGIA DIGITAL E REPRES</v>
      </c>
      <c r="E5210" s="21">
        <f>IFERROR(__xludf.DUMMYFUNCTION("""COMPUTED_VALUE"""),145359.0)</f>
        <v>145359</v>
      </c>
      <c r="F5210" s="21" t="str">
        <f>IFERROR(__xludf.DUMMYFUNCTION("""COMPUTED_VALUE"""),"INICIALIZADO")</f>
        <v>INICIALIZADO</v>
      </c>
      <c r="G5210" s="23">
        <f>IFERROR(__xludf.DUMMYFUNCTION("""COMPUTED_VALUE"""),45618.74478009259)</f>
        <v>45618.74478</v>
      </c>
      <c r="H5210" s="24" t="str">
        <f>IFERROR(VLOOKUP(B5210,material!A:D,3,0),"")</f>
        <v>4K</v>
      </c>
    </row>
    <row r="5211" ht="11.25" customHeight="1">
      <c r="A5211" s="21" t="str">
        <f>IFERROR(__xludf.DUMMYFUNCTION("""COMPUTED_VALUE"""),"DECODER 4K ULTRA HD DGCI363 COM IG")</f>
        <v>DECODER 4K ULTRA HD DGCI363 COM IG</v>
      </c>
      <c r="B5211" s="22">
        <f>IFERROR(__xludf.DUMMYFUNCTION("""COMPUTED_VALUE"""),4.1001484E7)</f>
        <v>41001484</v>
      </c>
      <c r="C5211" s="21" t="str">
        <f>IFERROR(__xludf.DUMMYFUNCTION("""COMPUTED_VALUE"""),"229769207284")</f>
        <v>229769207284</v>
      </c>
      <c r="D5211" s="21" t="str">
        <f>IFERROR(__xludf.DUMMYFUNCTION("""COMPUTED_VALUE"""),"DIGITEC TECNOLOGIA DIGITAL E REPRES")</f>
        <v>DIGITEC TECNOLOGIA DIGITAL E REPRES</v>
      </c>
      <c r="E5211" s="21">
        <f>IFERROR(__xludf.DUMMYFUNCTION("""COMPUTED_VALUE"""),145359.0)</f>
        <v>145359</v>
      </c>
      <c r="F5211" s="21" t="str">
        <f>IFERROR(__xludf.DUMMYFUNCTION("""COMPUTED_VALUE"""),"INICIALIZADO")</f>
        <v>INICIALIZADO</v>
      </c>
      <c r="G5211" s="23">
        <f>IFERROR(__xludf.DUMMYFUNCTION("""COMPUTED_VALUE"""),45618.74478009259)</f>
        <v>45618.74478</v>
      </c>
      <c r="H5211" s="24" t="str">
        <f>IFERROR(VLOOKUP(B5211,material!A:D,3,0),"")</f>
        <v>4K</v>
      </c>
    </row>
    <row r="5212" ht="11.25" customHeight="1">
      <c r="A5212" s="21" t="str">
        <f>IFERROR(__xludf.DUMMYFUNCTION("""COMPUTED_VALUE"""),"DECODER 4K ULTRA HD DGCI363 COM IG")</f>
        <v>DECODER 4K ULTRA HD DGCI363 COM IG</v>
      </c>
      <c r="B5212" s="22">
        <f>IFERROR(__xludf.DUMMYFUNCTION("""COMPUTED_VALUE"""),4.1001484E7)</f>
        <v>41001484</v>
      </c>
      <c r="C5212" s="21" t="str">
        <f>IFERROR(__xludf.DUMMYFUNCTION("""COMPUTED_VALUE"""),"229725122545")</f>
        <v>229725122545</v>
      </c>
      <c r="D5212" s="21" t="str">
        <f>IFERROR(__xludf.DUMMYFUNCTION("""COMPUTED_VALUE"""),"DIGITEC TECNOLOGIA DIGITAL E REPRES")</f>
        <v>DIGITEC TECNOLOGIA DIGITAL E REPRES</v>
      </c>
      <c r="E5212" s="21">
        <f>IFERROR(__xludf.DUMMYFUNCTION("""COMPUTED_VALUE"""),145359.0)</f>
        <v>145359</v>
      </c>
      <c r="F5212" s="21" t="str">
        <f>IFERROR(__xludf.DUMMYFUNCTION("""COMPUTED_VALUE"""),"INICIALIZADO")</f>
        <v>INICIALIZADO</v>
      </c>
      <c r="G5212" s="23">
        <f>IFERROR(__xludf.DUMMYFUNCTION("""COMPUTED_VALUE"""),45618.74478009259)</f>
        <v>45618.74478</v>
      </c>
      <c r="H5212" s="24" t="str">
        <f>IFERROR(VLOOKUP(B5212,material!A:D,3,0),"")</f>
        <v>4K</v>
      </c>
    </row>
    <row r="5213" ht="11.25" customHeight="1">
      <c r="A5213" s="21" t="str">
        <f>IFERROR(__xludf.DUMMYFUNCTION("""COMPUTED_VALUE"""),"DECODER 4K ULTRA HD DGCI363 COM IG")</f>
        <v>DECODER 4K ULTRA HD DGCI363 COM IG</v>
      </c>
      <c r="B5213" s="22">
        <f>IFERROR(__xludf.DUMMYFUNCTION("""COMPUTED_VALUE"""),4.1001484E7)</f>
        <v>41001484</v>
      </c>
      <c r="C5213" s="21" t="str">
        <f>IFERROR(__xludf.DUMMYFUNCTION("""COMPUTED_VALUE"""),"229867911228")</f>
        <v>229867911228</v>
      </c>
      <c r="D5213" s="21" t="str">
        <f>IFERROR(__xludf.DUMMYFUNCTION("""COMPUTED_VALUE"""),"DIGITEC TECNOLOGIA DIGITAL E REPRES")</f>
        <v>DIGITEC TECNOLOGIA DIGITAL E REPRES</v>
      </c>
      <c r="E5213" s="21">
        <f>IFERROR(__xludf.DUMMYFUNCTION("""COMPUTED_VALUE"""),145359.0)</f>
        <v>145359</v>
      </c>
      <c r="F5213" s="21" t="str">
        <f>IFERROR(__xludf.DUMMYFUNCTION("""COMPUTED_VALUE"""),"INICIALIZADO")</f>
        <v>INICIALIZADO</v>
      </c>
      <c r="G5213" s="23">
        <f>IFERROR(__xludf.DUMMYFUNCTION("""COMPUTED_VALUE"""),45618.74478009259)</f>
        <v>45618.74478</v>
      </c>
      <c r="H5213" s="24" t="str">
        <f>IFERROR(VLOOKUP(B5213,material!A:D,3,0),"")</f>
        <v>4K</v>
      </c>
    </row>
    <row r="5214" ht="11.25" customHeight="1">
      <c r="A5214" s="21" t="str">
        <f>IFERROR(__xludf.DUMMYFUNCTION("""COMPUTED_VALUE"""),"DECODER 4K ULTRA HD DGCI363 COM IG")</f>
        <v>DECODER 4K ULTRA HD DGCI363 COM IG</v>
      </c>
      <c r="B5214" s="22">
        <f>IFERROR(__xludf.DUMMYFUNCTION("""COMPUTED_VALUE"""),4.1001484E7)</f>
        <v>41001484</v>
      </c>
      <c r="C5214" s="21" t="str">
        <f>IFERROR(__xludf.DUMMYFUNCTION("""COMPUTED_VALUE"""),"229796488285")</f>
        <v>229796488285</v>
      </c>
      <c r="D5214" s="21" t="str">
        <f>IFERROR(__xludf.DUMMYFUNCTION("""COMPUTED_VALUE"""),"DIGITEC TECNOLOGIA DIGITAL E REPRES")</f>
        <v>DIGITEC TECNOLOGIA DIGITAL E REPRES</v>
      </c>
      <c r="E5214" s="21">
        <f>IFERROR(__xludf.DUMMYFUNCTION("""COMPUTED_VALUE"""),145359.0)</f>
        <v>145359</v>
      </c>
      <c r="F5214" s="21" t="str">
        <f>IFERROR(__xludf.DUMMYFUNCTION("""COMPUTED_VALUE"""),"INICIALIZADO")</f>
        <v>INICIALIZADO</v>
      </c>
      <c r="G5214" s="23">
        <f>IFERROR(__xludf.DUMMYFUNCTION("""COMPUTED_VALUE"""),45625.653182870374)</f>
        <v>45625.65318</v>
      </c>
      <c r="H5214" s="24" t="str">
        <f>IFERROR(VLOOKUP(B5214,material!A:D,3,0),"")</f>
        <v>4K</v>
      </c>
    </row>
    <row r="5215" ht="11.25" customHeight="1">
      <c r="A5215" s="21" t="str">
        <f>IFERROR(__xludf.DUMMYFUNCTION("""COMPUTED_VALUE"""),"DECODER 4K ULTRA HD DGCI363 COM IG")</f>
        <v>DECODER 4K ULTRA HD DGCI363 COM IG</v>
      </c>
      <c r="B5215" s="22">
        <f>IFERROR(__xludf.DUMMYFUNCTION("""COMPUTED_VALUE"""),4.1001484E7)</f>
        <v>41001484</v>
      </c>
      <c r="C5215" s="21" t="str">
        <f>IFERROR(__xludf.DUMMYFUNCTION("""COMPUTED_VALUE"""),"229802363753")</f>
        <v>229802363753</v>
      </c>
      <c r="D5215" s="21" t="str">
        <f>IFERROR(__xludf.DUMMYFUNCTION("""COMPUTED_VALUE"""),"DIGITEC TECNOLOGIA DIGITAL E REPRES")</f>
        <v>DIGITEC TECNOLOGIA DIGITAL E REPRES</v>
      </c>
      <c r="E5215" s="21">
        <f>IFERROR(__xludf.DUMMYFUNCTION("""COMPUTED_VALUE"""),145359.0)</f>
        <v>145359</v>
      </c>
      <c r="F5215" s="21" t="str">
        <f>IFERROR(__xludf.DUMMYFUNCTION("""COMPUTED_VALUE"""),"INICIALIZADO")</f>
        <v>INICIALIZADO</v>
      </c>
      <c r="G5215" s="23">
        <f>IFERROR(__xludf.DUMMYFUNCTION("""COMPUTED_VALUE"""),45618.74478009259)</f>
        <v>45618.74478</v>
      </c>
      <c r="H5215" s="24" t="str">
        <f>IFERROR(VLOOKUP(B5215,material!A:D,3,0),"")</f>
        <v>4K</v>
      </c>
    </row>
    <row r="5216" ht="11.25" customHeight="1">
      <c r="A5216" s="21" t="str">
        <f>IFERROR(__xludf.DUMMYFUNCTION("""COMPUTED_VALUE"""),"DECODER 4K ULTRA HD DGCI363 COM IG")</f>
        <v>DECODER 4K ULTRA HD DGCI363 COM IG</v>
      </c>
      <c r="B5216" s="22">
        <f>IFERROR(__xludf.DUMMYFUNCTION("""COMPUTED_VALUE"""),4.1001484E7)</f>
        <v>41001484</v>
      </c>
      <c r="C5216" s="21" t="str">
        <f>IFERROR(__xludf.DUMMYFUNCTION("""COMPUTED_VALUE"""),"229798120208")</f>
        <v>229798120208</v>
      </c>
      <c r="D5216" s="21" t="str">
        <f>IFERROR(__xludf.DUMMYFUNCTION("""COMPUTED_VALUE"""),"DIGITEC TECNOLOGIA DIGITAL E REPRES")</f>
        <v>DIGITEC TECNOLOGIA DIGITAL E REPRES</v>
      </c>
      <c r="E5216" s="21">
        <f>IFERROR(__xludf.DUMMYFUNCTION("""COMPUTED_VALUE"""),145359.0)</f>
        <v>145359</v>
      </c>
      <c r="F5216" s="21" t="str">
        <f>IFERROR(__xludf.DUMMYFUNCTION("""COMPUTED_VALUE"""),"INICIALIZADO")</f>
        <v>INICIALIZADO</v>
      </c>
      <c r="G5216" s="23">
        <f>IFERROR(__xludf.DUMMYFUNCTION("""COMPUTED_VALUE"""),45618.74478009259)</f>
        <v>45618.74478</v>
      </c>
      <c r="H5216" s="24" t="str">
        <f>IFERROR(VLOOKUP(B5216,material!A:D,3,0),"")</f>
        <v>4K</v>
      </c>
    </row>
    <row r="5217" ht="11.25" customHeight="1">
      <c r="A5217" s="21" t="str">
        <f>IFERROR(__xludf.DUMMYFUNCTION("""COMPUTED_VALUE"""),"DECODER 4K ULTRA HD DGCI363 COM IG")</f>
        <v>DECODER 4K ULTRA HD DGCI363 COM IG</v>
      </c>
      <c r="B5217" s="22">
        <f>IFERROR(__xludf.DUMMYFUNCTION("""COMPUTED_VALUE"""),4.1001484E7)</f>
        <v>41001484</v>
      </c>
      <c r="C5217" s="21" t="str">
        <f>IFERROR(__xludf.DUMMYFUNCTION("""COMPUTED_VALUE"""),"229801712949")</f>
        <v>229801712949</v>
      </c>
      <c r="D5217" s="21" t="str">
        <f>IFERROR(__xludf.DUMMYFUNCTION("""COMPUTED_VALUE"""),"DIGITEC TECNOLOGIA DIGITAL E REPRES")</f>
        <v>DIGITEC TECNOLOGIA DIGITAL E REPRES</v>
      </c>
      <c r="E5217" s="21">
        <f>IFERROR(__xludf.DUMMYFUNCTION("""COMPUTED_VALUE"""),145359.0)</f>
        <v>145359</v>
      </c>
      <c r="F5217" s="21" t="str">
        <f>IFERROR(__xludf.DUMMYFUNCTION("""COMPUTED_VALUE"""),"INICIALIZADO")</f>
        <v>INICIALIZADO</v>
      </c>
      <c r="G5217" s="23">
        <f>IFERROR(__xludf.DUMMYFUNCTION("""COMPUTED_VALUE"""),45615.61858796296)</f>
        <v>45615.61859</v>
      </c>
      <c r="H5217" s="24" t="str">
        <f>IFERROR(VLOOKUP(B5217,material!A:D,3,0),"")</f>
        <v>4K</v>
      </c>
    </row>
    <row r="5218" ht="11.25" customHeight="1">
      <c r="A5218" s="21" t="str">
        <f>IFERROR(__xludf.DUMMYFUNCTION("""COMPUTED_VALUE"""),"DECODER 4K ULTRA HD DGCI363 COM IG")</f>
        <v>DECODER 4K ULTRA HD DGCI363 COM IG</v>
      </c>
      <c r="B5218" s="22">
        <f>IFERROR(__xludf.DUMMYFUNCTION("""COMPUTED_VALUE"""),4.1001484E7)</f>
        <v>41001484</v>
      </c>
      <c r="C5218" s="21" t="str">
        <f>IFERROR(__xludf.DUMMYFUNCTION("""COMPUTED_VALUE"""),"229802337285")</f>
        <v>229802337285</v>
      </c>
      <c r="D5218" s="21" t="str">
        <f>IFERROR(__xludf.DUMMYFUNCTION("""COMPUTED_VALUE"""),"DIGITEC TECNOLOGIA DIGITAL E REPRES")</f>
        <v>DIGITEC TECNOLOGIA DIGITAL E REPRES</v>
      </c>
      <c r="E5218" s="21">
        <f>IFERROR(__xludf.DUMMYFUNCTION("""COMPUTED_VALUE"""),145359.0)</f>
        <v>145359</v>
      </c>
      <c r="F5218" s="21" t="str">
        <f>IFERROR(__xludf.DUMMYFUNCTION("""COMPUTED_VALUE"""),"INICIALIZADO")</f>
        <v>INICIALIZADO</v>
      </c>
      <c r="G5218" s="23">
        <f>IFERROR(__xludf.DUMMYFUNCTION("""COMPUTED_VALUE"""),45618.74478009259)</f>
        <v>45618.74478</v>
      </c>
      <c r="H5218" s="24" t="str">
        <f>IFERROR(VLOOKUP(B5218,material!A:D,3,0),"")</f>
        <v>4K</v>
      </c>
    </row>
    <row r="5219" ht="11.25" customHeight="1">
      <c r="A5219" s="21" t="str">
        <f>IFERROR(__xludf.DUMMYFUNCTION("""COMPUTED_VALUE"""),"DECODER 4K ULTRA HD DGCI363 COM IG")</f>
        <v>DECODER 4K ULTRA HD DGCI363 COM IG</v>
      </c>
      <c r="B5219" s="22">
        <f>IFERROR(__xludf.DUMMYFUNCTION("""COMPUTED_VALUE"""),4.1001484E7)</f>
        <v>41001484</v>
      </c>
      <c r="C5219" s="21" t="str">
        <f>IFERROR(__xludf.DUMMYFUNCTION("""COMPUTED_VALUE"""),"229867851626")</f>
        <v>229867851626</v>
      </c>
      <c r="D5219" s="21" t="str">
        <f>IFERROR(__xludf.DUMMYFUNCTION("""COMPUTED_VALUE"""),"DIGITEC TECNOLOGIA DIGITAL E REPRES")</f>
        <v>DIGITEC TECNOLOGIA DIGITAL E REPRES</v>
      </c>
      <c r="E5219" s="21">
        <f>IFERROR(__xludf.DUMMYFUNCTION("""COMPUTED_VALUE"""),145359.0)</f>
        <v>145359</v>
      </c>
      <c r="F5219" s="21" t="str">
        <f>IFERROR(__xludf.DUMMYFUNCTION("""COMPUTED_VALUE"""),"INICIALIZADO")</f>
        <v>INICIALIZADO</v>
      </c>
      <c r="G5219" s="23">
        <f>IFERROR(__xludf.DUMMYFUNCTION("""COMPUTED_VALUE"""),45625.653182870374)</f>
        <v>45625.65318</v>
      </c>
      <c r="H5219" s="24" t="str">
        <f>IFERROR(VLOOKUP(B5219,material!A:D,3,0),"")</f>
        <v>4K</v>
      </c>
    </row>
    <row r="5220" ht="11.25" customHeight="1">
      <c r="A5220" s="21" t="str">
        <f>IFERROR(__xludf.DUMMYFUNCTION("""COMPUTED_VALUE"""),"DECODER 4K ULTRA HD DGCI363 COM IG")</f>
        <v>DECODER 4K ULTRA HD DGCI363 COM IG</v>
      </c>
      <c r="B5220" s="22">
        <f>IFERROR(__xludf.DUMMYFUNCTION("""COMPUTED_VALUE"""),4.1001484E7)</f>
        <v>41001484</v>
      </c>
      <c r="C5220" s="21" t="str">
        <f>IFERROR(__xludf.DUMMYFUNCTION("""COMPUTED_VALUE"""),"229878665363")</f>
        <v>229878665363</v>
      </c>
      <c r="D5220" s="21" t="str">
        <f>IFERROR(__xludf.DUMMYFUNCTION("""COMPUTED_VALUE"""),"DIGITEC TECNOLOGIA DIGITAL E REPRES")</f>
        <v>DIGITEC TECNOLOGIA DIGITAL E REPRES</v>
      </c>
      <c r="E5220" s="21">
        <f>IFERROR(__xludf.DUMMYFUNCTION("""COMPUTED_VALUE"""),145359.0)</f>
        <v>145359</v>
      </c>
      <c r="F5220" s="21" t="str">
        <f>IFERROR(__xludf.DUMMYFUNCTION("""COMPUTED_VALUE"""),"INICIALIZADO")</f>
        <v>INICIALIZADO</v>
      </c>
      <c r="G5220" s="23">
        <f>IFERROR(__xludf.DUMMYFUNCTION("""COMPUTED_VALUE"""),45618.74478009259)</f>
        <v>45618.74478</v>
      </c>
      <c r="H5220" s="24" t="str">
        <f>IFERROR(VLOOKUP(B5220,material!A:D,3,0),"")</f>
        <v>4K</v>
      </c>
    </row>
    <row r="5221" ht="11.25" customHeight="1">
      <c r="A5221" s="21" t="str">
        <f>IFERROR(__xludf.DUMMYFUNCTION("""COMPUTED_VALUE"""),"DECODER 4K ULTRA HD DGCI363 COM IG")</f>
        <v>DECODER 4K ULTRA HD DGCI363 COM IG</v>
      </c>
      <c r="B5221" s="22">
        <f>IFERROR(__xludf.DUMMYFUNCTION("""COMPUTED_VALUE"""),4.1001484E7)</f>
        <v>41001484</v>
      </c>
      <c r="C5221" s="21" t="str">
        <f>IFERROR(__xludf.DUMMYFUNCTION("""COMPUTED_VALUE"""),"229867671530")</f>
        <v>229867671530</v>
      </c>
      <c r="D5221" s="21" t="str">
        <f>IFERROR(__xludf.DUMMYFUNCTION("""COMPUTED_VALUE"""),"DIGITEC TECNOLOGIA DIGITAL E REPRES")</f>
        <v>DIGITEC TECNOLOGIA DIGITAL E REPRES</v>
      </c>
      <c r="E5221" s="21">
        <f>IFERROR(__xludf.DUMMYFUNCTION("""COMPUTED_VALUE"""),145359.0)</f>
        <v>145359</v>
      </c>
      <c r="F5221" s="21" t="str">
        <f>IFERROR(__xludf.DUMMYFUNCTION("""COMPUTED_VALUE"""),"INICIALIZADO")</f>
        <v>INICIALIZADO</v>
      </c>
      <c r="G5221" s="23">
        <f>IFERROR(__xludf.DUMMYFUNCTION("""COMPUTED_VALUE"""),45625.653182870374)</f>
        <v>45625.65318</v>
      </c>
      <c r="H5221" s="24" t="str">
        <f>IFERROR(VLOOKUP(B5221,material!A:D,3,0),"")</f>
        <v>4K</v>
      </c>
    </row>
    <row r="5222" ht="11.25" customHeight="1">
      <c r="A5222" s="21" t="str">
        <f>IFERROR(__xludf.DUMMYFUNCTION("""COMPUTED_VALUE"""),"DECODER 4K ULTRA HD DGCI363 COM IG")</f>
        <v>DECODER 4K ULTRA HD DGCI363 COM IG</v>
      </c>
      <c r="B5222" s="22">
        <f>IFERROR(__xludf.DUMMYFUNCTION("""COMPUTED_VALUE"""),4.1001484E7)</f>
        <v>41001484</v>
      </c>
      <c r="C5222" s="21" t="str">
        <f>IFERROR(__xludf.DUMMYFUNCTION("""COMPUTED_VALUE"""),"229867820310")</f>
        <v>229867820310</v>
      </c>
      <c r="D5222" s="21" t="str">
        <f>IFERROR(__xludf.DUMMYFUNCTION("""COMPUTED_VALUE"""),"DIGITEC TECNOLOGIA DIGITAL E REPRES")</f>
        <v>DIGITEC TECNOLOGIA DIGITAL E REPRES</v>
      </c>
      <c r="E5222" s="21">
        <f>IFERROR(__xludf.DUMMYFUNCTION("""COMPUTED_VALUE"""),145359.0)</f>
        <v>145359</v>
      </c>
      <c r="F5222" s="21" t="str">
        <f>IFERROR(__xludf.DUMMYFUNCTION("""COMPUTED_VALUE"""),"INICIALIZADO")</f>
        <v>INICIALIZADO</v>
      </c>
      <c r="G5222" s="23">
        <f>IFERROR(__xludf.DUMMYFUNCTION("""COMPUTED_VALUE"""),45618.74478009259)</f>
        <v>45618.74478</v>
      </c>
      <c r="H5222" s="24" t="str">
        <f>IFERROR(VLOOKUP(B5222,material!A:D,3,0),"")</f>
        <v>4K</v>
      </c>
    </row>
    <row r="5223" ht="11.25" customHeight="1">
      <c r="A5223" s="21" t="str">
        <f>IFERROR(__xludf.DUMMYFUNCTION("""COMPUTED_VALUE"""),"DECODER 4K ULTRA HD DGCI363 COM IG")</f>
        <v>DECODER 4K ULTRA HD DGCI363 COM IG</v>
      </c>
      <c r="B5223" s="22">
        <f>IFERROR(__xludf.DUMMYFUNCTION("""COMPUTED_VALUE"""),4.1001484E7)</f>
        <v>41001484</v>
      </c>
      <c r="C5223" s="21" t="str">
        <f>IFERROR(__xludf.DUMMYFUNCTION("""COMPUTED_VALUE"""),"229791619012")</f>
        <v>229791619012</v>
      </c>
      <c r="D5223" s="21" t="str">
        <f>IFERROR(__xludf.DUMMYFUNCTION("""COMPUTED_VALUE"""),"DIGITEC TECNOLOGIA DIGITAL E REPRES")</f>
        <v>DIGITEC TECNOLOGIA DIGITAL E REPRES</v>
      </c>
      <c r="E5223" s="21">
        <f>IFERROR(__xludf.DUMMYFUNCTION("""COMPUTED_VALUE"""),145359.0)</f>
        <v>145359</v>
      </c>
      <c r="F5223" s="21" t="str">
        <f>IFERROR(__xludf.DUMMYFUNCTION("""COMPUTED_VALUE"""),"INICIALIZADO")</f>
        <v>INICIALIZADO</v>
      </c>
      <c r="G5223" s="23">
        <f>IFERROR(__xludf.DUMMYFUNCTION("""COMPUTED_VALUE"""),45625.653182870374)</f>
        <v>45625.65318</v>
      </c>
      <c r="H5223" s="24" t="str">
        <f>IFERROR(VLOOKUP(B5223,material!A:D,3,0),"")</f>
        <v>4K</v>
      </c>
    </row>
    <row r="5224" ht="11.25" customHeight="1">
      <c r="A5224" s="21" t="str">
        <f>IFERROR(__xludf.DUMMYFUNCTION("""COMPUTED_VALUE"""),"DECODER 4K ULTRA HD DGCI363 COM IG")</f>
        <v>DECODER 4K ULTRA HD DGCI363 COM IG</v>
      </c>
      <c r="B5224" s="22">
        <f>IFERROR(__xludf.DUMMYFUNCTION("""COMPUTED_VALUE"""),4.1001484E7)</f>
        <v>41001484</v>
      </c>
      <c r="C5224" s="21" t="str">
        <f>IFERROR(__xludf.DUMMYFUNCTION("""COMPUTED_VALUE"""),"229796298794")</f>
        <v>229796298794</v>
      </c>
      <c r="D5224" s="21" t="str">
        <f>IFERROR(__xludf.DUMMYFUNCTION("""COMPUTED_VALUE"""),"DIGITEC TECNOLOGIA DIGITAL E REPRES")</f>
        <v>DIGITEC TECNOLOGIA DIGITAL E REPRES</v>
      </c>
      <c r="E5224" s="21">
        <f>IFERROR(__xludf.DUMMYFUNCTION("""COMPUTED_VALUE"""),145359.0)</f>
        <v>145359</v>
      </c>
      <c r="F5224" s="21" t="str">
        <f>IFERROR(__xludf.DUMMYFUNCTION("""COMPUTED_VALUE"""),"INICIALIZADO")</f>
        <v>INICIALIZADO</v>
      </c>
      <c r="G5224" s="23">
        <f>IFERROR(__xludf.DUMMYFUNCTION("""COMPUTED_VALUE"""),45618.74478009259)</f>
        <v>45618.74478</v>
      </c>
      <c r="H5224" s="24" t="str">
        <f>IFERROR(VLOOKUP(B5224,material!A:D,3,0),"")</f>
        <v>4K</v>
      </c>
    </row>
    <row r="5225" ht="11.25" customHeight="1">
      <c r="A5225" s="21" t="str">
        <f>IFERROR(__xludf.DUMMYFUNCTION("""COMPUTED_VALUE"""),"DECODER 4K ULTRA HD DGCI363 COM IG")</f>
        <v>DECODER 4K ULTRA HD DGCI363 COM IG</v>
      </c>
      <c r="B5225" s="22">
        <f>IFERROR(__xludf.DUMMYFUNCTION("""COMPUTED_VALUE"""),4.1001484E7)</f>
        <v>41001484</v>
      </c>
      <c r="C5225" s="21" t="str">
        <f>IFERROR(__xludf.DUMMYFUNCTION("""COMPUTED_VALUE"""),"229879074146")</f>
        <v>229879074146</v>
      </c>
      <c r="D5225" s="21" t="str">
        <f>IFERROR(__xludf.DUMMYFUNCTION("""COMPUTED_VALUE"""),"DIGITEC TECNOLOGIA DIGITAL E REPRES")</f>
        <v>DIGITEC TECNOLOGIA DIGITAL E REPRES</v>
      </c>
      <c r="E5225" s="21">
        <f>IFERROR(__xludf.DUMMYFUNCTION("""COMPUTED_VALUE"""),145359.0)</f>
        <v>145359</v>
      </c>
      <c r="F5225" s="21" t="str">
        <f>IFERROR(__xludf.DUMMYFUNCTION("""COMPUTED_VALUE"""),"INICIALIZADO")</f>
        <v>INICIALIZADO</v>
      </c>
      <c r="G5225" s="23">
        <f>IFERROR(__xludf.DUMMYFUNCTION("""COMPUTED_VALUE"""),45618.74478009259)</f>
        <v>45618.74478</v>
      </c>
      <c r="H5225" s="24" t="str">
        <f>IFERROR(VLOOKUP(B5225,material!A:D,3,0),"")</f>
        <v>4K</v>
      </c>
    </row>
    <row r="5226" ht="11.25" customHeight="1">
      <c r="A5226" s="21" t="str">
        <f>IFERROR(__xludf.DUMMYFUNCTION("""COMPUTED_VALUE"""),"DECODER 4K ULTRA HD DGCI363 COM IG")</f>
        <v>DECODER 4K ULTRA HD DGCI363 COM IG</v>
      </c>
      <c r="B5226" s="22">
        <f>IFERROR(__xludf.DUMMYFUNCTION("""COMPUTED_VALUE"""),4.1001484E7)</f>
        <v>41001484</v>
      </c>
      <c r="C5226" s="21" t="str">
        <f>IFERROR(__xludf.DUMMYFUNCTION("""COMPUTED_VALUE"""),"229878406269")</f>
        <v>229878406269</v>
      </c>
      <c r="D5226" s="21" t="str">
        <f>IFERROR(__xludf.DUMMYFUNCTION("""COMPUTED_VALUE"""),"DIGITEC TECNOLOGIA DIGITAL E REPRES")</f>
        <v>DIGITEC TECNOLOGIA DIGITAL E REPRES</v>
      </c>
      <c r="E5226" s="21">
        <f>IFERROR(__xludf.DUMMYFUNCTION("""COMPUTED_VALUE"""),145359.0)</f>
        <v>145359</v>
      </c>
      <c r="F5226" s="21" t="str">
        <f>IFERROR(__xludf.DUMMYFUNCTION("""COMPUTED_VALUE"""),"INICIALIZADO")</f>
        <v>INICIALIZADO</v>
      </c>
      <c r="G5226" s="23">
        <f>IFERROR(__xludf.DUMMYFUNCTION("""COMPUTED_VALUE"""),45618.74478009259)</f>
        <v>45618.74478</v>
      </c>
      <c r="H5226" s="24" t="str">
        <f>IFERROR(VLOOKUP(B5226,material!A:D,3,0),"")</f>
        <v>4K</v>
      </c>
    </row>
    <row r="5227" ht="11.25" customHeight="1">
      <c r="A5227" s="21" t="str">
        <f>IFERROR(__xludf.DUMMYFUNCTION("""COMPUTED_VALUE"""),"DECODER 4K ULTRA HD DGCI363 COM IG")</f>
        <v>DECODER 4K ULTRA HD DGCI363 COM IG</v>
      </c>
      <c r="B5227" s="22">
        <f>IFERROR(__xludf.DUMMYFUNCTION("""COMPUTED_VALUE"""),4.1001484E7)</f>
        <v>41001484</v>
      </c>
      <c r="C5227" s="21" t="str">
        <f>IFERROR(__xludf.DUMMYFUNCTION("""COMPUTED_VALUE"""),"229878283452")</f>
        <v>229878283452</v>
      </c>
      <c r="D5227" s="21" t="str">
        <f>IFERROR(__xludf.DUMMYFUNCTION("""COMPUTED_VALUE"""),"DIGITEC TECNOLOGIA DIGITAL E REPRES")</f>
        <v>DIGITEC TECNOLOGIA DIGITAL E REPRES</v>
      </c>
      <c r="E5227" s="21">
        <f>IFERROR(__xludf.DUMMYFUNCTION("""COMPUTED_VALUE"""),145359.0)</f>
        <v>145359</v>
      </c>
      <c r="F5227" s="21" t="str">
        <f>IFERROR(__xludf.DUMMYFUNCTION("""COMPUTED_VALUE"""),"INICIALIZADO")</f>
        <v>INICIALIZADO</v>
      </c>
      <c r="G5227" s="23">
        <f>IFERROR(__xludf.DUMMYFUNCTION("""COMPUTED_VALUE"""),45625.6531712963)</f>
        <v>45625.65317</v>
      </c>
      <c r="H5227" s="24" t="str">
        <f>IFERROR(VLOOKUP(B5227,material!A:D,3,0),"")</f>
        <v>4K</v>
      </c>
    </row>
    <row r="5228" ht="11.25" customHeight="1">
      <c r="A5228" s="21" t="str">
        <f>IFERROR(__xludf.DUMMYFUNCTION("""COMPUTED_VALUE"""),"DECODER 4K ULTRA HD DGCI363 COM IG")</f>
        <v>DECODER 4K ULTRA HD DGCI363 COM IG</v>
      </c>
      <c r="B5228" s="22">
        <f>IFERROR(__xludf.DUMMYFUNCTION("""COMPUTED_VALUE"""),4.1001484E7)</f>
        <v>41001484</v>
      </c>
      <c r="C5228" s="21" t="str">
        <f>IFERROR(__xludf.DUMMYFUNCTION("""COMPUTED_VALUE"""),"229879047375")</f>
        <v>229879047375</v>
      </c>
      <c r="D5228" s="21" t="str">
        <f>IFERROR(__xludf.DUMMYFUNCTION("""COMPUTED_VALUE"""),"DIGITEC TECNOLOGIA DIGITAL E REPRES")</f>
        <v>DIGITEC TECNOLOGIA DIGITAL E REPRES</v>
      </c>
      <c r="E5228" s="21">
        <f>IFERROR(__xludf.DUMMYFUNCTION("""COMPUTED_VALUE"""),145359.0)</f>
        <v>145359</v>
      </c>
      <c r="F5228" s="21" t="str">
        <f>IFERROR(__xludf.DUMMYFUNCTION("""COMPUTED_VALUE"""),"INICIALIZADO")</f>
        <v>INICIALIZADO</v>
      </c>
      <c r="G5228" s="23">
        <f>IFERROR(__xludf.DUMMYFUNCTION("""COMPUTED_VALUE"""),45618.74478009259)</f>
        <v>45618.74478</v>
      </c>
      <c r="H5228" s="24" t="str">
        <f>IFERROR(VLOOKUP(B5228,material!A:D,3,0),"")</f>
        <v>4K</v>
      </c>
    </row>
    <row r="5229" ht="11.25" customHeight="1">
      <c r="A5229" s="21" t="str">
        <f>IFERROR(__xludf.DUMMYFUNCTION("""COMPUTED_VALUE"""),"DECODER 4K ULTRA HD DGCI363 COM IG")</f>
        <v>DECODER 4K ULTRA HD DGCI363 COM IG</v>
      </c>
      <c r="B5229" s="22">
        <f>IFERROR(__xludf.DUMMYFUNCTION("""COMPUTED_VALUE"""),4.1001484E7)</f>
        <v>41001484</v>
      </c>
      <c r="C5229" s="21" t="str">
        <f>IFERROR(__xludf.DUMMYFUNCTION("""COMPUTED_VALUE"""),"229916929008")</f>
        <v>229916929008</v>
      </c>
      <c r="D5229" s="21" t="str">
        <f>IFERROR(__xludf.DUMMYFUNCTION("""COMPUTED_VALUE"""),"DIGITEC TECNOLOGIA DIGITAL E REPRES")</f>
        <v>DIGITEC TECNOLOGIA DIGITAL E REPRES</v>
      </c>
      <c r="E5229" s="21">
        <f>IFERROR(__xludf.DUMMYFUNCTION("""COMPUTED_VALUE"""),145359.0)</f>
        <v>145359</v>
      </c>
      <c r="F5229" s="21" t="str">
        <f>IFERROR(__xludf.DUMMYFUNCTION("""COMPUTED_VALUE"""),"INICIALIZADO")</f>
        <v>INICIALIZADO</v>
      </c>
      <c r="G5229" s="23">
        <f>IFERROR(__xludf.DUMMYFUNCTION("""COMPUTED_VALUE"""),45625.6531712963)</f>
        <v>45625.65317</v>
      </c>
      <c r="H5229" s="24" t="str">
        <f>IFERROR(VLOOKUP(B5229,material!A:D,3,0),"")</f>
        <v>4K</v>
      </c>
    </row>
    <row r="5230" ht="11.25" customHeight="1">
      <c r="A5230" s="21" t="str">
        <f>IFERROR(__xludf.DUMMYFUNCTION("""COMPUTED_VALUE"""),"DECODER 4K ULTRA HD DGCI363 COM IG")</f>
        <v>DECODER 4K ULTRA HD DGCI363 COM IG</v>
      </c>
      <c r="B5230" s="22">
        <f>IFERROR(__xludf.DUMMYFUNCTION("""COMPUTED_VALUE"""),4.1001484E7)</f>
        <v>41001484</v>
      </c>
      <c r="C5230" s="21" t="str">
        <f>IFERROR(__xludf.DUMMYFUNCTION("""COMPUTED_VALUE"""),"229797942738")</f>
        <v>229797942738</v>
      </c>
      <c r="D5230" s="21" t="str">
        <f>IFERROR(__xludf.DUMMYFUNCTION("""COMPUTED_VALUE"""),"DIGITEC TECNOLOGIA DIGITAL E REPRES")</f>
        <v>DIGITEC TECNOLOGIA DIGITAL E REPRES</v>
      </c>
      <c r="E5230" s="21">
        <f>IFERROR(__xludf.DUMMYFUNCTION("""COMPUTED_VALUE"""),145359.0)</f>
        <v>145359</v>
      </c>
      <c r="F5230" s="21" t="str">
        <f>IFERROR(__xludf.DUMMYFUNCTION("""COMPUTED_VALUE"""),"INICIALIZADO")</f>
        <v>INICIALIZADO</v>
      </c>
      <c r="G5230" s="23">
        <f>IFERROR(__xludf.DUMMYFUNCTION("""COMPUTED_VALUE"""),45597.41777777778)</f>
        <v>45597.41778</v>
      </c>
      <c r="H5230" s="24" t="str">
        <f>IFERROR(VLOOKUP(B5230,material!A:D,3,0),"")</f>
        <v>4K</v>
      </c>
    </row>
    <row r="5231" ht="11.25" customHeight="1">
      <c r="A5231" s="21" t="str">
        <f>IFERROR(__xludf.DUMMYFUNCTION("""COMPUTED_VALUE"""),"DECODER 4K ULTRA HD DGCI363 COM IG")</f>
        <v>DECODER 4K ULTRA HD DGCI363 COM IG</v>
      </c>
      <c r="B5231" s="22">
        <f>IFERROR(__xludf.DUMMYFUNCTION("""COMPUTED_VALUE"""),4.1001484E7)</f>
        <v>41001484</v>
      </c>
      <c r="C5231" s="21" t="str">
        <f>IFERROR(__xludf.DUMMYFUNCTION("""COMPUTED_VALUE"""),"229818209710")</f>
        <v>229818209710</v>
      </c>
      <c r="D5231" s="21" t="str">
        <f>IFERROR(__xludf.DUMMYFUNCTION("""COMPUTED_VALUE"""),"DIGITEC TECNOLOGIA DIGITAL E REPRES")</f>
        <v>DIGITEC TECNOLOGIA DIGITAL E REPRES</v>
      </c>
      <c r="E5231" s="21">
        <f>IFERROR(__xludf.DUMMYFUNCTION("""COMPUTED_VALUE"""),145359.0)</f>
        <v>145359</v>
      </c>
      <c r="F5231" s="21" t="str">
        <f>IFERROR(__xludf.DUMMYFUNCTION("""COMPUTED_VALUE"""),"INICIALIZADO")</f>
        <v>INICIALIZADO</v>
      </c>
      <c r="G5231" s="23">
        <f>IFERROR(__xludf.DUMMYFUNCTION("""COMPUTED_VALUE"""),45625.653182870374)</f>
        <v>45625.65318</v>
      </c>
      <c r="H5231" s="24" t="str">
        <f>IFERROR(VLOOKUP(B5231,material!A:D,3,0),"")</f>
        <v>4K</v>
      </c>
    </row>
    <row r="5232" ht="11.25" customHeight="1">
      <c r="A5232" s="21" t="str">
        <f>IFERROR(__xludf.DUMMYFUNCTION("""COMPUTED_VALUE"""),"DECODER 4K ULTRA HD DGCI363 COM IG")</f>
        <v>DECODER 4K ULTRA HD DGCI363 COM IG</v>
      </c>
      <c r="B5232" s="22">
        <f>IFERROR(__xludf.DUMMYFUNCTION("""COMPUTED_VALUE"""),4.1001484E7)</f>
        <v>41001484</v>
      </c>
      <c r="C5232" s="21" t="str">
        <f>IFERROR(__xludf.DUMMYFUNCTION("""COMPUTED_VALUE"""),"229818212943")</f>
        <v>229818212943</v>
      </c>
      <c r="D5232" s="21" t="str">
        <f>IFERROR(__xludf.DUMMYFUNCTION("""COMPUTED_VALUE"""),"DIGITEC TECNOLOGIA DIGITAL E REPRES")</f>
        <v>DIGITEC TECNOLOGIA DIGITAL E REPRES</v>
      </c>
      <c r="E5232" s="21">
        <f>IFERROR(__xludf.DUMMYFUNCTION("""COMPUTED_VALUE"""),145359.0)</f>
        <v>145359</v>
      </c>
      <c r="F5232" s="21" t="str">
        <f>IFERROR(__xludf.DUMMYFUNCTION("""COMPUTED_VALUE"""),"INICIALIZADO")</f>
        <v>INICIALIZADO</v>
      </c>
      <c r="G5232" s="23">
        <f>IFERROR(__xludf.DUMMYFUNCTION("""COMPUTED_VALUE"""),45615.61858796296)</f>
        <v>45615.61859</v>
      </c>
      <c r="H5232" s="24" t="str">
        <f>IFERROR(VLOOKUP(B5232,material!A:D,3,0),"")</f>
        <v>4K</v>
      </c>
    </row>
    <row r="5233" ht="11.25" customHeight="1">
      <c r="A5233" s="21" t="str">
        <f>IFERROR(__xludf.DUMMYFUNCTION("""COMPUTED_VALUE"""),"DECODER 4K ULTRA HD DGCI363 COM IG")</f>
        <v>DECODER 4K ULTRA HD DGCI363 COM IG</v>
      </c>
      <c r="B5233" s="22">
        <f>IFERROR(__xludf.DUMMYFUNCTION("""COMPUTED_VALUE"""),4.1001484E7)</f>
        <v>41001484</v>
      </c>
      <c r="C5233" s="21" t="str">
        <f>IFERROR(__xludf.DUMMYFUNCTION("""COMPUTED_VALUE"""),"229849357373")</f>
        <v>229849357373</v>
      </c>
      <c r="D5233" s="21" t="str">
        <f>IFERROR(__xludf.DUMMYFUNCTION("""COMPUTED_VALUE"""),"DIGITEC TECNOLOGIA DIGITAL E REPRES")</f>
        <v>DIGITEC TECNOLOGIA DIGITAL E REPRES</v>
      </c>
      <c r="E5233" s="21">
        <f>IFERROR(__xludf.DUMMYFUNCTION("""COMPUTED_VALUE"""),145359.0)</f>
        <v>145359</v>
      </c>
      <c r="F5233" s="21" t="str">
        <f>IFERROR(__xludf.DUMMYFUNCTION("""COMPUTED_VALUE"""),"INICIALIZADO")</f>
        <v>INICIALIZADO</v>
      </c>
      <c r="G5233" s="23">
        <f>IFERROR(__xludf.DUMMYFUNCTION("""COMPUTED_VALUE"""),45618.74478009259)</f>
        <v>45618.74478</v>
      </c>
      <c r="H5233" s="24" t="str">
        <f>IFERROR(VLOOKUP(B5233,material!A:D,3,0),"")</f>
        <v>4K</v>
      </c>
    </row>
    <row r="5234" ht="11.25" customHeight="1">
      <c r="A5234" s="21" t="str">
        <f>IFERROR(__xludf.DUMMYFUNCTION("""COMPUTED_VALUE"""),"DECODER 4K ULTRA HD DGCI363 COM IG")</f>
        <v>DECODER 4K ULTRA HD DGCI363 COM IG</v>
      </c>
      <c r="B5234" s="22">
        <f>IFERROR(__xludf.DUMMYFUNCTION("""COMPUTED_VALUE"""),4.1001484E7)</f>
        <v>41001484</v>
      </c>
      <c r="C5234" s="21" t="str">
        <f>IFERROR(__xludf.DUMMYFUNCTION("""COMPUTED_VALUE"""),"229819883959")</f>
        <v>229819883959</v>
      </c>
      <c r="D5234" s="21" t="str">
        <f>IFERROR(__xludf.DUMMYFUNCTION("""COMPUTED_VALUE"""),"DIGITEC TECNOLOGIA DIGITAL E REPRES")</f>
        <v>DIGITEC TECNOLOGIA DIGITAL E REPRES</v>
      </c>
      <c r="E5234" s="21">
        <f>IFERROR(__xludf.DUMMYFUNCTION("""COMPUTED_VALUE"""),145359.0)</f>
        <v>145359</v>
      </c>
      <c r="F5234" s="21" t="str">
        <f>IFERROR(__xludf.DUMMYFUNCTION("""COMPUTED_VALUE"""),"INICIALIZADO")</f>
        <v>INICIALIZADO</v>
      </c>
      <c r="G5234" s="23">
        <f>IFERROR(__xludf.DUMMYFUNCTION("""COMPUTED_VALUE"""),45615.61858796296)</f>
        <v>45615.61859</v>
      </c>
      <c r="H5234" s="24" t="str">
        <f>IFERROR(VLOOKUP(B5234,material!A:D,3,0),"")</f>
        <v>4K</v>
      </c>
    </row>
    <row r="5235" ht="11.25" customHeight="1">
      <c r="A5235" s="21" t="str">
        <f>IFERROR(__xludf.DUMMYFUNCTION("""COMPUTED_VALUE"""),"DECODER 4K ULTRA HD DGCI363 COM IG")</f>
        <v>DECODER 4K ULTRA HD DGCI363 COM IG</v>
      </c>
      <c r="B5235" s="22">
        <f>IFERROR(__xludf.DUMMYFUNCTION("""COMPUTED_VALUE"""),4.1001484E7)</f>
        <v>41001484</v>
      </c>
      <c r="C5235" s="21" t="str">
        <f>IFERROR(__xludf.DUMMYFUNCTION("""COMPUTED_VALUE"""),"229820485869")</f>
        <v>229820485869</v>
      </c>
      <c r="D5235" s="21" t="str">
        <f>IFERROR(__xludf.DUMMYFUNCTION("""COMPUTED_VALUE"""),"DIGITEC TECNOLOGIA DIGITAL E REPRES")</f>
        <v>DIGITEC TECNOLOGIA DIGITAL E REPRES</v>
      </c>
      <c r="E5235" s="21">
        <f>IFERROR(__xludf.DUMMYFUNCTION("""COMPUTED_VALUE"""),145359.0)</f>
        <v>145359</v>
      </c>
      <c r="F5235" s="21" t="str">
        <f>IFERROR(__xludf.DUMMYFUNCTION("""COMPUTED_VALUE"""),"INICIALIZADO")</f>
        <v>INICIALIZADO</v>
      </c>
      <c r="G5235" s="23">
        <f>IFERROR(__xludf.DUMMYFUNCTION("""COMPUTED_VALUE"""),45618.74478009259)</f>
        <v>45618.74478</v>
      </c>
      <c r="H5235" s="24" t="str">
        <f>IFERROR(VLOOKUP(B5235,material!A:D,3,0),"")</f>
        <v>4K</v>
      </c>
    </row>
    <row r="5236" ht="11.25" customHeight="1">
      <c r="A5236" s="21" t="str">
        <f>IFERROR(__xludf.DUMMYFUNCTION("""COMPUTED_VALUE"""),"DECODER 4K ULTRA HD DGCI363 COM IG")</f>
        <v>DECODER 4K ULTRA HD DGCI363 COM IG</v>
      </c>
      <c r="B5236" s="22">
        <f>IFERROR(__xludf.DUMMYFUNCTION("""COMPUTED_VALUE"""),4.1001484E7)</f>
        <v>41001484</v>
      </c>
      <c r="C5236" s="21" t="str">
        <f>IFERROR(__xludf.DUMMYFUNCTION("""COMPUTED_VALUE"""),"229820366183")</f>
        <v>229820366183</v>
      </c>
      <c r="D5236" s="21" t="str">
        <f>IFERROR(__xludf.DUMMYFUNCTION("""COMPUTED_VALUE"""),"DIGITEC TECNOLOGIA DIGITAL E REPRES")</f>
        <v>DIGITEC TECNOLOGIA DIGITAL E REPRES</v>
      </c>
      <c r="E5236" s="21">
        <f>IFERROR(__xludf.DUMMYFUNCTION("""COMPUTED_VALUE"""),145359.0)</f>
        <v>145359</v>
      </c>
      <c r="F5236" s="21" t="str">
        <f>IFERROR(__xludf.DUMMYFUNCTION("""COMPUTED_VALUE"""),"INICIALIZADO")</f>
        <v>INICIALIZADO</v>
      </c>
      <c r="G5236" s="23">
        <f>IFERROR(__xludf.DUMMYFUNCTION("""COMPUTED_VALUE"""),45625.653182870374)</f>
        <v>45625.65318</v>
      </c>
      <c r="H5236" s="24" t="str">
        <f>IFERROR(VLOOKUP(B5236,material!A:D,3,0),"")</f>
        <v>4K</v>
      </c>
    </row>
    <row r="5237" ht="11.25" customHeight="1">
      <c r="A5237" s="21" t="str">
        <f>IFERROR(__xludf.DUMMYFUNCTION("""COMPUTED_VALUE"""),"DECODER 4K ULTRA HD DGCI363 COM IG")</f>
        <v>DECODER 4K ULTRA HD DGCI363 COM IG</v>
      </c>
      <c r="B5237" s="22">
        <f>IFERROR(__xludf.DUMMYFUNCTION("""COMPUTED_VALUE"""),4.1001484E7)</f>
        <v>41001484</v>
      </c>
      <c r="C5237" s="21" t="str">
        <f>IFERROR(__xludf.DUMMYFUNCTION("""COMPUTED_VALUE"""),"229820812041")</f>
        <v>229820812041</v>
      </c>
      <c r="D5237" s="21" t="str">
        <f>IFERROR(__xludf.DUMMYFUNCTION("""COMPUTED_VALUE"""),"DIGITEC TECNOLOGIA DIGITAL E REPRES")</f>
        <v>DIGITEC TECNOLOGIA DIGITAL E REPRES</v>
      </c>
      <c r="E5237" s="21">
        <f>IFERROR(__xludf.DUMMYFUNCTION("""COMPUTED_VALUE"""),145359.0)</f>
        <v>145359</v>
      </c>
      <c r="F5237" s="21" t="str">
        <f>IFERROR(__xludf.DUMMYFUNCTION("""COMPUTED_VALUE"""),"INICIALIZADO")</f>
        <v>INICIALIZADO</v>
      </c>
      <c r="G5237" s="23">
        <f>IFERROR(__xludf.DUMMYFUNCTION("""COMPUTED_VALUE"""),45615.61858796296)</f>
        <v>45615.61859</v>
      </c>
      <c r="H5237" s="24" t="str">
        <f>IFERROR(VLOOKUP(B5237,material!A:D,3,0),"")</f>
        <v>4K</v>
      </c>
    </row>
    <row r="5238" ht="11.25" customHeight="1">
      <c r="A5238" s="21" t="str">
        <f>IFERROR(__xludf.DUMMYFUNCTION("""COMPUTED_VALUE"""),"DECODER 4K ULTRA HD DGCI363 COM IG")</f>
        <v>DECODER 4K ULTRA HD DGCI363 COM IG</v>
      </c>
      <c r="B5238" s="22">
        <f>IFERROR(__xludf.DUMMYFUNCTION("""COMPUTED_VALUE"""),4.1001484E7)</f>
        <v>41001484</v>
      </c>
      <c r="C5238" s="21" t="str">
        <f>IFERROR(__xludf.DUMMYFUNCTION("""COMPUTED_VALUE"""),"229820762238")</f>
        <v>229820762238</v>
      </c>
      <c r="D5238" s="21" t="str">
        <f>IFERROR(__xludf.DUMMYFUNCTION("""COMPUTED_VALUE"""),"DIGITEC TECNOLOGIA DIGITAL E REPRES")</f>
        <v>DIGITEC TECNOLOGIA DIGITAL E REPRES</v>
      </c>
      <c r="E5238" s="21">
        <f>IFERROR(__xludf.DUMMYFUNCTION("""COMPUTED_VALUE"""),145359.0)</f>
        <v>145359</v>
      </c>
      <c r="F5238" s="21" t="str">
        <f>IFERROR(__xludf.DUMMYFUNCTION("""COMPUTED_VALUE"""),"INICIALIZADO")</f>
        <v>INICIALIZADO</v>
      </c>
      <c r="G5238" s="23">
        <f>IFERROR(__xludf.DUMMYFUNCTION("""COMPUTED_VALUE"""),45625.653182870374)</f>
        <v>45625.65318</v>
      </c>
      <c r="H5238" s="24" t="str">
        <f>IFERROR(VLOOKUP(B5238,material!A:D,3,0),"")</f>
        <v>4K</v>
      </c>
    </row>
    <row r="5239" ht="11.25" customHeight="1">
      <c r="A5239" s="21" t="str">
        <f>IFERROR(__xludf.DUMMYFUNCTION("""COMPUTED_VALUE"""),"DECODER 4K ULTRA HD DGCI363 COM IG")</f>
        <v>DECODER 4K ULTRA HD DGCI363 COM IG</v>
      </c>
      <c r="B5239" s="22">
        <f>IFERROR(__xludf.DUMMYFUNCTION("""COMPUTED_VALUE"""),4.1001484E7)</f>
        <v>41001484</v>
      </c>
      <c r="C5239" s="21" t="str">
        <f>IFERROR(__xludf.DUMMYFUNCTION("""COMPUTED_VALUE"""),"229844605765")</f>
        <v>229844605765</v>
      </c>
      <c r="D5239" s="21" t="str">
        <f>IFERROR(__xludf.DUMMYFUNCTION("""COMPUTED_VALUE"""),"DIGITEC TECNOLOGIA DIGITAL E REPRES")</f>
        <v>DIGITEC TECNOLOGIA DIGITAL E REPRES</v>
      </c>
      <c r="E5239" s="21">
        <f>IFERROR(__xludf.DUMMYFUNCTION("""COMPUTED_VALUE"""),145359.0)</f>
        <v>145359</v>
      </c>
      <c r="F5239" s="21" t="str">
        <f>IFERROR(__xludf.DUMMYFUNCTION("""COMPUTED_VALUE"""),"INICIALIZADO")</f>
        <v>INICIALIZADO</v>
      </c>
      <c r="G5239" s="23">
        <f>IFERROR(__xludf.DUMMYFUNCTION("""COMPUTED_VALUE"""),45618.74478009259)</f>
        <v>45618.74478</v>
      </c>
      <c r="H5239" s="24" t="str">
        <f>IFERROR(VLOOKUP(B5239,material!A:D,3,0),"")</f>
        <v>4K</v>
      </c>
    </row>
    <row r="5240" ht="11.25" customHeight="1">
      <c r="A5240" s="21" t="str">
        <f>IFERROR(__xludf.DUMMYFUNCTION("""COMPUTED_VALUE"""),"DECODER 4K ULTRA HD DGCI363 COM IG")</f>
        <v>DECODER 4K ULTRA HD DGCI363 COM IG</v>
      </c>
      <c r="B5240" s="22">
        <f>IFERROR(__xludf.DUMMYFUNCTION("""COMPUTED_VALUE"""),4.1001484E7)</f>
        <v>41001484</v>
      </c>
      <c r="C5240" s="21" t="str">
        <f>IFERROR(__xludf.DUMMYFUNCTION("""COMPUTED_VALUE"""),"229848559103")</f>
        <v>229848559103</v>
      </c>
      <c r="D5240" s="21" t="str">
        <f>IFERROR(__xludf.DUMMYFUNCTION("""COMPUTED_VALUE"""),"DIGITEC TECNOLOGIA DIGITAL E REPRES")</f>
        <v>DIGITEC TECNOLOGIA DIGITAL E REPRES</v>
      </c>
      <c r="E5240" s="21">
        <f>IFERROR(__xludf.DUMMYFUNCTION("""COMPUTED_VALUE"""),145359.0)</f>
        <v>145359</v>
      </c>
      <c r="F5240" s="21" t="str">
        <f>IFERROR(__xludf.DUMMYFUNCTION("""COMPUTED_VALUE"""),"INICIALIZADO")</f>
        <v>INICIALIZADO</v>
      </c>
      <c r="G5240" s="23">
        <f>IFERROR(__xludf.DUMMYFUNCTION("""COMPUTED_VALUE"""),45618.74478009259)</f>
        <v>45618.74478</v>
      </c>
      <c r="H5240" s="24" t="str">
        <f>IFERROR(VLOOKUP(B5240,material!A:D,3,0),"")</f>
        <v>4K</v>
      </c>
    </row>
    <row r="5241" ht="11.25" customHeight="1">
      <c r="A5241" s="21" t="str">
        <f>IFERROR(__xludf.DUMMYFUNCTION("""COMPUTED_VALUE"""),"DECODER 4K ULTRA HD DGCI363 COM IG")</f>
        <v>DECODER 4K ULTRA HD DGCI363 COM IG</v>
      </c>
      <c r="B5241" s="22">
        <f>IFERROR(__xludf.DUMMYFUNCTION("""COMPUTED_VALUE"""),4.1001484E7)</f>
        <v>41001484</v>
      </c>
      <c r="C5241" s="21" t="str">
        <f>IFERROR(__xludf.DUMMYFUNCTION("""COMPUTED_VALUE"""),"229849644147")</f>
        <v>229849644147</v>
      </c>
      <c r="D5241" s="21" t="str">
        <f>IFERROR(__xludf.DUMMYFUNCTION("""COMPUTED_VALUE"""),"DIGITEC TECNOLOGIA DIGITAL E REPRES")</f>
        <v>DIGITEC TECNOLOGIA DIGITAL E REPRES</v>
      </c>
      <c r="E5241" s="21">
        <f>IFERROR(__xludf.DUMMYFUNCTION("""COMPUTED_VALUE"""),145359.0)</f>
        <v>145359</v>
      </c>
      <c r="F5241" s="21" t="str">
        <f>IFERROR(__xludf.DUMMYFUNCTION("""COMPUTED_VALUE"""),"INICIALIZADO")</f>
        <v>INICIALIZADO</v>
      </c>
      <c r="G5241" s="23">
        <f>IFERROR(__xludf.DUMMYFUNCTION("""COMPUTED_VALUE"""),45615.61858796296)</f>
        <v>45615.61859</v>
      </c>
      <c r="H5241" s="24" t="str">
        <f>IFERROR(VLOOKUP(B5241,material!A:D,3,0),"")</f>
        <v>4K</v>
      </c>
    </row>
    <row r="5242" ht="11.25" customHeight="1">
      <c r="A5242" s="21" t="str">
        <f>IFERROR(__xludf.DUMMYFUNCTION("""COMPUTED_VALUE"""),"DECODER 4K ULTRA HD DGCI363 COM IG")</f>
        <v>DECODER 4K ULTRA HD DGCI363 COM IG</v>
      </c>
      <c r="B5242" s="22">
        <f>IFERROR(__xludf.DUMMYFUNCTION("""COMPUTED_VALUE"""),4.1001484E7)</f>
        <v>41001484</v>
      </c>
      <c r="C5242" s="21" t="str">
        <f>IFERROR(__xludf.DUMMYFUNCTION("""COMPUTED_VALUE"""),"229857434649")</f>
        <v>229857434649</v>
      </c>
      <c r="D5242" s="21" t="str">
        <f>IFERROR(__xludf.DUMMYFUNCTION("""COMPUTED_VALUE"""),"DIGITEC TECNOLOGIA DIGITAL E REPRES")</f>
        <v>DIGITEC TECNOLOGIA DIGITAL E REPRES</v>
      </c>
      <c r="E5242" s="21">
        <f>IFERROR(__xludf.DUMMYFUNCTION("""COMPUTED_VALUE"""),145359.0)</f>
        <v>145359</v>
      </c>
      <c r="F5242" s="21" t="str">
        <f>IFERROR(__xludf.DUMMYFUNCTION("""COMPUTED_VALUE"""),"INICIALIZADO")</f>
        <v>INICIALIZADO</v>
      </c>
      <c r="G5242" s="23">
        <f>IFERROR(__xludf.DUMMYFUNCTION("""COMPUTED_VALUE"""),45615.61858796296)</f>
        <v>45615.61859</v>
      </c>
      <c r="H5242" s="24" t="str">
        <f>IFERROR(VLOOKUP(B5242,material!A:D,3,0),"")</f>
        <v>4K</v>
      </c>
    </row>
    <row r="5243" ht="11.25" customHeight="1">
      <c r="A5243" s="21" t="str">
        <f>IFERROR(__xludf.DUMMYFUNCTION("""COMPUTED_VALUE"""),"DECODER 4K ULTRA HD DGCI363 COM IG")</f>
        <v>DECODER 4K ULTRA HD DGCI363 COM IG</v>
      </c>
      <c r="B5243" s="22">
        <f>IFERROR(__xludf.DUMMYFUNCTION("""COMPUTED_VALUE"""),4.1001484E7)</f>
        <v>41001484</v>
      </c>
      <c r="C5243" s="21" t="str">
        <f>IFERROR(__xludf.DUMMYFUNCTION("""COMPUTED_VALUE"""),"229858766586")</f>
        <v>229858766586</v>
      </c>
      <c r="D5243" s="21" t="str">
        <f>IFERROR(__xludf.DUMMYFUNCTION("""COMPUTED_VALUE"""),"DIGITEC TECNOLOGIA DIGITAL E REPRES")</f>
        <v>DIGITEC TECNOLOGIA DIGITAL E REPRES</v>
      </c>
      <c r="E5243" s="21">
        <f>IFERROR(__xludf.DUMMYFUNCTION("""COMPUTED_VALUE"""),145359.0)</f>
        <v>145359</v>
      </c>
      <c r="F5243" s="21" t="str">
        <f>IFERROR(__xludf.DUMMYFUNCTION("""COMPUTED_VALUE"""),"INICIALIZADO")</f>
        <v>INICIALIZADO</v>
      </c>
      <c r="G5243" s="23">
        <f>IFERROR(__xludf.DUMMYFUNCTION("""COMPUTED_VALUE"""),45615.61858796296)</f>
        <v>45615.61859</v>
      </c>
      <c r="H5243" s="24" t="str">
        <f>IFERROR(VLOOKUP(B5243,material!A:D,3,0),"")</f>
        <v>4K</v>
      </c>
    </row>
    <row r="5244" ht="11.25" customHeight="1">
      <c r="A5244" s="21" t="str">
        <f>IFERROR(__xludf.DUMMYFUNCTION("""COMPUTED_VALUE"""),"DECODER 4K ULTRA HD DGCI363 COM IG")</f>
        <v>DECODER 4K ULTRA HD DGCI363 COM IG</v>
      </c>
      <c r="B5244" s="22">
        <f>IFERROR(__xludf.DUMMYFUNCTION("""COMPUTED_VALUE"""),4.1001484E7)</f>
        <v>41001484</v>
      </c>
      <c r="C5244" s="21" t="str">
        <f>IFERROR(__xludf.DUMMYFUNCTION("""COMPUTED_VALUE"""),"229857159415")</f>
        <v>229857159415</v>
      </c>
      <c r="D5244" s="21" t="str">
        <f>IFERROR(__xludf.DUMMYFUNCTION("""COMPUTED_VALUE"""),"DIGITEC TECNOLOGIA DIGITAL E REPRES")</f>
        <v>DIGITEC TECNOLOGIA DIGITAL E REPRES</v>
      </c>
      <c r="E5244" s="21">
        <f>IFERROR(__xludf.DUMMYFUNCTION("""COMPUTED_VALUE"""),145359.0)</f>
        <v>145359</v>
      </c>
      <c r="F5244" s="21" t="str">
        <f>IFERROR(__xludf.DUMMYFUNCTION("""COMPUTED_VALUE"""),"INICIALIZADO")</f>
        <v>INICIALIZADO</v>
      </c>
      <c r="G5244" s="23">
        <f>IFERROR(__xludf.DUMMYFUNCTION("""COMPUTED_VALUE"""),45625.653182870374)</f>
        <v>45625.65318</v>
      </c>
      <c r="H5244" s="24" t="str">
        <f>IFERROR(VLOOKUP(B5244,material!A:D,3,0),"")</f>
        <v>4K</v>
      </c>
    </row>
    <row r="5245" ht="11.25" customHeight="1">
      <c r="A5245" s="21" t="str">
        <f>IFERROR(__xludf.DUMMYFUNCTION("""COMPUTED_VALUE"""),"DECODER 4K ULTRA HD DGCI363 COM IG")</f>
        <v>DECODER 4K ULTRA HD DGCI363 COM IG</v>
      </c>
      <c r="B5245" s="22">
        <f>IFERROR(__xludf.DUMMYFUNCTION("""COMPUTED_VALUE"""),4.1001484E7)</f>
        <v>41001484</v>
      </c>
      <c r="C5245" s="21" t="str">
        <f>IFERROR(__xludf.DUMMYFUNCTION("""COMPUTED_VALUE"""),"229863850506")</f>
        <v>229863850506</v>
      </c>
      <c r="D5245" s="21" t="str">
        <f>IFERROR(__xludf.DUMMYFUNCTION("""COMPUTED_VALUE"""),"DIGITEC TECNOLOGIA DIGITAL E REPRES")</f>
        <v>DIGITEC TECNOLOGIA DIGITAL E REPRES</v>
      </c>
      <c r="E5245" s="21">
        <f>IFERROR(__xludf.DUMMYFUNCTION("""COMPUTED_VALUE"""),145359.0)</f>
        <v>145359</v>
      </c>
      <c r="F5245" s="21" t="str">
        <f>IFERROR(__xludf.DUMMYFUNCTION("""COMPUTED_VALUE"""),"INICIALIZADO")</f>
        <v>INICIALIZADO</v>
      </c>
      <c r="G5245" s="23">
        <f>IFERROR(__xludf.DUMMYFUNCTION("""COMPUTED_VALUE"""),45625.653182870374)</f>
        <v>45625.65318</v>
      </c>
      <c r="H5245" s="24" t="str">
        <f>IFERROR(VLOOKUP(B5245,material!A:D,3,0),"")</f>
        <v>4K</v>
      </c>
    </row>
    <row r="5246" ht="11.25" customHeight="1">
      <c r="A5246" s="21" t="str">
        <f>IFERROR(__xludf.DUMMYFUNCTION("""COMPUTED_VALUE"""),"DECODER 4K ULTRA HD DGCI363 COM IG")</f>
        <v>DECODER 4K ULTRA HD DGCI363 COM IG</v>
      </c>
      <c r="B5246" s="22">
        <f>IFERROR(__xludf.DUMMYFUNCTION("""COMPUTED_VALUE"""),4.1001484E7)</f>
        <v>41001484</v>
      </c>
      <c r="C5246" s="21" t="str">
        <f>IFERROR(__xludf.DUMMYFUNCTION("""COMPUTED_VALUE"""),"229857815573")</f>
        <v>229857815573</v>
      </c>
      <c r="D5246" s="21" t="str">
        <f>IFERROR(__xludf.DUMMYFUNCTION("""COMPUTED_VALUE"""),"DIGITEC TECNOLOGIA DIGITAL E REPRES")</f>
        <v>DIGITEC TECNOLOGIA DIGITAL E REPRES</v>
      </c>
      <c r="E5246" s="21">
        <f>IFERROR(__xludf.DUMMYFUNCTION("""COMPUTED_VALUE"""),145359.0)</f>
        <v>145359</v>
      </c>
      <c r="F5246" s="21" t="str">
        <f>IFERROR(__xludf.DUMMYFUNCTION("""COMPUTED_VALUE"""),"INICIALIZADO")</f>
        <v>INICIALIZADO</v>
      </c>
      <c r="G5246" s="23">
        <f>IFERROR(__xludf.DUMMYFUNCTION("""COMPUTED_VALUE"""),45618.74478009259)</f>
        <v>45618.74478</v>
      </c>
      <c r="H5246" s="24" t="str">
        <f>IFERROR(VLOOKUP(B5246,material!A:D,3,0),"")</f>
        <v>4K</v>
      </c>
    </row>
    <row r="5247" ht="11.25" customHeight="1">
      <c r="A5247" s="21" t="str">
        <f>IFERROR(__xludf.DUMMYFUNCTION("""COMPUTED_VALUE"""),"DECODER 4K ULTRA HD DGCI363 COM IG")</f>
        <v>DECODER 4K ULTRA HD DGCI363 COM IG</v>
      </c>
      <c r="B5247" s="22">
        <f>IFERROR(__xludf.DUMMYFUNCTION("""COMPUTED_VALUE"""),4.1001484E7)</f>
        <v>41001484</v>
      </c>
      <c r="C5247" s="21" t="str">
        <f>IFERROR(__xludf.DUMMYFUNCTION("""COMPUTED_VALUE"""),"229850904764")</f>
        <v>229850904764</v>
      </c>
      <c r="D5247" s="21" t="str">
        <f>IFERROR(__xludf.DUMMYFUNCTION("""COMPUTED_VALUE"""),"DIGITEC TECNOLOGIA DIGITAL E REPRES")</f>
        <v>DIGITEC TECNOLOGIA DIGITAL E REPRES</v>
      </c>
      <c r="E5247" s="21">
        <f>IFERROR(__xludf.DUMMYFUNCTION("""COMPUTED_VALUE"""),145359.0)</f>
        <v>145359</v>
      </c>
      <c r="F5247" s="21" t="str">
        <f>IFERROR(__xludf.DUMMYFUNCTION("""COMPUTED_VALUE"""),"INICIALIZADO")</f>
        <v>INICIALIZADO</v>
      </c>
      <c r="G5247" s="23">
        <f>IFERROR(__xludf.DUMMYFUNCTION("""COMPUTED_VALUE"""),45625.653182870374)</f>
        <v>45625.65318</v>
      </c>
      <c r="H5247" s="24" t="str">
        <f>IFERROR(VLOOKUP(B5247,material!A:D,3,0),"")</f>
        <v>4K</v>
      </c>
    </row>
    <row r="5248" ht="11.25" customHeight="1">
      <c r="A5248" s="21" t="str">
        <f>IFERROR(__xludf.DUMMYFUNCTION("""COMPUTED_VALUE"""),"DECODER 4K ULTRA HD DGCI363 COM IG")</f>
        <v>DECODER 4K ULTRA HD DGCI363 COM IG</v>
      </c>
      <c r="B5248" s="22">
        <f>IFERROR(__xludf.DUMMYFUNCTION("""COMPUTED_VALUE"""),4.1001484E7)</f>
        <v>41001484</v>
      </c>
      <c r="C5248" s="21" t="str">
        <f>IFERROR(__xludf.DUMMYFUNCTION("""COMPUTED_VALUE"""),"229857611334")</f>
        <v>229857611334</v>
      </c>
      <c r="D5248" s="21" t="str">
        <f>IFERROR(__xludf.DUMMYFUNCTION("""COMPUTED_VALUE"""),"DIGITEC TECNOLOGIA DIGITAL E REPRES")</f>
        <v>DIGITEC TECNOLOGIA DIGITAL E REPRES</v>
      </c>
      <c r="E5248" s="21">
        <f>IFERROR(__xludf.DUMMYFUNCTION("""COMPUTED_VALUE"""),145359.0)</f>
        <v>145359</v>
      </c>
      <c r="F5248" s="21" t="str">
        <f>IFERROR(__xludf.DUMMYFUNCTION("""COMPUTED_VALUE"""),"INICIALIZADO")</f>
        <v>INICIALIZADO</v>
      </c>
      <c r="G5248" s="23">
        <f>IFERROR(__xludf.DUMMYFUNCTION("""COMPUTED_VALUE"""),45615.61858796296)</f>
        <v>45615.61859</v>
      </c>
      <c r="H5248" s="24" t="str">
        <f>IFERROR(VLOOKUP(B5248,material!A:D,3,0),"")</f>
        <v>4K</v>
      </c>
    </row>
    <row r="5249" ht="11.25" customHeight="1">
      <c r="A5249" s="21" t="str">
        <f>IFERROR(__xludf.DUMMYFUNCTION("""COMPUTED_VALUE"""),"DECODER 4K ULTRA HD DGCI363 COM IG")</f>
        <v>DECODER 4K ULTRA HD DGCI363 COM IG</v>
      </c>
      <c r="B5249" s="22">
        <f>IFERROR(__xludf.DUMMYFUNCTION("""COMPUTED_VALUE"""),4.1001484E7)</f>
        <v>41001484</v>
      </c>
      <c r="C5249" s="21" t="str">
        <f>IFERROR(__xludf.DUMMYFUNCTION("""COMPUTED_VALUE"""),"229850684967")</f>
        <v>229850684967</v>
      </c>
      <c r="D5249" s="21" t="str">
        <f>IFERROR(__xludf.DUMMYFUNCTION("""COMPUTED_VALUE"""),"DIGITEC TECNOLOGIA DIGITAL E REPRES")</f>
        <v>DIGITEC TECNOLOGIA DIGITAL E REPRES</v>
      </c>
      <c r="E5249" s="21">
        <f>IFERROR(__xludf.DUMMYFUNCTION("""COMPUTED_VALUE"""),145359.0)</f>
        <v>145359</v>
      </c>
      <c r="F5249" s="21" t="str">
        <f>IFERROR(__xludf.DUMMYFUNCTION("""COMPUTED_VALUE"""),"INICIALIZADO")</f>
        <v>INICIALIZADO</v>
      </c>
      <c r="G5249" s="23">
        <f>IFERROR(__xludf.DUMMYFUNCTION("""COMPUTED_VALUE"""),45618.74478009259)</f>
        <v>45618.74478</v>
      </c>
      <c r="H5249" s="24" t="str">
        <f>IFERROR(VLOOKUP(B5249,material!A:D,3,0),"")</f>
        <v>4K</v>
      </c>
    </row>
    <row r="5250" ht="11.25" customHeight="1">
      <c r="A5250" s="21" t="str">
        <f>IFERROR(__xludf.DUMMYFUNCTION("""COMPUTED_VALUE"""),"DECODER IP 4K ULTRA HD ZAPPER S4KW2 DDR3")</f>
        <v>DECODER IP 4K ULTRA HD ZAPPER S4KW2 DDR3</v>
      </c>
      <c r="B5250" s="22">
        <f>IFERROR(__xludf.DUMMYFUNCTION("""COMPUTED_VALUE"""),4.1001483E7)</f>
        <v>41001483</v>
      </c>
      <c r="C5250" s="21" t="str">
        <f>IFERROR(__xludf.DUMMYFUNCTION("""COMPUTED_VALUE"""),"229838982041")</f>
        <v>229838982041</v>
      </c>
      <c r="D5250" s="21" t="str">
        <f>IFERROR(__xludf.DUMMYFUNCTION("""COMPUTED_VALUE"""),"DIGITEC TECNOLOGIA DIGITAL E REPRES")</f>
        <v>DIGITEC TECNOLOGIA DIGITAL E REPRES</v>
      </c>
      <c r="E5250" s="21">
        <f>IFERROR(__xludf.DUMMYFUNCTION("""COMPUTED_VALUE"""),145359.0)</f>
        <v>145359</v>
      </c>
      <c r="F5250" s="21" t="str">
        <f>IFERROR(__xludf.DUMMYFUNCTION("""COMPUTED_VALUE"""),"INICIALIZADO")</f>
        <v>INICIALIZADO</v>
      </c>
      <c r="G5250" s="23">
        <f>IFERROR(__xludf.DUMMYFUNCTION("""COMPUTED_VALUE"""),45608.64792824074)</f>
        <v>45608.64793</v>
      </c>
      <c r="H5250" s="24" t="str">
        <f>IFERROR(VLOOKUP(B5250,material!A:D,3,0),"")</f>
        <v>BOX</v>
      </c>
    </row>
    <row r="5251" ht="11.25" customHeight="1">
      <c r="A5251" s="21" t="str">
        <f>IFERROR(__xludf.DUMMYFUNCTION("""COMPUTED_VALUE"""),"DECODER IP 4K ULTRA HD ZAPPER S4KW2 DDR3")</f>
        <v>DECODER IP 4K ULTRA HD ZAPPER S4KW2 DDR3</v>
      </c>
      <c r="B5251" s="22">
        <f>IFERROR(__xludf.DUMMYFUNCTION("""COMPUTED_VALUE"""),4.1001483E7)</f>
        <v>41001483</v>
      </c>
      <c r="C5251" s="21" t="str">
        <f>IFERROR(__xludf.DUMMYFUNCTION("""COMPUTED_VALUE"""),"229842780515")</f>
        <v>229842780515</v>
      </c>
      <c r="D5251" s="21" t="str">
        <f>IFERROR(__xludf.DUMMYFUNCTION("""COMPUTED_VALUE"""),"DIGITEC TECNOLOGIA DIGITAL E REPRES")</f>
        <v>DIGITEC TECNOLOGIA DIGITAL E REPRES</v>
      </c>
      <c r="E5251" s="21">
        <f>IFERROR(__xludf.DUMMYFUNCTION("""COMPUTED_VALUE"""),145359.0)</f>
        <v>145359</v>
      </c>
      <c r="F5251" s="21" t="str">
        <f>IFERROR(__xludf.DUMMYFUNCTION("""COMPUTED_VALUE"""),"INICIALIZADO")</f>
        <v>INICIALIZADO</v>
      </c>
      <c r="G5251" s="23">
        <f>IFERROR(__xludf.DUMMYFUNCTION("""COMPUTED_VALUE"""),45638.68790509259)</f>
        <v>45638.68791</v>
      </c>
      <c r="H5251" s="24" t="str">
        <f>IFERROR(VLOOKUP(B5251,material!A:D,3,0),"")</f>
        <v>BOX</v>
      </c>
    </row>
    <row r="5252" ht="11.25" customHeight="1">
      <c r="A5252" s="21" t="str">
        <f>IFERROR(__xludf.DUMMYFUNCTION("""COMPUTED_VALUE"""),"DECODER IP 4K ULTRA HD ZAPPER S4KW2 DDR3")</f>
        <v>DECODER IP 4K ULTRA HD ZAPPER S4KW2 DDR3</v>
      </c>
      <c r="B5252" s="22">
        <f>IFERROR(__xludf.DUMMYFUNCTION("""COMPUTED_VALUE"""),4.1001483E7)</f>
        <v>41001483</v>
      </c>
      <c r="C5252" s="21" t="str">
        <f>IFERROR(__xludf.DUMMYFUNCTION("""COMPUTED_VALUE"""),"229855923447")</f>
        <v>229855923447</v>
      </c>
      <c r="D5252" s="21" t="str">
        <f>IFERROR(__xludf.DUMMYFUNCTION("""COMPUTED_VALUE"""),"DIGITEC TECNOLOGIA DIGITAL E REPRES")</f>
        <v>DIGITEC TECNOLOGIA DIGITAL E REPRES</v>
      </c>
      <c r="E5252" s="21">
        <f>IFERROR(__xludf.DUMMYFUNCTION("""COMPUTED_VALUE"""),145359.0)</f>
        <v>145359</v>
      </c>
      <c r="F5252" s="21" t="str">
        <f>IFERROR(__xludf.DUMMYFUNCTION("""COMPUTED_VALUE"""),"INICIALIZADO")</f>
        <v>INICIALIZADO</v>
      </c>
      <c r="G5252" s="23">
        <f>IFERROR(__xludf.DUMMYFUNCTION("""COMPUTED_VALUE"""),45638.68790509259)</f>
        <v>45638.68791</v>
      </c>
      <c r="H5252" s="24" t="str">
        <f>IFERROR(VLOOKUP(B5252,material!A:D,3,0),"")</f>
        <v>BOX</v>
      </c>
    </row>
    <row r="5253" ht="11.25" customHeight="1">
      <c r="A5253" s="21" t="str">
        <f>IFERROR(__xludf.DUMMYFUNCTION("""COMPUTED_VALUE"""),"DECODER IP 4K ULTRA HD ZAPPER S4KW2 DDR3")</f>
        <v>DECODER IP 4K ULTRA HD ZAPPER S4KW2 DDR3</v>
      </c>
      <c r="B5253" s="22">
        <f>IFERROR(__xludf.DUMMYFUNCTION("""COMPUTED_VALUE"""),4.1001483E7)</f>
        <v>41001483</v>
      </c>
      <c r="C5253" s="21" t="str">
        <f>IFERROR(__xludf.DUMMYFUNCTION("""COMPUTED_VALUE"""),"229851642446")</f>
        <v>229851642446</v>
      </c>
      <c r="D5253" s="21" t="str">
        <f>IFERROR(__xludf.DUMMYFUNCTION("""COMPUTED_VALUE"""),"DIGITEC TECNOLOGIA DIGITAL E REPRES")</f>
        <v>DIGITEC TECNOLOGIA DIGITAL E REPRES</v>
      </c>
      <c r="E5253" s="21">
        <f>IFERROR(__xludf.DUMMYFUNCTION("""COMPUTED_VALUE"""),145359.0)</f>
        <v>145359</v>
      </c>
      <c r="F5253" s="21" t="str">
        <f>IFERROR(__xludf.DUMMYFUNCTION("""COMPUTED_VALUE"""),"INICIALIZADO")</f>
        <v>INICIALIZADO</v>
      </c>
      <c r="G5253" s="23">
        <f>IFERROR(__xludf.DUMMYFUNCTION("""COMPUTED_VALUE"""),45638.68790509259)</f>
        <v>45638.68791</v>
      </c>
      <c r="H5253" s="24" t="str">
        <f>IFERROR(VLOOKUP(B5253,material!A:D,3,0),"")</f>
        <v>BOX</v>
      </c>
    </row>
    <row r="5254" ht="11.25" customHeight="1">
      <c r="A5254" s="21" t="str">
        <f>IFERROR(__xludf.DUMMYFUNCTION("""COMPUTED_VALUE"""),"DECODER IP 4K ULTRA HD ZAPPER S4KW2 DDR3")</f>
        <v>DECODER IP 4K ULTRA HD ZAPPER S4KW2 DDR3</v>
      </c>
      <c r="B5254" s="22">
        <f>IFERROR(__xludf.DUMMYFUNCTION("""COMPUTED_VALUE"""),4.1001483E7)</f>
        <v>41001483</v>
      </c>
      <c r="C5254" s="21" t="str">
        <f>IFERROR(__xludf.DUMMYFUNCTION("""COMPUTED_VALUE"""),"229853248607")</f>
        <v>229853248607</v>
      </c>
      <c r="D5254" s="21" t="str">
        <f>IFERROR(__xludf.DUMMYFUNCTION("""COMPUTED_VALUE"""),"DIGITEC TECNOLOGIA DIGITAL E REPRES")</f>
        <v>DIGITEC TECNOLOGIA DIGITAL E REPRES</v>
      </c>
      <c r="E5254" s="21">
        <f>IFERROR(__xludf.DUMMYFUNCTION("""COMPUTED_VALUE"""),145359.0)</f>
        <v>145359</v>
      </c>
      <c r="F5254" s="21" t="str">
        <f>IFERROR(__xludf.DUMMYFUNCTION("""COMPUTED_VALUE"""),"INICIALIZADO")</f>
        <v>INICIALIZADO</v>
      </c>
      <c r="G5254" s="23">
        <f>IFERROR(__xludf.DUMMYFUNCTION("""COMPUTED_VALUE"""),45638.68790509259)</f>
        <v>45638.68791</v>
      </c>
      <c r="H5254" s="24" t="str">
        <f>IFERROR(VLOOKUP(B5254,material!A:D,3,0),"")</f>
        <v>BOX</v>
      </c>
    </row>
    <row r="5255" ht="11.25" customHeight="1">
      <c r="A5255" s="21" t="str">
        <f>IFERROR(__xludf.DUMMYFUNCTION("""COMPUTED_VALUE"""),"SIM CARD MOVEL")</f>
        <v>SIM CARD MOVEL</v>
      </c>
      <c r="B5255" s="22">
        <f>IFERROR(__xludf.DUMMYFUNCTION("""COMPUTED_VALUE"""),23105.0)</f>
        <v>23105</v>
      </c>
      <c r="C5255" s="21" t="str">
        <f>IFERROR(__xludf.DUMMYFUNCTION("""COMPUTED_VALUE"""),"89550537840000897131")</f>
        <v>89550537840000897131</v>
      </c>
      <c r="D5255" s="21" t="str">
        <f>IFERROR(__xludf.DUMMYFUNCTION("""COMPUTED_VALUE"""),"DIGITEC TECNOLOGIA DIGITAL E REPRES")</f>
        <v>DIGITEC TECNOLOGIA DIGITAL E REPRES</v>
      </c>
      <c r="E5255" s="21">
        <f>IFERROR(__xludf.DUMMYFUNCTION("""COMPUTED_VALUE"""),145359.0)</f>
        <v>145359</v>
      </c>
      <c r="F5255" s="21" t="str">
        <f>IFERROR(__xludf.DUMMYFUNCTION("""COMPUTED_VALUE"""),"INICIALIZADO")</f>
        <v>INICIALIZADO</v>
      </c>
      <c r="G5255" s="23">
        <f>IFERROR(__xludf.DUMMYFUNCTION("""COMPUTED_VALUE"""),45573.70291666666)</f>
        <v>45573.70292</v>
      </c>
      <c r="H5255" s="24" t="str">
        <f>IFERROR(VLOOKUP(B5255,material!A:D,3,0),"")</f>
        <v>CHIP</v>
      </c>
    </row>
    <row r="5256" ht="11.25" customHeight="1">
      <c r="A5256" s="21" t="str">
        <f>IFERROR(__xludf.DUMMYFUNCTION("""COMPUTED_VALUE"""),"SIM CARD MOVEL")</f>
        <v>SIM CARD MOVEL</v>
      </c>
      <c r="B5256" s="22">
        <f>IFERROR(__xludf.DUMMYFUNCTION("""COMPUTED_VALUE"""),23105.0)</f>
        <v>23105</v>
      </c>
      <c r="C5256" s="21" t="str">
        <f>IFERROR(__xludf.DUMMYFUNCTION("""COMPUTED_VALUE"""),"89550531840025154910")</f>
        <v>89550531840025154910</v>
      </c>
      <c r="D5256" s="21" t="str">
        <f>IFERROR(__xludf.DUMMYFUNCTION("""COMPUTED_VALUE"""),"DIGITEC TECNOLOGIA DIGITAL E REPRES")</f>
        <v>DIGITEC TECNOLOGIA DIGITAL E REPRES</v>
      </c>
      <c r="E5256" s="21">
        <f>IFERROR(__xludf.DUMMYFUNCTION("""COMPUTED_VALUE"""),145359.0)</f>
        <v>145359</v>
      </c>
      <c r="F5256" s="21" t="str">
        <f>IFERROR(__xludf.DUMMYFUNCTION("""COMPUTED_VALUE"""),"INICIALIZADO")</f>
        <v>INICIALIZADO</v>
      </c>
      <c r="G5256" s="23">
        <f>IFERROR(__xludf.DUMMYFUNCTION("""COMPUTED_VALUE"""),45573.70291666666)</f>
        <v>45573.70292</v>
      </c>
      <c r="H5256" s="24" t="str">
        <f>IFERROR(VLOOKUP(B5256,material!A:D,3,0),"")</f>
        <v>CHIP</v>
      </c>
    </row>
    <row r="5257" ht="11.25" customHeight="1">
      <c r="A5257" s="21" t="str">
        <f>IFERROR(__xludf.DUMMYFUNCTION("""COMPUTED_VALUE"""),"SIM CARD MOVEL")</f>
        <v>SIM CARD MOVEL</v>
      </c>
      <c r="B5257" s="22">
        <f>IFERROR(__xludf.DUMMYFUNCTION("""COMPUTED_VALUE"""),23105.0)</f>
        <v>23105</v>
      </c>
      <c r="C5257" s="21" t="str">
        <f>IFERROR(__xludf.DUMMYFUNCTION("""COMPUTED_VALUE"""),"89550531840025154795")</f>
        <v>89550531840025154795</v>
      </c>
      <c r="D5257" s="21" t="str">
        <f>IFERROR(__xludf.DUMMYFUNCTION("""COMPUTED_VALUE"""),"DIGITEC TECNOLOGIA DIGITAL E REPRES")</f>
        <v>DIGITEC TECNOLOGIA DIGITAL E REPRES</v>
      </c>
      <c r="E5257" s="21">
        <f>IFERROR(__xludf.DUMMYFUNCTION("""COMPUTED_VALUE"""),145359.0)</f>
        <v>145359</v>
      </c>
      <c r="F5257" s="21" t="str">
        <f>IFERROR(__xludf.DUMMYFUNCTION("""COMPUTED_VALUE"""),"INICIALIZADO")</f>
        <v>INICIALIZADO</v>
      </c>
      <c r="G5257" s="23">
        <f>IFERROR(__xludf.DUMMYFUNCTION("""COMPUTED_VALUE"""),45573.702928240746)</f>
        <v>45573.70293</v>
      </c>
      <c r="H5257" s="24" t="str">
        <f>IFERROR(VLOOKUP(B5257,material!A:D,3,0),"")</f>
        <v>CHIP</v>
      </c>
    </row>
    <row r="5258" ht="11.25" customHeight="1">
      <c r="A5258" s="21" t="str">
        <f>IFERROR(__xludf.DUMMYFUNCTION("""COMPUTED_VALUE"""),"SIM CARD MOVEL")</f>
        <v>SIM CARD MOVEL</v>
      </c>
      <c r="B5258" s="22">
        <f>IFERROR(__xludf.DUMMYFUNCTION("""COMPUTED_VALUE"""),23105.0)</f>
        <v>23105</v>
      </c>
      <c r="C5258" s="21" t="str">
        <f>IFERROR(__xludf.DUMMYFUNCTION("""COMPUTED_VALUE"""),"89550531860000448921")</f>
        <v>89550531860000448921</v>
      </c>
      <c r="D5258" s="21" t="str">
        <f>IFERROR(__xludf.DUMMYFUNCTION("""COMPUTED_VALUE"""),"DIGITEC TECNOLOGIA DIGITAL E REPRES")</f>
        <v>DIGITEC TECNOLOGIA DIGITAL E REPRES</v>
      </c>
      <c r="E5258" s="21">
        <f>IFERROR(__xludf.DUMMYFUNCTION("""COMPUTED_VALUE"""),145359.0)</f>
        <v>145359</v>
      </c>
      <c r="F5258" s="21" t="str">
        <f>IFERROR(__xludf.DUMMYFUNCTION("""COMPUTED_VALUE"""),"INICIALIZADO")</f>
        <v>INICIALIZADO</v>
      </c>
      <c r="G5258" s="23">
        <f>IFERROR(__xludf.DUMMYFUNCTION("""COMPUTED_VALUE"""),45600.363854166666)</f>
        <v>45600.36385</v>
      </c>
      <c r="H5258" s="24" t="str">
        <f>IFERROR(VLOOKUP(B5258,material!A:D,3,0),"")</f>
        <v>CHIP</v>
      </c>
    </row>
    <row r="5259" ht="11.25" customHeight="1">
      <c r="A5259" s="21" t="str">
        <f>IFERROR(__xludf.DUMMYFUNCTION("""COMPUTED_VALUE"""),"SIM CARD MOVEL")</f>
        <v>SIM CARD MOVEL</v>
      </c>
      <c r="B5259" s="22">
        <f>IFERROR(__xludf.DUMMYFUNCTION("""COMPUTED_VALUE"""),23105.0)</f>
        <v>23105</v>
      </c>
      <c r="C5259" s="21" t="str">
        <f>IFERROR(__xludf.DUMMYFUNCTION("""COMPUTED_VALUE"""),"89550531860000448939")</f>
        <v>89550531860000448939</v>
      </c>
      <c r="D5259" s="21" t="str">
        <f>IFERROR(__xludf.DUMMYFUNCTION("""COMPUTED_VALUE"""),"DIGITEC TECNOLOGIA DIGITAL E REPRES")</f>
        <v>DIGITEC TECNOLOGIA DIGITAL E REPRES</v>
      </c>
      <c r="E5259" s="21">
        <f>IFERROR(__xludf.DUMMYFUNCTION("""COMPUTED_VALUE"""),145359.0)</f>
        <v>145359</v>
      </c>
      <c r="F5259" s="21" t="str">
        <f>IFERROR(__xludf.DUMMYFUNCTION("""COMPUTED_VALUE"""),"INICIALIZADO")</f>
        <v>INICIALIZADO</v>
      </c>
      <c r="G5259" s="23">
        <f>IFERROR(__xludf.DUMMYFUNCTION("""COMPUTED_VALUE"""),45600.363854166666)</f>
        <v>45600.36385</v>
      </c>
      <c r="H5259" s="24" t="str">
        <f>IFERROR(VLOOKUP(B5259,material!A:D,3,0),"")</f>
        <v>CHIP</v>
      </c>
    </row>
    <row r="5260" ht="11.25" customHeight="1">
      <c r="A5260" s="21" t="str">
        <f>IFERROR(__xludf.DUMMYFUNCTION("""COMPUTED_VALUE"""),"SIM CARD MOVEL")</f>
        <v>SIM CARD MOVEL</v>
      </c>
      <c r="B5260" s="22">
        <f>IFERROR(__xludf.DUMMYFUNCTION("""COMPUTED_VALUE"""),23105.0)</f>
        <v>23105</v>
      </c>
      <c r="C5260" s="21" t="str">
        <f>IFERROR(__xludf.DUMMYFUNCTION("""COMPUTED_VALUE"""),"89550531860000448947")</f>
        <v>89550531860000448947</v>
      </c>
      <c r="D5260" s="21" t="str">
        <f>IFERROR(__xludf.DUMMYFUNCTION("""COMPUTED_VALUE"""),"DIGITEC TECNOLOGIA DIGITAL E REPRES")</f>
        <v>DIGITEC TECNOLOGIA DIGITAL E REPRES</v>
      </c>
      <c r="E5260" s="21">
        <f>IFERROR(__xludf.DUMMYFUNCTION("""COMPUTED_VALUE"""),145359.0)</f>
        <v>145359</v>
      </c>
      <c r="F5260" s="21" t="str">
        <f>IFERROR(__xludf.DUMMYFUNCTION("""COMPUTED_VALUE"""),"INICIALIZADO")</f>
        <v>INICIALIZADO</v>
      </c>
      <c r="G5260" s="23">
        <f>IFERROR(__xludf.DUMMYFUNCTION("""COMPUTED_VALUE"""),45600.363854166666)</f>
        <v>45600.36385</v>
      </c>
      <c r="H5260" s="24" t="str">
        <f>IFERROR(VLOOKUP(B5260,material!A:D,3,0),"")</f>
        <v>CHIP</v>
      </c>
    </row>
    <row r="5261" ht="11.25" customHeight="1">
      <c r="A5261" s="21" t="str">
        <f>IFERROR(__xludf.DUMMYFUNCTION("""COMPUTED_VALUE"""),"SIM CARD MOVEL")</f>
        <v>SIM CARD MOVEL</v>
      </c>
      <c r="B5261" s="22">
        <f>IFERROR(__xludf.DUMMYFUNCTION("""COMPUTED_VALUE"""),23105.0)</f>
        <v>23105</v>
      </c>
      <c r="C5261" s="21" t="str">
        <f>IFERROR(__xludf.DUMMYFUNCTION("""COMPUTED_VALUE"""),"89550531860000448954")</f>
        <v>89550531860000448954</v>
      </c>
      <c r="D5261" s="21" t="str">
        <f>IFERROR(__xludf.DUMMYFUNCTION("""COMPUTED_VALUE"""),"DIGITEC TECNOLOGIA DIGITAL E REPRES")</f>
        <v>DIGITEC TECNOLOGIA DIGITAL E REPRES</v>
      </c>
      <c r="E5261" s="21">
        <f>IFERROR(__xludf.DUMMYFUNCTION("""COMPUTED_VALUE"""),145359.0)</f>
        <v>145359</v>
      </c>
      <c r="F5261" s="21" t="str">
        <f>IFERROR(__xludf.DUMMYFUNCTION("""COMPUTED_VALUE"""),"INICIALIZADO")</f>
        <v>INICIALIZADO</v>
      </c>
      <c r="G5261" s="23">
        <f>IFERROR(__xludf.DUMMYFUNCTION("""COMPUTED_VALUE"""),45600.363854166666)</f>
        <v>45600.36385</v>
      </c>
      <c r="H5261" s="24" t="str">
        <f>IFERROR(VLOOKUP(B5261,material!A:D,3,0),"")</f>
        <v>CHIP</v>
      </c>
    </row>
    <row r="5262" ht="11.25" customHeight="1">
      <c r="A5262" s="21" t="str">
        <f>IFERROR(__xludf.DUMMYFUNCTION("""COMPUTED_VALUE"""),"SIM CARD MOVEL")</f>
        <v>SIM CARD MOVEL</v>
      </c>
      <c r="B5262" s="22">
        <f>IFERROR(__xludf.DUMMYFUNCTION("""COMPUTED_VALUE"""),23105.0)</f>
        <v>23105</v>
      </c>
      <c r="C5262" s="21" t="str">
        <f>IFERROR(__xludf.DUMMYFUNCTION("""COMPUTED_VALUE"""),"89550531860000448962")</f>
        <v>89550531860000448962</v>
      </c>
      <c r="D5262" s="21" t="str">
        <f>IFERROR(__xludf.DUMMYFUNCTION("""COMPUTED_VALUE"""),"DIGITEC TECNOLOGIA DIGITAL E REPRES")</f>
        <v>DIGITEC TECNOLOGIA DIGITAL E REPRES</v>
      </c>
      <c r="E5262" s="21">
        <f>IFERROR(__xludf.DUMMYFUNCTION("""COMPUTED_VALUE"""),145359.0)</f>
        <v>145359</v>
      </c>
      <c r="F5262" s="21" t="str">
        <f>IFERROR(__xludf.DUMMYFUNCTION("""COMPUTED_VALUE"""),"INICIALIZADO")</f>
        <v>INICIALIZADO</v>
      </c>
      <c r="G5262" s="23">
        <f>IFERROR(__xludf.DUMMYFUNCTION("""COMPUTED_VALUE"""),45600.363854166666)</f>
        <v>45600.36385</v>
      </c>
      <c r="H5262" s="24" t="str">
        <f>IFERROR(VLOOKUP(B5262,material!A:D,3,0),"")</f>
        <v>CHIP</v>
      </c>
    </row>
    <row r="5263" ht="11.25" customHeight="1">
      <c r="A5263" s="21" t="str">
        <f>IFERROR(__xludf.DUMMYFUNCTION("""COMPUTED_VALUE"""),"SIM CARD MOVEL")</f>
        <v>SIM CARD MOVEL</v>
      </c>
      <c r="B5263" s="22">
        <f>IFERROR(__xludf.DUMMYFUNCTION("""COMPUTED_VALUE"""),23105.0)</f>
        <v>23105</v>
      </c>
      <c r="C5263" s="21" t="str">
        <f>IFERROR(__xludf.DUMMYFUNCTION("""COMPUTED_VALUE"""),"89550531860000448970")</f>
        <v>89550531860000448970</v>
      </c>
      <c r="D5263" s="21" t="str">
        <f>IFERROR(__xludf.DUMMYFUNCTION("""COMPUTED_VALUE"""),"DIGITEC TECNOLOGIA DIGITAL E REPRES")</f>
        <v>DIGITEC TECNOLOGIA DIGITAL E REPRES</v>
      </c>
      <c r="E5263" s="21">
        <f>IFERROR(__xludf.DUMMYFUNCTION("""COMPUTED_VALUE"""),145359.0)</f>
        <v>145359</v>
      </c>
      <c r="F5263" s="21" t="str">
        <f>IFERROR(__xludf.DUMMYFUNCTION("""COMPUTED_VALUE"""),"INICIALIZADO")</f>
        <v>INICIALIZADO</v>
      </c>
      <c r="G5263" s="23">
        <f>IFERROR(__xludf.DUMMYFUNCTION("""COMPUTED_VALUE"""),45600.363854166666)</f>
        <v>45600.36385</v>
      </c>
      <c r="H5263" s="24" t="str">
        <f>IFERROR(VLOOKUP(B5263,material!A:D,3,0),"")</f>
        <v>CHIP</v>
      </c>
    </row>
    <row r="5264" ht="11.25" customHeight="1">
      <c r="A5264" s="21" t="str">
        <f>IFERROR(__xludf.DUMMYFUNCTION("""COMPUTED_VALUE"""),"SIM CARD MOVEL")</f>
        <v>SIM CARD MOVEL</v>
      </c>
      <c r="B5264" s="22">
        <f>IFERROR(__xludf.DUMMYFUNCTION("""COMPUTED_VALUE"""),23105.0)</f>
        <v>23105</v>
      </c>
      <c r="C5264" s="21" t="str">
        <f>IFERROR(__xludf.DUMMYFUNCTION("""COMPUTED_VALUE"""),"89550531860000448988")</f>
        <v>89550531860000448988</v>
      </c>
      <c r="D5264" s="21" t="str">
        <f>IFERROR(__xludf.DUMMYFUNCTION("""COMPUTED_VALUE"""),"DIGITEC TECNOLOGIA DIGITAL E REPRES")</f>
        <v>DIGITEC TECNOLOGIA DIGITAL E REPRES</v>
      </c>
      <c r="E5264" s="21">
        <f>IFERROR(__xludf.DUMMYFUNCTION("""COMPUTED_VALUE"""),145359.0)</f>
        <v>145359</v>
      </c>
      <c r="F5264" s="21" t="str">
        <f>IFERROR(__xludf.DUMMYFUNCTION("""COMPUTED_VALUE"""),"INICIALIZADO")</f>
        <v>INICIALIZADO</v>
      </c>
      <c r="G5264" s="23">
        <f>IFERROR(__xludf.DUMMYFUNCTION("""COMPUTED_VALUE"""),45600.363854166666)</f>
        <v>45600.36385</v>
      </c>
      <c r="H5264" s="24" t="str">
        <f>IFERROR(VLOOKUP(B5264,material!A:D,3,0),"")</f>
        <v>CHIP</v>
      </c>
    </row>
    <row r="5265" ht="11.25" customHeight="1">
      <c r="A5265" s="21" t="str">
        <f>IFERROR(__xludf.DUMMYFUNCTION("""COMPUTED_VALUE"""),"SIM CARD MOVEL")</f>
        <v>SIM CARD MOVEL</v>
      </c>
      <c r="B5265" s="22">
        <f>IFERROR(__xludf.DUMMYFUNCTION("""COMPUTED_VALUE"""),23105.0)</f>
        <v>23105</v>
      </c>
      <c r="C5265" s="21" t="str">
        <f>IFERROR(__xludf.DUMMYFUNCTION("""COMPUTED_VALUE"""),"89550531860000449010")</f>
        <v>89550531860000449010</v>
      </c>
      <c r="D5265" s="21" t="str">
        <f>IFERROR(__xludf.DUMMYFUNCTION("""COMPUTED_VALUE"""),"DIGITEC TECNOLOGIA DIGITAL E REPRES")</f>
        <v>DIGITEC TECNOLOGIA DIGITAL E REPRES</v>
      </c>
      <c r="E5265" s="21">
        <f>IFERROR(__xludf.DUMMYFUNCTION("""COMPUTED_VALUE"""),145359.0)</f>
        <v>145359</v>
      </c>
      <c r="F5265" s="21" t="str">
        <f>IFERROR(__xludf.DUMMYFUNCTION("""COMPUTED_VALUE"""),"INICIALIZADO")</f>
        <v>INICIALIZADO</v>
      </c>
      <c r="G5265" s="23">
        <f>IFERROR(__xludf.DUMMYFUNCTION("""COMPUTED_VALUE"""),45600.363854166666)</f>
        <v>45600.36385</v>
      </c>
      <c r="H5265" s="24" t="str">
        <f>IFERROR(VLOOKUP(B5265,material!A:D,3,0),"")</f>
        <v>CHIP</v>
      </c>
    </row>
    <row r="5266" ht="11.25" customHeight="1">
      <c r="A5266" s="21" t="str">
        <f>IFERROR(__xludf.DUMMYFUNCTION("""COMPUTED_VALUE"""),"SIM CARD MOVEL")</f>
        <v>SIM CARD MOVEL</v>
      </c>
      <c r="B5266" s="22">
        <f>IFERROR(__xludf.DUMMYFUNCTION("""COMPUTED_VALUE"""),23105.0)</f>
        <v>23105</v>
      </c>
      <c r="C5266" s="21" t="str">
        <f>IFERROR(__xludf.DUMMYFUNCTION("""COMPUTED_VALUE"""),"89550531860000449135")</f>
        <v>89550531860000449135</v>
      </c>
      <c r="D5266" s="21" t="str">
        <f>IFERROR(__xludf.DUMMYFUNCTION("""COMPUTED_VALUE"""),"DIGITEC TECNOLOGIA DIGITAL E REPRES")</f>
        <v>DIGITEC TECNOLOGIA DIGITAL E REPRES</v>
      </c>
      <c r="E5266" s="21">
        <f>IFERROR(__xludf.DUMMYFUNCTION("""COMPUTED_VALUE"""),145359.0)</f>
        <v>145359</v>
      </c>
      <c r="F5266" s="21" t="str">
        <f>IFERROR(__xludf.DUMMYFUNCTION("""COMPUTED_VALUE"""),"INICIALIZADO")</f>
        <v>INICIALIZADO</v>
      </c>
      <c r="G5266" s="23">
        <f>IFERROR(__xludf.DUMMYFUNCTION("""COMPUTED_VALUE"""),45600.363854166666)</f>
        <v>45600.36385</v>
      </c>
      <c r="H5266" s="24" t="str">
        <f>IFERROR(VLOOKUP(B5266,material!A:D,3,0),"")</f>
        <v>CHIP</v>
      </c>
    </row>
    <row r="5267" ht="11.25" customHeight="1">
      <c r="A5267" s="21" t="str">
        <f>IFERROR(__xludf.DUMMYFUNCTION("""COMPUTED_VALUE"""),"SIM CARD MOVEL")</f>
        <v>SIM CARD MOVEL</v>
      </c>
      <c r="B5267" s="22">
        <f>IFERROR(__xludf.DUMMYFUNCTION("""COMPUTED_VALUE"""),23105.0)</f>
        <v>23105</v>
      </c>
      <c r="C5267" s="21" t="str">
        <f>IFERROR(__xludf.DUMMYFUNCTION("""COMPUTED_VALUE"""),"89550531860000449176")</f>
        <v>89550531860000449176</v>
      </c>
      <c r="D5267" s="21" t="str">
        <f>IFERROR(__xludf.DUMMYFUNCTION("""COMPUTED_VALUE"""),"DIGITEC TECNOLOGIA DIGITAL E REPRES")</f>
        <v>DIGITEC TECNOLOGIA DIGITAL E REPRES</v>
      </c>
      <c r="E5267" s="21">
        <f>IFERROR(__xludf.DUMMYFUNCTION("""COMPUTED_VALUE"""),145359.0)</f>
        <v>145359</v>
      </c>
      <c r="F5267" s="21" t="str">
        <f>IFERROR(__xludf.DUMMYFUNCTION("""COMPUTED_VALUE"""),"INICIALIZADO")</f>
        <v>INICIALIZADO</v>
      </c>
      <c r="G5267" s="23">
        <f>IFERROR(__xludf.DUMMYFUNCTION("""COMPUTED_VALUE"""),45600.363854166666)</f>
        <v>45600.36385</v>
      </c>
      <c r="H5267" s="24" t="str">
        <f>IFERROR(VLOOKUP(B5267,material!A:D,3,0),"")</f>
        <v>CHIP</v>
      </c>
    </row>
    <row r="5268" ht="11.25" customHeight="1">
      <c r="A5268" s="21" t="str">
        <f>IFERROR(__xludf.DUMMYFUNCTION("""COMPUTED_VALUE"""),"SIM CARD MOVEL")</f>
        <v>SIM CARD MOVEL</v>
      </c>
      <c r="B5268" s="22">
        <f>IFERROR(__xludf.DUMMYFUNCTION("""COMPUTED_VALUE"""),23105.0)</f>
        <v>23105</v>
      </c>
      <c r="C5268" s="21" t="str">
        <f>IFERROR(__xludf.DUMMYFUNCTION("""COMPUTED_VALUE"""),"89550531860000449028")</f>
        <v>89550531860000449028</v>
      </c>
      <c r="D5268" s="21" t="str">
        <f>IFERROR(__xludf.DUMMYFUNCTION("""COMPUTED_VALUE"""),"DIGITEC TECNOLOGIA DIGITAL E REPRES")</f>
        <v>DIGITEC TECNOLOGIA DIGITAL E REPRES</v>
      </c>
      <c r="E5268" s="21">
        <f>IFERROR(__xludf.DUMMYFUNCTION("""COMPUTED_VALUE"""),145359.0)</f>
        <v>145359</v>
      </c>
      <c r="F5268" s="21" t="str">
        <f>IFERROR(__xludf.DUMMYFUNCTION("""COMPUTED_VALUE"""),"INICIALIZADO")</f>
        <v>INICIALIZADO</v>
      </c>
      <c r="G5268" s="23">
        <f>IFERROR(__xludf.DUMMYFUNCTION("""COMPUTED_VALUE"""),45600.363854166666)</f>
        <v>45600.36385</v>
      </c>
      <c r="H5268" s="24" t="str">
        <f>IFERROR(VLOOKUP(B5268,material!A:D,3,0),"")</f>
        <v>CHIP</v>
      </c>
    </row>
    <row r="5269" ht="11.25" customHeight="1">
      <c r="A5269" s="21" t="str">
        <f>IFERROR(__xludf.DUMMYFUNCTION("""COMPUTED_VALUE"""),"SIM CARD MOVEL")</f>
        <v>SIM CARD MOVEL</v>
      </c>
      <c r="B5269" s="22">
        <f>IFERROR(__xludf.DUMMYFUNCTION("""COMPUTED_VALUE"""),23105.0)</f>
        <v>23105</v>
      </c>
      <c r="C5269" s="21" t="str">
        <f>IFERROR(__xludf.DUMMYFUNCTION("""COMPUTED_VALUE"""),"89550531860000449036")</f>
        <v>89550531860000449036</v>
      </c>
      <c r="D5269" s="21" t="str">
        <f>IFERROR(__xludf.DUMMYFUNCTION("""COMPUTED_VALUE"""),"DIGITEC TECNOLOGIA DIGITAL E REPRES")</f>
        <v>DIGITEC TECNOLOGIA DIGITAL E REPRES</v>
      </c>
      <c r="E5269" s="21">
        <f>IFERROR(__xludf.DUMMYFUNCTION("""COMPUTED_VALUE"""),145359.0)</f>
        <v>145359</v>
      </c>
      <c r="F5269" s="21" t="str">
        <f>IFERROR(__xludf.DUMMYFUNCTION("""COMPUTED_VALUE"""),"INICIALIZADO")</f>
        <v>INICIALIZADO</v>
      </c>
      <c r="G5269" s="23">
        <f>IFERROR(__xludf.DUMMYFUNCTION("""COMPUTED_VALUE"""),45600.363854166666)</f>
        <v>45600.36385</v>
      </c>
      <c r="H5269" s="24" t="str">
        <f>IFERROR(VLOOKUP(B5269,material!A:D,3,0),"")</f>
        <v>CHIP</v>
      </c>
    </row>
    <row r="5270" ht="11.25" customHeight="1">
      <c r="A5270" s="21" t="str">
        <f>IFERROR(__xludf.DUMMYFUNCTION("""COMPUTED_VALUE"""),"SIM CARD MOVEL")</f>
        <v>SIM CARD MOVEL</v>
      </c>
      <c r="B5270" s="22">
        <f>IFERROR(__xludf.DUMMYFUNCTION("""COMPUTED_VALUE"""),23105.0)</f>
        <v>23105</v>
      </c>
      <c r="C5270" s="21" t="str">
        <f>IFERROR(__xludf.DUMMYFUNCTION("""COMPUTED_VALUE"""),"89550531860000449044")</f>
        <v>89550531860000449044</v>
      </c>
      <c r="D5270" s="21" t="str">
        <f>IFERROR(__xludf.DUMMYFUNCTION("""COMPUTED_VALUE"""),"DIGITEC TECNOLOGIA DIGITAL E REPRES")</f>
        <v>DIGITEC TECNOLOGIA DIGITAL E REPRES</v>
      </c>
      <c r="E5270" s="21">
        <f>IFERROR(__xludf.DUMMYFUNCTION("""COMPUTED_VALUE"""),145359.0)</f>
        <v>145359</v>
      </c>
      <c r="F5270" s="21" t="str">
        <f>IFERROR(__xludf.DUMMYFUNCTION("""COMPUTED_VALUE"""),"INICIALIZADO")</f>
        <v>INICIALIZADO</v>
      </c>
      <c r="G5270" s="23">
        <f>IFERROR(__xludf.DUMMYFUNCTION("""COMPUTED_VALUE"""),45600.363854166666)</f>
        <v>45600.36385</v>
      </c>
      <c r="H5270" s="24" t="str">
        <f>IFERROR(VLOOKUP(B5270,material!A:D,3,0),"")</f>
        <v>CHIP</v>
      </c>
    </row>
    <row r="5271" ht="11.25" customHeight="1">
      <c r="A5271" s="21" t="str">
        <f>IFERROR(__xludf.DUMMYFUNCTION("""COMPUTED_VALUE"""),"SIM CARD MOVEL")</f>
        <v>SIM CARD MOVEL</v>
      </c>
      <c r="B5271" s="22">
        <f>IFERROR(__xludf.DUMMYFUNCTION("""COMPUTED_VALUE"""),23105.0)</f>
        <v>23105</v>
      </c>
      <c r="C5271" s="21" t="str">
        <f>IFERROR(__xludf.DUMMYFUNCTION("""COMPUTED_VALUE"""),"89550531860000449051")</f>
        <v>89550531860000449051</v>
      </c>
      <c r="D5271" s="21" t="str">
        <f>IFERROR(__xludf.DUMMYFUNCTION("""COMPUTED_VALUE"""),"DIGITEC TECNOLOGIA DIGITAL E REPRES")</f>
        <v>DIGITEC TECNOLOGIA DIGITAL E REPRES</v>
      </c>
      <c r="E5271" s="21">
        <f>IFERROR(__xludf.DUMMYFUNCTION("""COMPUTED_VALUE"""),145359.0)</f>
        <v>145359</v>
      </c>
      <c r="F5271" s="21" t="str">
        <f>IFERROR(__xludf.DUMMYFUNCTION("""COMPUTED_VALUE"""),"INICIALIZADO")</f>
        <v>INICIALIZADO</v>
      </c>
      <c r="G5271" s="23">
        <f>IFERROR(__xludf.DUMMYFUNCTION("""COMPUTED_VALUE"""),45600.363854166666)</f>
        <v>45600.36385</v>
      </c>
      <c r="H5271" s="24" t="str">
        <f>IFERROR(VLOOKUP(B5271,material!A:D,3,0),"")</f>
        <v>CHIP</v>
      </c>
    </row>
    <row r="5272" ht="11.25" customHeight="1">
      <c r="A5272" s="21" t="str">
        <f>IFERROR(__xludf.DUMMYFUNCTION("""COMPUTED_VALUE"""),"SIM CARD MOVEL")</f>
        <v>SIM CARD MOVEL</v>
      </c>
      <c r="B5272" s="22">
        <f>IFERROR(__xludf.DUMMYFUNCTION("""COMPUTED_VALUE"""),23105.0)</f>
        <v>23105</v>
      </c>
      <c r="C5272" s="21" t="str">
        <f>IFERROR(__xludf.DUMMYFUNCTION("""COMPUTED_VALUE"""),"89550531860000449069")</f>
        <v>89550531860000449069</v>
      </c>
      <c r="D5272" s="21" t="str">
        <f>IFERROR(__xludf.DUMMYFUNCTION("""COMPUTED_VALUE"""),"DIGITEC TECNOLOGIA DIGITAL E REPRES")</f>
        <v>DIGITEC TECNOLOGIA DIGITAL E REPRES</v>
      </c>
      <c r="E5272" s="21">
        <f>IFERROR(__xludf.DUMMYFUNCTION("""COMPUTED_VALUE"""),145359.0)</f>
        <v>145359</v>
      </c>
      <c r="F5272" s="21" t="str">
        <f>IFERROR(__xludf.DUMMYFUNCTION("""COMPUTED_VALUE"""),"INICIALIZADO")</f>
        <v>INICIALIZADO</v>
      </c>
      <c r="G5272" s="23">
        <f>IFERROR(__xludf.DUMMYFUNCTION("""COMPUTED_VALUE"""),45600.363854166666)</f>
        <v>45600.36385</v>
      </c>
      <c r="H5272" s="24" t="str">
        <f>IFERROR(VLOOKUP(B5272,material!A:D,3,0),"")</f>
        <v>CHIP</v>
      </c>
    </row>
    <row r="5273" ht="11.25" customHeight="1">
      <c r="A5273" s="21" t="str">
        <f>IFERROR(__xludf.DUMMYFUNCTION("""COMPUTED_VALUE"""),"SIM CARD MOVEL")</f>
        <v>SIM CARD MOVEL</v>
      </c>
      <c r="B5273" s="22">
        <f>IFERROR(__xludf.DUMMYFUNCTION("""COMPUTED_VALUE"""),23105.0)</f>
        <v>23105</v>
      </c>
      <c r="C5273" s="21" t="str">
        <f>IFERROR(__xludf.DUMMYFUNCTION("""COMPUTED_VALUE"""),"89550531860000449085")</f>
        <v>89550531860000449085</v>
      </c>
      <c r="D5273" s="21" t="str">
        <f>IFERROR(__xludf.DUMMYFUNCTION("""COMPUTED_VALUE"""),"DIGITEC TECNOLOGIA DIGITAL E REPRES")</f>
        <v>DIGITEC TECNOLOGIA DIGITAL E REPRES</v>
      </c>
      <c r="E5273" s="21">
        <f>IFERROR(__xludf.DUMMYFUNCTION("""COMPUTED_VALUE"""),145359.0)</f>
        <v>145359</v>
      </c>
      <c r="F5273" s="21" t="str">
        <f>IFERROR(__xludf.DUMMYFUNCTION("""COMPUTED_VALUE"""),"INICIALIZADO")</f>
        <v>INICIALIZADO</v>
      </c>
      <c r="G5273" s="23">
        <f>IFERROR(__xludf.DUMMYFUNCTION("""COMPUTED_VALUE"""),45600.363854166666)</f>
        <v>45600.36385</v>
      </c>
      <c r="H5273" s="24" t="str">
        <f>IFERROR(VLOOKUP(B5273,material!A:D,3,0),"")</f>
        <v>CHIP</v>
      </c>
    </row>
    <row r="5274" ht="11.25" customHeight="1">
      <c r="A5274" s="21" t="str">
        <f>IFERROR(__xludf.DUMMYFUNCTION("""COMPUTED_VALUE"""),"SIM CARD MOVEL")</f>
        <v>SIM CARD MOVEL</v>
      </c>
      <c r="B5274" s="22">
        <f>IFERROR(__xludf.DUMMYFUNCTION("""COMPUTED_VALUE"""),23105.0)</f>
        <v>23105</v>
      </c>
      <c r="C5274" s="21" t="str">
        <f>IFERROR(__xludf.DUMMYFUNCTION("""COMPUTED_VALUE"""),"89550531860000449093")</f>
        <v>89550531860000449093</v>
      </c>
      <c r="D5274" s="21" t="str">
        <f>IFERROR(__xludf.DUMMYFUNCTION("""COMPUTED_VALUE"""),"DIGITEC TECNOLOGIA DIGITAL E REPRES")</f>
        <v>DIGITEC TECNOLOGIA DIGITAL E REPRES</v>
      </c>
      <c r="E5274" s="21">
        <f>IFERROR(__xludf.DUMMYFUNCTION("""COMPUTED_VALUE"""),145359.0)</f>
        <v>145359</v>
      </c>
      <c r="F5274" s="21" t="str">
        <f>IFERROR(__xludf.DUMMYFUNCTION("""COMPUTED_VALUE"""),"INICIALIZADO")</f>
        <v>INICIALIZADO</v>
      </c>
      <c r="G5274" s="23">
        <f>IFERROR(__xludf.DUMMYFUNCTION("""COMPUTED_VALUE"""),45600.363854166666)</f>
        <v>45600.36385</v>
      </c>
      <c r="H5274" s="24" t="str">
        <f>IFERROR(VLOOKUP(B5274,material!A:D,3,0),"")</f>
        <v>CHIP</v>
      </c>
    </row>
    <row r="5275" ht="11.25" customHeight="1">
      <c r="A5275" s="21" t="str">
        <f>IFERROR(__xludf.DUMMYFUNCTION("""COMPUTED_VALUE"""),"SIM CARD MOVEL")</f>
        <v>SIM CARD MOVEL</v>
      </c>
      <c r="B5275" s="22">
        <f>IFERROR(__xludf.DUMMYFUNCTION("""COMPUTED_VALUE"""),23105.0)</f>
        <v>23105</v>
      </c>
      <c r="C5275" s="21" t="str">
        <f>IFERROR(__xludf.DUMMYFUNCTION("""COMPUTED_VALUE"""),"89550531860000449101")</f>
        <v>89550531860000449101</v>
      </c>
      <c r="D5275" s="21" t="str">
        <f>IFERROR(__xludf.DUMMYFUNCTION("""COMPUTED_VALUE"""),"DIGITEC TECNOLOGIA DIGITAL E REPRES")</f>
        <v>DIGITEC TECNOLOGIA DIGITAL E REPRES</v>
      </c>
      <c r="E5275" s="21">
        <f>IFERROR(__xludf.DUMMYFUNCTION("""COMPUTED_VALUE"""),145359.0)</f>
        <v>145359</v>
      </c>
      <c r="F5275" s="21" t="str">
        <f>IFERROR(__xludf.DUMMYFUNCTION("""COMPUTED_VALUE"""),"INICIALIZADO")</f>
        <v>INICIALIZADO</v>
      </c>
      <c r="G5275" s="23">
        <f>IFERROR(__xludf.DUMMYFUNCTION("""COMPUTED_VALUE"""),45600.363854166666)</f>
        <v>45600.36385</v>
      </c>
      <c r="H5275" s="24" t="str">
        <f>IFERROR(VLOOKUP(B5275,material!A:D,3,0),"")</f>
        <v>CHIP</v>
      </c>
    </row>
    <row r="5276" ht="11.25" customHeight="1">
      <c r="A5276" s="21" t="str">
        <f>IFERROR(__xludf.DUMMYFUNCTION("""COMPUTED_VALUE"""),"SIM CARD MOVEL")</f>
        <v>SIM CARD MOVEL</v>
      </c>
      <c r="B5276" s="22">
        <f>IFERROR(__xludf.DUMMYFUNCTION("""COMPUTED_VALUE"""),23105.0)</f>
        <v>23105</v>
      </c>
      <c r="C5276" s="21" t="str">
        <f>IFERROR(__xludf.DUMMYFUNCTION("""COMPUTED_VALUE"""),"89550531860000449119")</f>
        <v>89550531860000449119</v>
      </c>
      <c r="D5276" s="21" t="str">
        <f>IFERROR(__xludf.DUMMYFUNCTION("""COMPUTED_VALUE"""),"DIGITEC TECNOLOGIA DIGITAL E REPRES")</f>
        <v>DIGITEC TECNOLOGIA DIGITAL E REPRES</v>
      </c>
      <c r="E5276" s="21">
        <f>IFERROR(__xludf.DUMMYFUNCTION("""COMPUTED_VALUE"""),145359.0)</f>
        <v>145359</v>
      </c>
      <c r="F5276" s="21" t="str">
        <f>IFERROR(__xludf.DUMMYFUNCTION("""COMPUTED_VALUE"""),"INICIALIZADO")</f>
        <v>INICIALIZADO</v>
      </c>
      <c r="G5276" s="23">
        <f>IFERROR(__xludf.DUMMYFUNCTION("""COMPUTED_VALUE"""),45600.363854166666)</f>
        <v>45600.36385</v>
      </c>
      <c r="H5276" s="24" t="str">
        <f>IFERROR(VLOOKUP(B5276,material!A:D,3,0),"")</f>
        <v>CHIP</v>
      </c>
    </row>
    <row r="5277" ht="11.25" customHeight="1">
      <c r="A5277" s="21" t="str">
        <f>IFERROR(__xludf.DUMMYFUNCTION("""COMPUTED_VALUE"""),"SIM CARD MOVEL")</f>
        <v>SIM CARD MOVEL</v>
      </c>
      <c r="B5277" s="22">
        <f>IFERROR(__xludf.DUMMYFUNCTION("""COMPUTED_VALUE"""),23105.0)</f>
        <v>23105</v>
      </c>
      <c r="C5277" s="21" t="str">
        <f>IFERROR(__xludf.DUMMYFUNCTION("""COMPUTED_VALUE"""),"89550534860002371110")</f>
        <v>89550534860002371110</v>
      </c>
      <c r="D5277" s="21" t="str">
        <f>IFERROR(__xludf.DUMMYFUNCTION("""COMPUTED_VALUE"""),"DIGITEC TECNOLOGIA DIGITAL E REPRES")</f>
        <v>DIGITEC TECNOLOGIA DIGITAL E REPRES</v>
      </c>
      <c r="E5277" s="21">
        <f>IFERROR(__xludf.DUMMYFUNCTION("""COMPUTED_VALUE"""),145359.0)</f>
        <v>145359</v>
      </c>
      <c r="F5277" s="21" t="str">
        <f>IFERROR(__xludf.DUMMYFUNCTION("""COMPUTED_VALUE"""),"INICIALIZADO")</f>
        <v>INICIALIZADO</v>
      </c>
      <c r="G5277" s="23">
        <f>IFERROR(__xludf.DUMMYFUNCTION("""COMPUTED_VALUE"""),45600.363854166666)</f>
        <v>45600.36385</v>
      </c>
      <c r="H5277" s="24" t="str">
        <f>IFERROR(VLOOKUP(B5277,material!A:D,3,0),"")</f>
        <v>CHIP</v>
      </c>
    </row>
    <row r="5278" ht="11.25" customHeight="1">
      <c r="A5278" s="21" t="str">
        <f>IFERROR(__xludf.DUMMYFUNCTION("""COMPUTED_VALUE"""),"SIM CARD MOVEL")</f>
        <v>SIM CARD MOVEL</v>
      </c>
      <c r="B5278" s="22">
        <f>IFERROR(__xludf.DUMMYFUNCTION("""COMPUTED_VALUE"""),23105.0)</f>
        <v>23105</v>
      </c>
      <c r="C5278" s="21" t="str">
        <f>IFERROR(__xludf.DUMMYFUNCTION("""COMPUTED_VALUE"""),"89550534860002371136")</f>
        <v>89550534860002371136</v>
      </c>
      <c r="D5278" s="21" t="str">
        <f>IFERROR(__xludf.DUMMYFUNCTION("""COMPUTED_VALUE"""),"DIGITEC TECNOLOGIA DIGITAL E REPRES")</f>
        <v>DIGITEC TECNOLOGIA DIGITAL E REPRES</v>
      </c>
      <c r="E5278" s="21">
        <f>IFERROR(__xludf.DUMMYFUNCTION("""COMPUTED_VALUE"""),145359.0)</f>
        <v>145359</v>
      </c>
      <c r="F5278" s="21" t="str">
        <f>IFERROR(__xludf.DUMMYFUNCTION("""COMPUTED_VALUE"""),"INICIALIZADO")</f>
        <v>INICIALIZADO</v>
      </c>
      <c r="G5278" s="23">
        <f>IFERROR(__xludf.DUMMYFUNCTION("""COMPUTED_VALUE"""),45600.363854166666)</f>
        <v>45600.36385</v>
      </c>
      <c r="H5278" s="24" t="str">
        <f>IFERROR(VLOOKUP(B5278,material!A:D,3,0),"")</f>
        <v>CHIP</v>
      </c>
    </row>
    <row r="5279" ht="11.25" customHeight="1">
      <c r="A5279" s="21" t="str">
        <f>IFERROR(__xludf.DUMMYFUNCTION("""COMPUTED_VALUE"""),"SIM CARD MOVEL")</f>
        <v>SIM CARD MOVEL</v>
      </c>
      <c r="B5279" s="22">
        <f>IFERROR(__xludf.DUMMYFUNCTION("""COMPUTED_VALUE"""),23105.0)</f>
        <v>23105</v>
      </c>
      <c r="C5279" s="21" t="str">
        <f>IFERROR(__xludf.DUMMYFUNCTION("""COMPUTED_VALUE"""),"89550534860002371144")</f>
        <v>89550534860002371144</v>
      </c>
      <c r="D5279" s="21" t="str">
        <f>IFERROR(__xludf.DUMMYFUNCTION("""COMPUTED_VALUE"""),"DIGITEC TECNOLOGIA DIGITAL E REPRES")</f>
        <v>DIGITEC TECNOLOGIA DIGITAL E REPRES</v>
      </c>
      <c r="E5279" s="21">
        <f>IFERROR(__xludf.DUMMYFUNCTION("""COMPUTED_VALUE"""),145359.0)</f>
        <v>145359</v>
      </c>
      <c r="F5279" s="21" t="str">
        <f>IFERROR(__xludf.DUMMYFUNCTION("""COMPUTED_VALUE"""),"INICIALIZADO")</f>
        <v>INICIALIZADO</v>
      </c>
      <c r="G5279" s="23">
        <f>IFERROR(__xludf.DUMMYFUNCTION("""COMPUTED_VALUE"""),45600.363854166666)</f>
        <v>45600.36385</v>
      </c>
      <c r="H5279" s="24" t="str">
        <f>IFERROR(VLOOKUP(B5279,material!A:D,3,0),"")</f>
        <v>CHIP</v>
      </c>
    </row>
    <row r="5280" ht="11.25" customHeight="1">
      <c r="A5280" s="21" t="str">
        <f>IFERROR(__xludf.DUMMYFUNCTION("""COMPUTED_VALUE"""),"SIM CARD MOVEL")</f>
        <v>SIM CARD MOVEL</v>
      </c>
      <c r="B5280" s="22">
        <f>IFERROR(__xludf.DUMMYFUNCTION("""COMPUTED_VALUE"""),23105.0)</f>
        <v>23105</v>
      </c>
      <c r="C5280" s="21" t="str">
        <f>IFERROR(__xludf.DUMMYFUNCTION("""COMPUTED_VALUE"""),"89550534860002371151")</f>
        <v>89550534860002371151</v>
      </c>
      <c r="D5280" s="21" t="str">
        <f>IFERROR(__xludf.DUMMYFUNCTION("""COMPUTED_VALUE"""),"DIGITEC TECNOLOGIA DIGITAL E REPRES")</f>
        <v>DIGITEC TECNOLOGIA DIGITAL E REPRES</v>
      </c>
      <c r="E5280" s="21">
        <f>IFERROR(__xludf.DUMMYFUNCTION("""COMPUTED_VALUE"""),145359.0)</f>
        <v>145359</v>
      </c>
      <c r="F5280" s="21" t="str">
        <f>IFERROR(__xludf.DUMMYFUNCTION("""COMPUTED_VALUE"""),"INICIALIZADO")</f>
        <v>INICIALIZADO</v>
      </c>
      <c r="G5280" s="23">
        <f>IFERROR(__xludf.DUMMYFUNCTION("""COMPUTED_VALUE"""),45600.363854166666)</f>
        <v>45600.36385</v>
      </c>
      <c r="H5280" s="24" t="str">
        <f>IFERROR(VLOOKUP(B5280,material!A:D,3,0),"")</f>
        <v>CHIP</v>
      </c>
    </row>
    <row r="5281" ht="11.25" customHeight="1">
      <c r="A5281" s="21" t="str">
        <f>IFERROR(__xludf.DUMMYFUNCTION("""COMPUTED_VALUE"""),"SIM CARD MOVEL")</f>
        <v>SIM CARD MOVEL</v>
      </c>
      <c r="B5281" s="22">
        <f>IFERROR(__xludf.DUMMYFUNCTION("""COMPUTED_VALUE"""),23105.0)</f>
        <v>23105</v>
      </c>
      <c r="C5281" s="21" t="str">
        <f>IFERROR(__xludf.DUMMYFUNCTION("""COMPUTED_VALUE"""),"89550534860002371169")</f>
        <v>89550534860002371169</v>
      </c>
      <c r="D5281" s="21" t="str">
        <f>IFERROR(__xludf.DUMMYFUNCTION("""COMPUTED_VALUE"""),"DIGITEC TECNOLOGIA DIGITAL E REPRES")</f>
        <v>DIGITEC TECNOLOGIA DIGITAL E REPRES</v>
      </c>
      <c r="E5281" s="21">
        <f>IFERROR(__xludf.DUMMYFUNCTION("""COMPUTED_VALUE"""),145359.0)</f>
        <v>145359</v>
      </c>
      <c r="F5281" s="21" t="str">
        <f>IFERROR(__xludf.DUMMYFUNCTION("""COMPUTED_VALUE"""),"INICIALIZADO")</f>
        <v>INICIALIZADO</v>
      </c>
      <c r="G5281" s="23">
        <f>IFERROR(__xludf.DUMMYFUNCTION("""COMPUTED_VALUE"""),45600.363854166666)</f>
        <v>45600.36385</v>
      </c>
      <c r="H5281" s="24" t="str">
        <f>IFERROR(VLOOKUP(B5281,material!A:D,3,0),"")</f>
        <v>CHIP</v>
      </c>
    </row>
    <row r="5282" ht="11.25" customHeight="1">
      <c r="A5282" s="21" t="str">
        <f>IFERROR(__xludf.DUMMYFUNCTION("""COMPUTED_VALUE"""),"SIM CARD MOVEL")</f>
        <v>SIM CARD MOVEL</v>
      </c>
      <c r="B5282" s="22">
        <f>IFERROR(__xludf.DUMMYFUNCTION("""COMPUTED_VALUE"""),23105.0)</f>
        <v>23105</v>
      </c>
      <c r="C5282" s="21" t="str">
        <f>IFERROR(__xludf.DUMMYFUNCTION("""COMPUTED_VALUE"""),"89550534860002371177")</f>
        <v>89550534860002371177</v>
      </c>
      <c r="D5282" s="21" t="str">
        <f>IFERROR(__xludf.DUMMYFUNCTION("""COMPUTED_VALUE"""),"DIGITEC TECNOLOGIA DIGITAL E REPRES")</f>
        <v>DIGITEC TECNOLOGIA DIGITAL E REPRES</v>
      </c>
      <c r="E5282" s="21">
        <f>IFERROR(__xludf.DUMMYFUNCTION("""COMPUTED_VALUE"""),145359.0)</f>
        <v>145359</v>
      </c>
      <c r="F5282" s="21" t="str">
        <f>IFERROR(__xludf.DUMMYFUNCTION("""COMPUTED_VALUE"""),"INICIALIZADO")</f>
        <v>INICIALIZADO</v>
      </c>
      <c r="G5282" s="23">
        <f>IFERROR(__xludf.DUMMYFUNCTION("""COMPUTED_VALUE"""),45600.363854166666)</f>
        <v>45600.36385</v>
      </c>
      <c r="H5282" s="24" t="str">
        <f>IFERROR(VLOOKUP(B5282,material!A:D,3,0),"")</f>
        <v>CHIP</v>
      </c>
    </row>
    <row r="5283" ht="11.25" customHeight="1">
      <c r="A5283" s="21" t="str">
        <f>IFERROR(__xludf.DUMMYFUNCTION("""COMPUTED_VALUE"""),"SIM CARD MOVEL")</f>
        <v>SIM CARD MOVEL</v>
      </c>
      <c r="B5283" s="22">
        <f>IFERROR(__xludf.DUMMYFUNCTION("""COMPUTED_VALUE"""),23105.0)</f>
        <v>23105</v>
      </c>
      <c r="C5283" s="21" t="str">
        <f>IFERROR(__xludf.DUMMYFUNCTION("""COMPUTED_VALUE"""),"89550534860002371185")</f>
        <v>89550534860002371185</v>
      </c>
      <c r="D5283" s="21" t="str">
        <f>IFERROR(__xludf.DUMMYFUNCTION("""COMPUTED_VALUE"""),"DIGITEC TECNOLOGIA DIGITAL E REPRES")</f>
        <v>DIGITEC TECNOLOGIA DIGITAL E REPRES</v>
      </c>
      <c r="E5283" s="21">
        <f>IFERROR(__xludf.DUMMYFUNCTION("""COMPUTED_VALUE"""),145359.0)</f>
        <v>145359</v>
      </c>
      <c r="F5283" s="21" t="str">
        <f>IFERROR(__xludf.DUMMYFUNCTION("""COMPUTED_VALUE"""),"INICIALIZADO")</f>
        <v>INICIALIZADO</v>
      </c>
      <c r="G5283" s="23">
        <f>IFERROR(__xludf.DUMMYFUNCTION("""COMPUTED_VALUE"""),45600.363854166666)</f>
        <v>45600.36385</v>
      </c>
      <c r="H5283" s="24" t="str">
        <f>IFERROR(VLOOKUP(B5283,material!A:D,3,0),"")</f>
        <v>CHIP</v>
      </c>
    </row>
    <row r="5284" ht="11.25" customHeight="1">
      <c r="A5284" s="21" t="str">
        <f>IFERROR(__xludf.DUMMYFUNCTION("""COMPUTED_VALUE"""),"SIM CARD MOVEL")</f>
        <v>SIM CARD MOVEL</v>
      </c>
      <c r="B5284" s="22">
        <f>IFERROR(__xludf.DUMMYFUNCTION("""COMPUTED_VALUE"""),23105.0)</f>
        <v>23105</v>
      </c>
      <c r="C5284" s="21" t="str">
        <f>IFERROR(__xludf.DUMMYFUNCTION("""COMPUTED_VALUE"""),"89550534860002371011")</f>
        <v>89550534860002371011</v>
      </c>
      <c r="D5284" s="21" t="str">
        <f>IFERROR(__xludf.DUMMYFUNCTION("""COMPUTED_VALUE"""),"DIGITEC TECNOLOGIA DIGITAL E REPRES")</f>
        <v>DIGITEC TECNOLOGIA DIGITAL E REPRES</v>
      </c>
      <c r="E5284" s="21">
        <f>IFERROR(__xludf.DUMMYFUNCTION("""COMPUTED_VALUE"""),145359.0)</f>
        <v>145359</v>
      </c>
      <c r="F5284" s="21" t="str">
        <f>IFERROR(__xludf.DUMMYFUNCTION("""COMPUTED_VALUE"""),"INICIALIZADO")</f>
        <v>INICIALIZADO</v>
      </c>
      <c r="G5284" s="23">
        <f>IFERROR(__xludf.DUMMYFUNCTION("""COMPUTED_VALUE"""),45600.363854166666)</f>
        <v>45600.36385</v>
      </c>
      <c r="H5284" s="24" t="str">
        <f>IFERROR(VLOOKUP(B5284,material!A:D,3,0),"")</f>
        <v>CHIP</v>
      </c>
    </row>
    <row r="5285" ht="11.25" customHeight="1">
      <c r="A5285" s="21" t="str">
        <f>IFERROR(__xludf.DUMMYFUNCTION("""COMPUTED_VALUE"""),"SIM CARD MOVEL")</f>
        <v>SIM CARD MOVEL</v>
      </c>
      <c r="B5285" s="22">
        <f>IFERROR(__xludf.DUMMYFUNCTION("""COMPUTED_VALUE"""),23105.0)</f>
        <v>23105</v>
      </c>
      <c r="C5285" s="21" t="str">
        <f>IFERROR(__xludf.DUMMYFUNCTION("""COMPUTED_VALUE"""),"89550534860002371029")</f>
        <v>89550534860002371029</v>
      </c>
      <c r="D5285" s="21" t="str">
        <f>IFERROR(__xludf.DUMMYFUNCTION("""COMPUTED_VALUE"""),"DIGITEC TECNOLOGIA DIGITAL E REPRES")</f>
        <v>DIGITEC TECNOLOGIA DIGITAL E REPRES</v>
      </c>
      <c r="E5285" s="21">
        <f>IFERROR(__xludf.DUMMYFUNCTION("""COMPUTED_VALUE"""),145359.0)</f>
        <v>145359</v>
      </c>
      <c r="F5285" s="21" t="str">
        <f>IFERROR(__xludf.DUMMYFUNCTION("""COMPUTED_VALUE"""),"INICIALIZADO")</f>
        <v>INICIALIZADO</v>
      </c>
      <c r="G5285" s="23">
        <f>IFERROR(__xludf.DUMMYFUNCTION("""COMPUTED_VALUE"""),45600.363854166666)</f>
        <v>45600.36385</v>
      </c>
      <c r="H5285" s="24" t="str">
        <f>IFERROR(VLOOKUP(B5285,material!A:D,3,0),"")</f>
        <v>CHIP</v>
      </c>
    </row>
    <row r="5286" ht="11.25" customHeight="1">
      <c r="A5286" s="21" t="str">
        <f>IFERROR(__xludf.DUMMYFUNCTION("""COMPUTED_VALUE"""),"SIM CARD MOVEL")</f>
        <v>SIM CARD MOVEL</v>
      </c>
      <c r="B5286" s="22">
        <f>IFERROR(__xludf.DUMMYFUNCTION("""COMPUTED_VALUE"""),23105.0)</f>
        <v>23105</v>
      </c>
      <c r="C5286" s="21" t="str">
        <f>IFERROR(__xludf.DUMMYFUNCTION("""COMPUTED_VALUE"""),"89550534860002371045")</f>
        <v>89550534860002371045</v>
      </c>
      <c r="D5286" s="21" t="str">
        <f>IFERROR(__xludf.DUMMYFUNCTION("""COMPUTED_VALUE"""),"DIGITEC TECNOLOGIA DIGITAL E REPRES")</f>
        <v>DIGITEC TECNOLOGIA DIGITAL E REPRES</v>
      </c>
      <c r="E5286" s="21">
        <f>IFERROR(__xludf.DUMMYFUNCTION("""COMPUTED_VALUE"""),145359.0)</f>
        <v>145359</v>
      </c>
      <c r="F5286" s="21" t="str">
        <f>IFERROR(__xludf.DUMMYFUNCTION("""COMPUTED_VALUE"""),"INICIALIZADO")</f>
        <v>INICIALIZADO</v>
      </c>
      <c r="G5286" s="23">
        <f>IFERROR(__xludf.DUMMYFUNCTION("""COMPUTED_VALUE"""),45600.363854166666)</f>
        <v>45600.36385</v>
      </c>
      <c r="H5286" s="24" t="str">
        <f>IFERROR(VLOOKUP(B5286,material!A:D,3,0),"")</f>
        <v>CHIP</v>
      </c>
    </row>
    <row r="5287" ht="11.25" customHeight="1">
      <c r="A5287" s="21" t="str">
        <f>IFERROR(__xludf.DUMMYFUNCTION("""COMPUTED_VALUE"""),"SIM CARD MOVEL")</f>
        <v>SIM CARD MOVEL</v>
      </c>
      <c r="B5287" s="22">
        <f>IFERROR(__xludf.DUMMYFUNCTION("""COMPUTED_VALUE"""),23105.0)</f>
        <v>23105</v>
      </c>
      <c r="C5287" s="21" t="str">
        <f>IFERROR(__xludf.DUMMYFUNCTION("""COMPUTED_VALUE"""),"89550534860002371052")</f>
        <v>89550534860002371052</v>
      </c>
      <c r="D5287" s="21" t="str">
        <f>IFERROR(__xludf.DUMMYFUNCTION("""COMPUTED_VALUE"""),"DIGITEC TECNOLOGIA DIGITAL E REPRES")</f>
        <v>DIGITEC TECNOLOGIA DIGITAL E REPRES</v>
      </c>
      <c r="E5287" s="21">
        <f>IFERROR(__xludf.DUMMYFUNCTION("""COMPUTED_VALUE"""),145359.0)</f>
        <v>145359</v>
      </c>
      <c r="F5287" s="21" t="str">
        <f>IFERROR(__xludf.DUMMYFUNCTION("""COMPUTED_VALUE"""),"INICIALIZADO")</f>
        <v>INICIALIZADO</v>
      </c>
      <c r="G5287" s="23">
        <f>IFERROR(__xludf.DUMMYFUNCTION("""COMPUTED_VALUE"""),45600.363854166666)</f>
        <v>45600.36385</v>
      </c>
      <c r="H5287" s="24" t="str">
        <f>IFERROR(VLOOKUP(B5287,material!A:D,3,0),"")</f>
        <v>CHIP</v>
      </c>
    </row>
    <row r="5288" ht="11.25" customHeight="1">
      <c r="A5288" s="21" t="str">
        <f>IFERROR(__xludf.DUMMYFUNCTION("""COMPUTED_VALUE"""),"SIM CARD MOVEL")</f>
        <v>SIM CARD MOVEL</v>
      </c>
      <c r="B5288" s="22">
        <f>IFERROR(__xludf.DUMMYFUNCTION("""COMPUTED_VALUE"""),23105.0)</f>
        <v>23105</v>
      </c>
      <c r="C5288" s="21" t="str">
        <f>IFERROR(__xludf.DUMMYFUNCTION("""COMPUTED_VALUE"""),"89550534860002371060")</f>
        <v>89550534860002371060</v>
      </c>
      <c r="D5288" s="21" t="str">
        <f>IFERROR(__xludf.DUMMYFUNCTION("""COMPUTED_VALUE"""),"DIGITEC TECNOLOGIA DIGITAL E REPRES")</f>
        <v>DIGITEC TECNOLOGIA DIGITAL E REPRES</v>
      </c>
      <c r="E5288" s="21">
        <f>IFERROR(__xludf.DUMMYFUNCTION("""COMPUTED_VALUE"""),145359.0)</f>
        <v>145359</v>
      </c>
      <c r="F5288" s="21" t="str">
        <f>IFERROR(__xludf.DUMMYFUNCTION("""COMPUTED_VALUE"""),"INICIALIZADO")</f>
        <v>INICIALIZADO</v>
      </c>
      <c r="G5288" s="23">
        <f>IFERROR(__xludf.DUMMYFUNCTION("""COMPUTED_VALUE"""),45600.363854166666)</f>
        <v>45600.36385</v>
      </c>
      <c r="H5288" s="24" t="str">
        <f>IFERROR(VLOOKUP(B5288,material!A:D,3,0),"")</f>
        <v>CHIP</v>
      </c>
    </row>
    <row r="5289" ht="11.25" customHeight="1">
      <c r="A5289" s="21" t="str">
        <f>IFERROR(__xludf.DUMMYFUNCTION("""COMPUTED_VALUE"""),"SIM CARD MOVEL")</f>
        <v>SIM CARD MOVEL</v>
      </c>
      <c r="B5289" s="22">
        <f>IFERROR(__xludf.DUMMYFUNCTION("""COMPUTED_VALUE"""),23105.0)</f>
        <v>23105</v>
      </c>
      <c r="C5289" s="21" t="str">
        <f>IFERROR(__xludf.DUMMYFUNCTION("""COMPUTED_VALUE"""),"89550534860002371078")</f>
        <v>89550534860002371078</v>
      </c>
      <c r="D5289" s="21" t="str">
        <f>IFERROR(__xludf.DUMMYFUNCTION("""COMPUTED_VALUE"""),"DIGITEC TECNOLOGIA DIGITAL E REPRES")</f>
        <v>DIGITEC TECNOLOGIA DIGITAL E REPRES</v>
      </c>
      <c r="E5289" s="21">
        <f>IFERROR(__xludf.DUMMYFUNCTION("""COMPUTED_VALUE"""),145359.0)</f>
        <v>145359</v>
      </c>
      <c r="F5289" s="21" t="str">
        <f>IFERROR(__xludf.DUMMYFUNCTION("""COMPUTED_VALUE"""),"INICIALIZADO")</f>
        <v>INICIALIZADO</v>
      </c>
      <c r="G5289" s="23">
        <f>IFERROR(__xludf.DUMMYFUNCTION("""COMPUTED_VALUE"""),45600.363854166666)</f>
        <v>45600.36385</v>
      </c>
      <c r="H5289" s="24" t="str">
        <f>IFERROR(VLOOKUP(B5289,material!A:D,3,0),"")</f>
        <v>CHIP</v>
      </c>
    </row>
    <row r="5290" ht="11.25" customHeight="1">
      <c r="A5290" s="21" t="str">
        <f>IFERROR(__xludf.DUMMYFUNCTION("""COMPUTED_VALUE"""),"SIM CARD MOVEL")</f>
        <v>SIM CARD MOVEL</v>
      </c>
      <c r="B5290" s="22">
        <f>IFERROR(__xludf.DUMMYFUNCTION("""COMPUTED_VALUE"""),23105.0)</f>
        <v>23105</v>
      </c>
      <c r="C5290" s="21" t="str">
        <f>IFERROR(__xludf.DUMMYFUNCTION("""COMPUTED_VALUE"""),"89550534860002371086")</f>
        <v>89550534860002371086</v>
      </c>
      <c r="D5290" s="21" t="str">
        <f>IFERROR(__xludf.DUMMYFUNCTION("""COMPUTED_VALUE"""),"DIGITEC TECNOLOGIA DIGITAL E REPRES")</f>
        <v>DIGITEC TECNOLOGIA DIGITAL E REPRES</v>
      </c>
      <c r="E5290" s="21">
        <f>IFERROR(__xludf.DUMMYFUNCTION("""COMPUTED_VALUE"""),145359.0)</f>
        <v>145359</v>
      </c>
      <c r="F5290" s="21" t="str">
        <f>IFERROR(__xludf.DUMMYFUNCTION("""COMPUTED_VALUE"""),"INICIALIZADO")</f>
        <v>INICIALIZADO</v>
      </c>
      <c r="G5290" s="23">
        <f>IFERROR(__xludf.DUMMYFUNCTION("""COMPUTED_VALUE"""),45600.363854166666)</f>
        <v>45600.36385</v>
      </c>
      <c r="H5290" s="24" t="str">
        <f>IFERROR(VLOOKUP(B5290,material!A:D,3,0),"")</f>
        <v>CHIP</v>
      </c>
    </row>
    <row r="5291" ht="11.25" customHeight="1">
      <c r="A5291" s="21" t="str">
        <f>IFERROR(__xludf.DUMMYFUNCTION("""COMPUTED_VALUE"""),"SIM CARD MOVEL")</f>
        <v>SIM CARD MOVEL</v>
      </c>
      <c r="B5291" s="22">
        <f>IFERROR(__xludf.DUMMYFUNCTION("""COMPUTED_VALUE"""),23105.0)</f>
        <v>23105</v>
      </c>
      <c r="C5291" s="21" t="str">
        <f>IFERROR(__xludf.DUMMYFUNCTION("""COMPUTED_VALUE"""),"89550534860002371094")</f>
        <v>89550534860002371094</v>
      </c>
      <c r="D5291" s="21" t="str">
        <f>IFERROR(__xludf.DUMMYFUNCTION("""COMPUTED_VALUE"""),"DIGITEC TECNOLOGIA DIGITAL E REPRES")</f>
        <v>DIGITEC TECNOLOGIA DIGITAL E REPRES</v>
      </c>
      <c r="E5291" s="21">
        <f>IFERROR(__xludf.DUMMYFUNCTION("""COMPUTED_VALUE"""),145359.0)</f>
        <v>145359</v>
      </c>
      <c r="F5291" s="21" t="str">
        <f>IFERROR(__xludf.DUMMYFUNCTION("""COMPUTED_VALUE"""),"INICIALIZADO")</f>
        <v>INICIALIZADO</v>
      </c>
      <c r="G5291" s="23">
        <f>IFERROR(__xludf.DUMMYFUNCTION("""COMPUTED_VALUE"""),45600.363854166666)</f>
        <v>45600.36385</v>
      </c>
      <c r="H5291" s="24" t="str">
        <f>IFERROR(VLOOKUP(B5291,material!A:D,3,0),"")</f>
        <v>CHIP</v>
      </c>
    </row>
    <row r="5292" ht="11.25" customHeight="1">
      <c r="A5292" s="21" t="str">
        <f>IFERROR(__xludf.DUMMYFUNCTION("""COMPUTED_VALUE"""),"SIM CARD MOVEL")</f>
        <v>SIM CARD MOVEL</v>
      </c>
      <c r="B5292" s="22">
        <f>IFERROR(__xludf.DUMMYFUNCTION("""COMPUTED_VALUE"""),23105.0)</f>
        <v>23105</v>
      </c>
      <c r="C5292" s="21" t="str">
        <f>IFERROR(__xludf.DUMMYFUNCTION("""COMPUTED_VALUE"""),"89550534860002371102")</f>
        <v>89550534860002371102</v>
      </c>
      <c r="D5292" s="21" t="str">
        <f>IFERROR(__xludf.DUMMYFUNCTION("""COMPUTED_VALUE"""),"DIGITEC TECNOLOGIA DIGITAL E REPRES")</f>
        <v>DIGITEC TECNOLOGIA DIGITAL E REPRES</v>
      </c>
      <c r="E5292" s="21">
        <f>IFERROR(__xludf.DUMMYFUNCTION("""COMPUTED_VALUE"""),145359.0)</f>
        <v>145359</v>
      </c>
      <c r="F5292" s="21" t="str">
        <f>IFERROR(__xludf.DUMMYFUNCTION("""COMPUTED_VALUE"""),"INICIALIZADO")</f>
        <v>INICIALIZADO</v>
      </c>
      <c r="G5292" s="23">
        <f>IFERROR(__xludf.DUMMYFUNCTION("""COMPUTED_VALUE"""),45600.363854166666)</f>
        <v>45600.36385</v>
      </c>
      <c r="H5292" s="24" t="str">
        <f>IFERROR(VLOOKUP(B5292,material!A:D,3,0),"")</f>
        <v>CHIP</v>
      </c>
    </row>
    <row r="5293" ht="11.25" customHeight="1">
      <c r="A5293" s="21" t="str">
        <f>IFERROR(__xludf.DUMMYFUNCTION("""COMPUTED_VALUE"""),"SIM CARD MOVEL")</f>
        <v>SIM CARD MOVEL</v>
      </c>
      <c r="B5293" s="22">
        <f>IFERROR(__xludf.DUMMYFUNCTION("""COMPUTED_VALUE"""),23105.0)</f>
        <v>23105</v>
      </c>
      <c r="C5293" s="21" t="str">
        <f>IFERROR(__xludf.DUMMYFUNCTION("""COMPUTED_VALUE"""),"89550534860002370310")</f>
        <v>89550534860002370310</v>
      </c>
      <c r="D5293" s="21" t="str">
        <f>IFERROR(__xludf.DUMMYFUNCTION("""COMPUTED_VALUE"""),"DIGITEC TECNOLOGIA DIGITAL E REPRES")</f>
        <v>DIGITEC TECNOLOGIA DIGITAL E REPRES</v>
      </c>
      <c r="E5293" s="21">
        <f>IFERROR(__xludf.DUMMYFUNCTION("""COMPUTED_VALUE"""),145359.0)</f>
        <v>145359</v>
      </c>
      <c r="F5293" s="21" t="str">
        <f>IFERROR(__xludf.DUMMYFUNCTION("""COMPUTED_VALUE"""),"INICIALIZADO")</f>
        <v>INICIALIZADO</v>
      </c>
      <c r="G5293" s="23">
        <f>IFERROR(__xludf.DUMMYFUNCTION("""COMPUTED_VALUE"""),45600.363854166666)</f>
        <v>45600.36385</v>
      </c>
      <c r="H5293" s="24" t="str">
        <f>IFERROR(VLOOKUP(B5293,material!A:D,3,0),"")</f>
        <v>CHIP</v>
      </c>
    </row>
    <row r="5294" ht="11.25" customHeight="1">
      <c r="A5294" s="21" t="str">
        <f>IFERROR(__xludf.DUMMYFUNCTION("""COMPUTED_VALUE"""),"SIM CARD MOVEL")</f>
        <v>SIM CARD MOVEL</v>
      </c>
      <c r="B5294" s="22">
        <f>IFERROR(__xludf.DUMMYFUNCTION("""COMPUTED_VALUE"""),23105.0)</f>
        <v>23105</v>
      </c>
      <c r="C5294" s="21" t="str">
        <f>IFERROR(__xludf.DUMMYFUNCTION("""COMPUTED_VALUE"""),"89550534860002370328")</f>
        <v>89550534860002370328</v>
      </c>
      <c r="D5294" s="21" t="str">
        <f>IFERROR(__xludf.DUMMYFUNCTION("""COMPUTED_VALUE"""),"DIGITEC TECNOLOGIA DIGITAL E REPRES")</f>
        <v>DIGITEC TECNOLOGIA DIGITAL E REPRES</v>
      </c>
      <c r="E5294" s="21">
        <f>IFERROR(__xludf.DUMMYFUNCTION("""COMPUTED_VALUE"""),145359.0)</f>
        <v>145359</v>
      </c>
      <c r="F5294" s="21" t="str">
        <f>IFERROR(__xludf.DUMMYFUNCTION("""COMPUTED_VALUE"""),"INICIALIZADO")</f>
        <v>INICIALIZADO</v>
      </c>
      <c r="G5294" s="23">
        <f>IFERROR(__xludf.DUMMYFUNCTION("""COMPUTED_VALUE"""),45600.363854166666)</f>
        <v>45600.36385</v>
      </c>
      <c r="H5294" s="24" t="str">
        <f>IFERROR(VLOOKUP(B5294,material!A:D,3,0),"")</f>
        <v>CHIP</v>
      </c>
    </row>
    <row r="5295" ht="11.25" customHeight="1">
      <c r="A5295" s="21" t="str">
        <f>IFERROR(__xludf.DUMMYFUNCTION("""COMPUTED_VALUE"""),"SIM CARD MOVEL")</f>
        <v>SIM CARD MOVEL</v>
      </c>
      <c r="B5295" s="22">
        <f>IFERROR(__xludf.DUMMYFUNCTION("""COMPUTED_VALUE"""),23105.0)</f>
        <v>23105</v>
      </c>
      <c r="C5295" s="21" t="str">
        <f>IFERROR(__xludf.DUMMYFUNCTION("""COMPUTED_VALUE"""),"89550534860002370336")</f>
        <v>89550534860002370336</v>
      </c>
      <c r="D5295" s="21" t="str">
        <f>IFERROR(__xludf.DUMMYFUNCTION("""COMPUTED_VALUE"""),"DIGITEC TECNOLOGIA DIGITAL E REPRES")</f>
        <v>DIGITEC TECNOLOGIA DIGITAL E REPRES</v>
      </c>
      <c r="E5295" s="21">
        <f>IFERROR(__xludf.DUMMYFUNCTION("""COMPUTED_VALUE"""),145359.0)</f>
        <v>145359</v>
      </c>
      <c r="F5295" s="21" t="str">
        <f>IFERROR(__xludf.DUMMYFUNCTION("""COMPUTED_VALUE"""),"INICIALIZADO")</f>
        <v>INICIALIZADO</v>
      </c>
      <c r="G5295" s="23">
        <f>IFERROR(__xludf.DUMMYFUNCTION("""COMPUTED_VALUE"""),45600.363854166666)</f>
        <v>45600.36385</v>
      </c>
      <c r="H5295" s="24" t="str">
        <f>IFERROR(VLOOKUP(B5295,material!A:D,3,0),"")</f>
        <v>CHIP</v>
      </c>
    </row>
    <row r="5296" ht="11.25" customHeight="1">
      <c r="A5296" s="21" t="str">
        <f>IFERROR(__xludf.DUMMYFUNCTION("""COMPUTED_VALUE"""),"SIM CARD MOVEL")</f>
        <v>SIM CARD MOVEL</v>
      </c>
      <c r="B5296" s="22">
        <f>IFERROR(__xludf.DUMMYFUNCTION("""COMPUTED_VALUE"""),23105.0)</f>
        <v>23105</v>
      </c>
      <c r="C5296" s="21" t="str">
        <f>IFERROR(__xludf.DUMMYFUNCTION("""COMPUTED_VALUE"""),"89550534860002370344")</f>
        <v>89550534860002370344</v>
      </c>
      <c r="D5296" s="21" t="str">
        <f>IFERROR(__xludf.DUMMYFUNCTION("""COMPUTED_VALUE"""),"DIGITEC TECNOLOGIA DIGITAL E REPRES")</f>
        <v>DIGITEC TECNOLOGIA DIGITAL E REPRES</v>
      </c>
      <c r="E5296" s="21">
        <f>IFERROR(__xludf.DUMMYFUNCTION("""COMPUTED_VALUE"""),145359.0)</f>
        <v>145359</v>
      </c>
      <c r="F5296" s="21" t="str">
        <f>IFERROR(__xludf.DUMMYFUNCTION("""COMPUTED_VALUE"""),"INICIALIZADO")</f>
        <v>INICIALIZADO</v>
      </c>
      <c r="G5296" s="23">
        <f>IFERROR(__xludf.DUMMYFUNCTION("""COMPUTED_VALUE"""),45600.363854166666)</f>
        <v>45600.36385</v>
      </c>
      <c r="H5296" s="24" t="str">
        <f>IFERROR(VLOOKUP(B5296,material!A:D,3,0),"")</f>
        <v>CHIP</v>
      </c>
    </row>
    <row r="5297" ht="11.25" customHeight="1">
      <c r="A5297" s="21" t="str">
        <f>IFERROR(__xludf.DUMMYFUNCTION("""COMPUTED_VALUE"""),"SIM CARD MOVEL")</f>
        <v>SIM CARD MOVEL</v>
      </c>
      <c r="B5297" s="22">
        <f>IFERROR(__xludf.DUMMYFUNCTION("""COMPUTED_VALUE"""),23105.0)</f>
        <v>23105</v>
      </c>
      <c r="C5297" s="21" t="str">
        <f>IFERROR(__xludf.DUMMYFUNCTION("""COMPUTED_VALUE"""),"89550534860002370351")</f>
        <v>89550534860002370351</v>
      </c>
      <c r="D5297" s="21" t="str">
        <f>IFERROR(__xludf.DUMMYFUNCTION("""COMPUTED_VALUE"""),"DIGITEC TECNOLOGIA DIGITAL E REPRES")</f>
        <v>DIGITEC TECNOLOGIA DIGITAL E REPRES</v>
      </c>
      <c r="E5297" s="21">
        <f>IFERROR(__xludf.DUMMYFUNCTION("""COMPUTED_VALUE"""),145359.0)</f>
        <v>145359</v>
      </c>
      <c r="F5297" s="21" t="str">
        <f>IFERROR(__xludf.DUMMYFUNCTION("""COMPUTED_VALUE"""),"INICIALIZADO")</f>
        <v>INICIALIZADO</v>
      </c>
      <c r="G5297" s="23">
        <f>IFERROR(__xludf.DUMMYFUNCTION("""COMPUTED_VALUE"""),45600.363854166666)</f>
        <v>45600.36385</v>
      </c>
      <c r="H5297" s="24" t="str">
        <f>IFERROR(VLOOKUP(B5297,material!A:D,3,0),"")</f>
        <v>CHIP</v>
      </c>
    </row>
    <row r="5298" ht="11.25" customHeight="1">
      <c r="A5298" s="21" t="str">
        <f>IFERROR(__xludf.DUMMYFUNCTION("""COMPUTED_VALUE"""),"SIM CARD MOVEL")</f>
        <v>SIM CARD MOVEL</v>
      </c>
      <c r="B5298" s="22">
        <f>IFERROR(__xludf.DUMMYFUNCTION("""COMPUTED_VALUE"""),23105.0)</f>
        <v>23105</v>
      </c>
      <c r="C5298" s="21" t="str">
        <f>IFERROR(__xludf.DUMMYFUNCTION("""COMPUTED_VALUE"""),"89550534860002370377")</f>
        <v>89550534860002370377</v>
      </c>
      <c r="D5298" s="21" t="str">
        <f>IFERROR(__xludf.DUMMYFUNCTION("""COMPUTED_VALUE"""),"DIGITEC TECNOLOGIA DIGITAL E REPRES")</f>
        <v>DIGITEC TECNOLOGIA DIGITAL E REPRES</v>
      </c>
      <c r="E5298" s="21">
        <f>IFERROR(__xludf.DUMMYFUNCTION("""COMPUTED_VALUE"""),145359.0)</f>
        <v>145359</v>
      </c>
      <c r="F5298" s="21" t="str">
        <f>IFERROR(__xludf.DUMMYFUNCTION("""COMPUTED_VALUE"""),"INICIALIZADO")</f>
        <v>INICIALIZADO</v>
      </c>
      <c r="G5298" s="23">
        <f>IFERROR(__xludf.DUMMYFUNCTION("""COMPUTED_VALUE"""),45600.363854166666)</f>
        <v>45600.36385</v>
      </c>
      <c r="H5298" s="24" t="str">
        <f>IFERROR(VLOOKUP(B5298,material!A:D,3,0),"")</f>
        <v>CHIP</v>
      </c>
    </row>
    <row r="5299" ht="11.25" customHeight="1">
      <c r="A5299" s="21" t="str">
        <f>IFERROR(__xludf.DUMMYFUNCTION("""COMPUTED_VALUE"""),"SIM CARD MOVEL")</f>
        <v>SIM CARD MOVEL</v>
      </c>
      <c r="B5299" s="22">
        <f>IFERROR(__xludf.DUMMYFUNCTION("""COMPUTED_VALUE"""),23105.0)</f>
        <v>23105</v>
      </c>
      <c r="C5299" s="21" t="str">
        <f>IFERROR(__xludf.DUMMYFUNCTION("""COMPUTED_VALUE"""),"89550531860001742165")</f>
        <v>89550531860001742165</v>
      </c>
      <c r="D5299" s="21" t="str">
        <f>IFERROR(__xludf.DUMMYFUNCTION("""COMPUTED_VALUE"""),"DIGITEC TECNOLOGIA DIGITAL E REPRES")</f>
        <v>DIGITEC TECNOLOGIA DIGITAL E REPRES</v>
      </c>
      <c r="E5299" s="21">
        <f>IFERROR(__xludf.DUMMYFUNCTION("""COMPUTED_VALUE"""),145359.0)</f>
        <v>145359</v>
      </c>
      <c r="F5299" s="21" t="str">
        <f>IFERROR(__xludf.DUMMYFUNCTION("""COMPUTED_VALUE"""),"INICIALIZADO")</f>
        <v>INICIALIZADO</v>
      </c>
      <c r="G5299" s="23">
        <f>IFERROR(__xludf.DUMMYFUNCTION("""COMPUTED_VALUE"""),45555.53533564815)</f>
        <v>45555.53534</v>
      </c>
      <c r="H5299" s="24" t="str">
        <f>IFERROR(VLOOKUP(B5299,material!A:D,3,0),"")</f>
        <v>CHIP</v>
      </c>
    </row>
    <row r="5300" ht="11.25" customHeight="1">
      <c r="A5300" s="21" t="str">
        <f>IFERROR(__xludf.DUMMYFUNCTION("""COMPUTED_VALUE"""),"SIM CARD MOVEL")</f>
        <v>SIM CARD MOVEL</v>
      </c>
      <c r="B5300" s="22">
        <f>IFERROR(__xludf.DUMMYFUNCTION("""COMPUTED_VALUE"""),23105.0)</f>
        <v>23105</v>
      </c>
      <c r="C5300" s="21" t="str">
        <f>IFERROR(__xludf.DUMMYFUNCTION("""COMPUTED_VALUE"""),"89550531860001741928")</f>
        <v>89550531860001741928</v>
      </c>
      <c r="D5300" s="21" t="str">
        <f>IFERROR(__xludf.DUMMYFUNCTION("""COMPUTED_VALUE"""),"DIGITEC TECNOLOGIA DIGITAL E REPRES")</f>
        <v>DIGITEC TECNOLOGIA DIGITAL E REPRES</v>
      </c>
      <c r="E5300" s="21">
        <f>IFERROR(__xludf.DUMMYFUNCTION("""COMPUTED_VALUE"""),145359.0)</f>
        <v>145359</v>
      </c>
      <c r="F5300" s="21" t="str">
        <f>IFERROR(__xludf.DUMMYFUNCTION("""COMPUTED_VALUE"""),"INICIALIZADO")</f>
        <v>INICIALIZADO</v>
      </c>
      <c r="G5300" s="23">
        <f>IFERROR(__xludf.DUMMYFUNCTION("""COMPUTED_VALUE"""),45555.53533564815)</f>
        <v>45555.53534</v>
      </c>
      <c r="H5300" s="24" t="str">
        <f>IFERROR(VLOOKUP(B5300,material!A:D,3,0),"")</f>
        <v>CHIP</v>
      </c>
    </row>
    <row r="5301" ht="11.25" customHeight="1">
      <c r="A5301" s="21" t="str">
        <f>IFERROR(__xludf.DUMMYFUNCTION("""COMPUTED_VALUE"""),"SIM CARD MOVEL")</f>
        <v>SIM CARD MOVEL</v>
      </c>
      <c r="B5301" s="22">
        <f>IFERROR(__xludf.DUMMYFUNCTION("""COMPUTED_VALUE"""),23105.0)</f>
        <v>23105</v>
      </c>
      <c r="C5301" s="21" t="str">
        <f>IFERROR(__xludf.DUMMYFUNCTION("""COMPUTED_VALUE"""),"89550531860001741936")</f>
        <v>89550531860001741936</v>
      </c>
      <c r="D5301" s="21" t="str">
        <f>IFERROR(__xludf.DUMMYFUNCTION("""COMPUTED_VALUE"""),"DIGITEC TECNOLOGIA DIGITAL E REPRES")</f>
        <v>DIGITEC TECNOLOGIA DIGITAL E REPRES</v>
      </c>
      <c r="E5301" s="21">
        <f>IFERROR(__xludf.DUMMYFUNCTION("""COMPUTED_VALUE"""),145359.0)</f>
        <v>145359</v>
      </c>
      <c r="F5301" s="21" t="str">
        <f>IFERROR(__xludf.DUMMYFUNCTION("""COMPUTED_VALUE"""),"INICIALIZADO")</f>
        <v>INICIALIZADO</v>
      </c>
      <c r="G5301" s="23">
        <f>IFERROR(__xludf.DUMMYFUNCTION("""COMPUTED_VALUE"""),45555.53534722222)</f>
        <v>45555.53535</v>
      </c>
      <c r="H5301" s="24" t="str">
        <f>IFERROR(VLOOKUP(B5301,material!A:D,3,0),"")</f>
        <v>CHIP</v>
      </c>
    </row>
    <row r="5302" ht="11.25" customHeight="1">
      <c r="A5302" s="21" t="str">
        <f>IFERROR(__xludf.DUMMYFUNCTION("""COMPUTED_VALUE"""),"SIM CARD MOVEL")</f>
        <v>SIM CARD MOVEL</v>
      </c>
      <c r="B5302" s="22">
        <f>IFERROR(__xludf.DUMMYFUNCTION("""COMPUTED_VALUE"""),23105.0)</f>
        <v>23105</v>
      </c>
      <c r="C5302" s="21" t="str">
        <f>IFERROR(__xludf.DUMMYFUNCTION("""COMPUTED_VALUE"""),"89550531860001741944")</f>
        <v>89550531860001741944</v>
      </c>
      <c r="D5302" s="21" t="str">
        <f>IFERROR(__xludf.DUMMYFUNCTION("""COMPUTED_VALUE"""),"DIGITEC TECNOLOGIA DIGITAL E REPRES")</f>
        <v>DIGITEC TECNOLOGIA DIGITAL E REPRES</v>
      </c>
      <c r="E5302" s="21">
        <f>IFERROR(__xludf.DUMMYFUNCTION("""COMPUTED_VALUE"""),145359.0)</f>
        <v>145359</v>
      </c>
      <c r="F5302" s="21" t="str">
        <f>IFERROR(__xludf.DUMMYFUNCTION("""COMPUTED_VALUE"""),"INICIALIZADO")</f>
        <v>INICIALIZADO</v>
      </c>
      <c r="G5302" s="23">
        <f>IFERROR(__xludf.DUMMYFUNCTION("""COMPUTED_VALUE"""),45555.53534722222)</f>
        <v>45555.53535</v>
      </c>
      <c r="H5302" s="24" t="str">
        <f>IFERROR(VLOOKUP(B5302,material!A:D,3,0),"")</f>
        <v>CHIP</v>
      </c>
    </row>
    <row r="5303" ht="11.25" customHeight="1">
      <c r="A5303" s="21" t="str">
        <f>IFERROR(__xludf.DUMMYFUNCTION("""COMPUTED_VALUE"""),"SIM CARD MOVEL")</f>
        <v>SIM CARD MOVEL</v>
      </c>
      <c r="B5303" s="22">
        <f>IFERROR(__xludf.DUMMYFUNCTION("""COMPUTED_VALUE"""),23105.0)</f>
        <v>23105</v>
      </c>
      <c r="C5303" s="21" t="str">
        <f>IFERROR(__xludf.DUMMYFUNCTION("""COMPUTED_VALUE"""),"89550531860001741662")</f>
        <v>89550531860001741662</v>
      </c>
      <c r="D5303" s="21" t="str">
        <f>IFERROR(__xludf.DUMMYFUNCTION("""COMPUTED_VALUE"""),"DIGITEC TECNOLOGIA DIGITAL E REPRES")</f>
        <v>DIGITEC TECNOLOGIA DIGITAL E REPRES</v>
      </c>
      <c r="E5303" s="21">
        <f>IFERROR(__xludf.DUMMYFUNCTION("""COMPUTED_VALUE"""),145359.0)</f>
        <v>145359</v>
      </c>
      <c r="F5303" s="21" t="str">
        <f>IFERROR(__xludf.DUMMYFUNCTION("""COMPUTED_VALUE"""),"INICIALIZADO")</f>
        <v>INICIALIZADO</v>
      </c>
      <c r="G5303" s="23">
        <f>IFERROR(__xludf.DUMMYFUNCTION("""COMPUTED_VALUE"""),45555.53533564815)</f>
        <v>45555.53534</v>
      </c>
      <c r="H5303" s="24" t="str">
        <f>IFERROR(VLOOKUP(B5303,material!A:D,3,0),"")</f>
        <v>CHIP</v>
      </c>
    </row>
    <row r="5304" ht="11.25" customHeight="1">
      <c r="A5304" s="21" t="str">
        <f>IFERROR(__xludf.DUMMYFUNCTION("""COMPUTED_VALUE"""),"SIM CARD MOVEL")</f>
        <v>SIM CARD MOVEL</v>
      </c>
      <c r="B5304" s="22">
        <f>IFERROR(__xludf.DUMMYFUNCTION("""COMPUTED_VALUE"""),23105.0)</f>
        <v>23105</v>
      </c>
      <c r="C5304" s="21" t="str">
        <f>IFERROR(__xludf.DUMMYFUNCTION("""COMPUTED_VALUE"""),"89550531860001741548")</f>
        <v>89550531860001741548</v>
      </c>
      <c r="D5304" s="21" t="str">
        <f>IFERROR(__xludf.DUMMYFUNCTION("""COMPUTED_VALUE"""),"DIGITEC TECNOLOGIA DIGITAL E REPRES")</f>
        <v>DIGITEC TECNOLOGIA DIGITAL E REPRES</v>
      </c>
      <c r="E5304" s="21">
        <f>IFERROR(__xludf.DUMMYFUNCTION("""COMPUTED_VALUE"""),145359.0)</f>
        <v>145359</v>
      </c>
      <c r="F5304" s="21" t="str">
        <f>IFERROR(__xludf.DUMMYFUNCTION("""COMPUTED_VALUE"""),"INICIALIZADO")</f>
        <v>INICIALIZADO</v>
      </c>
      <c r="G5304" s="23">
        <f>IFERROR(__xludf.DUMMYFUNCTION("""COMPUTED_VALUE"""),45555.53533564815)</f>
        <v>45555.53534</v>
      </c>
      <c r="H5304" s="24" t="str">
        <f>IFERROR(VLOOKUP(B5304,material!A:D,3,0),"")</f>
        <v>CHIP</v>
      </c>
    </row>
    <row r="5305" ht="11.25" customHeight="1">
      <c r="A5305" s="21" t="str">
        <f>IFERROR(__xludf.DUMMYFUNCTION("""COMPUTED_VALUE"""),"SIM CARD MOVEL")</f>
        <v>SIM CARD MOVEL</v>
      </c>
      <c r="B5305" s="22">
        <f>IFERROR(__xludf.DUMMYFUNCTION("""COMPUTED_VALUE"""),23105.0)</f>
        <v>23105</v>
      </c>
      <c r="C5305" s="21" t="str">
        <f>IFERROR(__xludf.DUMMYFUNCTION("""COMPUTED_VALUE"""),"89550531860001741571")</f>
        <v>89550531860001741571</v>
      </c>
      <c r="D5305" s="21" t="str">
        <f>IFERROR(__xludf.DUMMYFUNCTION("""COMPUTED_VALUE"""),"DIGITEC TECNOLOGIA DIGITAL E REPRES")</f>
        <v>DIGITEC TECNOLOGIA DIGITAL E REPRES</v>
      </c>
      <c r="E5305" s="21">
        <f>IFERROR(__xludf.DUMMYFUNCTION("""COMPUTED_VALUE"""),145359.0)</f>
        <v>145359</v>
      </c>
      <c r="F5305" s="21" t="str">
        <f>IFERROR(__xludf.DUMMYFUNCTION("""COMPUTED_VALUE"""),"INICIALIZADO")</f>
        <v>INICIALIZADO</v>
      </c>
      <c r="G5305" s="23">
        <f>IFERROR(__xludf.DUMMYFUNCTION("""COMPUTED_VALUE"""),45555.53533564815)</f>
        <v>45555.53534</v>
      </c>
      <c r="H5305" s="24" t="str">
        <f>IFERROR(VLOOKUP(B5305,material!A:D,3,0),"")</f>
        <v>CHIP</v>
      </c>
    </row>
    <row r="5306" ht="11.25" customHeight="1">
      <c r="A5306" s="21" t="str">
        <f>IFERROR(__xludf.DUMMYFUNCTION("""COMPUTED_VALUE"""),"SIM CARD MOVEL")</f>
        <v>SIM CARD MOVEL</v>
      </c>
      <c r="B5306" s="22">
        <f>IFERROR(__xludf.DUMMYFUNCTION("""COMPUTED_VALUE"""),23105.0)</f>
        <v>23105</v>
      </c>
      <c r="C5306" s="21" t="str">
        <f>IFERROR(__xludf.DUMMYFUNCTION("""COMPUTED_VALUE"""),"89550537860000895869")</f>
        <v>89550537860000895869</v>
      </c>
      <c r="D5306" s="21" t="str">
        <f>IFERROR(__xludf.DUMMYFUNCTION("""COMPUTED_VALUE"""),"DIGITEC TECNOLOGIA DIGITAL E REPRES")</f>
        <v>DIGITEC TECNOLOGIA DIGITAL E REPRES</v>
      </c>
      <c r="E5306" s="21">
        <f>IFERROR(__xludf.DUMMYFUNCTION("""COMPUTED_VALUE"""),145359.0)</f>
        <v>145359</v>
      </c>
      <c r="F5306" s="21" t="str">
        <f>IFERROR(__xludf.DUMMYFUNCTION("""COMPUTED_VALUE"""),"INICIALIZADO")</f>
        <v>INICIALIZADO</v>
      </c>
      <c r="G5306" s="23">
        <f>IFERROR(__xludf.DUMMYFUNCTION("""COMPUTED_VALUE"""),45476.70056712963)</f>
        <v>45476.70057</v>
      </c>
      <c r="H5306" s="24" t="str">
        <f>IFERROR(VLOOKUP(B5306,material!A:D,3,0),"")</f>
        <v>CHIP</v>
      </c>
    </row>
    <row r="5307" ht="11.25" customHeight="1">
      <c r="A5307" s="21" t="str">
        <f>IFERROR(__xludf.DUMMYFUNCTION("""COMPUTED_VALUE"""),"SIM CARD MOVEL")</f>
        <v>SIM CARD MOVEL</v>
      </c>
      <c r="B5307" s="22">
        <f>IFERROR(__xludf.DUMMYFUNCTION("""COMPUTED_VALUE"""),23105.0)</f>
        <v>23105</v>
      </c>
      <c r="C5307" s="21" t="str">
        <f>IFERROR(__xludf.DUMMYFUNCTION("""COMPUTED_VALUE"""),"89550537860000895877")</f>
        <v>89550537860000895877</v>
      </c>
      <c r="D5307" s="21" t="str">
        <f>IFERROR(__xludf.DUMMYFUNCTION("""COMPUTED_VALUE"""),"DIGITEC TECNOLOGIA DIGITAL E REPRES")</f>
        <v>DIGITEC TECNOLOGIA DIGITAL E REPRES</v>
      </c>
      <c r="E5307" s="21">
        <f>IFERROR(__xludf.DUMMYFUNCTION("""COMPUTED_VALUE"""),145359.0)</f>
        <v>145359</v>
      </c>
      <c r="F5307" s="21" t="str">
        <f>IFERROR(__xludf.DUMMYFUNCTION("""COMPUTED_VALUE"""),"INICIALIZADO")</f>
        <v>INICIALIZADO</v>
      </c>
      <c r="G5307" s="23">
        <f>IFERROR(__xludf.DUMMYFUNCTION("""COMPUTED_VALUE"""),45476.70056712963)</f>
        <v>45476.70057</v>
      </c>
      <c r="H5307" s="24" t="str">
        <f>IFERROR(VLOOKUP(B5307,material!A:D,3,0),"")</f>
        <v>CHIP</v>
      </c>
    </row>
    <row r="5308" ht="11.25" customHeight="1">
      <c r="A5308" s="21" t="str">
        <f>IFERROR(__xludf.DUMMYFUNCTION("""COMPUTED_VALUE"""),"SIM CARD MOVEL")</f>
        <v>SIM CARD MOVEL</v>
      </c>
      <c r="B5308" s="22">
        <f>IFERROR(__xludf.DUMMYFUNCTION("""COMPUTED_VALUE"""),23105.0)</f>
        <v>23105</v>
      </c>
      <c r="C5308" s="21" t="str">
        <f>IFERROR(__xludf.DUMMYFUNCTION("""COMPUTED_VALUE"""),"89550537860000895885")</f>
        <v>89550537860000895885</v>
      </c>
      <c r="D5308" s="21" t="str">
        <f>IFERROR(__xludf.DUMMYFUNCTION("""COMPUTED_VALUE"""),"DIGITEC TECNOLOGIA DIGITAL E REPRES")</f>
        <v>DIGITEC TECNOLOGIA DIGITAL E REPRES</v>
      </c>
      <c r="E5308" s="21">
        <f>IFERROR(__xludf.DUMMYFUNCTION("""COMPUTED_VALUE"""),145359.0)</f>
        <v>145359</v>
      </c>
      <c r="F5308" s="21" t="str">
        <f>IFERROR(__xludf.DUMMYFUNCTION("""COMPUTED_VALUE"""),"INICIALIZADO")</f>
        <v>INICIALIZADO</v>
      </c>
      <c r="G5308" s="23">
        <f>IFERROR(__xludf.DUMMYFUNCTION("""COMPUTED_VALUE"""),45476.70056712963)</f>
        <v>45476.70057</v>
      </c>
      <c r="H5308" s="24" t="str">
        <f>IFERROR(VLOOKUP(B5308,material!A:D,3,0),"")</f>
        <v>CHIP</v>
      </c>
    </row>
    <row r="5309" ht="11.25" customHeight="1">
      <c r="A5309" s="21" t="str">
        <f>IFERROR(__xludf.DUMMYFUNCTION("""COMPUTED_VALUE"""),"SIM CARD MOVEL")</f>
        <v>SIM CARD MOVEL</v>
      </c>
      <c r="B5309" s="22">
        <f>IFERROR(__xludf.DUMMYFUNCTION("""COMPUTED_VALUE"""),23105.0)</f>
        <v>23105</v>
      </c>
      <c r="C5309" s="21" t="str">
        <f>IFERROR(__xludf.DUMMYFUNCTION("""COMPUTED_VALUE"""),"89550537860000899952")</f>
        <v>89550537860000899952</v>
      </c>
      <c r="D5309" s="21" t="str">
        <f>IFERROR(__xludf.DUMMYFUNCTION("""COMPUTED_VALUE"""),"DIGITEC TECNOLOGIA DIGITAL E REPRES")</f>
        <v>DIGITEC TECNOLOGIA DIGITAL E REPRES</v>
      </c>
      <c r="E5309" s="21">
        <f>IFERROR(__xludf.DUMMYFUNCTION("""COMPUTED_VALUE"""),145359.0)</f>
        <v>145359</v>
      </c>
      <c r="F5309" s="21" t="str">
        <f>IFERROR(__xludf.DUMMYFUNCTION("""COMPUTED_VALUE"""),"INICIALIZADO")</f>
        <v>INICIALIZADO</v>
      </c>
      <c r="G5309" s="23">
        <f>IFERROR(__xludf.DUMMYFUNCTION("""COMPUTED_VALUE"""),45476.70056712963)</f>
        <v>45476.70057</v>
      </c>
      <c r="H5309" s="24" t="str">
        <f>IFERROR(VLOOKUP(B5309,material!A:D,3,0),"")</f>
        <v>CHIP</v>
      </c>
    </row>
    <row r="5310" ht="11.25" customHeight="1">
      <c r="A5310" s="21" t="str">
        <f>IFERROR(__xludf.DUMMYFUNCTION("""COMPUTED_VALUE"""),"SIM CARD MOVEL")</f>
        <v>SIM CARD MOVEL</v>
      </c>
      <c r="B5310" s="22">
        <f>IFERROR(__xludf.DUMMYFUNCTION("""COMPUTED_VALUE"""),23105.0)</f>
        <v>23105</v>
      </c>
      <c r="C5310" s="21" t="str">
        <f>IFERROR(__xludf.DUMMYFUNCTION("""COMPUTED_VALUE"""),"89550537860000899978")</f>
        <v>89550537860000899978</v>
      </c>
      <c r="D5310" s="21" t="str">
        <f>IFERROR(__xludf.DUMMYFUNCTION("""COMPUTED_VALUE"""),"DIGITEC TECNOLOGIA DIGITAL E REPRES")</f>
        <v>DIGITEC TECNOLOGIA DIGITAL E REPRES</v>
      </c>
      <c r="E5310" s="21">
        <f>IFERROR(__xludf.DUMMYFUNCTION("""COMPUTED_VALUE"""),145359.0)</f>
        <v>145359</v>
      </c>
      <c r="F5310" s="21" t="str">
        <f>IFERROR(__xludf.DUMMYFUNCTION("""COMPUTED_VALUE"""),"INICIALIZADO")</f>
        <v>INICIALIZADO</v>
      </c>
      <c r="G5310" s="23">
        <f>IFERROR(__xludf.DUMMYFUNCTION("""COMPUTED_VALUE"""),45476.70056712963)</f>
        <v>45476.70057</v>
      </c>
      <c r="H5310" s="24" t="str">
        <f>IFERROR(VLOOKUP(B5310,material!A:D,3,0),"")</f>
        <v>CHIP</v>
      </c>
    </row>
    <row r="5311" ht="11.25" customHeight="1">
      <c r="A5311" s="21" t="str">
        <f>IFERROR(__xludf.DUMMYFUNCTION("""COMPUTED_VALUE"""),"SIM CARD MOVEL")</f>
        <v>SIM CARD MOVEL</v>
      </c>
      <c r="B5311" s="22">
        <f>IFERROR(__xludf.DUMMYFUNCTION("""COMPUTED_VALUE"""),23105.0)</f>
        <v>23105</v>
      </c>
      <c r="C5311" s="21" t="str">
        <f>IFERROR(__xludf.DUMMYFUNCTION("""COMPUTED_VALUE"""),"89550531840026256805")</f>
        <v>89550531840026256805</v>
      </c>
      <c r="D5311" s="21" t="str">
        <f>IFERROR(__xludf.DUMMYFUNCTION("""COMPUTED_VALUE"""),"DIGITEC TECNOLOGIA DIGITAL E REPRES")</f>
        <v>DIGITEC TECNOLOGIA DIGITAL E REPRES</v>
      </c>
      <c r="E5311" s="21">
        <f>IFERROR(__xludf.DUMMYFUNCTION("""COMPUTED_VALUE"""),145359.0)</f>
        <v>145359</v>
      </c>
      <c r="F5311" s="21" t="str">
        <f>IFERROR(__xludf.DUMMYFUNCTION("""COMPUTED_VALUE"""),"INICIALIZADO")</f>
        <v>INICIALIZADO</v>
      </c>
      <c r="G5311" s="23">
        <f>IFERROR(__xludf.DUMMYFUNCTION("""COMPUTED_VALUE"""),45461.73513888889)</f>
        <v>45461.73514</v>
      </c>
      <c r="H5311" s="24" t="str">
        <f>IFERROR(VLOOKUP(B5311,material!A:D,3,0),"")</f>
        <v>CHIP</v>
      </c>
    </row>
    <row r="5312" ht="11.25" customHeight="1">
      <c r="A5312" s="21" t="str">
        <f>IFERROR(__xludf.DUMMYFUNCTION("""COMPUTED_VALUE"""),"SIM CARD MOVEL")</f>
        <v>SIM CARD MOVEL</v>
      </c>
      <c r="B5312" s="22">
        <f>IFERROR(__xludf.DUMMYFUNCTION("""COMPUTED_VALUE"""),23105.0)</f>
        <v>23105</v>
      </c>
      <c r="C5312" s="21" t="str">
        <f>IFERROR(__xludf.DUMMYFUNCTION("""COMPUTED_VALUE"""),"89550531840026256912")</f>
        <v>89550531840026256912</v>
      </c>
      <c r="D5312" s="21" t="str">
        <f>IFERROR(__xludf.DUMMYFUNCTION("""COMPUTED_VALUE"""),"DIGITEC TECNOLOGIA DIGITAL E REPRES")</f>
        <v>DIGITEC TECNOLOGIA DIGITAL E REPRES</v>
      </c>
      <c r="E5312" s="21">
        <f>IFERROR(__xludf.DUMMYFUNCTION("""COMPUTED_VALUE"""),145359.0)</f>
        <v>145359</v>
      </c>
      <c r="F5312" s="21" t="str">
        <f>IFERROR(__xludf.DUMMYFUNCTION("""COMPUTED_VALUE"""),"INICIALIZADO")</f>
        <v>INICIALIZADO</v>
      </c>
      <c r="G5312" s="23">
        <f>IFERROR(__xludf.DUMMYFUNCTION("""COMPUTED_VALUE"""),45461.73513888889)</f>
        <v>45461.73514</v>
      </c>
      <c r="H5312" s="24" t="str">
        <f>IFERROR(VLOOKUP(B5312,material!A:D,3,0),"")</f>
        <v>CHIP</v>
      </c>
    </row>
    <row r="5313" ht="11.25" customHeight="1">
      <c r="A5313" s="21" t="str">
        <f>IFERROR(__xludf.DUMMYFUNCTION("""COMPUTED_VALUE"""),"SIM CARD MOVEL")</f>
        <v>SIM CARD MOVEL</v>
      </c>
      <c r="B5313" s="22">
        <f>IFERROR(__xludf.DUMMYFUNCTION("""COMPUTED_VALUE"""),23105.0)</f>
        <v>23105</v>
      </c>
      <c r="C5313" s="21" t="str">
        <f>IFERROR(__xludf.DUMMYFUNCTION("""COMPUTED_VALUE"""),"89550531840026256946")</f>
        <v>89550531840026256946</v>
      </c>
      <c r="D5313" s="21" t="str">
        <f>IFERROR(__xludf.DUMMYFUNCTION("""COMPUTED_VALUE"""),"DIGITEC TECNOLOGIA DIGITAL E REPRES")</f>
        <v>DIGITEC TECNOLOGIA DIGITAL E REPRES</v>
      </c>
      <c r="E5313" s="21">
        <f>IFERROR(__xludf.DUMMYFUNCTION("""COMPUTED_VALUE"""),145359.0)</f>
        <v>145359</v>
      </c>
      <c r="F5313" s="21" t="str">
        <f>IFERROR(__xludf.DUMMYFUNCTION("""COMPUTED_VALUE"""),"INICIALIZADO")</f>
        <v>INICIALIZADO</v>
      </c>
      <c r="G5313" s="23">
        <f>IFERROR(__xludf.DUMMYFUNCTION("""COMPUTED_VALUE"""),45461.73513888889)</f>
        <v>45461.73514</v>
      </c>
      <c r="H5313" s="24" t="str">
        <f>IFERROR(VLOOKUP(B5313,material!A:D,3,0),"")</f>
        <v>CHIP</v>
      </c>
    </row>
    <row r="5314" ht="11.25" customHeight="1">
      <c r="A5314" s="21" t="str">
        <f>IFERROR(__xludf.DUMMYFUNCTION("""COMPUTED_VALUE"""),"SIM CARD MOVEL")</f>
        <v>SIM CARD MOVEL</v>
      </c>
      <c r="B5314" s="22">
        <f>IFERROR(__xludf.DUMMYFUNCTION("""COMPUTED_VALUE"""),23105.0)</f>
        <v>23105</v>
      </c>
      <c r="C5314" s="21" t="str">
        <f>IFERROR(__xludf.DUMMYFUNCTION("""COMPUTED_VALUE"""),"89550537860000150935")</f>
        <v>89550537860000150935</v>
      </c>
      <c r="D5314" s="21" t="str">
        <f>IFERROR(__xludf.DUMMYFUNCTION("""COMPUTED_VALUE"""),"DIGITEC TECNOLOGIA DIGITAL E REPRES")</f>
        <v>DIGITEC TECNOLOGIA DIGITAL E REPRES</v>
      </c>
      <c r="E5314" s="21">
        <f>IFERROR(__xludf.DUMMYFUNCTION("""COMPUTED_VALUE"""),145359.0)</f>
        <v>145359</v>
      </c>
      <c r="F5314" s="21" t="str">
        <f>IFERROR(__xludf.DUMMYFUNCTION("""COMPUTED_VALUE"""),"INICIALIZADO")</f>
        <v>INICIALIZADO</v>
      </c>
      <c r="G5314" s="23">
        <f>IFERROR(__xludf.DUMMYFUNCTION("""COMPUTED_VALUE"""),45576.41128472222)</f>
        <v>45576.41128</v>
      </c>
      <c r="H5314" s="24" t="str">
        <f>IFERROR(VLOOKUP(B5314,material!A:D,3,0),"")</f>
        <v>CHIP</v>
      </c>
    </row>
    <row r="5315" ht="11.25" customHeight="1">
      <c r="A5315" s="21" t="str">
        <f>IFERROR(__xludf.DUMMYFUNCTION("""COMPUTED_VALUE"""),"SIM CARD MOVEL")</f>
        <v>SIM CARD MOVEL</v>
      </c>
      <c r="B5315" s="22">
        <f>IFERROR(__xludf.DUMMYFUNCTION("""COMPUTED_VALUE"""),23105.0)</f>
        <v>23105</v>
      </c>
      <c r="C5315" s="21" t="str">
        <f>IFERROR(__xludf.DUMMYFUNCTION("""COMPUTED_VALUE"""),"89550537860000150943")</f>
        <v>89550537860000150943</v>
      </c>
      <c r="D5315" s="21" t="str">
        <f>IFERROR(__xludf.DUMMYFUNCTION("""COMPUTED_VALUE"""),"DIGITEC TECNOLOGIA DIGITAL E REPRES")</f>
        <v>DIGITEC TECNOLOGIA DIGITAL E REPRES</v>
      </c>
      <c r="E5315" s="21">
        <f>IFERROR(__xludf.DUMMYFUNCTION("""COMPUTED_VALUE"""),145359.0)</f>
        <v>145359</v>
      </c>
      <c r="F5315" s="21" t="str">
        <f>IFERROR(__xludf.DUMMYFUNCTION("""COMPUTED_VALUE"""),"INICIALIZADO")</f>
        <v>INICIALIZADO</v>
      </c>
      <c r="G5315" s="23">
        <f>IFERROR(__xludf.DUMMYFUNCTION("""COMPUTED_VALUE"""),45576.41128472222)</f>
        <v>45576.41128</v>
      </c>
      <c r="H5315" s="24" t="str">
        <f>IFERROR(VLOOKUP(B5315,material!A:D,3,0),"")</f>
        <v>CHIP</v>
      </c>
    </row>
    <row r="5316" ht="11.25" customHeight="1">
      <c r="A5316" s="21" t="str">
        <f>IFERROR(__xludf.DUMMYFUNCTION("""COMPUTED_VALUE"""),"SIM CARD MOVEL")</f>
        <v>SIM CARD MOVEL</v>
      </c>
      <c r="B5316" s="22">
        <f>IFERROR(__xludf.DUMMYFUNCTION("""COMPUTED_VALUE"""),23105.0)</f>
        <v>23105</v>
      </c>
      <c r="C5316" s="21" t="str">
        <f>IFERROR(__xludf.DUMMYFUNCTION("""COMPUTED_VALUE"""),"89550537860000150968")</f>
        <v>89550537860000150968</v>
      </c>
      <c r="D5316" s="21" t="str">
        <f>IFERROR(__xludf.DUMMYFUNCTION("""COMPUTED_VALUE"""),"DIGITEC TECNOLOGIA DIGITAL E REPRES")</f>
        <v>DIGITEC TECNOLOGIA DIGITAL E REPRES</v>
      </c>
      <c r="E5316" s="21">
        <f>IFERROR(__xludf.DUMMYFUNCTION("""COMPUTED_VALUE"""),145359.0)</f>
        <v>145359</v>
      </c>
      <c r="F5316" s="21" t="str">
        <f>IFERROR(__xludf.DUMMYFUNCTION("""COMPUTED_VALUE"""),"INICIALIZADO")</f>
        <v>INICIALIZADO</v>
      </c>
      <c r="G5316" s="23">
        <f>IFERROR(__xludf.DUMMYFUNCTION("""COMPUTED_VALUE"""),45576.41128472222)</f>
        <v>45576.41128</v>
      </c>
      <c r="H5316" s="24" t="str">
        <f>IFERROR(VLOOKUP(B5316,material!A:D,3,0),"")</f>
        <v>CHIP</v>
      </c>
    </row>
    <row r="5317" ht="11.25" customHeight="1">
      <c r="A5317" s="21" t="str">
        <f>IFERROR(__xludf.DUMMYFUNCTION("""COMPUTED_VALUE"""),"SIM CARD MOVEL")</f>
        <v>SIM CARD MOVEL</v>
      </c>
      <c r="B5317" s="22">
        <f>IFERROR(__xludf.DUMMYFUNCTION("""COMPUTED_VALUE"""),23105.0)</f>
        <v>23105</v>
      </c>
      <c r="C5317" s="21" t="str">
        <f>IFERROR(__xludf.DUMMYFUNCTION("""COMPUTED_VALUE"""),"89550537860000180676")</f>
        <v>89550537860000180676</v>
      </c>
      <c r="D5317" s="21" t="str">
        <f>IFERROR(__xludf.DUMMYFUNCTION("""COMPUTED_VALUE"""),"DIGITEC TECNOLOGIA DIGITAL E REPRES")</f>
        <v>DIGITEC TECNOLOGIA DIGITAL E REPRES</v>
      </c>
      <c r="E5317" s="21">
        <f>IFERROR(__xludf.DUMMYFUNCTION("""COMPUTED_VALUE"""),145359.0)</f>
        <v>145359</v>
      </c>
      <c r="F5317" s="21" t="str">
        <f>IFERROR(__xludf.DUMMYFUNCTION("""COMPUTED_VALUE"""),"INICIALIZADO")</f>
        <v>INICIALIZADO</v>
      </c>
      <c r="G5317" s="23">
        <f>IFERROR(__xludf.DUMMYFUNCTION("""COMPUTED_VALUE"""),45586.643738425926)</f>
        <v>45586.64374</v>
      </c>
      <c r="H5317" s="24" t="str">
        <f>IFERROR(VLOOKUP(B5317,material!A:D,3,0),"")</f>
        <v>CHIP</v>
      </c>
    </row>
    <row r="5318" ht="11.25" customHeight="1">
      <c r="A5318" s="21" t="str">
        <f>IFERROR(__xludf.DUMMYFUNCTION("""COMPUTED_VALUE"""),"SIM CARD MOVEL")</f>
        <v>SIM CARD MOVEL</v>
      </c>
      <c r="B5318" s="22">
        <f>IFERROR(__xludf.DUMMYFUNCTION("""COMPUTED_VALUE"""),23105.0)</f>
        <v>23105</v>
      </c>
      <c r="C5318" s="21" t="str">
        <f>IFERROR(__xludf.DUMMYFUNCTION("""COMPUTED_VALUE"""),"89550537860000180213")</f>
        <v>89550537860000180213</v>
      </c>
      <c r="D5318" s="21" t="str">
        <f>IFERROR(__xludf.DUMMYFUNCTION("""COMPUTED_VALUE"""),"DIGITEC TECNOLOGIA DIGITAL E REPRES")</f>
        <v>DIGITEC TECNOLOGIA DIGITAL E REPRES</v>
      </c>
      <c r="E5318" s="21">
        <f>IFERROR(__xludf.DUMMYFUNCTION("""COMPUTED_VALUE"""),145359.0)</f>
        <v>145359</v>
      </c>
      <c r="F5318" s="21" t="str">
        <f>IFERROR(__xludf.DUMMYFUNCTION("""COMPUTED_VALUE"""),"INICIALIZADO")</f>
        <v>INICIALIZADO</v>
      </c>
      <c r="G5318" s="23">
        <f>IFERROR(__xludf.DUMMYFUNCTION("""COMPUTED_VALUE"""),45511.569247685184)</f>
        <v>45511.56925</v>
      </c>
      <c r="H5318" s="24" t="str">
        <f>IFERROR(VLOOKUP(B5318,material!A:D,3,0),"")</f>
        <v>CHIP</v>
      </c>
    </row>
    <row r="5319" ht="11.25" customHeight="1">
      <c r="A5319" s="21" t="str">
        <f>IFERROR(__xludf.DUMMYFUNCTION("""COMPUTED_VALUE"""),"SIM CARD MOVEL")</f>
        <v>SIM CARD MOVEL</v>
      </c>
      <c r="B5319" s="22">
        <f>IFERROR(__xludf.DUMMYFUNCTION("""COMPUTED_VALUE"""),23105.0)</f>
        <v>23105</v>
      </c>
      <c r="C5319" s="21" t="str">
        <f>IFERROR(__xludf.DUMMYFUNCTION("""COMPUTED_VALUE"""),"89550537860000180429")</f>
        <v>89550537860000180429</v>
      </c>
      <c r="D5319" s="21" t="str">
        <f>IFERROR(__xludf.DUMMYFUNCTION("""COMPUTED_VALUE"""),"DIGITEC TECNOLOGIA DIGITAL E REPRES")</f>
        <v>DIGITEC TECNOLOGIA DIGITAL E REPRES</v>
      </c>
      <c r="E5319" s="21">
        <f>IFERROR(__xludf.DUMMYFUNCTION("""COMPUTED_VALUE"""),145359.0)</f>
        <v>145359</v>
      </c>
      <c r="F5319" s="21" t="str">
        <f>IFERROR(__xludf.DUMMYFUNCTION("""COMPUTED_VALUE"""),"INICIALIZADO")</f>
        <v>INICIALIZADO</v>
      </c>
      <c r="G5319" s="23">
        <f>IFERROR(__xludf.DUMMYFUNCTION("""COMPUTED_VALUE"""),45511.569247685184)</f>
        <v>45511.56925</v>
      </c>
      <c r="H5319" s="24" t="str">
        <f>IFERROR(VLOOKUP(B5319,material!A:D,3,0),"")</f>
        <v>CHIP</v>
      </c>
    </row>
    <row r="5320" ht="11.25" customHeight="1">
      <c r="A5320" s="21" t="str">
        <f>IFERROR(__xludf.DUMMYFUNCTION("""COMPUTED_VALUE"""),"SIM CARD MOVEL")</f>
        <v>SIM CARD MOVEL</v>
      </c>
      <c r="B5320" s="22">
        <f>IFERROR(__xludf.DUMMYFUNCTION("""COMPUTED_VALUE"""),23105.0)</f>
        <v>23105</v>
      </c>
      <c r="C5320" s="21" t="str">
        <f>IFERROR(__xludf.DUMMYFUNCTION("""COMPUTED_VALUE"""),"89550537860000180965")</f>
        <v>89550537860000180965</v>
      </c>
      <c r="D5320" s="21" t="str">
        <f>IFERROR(__xludf.DUMMYFUNCTION("""COMPUTED_VALUE"""),"DIGITEC TECNOLOGIA DIGITAL E REPRES")</f>
        <v>DIGITEC TECNOLOGIA DIGITAL E REPRES</v>
      </c>
      <c r="E5320" s="21">
        <f>IFERROR(__xludf.DUMMYFUNCTION("""COMPUTED_VALUE"""),145359.0)</f>
        <v>145359</v>
      </c>
      <c r="F5320" s="21" t="str">
        <f>IFERROR(__xludf.DUMMYFUNCTION("""COMPUTED_VALUE"""),"INICIALIZADO")</f>
        <v>INICIALIZADO</v>
      </c>
      <c r="G5320" s="23">
        <f>IFERROR(__xludf.DUMMYFUNCTION("""COMPUTED_VALUE"""),45586.643738425926)</f>
        <v>45586.64374</v>
      </c>
      <c r="H5320" s="24" t="str">
        <f>IFERROR(VLOOKUP(B5320,material!A:D,3,0),"")</f>
        <v>CHIP</v>
      </c>
    </row>
    <row r="5321" ht="11.25" customHeight="1">
      <c r="A5321" s="21" t="str">
        <f>IFERROR(__xludf.DUMMYFUNCTION("""COMPUTED_VALUE"""),"SIM CARD MOVEL")</f>
        <v>SIM CARD MOVEL</v>
      </c>
      <c r="B5321" s="22">
        <f>IFERROR(__xludf.DUMMYFUNCTION("""COMPUTED_VALUE"""),23105.0)</f>
        <v>23105</v>
      </c>
      <c r="C5321" s="21" t="str">
        <f>IFERROR(__xludf.DUMMYFUNCTION("""COMPUTED_VALUE"""),"89550537860000180973")</f>
        <v>89550537860000180973</v>
      </c>
      <c r="D5321" s="21" t="str">
        <f>IFERROR(__xludf.DUMMYFUNCTION("""COMPUTED_VALUE"""),"DIGITEC TECNOLOGIA DIGITAL E REPRES")</f>
        <v>DIGITEC TECNOLOGIA DIGITAL E REPRES</v>
      </c>
      <c r="E5321" s="21">
        <f>IFERROR(__xludf.DUMMYFUNCTION("""COMPUTED_VALUE"""),145359.0)</f>
        <v>145359</v>
      </c>
      <c r="F5321" s="21" t="str">
        <f>IFERROR(__xludf.DUMMYFUNCTION("""COMPUTED_VALUE"""),"INICIALIZADO")</f>
        <v>INICIALIZADO</v>
      </c>
      <c r="G5321" s="23">
        <f>IFERROR(__xludf.DUMMYFUNCTION("""COMPUTED_VALUE"""),45586.643738425926)</f>
        <v>45586.64374</v>
      </c>
      <c r="H5321" s="24" t="str">
        <f>IFERROR(VLOOKUP(B5321,material!A:D,3,0),"")</f>
        <v>CHIP</v>
      </c>
    </row>
    <row r="5322" ht="11.25" customHeight="1">
      <c r="A5322" s="21" t="str">
        <f>IFERROR(__xludf.DUMMYFUNCTION("""COMPUTED_VALUE"""),"SIM CARD MOVEL")</f>
        <v>SIM CARD MOVEL</v>
      </c>
      <c r="B5322" s="22">
        <f>IFERROR(__xludf.DUMMYFUNCTION("""COMPUTED_VALUE"""),23105.0)</f>
        <v>23105</v>
      </c>
      <c r="C5322" s="21" t="str">
        <f>IFERROR(__xludf.DUMMYFUNCTION("""COMPUTED_VALUE"""),"89550537860000181039")</f>
        <v>89550537860000181039</v>
      </c>
      <c r="D5322" s="21" t="str">
        <f>IFERROR(__xludf.DUMMYFUNCTION("""COMPUTED_VALUE"""),"DIGITEC TECNOLOGIA DIGITAL E REPRES")</f>
        <v>DIGITEC TECNOLOGIA DIGITAL E REPRES</v>
      </c>
      <c r="E5322" s="21">
        <f>IFERROR(__xludf.DUMMYFUNCTION("""COMPUTED_VALUE"""),145359.0)</f>
        <v>145359</v>
      </c>
      <c r="F5322" s="21" t="str">
        <f>IFERROR(__xludf.DUMMYFUNCTION("""COMPUTED_VALUE"""),"INICIALIZADO")</f>
        <v>INICIALIZADO</v>
      </c>
      <c r="G5322" s="23">
        <f>IFERROR(__xludf.DUMMYFUNCTION("""COMPUTED_VALUE"""),45586.643738425926)</f>
        <v>45586.64374</v>
      </c>
      <c r="H5322" s="24" t="str">
        <f>IFERROR(VLOOKUP(B5322,material!A:D,3,0),"")</f>
        <v>CHIP</v>
      </c>
    </row>
    <row r="5323" ht="11.25" customHeight="1">
      <c r="A5323" s="21" t="str">
        <f>IFERROR(__xludf.DUMMYFUNCTION("""COMPUTED_VALUE"""),"SIM CARD MOVEL")</f>
        <v>SIM CARD MOVEL</v>
      </c>
      <c r="B5323" s="22">
        <f>IFERROR(__xludf.DUMMYFUNCTION("""COMPUTED_VALUE"""),23105.0)</f>
        <v>23105</v>
      </c>
      <c r="C5323" s="21" t="str">
        <f>IFERROR(__xludf.DUMMYFUNCTION("""COMPUTED_VALUE"""),"89550537860000181153")</f>
        <v>89550537860000181153</v>
      </c>
      <c r="D5323" s="21" t="str">
        <f>IFERROR(__xludf.DUMMYFUNCTION("""COMPUTED_VALUE"""),"DIGITEC TECNOLOGIA DIGITAL E REPRES")</f>
        <v>DIGITEC TECNOLOGIA DIGITAL E REPRES</v>
      </c>
      <c r="E5323" s="21">
        <f>IFERROR(__xludf.DUMMYFUNCTION("""COMPUTED_VALUE"""),145359.0)</f>
        <v>145359</v>
      </c>
      <c r="F5323" s="21" t="str">
        <f>IFERROR(__xludf.DUMMYFUNCTION("""COMPUTED_VALUE"""),"INICIALIZADO")</f>
        <v>INICIALIZADO</v>
      </c>
      <c r="G5323" s="23">
        <f>IFERROR(__xludf.DUMMYFUNCTION("""COMPUTED_VALUE"""),45586.643738425926)</f>
        <v>45586.64374</v>
      </c>
      <c r="H5323" s="24" t="str">
        <f>IFERROR(VLOOKUP(B5323,material!A:D,3,0),"")</f>
        <v>CHIP</v>
      </c>
    </row>
    <row r="5324" ht="11.25" customHeight="1">
      <c r="A5324" s="21" t="str">
        <f>IFERROR(__xludf.DUMMYFUNCTION("""COMPUTED_VALUE"""),"SIM CARD MOVEL")</f>
        <v>SIM CARD MOVEL</v>
      </c>
      <c r="B5324" s="22">
        <f>IFERROR(__xludf.DUMMYFUNCTION("""COMPUTED_VALUE"""),23105.0)</f>
        <v>23105</v>
      </c>
      <c r="C5324" s="21" t="str">
        <f>IFERROR(__xludf.DUMMYFUNCTION("""COMPUTED_VALUE"""),"89550537860000181161")</f>
        <v>89550537860000181161</v>
      </c>
      <c r="D5324" s="21" t="str">
        <f>IFERROR(__xludf.DUMMYFUNCTION("""COMPUTED_VALUE"""),"DIGITEC TECNOLOGIA DIGITAL E REPRES")</f>
        <v>DIGITEC TECNOLOGIA DIGITAL E REPRES</v>
      </c>
      <c r="E5324" s="21">
        <f>IFERROR(__xludf.DUMMYFUNCTION("""COMPUTED_VALUE"""),145359.0)</f>
        <v>145359</v>
      </c>
      <c r="F5324" s="21" t="str">
        <f>IFERROR(__xludf.DUMMYFUNCTION("""COMPUTED_VALUE"""),"INICIALIZADO")</f>
        <v>INICIALIZADO</v>
      </c>
      <c r="G5324" s="23">
        <f>IFERROR(__xludf.DUMMYFUNCTION("""COMPUTED_VALUE"""),45595.69820601852)</f>
        <v>45595.69821</v>
      </c>
      <c r="H5324" s="24" t="str">
        <f>IFERROR(VLOOKUP(B5324,material!A:D,3,0),"")</f>
        <v>CHIP</v>
      </c>
    </row>
    <row r="5325" ht="11.25" customHeight="1">
      <c r="A5325" s="21" t="str">
        <f>IFERROR(__xludf.DUMMYFUNCTION("""COMPUTED_VALUE"""),"SIM CARD MOVEL")</f>
        <v>SIM CARD MOVEL</v>
      </c>
      <c r="B5325" s="22">
        <f>IFERROR(__xludf.DUMMYFUNCTION("""COMPUTED_VALUE"""),23105.0)</f>
        <v>23105</v>
      </c>
      <c r="C5325" s="21" t="str">
        <f>IFERROR(__xludf.DUMMYFUNCTION("""COMPUTED_VALUE"""),"89550537860000180817")</f>
        <v>89550537860000180817</v>
      </c>
      <c r="D5325" s="21" t="str">
        <f>IFERROR(__xludf.DUMMYFUNCTION("""COMPUTED_VALUE"""),"DIGITEC TECNOLOGIA DIGITAL E REPRES")</f>
        <v>DIGITEC TECNOLOGIA DIGITAL E REPRES</v>
      </c>
      <c r="E5325" s="21">
        <f>IFERROR(__xludf.DUMMYFUNCTION("""COMPUTED_VALUE"""),145359.0)</f>
        <v>145359</v>
      </c>
      <c r="F5325" s="21" t="str">
        <f>IFERROR(__xludf.DUMMYFUNCTION("""COMPUTED_VALUE"""),"INICIALIZADO")</f>
        <v>INICIALIZADO</v>
      </c>
      <c r="G5325" s="23">
        <f>IFERROR(__xludf.DUMMYFUNCTION("""COMPUTED_VALUE"""),45595.69820601852)</f>
        <v>45595.69821</v>
      </c>
      <c r="H5325" s="24" t="str">
        <f>IFERROR(VLOOKUP(B5325,material!A:D,3,0),"")</f>
        <v>CHIP</v>
      </c>
    </row>
    <row r="5326" ht="11.25" customHeight="1">
      <c r="A5326" s="21" t="str">
        <f>IFERROR(__xludf.DUMMYFUNCTION("""COMPUTED_VALUE"""),"SIM CARD MOVEL")</f>
        <v>SIM CARD MOVEL</v>
      </c>
      <c r="B5326" s="22">
        <f>IFERROR(__xludf.DUMMYFUNCTION("""COMPUTED_VALUE"""),23105.0)</f>
        <v>23105</v>
      </c>
      <c r="C5326" s="21" t="str">
        <f>IFERROR(__xludf.DUMMYFUNCTION("""COMPUTED_VALUE"""),"89550537860000180833")</f>
        <v>89550537860000180833</v>
      </c>
      <c r="D5326" s="21" t="str">
        <f>IFERROR(__xludf.DUMMYFUNCTION("""COMPUTED_VALUE"""),"DIGITEC TECNOLOGIA DIGITAL E REPRES")</f>
        <v>DIGITEC TECNOLOGIA DIGITAL E REPRES</v>
      </c>
      <c r="E5326" s="21">
        <f>IFERROR(__xludf.DUMMYFUNCTION("""COMPUTED_VALUE"""),145359.0)</f>
        <v>145359</v>
      </c>
      <c r="F5326" s="21" t="str">
        <f>IFERROR(__xludf.DUMMYFUNCTION("""COMPUTED_VALUE"""),"INICIALIZADO")</f>
        <v>INICIALIZADO</v>
      </c>
      <c r="G5326" s="23">
        <f>IFERROR(__xludf.DUMMYFUNCTION("""COMPUTED_VALUE"""),45595.69820601852)</f>
        <v>45595.69821</v>
      </c>
      <c r="H5326" s="24" t="str">
        <f>IFERROR(VLOOKUP(B5326,material!A:D,3,0),"")</f>
        <v>CHIP</v>
      </c>
    </row>
    <row r="5327" ht="11.25" customHeight="1">
      <c r="A5327" s="21" t="str">
        <f>IFERROR(__xludf.DUMMYFUNCTION("""COMPUTED_VALUE"""),"SIM CARD MOVEL")</f>
        <v>SIM CARD MOVEL</v>
      </c>
      <c r="B5327" s="22">
        <f>IFERROR(__xludf.DUMMYFUNCTION("""COMPUTED_VALUE"""),23105.0)</f>
        <v>23105</v>
      </c>
      <c r="C5327" s="21" t="str">
        <f>IFERROR(__xludf.DUMMYFUNCTION("""COMPUTED_VALUE"""),"89550537860000180841")</f>
        <v>89550537860000180841</v>
      </c>
      <c r="D5327" s="21" t="str">
        <f>IFERROR(__xludf.DUMMYFUNCTION("""COMPUTED_VALUE"""),"DIGITEC TECNOLOGIA DIGITAL E REPRES")</f>
        <v>DIGITEC TECNOLOGIA DIGITAL E REPRES</v>
      </c>
      <c r="E5327" s="21">
        <f>IFERROR(__xludf.DUMMYFUNCTION("""COMPUTED_VALUE"""),145359.0)</f>
        <v>145359</v>
      </c>
      <c r="F5327" s="21" t="str">
        <f>IFERROR(__xludf.DUMMYFUNCTION("""COMPUTED_VALUE"""),"INICIALIZADO")</f>
        <v>INICIALIZADO</v>
      </c>
      <c r="G5327" s="23">
        <f>IFERROR(__xludf.DUMMYFUNCTION("""COMPUTED_VALUE"""),45595.69820601852)</f>
        <v>45595.69821</v>
      </c>
      <c r="H5327" s="24" t="str">
        <f>IFERROR(VLOOKUP(B5327,material!A:D,3,0),"")</f>
        <v>CHIP</v>
      </c>
    </row>
    <row r="5328" ht="11.25" customHeight="1">
      <c r="A5328" s="21" t="str">
        <f>IFERROR(__xludf.DUMMYFUNCTION("""COMPUTED_VALUE"""),"SIM CARD MOVEL")</f>
        <v>SIM CARD MOVEL</v>
      </c>
      <c r="B5328" s="22">
        <f>IFERROR(__xludf.DUMMYFUNCTION("""COMPUTED_VALUE"""),23105.0)</f>
        <v>23105</v>
      </c>
      <c r="C5328" s="21" t="str">
        <f>IFERROR(__xludf.DUMMYFUNCTION("""COMPUTED_VALUE"""),"89550537860000180866")</f>
        <v>89550537860000180866</v>
      </c>
      <c r="D5328" s="21" t="str">
        <f>IFERROR(__xludf.DUMMYFUNCTION("""COMPUTED_VALUE"""),"DIGITEC TECNOLOGIA DIGITAL E REPRES")</f>
        <v>DIGITEC TECNOLOGIA DIGITAL E REPRES</v>
      </c>
      <c r="E5328" s="21">
        <f>IFERROR(__xludf.DUMMYFUNCTION("""COMPUTED_VALUE"""),145359.0)</f>
        <v>145359</v>
      </c>
      <c r="F5328" s="21" t="str">
        <f>IFERROR(__xludf.DUMMYFUNCTION("""COMPUTED_VALUE"""),"INICIALIZADO")</f>
        <v>INICIALIZADO</v>
      </c>
      <c r="G5328" s="23">
        <f>IFERROR(__xludf.DUMMYFUNCTION("""COMPUTED_VALUE"""),45595.69820601852)</f>
        <v>45595.69821</v>
      </c>
      <c r="H5328" s="24" t="str">
        <f>IFERROR(VLOOKUP(B5328,material!A:D,3,0),"")</f>
        <v>CHIP</v>
      </c>
    </row>
    <row r="5329" ht="11.25" customHeight="1">
      <c r="A5329" s="21" t="str">
        <f>IFERROR(__xludf.DUMMYFUNCTION("""COMPUTED_VALUE"""),"SIM CARD MOVEL")</f>
        <v>SIM CARD MOVEL</v>
      </c>
      <c r="B5329" s="22">
        <f>IFERROR(__xludf.DUMMYFUNCTION("""COMPUTED_VALUE"""),23105.0)</f>
        <v>23105</v>
      </c>
      <c r="C5329" s="21" t="str">
        <f>IFERROR(__xludf.DUMMYFUNCTION("""COMPUTED_VALUE"""),"89550537860000180882")</f>
        <v>89550537860000180882</v>
      </c>
      <c r="D5329" s="21" t="str">
        <f>IFERROR(__xludf.DUMMYFUNCTION("""COMPUTED_VALUE"""),"DIGITEC TECNOLOGIA DIGITAL E REPRES")</f>
        <v>DIGITEC TECNOLOGIA DIGITAL E REPRES</v>
      </c>
      <c r="E5329" s="21">
        <f>IFERROR(__xludf.DUMMYFUNCTION("""COMPUTED_VALUE"""),145359.0)</f>
        <v>145359</v>
      </c>
      <c r="F5329" s="21" t="str">
        <f>IFERROR(__xludf.DUMMYFUNCTION("""COMPUTED_VALUE"""),"INICIALIZADO")</f>
        <v>INICIALIZADO</v>
      </c>
      <c r="G5329" s="23">
        <f>IFERROR(__xludf.DUMMYFUNCTION("""COMPUTED_VALUE"""),45595.69820601852)</f>
        <v>45595.69821</v>
      </c>
      <c r="H5329" s="24" t="str">
        <f>IFERROR(VLOOKUP(B5329,material!A:D,3,0),"")</f>
        <v>CHIP</v>
      </c>
    </row>
    <row r="5330" ht="11.25" customHeight="1">
      <c r="A5330" s="21" t="str">
        <f>IFERROR(__xludf.DUMMYFUNCTION("""COMPUTED_VALUE"""),"SIM CARD MOVEL")</f>
        <v>SIM CARD MOVEL</v>
      </c>
      <c r="B5330" s="22">
        <f>IFERROR(__xludf.DUMMYFUNCTION("""COMPUTED_VALUE"""),23105.0)</f>
        <v>23105</v>
      </c>
      <c r="C5330" s="21" t="str">
        <f>IFERROR(__xludf.DUMMYFUNCTION("""COMPUTED_VALUE"""),"89550537860000180890")</f>
        <v>89550537860000180890</v>
      </c>
      <c r="D5330" s="21" t="str">
        <f>IFERROR(__xludf.DUMMYFUNCTION("""COMPUTED_VALUE"""),"DIGITEC TECNOLOGIA DIGITAL E REPRES")</f>
        <v>DIGITEC TECNOLOGIA DIGITAL E REPRES</v>
      </c>
      <c r="E5330" s="21">
        <f>IFERROR(__xludf.DUMMYFUNCTION("""COMPUTED_VALUE"""),145359.0)</f>
        <v>145359</v>
      </c>
      <c r="F5330" s="21" t="str">
        <f>IFERROR(__xludf.DUMMYFUNCTION("""COMPUTED_VALUE"""),"INICIALIZADO")</f>
        <v>INICIALIZADO</v>
      </c>
      <c r="G5330" s="23">
        <f>IFERROR(__xludf.DUMMYFUNCTION("""COMPUTED_VALUE"""),45595.69820601852)</f>
        <v>45595.69821</v>
      </c>
      <c r="H5330" s="24" t="str">
        <f>IFERROR(VLOOKUP(B5330,material!A:D,3,0),"")</f>
        <v>CHIP</v>
      </c>
    </row>
    <row r="5331" ht="11.25" customHeight="1">
      <c r="A5331" s="21" t="str">
        <f>IFERROR(__xludf.DUMMYFUNCTION("""COMPUTED_VALUE"""),"SIM CARD MOVEL")</f>
        <v>SIM CARD MOVEL</v>
      </c>
      <c r="B5331" s="22">
        <f>IFERROR(__xludf.DUMMYFUNCTION("""COMPUTED_VALUE"""),23105.0)</f>
        <v>23105</v>
      </c>
      <c r="C5331" s="21" t="str">
        <f>IFERROR(__xludf.DUMMYFUNCTION("""COMPUTED_VALUE"""),"89550537860000180734")</f>
        <v>89550537860000180734</v>
      </c>
      <c r="D5331" s="21" t="str">
        <f>IFERROR(__xludf.DUMMYFUNCTION("""COMPUTED_VALUE"""),"DIGITEC TECNOLOGIA DIGITAL E REPRES")</f>
        <v>DIGITEC TECNOLOGIA DIGITAL E REPRES</v>
      </c>
      <c r="E5331" s="21">
        <f>IFERROR(__xludf.DUMMYFUNCTION("""COMPUTED_VALUE"""),145359.0)</f>
        <v>145359</v>
      </c>
      <c r="F5331" s="21" t="str">
        <f>IFERROR(__xludf.DUMMYFUNCTION("""COMPUTED_VALUE"""),"INICIALIZADO")</f>
        <v>INICIALIZADO</v>
      </c>
      <c r="G5331" s="23">
        <f>IFERROR(__xludf.DUMMYFUNCTION("""COMPUTED_VALUE"""),45595.69820601852)</f>
        <v>45595.69821</v>
      </c>
      <c r="H5331" s="24" t="str">
        <f>IFERROR(VLOOKUP(B5331,material!A:D,3,0),"")</f>
        <v>CHIP</v>
      </c>
    </row>
    <row r="5332" ht="11.25" customHeight="1">
      <c r="A5332" s="21" t="str">
        <f>IFERROR(__xludf.DUMMYFUNCTION("""COMPUTED_VALUE"""),"DECODER IP 4K ULTRA HD ZAPPER S4KW1")</f>
        <v>DECODER IP 4K ULTRA HD ZAPPER S4KW1</v>
      </c>
      <c r="B5332" s="22">
        <f>IFERROR(__xludf.DUMMYFUNCTION("""COMPUTED_VALUE"""),4.1001422E7)</f>
        <v>41001422</v>
      </c>
      <c r="C5332" s="21" t="str">
        <f>IFERROR(__xludf.DUMMYFUNCTION("""COMPUTED_VALUE"""),"229683890620")</f>
        <v>229683890620</v>
      </c>
      <c r="D5332" s="21" t="str">
        <f>IFERROR(__xludf.DUMMYFUNCTION("""COMPUTED_VALUE"""),"DIGITEC TECNOLOGIA DIGITAL E REPRES")</f>
        <v>DIGITEC TECNOLOGIA DIGITAL E REPRES</v>
      </c>
      <c r="E5332" s="21">
        <f>IFERROR(__xludf.DUMMYFUNCTION("""COMPUTED_VALUE"""),145359.0)</f>
        <v>145359</v>
      </c>
      <c r="F5332" s="21" t="str">
        <f>IFERROR(__xludf.DUMMYFUNCTION("""COMPUTED_VALUE"""),"INICIALIZADO")</f>
        <v>INICIALIZADO</v>
      </c>
      <c r="G5332" s="23">
        <f>IFERROR(__xludf.DUMMYFUNCTION("""COMPUTED_VALUE"""),45638.68790509259)</f>
        <v>45638.68791</v>
      </c>
      <c r="H5332" s="24" t="str">
        <f>IFERROR(VLOOKUP(B5332,material!A:D,3,0),"")</f>
        <v>BOX</v>
      </c>
    </row>
    <row r="5333" ht="11.25" customHeight="1">
      <c r="A5333" s="21" t="str">
        <f>IFERROR(__xludf.DUMMYFUNCTION("""COMPUTED_VALUE"""),"DECODER HD THDC4")</f>
        <v>DECODER HD THDC4</v>
      </c>
      <c r="B5333" s="22">
        <f>IFERROR(__xludf.DUMMYFUNCTION("""COMPUTED_VALUE"""),4.1001047E7)</f>
        <v>41001047</v>
      </c>
      <c r="C5333" s="21" t="str">
        <f>IFERROR(__xludf.DUMMYFUNCTION("""COMPUTED_VALUE"""),"229737662837")</f>
        <v>229737662837</v>
      </c>
      <c r="D5333" s="21" t="str">
        <f>IFERROR(__xludf.DUMMYFUNCTION("""COMPUTED_VALUE"""),"DIGITEC TECNOLOGIA DIGITAL E REPRES")</f>
        <v>DIGITEC TECNOLOGIA DIGITAL E REPRES</v>
      </c>
      <c r="E5333" s="21">
        <f>IFERROR(__xludf.DUMMYFUNCTION("""COMPUTED_VALUE"""),145359.0)</f>
        <v>145359</v>
      </c>
      <c r="F5333" s="21" t="str">
        <f>IFERROR(__xludf.DUMMYFUNCTION("""COMPUTED_VALUE"""),"INICIALIZADO")</f>
        <v>INICIALIZADO</v>
      </c>
      <c r="G5333" s="23">
        <f>IFERROR(__xludf.DUMMYFUNCTION("""COMPUTED_VALUE"""),45618.74475694445)</f>
        <v>45618.74476</v>
      </c>
      <c r="H5333" s="24" t="str">
        <f>IFERROR(VLOOKUP(B5333,material!A:D,3,0),"")</f>
        <v>TOP MIX</v>
      </c>
    </row>
    <row r="5334" ht="11.25" customHeight="1">
      <c r="A5334" s="21" t="str">
        <f>IFERROR(__xludf.DUMMYFUNCTION("""COMPUTED_VALUE"""),"DECODER HD THDC4")</f>
        <v>DECODER HD THDC4</v>
      </c>
      <c r="B5334" s="22">
        <f>IFERROR(__xludf.DUMMYFUNCTION("""COMPUTED_VALUE"""),4.1001047E7)</f>
        <v>41001047</v>
      </c>
      <c r="C5334" s="21" t="str">
        <f>IFERROR(__xludf.DUMMYFUNCTION("""COMPUTED_VALUE"""),"229665955872")</f>
        <v>229665955872</v>
      </c>
      <c r="D5334" s="21" t="str">
        <f>IFERROR(__xludf.DUMMYFUNCTION("""COMPUTED_VALUE"""),"DIGITEC TECNOLOGIA DIGITAL E REPRES")</f>
        <v>DIGITEC TECNOLOGIA DIGITAL E REPRES</v>
      </c>
      <c r="E5334" s="21">
        <f>IFERROR(__xludf.DUMMYFUNCTION("""COMPUTED_VALUE"""),145359.0)</f>
        <v>145359</v>
      </c>
      <c r="F5334" s="21" t="str">
        <f>IFERROR(__xludf.DUMMYFUNCTION("""COMPUTED_VALUE"""),"INICIALIZADO")</f>
        <v>INICIALIZADO</v>
      </c>
      <c r="G5334" s="23">
        <f>IFERROR(__xludf.DUMMYFUNCTION("""COMPUTED_VALUE"""),45618.65195601852)</f>
        <v>45618.65196</v>
      </c>
      <c r="H5334" s="24" t="str">
        <f>IFERROR(VLOOKUP(B5334,material!A:D,3,0),"")</f>
        <v>TOP MIX</v>
      </c>
    </row>
    <row r="5335" ht="11.25" customHeight="1">
      <c r="A5335" s="21" t="str">
        <f>IFERROR(__xludf.DUMMYFUNCTION("""COMPUTED_VALUE"""),"DECODER HD THDC4")</f>
        <v>DECODER HD THDC4</v>
      </c>
      <c r="B5335" s="22">
        <f>IFERROR(__xludf.DUMMYFUNCTION("""COMPUTED_VALUE"""),4.1001047E7)</f>
        <v>41001047</v>
      </c>
      <c r="C5335" s="21" t="str">
        <f>IFERROR(__xludf.DUMMYFUNCTION("""COMPUTED_VALUE"""),"229666383344")</f>
        <v>229666383344</v>
      </c>
      <c r="D5335" s="21" t="str">
        <f>IFERROR(__xludf.DUMMYFUNCTION("""COMPUTED_VALUE"""),"DIGITEC TECNOLOGIA DIGITAL E REPRES")</f>
        <v>DIGITEC TECNOLOGIA DIGITAL E REPRES</v>
      </c>
      <c r="E5335" s="21">
        <f>IFERROR(__xludf.DUMMYFUNCTION("""COMPUTED_VALUE"""),145359.0)</f>
        <v>145359</v>
      </c>
      <c r="F5335" s="21" t="str">
        <f>IFERROR(__xludf.DUMMYFUNCTION("""COMPUTED_VALUE"""),"INICIALIZADO")</f>
        <v>INICIALIZADO</v>
      </c>
      <c r="G5335" s="23">
        <f>IFERROR(__xludf.DUMMYFUNCTION("""COMPUTED_VALUE"""),45618.65195601852)</f>
        <v>45618.65196</v>
      </c>
      <c r="H5335" s="24" t="str">
        <f>IFERROR(VLOOKUP(B5335,material!A:D,3,0),"")</f>
        <v>TOP MIX</v>
      </c>
    </row>
    <row r="5336" ht="11.25" customHeight="1">
      <c r="A5336" s="21" t="str">
        <f>IFERROR(__xludf.DUMMYFUNCTION("""COMPUTED_VALUE"""),"DECODER HD THDC4")</f>
        <v>DECODER HD THDC4</v>
      </c>
      <c r="B5336" s="22">
        <f>IFERROR(__xludf.DUMMYFUNCTION("""COMPUTED_VALUE"""),4.1001047E7)</f>
        <v>41001047</v>
      </c>
      <c r="C5336" s="21" t="str">
        <f>IFERROR(__xludf.DUMMYFUNCTION("""COMPUTED_VALUE"""),"229751269103")</f>
        <v>229751269103</v>
      </c>
      <c r="D5336" s="21" t="str">
        <f>IFERROR(__xludf.DUMMYFUNCTION("""COMPUTED_VALUE"""),"DIGITEC TECNOLOGIA DIGITAL E REPRES")</f>
        <v>DIGITEC TECNOLOGIA DIGITAL E REPRES</v>
      </c>
      <c r="E5336" s="21">
        <f>IFERROR(__xludf.DUMMYFUNCTION("""COMPUTED_VALUE"""),145359.0)</f>
        <v>145359</v>
      </c>
      <c r="F5336" s="21" t="str">
        <f>IFERROR(__xludf.DUMMYFUNCTION("""COMPUTED_VALUE"""),"INICIALIZADO")</f>
        <v>INICIALIZADO</v>
      </c>
      <c r="G5336" s="23">
        <f>IFERROR(__xludf.DUMMYFUNCTION("""COMPUTED_VALUE"""),45618.74475694445)</f>
        <v>45618.74476</v>
      </c>
      <c r="H5336" s="24" t="str">
        <f>IFERROR(VLOOKUP(B5336,material!A:D,3,0),"")</f>
        <v>TOP MIX</v>
      </c>
    </row>
    <row r="5337" ht="11.25" customHeight="1">
      <c r="A5337" s="21" t="str">
        <f>IFERROR(__xludf.DUMMYFUNCTION("""COMPUTED_VALUE"""),"DECODER HD THDC4")</f>
        <v>DECODER HD THDC4</v>
      </c>
      <c r="B5337" s="22">
        <f>IFERROR(__xludf.DUMMYFUNCTION("""COMPUTED_VALUE"""),4.1001047E7)</f>
        <v>41001047</v>
      </c>
      <c r="C5337" s="21" t="str">
        <f>IFERROR(__xludf.DUMMYFUNCTION("""COMPUTED_VALUE"""),"229738875065")</f>
        <v>229738875065</v>
      </c>
      <c r="D5337" s="21" t="str">
        <f>IFERROR(__xludf.DUMMYFUNCTION("""COMPUTED_VALUE"""),"DIGITEC TECNOLOGIA DIGITAL E REPRES")</f>
        <v>DIGITEC TECNOLOGIA DIGITAL E REPRES</v>
      </c>
      <c r="E5337" s="21">
        <f>IFERROR(__xludf.DUMMYFUNCTION("""COMPUTED_VALUE"""),145359.0)</f>
        <v>145359</v>
      </c>
      <c r="F5337" s="21" t="str">
        <f>IFERROR(__xludf.DUMMYFUNCTION("""COMPUTED_VALUE"""),"INICIALIZADO")</f>
        <v>INICIALIZADO</v>
      </c>
      <c r="G5337" s="23">
        <f>IFERROR(__xludf.DUMMYFUNCTION("""COMPUTED_VALUE"""),45618.74475694445)</f>
        <v>45618.74476</v>
      </c>
      <c r="H5337" s="24" t="str">
        <f>IFERROR(VLOOKUP(B5337,material!A:D,3,0),"")</f>
        <v>TOP MIX</v>
      </c>
    </row>
    <row r="5338" ht="11.25" customHeight="1">
      <c r="A5338" s="21" t="str">
        <f>IFERROR(__xludf.DUMMYFUNCTION("""COMPUTED_VALUE"""),"DECODER HD THDC4")</f>
        <v>DECODER HD THDC4</v>
      </c>
      <c r="B5338" s="22">
        <f>IFERROR(__xludf.DUMMYFUNCTION("""COMPUTED_VALUE"""),4.1001047E7)</f>
        <v>41001047</v>
      </c>
      <c r="C5338" s="21" t="str">
        <f>IFERROR(__xludf.DUMMYFUNCTION("""COMPUTED_VALUE"""),"229686232038")</f>
        <v>229686232038</v>
      </c>
      <c r="D5338" s="21" t="str">
        <f>IFERROR(__xludf.DUMMYFUNCTION("""COMPUTED_VALUE"""),"DIGITEC TECNOLOGIA DIGITAL E REPRES")</f>
        <v>DIGITEC TECNOLOGIA DIGITAL E REPRES</v>
      </c>
      <c r="E5338" s="21">
        <f>IFERROR(__xludf.DUMMYFUNCTION("""COMPUTED_VALUE"""),145359.0)</f>
        <v>145359</v>
      </c>
      <c r="F5338" s="21" t="str">
        <f>IFERROR(__xludf.DUMMYFUNCTION("""COMPUTED_VALUE"""),"INICIALIZADO")</f>
        <v>INICIALIZADO</v>
      </c>
      <c r="G5338" s="23">
        <f>IFERROR(__xludf.DUMMYFUNCTION("""COMPUTED_VALUE"""),45618.65195601852)</f>
        <v>45618.65196</v>
      </c>
      <c r="H5338" s="24" t="str">
        <f>IFERROR(VLOOKUP(B5338,material!A:D,3,0),"")</f>
        <v>TOP MIX</v>
      </c>
    </row>
    <row r="5339" ht="11.25" customHeight="1">
      <c r="A5339" s="21" t="str">
        <f>IFERROR(__xludf.DUMMYFUNCTION("""COMPUTED_VALUE"""),"DECODER HD THDC4")</f>
        <v>DECODER HD THDC4</v>
      </c>
      <c r="B5339" s="22">
        <f>IFERROR(__xludf.DUMMYFUNCTION("""COMPUTED_VALUE"""),4.1001047E7)</f>
        <v>41001047</v>
      </c>
      <c r="C5339" s="21" t="str">
        <f>IFERROR(__xludf.DUMMYFUNCTION("""COMPUTED_VALUE"""),"229670840828")</f>
        <v>229670840828</v>
      </c>
      <c r="D5339" s="21" t="str">
        <f>IFERROR(__xludf.DUMMYFUNCTION("""COMPUTED_VALUE"""),"DIGITEC TECNOLOGIA DIGITAL E REPRES")</f>
        <v>DIGITEC TECNOLOGIA DIGITAL E REPRES</v>
      </c>
      <c r="E5339" s="21">
        <f>IFERROR(__xludf.DUMMYFUNCTION("""COMPUTED_VALUE"""),145359.0)</f>
        <v>145359</v>
      </c>
      <c r="F5339" s="21" t="str">
        <f>IFERROR(__xludf.DUMMYFUNCTION("""COMPUTED_VALUE"""),"INICIALIZADO")</f>
        <v>INICIALIZADO</v>
      </c>
      <c r="G5339" s="23">
        <f>IFERROR(__xludf.DUMMYFUNCTION("""COMPUTED_VALUE"""),45618.65195601852)</f>
        <v>45618.65196</v>
      </c>
      <c r="H5339" s="24" t="str">
        <f>IFERROR(VLOOKUP(B5339,material!A:D,3,0),"")</f>
        <v>TOP MIX</v>
      </c>
    </row>
    <row r="5340" ht="11.25" customHeight="1">
      <c r="A5340" s="21" t="str">
        <f>IFERROR(__xludf.DUMMYFUNCTION("""COMPUTED_VALUE"""),"DECODER HD THDC4")</f>
        <v>DECODER HD THDC4</v>
      </c>
      <c r="B5340" s="22">
        <f>IFERROR(__xludf.DUMMYFUNCTION("""COMPUTED_VALUE"""),4.1001047E7)</f>
        <v>41001047</v>
      </c>
      <c r="C5340" s="21" t="str">
        <f>IFERROR(__xludf.DUMMYFUNCTION("""COMPUTED_VALUE"""),"229784934566")</f>
        <v>229784934566</v>
      </c>
      <c r="D5340" s="21" t="str">
        <f>IFERROR(__xludf.DUMMYFUNCTION("""COMPUTED_VALUE"""),"DIGITEC TECNOLOGIA DIGITAL E REPRES")</f>
        <v>DIGITEC TECNOLOGIA DIGITAL E REPRES</v>
      </c>
      <c r="E5340" s="21">
        <f>IFERROR(__xludf.DUMMYFUNCTION("""COMPUTED_VALUE"""),145359.0)</f>
        <v>145359</v>
      </c>
      <c r="F5340" s="21" t="str">
        <f>IFERROR(__xludf.DUMMYFUNCTION("""COMPUTED_VALUE"""),"INICIALIZADO")</f>
        <v>INICIALIZADO</v>
      </c>
      <c r="G5340" s="23">
        <f>IFERROR(__xludf.DUMMYFUNCTION("""COMPUTED_VALUE"""),45618.74475694445)</f>
        <v>45618.74476</v>
      </c>
      <c r="H5340" s="24" t="str">
        <f>IFERROR(VLOOKUP(B5340,material!A:D,3,0),"")</f>
        <v>TOP MIX</v>
      </c>
    </row>
    <row r="5341" ht="11.25" customHeight="1">
      <c r="A5341" s="21" t="str">
        <f>IFERROR(__xludf.DUMMYFUNCTION("""COMPUTED_VALUE"""),"DECODER HD THDC4")</f>
        <v>DECODER HD THDC4</v>
      </c>
      <c r="B5341" s="22">
        <f>IFERROR(__xludf.DUMMYFUNCTION("""COMPUTED_VALUE"""),4.1001047E7)</f>
        <v>41001047</v>
      </c>
      <c r="C5341" s="21" t="str">
        <f>IFERROR(__xludf.DUMMYFUNCTION("""COMPUTED_VALUE"""),"229786323759")</f>
        <v>229786323759</v>
      </c>
      <c r="D5341" s="21" t="str">
        <f>IFERROR(__xludf.DUMMYFUNCTION("""COMPUTED_VALUE"""),"DIGITEC TECNOLOGIA DIGITAL E REPRES")</f>
        <v>DIGITEC TECNOLOGIA DIGITAL E REPRES</v>
      </c>
      <c r="E5341" s="21">
        <f>IFERROR(__xludf.DUMMYFUNCTION("""COMPUTED_VALUE"""),145359.0)</f>
        <v>145359</v>
      </c>
      <c r="F5341" s="21" t="str">
        <f>IFERROR(__xludf.DUMMYFUNCTION("""COMPUTED_VALUE"""),"INICIALIZADO")</f>
        <v>INICIALIZADO</v>
      </c>
      <c r="G5341" s="23">
        <f>IFERROR(__xludf.DUMMYFUNCTION("""COMPUTED_VALUE"""),45618.65194444444)</f>
        <v>45618.65194</v>
      </c>
      <c r="H5341" s="24" t="str">
        <f>IFERROR(VLOOKUP(B5341,material!A:D,3,0),"")</f>
        <v>TOP MIX</v>
      </c>
    </row>
    <row r="5342" ht="11.25" customHeight="1">
      <c r="A5342" s="21" t="str">
        <f>IFERROR(__xludf.DUMMYFUNCTION("""COMPUTED_VALUE"""),"DECODER HD THDC4")</f>
        <v>DECODER HD THDC4</v>
      </c>
      <c r="B5342" s="22">
        <f>IFERROR(__xludf.DUMMYFUNCTION("""COMPUTED_VALUE"""),4.1001047E7)</f>
        <v>41001047</v>
      </c>
      <c r="C5342" s="21" t="str">
        <f>IFERROR(__xludf.DUMMYFUNCTION("""COMPUTED_VALUE"""),"229780407176")</f>
        <v>229780407176</v>
      </c>
      <c r="D5342" s="21" t="str">
        <f>IFERROR(__xludf.DUMMYFUNCTION("""COMPUTED_VALUE"""),"DIGITEC TECNOLOGIA DIGITAL E REPRES")</f>
        <v>DIGITEC TECNOLOGIA DIGITAL E REPRES</v>
      </c>
      <c r="E5342" s="21">
        <f>IFERROR(__xludf.DUMMYFUNCTION("""COMPUTED_VALUE"""),145359.0)</f>
        <v>145359</v>
      </c>
      <c r="F5342" s="21" t="str">
        <f>IFERROR(__xludf.DUMMYFUNCTION("""COMPUTED_VALUE"""),"INICIALIZADO")</f>
        <v>INICIALIZADO</v>
      </c>
      <c r="G5342" s="23">
        <f>IFERROR(__xludf.DUMMYFUNCTION("""COMPUTED_VALUE"""),45618.65194444444)</f>
        <v>45618.65194</v>
      </c>
      <c r="H5342" s="24" t="str">
        <f>IFERROR(VLOOKUP(B5342,material!A:D,3,0),"")</f>
        <v>TOP MIX</v>
      </c>
    </row>
    <row r="5343" ht="11.25" customHeight="1">
      <c r="A5343" s="21" t="str">
        <f>IFERROR(__xludf.DUMMYFUNCTION("""COMPUTED_VALUE"""),"DECODER HD THDC4")</f>
        <v>DECODER HD THDC4</v>
      </c>
      <c r="B5343" s="22">
        <f>IFERROR(__xludf.DUMMYFUNCTION("""COMPUTED_VALUE"""),4.1001047E7)</f>
        <v>41001047</v>
      </c>
      <c r="C5343" s="21" t="str">
        <f>IFERROR(__xludf.DUMMYFUNCTION("""COMPUTED_VALUE"""),"229879378193")</f>
        <v>229879378193</v>
      </c>
      <c r="D5343" s="21" t="str">
        <f>IFERROR(__xludf.DUMMYFUNCTION("""COMPUTED_VALUE"""),"DIGITEC TECNOLOGIA DIGITAL E REPRES")</f>
        <v>DIGITEC TECNOLOGIA DIGITAL E REPRES</v>
      </c>
      <c r="E5343" s="21">
        <f>IFERROR(__xludf.DUMMYFUNCTION("""COMPUTED_VALUE"""),145359.0)</f>
        <v>145359</v>
      </c>
      <c r="F5343" s="21" t="str">
        <f>IFERROR(__xludf.DUMMYFUNCTION("""COMPUTED_VALUE"""),"INICIALIZADO")</f>
        <v>INICIALIZADO</v>
      </c>
      <c r="G5343" s="23">
        <f>IFERROR(__xludf.DUMMYFUNCTION("""COMPUTED_VALUE"""),45618.74474537037)</f>
        <v>45618.74475</v>
      </c>
      <c r="H5343" s="24" t="str">
        <f>IFERROR(VLOOKUP(B5343,material!A:D,3,0),"")</f>
        <v>TOP MIX</v>
      </c>
    </row>
    <row r="5344" ht="11.25" customHeight="1">
      <c r="A5344" s="21" t="str">
        <f>IFERROR(__xludf.DUMMYFUNCTION("""COMPUTED_VALUE"""),"DECODER HD THDC4")</f>
        <v>DECODER HD THDC4</v>
      </c>
      <c r="B5344" s="22">
        <f>IFERROR(__xludf.DUMMYFUNCTION("""COMPUTED_VALUE"""),4.1001047E7)</f>
        <v>41001047</v>
      </c>
      <c r="C5344" s="21" t="str">
        <f>IFERROR(__xludf.DUMMYFUNCTION("""COMPUTED_VALUE"""),"229932205661")</f>
        <v>229932205661</v>
      </c>
      <c r="D5344" s="21" t="str">
        <f>IFERROR(__xludf.DUMMYFUNCTION("""COMPUTED_VALUE"""),"DIGITEC TECNOLOGIA DIGITAL E REPRES")</f>
        <v>DIGITEC TECNOLOGIA DIGITAL E REPRES</v>
      </c>
      <c r="E5344" s="21">
        <f>IFERROR(__xludf.DUMMYFUNCTION("""COMPUTED_VALUE"""),145359.0)</f>
        <v>145359</v>
      </c>
      <c r="F5344" s="21" t="str">
        <f>IFERROR(__xludf.DUMMYFUNCTION("""COMPUTED_VALUE"""),"INICIALIZADO")</f>
        <v>INICIALIZADO</v>
      </c>
      <c r="G5344" s="23">
        <f>IFERROR(__xludf.DUMMYFUNCTION("""COMPUTED_VALUE"""),45618.74474537037)</f>
        <v>45618.74475</v>
      </c>
      <c r="H5344" s="24" t="str">
        <f>IFERROR(VLOOKUP(B5344,material!A:D,3,0),"")</f>
        <v>TOP MIX</v>
      </c>
    </row>
    <row r="5345" ht="11.25" customHeight="1">
      <c r="A5345" s="21" t="str">
        <f>IFERROR(__xludf.DUMMYFUNCTION("""COMPUTED_VALUE"""),"DECODER HD THDC4")</f>
        <v>DECODER HD THDC4</v>
      </c>
      <c r="B5345" s="22">
        <f>IFERROR(__xludf.DUMMYFUNCTION("""COMPUTED_VALUE"""),4.1001047E7)</f>
        <v>41001047</v>
      </c>
      <c r="C5345" s="21" t="str">
        <f>IFERROR(__xludf.DUMMYFUNCTION("""COMPUTED_VALUE"""),"229816637390")</f>
        <v>229816637390</v>
      </c>
      <c r="D5345" s="21" t="str">
        <f>IFERROR(__xludf.DUMMYFUNCTION("""COMPUTED_VALUE"""),"DIGITEC TECNOLOGIA DIGITAL E REPRES")</f>
        <v>DIGITEC TECNOLOGIA DIGITAL E REPRES</v>
      </c>
      <c r="E5345" s="21">
        <f>IFERROR(__xludf.DUMMYFUNCTION("""COMPUTED_VALUE"""),145359.0)</f>
        <v>145359</v>
      </c>
      <c r="F5345" s="21" t="str">
        <f>IFERROR(__xludf.DUMMYFUNCTION("""COMPUTED_VALUE"""),"INICIALIZADO")</f>
        <v>INICIALIZADO</v>
      </c>
      <c r="G5345" s="23">
        <f>IFERROR(__xludf.DUMMYFUNCTION("""COMPUTED_VALUE"""),45573.66674768519)</f>
        <v>45573.66675</v>
      </c>
      <c r="H5345" s="24" t="str">
        <f>IFERROR(VLOOKUP(B5345,material!A:D,3,0),"")</f>
        <v>TOP MIX</v>
      </c>
    </row>
    <row r="5346" ht="11.25" customHeight="1">
      <c r="A5346" s="21" t="str">
        <f>IFERROR(__xludf.DUMMYFUNCTION("""COMPUTED_VALUE"""),"DECODER HD THDC4")</f>
        <v>DECODER HD THDC4</v>
      </c>
      <c r="B5346" s="22">
        <f>IFERROR(__xludf.DUMMYFUNCTION("""COMPUTED_VALUE"""),4.1001047E7)</f>
        <v>41001047</v>
      </c>
      <c r="C5346" s="21" t="str">
        <f>IFERROR(__xludf.DUMMYFUNCTION("""COMPUTED_VALUE"""),"216943872025")</f>
        <v>216943872025</v>
      </c>
      <c r="D5346" s="21" t="str">
        <f>IFERROR(__xludf.DUMMYFUNCTION("""COMPUTED_VALUE"""),"DIGITEC TECNOLOGIA DIGITAL E REPRES")</f>
        <v>DIGITEC TECNOLOGIA DIGITAL E REPRES</v>
      </c>
      <c r="E5346" s="21">
        <f>IFERROR(__xludf.DUMMYFUNCTION("""COMPUTED_VALUE"""),145359.0)</f>
        <v>145359</v>
      </c>
      <c r="F5346" s="21" t="str">
        <f>IFERROR(__xludf.DUMMYFUNCTION("""COMPUTED_VALUE"""),"INICIALIZADO")</f>
        <v>INICIALIZADO</v>
      </c>
      <c r="G5346" s="23">
        <f>IFERROR(__xludf.DUMMYFUNCTION("""COMPUTED_VALUE"""),45630.40795138889)</f>
        <v>45630.40795</v>
      </c>
      <c r="H5346" s="24" t="str">
        <f>IFERROR(VLOOKUP(B5346,material!A:D,3,0),"")</f>
        <v>TOP MIX</v>
      </c>
    </row>
    <row r="5347" ht="11.25" customHeight="1">
      <c r="A5347" s="21" t="str">
        <f>IFERROR(__xludf.DUMMYFUNCTION("""COMPUTED_VALUE"""),"DECODER HD THDC4")</f>
        <v>DECODER HD THDC4</v>
      </c>
      <c r="B5347" s="22">
        <f>IFERROR(__xludf.DUMMYFUNCTION("""COMPUTED_VALUE"""),4.1001047E7)</f>
        <v>41001047</v>
      </c>
      <c r="C5347" s="21" t="str">
        <f>IFERROR(__xludf.DUMMYFUNCTION("""COMPUTED_VALUE"""),"216942830925")</f>
        <v>216942830925</v>
      </c>
      <c r="D5347" s="21" t="str">
        <f>IFERROR(__xludf.DUMMYFUNCTION("""COMPUTED_VALUE"""),"DIGITEC TECNOLOGIA DIGITAL E REPRES")</f>
        <v>DIGITEC TECNOLOGIA DIGITAL E REPRES</v>
      </c>
      <c r="E5347" s="21">
        <f>IFERROR(__xludf.DUMMYFUNCTION("""COMPUTED_VALUE"""),145359.0)</f>
        <v>145359</v>
      </c>
      <c r="F5347" s="21" t="str">
        <f>IFERROR(__xludf.DUMMYFUNCTION("""COMPUTED_VALUE"""),"INICIALIZADO")</f>
        <v>INICIALIZADO</v>
      </c>
      <c r="G5347" s="23">
        <f>IFERROR(__xludf.DUMMYFUNCTION("""COMPUTED_VALUE"""),45573.66673611111)</f>
        <v>45573.66674</v>
      </c>
      <c r="H5347" s="24" t="str">
        <f>IFERROR(VLOOKUP(B5347,material!A:D,3,0),"")</f>
        <v>TOP MIX</v>
      </c>
    </row>
    <row r="5348" ht="11.25" customHeight="1">
      <c r="A5348" s="21" t="str">
        <f>IFERROR(__xludf.DUMMYFUNCTION("""COMPUTED_VALUE"""),"EMTA WIFI 3.0 FST3486 16X4")</f>
        <v>EMTA WIFI 3.0 FST3486 16X4</v>
      </c>
      <c r="B5348" s="22">
        <f>IFERROR(__xludf.DUMMYFUNCTION("""COMPUTED_VALUE"""),4.1001095E7)</f>
        <v>41001095</v>
      </c>
      <c r="C5348" s="21" t="str">
        <f>IFERROR(__xludf.DUMMYFUNCTION("""COMPUTED_VALUE"""),"981E19B99CEC")</f>
        <v>981E19B99CEC</v>
      </c>
      <c r="D5348" s="21" t="str">
        <f>IFERROR(__xludf.DUMMYFUNCTION("""COMPUTED_VALUE"""),"DIGITEC TECNOLOGIA DIGITAL E REPRES")</f>
        <v>DIGITEC TECNOLOGIA DIGITAL E REPRES</v>
      </c>
      <c r="E5348" s="21">
        <f>IFERROR(__xludf.DUMMYFUNCTION("""COMPUTED_VALUE"""),145359.0)</f>
        <v>145359</v>
      </c>
      <c r="F5348" s="21" t="str">
        <f>IFERROR(__xludf.DUMMYFUNCTION("""COMPUTED_VALUE"""),"INICIALIZADO")</f>
        <v>INICIALIZADO</v>
      </c>
      <c r="G5348" s="23">
        <f>IFERROR(__xludf.DUMMYFUNCTION("""COMPUTED_VALUE"""),44999.92982638889)</f>
        <v>44999.92983</v>
      </c>
      <c r="H5348" s="24" t="str">
        <f>IFERROR(VLOOKUP(B5348,material!A:D,3,0),"")</f>
        <v>DUAL</v>
      </c>
    </row>
    <row r="5349" ht="11.25" customHeight="1">
      <c r="A5349" s="21" t="str">
        <f>IFERROR(__xludf.DUMMYFUNCTION("""COMPUTED_VALUE"""),"EMTA WIFI 3.0 FST3486 16X4")</f>
        <v>EMTA WIFI 3.0 FST3486 16X4</v>
      </c>
      <c r="B5349" s="22">
        <f>IFERROR(__xludf.DUMMYFUNCTION("""COMPUTED_VALUE"""),4.1001095E7)</f>
        <v>41001095</v>
      </c>
      <c r="C5349" s="21" t="str">
        <f>IFERROR(__xludf.DUMMYFUNCTION("""COMPUTED_VALUE"""),"D06EDE97BC8E")</f>
        <v>D06EDE97BC8E</v>
      </c>
      <c r="D5349" s="21" t="str">
        <f>IFERROR(__xludf.DUMMYFUNCTION("""COMPUTED_VALUE"""),"DIGITEC TECNOLOGIA DIGITAL E REPRES")</f>
        <v>DIGITEC TECNOLOGIA DIGITAL E REPRES</v>
      </c>
      <c r="E5349" s="21">
        <f>IFERROR(__xludf.DUMMYFUNCTION("""COMPUTED_VALUE"""),145359.0)</f>
        <v>145359</v>
      </c>
      <c r="F5349" s="21" t="str">
        <f>IFERROR(__xludf.DUMMYFUNCTION("""COMPUTED_VALUE"""),"INICIALIZADO")</f>
        <v>INICIALIZADO</v>
      </c>
      <c r="G5349" s="23">
        <f>IFERROR(__xludf.DUMMYFUNCTION("""COMPUTED_VALUE"""),45139.56212962963)</f>
        <v>45139.56213</v>
      </c>
      <c r="H5349" s="24" t="str">
        <f>IFERROR(VLOOKUP(B5349,material!A:D,3,0),"")</f>
        <v>DUAL</v>
      </c>
    </row>
    <row r="5350" ht="11.25" customHeight="1">
      <c r="A5350" s="21" t="str">
        <f>IFERROR(__xludf.DUMMYFUNCTION("""COMPUTED_VALUE"""),"SMART SIM CARD NAGRA")</f>
        <v>SMART SIM CARD NAGRA</v>
      </c>
      <c r="B5350" s="22">
        <f>IFERROR(__xludf.DUMMYFUNCTION("""COMPUTED_VALUE"""),4.1000805E7)</f>
        <v>41000805</v>
      </c>
      <c r="C5350" s="21" t="str">
        <f>IFERROR(__xludf.DUMMYFUNCTION("""COMPUTED_VALUE"""),"246649368698")</f>
        <v>246649368698</v>
      </c>
      <c r="D5350" s="21" t="str">
        <f>IFERROR(__xludf.DUMMYFUNCTION("""COMPUTED_VALUE"""),"DIGITEC TECNOLOGIA DIGITAL E REPRES")</f>
        <v>DIGITEC TECNOLOGIA DIGITAL E REPRES</v>
      </c>
      <c r="E5350" s="21">
        <f>IFERROR(__xludf.DUMMYFUNCTION("""COMPUTED_VALUE"""),145359.0)</f>
        <v>145359</v>
      </c>
      <c r="F5350" s="21" t="str">
        <f>IFERROR(__xludf.DUMMYFUNCTION("""COMPUTED_VALUE"""),"INICIALIZADO")</f>
        <v>INICIALIZADO</v>
      </c>
      <c r="G5350" s="23">
        <f>IFERROR(__xludf.DUMMYFUNCTION("""COMPUTED_VALUE"""),45595.392175925925)</f>
        <v>45595.39218</v>
      </c>
      <c r="H5350" s="24" t="str">
        <f>IFERROR(VLOOKUP(B5350,material!A:D,3,0),"")</f>
        <v>SIM CARD</v>
      </c>
    </row>
    <row r="5351" ht="11.25" customHeight="1">
      <c r="A5351" s="21" t="str">
        <f>IFERROR(__xludf.DUMMYFUNCTION("""COMPUTED_VALUE"""),"SMART SIM CARD NAGRA")</f>
        <v>SMART SIM CARD NAGRA</v>
      </c>
      <c r="B5351" s="22">
        <f>IFERROR(__xludf.DUMMYFUNCTION("""COMPUTED_VALUE"""),4.1000805E7)</f>
        <v>41000805</v>
      </c>
      <c r="C5351" s="21" t="str">
        <f>IFERROR(__xludf.DUMMYFUNCTION("""COMPUTED_VALUE"""),"246460391132")</f>
        <v>246460391132</v>
      </c>
      <c r="D5351" s="21" t="str">
        <f>IFERROR(__xludf.DUMMYFUNCTION("""COMPUTED_VALUE"""),"DIGITEC TECNOLOGIA DIGITAL E REPRES")</f>
        <v>DIGITEC TECNOLOGIA DIGITAL E REPRES</v>
      </c>
      <c r="E5351" s="21">
        <f>IFERROR(__xludf.DUMMYFUNCTION("""COMPUTED_VALUE"""),145359.0)</f>
        <v>145359</v>
      </c>
      <c r="F5351" s="21" t="str">
        <f>IFERROR(__xludf.DUMMYFUNCTION("""COMPUTED_VALUE"""),"INICIALIZADO")</f>
        <v>INICIALIZADO</v>
      </c>
      <c r="G5351" s="23">
        <f>IFERROR(__xludf.DUMMYFUNCTION("""COMPUTED_VALUE"""),45055.59869212963)</f>
        <v>45055.59869</v>
      </c>
      <c r="H5351" s="24" t="str">
        <f>IFERROR(VLOOKUP(B5351,material!A:D,3,0),"")</f>
        <v>SIM CARD</v>
      </c>
    </row>
    <row r="5352" ht="11.25" customHeight="1">
      <c r="A5352" s="21" t="str">
        <f>IFERROR(__xludf.DUMMYFUNCTION("""COMPUTED_VALUE"""),"SMART SIM CARD NAGRA")</f>
        <v>SMART SIM CARD NAGRA</v>
      </c>
      <c r="B5352" s="22">
        <f>IFERROR(__xludf.DUMMYFUNCTION("""COMPUTED_VALUE"""),4.1000805E7)</f>
        <v>41000805</v>
      </c>
      <c r="C5352" s="21" t="str">
        <f>IFERROR(__xludf.DUMMYFUNCTION("""COMPUTED_VALUE"""),"246489320218")</f>
        <v>246489320218</v>
      </c>
      <c r="D5352" s="21" t="str">
        <f>IFERROR(__xludf.DUMMYFUNCTION("""COMPUTED_VALUE"""),"DIGITEC TECNOLOGIA DIGITAL E REPRES")</f>
        <v>DIGITEC TECNOLOGIA DIGITAL E REPRES</v>
      </c>
      <c r="E5352" s="21">
        <f>IFERROR(__xludf.DUMMYFUNCTION("""COMPUTED_VALUE"""),145359.0)</f>
        <v>145359</v>
      </c>
      <c r="F5352" s="21" t="str">
        <f>IFERROR(__xludf.DUMMYFUNCTION("""COMPUTED_VALUE"""),"INICIALIZADO")</f>
        <v>INICIALIZADO</v>
      </c>
      <c r="G5352" s="23">
        <f>IFERROR(__xludf.DUMMYFUNCTION("""COMPUTED_VALUE"""),45000.35530092593)</f>
        <v>45000.3553</v>
      </c>
      <c r="H5352" s="24" t="str">
        <f>IFERROR(VLOOKUP(B5352,material!A:D,3,0),"")</f>
        <v>SIM CARD</v>
      </c>
    </row>
    <row r="5353" ht="11.25" customHeight="1">
      <c r="A5353" s="21" t="str">
        <f>IFERROR(__xludf.DUMMYFUNCTION("""COMPUTED_VALUE"""),"SMART SIM CARD NAGRA")</f>
        <v>SMART SIM CARD NAGRA</v>
      </c>
      <c r="B5353" s="22">
        <f>IFERROR(__xludf.DUMMYFUNCTION("""COMPUTED_VALUE"""),4.1000805E7)</f>
        <v>41000805</v>
      </c>
      <c r="C5353" s="21" t="str">
        <f>IFERROR(__xludf.DUMMYFUNCTION("""COMPUTED_VALUE"""),"246498024254")</f>
        <v>246498024254</v>
      </c>
      <c r="D5353" s="21" t="str">
        <f>IFERROR(__xludf.DUMMYFUNCTION("""COMPUTED_VALUE"""),"DIGITEC TECNOLOGIA DIGITAL E REPRES")</f>
        <v>DIGITEC TECNOLOGIA DIGITAL E REPRES</v>
      </c>
      <c r="E5353" s="21">
        <f>IFERROR(__xludf.DUMMYFUNCTION("""COMPUTED_VALUE"""),145359.0)</f>
        <v>145359</v>
      </c>
      <c r="F5353" s="21" t="str">
        <f>IFERROR(__xludf.DUMMYFUNCTION("""COMPUTED_VALUE"""),"INICIALIZADO")</f>
        <v>INICIALIZADO</v>
      </c>
      <c r="G5353" s="23">
        <f>IFERROR(__xludf.DUMMYFUNCTION("""COMPUTED_VALUE"""),45618.651979166665)</f>
        <v>45618.65198</v>
      </c>
      <c r="H5353" s="24" t="str">
        <f>IFERROR(VLOOKUP(B5353,material!A:D,3,0),"")</f>
        <v>SIM CARD</v>
      </c>
    </row>
    <row r="5354" ht="11.25" customHeight="1">
      <c r="A5354" s="21" t="str">
        <f>IFERROR(__xludf.DUMMYFUNCTION("""COMPUTED_VALUE"""),"SMART SIM CARD NAGRA")</f>
        <v>SMART SIM CARD NAGRA</v>
      </c>
      <c r="B5354" s="22">
        <f>IFERROR(__xludf.DUMMYFUNCTION("""COMPUTED_VALUE"""),4.1000805E7)</f>
        <v>41000805</v>
      </c>
      <c r="C5354" s="21" t="str">
        <f>IFERROR(__xludf.DUMMYFUNCTION("""COMPUTED_VALUE"""),"246472560322")</f>
        <v>246472560322</v>
      </c>
      <c r="D5354" s="21" t="str">
        <f>IFERROR(__xludf.DUMMYFUNCTION("""COMPUTED_VALUE"""),"DIGITEC TECNOLOGIA DIGITAL E REPRES")</f>
        <v>DIGITEC TECNOLOGIA DIGITAL E REPRES</v>
      </c>
      <c r="E5354" s="21">
        <f>IFERROR(__xludf.DUMMYFUNCTION("""COMPUTED_VALUE"""),145359.0)</f>
        <v>145359</v>
      </c>
      <c r="F5354" s="21" t="str">
        <f>IFERROR(__xludf.DUMMYFUNCTION("""COMPUTED_VALUE"""),"INICIALIZADO")</f>
        <v>INICIALIZADO</v>
      </c>
      <c r="G5354" s="23">
        <f>IFERROR(__xludf.DUMMYFUNCTION("""COMPUTED_VALUE"""),45618.65199074074)</f>
        <v>45618.65199</v>
      </c>
      <c r="H5354" s="24" t="str">
        <f>IFERROR(VLOOKUP(B5354,material!A:D,3,0),"")</f>
        <v>SIM CARD</v>
      </c>
    </row>
    <row r="5355" ht="11.25" customHeight="1">
      <c r="A5355" s="21" t="str">
        <f>IFERROR(__xludf.DUMMYFUNCTION("""COMPUTED_VALUE"""),"SMART SIM CARD NAGRA")</f>
        <v>SMART SIM CARD NAGRA</v>
      </c>
      <c r="B5355" s="22">
        <f>IFERROR(__xludf.DUMMYFUNCTION("""COMPUTED_VALUE"""),4.1000805E7)</f>
        <v>41000805</v>
      </c>
      <c r="C5355" s="21" t="str">
        <f>IFERROR(__xludf.DUMMYFUNCTION("""COMPUTED_VALUE"""),"246554537378")</f>
        <v>246554537378</v>
      </c>
      <c r="D5355" s="21" t="str">
        <f>IFERROR(__xludf.DUMMYFUNCTION("""COMPUTED_VALUE"""),"DIGITEC TECNOLOGIA DIGITAL E REPRES")</f>
        <v>DIGITEC TECNOLOGIA DIGITAL E REPRES</v>
      </c>
      <c r="E5355" s="21">
        <f>IFERROR(__xludf.DUMMYFUNCTION("""COMPUTED_VALUE"""),145359.0)</f>
        <v>145359</v>
      </c>
      <c r="F5355" s="21" t="str">
        <f>IFERROR(__xludf.DUMMYFUNCTION("""COMPUTED_VALUE"""),"INICIALIZADO")</f>
        <v>INICIALIZADO</v>
      </c>
      <c r="G5355" s="23">
        <f>IFERROR(__xludf.DUMMYFUNCTION("""COMPUTED_VALUE"""),45000.35530092593)</f>
        <v>45000.3553</v>
      </c>
      <c r="H5355" s="24" t="str">
        <f>IFERROR(VLOOKUP(B5355,material!A:D,3,0),"")</f>
        <v>SIM CARD</v>
      </c>
    </row>
    <row r="5356" ht="11.25" customHeight="1">
      <c r="A5356" s="21" t="str">
        <f>IFERROR(__xludf.DUMMYFUNCTION("""COMPUTED_VALUE"""),"SMART SIM CARD NAGRA")</f>
        <v>SMART SIM CARD NAGRA</v>
      </c>
      <c r="B5356" s="22">
        <f>IFERROR(__xludf.DUMMYFUNCTION("""COMPUTED_VALUE"""),4.1000805E7)</f>
        <v>41000805</v>
      </c>
      <c r="C5356" s="21" t="str">
        <f>IFERROR(__xludf.DUMMYFUNCTION("""COMPUTED_VALUE"""),"246589400322")</f>
        <v>246589400322</v>
      </c>
      <c r="D5356" s="21" t="str">
        <f>IFERROR(__xludf.DUMMYFUNCTION("""COMPUTED_VALUE"""),"DIGITEC TECNOLOGIA DIGITAL E REPRES")</f>
        <v>DIGITEC TECNOLOGIA DIGITAL E REPRES</v>
      </c>
      <c r="E5356" s="21">
        <f>IFERROR(__xludf.DUMMYFUNCTION("""COMPUTED_VALUE"""),145359.0)</f>
        <v>145359</v>
      </c>
      <c r="F5356" s="21" t="str">
        <f>IFERROR(__xludf.DUMMYFUNCTION("""COMPUTED_VALUE"""),"INICIALIZADO")</f>
        <v>INICIALIZADO</v>
      </c>
      <c r="G5356" s="23">
        <f>IFERROR(__xludf.DUMMYFUNCTION("""COMPUTED_VALUE"""),45618.744722222225)</f>
        <v>45618.74472</v>
      </c>
      <c r="H5356" s="24" t="str">
        <f>IFERROR(VLOOKUP(B5356,material!A:D,3,0),"")</f>
        <v>SIM CARD</v>
      </c>
    </row>
    <row r="5357" ht="11.25" customHeight="1">
      <c r="A5357" s="21" t="str">
        <f>IFERROR(__xludf.DUMMYFUNCTION("""COMPUTED_VALUE"""),"SMART SIM CARD NAGRA")</f>
        <v>SMART SIM CARD NAGRA</v>
      </c>
      <c r="B5357" s="22">
        <f>IFERROR(__xludf.DUMMYFUNCTION("""COMPUTED_VALUE"""),4.1000805E7)</f>
        <v>41000805</v>
      </c>
      <c r="C5357" s="21" t="str">
        <f>IFERROR(__xludf.DUMMYFUNCTION("""COMPUTED_VALUE"""),"246578479097")</f>
        <v>246578479097</v>
      </c>
      <c r="D5357" s="21" t="str">
        <f>IFERROR(__xludf.DUMMYFUNCTION("""COMPUTED_VALUE"""),"DIGITEC TECNOLOGIA DIGITAL E REPRES")</f>
        <v>DIGITEC TECNOLOGIA DIGITAL E REPRES</v>
      </c>
      <c r="E5357" s="21">
        <f>IFERROR(__xludf.DUMMYFUNCTION("""COMPUTED_VALUE"""),145359.0)</f>
        <v>145359</v>
      </c>
      <c r="F5357" s="21" t="str">
        <f>IFERROR(__xludf.DUMMYFUNCTION("""COMPUTED_VALUE"""),"INICIALIZADO")</f>
        <v>INICIALIZADO</v>
      </c>
      <c r="G5357" s="23">
        <f>IFERROR(__xludf.DUMMYFUNCTION("""COMPUTED_VALUE"""),45615.61851851852)</f>
        <v>45615.61852</v>
      </c>
      <c r="H5357" s="24" t="str">
        <f>IFERROR(VLOOKUP(B5357,material!A:D,3,0),"")</f>
        <v>SIM CARD</v>
      </c>
    </row>
    <row r="5358" ht="11.25" customHeight="1">
      <c r="A5358" s="21" t="str">
        <f>IFERROR(__xludf.DUMMYFUNCTION("""COMPUTED_VALUE"""),"SMART SIM CARD NAGRA")</f>
        <v>SMART SIM CARD NAGRA</v>
      </c>
      <c r="B5358" s="22">
        <f>IFERROR(__xludf.DUMMYFUNCTION("""COMPUTED_VALUE"""),4.1000805E7)</f>
        <v>41000805</v>
      </c>
      <c r="C5358" s="21" t="str">
        <f>IFERROR(__xludf.DUMMYFUNCTION("""COMPUTED_VALUE"""),"246590500923")</f>
        <v>246590500923</v>
      </c>
      <c r="D5358" s="21" t="str">
        <f>IFERROR(__xludf.DUMMYFUNCTION("""COMPUTED_VALUE"""),"DIGITEC TECNOLOGIA DIGITAL E REPRES")</f>
        <v>DIGITEC TECNOLOGIA DIGITAL E REPRES</v>
      </c>
      <c r="E5358" s="21">
        <f>IFERROR(__xludf.DUMMYFUNCTION("""COMPUTED_VALUE"""),145359.0)</f>
        <v>145359</v>
      </c>
      <c r="F5358" s="21" t="str">
        <f>IFERROR(__xludf.DUMMYFUNCTION("""COMPUTED_VALUE"""),"INICIALIZADO")</f>
        <v>INICIALIZADO</v>
      </c>
      <c r="G5358" s="23">
        <f>IFERROR(__xludf.DUMMYFUNCTION("""COMPUTED_VALUE"""),45618.744722222225)</f>
        <v>45618.74472</v>
      </c>
      <c r="H5358" s="24" t="str">
        <f>IFERROR(VLOOKUP(B5358,material!A:D,3,0),"")</f>
        <v>SIM CARD</v>
      </c>
    </row>
    <row r="5359" ht="11.25" customHeight="1">
      <c r="A5359" s="21" t="str">
        <f>IFERROR(__xludf.DUMMYFUNCTION("""COMPUTED_VALUE"""),"SMART SIM CARD NAGRA")</f>
        <v>SMART SIM CARD NAGRA</v>
      </c>
      <c r="B5359" s="22">
        <f>IFERROR(__xludf.DUMMYFUNCTION("""COMPUTED_VALUE"""),4.1000805E7)</f>
        <v>41000805</v>
      </c>
      <c r="C5359" s="21" t="str">
        <f>IFERROR(__xludf.DUMMYFUNCTION("""COMPUTED_VALUE"""),"246572559609")</f>
        <v>246572559609</v>
      </c>
      <c r="D5359" s="21" t="str">
        <f>IFERROR(__xludf.DUMMYFUNCTION("""COMPUTED_VALUE"""),"DIGITEC TECNOLOGIA DIGITAL E REPRES")</f>
        <v>DIGITEC TECNOLOGIA DIGITAL E REPRES</v>
      </c>
      <c r="E5359" s="21">
        <f>IFERROR(__xludf.DUMMYFUNCTION("""COMPUTED_VALUE"""),145359.0)</f>
        <v>145359</v>
      </c>
      <c r="F5359" s="21" t="str">
        <f>IFERROR(__xludf.DUMMYFUNCTION("""COMPUTED_VALUE"""),"INICIALIZADO")</f>
        <v>INICIALIZADO</v>
      </c>
      <c r="G5359" s="23">
        <f>IFERROR(__xludf.DUMMYFUNCTION("""COMPUTED_VALUE"""),45618.744722222225)</f>
        <v>45618.74472</v>
      </c>
      <c r="H5359" s="24" t="str">
        <f>IFERROR(VLOOKUP(B5359,material!A:D,3,0),"")</f>
        <v>SIM CARD</v>
      </c>
    </row>
    <row r="5360" ht="11.25" customHeight="1">
      <c r="A5360" s="21" t="str">
        <f>IFERROR(__xludf.DUMMYFUNCTION("""COMPUTED_VALUE"""),"SMART SIM CARD NAGRA")</f>
        <v>SMART SIM CARD NAGRA</v>
      </c>
      <c r="B5360" s="22">
        <f>IFERROR(__xludf.DUMMYFUNCTION("""COMPUTED_VALUE"""),4.1000805E7)</f>
        <v>41000805</v>
      </c>
      <c r="C5360" s="21" t="str">
        <f>IFERROR(__xludf.DUMMYFUNCTION("""COMPUTED_VALUE"""),"246572051625")</f>
        <v>246572051625</v>
      </c>
      <c r="D5360" s="21" t="str">
        <f>IFERROR(__xludf.DUMMYFUNCTION("""COMPUTED_VALUE"""),"DIGITEC TECNOLOGIA DIGITAL E REPRES")</f>
        <v>DIGITEC TECNOLOGIA DIGITAL E REPRES</v>
      </c>
      <c r="E5360" s="21">
        <f>IFERROR(__xludf.DUMMYFUNCTION("""COMPUTED_VALUE"""),145359.0)</f>
        <v>145359</v>
      </c>
      <c r="F5360" s="21" t="str">
        <f>IFERROR(__xludf.DUMMYFUNCTION("""COMPUTED_VALUE"""),"INICIALIZADO")</f>
        <v>INICIALIZADO</v>
      </c>
      <c r="G5360" s="23">
        <f>IFERROR(__xludf.DUMMYFUNCTION("""COMPUTED_VALUE"""),45618.744722222225)</f>
        <v>45618.74472</v>
      </c>
      <c r="H5360" s="24" t="str">
        <f>IFERROR(VLOOKUP(B5360,material!A:D,3,0),"")</f>
        <v>SIM CARD</v>
      </c>
    </row>
    <row r="5361" ht="11.25" customHeight="1">
      <c r="A5361" s="21" t="str">
        <f>IFERROR(__xludf.DUMMYFUNCTION("""COMPUTED_VALUE"""),"SMART SIM CARD NAGRA")</f>
        <v>SMART SIM CARD NAGRA</v>
      </c>
      <c r="B5361" s="22">
        <f>IFERROR(__xludf.DUMMYFUNCTION("""COMPUTED_VALUE"""),4.1000805E7)</f>
        <v>41000805</v>
      </c>
      <c r="C5361" s="21" t="str">
        <f>IFERROR(__xludf.DUMMYFUNCTION("""COMPUTED_VALUE"""),"246582794547")</f>
        <v>246582794547</v>
      </c>
      <c r="D5361" s="21" t="str">
        <f>IFERROR(__xludf.DUMMYFUNCTION("""COMPUTED_VALUE"""),"DIGITEC TECNOLOGIA DIGITAL E REPRES")</f>
        <v>DIGITEC TECNOLOGIA DIGITAL E REPRES</v>
      </c>
      <c r="E5361" s="21">
        <f>IFERROR(__xludf.DUMMYFUNCTION("""COMPUTED_VALUE"""),145359.0)</f>
        <v>145359</v>
      </c>
      <c r="F5361" s="21" t="str">
        <f>IFERROR(__xludf.DUMMYFUNCTION("""COMPUTED_VALUE"""),"INICIALIZADO")</f>
        <v>INICIALIZADO</v>
      </c>
      <c r="G5361" s="23">
        <f>IFERROR(__xludf.DUMMYFUNCTION("""COMPUTED_VALUE"""),45618.744722222225)</f>
        <v>45618.74472</v>
      </c>
      <c r="H5361" s="24" t="str">
        <f>IFERROR(VLOOKUP(B5361,material!A:D,3,0),"")</f>
        <v>SIM CARD</v>
      </c>
    </row>
    <row r="5362" ht="11.25" customHeight="1">
      <c r="A5362" s="21" t="str">
        <f>IFERROR(__xludf.DUMMYFUNCTION("""COMPUTED_VALUE"""),"SMART SIM CARD NAGRA")</f>
        <v>SMART SIM CARD NAGRA</v>
      </c>
      <c r="B5362" s="22">
        <f>IFERROR(__xludf.DUMMYFUNCTION("""COMPUTED_VALUE"""),4.1000805E7)</f>
        <v>41000805</v>
      </c>
      <c r="C5362" s="21" t="str">
        <f>IFERROR(__xludf.DUMMYFUNCTION("""COMPUTED_VALUE"""),"246573156367")</f>
        <v>246573156367</v>
      </c>
      <c r="D5362" s="21" t="str">
        <f>IFERROR(__xludf.DUMMYFUNCTION("""COMPUTED_VALUE"""),"DIGITEC TECNOLOGIA DIGITAL E REPRES")</f>
        <v>DIGITEC TECNOLOGIA DIGITAL E REPRES</v>
      </c>
      <c r="E5362" s="21">
        <f>IFERROR(__xludf.DUMMYFUNCTION("""COMPUTED_VALUE"""),145359.0)</f>
        <v>145359</v>
      </c>
      <c r="F5362" s="21" t="str">
        <f>IFERROR(__xludf.DUMMYFUNCTION("""COMPUTED_VALUE"""),"INICIALIZADO")</f>
        <v>INICIALIZADO</v>
      </c>
      <c r="G5362" s="23">
        <f>IFERROR(__xludf.DUMMYFUNCTION("""COMPUTED_VALUE"""),45618.744722222225)</f>
        <v>45618.74472</v>
      </c>
      <c r="H5362" s="24" t="str">
        <f>IFERROR(VLOOKUP(B5362,material!A:D,3,0),"")</f>
        <v>SIM CARD</v>
      </c>
    </row>
    <row r="5363" ht="11.25" customHeight="1">
      <c r="A5363" s="21" t="str">
        <f>IFERROR(__xludf.DUMMYFUNCTION("""COMPUTED_VALUE"""),"SMART SIM CARD NAGRA")</f>
        <v>SMART SIM CARD NAGRA</v>
      </c>
      <c r="B5363" s="22">
        <f>IFERROR(__xludf.DUMMYFUNCTION("""COMPUTED_VALUE"""),4.1000805E7)</f>
        <v>41000805</v>
      </c>
      <c r="C5363" s="21" t="str">
        <f>IFERROR(__xludf.DUMMYFUNCTION("""COMPUTED_VALUE"""),"246573646471")</f>
        <v>246573646471</v>
      </c>
      <c r="D5363" s="21" t="str">
        <f>IFERROR(__xludf.DUMMYFUNCTION("""COMPUTED_VALUE"""),"DIGITEC TECNOLOGIA DIGITAL E REPRES")</f>
        <v>DIGITEC TECNOLOGIA DIGITAL E REPRES</v>
      </c>
      <c r="E5363" s="21">
        <f>IFERROR(__xludf.DUMMYFUNCTION("""COMPUTED_VALUE"""),145359.0)</f>
        <v>145359</v>
      </c>
      <c r="F5363" s="21" t="str">
        <f>IFERROR(__xludf.DUMMYFUNCTION("""COMPUTED_VALUE"""),"INICIALIZADO")</f>
        <v>INICIALIZADO</v>
      </c>
      <c r="G5363" s="23">
        <f>IFERROR(__xludf.DUMMYFUNCTION("""COMPUTED_VALUE"""),45625.6531712963)</f>
        <v>45625.65317</v>
      </c>
      <c r="H5363" s="24" t="str">
        <f>IFERROR(VLOOKUP(B5363,material!A:D,3,0),"")</f>
        <v>SIM CARD</v>
      </c>
    </row>
    <row r="5364" ht="11.25" customHeight="1">
      <c r="A5364" s="21" t="str">
        <f>IFERROR(__xludf.DUMMYFUNCTION("""COMPUTED_VALUE"""),"SMART SIM CARD NAGRA")</f>
        <v>SMART SIM CARD NAGRA</v>
      </c>
      <c r="B5364" s="22">
        <f>IFERROR(__xludf.DUMMYFUNCTION("""COMPUTED_VALUE"""),4.1000805E7)</f>
        <v>41000805</v>
      </c>
      <c r="C5364" s="21" t="str">
        <f>IFERROR(__xludf.DUMMYFUNCTION("""COMPUTED_VALUE"""),"246578232632")</f>
        <v>246578232632</v>
      </c>
      <c r="D5364" s="21" t="str">
        <f>IFERROR(__xludf.DUMMYFUNCTION("""COMPUTED_VALUE"""),"DIGITEC TECNOLOGIA DIGITAL E REPRES")</f>
        <v>DIGITEC TECNOLOGIA DIGITAL E REPRES</v>
      </c>
      <c r="E5364" s="21">
        <f>IFERROR(__xludf.DUMMYFUNCTION("""COMPUTED_VALUE"""),145359.0)</f>
        <v>145359</v>
      </c>
      <c r="F5364" s="21" t="str">
        <f>IFERROR(__xludf.DUMMYFUNCTION("""COMPUTED_VALUE"""),"INICIALIZADO")</f>
        <v>INICIALIZADO</v>
      </c>
      <c r="G5364" s="23">
        <f>IFERROR(__xludf.DUMMYFUNCTION("""COMPUTED_VALUE"""),45618.744722222225)</f>
        <v>45618.74472</v>
      </c>
      <c r="H5364" s="24" t="str">
        <f>IFERROR(VLOOKUP(B5364,material!A:D,3,0),"")</f>
        <v>SIM CARD</v>
      </c>
    </row>
    <row r="5365" ht="11.25" customHeight="1">
      <c r="A5365" s="21" t="str">
        <f>IFERROR(__xludf.DUMMYFUNCTION("""COMPUTED_VALUE"""),"SMART SIM CARD NAGRA")</f>
        <v>SMART SIM CARD NAGRA</v>
      </c>
      <c r="B5365" s="22">
        <f>IFERROR(__xludf.DUMMYFUNCTION("""COMPUTED_VALUE"""),4.1000805E7)</f>
        <v>41000805</v>
      </c>
      <c r="C5365" s="21" t="str">
        <f>IFERROR(__xludf.DUMMYFUNCTION("""COMPUTED_VALUE"""),"246572802540")</f>
        <v>246572802540</v>
      </c>
      <c r="D5365" s="21" t="str">
        <f>IFERROR(__xludf.DUMMYFUNCTION("""COMPUTED_VALUE"""),"DIGITEC TECNOLOGIA DIGITAL E REPRES")</f>
        <v>DIGITEC TECNOLOGIA DIGITAL E REPRES</v>
      </c>
      <c r="E5365" s="21">
        <f>IFERROR(__xludf.DUMMYFUNCTION("""COMPUTED_VALUE"""),145359.0)</f>
        <v>145359</v>
      </c>
      <c r="F5365" s="21" t="str">
        <f>IFERROR(__xludf.DUMMYFUNCTION("""COMPUTED_VALUE"""),"INICIALIZADO")</f>
        <v>INICIALIZADO</v>
      </c>
      <c r="G5365" s="23">
        <f>IFERROR(__xludf.DUMMYFUNCTION("""COMPUTED_VALUE"""),45625.6531712963)</f>
        <v>45625.65317</v>
      </c>
      <c r="H5365" s="24" t="str">
        <f>IFERROR(VLOOKUP(B5365,material!A:D,3,0),"")</f>
        <v>SIM CARD</v>
      </c>
    </row>
    <row r="5366" ht="11.25" customHeight="1">
      <c r="A5366" s="21" t="str">
        <f>IFERROR(__xludf.DUMMYFUNCTION("""COMPUTED_VALUE"""),"SMART SIM CARD NAGRA")</f>
        <v>SMART SIM CARD NAGRA</v>
      </c>
      <c r="B5366" s="22">
        <f>IFERROR(__xludf.DUMMYFUNCTION("""COMPUTED_VALUE"""),4.1000805E7)</f>
        <v>41000805</v>
      </c>
      <c r="C5366" s="21" t="str">
        <f>IFERROR(__xludf.DUMMYFUNCTION("""COMPUTED_VALUE"""),"246577962931")</f>
        <v>246577962931</v>
      </c>
      <c r="D5366" s="21" t="str">
        <f>IFERROR(__xludf.DUMMYFUNCTION("""COMPUTED_VALUE"""),"DIGITEC TECNOLOGIA DIGITAL E REPRES")</f>
        <v>DIGITEC TECNOLOGIA DIGITAL E REPRES</v>
      </c>
      <c r="E5366" s="21">
        <f>IFERROR(__xludf.DUMMYFUNCTION("""COMPUTED_VALUE"""),145359.0)</f>
        <v>145359</v>
      </c>
      <c r="F5366" s="21" t="str">
        <f>IFERROR(__xludf.DUMMYFUNCTION("""COMPUTED_VALUE"""),"INICIALIZADO")</f>
        <v>INICIALIZADO</v>
      </c>
      <c r="G5366" s="23">
        <f>IFERROR(__xludf.DUMMYFUNCTION("""COMPUTED_VALUE"""),45618.744722222225)</f>
        <v>45618.74472</v>
      </c>
      <c r="H5366" s="24" t="str">
        <f>IFERROR(VLOOKUP(B5366,material!A:D,3,0),"")</f>
        <v>SIM CARD</v>
      </c>
    </row>
    <row r="5367" ht="11.25" customHeight="1">
      <c r="A5367" s="21" t="str">
        <f>IFERROR(__xludf.DUMMYFUNCTION("""COMPUTED_VALUE"""),"SMART SIM CARD NAGRA")</f>
        <v>SMART SIM CARD NAGRA</v>
      </c>
      <c r="B5367" s="22">
        <f>IFERROR(__xludf.DUMMYFUNCTION("""COMPUTED_VALUE"""),4.1000805E7)</f>
        <v>41000805</v>
      </c>
      <c r="C5367" s="21" t="str">
        <f>IFERROR(__xludf.DUMMYFUNCTION("""COMPUTED_VALUE"""),"246578118906")</f>
        <v>246578118906</v>
      </c>
      <c r="D5367" s="21" t="str">
        <f>IFERROR(__xludf.DUMMYFUNCTION("""COMPUTED_VALUE"""),"DIGITEC TECNOLOGIA DIGITAL E REPRES")</f>
        <v>DIGITEC TECNOLOGIA DIGITAL E REPRES</v>
      </c>
      <c r="E5367" s="21">
        <f>IFERROR(__xludf.DUMMYFUNCTION("""COMPUTED_VALUE"""),145359.0)</f>
        <v>145359</v>
      </c>
      <c r="F5367" s="21" t="str">
        <f>IFERROR(__xludf.DUMMYFUNCTION("""COMPUTED_VALUE"""),"INICIALIZADO")</f>
        <v>INICIALIZADO</v>
      </c>
      <c r="G5367" s="23">
        <f>IFERROR(__xludf.DUMMYFUNCTION("""COMPUTED_VALUE"""),45625.6531712963)</f>
        <v>45625.65317</v>
      </c>
      <c r="H5367" s="24" t="str">
        <f>IFERROR(VLOOKUP(B5367,material!A:D,3,0),"")</f>
        <v>SIM CARD</v>
      </c>
    </row>
    <row r="5368" ht="11.25" customHeight="1">
      <c r="A5368" s="21" t="str">
        <f>IFERROR(__xludf.DUMMYFUNCTION("""COMPUTED_VALUE"""),"SMART SIM CARD NAGRA")</f>
        <v>SMART SIM CARD NAGRA</v>
      </c>
      <c r="B5368" s="22">
        <f>IFERROR(__xludf.DUMMYFUNCTION("""COMPUTED_VALUE"""),4.1000805E7)</f>
        <v>41000805</v>
      </c>
      <c r="C5368" s="21" t="str">
        <f>IFERROR(__xludf.DUMMYFUNCTION("""COMPUTED_VALUE"""),"246591271234")</f>
        <v>246591271234</v>
      </c>
      <c r="D5368" s="21" t="str">
        <f>IFERROR(__xludf.DUMMYFUNCTION("""COMPUTED_VALUE"""),"DIGITEC TECNOLOGIA DIGITAL E REPRES")</f>
        <v>DIGITEC TECNOLOGIA DIGITAL E REPRES</v>
      </c>
      <c r="E5368" s="21">
        <f>IFERROR(__xludf.DUMMYFUNCTION("""COMPUTED_VALUE"""),145359.0)</f>
        <v>145359</v>
      </c>
      <c r="F5368" s="21" t="str">
        <f>IFERROR(__xludf.DUMMYFUNCTION("""COMPUTED_VALUE"""),"INICIALIZADO")</f>
        <v>INICIALIZADO</v>
      </c>
      <c r="G5368" s="23">
        <f>IFERROR(__xludf.DUMMYFUNCTION("""COMPUTED_VALUE"""),45618.744722222225)</f>
        <v>45618.74472</v>
      </c>
      <c r="H5368" s="24" t="str">
        <f>IFERROR(VLOOKUP(B5368,material!A:D,3,0),"")</f>
        <v>SIM CARD</v>
      </c>
    </row>
    <row r="5369" ht="11.25" customHeight="1">
      <c r="A5369" s="21" t="str">
        <f>IFERROR(__xludf.DUMMYFUNCTION("""COMPUTED_VALUE"""),"SMART SIM CARD NAGRA")</f>
        <v>SMART SIM CARD NAGRA</v>
      </c>
      <c r="B5369" s="22">
        <f>IFERROR(__xludf.DUMMYFUNCTION("""COMPUTED_VALUE"""),4.1000805E7)</f>
        <v>41000805</v>
      </c>
      <c r="C5369" s="21" t="str">
        <f>IFERROR(__xludf.DUMMYFUNCTION("""COMPUTED_VALUE"""),"246589655475")</f>
        <v>246589655475</v>
      </c>
      <c r="D5369" s="21" t="str">
        <f>IFERROR(__xludf.DUMMYFUNCTION("""COMPUTED_VALUE"""),"DIGITEC TECNOLOGIA DIGITAL E REPRES")</f>
        <v>DIGITEC TECNOLOGIA DIGITAL E REPRES</v>
      </c>
      <c r="E5369" s="21">
        <f>IFERROR(__xludf.DUMMYFUNCTION("""COMPUTED_VALUE"""),145359.0)</f>
        <v>145359</v>
      </c>
      <c r="F5369" s="21" t="str">
        <f>IFERROR(__xludf.DUMMYFUNCTION("""COMPUTED_VALUE"""),"INICIALIZADO")</f>
        <v>INICIALIZADO</v>
      </c>
      <c r="G5369" s="23">
        <f>IFERROR(__xludf.DUMMYFUNCTION("""COMPUTED_VALUE"""),45615.61851851852)</f>
        <v>45615.61852</v>
      </c>
      <c r="H5369" s="24" t="str">
        <f>IFERROR(VLOOKUP(B5369,material!A:D,3,0),"")</f>
        <v>SIM CARD</v>
      </c>
    </row>
    <row r="5370" ht="11.25" customHeight="1">
      <c r="A5370" s="21" t="str">
        <f>IFERROR(__xludf.DUMMYFUNCTION("""COMPUTED_VALUE"""),"SMART SIM CARD NAGRA")</f>
        <v>SMART SIM CARD NAGRA</v>
      </c>
      <c r="B5370" s="22">
        <f>IFERROR(__xludf.DUMMYFUNCTION("""COMPUTED_VALUE"""),4.1000805E7)</f>
        <v>41000805</v>
      </c>
      <c r="C5370" s="21" t="str">
        <f>IFERROR(__xludf.DUMMYFUNCTION("""COMPUTED_VALUE"""),"246573319818")</f>
        <v>246573319818</v>
      </c>
      <c r="D5370" s="21" t="str">
        <f>IFERROR(__xludf.DUMMYFUNCTION("""COMPUTED_VALUE"""),"DIGITEC TECNOLOGIA DIGITAL E REPRES")</f>
        <v>DIGITEC TECNOLOGIA DIGITAL E REPRES</v>
      </c>
      <c r="E5370" s="21">
        <f>IFERROR(__xludf.DUMMYFUNCTION("""COMPUTED_VALUE"""),145359.0)</f>
        <v>145359</v>
      </c>
      <c r="F5370" s="21" t="str">
        <f>IFERROR(__xludf.DUMMYFUNCTION("""COMPUTED_VALUE"""),"INICIALIZADO")</f>
        <v>INICIALIZADO</v>
      </c>
      <c r="G5370" s="23">
        <f>IFERROR(__xludf.DUMMYFUNCTION("""COMPUTED_VALUE"""),45618.744722222225)</f>
        <v>45618.74472</v>
      </c>
      <c r="H5370" s="24" t="str">
        <f>IFERROR(VLOOKUP(B5370,material!A:D,3,0),"")</f>
        <v>SIM CARD</v>
      </c>
    </row>
    <row r="5371" ht="11.25" customHeight="1">
      <c r="A5371" s="21" t="str">
        <f>IFERROR(__xludf.DUMMYFUNCTION("""COMPUTED_VALUE"""),"SMART SIM CARD NAGRA")</f>
        <v>SMART SIM CARD NAGRA</v>
      </c>
      <c r="B5371" s="22">
        <f>IFERROR(__xludf.DUMMYFUNCTION("""COMPUTED_VALUE"""),4.1000805E7)</f>
        <v>41000805</v>
      </c>
      <c r="C5371" s="21" t="str">
        <f>IFERROR(__xludf.DUMMYFUNCTION("""COMPUTED_VALUE"""),"246566777383")</f>
        <v>246566777383</v>
      </c>
      <c r="D5371" s="21" t="str">
        <f>IFERROR(__xludf.DUMMYFUNCTION("""COMPUTED_VALUE"""),"DIGITEC TECNOLOGIA DIGITAL E REPRES")</f>
        <v>DIGITEC TECNOLOGIA DIGITAL E REPRES</v>
      </c>
      <c r="E5371" s="21">
        <f>IFERROR(__xludf.DUMMYFUNCTION("""COMPUTED_VALUE"""),145359.0)</f>
        <v>145359</v>
      </c>
      <c r="F5371" s="21" t="str">
        <f>IFERROR(__xludf.DUMMYFUNCTION("""COMPUTED_VALUE"""),"INICIALIZADO")</f>
        <v>INICIALIZADO</v>
      </c>
      <c r="G5371" s="23">
        <f>IFERROR(__xludf.DUMMYFUNCTION("""COMPUTED_VALUE"""),45000.362905092596)</f>
        <v>45000.36291</v>
      </c>
      <c r="H5371" s="24" t="str">
        <f>IFERROR(VLOOKUP(B5371,material!A:D,3,0),"")</f>
        <v>SIM CARD</v>
      </c>
    </row>
    <row r="5372" ht="11.25" customHeight="1">
      <c r="A5372" s="21" t="str">
        <f>IFERROR(__xludf.DUMMYFUNCTION("""COMPUTED_VALUE"""),"SMART SIM CARD NAGRA")</f>
        <v>SMART SIM CARD NAGRA</v>
      </c>
      <c r="B5372" s="22">
        <f>IFERROR(__xludf.DUMMYFUNCTION("""COMPUTED_VALUE"""),4.1000805E7)</f>
        <v>41000805</v>
      </c>
      <c r="C5372" s="21" t="str">
        <f>IFERROR(__xludf.DUMMYFUNCTION("""COMPUTED_VALUE"""),"246574049293")</f>
        <v>246574049293</v>
      </c>
      <c r="D5372" s="21" t="str">
        <f>IFERROR(__xludf.DUMMYFUNCTION("""COMPUTED_VALUE"""),"DIGITEC TECNOLOGIA DIGITAL E REPRES")</f>
        <v>DIGITEC TECNOLOGIA DIGITAL E REPRES</v>
      </c>
      <c r="E5372" s="21">
        <f>IFERROR(__xludf.DUMMYFUNCTION("""COMPUTED_VALUE"""),145359.0)</f>
        <v>145359</v>
      </c>
      <c r="F5372" s="21" t="str">
        <f>IFERROR(__xludf.DUMMYFUNCTION("""COMPUTED_VALUE"""),"INICIALIZADO")</f>
        <v>INICIALIZADO</v>
      </c>
      <c r="G5372" s="23">
        <f>IFERROR(__xludf.DUMMYFUNCTION("""COMPUTED_VALUE"""),45618.744722222225)</f>
        <v>45618.74472</v>
      </c>
      <c r="H5372" s="24" t="str">
        <f>IFERROR(VLOOKUP(B5372,material!A:D,3,0),"")</f>
        <v>SIM CARD</v>
      </c>
    </row>
    <row r="5373" ht="11.25" customHeight="1">
      <c r="A5373" s="21" t="str">
        <f>IFERROR(__xludf.DUMMYFUNCTION("""COMPUTED_VALUE"""),"SMART SIM CARD NAGRA")</f>
        <v>SMART SIM CARD NAGRA</v>
      </c>
      <c r="B5373" s="22">
        <f>IFERROR(__xludf.DUMMYFUNCTION("""COMPUTED_VALUE"""),4.1000805E7)</f>
        <v>41000805</v>
      </c>
      <c r="C5373" s="21" t="str">
        <f>IFERROR(__xludf.DUMMYFUNCTION("""COMPUTED_VALUE"""),"246578420305")</f>
        <v>246578420305</v>
      </c>
      <c r="D5373" s="21" t="str">
        <f>IFERROR(__xludf.DUMMYFUNCTION("""COMPUTED_VALUE"""),"DIGITEC TECNOLOGIA DIGITAL E REPRES")</f>
        <v>DIGITEC TECNOLOGIA DIGITAL E REPRES</v>
      </c>
      <c r="E5373" s="21">
        <f>IFERROR(__xludf.DUMMYFUNCTION("""COMPUTED_VALUE"""),145359.0)</f>
        <v>145359</v>
      </c>
      <c r="F5373" s="21" t="str">
        <f>IFERROR(__xludf.DUMMYFUNCTION("""COMPUTED_VALUE"""),"INICIALIZADO")</f>
        <v>INICIALIZADO</v>
      </c>
      <c r="G5373" s="23">
        <f>IFERROR(__xludf.DUMMYFUNCTION("""COMPUTED_VALUE"""),45615.61851851852)</f>
        <v>45615.61852</v>
      </c>
      <c r="H5373" s="24" t="str">
        <f>IFERROR(VLOOKUP(B5373,material!A:D,3,0),"")</f>
        <v>SIM CARD</v>
      </c>
    </row>
    <row r="5374" ht="11.25" customHeight="1">
      <c r="A5374" s="21" t="str">
        <f>IFERROR(__xludf.DUMMYFUNCTION("""COMPUTED_VALUE"""),"SMART SIM CARD NAGRA")</f>
        <v>SMART SIM CARD NAGRA</v>
      </c>
      <c r="B5374" s="22">
        <f>IFERROR(__xludf.DUMMYFUNCTION("""COMPUTED_VALUE"""),4.1000805E7)</f>
        <v>41000805</v>
      </c>
      <c r="C5374" s="21" t="str">
        <f>IFERROR(__xludf.DUMMYFUNCTION("""COMPUTED_VALUE"""),"246565563640")</f>
        <v>246565563640</v>
      </c>
      <c r="D5374" s="21" t="str">
        <f>IFERROR(__xludf.DUMMYFUNCTION("""COMPUTED_VALUE"""),"DIGITEC TECNOLOGIA DIGITAL E REPRES")</f>
        <v>DIGITEC TECNOLOGIA DIGITAL E REPRES</v>
      </c>
      <c r="E5374" s="21">
        <f>IFERROR(__xludf.DUMMYFUNCTION("""COMPUTED_VALUE"""),145359.0)</f>
        <v>145359</v>
      </c>
      <c r="F5374" s="21" t="str">
        <f>IFERROR(__xludf.DUMMYFUNCTION("""COMPUTED_VALUE"""),"INICIALIZADO")</f>
        <v>INICIALIZADO</v>
      </c>
      <c r="G5374" s="23">
        <f>IFERROR(__xludf.DUMMYFUNCTION("""COMPUTED_VALUE"""),45000.35530092593)</f>
        <v>45000.3553</v>
      </c>
      <c r="H5374" s="24" t="str">
        <f>IFERROR(VLOOKUP(B5374,material!A:D,3,0),"")</f>
        <v>SIM CARD</v>
      </c>
    </row>
    <row r="5375" ht="11.25" customHeight="1">
      <c r="A5375" s="21" t="str">
        <f>IFERROR(__xludf.DUMMYFUNCTION("""COMPUTED_VALUE"""),"SMART SIM CARD NAGRA")</f>
        <v>SMART SIM CARD NAGRA</v>
      </c>
      <c r="B5375" s="22">
        <f>IFERROR(__xludf.DUMMYFUNCTION("""COMPUTED_VALUE"""),4.1000805E7)</f>
        <v>41000805</v>
      </c>
      <c r="C5375" s="21" t="str">
        <f>IFERROR(__xludf.DUMMYFUNCTION("""COMPUTED_VALUE"""),"246552995971")</f>
        <v>246552995971</v>
      </c>
      <c r="D5375" s="21" t="str">
        <f>IFERROR(__xludf.DUMMYFUNCTION("""COMPUTED_VALUE"""),"DIGITEC TECNOLOGIA DIGITAL E REPRES")</f>
        <v>DIGITEC TECNOLOGIA DIGITAL E REPRES</v>
      </c>
      <c r="E5375" s="21">
        <f>IFERROR(__xludf.DUMMYFUNCTION("""COMPUTED_VALUE"""),145359.0)</f>
        <v>145359</v>
      </c>
      <c r="F5375" s="21" t="str">
        <f>IFERROR(__xludf.DUMMYFUNCTION("""COMPUTED_VALUE"""),"INICIALIZADO")</f>
        <v>INICIALIZADO</v>
      </c>
      <c r="G5375" s="23">
        <f>IFERROR(__xludf.DUMMYFUNCTION("""COMPUTED_VALUE"""),45000.35530092593)</f>
        <v>45000.3553</v>
      </c>
      <c r="H5375" s="24" t="str">
        <f>IFERROR(VLOOKUP(B5375,material!A:D,3,0),"")</f>
        <v>SIM CARD</v>
      </c>
    </row>
    <row r="5376" ht="11.25" customHeight="1">
      <c r="A5376" s="21" t="str">
        <f>IFERROR(__xludf.DUMMYFUNCTION("""COMPUTED_VALUE"""),"SMART SIM CARD NAGRA")</f>
        <v>SMART SIM CARD NAGRA</v>
      </c>
      <c r="B5376" s="22">
        <f>IFERROR(__xludf.DUMMYFUNCTION("""COMPUTED_VALUE"""),4.1000805E7)</f>
        <v>41000805</v>
      </c>
      <c r="C5376" s="21" t="str">
        <f>IFERROR(__xludf.DUMMYFUNCTION("""COMPUTED_VALUE"""),"246533952946")</f>
        <v>246533952946</v>
      </c>
      <c r="D5376" s="21" t="str">
        <f>IFERROR(__xludf.DUMMYFUNCTION("""COMPUTED_VALUE"""),"DIGITEC TECNOLOGIA DIGITAL E REPRES")</f>
        <v>DIGITEC TECNOLOGIA DIGITAL E REPRES</v>
      </c>
      <c r="E5376" s="21">
        <f>IFERROR(__xludf.DUMMYFUNCTION("""COMPUTED_VALUE"""),145359.0)</f>
        <v>145359</v>
      </c>
      <c r="F5376" s="21" t="str">
        <f>IFERROR(__xludf.DUMMYFUNCTION("""COMPUTED_VALUE"""),"INICIALIZADO")</f>
        <v>INICIALIZADO</v>
      </c>
      <c r="G5376" s="23">
        <f>IFERROR(__xludf.DUMMYFUNCTION("""COMPUTED_VALUE"""),45000.362905092596)</f>
        <v>45000.36291</v>
      </c>
      <c r="H5376" s="24" t="str">
        <f>IFERROR(VLOOKUP(B5376,material!A:D,3,0),"")</f>
        <v>SIM CARD</v>
      </c>
    </row>
    <row r="5377" ht="11.25" customHeight="1">
      <c r="A5377" s="21" t="str">
        <f>IFERROR(__xludf.DUMMYFUNCTION("""COMPUTED_VALUE"""),"SMART SIM CARD NAGRA")</f>
        <v>SMART SIM CARD NAGRA</v>
      </c>
      <c r="B5377" s="22">
        <f>IFERROR(__xludf.DUMMYFUNCTION("""COMPUTED_VALUE"""),4.1000805E7)</f>
        <v>41000805</v>
      </c>
      <c r="C5377" s="21" t="str">
        <f>IFERROR(__xludf.DUMMYFUNCTION("""COMPUTED_VALUE"""),"246504902232")</f>
        <v>246504902232</v>
      </c>
      <c r="D5377" s="21" t="str">
        <f>IFERROR(__xludf.DUMMYFUNCTION("""COMPUTED_VALUE"""),"DIGITEC TECNOLOGIA DIGITAL E REPRES")</f>
        <v>DIGITEC TECNOLOGIA DIGITAL E REPRES</v>
      </c>
      <c r="E5377" s="21">
        <f>IFERROR(__xludf.DUMMYFUNCTION("""COMPUTED_VALUE"""),145359.0)</f>
        <v>145359</v>
      </c>
      <c r="F5377" s="21" t="str">
        <f>IFERROR(__xludf.DUMMYFUNCTION("""COMPUTED_VALUE"""),"INICIALIZADO")</f>
        <v>INICIALIZADO</v>
      </c>
      <c r="G5377" s="23">
        <f>IFERROR(__xludf.DUMMYFUNCTION("""COMPUTED_VALUE"""),45597.417766203704)</f>
        <v>45597.41777</v>
      </c>
      <c r="H5377" s="24" t="str">
        <f>IFERROR(VLOOKUP(B5377,material!A:D,3,0),"")</f>
        <v>SIM CARD</v>
      </c>
    </row>
    <row r="5378" ht="11.25" customHeight="1">
      <c r="A5378" s="21" t="str">
        <f>IFERROR(__xludf.DUMMYFUNCTION("""COMPUTED_VALUE"""),"SMART SIM CARD NAGRA")</f>
        <v>SMART SIM CARD NAGRA</v>
      </c>
      <c r="B5378" s="22">
        <f>IFERROR(__xludf.DUMMYFUNCTION("""COMPUTED_VALUE"""),4.1000805E7)</f>
        <v>41000805</v>
      </c>
      <c r="C5378" s="21" t="str">
        <f>IFERROR(__xludf.DUMMYFUNCTION("""COMPUTED_VALUE"""),"246510530425")</f>
        <v>246510530425</v>
      </c>
      <c r="D5378" s="21" t="str">
        <f>IFERROR(__xludf.DUMMYFUNCTION("""COMPUTED_VALUE"""),"DIGITEC TECNOLOGIA DIGITAL E REPRES")</f>
        <v>DIGITEC TECNOLOGIA DIGITAL E REPRES</v>
      </c>
      <c r="E5378" s="21">
        <f>IFERROR(__xludf.DUMMYFUNCTION("""COMPUTED_VALUE"""),145359.0)</f>
        <v>145359</v>
      </c>
      <c r="F5378" s="21" t="str">
        <f>IFERROR(__xludf.DUMMYFUNCTION("""COMPUTED_VALUE"""),"INICIALIZADO")</f>
        <v>INICIALIZADO</v>
      </c>
      <c r="G5378" s="23">
        <f>IFERROR(__xludf.DUMMYFUNCTION("""COMPUTED_VALUE"""),45000.78188657407)</f>
        <v>45000.78189</v>
      </c>
      <c r="H5378" s="24" t="str">
        <f>IFERROR(VLOOKUP(B5378,material!A:D,3,0),"")</f>
        <v>SIM CARD</v>
      </c>
    </row>
    <row r="5379" ht="11.25" customHeight="1">
      <c r="A5379" s="21" t="str">
        <f>IFERROR(__xludf.DUMMYFUNCTION("""COMPUTED_VALUE"""),"SMART SIM CARD NAGRA")</f>
        <v>SMART SIM CARD NAGRA</v>
      </c>
      <c r="B5379" s="22">
        <f>IFERROR(__xludf.DUMMYFUNCTION("""COMPUTED_VALUE"""),4.1000805E7)</f>
        <v>41000805</v>
      </c>
      <c r="C5379" s="21" t="str">
        <f>IFERROR(__xludf.DUMMYFUNCTION("""COMPUTED_VALUE"""),"246502226381")</f>
        <v>246502226381</v>
      </c>
      <c r="D5379" s="21" t="str">
        <f>IFERROR(__xludf.DUMMYFUNCTION("""COMPUTED_VALUE"""),"DIGITEC TECNOLOGIA DIGITAL E REPRES")</f>
        <v>DIGITEC TECNOLOGIA DIGITAL E REPRES</v>
      </c>
      <c r="E5379" s="21">
        <f>IFERROR(__xludf.DUMMYFUNCTION("""COMPUTED_VALUE"""),145359.0)</f>
        <v>145359</v>
      </c>
      <c r="F5379" s="21" t="str">
        <f>IFERROR(__xludf.DUMMYFUNCTION("""COMPUTED_VALUE"""),"INICIALIZADO")</f>
        <v>INICIALIZADO</v>
      </c>
      <c r="G5379" s="23">
        <f>IFERROR(__xludf.DUMMYFUNCTION("""COMPUTED_VALUE"""),45513.757569444446)</f>
        <v>45513.75757</v>
      </c>
      <c r="H5379" s="24" t="str">
        <f>IFERROR(VLOOKUP(B5379,material!A:D,3,0),"")</f>
        <v>SIM CARD</v>
      </c>
    </row>
    <row r="5380" ht="11.25" customHeight="1">
      <c r="A5380" s="21" t="str">
        <f>IFERROR(__xludf.DUMMYFUNCTION("""COMPUTED_VALUE"""),"SMART SIM CARD NAGRA")</f>
        <v>SMART SIM CARD NAGRA</v>
      </c>
      <c r="B5380" s="22">
        <f>IFERROR(__xludf.DUMMYFUNCTION("""COMPUTED_VALUE"""),4.1000805E7)</f>
        <v>41000805</v>
      </c>
      <c r="C5380" s="21" t="str">
        <f>IFERROR(__xludf.DUMMYFUNCTION("""COMPUTED_VALUE"""),"246579417786")</f>
        <v>246579417786</v>
      </c>
      <c r="D5380" s="21" t="str">
        <f>IFERROR(__xludf.DUMMYFUNCTION("""COMPUTED_VALUE"""),"DIGITEC TECNOLOGIA DIGITAL E REPRES")</f>
        <v>DIGITEC TECNOLOGIA DIGITAL E REPRES</v>
      </c>
      <c r="E5380" s="21">
        <f>IFERROR(__xludf.DUMMYFUNCTION("""COMPUTED_VALUE"""),145359.0)</f>
        <v>145359</v>
      </c>
      <c r="F5380" s="21" t="str">
        <f>IFERROR(__xludf.DUMMYFUNCTION("""COMPUTED_VALUE"""),"INICIALIZADO")</f>
        <v>INICIALIZADO</v>
      </c>
      <c r="G5380" s="23">
        <f>IFERROR(__xludf.DUMMYFUNCTION("""COMPUTED_VALUE"""),45625.6531712963)</f>
        <v>45625.65317</v>
      </c>
      <c r="H5380" s="24" t="str">
        <f>IFERROR(VLOOKUP(B5380,material!A:D,3,0),"")</f>
        <v>SIM CARD</v>
      </c>
    </row>
    <row r="5381" ht="11.25" customHeight="1">
      <c r="A5381" s="21" t="str">
        <f>IFERROR(__xludf.DUMMYFUNCTION("""COMPUTED_VALUE"""),"SMART SIM CARD NAGRA")</f>
        <v>SMART SIM CARD NAGRA</v>
      </c>
      <c r="B5381" s="22">
        <f>IFERROR(__xludf.DUMMYFUNCTION("""COMPUTED_VALUE"""),4.1000805E7)</f>
        <v>41000805</v>
      </c>
      <c r="C5381" s="21" t="str">
        <f>IFERROR(__xludf.DUMMYFUNCTION("""COMPUTED_VALUE"""),"246461124042")</f>
        <v>246461124042</v>
      </c>
      <c r="D5381" s="21" t="str">
        <f>IFERROR(__xludf.DUMMYFUNCTION("""COMPUTED_VALUE"""),"DIGITEC TECNOLOGIA DIGITAL E REPRES")</f>
        <v>DIGITEC TECNOLOGIA DIGITAL E REPRES</v>
      </c>
      <c r="E5381" s="21">
        <f>IFERROR(__xludf.DUMMYFUNCTION("""COMPUTED_VALUE"""),145359.0)</f>
        <v>145359</v>
      </c>
      <c r="F5381" s="21" t="str">
        <f>IFERROR(__xludf.DUMMYFUNCTION("""COMPUTED_VALUE"""),"INICIALIZADO")</f>
        <v>INICIALIZADO</v>
      </c>
      <c r="G5381" s="23">
        <f>IFERROR(__xludf.DUMMYFUNCTION("""COMPUTED_VALUE"""),45489.504699074074)</f>
        <v>45489.5047</v>
      </c>
      <c r="H5381" s="24" t="str">
        <f>IFERROR(VLOOKUP(B5381,material!A:D,3,0),"")</f>
        <v>SIM CARD</v>
      </c>
    </row>
    <row r="5382" ht="11.25" customHeight="1">
      <c r="A5382" s="21" t="str">
        <f>IFERROR(__xludf.DUMMYFUNCTION("""COMPUTED_VALUE"""),"SMART SIM CARD NAGRA")</f>
        <v>SMART SIM CARD NAGRA</v>
      </c>
      <c r="B5382" s="22">
        <f>IFERROR(__xludf.DUMMYFUNCTION("""COMPUTED_VALUE"""),4.1000805E7)</f>
        <v>41000805</v>
      </c>
      <c r="C5382" s="21" t="str">
        <f>IFERROR(__xludf.DUMMYFUNCTION("""COMPUTED_VALUE"""),"246537506165")</f>
        <v>246537506165</v>
      </c>
      <c r="D5382" s="21" t="str">
        <f>IFERROR(__xludf.DUMMYFUNCTION("""COMPUTED_VALUE"""),"DIGITEC TECNOLOGIA DIGITAL E REPRES")</f>
        <v>DIGITEC TECNOLOGIA DIGITAL E REPRES</v>
      </c>
      <c r="E5382" s="21">
        <f>IFERROR(__xludf.DUMMYFUNCTION("""COMPUTED_VALUE"""),145359.0)</f>
        <v>145359</v>
      </c>
      <c r="F5382" s="21" t="str">
        <f>IFERROR(__xludf.DUMMYFUNCTION("""COMPUTED_VALUE"""),"INICIALIZADO")</f>
        <v>INICIALIZADO</v>
      </c>
      <c r="G5382" s="23">
        <f>IFERROR(__xludf.DUMMYFUNCTION("""COMPUTED_VALUE"""),45000.35530092593)</f>
        <v>45000.3553</v>
      </c>
      <c r="H5382" s="24" t="str">
        <f>IFERROR(VLOOKUP(B5382,material!A:D,3,0),"")</f>
        <v>SIM CARD</v>
      </c>
    </row>
    <row r="5383" ht="11.25" customHeight="1">
      <c r="A5383" s="21" t="str">
        <f>IFERROR(__xludf.DUMMYFUNCTION("""COMPUTED_VALUE"""),"SMART SIM CARD NAGRA")</f>
        <v>SMART SIM CARD NAGRA</v>
      </c>
      <c r="B5383" s="22">
        <f>IFERROR(__xludf.DUMMYFUNCTION("""COMPUTED_VALUE"""),4.1000805E7)</f>
        <v>41000805</v>
      </c>
      <c r="C5383" s="21" t="str">
        <f>IFERROR(__xludf.DUMMYFUNCTION("""COMPUTED_VALUE"""),"246488982631")</f>
        <v>246488982631</v>
      </c>
      <c r="D5383" s="21" t="str">
        <f>IFERROR(__xludf.DUMMYFUNCTION("""COMPUTED_VALUE"""),"DIGITEC TECNOLOGIA DIGITAL E REPRES")</f>
        <v>DIGITEC TECNOLOGIA DIGITAL E REPRES</v>
      </c>
      <c r="E5383" s="21">
        <f>IFERROR(__xludf.DUMMYFUNCTION("""COMPUTED_VALUE"""),145359.0)</f>
        <v>145359</v>
      </c>
      <c r="F5383" s="21" t="str">
        <f>IFERROR(__xludf.DUMMYFUNCTION("""COMPUTED_VALUE"""),"INICIALIZADO")</f>
        <v>INICIALIZADO</v>
      </c>
      <c r="G5383" s="23">
        <f>IFERROR(__xludf.DUMMYFUNCTION("""COMPUTED_VALUE"""),45000.35914351852)</f>
        <v>45000.35914</v>
      </c>
      <c r="H5383" s="24" t="str">
        <f>IFERROR(VLOOKUP(B5383,material!A:D,3,0),"")</f>
        <v>SIM CARD</v>
      </c>
    </row>
    <row r="5384" ht="11.25" customHeight="1">
      <c r="A5384" s="21" t="str">
        <f>IFERROR(__xludf.DUMMYFUNCTION("""COMPUTED_VALUE"""),"SMART SIM CARD NAGRA")</f>
        <v>SMART SIM CARD NAGRA</v>
      </c>
      <c r="B5384" s="22">
        <f>IFERROR(__xludf.DUMMYFUNCTION("""COMPUTED_VALUE"""),4.1000805E7)</f>
        <v>41000805</v>
      </c>
      <c r="C5384" s="21" t="str">
        <f>IFERROR(__xludf.DUMMYFUNCTION("""COMPUTED_VALUE"""),"246499627990")</f>
        <v>246499627990</v>
      </c>
      <c r="D5384" s="21" t="str">
        <f>IFERROR(__xludf.DUMMYFUNCTION("""COMPUTED_VALUE"""),"DIGITEC TECNOLOGIA DIGITAL E REPRES")</f>
        <v>DIGITEC TECNOLOGIA DIGITAL E REPRES</v>
      </c>
      <c r="E5384" s="21">
        <f>IFERROR(__xludf.DUMMYFUNCTION("""COMPUTED_VALUE"""),145359.0)</f>
        <v>145359</v>
      </c>
      <c r="F5384" s="21" t="str">
        <f>IFERROR(__xludf.DUMMYFUNCTION("""COMPUTED_VALUE"""),"INICIALIZADO")</f>
        <v>INICIALIZADO</v>
      </c>
      <c r="G5384" s="23">
        <f>IFERROR(__xludf.DUMMYFUNCTION("""COMPUTED_VALUE"""),45000.35530092593)</f>
        <v>45000.3553</v>
      </c>
      <c r="H5384" s="24" t="str">
        <f>IFERROR(VLOOKUP(B5384,material!A:D,3,0),"")</f>
        <v>SIM CARD</v>
      </c>
    </row>
    <row r="5385" ht="11.25" customHeight="1">
      <c r="A5385" s="21" t="str">
        <f>IFERROR(__xludf.DUMMYFUNCTION("""COMPUTED_VALUE"""),"SMART SIM CARD NAGRA")</f>
        <v>SMART SIM CARD NAGRA</v>
      </c>
      <c r="B5385" s="22">
        <f>IFERROR(__xludf.DUMMYFUNCTION("""COMPUTED_VALUE"""),4.1000805E7)</f>
        <v>41000805</v>
      </c>
      <c r="C5385" s="21" t="str">
        <f>IFERROR(__xludf.DUMMYFUNCTION("""COMPUTED_VALUE"""),"246500661010")</f>
        <v>246500661010</v>
      </c>
      <c r="D5385" s="21" t="str">
        <f>IFERROR(__xludf.DUMMYFUNCTION("""COMPUTED_VALUE"""),"DIGITEC TECNOLOGIA DIGITAL E REPRES")</f>
        <v>DIGITEC TECNOLOGIA DIGITAL E REPRES</v>
      </c>
      <c r="E5385" s="21">
        <f>IFERROR(__xludf.DUMMYFUNCTION("""COMPUTED_VALUE"""),145359.0)</f>
        <v>145359</v>
      </c>
      <c r="F5385" s="21" t="str">
        <f>IFERROR(__xludf.DUMMYFUNCTION("""COMPUTED_VALUE"""),"INICIALIZADO")</f>
        <v>INICIALIZADO</v>
      </c>
      <c r="G5385" s="23">
        <f>IFERROR(__xludf.DUMMYFUNCTION("""COMPUTED_VALUE"""),45000.35530092593)</f>
        <v>45000.3553</v>
      </c>
      <c r="H5385" s="24" t="str">
        <f>IFERROR(VLOOKUP(B5385,material!A:D,3,0),"")</f>
        <v>SIM CARD</v>
      </c>
    </row>
    <row r="5386" ht="11.25" customHeight="1">
      <c r="A5386" s="21" t="str">
        <f>IFERROR(__xludf.DUMMYFUNCTION("""COMPUTED_VALUE"""),"SMART SIM CARD NAGRA")</f>
        <v>SMART SIM CARD NAGRA</v>
      </c>
      <c r="B5386" s="22">
        <f>IFERROR(__xludf.DUMMYFUNCTION("""COMPUTED_VALUE"""),4.1000805E7)</f>
        <v>41000805</v>
      </c>
      <c r="C5386" s="21" t="str">
        <f>IFERROR(__xludf.DUMMYFUNCTION("""COMPUTED_VALUE"""),"246512353453")</f>
        <v>246512353453</v>
      </c>
      <c r="D5386" s="21" t="str">
        <f>IFERROR(__xludf.DUMMYFUNCTION("""COMPUTED_VALUE"""),"DIGITEC TECNOLOGIA DIGITAL E REPRES")</f>
        <v>DIGITEC TECNOLOGIA DIGITAL E REPRES</v>
      </c>
      <c r="E5386" s="21">
        <f>IFERROR(__xludf.DUMMYFUNCTION("""COMPUTED_VALUE"""),145359.0)</f>
        <v>145359</v>
      </c>
      <c r="F5386" s="21" t="str">
        <f>IFERROR(__xludf.DUMMYFUNCTION("""COMPUTED_VALUE"""),"INICIALIZADO")</f>
        <v>INICIALIZADO</v>
      </c>
      <c r="G5386" s="23">
        <f>IFERROR(__xludf.DUMMYFUNCTION("""COMPUTED_VALUE"""),45000.35530092593)</f>
        <v>45000.3553</v>
      </c>
      <c r="H5386" s="24" t="str">
        <f>IFERROR(VLOOKUP(B5386,material!A:D,3,0),"")</f>
        <v>SIM CARD</v>
      </c>
    </row>
    <row r="5387" ht="11.25" customHeight="1">
      <c r="A5387" s="21" t="str">
        <f>IFERROR(__xludf.DUMMYFUNCTION("""COMPUTED_VALUE"""),"SMART SIM CARD NAGRA")</f>
        <v>SMART SIM CARD NAGRA</v>
      </c>
      <c r="B5387" s="22">
        <f>IFERROR(__xludf.DUMMYFUNCTION("""COMPUTED_VALUE"""),4.1000805E7)</f>
        <v>41000805</v>
      </c>
      <c r="C5387" s="21" t="str">
        <f>IFERROR(__xludf.DUMMYFUNCTION("""COMPUTED_VALUE"""),"246435541737")</f>
        <v>246435541737</v>
      </c>
      <c r="D5387" s="21" t="str">
        <f>IFERROR(__xludf.DUMMYFUNCTION("""COMPUTED_VALUE"""),"DIGITEC TECNOLOGIA DIGITAL E REPRES")</f>
        <v>DIGITEC TECNOLOGIA DIGITAL E REPRES</v>
      </c>
      <c r="E5387" s="21">
        <f>IFERROR(__xludf.DUMMYFUNCTION("""COMPUTED_VALUE"""),145359.0)</f>
        <v>145359</v>
      </c>
      <c r="F5387" s="21" t="str">
        <f>IFERROR(__xludf.DUMMYFUNCTION("""COMPUTED_VALUE"""),"INICIALIZADO")</f>
        <v>INICIALIZADO</v>
      </c>
      <c r="G5387" s="23">
        <f>IFERROR(__xludf.DUMMYFUNCTION("""COMPUTED_VALUE"""),45597.417766203704)</f>
        <v>45597.41777</v>
      </c>
      <c r="H5387" s="24" t="str">
        <f>IFERROR(VLOOKUP(B5387,material!A:D,3,0),"")</f>
        <v>SIM CARD</v>
      </c>
    </row>
    <row r="5388" ht="11.25" customHeight="1">
      <c r="A5388" s="21" t="str">
        <f>IFERROR(__xludf.DUMMYFUNCTION("""COMPUTED_VALUE"""),"SMART SIM CARD NAGRA")</f>
        <v>SMART SIM CARD NAGRA</v>
      </c>
      <c r="B5388" s="22">
        <f>IFERROR(__xludf.DUMMYFUNCTION("""COMPUTED_VALUE"""),4.1000805E7)</f>
        <v>41000805</v>
      </c>
      <c r="C5388" s="21" t="str">
        <f>IFERROR(__xludf.DUMMYFUNCTION("""COMPUTED_VALUE"""),"246430633648")</f>
        <v>246430633648</v>
      </c>
      <c r="D5388" s="21" t="str">
        <f>IFERROR(__xludf.DUMMYFUNCTION("""COMPUTED_VALUE"""),"DIGITEC TECNOLOGIA DIGITAL E REPRES")</f>
        <v>DIGITEC TECNOLOGIA DIGITAL E REPRES</v>
      </c>
      <c r="E5388" s="21">
        <f>IFERROR(__xludf.DUMMYFUNCTION("""COMPUTED_VALUE"""),145359.0)</f>
        <v>145359</v>
      </c>
      <c r="F5388" s="21" t="str">
        <f>IFERROR(__xludf.DUMMYFUNCTION("""COMPUTED_VALUE"""),"INICIALIZADO")</f>
        <v>INICIALIZADO</v>
      </c>
      <c r="G5388" s="23">
        <f>IFERROR(__xludf.DUMMYFUNCTION("""COMPUTED_VALUE"""),45597.417766203704)</f>
        <v>45597.41777</v>
      </c>
      <c r="H5388" s="24" t="str">
        <f>IFERROR(VLOOKUP(B5388,material!A:D,3,0),"")</f>
        <v>SIM CARD</v>
      </c>
    </row>
    <row r="5389" ht="11.25" customHeight="1">
      <c r="A5389" s="21" t="str">
        <f>IFERROR(__xludf.DUMMYFUNCTION("""COMPUTED_VALUE"""),"SMART SIM CARD NAGRA")</f>
        <v>SMART SIM CARD NAGRA</v>
      </c>
      <c r="B5389" s="22">
        <f>IFERROR(__xludf.DUMMYFUNCTION("""COMPUTED_VALUE"""),4.1000805E7)</f>
        <v>41000805</v>
      </c>
      <c r="C5389" s="21" t="str">
        <f>IFERROR(__xludf.DUMMYFUNCTION("""COMPUTED_VALUE"""),"246646223151")</f>
        <v>246646223151</v>
      </c>
      <c r="D5389" s="21" t="str">
        <f>IFERROR(__xludf.DUMMYFUNCTION("""COMPUTED_VALUE"""),"DIGITEC TECNOLOGIA DIGITAL E REPRES")</f>
        <v>DIGITEC TECNOLOGIA DIGITAL E REPRES</v>
      </c>
      <c r="E5389" s="21">
        <f>IFERROR(__xludf.DUMMYFUNCTION("""COMPUTED_VALUE"""),145359.0)</f>
        <v>145359</v>
      </c>
      <c r="F5389" s="21" t="str">
        <f>IFERROR(__xludf.DUMMYFUNCTION("""COMPUTED_VALUE"""),"INICIALIZADO")</f>
        <v>INICIALIZADO</v>
      </c>
      <c r="G5389" s="23">
        <f>IFERROR(__xludf.DUMMYFUNCTION("""COMPUTED_VALUE"""),45625.6531712963)</f>
        <v>45625.65317</v>
      </c>
      <c r="H5389" s="24" t="str">
        <f>IFERROR(VLOOKUP(B5389,material!A:D,3,0),"")</f>
        <v>SIM CARD</v>
      </c>
    </row>
    <row r="5390" ht="11.25" customHeight="1">
      <c r="A5390" s="21" t="str">
        <f>IFERROR(__xludf.DUMMYFUNCTION("""COMPUTED_VALUE"""),"SMART SIM CARD NAGRA")</f>
        <v>SMART SIM CARD NAGRA</v>
      </c>
      <c r="B5390" s="22">
        <f>IFERROR(__xludf.DUMMYFUNCTION("""COMPUTED_VALUE"""),4.1000805E7)</f>
        <v>41000805</v>
      </c>
      <c r="C5390" s="21" t="str">
        <f>IFERROR(__xludf.DUMMYFUNCTION("""COMPUTED_VALUE"""),"246646818898")</f>
        <v>246646818898</v>
      </c>
      <c r="D5390" s="21" t="str">
        <f>IFERROR(__xludf.DUMMYFUNCTION("""COMPUTED_VALUE"""),"DIGITEC TECNOLOGIA DIGITAL E REPRES")</f>
        <v>DIGITEC TECNOLOGIA DIGITAL E REPRES</v>
      </c>
      <c r="E5390" s="21">
        <f>IFERROR(__xludf.DUMMYFUNCTION("""COMPUTED_VALUE"""),145359.0)</f>
        <v>145359</v>
      </c>
      <c r="F5390" s="21" t="str">
        <f>IFERROR(__xludf.DUMMYFUNCTION("""COMPUTED_VALUE"""),"INICIALIZADO")</f>
        <v>INICIALIZADO</v>
      </c>
      <c r="G5390" s="23">
        <f>IFERROR(__xludf.DUMMYFUNCTION("""COMPUTED_VALUE"""),45618.744722222225)</f>
        <v>45618.74472</v>
      </c>
      <c r="H5390" s="24" t="str">
        <f>IFERROR(VLOOKUP(B5390,material!A:D,3,0),"")</f>
        <v>SIM CARD</v>
      </c>
    </row>
    <row r="5391" ht="11.25" customHeight="1">
      <c r="A5391" s="21" t="str">
        <f>IFERROR(__xludf.DUMMYFUNCTION("""COMPUTED_VALUE"""),"SMART SIM CARD NAGRA")</f>
        <v>SMART SIM CARD NAGRA</v>
      </c>
      <c r="B5391" s="22">
        <f>IFERROR(__xludf.DUMMYFUNCTION("""COMPUTED_VALUE"""),4.1000805E7)</f>
        <v>41000805</v>
      </c>
      <c r="C5391" s="21" t="str">
        <f>IFERROR(__xludf.DUMMYFUNCTION("""COMPUTED_VALUE"""),"246616945871")</f>
        <v>246616945871</v>
      </c>
      <c r="D5391" s="21" t="str">
        <f>IFERROR(__xludf.DUMMYFUNCTION("""COMPUTED_VALUE"""),"DIGITEC TECNOLOGIA DIGITAL E REPRES")</f>
        <v>DIGITEC TECNOLOGIA DIGITAL E REPRES</v>
      </c>
      <c r="E5391" s="21">
        <f>IFERROR(__xludf.DUMMYFUNCTION("""COMPUTED_VALUE"""),145359.0)</f>
        <v>145359</v>
      </c>
      <c r="F5391" s="21" t="str">
        <f>IFERROR(__xludf.DUMMYFUNCTION("""COMPUTED_VALUE"""),"INICIALIZADO")</f>
        <v>INICIALIZADO</v>
      </c>
      <c r="G5391" s="23">
        <f>IFERROR(__xludf.DUMMYFUNCTION("""COMPUTED_VALUE"""),45618.744722222225)</f>
        <v>45618.74472</v>
      </c>
      <c r="H5391" s="24" t="str">
        <f>IFERROR(VLOOKUP(B5391,material!A:D,3,0),"")</f>
        <v>SIM CARD</v>
      </c>
    </row>
    <row r="5392" ht="11.25" customHeight="1">
      <c r="A5392" s="21" t="str">
        <f>IFERROR(__xludf.DUMMYFUNCTION("""COMPUTED_VALUE"""),"SMART SIM CARD NAGRA")</f>
        <v>SMART SIM CARD NAGRA</v>
      </c>
      <c r="B5392" s="22">
        <f>IFERROR(__xludf.DUMMYFUNCTION("""COMPUTED_VALUE"""),4.1000805E7)</f>
        <v>41000805</v>
      </c>
      <c r="C5392" s="21" t="str">
        <f>IFERROR(__xludf.DUMMYFUNCTION("""COMPUTED_VALUE"""),"246646790816")</f>
        <v>246646790816</v>
      </c>
      <c r="D5392" s="21" t="str">
        <f>IFERROR(__xludf.DUMMYFUNCTION("""COMPUTED_VALUE"""),"DIGITEC TECNOLOGIA DIGITAL E REPRES")</f>
        <v>DIGITEC TECNOLOGIA DIGITAL E REPRES</v>
      </c>
      <c r="E5392" s="21">
        <f>IFERROR(__xludf.DUMMYFUNCTION("""COMPUTED_VALUE"""),145359.0)</f>
        <v>145359</v>
      </c>
      <c r="F5392" s="21" t="str">
        <f>IFERROR(__xludf.DUMMYFUNCTION("""COMPUTED_VALUE"""),"INICIALIZADO")</f>
        <v>INICIALIZADO</v>
      </c>
      <c r="G5392" s="23">
        <f>IFERROR(__xludf.DUMMYFUNCTION("""COMPUTED_VALUE"""),45625.6531712963)</f>
        <v>45625.65317</v>
      </c>
      <c r="H5392" s="24" t="str">
        <f>IFERROR(VLOOKUP(B5392,material!A:D,3,0),"")</f>
        <v>SIM CARD</v>
      </c>
    </row>
    <row r="5393" ht="11.25" customHeight="1">
      <c r="A5393" s="21" t="str">
        <f>IFERROR(__xludf.DUMMYFUNCTION("""COMPUTED_VALUE"""),"SMART SIM CARD NAGRA")</f>
        <v>SMART SIM CARD NAGRA</v>
      </c>
      <c r="B5393" s="22">
        <f>IFERROR(__xludf.DUMMYFUNCTION("""COMPUTED_VALUE"""),4.1000805E7)</f>
        <v>41000805</v>
      </c>
      <c r="C5393" s="21" t="str">
        <f>IFERROR(__xludf.DUMMYFUNCTION("""COMPUTED_VALUE"""),"246593840811")</f>
        <v>246593840811</v>
      </c>
      <c r="D5393" s="21" t="str">
        <f>IFERROR(__xludf.DUMMYFUNCTION("""COMPUTED_VALUE"""),"DIGITEC TECNOLOGIA DIGITAL E REPRES")</f>
        <v>DIGITEC TECNOLOGIA DIGITAL E REPRES</v>
      </c>
      <c r="E5393" s="21">
        <f>IFERROR(__xludf.DUMMYFUNCTION("""COMPUTED_VALUE"""),145359.0)</f>
        <v>145359</v>
      </c>
      <c r="F5393" s="21" t="str">
        <f>IFERROR(__xludf.DUMMYFUNCTION("""COMPUTED_VALUE"""),"INICIALIZADO")</f>
        <v>INICIALIZADO</v>
      </c>
      <c r="G5393" s="23">
        <f>IFERROR(__xludf.DUMMYFUNCTION("""COMPUTED_VALUE"""),45597.417766203704)</f>
        <v>45597.41777</v>
      </c>
      <c r="H5393" s="24" t="str">
        <f>IFERROR(VLOOKUP(B5393,material!A:D,3,0),"")</f>
        <v>SIM CARD</v>
      </c>
    </row>
    <row r="5394" ht="11.25" customHeight="1">
      <c r="A5394" s="21" t="str">
        <f>IFERROR(__xludf.DUMMYFUNCTION("""COMPUTED_VALUE"""),"SMART SIM CARD NAGRA")</f>
        <v>SMART SIM CARD NAGRA</v>
      </c>
      <c r="B5394" s="22">
        <f>IFERROR(__xludf.DUMMYFUNCTION("""COMPUTED_VALUE"""),4.1000805E7)</f>
        <v>41000805</v>
      </c>
      <c r="C5394" s="21" t="str">
        <f>IFERROR(__xludf.DUMMYFUNCTION("""COMPUTED_VALUE"""),"246606124759")</f>
        <v>246606124759</v>
      </c>
      <c r="D5394" s="21" t="str">
        <f>IFERROR(__xludf.DUMMYFUNCTION("""COMPUTED_VALUE"""),"DIGITEC TECNOLOGIA DIGITAL E REPRES")</f>
        <v>DIGITEC TECNOLOGIA DIGITAL E REPRES</v>
      </c>
      <c r="E5394" s="21">
        <f>IFERROR(__xludf.DUMMYFUNCTION("""COMPUTED_VALUE"""),145359.0)</f>
        <v>145359</v>
      </c>
      <c r="F5394" s="21" t="str">
        <f>IFERROR(__xludf.DUMMYFUNCTION("""COMPUTED_VALUE"""),"INICIALIZADO")</f>
        <v>INICIALIZADO</v>
      </c>
      <c r="G5394" s="23">
        <f>IFERROR(__xludf.DUMMYFUNCTION("""COMPUTED_VALUE"""),45618.744722222225)</f>
        <v>45618.74472</v>
      </c>
      <c r="H5394" s="24" t="str">
        <f>IFERROR(VLOOKUP(B5394,material!A:D,3,0),"")</f>
        <v>SIM CARD</v>
      </c>
    </row>
    <row r="5395" ht="11.25" customHeight="1">
      <c r="A5395" s="21" t="str">
        <f>IFERROR(__xludf.DUMMYFUNCTION("""COMPUTED_VALUE"""),"SMART SIM CARD NAGRA")</f>
        <v>SMART SIM CARD NAGRA</v>
      </c>
      <c r="B5395" s="22">
        <f>IFERROR(__xludf.DUMMYFUNCTION("""COMPUTED_VALUE"""),4.1000805E7)</f>
        <v>41000805</v>
      </c>
      <c r="C5395" s="21" t="str">
        <f>IFERROR(__xludf.DUMMYFUNCTION("""COMPUTED_VALUE"""),"246592353550")</f>
        <v>246592353550</v>
      </c>
      <c r="D5395" s="21" t="str">
        <f>IFERROR(__xludf.DUMMYFUNCTION("""COMPUTED_VALUE"""),"DIGITEC TECNOLOGIA DIGITAL E REPRES")</f>
        <v>DIGITEC TECNOLOGIA DIGITAL E REPRES</v>
      </c>
      <c r="E5395" s="21">
        <f>IFERROR(__xludf.DUMMYFUNCTION("""COMPUTED_VALUE"""),145359.0)</f>
        <v>145359</v>
      </c>
      <c r="F5395" s="21" t="str">
        <f>IFERROR(__xludf.DUMMYFUNCTION("""COMPUTED_VALUE"""),"INICIALIZADO")</f>
        <v>INICIALIZADO</v>
      </c>
      <c r="G5395" s="23">
        <f>IFERROR(__xludf.DUMMYFUNCTION("""COMPUTED_VALUE"""),45625.6531712963)</f>
        <v>45625.65317</v>
      </c>
      <c r="H5395" s="24" t="str">
        <f>IFERROR(VLOOKUP(B5395,material!A:D,3,0),"")</f>
        <v>SIM CARD</v>
      </c>
    </row>
    <row r="5396" ht="11.25" customHeight="1">
      <c r="A5396" s="21" t="str">
        <f>IFERROR(__xludf.DUMMYFUNCTION("""COMPUTED_VALUE"""),"SMART SIM CARD NAGRA")</f>
        <v>SMART SIM CARD NAGRA</v>
      </c>
      <c r="B5396" s="22">
        <f>IFERROR(__xludf.DUMMYFUNCTION("""COMPUTED_VALUE"""),4.1000805E7)</f>
        <v>41000805</v>
      </c>
      <c r="C5396" s="21" t="str">
        <f>IFERROR(__xludf.DUMMYFUNCTION("""COMPUTED_VALUE"""),"246603930505")</f>
        <v>246603930505</v>
      </c>
      <c r="D5396" s="21" t="str">
        <f>IFERROR(__xludf.DUMMYFUNCTION("""COMPUTED_VALUE"""),"DIGITEC TECNOLOGIA DIGITAL E REPRES")</f>
        <v>DIGITEC TECNOLOGIA DIGITAL E REPRES</v>
      </c>
      <c r="E5396" s="21">
        <f>IFERROR(__xludf.DUMMYFUNCTION("""COMPUTED_VALUE"""),145359.0)</f>
        <v>145359</v>
      </c>
      <c r="F5396" s="21" t="str">
        <f>IFERROR(__xludf.DUMMYFUNCTION("""COMPUTED_VALUE"""),"INICIALIZADO")</f>
        <v>INICIALIZADO</v>
      </c>
      <c r="G5396" s="23">
        <f>IFERROR(__xludf.DUMMYFUNCTION("""COMPUTED_VALUE"""),45618.744722222225)</f>
        <v>45618.74472</v>
      </c>
      <c r="H5396" s="24" t="str">
        <f>IFERROR(VLOOKUP(B5396,material!A:D,3,0),"")</f>
        <v>SIM CARD</v>
      </c>
    </row>
    <row r="5397" ht="11.25" customHeight="1">
      <c r="A5397" s="21" t="str">
        <f>IFERROR(__xludf.DUMMYFUNCTION("""COMPUTED_VALUE"""),"SMART SIM CARD NAGRA")</f>
        <v>SMART SIM CARD NAGRA</v>
      </c>
      <c r="B5397" s="22">
        <f>IFERROR(__xludf.DUMMYFUNCTION("""COMPUTED_VALUE"""),4.1000805E7)</f>
        <v>41000805</v>
      </c>
      <c r="C5397" s="21" t="str">
        <f>IFERROR(__xludf.DUMMYFUNCTION("""COMPUTED_VALUE"""),"246597605061")</f>
        <v>246597605061</v>
      </c>
      <c r="D5397" s="21" t="str">
        <f>IFERROR(__xludf.DUMMYFUNCTION("""COMPUTED_VALUE"""),"DIGITEC TECNOLOGIA DIGITAL E REPRES")</f>
        <v>DIGITEC TECNOLOGIA DIGITAL E REPRES</v>
      </c>
      <c r="E5397" s="21">
        <f>IFERROR(__xludf.DUMMYFUNCTION("""COMPUTED_VALUE"""),145359.0)</f>
        <v>145359</v>
      </c>
      <c r="F5397" s="21" t="str">
        <f>IFERROR(__xludf.DUMMYFUNCTION("""COMPUTED_VALUE"""),"INICIALIZADO")</f>
        <v>INICIALIZADO</v>
      </c>
      <c r="G5397" s="23">
        <f>IFERROR(__xludf.DUMMYFUNCTION("""COMPUTED_VALUE"""),45000.35914351852)</f>
        <v>45000.35914</v>
      </c>
      <c r="H5397" s="24" t="str">
        <f>IFERROR(VLOOKUP(B5397,material!A:D,3,0),"")</f>
        <v>SIM CARD</v>
      </c>
    </row>
    <row r="5398" ht="11.25" customHeight="1">
      <c r="A5398" s="21" t="str">
        <f>IFERROR(__xludf.DUMMYFUNCTION("""COMPUTED_VALUE"""),"SMART SIM CARD NAGRA")</f>
        <v>SMART SIM CARD NAGRA</v>
      </c>
      <c r="B5398" s="22">
        <f>IFERROR(__xludf.DUMMYFUNCTION("""COMPUTED_VALUE"""),4.1000805E7)</f>
        <v>41000805</v>
      </c>
      <c r="C5398" s="21" t="str">
        <f>IFERROR(__xludf.DUMMYFUNCTION("""COMPUTED_VALUE"""),"246606158095")</f>
        <v>246606158095</v>
      </c>
      <c r="D5398" s="21" t="str">
        <f>IFERROR(__xludf.DUMMYFUNCTION("""COMPUTED_VALUE"""),"DIGITEC TECNOLOGIA DIGITAL E REPRES")</f>
        <v>DIGITEC TECNOLOGIA DIGITAL E REPRES</v>
      </c>
      <c r="E5398" s="21">
        <f>IFERROR(__xludf.DUMMYFUNCTION("""COMPUTED_VALUE"""),145359.0)</f>
        <v>145359</v>
      </c>
      <c r="F5398" s="21" t="str">
        <f>IFERROR(__xludf.DUMMYFUNCTION("""COMPUTED_VALUE"""),"INICIALIZADO")</f>
        <v>INICIALIZADO</v>
      </c>
      <c r="G5398" s="23">
        <f>IFERROR(__xludf.DUMMYFUNCTION("""COMPUTED_VALUE"""),45618.744722222225)</f>
        <v>45618.74472</v>
      </c>
      <c r="H5398" s="24" t="str">
        <f>IFERROR(VLOOKUP(B5398,material!A:D,3,0),"")</f>
        <v>SIM CARD</v>
      </c>
    </row>
    <row r="5399" ht="11.25" customHeight="1">
      <c r="A5399" s="21" t="str">
        <f>IFERROR(__xludf.DUMMYFUNCTION("""COMPUTED_VALUE"""),"SMART SIM CARD NAGRA")</f>
        <v>SMART SIM CARD NAGRA</v>
      </c>
      <c r="B5399" s="22">
        <f>IFERROR(__xludf.DUMMYFUNCTION("""COMPUTED_VALUE"""),4.1000805E7)</f>
        <v>41000805</v>
      </c>
      <c r="C5399" s="21" t="str">
        <f>IFERROR(__xludf.DUMMYFUNCTION("""COMPUTED_VALUE"""),"246605358084")</f>
        <v>246605358084</v>
      </c>
      <c r="D5399" s="21" t="str">
        <f>IFERROR(__xludf.DUMMYFUNCTION("""COMPUTED_VALUE"""),"DIGITEC TECNOLOGIA DIGITAL E REPRES")</f>
        <v>DIGITEC TECNOLOGIA DIGITAL E REPRES</v>
      </c>
      <c r="E5399" s="21">
        <f>IFERROR(__xludf.DUMMYFUNCTION("""COMPUTED_VALUE"""),145359.0)</f>
        <v>145359</v>
      </c>
      <c r="F5399" s="21" t="str">
        <f>IFERROR(__xludf.DUMMYFUNCTION("""COMPUTED_VALUE"""),"INICIALIZADO")</f>
        <v>INICIALIZADO</v>
      </c>
      <c r="G5399" s="23">
        <f>IFERROR(__xludf.DUMMYFUNCTION("""COMPUTED_VALUE"""),45625.6531712963)</f>
        <v>45625.65317</v>
      </c>
      <c r="H5399" s="24" t="str">
        <f>IFERROR(VLOOKUP(B5399,material!A:D,3,0),"")</f>
        <v>SIM CARD</v>
      </c>
    </row>
    <row r="5400" ht="11.25" customHeight="1">
      <c r="A5400" s="21" t="str">
        <f>IFERROR(__xludf.DUMMYFUNCTION("""COMPUTED_VALUE"""),"SMART SIM CARD NAGRA")</f>
        <v>SMART SIM CARD NAGRA</v>
      </c>
      <c r="B5400" s="22">
        <f>IFERROR(__xludf.DUMMYFUNCTION("""COMPUTED_VALUE"""),4.1000805E7)</f>
        <v>41000805</v>
      </c>
      <c r="C5400" s="21" t="str">
        <f>IFERROR(__xludf.DUMMYFUNCTION("""COMPUTED_VALUE"""),"246597413045")</f>
        <v>246597413045</v>
      </c>
      <c r="D5400" s="21" t="str">
        <f>IFERROR(__xludf.DUMMYFUNCTION("""COMPUTED_VALUE"""),"DIGITEC TECNOLOGIA DIGITAL E REPRES")</f>
        <v>DIGITEC TECNOLOGIA DIGITAL E REPRES</v>
      </c>
      <c r="E5400" s="21">
        <f>IFERROR(__xludf.DUMMYFUNCTION("""COMPUTED_VALUE"""),145359.0)</f>
        <v>145359</v>
      </c>
      <c r="F5400" s="21" t="str">
        <f>IFERROR(__xludf.DUMMYFUNCTION("""COMPUTED_VALUE"""),"INICIALIZADO")</f>
        <v>INICIALIZADO</v>
      </c>
      <c r="G5400" s="23">
        <f>IFERROR(__xludf.DUMMYFUNCTION("""COMPUTED_VALUE"""),45618.651979166665)</f>
        <v>45618.65198</v>
      </c>
      <c r="H5400" s="24" t="str">
        <f>IFERROR(VLOOKUP(B5400,material!A:D,3,0),"")</f>
        <v>SIM CARD</v>
      </c>
    </row>
    <row r="5401" ht="11.25" customHeight="1">
      <c r="A5401" s="21" t="str">
        <f>IFERROR(__xludf.DUMMYFUNCTION("""COMPUTED_VALUE"""),"SMART SIM CARD NAGRA")</f>
        <v>SMART SIM CARD NAGRA</v>
      </c>
      <c r="B5401" s="22">
        <f>IFERROR(__xludf.DUMMYFUNCTION("""COMPUTED_VALUE"""),4.1000805E7)</f>
        <v>41000805</v>
      </c>
      <c r="C5401" s="21" t="str">
        <f>IFERROR(__xludf.DUMMYFUNCTION("""COMPUTED_VALUE"""),"246604953747")</f>
        <v>246604953747</v>
      </c>
      <c r="D5401" s="21" t="str">
        <f>IFERROR(__xludf.DUMMYFUNCTION("""COMPUTED_VALUE"""),"DIGITEC TECNOLOGIA DIGITAL E REPRES")</f>
        <v>DIGITEC TECNOLOGIA DIGITAL E REPRES</v>
      </c>
      <c r="E5401" s="21">
        <f>IFERROR(__xludf.DUMMYFUNCTION("""COMPUTED_VALUE"""),145359.0)</f>
        <v>145359</v>
      </c>
      <c r="F5401" s="21" t="str">
        <f>IFERROR(__xludf.DUMMYFUNCTION("""COMPUTED_VALUE"""),"INICIALIZADO")</f>
        <v>INICIALIZADO</v>
      </c>
      <c r="G5401" s="23">
        <f>IFERROR(__xludf.DUMMYFUNCTION("""COMPUTED_VALUE"""),45618.744722222225)</f>
        <v>45618.74472</v>
      </c>
      <c r="H5401" s="24" t="str">
        <f>IFERROR(VLOOKUP(B5401,material!A:D,3,0),"")</f>
        <v>SIM CARD</v>
      </c>
    </row>
    <row r="5402" ht="11.25" customHeight="1">
      <c r="A5402" s="21" t="str">
        <f>IFERROR(__xludf.DUMMYFUNCTION("""COMPUTED_VALUE"""),"SMART SIM CARD NAGRA")</f>
        <v>SMART SIM CARD NAGRA</v>
      </c>
      <c r="B5402" s="22">
        <f>IFERROR(__xludf.DUMMYFUNCTION("""COMPUTED_VALUE"""),4.1000805E7)</f>
        <v>41000805</v>
      </c>
      <c r="C5402" s="21" t="str">
        <f>IFERROR(__xludf.DUMMYFUNCTION("""COMPUTED_VALUE"""),"246586609308")</f>
        <v>246586609308</v>
      </c>
      <c r="D5402" s="21" t="str">
        <f>IFERROR(__xludf.DUMMYFUNCTION("""COMPUTED_VALUE"""),"DIGITEC TECNOLOGIA DIGITAL E REPRES")</f>
        <v>DIGITEC TECNOLOGIA DIGITAL E REPRES</v>
      </c>
      <c r="E5402" s="21">
        <f>IFERROR(__xludf.DUMMYFUNCTION("""COMPUTED_VALUE"""),145359.0)</f>
        <v>145359</v>
      </c>
      <c r="F5402" s="21" t="str">
        <f>IFERROR(__xludf.DUMMYFUNCTION("""COMPUTED_VALUE"""),"INICIALIZADO")</f>
        <v>INICIALIZADO</v>
      </c>
      <c r="G5402" s="23">
        <f>IFERROR(__xludf.DUMMYFUNCTION("""COMPUTED_VALUE"""),44999.92969907407)</f>
        <v>44999.9297</v>
      </c>
      <c r="H5402" s="24" t="str">
        <f>IFERROR(VLOOKUP(B5402,material!A:D,3,0),"")</f>
        <v>SIM CARD</v>
      </c>
    </row>
    <row r="5403" ht="11.25" customHeight="1">
      <c r="A5403" s="21" t="str">
        <f>IFERROR(__xludf.DUMMYFUNCTION("""COMPUTED_VALUE"""),"SMART SIM CARD NAGRA")</f>
        <v>SMART SIM CARD NAGRA</v>
      </c>
      <c r="B5403" s="22">
        <f>IFERROR(__xludf.DUMMYFUNCTION("""COMPUTED_VALUE"""),4.1000805E7)</f>
        <v>41000805</v>
      </c>
      <c r="C5403" s="21" t="str">
        <f>IFERROR(__xludf.DUMMYFUNCTION("""COMPUTED_VALUE"""),"246595501422")</f>
        <v>246595501422</v>
      </c>
      <c r="D5403" s="21" t="str">
        <f>IFERROR(__xludf.DUMMYFUNCTION("""COMPUTED_VALUE"""),"DIGITEC TECNOLOGIA DIGITAL E REPRES")</f>
        <v>DIGITEC TECNOLOGIA DIGITAL E REPRES</v>
      </c>
      <c r="E5403" s="21">
        <f>IFERROR(__xludf.DUMMYFUNCTION("""COMPUTED_VALUE"""),145359.0)</f>
        <v>145359</v>
      </c>
      <c r="F5403" s="21" t="str">
        <f>IFERROR(__xludf.DUMMYFUNCTION("""COMPUTED_VALUE"""),"INICIALIZADO")</f>
        <v>INICIALIZADO</v>
      </c>
      <c r="G5403" s="23">
        <f>IFERROR(__xludf.DUMMYFUNCTION("""COMPUTED_VALUE"""),45000.35530092593)</f>
        <v>45000.3553</v>
      </c>
      <c r="H5403" s="24" t="str">
        <f>IFERROR(VLOOKUP(B5403,material!A:D,3,0),"")</f>
        <v>SIM CARD</v>
      </c>
    </row>
    <row r="5404" ht="11.25" customHeight="1">
      <c r="A5404" s="21" t="str">
        <f>IFERROR(__xludf.DUMMYFUNCTION("""COMPUTED_VALUE"""),"SMART SIM CARD NAGRA")</f>
        <v>SMART SIM CARD NAGRA</v>
      </c>
      <c r="B5404" s="22">
        <f>IFERROR(__xludf.DUMMYFUNCTION("""COMPUTED_VALUE"""),4.1000805E7)</f>
        <v>41000805</v>
      </c>
      <c r="C5404" s="21" t="str">
        <f>IFERROR(__xludf.DUMMYFUNCTION("""COMPUTED_VALUE"""),"246608402636")</f>
        <v>246608402636</v>
      </c>
      <c r="D5404" s="21" t="str">
        <f>IFERROR(__xludf.DUMMYFUNCTION("""COMPUTED_VALUE"""),"DIGITEC TECNOLOGIA DIGITAL E REPRES")</f>
        <v>DIGITEC TECNOLOGIA DIGITAL E REPRES</v>
      </c>
      <c r="E5404" s="21">
        <f>IFERROR(__xludf.DUMMYFUNCTION("""COMPUTED_VALUE"""),145359.0)</f>
        <v>145359</v>
      </c>
      <c r="F5404" s="21" t="str">
        <f>IFERROR(__xludf.DUMMYFUNCTION("""COMPUTED_VALUE"""),"INICIALIZADO")</f>
        <v>INICIALIZADO</v>
      </c>
      <c r="G5404" s="23">
        <f>IFERROR(__xludf.DUMMYFUNCTION("""COMPUTED_VALUE"""),45000.35530092593)</f>
        <v>45000.3553</v>
      </c>
      <c r="H5404" s="24" t="str">
        <f>IFERROR(VLOOKUP(B5404,material!A:D,3,0),"")</f>
        <v>SIM CARD</v>
      </c>
    </row>
    <row r="5405" ht="11.25" customHeight="1">
      <c r="A5405" s="21" t="str">
        <f>IFERROR(__xludf.DUMMYFUNCTION("""COMPUTED_VALUE"""),"SMART SIM CARD NAGRA")</f>
        <v>SMART SIM CARD NAGRA</v>
      </c>
      <c r="B5405" s="22">
        <f>IFERROR(__xludf.DUMMYFUNCTION("""COMPUTED_VALUE"""),4.1000805E7)</f>
        <v>41000805</v>
      </c>
      <c r="C5405" s="21" t="str">
        <f>IFERROR(__xludf.DUMMYFUNCTION("""COMPUTED_VALUE"""),"246618810016")</f>
        <v>246618810016</v>
      </c>
      <c r="D5405" s="21" t="str">
        <f>IFERROR(__xludf.DUMMYFUNCTION("""COMPUTED_VALUE"""),"DIGITEC TECNOLOGIA DIGITAL E REPRES")</f>
        <v>DIGITEC TECNOLOGIA DIGITAL E REPRES</v>
      </c>
      <c r="E5405" s="21">
        <f>IFERROR(__xludf.DUMMYFUNCTION("""COMPUTED_VALUE"""),145359.0)</f>
        <v>145359</v>
      </c>
      <c r="F5405" s="21" t="str">
        <f>IFERROR(__xludf.DUMMYFUNCTION("""COMPUTED_VALUE"""),"INICIALIZADO")</f>
        <v>INICIALIZADO</v>
      </c>
      <c r="G5405" s="23">
        <f>IFERROR(__xludf.DUMMYFUNCTION("""COMPUTED_VALUE"""),44999.92969907407)</f>
        <v>44999.9297</v>
      </c>
      <c r="H5405" s="24" t="str">
        <f>IFERROR(VLOOKUP(B5405,material!A:D,3,0),"")</f>
        <v>SIM CARD</v>
      </c>
    </row>
    <row r="5406" ht="11.25" customHeight="1">
      <c r="A5406" s="21" t="str">
        <f>IFERROR(__xludf.DUMMYFUNCTION("""COMPUTED_VALUE"""),"SMART SIM CARD NAGRA")</f>
        <v>SMART SIM CARD NAGRA</v>
      </c>
      <c r="B5406" s="22">
        <f>IFERROR(__xludf.DUMMYFUNCTION("""COMPUTED_VALUE"""),4.1000805E7)</f>
        <v>41000805</v>
      </c>
      <c r="C5406" s="21" t="str">
        <f>IFERROR(__xludf.DUMMYFUNCTION("""COMPUTED_VALUE"""),"246603788290")</f>
        <v>246603788290</v>
      </c>
      <c r="D5406" s="21" t="str">
        <f>IFERROR(__xludf.DUMMYFUNCTION("""COMPUTED_VALUE"""),"DIGITEC TECNOLOGIA DIGITAL E REPRES")</f>
        <v>DIGITEC TECNOLOGIA DIGITAL E REPRES</v>
      </c>
      <c r="E5406" s="21">
        <f>IFERROR(__xludf.DUMMYFUNCTION("""COMPUTED_VALUE"""),145359.0)</f>
        <v>145359</v>
      </c>
      <c r="F5406" s="21" t="str">
        <f>IFERROR(__xludf.DUMMYFUNCTION("""COMPUTED_VALUE"""),"INICIALIZADO")</f>
        <v>INICIALIZADO</v>
      </c>
      <c r="G5406" s="23">
        <f>IFERROR(__xludf.DUMMYFUNCTION("""COMPUTED_VALUE"""),45597.417766203704)</f>
        <v>45597.41777</v>
      </c>
      <c r="H5406" s="24" t="str">
        <f>IFERROR(VLOOKUP(B5406,material!A:D,3,0),"")</f>
        <v>SIM CARD</v>
      </c>
    </row>
    <row r="5407" ht="11.25" customHeight="1">
      <c r="A5407" s="21" t="str">
        <f>IFERROR(__xludf.DUMMYFUNCTION("""COMPUTED_VALUE"""),"SMART SIM CARD NAGRA")</f>
        <v>SMART SIM CARD NAGRA</v>
      </c>
      <c r="B5407" s="22">
        <f>IFERROR(__xludf.DUMMYFUNCTION("""COMPUTED_VALUE"""),4.1000805E7)</f>
        <v>41000805</v>
      </c>
      <c r="C5407" s="21" t="str">
        <f>IFERROR(__xludf.DUMMYFUNCTION("""COMPUTED_VALUE"""),"246608763939")</f>
        <v>246608763939</v>
      </c>
      <c r="D5407" s="21" t="str">
        <f>IFERROR(__xludf.DUMMYFUNCTION("""COMPUTED_VALUE"""),"DIGITEC TECNOLOGIA DIGITAL E REPRES")</f>
        <v>DIGITEC TECNOLOGIA DIGITAL E REPRES</v>
      </c>
      <c r="E5407" s="21">
        <f>IFERROR(__xludf.DUMMYFUNCTION("""COMPUTED_VALUE"""),145359.0)</f>
        <v>145359</v>
      </c>
      <c r="F5407" s="21" t="str">
        <f>IFERROR(__xludf.DUMMYFUNCTION("""COMPUTED_VALUE"""),"INICIALIZADO")</f>
        <v>INICIALIZADO</v>
      </c>
      <c r="G5407" s="23">
        <f>IFERROR(__xludf.DUMMYFUNCTION("""COMPUTED_VALUE"""),45597.417766203704)</f>
        <v>45597.41777</v>
      </c>
      <c r="H5407" s="24" t="str">
        <f>IFERROR(VLOOKUP(B5407,material!A:D,3,0),"")</f>
        <v>SIM CARD</v>
      </c>
    </row>
    <row r="5408" ht="11.25" customHeight="1">
      <c r="A5408" s="21" t="str">
        <f>IFERROR(__xludf.DUMMYFUNCTION("""COMPUTED_VALUE"""),"SMART SIM CARD NAGRA")</f>
        <v>SMART SIM CARD NAGRA</v>
      </c>
      <c r="B5408" s="22">
        <f>IFERROR(__xludf.DUMMYFUNCTION("""COMPUTED_VALUE"""),4.1000805E7)</f>
        <v>41000805</v>
      </c>
      <c r="C5408" s="21" t="str">
        <f>IFERROR(__xludf.DUMMYFUNCTION("""COMPUTED_VALUE"""),"246619065169")</f>
        <v>246619065169</v>
      </c>
      <c r="D5408" s="21" t="str">
        <f>IFERROR(__xludf.DUMMYFUNCTION("""COMPUTED_VALUE"""),"DIGITEC TECNOLOGIA DIGITAL E REPRES")</f>
        <v>DIGITEC TECNOLOGIA DIGITAL E REPRES</v>
      </c>
      <c r="E5408" s="21">
        <f>IFERROR(__xludf.DUMMYFUNCTION("""COMPUTED_VALUE"""),145359.0)</f>
        <v>145359</v>
      </c>
      <c r="F5408" s="21" t="str">
        <f>IFERROR(__xludf.DUMMYFUNCTION("""COMPUTED_VALUE"""),"INICIALIZADO")</f>
        <v>INICIALIZADO</v>
      </c>
      <c r="G5408" s="23">
        <f>IFERROR(__xludf.DUMMYFUNCTION("""COMPUTED_VALUE"""),45615.61851851852)</f>
        <v>45615.61852</v>
      </c>
      <c r="H5408" s="24" t="str">
        <f>IFERROR(VLOOKUP(B5408,material!A:D,3,0),"")</f>
        <v>SIM CARD</v>
      </c>
    </row>
    <row r="5409" ht="11.25" customHeight="1">
      <c r="A5409" s="21" t="str">
        <f>IFERROR(__xludf.DUMMYFUNCTION("""COMPUTED_VALUE"""),"SMART SIM CARD NAGRA")</f>
        <v>SMART SIM CARD NAGRA</v>
      </c>
      <c r="B5409" s="22">
        <f>IFERROR(__xludf.DUMMYFUNCTION("""COMPUTED_VALUE"""),4.1000805E7)</f>
        <v>41000805</v>
      </c>
      <c r="C5409" s="21" t="str">
        <f>IFERROR(__xludf.DUMMYFUNCTION("""COMPUTED_VALUE"""),"246619063351")</f>
        <v>246619063351</v>
      </c>
      <c r="D5409" s="21" t="str">
        <f>IFERROR(__xludf.DUMMYFUNCTION("""COMPUTED_VALUE"""),"DIGITEC TECNOLOGIA DIGITAL E REPRES")</f>
        <v>DIGITEC TECNOLOGIA DIGITAL E REPRES</v>
      </c>
      <c r="E5409" s="21">
        <f>IFERROR(__xludf.DUMMYFUNCTION("""COMPUTED_VALUE"""),145359.0)</f>
        <v>145359</v>
      </c>
      <c r="F5409" s="21" t="str">
        <f>IFERROR(__xludf.DUMMYFUNCTION("""COMPUTED_VALUE"""),"INICIALIZADO")</f>
        <v>INICIALIZADO</v>
      </c>
      <c r="G5409" s="23">
        <f>IFERROR(__xludf.DUMMYFUNCTION("""COMPUTED_VALUE"""),45625.6531712963)</f>
        <v>45625.65317</v>
      </c>
      <c r="H5409" s="24" t="str">
        <f>IFERROR(VLOOKUP(B5409,material!A:D,3,0),"")</f>
        <v>SIM CARD</v>
      </c>
    </row>
    <row r="5410" ht="11.25" customHeight="1">
      <c r="A5410" s="21" t="str">
        <f>IFERROR(__xludf.DUMMYFUNCTION("""COMPUTED_VALUE"""),"SMART SIM CARD NAGRA")</f>
        <v>SMART SIM CARD NAGRA</v>
      </c>
      <c r="B5410" s="22">
        <f>IFERROR(__xludf.DUMMYFUNCTION("""COMPUTED_VALUE"""),4.1000805E7)</f>
        <v>41000805</v>
      </c>
      <c r="C5410" s="21" t="str">
        <f>IFERROR(__xludf.DUMMYFUNCTION("""COMPUTED_VALUE"""),"246627480514")</f>
        <v>246627480514</v>
      </c>
      <c r="D5410" s="21" t="str">
        <f>IFERROR(__xludf.DUMMYFUNCTION("""COMPUTED_VALUE"""),"DIGITEC TECNOLOGIA DIGITAL E REPRES")</f>
        <v>DIGITEC TECNOLOGIA DIGITAL E REPRES</v>
      </c>
      <c r="E5410" s="21">
        <f>IFERROR(__xludf.DUMMYFUNCTION("""COMPUTED_VALUE"""),145359.0)</f>
        <v>145359</v>
      </c>
      <c r="F5410" s="21" t="str">
        <f>IFERROR(__xludf.DUMMYFUNCTION("""COMPUTED_VALUE"""),"INICIALIZADO")</f>
        <v>INICIALIZADO</v>
      </c>
      <c r="G5410" s="23">
        <f>IFERROR(__xludf.DUMMYFUNCTION("""COMPUTED_VALUE"""),45000.35530092593)</f>
        <v>45000.3553</v>
      </c>
      <c r="H5410" s="24" t="str">
        <f>IFERROR(VLOOKUP(B5410,material!A:D,3,0),"")</f>
        <v>SIM CARD</v>
      </c>
    </row>
    <row r="5411" ht="11.25" customHeight="1">
      <c r="A5411" s="21" t="str">
        <f>IFERROR(__xludf.DUMMYFUNCTION("""COMPUTED_VALUE"""),"SMART SIM CARD NAGRA")</f>
        <v>SMART SIM CARD NAGRA</v>
      </c>
      <c r="B5411" s="22">
        <f>IFERROR(__xludf.DUMMYFUNCTION("""COMPUTED_VALUE"""),4.1000805E7)</f>
        <v>41000805</v>
      </c>
      <c r="C5411" s="21" t="str">
        <f>IFERROR(__xludf.DUMMYFUNCTION("""COMPUTED_VALUE"""),"246643236181")</f>
        <v>246643236181</v>
      </c>
      <c r="D5411" s="21" t="str">
        <f>IFERROR(__xludf.DUMMYFUNCTION("""COMPUTED_VALUE"""),"DIGITEC TECNOLOGIA DIGITAL E REPRES")</f>
        <v>DIGITEC TECNOLOGIA DIGITAL E REPRES</v>
      </c>
      <c r="E5411" s="21">
        <f>IFERROR(__xludf.DUMMYFUNCTION("""COMPUTED_VALUE"""),145359.0)</f>
        <v>145359</v>
      </c>
      <c r="F5411" s="21" t="str">
        <f>IFERROR(__xludf.DUMMYFUNCTION("""COMPUTED_VALUE"""),"INICIALIZADO")</f>
        <v>INICIALIZADO</v>
      </c>
      <c r="G5411" s="23">
        <f>IFERROR(__xludf.DUMMYFUNCTION("""COMPUTED_VALUE"""),45618.744722222225)</f>
        <v>45618.74472</v>
      </c>
      <c r="H5411" s="24" t="str">
        <f>IFERROR(VLOOKUP(B5411,material!A:D,3,0),"")</f>
        <v>SIM CARD</v>
      </c>
    </row>
    <row r="5412" ht="11.25" customHeight="1">
      <c r="A5412" s="21" t="str">
        <f>IFERROR(__xludf.DUMMYFUNCTION("""COMPUTED_VALUE"""),"SMART SIM CARD NAGRA")</f>
        <v>SMART SIM CARD NAGRA</v>
      </c>
      <c r="B5412" s="22">
        <f>IFERROR(__xludf.DUMMYFUNCTION("""COMPUTED_VALUE"""),4.1000805E7)</f>
        <v>41000805</v>
      </c>
      <c r="C5412" s="21" t="str">
        <f>IFERROR(__xludf.DUMMYFUNCTION("""COMPUTED_VALUE"""),"246609790213")</f>
        <v>246609790213</v>
      </c>
      <c r="D5412" s="21" t="str">
        <f>IFERROR(__xludf.DUMMYFUNCTION("""COMPUTED_VALUE"""),"DIGITEC TECNOLOGIA DIGITAL E REPRES")</f>
        <v>DIGITEC TECNOLOGIA DIGITAL E REPRES</v>
      </c>
      <c r="E5412" s="21">
        <f>IFERROR(__xludf.DUMMYFUNCTION("""COMPUTED_VALUE"""),145359.0)</f>
        <v>145359</v>
      </c>
      <c r="F5412" s="21" t="str">
        <f>IFERROR(__xludf.DUMMYFUNCTION("""COMPUTED_VALUE"""),"INICIALIZADO")</f>
        <v>INICIALIZADO</v>
      </c>
      <c r="G5412" s="23">
        <f>IFERROR(__xludf.DUMMYFUNCTION("""COMPUTED_VALUE"""),45625.6531712963)</f>
        <v>45625.65317</v>
      </c>
      <c r="H5412" s="24" t="str">
        <f>IFERROR(VLOOKUP(B5412,material!A:D,3,0),"")</f>
        <v>SIM CARD</v>
      </c>
    </row>
    <row r="5413" ht="11.25" customHeight="1">
      <c r="A5413" s="21" t="str">
        <f>IFERROR(__xludf.DUMMYFUNCTION("""COMPUTED_VALUE"""),"SMART SIM CARD NAGRA")</f>
        <v>SMART SIM CARD NAGRA</v>
      </c>
      <c r="B5413" s="22">
        <f>IFERROR(__xludf.DUMMYFUNCTION("""COMPUTED_VALUE"""),4.1000805E7)</f>
        <v>41000805</v>
      </c>
      <c r="C5413" s="21" t="str">
        <f>IFERROR(__xludf.DUMMYFUNCTION("""COMPUTED_VALUE"""),"246627496878")</f>
        <v>246627496878</v>
      </c>
      <c r="D5413" s="21" t="str">
        <f>IFERROR(__xludf.DUMMYFUNCTION("""COMPUTED_VALUE"""),"DIGITEC TECNOLOGIA DIGITAL E REPRES")</f>
        <v>DIGITEC TECNOLOGIA DIGITAL E REPRES</v>
      </c>
      <c r="E5413" s="21">
        <f>IFERROR(__xludf.DUMMYFUNCTION("""COMPUTED_VALUE"""),145359.0)</f>
        <v>145359</v>
      </c>
      <c r="F5413" s="21" t="str">
        <f>IFERROR(__xludf.DUMMYFUNCTION("""COMPUTED_VALUE"""),"INICIALIZADO")</f>
        <v>INICIALIZADO</v>
      </c>
      <c r="G5413" s="23">
        <f>IFERROR(__xludf.DUMMYFUNCTION("""COMPUTED_VALUE"""),45000.781875)</f>
        <v>45000.78188</v>
      </c>
      <c r="H5413" s="24" t="str">
        <f>IFERROR(VLOOKUP(B5413,material!A:D,3,0),"")</f>
        <v>SIM CARD</v>
      </c>
    </row>
    <row r="5414" ht="11.25" customHeight="1">
      <c r="A5414" s="21" t="str">
        <f>IFERROR(__xludf.DUMMYFUNCTION("""COMPUTED_VALUE"""),"SMART SIM CARD NAGRA")</f>
        <v>SMART SIM CARD NAGRA</v>
      </c>
      <c r="B5414" s="22">
        <f>IFERROR(__xludf.DUMMYFUNCTION("""COMPUTED_VALUE"""),4.1000805E7)</f>
        <v>41000805</v>
      </c>
      <c r="C5414" s="21" t="str">
        <f>IFERROR(__xludf.DUMMYFUNCTION("""COMPUTED_VALUE"""),"246610807999")</f>
        <v>246610807999</v>
      </c>
      <c r="D5414" s="21" t="str">
        <f>IFERROR(__xludf.DUMMYFUNCTION("""COMPUTED_VALUE"""),"DIGITEC TECNOLOGIA DIGITAL E REPRES")</f>
        <v>DIGITEC TECNOLOGIA DIGITAL E REPRES</v>
      </c>
      <c r="E5414" s="21">
        <f>IFERROR(__xludf.DUMMYFUNCTION("""COMPUTED_VALUE"""),145359.0)</f>
        <v>145359</v>
      </c>
      <c r="F5414" s="21" t="str">
        <f>IFERROR(__xludf.DUMMYFUNCTION("""COMPUTED_VALUE"""),"INICIALIZADO")</f>
        <v>INICIALIZADO</v>
      </c>
      <c r="G5414" s="23">
        <f>IFERROR(__xludf.DUMMYFUNCTION("""COMPUTED_VALUE"""),45618.744722222225)</f>
        <v>45618.74472</v>
      </c>
      <c r="H5414" s="24" t="str">
        <f>IFERROR(VLOOKUP(B5414,material!A:D,3,0),"")</f>
        <v>SIM CARD</v>
      </c>
    </row>
    <row r="5415" ht="11.25" customHeight="1">
      <c r="A5415" s="21" t="str">
        <f>IFERROR(__xludf.DUMMYFUNCTION("""COMPUTED_VALUE"""),"SMART SIM CARD NAGRA")</f>
        <v>SMART SIM CARD NAGRA</v>
      </c>
      <c r="B5415" s="22">
        <f>IFERROR(__xludf.DUMMYFUNCTION("""COMPUTED_VALUE"""),4.1000805E7)</f>
        <v>41000805</v>
      </c>
      <c r="C5415" s="21" t="str">
        <f>IFERROR(__xludf.DUMMYFUNCTION("""COMPUTED_VALUE"""),"246620589403")</f>
        <v>246620589403</v>
      </c>
      <c r="D5415" s="21" t="str">
        <f>IFERROR(__xludf.DUMMYFUNCTION("""COMPUTED_VALUE"""),"DIGITEC TECNOLOGIA DIGITAL E REPRES")</f>
        <v>DIGITEC TECNOLOGIA DIGITAL E REPRES</v>
      </c>
      <c r="E5415" s="21">
        <f>IFERROR(__xludf.DUMMYFUNCTION("""COMPUTED_VALUE"""),145359.0)</f>
        <v>145359</v>
      </c>
      <c r="F5415" s="21" t="str">
        <f>IFERROR(__xludf.DUMMYFUNCTION("""COMPUTED_VALUE"""),"INICIALIZADO")</f>
        <v>INICIALIZADO</v>
      </c>
      <c r="G5415" s="23">
        <f>IFERROR(__xludf.DUMMYFUNCTION("""COMPUTED_VALUE"""),45615.61851851852)</f>
        <v>45615.61852</v>
      </c>
      <c r="H5415" s="24" t="str">
        <f>IFERROR(VLOOKUP(B5415,material!A:D,3,0),"")</f>
        <v>SIM CARD</v>
      </c>
    </row>
    <row r="5416" ht="11.25" customHeight="1">
      <c r="A5416" s="21" t="str">
        <f>IFERROR(__xludf.DUMMYFUNCTION("""COMPUTED_VALUE"""),"SMART SIM CARD NAGRA")</f>
        <v>SMART SIM CARD NAGRA</v>
      </c>
      <c r="B5416" s="22">
        <f>IFERROR(__xludf.DUMMYFUNCTION("""COMPUTED_VALUE"""),4.1000805E7)</f>
        <v>41000805</v>
      </c>
      <c r="C5416" s="21" t="str">
        <f>IFERROR(__xludf.DUMMYFUNCTION("""COMPUTED_VALUE"""),"246623657491")</f>
        <v>246623657491</v>
      </c>
      <c r="D5416" s="21" t="str">
        <f>IFERROR(__xludf.DUMMYFUNCTION("""COMPUTED_VALUE"""),"DIGITEC TECNOLOGIA DIGITAL E REPRES")</f>
        <v>DIGITEC TECNOLOGIA DIGITAL E REPRES</v>
      </c>
      <c r="E5416" s="21">
        <f>IFERROR(__xludf.DUMMYFUNCTION("""COMPUTED_VALUE"""),145359.0)</f>
        <v>145359</v>
      </c>
      <c r="F5416" s="21" t="str">
        <f>IFERROR(__xludf.DUMMYFUNCTION("""COMPUTED_VALUE"""),"INICIALIZADO")</f>
        <v>INICIALIZADO</v>
      </c>
      <c r="G5416" s="23">
        <f>IFERROR(__xludf.DUMMYFUNCTION("""COMPUTED_VALUE"""),45000.35530092593)</f>
        <v>45000.3553</v>
      </c>
      <c r="H5416" s="24" t="str">
        <f>IFERROR(VLOOKUP(B5416,material!A:D,3,0),"")</f>
        <v>SIM CARD</v>
      </c>
    </row>
    <row r="5417" ht="11.25" customHeight="1">
      <c r="A5417" s="21" t="str">
        <f>IFERROR(__xludf.DUMMYFUNCTION("""COMPUTED_VALUE"""),"SMART SIM CARD NAGRA")</f>
        <v>SMART SIM CARD NAGRA</v>
      </c>
      <c r="B5417" s="22">
        <f>IFERROR(__xludf.DUMMYFUNCTION("""COMPUTED_VALUE"""),4.1000805E7)</f>
        <v>41000805</v>
      </c>
      <c r="C5417" s="21" t="str">
        <f>IFERROR(__xludf.DUMMYFUNCTION("""COMPUTED_VALUE"""),"246617753335")</f>
        <v>246617753335</v>
      </c>
      <c r="D5417" s="21" t="str">
        <f>IFERROR(__xludf.DUMMYFUNCTION("""COMPUTED_VALUE"""),"DIGITEC TECNOLOGIA DIGITAL E REPRES")</f>
        <v>DIGITEC TECNOLOGIA DIGITAL E REPRES</v>
      </c>
      <c r="E5417" s="21">
        <f>IFERROR(__xludf.DUMMYFUNCTION("""COMPUTED_VALUE"""),145359.0)</f>
        <v>145359</v>
      </c>
      <c r="F5417" s="21" t="str">
        <f>IFERROR(__xludf.DUMMYFUNCTION("""COMPUTED_VALUE"""),"INICIALIZADO")</f>
        <v>INICIALIZADO</v>
      </c>
      <c r="G5417" s="23">
        <f>IFERROR(__xludf.DUMMYFUNCTION("""COMPUTED_VALUE"""),45625.6531712963)</f>
        <v>45625.65317</v>
      </c>
      <c r="H5417" s="24" t="str">
        <f>IFERROR(VLOOKUP(B5417,material!A:D,3,0),"")</f>
        <v>SIM CARD</v>
      </c>
    </row>
    <row r="5418" ht="11.25" customHeight="1">
      <c r="A5418" s="21" t="str">
        <f>IFERROR(__xludf.DUMMYFUNCTION("""COMPUTED_VALUE"""),"SMART SIM CARD NAGRA")</f>
        <v>SMART SIM CARD NAGRA</v>
      </c>
      <c r="B5418" s="22">
        <f>IFERROR(__xludf.DUMMYFUNCTION("""COMPUTED_VALUE"""),4.1000805E7)</f>
        <v>41000805</v>
      </c>
      <c r="C5418" s="21" t="str">
        <f>IFERROR(__xludf.DUMMYFUNCTION("""COMPUTED_VALUE"""),"246624498392")</f>
        <v>246624498392</v>
      </c>
      <c r="D5418" s="21" t="str">
        <f>IFERROR(__xludf.DUMMYFUNCTION("""COMPUTED_VALUE"""),"DIGITEC TECNOLOGIA DIGITAL E REPRES")</f>
        <v>DIGITEC TECNOLOGIA DIGITAL E REPRES</v>
      </c>
      <c r="E5418" s="21">
        <f>IFERROR(__xludf.DUMMYFUNCTION("""COMPUTED_VALUE"""),145359.0)</f>
        <v>145359</v>
      </c>
      <c r="F5418" s="21" t="str">
        <f>IFERROR(__xludf.DUMMYFUNCTION("""COMPUTED_VALUE"""),"INICIALIZADO")</f>
        <v>INICIALIZADO</v>
      </c>
      <c r="G5418" s="23">
        <f>IFERROR(__xludf.DUMMYFUNCTION("""COMPUTED_VALUE"""),45625.6531712963)</f>
        <v>45625.65317</v>
      </c>
      <c r="H5418" s="24" t="str">
        <f>IFERROR(VLOOKUP(B5418,material!A:D,3,0),"")</f>
        <v>SIM CARD</v>
      </c>
    </row>
    <row r="5419" ht="11.25" customHeight="1">
      <c r="A5419" s="21" t="str">
        <f>IFERROR(__xludf.DUMMYFUNCTION("""COMPUTED_VALUE"""),"SMART SIM CARD NAGRA")</f>
        <v>SMART SIM CARD NAGRA</v>
      </c>
      <c r="B5419" s="22">
        <f>IFERROR(__xludf.DUMMYFUNCTION("""COMPUTED_VALUE"""),4.1000805E7)</f>
        <v>41000805</v>
      </c>
      <c r="C5419" s="21" t="str">
        <f>IFERROR(__xludf.DUMMYFUNCTION("""COMPUTED_VALUE"""),"246610154445")</f>
        <v>246610154445</v>
      </c>
      <c r="D5419" s="21" t="str">
        <f>IFERROR(__xludf.DUMMYFUNCTION("""COMPUTED_VALUE"""),"DIGITEC TECNOLOGIA DIGITAL E REPRES")</f>
        <v>DIGITEC TECNOLOGIA DIGITAL E REPRES</v>
      </c>
      <c r="E5419" s="21">
        <f>IFERROR(__xludf.DUMMYFUNCTION("""COMPUTED_VALUE"""),145359.0)</f>
        <v>145359</v>
      </c>
      <c r="F5419" s="21" t="str">
        <f>IFERROR(__xludf.DUMMYFUNCTION("""COMPUTED_VALUE"""),"INICIALIZADO")</f>
        <v>INICIALIZADO</v>
      </c>
      <c r="G5419" s="23">
        <f>IFERROR(__xludf.DUMMYFUNCTION("""COMPUTED_VALUE"""),45615.61851851852)</f>
        <v>45615.61852</v>
      </c>
      <c r="H5419" s="24" t="str">
        <f>IFERROR(VLOOKUP(B5419,material!A:D,3,0),"")</f>
        <v>SIM CARD</v>
      </c>
    </row>
    <row r="5420" ht="11.25" customHeight="1">
      <c r="A5420" s="21" t="str">
        <f>IFERROR(__xludf.DUMMYFUNCTION("""COMPUTED_VALUE"""),"SMART SIM CARD NAGRA")</f>
        <v>SMART SIM CARD NAGRA</v>
      </c>
      <c r="B5420" s="22">
        <f>IFERROR(__xludf.DUMMYFUNCTION("""COMPUTED_VALUE"""),4.1000805E7)</f>
        <v>41000805</v>
      </c>
      <c r="C5420" s="21" t="str">
        <f>IFERROR(__xludf.DUMMYFUNCTION("""COMPUTED_VALUE"""),"246496961536")</f>
        <v>246496961536</v>
      </c>
      <c r="D5420" s="21" t="str">
        <f>IFERROR(__xludf.DUMMYFUNCTION("""COMPUTED_VALUE"""),"DIGITEC TECNOLOGIA DIGITAL E REPRES")</f>
        <v>DIGITEC TECNOLOGIA DIGITAL E REPRES</v>
      </c>
      <c r="E5420" s="21">
        <f>IFERROR(__xludf.DUMMYFUNCTION("""COMPUTED_VALUE"""),145359.0)</f>
        <v>145359</v>
      </c>
      <c r="F5420" s="21" t="str">
        <f>IFERROR(__xludf.DUMMYFUNCTION("""COMPUTED_VALUE"""),"INICIALIZADO")</f>
        <v>INICIALIZADO</v>
      </c>
      <c r="G5420" s="23">
        <f>IFERROR(__xludf.DUMMYFUNCTION("""COMPUTED_VALUE"""),45573.66677083333)</f>
        <v>45573.66677</v>
      </c>
      <c r="H5420" s="24" t="str">
        <f>IFERROR(VLOOKUP(B5420,material!A:D,3,0),"")</f>
        <v>SIM CARD</v>
      </c>
    </row>
    <row r="5421" ht="11.25" customHeight="1">
      <c r="A5421" s="21" t="str">
        <f>IFERROR(__xludf.DUMMYFUNCTION("""COMPUTED_VALUE"""),"SMART SIM CARD NAGRA")</f>
        <v>SMART SIM CARD NAGRA</v>
      </c>
      <c r="B5421" s="22">
        <f>IFERROR(__xludf.DUMMYFUNCTION("""COMPUTED_VALUE"""),4.1000805E7)</f>
        <v>41000805</v>
      </c>
      <c r="C5421" s="21" t="str">
        <f>IFERROR(__xludf.DUMMYFUNCTION("""COMPUTED_VALUE"""),"246541553755")</f>
        <v>246541553755</v>
      </c>
      <c r="D5421" s="21" t="str">
        <f>IFERROR(__xludf.DUMMYFUNCTION("""COMPUTED_VALUE"""),"DIGITEC TECNOLOGIA DIGITAL E REPRES")</f>
        <v>DIGITEC TECNOLOGIA DIGITAL E REPRES</v>
      </c>
      <c r="E5421" s="21">
        <f>IFERROR(__xludf.DUMMYFUNCTION("""COMPUTED_VALUE"""),145359.0)</f>
        <v>145359</v>
      </c>
      <c r="F5421" s="21" t="str">
        <f>IFERROR(__xludf.DUMMYFUNCTION("""COMPUTED_VALUE"""),"INICIALIZADO")</f>
        <v>INICIALIZADO</v>
      </c>
      <c r="G5421" s="23">
        <f>IFERROR(__xludf.DUMMYFUNCTION("""COMPUTED_VALUE"""),45615.61851851852)</f>
        <v>45615.61852</v>
      </c>
      <c r="H5421" s="24" t="str">
        <f>IFERROR(VLOOKUP(B5421,material!A:D,3,0),"")</f>
        <v>SIM CARD</v>
      </c>
    </row>
    <row r="5422" ht="11.25" customHeight="1">
      <c r="A5422" s="21" t="str">
        <f>IFERROR(__xludf.DUMMYFUNCTION("""COMPUTED_VALUE"""),"SMART SIM CARD NAGRA")</f>
        <v>SMART SIM CARD NAGRA</v>
      </c>
      <c r="B5422" s="22">
        <f>IFERROR(__xludf.DUMMYFUNCTION("""COMPUTED_VALUE"""),4.1000805E7)</f>
        <v>41000805</v>
      </c>
      <c r="C5422" s="21" t="str">
        <f>IFERROR(__xludf.DUMMYFUNCTION("""COMPUTED_VALUE"""),"246544328605")</f>
        <v>246544328605</v>
      </c>
      <c r="D5422" s="21" t="str">
        <f>IFERROR(__xludf.DUMMYFUNCTION("""COMPUTED_VALUE"""),"DIGITEC TECNOLOGIA DIGITAL E REPRES")</f>
        <v>DIGITEC TECNOLOGIA DIGITAL E REPRES</v>
      </c>
      <c r="E5422" s="21">
        <f>IFERROR(__xludf.DUMMYFUNCTION("""COMPUTED_VALUE"""),145359.0)</f>
        <v>145359</v>
      </c>
      <c r="F5422" s="21" t="str">
        <f>IFERROR(__xludf.DUMMYFUNCTION("""COMPUTED_VALUE"""),"INICIALIZADO")</f>
        <v>INICIALIZADO</v>
      </c>
      <c r="G5422" s="23">
        <f>IFERROR(__xludf.DUMMYFUNCTION("""COMPUTED_VALUE"""),44999.92969907407)</f>
        <v>44999.9297</v>
      </c>
      <c r="H5422" s="24" t="str">
        <f>IFERROR(VLOOKUP(B5422,material!A:D,3,0),"")</f>
        <v>SIM CARD</v>
      </c>
    </row>
    <row r="5423" ht="11.25" customHeight="1">
      <c r="A5423" s="21" t="str">
        <f>IFERROR(__xludf.DUMMYFUNCTION("""COMPUTED_VALUE"""),"SMART SIM CARD NAGRA")</f>
        <v>SMART SIM CARD NAGRA</v>
      </c>
      <c r="B5423" s="22">
        <f>IFERROR(__xludf.DUMMYFUNCTION("""COMPUTED_VALUE"""),4.1000805E7)</f>
        <v>41000805</v>
      </c>
      <c r="C5423" s="21" t="str">
        <f>IFERROR(__xludf.DUMMYFUNCTION("""COMPUTED_VALUE"""),"246485303136")</f>
        <v>246485303136</v>
      </c>
      <c r="D5423" s="21" t="str">
        <f>IFERROR(__xludf.DUMMYFUNCTION("""COMPUTED_VALUE"""),"DIGITEC TECNOLOGIA DIGITAL E REPRES")</f>
        <v>DIGITEC TECNOLOGIA DIGITAL E REPRES</v>
      </c>
      <c r="E5423" s="21">
        <f>IFERROR(__xludf.DUMMYFUNCTION("""COMPUTED_VALUE"""),145359.0)</f>
        <v>145359</v>
      </c>
      <c r="F5423" s="21" t="str">
        <f>IFERROR(__xludf.DUMMYFUNCTION("""COMPUTED_VALUE"""),"INICIALIZADO")</f>
        <v>INICIALIZADO</v>
      </c>
      <c r="G5423" s="23">
        <f>IFERROR(__xludf.DUMMYFUNCTION("""COMPUTED_VALUE"""),45000.78188657407)</f>
        <v>45000.78189</v>
      </c>
      <c r="H5423" s="24" t="str">
        <f>IFERROR(VLOOKUP(B5423,material!A:D,3,0),"")</f>
        <v>SIM CARD</v>
      </c>
    </row>
    <row r="5424" ht="11.25" customHeight="1">
      <c r="A5424" s="21" t="str">
        <f>IFERROR(__xludf.DUMMYFUNCTION("""COMPUTED_VALUE"""),"SMART SIM CARD NAGRA")</f>
        <v>SMART SIM CARD NAGRA</v>
      </c>
      <c r="B5424" s="22">
        <f>IFERROR(__xludf.DUMMYFUNCTION("""COMPUTED_VALUE"""),4.1000805E7)</f>
        <v>41000805</v>
      </c>
      <c r="C5424" s="21" t="str">
        <f>IFERROR(__xludf.DUMMYFUNCTION("""COMPUTED_VALUE"""),"246479845162")</f>
        <v>246479845162</v>
      </c>
      <c r="D5424" s="21" t="str">
        <f>IFERROR(__xludf.DUMMYFUNCTION("""COMPUTED_VALUE"""),"DIGITEC TECNOLOGIA DIGITAL E REPRES")</f>
        <v>DIGITEC TECNOLOGIA DIGITAL E REPRES</v>
      </c>
      <c r="E5424" s="21">
        <f>IFERROR(__xludf.DUMMYFUNCTION("""COMPUTED_VALUE"""),145359.0)</f>
        <v>145359</v>
      </c>
      <c r="F5424" s="21" t="str">
        <f>IFERROR(__xludf.DUMMYFUNCTION("""COMPUTED_VALUE"""),"INICIALIZADO")</f>
        <v>INICIALIZADO</v>
      </c>
      <c r="G5424" s="23">
        <f>IFERROR(__xludf.DUMMYFUNCTION("""COMPUTED_VALUE"""),45625.6531712963)</f>
        <v>45625.65317</v>
      </c>
      <c r="H5424" s="24" t="str">
        <f>IFERROR(VLOOKUP(B5424,material!A:D,3,0),"")</f>
        <v>SIM CARD</v>
      </c>
    </row>
    <row r="5425" ht="11.25" customHeight="1">
      <c r="A5425" s="21" t="str">
        <f>IFERROR(__xludf.DUMMYFUNCTION("""COMPUTED_VALUE"""),"SMART SIM CARD NAGRA")</f>
        <v>SMART SIM CARD NAGRA</v>
      </c>
      <c r="B5425" s="22">
        <f>IFERROR(__xludf.DUMMYFUNCTION("""COMPUTED_VALUE"""),4.1000805E7)</f>
        <v>41000805</v>
      </c>
      <c r="C5425" s="21" t="str">
        <f>IFERROR(__xludf.DUMMYFUNCTION("""COMPUTED_VALUE"""),"246476527576")</f>
        <v>246476527576</v>
      </c>
      <c r="D5425" s="21" t="str">
        <f>IFERROR(__xludf.DUMMYFUNCTION("""COMPUTED_VALUE"""),"DIGITEC TECNOLOGIA DIGITAL E REPRES")</f>
        <v>DIGITEC TECNOLOGIA DIGITAL E REPRES</v>
      </c>
      <c r="E5425" s="21">
        <f>IFERROR(__xludf.DUMMYFUNCTION("""COMPUTED_VALUE"""),145359.0)</f>
        <v>145359</v>
      </c>
      <c r="F5425" s="21" t="str">
        <f>IFERROR(__xludf.DUMMYFUNCTION("""COMPUTED_VALUE"""),"INICIALIZADO")</f>
        <v>INICIALIZADO</v>
      </c>
      <c r="G5425" s="23">
        <f>IFERROR(__xludf.DUMMYFUNCTION("""COMPUTED_VALUE"""),45000.35530092593)</f>
        <v>45000.3553</v>
      </c>
      <c r="H5425" s="24" t="str">
        <f>IFERROR(VLOOKUP(B5425,material!A:D,3,0),"")</f>
        <v>SIM CARD</v>
      </c>
    </row>
    <row r="5426" ht="11.25" customHeight="1">
      <c r="A5426" s="21" t="str">
        <f>IFERROR(__xludf.DUMMYFUNCTION("""COMPUTED_VALUE"""),"SMART SIM CARD NAGRA")</f>
        <v>SMART SIM CARD NAGRA</v>
      </c>
      <c r="B5426" s="22">
        <f>IFERROR(__xludf.DUMMYFUNCTION("""COMPUTED_VALUE"""),4.1000805E7)</f>
        <v>41000805</v>
      </c>
      <c r="C5426" s="21" t="str">
        <f>IFERROR(__xludf.DUMMYFUNCTION("""COMPUTED_VALUE"""),"246478674453")</f>
        <v>246478674453</v>
      </c>
      <c r="D5426" s="21" t="str">
        <f>IFERROR(__xludf.DUMMYFUNCTION("""COMPUTED_VALUE"""),"DIGITEC TECNOLOGIA DIGITAL E REPRES")</f>
        <v>DIGITEC TECNOLOGIA DIGITAL E REPRES</v>
      </c>
      <c r="E5426" s="21">
        <f>IFERROR(__xludf.DUMMYFUNCTION("""COMPUTED_VALUE"""),145359.0)</f>
        <v>145359</v>
      </c>
      <c r="F5426" s="21" t="str">
        <f>IFERROR(__xludf.DUMMYFUNCTION("""COMPUTED_VALUE"""),"INICIALIZADO")</f>
        <v>INICIALIZADO</v>
      </c>
      <c r="G5426" s="23">
        <f>IFERROR(__xludf.DUMMYFUNCTION("""COMPUTED_VALUE"""),45000.35530092593)</f>
        <v>45000.3553</v>
      </c>
      <c r="H5426" s="24" t="str">
        <f>IFERROR(VLOOKUP(B5426,material!A:D,3,0),"")</f>
        <v>SIM CARD</v>
      </c>
    </row>
    <row r="5427" ht="11.25" customHeight="1">
      <c r="A5427" s="21" t="str">
        <f>IFERROR(__xludf.DUMMYFUNCTION("""COMPUTED_VALUE"""),"SMART SIM CARD NAGRA")</f>
        <v>SMART SIM CARD NAGRA</v>
      </c>
      <c r="B5427" s="22">
        <f>IFERROR(__xludf.DUMMYFUNCTION("""COMPUTED_VALUE"""),4.1000805E7)</f>
        <v>41000805</v>
      </c>
      <c r="C5427" s="21" t="str">
        <f>IFERROR(__xludf.DUMMYFUNCTION("""COMPUTED_VALUE"""),"246465164358")</f>
        <v>246465164358</v>
      </c>
      <c r="D5427" s="21" t="str">
        <f>IFERROR(__xludf.DUMMYFUNCTION("""COMPUTED_VALUE"""),"DIGITEC TECNOLOGIA DIGITAL E REPRES")</f>
        <v>DIGITEC TECNOLOGIA DIGITAL E REPRES</v>
      </c>
      <c r="E5427" s="21">
        <f>IFERROR(__xludf.DUMMYFUNCTION("""COMPUTED_VALUE"""),145359.0)</f>
        <v>145359</v>
      </c>
      <c r="F5427" s="21" t="str">
        <f>IFERROR(__xludf.DUMMYFUNCTION("""COMPUTED_VALUE"""),"INICIALIZADO")</f>
        <v>INICIALIZADO</v>
      </c>
      <c r="G5427" s="23">
        <f>IFERROR(__xludf.DUMMYFUNCTION("""COMPUTED_VALUE"""),45000.35530092593)</f>
        <v>45000.3553</v>
      </c>
      <c r="H5427" s="24" t="str">
        <f>IFERROR(VLOOKUP(B5427,material!A:D,3,0),"")</f>
        <v>SIM CARD</v>
      </c>
    </row>
    <row r="5428" ht="11.25" customHeight="1">
      <c r="A5428" s="21" t="str">
        <f>IFERROR(__xludf.DUMMYFUNCTION("""COMPUTED_VALUE"""),"SMART SIM CARD NAGRA")</f>
        <v>SMART SIM CARD NAGRA</v>
      </c>
      <c r="B5428" s="22">
        <f>IFERROR(__xludf.DUMMYFUNCTION("""COMPUTED_VALUE"""),4.1000805E7)</f>
        <v>41000805</v>
      </c>
      <c r="C5428" s="21" t="str">
        <f>IFERROR(__xludf.DUMMYFUNCTION("""COMPUTED_VALUE"""),"246451013033")</f>
        <v>246451013033</v>
      </c>
      <c r="D5428" s="21" t="str">
        <f>IFERROR(__xludf.DUMMYFUNCTION("""COMPUTED_VALUE"""),"DIGITEC TECNOLOGIA DIGITAL E REPRES")</f>
        <v>DIGITEC TECNOLOGIA DIGITAL E REPRES</v>
      </c>
      <c r="E5428" s="21">
        <f>IFERROR(__xludf.DUMMYFUNCTION("""COMPUTED_VALUE"""),145359.0)</f>
        <v>145359</v>
      </c>
      <c r="F5428" s="21" t="str">
        <f>IFERROR(__xludf.DUMMYFUNCTION("""COMPUTED_VALUE"""),"INICIALIZADO")</f>
        <v>INICIALIZADO</v>
      </c>
      <c r="G5428" s="23">
        <f>IFERROR(__xludf.DUMMYFUNCTION("""COMPUTED_VALUE"""),45000.35530092593)</f>
        <v>45000.3553</v>
      </c>
      <c r="H5428" s="24" t="str">
        <f>IFERROR(VLOOKUP(B5428,material!A:D,3,0),"")</f>
        <v>SIM CARD</v>
      </c>
    </row>
    <row r="5429" ht="11.25" customHeight="1">
      <c r="A5429" s="21" t="str">
        <f>IFERROR(__xludf.DUMMYFUNCTION("""COMPUTED_VALUE"""),"SMART SIM CARD NAGRA")</f>
        <v>SMART SIM CARD NAGRA</v>
      </c>
      <c r="B5429" s="22">
        <f>IFERROR(__xludf.DUMMYFUNCTION("""COMPUTED_VALUE"""),4.1000805E7)</f>
        <v>41000805</v>
      </c>
      <c r="C5429" s="21" t="str">
        <f>IFERROR(__xludf.DUMMYFUNCTION("""COMPUTED_VALUE"""),"246440227277")</f>
        <v>246440227277</v>
      </c>
      <c r="D5429" s="21" t="str">
        <f>IFERROR(__xludf.DUMMYFUNCTION("""COMPUTED_VALUE"""),"DIGITEC TECNOLOGIA DIGITAL E REPRES")</f>
        <v>DIGITEC TECNOLOGIA DIGITAL E REPRES</v>
      </c>
      <c r="E5429" s="21">
        <f>IFERROR(__xludf.DUMMYFUNCTION("""COMPUTED_VALUE"""),145359.0)</f>
        <v>145359</v>
      </c>
      <c r="F5429" s="21" t="str">
        <f>IFERROR(__xludf.DUMMYFUNCTION("""COMPUTED_VALUE"""),"INICIALIZADO")</f>
        <v>INICIALIZADO</v>
      </c>
      <c r="G5429" s="23">
        <f>IFERROR(__xludf.DUMMYFUNCTION("""COMPUTED_VALUE"""),45513.757569444446)</f>
        <v>45513.75757</v>
      </c>
      <c r="H5429" s="24" t="str">
        <f>IFERROR(VLOOKUP(B5429,material!A:D,3,0),"")</f>
        <v>SIM CARD</v>
      </c>
    </row>
    <row r="5430" ht="11.25" customHeight="1">
      <c r="A5430" s="21" t="str">
        <f>IFERROR(__xludf.DUMMYFUNCTION("""COMPUTED_VALUE"""),"SMART SIM CARD NAGRA")</f>
        <v>SMART SIM CARD NAGRA</v>
      </c>
      <c r="B5430" s="22">
        <f>IFERROR(__xludf.DUMMYFUNCTION("""COMPUTED_VALUE"""),4.1000805E7)</f>
        <v>41000805</v>
      </c>
      <c r="C5430" s="21" t="str">
        <f>IFERROR(__xludf.DUMMYFUNCTION("""COMPUTED_VALUE"""),"246455834446")</f>
        <v>246455834446</v>
      </c>
      <c r="D5430" s="21" t="str">
        <f>IFERROR(__xludf.DUMMYFUNCTION("""COMPUTED_VALUE"""),"DIGITEC TECNOLOGIA DIGITAL E REPRES")</f>
        <v>DIGITEC TECNOLOGIA DIGITAL E REPRES</v>
      </c>
      <c r="E5430" s="21">
        <f>IFERROR(__xludf.DUMMYFUNCTION("""COMPUTED_VALUE"""),145359.0)</f>
        <v>145359</v>
      </c>
      <c r="F5430" s="21" t="str">
        <f>IFERROR(__xludf.DUMMYFUNCTION("""COMPUTED_VALUE"""),"INICIALIZADO")</f>
        <v>INICIALIZADO</v>
      </c>
      <c r="G5430" s="23">
        <f>IFERROR(__xludf.DUMMYFUNCTION("""COMPUTED_VALUE"""),45597.417766203704)</f>
        <v>45597.41777</v>
      </c>
      <c r="H5430" s="24" t="str">
        <f>IFERROR(VLOOKUP(B5430,material!A:D,3,0),"")</f>
        <v>SIM CARD</v>
      </c>
    </row>
    <row r="5431" ht="11.25" customHeight="1">
      <c r="A5431" s="21" t="str">
        <f>IFERROR(__xludf.DUMMYFUNCTION("""COMPUTED_VALUE"""),"SMART SIM CARD NAGRA")</f>
        <v>SMART SIM CARD NAGRA</v>
      </c>
      <c r="B5431" s="22">
        <f>IFERROR(__xludf.DUMMYFUNCTION("""COMPUTED_VALUE"""),4.1000805E7)</f>
        <v>41000805</v>
      </c>
      <c r="C5431" s="21" t="str">
        <f>IFERROR(__xludf.DUMMYFUNCTION("""COMPUTED_VALUE"""),"246474144662")</f>
        <v>246474144662</v>
      </c>
      <c r="D5431" s="21" t="str">
        <f>IFERROR(__xludf.DUMMYFUNCTION("""COMPUTED_VALUE"""),"DIGITEC TECNOLOGIA DIGITAL E REPRES")</f>
        <v>DIGITEC TECNOLOGIA DIGITAL E REPRES</v>
      </c>
      <c r="E5431" s="21">
        <f>IFERROR(__xludf.DUMMYFUNCTION("""COMPUTED_VALUE"""),145359.0)</f>
        <v>145359</v>
      </c>
      <c r="F5431" s="21" t="str">
        <f>IFERROR(__xludf.DUMMYFUNCTION("""COMPUTED_VALUE"""),"INICIALIZADO")</f>
        <v>INICIALIZADO</v>
      </c>
      <c r="G5431" s="23">
        <f>IFERROR(__xludf.DUMMYFUNCTION("""COMPUTED_VALUE"""),45000.78188657407)</f>
        <v>45000.78189</v>
      </c>
      <c r="H5431" s="24" t="str">
        <f>IFERROR(VLOOKUP(B5431,material!A:D,3,0),"")</f>
        <v>SIM CARD</v>
      </c>
    </row>
    <row r="5432" ht="11.25" customHeight="1">
      <c r="A5432" s="21" t="str">
        <f>IFERROR(__xludf.DUMMYFUNCTION("""COMPUTED_VALUE"""),"SMART SIM CARD NAGRA")</f>
        <v>SMART SIM CARD NAGRA</v>
      </c>
      <c r="B5432" s="22">
        <f>IFERROR(__xludf.DUMMYFUNCTION("""COMPUTED_VALUE"""),4.1000805E7)</f>
        <v>41000805</v>
      </c>
      <c r="C5432" s="21" t="str">
        <f>IFERROR(__xludf.DUMMYFUNCTION("""COMPUTED_VALUE"""),"246505835061")</f>
        <v>246505835061</v>
      </c>
      <c r="D5432" s="21" t="str">
        <f>IFERROR(__xludf.DUMMYFUNCTION("""COMPUTED_VALUE"""),"DIGITEC TECNOLOGIA DIGITAL E REPRES")</f>
        <v>DIGITEC TECNOLOGIA DIGITAL E REPRES</v>
      </c>
      <c r="E5432" s="21">
        <f>IFERROR(__xludf.DUMMYFUNCTION("""COMPUTED_VALUE"""),145359.0)</f>
        <v>145359</v>
      </c>
      <c r="F5432" s="21" t="str">
        <f>IFERROR(__xludf.DUMMYFUNCTION("""COMPUTED_VALUE"""),"INICIALIZADO")</f>
        <v>INICIALIZADO</v>
      </c>
      <c r="G5432" s="23">
        <f>IFERROR(__xludf.DUMMYFUNCTION("""COMPUTED_VALUE"""),45000.35530092593)</f>
        <v>45000.3553</v>
      </c>
      <c r="H5432" s="24" t="str">
        <f>IFERROR(VLOOKUP(B5432,material!A:D,3,0),"")</f>
        <v>SIM CARD</v>
      </c>
    </row>
    <row r="5433" ht="11.25" customHeight="1">
      <c r="A5433" s="21" t="str">
        <f>IFERROR(__xludf.DUMMYFUNCTION("""COMPUTED_VALUE"""),"SMART SIM CARD NAGRA")</f>
        <v>SMART SIM CARD NAGRA</v>
      </c>
      <c r="B5433" s="22">
        <f>IFERROR(__xludf.DUMMYFUNCTION("""COMPUTED_VALUE"""),4.1000805E7)</f>
        <v>41000805</v>
      </c>
      <c r="C5433" s="21" t="str">
        <f>IFERROR(__xludf.DUMMYFUNCTION("""COMPUTED_VALUE"""),"246523589207")</f>
        <v>246523589207</v>
      </c>
      <c r="D5433" s="21" t="str">
        <f>IFERROR(__xludf.DUMMYFUNCTION("""COMPUTED_VALUE"""),"DIGITEC TECNOLOGIA DIGITAL E REPRES")</f>
        <v>DIGITEC TECNOLOGIA DIGITAL E REPRES</v>
      </c>
      <c r="E5433" s="21">
        <f>IFERROR(__xludf.DUMMYFUNCTION("""COMPUTED_VALUE"""),145359.0)</f>
        <v>145359</v>
      </c>
      <c r="F5433" s="21" t="str">
        <f>IFERROR(__xludf.DUMMYFUNCTION("""COMPUTED_VALUE"""),"INICIALIZADO")</f>
        <v>INICIALIZADO</v>
      </c>
      <c r="G5433" s="23">
        <f>IFERROR(__xludf.DUMMYFUNCTION("""COMPUTED_VALUE"""),45000.35530092593)</f>
        <v>45000.3553</v>
      </c>
      <c r="H5433" s="24" t="str">
        <f>IFERROR(VLOOKUP(B5433,material!A:D,3,0),"")</f>
        <v>SIM CARD</v>
      </c>
    </row>
    <row r="5434" ht="11.25" customHeight="1">
      <c r="A5434" s="21" t="str">
        <f>IFERROR(__xludf.DUMMYFUNCTION("""COMPUTED_VALUE"""),"SMART SIM CARD NAGRA")</f>
        <v>SMART SIM CARD NAGRA</v>
      </c>
      <c r="B5434" s="22">
        <f>IFERROR(__xludf.DUMMYFUNCTION("""COMPUTED_VALUE"""),4.1000805E7)</f>
        <v>41000805</v>
      </c>
      <c r="C5434" s="21" t="str">
        <f>IFERROR(__xludf.DUMMYFUNCTION("""COMPUTED_VALUE"""),"246609821226")</f>
        <v>246609821226</v>
      </c>
      <c r="D5434" s="21" t="str">
        <f>IFERROR(__xludf.DUMMYFUNCTION("""COMPUTED_VALUE"""),"DIGITEC TECNOLOGIA DIGITAL E REPRES")</f>
        <v>DIGITEC TECNOLOGIA DIGITAL E REPRES</v>
      </c>
      <c r="E5434" s="21">
        <f>IFERROR(__xludf.DUMMYFUNCTION("""COMPUTED_VALUE"""),145359.0)</f>
        <v>145359</v>
      </c>
      <c r="F5434" s="21" t="str">
        <f>IFERROR(__xludf.DUMMYFUNCTION("""COMPUTED_VALUE"""),"INICIALIZADO")</f>
        <v>INICIALIZADO</v>
      </c>
      <c r="G5434" s="23">
        <f>IFERROR(__xludf.DUMMYFUNCTION("""COMPUTED_VALUE"""),45618.744722222225)</f>
        <v>45618.74472</v>
      </c>
      <c r="H5434" s="24" t="str">
        <f>IFERROR(VLOOKUP(B5434,material!A:D,3,0),"")</f>
        <v>SIM CARD</v>
      </c>
    </row>
    <row r="5435" ht="11.25" customHeight="1">
      <c r="A5435" s="21" t="str">
        <f>IFERROR(__xludf.DUMMYFUNCTION("""COMPUTED_VALUE"""),"SMART SIM CARD NAGRA")</f>
        <v>SMART SIM CARD NAGRA</v>
      </c>
      <c r="B5435" s="22">
        <f>IFERROR(__xludf.DUMMYFUNCTION("""COMPUTED_VALUE"""),4.1000805E7)</f>
        <v>41000805</v>
      </c>
      <c r="C5435" s="21" t="str">
        <f>IFERROR(__xludf.DUMMYFUNCTION("""COMPUTED_VALUE"""),"246616439200")</f>
        <v>246616439200</v>
      </c>
      <c r="D5435" s="21" t="str">
        <f>IFERROR(__xludf.DUMMYFUNCTION("""COMPUTED_VALUE"""),"DIGITEC TECNOLOGIA DIGITAL E REPRES")</f>
        <v>DIGITEC TECNOLOGIA DIGITAL E REPRES</v>
      </c>
      <c r="E5435" s="21">
        <f>IFERROR(__xludf.DUMMYFUNCTION("""COMPUTED_VALUE"""),145359.0)</f>
        <v>145359</v>
      </c>
      <c r="F5435" s="21" t="str">
        <f>IFERROR(__xludf.DUMMYFUNCTION("""COMPUTED_VALUE"""),"INICIALIZADO")</f>
        <v>INICIALIZADO</v>
      </c>
      <c r="G5435" s="23">
        <f>IFERROR(__xludf.DUMMYFUNCTION("""COMPUTED_VALUE"""),45618.744722222225)</f>
        <v>45618.74472</v>
      </c>
      <c r="H5435" s="24" t="str">
        <f>IFERROR(VLOOKUP(B5435,material!A:D,3,0),"")</f>
        <v>SIM CARD</v>
      </c>
    </row>
    <row r="5436" ht="11.25" customHeight="1">
      <c r="A5436" s="21" t="str">
        <f>IFERROR(__xludf.DUMMYFUNCTION("""COMPUTED_VALUE"""),"SMART SIM CARD NAGRA")</f>
        <v>SMART SIM CARD NAGRA</v>
      </c>
      <c r="B5436" s="22">
        <f>IFERROR(__xludf.DUMMYFUNCTION("""COMPUTED_VALUE"""),4.1000805E7)</f>
        <v>41000805</v>
      </c>
      <c r="C5436" s="21" t="str">
        <f>IFERROR(__xludf.DUMMYFUNCTION("""COMPUTED_VALUE"""),"246643484062")</f>
        <v>246643484062</v>
      </c>
      <c r="D5436" s="21" t="str">
        <f>IFERROR(__xludf.DUMMYFUNCTION("""COMPUTED_VALUE"""),"DIGITEC TECNOLOGIA DIGITAL E REPRES")</f>
        <v>DIGITEC TECNOLOGIA DIGITAL E REPRES</v>
      </c>
      <c r="E5436" s="21">
        <f>IFERROR(__xludf.DUMMYFUNCTION("""COMPUTED_VALUE"""),145359.0)</f>
        <v>145359</v>
      </c>
      <c r="F5436" s="21" t="str">
        <f>IFERROR(__xludf.DUMMYFUNCTION("""COMPUTED_VALUE"""),"INICIALIZADO")</f>
        <v>INICIALIZADO</v>
      </c>
      <c r="G5436" s="23">
        <f>IFERROR(__xludf.DUMMYFUNCTION("""COMPUTED_VALUE"""),45618.744722222225)</f>
        <v>45618.74472</v>
      </c>
      <c r="H5436" s="24" t="str">
        <f>IFERROR(VLOOKUP(B5436,material!A:D,3,0),"")</f>
        <v>SIM CARD</v>
      </c>
    </row>
    <row r="5437" ht="11.25" customHeight="1">
      <c r="A5437" s="21" t="str">
        <f>IFERROR(__xludf.DUMMYFUNCTION("""COMPUTED_VALUE"""),"SMART SIM CARD NAGRA")</f>
        <v>SMART SIM CARD NAGRA</v>
      </c>
      <c r="B5437" s="22">
        <f>IFERROR(__xludf.DUMMYFUNCTION("""COMPUTED_VALUE"""),4.1000805E7)</f>
        <v>41000805</v>
      </c>
      <c r="C5437" s="21" t="str">
        <f>IFERROR(__xludf.DUMMYFUNCTION("""COMPUTED_VALUE"""),"246650788400")</f>
        <v>246650788400</v>
      </c>
      <c r="D5437" s="21" t="str">
        <f>IFERROR(__xludf.DUMMYFUNCTION("""COMPUTED_VALUE"""),"DIGITEC TECNOLOGIA DIGITAL E REPRES")</f>
        <v>DIGITEC TECNOLOGIA DIGITAL E REPRES</v>
      </c>
      <c r="E5437" s="21">
        <f>IFERROR(__xludf.DUMMYFUNCTION("""COMPUTED_VALUE"""),145359.0)</f>
        <v>145359</v>
      </c>
      <c r="F5437" s="21" t="str">
        <f>IFERROR(__xludf.DUMMYFUNCTION("""COMPUTED_VALUE"""),"INICIALIZADO")</f>
        <v>INICIALIZADO</v>
      </c>
      <c r="G5437" s="23">
        <f>IFERROR(__xludf.DUMMYFUNCTION("""COMPUTED_VALUE"""),45625.6531712963)</f>
        <v>45625.65317</v>
      </c>
      <c r="H5437" s="24" t="str">
        <f>IFERROR(VLOOKUP(B5437,material!A:D,3,0),"")</f>
        <v>SIM CARD</v>
      </c>
    </row>
    <row r="5438" ht="11.25" customHeight="1">
      <c r="A5438" s="21" t="str">
        <f>IFERROR(__xludf.DUMMYFUNCTION("""COMPUTED_VALUE"""),"SMART SIM CARD NAGRA")</f>
        <v>SMART SIM CARD NAGRA</v>
      </c>
      <c r="B5438" s="22">
        <f>IFERROR(__xludf.DUMMYFUNCTION("""COMPUTED_VALUE"""),4.1000805E7)</f>
        <v>41000805</v>
      </c>
      <c r="C5438" s="21" t="str">
        <f>IFERROR(__xludf.DUMMYFUNCTION("""COMPUTED_VALUE"""),"246645993454")</f>
        <v>246645993454</v>
      </c>
      <c r="D5438" s="21" t="str">
        <f>IFERROR(__xludf.DUMMYFUNCTION("""COMPUTED_VALUE"""),"DIGITEC TECNOLOGIA DIGITAL E REPRES")</f>
        <v>DIGITEC TECNOLOGIA DIGITAL E REPRES</v>
      </c>
      <c r="E5438" s="21">
        <f>IFERROR(__xludf.DUMMYFUNCTION("""COMPUTED_VALUE"""),145359.0)</f>
        <v>145359</v>
      </c>
      <c r="F5438" s="21" t="str">
        <f>IFERROR(__xludf.DUMMYFUNCTION("""COMPUTED_VALUE"""),"INICIALIZADO")</f>
        <v>INICIALIZADO</v>
      </c>
      <c r="G5438" s="23">
        <f>IFERROR(__xludf.DUMMYFUNCTION("""COMPUTED_VALUE"""),45615.61851851852)</f>
        <v>45615.61852</v>
      </c>
      <c r="H5438" s="24" t="str">
        <f>IFERROR(VLOOKUP(B5438,material!A:D,3,0),"")</f>
        <v>SIM CARD</v>
      </c>
    </row>
    <row r="5439" ht="11.25" customHeight="1">
      <c r="A5439" s="21" t="str">
        <f>IFERROR(__xludf.DUMMYFUNCTION("""COMPUTED_VALUE"""),"SMART SIM CARD NAGRA")</f>
        <v>SMART SIM CARD NAGRA</v>
      </c>
      <c r="B5439" s="22">
        <f>IFERROR(__xludf.DUMMYFUNCTION("""COMPUTED_VALUE"""),4.1000805E7)</f>
        <v>41000805</v>
      </c>
      <c r="C5439" s="21" t="str">
        <f>IFERROR(__xludf.DUMMYFUNCTION("""COMPUTED_VALUE"""),"246645477488")</f>
        <v>246645477488</v>
      </c>
      <c r="D5439" s="21" t="str">
        <f>IFERROR(__xludf.DUMMYFUNCTION("""COMPUTED_VALUE"""),"DIGITEC TECNOLOGIA DIGITAL E REPRES")</f>
        <v>DIGITEC TECNOLOGIA DIGITAL E REPRES</v>
      </c>
      <c r="E5439" s="21">
        <f>IFERROR(__xludf.DUMMYFUNCTION("""COMPUTED_VALUE"""),145359.0)</f>
        <v>145359</v>
      </c>
      <c r="F5439" s="21" t="str">
        <f>IFERROR(__xludf.DUMMYFUNCTION("""COMPUTED_VALUE"""),"INICIALIZADO")</f>
        <v>INICIALIZADO</v>
      </c>
      <c r="G5439" s="23">
        <f>IFERROR(__xludf.DUMMYFUNCTION("""COMPUTED_VALUE"""),45625.6531712963)</f>
        <v>45625.65317</v>
      </c>
      <c r="H5439" s="24" t="str">
        <f>IFERROR(VLOOKUP(B5439,material!A:D,3,0),"")</f>
        <v>SIM CARD</v>
      </c>
    </row>
    <row r="5440" ht="11.25" customHeight="1">
      <c r="A5440" s="21" t="str">
        <f>IFERROR(__xludf.DUMMYFUNCTION("""COMPUTED_VALUE"""),"SMART SIM CARD NAGRA")</f>
        <v>SMART SIM CARD NAGRA</v>
      </c>
      <c r="B5440" s="22">
        <f>IFERROR(__xludf.DUMMYFUNCTION("""COMPUTED_VALUE"""),4.1000805E7)</f>
        <v>41000805</v>
      </c>
      <c r="C5440" s="21" t="str">
        <f>IFERROR(__xludf.DUMMYFUNCTION("""COMPUTED_VALUE"""),"246643272223")</f>
        <v>246643272223</v>
      </c>
      <c r="D5440" s="21" t="str">
        <f>IFERROR(__xludf.DUMMYFUNCTION("""COMPUTED_VALUE"""),"DIGITEC TECNOLOGIA DIGITAL E REPRES")</f>
        <v>DIGITEC TECNOLOGIA DIGITAL E REPRES</v>
      </c>
      <c r="E5440" s="21">
        <f>IFERROR(__xludf.DUMMYFUNCTION("""COMPUTED_VALUE"""),145359.0)</f>
        <v>145359</v>
      </c>
      <c r="F5440" s="21" t="str">
        <f>IFERROR(__xludf.DUMMYFUNCTION("""COMPUTED_VALUE"""),"INICIALIZADO")</f>
        <v>INICIALIZADO</v>
      </c>
      <c r="G5440" s="23">
        <f>IFERROR(__xludf.DUMMYFUNCTION("""COMPUTED_VALUE"""),45615.61851851852)</f>
        <v>45615.61852</v>
      </c>
      <c r="H5440" s="24" t="str">
        <f>IFERROR(VLOOKUP(B5440,material!A:D,3,0),"")</f>
        <v>SIM CARD</v>
      </c>
    </row>
    <row r="5441" ht="11.25" customHeight="1">
      <c r="A5441" s="21" t="str">
        <f>IFERROR(__xludf.DUMMYFUNCTION("""COMPUTED_VALUE"""),"SMART SIM CARD NAGRA")</f>
        <v>SMART SIM CARD NAGRA</v>
      </c>
      <c r="B5441" s="22">
        <f>IFERROR(__xludf.DUMMYFUNCTION("""COMPUTED_VALUE"""),4.1000805E7)</f>
        <v>41000805</v>
      </c>
      <c r="C5441" s="21" t="str">
        <f>IFERROR(__xludf.DUMMYFUNCTION("""COMPUTED_VALUE"""),"246645419604")</f>
        <v>246645419604</v>
      </c>
      <c r="D5441" s="21" t="str">
        <f>IFERROR(__xludf.DUMMYFUNCTION("""COMPUTED_VALUE"""),"DIGITEC TECNOLOGIA DIGITAL E REPRES")</f>
        <v>DIGITEC TECNOLOGIA DIGITAL E REPRES</v>
      </c>
      <c r="E5441" s="21">
        <f>IFERROR(__xludf.DUMMYFUNCTION("""COMPUTED_VALUE"""),145359.0)</f>
        <v>145359</v>
      </c>
      <c r="F5441" s="21" t="str">
        <f>IFERROR(__xludf.DUMMYFUNCTION("""COMPUTED_VALUE"""),"INICIALIZADO")</f>
        <v>INICIALIZADO</v>
      </c>
      <c r="G5441" s="23">
        <f>IFERROR(__xludf.DUMMYFUNCTION("""COMPUTED_VALUE"""),45615.61851851852)</f>
        <v>45615.61852</v>
      </c>
      <c r="H5441" s="24" t="str">
        <f>IFERROR(VLOOKUP(B5441,material!A:D,3,0),"")</f>
        <v>SIM CARD</v>
      </c>
    </row>
    <row r="5442" ht="11.25" customHeight="1">
      <c r="A5442" s="21" t="str">
        <f>IFERROR(__xludf.DUMMYFUNCTION("""COMPUTED_VALUE"""),"SMART SIM CARD NAGRA")</f>
        <v>SMART SIM CARD NAGRA</v>
      </c>
      <c r="B5442" s="22">
        <f>IFERROR(__xludf.DUMMYFUNCTION("""COMPUTED_VALUE"""),4.1000805E7)</f>
        <v>41000805</v>
      </c>
      <c r="C5442" s="21" t="str">
        <f>IFERROR(__xludf.DUMMYFUNCTION("""COMPUTED_VALUE"""),"246645798585")</f>
        <v>246645798585</v>
      </c>
      <c r="D5442" s="21" t="str">
        <f>IFERROR(__xludf.DUMMYFUNCTION("""COMPUTED_VALUE"""),"DIGITEC TECNOLOGIA DIGITAL E REPRES")</f>
        <v>DIGITEC TECNOLOGIA DIGITAL E REPRES</v>
      </c>
      <c r="E5442" s="21">
        <f>IFERROR(__xludf.DUMMYFUNCTION("""COMPUTED_VALUE"""),145359.0)</f>
        <v>145359</v>
      </c>
      <c r="F5442" s="21" t="str">
        <f>IFERROR(__xludf.DUMMYFUNCTION("""COMPUTED_VALUE"""),"INICIALIZADO")</f>
        <v>INICIALIZADO</v>
      </c>
      <c r="G5442" s="23">
        <f>IFERROR(__xludf.DUMMYFUNCTION("""COMPUTED_VALUE"""),45615.61851851852)</f>
        <v>45615.61852</v>
      </c>
      <c r="H5442" s="24" t="str">
        <f>IFERROR(VLOOKUP(B5442,material!A:D,3,0),"")</f>
        <v>SIM CARD</v>
      </c>
    </row>
    <row r="5443" ht="11.25" customHeight="1">
      <c r="A5443" s="21" t="str">
        <f>IFERROR(__xludf.DUMMYFUNCTION("""COMPUTED_VALUE"""),"SMART SIM CARD NAGRA")</f>
        <v>SMART SIM CARD NAGRA</v>
      </c>
      <c r="B5443" s="22">
        <f>IFERROR(__xludf.DUMMYFUNCTION("""COMPUTED_VALUE"""),4.1000805E7)</f>
        <v>41000805</v>
      </c>
      <c r="C5443" s="21" t="str">
        <f>IFERROR(__xludf.DUMMYFUNCTION("""COMPUTED_VALUE"""),"246649320917")</f>
        <v>246649320917</v>
      </c>
      <c r="D5443" s="21" t="str">
        <f>IFERROR(__xludf.DUMMYFUNCTION("""COMPUTED_VALUE"""),"DIGITEC TECNOLOGIA DIGITAL E REPRES")</f>
        <v>DIGITEC TECNOLOGIA DIGITAL E REPRES</v>
      </c>
      <c r="E5443" s="21">
        <f>IFERROR(__xludf.DUMMYFUNCTION("""COMPUTED_VALUE"""),145359.0)</f>
        <v>145359</v>
      </c>
      <c r="F5443" s="21" t="str">
        <f>IFERROR(__xludf.DUMMYFUNCTION("""COMPUTED_VALUE"""),"INICIALIZADO")</f>
        <v>INICIALIZADO</v>
      </c>
      <c r="G5443" s="23">
        <f>IFERROR(__xludf.DUMMYFUNCTION("""COMPUTED_VALUE"""),45615.61851851852)</f>
        <v>45615.61852</v>
      </c>
      <c r="H5443" s="24" t="str">
        <f>IFERROR(VLOOKUP(B5443,material!A:D,3,0),"")</f>
        <v>SIM CARD</v>
      </c>
    </row>
    <row r="5444" ht="11.25" customHeight="1">
      <c r="A5444" s="21" t="str">
        <f>IFERROR(__xludf.DUMMYFUNCTION("""COMPUTED_VALUE"""),"SAG4KC362")</f>
        <v>SAG4KC362</v>
      </c>
      <c r="B5444" s="22">
        <f>IFERROR(__xludf.DUMMYFUNCTION("""COMPUTED_VALUE"""),4.1001068E7)</f>
        <v>41001068</v>
      </c>
      <c r="C5444" s="21" t="str">
        <f>IFERROR(__xludf.DUMMYFUNCTION("""COMPUTED_VALUE"""),"229723286383")</f>
        <v>229723286383</v>
      </c>
      <c r="D5444" s="21" t="str">
        <f>IFERROR(__xludf.DUMMYFUNCTION("""COMPUTED_VALUE"""),"DIGITEC TECNOLOGIA DIGITAL E REPRES")</f>
        <v>DIGITEC TECNOLOGIA DIGITAL E REPRES</v>
      </c>
      <c r="E5444" s="21">
        <f>IFERROR(__xludf.DUMMYFUNCTION("""COMPUTED_VALUE"""),145359.0)</f>
        <v>145359</v>
      </c>
      <c r="F5444" s="21" t="str">
        <f>IFERROR(__xludf.DUMMYFUNCTION("""COMPUTED_VALUE"""),"INICIALIZADO")</f>
        <v>INICIALIZADO</v>
      </c>
      <c r="G5444" s="23">
        <f>IFERROR(__xludf.DUMMYFUNCTION("""COMPUTED_VALUE"""),45597.41777777778)</f>
        <v>45597.41778</v>
      </c>
      <c r="H5444" s="24" t="str">
        <f>IFERROR(VLOOKUP(B5444,material!A:D,3,0),"")</f>
        <v>4K</v>
      </c>
    </row>
    <row r="5445" ht="11.25" customHeight="1">
      <c r="A5445" s="21" t="str">
        <f>IFERROR(__xludf.DUMMYFUNCTION("""COMPUTED_VALUE"""),"SAG4KC362")</f>
        <v>SAG4KC362</v>
      </c>
      <c r="B5445" s="22">
        <f>IFERROR(__xludf.DUMMYFUNCTION("""COMPUTED_VALUE"""),4.1001068E7)</f>
        <v>41001068</v>
      </c>
      <c r="C5445" s="21" t="str">
        <f>IFERROR(__xludf.DUMMYFUNCTION("""COMPUTED_VALUE"""),"229722449601")</f>
        <v>229722449601</v>
      </c>
      <c r="D5445" s="21" t="str">
        <f>IFERROR(__xludf.DUMMYFUNCTION("""COMPUTED_VALUE"""),"DIGITEC TECNOLOGIA DIGITAL E REPRES")</f>
        <v>DIGITEC TECNOLOGIA DIGITAL E REPRES</v>
      </c>
      <c r="E5445" s="21">
        <f>IFERROR(__xludf.DUMMYFUNCTION("""COMPUTED_VALUE"""),145359.0)</f>
        <v>145359</v>
      </c>
      <c r="F5445" s="21" t="str">
        <f>IFERROR(__xludf.DUMMYFUNCTION("""COMPUTED_VALUE"""),"INICIALIZADO")</f>
        <v>INICIALIZADO</v>
      </c>
      <c r="G5445" s="23">
        <f>IFERROR(__xludf.DUMMYFUNCTION("""COMPUTED_VALUE"""),45527.753437499996)</f>
        <v>45527.75344</v>
      </c>
      <c r="H5445" s="24" t="str">
        <f>IFERROR(VLOOKUP(B5445,material!A:D,3,0),"")</f>
        <v>4K</v>
      </c>
    </row>
    <row r="5446" ht="11.25" customHeight="1">
      <c r="A5446" s="21" t="str">
        <f>IFERROR(__xludf.DUMMYFUNCTION("""COMPUTED_VALUE"""),"SAG4KC362")</f>
        <v>SAG4KC362</v>
      </c>
      <c r="B5446" s="22">
        <f>IFERROR(__xludf.DUMMYFUNCTION("""COMPUTED_VALUE"""),4.1001068E7)</f>
        <v>41001068</v>
      </c>
      <c r="C5446" s="21" t="str">
        <f>IFERROR(__xludf.DUMMYFUNCTION("""COMPUTED_VALUE"""),"216900516985")</f>
        <v>216900516985</v>
      </c>
      <c r="D5446" s="21" t="str">
        <f>IFERROR(__xludf.DUMMYFUNCTION("""COMPUTED_VALUE"""),"DIGITEC TECNOLOGIA DIGITAL E REPRES")</f>
        <v>DIGITEC TECNOLOGIA DIGITAL E REPRES</v>
      </c>
      <c r="E5446" s="21">
        <f>IFERROR(__xludf.DUMMYFUNCTION("""COMPUTED_VALUE"""),145359.0)</f>
        <v>145359</v>
      </c>
      <c r="F5446" s="21" t="str">
        <f>IFERROR(__xludf.DUMMYFUNCTION("""COMPUTED_VALUE"""),"INICIALIZADO")</f>
        <v>INICIALIZADO</v>
      </c>
      <c r="G5446" s="23">
        <f>IFERROR(__xludf.DUMMYFUNCTION("""COMPUTED_VALUE"""),45597.41777777778)</f>
        <v>45597.41778</v>
      </c>
      <c r="H5446" s="24" t="str">
        <f>IFERROR(VLOOKUP(B5446,material!A:D,3,0),"")</f>
        <v>4K</v>
      </c>
    </row>
    <row r="5447" ht="11.25" customHeight="1">
      <c r="A5447" s="21" t="str">
        <f>IFERROR(__xludf.DUMMYFUNCTION("""COMPUTED_VALUE"""),"SAG4KC362")</f>
        <v>SAG4KC362</v>
      </c>
      <c r="B5447" s="22">
        <f>IFERROR(__xludf.DUMMYFUNCTION("""COMPUTED_VALUE"""),4.1001068E7)</f>
        <v>41001068</v>
      </c>
      <c r="C5447" s="21" t="str">
        <f>IFERROR(__xludf.DUMMYFUNCTION("""COMPUTED_VALUE"""),"216898181124")</f>
        <v>216898181124</v>
      </c>
      <c r="D5447" s="21" t="str">
        <f>IFERROR(__xludf.DUMMYFUNCTION("""COMPUTED_VALUE"""),"DIGITEC TECNOLOGIA DIGITAL E REPRES")</f>
        <v>DIGITEC TECNOLOGIA DIGITAL E REPRES</v>
      </c>
      <c r="E5447" s="21">
        <f>IFERROR(__xludf.DUMMYFUNCTION("""COMPUTED_VALUE"""),145359.0)</f>
        <v>145359</v>
      </c>
      <c r="F5447" s="21" t="str">
        <f>IFERROR(__xludf.DUMMYFUNCTION("""COMPUTED_VALUE"""),"INICIALIZADO")</f>
        <v>INICIALIZADO</v>
      </c>
      <c r="G5447" s="23">
        <f>IFERROR(__xludf.DUMMYFUNCTION("""COMPUTED_VALUE"""),45597.41777777778)</f>
        <v>45597.41778</v>
      </c>
      <c r="H5447" s="24" t="str">
        <f>IFERROR(VLOOKUP(B5447,material!A:D,3,0),"")</f>
        <v>4K</v>
      </c>
    </row>
    <row r="5448" ht="11.25" customHeight="1">
      <c r="A5448" s="21" t="str">
        <f>IFERROR(__xludf.DUMMYFUNCTION("""COMPUTED_VALUE"""),"SAG4KC362")</f>
        <v>SAG4KC362</v>
      </c>
      <c r="B5448" s="22">
        <f>IFERROR(__xludf.DUMMYFUNCTION("""COMPUTED_VALUE"""),4.1001068E7)</f>
        <v>41001068</v>
      </c>
      <c r="C5448" s="21" t="str">
        <f>IFERROR(__xludf.DUMMYFUNCTION("""COMPUTED_VALUE"""),"229719283748")</f>
        <v>229719283748</v>
      </c>
      <c r="D5448" s="21" t="str">
        <f>IFERROR(__xludf.DUMMYFUNCTION("""COMPUTED_VALUE"""),"DIGITEC TECNOLOGIA DIGITAL E REPRES")</f>
        <v>DIGITEC TECNOLOGIA DIGITAL E REPRES</v>
      </c>
      <c r="E5448" s="21">
        <f>IFERROR(__xludf.DUMMYFUNCTION("""COMPUTED_VALUE"""),145359.0)</f>
        <v>145359</v>
      </c>
      <c r="F5448" s="21" t="str">
        <f>IFERROR(__xludf.DUMMYFUNCTION("""COMPUTED_VALUE"""),"INICIALIZADO")</f>
        <v>INICIALIZADO</v>
      </c>
      <c r="G5448" s="23">
        <f>IFERROR(__xludf.DUMMYFUNCTION("""COMPUTED_VALUE"""),45573.66674768519)</f>
        <v>45573.66675</v>
      </c>
      <c r="H5448" s="24" t="str">
        <f>IFERROR(VLOOKUP(B5448,material!A:D,3,0),"")</f>
        <v>4K</v>
      </c>
    </row>
    <row r="5449" ht="11.25" customHeight="1">
      <c r="A5449" s="21" t="str">
        <f>IFERROR(__xludf.DUMMYFUNCTION("""COMPUTED_VALUE"""),"SAG4KC362")</f>
        <v>SAG4KC362</v>
      </c>
      <c r="B5449" s="22">
        <f>IFERROR(__xludf.DUMMYFUNCTION("""COMPUTED_VALUE"""),4.1001068E7)</f>
        <v>41001068</v>
      </c>
      <c r="C5449" s="21" t="str">
        <f>IFERROR(__xludf.DUMMYFUNCTION("""COMPUTED_VALUE"""),"216947531518")</f>
        <v>216947531518</v>
      </c>
      <c r="D5449" s="21" t="str">
        <f>IFERROR(__xludf.DUMMYFUNCTION("""COMPUTED_VALUE"""),"DIGITEC TECNOLOGIA DIGITAL E REPRES")</f>
        <v>DIGITEC TECNOLOGIA DIGITAL E REPRES</v>
      </c>
      <c r="E5449" s="21">
        <f>IFERROR(__xludf.DUMMYFUNCTION("""COMPUTED_VALUE"""),145359.0)</f>
        <v>145359</v>
      </c>
      <c r="F5449" s="21" t="str">
        <f>IFERROR(__xludf.DUMMYFUNCTION("""COMPUTED_VALUE"""),"INICIALIZADO")</f>
        <v>INICIALIZADO</v>
      </c>
      <c r="G5449" s="23">
        <f>IFERROR(__xludf.DUMMYFUNCTION("""COMPUTED_VALUE"""),45527.753437499996)</f>
        <v>45527.75344</v>
      </c>
      <c r="H5449" s="24" t="str">
        <f>IFERROR(VLOOKUP(B5449,material!A:D,3,0),"")</f>
        <v>4K</v>
      </c>
    </row>
    <row r="5450" ht="11.25" customHeight="1">
      <c r="A5450" s="21" t="str">
        <f>IFERROR(__xludf.DUMMYFUNCTION("""COMPUTED_VALUE"""),"SAG4KC362")</f>
        <v>SAG4KC362</v>
      </c>
      <c r="B5450" s="22">
        <f>IFERROR(__xludf.DUMMYFUNCTION("""COMPUTED_VALUE"""),4.1001068E7)</f>
        <v>41001068</v>
      </c>
      <c r="C5450" s="21" t="str">
        <f>IFERROR(__xludf.DUMMYFUNCTION("""COMPUTED_VALUE"""),"216918271132")</f>
        <v>216918271132</v>
      </c>
      <c r="D5450" s="21" t="str">
        <f>IFERROR(__xludf.DUMMYFUNCTION("""COMPUTED_VALUE"""),"DIGITEC TECNOLOGIA DIGITAL E REPRES")</f>
        <v>DIGITEC TECNOLOGIA DIGITAL E REPRES</v>
      </c>
      <c r="E5450" s="21">
        <f>IFERROR(__xludf.DUMMYFUNCTION("""COMPUTED_VALUE"""),145359.0)</f>
        <v>145359</v>
      </c>
      <c r="F5450" s="21" t="str">
        <f>IFERROR(__xludf.DUMMYFUNCTION("""COMPUTED_VALUE"""),"INICIALIZADO")</f>
        <v>INICIALIZADO</v>
      </c>
      <c r="G5450" s="23">
        <f>IFERROR(__xludf.DUMMYFUNCTION("""COMPUTED_VALUE"""),45597.41777777778)</f>
        <v>45597.41778</v>
      </c>
      <c r="H5450" s="24" t="str">
        <f>IFERROR(VLOOKUP(B5450,material!A:D,3,0),"")</f>
        <v>4K</v>
      </c>
    </row>
    <row r="5451" ht="11.25" customHeight="1">
      <c r="A5451" s="21" t="str">
        <f>IFERROR(__xludf.DUMMYFUNCTION("""COMPUTED_VALUE"""),"SAG4KC362")</f>
        <v>SAG4KC362</v>
      </c>
      <c r="B5451" s="22">
        <f>IFERROR(__xludf.DUMMYFUNCTION("""COMPUTED_VALUE"""),4.1001068E7)</f>
        <v>41001068</v>
      </c>
      <c r="C5451" s="21" t="str">
        <f>IFERROR(__xludf.DUMMYFUNCTION("""COMPUTED_VALUE"""),"229649722930")</f>
        <v>229649722930</v>
      </c>
      <c r="D5451" s="21" t="str">
        <f>IFERROR(__xludf.DUMMYFUNCTION("""COMPUTED_VALUE"""),"DIGITEC TECNOLOGIA DIGITAL E REPRES")</f>
        <v>DIGITEC TECNOLOGIA DIGITAL E REPRES</v>
      </c>
      <c r="E5451" s="21">
        <f>IFERROR(__xludf.DUMMYFUNCTION("""COMPUTED_VALUE"""),145359.0)</f>
        <v>145359</v>
      </c>
      <c r="F5451" s="21" t="str">
        <f>IFERROR(__xludf.DUMMYFUNCTION("""COMPUTED_VALUE"""),"INICIALIZADO")</f>
        <v>INICIALIZADO</v>
      </c>
      <c r="G5451" s="23">
        <f>IFERROR(__xludf.DUMMYFUNCTION("""COMPUTED_VALUE"""),45602.64471064815)</f>
        <v>45602.64471</v>
      </c>
      <c r="H5451" s="24" t="str">
        <f>IFERROR(VLOOKUP(B5451,material!A:D,3,0),"")</f>
        <v>4K</v>
      </c>
    </row>
    <row r="5452" ht="11.25" customHeight="1">
      <c r="A5452" s="21" t="str">
        <f>IFERROR(__xludf.DUMMYFUNCTION("""COMPUTED_VALUE"""),"TECHNICOLOR TC7337NET")</f>
        <v>TECHNICOLOR TC7337NET</v>
      </c>
      <c r="B5452" s="22">
        <f>IFERROR(__xludf.DUMMYFUNCTION("""COMPUTED_VALUE"""),4.1001294E7)</f>
        <v>41001294</v>
      </c>
      <c r="C5452" s="21" t="str">
        <f>IFERROR(__xludf.DUMMYFUNCTION("""COMPUTED_VALUE"""),"80D04A92D03C")</f>
        <v>80D04A92D03C</v>
      </c>
      <c r="D5452" s="21" t="str">
        <f>IFERROR(__xludf.DUMMYFUNCTION("""COMPUTED_VALUE"""),"DIGITEC TECNOLOGIA DIGITAL E REPRES")</f>
        <v>DIGITEC TECNOLOGIA DIGITAL E REPRES</v>
      </c>
      <c r="E5452" s="21">
        <f>IFERROR(__xludf.DUMMYFUNCTION("""COMPUTED_VALUE"""),145359.0)</f>
        <v>145359</v>
      </c>
      <c r="F5452" s="21" t="str">
        <f>IFERROR(__xludf.DUMMYFUNCTION("""COMPUTED_VALUE"""),"INICIALIZADO")</f>
        <v>INICIALIZADO</v>
      </c>
      <c r="G5452" s="23">
        <f>IFERROR(__xludf.DUMMYFUNCTION("""COMPUTED_VALUE"""),45615.61857638889)</f>
        <v>45615.61858</v>
      </c>
      <c r="H5452" s="24" t="str">
        <f>IFERROR(VLOOKUP(B5452,material!A:D,3,0),"")</f>
        <v>DUAL</v>
      </c>
    </row>
    <row r="5453" ht="11.25" customHeight="1">
      <c r="A5453" s="21" t="str">
        <f>IFERROR(__xludf.DUMMYFUNCTION("""COMPUTED_VALUE"""),"TECHNICOLOR TC7337NET")</f>
        <v>TECHNICOLOR TC7337NET</v>
      </c>
      <c r="B5453" s="22">
        <f>IFERROR(__xludf.DUMMYFUNCTION("""COMPUTED_VALUE"""),4.1001294E7)</f>
        <v>41001294</v>
      </c>
      <c r="C5453" s="21" t="str">
        <f>IFERROR(__xludf.DUMMYFUNCTION("""COMPUTED_VALUE"""),"90585143F1D0")</f>
        <v>90585143F1D0</v>
      </c>
      <c r="D5453" s="21" t="str">
        <f>IFERROR(__xludf.DUMMYFUNCTION("""COMPUTED_VALUE"""),"DIGITEC TECNOLOGIA DIGITAL E REPRES")</f>
        <v>DIGITEC TECNOLOGIA DIGITAL E REPRES</v>
      </c>
      <c r="E5453" s="21">
        <f>IFERROR(__xludf.DUMMYFUNCTION("""COMPUTED_VALUE"""),145359.0)</f>
        <v>145359</v>
      </c>
      <c r="F5453" s="21" t="str">
        <f>IFERROR(__xludf.DUMMYFUNCTION("""COMPUTED_VALUE"""),"INICIALIZADO")</f>
        <v>INICIALIZADO</v>
      </c>
      <c r="G5453" s="23">
        <f>IFERROR(__xludf.DUMMYFUNCTION("""COMPUTED_VALUE"""),45615.61857638889)</f>
        <v>45615.61858</v>
      </c>
      <c r="H5453" s="24" t="str">
        <f>IFERROR(VLOOKUP(B5453,material!A:D,3,0),"")</f>
        <v>DUAL</v>
      </c>
    </row>
    <row r="5454" ht="11.25" customHeight="1">
      <c r="A5454" s="21" t="str">
        <f>IFERROR(__xludf.DUMMYFUNCTION("""COMPUTED_VALUE"""),"TECHNICOLOR TC7337NET")</f>
        <v>TECHNICOLOR TC7337NET</v>
      </c>
      <c r="B5454" s="22">
        <f>IFERROR(__xludf.DUMMYFUNCTION("""COMPUTED_VALUE"""),4.1001294E7)</f>
        <v>41001294</v>
      </c>
      <c r="C5454" s="21" t="str">
        <f>IFERROR(__xludf.DUMMYFUNCTION("""COMPUTED_VALUE"""),"90585141BC0B")</f>
        <v>90585141BC0B</v>
      </c>
      <c r="D5454" s="21" t="str">
        <f>IFERROR(__xludf.DUMMYFUNCTION("""COMPUTED_VALUE"""),"DIGITEC TECNOLOGIA DIGITAL E REPRES")</f>
        <v>DIGITEC TECNOLOGIA DIGITAL E REPRES</v>
      </c>
      <c r="E5454" s="21">
        <f>IFERROR(__xludf.DUMMYFUNCTION("""COMPUTED_VALUE"""),145359.0)</f>
        <v>145359</v>
      </c>
      <c r="F5454" s="21" t="str">
        <f>IFERROR(__xludf.DUMMYFUNCTION("""COMPUTED_VALUE"""),"INICIALIZADO")</f>
        <v>INICIALIZADO</v>
      </c>
      <c r="G5454" s="23">
        <f>IFERROR(__xludf.DUMMYFUNCTION("""COMPUTED_VALUE"""),45618.74475694445)</f>
        <v>45618.74476</v>
      </c>
      <c r="H5454" s="24" t="str">
        <f>IFERROR(VLOOKUP(B5454,material!A:D,3,0),"")</f>
        <v>DUAL</v>
      </c>
    </row>
    <row r="5455" ht="11.25" customHeight="1">
      <c r="A5455" s="21" t="str">
        <f>IFERROR(__xludf.DUMMYFUNCTION("""COMPUTED_VALUE"""),"TECHNICOLOR TC7337NET")</f>
        <v>TECHNICOLOR TC7337NET</v>
      </c>
      <c r="B5455" s="22">
        <f>IFERROR(__xludf.DUMMYFUNCTION("""COMPUTED_VALUE"""),4.1001294E7)</f>
        <v>41001294</v>
      </c>
      <c r="C5455" s="21" t="str">
        <f>IFERROR(__xludf.DUMMYFUNCTION("""COMPUTED_VALUE"""),"90585142764F")</f>
        <v>90585142764F</v>
      </c>
      <c r="D5455" s="21" t="str">
        <f>IFERROR(__xludf.DUMMYFUNCTION("""COMPUTED_VALUE"""),"DIGITEC TECNOLOGIA DIGITAL E REPRES")</f>
        <v>DIGITEC TECNOLOGIA DIGITAL E REPRES</v>
      </c>
      <c r="E5455" s="21">
        <f>IFERROR(__xludf.DUMMYFUNCTION("""COMPUTED_VALUE"""),145359.0)</f>
        <v>145359</v>
      </c>
      <c r="F5455" s="21" t="str">
        <f>IFERROR(__xludf.DUMMYFUNCTION("""COMPUTED_VALUE"""),"INICIALIZADO")</f>
        <v>INICIALIZADO</v>
      </c>
      <c r="G5455" s="23">
        <f>IFERROR(__xludf.DUMMYFUNCTION("""COMPUTED_VALUE"""),45601.65572916667)</f>
        <v>45601.65573</v>
      </c>
      <c r="H5455" s="24" t="str">
        <f>IFERROR(VLOOKUP(B5455,material!A:D,3,0),"")</f>
        <v>DUAL</v>
      </c>
    </row>
    <row r="5456" ht="11.25" customHeight="1">
      <c r="A5456" s="21" t="str">
        <f>IFERROR(__xludf.DUMMYFUNCTION("""COMPUTED_VALUE"""),"TECHNICOLOR TC7337NET")</f>
        <v>TECHNICOLOR TC7337NET</v>
      </c>
      <c r="B5456" s="22">
        <f>IFERROR(__xludf.DUMMYFUNCTION("""COMPUTED_VALUE"""),4.1001294E7)</f>
        <v>41001294</v>
      </c>
      <c r="C5456" s="21" t="str">
        <f>IFERROR(__xludf.DUMMYFUNCTION("""COMPUTED_VALUE"""),"BC9B6895B04C")</f>
        <v>BC9B6895B04C</v>
      </c>
      <c r="D5456" s="21" t="str">
        <f>IFERROR(__xludf.DUMMYFUNCTION("""COMPUTED_VALUE"""),"DIGITEC TECNOLOGIA DIGITAL E REPRES")</f>
        <v>DIGITEC TECNOLOGIA DIGITAL E REPRES</v>
      </c>
      <c r="E5456" s="21">
        <f>IFERROR(__xludf.DUMMYFUNCTION("""COMPUTED_VALUE"""),145359.0)</f>
        <v>145359</v>
      </c>
      <c r="F5456" s="21" t="str">
        <f>IFERROR(__xludf.DUMMYFUNCTION("""COMPUTED_VALUE"""),"INICIALIZADO")</f>
        <v>INICIALIZADO</v>
      </c>
      <c r="G5456" s="23">
        <f>IFERROR(__xludf.DUMMYFUNCTION("""COMPUTED_VALUE"""),45618.74476851852)</f>
        <v>45618.74477</v>
      </c>
      <c r="H5456" s="24" t="str">
        <f>IFERROR(VLOOKUP(B5456,material!A:D,3,0),"")</f>
        <v>DUAL</v>
      </c>
    </row>
    <row r="5457" ht="11.25" customHeight="1">
      <c r="A5457" s="21" t="str">
        <f>IFERROR(__xludf.DUMMYFUNCTION("""COMPUTED_VALUE"""),"TECHNICOLOR TC7337NET")</f>
        <v>TECHNICOLOR TC7337NET</v>
      </c>
      <c r="B5457" s="22">
        <f>IFERROR(__xludf.DUMMYFUNCTION("""COMPUTED_VALUE"""),4.1001294E7)</f>
        <v>41001294</v>
      </c>
      <c r="C5457" s="21" t="str">
        <f>IFERROR(__xludf.DUMMYFUNCTION("""COMPUTED_VALUE"""),"70037E9C8552")</f>
        <v>70037E9C8552</v>
      </c>
      <c r="D5457" s="21" t="str">
        <f>IFERROR(__xludf.DUMMYFUNCTION("""COMPUTED_VALUE"""),"DIGITEC TECNOLOGIA DIGITAL E REPRES")</f>
        <v>DIGITEC TECNOLOGIA DIGITAL E REPRES</v>
      </c>
      <c r="E5457" s="21">
        <f>IFERROR(__xludf.DUMMYFUNCTION("""COMPUTED_VALUE"""),145359.0)</f>
        <v>145359</v>
      </c>
      <c r="F5457" s="21" t="str">
        <f>IFERROR(__xludf.DUMMYFUNCTION("""COMPUTED_VALUE"""),"INICIALIZADO")</f>
        <v>INICIALIZADO</v>
      </c>
      <c r="G5457" s="23">
        <f>IFERROR(__xludf.DUMMYFUNCTION("""COMPUTED_VALUE"""),45618.74478009259)</f>
        <v>45618.74478</v>
      </c>
      <c r="H5457" s="24" t="str">
        <f>IFERROR(VLOOKUP(B5457,material!A:D,3,0),"")</f>
        <v>DUAL</v>
      </c>
    </row>
    <row r="5458" ht="11.25" customHeight="1">
      <c r="A5458" s="21" t="str">
        <f>IFERROR(__xludf.DUMMYFUNCTION("""COMPUTED_VALUE"""),"TECHNICOLOR TC7337NET")</f>
        <v>TECHNICOLOR TC7337NET</v>
      </c>
      <c r="B5458" s="22">
        <f>IFERROR(__xludf.DUMMYFUNCTION("""COMPUTED_VALUE"""),4.1001294E7)</f>
        <v>41001294</v>
      </c>
      <c r="C5458" s="21" t="str">
        <f>IFERROR(__xludf.DUMMYFUNCTION("""COMPUTED_VALUE"""),"A456CCE47028")</f>
        <v>A456CCE47028</v>
      </c>
      <c r="D5458" s="21" t="str">
        <f>IFERROR(__xludf.DUMMYFUNCTION("""COMPUTED_VALUE"""),"DIGITEC TECNOLOGIA DIGITAL E REPRES")</f>
        <v>DIGITEC TECNOLOGIA DIGITAL E REPRES</v>
      </c>
      <c r="E5458" s="21">
        <f>IFERROR(__xludf.DUMMYFUNCTION("""COMPUTED_VALUE"""),145359.0)</f>
        <v>145359</v>
      </c>
      <c r="F5458" s="21" t="str">
        <f>IFERROR(__xludf.DUMMYFUNCTION("""COMPUTED_VALUE"""),"INICIALIZADO")</f>
        <v>INICIALIZADO</v>
      </c>
      <c r="G5458" s="23">
        <f>IFERROR(__xludf.DUMMYFUNCTION("""COMPUTED_VALUE"""),45348.38840277778)</f>
        <v>45348.3884</v>
      </c>
      <c r="H5458" s="24" t="str">
        <f>IFERROR(VLOOKUP(B5458,material!A:D,3,0),"")</f>
        <v>DUAL</v>
      </c>
    </row>
    <row r="5459" ht="11.25" customHeight="1">
      <c r="A5459" s="21" t="str">
        <f>IFERROR(__xludf.DUMMYFUNCTION("""COMPUTED_VALUE"""),"TECHNICOLOR TC7337NET")</f>
        <v>TECHNICOLOR TC7337NET</v>
      </c>
      <c r="B5459" s="22">
        <f>IFERROR(__xludf.DUMMYFUNCTION("""COMPUTED_VALUE"""),4.1001294E7)</f>
        <v>41001294</v>
      </c>
      <c r="C5459" s="21" t="str">
        <f>IFERROR(__xludf.DUMMYFUNCTION("""COMPUTED_VALUE"""),"80D04A93190D")</f>
        <v>80D04A93190D</v>
      </c>
      <c r="D5459" s="21" t="str">
        <f>IFERROR(__xludf.DUMMYFUNCTION("""COMPUTED_VALUE"""),"DIGITEC TECNOLOGIA DIGITAL E REPRES")</f>
        <v>DIGITEC TECNOLOGIA DIGITAL E REPRES</v>
      </c>
      <c r="E5459" s="21">
        <f>IFERROR(__xludf.DUMMYFUNCTION("""COMPUTED_VALUE"""),145359.0)</f>
        <v>145359</v>
      </c>
      <c r="F5459" s="21" t="str">
        <f>IFERROR(__xludf.DUMMYFUNCTION("""COMPUTED_VALUE"""),"INICIALIZADO")</f>
        <v>INICIALIZADO</v>
      </c>
      <c r="G5459" s="23">
        <f>IFERROR(__xludf.DUMMYFUNCTION("""COMPUTED_VALUE"""),45618.74478009259)</f>
        <v>45618.74478</v>
      </c>
      <c r="H5459" s="24" t="str">
        <f>IFERROR(VLOOKUP(B5459,material!A:D,3,0),"")</f>
        <v>DUAL</v>
      </c>
    </row>
    <row r="5460" ht="11.25" customHeight="1">
      <c r="A5460" s="21" t="str">
        <f>IFERROR(__xludf.DUMMYFUNCTION("""COMPUTED_VALUE"""),"TECHNICOLOR TC7337NET")</f>
        <v>TECHNICOLOR TC7337NET</v>
      </c>
      <c r="B5460" s="22">
        <f>IFERROR(__xludf.DUMMYFUNCTION("""COMPUTED_VALUE"""),4.1001294E7)</f>
        <v>41001294</v>
      </c>
      <c r="C5460" s="21" t="str">
        <f>IFERROR(__xludf.DUMMYFUNCTION("""COMPUTED_VALUE"""),"80D04ABAB782")</f>
        <v>80D04ABAB782</v>
      </c>
      <c r="D5460" s="21" t="str">
        <f>IFERROR(__xludf.DUMMYFUNCTION("""COMPUTED_VALUE"""),"DIGITEC TECNOLOGIA DIGITAL E REPRES")</f>
        <v>DIGITEC TECNOLOGIA DIGITAL E REPRES</v>
      </c>
      <c r="E5460" s="21">
        <f>IFERROR(__xludf.DUMMYFUNCTION("""COMPUTED_VALUE"""),145359.0)</f>
        <v>145359</v>
      </c>
      <c r="F5460" s="21" t="str">
        <f>IFERROR(__xludf.DUMMYFUNCTION("""COMPUTED_VALUE"""),"INICIALIZADO")</f>
        <v>INICIALIZADO</v>
      </c>
      <c r="G5460" s="23">
        <f>IFERROR(__xludf.DUMMYFUNCTION("""COMPUTED_VALUE"""),45618.74475694445)</f>
        <v>45618.74476</v>
      </c>
      <c r="H5460" s="24" t="str">
        <f>IFERROR(VLOOKUP(B5460,material!A:D,3,0),"")</f>
        <v>DUAL</v>
      </c>
    </row>
    <row r="5461" ht="11.25" customHeight="1">
      <c r="A5461" s="21" t="str">
        <f>IFERROR(__xludf.DUMMYFUNCTION("""COMPUTED_VALUE"""),"TECHNICOLOR TC7337NET")</f>
        <v>TECHNICOLOR TC7337NET</v>
      </c>
      <c r="B5461" s="22">
        <f>IFERROR(__xludf.DUMMYFUNCTION("""COMPUTED_VALUE"""),4.1001294E7)</f>
        <v>41001294</v>
      </c>
      <c r="C5461" s="21" t="str">
        <f>IFERROR(__xludf.DUMMYFUNCTION("""COMPUTED_VALUE"""),"5C76959575FE")</f>
        <v>5C76959575FE</v>
      </c>
      <c r="D5461" s="21" t="str">
        <f>IFERROR(__xludf.DUMMYFUNCTION("""COMPUTED_VALUE"""),"DIGITEC TECNOLOGIA DIGITAL E REPRES")</f>
        <v>DIGITEC TECNOLOGIA DIGITAL E REPRES</v>
      </c>
      <c r="E5461" s="21">
        <f>IFERROR(__xludf.DUMMYFUNCTION("""COMPUTED_VALUE"""),145359.0)</f>
        <v>145359</v>
      </c>
      <c r="F5461" s="21" t="str">
        <f>IFERROR(__xludf.DUMMYFUNCTION("""COMPUTED_VALUE"""),"INICIALIZADO")</f>
        <v>INICIALIZADO</v>
      </c>
      <c r="G5461" s="23">
        <f>IFERROR(__xludf.DUMMYFUNCTION("""COMPUTED_VALUE"""),45618.74478009259)</f>
        <v>45618.74478</v>
      </c>
      <c r="H5461" s="24" t="str">
        <f>IFERROR(VLOOKUP(B5461,material!A:D,3,0),"")</f>
        <v>DUAL</v>
      </c>
    </row>
    <row r="5462" ht="11.25" customHeight="1">
      <c r="A5462" s="21" t="str">
        <f>IFERROR(__xludf.DUMMYFUNCTION("""COMPUTED_VALUE"""),"TECHNICOLOR TC7337NET")</f>
        <v>TECHNICOLOR TC7337NET</v>
      </c>
      <c r="B5462" s="22">
        <f>IFERROR(__xludf.DUMMYFUNCTION("""COMPUTED_VALUE"""),4.1001294E7)</f>
        <v>41001294</v>
      </c>
      <c r="C5462" s="21" t="str">
        <f>IFERROR(__xludf.DUMMYFUNCTION("""COMPUTED_VALUE"""),"5C769592EA41")</f>
        <v>5C769592EA41</v>
      </c>
      <c r="D5462" s="21" t="str">
        <f>IFERROR(__xludf.DUMMYFUNCTION("""COMPUTED_VALUE"""),"DIGITEC TECNOLOGIA DIGITAL E REPRES")</f>
        <v>DIGITEC TECNOLOGIA DIGITAL E REPRES</v>
      </c>
      <c r="E5462" s="21">
        <f>IFERROR(__xludf.DUMMYFUNCTION("""COMPUTED_VALUE"""),145359.0)</f>
        <v>145359</v>
      </c>
      <c r="F5462" s="21" t="str">
        <f>IFERROR(__xludf.DUMMYFUNCTION("""COMPUTED_VALUE"""),"INICIALIZADO")</f>
        <v>INICIALIZADO</v>
      </c>
      <c r="G5462" s="23">
        <f>IFERROR(__xludf.DUMMYFUNCTION("""COMPUTED_VALUE"""),45615.61857638889)</f>
        <v>45615.61858</v>
      </c>
      <c r="H5462" s="24" t="str">
        <f>IFERROR(VLOOKUP(B5462,material!A:D,3,0),"")</f>
        <v>DUAL</v>
      </c>
    </row>
    <row r="5463" ht="11.25" customHeight="1">
      <c r="A5463" s="21" t="str">
        <f>IFERROR(__xludf.DUMMYFUNCTION("""COMPUTED_VALUE"""),"TECHNICOLOR TC7337NET")</f>
        <v>TECHNICOLOR TC7337NET</v>
      </c>
      <c r="B5463" s="22">
        <f>IFERROR(__xludf.DUMMYFUNCTION("""COMPUTED_VALUE"""),4.1001294E7)</f>
        <v>41001294</v>
      </c>
      <c r="C5463" s="21" t="str">
        <f>IFERROR(__xludf.DUMMYFUNCTION("""COMPUTED_VALUE"""),"905851AB14D0")</f>
        <v>905851AB14D0</v>
      </c>
      <c r="D5463" s="21" t="str">
        <f>IFERROR(__xludf.DUMMYFUNCTION("""COMPUTED_VALUE"""),"DIGITEC TECNOLOGIA DIGITAL E REPRES")</f>
        <v>DIGITEC TECNOLOGIA DIGITAL E REPRES</v>
      </c>
      <c r="E5463" s="21">
        <f>IFERROR(__xludf.DUMMYFUNCTION("""COMPUTED_VALUE"""),145359.0)</f>
        <v>145359</v>
      </c>
      <c r="F5463" s="21" t="str">
        <f>IFERROR(__xludf.DUMMYFUNCTION("""COMPUTED_VALUE"""),"INICIALIZADO")</f>
        <v>INICIALIZADO</v>
      </c>
      <c r="G5463" s="23">
        <f>IFERROR(__xludf.DUMMYFUNCTION("""COMPUTED_VALUE"""),45618.74475694445)</f>
        <v>45618.74476</v>
      </c>
      <c r="H5463" s="24" t="str">
        <f>IFERROR(VLOOKUP(B5463,material!A:D,3,0),"")</f>
        <v>DUAL</v>
      </c>
    </row>
    <row r="5464" ht="11.25" customHeight="1">
      <c r="A5464" s="21" t="str">
        <f>IFERROR(__xludf.DUMMYFUNCTION("""COMPUTED_VALUE"""),"TECHNICOLOR TC7337NET")</f>
        <v>TECHNICOLOR TC7337NET</v>
      </c>
      <c r="B5464" s="22">
        <f>IFERROR(__xludf.DUMMYFUNCTION("""COMPUTED_VALUE"""),4.1001294E7)</f>
        <v>41001294</v>
      </c>
      <c r="C5464" s="21" t="str">
        <f>IFERROR(__xludf.DUMMYFUNCTION("""COMPUTED_VALUE"""),"80D04A96F499")</f>
        <v>80D04A96F499</v>
      </c>
      <c r="D5464" s="21" t="str">
        <f>IFERROR(__xludf.DUMMYFUNCTION("""COMPUTED_VALUE"""),"DIGITEC TECNOLOGIA DIGITAL E REPRES")</f>
        <v>DIGITEC TECNOLOGIA DIGITAL E REPRES</v>
      </c>
      <c r="E5464" s="21">
        <f>IFERROR(__xludf.DUMMYFUNCTION("""COMPUTED_VALUE"""),145359.0)</f>
        <v>145359</v>
      </c>
      <c r="F5464" s="21" t="str">
        <f>IFERROR(__xludf.DUMMYFUNCTION("""COMPUTED_VALUE"""),"INICIALIZADO")</f>
        <v>INICIALIZADO</v>
      </c>
      <c r="G5464" s="23">
        <f>IFERROR(__xludf.DUMMYFUNCTION("""COMPUTED_VALUE"""),45618.74476851852)</f>
        <v>45618.74477</v>
      </c>
      <c r="H5464" s="24" t="str">
        <f>IFERROR(VLOOKUP(B5464,material!A:D,3,0),"")</f>
        <v>DUAL</v>
      </c>
    </row>
    <row r="5465" ht="11.25" customHeight="1">
      <c r="A5465" s="21" t="str">
        <f>IFERROR(__xludf.DUMMYFUNCTION("""COMPUTED_VALUE"""),"TECHNICOLOR TC7337NET")</f>
        <v>TECHNICOLOR TC7337NET</v>
      </c>
      <c r="B5465" s="22">
        <f>IFERROR(__xludf.DUMMYFUNCTION("""COMPUTED_VALUE"""),4.1001294E7)</f>
        <v>41001294</v>
      </c>
      <c r="C5465" s="21" t="str">
        <f>IFERROR(__xludf.DUMMYFUNCTION("""COMPUTED_VALUE"""),"80D04A91008A")</f>
        <v>80D04A91008A</v>
      </c>
      <c r="D5465" s="21" t="str">
        <f>IFERROR(__xludf.DUMMYFUNCTION("""COMPUTED_VALUE"""),"DIGITEC TECNOLOGIA DIGITAL E REPRES")</f>
        <v>DIGITEC TECNOLOGIA DIGITAL E REPRES</v>
      </c>
      <c r="E5465" s="21">
        <f>IFERROR(__xludf.DUMMYFUNCTION("""COMPUTED_VALUE"""),145359.0)</f>
        <v>145359</v>
      </c>
      <c r="F5465" s="21" t="str">
        <f>IFERROR(__xludf.DUMMYFUNCTION("""COMPUTED_VALUE"""),"INICIALIZADO")</f>
        <v>INICIALIZADO</v>
      </c>
      <c r="G5465" s="23">
        <f>IFERROR(__xludf.DUMMYFUNCTION("""COMPUTED_VALUE"""),45615.61857638889)</f>
        <v>45615.61858</v>
      </c>
      <c r="H5465" s="24" t="str">
        <f>IFERROR(VLOOKUP(B5465,material!A:D,3,0),"")</f>
        <v>DUAL</v>
      </c>
    </row>
    <row r="5466" ht="11.25" customHeight="1">
      <c r="A5466" s="21" t="str">
        <f>IFERROR(__xludf.DUMMYFUNCTION("""COMPUTED_VALUE"""),"TECHNICOLOR TC7337NET")</f>
        <v>TECHNICOLOR TC7337NET</v>
      </c>
      <c r="B5466" s="22">
        <f>IFERROR(__xludf.DUMMYFUNCTION("""COMPUTED_VALUE"""),4.1001294E7)</f>
        <v>41001294</v>
      </c>
      <c r="C5466" s="21" t="str">
        <f>IFERROR(__xludf.DUMMYFUNCTION("""COMPUTED_VALUE"""),"80D04A909BFF")</f>
        <v>80D04A909BFF</v>
      </c>
      <c r="D5466" s="21" t="str">
        <f>IFERROR(__xludf.DUMMYFUNCTION("""COMPUTED_VALUE"""),"DIGITEC TECNOLOGIA DIGITAL E REPRES")</f>
        <v>DIGITEC TECNOLOGIA DIGITAL E REPRES</v>
      </c>
      <c r="E5466" s="21">
        <f>IFERROR(__xludf.DUMMYFUNCTION("""COMPUTED_VALUE"""),145359.0)</f>
        <v>145359</v>
      </c>
      <c r="F5466" s="21" t="str">
        <f>IFERROR(__xludf.DUMMYFUNCTION("""COMPUTED_VALUE"""),"INICIALIZADO")</f>
        <v>INICIALIZADO</v>
      </c>
      <c r="G5466" s="23">
        <f>IFERROR(__xludf.DUMMYFUNCTION("""COMPUTED_VALUE"""),45436.58457175926)</f>
        <v>45436.58457</v>
      </c>
      <c r="H5466" s="24" t="str">
        <f>IFERROR(VLOOKUP(B5466,material!A:D,3,0),"")</f>
        <v>DUAL</v>
      </c>
    </row>
    <row r="5467" ht="11.25" customHeight="1">
      <c r="A5467" s="21" t="str">
        <f>IFERROR(__xludf.DUMMYFUNCTION("""COMPUTED_VALUE"""),"TECHNICOLOR TC7337NET")</f>
        <v>TECHNICOLOR TC7337NET</v>
      </c>
      <c r="B5467" s="22">
        <f>IFERROR(__xludf.DUMMYFUNCTION("""COMPUTED_VALUE"""),4.1001294E7)</f>
        <v>41001294</v>
      </c>
      <c r="C5467" s="21" t="str">
        <f>IFERROR(__xludf.DUMMYFUNCTION("""COMPUTED_VALUE"""),"80D04A8FDC97")</f>
        <v>80D04A8FDC97</v>
      </c>
      <c r="D5467" s="21" t="str">
        <f>IFERROR(__xludf.DUMMYFUNCTION("""COMPUTED_VALUE"""),"DIGITEC TECNOLOGIA DIGITAL E REPRES")</f>
        <v>DIGITEC TECNOLOGIA DIGITAL E REPRES</v>
      </c>
      <c r="E5467" s="21">
        <f>IFERROR(__xludf.DUMMYFUNCTION("""COMPUTED_VALUE"""),145359.0)</f>
        <v>145359</v>
      </c>
      <c r="F5467" s="21" t="str">
        <f>IFERROR(__xludf.DUMMYFUNCTION("""COMPUTED_VALUE"""),"INICIALIZADO")</f>
        <v>INICIALIZADO</v>
      </c>
      <c r="G5467" s="23">
        <f>IFERROR(__xludf.DUMMYFUNCTION("""COMPUTED_VALUE"""),45618.74478009259)</f>
        <v>45618.74478</v>
      </c>
      <c r="H5467" s="24" t="str">
        <f>IFERROR(VLOOKUP(B5467,material!A:D,3,0),"")</f>
        <v>DUAL</v>
      </c>
    </row>
    <row r="5468" ht="11.25" customHeight="1">
      <c r="A5468" s="21" t="str">
        <f>IFERROR(__xludf.DUMMYFUNCTION("""COMPUTED_VALUE"""),"TECHNICOLOR TC7337NET")</f>
        <v>TECHNICOLOR TC7337NET</v>
      </c>
      <c r="B5468" s="22">
        <f>IFERROR(__xludf.DUMMYFUNCTION("""COMPUTED_VALUE"""),4.1001294E7)</f>
        <v>41001294</v>
      </c>
      <c r="C5468" s="21" t="str">
        <f>IFERROR(__xludf.DUMMYFUNCTION("""COMPUTED_VALUE"""),"5C7695979916")</f>
        <v>5C7695979916</v>
      </c>
      <c r="D5468" s="21" t="str">
        <f>IFERROR(__xludf.DUMMYFUNCTION("""COMPUTED_VALUE"""),"DIGITEC TECNOLOGIA DIGITAL E REPRES")</f>
        <v>DIGITEC TECNOLOGIA DIGITAL E REPRES</v>
      </c>
      <c r="E5468" s="21">
        <f>IFERROR(__xludf.DUMMYFUNCTION("""COMPUTED_VALUE"""),145359.0)</f>
        <v>145359</v>
      </c>
      <c r="F5468" s="21" t="str">
        <f>IFERROR(__xludf.DUMMYFUNCTION("""COMPUTED_VALUE"""),"INICIALIZADO")</f>
        <v>INICIALIZADO</v>
      </c>
      <c r="G5468" s="23">
        <f>IFERROR(__xludf.DUMMYFUNCTION("""COMPUTED_VALUE"""),45618.74478009259)</f>
        <v>45618.74478</v>
      </c>
      <c r="H5468" s="24" t="str">
        <f>IFERROR(VLOOKUP(B5468,material!A:D,3,0),"")</f>
        <v>DUAL</v>
      </c>
    </row>
    <row r="5469" ht="11.25" customHeight="1">
      <c r="A5469" s="21" t="str">
        <f>IFERROR(__xludf.DUMMYFUNCTION("""COMPUTED_VALUE"""),"TECHNICOLOR TC7337NET")</f>
        <v>TECHNICOLOR TC7337NET</v>
      </c>
      <c r="B5469" s="22">
        <f>IFERROR(__xludf.DUMMYFUNCTION("""COMPUTED_VALUE"""),4.1001294E7)</f>
        <v>41001294</v>
      </c>
      <c r="C5469" s="21" t="str">
        <f>IFERROR(__xludf.DUMMYFUNCTION("""COMPUTED_VALUE"""),"80D04A98BC48")</f>
        <v>80D04A98BC48</v>
      </c>
      <c r="D5469" s="21" t="str">
        <f>IFERROR(__xludf.DUMMYFUNCTION("""COMPUTED_VALUE"""),"DIGITEC TECNOLOGIA DIGITAL E REPRES")</f>
        <v>DIGITEC TECNOLOGIA DIGITAL E REPRES</v>
      </c>
      <c r="E5469" s="21">
        <f>IFERROR(__xludf.DUMMYFUNCTION("""COMPUTED_VALUE"""),145359.0)</f>
        <v>145359</v>
      </c>
      <c r="F5469" s="21" t="str">
        <f>IFERROR(__xludf.DUMMYFUNCTION("""COMPUTED_VALUE"""),"INICIALIZADO")</f>
        <v>INICIALIZADO</v>
      </c>
      <c r="G5469" s="23">
        <f>IFERROR(__xludf.DUMMYFUNCTION("""COMPUTED_VALUE"""),45495.52211805555)</f>
        <v>45495.52212</v>
      </c>
      <c r="H5469" s="24" t="str">
        <f>IFERROR(VLOOKUP(B5469,material!A:D,3,0),"")</f>
        <v>DUAL</v>
      </c>
    </row>
    <row r="5470" ht="11.25" customHeight="1">
      <c r="A5470" s="21" t="str">
        <f>IFERROR(__xludf.DUMMYFUNCTION("""COMPUTED_VALUE"""),"TECHNICOLOR TC7337NET")</f>
        <v>TECHNICOLOR TC7337NET</v>
      </c>
      <c r="B5470" s="22">
        <f>IFERROR(__xludf.DUMMYFUNCTION("""COMPUTED_VALUE"""),4.1001294E7)</f>
        <v>41001294</v>
      </c>
      <c r="C5470" s="21" t="str">
        <f>IFERROR(__xludf.DUMMYFUNCTION("""COMPUTED_VALUE"""),"80D04AB89CB3")</f>
        <v>80D04AB89CB3</v>
      </c>
      <c r="D5470" s="21" t="str">
        <f>IFERROR(__xludf.DUMMYFUNCTION("""COMPUTED_VALUE"""),"DIGITEC TECNOLOGIA DIGITAL E REPRES")</f>
        <v>DIGITEC TECNOLOGIA DIGITAL E REPRES</v>
      </c>
      <c r="E5470" s="21">
        <f>IFERROR(__xludf.DUMMYFUNCTION("""COMPUTED_VALUE"""),145359.0)</f>
        <v>145359</v>
      </c>
      <c r="F5470" s="21" t="str">
        <f>IFERROR(__xludf.DUMMYFUNCTION("""COMPUTED_VALUE"""),"INICIALIZADO")</f>
        <v>INICIALIZADO</v>
      </c>
      <c r="G5470" s="23">
        <f>IFERROR(__xludf.DUMMYFUNCTION("""COMPUTED_VALUE"""),45618.74475694445)</f>
        <v>45618.74476</v>
      </c>
      <c r="H5470" s="24" t="str">
        <f>IFERROR(VLOOKUP(B5470,material!A:D,3,0),"")</f>
        <v>DUAL</v>
      </c>
    </row>
    <row r="5471" ht="11.25" customHeight="1">
      <c r="A5471" s="21" t="str">
        <f>IFERROR(__xludf.DUMMYFUNCTION("""COMPUTED_VALUE"""),"TECHNICOLOR TC7337NET")</f>
        <v>TECHNICOLOR TC7337NET</v>
      </c>
      <c r="B5471" s="22">
        <f>IFERROR(__xludf.DUMMYFUNCTION("""COMPUTED_VALUE"""),4.1001294E7)</f>
        <v>41001294</v>
      </c>
      <c r="C5471" s="21" t="str">
        <f>IFERROR(__xludf.DUMMYFUNCTION("""COMPUTED_VALUE"""),"80D04A977A95")</f>
        <v>80D04A977A95</v>
      </c>
      <c r="D5471" s="21" t="str">
        <f>IFERROR(__xludf.DUMMYFUNCTION("""COMPUTED_VALUE"""),"DIGITEC TECNOLOGIA DIGITAL E REPRES")</f>
        <v>DIGITEC TECNOLOGIA DIGITAL E REPRES</v>
      </c>
      <c r="E5471" s="21">
        <f>IFERROR(__xludf.DUMMYFUNCTION("""COMPUTED_VALUE"""),145359.0)</f>
        <v>145359</v>
      </c>
      <c r="F5471" s="21" t="str">
        <f>IFERROR(__xludf.DUMMYFUNCTION("""COMPUTED_VALUE"""),"INICIALIZADO")</f>
        <v>INICIALIZADO</v>
      </c>
      <c r="G5471" s="23">
        <f>IFERROR(__xludf.DUMMYFUNCTION("""COMPUTED_VALUE"""),45618.74475694445)</f>
        <v>45618.74476</v>
      </c>
      <c r="H5471" s="24" t="str">
        <f>IFERROR(VLOOKUP(B5471,material!A:D,3,0),"")</f>
        <v>DUAL</v>
      </c>
    </row>
    <row r="5472" ht="11.25" customHeight="1">
      <c r="A5472" s="21" t="str">
        <f>IFERROR(__xludf.DUMMYFUNCTION("""COMPUTED_VALUE"""),"TECHNICOLOR TC7337NET")</f>
        <v>TECHNICOLOR TC7337NET</v>
      </c>
      <c r="B5472" s="22">
        <f>IFERROR(__xludf.DUMMYFUNCTION("""COMPUTED_VALUE"""),4.1001294E7)</f>
        <v>41001294</v>
      </c>
      <c r="C5472" s="21" t="str">
        <f>IFERROR(__xludf.DUMMYFUNCTION("""COMPUTED_VALUE"""),"5C76959461E7")</f>
        <v>5C76959461E7</v>
      </c>
      <c r="D5472" s="21" t="str">
        <f>IFERROR(__xludf.DUMMYFUNCTION("""COMPUTED_VALUE"""),"DIGITEC TECNOLOGIA DIGITAL E REPRES")</f>
        <v>DIGITEC TECNOLOGIA DIGITAL E REPRES</v>
      </c>
      <c r="E5472" s="21">
        <f>IFERROR(__xludf.DUMMYFUNCTION("""COMPUTED_VALUE"""),145359.0)</f>
        <v>145359</v>
      </c>
      <c r="F5472" s="21" t="str">
        <f>IFERROR(__xludf.DUMMYFUNCTION("""COMPUTED_VALUE"""),"INICIALIZADO")</f>
        <v>INICIALIZADO</v>
      </c>
      <c r="G5472" s="23">
        <f>IFERROR(__xludf.DUMMYFUNCTION("""COMPUTED_VALUE"""),45618.74478009259)</f>
        <v>45618.74478</v>
      </c>
      <c r="H5472" s="24" t="str">
        <f>IFERROR(VLOOKUP(B5472,material!A:D,3,0),"")</f>
        <v>DUAL</v>
      </c>
    </row>
    <row r="5473" ht="11.25" customHeight="1">
      <c r="A5473" s="21" t="str">
        <f>IFERROR(__xludf.DUMMYFUNCTION("""COMPUTED_VALUE"""),"TECHNICOLOR TC7337NET")</f>
        <v>TECHNICOLOR TC7337NET</v>
      </c>
      <c r="B5473" s="22">
        <f>IFERROR(__xludf.DUMMYFUNCTION("""COMPUTED_VALUE"""),4.1001294E7)</f>
        <v>41001294</v>
      </c>
      <c r="C5473" s="21" t="str">
        <f>IFERROR(__xludf.DUMMYFUNCTION("""COMPUTED_VALUE"""),"905851A913D1")</f>
        <v>905851A913D1</v>
      </c>
      <c r="D5473" s="21" t="str">
        <f>IFERROR(__xludf.DUMMYFUNCTION("""COMPUTED_VALUE"""),"DIGITEC TECNOLOGIA DIGITAL E REPRES")</f>
        <v>DIGITEC TECNOLOGIA DIGITAL E REPRES</v>
      </c>
      <c r="E5473" s="21">
        <f>IFERROR(__xludf.DUMMYFUNCTION("""COMPUTED_VALUE"""),145359.0)</f>
        <v>145359</v>
      </c>
      <c r="F5473" s="21" t="str">
        <f>IFERROR(__xludf.DUMMYFUNCTION("""COMPUTED_VALUE"""),"INICIALIZADO")</f>
        <v>INICIALIZADO</v>
      </c>
      <c r="G5473" s="23">
        <f>IFERROR(__xludf.DUMMYFUNCTION("""COMPUTED_VALUE"""),45618.74475694445)</f>
        <v>45618.74476</v>
      </c>
      <c r="H5473" s="24" t="str">
        <f>IFERROR(VLOOKUP(B5473,material!A:D,3,0),"")</f>
        <v>DUAL</v>
      </c>
    </row>
    <row r="5474" ht="11.25" customHeight="1">
      <c r="A5474" s="21" t="str">
        <f>IFERROR(__xludf.DUMMYFUNCTION("""COMPUTED_VALUE"""),"TECHNICOLOR TC7337NET")</f>
        <v>TECHNICOLOR TC7337NET</v>
      </c>
      <c r="B5474" s="22">
        <f>IFERROR(__xludf.DUMMYFUNCTION("""COMPUTED_VALUE"""),4.1001294E7)</f>
        <v>41001294</v>
      </c>
      <c r="C5474" s="21" t="str">
        <f>IFERROR(__xludf.DUMMYFUNCTION("""COMPUTED_VALUE"""),"90585147B7D7")</f>
        <v>90585147B7D7</v>
      </c>
      <c r="D5474" s="21" t="str">
        <f>IFERROR(__xludf.DUMMYFUNCTION("""COMPUTED_VALUE"""),"DIGITEC TECNOLOGIA DIGITAL E REPRES")</f>
        <v>DIGITEC TECNOLOGIA DIGITAL E REPRES</v>
      </c>
      <c r="E5474" s="21">
        <f>IFERROR(__xludf.DUMMYFUNCTION("""COMPUTED_VALUE"""),145359.0)</f>
        <v>145359</v>
      </c>
      <c r="F5474" s="21" t="str">
        <f>IFERROR(__xludf.DUMMYFUNCTION("""COMPUTED_VALUE"""),"INICIALIZADO")</f>
        <v>INICIALIZADO</v>
      </c>
      <c r="G5474" s="23">
        <f>IFERROR(__xludf.DUMMYFUNCTION("""COMPUTED_VALUE"""),45618.74475694445)</f>
        <v>45618.74476</v>
      </c>
      <c r="H5474" s="24" t="str">
        <f>IFERROR(VLOOKUP(B5474,material!A:D,3,0),"")</f>
        <v>DUAL</v>
      </c>
    </row>
    <row r="5475" ht="11.25" customHeight="1">
      <c r="A5475" s="21" t="str">
        <f>IFERROR(__xludf.DUMMYFUNCTION("""COMPUTED_VALUE"""),"TECHNICOLOR TC7337NET")</f>
        <v>TECHNICOLOR TC7337NET</v>
      </c>
      <c r="B5475" s="22">
        <f>IFERROR(__xludf.DUMMYFUNCTION("""COMPUTED_VALUE"""),4.1001294E7)</f>
        <v>41001294</v>
      </c>
      <c r="C5475" s="21" t="str">
        <f>IFERROR(__xludf.DUMMYFUNCTION("""COMPUTED_VALUE"""),"905851AC00CA")</f>
        <v>905851AC00CA</v>
      </c>
      <c r="D5475" s="21" t="str">
        <f>IFERROR(__xludf.DUMMYFUNCTION("""COMPUTED_VALUE"""),"DIGITEC TECNOLOGIA DIGITAL E REPRES")</f>
        <v>DIGITEC TECNOLOGIA DIGITAL E REPRES</v>
      </c>
      <c r="E5475" s="21">
        <f>IFERROR(__xludf.DUMMYFUNCTION("""COMPUTED_VALUE"""),145359.0)</f>
        <v>145359</v>
      </c>
      <c r="F5475" s="21" t="str">
        <f>IFERROR(__xludf.DUMMYFUNCTION("""COMPUTED_VALUE"""),"INICIALIZADO")</f>
        <v>INICIALIZADO</v>
      </c>
      <c r="G5475" s="23">
        <f>IFERROR(__xludf.DUMMYFUNCTION("""COMPUTED_VALUE"""),45618.74476851852)</f>
        <v>45618.74477</v>
      </c>
      <c r="H5475" s="24" t="str">
        <f>IFERROR(VLOOKUP(B5475,material!A:D,3,0),"")</f>
        <v>DUAL</v>
      </c>
    </row>
    <row r="5476" ht="11.25" customHeight="1">
      <c r="A5476" s="21" t="str">
        <f>IFERROR(__xludf.DUMMYFUNCTION("""COMPUTED_VALUE"""),"TECHNICOLOR TC7337NET")</f>
        <v>TECHNICOLOR TC7337NET</v>
      </c>
      <c r="B5476" s="22">
        <f>IFERROR(__xludf.DUMMYFUNCTION("""COMPUTED_VALUE"""),4.1001294E7)</f>
        <v>41001294</v>
      </c>
      <c r="C5476" s="21" t="str">
        <f>IFERROR(__xludf.DUMMYFUNCTION("""COMPUTED_VALUE"""),"905851A6F439")</f>
        <v>905851A6F439</v>
      </c>
      <c r="D5476" s="21" t="str">
        <f>IFERROR(__xludf.DUMMYFUNCTION("""COMPUTED_VALUE"""),"DIGITEC TECNOLOGIA DIGITAL E REPRES")</f>
        <v>DIGITEC TECNOLOGIA DIGITAL E REPRES</v>
      </c>
      <c r="E5476" s="21">
        <f>IFERROR(__xludf.DUMMYFUNCTION("""COMPUTED_VALUE"""),145359.0)</f>
        <v>145359</v>
      </c>
      <c r="F5476" s="21" t="str">
        <f>IFERROR(__xludf.DUMMYFUNCTION("""COMPUTED_VALUE"""),"INICIALIZADO")</f>
        <v>INICIALIZADO</v>
      </c>
      <c r="G5476" s="23">
        <f>IFERROR(__xludf.DUMMYFUNCTION("""COMPUTED_VALUE"""),45618.74475694445)</f>
        <v>45618.74476</v>
      </c>
      <c r="H5476" s="24" t="str">
        <f>IFERROR(VLOOKUP(B5476,material!A:D,3,0),"")</f>
        <v>DUAL</v>
      </c>
    </row>
    <row r="5477" ht="11.25" customHeight="1">
      <c r="A5477" s="21" t="str">
        <f>IFERROR(__xludf.DUMMYFUNCTION("""COMPUTED_VALUE"""),"TECHNICOLOR TC7337NET")</f>
        <v>TECHNICOLOR TC7337NET</v>
      </c>
      <c r="B5477" s="22">
        <f>IFERROR(__xludf.DUMMYFUNCTION("""COMPUTED_VALUE"""),4.1001294E7)</f>
        <v>41001294</v>
      </c>
      <c r="C5477" s="21" t="str">
        <f>IFERROR(__xludf.DUMMYFUNCTION("""COMPUTED_VALUE"""),"905851AD28A6")</f>
        <v>905851AD28A6</v>
      </c>
      <c r="D5477" s="21" t="str">
        <f>IFERROR(__xludf.DUMMYFUNCTION("""COMPUTED_VALUE"""),"DIGITEC TECNOLOGIA DIGITAL E REPRES")</f>
        <v>DIGITEC TECNOLOGIA DIGITAL E REPRES</v>
      </c>
      <c r="E5477" s="21">
        <f>IFERROR(__xludf.DUMMYFUNCTION("""COMPUTED_VALUE"""),145359.0)</f>
        <v>145359</v>
      </c>
      <c r="F5477" s="21" t="str">
        <f>IFERROR(__xludf.DUMMYFUNCTION("""COMPUTED_VALUE"""),"INICIALIZADO")</f>
        <v>INICIALIZADO</v>
      </c>
      <c r="G5477" s="23">
        <f>IFERROR(__xludf.DUMMYFUNCTION("""COMPUTED_VALUE"""),45615.61858796296)</f>
        <v>45615.61859</v>
      </c>
      <c r="H5477" s="24" t="str">
        <f>IFERROR(VLOOKUP(B5477,material!A:D,3,0),"")</f>
        <v>DUAL</v>
      </c>
    </row>
    <row r="5478" ht="11.25" customHeight="1">
      <c r="A5478" s="21" t="str">
        <f>IFERROR(__xludf.DUMMYFUNCTION("""COMPUTED_VALUE"""),"TECHNICOLOR TC7337NET")</f>
        <v>TECHNICOLOR TC7337NET</v>
      </c>
      <c r="B5478" s="22">
        <f>IFERROR(__xludf.DUMMYFUNCTION("""COMPUTED_VALUE"""),4.1001294E7)</f>
        <v>41001294</v>
      </c>
      <c r="C5478" s="21" t="str">
        <f>IFERROR(__xludf.DUMMYFUNCTION("""COMPUTED_VALUE"""),"905851ABEE32")</f>
        <v>905851ABEE32</v>
      </c>
      <c r="D5478" s="21" t="str">
        <f>IFERROR(__xludf.DUMMYFUNCTION("""COMPUTED_VALUE"""),"DIGITEC TECNOLOGIA DIGITAL E REPRES")</f>
        <v>DIGITEC TECNOLOGIA DIGITAL E REPRES</v>
      </c>
      <c r="E5478" s="21">
        <f>IFERROR(__xludf.DUMMYFUNCTION("""COMPUTED_VALUE"""),145359.0)</f>
        <v>145359</v>
      </c>
      <c r="F5478" s="21" t="str">
        <f>IFERROR(__xludf.DUMMYFUNCTION("""COMPUTED_VALUE"""),"INICIALIZADO")</f>
        <v>INICIALIZADO</v>
      </c>
      <c r="G5478" s="23">
        <f>IFERROR(__xludf.DUMMYFUNCTION("""COMPUTED_VALUE"""),45615.61857638889)</f>
        <v>45615.61858</v>
      </c>
      <c r="H5478" s="24" t="str">
        <f>IFERROR(VLOOKUP(B5478,material!A:D,3,0),"")</f>
        <v>DUAL</v>
      </c>
    </row>
    <row r="5479" ht="11.25" customHeight="1">
      <c r="A5479" s="21" t="str">
        <f>IFERROR(__xludf.DUMMYFUNCTION("""COMPUTED_VALUE"""),"TECHNICOLOR TC7337NET")</f>
        <v>TECHNICOLOR TC7337NET</v>
      </c>
      <c r="B5479" s="22">
        <f>IFERROR(__xludf.DUMMYFUNCTION("""COMPUTED_VALUE"""),4.1001294E7)</f>
        <v>41001294</v>
      </c>
      <c r="C5479" s="21" t="str">
        <f>IFERROR(__xludf.DUMMYFUNCTION("""COMPUTED_VALUE"""),"905851AD2B9A")</f>
        <v>905851AD2B9A</v>
      </c>
      <c r="D5479" s="21" t="str">
        <f>IFERROR(__xludf.DUMMYFUNCTION("""COMPUTED_VALUE"""),"DIGITEC TECNOLOGIA DIGITAL E REPRES")</f>
        <v>DIGITEC TECNOLOGIA DIGITAL E REPRES</v>
      </c>
      <c r="E5479" s="21">
        <f>IFERROR(__xludf.DUMMYFUNCTION("""COMPUTED_VALUE"""),145359.0)</f>
        <v>145359</v>
      </c>
      <c r="F5479" s="21" t="str">
        <f>IFERROR(__xludf.DUMMYFUNCTION("""COMPUTED_VALUE"""),"INICIALIZADO")</f>
        <v>INICIALIZADO</v>
      </c>
      <c r="G5479" s="23">
        <f>IFERROR(__xludf.DUMMYFUNCTION("""COMPUTED_VALUE"""),45615.61857638889)</f>
        <v>45615.61858</v>
      </c>
      <c r="H5479" s="24" t="str">
        <f>IFERROR(VLOOKUP(B5479,material!A:D,3,0),"")</f>
        <v>DUAL</v>
      </c>
    </row>
    <row r="5480" ht="11.25" customHeight="1">
      <c r="A5480" s="21" t="str">
        <f>IFERROR(__xludf.DUMMYFUNCTION("""COMPUTED_VALUE"""),"TECHNICOLOR TC7337NET")</f>
        <v>TECHNICOLOR TC7337NET</v>
      </c>
      <c r="B5480" s="22">
        <f>IFERROR(__xludf.DUMMYFUNCTION("""COMPUTED_VALUE"""),4.1001294E7)</f>
        <v>41001294</v>
      </c>
      <c r="C5480" s="21" t="str">
        <f>IFERROR(__xludf.DUMMYFUNCTION("""COMPUTED_VALUE"""),"905851452CE5")</f>
        <v>905851452CE5</v>
      </c>
      <c r="D5480" s="21" t="str">
        <f>IFERROR(__xludf.DUMMYFUNCTION("""COMPUTED_VALUE"""),"DIGITEC TECNOLOGIA DIGITAL E REPRES")</f>
        <v>DIGITEC TECNOLOGIA DIGITAL E REPRES</v>
      </c>
      <c r="E5480" s="21">
        <f>IFERROR(__xludf.DUMMYFUNCTION("""COMPUTED_VALUE"""),145359.0)</f>
        <v>145359</v>
      </c>
      <c r="F5480" s="21" t="str">
        <f>IFERROR(__xludf.DUMMYFUNCTION("""COMPUTED_VALUE"""),"INICIALIZADO")</f>
        <v>INICIALIZADO</v>
      </c>
      <c r="G5480" s="23">
        <f>IFERROR(__xludf.DUMMYFUNCTION("""COMPUTED_VALUE"""),45615.61857638889)</f>
        <v>45615.61858</v>
      </c>
      <c r="H5480" s="24" t="str">
        <f>IFERROR(VLOOKUP(B5480,material!A:D,3,0),"")</f>
        <v>DUAL</v>
      </c>
    </row>
    <row r="5481" ht="11.25" customHeight="1">
      <c r="A5481" s="21" t="str">
        <f>IFERROR(__xludf.DUMMYFUNCTION("""COMPUTED_VALUE"""),"TECHNICOLOR TC7337NET")</f>
        <v>TECHNICOLOR TC7337NET</v>
      </c>
      <c r="B5481" s="22">
        <f>IFERROR(__xludf.DUMMYFUNCTION("""COMPUTED_VALUE"""),4.1001294E7)</f>
        <v>41001294</v>
      </c>
      <c r="C5481" s="21" t="str">
        <f>IFERROR(__xludf.DUMMYFUNCTION("""COMPUTED_VALUE"""),"70037E9B051D")</f>
        <v>70037E9B051D</v>
      </c>
      <c r="D5481" s="21" t="str">
        <f>IFERROR(__xludf.DUMMYFUNCTION("""COMPUTED_VALUE"""),"DIGITEC TECNOLOGIA DIGITAL E REPRES")</f>
        <v>DIGITEC TECNOLOGIA DIGITAL E REPRES</v>
      </c>
      <c r="E5481" s="21">
        <f>IFERROR(__xludf.DUMMYFUNCTION("""COMPUTED_VALUE"""),145359.0)</f>
        <v>145359</v>
      </c>
      <c r="F5481" s="21" t="str">
        <f>IFERROR(__xludf.DUMMYFUNCTION("""COMPUTED_VALUE"""),"INICIALIZADO")</f>
        <v>INICIALIZADO</v>
      </c>
      <c r="G5481" s="23">
        <f>IFERROR(__xludf.DUMMYFUNCTION("""COMPUTED_VALUE"""),45615.61858796296)</f>
        <v>45615.61859</v>
      </c>
      <c r="H5481" s="24" t="str">
        <f>IFERROR(VLOOKUP(B5481,material!A:D,3,0),"")</f>
        <v>DUAL</v>
      </c>
    </row>
    <row r="5482" ht="11.25" customHeight="1">
      <c r="A5482" s="21" t="str">
        <f>IFERROR(__xludf.DUMMYFUNCTION("""COMPUTED_VALUE"""),"TECHNICOLOR TC7337NET")</f>
        <v>TECHNICOLOR TC7337NET</v>
      </c>
      <c r="B5482" s="22">
        <f>IFERROR(__xludf.DUMMYFUNCTION("""COMPUTED_VALUE"""),4.1001294E7)</f>
        <v>41001294</v>
      </c>
      <c r="C5482" s="21" t="str">
        <f>IFERROR(__xludf.DUMMYFUNCTION("""COMPUTED_VALUE"""),"BC9B68960F19")</f>
        <v>BC9B68960F19</v>
      </c>
      <c r="D5482" s="21" t="str">
        <f>IFERROR(__xludf.DUMMYFUNCTION("""COMPUTED_VALUE"""),"DIGITEC TECNOLOGIA DIGITAL E REPRES")</f>
        <v>DIGITEC TECNOLOGIA DIGITAL E REPRES</v>
      </c>
      <c r="E5482" s="21">
        <f>IFERROR(__xludf.DUMMYFUNCTION("""COMPUTED_VALUE"""),145359.0)</f>
        <v>145359</v>
      </c>
      <c r="F5482" s="21" t="str">
        <f>IFERROR(__xludf.DUMMYFUNCTION("""COMPUTED_VALUE"""),"INICIALIZADO")</f>
        <v>INICIALIZADO</v>
      </c>
      <c r="G5482" s="23">
        <f>IFERROR(__xludf.DUMMYFUNCTION("""COMPUTED_VALUE"""),45618.74476851852)</f>
        <v>45618.74477</v>
      </c>
      <c r="H5482" s="24" t="str">
        <f>IFERROR(VLOOKUP(B5482,material!A:D,3,0),"")</f>
        <v>DUAL</v>
      </c>
    </row>
    <row r="5483" ht="11.25" customHeight="1">
      <c r="A5483" s="21" t="str">
        <f>IFERROR(__xludf.DUMMYFUNCTION("""COMPUTED_VALUE"""),"TECHNICOLOR TC7337NET")</f>
        <v>TECHNICOLOR TC7337NET</v>
      </c>
      <c r="B5483" s="22">
        <f>IFERROR(__xludf.DUMMYFUNCTION("""COMPUTED_VALUE"""),4.1001294E7)</f>
        <v>41001294</v>
      </c>
      <c r="C5483" s="21" t="str">
        <f>IFERROR(__xludf.DUMMYFUNCTION("""COMPUTED_VALUE"""),"BC9B689661D0")</f>
        <v>BC9B689661D0</v>
      </c>
      <c r="D5483" s="21" t="str">
        <f>IFERROR(__xludf.DUMMYFUNCTION("""COMPUTED_VALUE"""),"DIGITEC TECNOLOGIA DIGITAL E REPRES")</f>
        <v>DIGITEC TECNOLOGIA DIGITAL E REPRES</v>
      </c>
      <c r="E5483" s="21">
        <f>IFERROR(__xludf.DUMMYFUNCTION("""COMPUTED_VALUE"""),145359.0)</f>
        <v>145359</v>
      </c>
      <c r="F5483" s="21" t="str">
        <f>IFERROR(__xludf.DUMMYFUNCTION("""COMPUTED_VALUE"""),"INICIALIZADO")</f>
        <v>INICIALIZADO</v>
      </c>
      <c r="G5483" s="23">
        <f>IFERROR(__xludf.DUMMYFUNCTION("""COMPUTED_VALUE"""),45615.61858796296)</f>
        <v>45615.61859</v>
      </c>
      <c r="H5483" s="24" t="str">
        <f>IFERROR(VLOOKUP(B5483,material!A:D,3,0),"")</f>
        <v>DUAL</v>
      </c>
    </row>
    <row r="5484" ht="11.25" customHeight="1">
      <c r="A5484" s="21" t="str">
        <f>IFERROR(__xludf.DUMMYFUNCTION("""COMPUTED_VALUE"""),"TECHNICOLOR TC7337NET")</f>
        <v>TECHNICOLOR TC7337NET</v>
      </c>
      <c r="B5484" s="22">
        <f>IFERROR(__xludf.DUMMYFUNCTION("""COMPUTED_VALUE"""),4.1001294E7)</f>
        <v>41001294</v>
      </c>
      <c r="C5484" s="21" t="str">
        <f>IFERROR(__xludf.DUMMYFUNCTION("""COMPUTED_VALUE"""),"BC9B68964F23")</f>
        <v>BC9B68964F23</v>
      </c>
      <c r="D5484" s="21" t="str">
        <f>IFERROR(__xludf.DUMMYFUNCTION("""COMPUTED_VALUE"""),"DIGITEC TECNOLOGIA DIGITAL E REPRES")</f>
        <v>DIGITEC TECNOLOGIA DIGITAL E REPRES</v>
      </c>
      <c r="E5484" s="21">
        <f>IFERROR(__xludf.DUMMYFUNCTION("""COMPUTED_VALUE"""),145359.0)</f>
        <v>145359</v>
      </c>
      <c r="F5484" s="21" t="str">
        <f>IFERROR(__xludf.DUMMYFUNCTION("""COMPUTED_VALUE"""),"INICIALIZADO")</f>
        <v>INICIALIZADO</v>
      </c>
      <c r="G5484" s="23">
        <f>IFERROR(__xludf.DUMMYFUNCTION("""COMPUTED_VALUE"""),45615.61858796296)</f>
        <v>45615.61859</v>
      </c>
      <c r="H5484" s="24" t="str">
        <f>IFERROR(VLOOKUP(B5484,material!A:D,3,0),"")</f>
        <v>DUAL</v>
      </c>
    </row>
    <row r="5485" ht="11.25" customHeight="1">
      <c r="A5485" s="21" t="str">
        <f>IFERROR(__xludf.DUMMYFUNCTION("""COMPUTED_VALUE"""),"TECHNICOLOR TC7337NET")</f>
        <v>TECHNICOLOR TC7337NET</v>
      </c>
      <c r="B5485" s="22">
        <f>IFERROR(__xludf.DUMMYFUNCTION("""COMPUTED_VALUE"""),4.1001294E7)</f>
        <v>41001294</v>
      </c>
      <c r="C5485" s="21" t="str">
        <f>IFERROR(__xludf.DUMMYFUNCTION("""COMPUTED_VALUE"""),"70037E9E3FB0")</f>
        <v>70037E9E3FB0</v>
      </c>
      <c r="D5485" s="21" t="str">
        <f>IFERROR(__xludf.DUMMYFUNCTION("""COMPUTED_VALUE"""),"DIGITEC TECNOLOGIA DIGITAL E REPRES")</f>
        <v>DIGITEC TECNOLOGIA DIGITAL E REPRES</v>
      </c>
      <c r="E5485" s="21">
        <f>IFERROR(__xludf.DUMMYFUNCTION("""COMPUTED_VALUE"""),145359.0)</f>
        <v>145359</v>
      </c>
      <c r="F5485" s="21" t="str">
        <f>IFERROR(__xludf.DUMMYFUNCTION("""COMPUTED_VALUE"""),"INICIALIZADO")</f>
        <v>INICIALIZADO</v>
      </c>
      <c r="G5485" s="23">
        <f>IFERROR(__xludf.DUMMYFUNCTION("""COMPUTED_VALUE"""),45618.74478009259)</f>
        <v>45618.74478</v>
      </c>
      <c r="H5485" s="24" t="str">
        <f>IFERROR(VLOOKUP(B5485,material!A:D,3,0),"")</f>
        <v>DUAL</v>
      </c>
    </row>
    <row r="5486" ht="11.25" customHeight="1">
      <c r="A5486" s="21" t="str">
        <f>IFERROR(__xludf.DUMMYFUNCTION("""COMPUTED_VALUE"""),"TECHNICOLOR TC7337NET")</f>
        <v>TECHNICOLOR TC7337NET</v>
      </c>
      <c r="B5486" s="22">
        <f>IFERROR(__xludf.DUMMYFUNCTION("""COMPUTED_VALUE"""),4.1001294E7)</f>
        <v>41001294</v>
      </c>
      <c r="C5486" s="21" t="str">
        <f>IFERROR(__xludf.DUMMYFUNCTION("""COMPUTED_VALUE"""),"70037E9E18F8")</f>
        <v>70037E9E18F8</v>
      </c>
      <c r="D5486" s="21" t="str">
        <f>IFERROR(__xludf.DUMMYFUNCTION("""COMPUTED_VALUE"""),"DIGITEC TECNOLOGIA DIGITAL E REPRES")</f>
        <v>DIGITEC TECNOLOGIA DIGITAL E REPRES</v>
      </c>
      <c r="E5486" s="21">
        <f>IFERROR(__xludf.DUMMYFUNCTION("""COMPUTED_VALUE"""),145359.0)</f>
        <v>145359</v>
      </c>
      <c r="F5486" s="21" t="str">
        <f>IFERROR(__xludf.DUMMYFUNCTION("""COMPUTED_VALUE"""),"INICIALIZADO")</f>
        <v>INICIALIZADO</v>
      </c>
      <c r="G5486" s="23">
        <f>IFERROR(__xludf.DUMMYFUNCTION("""COMPUTED_VALUE"""),45593.485555555555)</f>
        <v>45593.48556</v>
      </c>
      <c r="H5486" s="24" t="str">
        <f>IFERROR(VLOOKUP(B5486,material!A:D,3,0),"")</f>
        <v>DUAL</v>
      </c>
    </row>
    <row r="5487" ht="11.25" customHeight="1">
      <c r="A5487" s="21" t="str">
        <f>IFERROR(__xludf.DUMMYFUNCTION("""COMPUTED_VALUE"""),"TECHNICOLOR TC7337NET")</f>
        <v>TECHNICOLOR TC7337NET</v>
      </c>
      <c r="B5487" s="22">
        <f>IFERROR(__xludf.DUMMYFUNCTION("""COMPUTED_VALUE"""),4.1001294E7)</f>
        <v>41001294</v>
      </c>
      <c r="C5487" s="21" t="str">
        <f>IFERROR(__xludf.DUMMYFUNCTION("""COMPUTED_VALUE"""),"383FB3A319C8")</f>
        <v>383FB3A319C8</v>
      </c>
      <c r="D5487" s="21" t="str">
        <f>IFERROR(__xludf.DUMMYFUNCTION("""COMPUTED_VALUE"""),"DIGITEC TECNOLOGIA DIGITAL E REPRES")</f>
        <v>DIGITEC TECNOLOGIA DIGITAL E REPRES</v>
      </c>
      <c r="E5487" s="21">
        <f>IFERROR(__xludf.DUMMYFUNCTION("""COMPUTED_VALUE"""),145359.0)</f>
        <v>145359</v>
      </c>
      <c r="F5487" s="21" t="str">
        <f>IFERROR(__xludf.DUMMYFUNCTION("""COMPUTED_VALUE"""),"INICIALIZADO")</f>
        <v>INICIALIZADO</v>
      </c>
      <c r="G5487" s="23">
        <f>IFERROR(__xludf.DUMMYFUNCTION("""COMPUTED_VALUE"""),45495.52210648148)</f>
        <v>45495.52211</v>
      </c>
      <c r="H5487" s="24" t="str">
        <f>IFERROR(VLOOKUP(B5487,material!A:D,3,0),"")</f>
        <v>DUAL</v>
      </c>
    </row>
    <row r="5488" ht="11.25" customHeight="1">
      <c r="A5488" s="21" t="str">
        <f>IFERROR(__xludf.DUMMYFUNCTION("""COMPUTED_VALUE"""),"TECHNICOLOR TC7337NET")</f>
        <v>TECHNICOLOR TC7337NET</v>
      </c>
      <c r="B5488" s="22">
        <f>IFERROR(__xludf.DUMMYFUNCTION("""COMPUTED_VALUE"""),4.1001294E7)</f>
        <v>41001294</v>
      </c>
      <c r="C5488" s="21" t="str">
        <f>IFERROR(__xludf.DUMMYFUNCTION("""COMPUTED_VALUE"""),"087E64838D89")</f>
        <v>087E64838D89</v>
      </c>
      <c r="D5488" s="21" t="str">
        <f>IFERROR(__xludf.DUMMYFUNCTION("""COMPUTED_VALUE"""),"DIGITEC TECNOLOGIA DIGITAL E REPRES")</f>
        <v>DIGITEC TECNOLOGIA DIGITAL E REPRES</v>
      </c>
      <c r="E5488" s="21">
        <f>IFERROR(__xludf.DUMMYFUNCTION("""COMPUTED_VALUE"""),145359.0)</f>
        <v>145359</v>
      </c>
      <c r="F5488" s="21" t="str">
        <f>IFERROR(__xludf.DUMMYFUNCTION("""COMPUTED_VALUE"""),"INICIALIZADO")</f>
        <v>INICIALIZADO</v>
      </c>
      <c r="G5488" s="23">
        <f>IFERROR(__xludf.DUMMYFUNCTION("""COMPUTED_VALUE"""),45628.59332175926)</f>
        <v>45628.59332</v>
      </c>
      <c r="H5488" s="24" t="str">
        <f>IFERROR(VLOOKUP(B5488,material!A:D,3,0),"")</f>
        <v>DUAL</v>
      </c>
    </row>
    <row r="5489" ht="11.25" customHeight="1">
      <c r="A5489" s="21" t="str">
        <f>IFERROR(__xludf.DUMMYFUNCTION("""COMPUTED_VALUE"""),"TECHNICOLOR TC7337NET")</f>
        <v>TECHNICOLOR TC7337NET</v>
      </c>
      <c r="B5489" s="22">
        <f>IFERROR(__xludf.DUMMYFUNCTION("""COMPUTED_VALUE"""),4.1001294E7)</f>
        <v>41001294</v>
      </c>
      <c r="C5489" s="21" t="str">
        <f>IFERROR(__xludf.DUMMYFUNCTION("""COMPUTED_VALUE"""),"383FB3A55536")</f>
        <v>383FB3A55536</v>
      </c>
      <c r="D5489" s="21" t="str">
        <f>IFERROR(__xludf.DUMMYFUNCTION("""COMPUTED_VALUE"""),"DIGITEC TECNOLOGIA DIGITAL E REPRES")</f>
        <v>DIGITEC TECNOLOGIA DIGITAL E REPRES</v>
      </c>
      <c r="E5489" s="21">
        <f>IFERROR(__xludf.DUMMYFUNCTION("""COMPUTED_VALUE"""),145359.0)</f>
        <v>145359</v>
      </c>
      <c r="F5489" s="21" t="str">
        <f>IFERROR(__xludf.DUMMYFUNCTION("""COMPUTED_VALUE"""),"INICIALIZADO")</f>
        <v>INICIALIZADO</v>
      </c>
      <c r="G5489" s="23">
        <f>IFERROR(__xludf.DUMMYFUNCTION("""COMPUTED_VALUE"""),45593.485555555555)</f>
        <v>45593.48556</v>
      </c>
      <c r="H5489" s="24" t="str">
        <f>IFERROR(VLOOKUP(B5489,material!A:D,3,0),"")</f>
        <v>DUAL</v>
      </c>
    </row>
    <row r="5490" ht="11.25" customHeight="1">
      <c r="A5490" s="21" t="str">
        <f>IFERROR(__xludf.DUMMYFUNCTION("""COMPUTED_VALUE"""),"TECHNICOLOR TC7337NET")</f>
        <v>TECHNICOLOR TC7337NET</v>
      </c>
      <c r="B5490" s="22">
        <f>IFERROR(__xludf.DUMMYFUNCTION("""COMPUTED_VALUE"""),4.1001294E7)</f>
        <v>41001294</v>
      </c>
      <c r="C5490" s="21" t="str">
        <f>IFERROR(__xludf.DUMMYFUNCTION("""COMPUTED_VALUE"""),"383FB3A196E5")</f>
        <v>383FB3A196E5</v>
      </c>
      <c r="D5490" s="21" t="str">
        <f>IFERROR(__xludf.DUMMYFUNCTION("""COMPUTED_VALUE"""),"DIGITEC TECNOLOGIA DIGITAL E REPRES")</f>
        <v>DIGITEC TECNOLOGIA DIGITAL E REPRES</v>
      </c>
      <c r="E5490" s="21">
        <f>IFERROR(__xludf.DUMMYFUNCTION("""COMPUTED_VALUE"""),145359.0)</f>
        <v>145359</v>
      </c>
      <c r="F5490" s="21" t="str">
        <f>IFERROR(__xludf.DUMMYFUNCTION("""COMPUTED_VALUE"""),"INICIALIZADO")</f>
        <v>INICIALIZADO</v>
      </c>
      <c r="G5490" s="23">
        <f>IFERROR(__xludf.DUMMYFUNCTION("""COMPUTED_VALUE"""),45618.74476851852)</f>
        <v>45618.74477</v>
      </c>
      <c r="H5490" s="24" t="str">
        <f>IFERROR(VLOOKUP(B5490,material!A:D,3,0),"")</f>
        <v>DUAL</v>
      </c>
    </row>
    <row r="5491" ht="11.25" customHeight="1">
      <c r="A5491" s="21" t="str">
        <f>IFERROR(__xludf.DUMMYFUNCTION("""COMPUTED_VALUE"""),"TECHNICOLOR TC7337NET")</f>
        <v>TECHNICOLOR TC7337NET</v>
      </c>
      <c r="B5491" s="22">
        <f>IFERROR(__xludf.DUMMYFUNCTION("""COMPUTED_VALUE"""),4.1001294E7)</f>
        <v>41001294</v>
      </c>
      <c r="C5491" s="21" t="str">
        <f>IFERROR(__xludf.DUMMYFUNCTION("""COMPUTED_VALUE"""),"383FB3A5C495")</f>
        <v>383FB3A5C495</v>
      </c>
      <c r="D5491" s="21" t="str">
        <f>IFERROR(__xludf.DUMMYFUNCTION("""COMPUTED_VALUE"""),"DIGITEC TECNOLOGIA DIGITAL E REPRES")</f>
        <v>DIGITEC TECNOLOGIA DIGITAL E REPRES</v>
      </c>
      <c r="E5491" s="21">
        <f>IFERROR(__xludf.DUMMYFUNCTION("""COMPUTED_VALUE"""),145359.0)</f>
        <v>145359</v>
      </c>
      <c r="F5491" s="21" t="str">
        <f>IFERROR(__xludf.DUMMYFUNCTION("""COMPUTED_VALUE"""),"INICIALIZADO")</f>
        <v>INICIALIZADO</v>
      </c>
      <c r="G5491" s="23">
        <f>IFERROR(__xludf.DUMMYFUNCTION("""COMPUTED_VALUE"""),45618.74476851852)</f>
        <v>45618.74477</v>
      </c>
      <c r="H5491" s="24" t="str">
        <f>IFERROR(VLOOKUP(B5491,material!A:D,3,0),"")</f>
        <v>DUAL</v>
      </c>
    </row>
    <row r="5492" ht="11.25" customHeight="1">
      <c r="A5492" s="21" t="str">
        <f>IFERROR(__xludf.DUMMYFUNCTION("""COMPUTED_VALUE"""),"TECHNICOLOR TC7337NET")</f>
        <v>TECHNICOLOR TC7337NET</v>
      </c>
      <c r="B5492" s="22">
        <f>IFERROR(__xludf.DUMMYFUNCTION("""COMPUTED_VALUE"""),4.1001294E7)</f>
        <v>41001294</v>
      </c>
      <c r="C5492" s="21" t="str">
        <f>IFERROR(__xludf.DUMMYFUNCTION("""COMPUTED_VALUE"""),"383FB3A7BCFE")</f>
        <v>383FB3A7BCFE</v>
      </c>
      <c r="D5492" s="21" t="str">
        <f>IFERROR(__xludf.DUMMYFUNCTION("""COMPUTED_VALUE"""),"DIGITEC TECNOLOGIA DIGITAL E REPRES")</f>
        <v>DIGITEC TECNOLOGIA DIGITAL E REPRES</v>
      </c>
      <c r="E5492" s="21">
        <f>IFERROR(__xludf.DUMMYFUNCTION("""COMPUTED_VALUE"""),145359.0)</f>
        <v>145359</v>
      </c>
      <c r="F5492" s="21" t="str">
        <f>IFERROR(__xludf.DUMMYFUNCTION("""COMPUTED_VALUE"""),"INICIALIZADO")</f>
        <v>INICIALIZADO</v>
      </c>
      <c r="G5492" s="23">
        <f>IFERROR(__xludf.DUMMYFUNCTION("""COMPUTED_VALUE"""),45618.74476851852)</f>
        <v>45618.74477</v>
      </c>
      <c r="H5492" s="24" t="str">
        <f>IFERROR(VLOOKUP(B5492,material!A:D,3,0),"")</f>
        <v>DUAL</v>
      </c>
    </row>
    <row r="5493" ht="11.25" customHeight="1">
      <c r="A5493" s="21" t="str">
        <f>IFERROR(__xludf.DUMMYFUNCTION("""COMPUTED_VALUE"""),"TECHNICOLOR TC7337NET")</f>
        <v>TECHNICOLOR TC7337NET</v>
      </c>
      <c r="B5493" s="22">
        <f>IFERROR(__xludf.DUMMYFUNCTION("""COMPUTED_VALUE"""),4.1001294E7)</f>
        <v>41001294</v>
      </c>
      <c r="C5493" s="21" t="str">
        <f>IFERROR(__xludf.DUMMYFUNCTION("""COMPUTED_VALUE"""),"383FB3AA1CD1")</f>
        <v>383FB3AA1CD1</v>
      </c>
      <c r="D5493" s="21" t="str">
        <f>IFERROR(__xludf.DUMMYFUNCTION("""COMPUTED_VALUE"""),"DIGITEC TECNOLOGIA DIGITAL E REPRES")</f>
        <v>DIGITEC TECNOLOGIA DIGITAL E REPRES</v>
      </c>
      <c r="E5493" s="21">
        <f>IFERROR(__xludf.DUMMYFUNCTION("""COMPUTED_VALUE"""),145359.0)</f>
        <v>145359</v>
      </c>
      <c r="F5493" s="21" t="str">
        <f>IFERROR(__xludf.DUMMYFUNCTION("""COMPUTED_VALUE"""),"INICIALIZADO")</f>
        <v>INICIALIZADO</v>
      </c>
      <c r="G5493" s="23">
        <f>IFERROR(__xludf.DUMMYFUNCTION("""COMPUTED_VALUE"""),45618.74476851852)</f>
        <v>45618.74477</v>
      </c>
      <c r="H5493" s="24" t="str">
        <f>IFERROR(VLOOKUP(B5493,material!A:D,3,0),"")</f>
        <v>DUAL</v>
      </c>
    </row>
    <row r="5494" ht="11.25" customHeight="1">
      <c r="A5494" s="21" t="str">
        <f>IFERROR(__xludf.DUMMYFUNCTION("""COMPUTED_VALUE"""),"TECHNICOLOR TC7337NET")</f>
        <v>TECHNICOLOR TC7337NET</v>
      </c>
      <c r="B5494" s="22">
        <f>IFERROR(__xludf.DUMMYFUNCTION("""COMPUTED_VALUE"""),4.1001294E7)</f>
        <v>41001294</v>
      </c>
      <c r="C5494" s="21" t="str">
        <f>IFERROR(__xludf.DUMMYFUNCTION("""COMPUTED_VALUE"""),"54A65C11B394")</f>
        <v>54A65C11B394</v>
      </c>
      <c r="D5494" s="21" t="str">
        <f>IFERROR(__xludf.DUMMYFUNCTION("""COMPUTED_VALUE"""),"DIGITEC TECNOLOGIA DIGITAL E REPRES")</f>
        <v>DIGITEC TECNOLOGIA DIGITAL E REPRES</v>
      </c>
      <c r="E5494" s="21">
        <f>IFERROR(__xludf.DUMMYFUNCTION("""COMPUTED_VALUE"""),145359.0)</f>
        <v>145359</v>
      </c>
      <c r="F5494" s="21" t="str">
        <f>IFERROR(__xludf.DUMMYFUNCTION("""COMPUTED_VALUE"""),"INICIALIZADO")</f>
        <v>INICIALIZADO</v>
      </c>
      <c r="G5494" s="23">
        <f>IFERROR(__xludf.DUMMYFUNCTION("""COMPUTED_VALUE"""),45618.74476851852)</f>
        <v>45618.74477</v>
      </c>
      <c r="H5494" s="24" t="str">
        <f>IFERROR(VLOOKUP(B5494,material!A:D,3,0),"")</f>
        <v>DUAL</v>
      </c>
    </row>
    <row r="5495" ht="11.25" customHeight="1">
      <c r="A5495" s="21" t="str">
        <f>IFERROR(__xludf.DUMMYFUNCTION("""COMPUTED_VALUE"""),"TECHNICOLOR TC7337NET")</f>
        <v>TECHNICOLOR TC7337NET</v>
      </c>
      <c r="B5495" s="22">
        <f>IFERROR(__xludf.DUMMYFUNCTION("""COMPUTED_VALUE"""),4.1001294E7)</f>
        <v>41001294</v>
      </c>
      <c r="C5495" s="21" t="str">
        <f>IFERROR(__xludf.DUMMYFUNCTION("""COMPUTED_VALUE"""),"80D04A98231A")</f>
        <v>80D04A98231A</v>
      </c>
      <c r="D5495" s="21" t="str">
        <f>IFERROR(__xludf.DUMMYFUNCTION("""COMPUTED_VALUE"""),"DIGITEC TECNOLOGIA DIGITAL E REPRES")</f>
        <v>DIGITEC TECNOLOGIA DIGITAL E REPRES</v>
      </c>
      <c r="E5495" s="21">
        <f>IFERROR(__xludf.DUMMYFUNCTION("""COMPUTED_VALUE"""),145359.0)</f>
        <v>145359</v>
      </c>
      <c r="F5495" s="21" t="str">
        <f>IFERROR(__xludf.DUMMYFUNCTION("""COMPUTED_VALUE"""),"INICIALIZADO")</f>
        <v>INICIALIZADO</v>
      </c>
      <c r="G5495" s="23">
        <f>IFERROR(__xludf.DUMMYFUNCTION("""COMPUTED_VALUE"""),45615.61857638889)</f>
        <v>45615.61858</v>
      </c>
      <c r="H5495" s="24" t="str">
        <f>IFERROR(VLOOKUP(B5495,material!A:D,3,0),"")</f>
        <v>DUAL</v>
      </c>
    </row>
    <row r="5496" ht="11.25" customHeight="1">
      <c r="A5496" s="21" t="str">
        <f>IFERROR(__xludf.DUMMYFUNCTION("""COMPUTED_VALUE"""),"TECHNICOLOR TC7337NET")</f>
        <v>TECHNICOLOR TC7337NET</v>
      </c>
      <c r="B5496" s="22">
        <f>IFERROR(__xludf.DUMMYFUNCTION("""COMPUTED_VALUE"""),4.1001294E7)</f>
        <v>41001294</v>
      </c>
      <c r="C5496" s="21" t="str">
        <f>IFERROR(__xludf.DUMMYFUNCTION("""COMPUTED_VALUE"""),"80D04A95EB17")</f>
        <v>80D04A95EB17</v>
      </c>
      <c r="D5496" s="21" t="str">
        <f>IFERROR(__xludf.DUMMYFUNCTION("""COMPUTED_VALUE"""),"DIGITEC TECNOLOGIA DIGITAL E REPRES")</f>
        <v>DIGITEC TECNOLOGIA DIGITAL E REPRES</v>
      </c>
      <c r="E5496" s="21">
        <f>IFERROR(__xludf.DUMMYFUNCTION("""COMPUTED_VALUE"""),145359.0)</f>
        <v>145359</v>
      </c>
      <c r="F5496" s="21" t="str">
        <f>IFERROR(__xludf.DUMMYFUNCTION("""COMPUTED_VALUE"""),"INICIALIZADO")</f>
        <v>INICIALIZADO</v>
      </c>
      <c r="G5496" s="23">
        <f>IFERROR(__xludf.DUMMYFUNCTION("""COMPUTED_VALUE"""),45618.74478009259)</f>
        <v>45618.74478</v>
      </c>
      <c r="H5496" s="24" t="str">
        <f>IFERROR(VLOOKUP(B5496,material!A:D,3,0),"")</f>
        <v>DUAL</v>
      </c>
    </row>
    <row r="5497" ht="11.25" customHeight="1">
      <c r="A5497" s="21" t="str">
        <f>IFERROR(__xludf.DUMMYFUNCTION("""COMPUTED_VALUE"""),"TECHNICOLOR TC7337NET")</f>
        <v>TECHNICOLOR TC7337NET</v>
      </c>
      <c r="B5497" s="22">
        <f>IFERROR(__xludf.DUMMYFUNCTION("""COMPUTED_VALUE"""),4.1001294E7)</f>
        <v>41001294</v>
      </c>
      <c r="C5497" s="21" t="str">
        <f>IFERROR(__xludf.DUMMYFUNCTION("""COMPUTED_VALUE"""),"80D04A98556A")</f>
        <v>80D04A98556A</v>
      </c>
      <c r="D5497" s="21" t="str">
        <f>IFERROR(__xludf.DUMMYFUNCTION("""COMPUTED_VALUE"""),"DIGITEC TECNOLOGIA DIGITAL E REPRES")</f>
        <v>DIGITEC TECNOLOGIA DIGITAL E REPRES</v>
      </c>
      <c r="E5497" s="21">
        <f>IFERROR(__xludf.DUMMYFUNCTION("""COMPUTED_VALUE"""),145359.0)</f>
        <v>145359</v>
      </c>
      <c r="F5497" s="21" t="str">
        <f>IFERROR(__xludf.DUMMYFUNCTION("""COMPUTED_VALUE"""),"INICIALIZADO")</f>
        <v>INICIALIZADO</v>
      </c>
      <c r="G5497" s="23">
        <f>IFERROR(__xludf.DUMMYFUNCTION("""COMPUTED_VALUE"""),45615.61857638889)</f>
        <v>45615.61858</v>
      </c>
      <c r="H5497" s="24" t="str">
        <f>IFERROR(VLOOKUP(B5497,material!A:D,3,0),"")</f>
        <v>DUAL</v>
      </c>
    </row>
    <row r="5498" ht="11.25" customHeight="1">
      <c r="A5498" s="21" t="str">
        <f>IFERROR(__xludf.DUMMYFUNCTION("""COMPUTED_VALUE"""),"TECHNICOLOR TC7337NET")</f>
        <v>TECHNICOLOR TC7337NET</v>
      </c>
      <c r="B5498" s="22">
        <f>IFERROR(__xludf.DUMMYFUNCTION("""COMPUTED_VALUE"""),4.1001294E7)</f>
        <v>41001294</v>
      </c>
      <c r="C5498" s="21" t="str">
        <f>IFERROR(__xludf.DUMMYFUNCTION("""COMPUTED_VALUE"""),"D4B92F2D8D68")</f>
        <v>D4B92F2D8D68</v>
      </c>
      <c r="D5498" s="21" t="str">
        <f>IFERROR(__xludf.DUMMYFUNCTION("""COMPUTED_VALUE"""),"DIGITEC TECNOLOGIA DIGITAL E REPRES")</f>
        <v>DIGITEC TECNOLOGIA DIGITAL E REPRES</v>
      </c>
      <c r="E5498" s="21">
        <f>IFERROR(__xludf.DUMMYFUNCTION("""COMPUTED_VALUE"""),145359.0)</f>
        <v>145359</v>
      </c>
      <c r="F5498" s="21" t="str">
        <f>IFERROR(__xludf.DUMMYFUNCTION("""COMPUTED_VALUE"""),"INICIALIZADO")</f>
        <v>INICIALIZADO</v>
      </c>
      <c r="G5498" s="23">
        <f>IFERROR(__xludf.DUMMYFUNCTION("""COMPUTED_VALUE"""),45618.74476851852)</f>
        <v>45618.74477</v>
      </c>
      <c r="H5498" s="24" t="str">
        <f>IFERROR(VLOOKUP(B5498,material!A:D,3,0),"")</f>
        <v>DUAL</v>
      </c>
    </row>
    <row r="5499" ht="11.25" customHeight="1">
      <c r="A5499" s="21" t="str">
        <f>IFERROR(__xludf.DUMMYFUNCTION("""COMPUTED_VALUE"""),"TECHNICOLOR TC7337NET")</f>
        <v>TECHNICOLOR TC7337NET</v>
      </c>
      <c r="B5499" s="22">
        <f>IFERROR(__xludf.DUMMYFUNCTION("""COMPUTED_VALUE"""),4.1001294E7)</f>
        <v>41001294</v>
      </c>
      <c r="C5499" s="21" t="str">
        <f>IFERROR(__xludf.DUMMYFUNCTION("""COMPUTED_VALUE"""),"D4B92F2A3960")</f>
        <v>D4B92F2A3960</v>
      </c>
      <c r="D5499" s="21" t="str">
        <f>IFERROR(__xludf.DUMMYFUNCTION("""COMPUTED_VALUE"""),"DIGITEC TECNOLOGIA DIGITAL E REPRES")</f>
        <v>DIGITEC TECNOLOGIA DIGITAL E REPRES</v>
      </c>
      <c r="E5499" s="21">
        <f>IFERROR(__xludf.DUMMYFUNCTION("""COMPUTED_VALUE"""),145359.0)</f>
        <v>145359</v>
      </c>
      <c r="F5499" s="21" t="str">
        <f>IFERROR(__xludf.DUMMYFUNCTION("""COMPUTED_VALUE"""),"INICIALIZADO")</f>
        <v>INICIALIZADO</v>
      </c>
      <c r="G5499" s="23">
        <f>IFERROR(__xludf.DUMMYFUNCTION("""COMPUTED_VALUE"""),45618.74476851852)</f>
        <v>45618.74477</v>
      </c>
      <c r="H5499" s="24" t="str">
        <f>IFERROR(VLOOKUP(B5499,material!A:D,3,0),"")</f>
        <v>DUAL</v>
      </c>
    </row>
    <row r="5500" ht="11.25" customHeight="1">
      <c r="A5500" s="21" t="str">
        <f>IFERROR(__xludf.DUMMYFUNCTION("""COMPUTED_VALUE"""),"TECHNICOLOR TC7337NET")</f>
        <v>TECHNICOLOR TC7337NET</v>
      </c>
      <c r="B5500" s="22">
        <f>IFERROR(__xludf.DUMMYFUNCTION("""COMPUTED_VALUE"""),4.1001294E7)</f>
        <v>41001294</v>
      </c>
      <c r="C5500" s="21" t="str">
        <f>IFERROR(__xludf.DUMMYFUNCTION("""COMPUTED_VALUE"""),"D4B92F2836FC")</f>
        <v>D4B92F2836FC</v>
      </c>
      <c r="D5500" s="21" t="str">
        <f>IFERROR(__xludf.DUMMYFUNCTION("""COMPUTED_VALUE"""),"DIGITEC TECNOLOGIA DIGITAL E REPRES")</f>
        <v>DIGITEC TECNOLOGIA DIGITAL E REPRES</v>
      </c>
      <c r="E5500" s="21">
        <f>IFERROR(__xludf.DUMMYFUNCTION("""COMPUTED_VALUE"""),145359.0)</f>
        <v>145359</v>
      </c>
      <c r="F5500" s="21" t="str">
        <f>IFERROR(__xludf.DUMMYFUNCTION("""COMPUTED_VALUE"""),"INICIALIZADO")</f>
        <v>INICIALIZADO</v>
      </c>
      <c r="G5500" s="23">
        <f>IFERROR(__xludf.DUMMYFUNCTION("""COMPUTED_VALUE"""),45615.61857638889)</f>
        <v>45615.61858</v>
      </c>
      <c r="H5500" s="24" t="str">
        <f>IFERROR(VLOOKUP(B5500,material!A:D,3,0),"")</f>
        <v>DUAL</v>
      </c>
    </row>
    <row r="5501" ht="11.25" customHeight="1">
      <c r="A5501" s="21" t="str">
        <f>IFERROR(__xludf.DUMMYFUNCTION("""COMPUTED_VALUE"""),"TECHNICOLOR TC7337NET")</f>
        <v>TECHNICOLOR TC7337NET</v>
      </c>
      <c r="B5501" s="22">
        <f>IFERROR(__xludf.DUMMYFUNCTION("""COMPUTED_VALUE"""),4.1001294E7)</f>
        <v>41001294</v>
      </c>
      <c r="C5501" s="21" t="str">
        <f>IFERROR(__xludf.DUMMYFUNCTION("""COMPUTED_VALUE"""),"D4B92F29EE51")</f>
        <v>D4B92F29EE51</v>
      </c>
      <c r="D5501" s="21" t="str">
        <f>IFERROR(__xludf.DUMMYFUNCTION("""COMPUTED_VALUE"""),"DIGITEC TECNOLOGIA DIGITAL E REPRES")</f>
        <v>DIGITEC TECNOLOGIA DIGITAL E REPRES</v>
      </c>
      <c r="E5501" s="21">
        <f>IFERROR(__xludf.DUMMYFUNCTION("""COMPUTED_VALUE"""),145359.0)</f>
        <v>145359</v>
      </c>
      <c r="F5501" s="21" t="str">
        <f>IFERROR(__xludf.DUMMYFUNCTION("""COMPUTED_VALUE"""),"INICIALIZADO")</f>
        <v>INICIALIZADO</v>
      </c>
      <c r="G5501" s="23">
        <f>IFERROR(__xludf.DUMMYFUNCTION("""COMPUTED_VALUE"""),45618.74476851852)</f>
        <v>45618.74477</v>
      </c>
      <c r="H5501" s="24" t="str">
        <f>IFERROR(VLOOKUP(B5501,material!A:D,3,0),"")</f>
        <v>DUAL</v>
      </c>
    </row>
    <row r="5502" ht="11.25" customHeight="1">
      <c r="A5502" s="21" t="str">
        <f>IFERROR(__xludf.DUMMYFUNCTION("""COMPUTED_VALUE"""),"TECHNICOLOR TC7337NET")</f>
        <v>TECHNICOLOR TC7337NET</v>
      </c>
      <c r="B5502" s="22">
        <f>IFERROR(__xludf.DUMMYFUNCTION("""COMPUTED_VALUE"""),4.1001294E7)</f>
        <v>41001294</v>
      </c>
      <c r="C5502" s="21" t="str">
        <f>IFERROR(__xludf.DUMMYFUNCTION("""COMPUTED_VALUE"""),"946A772581B3")</f>
        <v>946A772581B3</v>
      </c>
      <c r="D5502" s="21" t="str">
        <f>IFERROR(__xludf.DUMMYFUNCTION("""COMPUTED_VALUE"""),"DIGITEC TECNOLOGIA DIGITAL E REPRES")</f>
        <v>DIGITEC TECNOLOGIA DIGITAL E REPRES</v>
      </c>
      <c r="E5502" s="21">
        <f>IFERROR(__xludf.DUMMYFUNCTION("""COMPUTED_VALUE"""),145359.0)</f>
        <v>145359</v>
      </c>
      <c r="F5502" s="21" t="str">
        <f>IFERROR(__xludf.DUMMYFUNCTION("""COMPUTED_VALUE"""),"INICIALIZADO")</f>
        <v>INICIALIZADO</v>
      </c>
      <c r="G5502" s="23">
        <f>IFERROR(__xludf.DUMMYFUNCTION("""COMPUTED_VALUE"""),45618.74476851852)</f>
        <v>45618.74477</v>
      </c>
      <c r="H5502" s="24" t="str">
        <f>IFERROR(VLOOKUP(B5502,material!A:D,3,0),"")</f>
        <v>DUAL</v>
      </c>
    </row>
    <row r="5503" ht="11.25" customHeight="1">
      <c r="A5503" s="21" t="str">
        <f>IFERROR(__xludf.DUMMYFUNCTION("""COMPUTED_VALUE"""),"TECHNICOLOR TC7337NET")</f>
        <v>TECHNICOLOR TC7337NET</v>
      </c>
      <c r="B5503" s="22">
        <f>IFERROR(__xludf.DUMMYFUNCTION("""COMPUTED_VALUE"""),4.1001294E7)</f>
        <v>41001294</v>
      </c>
      <c r="C5503" s="21" t="str">
        <f>IFERROR(__xludf.DUMMYFUNCTION("""COMPUTED_VALUE"""),"D4B92F28321E")</f>
        <v>D4B92F28321E</v>
      </c>
      <c r="D5503" s="21" t="str">
        <f>IFERROR(__xludf.DUMMYFUNCTION("""COMPUTED_VALUE"""),"DIGITEC TECNOLOGIA DIGITAL E REPRES")</f>
        <v>DIGITEC TECNOLOGIA DIGITAL E REPRES</v>
      </c>
      <c r="E5503" s="21">
        <f>IFERROR(__xludf.DUMMYFUNCTION("""COMPUTED_VALUE"""),145359.0)</f>
        <v>145359</v>
      </c>
      <c r="F5503" s="21" t="str">
        <f>IFERROR(__xludf.DUMMYFUNCTION("""COMPUTED_VALUE"""),"INICIALIZADO")</f>
        <v>INICIALIZADO</v>
      </c>
      <c r="G5503" s="23">
        <f>IFERROR(__xludf.DUMMYFUNCTION("""COMPUTED_VALUE"""),45618.74476851852)</f>
        <v>45618.74477</v>
      </c>
      <c r="H5503" s="24" t="str">
        <f>IFERROR(VLOOKUP(B5503,material!A:D,3,0),"")</f>
        <v>DUAL</v>
      </c>
    </row>
    <row r="5504" ht="11.25" customHeight="1">
      <c r="A5504" s="21" t="str">
        <f>IFERROR(__xludf.DUMMYFUNCTION("""COMPUTED_VALUE"""),"TECHNICOLOR TC7337NET")</f>
        <v>TECHNICOLOR TC7337NET</v>
      </c>
      <c r="B5504" s="22">
        <f>IFERROR(__xludf.DUMMYFUNCTION("""COMPUTED_VALUE"""),4.1001294E7)</f>
        <v>41001294</v>
      </c>
      <c r="C5504" s="21" t="str">
        <f>IFERROR(__xludf.DUMMYFUNCTION("""COMPUTED_VALUE"""),"90585141A1F5")</f>
        <v>90585141A1F5</v>
      </c>
      <c r="D5504" s="21" t="str">
        <f>IFERROR(__xludf.DUMMYFUNCTION("""COMPUTED_VALUE"""),"DIGITEC TECNOLOGIA DIGITAL E REPRES")</f>
        <v>DIGITEC TECNOLOGIA DIGITAL E REPRES</v>
      </c>
      <c r="E5504" s="21">
        <f>IFERROR(__xludf.DUMMYFUNCTION("""COMPUTED_VALUE"""),145359.0)</f>
        <v>145359</v>
      </c>
      <c r="F5504" s="21" t="str">
        <f>IFERROR(__xludf.DUMMYFUNCTION("""COMPUTED_VALUE"""),"INICIALIZADO")</f>
        <v>INICIALIZADO</v>
      </c>
      <c r="G5504" s="23">
        <f>IFERROR(__xludf.DUMMYFUNCTION("""COMPUTED_VALUE"""),45618.74475694445)</f>
        <v>45618.74476</v>
      </c>
      <c r="H5504" s="24" t="str">
        <f>IFERROR(VLOOKUP(B5504,material!A:D,3,0),"")</f>
        <v>DUAL</v>
      </c>
    </row>
    <row r="5505" ht="11.25" customHeight="1">
      <c r="A5505" s="21" t="str">
        <f>IFERROR(__xludf.DUMMYFUNCTION("""COMPUTED_VALUE"""),"TECHNICOLOR TC7337NET")</f>
        <v>TECHNICOLOR TC7337NET</v>
      </c>
      <c r="B5505" s="22">
        <f>IFERROR(__xludf.DUMMYFUNCTION("""COMPUTED_VALUE"""),4.1001294E7)</f>
        <v>41001294</v>
      </c>
      <c r="C5505" s="21" t="str">
        <f>IFERROR(__xludf.DUMMYFUNCTION("""COMPUTED_VALUE"""),"D4B92F2B6E16")</f>
        <v>D4B92F2B6E16</v>
      </c>
      <c r="D5505" s="21" t="str">
        <f>IFERROR(__xludf.DUMMYFUNCTION("""COMPUTED_VALUE"""),"DIGITEC TECNOLOGIA DIGITAL E REPRES")</f>
        <v>DIGITEC TECNOLOGIA DIGITAL E REPRES</v>
      </c>
      <c r="E5505" s="21">
        <f>IFERROR(__xludf.DUMMYFUNCTION("""COMPUTED_VALUE"""),145359.0)</f>
        <v>145359</v>
      </c>
      <c r="F5505" s="21" t="str">
        <f>IFERROR(__xludf.DUMMYFUNCTION("""COMPUTED_VALUE"""),"INICIALIZADO")</f>
        <v>INICIALIZADO</v>
      </c>
      <c r="G5505" s="23">
        <f>IFERROR(__xludf.DUMMYFUNCTION("""COMPUTED_VALUE"""),45618.74476851852)</f>
        <v>45618.74477</v>
      </c>
      <c r="H5505" s="24" t="str">
        <f>IFERROR(VLOOKUP(B5505,material!A:D,3,0),"")</f>
        <v>DUAL</v>
      </c>
    </row>
    <row r="5506" ht="11.25" customHeight="1">
      <c r="A5506" s="21" t="str">
        <f>IFERROR(__xludf.DUMMYFUNCTION("""COMPUTED_VALUE"""),"TECHNICOLOR TC7337NET")</f>
        <v>TECHNICOLOR TC7337NET</v>
      </c>
      <c r="B5506" s="22">
        <f>IFERROR(__xludf.DUMMYFUNCTION("""COMPUTED_VALUE"""),4.1001294E7)</f>
        <v>41001294</v>
      </c>
      <c r="C5506" s="21" t="str">
        <f>IFERROR(__xludf.DUMMYFUNCTION("""COMPUTED_VALUE"""),"D4B92F2A2A72")</f>
        <v>D4B92F2A2A72</v>
      </c>
      <c r="D5506" s="21" t="str">
        <f>IFERROR(__xludf.DUMMYFUNCTION("""COMPUTED_VALUE"""),"DIGITEC TECNOLOGIA DIGITAL E REPRES")</f>
        <v>DIGITEC TECNOLOGIA DIGITAL E REPRES</v>
      </c>
      <c r="E5506" s="21">
        <f>IFERROR(__xludf.DUMMYFUNCTION("""COMPUTED_VALUE"""),145359.0)</f>
        <v>145359</v>
      </c>
      <c r="F5506" s="21" t="str">
        <f>IFERROR(__xludf.DUMMYFUNCTION("""COMPUTED_VALUE"""),"INICIALIZADO")</f>
        <v>INICIALIZADO</v>
      </c>
      <c r="G5506" s="23">
        <f>IFERROR(__xludf.DUMMYFUNCTION("""COMPUTED_VALUE"""),45615.61857638889)</f>
        <v>45615.61858</v>
      </c>
      <c r="H5506" s="24" t="str">
        <f>IFERROR(VLOOKUP(B5506,material!A:D,3,0),"")</f>
        <v>DUAL</v>
      </c>
    </row>
    <row r="5507" ht="11.25" customHeight="1">
      <c r="A5507" s="21" t="str">
        <f>IFERROR(__xludf.DUMMYFUNCTION("""COMPUTED_VALUE"""),"TECHNICOLOR TC7337NET")</f>
        <v>TECHNICOLOR TC7337NET</v>
      </c>
      <c r="B5507" s="22">
        <f>IFERROR(__xludf.DUMMYFUNCTION("""COMPUTED_VALUE"""),4.1001294E7)</f>
        <v>41001294</v>
      </c>
      <c r="C5507" s="21" t="str">
        <f>IFERROR(__xludf.DUMMYFUNCTION("""COMPUTED_VALUE"""),"946A7727BEFD")</f>
        <v>946A7727BEFD</v>
      </c>
      <c r="D5507" s="21" t="str">
        <f>IFERROR(__xludf.DUMMYFUNCTION("""COMPUTED_VALUE"""),"DIGITEC TECNOLOGIA DIGITAL E REPRES")</f>
        <v>DIGITEC TECNOLOGIA DIGITAL E REPRES</v>
      </c>
      <c r="E5507" s="21">
        <f>IFERROR(__xludf.DUMMYFUNCTION("""COMPUTED_VALUE"""),145359.0)</f>
        <v>145359</v>
      </c>
      <c r="F5507" s="21" t="str">
        <f>IFERROR(__xludf.DUMMYFUNCTION("""COMPUTED_VALUE"""),"INICIALIZADO")</f>
        <v>INICIALIZADO</v>
      </c>
      <c r="G5507" s="23">
        <f>IFERROR(__xludf.DUMMYFUNCTION("""COMPUTED_VALUE"""),45618.74476851852)</f>
        <v>45618.74477</v>
      </c>
      <c r="H5507" s="24" t="str">
        <f>IFERROR(VLOOKUP(B5507,material!A:D,3,0),"")</f>
        <v>DUAL</v>
      </c>
    </row>
    <row r="5508" ht="11.25" customHeight="1">
      <c r="A5508" s="21" t="str">
        <f>IFERROR(__xludf.DUMMYFUNCTION("""COMPUTED_VALUE"""),"TECHNICOLOR TC7337NET")</f>
        <v>TECHNICOLOR TC7337NET</v>
      </c>
      <c r="B5508" s="22">
        <f>IFERROR(__xludf.DUMMYFUNCTION("""COMPUTED_VALUE"""),4.1001294E7)</f>
        <v>41001294</v>
      </c>
      <c r="C5508" s="21" t="str">
        <f>IFERROR(__xludf.DUMMYFUNCTION("""COMPUTED_VALUE"""),"D4B92F282513")</f>
        <v>D4B92F282513</v>
      </c>
      <c r="D5508" s="21" t="str">
        <f>IFERROR(__xludf.DUMMYFUNCTION("""COMPUTED_VALUE"""),"DIGITEC TECNOLOGIA DIGITAL E REPRES")</f>
        <v>DIGITEC TECNOLOGIA DIGITAL E REPRES</v>
      </c>
      <c r="E5508" s="21">
        <f>IFERROR(__xludf.DUMMYFUNCTION("""COMPUTED_VALUE"""),145359.0)</f>
        <v>145359</v>
      </c>
      <c r="F5508" s="21" t="str">
        <f>IFERROR(__xludf.DUMMYFUNCTION("""COMPUTED_VALUE"""),"INICIALIZADO")</f>
        <v>INICIALIZADO</v>
      </c>
      <c r="G5508" s="23">
        <f>IFERROR(__xludf.DUMMYFUNCTION("""COMPUTED_VALUE"""),45618.74476851852)</f>
        <v>45618.74477</v>
      </c>
      <c r="H5508" s="24" t="str">
        <f>IFERROR(VLOOKUP(B5508,material!A:D,3,0),"")</f>
        <v>DUAL</v>
      </c>
    </row>
    <row r="5509" ht="11.25" customHeight="1">
      <c r="A5509" s="21" t="str">
        <f>IFERROR(__xludf.DUMMYFUNCTION("""COMPUTED_VALUE"""),"TECHNICOLOR TC7337NET")</f>
        <v>TECHNICOLOR TC7337NET</v>
      </c>
      <c r="B5509" s="22">
        <f>IFERROR(__xludf.DUMMYFUNCTION("""COMPUTED_VALUE"""),4.1001294E7)</f>
        <v>41001294</v>
      </c>
      <c r="C5509" s="21" t="str">
        <f>IFERROR(__xludf.DUMMYFUNCTION("""COMPUTED_VALUE"""),"BC9B6898A897")</f>
        <v>BC9B6898A897</v>
      </c>
      <c r="D5509" s="21" t="str">
        <f>IFERROR(__xludf.DUMMYFUNCTION("""COMPUTED_VALUE"""),"DIGITEC TECNOLOGIA DIGITAL E REPRES")</f>
        <v>DIGITEC TECNOLOGIA DIGITAL E REPRES</v>
      </c>
      <c r="E5509" s="21">
        <f>IFERROR(__xludf.DUMMYFUNCTION("""COMPUTED_VALUE"""),145359.0)</f>
        <v>145359</v>
      </c>
      <c r="F5509" s="21" t="str">
        <f>IFERROR(__xludf.DUMMYFUNCTION("""COMPUTED_VALUE"""),"INICIALIZADO")</f>
        <v>INICIALIZADO</v>
      </c>
      <c r="G5509" s="23">
        <f>IFERROR(__xludf.DUMMYFUNCTION("""COMPUTED_VALUE"""),45615.61857638889)</f>
        <v>45615.61858</v>
      </c>
      <c r="H5509" s="24" t="str">
        <f>IFERROR(VLOOKUP(B5509,material!A:D,3,0),"")</f>
        <v>DUAL</v>
      </c>
    </row>
    <row r="5510" ht="11.25" customHeight="1">
      <c r="A5510" s="21" t="str">
        <f>IFERROR(__xludf.DUMMYFUNCTION("""COMPUTED_VALUE"""),"TECHNICOLOR TC7337NET")</f>
        <v>TECHNICOLOR TC7337NET</v>
      </c>
      <c r="B5510" s="22">
        <f>IFERROR(__xludf.DUMMYFUNCTION("""COMPUTED_VALUE"""),4.1001294E7)</f>
        <v>41001294</v>
      </c>
      <c r="C5510" s="21" t="str">
        <f>IFERROR(__xludf.DUMMYFUNCTION("""COMPUTED_VALUE"""),"BC9B689AB44E")</f>
        <v>BC9B689AB44E</v>
      </c>
      <c r="D5510" s="21" t="str">
        <f>IFERROR(__xludf.DUMMYFUNCTION("""COMPUTED_VALUE"""),"DIGITEC TECNOLOGIA DIGITAL E REPRES")</f>
        <v>DIGITEC TECNOLOGIA DIGITAL E REPRES</v>
      </c>
      <c r="E5510" s="21">
        <f>IFERROR(__xludf.DUMMYFUNCTION("""COMPUTED_VALUE"""),145359.0)</f>
        <v>145359</v>
      </c>
      <c r="F5510" s="21" t="str">
        <f>IFERROR(__xludf.DUMMYFUNCTION("""COMPUTED_VALUE"""),"INICIALIZADO")</f>
        <v>INICIALIZADO</v>
      </c>
      <c r="G5510" s="23">
        <f>IFERROR(__xludf.DUMMYFUNCTION("""COMPUTED_VALUE"""),45615.61857638889)</f>
        <v>45615.61858</v>
      </c>
      <c r="H5510" s="24" t="str">
        <f>IFERROR(VLOOKUP(B5510,material!A:D,3,0),"")</f>
        <v>DUAL</v>
      </c>
    </row>
    <row r="5511" ht="11.25" customHeight="1">
      <c r="A5511" s="21" t="str">
        <f>IFERROR(__xludf.DUMMYFUNCTION("""COMPUTED_VALUE"""),"TECHNICOLOR TC7337NET")</f>
        <v>TECHNICOLOR TC7337NET</v>
      </c>
      <c r="B5511" s="22">
        <f>IFERROR(__xludf.DUMMYFUNCTION("""COMPUTED_VALUE"""),4.1001294E7)</f>
        <v>41001294</v>
      </c>
      <c r="C5511" s="21" t="str">
        <f>IFERROR(__xludf.DUMMYFUNCTION("""COMPUTED_VALUE"""),"946A772791CA")</f>
        <v>946A772791CA</v>
      </c>
      <c r="D5511" s="21" t="str">
        <f>IFERROR(__xludf.DUMMYFUNCTION("""COMPUTED_VALUE"""),"DIGITEC TECNOLOGIA DIGITAL E REPRES")</f>
        <v>DIGITEC TECNOLOGIA DIGITAL E REPRES</v>
      </c>
      <c r="E5511" s="21">
        <f>IFERROR(__xludf.DUMMYFUNCTION("""COMPUTED_VALUE"""),145359.0)</f>
        <v>145359</v>
      </c>
      <c r="F5511" s="21" t="str">
        <f>IFERROR(__xludf.DUMMYFUNCTION("""COMPUTED_VALUE"""),"INICIALIZADO")</f>
        <v>INICIALIZADO</v>
      </c>
      <c r="G5511" s="23">
        <f>IFERROR(__xludf.DUMMYFUNCTION("""COMPUTED_VALUE"""),45618.74476851852)</f>
        <v>45618.74477</v>
      </c>
      <c r="H5511" s="24" t="str">
        <f>IFERROR(VLOOKUP(B5511,material!A:D,3,0),"")</f>
        <v>DUAL</v>
      </c>
    </row>
    <row r="5512" ht="11.25" customHeight="1">
      <c r="A5512" s="21" t="str">
        <f>IFERROR(__xludf.DUMMYFUNCTION("""COMPUTED_VALUE"""),"TECHNICOLOR TC7337NET")</f>
        <v>TECHNICOLOR TC7337NET</v>
      </c>
      <c r="B5512" s="22">
        <f>IFERROR(__xludf.DUMMYFUNCTION("""COMPUTED_VALUE"""),4.1001294E7)</f>
        <v>41001294</v>
      </c>
      <c r="C5512" s="21" t="str">
        <f>IFERROR(__xludf.DUMMYFUNCTION("""COMPUTED_VALUE"""),"946A7726988D")</f>
        <v>946A7726988D</v>
      </c>
      <c r="D5512" s="21" t="str">
        <f>IFERROR(__xludf.DUMMYFUNCTION("""COMPUTED_VALUE"""),"DIGITEC TECNOLOGIA DIGITAL E REPRES")</f>
        <v>DIGITEC TECNOLOGIA DIGITAL E REPRES</v>
      </c>
      <c r="E5512" s="21">
        <f>IFERROR(__xludf.DUMMYFUNCTION("""COMPUTED_VALUE"""),145359.0)</f>
        <v>145359</v>
      </c>
      <c r="F5512" s="21" t="str">
        <f>IFERROR(__xludf.DUMMYFUNCTION("""COMPUTED_VALUE"""),"INICIALIZADO")</f>
        <v>INICIALIZADO</v>
      </c>
      <c r="G5512" s="23">
        <f>IFERROR(__xludf.DUMMYFUNCTION("""COMPUTED_VALUE"""),45618.74476851852)</f>
        <v>45618.74477</v>
      </c>
      <c r="H5512" s="24" t="str">
        <f>IFERROR(VLOOKUP(B5512,material!A:D,3,0),"")</f>
        <v>DUAL</v>
      </c>
    </row>
    <row r="5513" ht="11.25" customHeight="1">
      <c r="A5513" s="21" t="str">
        <f>IFERROR(__xludf.DUMMYFUNCTION("""COMPUTED_VALUE"""),"TECHNICOLOR TC7337NET")</f>
        <v>TECHNICOLOR TC7337NET</v>
      </c>
      <c r="B5513" s="22">
        <f>IFERROR(__xludf.DUMMYFUNCTION("""COMPUTED_VALUE"""),4.1001294E7)</f>
        <v>41001294</v>
      </c>
      <c r="C5513" s="21" t="str">
        <f>IFERROR(__xludf.DUMMYFUNCTION("""COMPUTED_VALUE"""),"905851AB5161")</f>
        <v>905851AB5161</v>
      </c>
      <c r="D5513" s="21" t="str">
        <f>IFERROR(__xludf.DUMMYFUNCTION("""COMPUTED_VALUE"""),"DIGITEC TECNOLOGIA DIGITAL E REPRES")</f>
        <v>DIGITEC TECNOLOGIA DIGITAL E REPRES</v>
      </c>
      <c r="E5513" s="21">
        <f>IFERROR(__xludf.DUMMYFUNCTION("""COMPUTED_VALUE"""),145359.0)</f>
        <v>145359</v>
      </c>
      <c r="F5513" s="21" t="str">
        <f>IFERROR(__xludf.DUMMYFUNCTION("""COMPUTED_VALUE"""),"INICIALIZADO")</f>
        <v>INICIALIZADO</v>
      </c>
      <c r="G5513" s="23">
        <f>IFERROR(__xludf.DUMMYFUNCTION("""COMPUTED_VALUE"""),45310.6778587963)</f>
        <v>45310.67786</v>
      </c>
      <c r="H5513" s="24" t="str">
        <f>IFERROR(VLOOKUP(B5513,material!A:D,3,0),"")</f>
        <v>DUAL</v>
      </c>
    </row>
    <row r="5514" ht="11.25" customHeight="1">
      <c r="A5514" s="21" t="str">
        <f>IFERROR(__xludf.DUMMYFUNCTION("""COMPUTED_VALUE"""),"TECHNICOLOR TC7337NET")</f>
        <v>TECHNICOLOR TC7337NET</v>
      </c>
      <c r="B5514" s="22">
        <f>IFERROR(__xludf.DUMMYFUNCTION("""COMPUTED_VALUE"""),4.1001294E7)</f>
        <v>41001294</v>
      </c>
      <c r="C5514" s="21" t="str">
        <f>IFERROR(__xludf.DUMMYFUNCTION("""COMPUTED_VALUE"""),"5C769593CFCE")</f>
        <v>5C769593CFCE</v>
      </c>
      <c r="D5514" s="21" t="str">
        <f>IFERROR(__xludf.DUMMYFUNCTION("""COMPUTED_VALUE"""),"DIGITEC TECNOLOGIA DIGITAL E REPRES")</f>
        <v>DIGITEC TECNOLOGIA DIGITAL E REPRES</v>
      </c>
      <c r="E5514" s="21">
        <f>IFERROR(__xludf.DUMMYFUNCTION("""COMPUTED_VALUE"""),145359.0)</f>
        <v>145359</v>
      </c>
      <c r="F5514" s="21" t="str">
        <f>IFERROR(__xludf.DUMMYFUNCTION("""COMPUTED_VALUE"""),"INICIALIZADO")</f>
        <v>INICIALIZADO</v>
      </c>
      <c r="G5514" s="23">
        <f>IFERROR(__xludf.DUMMYFUNCTION("""COMPUTED_VALUE"""),45618.74478009259)</f>
        <v>45618.74478</v>
      </c>
      <c r="H5514" s="24" t="str">
        <f>IFERROR(VLOOKUP(B5514,material!A:D,3,0),"")</f>
        <v>DUAL</v>
      </c>
    </row>
    <row r="5515" ht="11.25" customHeight="1">
      <c r="A5515" s="21" t="str">
        <f>IFERROR(__xludf.DUMMYFUNCTION("""COMPUTED_VALUE"""),"ARRIS TG1692A")</f>
        <v>ARRIS TG1692A</v>
      </c>
      <c r="B5515" s="22">
        <f>IFERROR(__xludf.DUMMYFUNCTION("""COMPUTED_VALUE"""),4.1001293E7)</f>
        <v>41001293</v>
      </c>
      <c r="C5515" s="21" t="str">
        <f>IFERROR(__xludf.DUMMYFUNCTION("""COMPUTED_VALUE"""),"4C1265E4C8DF")</f>
        <v>4C1265E4C8DF</v>
      </c>
      <c r="D5515" s="21" t="str">
        <f>IFERROR(__xludf.DUMMYFUNCTION("""COMPUTED_VALUE"""),"DIGITEC TECNOLOGIA DIGITAL E REPRES")</f>
        <v>DIGITEC TECNOLOGIA DIGITAL E REPRES</v>
      </c>
      <c r="E5515" s="21">
        <f>IFERROR(__xludf.DUMMYFUNCTION("""COMPUTED_VALUE"""),145359.0)</f>
        <v>145359</v>
      </c>
      <c r="F5515" s="21" t="str">
        <f>IFERROR(__xludf.DUMMYFUNCTION("""COMPUTED_VALUE"""),"INICIALIZADO")</f>
        <v>INICIALIZADO</v>
      </c>
      <c r="G5515" s="23">
        <f>IFERROR(__xludf.DUMMYFUNCTION("""COMPUTED_VALUE"""),45573.66675925926)</f>
        <v>45573.66676</v>
      </c>
      <c r="H5515" s="24" t="str">
        <f>IFERROR(VLOOKUP(B5515,material!A:D,3,0),"")</f>
        <v>DUAL</v>
      </c>
    </row>
    <row r="5516" ht="11.25" customHeight="1">
      <c r="A5516" s="21" t="str">
        <f>IFERROR(__xludf.DUMMYFUNCTION("""COMPUTED_VALUE"""),"ARRIS TG1692A")</f>
        <v>ARRIS TG1692A</v>
      </c>
      <c r="B5516" s="22">
        <f>IFERROR(__xludf.DUMMYFUNCTION("""COMPUTED_VALUE"""),4.1001293E7)</f>
        <v>41001293</v>
      </c>
      <c r="C5516" s="21" t="str">
        <f>IFERROR(__xludf.DUMMYFUNCTION("""COMPUTED_VALUE"""),"4C12653E1247")</f>
        <v>4C12653E1247</v>
      </c>
      <c r="D5516" s="21" t="str">
        <f>IFERROR(__xludf.DUMMYFUNCTION("""COMPUTED_VALUE"""),"DIGITEC TECNOLOGIA DIGITAL E REPRES")</f>
        <v>DIGITEC TECNOLOGIA DIGITAL E REPRES</v>
      </c>
      <c r="E5516" s="21">
        <f>IFERROR(__xludf.DUMMYFUNCTION("""COMPUTED_VALUE"""),145359.0)</f>
        <v>145359</v>
      </c>
      <c r="F5516" s="21" t="str">
        <f>IFERROR(__xludf.DUMMYFUNCTION("""COMPUTED_VALUE"""),"INICIALIZADO")</f>
        <v>INICIALIZADO</v>
      </c>
      <c r="G5516" s="23">
        <f>IFERROR(__xludf.DUMMYFUNCTION("""COMPUTED_VALUE"""),45219.306435185186)</f>
        <v>45219.30644</v>
      </c>
      <c r="H5516" s="24" t="str">
        <f>IFERROR(VLOOKUP(B5516,material!A:D,3,0),"")</f>
        <v>DUAL</v>
      </c>
    </row>
    <row r="5517" ht="11.25" customHeight="1">
      <c r="A5517" s="21" t="str">
        <f>IFERROR(__xludf.DUMMYFUNCTION("""COMPUTED_VALUE"""),"ARRIS TG1692A")</f>
        <v>ARRIS TG1692A</v>
      </c>
      <c r="B5517" s="22">
        <f>IFERROR(__xludf.DUMMYFUNCTION("""COMPUTED_VALUE"""),4.1001293E7)</f>
        <v>41001293</v>
      </c>
      <c r="C5517" s="21" t="str">
        <f>IFERROR(__xludf.DUMMYFUNCTION("""COMPUTED_VALUE"""),"F8F53254B856")</f>
        <v>F8F53254B856</v>
      </c>
      <c r="D5517" s="21" t="str">
        <f>IFERROR(__xludf.DUMMYFUNCTION("""COMPUTED_VALUE"""),"DIGITEC TECNOLOGIA DIGITAL E REPRES")</f>
        <v>DIGITEC TECNOLOGIA DIGITAL E REPRES</v>
      </c>
      <c r="E5517" s="21">
        <f>IFERROR(__xludf.DUMMYFUNCTION("""COMPUTED_VALUE"""),145359.0)</f>
        <v>145359</v>
      </c>
      <c r="F5517" s="21" t="str">
        <f>IFERROR(__xludf.DUMMYFUNCTION("""COMPUTED_VALUE"""),"INICIALIZADO")</f>
        <v>INICIALIZADO</v>
      </c>
      <c r="G5517" s="23">
        <f>IFERROR(__xludf.DUMMYFUNCTION("""COMPUTED_VALUE"""),45602.64471064815)</f>
        <v>45602.64471</v>
      </c>
      <c r="H5517" s="24" t="str">
        <f>IFERROR(VLOOKUP(B5517,material!A:D,3,0),"")</f>
        <v>DUAL</v>
      </c>
    </row>
    <row r="5518" ht="11.25" customHeight="1">
      <c r="A5518" s="21" t="str">
        <f>IFERROR(__xludf.DUMMYFUNCTION("""COMPUTED_VALUE"""),"ARRIS TG1692A")</f>
        <v>ARRIS TG1692A</v>
      </c>
      <c r="B5518" s="22">
        <f>IFERROR(__xludf.DUMMYFUNCTION("""COMPUTED_VALUE"""),4.1001293E7)</f>
        <v>41001293</v>
      </c>
      <c r="C5518" s="21" t="str">
        <f>IFERROR(__xludf.DUMMYFUNCTION("""COMPUTED_VALUE"""),"4C1265E96B56")</f>
        <v>4C1265E96B56</v>
      </c>
      <c r="D5518" s="21" t="str">
        <f>IFERROR(__xludf.DUMMYFUNCTION("""COMPUTED_VALUE"""),"DIGITEC TECNOLOGIA DIGITAL E REPRES")</f>
        <v>DIGITEC TECNOLOGIA DIGITAL E REPRES</v>
      </c>
      <c r="E5518" s="21">
        <f>IFERROR(__xludf.DUMMYFUNCTION("""COMPUTED_VALUE"""),145359.0)</f>
        <v>145359</v>
      </c>
      <c r="F5518" s="21" t="str">
        <f>IFERROR(__xludf.DUMMYFUNCTION("""COMPUTED_VALUE"""),"INICIALIZADO")</f>
        <v>INICIALIZADO</v>
      </c>
      <c r="G5518" s="23">
        <f>IFERROR(__xludf.DUMMYFUNCTION("""COMPUTED_VALUE"""),45404.544062500005)</f>
        <v>45404.54406</v>
      </c>
      <c r="H5518" s="24" t="str">
        <f>IFERROR(VLOOKUP(B5518,material!A:D,3,0),"")</f>
        <v>DUAL</v>
      </c>
    </row>
    <row r="5519" ht="11.25" customHeight="1">
      <c r="A5519" s="21" t="str">
        <f>IFERROR(__xludf.DUMMYFUNCTION("""COMPUTED_VALUE"""),"ARRIS TG1692A")</f>
        <v>ARRIS TG1692A</v>
      </c>
      <c r="B5519" s="22">
        <f>IFERROR(__xludf.DUMMYFUNCTION("""COMPUTED_VALUE"""),4.1001293E7)</f>
        <v>41001293</v>
      </c>
      <c r="C5519" s="21" t="str">
        <f>IFERROR(__xludf.DUMMYFUNCTION("""COMPUTED_VALUE"""),"2C584F304B4F")</f>
        <v>2C584F304B4F</v>
      </c>
      <c r="D5519" s="21" t="str">
        <f>IFERROR(__xludf.DUMMYFUNCTION("""COMPUTED_VALUE"""),"DIGITEC TECNOLOGIA DIGITAL E REPRES")</f>
        <v>DIGITEC TECNOLOGIA DIGITAL E REPRES</v>
      </c>
      <c r="E5519" s="21">
        <f>IFERROR(__xludf.DUMMYFUNCTION("""COMPUTED_VALUE"""),145359.0)</f>
        <v>145359</v>
      </c>
      <c r="F5519" s="21" t="str">
        <f>IFERROR(__xludf.DUMMYFUNCTION("""COMPUTED_VALUE"""),"INICIALIZADO")</f>
        <v>INICIALIZADO</v>
      </c>
      <c r="G5519" s="23">
        <f>IFERROR(__xludf.DUMMYFUNCTION("""COMPUTED_VALUE"""),45201.65949074074)</f>
        <v>45201.65949</v>
      </c>
      <c r="H5519" s="24" t="str">
        <f>IFERROR(VLOOKUP(B5519,material!A:D,3,0),"")</f>
        <v>DUAL</v>
      </c>
    </row>
    <row r="5520" ht="11.25" customHeight="1">
      <c r="A5520" s="21" t="str">
        <f>IFERROR(__xludf.DUMMYFUNCTION("""COMPUTED_VALUE"""),"ARRIS TG1692A")</f>
        <v>ARRIS TG1692A</v>
      </c>
      <c r="B5520" s="22">
        <f>IFERROR(__xludf.DUMMYFUNCTION("""COMPUTED_VALUE"""),4.1001293E7)</f>
        <v>41001293</v>
      </c>
      <c r="C5520" s="21" t="str">
        <f>IFERROR(__xludf.DUMMYFUNCTION("""COMPUTED_VALUE"""),"F8F532576C54")</f>
        <v>F8F532576C54</v>
      </c>
      <c r="D5520" s="21" t="str">
        <f>IFERROR(__xludf.DUMMYFUNCTION("""COMPUTED_VALUE"""),"DIGITEC TECNOLOGIA DIGITAL E REPRES")</f>
        <v>DIGITEC TECNOLOGIA DIGITAL E REPRES</v>
      </c>
      <c r="E5520" s="21">
        <f>IFERROR(__xludf.DUMMYFUNCTION("""COMPUTED_VALUE"""),145359.0)</f>
        <v>145359</v>
      </c>
      <c r="F5520" s="21" t="str">
        <f>IFERROR(__xludf.DUMMYFUNCTION("""COMPUTED_VALUE"""),"INICIALIZADO")</f>
        <v>INICIALIZADO</v>
      </c>
      <c r="G5520" s="23">
        <f>IFERROR(__xludf.DUMMYFUNCTION("""COMPUTED_VALUE"""),45565.38371527778)</f>
        <v>45565.38372</v>
      </c>
      <c r="H5520" s="24" t="str">
        <f>IFERROR(VLOOKUP(B5520,material!A:D,3,0),"")</f>
        <v>DUAL</v>
      </c>
    </row>
    <row r="5521" ht="11.25" customHeight="1">
      <c r="A5521" s="21" t="str">
        <f>IFERROR(__xludf.DUMMYFUNCTION("""COMPUTED_VALUE"""),"ARRIS TG1692A")</f>
        <v>ARRIS TG1692A</v>
      </c>
      <c r="B5521" s="22">
        <f>IFERROR(__xludf.DUMMYFUNCTION("""COMPUTED_VALUE"""),4.1001293E7)</f>
        <v>41001293</v>
      </c>
      <c r="C5521" s="21" t="str">
        <f>IFERROR(__xludf.DUMMYFUNCTION("""COMPUTED_VALUE"""),"2C584F2EA2AE")</f>
        <v>2C584F2EA2AE</v>
      </c>
      <c r="D5521" s="21" t="str">
        <f>IFERROR(__xludf.DUMMYFUNCTION("""COMPUTED_VALUE"""),"DIGITEC TECNOLOGIA DIGITAL E REPRES")</f>
        <v>DIGITEC TECNOLOGIA DIGITAL E REPRES</v>
      </c>
      <c r="E5521" s="21">
        <f>IFERROR(__xludf.DUMMYFUNCTION("""COMPUTED_VALUE"""),145359.0)</f>
        <v>145359</v>
      </c>
      <c r="F5521" s="21" t="str">
        <f>IFERROR(__xludf.DUMMYFUNCTION("""COMPUTED_VALUE"""),"INICIALIZADO")</f>
        <v>INICIALIZADO</v>
      </c>
      <c r="G5521" s="23">
        <f>IFERROR(__xludf.DUMMYFUNCTION("""COMPUTED_VALUE"""),45000.78162037037)</f>
        <v>45000.78162</v>
      </c>
      <c r="H5521" s="24" t="str">
        <f>IFERROR(VLOOKUP(B5521,material!A:D,3,0),"")</f>
        <v>DUAL</v>
      </c>
    </row>
    <row r="5522" ht="11.25" customHeight="1">
      <c r="A5522" s="21" t="str">
        <f>IFERROR(__xludf.DUMMYFUNCTION("""COMPUTED_VALUE"""),"ARRIS TG1692A")</f>
        <v>ARRIS TG1692A</v>
      </c>
      <c r="B5522" s="22">
        <f>IFERROR(__xludf.DUMMYFUNCTION("""COMPUTED_VALUE"""),4.1001293E7)</f>
        <v>41001293</v>
      </c>
      <c r="C5522" s="21" t="str">
        <f>IFERROR(__xludf.DUMMYFUNCTION("""COMPUTED_VALUE"""),"BC644BC9E391")</f>
        <v>BC644BC9E391</v>
      </c>
      <c r="D5522" s="21" t="str">
        <f>IFERROR(__xludf.DUMMYFUNCTION("""COMPUTED_VALUE"""),"DIGITEC TECNOLOGIA DIGITAL E REPRES")</f>
        <v>DIGITEC TECNOLOGIA DIGITAL E REPRES</v>
      </c>
      <c r="E5522" s="21">
        <f>IFERROR(__xludf.DUMMYFUNCTION("""COMPUTED_VALUE"""),145359.0)</f>
        <v>145359</v>
      </c>
      <c r="F5522" s="21" t="str">
        <f>IFERROR(__xludf.DUMMYFUNCTION("""COMPUTED_VALUE"""),"INICIALIZADO")</f>
        <v>INICIALIZADO</v>
      </c>
      <c r="G5522" s="23">
        <f>IFERROR(__xludf.DUMMYFUNCTION("""COMPUTED_VALUE"""),45565.383726851855)</f>
        <v>45565.38373</v>
      </c>
      <c r="H5522" s="24" t="str">
        <f>IFERROR(VLOOKUP(B5522,material!A:D,3,0),"")</f>
        <v>DUAL</v>
      </c>
    </row>
    <row r="5523" ht="11.25" customHeight="1">
      <c r="A5523" s="21" t="str">
        <f>IFERROR(__xludf.DUMMYFUNCTION("""COMPUTED_VALUE"""),"ARRIS TG1692A")</f>
        <v>ARRIS TG1692A</v>
      </c>
      <c r="B5523" s="22">
        <f>IFERROR(__xludf.DUMMYFUNCTION("""COMPUTED_VALUE"""),4.1001293E7)</f>
        <v>41001293</v>
      </c>
      <c r="C5523" s="21" t="str">
        <f>IFERROR(__xludf.DUMMYFUNCTION("""COMPUTED_VALUE"""),"A8F5DDE6DE97")</f>
        <v>A8F5DDE6DE97</v>
      </c>
      <c r="D5523" s="21" t="str">
        <f>IFERROR(__xludf.DUMMYFUNCTION("""COMPUTED_VALUE"""),"DIGITEC TECNOLOGIA DIGITAL E REPRES")</f>
        <v>DIGITEC TECNOLOGIA DIGITAL E REPRES</v>
      </c>
      <c r="E5523" s="21">
        <f>IFERROR(__xludf.DUMMYFUNCTION("""COMPUTED_VALUE"""),145359.0)</f>
        <v>145359</v>
      </c>
      <c r="F5523" s="21" t="str">
        <f>IFERROR(__xludf.DUMMYFUNCTION("""COMPUTED_VALUE"""),"INICIALIZADO")</f>
        <v>INICIALIZADO</v>
      </c>
      <c r="G5523" s="23">
        <f>IFERROR(__xludf.DUMMYFUNCTION("""COMPUTED_VALUE"""),45411.716886574075)</f>
        <v>45411.71689</v>
      </c>
      <c r="H5523" s="24" t="str">
        <f>IFERROR(VLOOKUP(B5523,material!A:D,3,0),"")</f>
        <v>DUAL</v>
      </c>
    </row>
    <row r="5524" ht="11.25" customHeight="1">
      <c r="A5524" s="21" t="str">
        <f>IFERROR(__xludf.DUMMYFUNCTION("""COMPUTED_VALUE"""),"ARRIS TG1692A")</f>
        <v>ARRIS TG1692A</v>
      </c>
      <c r="B5524" s="22">
        <f>IFERROR(__xludf.DUMMYFUNCTION("""COMPUTED_VALUE"""),4.1001293E7)</f>
        <v>41001293</v>
      </c>
      <c r="C5524" s="21" t="str">
        <f>IFERROR(__xludf.DUMMYFUNCTION("""COMPUTED_VALUE"""),"2C584F37D7E8")</f>
        <v>2C584F37D7E8</v>
      </c>
      <c r="D5524" s="21" t="str">
        <f>IFERROR(__xludf.DUMMYFUNCTION("""COMPUTED_VALUE"""),"DIGITEC TECNOLOGIA DIGITAL E REPRES")</f>
        <v>DIGITEC TECNOLOGIA DIGITAL E REPRES</v>
      </c>
      <c r="E5524" s="21">
        <f>IFERROR(__xludf.DUMMYFUNCTION("""COMPUTED_VALUE"""),145359.0)</f>
        <v>145359</v>
      </c>
      <c r="F5524" s="21" t="str">
        <f>IFERROR(__xludf.DUMMYFUNCTION("""COMPUTED_VALUE"""),"INICIALIZADO")</f>
        <v>INICIALIZADO</v>
      </c>
      <c r="G5524" s="23">
        <f>IFERROR(__xludf.DUMMYFUNCTION("""COMPUTED_VALUE"""),45485.747812500005)</f>
        <v>45485.74781</v>
      </c>
      <c r="H5524" s="24" t="str">
        <f>IFERROR(VLOOKUP(B5524,material!A:D,3,0),"")</f>
        <v>DUAL</v>
      </c>
    </row>
    <row r="5525" ht="11.25" customHeight="1">
      <c r="A5525" s="21" t="str">
        <f>IFERROR(__xludf.DUMMYFUNCTION("""COMPUTED_VALUE"""),"ARRIS TG1692A")</f>
        <v>ARRIS TG1692A</v>
      </c>
      <c r="B5525" s="22">
        <f>IFERROR(__xludf.DUMMYFUNCTION("""COMPUTED_VALUE"""),4.1001293E7)</f>
        <v>41001293</v>
      </c>
      <c r="C5525" s="21" t="str">
        <f>IFERROR(__xludf.DUMMYFUNCTION("""COMPUTED_VALUE"""),"4C1265E410C5")</f>
        <v>4C1265E410C5</v>
      </c>
      <c r="D5525" s="21" t="str">
        <f>IFERROR(__xludf.DUMMYFUNCTION("""COMPUTED_VALUE"""),"DIGITEC TECNOLOGIA DIGITAL E REPRES")</f>
        <v>DIGITEC TECNOLOGIA DIGITAL E REPRES</v>
      </c>
      <c r="E5525" s="21">
        <f>IFERROR(__xludf.DUMMYFUNCTION("""COMPUTED_VALUE"""),145359.0)</f>
        <v>145359</v>
      </c>
      <c r="F5525" s="21" t="str">
        <f>IFERROR(__xludf.DUMMYFUNCTION("""COMPUTED_VALUE"""),"INICIALIZADO")</f>
        <v>INICIALIZADO</v>
      </c>
      <c r="G5525" s="23">
        <f>IFERROR(__xludf.DUMMYFUNCTION("""COMPUTED_VALUE"""),45565.38371527778)</f>
        <v>45565.38372</v>
      </c>
      <c r="H5525" s="24" t="str">
        <f>IFERROR(VLOOKUP(B5525,material!A:D,3,0),"")</f>
        <v>DUAL</v>
      </c>
    </row>
    <row r="5526" ht="11.25" customHeight="1">
      <c r="A5526" s="21" t="str">
        <f>IFERROR(__xludf.DUMMYFUNCTION("""COMPUTED_VALUE"""),"ARRIS TG1692A")</f>
        <v>ARRIS TG1692A</v>
      </c>
      <c r="B5526" s="22">
        <f>IFERROR(__xludf.DUMMYFUNCTION("""COMPUTED_VALUE"""),4.1001293E7)</f>
        <v>41001293</v>
      </c>
      <c r="C5526" s="21" t="str">
        <f>IFERROR(__xludf.DUMMYFUNCTION("""COMPUTED_VALUE"""),"2C584F33BF50")</f>
        <v>2C584F33BF50</v>
      </c>
      <c r="D5526" s="21" t="str">
        <f>IFERROR(__xludf.DUMMYFUNCTION("""COMPUTED_VALUE"""),"DIGITEC TECNOLOGIA DIGITAL E REPRES")</f>
        <v>DIGITEC TECNOLOGIA DIGITAL E REPRES</v>
      </c>
      <c r="E5526" s="21">
        <f>IFERROR(__xludf.DUMMYFUNCTION("""COMPUTED_VALUE"""),145359.0)</f>
        <v>145359</v>
      </c>
      <c r="F5526" s="21" t="str">
        <f>IFERROR(__xludf.DUMMYFUNCTION("""COMPUTED_VALUE"""),"INICIALIZADO")</f>
        <v>INICIALIZADO</v>
      </c>
      <c r="G5526" s="23">
        <f>IFERROR(__xludf.DUMMYFUNCTION("""COMPUTED_VALUE"""),45523.449375)</f>
        <v>45523.44938</v>
      </c>
      <c r="H5526" s="24" t="str">
        <f>IFERROR(VLOOKUP(B5526,material!A:D,3,0),"")</f>
        <v>DUAL</v>
      </c>
    </row>
    <row r="5527" ht="11.25" customHeight="1">
      <c r="A5527" s="21" t="str">
        <f>IFERROR(__xludf.DUMMYFUNCTION("""COMPUTED_VALUE"""),"HUMAX HGB10R-02")</f>
        <v>HUMAX HGB10R-02</v>
      </c>
      <c r="B5527" s="22">
        <f>IFERROR(__xludf.DUMMYFUNCTION("""COMPUTED_VALUE"""),4.1001292E7)</f>
        <v>41001292</v>
      </c>
      <c r="C5527" s="21" t="str">
        <f>IFERROR(__xludf.DUMMYFUNCTION("""COMPUTED_VALUE"""),"8C444F36A4B5")</f>
        <v>8C444F36A4B5</v>
      </c>
      <c r="D5527" s="21" t="str">
        <f>IFERROR(__xludf.DUMMYFUNCTION("""COMPUTED_VALUE"""),"DIGITEC TECNOLOGIA DIGITAL E REPRES")</f>
        <v>DIGITEC TECNOLOGIA DIGITAL E REPRES</v>
      </c>
      <c r="E5527" s="21">
        <f>IFERROR(__xludf.DUMMYFUNCTION("""COMPUTED_VALUE"""),145359.0)</f>
        <v>145359</v>
      </c>
      <c r="F5527" s="21" t="str">
        <f>IFERROR(__xludf.DUMMYFUNCTION("""COMPUTED_VALUE"""),"INICIALIZADO")</f>
        <v>INICIALIZADO</v>
      </c>
      <c r="G5527" s="23">
        <f>IFERROR(__xludf.DUMMYFUNCTION("""COMPUTED_VALUE"""),45580.4790625)</f>
        <v>45580.47906</v>
      </c>
      <c r="H5527" s="24" t="str">
        <f>IFERROR(VLOOKUP(B5527,material!A:D,3,0),"")</f>
        <v>DUAL</v>
      </c>
    </row>
    <row r="5528" ht="11.25" customHeight="1">
      <c r="A5528" s="21" t="str">
        <f>IFERROR(__xludf.DUMMYFUNCTION("""COMPUTED_VALUE"""),"HUMAX HGB10R-02")</f>
        <v>HUMAX HGB10R-02</v>
      </c>
      <c r="B5528" s="22">
        <f>IFERROR(__xludf.DUMMYFUNCTION("""COMPUTED_VALUE"""),4.1001292E7)</f>
        <v>41001292</v>
      </c>
      <c r="C5528" s="21" t="str">
        <f>IFERROR(__xludf.DUMMYFUNCTION("""COMPUTED_VALUE"""),"8C444F3FCBC4")</f>
        <v>8C444F3FCBC4</v>
      </c>
      <c r="D5528" s="21" t="str">
        <f>IFERROR(__xludf.DUMMYFUNCTION("""COMPUTED_VALUE"""),"DIGITEC TECNOLOGIA DIGITAL E REPRES")</f>
        <v>DIGITEC TECNOLOGIA DIGITAL E REPRES</v>
      </c>
      <c r="E5528" s="21">
        <f>IFERROR(__xludf.DUMMYFUNCTION("""COMPUTED_VALUE"""),145359.0)</f>
        <v>145359</v>
      </c>
      <c r="F5528" s="21" t="str">
        <f>IFERROR(__xludf.DUMMYFUNCTION("""COMPUTED_VALUE"""),"INICIALIZADO")</f>
        <v>INICIALIZADO</v>
      </c>
      <c r="G5528" s="23">
        <f>IFERROR(__xludf.DUMMYFUNCTION("""COMPUTED_VALUE"""),45236.660682870366)</f>
        <v>45236.66068</v>
      </c>
      <c r="H5528" s="24" t="str">
        <f>IFERROR(VLOOKUP(B5528,material!A:D,3,0),"")</f>
        <v>DUAL</v>
      </c>
    </row>
    <row r="5529" ht="11.25" customHeight="1">
      <c r="A5529" s="21" t="str">
        <f>IFERROR(__xludf.DUMMYFUNCTION("""COMPUTED_VALUE"""),"HUMAX HGB10R-02")</f>
        <v>HUMAX HGB10R-02</v>
      </c>
      <c r="B5529" s="22">
        <f>IFERROR(__xludf.DUMMYFUNCTION("""COMPUTED_VALUE"""),4.1001292E7)</f>
        <v>41001292</v>
      </c>
      <c r="C5529" s="21" t="str">
        <f>IFERROR(__xludf.DUMMYFUNCTION("""COMPUTED_VALUE"""),"8C444F74527E")</f>
        <v>8C444F74527E</v>
      </c>
      <c r="D5529" s="21" t="str">
        <f>IFERROR(__xludf.DUMMYFUNCTION("""COMPUTED_VALUE"""),"DIGITEC TECNOLOGIA DIGITAL E REPRES")</f>
        <v>DIGITEC TECNOLOGIA DIGITAL E REPRES</v>
      </c>
      <c r="E5529" s="21">
        <f>IFERROR(__xludf.DUMMYFUNCTION("""COMPUTED_VALUE"""),145359.0)</f>
        <v>145359</v>
      </c>
      <c r="F5529" s="21" t="str">
        <f>IFERROR(__xludf.DUMMYFUNCTION("""COMPUTED_VALUE"""),"INICIALIZADO")</f>
        <v>INICIALIZADO</v>
      </c>
      <c r="G5529" s="23">
        <f>IFERROR(__xludf.DUMMYFUNCTION("""COMPUTED_VALUE"""),45538.41373842592)</f>
        <v>45538.41374</v>
      </c>
      <c r="H5529" s="24" t="str">
        <f>IFERROR(VLOOKUP(B5529,material!A:D,3,0),"")</f>
        <v>DUAL</v>
      </c>
    </row>
    <row r="5530" ht="11.25" customHeight="1">
      <c r="A5530" s="21" t="str">
        <f>IFERROR(__xludf.DUMMYFUNCTION("""COMPUTED_VALUE"""),"HUMAX HGB10R-02")</f>
        <v>HUMAX HGB10R-02</v>
      </c>
      <c r="B5530" s="22">
        <f>IFERROR(__xludf.DUMMYFUNCTION("""COMPUTED_VALUE"""),4.1001292E7)</f>
        <v>41001292</v>
      </c>
      <c r="C5530" s="21" t="str">
        <f>IFERROR(__xludf.DUMMYFUNCTION("""COMPUTED_VALUE"""),"8C444F648366")</f>
        <v>8C444F648366</v>
      </c>
      <c r="D5530" s="21" t="str">
        <f>IFERROR(__xludf.DUMMYFUNCTION("""COMPUTED_VALUE"""),"DIGITEC TECNOLOGIA DIGITAL E REPRES")</f>
        <v>DIGITEC TECNOLOGIA DIGITAL E REPRES</v>
      </c>
      <c r="E5530" s="21">
        <f>IFERROR(__xludf.DUMMYFUNCTION("""COMPUTED_VALUE"""),145359.0)</f>
        <v>145359</v>
      </c>
      <c r="F5530" s="21" t="str">
        <f>IFERROR(__xludf.DUMMYFUNCTION("""COMPUTED_VALUE"""),"INICIALIZADO")</f>
        <v>INICIALIZADO</v>
      </c>
      <c r="G5530" s="23">
        <f>IFERROR(__xludf.DUMMYFUNCTION("""COMPUTED_VALUE"""),45602.64471064815)</f>
        <v>45602.64471</v>
      </c>
      <c r="H5530" s="24" t="str">
        <f>IFERROR(VLOOKUP(B5530,material!A:D,3,0),"")</f>
        <v>DUAL</v>
      </c>
    </row>
    <row r="5531" ht="11.25" customHeight="1">
      <c r="A5531" s="21" t="str">
        <f>IFERROR(__xludf.DUMMYFUNCTION("""COMPUTED_VALUE"""),"HUMAX HGB10R-02")</f>
        <v>HUMAX HGB10R-02</v>
      </c>
      <c r="B5531" s="22">
        <f>IFERROR(__xludf.DUMMYFUNCTION("""COMPUTED_VALUE"""),4.1001292E7)</f>
        <v>41001292</v>
      </c>
      <c r="C5531" s="21" t="str">
        <f>IFERROR(__xludf.DUMMYFUNCTION("""COMPUTED_VALUE"""),"E820E2D1AF43")</f>
        <v>E820E2D1AF43</v>
      </c>
      <c r="D5531" s="21" t="str">
        <f>IFERROR(__xludf.DUMMYFUNCTION("""COMPUTED_VALUE"""),"DIGITEC TECNOLOGIA DIGITAL E REPRES")</f>
        <v>DIGITEC TECNOLOGIA DIGITAL E REPRES</v>
      </c>
      <c r="E5531" s="21">
        <f>IFERROR(__xludf.DUMMYFUNCTION("""COMPUTED_VALUE"""),145359.0)</f>
        <v>145359</v>
      </c>
      <c r="F5531" s="21" t="str">
        <f>IFERROR(__xludf.DUMMYFUNCTION("""COMPUTED_VALUE"""),"INICIALIZADO")</f>
        <v>INICIALIZADO</v>
      </c>
      <c r="G5531" s="23">
        <f>IFERROR(__xludf.DUMMYFUNCTION("""COMPUTED_VALUE"""),45538.41373842592)</f>
        <v>45538.41374</v>
      </c>
      <c r="H5531" s="24" t="str">
        <f>IFERROR(VLOOKUP(B5531,material!A:D,3,0),"")</f>
        <v>DUAL</v>
      </c>
    </row>
    <row r="5532" ht="11.25" customHeight="1">
      <c r="A5532" s="21" t="str">
        <f>IFERROR(__xludf.DUMMYFUNCTION("""COMPUTED_VALUE"""),"HUMAX HGB10R-02")</f>
        <v>HUMAX HGB10R-02</v>
      </c>
      <c r="B5532" s="22">
        <f>IFERROR(__xludf.DUMMYFUNCTION("""COMPUTED_VALUE"""),4.1001292E7)</f>
        <v>41001292</v>
      </c>
      <c r="C5532" s="21" t="str">
        <f>IFERROR(__xludf.DUMMYFUNCTION("""COMPUTED_VALUE"""),"E820E2BC0D08")</f>
        <v>E820E2BC0D08</v>
      </c>
      <c r="D5532" s="21" t="str">
        <f>IFERROR(__xludf.DUMMYFUNCTION("""COMPUTED_VALUE"""),"DIGITEC TECNOLOGIA DIGITAL E REPRES")</f>
        <v>DIGITEC TECNOLOGIA DIGITAL E REPRES</v>
      </c>
      <c r="E5532" s="21">
        <f>IFERROR(__xludf.DUMMYFUNCTION("""COMPUTED_VALUE"""),145359.0)</f>
        <v>145359</v>
      </c>
      <c r="F5532" s="21" t="str">
        <f>IFERROR(__xludf.DUMMYFUNCTION("""COMPUTED_VALUE"""),"INICIALIZADO")</f>
        <v>INICIALIZADO</v>
      </c>
      <c r="G5532" s="23">
        <f>IFERROR(__xludf.DUMMYFUNCTION("""COMPUTED_VALUE"""),45580.4790625)</f>
        <v>45580.47906</v>
      </c>
      <c r="H5532" s="24" t="str">
        <f>IFERROR(VLOOKUP(B5532,material!A:D,3,0),"")</f>
        <v>DUAL</v>
      </c>
    </row>
    <row r="5533" ht="11.25" customHeight="1">
      <c r="A5533" s="21" t="str">
        <f>IFERROR(__xludf.DUMMYFUNCTION("""COMPUTED_VALUE"""),"HUMAX HGB10R-02")</f>
        <v>HUMAX HGB10R-02</v>
      </c>
      <c r="B5533" s="22">
        <f>IFERROR(__xludf.DUMMYFUNCTION("""COMPUTED_VALUE"""),4.1001292E7)</f>
        <v>41001292</v>
      </c>
      <c r="C5533" s="21" t="str">
        <f>IFERROR(__xludf.DUMMYFUNCTION("""COMPUTED_VALUE"""),"8C444FC83517")</f>
        <v>8C444FC83517</v>
      </c>
      <c r="D5533" s="21" t="str">
        <f>IFERROR(__xludf.DUMMYFUNCTION("""COMPUTED_VALUE"""),"DIGITEC TECNOLOGIA DIGITAL E REPRES")</f>
        <v>DIGITEC TECNOLOGIA DIGITAL E REPRES</v>
      </c>
      <c r="E5533" s="21">
        <f>IFERROR(__xludf.DUMMYFUNCTION("""COMPUTED_VALUE"""),145359.0)</f>
        <v>145359</v>
      </c>
      <c r="F5533" s="21" t="str">
        <f>IFERROR(__xludf.DUMMYFUNCTION("""COMPUTED_VALUE"""),"INICIALIZADO")</f>
        <v>INICIALIZADO</v>
      </c>
      <c r="G5533" s="23">
        <f>IFERROR(__xludf.DUMMYFUNCTION("""COMPUTED_VALUE"""),45538.41373842592)</f>
        <v>45538.41374</v>
      </c>
      <c r="H5533" s="24" t="str">
        <f>IFERROR(VLOOKUP(B5533,material!A:D,3,0),"")</f>
        <v>DUAL</v>
      </c>
    </row>
    <row r="5534" ht="11.25" customHeight="1">
      <c r="A5534" s="21" t="str">
        <f>IFERROR(__xludf.DUMMYFUNCTION("""COMPUTED_VALUE"""),"HUMAX HGB10R-02")</f>
        <v>HUMAX HGB10R-02</v>
      </c>
      <c r="B5534" s="22">
        <f>IFERROR(__xludf.DUMMYFUNCTION("""COMPUTED_VALUE"""),4.1001292E7)</f>
        <v>41001292</v>
      </c>
      <c r="C5534" s="21" t="str">
        <f>IFERROR(__xludf.DUMMYFUNCTION("""COMPUTED_VALUE"""),"8C444FF2DDF6")</f>
        <v>8C444FF2DDF6</v>
      </c>
      <c r="D5534" s="21" t="str">
        <f>IFERROR(__xludf.DUMMYFUNCTION("""COMPUTED_VALUE"""),"DIGITEC TECNOLOGIA DIGITAL E REPRES")</f>
        <v>DIGITEC TECNOLOGIA DIGITAL E REPRES</v>
      </c>
      <c r="E5534" s="21">
        <f>IFERROR(__xludf.DUMMYFUNCTION("""COMPUTED_VALUE"""),145359.0)</f>
        <v>145359</v>
      </c>
      <c r="F5534" s="21" t="str">
        <f>IFERROR(__xludf.DUMMYFUNCTION("""COMPUTED_VALUE"""),"INICIALIZADO")</f>
        <v>INICIALIZADO</v>
      </c>
      <c r="G5534" s="23">
        <f>IFERROR(__xludf.DUMMYFUNCTION("""COMPUTED_VALUE"""),45239.321388888886)</f>
        <v>45239.32139</v>
      </c>
      <c r="H5534" s="24" t="str">
        <f>IFERROR(VLOOKUP(B5534,material!A:D,3,0),"")</f>
        <v>DUAL</v>
      </c>
    </row>
    <row r="5535" ht="11.25" customHeight="1">
      <c r="A5535" s="21" t="str">
        <f>IFERROR(__xludf.DUMMYFUNCTION("""COMPUTED_VALUE"""),"HUMAX HGB10R-02")</f>
        <v>HUMAX HGB10R-02</v>
      </c>
      <c r="B5535" s="22">
        <f>IFERROR(__xludf.DUMMYFUNCTION("""COMPUTED_VALUE"""),4.1001292E7)</f>
        <v>41001292</v>
      </c>
      <c r="C5535" s="21" t="str">
        <f>IFERROR(__xludf.DUMMYFUNCTION("""COMPUTED_VALUE"""),"8C444FC79743")</f>
        <v>8C444FC79743</v>
      </c>
      <c r="D5535" s="21" t="str">
        <f>IFERROR(__xludf.DUMMYFUNCTION("""COMPUTED_VALUE"""),"DIGITEC TECNOLOGIA DIGITAL E REPRES")</f>
        <v>DIGITEC TECNOLOGIA DIGITAL E REPRES</v>
      </c>
      <c r="E5535" s="21">
        <f>IFERROR(__xludf.DUMMYFUNCTION("""COMPUTED_VALUE"""),145359.0)</f>
        <v>145359</v>
      </c>
      <c r="F5535" s="21" t="str">
        <f>IFERROR(__xludf.DUMMYFUNCTION("""COMPUTED_VALUE"""),"INICIALIZADO")</f>
        <v>INICIALIZADO</v>
      </c>
      <c r="G5535" s="23">
        <f>IFERROR(__xludf.DUMMYFUNCTION("""COMPUTED_VALUE"""),45154.74603009259)</f>
        <v>45154.74603</v>
      </c>
      <c r="H5535" s="24" t="str">
        <f>IFERROR(VLOOKUP(B5535,material!A:D,3,0),"")</f>
        <v>DUAL</v>
      </c>
    </row>
    <row r="5536" ht="11.25" customHeight="1">
      <c r="A5536" s="21" t="str">
        <f>IFERROR(__xludf.DUMMYFUNCTION("""COMPUTED_VALUE"""),"HUMAX HGB10R-02")</f>
        <v>HUMAX HGB10R-02</v>
      </c>
      <c r="B5536" s="22">
        <f>IFERROR(__xludf.DUMMYFUNCTION("""COMPUTED_VALUE"""),4.1001292E7)</f>
        <v>41001292</v>
      </c>
      <c r="C5536" s="21" t="str">
        <f>IFERROR(__xludf.DUMMYFUNCTION("""COMPUTED_VALUE"""),"8C444F5FF9C1")</f>
        <v>8C444F5FF9C1</v>
      </c>
      <c r="D5536" s="21" t="str">
        <f>IFERROR(__xludf.DUMMYFUNCTION("""COMPUTED_VALUE"""),"DIGITEC TECNOLOGIA DIGITAL E REPRES")</f>
        <v>DIGITEC TECNOLOGIA DIGITAL E REPRES</v>
      </c>
      <c r="E5536" s="21">
        <f>IFERROR(__xludf.DUMMYFUNCTION("""COMPUTED_VALUE"""),145359.0)</f>
        <v>145359</v>
      </c>
      <c r="F5536" s="21" t="str">
        <f>IFERROR(__xludf.DUMMYFUNCTION("""COMPUTED_VALUE"""),"INICIALIZADO")</f>
        <v>INICIALIZADO</v>
      </c>
      <c r="G5536" s="23">
        <f>IFERROR(__xludf.DUMMYFUNCTION("""COMPUTED_VALUE"""),45485.74724537037)</f>
        <v>45485.74725</v>
      </c>
      <c r="H5536" s="24" t="str">
        <f>IFERROR(VLOOKUP(B5536,material!A:D,3,0),"")</f>
        <v>DUAL</v>
      </c>
    </row>
    <row r="5537" ht="11.25" customHeight="1">
      <c r="A5537" s="21" t="str">
        <f>IFERROR(__xludf.DUMMYFUNCTION("""COMPUTED_VALUE"""),"HUMAX HGB10R-02")</f>
        <v>HUMAX HGB10R-02</v>
      </c>
      <c r="B5537" s="22">
        <f>IFERROR(__xludf.DUMMYFUNCTION("""COMPUTED_VALUE"""),4.1001292E7)</f>
        <v>41001292</v>
      </c>
      <c r="C5537" s="21" t="str">
        <f>IFERROR(__xludf.DUMMYFUNCTION("""COMPUTED_VALUE"""),"8C444F619E3F")</f>
        <v>8C444F619E3F</v>
      </c>
      <c r="D5537" s="21" t="str">
        <f>IFERROR(__xludf.DUMMYFUNCTION("""COMPUTED_VALUE"""),"DIGITEC TECNOLOGIA DIGITAL E REPRES")</f>
        <v>DIGITEC TECNOLOGIA DIGITAL E REPRES</v>
      </c>
      <c r="E5537" s="21">
        <f>IFERROR(__xludf.DUMMYFUNCTION("""COMPUTED_VALUE"""),145359.0)</f>
        <v>145359</v>
      </c>
      <c r="F5537" s="21" t="str">
        <f>IFERROR(__xludf.DUMMYFUNCTION("""COMPUTED_VALUE"""),"INICIALIZADO")</f>
        <v>INICIALIZADO</v>
      </c>
      <c r="G5537" s="23">
        <f>IFERROR(__xludf.DUMMYFUNCTION("""COMPUTED_VALUE"""),45538.41373842592)</f>
        <v>45538.41374</v>
      </c>
      <c r="H5537" s="24" t="str">
        <f>IFERROR(VLOOKUP(B5537,material!A:D,3,0),"")</f>
        <v>DUAL</v>
      </c>
    </row>
    <row r="5538" ht="11.25" customHeight="1">
      <c r="A5538" s="21" t="str">
        <f>IFERROR(__xludf.DUMMYFUNCTION("""COMPUTED_VALUE"""),"HUMAX HGB10R-02")</f>
        <v>HUMAX HGB10R-02</v>
      </c>
      <c r="B5538" s="22">
        <f>IFERROR(__xludf.DUMMYFUNCTION("""COMPUTED_VALUE"""),4.1001292E7)</f>
        <v>41001292</v>
      </c>
      <c r="C5538" s="21" t="str">
        <f>IFERROR(__xludf.DUMMYFUNCTION("""COMPUTED_VALUE"""),"E820E2F2BA86")</f>
        <v>E820E2F2BA86</v>
      </c>
      <c r="D5538" s="21" t="str">
        <f>IFERROR(__xludf.DUMMYFUNCTION("""COMPUTED_VALUE"""),"DIGITEC TECNOLOGIA DIGITAL E REPRES")</f>
        <v>DIGITEC TECNOLOGIA DIGITAL E REPRES</v>
      </c>
      <c r="E5538" s="21">
        <f>IFERROR(__xludf.DUMMYFUNCTION("""COMPUTED_VALUE"""),145359.0)</f>
        <v>145359</v>
      </c>
      <c r="F5538" s="21" t="str">
        <f>IFERROR(__xludf.DUMMYFUNCTION("""COMPUTED_VALUE"""),"INICIALIZADO")</f>
        <v>INICIALIZADO</v>
      </c>
      <c r="G5538" s="23">
        <f>IFERROR(__xludf.DUMMYFUNCTION("""COMPUTED_VALUE"""),45481.37296296297)</f>
        <v>45481.37296</v>
      </c>
      <c r="H5538" s="24" t="str">
        <f>IFERROR(VLOOKUP(B5538,material!A:D,3,0),"")</f>
        <v>DUAL</v>
      </c>
    </row>
    <row r="5539" ht="11.25" customHeight="1">
      <c r="A5539" s="21" t="str">
        <f>IFERROR(__xludf.DUMMYFUNCTION("""COMPUTED_VALUE"""),"HUMAX HGB10R-02")</f>
        <v>HUMAX HGB10R-02</v>
      </c>
      <c r="B5539" s="22">
        <f>IFERROR(__xludf.DUMMYFUNCTION("""COMPUTED_VALUE"""),4.1001292E7)</f>
        <v>41001292</v>
      </c>
      <c r="C5539" s="21" t="str">
        <f>IFERROR(__xludf.DUMMYFUNCTION("""COMPUTED_VALUE"""),"E820E2EF8843")</f>
        <v>E820E2EF8843</v>
      </c>
      <c r="D5539" s="21" t="str">
        <f>IFERROR(__xludf.DUMMYFUNCTION("""COMPUTED_VALUE"""),"DIGITEC TECNOLOGIA DIGITAL E REPRES")</f>
        <v>DIGITEC TECNOLOGIA DIGITAL E REPRES</v>
      </c>
      <c r="E5539" s="21">
        <f>IFERROR(__xludf.DUMMYFUNCTION("""COMPUTED_VALUE"""),145359.0)</f>
        <v>145359</v>
      </c>
      <c r="F5539" s="21" t="str">
        <f>IFERROR(__xludf.DUMMYFUNCTION("""COMPUTED_VALUE"""),"INICIALIZADO")</f>
        <v>INICIALIZADO</v>
      </c>
      <c r="G5539" s="23">
        <f>IFERROR(__xludf.DUMMYFUNCTION("""COMPUTED_VALUE"""),45481.372986111106)</f>
        <v>45481.37299</v>
      </c>
      <c r="H5539" s="24" t="str">
        <f>IFERROR(VLOOKUP(B5539,material!A:D,3,0),"")</f>
        <v>DUAL</v>
      </c>
    </row>
    <row r="5540" ht="11.25" customHeight="1">
      <c r="A5540" s="21" t="str">
        <f>IFERROR(__xludf.DUMMYFUNCTION("""COMPUTED_VALUE"""),"HUMAX HGB10R-02")</f>
        <v>HUMAX HGB10R-02</v>
      </c>
      <c r="B5540" s="22">
        <f>IFERROR(__xludf.DUMMYFUNCTION("""COMPUTED_VALUE"""),4.1001292E7)</f>
        <v>41001292</v>
      </c>
      <c r="C5540" s="21" t="str">
        <f>IFERROR(__xludf.DUMMYFUNCTION("""COMPUTED_VALUE"""),"8C444F52B069")</f>
        <v>8C444F52B069</v>
      </c>
      <c r="D5540" s="21" t="str">
        <f>IFERROR(__xludf.DUMMYFUNCTION("""COMPUTED_VALUE"""),"DIGITEC TECNOLOGIA DIGITAL E REPRES")</f>
        <v>DIGITEC TECNOLOGIA DIGITAL E REPRES</v>
      </c>
      <c r="E5540" s="21">
        <f>IFERROR(__xludf.DUMMYFUNCTION("""COMPUTED_VALUE"""),145359.0)</f>
        <v>145359</v>
      </c>
      <c r="F5540" s="21" t="str">
        <f>IFERROR(__xludf.DUMMYFUNCTION("""COMPUTED_VALUE"""),"INICIALIZADO")</f>
        <v>INICIALIZADO</v>
      </c>
      <c r="G5540" s="23">
        <f>IFERROR(__xludf.DUMMYFUNCTION("""COMPUTED_VALUE"""),45602.64471064815)</f>
        <v>45602.64471</v>
      </c>
      <c r="H5540" s="24" t="str">
        <f>IFERROR(VLOOKUP(B5540,material!A:D,3,0),"")</f>
        <v>DUAL</v>
      </c>
    </row>
    <row r="5541" ht="11.25" customHeight="1">
      <c r="A5541" s="21" t="str">
        <f>IFERROR(__xludf.DUMMYFUNCTION("""COMPUTED_VALUE"""),"HARD DISK 500GB EXTERNO 2.0")</f>
        <v>HARD DISK 500GB EXTERNO 2.0</v>
      </c>
      <c r="B5541" s="22">
        <f>IFERROR(__xludf.DUMMYFUNCTION("""COMPUTED_VALUE"""),4.1001376E7)</f>
        <v>41001376</v>
      </c>
      <c r="C5541" s="21" t="str">
        <f>IFERROR(__xludf.DUMMYFUNCTION("""COMPUTED_VALUE"""),"400158541629")</f>
        <v>400158541629</v>
      </c>
      <c r="D5541" s="21" t="str">
        <f>IFERROR(__xludf.DUMMYFUNCTION("""COMPUTED_VALUE"""),"DIGITEC TECNOLOGIA DIGITAL E REPRES")</f>
        <v>DIGITEC TECNOLOGIA DIGITAL E REPRES</v>
      </c>
      <c r="E5541" s="21">
        <f>IFERROR(__xludf.DUMMYFUNCTION("""COMPUTED_VALUE"""),145359.0)</f>
        <v>145359</v>
      </c>
      <c r="F5541" s="21" t="str">
        <f>IFERROR(__xludf.DUMMYFUNCTION("""COMPUTED_VALUE"""),"INICIALIZADO")</f>
        <v>INICIALIZADO</v>
      </c>
      <c r="G5541" s="23">
        <f>IFERROR(__xludf.DUMMYFUNCTION("""COMPUTED_VALUE"""),45573.66675925926)</f>
        <v>45573.66676</v>
      </c>
      <c r="H5541" s="24" t="str">
        <f>IFERROR(VLOOKUP(B5541,material!A:D,3,0),"")</f>
        <v>HDD</v>
      </c>
    </row>
    <row r="5542" ht="11.25" customHeight="1">
      <c r="A5542" s="21" t="str">
        <f>IFERROR(__xludf.DUMMYFUNCTION("""COMPUTED_VALUE"""),"HARD DISK 500GB EXTERNO 2.0")</f>
        <v>HARD DISK 500GB EXTERNO 2.0</v>
      </c>
      <c r="B5542" s="22">
        <f>IFERROR(__xludf.DUMMYFUNCTION("""COMPUTED_VALUE"""),4.1001376E7)</f>
        <v>41001376</v>
      </c>
      <c r="C5542" s="21" t="str">
        <f>IFERROR(__xludf.DUMMYFUNCTION("""COMPUTED_VALUE"""),"400158570925")</f>
        <v>400158570925</v>
      </c>
      <c r="D5542" s="21" t="str">
        <f>IFERROR(__xludf.DUMMYFUNCTION("""COMPUTED_VALUE"""),"DIGITEC TECNOLOGIA DIGITAL E REPRES")</f>
        <v>DIGITEC TECNOLOGIA DIGITAL E REPRES</v>
      </c>
      <c r="E5542" s="21">
        <f>IFERROR(__xludf.DUMMYFUNCTION("""COMPUTED_VALUE"""),145359.0)</f>
        <v>145359</v>
      </c>
      <c r="F5542" s="21" t="str">
        <f>IFERROR(__xludf.DUMMYFUNCTION("""COMPUTED_VALUE"""),"INICIALIZADO")</f>
        <v>INICIALIZADO</v>
      </c>
      <c r="G5542" s="23">
        <f>IFERROR(__xludf.DUMMYFUNCTION("""COMPUTED_VALUE"""),45002.616111111114)</f>
        <v>45002.61611</v>
      </c>
      <c r="H5542" s="24" t="str">
        <f>IFERROR(VLOOKUP(B5542,material!A:D,3,0),"")</f>
        <v>HDD</v>
      </c>
    </row>
    <row r="5543" ht="11.25" customHeight="1">
      <c r="A5543" s="21" t="str">
        <f>IFERROR(__xludf.DUMMYFUNCTION("""COMPUTED_VALUE"""),"HARD DISK 500GB EXTERNO 2.0")</f>
        <v>HARD DISK 500GB EXTERNO 2.0</v>
      </c>
      <c r="B5543" s="22">
        <f>IFERROR(__xludf.DUMMYFUNCTION("""COMPUTED_VALUE"""),4.1001376E7)</f>
        <v>41001376</v>
      </c>
      <c r="C5543" s="21" t="str">
        <f>IFERROR(__xludf.DUMMYFUNCTION("""COMPUTED_VALUE"""),"400158571531")</f>
        <v>400158571531</v>
      </c>
      <c r="D5543" s="21" t="str">
        <f>IFERROR(__xludf.DUMMYFUNCTION("""COMPUTED_VALUE"""),"DIGITEC TECNOLOGIA DIGITAL E REPRES")</f>
        <v>DIGITEC TECNOLOGIA DIGITAL E REPRES</v>
      </c>
      <c r="E5543" s="21">
        <f>IFERROR(__xludf.DUMMYFUNCTION("""COMPUTED_VALUE"""),145359.0)</f>
        <v>145359</v>
      </c>
      <c r="F5543" s="21" t="str">
        <f>IFERROR(__xludf.DUMMYFUNCTION("""COMPUTED_VALUE"""),"INICIALIZADO")</f>
        <v>INICIALIZADO</v>
      </c>
      <c r="G5543" s="23">
        <f>IFERROR(__xludf.DUMMYFUNCTION("""COMPUTED_VALUE"""),45573.66675925926)</f>
        <v>45573.66676</v>
      </c>
      <c r="H5543" s="24" t="str">
        <f>IFERROR(VLOOKUP(B5543,material!A:D,3,0),"")</f>
        <v>HDD</v>
      </c>
    </row>
    <row r="5544" ht="11.25" customHeight="1">
      <c r="A5544" s="21" t="str">
        <f>IFERROR(__xludf.DUMMYFUNCTION("""COMPUTED_VALUE"""),"HARD DISK 500GB EXTERNO 2.0")</f>
        <v>HARD DISK 500GB EXTERNO 2.0</v>
      </c>
      <c r="B5544" s="22">
        <f>IFERROR(__xludf.DUMMYFUNCTION("""COMPUTED_VALUE"""),4.1001376E7)</f>
        <v>41001376</v>
      </c>
      <c r="C5544" s="21" t="str">
        <f>IFERROR(__xludf.DUMMYFUNCTION("""COMPUTED_VALUE"""),"400158571935")</f>
        <v>400158571935</v>
      </c>
      <c r="D5544" s="21" t="str">
        <f>IFERROR(__xludf.DUMMYFUNCTION("""COMPUTED_VALUE"""),"DIGITEC TECNOLOGIA DIGITAL E REPRES")</f>
        <v>DIGITEC TECNOLOGIA DIGITAL E REPRES</v>
      </c>
      <c r="E5544" s="21">
        <f>IFERROR(__xludf.DUMMYFUNCTION("""COMPUTED_VALUE"""),145359.0)</f>
        <v>145359</v>
      </c>
      <c r="F5544" s="21" t="str">
        <f>IFERROR(__xludf.DUMMYFUNCTION("""COMPUTED_VALUE"""),"INICIALIZADO")</f>
        <v>INICIALIZADO</v>
      </c>
      <c r="G5544" s="23">
        <f>IFERROR(__xludf.DUMMYFUNCTION("""COMPUTED_VALUE"""),45573.66675925926)</f>
        <v>45573.66676</v>
      </c>
      <c r="H5544" s="24" t="str">
        <f>IFERROR(VLOOKUP(B5544,material!A:D,3,0),"")</f>
        <v>HDD</v>
      </c>
    </row>
    <row r="5545" ht="11.25" customHeight="1">
      <c r="A5545" s="21" t="str">
        <f>IFERROR(__xludf.DUMMYFUNCTION("""COMPUTED_VALUE"""),"HARD DISK 500GB EXTERNO 2.0")</f>
        <v>HARD DISK 500GB EXTERNO 2.0</v>
      </c>
      <c r="B5545" s="22">
        <f>IFERROR(__xludf.DUMMYFUNCTION("""COMPUTED_VALUE"""),4.1001376E7)</f>
        <v>41001376</v>
      </c>
      <c r="C5545" s="21" t="str">
        <f>IFERROR(__xludf.DUMMYFUNCTION("""COMPUTED_VALUE"""),"400158572440")</f>
        <v>400158572440</v>
      </c>
      <c r="D5545" s="21" t="str">
        <f>IFERROR(__xludf.DUMMYFUNCTION("""COMPUTED_VALUE"""),"DIGITEC TECNOLOGIA DIGITAL E REPRES")</f>
        <v>DIGITEC TECNOLOGIA DIGITAL E REPRES</v>
      </c>
      <c r="E5545" s="21">
        <f>IFERROR(__xludf.DUMMYFUNCTION("""COMPUTED_VALUE"""),145359.0)</f>
        <v>145359</v>
      </c>
      <c r="F5545" s="21" t="str">
        <f>IFERROR(__xludf.DUMMYFUNCTION("""COMPUTED_VALUE"""),"INICIALIZADO")</f>
        <v>INICIALIZADO</v>
      </c>
      <c r="G5545" s="23">
        <f>IFERROR(__xludf.DUMMYFUNCTION("""COMPUTED_VALUE"""),45573.66675925926)</f>
        <v>45573.66676</v>
      </c>
      <c r="H5545" s="24" t="str">
        <f>IFERROR(VLOOKUP(B5545,material!A:D,3,0),"")</f>
        <v>HDD</v>
      </c>
    </row>
    <row r="5546" ht="11.25" customHeight="1">
      <c r="A5546" s="21" t="str">
        <f>IFERROR(__xludf.DUMMYFUNCTION("""COMPUTED_VALUE"""),"HARD DISK 500GB EXTERNO 2.0")</f>
        <v>HARD DISK 500GB EXTERNO 2.0</v>
      </c>
      <c r="B5546" s="22">
        <f>IFERROR(__xludf.DUMMYFUNCTION("""COMPUTED_VALUE"""),4.1001376E7)</f>
        <v>41001376</v>
      </c>
      <c r="C5546" s="21" t="str">
        <f>IFERROR(__xludf.DUMMYFUNCTION("""COMPUTED_VALUE"""),"400164137081")</f>
        <v>400164137081</v>
      </c>
      <c r="D5546" s="21" t="str">
        <f>IFERROR(__xludf.DUMMYFUNCTION("""COMPUTED_VALUE"""),"DIGITEC TECNOLOGIA DIGITAL E REPRES")</f>
        <v>DIGITEC TECNOLOGIA DIGITAL E REPRES</v>
      </c>
      <c r="E5546" s="21">
        <f>IFERROR(__xludf.DUMMYFUNCTION("""COMPUTED_VALUE"""),145359.0)</f>
        <v>145359</v>
      </c>
      <c r="F5546" s="21" t="str">
        <f>IFERROR(__xludf.DUMMYFUNCTION("""COMPUTED_VALUE"""),"INICIALIZADO")</f>
        <v>INICIALIZADO</v>
      </c>
      <c r="G5546" s="23">
        <f>IFERROR(__xludf.DUMMYFUNCTION("""COMPUTED_VALUE"""),45000.78163194444)</f>
        <v>45000.78163</v>
      </c>
      <c r="H5546" s="24" t="str">
        <f>IFERROR(VLOOKUP(B5546,material!A:D,3,0),"")</f>
        <v>HDD</v>
      </c>
    </row>
    <row r="5547" ht="11.25" customHeight="1">
      <c r="A5547" s="21" t="str">
        <f>IFERROR(__xludf.DUMMYFUNCTION("""COMPUTED_VALUE"""),"HARD DISK 500GB EXTERNO 2.0")</f>
        <v>HARD DISK 500GB EXTERNO 2.0</v>
      </c>
      <c r="B5547" s="22">
        <f>IFERROR(__xludf.DUMMYFUNCTION("""COMPUTED_VALUE"""),4.1001376E7)</f>
        <v>41001376</v>
      </c>
      <c r="C5547" s="21" t="str">
        <f>IFERROR(__xludf.DUMMYFUNCTION("""COMPUTED_VALUE"""),"400158570622")</f>
        <v>400158570622</v>
      </c>
      <c r="D5547" s="21" t="str">
        <f>IFERROR(__xludf.DUMMYFUNCTION("""COMPUTED_VALUE"""),"DIGITEC TECNOLOGIA DIGITAL E REPRES")</f>
        <v>DIGITEC TECNOLOGIA DIGITAL E REPRES</v>
      </c>
      <c r="E5547" s="21">
        <f>IFERROR(__xludf.DUMMYFUNCTION("""COMPUTED_VALUE"""),145359.0)</f>
        <v>145359</v>
      </c>
      <c r="F5547" s="21" t="str">
        <f>IFERROR(__xludf.DUMMYFUNCTION("""COMPUTED_VALUE"""),"INICIALIZADO")</f>
        <v>INICIALIZADO</v>
      </c>
      <c r="G5547" s="23">
        <f>IFERROR(__xludf.DUMMYFUNCTION("""COMPUTED_VALUE"""),45002.616111111114)</f>
        <v>45002.61611</v>
      </c>
      <c r="H5547" s="24" t="str">
        <f>IFERROR(VLOOKUP(B5547,material!A:D,3,0),"")</f>
        <v>HDD</v>
      </c>
    </row>
    <row r="5548" ht="11.25" customHeight="1">
      <c r="A5548" s="21" t="str">
        <f>IFERROR(__xludf.DUMMYFUNCTION("""COMPUTED_VALUE"""),"HARD DISK 500GB EXTERNO 2.0")</f>
        <v>HARD DISK 500GB EXTERNO 2.0</v>
      </c>
      <c r="B5548" s="22">
        <f>IFERROR(__xludf.DUMMYFUNCTION("""COMPUTED_VALUE"""),4.1001376E7)</f>
        <v>41001376</v>
      </c>
      <c r="C5548" s="21" t="str">
        <f>IFERROR(__xludf.DUMMYFUNCTION("""COMPUTED_VALUE"""),"400158570824")</f>
        <v>400158570824</v>
      </c>
      <c r="D5548" s="21" t="str">
        <f>IFERROR(__xludf.DUMMYFUNCTION("""COMPUTED_VALUE"""),"DIGITEC TECNOLOGIA DIGITAL E REPRES")</f>
        <v>DIGITEC TECNOLOGIA DIGITAL E REPRES</v>
      </c>
      <c r="E5548" s="21">
        <f>IFERROR(__xludf.DUMMYFUNCTION("""COMPUTED_VALUE"""),145359.0)</f>
        <v>145359</v>
      </c>
      <c r="F5548" s="21" t="str">
        <f>IFERROR(__xludf.DUMMYFUNCTION("""COMPUTED_VALUE"""),"INICIALIZADO")</f>
        <v>INICIALIZADO</v>
      </c>
      <c r="G5548" s="23">
        <f>IFERROR(__xludf.DUMMYFUNCTION("""COMPUTED_VALUE"""),45002.616111111114)</f>
        <v>45002.61611</v>
      </c>
      <c r="H5548" s="24" t="str">
        <f>IFERROR(VLOOKUP(B5548,material!A:D,3,0),"")</f>
        <v>HDD</v>
      </c>
    </row>
    <row r="5549" ht="11.25" customHeight="1">
      <c r="A5549" s="21" t="str">
        <f>IFERROR(__xludf.DUMMYFUNCTION("""COMPUTED_VALUE"""),"HARD DISK 500GB EXTERNO 2.0")</f>
        <v>HARD DISK 500GB EXTERNO 2.0</v>
      </c>
      <c r="B5549" s="22">
        <f>IFERROR(__xludf.DUMMYFUNCTION("""COMPUTED_VALUE"""),4.1001376E7)</f>
        <v>41001376</v>
      </c>
      <c r="C5549" s="21" t="str">
        <f>IFERROR(__xludf.DUMMYFUNCTION("""COMPUTED_VALUE"""),"400158571834")</f>
        <v>400158571834</v>
      </c>
      <c r="D5549" s="21" t="str">
        <f>IFERROR(__xludf.DUMMYFUNCTION("""COMPUTED_VALUE"""),"DIGITEC TECNOLOGIA DIGITAL E REPRES")</f>
        <v>DIGITEC TECNOLOGIA DIGITAL E REPRES</v>
      </c>
      <c r="E5549" s="21">
        <f>IFERROR(__xludf.DUMMYFUNCTION("""COMPUTED_VALUE"""),145359.0)</f>
        <v>145359</v>
      </c>
      <c r="F5549" s="21" t="str">
        <f>IFERROR(__xludf.DUMMYFUNCTION("""COMPUTED_VALUE"""),"INICIALIZADO")</f>
        <v>INICIALIZADO</v>
      </c>
      <c r="G5549" s="23">
        <f>IFERROR(__xludf.DUMMYFUNCTION("""COMPUTED_VALUE"""),45573.66675925926)</f>
        <v>45573.66676</v>
      </c>
      <c r="H5549" s="24" t="str">
        <f>IFERROR(VLOOKUP(B5549,material!A:D,3,0),"")</f>
        <v>HDD</v>
      </c>
    </row>
    <row r="5550" ht="11.25" customHeight="1">
      <c r="A5550" s="21" t="str">
        <f>IFERROR(__xludf.DUMMYFUNCTION("""COMPUTED_VALUE"""),"HARD DISK 500GB EXTERNO 2.0")</f>
        <v>HARD DISK 500GB EXTERNO 2.0</v>
      </c>
      <c r="B5550" s="22">
        <f>IFERROR(__xludf.DUMMYFUNCTION("""COMPUTED_VALUE"""),4.1001376E7)</f>
        <v>41001376</v>
      </c>
      <c r="C5550" s="21" t="str">
        <f>IFERROR(__xludf.DUMMYFUNCTION("""COMPUTED_VALUE"""),"400158572743")</f>
        <v>400158572743</v>
      </c>
      <c r="D5550" s="21" t="str">
        <f>IFERROR(__xludf.DUMMYFUNCTION("""COMPUTED_VALUE"""),"DIGITEC TECNOLOGIA DIGITAL E REPRES")</f>
        <v>DIGITEC TECNOLOGIA DIGITAL E REPRES</v>
      </c>
      <c r="E5550" s="21">
        <f>IFERROR(__xludf.DUMMYFUNCTION("""COMPUTED_VALUE"""),145359.0)</f>
        <v>145359</v>
      </c>
      <c r="F5550" s="21" t="str">
        <f>IFERROR(__xludf.DUMMYFUNCTION("""COMPUTED_VALUE"""),"INICIALIZADO")</f>
        <v>INICIALIZADO</v>
      </c>
      <c r="G5550" s="23">
        <f>IFERROR(__xludf.DUMMYFUNCTION("""COMPUTED_VALUE"""),45573.66675925926)</f>
        <v>45573.66676</v>
      </c>
      <c r="H5550" s="24" t="str">
        <f>IFERROR(VLOOKUP(B5550,material!A:D,3,0),"")</f>
        <v>HDD</v>
      </c>
    </row>
    <row r="5551" ht="11.25" customHeight="1">
      <c r="A5551" s="21" t="str">
        <f>IFERROR(__xludf.DUMMYFUNCTION("""COMPUTED_VALUE"""),"HARD DISK 500GB EXTERNO 2.0")</f>
        <v>HARD DISK 500GB EXTERNO 2.0</v>
      </c>
      <c r="B5551" s="22">
        <f>IFERROR(__xludf.DUMMYFUNCTION("""COMPUTED_VALUE"""),4.1001376E7)</f>
        <v>41001376</v>
      </c>
      <c r="C5551" s="21" t="str">
        <f>IFERROR(__xludf.DUMMYFUNCTION("""COMPUTED_VALUE"""),"400158570218")</f>
        <v>400158570218</v>
      </c>
      <c r="D5551" s="21" t="str">
        <f>IFERROR(__xludf.DUMMYFUNCTION("""COMPUTED_VALUE"""),"DIGITEC TECNOLOGIA DIGITAL E REPRES")</f>
        <v>DIGITEC TECNOLOGIA DIGITAL E REPRES</v>
      </c>
      <c r="E5551" s="21">
        <f>IFERROR(__xludf.DUMMYFUNCTION("""COMPUTED_VALUE"""),145359.0)</f>
        <v>145359</v>
      </c>
      <c r="F5551" s="21" t="str">
        <f>IFERROR(__xludf.DUMMYFUNCTION("""COMPUTED_VALUE"""),"INICIALIZADO")</f>
        <v>INICIALIZADO</v>
      </c>
      <c r="G5551" s="23">
        <f>IFERROR(__xludf.DUMMYFUNCTION("""COMPUTED_VALUE"""),45002.616111111114)</f>
        <v>45002.61611</v>
      </c>
      <c r="H5551" s="24" t="str">
        <f>IFERROR(VLOOKUP(B5551,material!A:D,3,0),"")</f>
        <v>HDD</v>
      </c>
    </row>
    <row r="5552" ht="11.25" customHeight="1">
      <c r="A5552" s="21" t="str">
        <f>IFERROR(__xludf.DUMMYFUNCTION("""COMPUTED_VALUE"""),"HARD DISK 500GB EXTERNO 2.0")</f>
        <v>HARD DISK 500GB EXTERNO 2.0</v>
      </c>
      <c r="B5552" s="22">
        <f>IFERROR(__xludf.DUMMYFUNCTION("""COMPUTED_VALUE"""),4.1001376E7)</f>
        <v>41001376</v>
      </c>
      <c r="C5552" s="21" t="str">
        <f>IFERROR(__xludf.DUMMYFUNCTION("""COMPUTED_VALUE"""),"400156196480")</f>
        <v>400156196480</v>
      </c>
      <c r="D5552" s="21" t="str">
        <f>IFERROR(__xludf.DUMMYFUNCTION("""COMPUTED_VALUE"""),"DIGITEC TECNOLOGIA DIGITAL E REPRES")</f>
        <v>DIGITEC TECNOLOGIA DIGITAL E REPRES</v>
      </c>
      <c r="E5552" s="21">
        <f>IFERROR(__xludf.DUMMYFUNCTION("""COMPUTED_VALUE"""),145359.0)</f>
        <v>145359</v>
      </c>
      <c r="F5552" s="21" t="str">
        <f>IFERROR(__xludf.DUMMYFUNCTION("""COMPUTED_VALUE"""),"INICIALIZADO")</f>
        <v>INICIALIZADO</v>
      </c>
      <c r="G5552" s="23">
        <f>IFERROR(__xludf.DUMMYFUNCTION("""COMPUTED_VALUE"""),45573.66675925926)</f>
        <v>45573.66676</v>
      </c>
      <c r="H5552" s="24" t="str">
        <f>IFERROR(VLOOKUP(B5552,material!A:D,3,0),"")</f>
        <v>HDD</v>
      </c>
    </row>
    <row r="5553" ht="11.25" customHeight="1">
      <c r="A5553" s="21" t="str">
        <f>IFERROR(__xludf.DUMMYFUNCTION("""COMPUTED_VALUE"""),"HARD DISK 500GB EXTERNO 2.0")</f>
        <v>HARD DISK 500GB EXTERNO 2.0</v>
      </c>
      <c r="B5553" s="22">
        <f>IFERROR(__xludf.DUMMYFUNCTION("""COMPUTED_VALUE"""),4.1001376E7)</f>
        <v>41001376</v>
      </c>
      <c r="C5553" s="21" t="str">
        <f>IFERROR(__xludf.DUMMYFUNCTION("""COMPUTED_VALUE"""),"400158571733")</f>
        <v>400158571733</v>
      </c>
      <c r="D5553" s="21" t="str">
        <f>IFERROR(__xludf.DUMMYFUNCTION("""COMPUTED_VALUE"""),"DIGITEC TECNOLOGIA DIGITAL E REPRES")</f>
        <v>DIGITEC TECNOLOGIA DIGITAL E REPRES</v>
      </c>
      <c r="E5553" s="21">
        <f>IFERROR(__xludf.DUMMYFUNCTION("""COMPUTED_VALUE"""),145359.0)</f>
        <v>145359</v>
      </c>
      <c r="F5553" s="21" t="str">
        <f>IFERROR(__xludf.DUMMYFUNCTION("""COMPUTED_VALUE"""),"INICIALIZADO")</f>
        <v>INICIALIZADO</v>
      </c>
      <c r="G5553" s="23">
        <f>IFERROR(__xludf.DUMMYFUNCTION("""COMPUTED_VALUE"""),45002.616111111114)</f>
        <v>45002.61611</v>
      </c>
      <c r="H5553" s="24" t="str">
        <f>IFERROR(VLOOKUP(B5553,material!A:D,3,0),"")</f>
        <v>HDD</v>
      </c>
    </row>
    <row r="5554" ht="11.25" customHeight="1">
      <c r="A5554" s="21" t="str">
        <f>IFERROR(__xludf.DUMMYFUNCTION("""COMPUTED_VALUE"""),"HARD DISK 500GB EXTERNO 2.0")</f>
        <v>HARD DISK 500GB EXTERNO 2.0</v>
      </c>
      <c r="B5554" s="22">
        <f>IFERROR(__xludf.DUMMYFUNCTION("""COMPUTED_VALUE"""),4.1001376E7)</f>
        <v>41001376</v>
      </c>
      <c r="C5554" s="21" t="str">
        <f>IFERROR(__xludf.DUMMYFUNCTION("""COMPUTED_VALUE"""),"400156186782")</f>
        <v>400156186782</v>
      </c>
      <c r="D5554" s="21" t="str">
        <f>IFERROR(__xludf.DUMMYFUNCTION("""COMPUTED_VALUE"""),"DIGITEC TECNOLOGIA DIGITAL E REPRES")</f>
        <v>DIGITEC TECNOLOGIA DIGITAL E REPRES</v>
      </c>
      <c r="E5554" s="21">
        <f>IFERROR(__xludf.DUMMYFUNCTION("""COMPUTED_VALUE"""),145359.0)</f>
        <v>145359</v>
      </c>
      <c r="F5554" s="21" t="str">
        <f>IFERROR(__xludf.DUMMYFUNCTION("""COMPUTED_VALUE"""),"INICIALIZADO")</f>
        <v>INICIALIZADO</v>
      </c>
      <c r="G5554" s="23">
        <f>IFERROR(__xludf.DUMMYFUNCTION("""COMPUTED_VALUE"""),45573.66675925926)</f>
        <v>45573.66676</v>
      </c>
      <c r="H5554" s="24" t="str">
        <f>IFERROR(VLOOKUP(B5554,material!A:D,3,0),"")</f>
        <v>HDD</v>
      </c>
    </row>
    <row r="5555" ht="11.25" customHeight="1">
      <c r="A5555" s="21" t="str">
        <f>IFERROR(__xludf.DUMMYFUNCTION("""COMPUTED_VALUE"""),"HARD DISK 500GB EXTERNO 2.0")</f>
        <v>HARD DISK 500GB EXTERNO 2.0</v>
      </c>
      <c r="B5555" s="22">
        <f>IFERROR(__xludf.DUMMYFUNCTION("""COMPUTED_VALUE"""),4.1001376E7)</f>
        <v>41001376</v>
      </c>
      <c r="C5555" s="21" t="str">
        <f>IFERROR(__xludf.DUMMYFUNCTION("""COMPUTED_VALUE"""),"400158571228")</f>
        <v>400158571228</v>
      </c>
      <c r="D5555" s="21" t="str">
        <f>IFERROR(__xludf.DUMMYFUNCTION("""COMPUTED_VALUE"""),"DIGITEC TECNOLOGIA DIGITAL E REPRES")</f>
        <v>DIGITEC TECNOLOGIA DIGITAL E REPRES</v>
      </c>
      <c r="E5555" s="21">
        <f>IFERROR(__xludf.DUMMYFUNCTION("""COMPUTED_VALUE"""),145359.0)</f>
        <v>145359</v>
      </c>
      <c r="F5555" s="21" t="str">
        <f>IFERROR(__xludf.DUMMYFUNCTION("""COMPUTED_VALUE"""),"INICIALIZADO")</f>
        <v>INICIALIZADO</v>
      </c>
      <c r="G5555" s="23">
        <f>IFERROR(__xludf.DUMMYFUNCTION("""COMPUTED_VALUE"""),45002.616111111114)</f>
        <v>45002.61611</v>
      </c>
      <c r="H5555" s="24" t="str">
        <f>IFERROR(VLOOKUP(B5555,material!A:D,3,0),"")</f>
        <v>HDD</v>
      </c>
    </row>
    <row r="5556" ht="11.25" customHeight="1">
      <c r="A5556" s="21" t="str">
        <f>IFERROR(__xludf.DUMMYFUNCTION("""COMPUTED_VALUE"""),"HARD DISK 500GB EXTERNO 2.0")</f>
        <v>HARD DISK 500GB EXTERNO 2.0</v>
      </c>
      <c r="B5556" s="22">
        <f>IFERROR(__xludf.DUMMYFUNCTION("""COMPUTED_VALUE"""),4.1001376E7)</f>
        <v>41001376</v>
      </c>
      <c r="C5556" s="21" t="str">
        <f>IFERROR(__xludf.DUMMYFUNCTION("""COMPUTED_VALUE"""),"400158571329")</f>
        <v>400158571329</v>
      </c>
      <c r="D5556" s="21" t="str">
        <f>IFERROR(__xludf.DUMMYFUNCTION("""COMPUTED_VALUE"""),"DIGITEC TECNOLOGIA DIGITAL E REPRES")</f>
        <v>DIGITEC TECNOLOGIA DIGITAL E REPRES</v>
      </c>
      <c r="E5556" s="21">
        <f>IFERROR(__xludf.DUMMYFUNCTION("""COMPUTED_VALUE"""),145359.0)</f>
        <v>145359</v>
      </c>
      <c r="F5556" s="21" t="str">
        <f>IFERROR(__xludf.DUMMYFUNCTION("""COMPUTED_VALUE"""),"INICIALIZADO")</f>
        <v>INICIALIZADO</v>
      </c>
      <c r="G5556" s="23">
        <f>IFERROR(__xludf.DUMMYFUNCTION("""COMPUTED_VALUE"""),45573.66675925926)</f>
        <v>45573.66676</v>
      </c>
      <c r="H5556" s="24" t="str">
        <f>IFERROR(VLOOKUP(B5556,material!A:D,3,0),"")</f>
        <v>HDD</v>
      </c>
    </row>
    <row r="5557" ht="11.25" customHeight="1">
      <c r="A5557" s="21" t="str">
        <f>IFERROR(__xludf.DUMMYFUNCTION("""COMPUTED_VALUE"""),"HARD DISK 500GB EXTERNO 2.0")</f>
        <v>HARD DISK 500GB EXTERNO 2.0</v>
      </c>
      <c r="B5557" s="22">
        <f>IFERROR(__xludf.DUMMYFUNCTION("""COMPUTED_VALUE"""),4.1001376E7)</f>
        <v>41001376</v>
      </c>
      <c r="C5557" s="21" t="str">
        <f>IFERROR(__xludf.DUMMYFUNCTION("""COMPUTED_VALUE"""),"400158570319")</f>
        <v>400158570319</v>
      </c>
      <c r="D5557" s="21" t="str">
        <f>IFERROR(__xludf.DUMMYFUNCTION("""COMPUTED_VALUE"""),"DIGITEC TECNOLOGIA DIGITAL E REPRES")</f>
        <v>DIGITEC TECNOLOGIA DIGITAL E REPRES</v>
      </c>
      <c r="E5557" s="21">
        <f>IFERROR(__xludf.DUMMYFUNCTION("""COMPUTED_VALUE"""),145359.0)</f>
        <v>145359</v>
      </c>
      <c r="F5557" s="21" t="str">
        <f>IFERROR(__xludf.DUMMYFUNCTION("""COMPUTED_VALUE"""),"INICIALIZADO")</f>
        <v>INICIALIZADO</v>
      </c>
      <c r="G5557" s="23">
        <f>IFERROR(__xludf.DUMMYFUNCTION("""COMPUTED_VALUE"""),45002.616111111114)</f>
        <v>45002.61611</v>
      </c>
      <c r="H5557" s="24" t="str">
        <f>IFERROR(VLOOKUP(B5557,material!A:D,3,0),"")</f>
        <v>HDD</v>
      </c>
    </row>
    <row r="5558" ht="11.25" customHeight="1">
      <c r="A5558" s="21" t="str">
        <f>IFERROR(__xludf.DUMMYFUNCTION("""COMPUTED_VALUE"""),"HARD DISK 500GB EXTERNO 2.0")</f>
        <v>HARD DISK 500GB EXTERNO 2.0</v>
      </c>
      <c r="B5558" s="22">
        <f>IFERROR(__xludf.DUMMYFUNCTION("""COMPUTED_VALUE"""),4.1001376E7)</f>
        <v>41001376</v>
      </c>
      <c r="C5558" s="21" t="str">
        <f>IFERROR(__xludf.DUMMYFUNCTION("""COMPUTED_VALUE"""),"400158541831")</f>
        <v>400158541831</v>
      </c>
      <c r="D5558" s="21" t="str">
        <f>IFERROR(__xludf.DUMMYFUNCTION("""COMPUTED_VALUE"""),"DIGITEC TECNOLOGIA DIGITAL E REPRES")</f>
        <v>DIGITEC TECNOLOGIA DIGITAL E REPRES</v>
      </c>
      <c r="E5558" s="21">
        <f>IFERROR(__xludf.DUMMYFUNCTION("""COMPUTED_VALUE"""),145359.0)</f>
        <v>145359</v>
      </c>
      <c r="F5558" s="21" t="str">
        <f>IFERROR(__xludf.DUMMYFUNCTION("""COMPUTED_VALUE"""),"INICIALIZADO")</f>
        <v>INICIALIZADO</v>
      </c>
      <c r="G5558" s="23">
        <f>IFERROR(__xludf.DUMMYFUNCTION("""COMPUTED_VALUE"""),45573.66675925926)</f>
        <v>45573.66676</v>
      </c>
      <c r="H5558" s="24" t="str">
        <f>IFERROR(VLOOKUP(B5558,material!A:D,3,0),"")</f>
        <v>HDD</v>
      </c>
    </row>
    <row r="5559" ht="11.25" customHeight="1">
      <c r="A5559" s="21" t="str">
        <f>IFERROR(__xludf.DUMMYFUNCTION("""COMPUTED_VALUE"""),"HARD DISK 500GB EXTERNO 2.0")</f>
        <v>HARD DISK 500GB EXTERNO 2.0</v>
      </c>
      <c r="B5559" s="22">
        <f>IFERROR(__xludf.DUMMYFUNCTION("""COMPUTED_VALUE"""),4.1001376E7)</f>
        <v>41001376</v>
      </c>
      <c r="C5559" s="21" t="str">
        <f>IFERROR(__xludf.DUMMYFUNCTION("""COMPUTED_VALUE"""),"400164237882")</f>
        <v>400164237882</v>
      </c>
      <c r="D5559" s="21" t="str">
        <f>IFERROR(__xludf.DUMMYFUNCTION("""COMPUTED_VALUE"""),"DIGITEC TECNOLOGIA DIGITAL E REPRES")</f>
        <v>DIGITEC TECNOLOGIA DIGITAL E REPRES</v>
      </c>
      <c r="E5559" s="21">
        <f>IFERROR(__xludf.DUMMYFUNCTION("""COMPUTED_VALUE"""),145359.0)</f>
        <v>145359</v>
      </c>
      <c r="F5559" s="21" t="str">
        <f>IFERROR(__xludf.DUMMYFUNCTION("""COMPUTED_VALUE"""),"INICIALIZADO")</f>
        <v>INICIALIZADO</v>
      </c>
      <c r="G5559" s="23">
        <f>IFERROR(__xludf.DUMMYFUNCTION("""COMPUTED_VALUE"""),44999.92978009259)</f>
        <v>44999.92978</v>
      </c>
      <c r="H5559" s="24" t="str">
        <f>IFERROR(VLOOKUP(B5559,material!A:D,3,0),"")</f>
        <v>HDD</v>
      </c>
    </row>
    <row r="5560" ht="11.25" customHeight="1">
      <c r="A5560" s="21" t="str">
        <f>IFERROR(__xludf.DUMMYFUNCTION("""COMPUTED_VALUE"""),"HARD DISK 500GB EXTERNO 2.0")</f>
        <v>HARD DISK 500GB EXTERNO 2.0</v>
      </c>
      <c r="B5560" s="22">
        <f>IFERROR(__xludf.DUMMYFUNCTION("""COMPUTED_VALUE"""),4.1001376E7)</f>
        <v>41001376</v>
      </c>
      <c r="C5560" s="21" t="str">
        <f>IFERROR(__xludf.DUMMYFUNCTION("""COMPUTED_VALUE"""),"400164155669")</f>
        <v>400164155669</v>
      </c>
      <c r="D5560" s="21" t="str">
        <f>IFERROR(__xludf.DUMMYFUNCTION("""COMPUTED_VALUE"""),"DIGITEC TECNOLOGIA DIGITAL E REPRES")</f>
        <v>DIGITEC TECNOLOGIA DIGITAL E REPRES</v>
      </c>
      <c r="E5560" s="21">
        <f>IFERROR(__xludf.DUMMYFUNCTION("""COMPUTED_VALUE"""),145359.0)</f>
        <v>145359</v>
      </c>
      <c r="F5560" s="21" t="str">
        <f>IFERROR(__xludf.DUMMYFUNCTION("""COMPUTED_VALUE"""),"INICIALIZADO")</f>
        <v>INICIALIZADO</v>
      </c>
      <c r="G5560" s="23">
        <f>IFERROR(__xludf.DUMMYFUNCTION("""COMPUTED_VALUE"""),45573.66675925926)</f>
        <v>45573.66676</v>
      </c>
      <c r="H5560" s="24" t="str">
        <f>IFERROR(VLOOKUP(B5560,material!A:D,3,0),"")</f>
        <v>HDD</v>
      </c>
    </row>
    <row r="5561" ht="11.25" customHeight="1">
      <c r="A5561" s="21" t="str">
        <f>IFERROR(__xludf.DUMMYFUNCTION("""COMPUTED_VALUE"""),"HARD DISK 500GB EXTERNO 2.0")</f>
        <v>HARD DISK 500GB EXTERNO 2.0</v>
      </c>
      <c r="B5561" s="22">
        <f>IFERROR(__xludf.DUMMYFUNCTION("""COMPUTED_VALUE"""),4.1001376E7)</f>
        <v>41001376</v>
      </c>
      <c r="C5561" s="21" t="str">
        <f>IFERROR(__xludf.DUMMYFUNCTION("""COMPUTED_VALUE"""),"400156194662")</f>
        <v>400156194662</v>
      </c>
      <c r="D5561" s="21" t="str">
        <f>IFERROR(__xludf.DUMMYFUNCTION("""COMPUTED_VALUE"""),"DIGITEC TECNOLOGIA DIGITAL E REPRES")</f>
        <v>DIGITEC TECNOLOGIA DIGITAL E REPRES</v>
      </c>
      <c r="E5561" s="21">
        <f>IFERROR(__xludf.DUMMYFUNCTION("""COMPUTED_VALUE"""),145359.0)</f>
        <v>145359</v>
      </c>
      <c r="F5561" s="21" t="str">
        <f>IFERROR(__xludf.DUMMYFUNCTION("""COMPUTED_VALUE"""),"INICIALIZADO")</f>
        <v>INICIALIZADO</v>
      </c>
      <c r="G5561" s="23">
        <f>IFERROR(__xludf.DUMMYFUNCTION("""COMPUTED_VALUE"""),44995.7724537037)</f>
        <v>44995.77245</v>
      </c>
      <c r="H5561" s="24" t="str">
        <f>IFERROR(VLOOKUP(B5561,material!A:D,3,0),"")</f>
        <v>HDD</v>
      </c>
    </row>
    <row r="5562" ht="11.25" customHeight="1">
      <c r="A5562" s="21" t="str">
        <f>IFERROR(__xludf.DUMMYFUNCTION("""COMPUTED_VALUE"""),"HARD DISK 500GB EXTERNO 2.0")</f>
        <v>HARD DISK 500GB EXTERNO 2.0</v>
      </c>
      <c r="B5562" s="22">
        <f>IFERROR(__xludf.DUMMYFUNCTION("""COMPUTED_VALUE"""),4.1001376E7)</f>
        <v>41001376</v>
      </c>
      <c r="C5562" s="21" t="str">
        <f>IFERROR(__xludf.DUMMYFUNCTION("""COMPUTED_VALUE"""),"400164137586")</f>
        <v>400164137586</v>
      </c>
      <c r="D5562" s="21" t="str">
        <f>IFERROR(__xludf.DUMMYFUNCTION("""COMPUTED_VALUE"""),"DIGITEC TECNOLOGIA DIGITAL E REPRES")</f>
        <v>DIGITEC TECNOLOGIA DIGITAL E REPRES</v>
      </c>
      <c r="E5562" s="21">
        <f>IFERROR(__xludf.DUMMYFUNCTION("""COMPUTED_VALUE"""),145359.0)</f>
        <v>145359</v>
      </c>
      <c r="F5562" s="21" t="str">
        <f>IFERROR(__xludf.DUMMYFUNCTION("""COMPUTED_VALUE"""),"INICIALIZADO")</f>
        <v>INICIALIZADO</v>
      </c>
      <c r="G5562" s="23">
        <f>IFERROR(__xludf.DUMMYFUNCTION("""COMPUTED_VALUE"""),44995.7724537037)</f>
        <v>44995.77245</v>
      </c>
      <c r="H5562" s="24" t="str">
        <f>IFERROR(VLOOKUP(B5562,material!A:D,3,0),"")</f>
        <v>HDD</v>
      </c>
    </row>
    <row r="5563" ht="11.25" customHeight="1">
      <c r="A5563" s="21" t="str">
        <f>IFERROR(__xludf.DUMMYFUNCTION("""COMPUTED_VALUE"""),"HARD DISK 500GB EXTERNO 2.0")</f>
        <v>HARD DISK 500GB EXTERNO 2.0</v>
      </c>
      <c r="B5563" s="22">
        <f>IFERROR(__xludf.DUMMYFUNCTION("""COMPUTED_VALUE"""),4.1001376E7)</f>
        <v>41001376</v>
      </c>
      <c r="C5563" s="21" t="str">
        <f>IFERROR(__xludf.DUMMYFUNCTION("""COMPUTED_VALUE"""),"400158570723")</f>
        <v>400158570723</v>
      </c>
      <c r="D5563" s="21" t="str">
        <f>IFERROR(__xludf.DUMMYFUNCTION("""COMPUTED_VALUE"""),"DIGITEC TECNOLOGIA DIGITAL E REPRES")</f>
        <v>DIGITEC TECNOLOGIA DIGITAL E REPRES</v>
      </c>
      <c r="E5563" s="21">
        <f>IFERROR(__xludf.DUMMYFUNCTION("""COMPUTED_VALUE"""),145359.0)</f>
        <v>145359</v>
      </c>
      <c r="F5563" s="21" t="str">
        <f>IFERROR(__xludf.DUMMYFUNCTION("""COMPUTED_VALUE"""),"INICIALIZADO")</f>
        <v>INICIALIZADO</v>
      </c>
      <c r="G5563" s="23">
        <f>IFERROR(__xludf.DUMMYFUNCTION("""COMPUTED_VALUE"""),45002.616111111114)</f>
        <v>45002.61611</v>
      </c>
      <c r="H5563" s="24" t="str">
        <f>IFERROR(VLOOKUP(B5563,material!A:D,3,0),"")</f>
        <v>HDD</v>
      </c>
    </row>
    <row r="5564" ht="11.25" customHeight="1">
      <c r="A5564" s="21" t="str">
        <f>IFERROR(__xludf.DUMMYFUNCTION("""COMPUTED_VALUE"""),"HARD DISK 500GB EXTERNO 2.0")</f>
        <v>HARD DISK 500GB EXTERNO 2.0</v>
      </c>
      <c r="B5564" s="22">
        <f>IFERROR(__xludf.DUMMYFUNCTION("""COMPUTED_VALUE"""),4.1001376E7)</f>
        <v>41001376</v>
      </c>
      <c r="C5564" s="21" t="str">
        <f>IFERROR(__xludf.DUMMYFUNCTION("""COMPUTED_VALUE"""),"400158571026")</f>
        <v>400158571026</v>
      </c>
      <c r="D5564" s="21" t="str">
        <f>IFERROR(__xludf.DUMMYFUNCTION("""COMPUTED_VALUE"""),"DIGITEC TECNOLOGIA DIGITAL E REPRES")</f>
        <v>DIGITEC TECNOLOGIA DIGITAL E REPRES</v>
      </c>
      <c r="E5564" s="21">
        <f>IFERROR(__xludf.DUMMYFUNCTION("""COMPUTED_VALUE"""),145359.0)</f>
        <v>145359</v>
      </c>
      <c r="F5564" s="21" t="str">
        <f>IFERROR(__xludf.DUMMYFUNCTION("""COMPUTED_VALUE"""),"INICIALIZADO")</f>
        <v>INICIALIZADO</v>
      </c>
      <c r="G5564" s="23">
        <f>IFERROR(__xludf.DUMMYFUNCTION("""COMPUTED_VALUE"""),45002.616111111114)</f>
        <v>45002.61611</v>
      </c>
      <c r="H5564" s="24" t="str">
        <f>IFERROR(VLOOKUP(B5564,material!A:D,3,0),"")</f>
        <v>HDD</v>
      </c>
    </row>
    <row r="5565" ht="11.25" customHeight="1">
      <c r="A5565" s="21" t="str">
        <f>IFERROR(__xludf.DUMMYFUNCTION("""COMPUTED_VALUE"""),"HARD DISK 500GB EXTERNO 2.0")</f>
        <v>HARD DISK 500GB EXTERNO 2.0</v>
      </c>
      <c r="B5565" s="22">
        <f>IFERROR(__xludf.DUMMYFUNCTION("""COMPUTED_VALUE"""),4.1001376E7)</f>
        <v>41001376</v>
      </c>
      <c r="C5565" s="21" t="str">
        <f>IFERROR(__xludf.DUMMYFUNCTION("""COMPUTED_VALUE"""),"400158571632")</f>
        <v>400158571632</v>
      </c>
      <c r="D5565" s="21" t="str">
        <f>IFERROR(__xludf.DUMMYFUNCTION("""COMPUTED_VALUE"""),"DIGITEC TECNOLOGIA DIGITAL E REPRES")</f>
        <v>DIGITEC TECNOLOGIA DIGITAL E REPRES</v>
      </c>
      <c r="E5565" s="21">
        <f>IFERROR(__xludf.DUMMYFUNCTION("""COMPUTED_VALUE"""),145359.0)</f>
        <v>145359</v>
      </c>
      <c r="F5565" s="21" t="str">
        <f>IFERROR(__xludf.DUMMYFUNCTION("""COMPUTED_VALUE"""),"INICIALIZADO")</f>
        <v>INICIALIZADO</v>
      </c>
      <c r="G5565" s="23">
        <f>IFERROR(__xludf.DUMMYFUNCTION("""COMPUTED_VALUE"""),45573.66675925926)</f>
        <v>45573.66676</v>
      </c>
      <c r="H5565" s="24" t="str">
        <f>IFERROR(VLOOKUP(B5565,material!A:D,3,0),"")</f>
        <v>HDD</v>
      </c>
    </row>
    <row r="5566" ht="11.25" customHeight="1">
      <c r="A5566" s="21" t="str">
        <f>IFERROR(__xludf.DUMMYFUNCTION("""COMPUTED_VALUE"""),"HARD DISK 500GB EXTERNO 2.0")</f>
        <v>HARD DISK 500GB EXTERNO 2.0</v>
      </c>
      <c r="B5566" s="22">
        <f>IFERROR(__xludf.DUMMYFUNCTION("""COMPUTED_VALUE"""),4.1001376E7)</f>
        <v>41001376</v>
      </c>
      <c r="C5566" s="21" t="str">
        <f>IFERROR(__xludf.DUMMYFUNCTION("""COMPUTED_VALUE"""),"400158572642")</f>
        <v>400158572642</v>
      </c>
      <c r="D5566" s="21" t="str">
        <f>IFERROR(__xludf.DUMMYFUNCTION("""COMPUTED_VALUE"""),"DIGITEC TECNOLOGIA DIGITAL E REPRES")</f>
        <v>DIGITEC TECNOLOGIA DIGITAL E REPRES</v>
      </c>
      <c r="E5566" s="21">
        <f>IFERROR(__xludf.DUMMYFUNCTION("""COMPUTED_VALUE"""),145359.0)</f>
        <v>145359</v>
      </c>
      <c r="F5566" s="21" t="str">
        <f>IFERROR(__xludf.DUMMYFUNCTION("""COMPUTED_VALUE"""),"INICIALIZADO")</f>
        <v>INICIALIZADO</v>
      </c>
      <c r="G5566" s="23">
        <f>IFERROR(__xludf.DUMMYFUNCTION("""COMPUTED_VALUE"""),45573.66675925926)</f>
        <v>45573.66676</v>
      </c>
      <c r="H5566" s="24" t="str">
        <f>IFERROR(VLOOKUP(B5566,material!A:D,3,0),"")</f>
        <v>HDD</v>
      </c>
    </row>
    <row r="5567" ht="11.25" customHeight="1">
      <c r="A5567" s="21" t="str">
        <f>IFERROR(__xludf.DUMMYFUNCTION("""COMPUTED_VALUE"""),"DECODER DIGITAL HD DXC5000 2T")</f>
        <v>DECODER DIGITAL HD DXC5000 2T</v>
      </c>
      <c r="B5567" s="22">
        <f>IFERROR(__xludf.DUMMYFUNCTION("""COMPUTED_VALUE"""),4.1001277E7)</f>
        <v>41001277</v>
      </c>
      <c r="C5567" s="21" t="str">
        <f>IFERROR(__xludf.DUMMYFUNCTION("""COMPUTED_VALUE"""),"216499001919")</f>
        <v>216499001919</v>
      </c>
      <c r="D5567" s="21" t="str">
        <f>IFERROR(__xludf.DUMMYFUNCTION("""COMPUTED_VALUE"""),"DIGITEC TECNOLOGIA DIGITAL E REPRES")</f>
        <v>DIGITEC TECNOLOGIA DIGITAL E REPRES</v>
      </c>
      <c r="E5567" s="21">
        <f>IFERROR(__xludf.DUMMYFUNCTION("""COMPUTED_VALUE"""),145359.0)</f>
        <v>145359</v>
      </c>
      <c r="F5567" s="21" t="str">
        <f>IFERROR(__xludf.DUMMYFUNCTION("""COMPUTED_VALUE"""),"INICIALIZADO")</f>
        <v>INICIALIZADO</v>
      </c>
      <c r="G5567" s="23">
        <f>IFERROR(__xludf.DUMMYFUNCTION("""COMPUTED_VALUE"""),45618.65200231482)</f>
        <v>45618.652</v>
      </c>
      <c r="H5567" s="24" t="str">
        <f>IFERROR(VLOOKUP(B5567,material!A:D,3,0),"")</f>
        <v>TOP MIX</v>
      </c>
    </row>
    <row r="5568" ht="11.25" customHeight="1">
      <c r="A5568" s="21" t="str">
        <f>IFERROR(__xludf.DUMMYFUNCTION("""COMPUTED_VALUE"""),"DECODER DIGITAL HD DXC5000 2T")</f>
        <v>DECODER DIGITAL HD DXC5000 2T</v>
      </c>
      <c r="B5568" s="22">
        <f>IFERROR(__xludf.DUMMYFUNCTION("""COMPUTED_VALUE"""),4.1001277E7)</f>
        <v>41001277</v>
      </c>
      <c r="C5568" s="21" t="str">
        <f>IFERROR(__xludf.DUMMYFUNCTION("""COMPUTED_VALUE"""),"216454112039")</f>
        <v>216454112039</v>
      </c>
      <c r="D5568" s="21" t="str">
        <f>IFERROR(__xludf.DUMMYFUNCTION("""COMPUTED_VALUE"""),"DIGITEC TECNOLOGIA DIGITAL E REPRES")</f>
        <v>DIGITEC TECNOLOGIA DIGITAL E REPRES</v>
      </c>
      <c r="E5568" s="21">
        <f>IFERROR(__xludf.DUMMYFUNCTION("""COMPUTED_VALUE"""),145359.0)</f>
        <v>145359</v>
      </c>
      <c r="F5568" s="21" t="str">
        <f>IFERROR(__xludf.DUMMYFUNCTION("""COMPUTED_VALUE"""),"INICIALIZADO")</f>
        <v>INICIALIZADO</v>
      </c>
      <c r="G5568" s="23">
        <f>IFERROR(__xludf.DUMMYFUNCTION("""COMPUTED_VALUE"""),45618.65201388889)</f>
        <v>45618.65201</v>
      </c>
      <c r="H5568" s="24" t="str">
        <f>IFERROR(VLOOKUP(B5568,material!A:D,3,0),"")</f>
        <v>TOP MIX</v>
      </c>
    </row>
    <row r="5569" ht="11.25" customHeight="1">
      <c r="A5569" s="21" t="str">
        <f>IFERROR(__xludf.DUMMYFUNCTION("""COMPUTED_VALUE"""),"DECODER DIGITAL HD HNB100 2T")</f>
        <v>DECODER DIGITAL HD HNB100 2T</v>
      </c>
      <c r="B5569" s="22">
        <f>IFERROR(__xludf.DUMMYFUNCTION("""COMPUTED_VALUE"""),4.1001276E7)</f>
        <v>41001276</v>
      </c>
      <c r="C5569" s="21" t="str">
        <f>IFERROR(__xludf.DUMMYFUNCTION("""COMPUTED_VALUE"""),"216910295055")</f>
        <v>216910295055</v>
      </c>
      <c r="D5569" s="21" t="str">
        <f>IFERROR(__xludf.DUMMYFUNCTION("""COMPUTED_VALUE"""),"DIGITEC TECNOLOGIA DIGITAL E REPRES")</f>
        <v>DIGITEC TECNOLOGIA DIGITAL E REPRES</v>
      </c>
      <c r="E5569" s="21">
        <f>IFERROR(__xludf.DUMMYFUNCTION("""COMPUTED_VALUE"""),145359.0)</f>
        <v>145359</v>
      </c>
      <c r="F5569" s="21" t="str">
        <f>IFERROR(__xludf.DUMMYFUNCTION("""COMPUTED_VALUE"""),"INICIALIZADO")</f>
        <v>INICIALIZADO</v>
      </c>
      <c r="G5569" s="23">
        <f>IFERROR(__xludf.DUMMYFUNCTION("""COMPUTED_VALUE"""),45642.52412037037)</f>
        <v>45642.52412</v>
      </c>
      <c r="H5569" s="24" t="str">
        <f>IFERROR(VLOOKUP(B5569,material!A:D,3,0),"")</f>
        <v>TOP MIX</v>
      </c>
    </row>
    <row r="5570" ht="11.25" customHeight="1">
      <c r="A5570" s="21" t="str">
        <f>IFERROR(__xludf.DUMMYFUNCTION("""COMPUTED_VALUE"""),"DECODER DIGITAL HD HNB100 2T")</f>
        <v>DECODER DIGITAL HD HNB100 2T</v>
      </c>
      <c r="B5570" s="22">
        <f>IFERROR(__xludf.DUMMYFUNCTION("""COMPUTED_VALUE"""),4.1001276E7)</f>
        <v>41001276</v>
      </c>
      <c r="C5570" s="21" t="str">
        <f>IFERROR(__xludf.DUMMYFUNCTION("""COMPUTED_VALUE"""),"216910384862")</f>
        <v>216910384862</v>
      </c>
      <c r="D5570" s="21" t="str">
        <f>IFERROR(__xludf.DUMMYFUNCTION("""COMPUTED_VALUE"""),"DIGITEC TECNOLOGIA DIGITAL E REPRES")</f>
        <v>DIGITEC TECNOLOGIA DIGITAL E REPRES</v>
      </c>
      <c r="E5570" s="21">
        <f>IFERROR(__xludf.DUMMYFUNCTION("""COMPUTED_VALUE"""),145359.0)</f>
        <v>145359</v>
      </c>
      <c r="F5570" s="21" t="str">
        <f>IFERROR(__xludf.DUMMYFUNCTION("""COMPUTED_VALUE"""),"INICIALIZADO")</f>
        <v>INICIALIZADO</v>
      </c>
      <c r="G5570" s="23">
        <f>IFERROR(__xludf.DUMMYFUNCTION("""COMPUTED_VALUE"""),45635.53502314815)</f>
        <v>45635.53502</v>
      </c>
      <c r="H5570" s="24" t="str">
        <f>IFERROR(VLOOKUP(B5570,material!A:D,3,0),"")</f>
        <v>TOP MIX</v>
      </c>
    </row>
    <row r="5571" ht="11.25" customHeight="1">
      <c r="A5571" s="21" t="str">
        <f>IFERROR(__xludf.DUMMYFUNCTION("""COMPUTED_VALUE"""),"DECODER DIGITAL HD HNB100 2T")</f>
        <v>DECODER DIGITAL HD HNB100 2T</v>
      </c>
      <c r="B5571" s="22">
        <f>IFERROR(__xludf.DUMMYFUNCTION("""COMPUTED_VALUE"""),4.1001276E7)</f>
        <v>41001276</v>
      </c>
      <c r="C5571" s="21" t="str">
        <f>IFERROR(__xludf.DUMMYFUNCTION("""COMPUTED_VALUE"""),"216910302329")</f>
        <v>216910302329</v>
      </c>
      <c r="D5571" s="21" t="str">
        <f>IFERROR(__xludf.DUMMYFUNCTION("""COMPUTED_VALUE"""),"DIGITEC TECNOLOGIA DIGITAL E REPRES")</f>
        <v>DIGITEC TECNOLOGIA DIGITAL E REPRES</v>
      </c>
      <c r="E5571" s="21">
        <f>IFERROR(__xludf.DUMMYFUNCTION("""COMPUTED_VALUE"""),145359.0)</f>
        <v>145359</v>
      </c>
      <c r="F5571" s="21" t="str">
        <f>IFERROR(__xludf.DUMMYFUNCTION("""COMPUTED_VALUE"""),"INICIALIZADO")</f>
        <v>INICIALIZADO</v>
      </c>
      <c r="G5571" s="23">
        <f>IFERROR(__xludf.DUMMYFUNCTION("""COMPUTED_VALUE"""),45642.52412037037)</f>
        <v>45642.52412</v>
      </c>
      <c r="H5571" s="24" t="str">
        <f>IFERROR(VLOOKUP(B5571,material!A:D,3,0),"")</f>
        <v>TOP MIX</v>
      </c>
    </row>
    <row r="5572" ht="11.25" customHeight="1">
      <c r="A5572" s="21" t="str">
        <f>IFERROR(__xludf.DUMMYFUNCTION("""COMPUTED_VALUE"""),"DECODER DIGITAL HD HNB100 2T")</f>
        <v>DECODER DIGITAL HD HNB100 2T</v>
      </c>
      <c r="B5572" s="22">
        <f>IFERROR(__xludf.DUMMYFUNCTION("""COMPUTED_VALUE"""),4.1001276E7)</f>
        <v>41001276</v>
      </c>
      <c r="C5572" s="21" t="str">
        <f>IFERROR(__xludf.DUMMYFUNCTION("""COMPUTED_VALUE"""),"216869439710")</f>
        <v>216869439710</v>
      </c>
      <c r="D5572" s="21" t="str">
        <f>IFERROR(__xludf.DUMMYFUNCTION("""COMPUTED_VALUE"""),"DIGITEC TECNOLOGIA DIGITAL E REPRES")</f>
        <v>DIGITEC TECNOLOGIA DIGITAL E REPRES</v>
      </c>
      <c r="E5572" s="21">
        <f>IFERROR(__xludf.DUMMYFUNCTION("""COMPUTED_VALUE"""),145359.0)</f>
        <v>145359</v>
      </c>
      <c r="F5572" s="21" t="str">
        <f>IFERROR(__xludf.DUMMYFUNCTION("""COMPUTED_VALUE"""),"INICIALIZADO")</f>
        <v>INICIALIZADO</v>
      </c>
      <c r="G5572" s="23">
        <f>IFERROR(__xludf.DUMMYFUNCTION("""COMPUTED_VALUE"""),45642.52412037037)</f>
        <v>45642.52412</v>
      </c>
      <c r="H5572" s="24" t="str">
        <f>IFERROR(VLOOKUP(B5572,material!A:D,3,0),"")</f>
        <v>TOP MIX</v>
      </c>
    </row>
    <row r="5573" ht="11.25" customHeight="1">
      <c r="A5573" s="21" t="str">
        <f>IFERROR(__xludf.DUMMYFUNCTION("""COMPUTED_VALUE"""),"DECODER DIGITAL HD HNB100 2T")</f>
        <v>DECODER DIGITAL HD HNB100 2T</v>
      </c>
      <c r="B5573" s="22">
        <f>IFERROR(__xludf.DUMMYFUNCTION("""COMPUTED_VALUE"""),4.1001276E7)</f>
        <v>41001276</v>
      </c>
      <c r="C5573" s="21" t="str">
        <f>IFERROR(__xludf.DUMMYFUNCTION("""COMPUTED_VALUE"""),"216869830815")</f>
        <v>216869830815</v>
      </c>
      <c r="D5573" s="21" t="str">
        <f>IFERROR(__xludf.DUMMYFUNCTION("""COMPUTED_VALUE"""),"DIGITEC TECNOLOGIA DIGITAL E REPRES")</f>
        <v>DIGITEC TECNOLOGIA DIGITAL E REPRES</v>
      </c>
      <c r="E5573" s="21">
        <f>IFERROR(__xludf.DUMMYFUNCTION("""COMPUTED_VALUE"""),145359.0)</f>
        <v>145359</v>
      </c>
      <c r="F5573" s="21" t="str">
        <f>IFERROR(__xludf.DUMMYFUNCTION("""COMPUTED_VALUE"""),"INICIALIZADO")</f>
        <v>INICIALIZADO</v>
      </c>
      <c r="G5573" s="23">
        <f>IFERROR(__xludf.DUMMYFUNCTION("""COMPUTED_VALUE"""),45635.53502314815)</f>
        <v>45635.53502</v>
      </c>
      <c r="H5573" s="24" t="str">
        <f>IFERROR(VLOOKUP(B5573,material!A:D,3,0),"")</f>
        <v>TOP MIX</v>
      </c>
    </row>
    <row r="5574" ht="11.25" customHeight="1">
      <c r="A5574" s="21" t="str">
        <f>IFERROR(__xludf.DUMMYFUNCTION("""COMPUTED_VALUE"""),"DECODER DIGITAL HD HNB100 2T")</f>
        <v>DECODER DIGITAL HD HNB100 2T</v>
      </c>
      <c r="B5574" s="22">
        <f>IFERROR(__xludf.DUMMYFUNCTION("""COMPUTED_VALUE"""),4.1001276E7)</f>
        <v>41001276</v>
      </c>
      <c r="C5574" s="21" t="str">
        <f>IFERROR(__xludf.DUMMYFUNCTION("""COMPUTED_VALUE"""),"216871242838")</f>
        <v>216871242838</v>
      </c>
      <c r="D5574" s="21" t="str">
        <f>IFERROR(__xludf.DUMMYFUNCTION("""COMPUTED_VALUE"""),"DIGITEC TECNOLOGIA DIGITAL E REPRES")</f>
        <v>DIGITEC TECNOLOGIA DIGITAL E REPRES</v>
      </c>
      <c r="E5574" s="21">
        <f>IFERROR(__xludf.DUMMYFUNCTION("""COMPUTED_VALUE"""),145359.0)</f>
        <v>145359</v>
      </c>
      <c r="F5574" s="21" t="str">
        <f>IFERROR(__xludf.DUMMYFUNCTION("""COMPUTED_VALUE"""),"INICIALIZADO")</f>
        <v>INICIALIZADO</v>
      </c>
      <c r="G5574" s="23">
        <f>IFERROR(__xludf.DUMMYFUNCTION("""COMPUTED_VALUE"""),45635.53502314815)</f>
        <v>45635.53502</v>
      </c>
      <c r="H5574" s="24" t="str">
        <f>IFERROR(VLOOKUP(B5574,material!A:D,3,0),"")</f>
        <v>TOP MIX</v>
      </c>
    </row>
    <row r="5575" ht="11.25" customHeight="1">
      <c r="A5575" s="21" t="str">
        <f>IFERROR(__xludf.DUMMYFUNCTION("""COMPUTED_VALUE"""),"DECODER DIGITAL HD HNB100 2T")</f>
        <v>DECODER DIGITAL HD HNB100 2T</v>
      </c>
      <c r="B5575" s="22">
        <f>IFERROR(__xludf.DUMMYFUNCTION("""COMPUTED_VALUE"""),4.1001276E7)</f>
        <v>41001276</v>
      </c>
      <c r="C5575" s="21" t="str">
        <f>IFERROR(__xludf.DUMMYFUNCTION("""COMPUTED_VALUE"""),"216874553958")</f>
        <v>216874553958</v>
      </c>
      <c r="D5575" s="21" t="str">
        <f>IFERROR(__xludf.DUMMYFUNCTION("""COMPUTED_VALUE"""),"DIGITEC TECNOLOGIA DIGITAL E REPRES")</f>
        <v>DIGITEC TECNOLOGIA DIGITAL E REPRES</v>
      </c>
      <c r="E5575" s="21">
        <f>IFERROR(__xludf.DUMMYFUNCTION("""COMPUTED_VALUE"""),145359.0)</f>
        <v>145359</v>
      </c>
      <c r="F5575" s="21" t="str">
        <f>IFERROR(__xludf.DUMMYFUNCTION("""COMPUTED_VALUE"""),"INICIALIZADO")</f>
        <v>INICIALIZADO</v>
      </c>
      <c r="G5575" s="23">
        <f>IFERROR(__xludf.DUMMYFUNCTION("""COMPUTED_VALUE"""),45635.53502314815)</f>
        <v>45635.53502</v>
      </c>
      <c r="H5575" s="24" t="str">
        <f>IFERROR(VLOOKUP(B5575,material!A:D,3,0),"")</f>
        <v>TOP MIX</v>
      </c>
    </row>
    <row r="5576" ht="11.25" customHeight="1">
      <c r="A5576" s="21" t="str">
        <f>IFERROR(__xludf.DUMMYFUNCTION("""COMPUTED_VALUE"""),"DECODER DIGITAL HD HNB100 2T")</f>
        <v>DECODER DIGITAL HD HNB100 2T</v>
      </c>
      <c r="B5576" s="22">
        <f>IFERROR(__xludf.DUMMYFUNCTION("""COMPUTED_VALUE"""),4.1001276E7)</f>
        <v>41001276</v>
      </c>
      <c r="C5576" s="21" t="str">
        <f>IFERROR(__xludf.DUMMYFUNCTION("""COMPUTED_VALUE"""),"216873776272")</f>
        <v>216873776272</v>
      </c>
      <c r="D5576" s="21" t="str">
        <f>IFERROR(__xludf.DUMMYFUNCTION("""COMPUTED_VALUE"""),"DIGITEC TECNOLOGIA DIGITAL E REPRES")</f>
        <v>DIGITEC TECNOLOGIA DIGITAL E REPRES</v>
      </c>
      <c r="E5576" s="21">
        <f>IFERROR(__xludf.DUMMYFUNCTION("""COMPUTED_VALUE"""),145359.0)</f>
        <v>145359</v>
      </c>
      <c r="F5576" s="21" t="str">
        <f>IFERROR(__xludf.DUMMYFUNCTION("""COMPUTED_VALUE"""),"INICIALIZADO")</f>
        <v>INICIALIZADO</v>
      </c>
      <c r="G5576" s="23">
        <f>IFERROR(__xludf.DUMMYFUNCTION("""COMPUTED_VALUE"""),45635.53502314815)</f>
        <v>45635.53502</v>
      </c>
      <c r="H5576" s="24" t="str">
        <f>IFERROR(VLOOKUP(B5576,material!A:D,3,0),"")</f>
        <v>TOP MIX</v>
      </c>
    </row>
    <row r="5577" ht="11.25" customHeight="1">
      <c r="A5577" s="21" t="str">
        <f>IFERROR(__xludf.DUMMYFUNCTION("""COMPUTED_VALUE"""),"DECODER DIGITAL HD HNB100 2T")</f>
        <v>DECODER DIGITAL HD HNB100 2T</v>
      </c>
      <c r="B5577" s="22">
        <f>IFERROR(__xludf.DUMMYFUNCTION("""COMPUTED_VALUE"""),4.1001276E7)</f>
        <v>41001276</v>
      </c>
      <c r="C5577" s="21" t="str">
        <f>IFERROR(__xludf.DUMMYFUNCTION("""COMPUTED_VALUE"""),"216871145858")</f>
        <v>216871145858</v>
      </c>
      <c r="D5577" s="21" t="str">
        <f>IFERROR(__xludf.DUMMYFUNCTION("""COMPUTED_VALUE"""),"DIGITEC TECNOLOGIA DIGITAL E REPRES")</f>
        <v>DIGITEC TECNOLOGIA DIGITAL E REPRES</v>
      </c>
      <c r="E5577" s="21">
        <f>IFERROR(__xludf.DUMMYFUNCTION("""COMPUTED_VALUE"""),145359.0)</f>
        <v>145359</v>
      </c>
      <c r="F5577" s="21" t="str">
        <f>IFERROR(__xludf.DUMMYFUNCTION("""COMPUTED_VALUE"""),"INICIALIZADO")</f>
        <v>INICIALIZADO</v>
      </c>
      <c r="G5577" s="23">
        <f>IFERROR(__xludf.DUMMYFUNCTION("""COMPUTED_VALUE"""),45635.53502314815)</f>
        <v>45635.53502</v>
      </c>
      <c r="H5577" s="24" t="str">
        <f>IFERROR(VLOOKUP(B5577,material!A:D,3,0),"")</f>
        <v>TOP MIX</v>
      </c>
    </row>
    <row r="5578" ht="11.25" customHeight="1">
      <c r="A5578" s="21" t="str">
        <f>IFERROR(__xludf.DUMMYFUNCTION("""COMPUTED_VALUE"""),"DECODER DIGITAL HD HNB100 2T")</f>
        <v>DECODER DIGITAL HD HNB100 2T</v>
      </c>
      <c r="B5578" s="22">
        <f>IFERROR(__xludf.DUMMYFUNCTION("""COMPUTED_VALUE"""),4.1001276E7)</f>
        <v>41001276</v>
      </c>
      <c r="C5578" s="21" t="str">
        <f>IFERROR(__xludf.DUMMYFUNCTION("""COMPUTED_VALUE"""),"216877395054")</f>
        <v>216877395054</v>
      </c>
      <c r="D5578" s="21" t="str">
        <f>IFERROR(__xludf.DUMMYFUNCTION("""COMPUTED_VALUE"""),"DIGITEC TECNOLOGIA DIGITAL E REPRES")</f>
        <v>DIGITEC TECNOLOGIA DIGITAL E REPRES</v>
      </c>
      <c r="E5578" s="21">
        <f>IFERROR(__xludf.DUMMYFUNCTION("""COMPUTED_VALUE"""),145359.0)</f>
        <v>145359</v>
      </c>
      <c r="F5578" s="21" t="str">
        <f>IFERROR(__xludf.DUMMYFUNCTION("""COMPUTED_VALUE"""),"INICIALIZADO")</f>
        <v>INICIALIZADO</v>
      </c>
      <c r="G5578" s="23">
        <f>IFERROR(__xludf.DUMMYFUNCTION("""COMPUTED_VALUE"""),45642.52412037037)</f>
        <v>45642.52412</v>
      </c>
      <c r="H5578" s="24" t="str">
        <f>IFERROR(VLOOKUP(B5578,material!A:D,3,0),"")</f>
        <v>TOP MIX</v>
      </c>
    </row>
    <row r="5579" ht="11.25" customHeight="1">
      <c r="A5579" s="21" t="str">
        <f>IFERROR(__xludf.DUMMYFUNCTION("""COMPUTED_VALUE"""),"DECODER DIGITAL HD HNB100 2T")</f>
        <v>DECODER DIGITAL HD HNB100 2T</v>
      </c>
      <c r="B5579" s="22">
        <f>IFERROR(__xludf.DUMMYFUNCTION("""COMPUTED_VALUE"""),4.1001276E7)</f>
        <v>41001276</v>
      </c>
      <c r="C5579" s="21" t="str">
        <f>IFERROR(__xludf.DUMMYFUNCTION("""COMPUTED_VALUE"""),"216871924756")</f>
        <v>216871924756</v>
      </c>
      <c r="D5579" s="21" t="str">
        <f>IFERROR(__xludf.DUMMYFUNCTION("""COMPUTED_VALUE"""),"DIGITEC TECNOLOGIA DIGITAL E REPRES")</f>
        <v>DIGITEC TECNOLOGIA DIGITAL E REPRES</v>
      </c>
      <c r="E5579" s="21">
        <f>IFERROR(__xludf.DUMMYFUNCTION("""COMPUTED_VALUE"""),145359.0)</f>
        <v>145359</v>
      </c>
      <c r="F5579" s="21" t="str">
        <f>IFERROR(__xludf.DUMMYFUNCTION("""COMPUTED_VALUE"""),"INICIALIZADO")</f>
        <v>INICIALIZADO</v>
      </c>
      <c r="G5579" s="23">
        <f>IFERROR(__xludf.DUMMYFUNCTION("""COMPUTED_VALUE"""),45635.53502314815)</f>
        <v>45635.53502</v>
      </c>
      <c r="H5579" s="24" t="str">
        <f>IFERROR(VLOOKUP(B5579,material!A:D,3,0),"")</f>
        <v>TOP MIX</v>
      </c>
    </row>
    <row r="5580" ht="11.25" customHeight="1">
      <c r="A5580" s="21" t="str">
        <f>IFERROR(__xludf.DUMMYFUNCTION("""COMPUTED_VALUE"""),"DECODER DIGITAL HD HNB100 2T")</f>
        <v>DECODER DIGITAL HD HNB100 2T</v>
      </c>
      <c r="B5580" s="22">
        <f>IFERROR(__xludf.DUMMYFUNCTION("""COMPUTED_VALUE"""),4.1001276E7)</f>
        <v>41001276</v>
      </c>
      <c r="C5580" s="21" t="str">
        <f>IFERROR(__xludf.DUMMYFUNCTION("""COMPUTED_VALUE"""),"216874708798")</f>
        <v>216874708798</v>
      </c>
      <c r="D5580" s="21" t="str">
        <f>IFERROR(__xludf.DUMMYFUNCTION("""COMPUTED_VALUE"""),"DIGITEC TECNOLOGIA DIGITAL E REPRES")</f>
        <v>DIGITEC TECNOLOGIA DIGITAL E REPRES</v>
      </c>
      <c r="E5580" s="21">
        <f>IFERROR(__xludf.DUMMYFUNCTION("""COMPUTED_VALUE"""),145359.0)</f>
        <v>145359</v>
      </c>
      <c r="F5580" s="21" t="str">
        <f>IFERROR(__xludf.DUMMYFUNCTION("""COMPUTED_VALUE"""),"INICIALIZADO")</f>
        <v>INICIALIZADO</v>
      </c>
      <c r="G5580" s="23">
        <f>IFERROR(__xludf.DUMMYFUNCTION("""COMPUTED_VALUE"""),45635.53502314815)</f>
        <v>45635.53502</v>
      </c>
      <c r="H5580" s="24" t="str">
        <f>IFERROR(VLOOKUP(B5580,material!A:D,3,0),"")</f>
        <v>TOP MIX</v>
      </c>
    </row>
    <row r="5581" ht="11.25" customHeight="1">
      <c r="A5581" s="21" t="str">
        <f>IFERROR(__xludf.DUMMYFUNCTION("""COMPUTED_VALUE"""),"DECODER DIGITAL HD HNB100 2T")</f>
        <v>DECODER DIGITAL HD HNB100 2T</v>
      </c>
      <c r="B5581" s="22">
        <f>IFERROR(__xludf.DUMMYFUNCTION("""COMPUTED_VALUE"""),4.1001276E7)</f>
        <v>41001276</v>
      </c>
      <c r="C5581" s="21" t="str">
        <f>IFERROR(__xludf.DUMMYFUNCTION("""COMPUTED_VALUE"""),"216875352734")</f>
        <v>216875352734</v>
      </c>
      <c r="D5581" s="21" t="str">
        <f>IFERROR(__xludf.DUMMYFUNCTION("""COMPUTED_VALUE"""),"DIGITEC TECNOLOGIA DIGITAL E REPRES")</f>
        <v>DIGITEC TECNOLOGIA DIGITAL E REPRES</v>
      </c>
      <c r="E5581" s="21">
        <f>IFERROR(__xludf.DUMMYFUNCTION("""COMPUTED_VALUE"""),145359.0)</f>
        <v>145359</v>
      </c>
      <c r="F5581" s="21" t="str">
        <f>IFERROR(__xludf.DUMMYFUNCTION("""COMPUTED_VALUE"""),"INICIALIZADO")</f>
        <v>INICIALIZADO</v>
      </c>
      <c r="G5581" s="23">
        <f>IFERROR(__xludf.DUMMYFUNCTION("""COMPUTED_VALUE"""),45635.53502314815)</f>
        <v>45635.53502</v>
      </c>
      <c r="H5581" s="24" t="str">
        <f>IFERROR(VLOOKUP(B5581,material!A:D,3,0),"")</f>
        <v>TOP MIX</v>
      </c>
    </row>
    <row r="5582" ht="11.25" customHeight="1">
      <c r="A5582" s="21" t="str">
        <f>IFERROR(__xludf.DUMMYFUNCTION("""COMPUTED_VALUE"""),"DECODER DIGITAL HD HNB100 2T")</f>
        <v>DECODER DIGITAL HD HNB100 2T</v>
      </c>
      <c r="B5582" s="22">
        <f>IFERROR(__xludf.DUMMYFUNCTION("""COMPUTED_VALUE"""),4.1001276E7)</f>
        <v>41001276</v>
      </c>
      <c r="C5582" s="21" t="str">
        <f>IFERROR(__xludf.DUMMYFUNCTION("""COMPUTED_VALUE"""),"216873890426")</f>
        <v>216873890426</v>
      </c>
      <c r="D5582" s="21" t="str">
        <f>IFERROR(__xludf.DUMMYFUNCTION("""COMPUTED_VALUE"""),"DIGITEC TECNOLOGIA DIGITAL E REPRES")</f>
        <v>DIGITEC TECNOLOGIA DIGITAL E REPRES</v>
      </c>
      <c r="E5582" s="21">
        <f>IFERROR(__xludf.DUMMYFUNCTION("""COMPUTED_VALUE"""),145359.0)</f>
        <v>145359</v>
      </c>
      <c r="F5582" s="21" t="str">
        <f>IFERROR(__xludf.DUMMYFUNCTION("""COMPUTED_VALUE"""),"INICIALIZADO")</f>
        <v>INICIALIZADO</v>
      </c>
      <c r="G5582" s="23">
        <f>IFERROR(__xludf.DUMMYFUNCTION("""COMPUTED_VALUE"""),45635.53502314815)</f>
        <v>45635.53502</v>
      </c>
      <c r="H5582" s="24" t="str">
        <f>IFERROR(VLOOKUP(B5582,material!A:D,3,0),"")</f>
        <v>TOP MIX</v>
      </c>
    </row>
    <row r="5583" ht="11.25" customHeight="1">
      <c r="A5583" s="21" t="str">
        <f>IFERROR(__xludf.DUMMYFUNCTION("""COMPUTED_VALUE"""),"DECODER DIGITAL HD HNB100 2T")</f>
        <v>DECODER DIGITAL HD HNB100 2T</v>
      </c>
      <c r="B5583" s="22">
        <f>IFERROR(__xludf.DUMMYFUNCTION("""COMPUTED_VALUE"""),4.1001276E7)</f>
        <v>41001276</v>
      </c>
      <c r="C5583" s="21" t="str">
        <f>IFERROR(__xludf.DUMMYFUNCTION("""COMPUTED_VALUE"""),"216871794463")</f>
        <v>216871794463</v>
      </c>
      <c r="D5583" s="21" t="str">
        <f>IFERROR(__xludf.DUMMYFUNCTION("""COMPUTED_VALUE"""),"DIGITEC TECNOLOGIA DIGITAL E REPRES")</f>
        <v>DIGITEC TECNOLOGIA DIGITAL E REPRES</v>
      </c>
      <c r="E5583" s="21">
        <f>IFERROR(__xludf.DUMMYFUNCTION("""COMPUTED_VALUE"""),145359.0)</f>
        <v>145359</v>
      </c>
      <c r="F5583" s="21" t="str">
        <f>IFERROR(__xludf.DUMMYFUNCTION("""COMPUTED_VALUE"""),"INICIALIZADO")</f>
        <v>INICIALIZADO</v>
      </c>
      <c r="G5583" s="23">
        <f>IFERROR(__xludf.DUMMYFUNCTION("""COMPUTED_VALUE"""),45635.53502314815)</f>
        <v>45635.53502</v>
      </c>
      <c r="H5583" s="24" t="str">
        <f>IFERROR(VLOOKUP(B5583,material!A:D,3,0),"")</f>
        <v>TOP MIX</v>
      </c>
    </row>
    <row r="5584" ht="11.25" customHeight="1">
      <c r="A5584" s="21" t="str">
        <f>IFERROR(__xludf.DUMMYFUNCTION("""COMPUTED_VALUE"""),"DECODER DIGITAL HD HNB100 2T")</f>
        <v>DECODER DIGITAL HD HNB100 2T</v>
      </c>
      <c r="B5584" s="22">
        <f>IFERROR(__xludf.DUMMYFUNCTION("""COMPUTED_VALUE"""),4.1001276E7)</f>
        <v>41001276</v>
      </c>
      <c r="C5584" s="21" t="str">
        <f>IFERROR(__xludf.DUMMYFUNCTION("""COMPUTED_VALUE"""),"216871766783")</f>
        <v>216871766783</v>
      </c>
      <c r="D5584" s="21" t="str">
        <f>IFERROR(__xludf.DUMMYFUNCTION("""COMPUTED_VALUE"""),"DIGITEC TECNOLOGIA DIGITAL E REPRES")</f>
        <v>DIGITEC TECNOLOGIA DIGITAL E REPRES</v>
      </c>
      <c r="E5584" s="21">
        <f>IFERROR(__xludf.DUMMYFUNCTION("""COMPUTED_VALUE"""),145359.0)</f>
        <v>145359</v>
      </c>
      <c r="F5584" s="21" t="str">
        <f>IFERROR(__xludf.DUMMYFUNCTION("""COMPUTED_VALUE"""),"INICIALIZADO")</f>
        <v>INICIALIZADO</v>
      </c>
      <c r="G5584" s="23">
        <f>IFERROR(__xludf.DUMMYFUNCTION("""COMPUTED_VALUE"""),45642.52412037037)</f>
        <v>45642.52412</v>
      </c>
      <c r="H5584" s="24" t="str">
        <f>IFERROR(VLOOKUP(B5584,material!A:D,3,0),"")</f>
        <v>TOP MIX</v>
      </c>
    </row>
    <row r="5585" ht="11.25" customHeight="1">
      <c r="A5585" s="21" t="str">
        <f>IFERROR(__xludf.DUMMYFUNCTION("""COMPUTED_VALUE"""),"DECODER DIGITAL HD HNB100 2T")</f>
        <v>DECODER DIGITAL HD HNB100 2T</v>
      </c>
      <c r="B5585" s="22">
        <f>IFERROR(__xludf.DUMMYFUNCTION("""COMPUTED_VALUE"""),4.1001276E7)</f>
        <v>41001276</v>
      </c>
      <c r="C5585" s="21" t="str">
        <f>IFERROR(__xludf.DUMMYFUNCTION("""COMPUTED_VALUE"""),"216874659298")</f>
        <v>216874659298</v>
      </c>
      <c r="D5585" s="21" t="str">
        <f>IFERROR(__xludf.DUMMYFUNCTION("""COMPUTED_VALUE"""),"DIGITEC TECNOLOGIA DIGITAL E REPRES")</f>
        <v>DIGITEC TECNOLOGIA DIGITAL E REPRES</v>
      </c>
      <c r="E5585" s="21">
        <f>IFERROR(__xludf.DUMMYFUNCTION("""COMPUTED_VALUE"""),145359.0)</f>
        <v>145359</v>
      </c>
      <c r="F5585" s="21" t="str">
        <f>IFERROR(__xludf.DUMMYFUNCTION("""COMPUTED_VALUE"""),"INICIALIZADO")</f>
        <v>INICIALIZADO</v>
      </c>
      <c r="G5585" s="23">
        <f>IFERROR(__xludf.DUMMYFUNCTION("""COMPUTED_VALUE"""),45635.53502314815)</f>
        <v>45635.53502</v>
      </c>
      <c r="H5585" s="24" t="str">
        <f>IFERROR(VLOOKUP(B5585,material!A:D,3,0),"")</f>
        <v>TOP MIX</v>
      </c>
    </row>
    <row r="5586" ht="11.25" customHeight="1">
      <c r="A5586" s="21" t="str">
        <f>IFERROR(__xludf.DUMMYFUNCTION("""COMPUTED_VALUE"""),"DECODER DIGITAL HD HNB100 2T")</f>
        <v>DECODER DIGITAL HD HNB100 2T</v>
      </c>
      <c r="B5586" s="22">
        <f>IFERROR(__xludf.DUMMYFUNCTION("""COMPUTED_VALUE"""),4.1001276E7)</f>
        <v>41001276</v>
      </c>
      <c r="C5586" s="21" t="str">
        <f>IFERROR(__xludf.DUMMYFUNCTION("""COMPUTED_VALUE"""),"216910104251")</f>
        <v>216910104251</v>
      </c>
      <c r="D5586" s="21" t="str">
        <f>IFERROR(__xludf.DUMMYFUNCTION("""COMPUTED_VALUE"""),"DIGITEC TECNOLOGIA DIGITAL E REPRES")</f>
        <v>DIGITEC TECNOLOGIA DIGITAL E REPRES</v>
      </c>
      <c r="E5586" s="21">
        <f>IFERROR(__xludf.DUMMYFUNCTION("""COMPUTED_VALUE"""),145359.0)</f>
        <v>145359</v>
      </c>
      <c r="F5586" s="21" t="str">
        <f>IFERROR(__xludf.DUMMYFUNCTION("""COMPUTED_VALUE"""),"INICIALIZADO")</f>
        <v>INICIALIZADO</v>
      </c>
      <c r="G5586" s="23">
        <f>IFERROR(__xludf.DUMMYFUNCTION("""COMPUTED_VALUE"""),45635.53502314815)</f>
        <v>45635.53502</v>
      </c>
      <c r="H5586" s="24" t="str">
        <f>IFERROR(VLOOKUP(B5586,material!A:D,3,0),"")</f>
        <v>TOP MIX</v>
      </c>
    </row>
    <row r="5587" ht="11.25" customHeight="1">
      <c r="A5587" s="21" t="str">
        <f>IFERROR(__xludf.DUMMYFUNCTION("""COMPUTED_VALUE"""),"DECODER DIGITAL HD HNB100 2T")</f>
        <v>DECODER DIGITAL HD HNB100 2T</v>
      </c>
      <c r="B5587" s="22">
        <f>IFERROR(__xludf.DUMMYFUNCTION("""COMPUTED_VALUE"""),4.1001276E7)</f>
        <v>41001276</v>
      </c>
      <c r="C5587" s="21" t="str">
        <f>IFERROR(__xludf.DUMMYFUNCTION("""COMPUTED_VALUE"""),"216906858692")</f>
        <v>216906858692</v>
      </c>
      <c r="D5587" s="21" t="str">
        <f>IFERROR(__xludf.DUMMYFUNCTION("""COMPUTED_VALUE"""),"DIGITEC TECNOLOGIA DIGITAL E REPRES")</f>
        <v>DIGITEC TECNOLOGIA DIGITAL E REPRES</v>
      </c>
      <c r="E5587" s="21">
        <f>IFERROR(__xludf.DUMMYFUNCTION("""COMPUTED_VALUE"""),145359.0)</f>
        <v>145359</v>
      </c>
      <c r="F5587" s="21" t="str">
        <f>IFERROR(__xludf.DUMMYFUNCTION("""COMPUTED_VALUE"""),"INICIALIZADO")</f>
        <v>INICIALIZADO</v>
      </c>
      <c r="G5587" s="23">
        <f>IFERROR(__xludf.DUMMYFUNCTION("""COMPUTED_VALUE"""),45642.52412037037)</f>
        <v>45642.52412</v>
      </c>
      <c r="H5587" s="24" t="str">
        <f>IFERROR(VLOOKUP(B5587,material!A:D,3,0),"")</f>
        <v>TOP MIX</v>
      </c>
    </row>
    <row r="5588" ht="11.25" customHeight="1">
      <c r="A5588" s="21" t="str">
        <f>IFERROR(__xludf.DUMMYFUNCTION("""COMPUTED_VALUE"""),"DECODER DIGITAL HD HNB100 2T")</f>
        <v>DECODER DIGITAL HD HNB100 2T</v>
      </c>
      <c r="B5588" s="22">
        <f>IFERROR(__xludf.DUMMYFUNCTION("""COMPUTED_VALUE"""),4.1001276E7)</f>
        <v>41001276</v>
      </c>
      <c r="C5588" s="21" t="str">
        <f>IFERROR(__xludf.DUMMYFUNCTION("""COMPUTED_VALUE"""),"216877308604")</f>
        <v>216877308604</v>
      </c>
      <c r="D5588" s="21" t="str">
        <f>IFERROR(__xludf.DUMMYFUNCTION("""COMPUTED_VALUE"""),"DIGITEC TECNOLOGIA DIGITAL E REPRES")</f>
        <v>DIGITEC TECNOLOGIA DIGITAL E REPRES</v>
      </c>
      <c r="E5588" s="21">
        <f>IFERROR(__xludf.DUMMYFUNCTION("""COMPUTED_VALUE"""),145359.0)</f>
        <v>145359</v>
      </c>
      <c r="F5588" s="21" t="str">
        <f>IFERROR(__xludf.DUMMYFUNCTION("""COMPUTED_VALUE"""),"INICIALIZADO")</f>
        <v>INICIALIZADO</v>
      </c>
      <c r="G5588" s="23">
        <f>IFERROR(__xludf.DUMMYFUNCTION("""COMPUTED_VALUE"""),45635.53502314815)</f>
        <v>45635.53502</v>
      </c>
      <c r="H5588" s="24" t="str">
        <f>IFERROR(VLOOKUP(B5588,material!A:D,3,0),"")</f>
        <v>TOP MIX</v>
      </c>
    </row>
    <row r="5589" ht="11.25" customHeight="1">
      <c r="A5589" s="21" t="str">
        <f>IFERROR(__xludf.DUMMYFUNCTION("""COMPUTED_VALUE"""),"DECODER DIGITAL HD HNB100 2T")</f>
        <v>DECODER DIGITAL HD HNB100 2T</v>
      </c>
      <c r="B5589" s="22">
        <f>IFERROR(__xludf.DUMMYFUNCTION("""COMPUTED_VALUE"""),4.1001276E7)</f>
        <v>41001276</v>
      </c>
      <c r="C5589" s="21" t="str">
        <f>IFERROR(__xludf.DUMMYFUNCTION("""COMPUTED_VALUE"""),"216880093455")</f>
        <v>216880093455</v>
      </c>
      <c r="D5589" s="21" t="str">
        <f>IFERROR(__xludf.DUMMYFUNCTION("""COMPUTED_VALUE"""),"DIGITEC TECNOLOGIA DIGITAL E REPRES")</f>
        <v>DIGITEC TECNOLOGIA DIGITAL E REPRES</v>
      </c>
      <c r="E5589" s="21">
        <f>IFERROR(__xludf.DUMMYFUNCTION("""COMPUTED_VALUE"""),145359.0)</f>
        <v>145359</v>
      </c>
      <c r="F5589" s="21" t="str">
        <f>IFERROR(__xludf.DUMMYFUNCTION("""COMPUTED_VALUE"""),"INICIALIZADO")</f>
        <v>INICIALIZADO</v>
      </c>
      <c r="G5589" s="23">
        <f>IFERROR(__xludf.DUMMYFUNCTION("""COMPUTED_VALUE"""),45635.53502314815)</f>
        <v>45635.53502</v>
      </c>
      <c r="H5589" s="24" t="str">
        <f>IFERROR(VLOOKUP(B5589,material!A:D,3,0),"")</f>
        <v>TOP MIX</v>
      </c>
    </row>
    <row r="5590" ht="11.25" customHeight="1">
      <c r="A5590" s="21" t="str">
        <f>IFERROR(__xludf.DUMMYFUNCTION("""COMPUTED_VALUE"""),"DECODER DIGITAL HD HNB100 2T")</f>
        <v>DECODER DIGITAL HD HNB100 2T</v>
      </c>
      <c r="B5590" s="22">
        <f>IFERROR(__xludf.DUMMYFUNCTION("""COMPUTED_VALUE"""),4.1001276E7)</f>
        <v>41001276</v>
      </c>
      <c r="C5590" s="21" t="str">
        <f>IFERROR(__xludf.DUMMYFUNCTION("""COMPUTED_VALUE"""),"216877903746")</f>
        <v>216877903746</v>
      </c>
      <c r="D5590" s="21" t="str">
        <f>IFERROR(__xludf.DUMMYFUNCTION("""COMPUTED_VALUE"""),"DIGITEC TECNOLOGIA DIGITAL E REPRES")</f>
        <v>DIGITEC TECNOLOGIA DIGITAL E REPRES</v>
      </c>
      <c r="E5590" s="21">
        <f>IFERROR(__xludf.DUMMYFUNCTION("""COMPUTED_VALUE"""),145359.0)</f>
        <v>145359</v>
      </c>
      <c r="F5590" s="21" t="str">
        <f>IFERROR(__xludf.DUMMYFUNCTION("""COMPUTED_VALUE"""),"INICIALIZADO")</f>
        <v>INICIALIZADO</v>
      </c>
      <c r="G5590" s="23">
        <f>IFERROR(__xludf.DUMMYFUNCTION("""COMPUTED_VALUE"""),45635.53502314815)</f>
        <v>45635.53502</v>
      </c>
      <c r="H5590" s="24" t="str">
        <f>IFERROR(VLOOKUP(B5590,material!A:D,3,0),"")</f>
        <v>TOP MIX</v>
      </c>
    </row>
    <row r="5591" ht="11.25" customHeight="1">
      <c r="A5591" s="21" t="str">
        <f>IFERROR(__xludf.DUMMYFUNCTION("""COMPUTED_VALUE"""),"DECODER DIGITAL HD HNB100 2T")</f>
        <v>DECODER DIGITAL HD HNB100 2T</v>
      </c>
      <c r="B5591" s="22">
        <f>IFERROR(__xludf.DUMMYFUNCTION("""COMPUTED_VALUE"""),4.1001276E7)</f>
        <v>41001276</v>
      </c>
      <c r="C5591" s="21" t="str">
        <f>IFERROR(__xludf.DUMMYFUNCTION("""COMPUTED_VALUE"""),"216880244356")</f>
        <v>216880244356</v>
      </c>
      <c r="D5591" s="21" t="str">
        <f>IFERROR(__xludf.DUMMYFUNCTION("""COMPUTED_VALUE"""),"DIGITEC TECNOLOGIA DIGITAL E REPRES")</f>
        <v>DIGITEC TECNOLOGIA DIGITAL E REPRES</v>
      </c>
      <c r="E5591" s="21">
        <f>IFERROR(__xludf.DUMMYFUNCTION("""COMPUTED_VALUE"""),145359.0)</f>
        <v>145359</v>
      </c>
      <c r="F5591" s="21" t="str">
        <f>IFERROR(__xludf.DUMMYFUNCTION("""COMPUTED_VALUE"""),"INICIALIZADO")</f>
        <v>INICIALIZADO</v>
      </c>
      <c r="G5591" s="23">
        <f>IFERROR(__xludf.DUMMYFUNCTION("""COMPUTED_VALUE"""),45635.53502314815)</f>
        <v>45635.53502</v>
      </c>
      <c r="H5591" s="24" t="str">
        <f>IFERROR(VLOOKUP(B5591,material!A:D,3,0),"")</f>
        <v>TOP MIX</v>
      </c>
    </row>
    <row r="5592" ht="11.25" customHeight="1">
      <c r="A5592" s="21" t="str">
        <f>IFERROR(__xludf.DUMMYFUNCTION("""COMPUTED_VALUE"""),"DECODER DIGITAL HD HNB100 2T")</f>
        <v>DECODER DIGITAL HD HNB100 2T</v>
      </c>
      <c r="B5592" s="22">
        <f>IFERROR(__xludf.DUMMYFUNCTION("""COMPUTED_VALUE"""),4.1001276E7)</f>
        <v>41001276</v>
      </c>
      <c r="C5592" s="21" t="str">
        <f>IFERROR(__xludf.DUMMYFUNCTION("""COMPUTED_VALUE"""),"216872412133")</f>
        <v>216872412133</v>
      </c>
      <c r="D5592" s="21" t="str">
        <f>IFERROR(__xludf.DUMMYFUNCTION("""COMPUTED_VALUE"""),"DIGITEC TECNOLOGIA DIGITAL E REPRES")</f>
        <v>DIGITEC TECNOLOGIA DIGITAL E REPRES</v>
      </c>
      <c r="E5592" s="21">
        <f>IFERROR(__xludf.DUMMYFUNCTION("""COMPUTED_VALUE"""),145359.0)</f>
        <v>145359</v>
      </c>
      <c r="F5592" s="21" t="str">
        <f>IFERROR(__xludf.DUMMYFUNCTION("""COMPUTED_VALUE"""),"INICIALIZADO")</f>
        <v>INICIALIZADO</v>
      </c>
      <c r="G5592" s="23">
        <f>IFERROR(__xludf.DUMMYFUNCTION("""COMPUTED_VALUE"""),45635.53502314815)</f>
        <v>45635.53502</v>
      </c>
      <c r="H5592" s="24" t="str">
        <f>IFERROR(VLOOKUP(B5592,material!A:D,3,0),"")</f>
        <v>TOP MIX</v>
      </c>
    </row>
    <row r="5593" ht="11.25" customHeight="1">
      <c r="A5593" s="21" t="str">
        <f>IFERROR(__xludf.DUMMYFUNCTION("""COMPUTED_VALUE"""),"DECODER DIGITAL HD HNB100 2T")</f>
        <v>DECODER DIGITAL HD HNB100 2T</v>
      </c>
      <c r="B5593" s="22">
        <f>IFERROR(__xludf.DUMMYFUNCTION("""COMPUTED_VALUE"""),4.1001276E7)</f>
        <v>41001276</v>
      </c>
      <c r="C5593" s="21" t="str">
        <f>IFERROR(__xludf.DUMMYFUNCTION("""COMPUTED_VALUE"""),"216874687281")</f>
        <v>216874687281</v>
      </c>
      <c r="D5593" s="21" t="str">
        <f>IFERROR(__xludf.DUMMYFUNCTION("""COMPUTED_VALUE"""),"DIGITEC TECNOLOGIA DIGITAL E REPRES")</f>
        <v>DIGITEC TECNOLOGIA DIGITAL E REPRES</v>
      </c>
      <c r="E5593" s="21">
        <f>IFERROR(__xludf.DUMMYFUNCTION("""COMPUTED_VALUE"""),145359.0)</f>
        <v>145359</v>
      </c>
      <c r="F5593" s="21" t="str">
        <f>IFERROR(__xludf.DUMMYFUNCTION("""COMPUTED_VALUE"""),"INICIALIZADO")</f>
        <v>INICIALIZADO</v>
      </c>
      <c r="G5593" s="23">
        <f>IFERROR(__xludf.DUMMYFUNCTION("""COMPUTED_VALUE"""),45635.53502314815)</f>
        <v>45635.53502</v>
      </c>
      <c r="H5593" s="24" t="str">
        <f>IFERROR(VLOOKUP(B5593,material!A:D,3,0),"")</f>
        <v>TOP MIX</v>
      </c>
    </row>
    <row r="5594" ht="11.25" customHeight="1">
      <c r="A5594" s="21" t="str">
        <f>IFERROR(__xludf.DUMMYFUNCTION("""COMPUTED_VALUE"""),"DECODER DIGITAL HD HNB100 2T")</f>
        <v>DECODER DIGITAL HD HNB100 2T</v>
      </c>
      <c r="B5594" s="22">
        <f>IFERROR(__xludf.DUMMYFUNCTION("""COMPUTED_VALUE"""),4.1001276E7)</f>
        <v>41001276</v>
      </c>
      <c r="C5594" s="21" t="str">
        <f>IFERROR(__xludf.DUMMYFUNCTION("""COMPUTED_VALUE"""),"216874416873")</f>
        <v>216874416873</v>
      </c>
      <c r="D5594" s="21" t="str">
        <f>IFERROR(__xludf.DUMMYFUNCTION("""COMPUTED_VALUE"""),"DIGITEC TECNOLOGIA DIGITAL E REPRES")</f>
        <v>DIGITEC TECNOLOGIA DIGITAL E REPRES</v>
      </c>
      <c r="E5594" s="21">
        <f>IFERROR(__xludf.DUMMYFUNCTION("""COMPUTED_VALUE"""),145359.0)</f>
        <v>145359</v>
      </c>
      <c r="F5594" s="21" t="str">
        <f>IFERROR(__xludf.DUMMYFUNCTION("""COMPUTED_VALUE"""),"INICIALIZADO")</f>
        <v>INICIALIZADO</v>
      </c>
      <c r="G5594" s="23">
        <f>IFERROR(__xludf.DUMMYFUNCTION("""COMPUTED_VALUE"""),45635.53502314815)</f>
        <v>45635.53502</v>
      </c>
      <c r="H5594" s="24" t="str">
        <f>IFERROR(VLOOKUP(B5594,material!A:D,3,0),"")</f>
        <v>TOP MIX</v>
      </c>
    </row>
    <row r="5595" ht="11.25" customHeight="1">
      <c r="A5595" s="21" t="str">
        <f>IFERROR(__xludf.DUMMYFUNCTION("""COMPUTED_VALUE"""),"DECODER DIGITAL HD HNB100 2T")</f>
        <v>DECODER DIGITAL HD HNB100 2T</v>
      </c>
      <c r="B5595" s="22">
        <f>IFERROR(__xludf.DUMMYFUNCTION("""COMPUTED_VALUE"""),4.1001276E7)</f>
        <v>41001276</v>
      </c>
      <c r="C5595" s="21" t="str">
        <f>IFERROR(__xludf.DUMMYFUNCTION("""COMPUTED_VALUE"""),"216874561131")</f>
        <v>216874561131</v>
      </c>
      <c r="D5595" s="21" t="str">
        <f>IFERROR(__xludf.DUMMYFUNCTION("""COMPUTED_VALUE"""),"DIGITEC TECNOLOGIA DIGITAL E REPRES")</f>
        <v>DIGITEC TECNOLOGIA DIGITAL E REPRES</v>
      </c>
      <c r="E5595" s="21">
        <f>IFERROR(__xludf.DUMMYFUNCTION("""COMPUTED_VALUE"""),145359.0)</f>
        <v>145359</v>
      </c>
      <c r="F5595" s="21" t="str">
        <f>IFERROR(__xludf.DUMMYFUNCTION("""COMPUTED_VALUE"""),"INICIALIZADO")</f>
        <v>INICIALIZADO</v>
      </c>
      <c r="G5595" s="23">
        <f>IFERROR(__xludf.DUMMYFUNCTION("""COMPUTED_VALUE"""),45635.53502314815)</f>
        <v>45635.53502</v>
      </c>
      <c r="H5595" s="24" t="str">
        <f>IFERROR(VLOOKUP(B5595,material!A:D,3,0),"")</f>
        <v>TOP MIX</v>
      </c>
    </row>
    <row r="5596" ht="11.25" customHeight="1">
      <c r="A5596" s="21" t="str">
        <f>IFERROR(__xludf.DUMMYFUNCTION("""COMPUTED_VALUE"""),"DECODER DIGITAL HD HNB100 2T")</f>
        <v>DECODER DIGITAL HD HNB100 2T</v>
      </c>
      <c r="B5596" s="22">
        <f>IFERROR(__xludf.DUMMYFUNCTION("""COMPUTED_VALUE"""),4.1001276E7)</f>
        <v>41001276</v>
      </c>
      <c r="C5596" s="21" t="str">
        <f>IFERROR(__xludf.DUMMYFUNCTION("""COMPUTED_VALUE"""),"216874174751")</f>
        <v>216874174751</v>
      </c>
      <c r="D5596" s="21" t="str">
        <f>IFERROR(__xludf.DUMMYFUNCTION("""COMPUTED_VALUE"""),"DIGITEC TECNOLOGIA DIGITAL E REPRES")</f>
        <v>DIGITEC TECNOLOGIA DIGITAL E REPRES</v>
      </c>
      <c r="E5596" s="21">
        <f>IFERROR(__xludf.DUMMYFUNCTION("""COMPUTED_VALUE"""),145359.0)</f>
        <v>145359</v>
      </c>
      <c r="F5596" s="21" t="str">
        <f>IFERROR(__xludf.DUMMYFUNCTION("""COMPUTED_VALUE"""),"INICIALIZADO")</f>
        <v>INICIALIZADO</v>
      </c>
      <c r="G5596" s="23">
        <f>IFERROR(__xludf.DUMMYFUNCTION("""COMPUTED_VALUE"""),45635.53502314815)</f>
        <v>45635.53502</v>
      </c>
      <c r="H5596" s="24" t="str">
        <f>IFERROR(VLOOKUP(B5596,material!A:D,3,0),"")</f>
        <v>TOP MIX</v>
      </c>
    </row>
    <row r="5597" ht="11.25" customHeight="1">
      <c r="A5597" s="21" t="str">
        <f>IFERROR(__xludf.DUMMYFUNCTION("""COMPUTED_VALUE"""),"DECODER DIGITAL HD HNB100 2T")</f>
        <v>DECODER DIGITAL HD HNB100 2T</v>
      </c>
      <c r="B5597" s="22">
        <f>IFERROR(__xludf.DUMMYFUNCTION("""COMPUTED_VALUE"""),4.1001276E7)</f>
        <v>41001276</v>
      </c>
      <c r="C5597" s="21" t="str">
        <f>IFERROR(__xludf.DUMMYFUNCTION("""COMPUTED_VALUE"""),"216832093136")</f>
        <v>216832093136</v>
      </c>
      <c r="D5597" s="21" t="str">
        <f>IFERROR(__xludf.DUMMYFUNCTION("""COMPUTED_VALUE"""),"DIGITEC TECNOLOGIA DIGITAL E REPRES")</f>
        <v>DIGITEC TECNOLOGIA DIGITAL E REPRES</v>
      </c>
      <c r="E5597" s="21">
        <f>IFERROR(__xludf.DUMMYFUNCTION("""COMPUTED_VALUE"""),145359.0)</f>
        <v>145359</v>
      </c>
      <c r="F5597" s="21" t="str">
        <f>IFERROR(__xludf.DUMMYFUNCTION("""COMPUTED_VALUE"""),"INICIALIZADO")</f>
        <v>INICIALIZADO</v>
      </c>
      <c r="G5597" s="23">
        <f>IFERROR(__xludf.DUMMYFUNCTION("""COMPUTED_VALUE"""),45635.53502314815)</f>
        <v>45635.53502</v>
      </c>
      <c r="H5597" s="24" t="str">
        <f>IFERROR(VLOOKUP(B5597,material!A:D,3,0),"")</f>
        <v>TOP MIX</v>
      </c>
    </row>
    <row r="5598" ht="11.25" customHeight="1">
      <c r="A5598" s="21" t="str">
        <f>IFERROR(__xludf.DUMMYFUNCTION("""COMPUTED_VALUE"""),"DECODER DIGITAL HD HNB100 2T")</f>
        <v>DECODER DIGITAL HD HNB100 2T</v>
      </c>
      <c r="B5598" s="22">
        <f>IFERROR(__xludf.DUMMYFUNCTION("""COMPUTED_VALUE"""),4.1001276E7)</f>
        <v>41001276</v>
      </c>
      <c r="C5598" s="21" t="str">
        <f>IFERROR(__xludf.DUMMYFUNCTION("""COMPUTED_VALUE"""),"216731806569")</f>
        <v>216731806569</v>
      </c>
      <c r="D5598" s="21" t="str">
        <f>IFERROR(__xludf.DUMMYFUNCTION("""COMPUTED_VALUE"""),"DIGITEC TECNOLOGIA DIGITAL E REPRES")</f>
        <v>DIGITEC TECNOLOGIA DIGITAL E REPRES</v>
      </c>
      <c r="E5598" s="21">
        <f>IFERROR(__xludf.DUMMYFUNCTION("""COMPUTED_VALUE"""),145359.0)</f>
        <v>145359</v>
      </c>
      <c r="F5598" s="21" t="str">
        <f>IFERROR(__xludf.DUMMYFUNCTION("""COMPUTED_VALUE"""),"INICIALIZADO")</f>
        <v>INICIALIZADO</v>
      </c>
      <c r="G5598" s="23">
        <f>IFERROR(__xludf.DUMMYFUNCTION("""COMPUTED_VALUE"""),45635.53501157407)</f>
        <v>45635.53501</v>
      </c>
      <c r="H5598" s="24" t="str">
        <f>IFERROR(VLOOKUP(B5598,material!A:D,3,0),"")</f>
        <v>TOP MIX</v>
      </c>
    </row>
    <row r="5599" ht="11.25" customHeight="1">
      <c r="A5599" s="21" t="str">
        <f>IFERROR(__xludf.DUMMYFUNCTION("""COMPUTED_VALUE"""),"DECODER DIGITAL HD HNB100 2T")</f>
        <v>DECODER DIGITAL HD HNB100 2T</v>
      </c>
      <c r="B5599" s="22">
        <f>IFERROR(__xludf.DUMMYFUNCTION("""COMPUTED_VALUE"""),4.1001276E7)</f>
        <v>41001276</v>
      </c>
      <c r="C5599" s="21" t="str">
        <f>IFERROR(__xludf.DUMMYFUNCTION("""COMPUTED_VALUE"""),"216512357879")</f>
        <v>216512357879</v>
      </c>
      <c r="D5599" s="21" t="str">
        <f>IFERROR(__xludf.DUMMYFUNCTION("""COMPUTED_VALUE"""),"DIGITEC TECNOLOGIA DIGITAL E REPRES")</f>
        <v>DIGITEC TECNOLOGIA DIGITAL E REPRES</v>
      </c>
      <c r="E5599" s="21">
        <f>IFERROR(__xludf.DUMMYFUNCTION("""COMPUTED_VALUE"""),145359.0)</f>
        <v>145359</v>
      </c>
      <c r="F5599" s="21" t="str">
        <f>IFERROR(__xludf.DUMMYFUNCTION("""COMPUTED_VALUE"""),"INICIALIZADO")</f>
        <v>INICIALIZADO</v>
      </c>
      <c r="G5599" s="23">
        <f>IFERROR(__xludf.DUMMYFUNCTION("""COMPUTED_VALUE"""),45642.524143518516)</f>
        <v>45642.52414</v>
      </c>
      <c r="H5599" s="24" t="str">
        <f>IFERROR(VLOOKUP(B5599,material!A:D,3,0),"")</f>
        <v>TOP MIX</v>
      </c>
    </row>
    <row r="5600" ht="11.25" customHeight="1">
      <c r="A5600" s="21" t="str">
        <f>IFERROR(__xludf.DUMMYFUNCTION("""COMPUTED_VALUE"""),"DECODER DIGITAL HD HNB100 2T")</f>
        <v>DECODER DIGITAL HD HNB100 2T</v>
      </c>
      <c r="B5600" s="22">
        <f>IFERROR(__xludf.DUMMYFUNCTION("""COMPUTED_VALUE"""),4.1001276E7)</f>
        <v>41001276</v>
      </c>
      <c r="C5600" s="21" t="str">
        <f>IFERROR(__xludf.DUMMYFUNCTION("""COMPUTED_VALUE"""),"216836743646")</f>
        <v>216836743646</v>
      </c>
      <c r="D5600" s="21" t="str">
        <f>IFERROR(__xludf.DUMMYFUNCTION("""COMPUTED_VALUE"""),"DIGITEC TECNOLOGIA DIGITAL E REPRES")</f>
        <v>DIGITEC TECNOLOGIA DIGITAL E REPRES</v>
      </c>
      <c r="E5600" s="21">
        <f>IFERROR(__xludf.DUMMYFUNCTION("""COMPUTED_VALUE"""),145359.0)</f>
        <v>145359</v>
      </c>
      <c r="F5600" s="21" t="str">
        <f>IFERROR(__xludf.DUMMYFUNCTION("""COMPUTED_VALUE"""),"INICIALIZADO")</f>
        <v>INICIALIZADO</v>
      </c>
      <c r="G5600" s="23">
        <f>IFERROR(__xludf.DUMMYFUNCTION("""COMPUTED_VALUE"""),45642.52413194445)</f>
        <v>45642.52413</v>
      </c>
      <c r="H5600" s="24" t="str">
        <f>IFERROR(VLOOKUP(B5600,material!A:D,3,0),"")</f>
        <v>TOP MIX</v>
      </c>
    </row>
    <row r="5601" ht="11.25" customHeight="1">
      <c r="A5601" s="21" t="str">
        <f>IFERROR(__xludf.DUMMYFUNCTION("""COMPUTED_VALUE"""),"DECODER DIGITAL HD HNB100 2T")</f>
        <v>DECODER DIGITAL HD HNB100 2T</v>
      </c>
      <c r="B5601" s="22">
        <f>IFERROR(__xludf.DUMMYFUNCTION("""COMPUTED_VALUE"""),4.1001276E7)</f>
        <v>41001276</v>
      </c>
      <c r="C5601" s="21" t="str">
        <f>IFERROR(__xludf.DUMMYFUNCTION("""COMPUTED_VALUE"""),"216837078000")</f>
        <v>216837078000</v>
      </c>
      <c r="D5601" s="21" t="str">
        <f>IFERROR(__xludf.DUMMYFUNCTION("""COMPUTED_VALUE"""),"DIGITEC TECNOLOGIA DIGITAL E REPRES")</f>
        <v>DIGITEC TECNOLOGIA DIGITAL E REPRES</v>
      </c>
      <c r="E5601" s="21">
        <f>IFERROR(__xludf.DUMMYFUNCTION("""COMPUTED_VALUE"""),145359.0)</f>
        <v>145359</v>
      </c>
      <c r="F5601" s="21" t="str">
        <f>IFERROR(__xludf.DUMMYFUNCTION("""COMPUTED_VALUE"""),"INICIALIZADO")</f>
        <v>INICIALIZADO</v>
      </c>
      <c r="G5601" s="23">
        <f>IFERROR(__xludf.DUMMYFUNCTION("""COMPUTED_VALUE"""),45635.53503472223)</f>
        <v>45635.53503</v>
      </c>
      <c r="H5601" s="24" t="str">
        <f>IFERROR(VLOOKUP(B5601,material!A:D,3,0),"")</f>
        <v>TOP MIX</v>
      </c>
    </row>
    <row r="5602" ht="11.25" customHeight="1">
      <c r="A5602" s="21" t="str">
        <f>IFERROR(__xludf.DUMMYFUNCTION("""COMPUTED_VALUE"""),"DECODER DIGITAL HD HNB100 2T")</f>
        <v>DECODER DIGITAL HD HNB100 2T</v>
      </c>
      <c r="B5602" s="22">
        <f>IFERROR(__xludf.DUMMYFUNCTION("""COMPUTED_VALUE"""),4.1001276E7)</f>
        <v>41001276</v>
      </c>
      <c r="C5602" s="21" t="str">
        <f>IFERROR(__xludf.DUMMYFUNCTION("""COMPUTED_VALUE"""),"216681110422")</f>
        <v>216681110422</v>
      </c>
      <c r="D5602" s="21" t="str">
        <f>IFERROR(__xludf.DUMMYFUNCTION("""COMPUTED_VALUE"""),"DIGITEC TECNOLOGIA DIGITAL E REPRES")</f>
        <v>DIGITEC TECNOLOGIA DIGITAL E REPRES</v>
      </c>
      <c r="E5602" s="21">
        <f>IFERROR(__xludf.DUMMYFUNCTION("""COMPUTED_VALUE"""),145359.0)</f>
        <v>145359</v>
      </c>
      <c r="F5602" s="21" t="str">
        <f>IFERROR(__xludf.DUMMYFUNCTION("""COMPUTED_VALUE"""),"INICIALIZADO")</f>
        <v>INICIALIZADO</v>
      </c>
      <c r="G5602" s="23">
        <f>IFERROR(__xludf.DUMMYFUNCTION("""COMPUTED_VALUE"""),45635.53501157407)</f>
        <v>45635.53501</v>
      </c>
      <c r="H5602" s="24" t="str">
        <f>IFERROR(VLOOKUP(B5602,material!A:D,3,0),"")</f>
        <v>TOP MIX</v>
      </c>
    </row>
    <row r="5603" ht="11.25" customHeight="1">
      <c r="A5603" s="21" t="str">
        <f>IFERROR(__xludf.DUMMYFUNCTION("""COMPUTED_VALUE"""),"DECODER DIGITAL HD HNB100 2T")</f>
        <v>DECODER DIGITAL HD HNB100 2T</v>
      </c>
      <c r="B5603" s="22">
        <f>IFERROR(__xludf.DUMMYFUNCTION("""COMPUTED_VALUE"""),4.1001276E7)</f>
        <v>41001276</v>
      </c>
      <c r="C5603" s="21" t="str">
        <f>IFERROR(__xludf.DUMMYFUNCTION("""COMPUTED_VALUE"""),"216618095472")</f>
        <v>216618095472</v>
      </c>
      <c r="D5603" s="21" t="str">
        <f>IFERROR(__xludf.DUMMYFUNCTION("""COMPUTED_VALUE"""),"DIGITEC TECNOLOGIA DIGITAL E REPRES")</f>
        <v>DIGITEC TECNOLOGIA DIGITAL E REPRES</v>
      </c>
      <c r="E5603" s="21">
        <f>IFERROR(__xludf.DUMMYFUNCTION("""COMPUTED_VALUE"""),145359.0)</f>
        <v>145359</v>
      </c>
      <c r="F5603" s="21" t="str">
        <f>IFERROR(__xludf.DUMMYFUNCTION("""COMPUTED_VALUE"""),"INICIALIZADO")</f>
        <v>INICIALIZADO</v>
      </c>
      <c r="G5603" s="23">
        <f>IFERROR(__xludf.DUMMYFUNCTION("""COMPUTED_VALUE"""),45635.535057870366)</f>
        <v>45635.53506</v>
      </c>
      <c r="H5603" s="24" t="str">
        <f>IFERROR(VLOOKUP(B5603,material!A:D,3,0),"")</f>
        <v>TOP MIX</v>
      </c>
    </row>
    <row r="5604" ht="11.25" customHeight="1">
      <c r="A5604" s="21" t="str">
        <f>IFERROR(__xludf.DUMMYFUNCTION("""COMPUTED_VALUE"""),"DECODER DIGITAL HD HNB100 2T")</f>
        <v>DECODER DIGITAL HD HNB100 2T</v>
      </c>
      <c r="B5604" s="22">
        <f>IFERROR(__xludf.DUMMYFUNCTION("""COMPUTED_VALUE"""),4.1001276E7)</f>
        <v>41001276</v>
      </c>
      <c r="C5604" s="21" t="str">
        <f>IFERROR(__xludf.DUMMYFUNCTION("""COMPUTED_VALUE"""),"216633017388")</f>
        <v>216633017388</v>
      </c>
      <c r="D5604" s="21" t="str">
        <f>IFERROR(__xludf.DUMMYFUNCTION("""COMPUTED_VALUE"""),"DIGITEC TECNOLOGIA DIGITAL E REPRES")</f>
        <v>DIGITEC TECNOLOGIA DIGITAL E REPRES</v>
      </c>
      <c r="E5604" s="21">
        <f>IFERROR(__xludf.DUMMYFUNCTION("""COMPUTED_VALUE"""),145359.0)</f>
        <v>145359</v>
      </c>
      <c r="F5604" s="21" t="str">
        <f>IFERROR(__xludf.DUMMYFUNCTION("""COMPUTED_VALUE"""),"INICIALIZADO")</f>
        <v>INICIALIZADO</v>
      </c>
      <c r="G5604" s="23">
        <f>IFERROR(__xludf.DUMMYFUNCTION("""COMPUTED_VALUE"""),45642.52412037037)</f>
        <v>45642.52412</v>
      </c>
      <c r="H5604" s="24" t="str">
        <f>IFERROR(VLOOKUP(B5604,material!A:D,3,0),"")</f>
        <v>TOP MIX</v>
      </c>
    </row>
    <row r="5605" ht="11.25" customHeight="1">
      <c r="A5605" s="21" t="str">
        <f>IFERROR(__xludf.DUMMYFUNCTION("""COMPUTED_VALUE"""),"DECODER DIGITAL HD HNB100 2T")</f>
        <v>DECODER DIGITAL HD HNB100 2T</v>
      </c>
      <c r="B5605" s="22">
        <f>IFERROR(__xludf.DUMMYFUNCTION("""COMPUTED_VALUE"""),4.1001276E7)</f>
        <v>41001276</v>
      </c>
      <c r="C5605" s="21" t="str">
        <f>IFERROR(__xludf.DUMMYFUNCTION("""COMPUTED_VALUE"""),"216910197593")</f>
        <v>216910197593</v>
      </c>
      <c r="D5605" s="21" t="str">
        <f>IFERROR(__xludf.DUMMYFUNCTION("""COMPUTED_VALUE"""),"DIGITEC TECNOLOGIA DIGITAL E REPRES")</f>
        <v>DIGITEC TECNOLOGIA DIGITAL E REPRES</v>
      </c>
      <c r="E5605" s="21">
        <f>IFERROR(__xludf.DUMMYFUNCTION("""COMPUTED_VALUE"""),145359.0)</f>
        <v>145359</v>
      </c>
      <c r="F5605" s="21" t="str">
        <f>IFERROR(__xludf.DUMMYFUNCTION("""COMPUTED_VALUE"""),"INICIALIZADO")</f>
        <v>INICIALIZADO</v>
      </c>
      <c r="G5605" s="23">
        <f>IFERROR(__xludf.DUMMYFUNCTION("""COMPUTED_VALUE"""),45635.53502314815)</f>
        <v>45635.53502</v>
      </c>
      <c r="H5605" s="24" t="str">
        <f>IFERROR(VLOOKUP(B5605,material!A:D,3,0),"")</f>
        <v>TOP MIX</v>
      </c>
    </row>
    <row r="5606" ht="11.25" customHeight="1">
      <c r="A5606" s="21" t="str">
        <f>IFERROR(__xludf.DUMMYFUNCTION("""COMPUTED_VALUE"""),"DECODER DIGITAL HD HNB100 2T")</f>
        <v>DECODER DIGITAL HD HNB100 2T</v>
      </c>
      <c r="B5606" s="22">
        <f>IFERROR(__xludf.DUMMYFUNCTION("""COMPUTED_VALUE"""),4.1001276E7)</f>
        <v>41001276</v>
      </c>
      <c r="C5606" s="21" t="str">
        <f>IFERROR(__xludf.DUMMYFUNCTION("""COMPUTED_VALUE"""),"216398547681")</f>
        <v>216398547681</v>
      </c>
      <c r="D5606" s="21" t="str">
        <f>IFERROR(__xludf.DUMMYFUNCTION("""COMPUTED_VALUE"""),"DIGITEC TECNOLOGIA DIGITAL E REPRES")</f>
        <v>DIGITEC TECNOLOGIA DIGITAL E REPRES</v>
      </c>
      <c r="E5606" s="21">
        <f>IFERROR(__xludf.DUMMYFUNCTION("""COMPUTED_VALUE"""),145359.0)</f>
        <v>145359</v>
      </c>
      <c r="F5606" s="21" t="str">
        <f>IFERROR(__xludf.DUMMYFUNCTION("""COMPUTED_VALUE"""),"INICIALIZADO")</f>
        <v>INICIALIZADO</v>
      </c>
      <c r="G5606" s="23">
        <f>IFERROR(__xludf.DUMMYFUNCTION("""COMPUTED_VALUE"""),45642.52413194445)</f>
        <v>45642.52413</v>
      </c>
      <c r="H5606" s="24" t="str">
        <f>IFERROR(VLOOKUP(B5606,material!A:D,3,0),"")</f>
        <v>TOP MIX</v>
      </c>
    </row>
    <row r="5607" ht="11.25" customHeight="1">
      <c r="A5607" s="21" t="str">
        <f>IFERROR(__xludf.DUMMYFUNCTION("""COMPUTED_VALUE"""),"SMART CARD PRETO NAGRA")</f>
        <v>SMART CARD PRETO NAGRA</v>
      </c>
      <c r="B5607" s="22">
        <f>IFERROR(__xludf.DUMMYFUNCTION("""COMPUTED_VALUE"""),4.1001234E7)</f>
        <v>41001234</v>
      </c>
      <c r="C5607" s="21" t="str">
        <f>IFERROR(__xludf.DUMMYFUNCTION("""COMPUTED_VALUE"""),"246340807799")</f>
        <v>246340807799</v>
      </c>
      <c r="D5607" s="21" t="str">
        <f>IFERROR(__xludf.DUMMYFUNCTION("""COMPUTED_VALUE"""),"DIGITEC TECNOLOGIA DIGITAL E REPRES")</f>
        <v>DIGITEC TECNOLOGIA DIGITAL E REPRES</v>
      </c>
      <c r="E5607" s="21">
        <f>IFERROR(__xludf.DUMMYFUNCTION("""COMPUTED_VALUE"""),145359.0)</f>
        <v>145359</v>
      </c>
      <c r="F5607" s="21" t="str">
        <f>IFERROR(__xludf.DUMMYFUNCTION("""COMPUTED_VALUE"""),"INICIALIZADO")</f>
        <v>INICIALIZADO</v>
      </c>
      <c r="G5607" s="23">
        <f>IFERROR(__xludf.DUMMYFUNCTION("""COMPUTED_VALUE"""),45642.524097222224)</f>
        <v>45642.5241</v>
      </c>
      <c r="H5607" s="24" t="str">
        <f>IFERROR(VLOOKUP(B5607,material!A:D,3,0),"")</f>
        <v>CARD</v>
      </c>
    </row>
    <row r="5608" ht="11.25" customHeight="1">
      <c r="A5608" s="21" t="str">
        <f>IFERROR(__xludf.DUMMYFUNCTION("""COMPUTED_VALUE"""),"SMART CARD PRETO NAGRA")</f>
        <v>SMART CARD PRETO NAGRA</v>
      </c>
      <c r="B5608" s="22">
        <f>IFERROR(__xludf.DUMMYFUNCTION("""COMPUTED_VALUE"""),4.1001234E7)</f>
        <v>41001234</v>
      </c>
      <c r="C5608" s="21" t="str">
        <f>IFERROR(__xludf.DUMMYFUNCTION("""COMPUTED_VALUE"""),"246343233446")</f>
        <v>246343233446</v>
      </c>
      <c r="D5608" s="21" t="str">
        <f>IFERROR(__xludf.DUMMYFUNCTION("""COMPUTED_VALUE"""),"DIGITEC TECNOLOGIA DIGITAL E REPRES")</f>
        <v>DIGITEC TECNOLOGIA DIGITAL E REPRES</v>
      </c>
      <c r="E5608" s="21">
        <f>IFERROR(__xludf.DUMMYFUNCTION("""COMPUTED_VALUE"""),145359.0)</f>
        <v>145359</v>
      </c>
      <c r="F5608" s="21" t="str">
        <f>IFERROR(__xludf.DUMMYFUNCTION("""COMPUTED_VALUE"""),"INICIALIZADO")</f>
        <v>INICIALIZADO</v>
      </c>
      <c r="G5608" s="23">
        <f>IFERROR(__xludf.DUMMYFUNCTION("""COMPUTED_VALUE"""),45635.53491898148)</f>
        <v>45635.53492</v>
      </c>
      <c r="H5608" s="24" t="str">
        <f>IFERROR(VLOOKUP(B5608,material!A:D,3,0),"")</f>
        <v>CARD</v>
      </c>
    </row>
    <row r="5609" ht="11.25" customHeight="1">
      <c r="A5609" s="21" t="str">
        <f>IFERROR(__xludf.DUMMYFUNCTION("""COMPUTED_VALUE"""),"SMART CARD PRETO NAGRA")</f>
        <v>SMART CARD PRETO NAGRA</v>
      </c>
      <c r="B5609" s="22">
        <f>IFERROR(__xludf.DUMMYFUNCTION("""COMPUTED_VALUE"""),4.1001234E7)</f>
        <v>41001234</v>
      </c>
      <c r="C5609" s="21" t="str">
        <f>IFERROR(__xludf.DUMMYFUNCTION("""COMPUTED_VALUE"""),"246341584048")</f>
        <v>246341584048</v>
      </c>
      <c r="D5609" s="21" t="str">
        <f>IFERROR(__xludf.DUMMYFUNCTION("""COMPUTED_VALUE"""),"DIGITEC TECNOLOGIA DIGITAL E REPRES")</f>
        <v>DIGITEC TECNOLOGIA DIGITAL E REPRES</v>
      </c>
      <c r="E5609" s="21">
        <f>IFERROR(__xludf.DUMMYFUNCTION("""COMPUTED_VALUE"""),145359.0)</f>
        <v>145359</v>
      </c>
      <c r="F5609" s="21" t="str">
        <f>IFERROR(__xludf.DUMMYFUNCTION("""COMPUTED_VALUE"""),"INICIALIZADO")</f>
        <v>INICIALIZADO</v>
      </c>
      <c r="G5609" s="23">
        <f>IFERROR(__xludf.DUMMYFUNCTION("""COMPUTED_VALUE"""),45594.64796296296)</f>
        <v>45594.64796</v>
      </c>
      <c r="H5609" s="24" t="str">
        <f>IFERROR(VLOOKUP(B5609,material!A:D,3,0),"")</f>
        <v>CARD</v>
      </c>
    </row>
    <row r="5610" ht="11.25" customHeight="1">
      <c r="A5610" s="21" t="str">
        <f>IFERROR(__xludf.DUMMYFUNCTION("""COMPUTED_VALUE"""),"SMART CARD PRETO NAGRA")</f>
        <v>SMART CARD PRETO NAGRA</v>
      </c>
      <c r="B5610" s="22">
        <f>IFERROR(__xludf.DUMMYFUNCTION("""COMPUTED_VALUE"""),4.1001234E7)</f>
        <v>41001234</v>
      </c>
      <c r="C5610" s="21" t="str">
        <f>IFERROR(__xludf.DUMMYFUNCTION("""COMPUTED_VALUE"""),"246296197474")</f>
        <v>246296197474</v>
      </c>
      <c r="D5610" s="21" t="str">
        <f>IFERROR(__xludf.DUMMYFUNCTION("""COMPUTED_VALUE"""),"DIGITEC TECNOLOGIA DIGITAL E REPRES")</f>
        <v>DIGITEC TECNOLOGIA DIGITAL E REPRES</v>
      </c>
      <c r="E5610" s="21">
        <f>IFERROR(__xludf.DUMMYFUNCTION("""COMPUTED_VALUE"""),145359.0)</f>
        <v>145359</v>
      </c>
      <c r="F5610" s="21" t="str">
        <f>IFERROR(__xludf.DUMMYFUNCTION("""COMPUTED_VALUE"""),"INICIALIZADO")</f>
        <v>INICIALIZADO</v>
      </c>
      <c r="G5610" s="23">
        <f>IFERROR(__xludf.DUMMYFUNCTION("""COMPUTED_VALUE"""),45635.53491898148)</f>
        <v>45635.53492</v>
      </c>
      <c r="H5610" s="24" t="str">
        <f>IFERROR(VLOOKUP(B5610,material!A:D,3,0),"")</f>
        <v>CARD</v>
      </c>
    </row>
    <row r="5611" ht="11.25" customHeight="1">
      <c r="A5611" s="21" t="str">
        <f>IFERROR(__xludf.DUMMYFUNCTION("""COMPUTED_VALUE"""),"SMART CARD PRETO NAGRA")</f>
        <v>SMART CARD PRETO NAGRA</v>
      </c>
      <c r="B5611" s="22">
        <f>IFERROR(__xludf.DUMMYFUNCTION("""COMPUTED_VALUE"""),4.1001234E7)</f>
        <v>41001234</v>
      </c>
      <c r="C5611" s="21" t="str">
        <f>IFERROR(__xludf.DUMMYFUNCTION("""COMPUTED_VALUE"""),"246301921031")</f>
        <v>246301921031</v>
      </c>
      <c r="D5611" s="21" t="str">
        <f>IFERROR(__xludf.DUMMYFUNCTION("""COMPUTED_VALUE"""),"DIGITEC TECNOLOGIA DIGITAL E REPRES")</f>
        <v>DIGITEC TECNOLOGIA DIGITAL E REPRES</v>
      </c>
      <c r="E5611" s="21">
        <f>IFERROR(__xludf.DUMMYFUNCTION("""COMPUTED_VALUE"""),145359.0)</f>
        <v>145359</v>
      </c>
      <c r="F5611" s="21" t="str">
        <f>IFERROR(__xludf.DUMMYFUNCTION("""COMPUTED_VALUE"""),"INICIALIZADO")</f>
        <v>INICIALIZADO</v>
      </c>
      <c r="G5611" s="23">
        <f>IFERROR(__xludf.DUMMYFUNCTION("""COMPUTED_VALUE"""),45642.52410879629)</f>
        <v>45642.52411</v>
      </c>
      <c r="H5611" s="24" t="str">
        <f>IFERROR(VLOOKUP(B5611,material!A:D,3,0),"")</f>
        <v>CARD</v>
      </c>
    </row>
    <row r="5612" ht="11.25" customHeight="1">
      <c r="A5612" s="21" t="str">
        <f>IFERROR(__xludf.DUMMYFUNCTION("""COMPUTED_VALUE"""),"SMART CARD PRETO NAGRA")</f>
        <v>SMART CARD PRETO NAGRA</v>
      </c>
      <c r="B5612" s="22">
        <f>IFERROR(__xludf.DUMMYFUNCTION("""COMPUTED_VALUE"""),4.1001234E7)</f>
        <v>41001234</v>
      </c>
      <c r="C5612" s="21" t="str">
        <f>IFERROR(__xludf.DUMMYFUNCTION("""COMPUTED_VALUE"""),"246339371835")</f>
        <v>246339371835</v>
      </c>
      <c r="D5612" s="21" t="str">
        <f>IFERROR(__xludf.DUMMYFUNCTION("""COMPUTED_VALUE"""),"DIGITEC TECNOLOGIA DIGITAL E REPRES")</f>
        <v>DIGITEC TECNOLOGIA DIGITAL E REPRES</v>
      </c>
      <c r="E5612" s="21">
        <f>IFERROR(__xludf.DUMMYFUNCTION("""COMPUTED_VALUE"""),145359.0)</f>
        <v>145359</v>
      </c>
      <c r="F5612" s="21" t="str">
        <f>IFERROR(__xludf.DUMMYFUNCTION("""COMPUTED_VALUE"""),"INICIALIZADO")</f>
        <v>INICIALIZADO</v>
      </c>
      <c r="G5612" s="23">
        <f>IFERROR(__xludf.DUMMYFUNCTION("""COMPUTED_VALUE"""),45635.53491898148)</f>
        <v>45635.53492</v>
      </c>
      <c r="H5612" s="24" t="str">
        <f>IFERROR(VLOOKUP(B5612,material!A:D,3,0),"")</f>
        <v>CARD</v>
      </c>
    </row>
    <row r="5613" ht="11.25" customHeight="1">
      <c r="A5613" s="21" t="str">
        <f>IFERROR(__xludf.DUMMYFUNCTION("""COMPUTED_VALUE"""),"SMART CARD PRETO NAGRA")</f>
        <v>SMART CARD PRETO NAGRA</v>
      </c>
      <c r="B5613" s="22">
        <f>IFERROR(__xludf.DUMMYFUNCTION("""COMPUTED_VALUE"""),4.1001234E7)</f>
        <v>41001234</v>
      </c>
      <c r="C5613" s="21" t="str">
        <f>IFERROR(__xludf.DUMMYFUNCTION("""COMPUTED_VALUE"""),"246347233960")</f>
        <v>246347233960</v>
      </c>
      <c r="D5613" s="21" t="str">
        <f>IFERROR(__xludf.DUMMYFUNCTION("""COMPUTED_VALUE"""),"DIGITEC TECNOLOGIA DIGITAL E REPRES")</f>
        <v>DIGITEC TECNOLOGIA DIGITAL E REPRES</v>
      </c>
      <c r="E5613" s="21">
        <f>IFERROR(__xludf.DUMMYFUNCTION("""COMPUTED_VALUE"""),145359.0)</f>
        <v>145359</v>
      </c>
      <c r="F5613" s="21" t="str">
        <f>IFERROR(__xludf.DUMMYFUNCTION("""COMPUTED_VALUE"""),"INICIALIZADO")</f>
        <v>INICIALIZADO</v>
      </c>
      <c r="G5613" s="23">
        <f>IFERROR(__xludf.DUMMYFUNCTION("""COMPUTED_VALUE"""),45618.65202546296)</f>
        <v>45618.65203</v>
      </c>
      <c r="H5613" s="24" t="str">
        <f>IFERROR(VLOOKUP(B5613,material!A:D,3,0),"")</f>
        <v>CARD</v>
      </c>
    </row>
    <row r="5614" ht="11.25" customHeight="1">
      <c r="A5614" s="21" t="str">
        <f>IFERROR(__xludf.DUMMYFUNCTION("""COMPUTED_VALUE"""),"SMART CARD PRETO NAGRA")</f>
        <v>SMART CARD PRETO NAGRA</v>
      </c>
      <c r="B5614" s="22">
        <f>IFERROR(__xludf.DUMMYFUNCTION("""COMPUTED_VALUE"""),4.1001234E7)</f>
        <v>41001234</v>
      </c>
      <c r="C5614" s="21" t="str">
        <f>IFERROR(__xludf.DUMMYFUNCTION("""COMPUTED_VALUE"""),"246317042338")</f>
        <v>246317042338</v>
      </c>
      <c r="D5614" s="21" t="str">
        <f>IFERROR(__xludf.DUMMYFUNCTION("""COMPUTED_VALUE"""),"DIGITEC TECNOLOGIA DIGITAL E REPRES")</f>
        <v>DIGITEC TECNOLOGIA DIGITAL E REPRES</v>
      </c>
      <c r="E5614" s="21">
        <f>IFERROR(__xludf.DUMMYFUNCTION("""COMPUTED_VALUE"""),145359.0)</f>
        <v>145359</v>
      </c>
      <c r="F5614" s="21" t="str">
        <f>IFERROR(__xludf.DUMMYFUNCTION("""COMPUTED_VALUE"""),"INICIALIZADO")</f>
        <v>INICIALIZADO</v>
      </c>
      <c r="G5614" s="23">
        <f>IFERROR(__xludf.DUMMYFUNCTION("""COMPUTED_VALUE"""),45635.53491898148)</f>
        <v>45635.53492</v>
      </c>
      <c r="H5614" s="24" t="str">
        <f>IFERROR(VLOOKUP(B5614,material!A:D,3,0),"")</f>
        <v>CARD</v>
      </c>
    </row>
    <row r="5615" ht="11.25" customHeight="1">
      <c r="A5615" s="21" t="str">
        <f>IFERROR(__xludf.DUMMYFUNCTION("""COMPUTED_VALUE"""),"SMART CARD PRETO NAGRA")</f>
        <v>SMART CARD PRETO NAGRA</v>
      </c>
      <c r="B5615" s="22">
        <f>IFERROR(__xludf.DUMMYFUNCTION("""COMPUTED_VALUE"""),4.1001234E7)</f>
        <v>41001234</v>
      </c>
      <c r="C5615" s="21" t="str">
        <f>IFERROR(__xludf.DUMMYFUNCTION("""COMPUTED_VALUE"""),"246316714651")</f>
        <v>246316714651</v>
      </c>
      <c r="D5615" s="21" t="str">
        <f>IFERROR(__xludf.DUMMYFUNCTION("""COMPUTED_VALUE"""),"DIGITEC TECNOLOGIA DIGITAL E REPRES")</f>
        <v>DIGITEC TECNOLOGIA DIGITAL E REPRES</v>
      </c>
      <c r="E5615" s="21">
        <f>IFERROR(__xludf.DUMMYFUNCTION("""COMPUTED_VALUE"""),145359.0)</f>
        <v>145359</v>
      </c>
      <c r="F5615" s="21" t="str">
        <f>IFERROR(__xludf.DUMMYFUNCTION("""COMPUTED_VALUE"""),"INICIALIZADO")</f>
        <v>INICIALIZADO</v>
      </c>
      <c r="G5615" s="23">
        <f>IFERROR(__xludf.DUMMYFUNCTION("""COMPUTED_VALUE"""),45635.53491898148)</f>
        <v>45635.53492</v>
      </c>
      <c r="H5615" s="24" t="str">
        <f>IFERROR(VLOOKUP(B5615,material!A:D,3,0),"")</f>
        <v>CARD</v>
      </c>
    </row>
    <row r="5616" ht="11.25" customHeight="1">
      <c r="A5616" s="21" t="str">
        <f>IFERROR(__xludf.DUMMYFUNCTION("""COMPUTED_VALUE"""),"SMART CARD PRETO NAGRA")</f>
        <v>SMART CARD PRETO NAGRA</v>
      </c>
      <c r="B5616" s="22">
        <f>IFERROR(__xludf.DUMMYFUNCTION("""COMPUTED_VALUE"""),4.1001234E7)</f>
        <v>41001234</v>
      </c>
      <c r="C5616" s="21" t="str">
        <f>IFERROR(__xludf.DUMMYFUNCTION("""COMPUTED_VALUE"""),"246330651635")</f>
        <v>246330651635</v>
      </c>
      <c r="D5616" s="21" t="str">
        <f>IFERROR(__xludf.DUMMYFUNCTION("""COMPUTED_VALUE"""),"DIGITEC TECNOLOGIA DIGITAL E REPRES")</f>
        <v>DIGITEC TECNOLOGIA DIGITAL E REPRES</v>
      </c>
      <c r="E5616" s="21">
        <f>IFERROR(__xludf.DUMMYFUNCTION("""COMPUTED_VALUE"""),145359.0)</f>
        <v>145359</v>
      </c>
      <c r="F5616" s="21" t="str">
        <f>IFERROR(__xludf.DUMMYFUNCTION("""COMPUTED_VALUE"""),"INICIALIZADO")</f>
        <v>INICIALIZADO</v>
      </c>
      <c r="G5616" s="23">
        <f>IFERROR(__xludf.DUMMYFUNCTION("""COMPUTED_VALUE"""),45635.53491898148)</f>
        <v>45635.53492</v>
      </c>
      <c r="H5616" s="24" t="str">
        <f>IFERROR(VLOOKUP(B5616,material!A:D,3,0),"")</f>
        <v>CARD</v>
      </c>
    </row>
    <row r="5617" ht="11.25" customHeight="1">
      <c r="A5617" s="21" t="str">
        <f>IFERROR(__xludf.DUMMYFUNCTION("""COMPUTED_VALUE"""),"SMART CARD PRETO NAGRA")</f>
        <v>SMART CARD PRETO NAGRA</v>
      </c>
      <c r="B5617" s="22">
        <f>IFERROR(__xludf.DUMMYFUNCTION("""COMPUTED_VALUE"""),4.1001234E7)</f>
        <v>41001234</v>
      </c>
      <c r="C5617" s="21" t="str">
        <f>IFERROR(__xludf.DUMMYFUNCTION("""COMPUTED_VALUE"""),"246330986672")</f>
        <v>246330986672</v>
      </c>
      <c r="D5617" s="21" t="str">
        <f>IFERROR(__xludf.DUMMYFUNCTION("""COMPUTED_VALUE"""),"DIGITEC TECNOLOGIA DIGITAL E REPRES")</f>
        <v>DIGITEC TECNOLOGIA DIGITAL E REPRES</v>
      </c>
      <c r="E5617" s="21">
        <f>IFERROR(__xludf.DUMMYFUNCTION("""COMPUTED_VALUE"""),145359.0)</f>
        <v>145359</v>
      </c>
      <c r="F5617" s="21" t="str">
        <f>IFERROR(__xludf.DUMMYFUNCTION("""COMPUTED_VALUE"""),"INICIALIZADO")</f>
        <v>INICIALIZADO</v>
      </c>
      <c r="G5617" s="23">
        <f>IFERROR(__xludf.DUMMYFUNCTION("""COMPUTED_VALUE"""),45635.53491898148)</f>
        <v>45635.53492</v>
      </c>
      <c r="H5617" s="24" t="str">
        <f>IFERROR(VLOOKUP(B5617,material!A:D,3,0),"")</f>
        <v>CARD</v>
      </c>
    </row>
    <row r="5618" ht="11.25" customHeight="1">
      <c r="A5618" s="21" t="str">
        <f>IFERROR(__xludf.DUMMYFUNCTION("""COMPUTED_VALUE"""),"SMART CARD PRETO NAGRA")</f>
        <v>SMART CARD PRETO NAGRA</v>
      </c>
      <c r="B5618" s="22">
        <f>IFERROR(__xludf.DUMMYFUNCTION("""COMPUTED_VALUE"""),4.1001234E7)</f>
        <v>41001234</v>
      </c>
      <c r="C5618" s="21" t="str">
        <f>IFERROR(__xludf.DUMMYFUNCTION("""COMPUTED_VALUE"""),"246333479901")</f>
        <v>246333479901</v>
      </c>
      <c r="D5618" s="21" t="str">
        <f>IFERROR(__xludf.DUMMYFUNCTION("""COMPUTED_VALUE"""),"DIGITEC TECNOLOGIA DIGITAL E REPRES")</f>
        <v>DIGITEC TECNOLOGIA DIGITAL E REPRES</v>
      </c>
      <c r="E5618" s="21">
        <f>IFERROR(__xludf.DUMMYFUNCTION("""COMPUTED_VALUE"""),145359.0)</f>
        <v>145359</v>
      </c>
      <c r="F5618" s="21" t="str">
        <f>IFERROR(__xludf.DUMMYFUNCTION("""COMPUTED_VALUE"""),"INICIALIZADO")</f>
        <v>INICIALIZADO</v>
      </c>
      <c r="G5618" s="23">
        <f>IFERROR(__xludf.DUMMYFUNCTION("""COMPUTED_VALUE"""),45600.47594907407)</f>
        <v>45600.47595</v>
      </c>
      <c r="H5618" s="24" t="str">
        <f>IFERROR(VLOOKUP(B5618,material!A:D,3,0),"")</f>
        <v>CARD</v>
      </c>
    </row>
    <row r="5619" ht="11.25" customHeight="1">
      <c r="A5619" s="21" t="str">
        <f>IFERROR(__xludf.DUMMYFUNCTION("""COMPUTED_VALUE"""),"SMART CARD PRETO NAGRA")</f>
        <v>SMART CARD PRETO NAGRA</v>
      </c>
      <c r="B5619" s="22">
        <f>IFERROR(__xludf.DUMMYFUNCTION("""COMPUTED_VALUE"""),4.1001234E7)</f>
        <v>41001234</v>
      </c>
      <c r="C5619" s="21" t="str">
        <f>IFERROR(__xludf.DUMMYFUNCTION("""COMPUTED_VALUE"""),"246330019596")</f>
        <v>246330019596</v>
      </c>
      <c r="D5619" s="21" t="str">
        <f>IFERROR(__xludf.DUMMYFUNCTION("""COMPUTED_VALUE"""),"DIGITEC TECNOLOGIA DIGITAL E REPRES")</f>
        <v>DIGITEC TECNOLOGIA DIGITAL E REPRES</v>
      </c>
      <c r="E5619" s="21">
        <f>IFERROR(__xludf.DUMMYFUNCTION("""COMPUTED_VALUE"""),145359.0)</f>
        <v>145359</v>
      </c>
      <c r="F5619" s="21" t="str">
        <f>IFERROR(__xludf.DUMMYFUNCTION("""COMPUTED_VALUE"""),"INICIALIZADO")</f>
        <v>INICIALIZADO</v>
      </c>
      <c r="G5619" s="23">
        <f>IFERROR(__xludf.DUMMYFUNCTION("""COMPUTED_VALUE"""),45618.65202546296)</f>
        <v>45618.65203</v>
      </c>
      <c r="H5619" s="24" t="str">
        <f>IFERROR(VLOOKUP(B5619,material!A:D,3,0),"")</f>
        <v>CARD</v>
      </c>
    </row>
    <row r="5620" ht="11.25" customHeight="1">
      <c r="A5620" s="21" t="str">
        <f>IFERROR(__xludf.DUMMYFUNCTION("""COMPUTED_VALUE"""),"SMART CARD PRETO NAGRA")</f>
        <v>SMART CARD PRETO NAGRA</v>
      </c>
      <c r="B5620" s="22">
        <f>IFERROR(__xludf.DUMMYFUNCTION("""COMPUTED_VALUE"""),4.1001234E7)</f>
        <v>41001234</v>
      </c>
      <c r="C5620" s="21" t="str">
        <f>IFERROR(__xludf.DUMMYFUNCTION("""COMPUTED_VALUE"""),"246321039090")</f>
        <v>246321039090</v>
      </c>
      <c r="D5620" s="21" t="str">
        <f>IFERROR(__xludf.DUMMYFUNCTION("""COMPUTED_VALUE"""),"DIGITEC TECNOLOGIA DIGITAL E REPRES")</f>
        <v>DIGITEC TECNOLOGIA DIGITAL E REPRES</v>
      </c>
      <c r="E5620" s="21">
        <f>IFERROR(__xludf.DUMMYFUNCTION("""COMPUTED_VALUE"""),145359.0)</f>
        <v>145359</v>
      </c>
      <c r="F5620" s="21" t="str">
        <f>IFERROR(__xludf.DUMMYFUNCTION("""COMPUTED_VALUE"""),"INICIALIZADO")</f>
        <v>INICIALIZADO</v>
      </c>
      <c r="G5620" s="23">
        <f>IFERROR(__xludf.DUMMYFUNCTION("""COMPUTED_VALUE"""),45635.53491898148)</f>
        <v>45635.53492</v>
      </c>
      <c r="H5620" s="24" t="str">
        <f>IFERROR(VLOOKUP(B5620,material!A:D,3,0),"")</f>
        <v>CARD</v>
      </c>
    </row>
    <row r="5621" ht="11.25" customHeight="1">
      <c r="A5621" s="21" t="str">
        <f>IFERROR(__xludf.DUMMYFUNCTION("""COMPUTED_VALUE"""),"SMART CARD PRETO NAGRA")</f>
        <v>SMART CARD PRETO NAGRA</v>
      </c>
      <c r="B5621" s="22">
        <f>IFERROR(__xludf.DUMMYFUNCTION("""COMPUTED_VALUE"""),4.1001234E7)</f>
        <v>41001234</v>
      </c>
      <c r="C5621" s="21" t="str">
        <f>IFERROR(__xludf.DUMMYFUNCTION("""COMPUTED_VALUE"""),"246337811133")</f>
        <v>246337811133</v>
      </c>
      <c r="D5621" s="21" t="str">
        <f>IFERROR(__xludf.DUMMYFUNCTION("""COMPUTED_VALUE"""),"DIGITEC TECNOLOGIA DIGITAL E REPRES")</f>
        <v>DIGITEC TECNOLOGIA DIGITAL E REPRES</v>
      </c>
      <c r="E5621" s="21">
        <f>IFERROR(__xludf.DUMMYFUNCTION("""COMPUTED_VALUE"""),145359.0)</f>
        <v>145359</v>
      </c>
      <c r="F5621" s="21" t="str">
        <f>IFERROR(__xludf.DUMMYFUNCTION("""COMPUTED_VALUE"""),"INICIALIZADO")</f>
        <v>INICIALIZADO</v>
      </c>
      <c r="G5621" s="23">
        <f>IFERROR(__xludf.DUMMYFUNCTION("""COMPUTED_VALUE"""),45642.524097222224)</f>
        <v>45642.5241</v>
      </c>
      <c r="H5621" s="24" t="str">
        <f>IFERROR(VLOOKUP(B5621,material!A:D,3,0),"")</f>
        <v>CARD</v>
      </c>
    </row>
    <row r="5622" ht="11.25" customHeight="1">
      <c r="A5622" s="21" t="str">
        <f>IFERROR(__xludf.DUMMYFUNCTION("""COMPUTED_VALUE"""),"SMART CARD PRETO NAGRA")</f>
        <v>SMART CARD PRETO NAGRA</v>
      </c>
      <c r="B5622" s="22">
        <f>IFERROR(__xludf.DUMMYFUNCTION("""COMPUTED_VALUE"""),4.1001234E7)</f>
        <v>41001234</v>
      </c>
      <c r="C5622" s="21" t="str">
        <f>IFERROR(__xludf.DUMMYFUNCTION("""COMPUTED_VALUE"""),"246335242644")</f>
        <v>246335242644</v>
      </c>
      <c r="D5622" s="21" t="str">
        <f>IFERROR(__xludf.DUMMYFUNCTION("""COMPUTED_VALUE"""),"DIGITEC TECNOLOGIA DIGITAL E REPRES")</f>
        <v>DIGITEC TECNOLOGIA DIGITAL E REPRES</v>
      </c>
      <c r="E5622" s="21">
        <f>IFERROR(__xludf.DUMMYFUNCTION("""COMPUTED_VALUE"""),145359.0)</f>
        <v>145359</v>
      </c>
      <c r="F5622" s="21" t="str">
        <f>IFERROR(__xludf.DUMMYFUNCTION("""COMPUTED_VALUE"""),"INICIALIZADO")</f>
        <v>INICIALIZADO</v>
      </c>
      <c r="G5622" s="23">
        <f>IFERROR(__xludf.DUMMYFUNCTION("""COMPUTED_VALUE"""),45635.53491898148)</f>
        <v>45635.53492</v>
      </c>
      <c r="H5622" s="24" t="str">
        <f>IFERROR(VLOOKUP(B5622,material!A:D,3,0),"")</f>
        <v>CARD</v>
      </c>
    </row>
    <row r="5623" ht="11.25" customHeight="1">
      <c r="A5623" s="21" t="str">
        <f>IFERROR(__xludf.DUMMYFUNCTION("""COMPUTED_VALUE"""),"SMART CARD PRETO NAGRA")</f>
        <v>SMART CARD PRETO NAGRA</v>
      </c>
      <c r="B5623" s="22">
        <f>IFERROR(__xludf.DUMMYFUNCTION("""COMPUTED_VALUE"""),4.1001234E7)</f>
        <v>41001234</v>
      </c>
      <c r="C5623" s="21" t="str">
        <f>IFERROR(__xludf.DUMMYFUNCTION("""COMPUTED_VALUE"""),"246328022130")</f>
        <v>246328022130</v>
      </c>
      <c r="D5623" s="21" t="str">
        <f>IFERROR(__xludf.DUMMYFUNCTION("""COMPUTED_VALUE"""),"DIGITEC TECNOLOGIA DIGITAL E REPRES")</f>
        <v>DIGITEC TECNOLOGIA DIGITAL E REPRES</v>
      </c>
      <c r="E5623" s="21">
        <f>IFERROR(__xludf.DUMMYFUNCTION("""COMPUTED_VALUE"""),145359.0)</f>
        <v>145359</v>
      </c>
      <c r="F5623" s="21" t="str">
        <f>IFERROR(__xludf.DUMMYFUNCTION("""COMPUTED_VALUE"""),"INICIALIZADO")</f>
        <v>INICIALIZADO</v>
      </c>
      <c r="G5623" s="23">
        <f>IFERROR(__xludf.DUMMYFUNCTION("""COMPUTED_VALUE"""),45615.61853009259)</f>
        <v>45615.61853</v>
      </c>
      <c r="H5623" s="24" t="str">
        <f>IFERROR(VLOOKUP(B5623,material!A:D,3,0),"")</f>
        <v>CARD</v>
      </c>
    </row>
    <row r="5624" ht="11.25" customHeight="1">
      <c r="A5624" s="21" t="str">
        <f>IFERROR(__xludf.DUMMYFUNCTION("""COMPUTED_VALUE"""),"SMART CARD PRETO NAGRA")</f>
        <v>SMART CARD PRETO NAGRA</v>
      </c>
      <c r="B5624" s="22">
        <f>IFERROR(__xludf.DUMMYFUNCTION("""COMPUTED_VALUE"""),4.1001234E7)</f>
        <v>41001234</v>
      </c>
      <c r="C5624" s="21" t="str">
        <f>IFERROR(__xludf.DUMMYFUNCTION("""COMPUTED_VALUE"""),"246335514567")</f>
        <v>246335514567</v>
      </c>
      <c r="D5624" s="21" t="str">
        <f>IFERROR(__xludf.DUMMYFUNCTION("""COMPUTED_VALUE"""),"DIGITEC TECNOLOGIA DIGITAL E REPRES")</f>
        <v>DIGITEC TECNOLOGIA DIGITAL E REPRES</v>
      </c>
      <c r="E5624" s="21">
        <f>IFERROR(__xludf.DUMMYFUNCTION("""COMPUTED_VALUE"""),145359.0)</f>
        <v>145359</v>
      </c>
      <c r="F5624" s="21" t="str">
        <f>IFERROR(__xludf.DUMMYFUNCTION("""COMPUTED_VALUE"""),"INICIALIZADO")</f>
        <v>INICIALIZADO</v>
      </c>
      <c r="G5624" s="23">
        <f>IFERROR(__xludf.DUMMYFUNCTION("""COMPUTED_VALUE"""),45635.53491898148)</f>
        <v>45635.53492</v>
      </c>
      <c r="H5624" s="24" t="str">
        <f>IFERROR(VLOOKUP(B5624,material!A:D,3,0),"")</f>
        <v>CARD</v>
      </c>
    </row>
    <row r="5625" ht="11.25" customHeight="1">
      <c r="A5625" s="21" t="str">
        <f>IFERROR(__xludf.DUMMYFUNCTION("""COMPUTED_VALUE"""),"SMART CARD PRETO NAGRA")</f>
        <v>SMART CARD PRETO NAGRA</v>
      </c>
      <c r="B5625" s="22">
        <f>IFERROR(__xludf.DUMMYFUNCTION("""COMPUTED_VALUE"""),4.1001234E7)</f>
        <v>41001234</v>
      </c>
      <c r="C5625" s="21" t="str">
        <f>IFERROR(__xludf.DUMMYFUNCTION("""COMPUTED_VALUE"""),"246331157575")</f>
        <v>246331157575</v>
      </c>
      <c r="D5625" s="21" t="str">
        <f>IFERROR(__xludf.DUMMYFUNCTION("""COMPUTED_VALUE"""),"DIGITEC TECNOLOGIA DIGITAL E REPRES")</f>
        <v>DIGITEC TECNOLOGIA DIGITAL E REPRES</v>
      </c>
      <c r="E5625" s="21">
        <f>IFERROR(__xludf.DUMMYFUNCTION("""COMPUTED_VALUE"""),145359.0)</f>
        <v>145359</v>
      </c>
      <c r="F5625" s="21" t="str">
        <f>IFERROR(__xludf.DUMMYFUNCTION("""COMPUTED_VALUE"""),"INICIALIZADO")</f>
        <v>INICIALIZADO</v>
      </c>
      <c r="G5625" s="23">
        <f>IFERROR(__xludf.DUMMYFUNCTION("""COMPUTED_VALUE"""),45103.66643518519)</f>
        <v>45103.66644</v>
      </c>
      <c r="H5625" s="24" t="str">
        <f>IFERROR(VLOOKUP(B5625,material!A:D,3,0),"")</f>
        <v>CARD</v>
      </c>
    </row>
    <row r="5626" ht="11.25" customHeight="1">
      <c r="A5626" s="21" t="str">
        <f>IFERROR(__xludf.DUMMYFUNCTION("""COMPUTED_VALUE"""),"SMART CARD PRETO NAGRA")</f>
        <v>SMART CARD PRETO NAGRA</v>
      </c>
      <c r="B5626" s="22">
        <f>IFERROR(__xludf.DUMMYFUNCTION("""COMPUTED_VALUE"""),4.1001234E7)</f>
        <v>41001234</v>
      </c>
      <c r="C5626" s="21" t="str">
        <f>IFERROR(__xludf.DUMMYFUNCTION("""COMPUTED_VALUE"""),"246324566371")</f>
        <v>246324566371</v>
      </c>
      <c r="D5626" s="21" t="str">
        <f>IFERROR(__xludf.DUMMYFUNCTION("""COMPUTED_VALUE"""),"DIGITEC TECNOLOGIA DIGITAL E REPRES")</f>
        <v>DIGITEC TECNOLOGIA DIGITAL E REPRES</v>
      </c>
      <c r="E5626" s="21">
        <f>IFERROR(__xludf.DUMMYFUNCTION("""COMPUTED_VALUE"""),145359.0)</f>
        <v>145359</v>
      </c>
      <c r="F5626" s="21" t="str">
        <f>IFERROR(__xludf.DUMMYFUNCTION("""COMPUTED_VALUE"""),"INICIALIZADO")</f>
        <v>INICIALIZADO</v>
      </c>
      <c r="G5626" s="23">
        <f>IFERROR(__xludf.DUMMYFUNCTION("""COMPUTED_VALUE"""),45642.524097222224)</f>
        <v>45642.5241</v>
      </c>
      <c r="H5626" s="24" t="str">
        <f>IFERROR(VLOOKUP(B5626,material!A:D,3,0),"")</f>
        <v>CARD</v>
      </c>
    </row>
    <row r="5627" ht="11.25" customHeight="1">
      <c r="A5627" s="21" t="str">
        <f>IFERROR(__xludf.DUMMYFUNCTION("""COMPUTED_VALUE"""),"SMART CARD PRETO NAGRA")</f>
        <v>SMART CARD PRETO NAGRA</v>
      </c>
      <c r="B5627" s="22">
        <f>IFERROR(__xludf.DUMMYFUNCTION("""COMPUTED_VALUE"""),4.1001234E7)</f>
        <v>41001234</v>
      </c>
      <c r="C5627" s="21" t="str">
        <f>IFERROR(__xludf.DUMMYFUNCTION("""COMPUTED_VALUE"""),"246348060517")</f>
        <v>246348060517</v>
      </c>
      <c r="D5627" s="21" t="str">
        <f>IFERROR(__xludf.DUMMYFUNCTION("""COMPUTED_VALUE"""),"DIGITEC TECNOLOGIA DIGITAL E REPRES")</f>
        <v>DIGITEC TECNOLOGIA DIGITAL E REPRES</v>
      </c>
      <c r="E5627" s="21">
        <f>IFERROR(__xludf.DUMMYFUNCTION("""COMPUTED_VALUE"""),145359.0)</f>
        <v>145359</v>
      </c>
      <c r="F5627" s="21" t="str">
        <f>IFERROR(__xludf.DUMMYFUNCTION("""COMPUTED_VALUE"""),"INICIALIZADO")</f>
        <v>INICIALIZADO</v>
      </c>
      <c r="G5627" s="23">
        <f>IFERROR(__xludf.DUMMYFUNCTION("""COMPUTED_VALUE"""),45642.524097222224)</f>
        <v>45642.5241</v>
      </c>
      <c r="H5627" s="24" t="str">
        <f>IFERROR(VLOOKUP(B5627,material!A:D,3,0),"")</f>
        <v>CARD</v>
      </c>
    </row>
    <row r="5628" ht="11.25" customHeight="1">
      <c r="A5628" s="21" t="str">
        <f>IFERROR(__xludf.DUMMYFUNCTION("""COMPUTED_VALUE"""),"SMART CARD PRETO NAGRA")</f>
        <v>SMART CARD PRETO NAGRA</v>
      </c>
      <c r="B5628" s="22">
        <f>IFERROR(__xludf.DUMMYFUNCTION("""COMPUTED_VALUE"""),4.1001234E7)</f>
        <v>41001234</v>
      </c>
      <c r="C5628" s="21" t="str">
        <f>IFERROR(__xludf.DUMMYFUNCTION("""COMPUTED_VALUE"""),"246301929314")</f>
        <v>246301929314</v>
      </c>
      <c r="D5628" s="21" t="str">
        <f>IFERROR(__xludf.DUMMYFUNCTION("""COMPUTED_VALUE"""),"DIGITEC TECNOLOGIA DIGITAL E REPRES")</f>
        <v>DIGITEC TECNOLOGIA DIGITAL E REPRES</v>
      </c>
      <c r="E5628" s="21">
        <f>IFERROR(__xludf.DUMMYFUNCTION("""COMPUTED_VALUE"""),145359.0)</f>
        <v>145359</v>
      </c>
      <c r="F5628" s="21" t="str">
        <f>IFERROR(__xludf.DUMMYFUNCTION("""COMPUTED_VALUE"""),"INICIALIZADO")</f>
        <v>INICIALIZADO</v>
      </c>
      <c r="G5628" s="23">
        <f>IFERROR(__xludf.DUMMYFUNCTION("""COMPUTED_VALUE"""),45635.534907407404)</f>
        <v>45635.53491</v>
      </c>
      <c r="H5628" s="24" t="str">
        <f>IFERROR(VLOOKUP(B5628,material!A:D,3,0),"")</f>
        <v>CARD</v>
      </c>
    </row>
    <row r="5629" ht="11.25" customHeight="1">
      <c r="A5629" s="21" t="str">
        <f>IFERROR(__xludf.DUMMYFUNCTION("""COMPUTED_VALUE"""),"SMART CARD PRETO NAGRA")</f>
        <v>SMART CARD PRETO NAGRA</v>
      </c>
      <c r="B5629" s="22">
        <f>IFERROR(__xludf.DUMMYFUNCTION("""COMPUTED_VALUE"""),4.1001234E7)</f>
        <v>41001234</v>
      </c>
      <c r="C5629" s="21" t="str">
        <f>IFERROR(__xludf.DUMMYFUNCTION("""COMPUTED_VALUE"""),"246314956073")</f>
        <v>246314956073</v>
      </c>
      <c r="D5629" s="21" t="str">
        <f>IFERROR(__xludf.DUMMYFUNCTION("""COMPUTED_VALUE"""),"DIGITEC TECNOLOGIA DIGITAL E REPRES")</f>
        <v>DIGITEC TECNOLOGIA DIGITAL E REPRES</v>
      </c>
      <c r="E5629" s="21">
        <f>IFERROR(__xludf.DUMMYFUNCTION("""COMPUTED_VALUE"""),145359.0)</f>
        <v>145359</v>
      </c>
      <c r="F5629" s="21" t="str">
        <f>IFERROR(__xludf.DUMMYFUNCTION("""COMPUTED_VALUE"""),"INICIALIZADO")</f>
        <v>INICIALIZADO</v>
      </c>
      <c r="G5629" s="23">
        <f>IFERROR(__xludf.DUMMYFUNCTION("""COMPUTED_VALUE"""),45635.53491898148)</f>
        <v>45635.53492</v>
      </c>
      <c r="H5629" s="24" t="str">
        <f>IFERROR(VLOOKUP(B5629,material!A:D,3,0),"")</f>
        <v>CARD</v>
      </c>
    </row>
    <row r="5630" ht="11.25" customHeight="1">
      <c r="A5630" s="21" t="str">
        <f>IFERROR(__xludf.DUMMYFUNCTION("""COMPUTED_VALUE"""),"SMART CARD PRETO NAGRA")</f>
        <v>SMART CARD PRETO NAGRA</v>
      </c>
      <c r="B5630" s="22">
        <f>IFERROR(__xludf.DUMMYFUNCTION("""COMPUTED_VALUE"""),4.1001234E7)</f>
        <v>41001234</v>
      </c>
      <c r="C5630" s="21" t="str">
        <f>IFERROR(__xludf.DUMMYFUNCTION("""COMPUTED_VALUE"""),"246327607689")</f>
        <v>246327607689</v>
      </c>
      <c r="D5630" s="21" t="str">
        <f>IFERROR(__xludf.DUMMYFUNCTION("""COMPUTED_VALUE"""),"DIGITEC TECNOLOGIA DIGITAL E REPRES")</f>
        <v>DIGITEC TECNOLOGIA DIGITAL E REPRES</v>
      </c>
      <c r="E5630" s="21">
        <f>IFERROR(__xludf.DUMMYFUNCTION("""COMPUTED_VALUE"""),145359.0)</f>
        <v>145359</v>
      </c>
      <c r="F5630" s="21" t="str">
        <f>IFERROR(__xludf.DUMMYFUNCTION("""COMPUTED_VALUE"""),"INICIALIZADO")</f>
        <v>INICIALIZADO</v>
      </c>
      <c r="G5630" s="23">
        <f>IFERROR(__xludf.DUMMYFUNCTION("""COMPUTED_VALUE"""),45642.524097222224)</f>
        <v>45642.5241</v>
      </c>
      <c r="H5630" s="24" t="str">
        <f>IFERROR(VLOOKUP(B5630,material!A:D,3,0),"")</f>
        <v>CARD</v>
      </c>
    </row>
    <row r="5631" ht="11.25" customHeight="1">
      <c r="A5631" s="21" t="str">
        <f>IFERROR(__xludf.DUMMYFUNCTION("""COMPUTED_VALUE"""),"SMART CARD PRETO NAGRA")</f>
        <v>SMART CARD PRETO NAGRA</v>
      </c>
      <c r="B5631" s="22">
        <f>IFERROR(__xludf.DUMMYFUNCTION("""COMPUTED_VALUE"""),4.1001234E7)</f>
        <v>41001234</v>
      </c>
      <c r="C5631" s="21" t="str">
        <f>IFERROR(__xludf.DUMMYFUNCTION("""COMPUTED_VALUE"""),"246329931834")</f>
        <v>246329931834</v>
      </c>
      <c r="D5631" s="21" t="str">
        <f>IFERROR(__xludf.DUMMYFUNCTION("""COMPUTED_VALUE"""),"DIGITEC TECNOLOGIA DIGITAL E REPRES")</f>
        <v>DIGITEC TECNOLOGIA DIGITAL E REPRES</v>
      </c>
      <c r="E5631" s="21">
        <f>IFERROR(__xludf.DUMMYFUNCTION("""COMPUTED_VALUE"""),145359.0)</f>
        <v>145359</v>
      </c>
      <c r="F5631" s="21" t="str">
        <f>IFERROR(__xludf.DUMMYFUNCTION("""COMPUTED_VALUE"""),"INICIALIZADO")</f>
        <v>INICIALIZADO</v>
      </c>
      <c r="G5631" s="23">
        <f>IFERROR(__xludf.DUMMYFUNCTION("""COMPUTED_VALUE"""),45635.53491898148)</f>
        <v>45635.53492</v>
      </c>
      <c r="H5631" s="24" t="str">
        <f>IFERROR(VLOOKUP(B5631,material!A:D,3,0),"")</f>
        <v>CARD</v>
      </c>
    </row>
    <row r="5632" ht="11.25" customHeight="1">
      <c r="A5632" s="21" t="str">
        <f>IFERROR(__xludf.DUMMYFUNCTION("""COMPUTED_VALUE"""),"SMART CARD PRETO NAGRA")</f>
        <v>SMART CARD PRETO NAGRA</v>
      </c>
      <c r="B5632" s="22">
        <f>IFERROR(__xludf.DUMMYFUNCTION("""COMPUTED_VALUE"""),4.1001234E7)</f>
        <v>41001234</v>
      </c>
      <c r="C5632" s="21" t="str">
        <f>IFERROR(__xludf.DUMMYFUNCTION("""COMPUTED_VALUE"""),"246296790519")</f>
        <v>246296790519</v>
      </c>
      <c r="D5632" s="21" t="str">
        <f>IFERROR(__xludf.DUMMYFUNCTION("""COMPUTED_VALUE"""),"DIGITEC TECNOLOGIA DIGITAL E REPRES")</f>
        <v>DIGITEC TECNOLOGIA DIGITAL E REPRES</v>
      </c>
      <c r="E5632" s="21">
        <f>IFERROR(__xludf.DUMMYFUNCTION("""COMPUTED_VALUE"""),145359.0)</f>
        <v>145359</v>
      </c>
      <c r="F5632" s="21" t="str">
        <f>IFERROR(__xludf.DUMMYFUNCTION("""COMPUTED_VALUE"""),"INICIALIZADO")</f>
        <v>INICIALIZADO</v>
      </c>
      <c r="G5632" s="23">
        <f>IFERROR(__xludf.DUMMYFUNCTION("""COMPUTED_VALUE"""),45635.53491898148)</f>
        <v>45635.53492</v>
      </c>
      <c r="H5632" s="24" t="str">
        <f>IFERROR(VLOOKUP(B5632,material!A:D,3,0),"")</f>
        <v>CARD</v>
      </c>
    </row>
    <row r="5633" ht="11.25" customHeight="1">
      <c r="A5633" s="21" t="str">
        <f>IFERROR(__xludf.DUMMYFUNCTION("""COMPUTED_VALUE"""),"SMART CARD PRETO NAGRA")</f>
        <v>SMART CARD PRETO NAGRA</v>
      </c>
      <c r="B5633" s="22">
        <f>IFERROR(__xludf.DUMMYFUNCTION("""COMPUTED_VALUE"""),4.1001234E7)</f>
        <v>41001234</v>
      </c>
      <c r="C5633" s="21" t="str">
        <f>IFERROR(__xludf.DUMMYFUNCTION("""COMPUTED_VALUE"""),"246332539898")</f>
        <v>246332539898</v>
      </c>
      <c r="D5633" s="21" t="str">
        <f>IFERROR(__xludf.DUMMYFUNCTION("""COMPUTED_VALUE"""),"DIGITEC TECNOLOGIA DIGITAL E REPRES")</f>
        <v>DIGITEC TECNOLOGIA DIGITAL E REPRES</v>
      </c>
      <c r="E5633" s="21">
        <f>IFERROR(__xludf.DUMMYFUNCTION("""COMPUTED_VALUE"""),145359.0)</f>
        <v>145359</v>
      </c>
      <c r="F5633" s="21" t="str">
        <f>IFERROR(__xludf.DUMMYFUNCTION("""COMPUTED_VALUE"""),"INICIALIZADO")</f>
        <v>INICIALIZADO</v>
      </c>
      <c r="G5633" s="23">
        <f>IFERROR(__xludf.DUMMYFUNCTION("""COMPUTED_VALUE"""),45618.65202546296)</f>
        <v>45618.65203</v>
      </c>
      <c r="H5633" s="24" t="str">
        <f>IFERROR(VLOOKUP(B5633,material!A:D,3,0),"")</f>
        <v>CARD</v>
      </c>
    </row>
    <row r="5634" ht="11.25" customHeight="1">
      <c r="A5634" s="21" t="str">
        <f>IFERROR(__xludf.DUMMYFUNCTION("""COMPUTED_VALUE"""),"SMART CARD PRETO NAGRA")</f>
        <v>SMART CARD PRETO NAGRA</v>
      </c>
      <c r="B5634" s="22">
        <f>IFERROR(__xludf.DUMMYFUNCTION("""COMPUTED_VALUE"""),4.1001234E7)</f>
        <v>41001234</v>
      </c>
      <c r="C5634" s="21" t="str">
        <f>IFERROR(__xludf.DUMMYFUNCTION("""COMPUTED_VALUE"""),"246320252236")</f>
        <v>246320252236</v>
      </c>
      <c r="D5634" s="21" t="str">
        <f>IFERROR(__xludf.DUMMYFUNCTION("""COMPUTED_VALUE"""),"DIGITEC TECNOLOGIA DIGITAL E REPRES")</f>
        <v>DIGITEC TECNOLOGIA DIGITAL E REPRES</v>
      </c>
      <c r="E5634" s="21">
        <f>IFERROR(__xludf.DUMMYFUNCTION("""COMPUTED_VALUE"""),145359.0)</f>
        <v>145359</v>
      </c>
      <c r="F5634" s="21" t="str">
        <f>IFERROR(__xludf.DUMMYFUNCTION("""COMPUTED_VALUE"""),"INICIALIZADO")</f>
        <v>INICIALIZADO</v>
      </c>
      <c r="G5634" s="23">
        <f>IFERROR(__xludf.DUMMYFUNCTION("""COMPUTED_VALUE"""),45618.65202546296)</f>
        <v>45618.65203</v>
      </c>
      <c r="H5634" s="24" t="str">
        <f>IFERROR(VLOOKUP(B5634,material!A:D,3,0),"")</f>
        <v>CARD</v>
      </c>
    </row>
    <row r="5635" ht="11.25" customHeight="1">
      <c r="A5635" s="21" t="str">
        <f>IFERROR(__xludf.DUMMYFUNCTION("""COMPUTED_VALUE"""),"SMART CARD PRETO NAGRA")</f>
        <v>SMART CARD PRETO NAGRA</v>
      </c>
      <c r="B5635" s="22">
        <f>IFERROR(__xludf.DUMMYFUNCTION("""COMPUTED_VALUE"""),4.1001234E7)</f>
        <v>41001234</v>
      </c>
      <c r="C5635" s="21" t="str">
        <f>IFERROR(__xludf.DUMMYFUNCTION("""COMPUTED_VALUE"""),"246331547187")</f>
        <v>246331547187</v>
      </c>
      <c r="D5635" s="21" t="str">
        <f>IFERROR(__xludf.DUMMYFUNCTION("""COMPUTED_VALUE"""),"DIGITEC TECNOLOGIA DIGITAL E REPRES")</f>
        <v>DIGITEC TECNOLOGIA DIGITAL E REPRES</v>
      </c>
      <c r="E5635" s="21">
        <f>IFERROR(__xludf.DUMMYFUNCTION("""COMPUTED_VALUE"""),145359.0)</f>
        <v>145359</v>
      </c>
      <c r="F5635" s="21" t="str">
        <f>IFERROR(__xludf.DUMMYFUNCTION("""COMPUTED_VALUE"""),"INICIALIZADO")</f>
        <v>INICIALIZADO</v>
      </c>
      <c r="G5635" s="23">
        <f>IFERROR(__xludf.DUMMYFUNCTION("""COMPUTED_VALUE"""),45642.524097222224)</f>
        <v>45642.5241</v>
      </c>
      <c r="H5635" s="24" t="str">
        <f>IFERROR(VLOOKUP(B5635,material!A:D,3,0),"")</f>
        <v>CARD</v>
      </c>
    </row>
    <row r="5636" ht="11.25" customHeight="1">
      <c r="A5636" s="21" t="str">
        <f>IFERROR(__xludf.DUMMYFUNCTION("""COMPUTED_VALUE"""),"SMART CARD PRETO NAGRA")</f>
        <v>SMART CARD PRETO NAGRA</v>
      </c>
      <c r="B5636" s="22">
        <f>IFERROR(__xludf.DUMMYFUNCTION("""COMPUTED_VALUE"""),4.1001234E7)</f>
        <v>41001234</v>
      </c>
      <c r="C5636" s="21" t="str">
        <f>IFERROR(__xludf.DUMMYFUNCTION("""COMPUTED_VALUE"""),"246340341133")</f>
        <v>246340341133</v>
      </c>
      <c r="D5636" s="21" t="str">
        <f>IFERROR(__xludf.DUMMYFUNCTION("""COMPUTED_VALUE"""),"DIGITEC TECNOLOGIA DIGITAL E REPRES")</f>
        <v>DIGITEC TECNOLOGIA DIGITAL E REPRES</v>
      </c>
      <c r="E5636" s="21">
        <f>IFERROR(__xludf.DUMMYFUNCTION("""COMPUTED_VALUE"""),145359.0)</f>
        <v>145359</v>
      </c>
      <c r="F5636" s="21" t="str">
        <f>IFERROR(__xludf.DUMMYFUNCTION("""COMPUTED_VALUE"""),"INICIALIZADO")</f>
        <v>INICIALIZADO</v>
      </c>
      <c r="G5636" s="23">
        <f>IFERROR(__xludf.DUMMYFUNCTION("""COMPUTED_VALUE"""),45600.47594907407)</f>
        <v>45600.47595</v>
      </c>
      <c r="H5636" s="24" t="str">
        <f>IFERROR(VLOOKUP(B5636,material!A:D,3,0),"")</f>
        <v>CARD</v>
      </c>
    </row>
    <row r="5637" ht="11.25" customHeight="1">
      <c r="A5637" s="21" t="str">
        <f>IFERROR(__xludf.DUMMYFUNCTION("""COMPUTED_VALUE"""),"SMART CARD PRETO NAGRA")</f>
        <v>SMART CARD PRETO NAGRA</v>
      </c>
      <c r="B5637" s="22">
        <f>IFERROR(__xludf.DUMMYFUNCTION("""COMPUTED_VALUE"""),4.1001234E7)</f>
        <v>41001234</v>
      </c>
      <c r="C5637" s="21" t="str">
        <f>IFERROR(__xludf.DUMMYFUNCTION("""COMPUTED_VALUE"""),"246327187289")</f>
        <v>246327187289</v>
      </c>
      <c r="D5637" s="21" t="str">
        <f>IFERROR(__xludf.DUMMYFUNCTION("""COMPUTED_VALUE"""),"DIGITEC TECNOLOGIA DIGITAL E REPRES")</f>
        <v>DIGITEC TECNOLOGIA DIGITAL E REPRES</v>
      </c>
      <c r="E5637" s="21">
        <f>IFERROR(__xludf.DUMMYFUNCTION("""COMPUTED_VALUE"""),145359.0)</f>
        <v>145359</v>
      </c>
      <c r="F5637" s="21" t="str">
        <f>IFERROR(__xludf.DUMMYFUNCTION("""COMPUTED_VALUE"""),"INICIALIZADO")</f>
        <v>INICIALIZADO</v>
      </c>
      <c r="G5637" s="23">
        <f>IFERROR(__xludf.DUMMYFUNCTION("""COMPUTED_VALUE"""),45635.53491898148)</f>
        <v>45635.53492</v>
      </c>
      <c r="H5637" s="24" t="str">
        <f>IFERROR(VLOOKUP(B5637,material!A:D,3,0),"")</f>
        <v>CARD</v>
      </c>
    </row>
    <row r="5638" ht="11.25" customHeight="1">
      <c r="A5638" s="21" t="str">
        <f>IFERROR(__xludf.DUMMYFUNCTION("""COMPUTED_VALUE"""),"SMART CARD PRETO NAGRA")</f>
        <v>SMART CARD PRETO NAGRA</v>
      </c>
      <c r="B5638" s="22">
        <f>IFERROR(__xludf.DUMMYFUNCTION("""COMPUTED_VALUE"""),4.1001234E7)</f>
        <v>41001234</v>
      </c>
      <c r="C5638" s="21" t="str">
        <f>IFERROR(__xludf.DUMMYFUNCTION("""COMPUTED_VALUE"""),"246337246374")</f>
        <v>246337246374</v>
      </c>
      <c r="D5638" s="21" t="str">
        <f>IFERROR(__xludf.DUMMYFUNCTION("""COMPUTED_VALUE"""),"DIGITEC TECNOLOGIA DIGITAL E REPRES")</f>
        <v>DIGITEC TECNOLOGIA DIGITAL E REPRES</v>
      </c>
      <c r="E5638" s="21">
        <f>IFERROR(__xludf.DUMMYFUNCTION("""COMPUTED_VALUE"""),145359.0)</f>
        <v>145359</v>
      </c>
      <c r="F5638" s="21" t="str">
        <f>IFERROR(__xludf.DUMMYFUNCTION("""COMPUTED_VALUE"""),"INICIALIZADO")</f>
        <v>INICIALIZADO</v>
      </c>
      <c r="G5638" s="23">
        <f>IFERROR(__xludf.DUMMYFUNCTION("""COMPUTED_VALUE"""),45593.72917824074)</f>
        <v>45593.72918</v>
      </c>
      <c r="H5638" s="24" t="str">
        <f>IFERROR(VLOOKUP(B5638,material!A:D,3,0),"")</f>
        <v>CARD</v>
      </c>
    </row>
    <row r="5639" ht="11.25" customHeight="1">
      <c r="A5639" s="21" t="str">
        <f>IFERROR(__xludf.DUMMYFUNCTION("""COMPUTED_VALUE"""),"SMART CARD PRETO NAGRA")</f>
        <v>SMART CARD PRETO NAGRA</v>
      </c>
      <c r="B5639" s="22">
        <f>IFERROR(__xludf.DUMMYFUNCTION("""COMPUTED_VALUE"""),4.1001234E7)</f>
        <v>41001234</v>
      </c>
      <c r="C5639" s="21" t="str">
        <f>IFERROR(__xludf.DUMMYFUNCTION("""COMPUTED_VALUE"""),"246318173346")</f>
        <v>246318173346</v>
      </c>
      <c r="D5639" s="21" t="str">
        <f>IFERROR(__xludf.DUMMYFUNCTION("""COMPUTED_VALUE"""),"DIGITEC TECNOLOGIA DIGITAL E REPRES")</f>
        <v>DIGITEC TECNOLOGIA DIGITAL E REPRES</v>
      </c>
      <c r="E5639" s="21">
        <f>IFERROR(__xludf.DUMMYFUNCTION("""COMPUTED_VALUE"""),145359.0)</f>
        <v>145359</v>
      </c>
      <c r="F5639" s="21" t="str">
        <f>IFERROR(__xludf.DUMMYFUNCTION("""COMPUTED_VALUE"""),"INICIALIZADO")</f>
        <v>INICIALIZADO</v>
      </c>
      <c r="G5639" s="23">
        <f>IFERROR(__xludf.DUMMYFUNCTION("""COMPUTED_VALUE"""),45635.53491898148)</f>
        <v>45635.53492</v>
      </c>
      <c r="H5639" s="24" t="str">
        <f>IFERROR(VLOOKUP(B5639,material!A:D,3,0),"")</f>
        <v>CARD</v>
      </c>
    </row>
    <row r="5640" ht="11.25" customHeight="1">
      <c r="A5640" s="21" t="str">
        <f>IFERROR(__xludf.DUMMYFUNCTION("""COMPUTED_VALUE"""),"SMART CARD PRETO NAGRA")</f>
        <v>SMART CARD PRETO NAGRA</v>
      </c>
      <c r="B5640" s="22">
        <f>IFERROR(__xludf.DUMMYFUNCTION("""COMPUTED_VALUE"""),4.1001234E7)</f>
        <v>41001234</v>
      </c>
      <c r="C5640" s="21" t="str">
        <f>IFERROR(__xludf.DUMMYFUNCTION("""COMPUTED_VALUE"""),"246326873241")</f>
        <v>246326873241</v>
      </c>
      <c r="D5640" s="21" t="str">
        <f>IFERROR(__xludf.DUMMYFUNCTION("""COMPUTED_VALUE"""),"DIGITEC TECNOLOGIA DIGITAL E REPRES")</f>
        <v>DIGITEC TECNOLOGIA DIGITAL E REPRES</v>
      </c>
      <c r="E5640" s="21">
        <f>IFERROR(__xludf.DUMMYFUNCTION("""COMPUTED_VALUE"""),145359.0)</f>
        <v>145359</v>
      </c>
      <c r="F5640" s="21" t="str">
        <f>IFERROR(__xludf.DUMMYFUNCTION("""COMPUTED_VALUE"""),"INICIALIZADO")</f>
        <v>INICIALIZADO</v>
      </c>
      <c r="G5640" s="23">
        <f>IFERROR(__xludf.DUMMYFUNCTION("""COMPUTED_VALUE"""),45635.53491898148)</f>
        <v>45635.53492</v>
      </c>
      <c r="H5640" s="24" t="str">
        <f>IFERROR(VLOOKUP(B5640,material!A:D,3,0),"")</f>
        <v>CARD</v>
      </c>
    </row>
    <row r="5641" ht="11.25" customHeight="1">
      <c r="A5641" s="21" t="str">
        <f>IFERROR(__xludf.DUMMYFUNCTION("""COMPUTED_VALUE"""),"SMART CARD PRETO NAGRA")</f>
        <v>SMART CARD PRETO NAGRA</v>
      </c>
      <c r="B5641" s="22">
        <f>IFERROR(__xludf.DUMMYFUNCTION("""COMPUTED_VALUE"""),4.1001234E7)</f>
        <v>41001234</v>
      </c>
      <c r="C5641" s="21" t="str">
        <f>IFERROR(__xludf.DUMMYFUNCTION("""COMPUTED_VALUE"""),"246329803740")</f>
        <v>246329803740</v>
      </c>
      <c r="D5641" s="21" t="str">
        <f>IFERROR(__xludf.DUMMYFUNCTION("""COMPUTED_VALUE"""),"DIGITEC TECNOLOGIA DIGITAL E REPRES")</f>
        <v>DIGITEC TECNOLOGIA DIGITAL E REPRES</v>
      </c>
      <c r="E5641" s="21">
        <f>IFERROR(__xludf.DUMMYFUNCTION("""COMPUTED_VALUE"""),145359.0)</f>
        <v>145359</v>
      </c>
      <c r="F5641" s="21" t="str">
        <f>IFERROR(__xludf.DUMMYFUNCTION("""COMPUTED_VALUE"""),"INICIALIZADO")</f>
        <v>INICIALIZADO</v>
      </c>
      <c r="G5641" s="23">
        <f>IFERROR(__xludf.DUMMYFUNCTION("""COMPUTED_VALUE"""),45635.53491898148)</f>
        <v>45635.53492</v>
      </c>
      <c r="H5641" s="24" t="str">
        <f>IFERROR(VLOOKUP(B5641,material!A:D,3,0),"")</f>
        <v>CARD</v>
      </c>
    </row>
    <row r="5642" ht="11.25" customHeight="1">
      <c r="A5642" s="21" t="str">
        <f>IFERROR(__xludf.DUMMYFUNCTION("""COMPUTED_VALUE"""),"SMART CARD PRETO NAGRA")</f>
        <v>SMART CARD PRETO NAGRA</v>
      </c>
      <c r="B5642" s="22">
        <f>IFERROR(__xludf.DUMMYFUNCTION("""COMPUTED_VALUE"""),4.1001234E7)</f>
        <v>41001234</v>
      </c>
      <c r="C5642" s="21" t="str">
        <f>IFERROR(__xludf.DUMMYFUNCTION("""COMPUTED_VALUE"""),"246031198807")</f>
        <v>246031198807</v>
      </c>
      <c r="D5642" s="21" t="str">
        <f>IFERROR(__xludf.DUMMYFUNCTION("""COMPUTED_VALUE"""),"DIGITEC TECNOLOGIA DIGITAL E REPRES")</f>
        <v>DIGITEC TECNOLOGIA DIGITAL E REPRES</v>
      </c>
      <c r="E5642" s="21">
        <f>IFERROR(__xludf.DUMMYFUNCTION("""COMPUTED_VALUE"""),145359.0)</f>
        <v>145359</v>
      </c>
      <c r="F5642" s="21" t="str">
        <f>IFERROR(__xludf.DUMMYFUNCTION("""COMPUTED_VALUE"""),"INICIALIZADO")</f>
        <v>INICIALIZADO</v>
      </c>
      <c r="G5642" s="23">
        <f>IFERROR(__xludf.DUMMYFUNCTION("""COMPUTED_VALUE"""),45635.534907407404)</f>
        <v>45635.53491</v>
      </c>
      <c r="H5642" s="24" t="str">
        <f>IFERROR(VLOOKUP(B5642,material!A:D,3,0),"")</f>
        <v>CARD</v>
      </c>
    </row>
    <row r="5643" ht="11.25" customHeight="1">
      <c r="A5643" s="21" t="str">
        <f>IFERROR(__xludf.DUMMYFUNCTION("""COMPUTED_VALUE"""),"SMART CARD PRETO NAGRA")</f>
        <v>SMART CARD PRETO NAGRA</v>
      </c>
      <c r="B5643" s="22">
        <f>IFERROR(__xludf.DUMMYFUNCTION("""COMPUTED_VALUE"""),4.1001234E7)</f>
        <v>41001234</v>
      </c>
      <c r="C5643" s="21" t="str">
        <f>IFERROR(__xludf.DUMMYFUNCTION("""COMPUTED_VALUE"""),"226280133348")</f>
        <v>226280133348</v>
      </c>
      <c r="D5643" s="21" t="str">
        <f>IFERROR(__xludf.DUMMYFUNCTION("""COMPUTED_VALUE"""),"DIGITEC TECNOLOGIA DIGITAL E REPRES")</f>
        <v>DIGITEC TECNOLOGIA DIGITAL E REPRES</v>
      </c>
      <c r="E5643" s="21">
        <f>IFERROR(__xludf.DUMMYFUNCTION("""COMPUTED_VALUE"""),145359.0)</f>
        <v>145359</v>
      </c>
      <c r="F5643" s="21" t="str">
        <f>IFERROR(__xludf.DUMMYFUNCTION("""COMPUTED_VALUE"""),"INICIALIZADO")</f>
        <v>INICIALIZADO</v>
      </c>
      <c r="G5643" s="23">
        <f>IFERROR(__xludf.DUMMYFUNCTION("""COMPUTED_VALUE"""),45642.52410879629)</f>
        <v>45642.52411</v>
      </c>
      <c r="H5643" s="24" t="str">
        <f>IFERROR(VLOOKUP(B5643,material!A:D,3,0),"")</f>
        <v>CARD</v>
      </c>
    </row>
    <row r="5644" ht="11.25" customHeight="1">
      <c r="A5644" s="21" t="str">
        <f>IFERROR(__xludf.DUMMYFUNCTION("""COMPUTED_VALUE"""),"SMART CARD PRETO NAGRA")</f>
        <v>SMART CARD PRETO NAGRA</v>
      </c>
      <c r="B5644" s="22">
        <f>IFERROR(__xludf.DUMMYFUNCTION("""COMPUTED_VALUE"""),4.1001234E7)</f>
        <v>41001234</v>
      </c>
      <c r="C5644" s="21" t="str">
        <f>IFERROR(__xludf.DUMMYFUNCTION("""COMPUTED_VALUE"""),"246304854156")</f>
        <v>246304854156</v>
      </c>
      <c r="D5644" s="21" t="str">
        <f>IFERROR(__xludf.DUMMYFUNCTION("""COMPUTED_VALUE"""),"DIGITEC TECNOLOGIA DIGITAL E REPRES")</f>
        <v>DIGITEC TECNOLOGIA DIGITAL E REPRES</v>
      </c>
      <c r="E5644" s="21">
        <f>IFERROR(__xludf.DUMMYFUNCTION("""COMPUTED_VALUE"""),145359.0)</f>
        <v>145359</v>
      </c>
      <c r="F5644" s="21" t="str">
        <f>IFERROR(__xludf.DUMMYFUNCTION("""COMPUTED_VALUE"""),"INICIALIZADO")</f>
        <v>INICIALIZADO</v>
      </c>
      <c r="G5644" s="23">
        <f>IFERROR(__xludf.DUMMYFUNCTION("""COMPUTED_VALUE"""),45642.524097222224)</f>
        <v>45642.5241</v>
      </c>
      <c r="H5644" s="24" t="str">
        <f>IFERROR(VLOOKUP(B5644,material!A:D,3,0),"")</f>
        <v>CARD</v>
      </c>
    </row>
    <row r="5645" ht="11.25" customHeight="1">
      <c r="A5645" s="21" t="str">
        <f>IFERROR(__xludf.DUMMYFUNCTION("""COMPUTED_VALUE"""),"SMART CARD PRETO NAGRA")</f>
        <v>SMART CARD PRETO NAGRA</v>
      </c>
      <c r="B5645" s="22">
        <f>IFERROR(__xludf.DUMMYFUNCTION("""COMPUTED_VALUE"""),4.1001234E7)</f>
        <v>41001234</v>
      </c>
      <c r="C5645" s="21" t="str">
        <f>IFERROR(__xludf.DUMMYFUNCTION("""COMPUTED_VALUE"""),"246026427678")</f>
        <v>246026427678</v>
      </c>
      <c r="D5645" s="21" t="str">
        <f>IFERROR(__xludf.DUMMYFUNCTION("""COMPUTED_VALUE"""),"DIGITEC TECNOLOGIA DIGITAL E REPRES")</f>
        <v>DIGITEC TECNOLOGIA DIGITAL E REPRES</v>
      </c>
      <c r="E5645" s="21">
        <f>IFERROR(__xludf.DUMMYFUNCTION("""COMPUTED_VALUE"""),145359.0)</f>
        <v>145359</v>
      </c>
      <c r="F5645" s="21" t="str">
        <f>IFERROR(__xludf.DUMMYFUNCTION("""COMPUTED_VALUE"""),"INICIALIZADO")</f>
        <v>INICIALIZADO</v>
      </c>
      <c r="G5645" s="23">
        <f>IFERROR(__xludf.DUMMYFUNCTION("""COMPUTED_VALUE"""),45642.52410879629)</f>
        <v>45642.52411</v>
      </c>
      <c r="H5645" s="24" t="str">
        <f>IFERROR(VLOOKUP(B5645,material!A:D,3,0),"")</f>
        <v>CARD</v>
      </c>
    </row>
    <row r="5646" ht="11.25" customHeight="1">
      <c r="A5646" s="21" t="str">
        <f>IFERROR(__xludf.DUMMYFUNCTION("""COMPUTED_VALUE"""),"SMART CARD PRETO NAGRA")</f>
        <v>SMART CARD PRETO NAGRA</v>
      </c>
      <c r="B5646" s="22">
        <f>IFERROR(__xludf.DUMMYFUNCTION("""COMPUTED_VALUE"""),4.1001234E7)</f>
        <v>41001234</v>
      </c>
      <c r="C5646" s="21" t="str">
        <f>IFERROR(__xludf.DUMMYFUNCTION("""COMPUTED_VALUE"""),"246122297798")</f>
        <v>246122297798</v>
      </c>
      <c r="D5646" s="21" t="str">
        <f>IFERROR(__xludf.DUMMYFUNCTION("""COMPUTED_VALUE"""),"DIGITEC TECNOLOGIA DIGITAL E REPRES")</f>
        <v>DIGITEC TECNOLOGIA DIGITAL E REPRES</v>
      </c>
      <c r="E5646" s="21">
        <f>IFERROR(__xludf.DUMMYFUNCTION("""COMPUTED_VALUE"""),145359.0)</f>
        <v>145359</v>
      </c>
      <c r="F5646" s="21" t="str">
        <f>IFERROR(__xludf.DUMMYFUNCTION("""COMPUTED_VALUE"""),"INICIALIZADO")</f>
        <v>INICIALIZADO</v>
      </c>
      <c r="G5646" s="23">
        <f>IFERROR(__xludf.DUMMYFUNCTION("""COMPUTED_VALUE"""),45635.534907407404)</f>
        <v>45635.53491</v>
      </c>
      <c r="H5646" s="24" t="str">
        <f>IFERROR(VLOOKUP(B5646,material!A:D,3,0),"")</f>
        <v>CARD</v>
      </c>
    </row>
    <row r="5647" ht="11.25" customHeight="1">
      <c r="A5647" s="21" t="str">
        <f>IFERROR(__xludf.DUMMYFUNCTION("""COMPUTED_VALUE"""),"SMART CARD PRETO NAGRA")</f>
        <v>SMART CARD PRETO NAGRA</v>
      </c>
      <c r="B5647" s="22">
        <f>IFERROR(__xludf.DUMMYFUNCTION("""COMPUTED_VALUE"""),4.1001234E7)</f>
        <v>41001234</v>
      </c>
      <c r="C5647" s="21" t="str">
        <f>IFERROR(__xludf.DUMMYFUNCTION("""COMPUTED_VALUE"""),"226212628588")</f>
        <v>226212628588</v>
      </c>
      <c r="D5647" s="21" t="str">
        <f>IFERROR(__xludf.DUMMYFUNCTION("""COMPUTED_VALUE"""),"DIGITEC TECNOLOGIA DIGITAL E REPRES")</f>
        <v>DIGITEC TECNOLOGIA DIGITAL E REPRES</v>
      </c>
      <c r="E5647" s="21">
        <f>IFERROR(__xludf.DUMMYFUNCTION("""COMPUTED_VALUE"""),145359.0)</f>
        <v>145359</v>
      </c>
      <c r="F5647" s="21" t="str">
        <f>IFERROR(__xludf.DUMMYFUNCTION("""COMPUTED_VALUE"""),"INICIALIZADO")</f>
        <v>INICIALIZADO</v>
      </c>
      <c r="G5647" s="23">
        <f>IFERROR(__xludf.DUMMYFUNCTION("""COMPUTED_VALUE"""),45642.52410879629)</f>
        <v>45642.52411</v>
      </c>
      <c r="H5647" s="24" t="str">
        <f>IFERROR(VLOOKUP(B5647,material!A:D,3,0),"")</f>
        <v>CARD</v>
      </c>
    </row>
    <row r="5648" ht="11.25" customHeight="1">
      <c r="A5648" s="21" t="str">
        <f>IFERROR(__xludf.DUMMYFUNCTION("""COMPUTED_VALUE"""),"SMART CARD PRETO NAGRA")</f>
        <v>SMART CARD PRETO NAGRA</v>
      </c>
      <c r="B5648" s="22">
        <f>IFERROR(__xludf.DUMMYFUNCTION("""COMPUTED_VALUE"""),4.1001234E7)</f>
        <v>41001234</v>
      </c>
      <c r="C5648" s="21" t="str">
        <f>IFERROR(__xludf.DUMMYFUNCTION("""COMPUTED_VALUE"""),"246348461723")</f>
        <v>246348461723</v>
      </c>
      <c r="D5648" s="21" t="str">
        <f>IFERROR(__xludf.DUMMYFUNCTION("""COMPUTED_VALUE"""),"DIGITEC TECNOLOGIA DIGITAL E REPRES")</f>
        <v>DIGITEC TECNOLOGIA DIGITAL E REPRES</v>
      </c>
      <c r="E5648" s="21">
        <f>IFERROR(__xludf.DUMMYFUNCTION("""COMPUTED_VALUE"""),145359.0)</f>
        <v>145359</v>
      </c>
      <c r="F5648" s="21" t="str">
        <f>IFERROR(__xludf.DUMMYFUNCTION("""COMPUTED_VALUE"""),"INICIALIZADO")</f>
        <v>INICIALIZADO</v>
      </c>
      <c r="G5648" s="23">
        <f>IFERROR(__xludf.DUMMYFUNCTION("""COMPUTED_VALUE"""),45615.61853009259)</f>
        <v>45615.61853</v>
      </c>
      <c r="H5648" s="24" t="str">
        <f>IFERROR(VLOOKUP(B5648,material!A:D,3,0),"")</f>
        <v>CARD</v>
      </c>
    </row>
    <row r="5649" ht="11.25" customHeight="1">
      <c r="A5649" s="21" t="str">
        <f>IFERROR(__xludf.DUMMYFUNCTION("""COMPUTED_VALUE"""),"SMART CARD PRETO NAGRA")</f>
        <v>SMART CARD PRETO NAGRA</v>
      </c>
      <c r="B5649" s="22">
        <f>IFERROR(__xludf.DUMMYFUNCTION("""COMPUTED_VALUE"""),4.1001234E7)</f>
        <v>41001234</v>
      </c>
      <c r="C5649" s="21" t="str">
        <f>IFERROR(__xludf.DUMMYFUNCTION("""COMPUTED_VALUE"""),"246348294658")</f>
        <v>246348294658</v>
      </c>
      <c r="D5649" s="21" t="str">
        <f>IFERROR(__xludf.DUMMYFUNCTION("""COMPUTED_VALUE"""),"DIGITEC TECNOLOGIA DIGITAL E REPRES")</f>
        <v>DIGITEC TECNOLOGIA DIGITAL E REPRES</v>
      </c>
      <c r="E5649" s="21">
        <f>IFERROR(__xludf.DUMMYFUNCTION("""COMPUTED_VALUE"""),145359.0)</f>
        <v>145359</v>
      </c>
      <c r="F5649" s="21" t="str">
        <f>IFERROR(__xludf.DUMMYFUNCTION("""COMPUTED_VALUE"""),"INICIALIZADO")</f>
        <v>INICIALIZADO</v>
      </c>
      <c r="G5649" s="23">
        <f>IFERROR(__xludf.DUMMYFUNCTION("""COMPUTED_VALUE"""),45000.35530092593)</f>
        <v>45000.3553</v>
      </c>
      <c r="H5649" s="24" t="str">
        <f>IFERROR(VLOOKUP(B5649,material!A:D,3,0),"")</f>
        <v>CARD</v>
      </c>
    </row>
    <row r="5650" ht="11.25" customHeight="1">
      <c r="A5650" s="21" t="str">
        <f>IFERROR(__xludf.DUMMYFUNCTION("""COMPUTED_VALUE"""),"SMART CARD PRETO NAGRA")</f>
        <v>SMART CARD PRETO NAGRA</v>
      </c>
      <c r="B5650" s="22">
        <f>IFERROR(__xludf.DUMMYFUNCTION("""COMPUTED_VALUE"""),4.1001234E7)</f>
        <v>41001234</v>
      </c>
      <c r="C5650" s="21" t="str">
        <f>IFERROR(__xludf.DUMMYFUNCTION("""COMPUTED_VALUE"""),"246347320411")</f>
        <v>246347320411</v>
      </c>
      <c r="D5650" s="21" t="str">
        <f>IFERROR(__xludf.DUMMYFUNCTION("""COMPUTED_VALUE"""),"DIGITEC TECNOLOGIA DIGITAL E REPRES")</f>
        <v>DIGITEC TECNOLOGIA DIGITAL E REPRES</v>
      </c>
      <c r="E5650" s="21">
        <f>IFERROR(__xludf.DUMMYFUNCTION("""COMPUTED_VALUE"""),145359.0)</f>
        <v>145359</v>
      </c>
      <c r="F5650" s="21" t="str">
        <f>IFERROR(__xludf.DUMMYFUNCTION("""COMPUTED_VALUE"""),"INICIALIZADO")</f>
        <v>INICIALIZADO</v>
      </c>
      <c r="G5650" s="23">
        <f>IFERROR(__xludf.DUMMYFUNCTION("""COMPUTED_VALUE"""),45000.35530092593)</f>
        <v>45000.3553</v>
      </c>
      <c r="H5650" s="24" t="str">
        <f>IFERROR(VLOOKUP(B5650,material!A:D,3,0),"")</f>
        <v>CARD</v>
      </c>
    </row>
    <row r="5651" ht="11.25" customHeight="1">
      <c r="A5651" s="21" t="str">
        <f>IFERROR(__xludf.DUMMYFUNCTION("""COMPUTED_VALUE"""),"SMART CARD PRETO NAGRA")</f>
        <v>SMART CARD PRETO NAGRA</v>
      </c>
      <c r="B5651" s="22">
        <f>IFERROR(__xludf.DUMMYFUNCTION("""COMPUTED_VALUE"""),4.1001234E7)</f>
        <v>41001234</v>
      </c>
      <c r="C5651" s="21" t="str">
        <f>IFERROR(__xludf.DUMMYFUNCTION("""COMPUTED_VALUE"""),"246345533951")</f>
        <v>246345533951</v>
      </c>
      <c r="D5651" s="21" t="str">
        <f>IFERROR(__xludf.DUMMYFUNCTION("""COMPUTED_VALUE"""),"DIGITEC TECNOLOGIA DIGITAL E REPRES")</f>
        <v>DIGITEC TECNOLOGIA DIGITAL E REPRES</v>
      </c>
      <c r="E5651" s="21">
        <f>IFERROR(__xludf.DUMMYFUNCTION("""COMPUTED_VALUE"""),145359.0)</f>
        <v>145359</v>
      </c>
      <c r="F5651" s="21" t="str">
        <f>IFERROR(__xludf.DUMMYFUNCTION("""COMPUTED_VALUE"""),"INICIALIZADO")</f>
        <v>INICIALIZADO</v>
      </c>
      <c r="G5651" s="23">
        <f>IFERROR(__xludf.DUMMYFUNCTION("""COMPUTED_VALUE"""),45642.524097222224)</f>
        <v>45642.5241</v>
      </c>
      <c r="H5651" s="24" t="str">
        <f>IFERROR(VLOOKUP(B5651,material!A:D,3,0),"")</f>
        <v>CARD</v>
      </c>
    </row>
    <row r="5652" ht="11.25" customHeight="1">
      <c r="A5652" s="21" t="str">
        <f>IFERROR(__xludf.DUMMYFUNCTION("""COMPUTED_VALUE"""),"SMART CARD PRETO NAGRA")</f>
        <v>SMART CARD PRETO NAGRA</v>
      </c>
      <c r="B5652" s="22">
        <f>IFERROR(__xludf.DUMMYFUNCTION("""COMPUTED_VALUE"""),4.1001234E7)</f>
        <v>41001234</v>
      </c>
      <c r="C5652" s="21" t="str">
        <f>IFERROR(__xludf.DUMMYFUNCTION("""COMPUTED_VALUE"""),"246347392943")</f>
        <v>246347392943</v>
      </c>
      <c r="D5652" s="21" t="str">
        <f>IFERROR(__xludf.DUMMYFUNCTION("""COMPUTED_VALUE"""),"DIGITEC TECNOLOGIA DIGITAL E REPRES")</f>
        <v>DIGITEC TECNOLOGIA DIGITAL E REPRES</v>
      </c>
      <c r="E5652" s="21">
        <f>IFERROR(__xludf.DUMMYFUNCTION("""COMPUTED_VALUE"""),145359.0)</f>
        <v>145359</v>
      </c>
      <c r="F5652" s="21" t="str">
        <f>IFERROR(__xludf.DUMMYFUNCTION("""COMPUTED_VALUE"""),"INICIALIZADO")</f>
        <v>INICIALIZADO</v>
      </c>
      <c r="G5652" s="23">
        <f>IFERROR(__xludf.DUMMYFUNCTION("""COMPUTED_VALUE"""),45000.35530092593)</f>
        <v>45000.3553</v>
      </c>
      <c r="H5652" s="24" t="str">
        <f>IFERROR(VLOOKUP(B5652,material!A:D,3,0),"")</f>
        <v>CARD</v>
      </c>
    </row>
    <row r="5653" ht="11.25" customHeight="1">
      <c r="A5653" s="21" t="str">
        <f>IFERROR(__xludf.DUMMYFUNCTION("""COMPUTED_VALUE"""),"SMART CARD PRETO NAGRA")</f>
        <v>SMART CARD PRETO NAGRA</v>
      </c>
      <c r="B5653" s="22">
        <f>IFERROR(__xludf.DUMMYFUNCTION("""COMPUTED_VALUE"""),4.1001234E7)</f>
        <v>41001234</v>
      </c>
      <c r="C5653" s="21" t="str">
        <f>IFERROR(__xludf.DUMMYFUNCTION("""COMPUTED_VALUE"""),"246348338096")</f>
        <v>246348338096</v>
      </c>
      <c r="D5653" s="21" t="str">
        <f>IFERROR(__xludf.DUMMYFUNCTION("""COMPUTED_VALUE"""),"DIGITEC TECNOLOGIA DIGITAL E REPRES")</f>
        <v>DIGITEC TECNOLOGIA DIGITAL E REPRES</v>
      </c>
      <c r="E5653" s="21">
        <f>IFERROR(__xludf.DUMMYFUNCTION("""COMPUTED_VALUE"""),145359.0)</f>
        <v>145359</v>
      </c>
      <c r="F5653" s="21" t="str">
        <f>IFERROR(__xludf.DUMMYFUNCTION("""COMPUTED_VALUE"""),"INICIALIZADO")</f>
        <v>INICIALIZADO</v>
      </c>
      <c r="G5653" s="23">
        <f>IFERROR(__xludf.DUMMYFUNCTION("""COMPUTED_VALUE"""),45000.362905092596)</f>
        <v>45000.36291</v>
      </c>
      <c r="H5653" s="24" t="str">
        <f>IFERROR(VLOOKUP(B5653,material!A:D,3,0),"")</f>
        <v>CARD</v>
      </c>
    </row>
    <row r="5654" ht="11.25" customHeight="1">
      <c r="A5654" s="21" t="str">
        <f>IFERROR(__xludf.DUMMYFUNCTION("""COMPUTED_VALUE"""),"SMART CARD PRETO NAGRA")</f>
        <v>SMART CARD PRETO NAGRA</v>
      </c>
      <c r="B5654" s="22">
        <f>IFERROR(__xludf.DUMMYFUNCTION("""COMPUTED_VALUE"""),4.1001234E7)</f>
        <v>41001234</v>
      </c>
      <c r="C5654" s="21" t="str">
        <f>IFERROR(__xludf.DUMMYFUNCTION("""COMPUTED_VALUE"""),"246345458084")</f>
        <v>246345458084</v>
      </c>
      <c r="D5654" s="21" t="str">
        <f>IFERROR(__xludf.DUMMYFUNCTION("""COMPUTED_VALUE"""),"DIGITEC TECNOLOGIA DIGITAL E REPRES")</f>
        <v>DIGITEC TECNOLOGIA DIGITAL E REPRES</v>
      </c>
      <c r="E5654" s="21">
        <f>IFERROR(__xludf.DUMMYFUNCTION("""COMPUTED_VALUE"""),145359.0)</f>
        <v>145359</v>
      </c>
      <c r="F5654" s="21" t="str">
        <f>IFERROR(__xludf.DUMMYFUNCTION("""COMPUTED_VALUE"""),"INICIALIZADO")</f>
        <v>INICIALIZADO</v>
      </c>
      <c r="G5654" s="23">
        <f>IFERROR(__xludf.DUMMYFUNCTION("""COMPUTED_VALUE"""),45642.524097222224)</f>
        <v>45642.5241</v>
      </c>
      <c r="H5654" s="24" t="str">
        <f>IFERROR(VLOOKUP(B5654,material!A:D,3,0),"")</f>
        <v>CARD</v>
      </c>
    </row>
    <row r="5655" ht="11.25" customHeight="1">
      <c r="A5655" s="21" t="str">
        <f>IFERROR(__xludf.DUMMYFUNCTION("""COMPUTED_VALUE"""),"SMART CARD PRETO NAGRA")</f>
        <v>SMART CARD PRETO NAGRA</v>
      </c>
      <c r="B5655" s="22">
        <f>IFERROR(__xludf.DUMMYFUNCTION("""COMPUTED_VALUE"""),4.1001234E7)</f>
        <v>41001234</v>
      </c>
      <c r="C5655" s="21" t="str">
        <f>IFERROR(__xludf.DUMMYFUNCTION("""COMPUTED_VALUE"""),"246347241739")</f>
        <v>246347241739</v>
      </c>
      <c r="D5655" s="21" t="str">
        <f>IFERROR(__xludf.DUMMYFUNCTION("""COMPUTED_VALUE"""),"DIGITEC TECNOLOGIA DIGITAL E REPRES")</f>
        <v>DIGITEC TECNOLOGIA DIGITAL E REPRES</v>
      </c>
      <c r="E5655" s="21">
        <f>IFERROR(__xludf.DUMMYFUNCTION("""COMPUTED_VALUE"""),145359.0)</f>
        <v>145359</v>
      </c>
      <c r="F5655" s="21" t="str">
        <f>IFERROR(__xludf.DUMMYFUNCTION("""COMPUTED_VALUE"""),"INICIALIZADO")</f>
        <v>INICIALIZADO</v>
      </c>
      <c r="G5655" s="23">
        <f>IFERROR(__xludf.DUMMYFUNCTION("""COMPUTED_VALUE"""),45000.35530092593)</f>
        <v>45000.3553</v>
      </c>
      <c r="H5655" s="24" t="str">
        <f>IFERROR(VLOOKUP(B5655,material!A:D,3,0),"")</f>
        <v>CARD</v>
      </c>
    </row>
    <row r="5656" ht="11.25" customHeight="1">
      <c r="A5656" s="21" t="str">
        <f>IFERROR(__xludf.DUMMYFUNCTION("""COMPUTED_VALUE"""),"SMART CARD PRETO NAGRA")</f>
        <v>SMART CARD PRETO NAGRA</v>
      </c>
      <c r="B5656" s="22">
        <f>IFERROR(__xludf.DUMMYFUNCTION("""COMPUTED_VALUE"""),4.1001234E7)</f>
        <v>41001234</v>
      </c>
      <c r="C5656" s="21" t="str">
        <f>IFERROR(__xludf.DUMMYFUNCTION("""COMPUTED_VALUE"""),"246344339401")</f>
        <v>246344339401</v>
      </c>
      <c r="D5656" s="21" t="str">
        <f>IFERROR(__xludf.DUMMYFUNCTION("""COMPUTED_VALUE"""),"DIGITEC TECNOLOGIA DIGITAL E REPRES")</f>
        <v>DIGITEC TECNOLOGIA DIGITAL E REPRES</v>
      </c>
      <c r="E5656" s="21">
        <f>IFERROR(__xludf.DUMMYFUNCTION("""COMPUTED_VALUE"""),145359.0)</f>
        <v>145359</v>
      </c>
      <c r="F5656" s="21" t="str">
        <f>IFERROR(__xludf.DUMMYFUNCTION("""COMPUTED_VALUE"""),"INICIALIZADO")</f>
        <v>INICIALIZADO</v>
      </c>
      <c r="G5656" s="23">
        <f>IFERROR(__xludf.DUMMYFUNCTION("""COMPUTED_VALUE"""),45000.362905092596)</f>
        <v>45000.36291</v>
      </c>
      <c r="H5656" s="24" t="str">
        <f>IFERROR(VLOOKUP(B5656,material!A:D,3,0),"")</f>
        <v>CARD</v>
      </c>
    </row>
    <row r="5657" ht="11.25" customHeight="1">
      <c r="A5657" s="21" t="str">
        <f>IFERROR(__xludf.DUMMYFUNCTION("""COMPUTED_VALUE"""),"SMART CARD PRETO NAGRA")</f>
        <v>SMART CARD PRETO NAGRA</v>
      </c>
      <c r="B5657" s="22">
        <f>IFERROR(__xludf.DUMMYFUNCTION("""COMPUTED_VALUE"""),4.1001234E7)</f>
        <v>41001234</v>
      </c>
      <c r="C5657" s="21" t="str">
        <f>IFERROR(__xludf.DUMMYFUNCTION("""COMPUTED_VALUE"""),"246347853145")</f>
        <v>246347853145</v>
      </c>
      <c r="D5657" s="21" t="str">
        <f>IFERROR(__xludf.DUMMYFUNCTION("""COMPUTED_VALUE"""),"DIGITEC TECNOLOGIA DIGITAL E REPRES")</f>
        <v>DIGITEC TECNOLOGIA DIGITAL E REPRES</v>
      </c>
      <c r="E5657" s="21">
        <f>IFERROR(__xludf.DUMMYFUNCTION("""COMPUTED_VALUE"""),145359.0)</f>
        <v>145359</v>
      </c>
      <c r="F5657" s="21" t="str">
        <f>IFERROR(__xludf.DUMMYFUNCTION("""COMPUTED_VALUE"""),"INICIALIZADO")</f>
        <v>INICIALIZADO</v>
      </c>
      <c r="G5657" s="23">
        <f>IFERROR(__xludf.DUMMYFUNCTION("""COMPUTED_VALUE"""),45000.35530092593)</f>
        <v>45000.3553</v>
      </c>
      <c r="H5657" s="24" t="str">
        <f>IFERROR(VLOOKUP(B5657,material!A:D,3,0),"")</f>
        <v>CARD</v>
      </c>
    </row>
    <row r="5658" ht="11.25" customHeight="1">
      <c r="A5658" s="21" t="str">
        <f>IFERROR(__xludf.DUMMYFUNCTION("""COMPUTED_VALUE"""),"SMART CARD PRETO NAGRA")</f>
        <v>SMART CARD PRETO NAGRA</v>
      </c>
      <c r="B5658" s="22">
        <f>IFERROR(__xludf.DUMMYFUNCTION("""COMPUTED_VALUE"""),4.1001234E7)</f>
        <v>41001234</v>
      </c>
      <c r="C5658" s="21" t="str">
        <f>IFERROR(__xludf.DUMMYFUNCTION("""COMPUTED_VALUE"""),"246347038990")</f>
        <v>246347038990</v>
      </c>
      <c r="D5658" s="21" t="str">
        <f>IFERROR(__xludf.DUMMYFUNCTION("""COMPUTED_VALUE"""),"DIGITEC TECNOLOGIA DIGITAL E REPRES")</f>
        <v>DIGITEC TECNOLOGIA DIGITAL E REPRES</v>
      </c>
      <c r="E5658" s="21">
        <f>IFERROR(__xludf.DUMMYFUNCTION("""COMPUTED_VALUE"""),145359.0)</f>
        <v>145359</v>
      </c>
      <c r="F5658" s="21" t="str">
        <f>IFERROR(__xludf.DUMMYFUNCTION("""COMPUTED_VALUE"""),"INICIALIZADO")</f>
        <v>INICIALIZADO</v>
      </c>
      <c r="G5658" s="23">
        <f>IFERROR(__xludf.DUMMYFUNCTION("""COMPUTED_VALUE"""),45635.53491898148)</f>
        <v>45635.53492</v>
      </c>
      <c r="H5658" s="24" t="str">
        <f>IFERROR(VLOOKUP(B5658,material!A:D,3,0),"")</f>
        <v>CARD</v>
      </c>
    </row>
    <row r="5659" ht="11.25" customHeight="1">
      <c r="A5659" s="21" t="str">
        <f>IFERROR(__xludf.DUMMYFUNCTION("""COMPUTED_VALUE"""),"SMART CARD PRETO NAGRA")</f>
        <v>SMART CARD PRETO NAGRA</v>
      </c>
      <c r="B5659" s="22">
        <f>IFERROR(__xludf.DUMMYFUNCTION("""COMPUTED_VALUE"""),4.1001234E7)</f>
        <v>41001234</v>
      </c>
      <c r="C5659" s="21" t="str">
        <f>IFERROR(__xludf.DUMMYFUNCTION("""COMPUTED_VALUE"""),"246343790224")</f>
        <v>246343790224</v>
      </c>
      <c r="D5659" s="21" t="str">
        <f>IFERROR(__xludf.DUMMYFUNCTION("""COMPUTED_VALUE"""),"DIGITEC TECNOLOGIA DIGITAL E REPRES")</f>
        <v>DIGITEC TECNOLOGIA DIGITAL E REPRES</v>
      </c>
      <c r="E5659" s="21">
        <f>IFERROR(__xludf.DUMMYFUNCTION("""COMPUTED_VALUE"""),145359.0)</f>
        <v>145359</v>
      </c>
      <c r="F5659" s="21" t="str">
        <f>IFERROR(__xludf.DUMMYFUNCTION("""COMPUTED_VALUE"""),"INICIALIZADO")</f>
        <v>INICIALIZADO</v>
      </c>
      <c r="G5659" s="23">
        <f>IFERROR(__xludf.DUMMYFUNCTION("""COMPUTED_VALUE"""),45000.35530092593)</f>
        <v>45000.3553</v>
      </c>
      <c r="H5659" s="24" t="str">
        <f>IFERROR(VLOOKUP(B5659,material!A:D,3,0),"")</f>
        <v>CARD</v>
      </c>
    </row>
    <row r="5660" ht="11.25" customHeight="1">
      <c r="A5660" s="21" t="str">
        <f>IFERROR(__xludf.DUMMYFUNCTION("""COMPUTED_VALUE"""),"SMART CARD PRETO NAGRA")</f>
        <v>SMART CARD PRETO NAGRA</v>
      </c>
      <c r="B5660" s="22">
        <f>IFERROR(__xludf.DUMMYFUNCTION("""COMPUTED_VALUE"""),4.1001234E7)</f>
        <v>41001234</v>
      </c>
      <c r="C5660" s="21" t="str">
        <f>IFERROR(__xludf.DUMMYFUNCTION("""COMPUTED_VALUE"""),"246343651119")</f>
        <v>246343651119</v>
      </c>
      <c r="D5660" s="21" t="str">
        <f>IFERROR(__xludf.DUMMYFUNCTION("""COMPUTED_VALUE"""),"DIGITEC TECNOLOGIA DIGITAL E REPRES")</f>
        <v>DIGITEC TECNOLOGIA DIGITAL E REPRES</v>
      </c>
      <c r="E5660" s="21">
        <f>IFERROR(__xludf.DUMMYFUNCTION("""COMPUTED_VALUE"""),145359.0)</f>
        <v>145359</v>
      </c>
      <c r="F5660" s="21" t="str">
        <f>IFERROR(__xludf.DUMMYFUNCTION("""COMPUTED_VALUE"""),"INICIALIZADO")</f>
        <v>INICIALIZADO</v>
      </c>
      <c r="G5660" s="23">
        <f>IFERROR(__xludf.DUMMYFUNCTION("""COMPUTED_VALUE"""),45000.362905092596)</f>
        <v>45000.36291</v>
      </c>
      <c r="H5660" s="24" t="str">
        <f>IFERROR(VLOOKUP(B5660,material!A:D,3,0),"")</f>
        <v>CARD</v>
      </c>
    </row>
    <row r="5661" ht="11.25" customHeight="1">
      <c r="A5661" s="21" t="str">
        <f>IFERROR(__xludf.DUMMYFUNCTION("""COMPUTED_VALUE"""),"SMART CARD PRETO NAGRA")</f>
        <v>SMART CARD PRETO NAGRA</v>
      </c>
      <c r="B5661" s="22">
        <f>IFERROR(__xludf.DUMMYFUNCTION("""COMPUTED_VALUE"""),4.1001234E7)</f>
        <v>41001234</v>
      </c>
      <c r="C5661" s="21" t="str">
        <f>IFERROR(__xludf.DUMMYFUNCTION("""COMPUTED_VALUE"""),"246347840619")</f>
        <v>246347840619</v>
      </c>
      <c r="D5661" s="21" t="str">
        <f>IFERROR(__xludf.DUMMYFUNCTION("""COMPUTED_VALUE"""),"DIGITEC TECNOLOGIA DIGITAL E REPRES")</f>
        <v>DIGITEC TECNOLOGIA DIGITAL E REPRES</v>
      </c>
      <c r="E5661" s="21">
        <f>IFERROR(__xludf.DUMMYFUNCTION("""COMPUTED_VALUE"""),145359.0)</f>
        <v>145359</v>
      </c>
      <c r="F5661" s="21" t="str">
        <f>IFERROR(__xludf.DUMMYFUNCTION("""COMPUTED_VALUE"""),"INICIALIZADO")</f>
        <v>INICIALIZADO</v>
      </c>
      <c r="G5661" s="23">
        <f>IFERROR(__xludf.DUMMYFUNCTION("""COMPUTED_VALUE"""),45000.35530092593)</f>
        <v>45000.3553</v>
      </c>
      <c r="H5661" s="24" t="str">
        <f>IFERROR(VLOOKUP(B5661,material!A:D,3,0),"")</f>
        <v>CARD</v>
      </c>
    </row>
    <row r="5662" ht="11.25" customHeight="1">
      <c r="A5662" s="21" t="str">
        <f>IFERROR(__xludf.DUMMYFUNCTION("""COMPUTED_VALUE"""),"SMART CARD PRETO NAGRA")</f>
        <v>SMART CARD PRETO NAGRA</v>
      </c>
      <c r="B5662" s="22">
        <f>IFERROR(__xludf.DUMMYFUNCTION("""COMPUTED_VALUE"""),4.1001234E7)</f>
        <v>41001234</v>
      </c>
      <c r="C5662" s="21" t="str">
        <f>IFERROR(__xludf.DUMMYFUNCTION("""COMPUTED_VALUE"""),"246347844659")</f>
        <v>246347844659</v>
      </c>
      <c r="D5662" s="21" t="str">
        <f>IFERROR(__xludf.DUMMYFUNCTION("""COMPUTED_VALUE"""),"DIGITEC TECNOLOGIA DIGITAL E REPRES")</f>
        <v>DIGITEC TECNOLOGIA DIGITAL E REPRES</v>
      </c>
      <c r="E5662" s="21">
        <f>IFERROR(__xludf.DUMMYFUNCTION("""COMPUTED_VALUE"""),145359.0)</f>
        <v>145359</v>
      </c>
      <c r="F5662" s="21" t="str">
        <f>IFERROR(__xludf.DUMMYFUNCTION("""COMPUTED_VALUE"""),"INICIALIZADO")</f>
        <v>INICIALIZADO</v>
      </c>
      <c r="G5662" s="23">
        <f>IFERROR(__xludf.DUMMYFUNCTION("""COMPUTED_VALUE"""),45007.55200231481)</f>
        <v>45007.552</v>
      </c>
      <c r="H5662" s="24" t="str">
        <f>IFERROR(VLOOKUP(B5662,material!A:D,3,0),"")</f>
        <v>CARD</v>
      </c>
    </row>
    <row r="5663" ht="11.25" customHeight="1">
      <c r="A5663" s="21" t="str">
        <f>IFERROR(__xludf.DUMMYFUNCTION("""COMPUTED_VALUE"""),"SMART CARD PRETO NAGRA")</f>
        <v>SMART CARD PRETO NAGRA</v>
      </c>
      <c r="B5663" s="22">
        <f>IFERROR(__xludf.DUMMYFUNCTION("""COMPUTED_VALUE"""),4.1001234E7)</f>
        <v>41001234</v>
      </c>
      <c r="C5663" s="21" t="str">
        <f>IFERROR(__xludf.DUMMYFUNCTION("""COMPUTED_VALUE"""),"246347851529")</f>
        <v>246347851529</v>
      </c>
      <c r="D5663" s="21" t="str">
        <f>IFERROR(__xludf.DUMMYFUNCTION("""COMPUTED_VALUE"""),"DIGITEC TECNOLOGIA DIGITAL E REPRES")</f>
        <v>DIGITEC TECNOLOGIA DIGITAL E REPRES</v>
      </c>
      <c r="E5663" s="21">
        <f>IFERROR(__xludf.DUMMYFUNCTION("""COMPUTED_VALUE"""),145359.0)</f>
        <v>145359</v>
      </c>
      <c r="F5663" s="21" t="str">
        <f>IFERROR(__xludf.DUMMYFUNCTION("""COMPUTED_VALUE"""),"INICIALIZADO")</f>
        <v>INICIALIZADO</v>
      </c>
      <c r="G5663" s="23">
        <f>IFERROR(__xludf.DUMMYFUNCTION("""COMPUTED_VALUE"""),45000.35530092593)</f>
        <v>45000.3553</v>
      </c>
      <c r="H5663" s="24" t="str">
        <f>IFERROR(VLOOKUP(B5663,material!A:D,3,0),"")</f>
        <v>CARD</v>
      </c>
    </row>
    <row r="5664" ht="11.25" customHeight="1">
      <c r="A5664" s="21" t="str">
        <f>IFERROR(__xludf.DUMMYFUNCTION("""COMPUTED_VALUE"""),"SMART CARD PRETO NAGRA")</f>
        <v>SMART CARD PRETO NAGRA</v>
      </c>
      <c r="B5664" s="22">
        <f>IFERROR(__xludf.DUMMYFUNCTION("""COMPUTED_VALUE"""),4.1001234E7)</f>
        <v>41001234</v>
      </c>
      <c r="C5664" s="21" t="str">
        <f>IFERROR(__xludf.DUMMYFUNCTION("""COMPUTED_VALUE"""),"246347378092")</f>
        <v>246347378092</v>
      </c>
      <c r="D5664" s="21" t="str">
        <f>IFERROR(__xludf.DUMMYFUNCTION("""COMPUTED_VALUE"""),"DIGITEC TECNOLOGIA DIGITAL E REPRES")</f>
        <v>DIGITEC TECNOLOGIA DIGITAL E REPRES</v>
      </c>
      <c r="E5664" s="21">
        <f>IFERROR(__xludf.DUMMYFUNCTION("""COMPUTED_VALUE"""),145359.0)</f>
        <v>145359</v>
      </c>
      <c r="F5664" s="21" t="str">
        <f>IFERROR(__xludf.DUMMYFUNCTION("""COMPUTED_VALUE"""),"INICIALIZADO")</f>
        <v>INICIALIZADO</v>
      </c>
      <c r="G5664" s="23">
        <f>IFERROR(__xludf.DUMMYFUNCTION("""COMPUTED_VALUE"""),45635.53491898148)</f>
        <v>45635.53492</v>
      </c>
      <c r="H5664" s="24" t="str">
        <f>IFERROR(VLOOKUP(B5664,material!A:D,3,0),"")</f>
        <v>CARD</v>
      </c>
    </row>
    <row r="5665" ht="11.25" customHeight="1">
      <c r="A5665" s="21" t="str">
        <f>IFERROR(__xludf.DUMMYFUNCTION("""COMPUTED_VALUE"""),"SMART CARD PRETO NAGRA")</f>
        <v>SMART CARD PRETO NAGRA</v>
      </c>
      <c r="B5665" s="22">
        <f>IFERROR(__xludf.DUMMYFUNCTION("""COMPUTED_VALUE"""),4.1001234E7)</f>
        <v>41001234</v>
      </c>
      <c r="C5665" s="21" t="str">
        <f>IFERROR(__xludf.DUMMYFUNCTION("""COMPUTED_VALUE"""),"246347275254")</f>
        <v>246347275254</v>
      </c>
      <c r="D5665" s="21" t="str">
        <f>IFERROR(__xludf.DUMMYFUNCTION("""COMPUTED_VALUE"""),"DIGITEC TECNOLOGIA DIGITAL E REPRES")</f>
        <v>DIGITEC TECNOLOGIA DIGITAL E REPRES</v>
      </c>
      <c r="E5665" s="21">
        <f>IFERROR(__xludf.DUMMYFUNCTION("""COMPUTED_VALUE"""),145359.0)</f>
        <v>145359</v>
      </c>
      <c r="F5665" s="21" t="str">
        <f>IFERROR(__xludf.DUMMYFUNCTION("""COMPUTED_VALUE"""),"INICIALIZADO")</f>
        <v>INICIALIZADO</v>
      </c>
      <c r="G5665" s="23">
        <f>IFERROR(__xludf.DUMMYFUNCTION("""COMPUTED_VALUE"""),45000.35530092593)</f>
        <v>45000.3553</v>
      </c>
      <c r="H5665" s="24" t="str">
        <f>IFERROR(VLOOKUP(B5665,material!A:D,3,0),"")</f>
        <v>CARD</v>
      </c>
    </row>
    <row r="5666" ht="11.25" customHeight="1">
      <c r="A5666" s="21" t="str">
        <f>IFERROR(__xludf.DUMMYFUNCTION("""COMPUTED_VALUE"""),"SMART CARD PRETO NAGRA")</f>
        <v>SMART CARD PRETO NAGRA</v>
      </c>
      <c r="B5666" s="22">
        <f>IFERROR(__xludf.DUMMYFUNCTION("""COMPUTED_VALUE"""),4.1001234E7)</f>
        <v>41001234</v>
      </c>
      <c r="C5666" s="21" t="str">
        <f>IFERROR(__xludf.DUMMYFUNCTION("""COMPUTED_VALUE"""),"246347942828")</f>
        <v>246347942828</v>
      </c>
      <c r="D5666" s="21" t="str">
        <f>IFERROR(__xludf.DUMMYFUNCTION("""COMPUTED_VALUE"""),"DIGITEC TECNOLOGIA DIGITAL E REPRES")</f>
        <v>DIGITEC TECNOLOGIA DIGITAL E REPRES</v>
      </c>
      <c r="E5666" s="21">
        <f>IFERROR(__xludf.DUMMYFUNCTION("""COMPUTED_VALUE"""),145359.0)</f>
        <v>145359</v>
      </c>
      <c r="F5666" s="21" t="str">
        <f>IFERROR(__xludf.DUMMYFUNCTION("""COMPUTED_VALUE"""),"INICIALIZADO")</f>
        <v>INICIALIZADO</v>
      </c>
      <c r="G5666" s="23">
        <f>IFERROR(__xludf.DUMMYFUNCTION("""COMPUTED_VALUE"""),45000.781805555554)</f>
        <v>45000.78181</v>
      </c>
      <c r="H5666" s="24" t="str">
        <f>IFERROR(VLOOKUP(B5666,material!A:D,3,0),"")</f>
        <v>CARD</v>
      </c>
    </row>
    <row r="5667" ht="11.25" customHeight="1">
      <c r="A5667" s="21" t="str">
        <f>IFERROR(__xludf.DUMMYFUNCTION("""COMPUTED_VALUE"""),"SMART CARD PRETO NAGRA")</f>
        <v>SMART CARD PRETO NAGRA</v>
      </c>
      <c r="B5667" s="22">
        <f>IFERROR(__xludf.DUMMYFUNCTION("""COMPUTED_VALUE"""),4.1001234E7)</f>
        <v>41001234</v>
      </c>
      <c r="C5667" s="21" t="str">
        <f>IFERROR(__xludf.DUMMYFUNCTION("""COMPUTED_VALUE"""),"246347856882")</f>
        <v>246347856882</v>
      </c>
      <c r="D5667" s="21" t="str">
        <f>IFERROR(__xludf.DUMMYFUNCTION("""COMPUTED_VALUE"""),"DIGITEC TECNOLOGIA DIGITAL E REPRES")</f>
        <v>DIGITEC TECNOLOGIA DIGITAL E REPRES</v>
      </c>
      <c r="E5667" s="21">
        <f>IFERROR(__xludf.DUMMYFUNCTION("""COMPUTED_VALUE"""),145359.0)</f>
        <v>145359</v>
      </c>
      <c r="F5667" s="21" t="str">
        <f>IFERROR(__xludf.DUMMYFUNCTION("""COMPUTED_VALUE"""),"INICIALIZADO")</f>
        <v>INICIALIZADO</v>
      </c>
      <c r="G5667" s="23">
        <f>IFERROR(__xludf.DUMMYFUNCTION("""COMPUTED_VALUE"""),45000.35530092593)</f>
        <v>45000.3553</v>
      </c>
      <c r="H5667" s="24" t="str">
        <f>IFERROR(VLOOKUP(B5667,material!A:D,3,0),"")</f>
        <v>CARD</v>
      </c>
    </row>
    <row r="5668" ht="11.25" customHeight="1">
      <c r="A5668" s="21" t="str">
        <f>IFERROR(__xludf.DUMMYFUNCTION("""COMPUTED_VALUE"""),"SMART CARD PRETO NAGRA")</f>
        <v>SMART CARD PRETO NAGRA</v>
      </c>
      <c r="B5668" s="22">
        <f>IFERROR(__xludf.DUMMYFUNCTION("""COMPUTED_VALUE"""),4.1001234E7)</f>
        <v>41001234</v>
      </c>
      <c r="C5668" s="21" t="str">
        <f>IFERROR(__xludf.DUMMYFUNCTION("""COMPUTED_VALUE"""),"246347849609")</f>
        <v>246347849609</v>
      </c>
      <c r="D5668" s="21" t="str">
        <f>IFERROR(__xludf.DUMMYFUNCTION("""COMPUTED_VALUE"""),"DIGITEC TECNOLOGIA DIGITAL E REPRES")</f>
        <v>DIGITEC TECNOLOGIA DIGITAL E REPRES</v>
      </c>
      <c r="E5668" s="21">
        <f>IFERROR(__xludf.DUMMYFUNCTION("""COMPUTED_VALUE"""),145359.0)</f>
        <v>145359</v>
      </c>
      <c r="F5668" s="21" t="str">
        <f>IFERROR(__xludf.DUMMYFUNCTION("""COMPUTED_VALUE"""),"INICIALIZADO")</f>
        <v>INICIALIZADO</v>
      </c>
      <c r="G5668" s="23">
        <f>IFERROR(__xludf.DUMMYFUNCTION("""COMPUTED_VALUE"""),45000.35530092593)</f>
        <v>45000.3553</v>
      </c>
      <c r="H5668" s="24" t="str">
        <f>IFERROR(VLOOKUP(B5668,material!A:D,3,0),"")</f>
        <v>CARD</v>
      </c>
    </row>
    <row r="5669" ht="11.25" customHeight="1">
      <c r="A5669" s="21" t="str">
        <f>IFERROR(__xludf.DUMMYFUNCTION("""COMPUTED_VALUE"""),"SMART CARD PRETO NAGRA")</f>
        <v>SMART CARD PRETO NAGRA</v>
      </c>
      <c r="B5669" s="22">
        <f>IFERROR(__xludf.DUMMYFUNCTION("""COMPUTED_VALUE"""),4.1001234E7)</f>
        <v>41001234</v>
      </c>
      <c r="C5669" s="21" t="str">
        <f>IFERROR(__xludf.DUMMYFUNCTION("""COMPUTED_VALUE"""),"246347840720")</f>
        <v>246347840720</v>
      </c>
      <c r="D5669" s="21" t="str">
        <f>IFERROR(__xludf.DUMMYFUNCTION("""COMPUTED_VALUE"""),"DIGITEC TECNOLOGIA DIGITAL E REPRES")</f>
        <v>DIGITEC TECNOLOGIA DIGITAL E REPRES</v>
      </c>
      <c r="E5669" s="21">
        <f>IFERROR(__xludf.DUMMYFUNCTION("""COMPUTED_VALUE"""),145359.0)</f>
        <v>145359</v>
      </c>
      <c r="F5669" s="21" t="str">
        <f>IFERROR(__xludf.DUMMYFUNCTION("""COMPUTED_VALUE"""),"INICIALIZADO")</f>
        <v>INICIALIZADO</v>
      </c>
      <c r="G5669" s="23">
        <f>IFERROR(__xludf.DUMMYFUNCTION("""COMPUTED_VALUE"""),45000.35530092593)</f>
        <v>45000.3553</v>
      </c>
      <c r="H5669" s="24" t="str">
        <f>IFERROR(VLOOKUP(B5669,material!A:D,3,0),"")</f>
        <v>CARD</v>
      </c>
    </row>
    <row r="5670" ht="11.25" customHeight="1">
      <c r="A5670" s="21" t="str">
        <f>IFERROR(__xludf.DUMMYFUNCTION("""COMPUTED_VALUE"""),"SMART CARD PRETO NAGRA")</f>
        <v>SMART CARD PRETO NAGRA</v>
      </c>
      <c r="B5670" s="22">
        <f>IFERROR(__xludf.DUMMYFUNCTION("""COMPUTED_VALUE"""),4.1001234E7)</f>
        <v>41001234</v>
      </c>
      <c r="C5670" s="21" t="str">
        <f>IFERROR(__xludf.DUMMYFUNCTION("""COMPUTED_VALUE"""),"246241102031")</f>
        <v>246241102031</v>
      </c>
      <c r="D5670" s="21" t="str">
        <f>IFERROR(__xludf.DUMMYFUNCTION("""COMPUTED_VALUE"""),"DIGITEC TECNOLOGIA DIGITAL E REPRES")</f>
        <v>DIGITEC TECNOLOGIA DIGITAL E REPRES</v>
      </c>
      <c r="E5670" s="21">
        <f>IFERROR(__xludf.DUMMYFUNCTION("""COMPUTED_VALUE"""),145359.0)</f>
        <v>145359</v>
      </c>
      <c r="F5670" s="21" t="str">
        <f>IFERROR(__xludf.DUMMYFUNCTION("""COMPUTED_VALUE"""),"INICIALIZADO")</f>
        <v>INICIALIZADO</v>
      </c>
      <c r="G5670" s="23">
        <f>IFERROR(__xludf.DUMMYFUNCTION("""COMPUTED_VALUE"""),45635.53491898148)</f>
        <v>45635.53492</v>
      </c>
      <c r="H5670" s="24" t="str">
        <f>IFERROR(VLOOKUP(B5670,material!A:D,3,0),"")</f>
        <v>CARD</v>
      </c>
    </row>
    <row r="5671" ht="11.25" customHeight="1">
      <c r="A5671" s="21" t="str">
        <f>IFERROR(__xludf.DUMMYFUNCTION("""COMPUTED_VALUE"""),"SMART CARD LARANJA")</f>
        <v>SMART CARD LARANJA</v>
      </c>
      <c r="B5671" s="22">
        <f>IFERROR(__xludf.DUMMYFUNCTION("""COMPUTED_VALUE"""),4.1001186E7)</f>
        <v>41001186</v>
      </c>
      <c r="C5671" s="21" t="str">
        <f>IFERROR(__xludf.DUMMYFUNCTION("""COMPUTED_VALUE"""),"225867446472")</f>
        <v>225867446472</v>
      </c>
      <c r="D5671" s="21" t="str">
        <f>IFERROR(__xludf.DUMMYFUNCTION("""COMPUTED_VALUE"""),"DIGITEC TECNOLOGIA DIGITAL E REPRES")</f>
        <v>DIGITEC TECNOLOGIA DIGITAL E REPRES</v>
      </c>
      <c r="E5671" s="21">
        <f>IFERROR(__xludf.DUMMYFUNCTION("""COMPUTED_VALUE"""),145359.0)</f>
        <v>145359</v>
      </c>
      <c r="F5671" s="21" t="str">
        <f>IFERROR(__xludf.DUMMYFUNCTION("""COMPUTED_VALUE"""),"INICIALIZADO")</f>
        <v>INICIALIZADO</v>
      </c>
      <c r="G5671" s="23">
        <f>IFERROR(__xludf.DUMMYFUNCTION("""COMPUTED_VALUE"""),45022.68949074074)</f>
        <v>45022.68949</v>
      </c>
      <c r="H5671" s="24" t="str">
        <f>IFERROR(VLOOKUP(B5671,material!A:D,3,0),"")</f>
        <v>CARD</v>
      </c>
    </row>
    <row r="5672" ht="11.25" customHeight="1">
      <c r="A5672" s="21"/>
      <c r="B5672" s="22"/>
      <c r="C5672" s="21"/>
      <c r="D5672" s="21"/>
      <c r="E5672" s="21"/>
      <c r="F5672" s="21"/>
      <c r="G5672" s="23"/>
      <c r="H5672" s="24" t="str">
        <f>IFERROR(VLOOKUP(B5672,material!A:D,3,0),"")</f>
        <v/>
      </c>
    </row>
    <row r="5673" ht="11.25" customHeight="1">
      <c r="A5673" s="21"/>
      <c r="B5673" s="22"/>
      <c r="C5673" s="21"/>
      <c r="D5673" s="21"/>
      <c r="E5673" s="21"/>
      <c r="F5673" s="21"/>
      <c r="G5673" s="23"/>
      <c r="H5673" s="24" t="str">
        <f>IFERROR(VLOOKUP(B5673,material!A:D,3,0),"")</f>
        <v/>
      </c>
    </row>
    <row r="5674" ht="11.25" customHeight="1">
      <c r="A5674" s="21"/>
      <c r="B5674" s="22"/>
      <c r="C5674" s="21"/>
      <c r="D5674" s="21"/>
      <c r="E5674" s="21"/>
      <c r="F5674" s="21"/>
      <c r="G5674" s="23"/>
      <c r="H5674" s="24" t="str">
        <f>IFERROR(VLOOKUP(B5674,material!A:D,3,0),"")</f>
        <v/>
      </c>
    </row>
    <row r="5675" ht="11.25" customHeight="1">
      <c r="A5675" s="21"/>
      <c r="B5675" s="22"/>
      <c r="C5675" s="21"/>
      <c r="D5675" s="21"/>
      <c r="E5675" s="21"/>
      <c r="F5675" s="21"/>
      <c r="G5675" s="23"/>
      <c r="H5675" s="24" t="str">
        <f>IFERROR(VLOOKUP(B5675,material!A:D,3,0),"")</f>
        <v/>
      </c>
    </row>
    <row r="5676" ht="11.25" customHeight="1">
      <c r="A5676" s="21"/>
      <c r="B5676" s="22"/>
      <c r="C5676" s="21"/>
      <c r="D5676" s="21"/>
      <c r="E5676" s="21"/>
      <c r="F5676" s="21"/>
      <c r="G5676" s="23"/>
      <c r="H5676" s="24" t="str">
        <f>IFERROR(VLOOKUP(B5676,material!A:D,3,0),"")</f>
        <v/>
      </c>
    </row>
    <row r="5677" ht="11.25" customHeight="1">
      <c r="A5677" s="21"/>
      <c r="B5677" s="22"/>
      <c r="C5677" s="21"/>
      <c r="D5677" s="21"/>
      <c r="E5677" s="21"/>
      <c r="F5677" s="21"/>
      <c r="G5677" s="23"/>
      <c r="H5677" s="24" t="str">
        <f>IFERROR(VLOOKUP(B5677,material!A:D,3,0),"")</f>
        <v/>
      </c>
    </row>
    <row r="5678" ht="11.25" customHeight="1">
      <c r="A5678" s="21"/>
      <c r="B5678" s="22"/>
      <c r="C5678" s="21"/>
      <c r="D5678" s="21"/>
      <c r="E5678" s="21"/>
      <c r="F5678" s="21"/>
      <c r="G5678" s="23"/>
      <c r="H5678" s="24" t="str">
        <f>IFERROR(VLOOKUP(B5678,material!A:D,3,0),"")</f>
        <v/>
      </c>
    </row>
    <row r="5679" ht="11.25" customHeight="1">
      <c r="A5679" s="21"/>
      <c r="B5679" s="22"/>
      <c r="C5679" s="21"/>
      <c r="D5679" s="21"/>
      <c r="E5679" s="21"/>
      <c r="F5679" s="21"/>
      <c r="G5679" s="23"/>
      <c r="H5679" s="24" t="str">
        <f>IFERROR(VLOOKUP(B5679,material!A:D,3,0),"")</f>
        <v/>
      </c>
    </row>
    <row r="5680" ht="11.25" customHeight="1">
      <c r="A5680" s="21"/>
      <c r="B5680" s="22"/>
      <c r="C5680" s="21"/>
      <c r="D5680" s="21"/>
      <c r="E5680" s="21"/>
      <c r="F5680" s="21"/>
      <c r="G5680" s="23"/>
      <c r="H5680" s="24" t="str">
        <f>IFERROR(VLOOKUP(B5680,material!A:D,3,0),"")</f>
        <v/>
      </c>
    </row>
    <row r="5681" ht="11.25" customHeight="1">
      <c r="A5681" s="21"/>
      <c r="B5681" s="22"/>
      <c r="C5681" s="21"/>
      <c r="D5681" s="21"/>
      <c r="E5681" s="21"/>
      <c r="F5681" s="21"/>
      <c r="G5681" s="23"/>
      <c r="H5681" s="24" t="str">
        <f>IFERROR(VLOOKUP(B5681,material!A:D,3,0),"")</f>
        <v/>
      </c>
    </row>
    <row r="5682" ht="11.25" customHeight="1">
      <c r="A5682" s="21"/>
      <c r="B5682" s="22"/>
      <c r="C5682" s="21"/>
      <c r="D5682" s="21"/>
      <c r="E5682" s="21"/>
      <c r="F5682" s="21"/>
      <c r="G5682" s="23"/>
      <c r="H5682" s="24" t="str">
        <f>IFERROR(VLOOKUP(B5682,material!A:D,3,0),"")</f>
        <v/>
      </c>
    </row>
    <row r="5683" ht="11.25" customHeight="1">
      <c r="A5683" s="21"/>
      <c r="B5683" s="22"/>
      <c r="C5683" s="21"/>
      <c r="D5683" s="21"/>
      <c r="E5683" s="21"/>
      <c r="F5683" s="21"/>
      <c r="G5683" s="23"/>
      <c r="H5683" s="24" t="str">
        <f>IFERROR(VLOOKUP(B5683,material!A:D,3,0),"")</f>
        <v/>
      </c>
    </row>
    <row r="5684" ht="11.25" customHeight="1">
      <c r="A5684" s="21"/>
      <c r="B5684" s="22"/>
      <c r="C5684" s="21"/>
      <c r="D5684" s="21"/>
      <c r="E5684" s="21"/>
      <c r="F5684" s="21"/>
      <c r="G5684" s="23"/>
      <c r="H5684" s="24" t="str">
        <f>IFERROR(VLOOKUP(B5684,material!A:D,3,0),"")</f>
        <v/>
      </c>
    </row>
    <row r="5685" ht="11.25" customHeight="1">
      <c r="A5685" s="21"/>
      <c r="B5685" s="22"/>
      <c r="C5685" s="21"/>
      <c r="D5685" s="21"/>
      <c r="E5685" s="21"/>
      <c r="F5685" s="21"/>
      <c r="G5685" s="23"/>
      <c r="H5685" s="24" t="str">
        <f>IFERROR(VLOOKUP(B5685,material!A:D,3,0),"")</f>
        <v/>
      </c>
    </row>
    <row r="5686" ht="11.25" customHeight="1">
      <c r="A5686" s="21"/>
      <c r="B5686" s="22"/>
      <c r="C5686" s="21"/>
      <c r="D5686" s="21"/>
      <c r="E5686" s="21"/>
      <c r="F5686" s="21"/>
      <c r="G5686" s="23"/>
      <c r="H5686" s="24" t="str">
        <f>IFERROR(VLOOKUP(B5686,material!A:D,3,0),"")</f>
        <v/>
      </c>
    </row>
    <row r="5687" ht="11.25" customHeight="1">
      <c r="A5687" s="21"/>
      <c r="B5687" s="22"/>
      <c r="C5687" s="21"/>
      <c r="D5687" s="21"/>
      <c r="E5687" s="21"/>
      <c r="F5687" s="21"/>
      <c r="G5687" s="23"/>
      <c r="H5687" s="24" t="str">
        <f>IFERROR(VLOOKUP(B5687,material!A:D,3,0),"")</f>
        <v/>
      </c>
    </row>
    <row r="5688" ht="11.25" customHeight="1">
      <c r="A5688" s="21"/>
      <c r="B5688" s="22"/>
      <c r="C5688" s="21"/>
      <c r="D5688" s="21"/>
      <c r="E5688" s="21"/>
      <c r="F5688" s="21"/>
      <c r="G5688" s="23"/>
      <c r="H5688" s="24" t="str">
        <f>IFERROR(VLOOKUP(B5688,material!A:D,3,0),"")</f>
        <v/>
      </c>
    </row>
    <row r="5689" ht="11.25" customHeight="1">
      <c r="A5689" s="21"/>
      <c r="B5689" s="22"/>
      <c r="C5689" s="21"/>
      <c r="D5689" s="21"/>
      <c r="E5689" s="21"/>
      <c r="F5689" s="21"/>
      <c r="G5689" s="23"/>
      <c r="H5689" s="24" t="str">
        <f>IFERROR(VLOOKUP(B5689,material!A:D,3,0),"")</f>
        <v/>
      </c>
    </row>
    <row r="5690" ht="11.25" customHeight="1">
      <c r="A5690" s="21"/>
      <c r="B5690" s="22"/>
      <c r="C5690" s="21"/>
      <c r="D5690" s="21"/>
      <c r="E5690" s="21"/>
      <c r="F5690" s="21"/>
      <c r="G5690" s="23"/>
      <c r="H5690" s="24" t="str">
        <f>IFERROR(VLOOKUP(B5690,material!A:D,3,0),"")</f>
        <v/>
      </c>
    </row>
    <row r="5691" ht="11.25" customHeight="1">
      <c r="A5691" s="21"/>
      <c r="B5691" s="22"/>
      <c r="C5691" s="21"/>
      <c r="D5691" s="21"/>
      <c r="E5691" s="21"/>
      <c r="F5691" s="21"/>
      <c r="G5691" s="23"/>
      <c r="H5691" s="24" t="str">
        <f>IFERROR(VLOOKUP(B5691,material!A:D,3,0),"")</f>
        <v/>
      </c>
    </row>
    <row r="5692" ht="11.25" customHeight="1">
      <c r="A5692" s="21"/>
      <c r="B5692" s="22"/>
      <c r="C5692" s="21"/>
      <c r="D5692" s="21"/>
      <c r="E5692" s="21"/>
      <c r="F5692" s="21"/>
      <c r="G5692" s="23"/>
      <c r="H5692" s="24" t="str">
        <f>IFERROR(VLOOKUP(B5692,material!A:D,3,0),"")</f>
        <v/>
      </c>
    </row>
    <row r="5693" ht="11.25" customHeight="1">
      <c r="A5693" s="21"/>
      <c r="B5693" s="22"/>
      <c r="C5693" s="21"/>
      <c r="D5693" s="21"/>
      <c r="E5693" s="21"/>
      <c r="F5693" s="21"/>
      <c r="G5693" s="23"/>
      <c r="H5693" s="24" t="str">
        <f>IFERROR(VLOOKUP(B5693,material!A:D,3,0),"")</f>
        <v/>
      </c>
    </row>
    <row r="5694" ht="11.25" customHeight="1">
      <c r="A5694" s="21"/>
      <c r="B5694" s="22"/>
      <c r="C5694" s="21"/>
      <c r="D5694" s="21"/>
      <c r="E5694" s="21"/>
      <c r="F5694" s="21"/>
      <c r="G5694" s="23"/>
      <c r="H5694" s="24" t="str">
        <f>IFERROR(VLOOKUP(B5694,material!A:D,3,0),"")</f>
        <v/>
      </c>
    </row>
    <row r="5695" ht="11.25" customHeight="1">
      <c r="A5695" s="21"/>
      <c r="B5695" s="22"/>
      <c r="C5695" s="21"/>
      <c r="D5695" s="21"/>
      <c r="E5695" s="21"/>
      <c r="F5695" s="21"/>
      <c r="G5695" s="23"/>
      <c r="H5695" s="24" t="str">
        <f>IFERROR(VLOOKUP(B5695,material!A:D,3,0),"")</f>
        <v/>
      </c>
    </row>
    <row r="5696" ht="11.25" customHeight="1">
      <c r="A5696" s="21"/>
      <c r="B5696" s="22"/>
      <c r="C5696" s="21"/>
      <c r="D5696" s="21"/>
      <c r="E5696" s="21"/>
      <c r="F5696" s="21"/>
      <c r="G5696" s="23"/>
      <c r="H5696" s="24" t="str">
        <f>IFERROR(VLOOKUP(B5696,material!A:D,3,0),"")</f>
        <v/>
      </c>
    </row>
    <row r="5697" ht="11.25" customHeight="1">
      <c r="A5697" s="21"/>
      <c r="B5697" s="22"/>
      <c r="C5697" s="21"/>
      <c r="D5697" s="21"/>
      <c r="E5697" s="21"/>
      <c r="F5697" s="21"/>
      <c r="G5697" s="23"/>
      <c r="H5697" s="24" t="str">
        <f>IFERROR(VLOOKUP(B5697,material!A:D,3,0),"")</f>
        <v/>
      </c>
    </row>
    <row r="5698" ht="11.25" customHeight="1">
      <c r="A5698" s="21"/>
      <c r="B5698" s="22"/>
      <c r="C5698" s="21"/>
      <c r="D5698" s="21"/>
      <c r="E5698" s="21"/>
      <c r="F5698" s="21"/>
      <c r="G5698" s="23"/>
      <c r="H5698" s="24" t="str">
        <f>IFERROR(VLOOKUP(B5698,material!A:D,3,0),"")</f>
        <v/>
      </c>
    </row>
    <row r="5699" ht="11.25" customHeight="1">
      <c r="A5699" s="21"/>
      <c r="B5699" s="22"/>
      <c r="C5699" s="21"/>
      <c r="D5699" s="21"/>
      <c r="E5699" s="21"/>
      <c r="F5699" s="21"/>
      <c r="G5699" s="23"/>
      <c r="H5699" s="24" t="str">
        <f>IFERROR(VLOOKUP(B5699,material!A:D,3,0),"")</f>
        <v/>
      </c>
    </row>
    <row r="5700" ht="11.25" customHeight="1">
      <c r="A5700" s="21"/>
      <c r="B5700" s="22"/>
      <c r="C5700" s="21"/>
      <c r="D5700" s="21"/>
      <c r="E5700" s="21"/>
      <c r="F5700" s="21"/>
      <c r="G5700" s="23"/>
      <c r="H5700" s="24" t="str">
        <f>IFERROR(VLOOKUP(B5700,material!A:D,3,0),"")</f>
        <v/>
      </c>
    </row>
    <row r="5701" ht="11.25" customHeight="1">
      <c r="A5701" s="21"/>
      <c r="B5701" s="22"/>
      <c r="C5701" s="21"/>
      <c r="D5701" s="21"/>
      <c r="E5701" s="21"/>
      <c r="F5701" s="21"/>
      <c r="G5701" s="23"/>
      <c r="H5701" s="24" t="str">
        <f>IFERROR(VLOOKUP(B5701,material!A:D,3,0),"")</f>
        <v/>
      </c>
    </row>
    <row r="5702" ht="11.25" customHeight="1">
      <c r="A5702" s="21"/>
      <c r="B5702" s="22"/>
      <c r="C5702" s="21"/>
      <c r="D5702" s="21"/>
      <c r="E5702" s="21"/>
      <c r="F5702" s="21"/>
      <c r="G5702" s="23"/>
      <c r="H5702" s="24" t="str">
        <f>IFERROR(VLOOKUP(B5702,material!A:D,3,0),"")</f>
        <v/>
      </c>
    </row>
    <row r="5703" ht="11.25" customHeight="1">
      <c r="A5703" s="21"/>
      <c r="B5703" s="22"/>
      <c r="C5703" s="21"/>
      <c r="D5703" s="21"/>
      <c r="E5703" s="21"/>
      <c r="F5703" s="21"/>
      <c r="G5703" s="23"/>
      <c r="H5703" s="24" t="str">
        <f>IFERROR(VLOOKUP(B5703,material!A:D,3,0),"")</f>
        <v/>
      </c>
    </row>
    <row r="5704" ht="11.25" customHeight="1">
      <c r="A5704" s="21"/>
      <c r="B5704" s="22"/>
      <c r="C5704" s="21"/>
      <c r="D5704" s="21"/>
      <c r="E5704" s="21"/>
      <c r="F5704" s="21"/>
      <c r="G5704" s="23"/>
      <c r="H5704" s="24" t="str">
        <f>IFERROR(VLOOKUP(B5704,material!A:D,3,0),"")</f>
        <v/>
      </c>
    </row>
    <row r="5705" ht="11.25" customHeight="1">
      <c r="A5705" s="21"/>
      <c r="B5705" s="22"/>
      <c r="C5705" s="21"/>
      <c r="D5705" s="21"/>
      <c r="E5705" s="21"/>
      <c r="F5705" s="21"/>
      <c r="G5705" s="23"/>
      <c r="H5705" s="24" t="str">
        <f>IFERROR(VLOOKUP(B5705,material!A:D,3,0),"")</f>
        <v/>
      </c>
    </row>
    <row r="5706" ht="11.25" customHeight="1">
      <c r="A5706" s="21"/>
      <c r="B5706" s="22"/>
      <c r="C5706" s="21"/>
      <c r="D5706" s="21"/>
      <c r="E5706" s="21"/>
      <c r="F5706" s="21"/>
      <c r="G5706" s="23"/>
      <c r="H5706" s="24" t="str">
        <f>IFERROR(VLOOKUP(B5706,material!A:D,3,0),"")</f>
        <v/>
      </c>
    </row>
    <row r="5707" ht="11.25" customHeight="1">
      <c r="A5707" s="21"/>
      <c r="B5707" s="22"/>
      <c r="C5707" s="21"/>
      <c r="D5707" s="21"/>
      <c r="E5707" s="21"/>
      <c r="F5707" s="21"/>
      <c r="G5707" s="23"/>
      <c r="H5707" s="24" t="str">
        <f>IFERROR(VLOOKUP(B5707,material!A:D,3,0),"")</f>
        <v/>
      </c>
    </row>
    <row r="5708" ht="11.25" customHeight="1">
      <c r="A5708" s="21"/>
      <c r="B5708" s="22"/>
      <c r="C5708" s="21"/>
      <c r="D5708" s="21"/>
      <c r="E5708" s="21"/>
      <c r="F5708" s="21"/>
      <c r="G5708" s="23"/>
      <c r="H5708" s="24" t="str">
        <f>IFERROR(VLOOKUP(B5708,material!A:D,3,0),"")</f>
        <v/>
      </c>
    </row>
    <row r="5709" ht="11.25" customHeight="1">
      <c r="A5709" s="21"/>
      <c r="B5709" s="22"/>
      <c r="C5709" s="21"/>
      <c r="D5709" s="21"/>
      <c r="E5709" s="21"/>
      <c r="F5709" s="21"/>
      <c r="G5709" s="23"/>
      <c r="H5709" s="24" t="str">
        <f>IFERROR(VLOOKUP(B5709,material!A:D,3,0),"")</f>
        <v/>
      </c>
    </row>
    <row r="5710" ht="11.25" customHeight="1">
      <c r="A5710" s="21"/>
      <c r="B5710" s="22"/>
      <c r="C5710" s="21"/>
      <c r="D5710" s="21"/>
      <c r="E5710" s="21"/>
      <c r="F5710" s="21"/>
      <c r="G5710" s="23"/>
      <c r="H5710" s="24" t="str">
        <f>IFERROR(VLOOKUP(B5710,material!A:D,3,0),"")</f>
        <v/>
      </c>
    </row>
    <row r="5711" ht="11.25" customHeight="1">
      <c r="A5711" s="21"/>
      <c r="B5711" s="22"/>
      <c r="C5711" s="21"/>
      <c r="D5711" s="21"/>
      <c r="E5711" s="21"/>
      <c r="F5711" s="21"/>
      <c r="G5711" s="23"/>
      <c r="H5711" s="24" t="str">
        <f>IFERROR(VLOOKUP(B5711,material!A:D,3,0),"")</f>
        <v/>
      </c>
    </row>
    <row r="5712" ht="11.25" customHeight="1">
      <c r="A5712" s="21"/>
      <c r="B5712" s="22"/>
      <c r="C5712" s="21"/>
      <c r="D5712" s="21"/>
      <c r="E5712" s="21"/>
      <c r="F5712" s="21"/>
      <c r="G5712" s="23"/>
      <c r="H5712" s="24" t="str">
        <f>IFERROR(VLOOKUP(B5712,material!A:D,3,0),"")</f>
        <v/>
      </c>
    </row>
    <row r="5713" ht="11.25" customHeight="1">
      <c r="A5713" s="21"/>
      <c r="B5713" s="22"/>
      <c r="C5713" s="21"/>
      <c r="D5713" s="21"/>
      <c r="E5713" s="21"/>
      <c r="F5713" s="21"/>
      <c r="G5713" s="23"/>
      <c r="H5713" s="24" t="str">
        <f>IFERROR(VLOOKUP(B5713,material!A:D,3,0),"")</f>
        <v/>
      </c>
    </row>
    <row r="5714" ht="11.25" customHeight="1">
      <c r="A5714" s="21"/>
      <c r="B5714" s="22"/>
      <c r="C5714" s="21"/>
      <c r="D5714" s="21"/>
      <c r="E5714" s="21"/>
      <c r="F5714" s="21"/>
      <c r="G5714" s="23"/>
      <c r="H5714" s="24" t="str">
        <f>IFERROR(VLOOKUP(B5714,material!A:D,3,0),"")</f>
        <v/>
      </c>
    </row>
    <row r="5715" ht="11.25" customHeight="1">
      <c r="A5715" s="21"/>
      <c r="B5715" s="22"/>
      <c r="C5715" s="21"/>
      <c r="D5715" s="21"/>
      <c r="E5715" s="21"/>
      <c r="F5715" s="21"/>
      <c r="G5715" s="23"/>
      <c r="H5715" s="24" t="str">
        <f>IFERROR(VLOOKUP(B5715,material!A:D,3,0),"")</f>
        <v/>
      </c>
    </row>
    <row r="5716" ht="11.25" customHeight="1">
      <c r="A5716" s="21"/>
      <c r="B5716" s="22"/>
      <c r="C5716" s="21"/>
      <c r="D5716" s="21"/>
      <c r="E5716" s="21"/>
      <c r="F5716" s="21"/>
      <c r="G5716" s="23"/>
      <c r="H5716" s="24" t="str">
        <f>IFERROR(VLOOKUP(B5716,material!A:D,3,0),"")</f>
        <v/>
      </c>
    </row>
    <row r="5717" ht="11.25" customHeight="1">
      <c r="A5717" s="21"/>
      <c r="B5717" s="22"/>
      <c r="C5717" s="21"/>
      <c r="D5717" s="21"/>
      <c r="E5717" s="21"/>
      <c r="F5717" s="21"/>
      <c r="G5717" s="23"/>
      <c r="H5717" s="24" t="str">
        <f>IFERROR(VLOOKUP(B5717,material!A:D,3,0),"")</f>
        <v/>
      </c>
    </row>
    <row r="5718" ht="11.25" customHeight="1">
      <c r="A5718" s="21"/>
      <c r="B5718" s="22"/>
      <c r="C5718" s="21"/>
      <c r="D5718" s="21"/>
      <c r="E5718" s="21"/>
      <c r="F5718" s="21"/>
      <c r="G5718" s="23"/>
      <c r="H5718" s="24" t="str">
        <f>IFERROR(VLOOKUP(B5718,material!A:D,3,0),"")</f>
        <v/>
      </c>
    </row>
    <row r="5719" ht="11.25" customHeight="1">
      <c r="A5719" s="21"/>
      <c r="B5719" s="22"/>
      <c r="C5719" s="21"/>
      <c r="D5719" s="21"/>
      <c r="E5719" s="21"/>
      <c r="F5719" s="21"/>
      <c r="G5719" s="23"/>
      <c r="H5719" s="24" t="str">
        <f>IFERROR(VLOOKUP(B5719,material!A:D,3,0),"")</f>
        <v/>
      </c>
    </row>
    <row r="5720" ht="11.25" customHeight="1">
      <c r="A5720" s="21"/>
      <c r="B5720" s="22"/>
      <c r="C5720" s="21"/>
      <c r="D5720" s="21"/>
      <c r="E5720" s="21"/>
      <c r="F5720" s="21"/>
      <c r="G5720" s="23"/>
      <c r="H5720" s="24" t="str">
        <f>IFERROR(VLOOKUP(B5720,material!A:D,3,0),"")</f>
        <v/>
      </c>
    </row>
    <row r="5721" ht="11.25" customHeight="1">
      <c r="A5721" s="21"/>
      <c r="B5721" s="22"/>
      <c r="C5721" s="21"/>
      <c r="D5721" s="21"/>
      <c r="E5721" s="21"/>
      <c r="F5721" s="21"/>
      <c r="G5721" s="23"/>
      <c r="H5721" s="24" t="str">
        <f>IFERROR(VLOOKUP(B5721,material!A:D,3,0),"")</f>
        <v/>
      </c>
    </row>
    <row r="5722" ht="11.25" customHeight="1">
      <c r="A5722" s="21"/>
      <c r="B5722" s="22"/>
      <c r="C5722" s="21"/>
      <c r="D5722" s="21"/>
      <c r="E5722" s="21"/>
      <c r="F5722" s="21"/>
      <c r="G5722" s="23"/>
      <c r="H5722" s="24" t="str">
        <f>IFERROR(VLOOKUP(B5722,material!A:D,3,0),"")</f>
        <v/>
      </c>
    </row>
    <row r="5723" ht="11.25" customHeight="1">
      <c r="A5723" s="21"/>
      <c r="B5723" s="22"/>
      <c r="C5723" s="21"/>
      <c r="D5723" s="21"/>
      <c r="E5723" s="21"/>
      <c r="F5723" s="21"/>
      <c r="G5723" s="23"/>
      <c r="H5723" s="24" t="str">
        <f>IFERROR(VLOOKUP(B5723,material!A:D,3,0),"")</f>
        <v/>
      </c>
    </row>
    <row r="5724" ht="11.25" customHeight="1">
      <c r="A5724" s="21"/>
      <c r="B5724" s="22"/>
      <c r="C5724" s="21"/>
      <c r="D5724" s="21"/>
      <c r="E5724" s="21"/>
      <c r="F5724" s="21"/>
      <c r="G5724" s="23"/>
      <c r="H5724" s="24" t="str">
        <f>IFERROR(VLOOKUP(B5724,material!A:D,3,0),"")</f>
        <v/>
      </c>
    </row>
    <row r="5725" ht="11.25" customHeight="1">
      <c r="A5725" s="21"/>
      <c r="B5725" s="22"/>
      <c r="C5725" s="21"/>
      <c r="D5725" s="21"/>
      <c r="E5725" s="21"/>
      <c r="F5725" s="21"/>
      <c r="G5725" s="23"/>
      <c r="H5725" s="24" t="str">
        <f>IFERROR(VLOOKUP(B5725,material!A:D,3,0),"")</f>
        <v/>
      </c>
    </row>
    <row r="5726" ht="11.25" customHeight="1">
      <c r="A5726" s="21"/>
      <c r="B5726" s="22"/>
      <c r="C5726" s="21"/>
      <c r="D5726" s="21"/>
      <c r="E5726" s="21"/>
      <c r="F5726" s="21"/>
      <c r="G5726" s="23"/>
      <c r="H5726" s="24" t="str">
        <f>IFERROR(VLOOKUP(B5726,material!A:D,3,0),"")</f>
        <v/>
      </c>
    </row>
    <row r="5727" ht="11.25" customHeight="1">
      <c r="A5727" s="21"/>
      <c r="B5727" s="22"/>
      <c r="C5727" s="21"/>
      <c r="D5727" s="21"/>
      <c r="E5727" s="21"/>
      <c r="F5727" s="21"/>
      <c r="G5727" s="23"/>
      <c r="H5727" s="24" t="str">
        <f>IFERROR(VLOOKUP(B5727,material!A:D,3,0),"")</f>
        <v/>
      </c>
    </row>
    <row r="5728" ht="11.25" customHeight="1">
      <c r="A5728" s="21"/>
      <c r="B5728" s="22"/>
      <c r="C5728" s="21"/>
      <c r="D5728" s="21"/>
      <c r="E5728" s="21"/>
      <c r="F5728" s="21"/>
      <c r="G5728" s="23"/>
      <c r="H5728" s="24" t="str">
        <f>IFERROR(VLOOKUP(B5728,material!A:D,3,0),"")</f>
        <v/>
      </c>
    </row>
    <row r="5729" ht="11.25" customHeight="1">
      <c r="A5729" s="21"/>
      <c r="B5729" s="22"/>
      <c r="C5729" s="21"/>
      <c r="D5729" s="21"/>
      <c r="E5729" s="21"/>
      <c r="F5729" s="21"/>
      <c r="G5729" s="23"/>
      <c r="H5729" s="24" t="str">
        <f>IFERROR(VLOOKUP(B5729,material!A:D,3,0),"")</f>
        <v/>
      </c>
    </row>
    <row r="5730" ht="11.25" customHeight="1">
      <c r="A5730" s="21"/>
      <c r="B5730" s="22"/>
      <c r="C5730" s="21"/>
      <c r="D5730" s="21"/>
      <c r="E5730" s="21"/>
      <c r="F5730" s="21"/>
      <c r="G5730" s="23"/>
      <c r="H5730" s="24" t="str">
        <f>IFERROR(VLOOKUP(B5730,material!A:D,3,0),"")</f>
        <v/>
      </c>
    </row>
    <row r="5731" ht="11.25" customHeight="1">
      <c r="A5731" s="21"/>
      <c r="B5731" s="22"/>
      <c r="C5731" s="21"/>
      <c r="D5731" s="21"/>
      <c r="E5731" s="21"/>
      <c r="F5731" s="21"/>
      <c r="G5731" s="23"/>
      <c r="H5731" s="24" t="str">
        <f>IFERROR(VLOOKUP(B5731,material!A:D,3,0),"")</f>
        <v/>
      </c>
    </row>
    <row r="5732" ht="11.25" customHeight="1">
      <c r="A5732" s="21"/>
      <c r="B5732" s="22"/>
      <c r="C5732" s="21"/>
      <c r="D5732" s="21"/>
      <c r="E5732" s="21"/>
      <c r="F5732" s="21"/>
      <c r="G5732" s="23"/>
      <c r="H5732" s="24" t="str">
        <f>IFERROR(VLOOKUP(B5732,material!A:D,3,0),"")</f>
        <v/>
      </c>
    </row>
    <row r="5733" ht="11.25" customHeight="1">
      <c r="A5733" s="21"/>
      <c r="B5733" s="22"/>
      <c r="C5733" s="21"/>
      <c r="D5733" s="21"/>
      <c r="E5733" s="21"/>
      <c r="F5733" s="21"/>
      <c r="G5733" s="23"/>
      <c r="H5733" s="24" t="str">
        <f>IFERROR(VLOOKUP(B5733,material!A:D,3,0),"")</f>
        <v/>
      </c>
    </row>
    <row r="5734" ht="11.25" customHeight="1">
      <c r="A5734" s="21"/>
      <c r="B5734" s="22"/>
      <c r="C5734" s="21"/>
      <c r="D5734" s="21"/>
      <c r="E5734" s="21"/>
      <c r="F5734" s="21"/>
      <c r="G5734" s="23"/>
      <c r="H5734" s="24" t="str">
        <f>IFERROR(VLOOKUP(B5734,material!A:D,3,0),"")</f>
        <v/>
      </c>
    </row>
    <row r="5735" ht="11.25" customHeight="1">
      <c r="A5735" s="21"/>
      <c r="B5735" s="22"/>
      <c r="C5735" s="21"/>
      <c r="D5735" s="21"/>
      <c r="E5735" s="21"/>
      <c r="F5735" s="21"/>
      <c r="G5735" s="23"/>
      <c r="H5735" s="24" t="str">
        <f>IFERROR(VLOOKUP(B5735,material!A:D,3,0),"")</f>
        <v/>
      </c>
    </row>
    <row r="5736" ht="11.25" customHeight="1">
      <c r="A5736" s="21"/>
      <c r="B5736" s="22"/>
      <c r="C5736" s="21"/>
      <c r="D5736" s="21"/>
      <c r="E5736" s="21"/>
      <c r="F5736" s="21"/>
      <c r="G5736" s="23"/>
      <c r="H5736" s="24" t="str">
        <f>IFERROR(VLOOKUP(B5736,material!A:D,3,0),"")</f>
        <v/>
      </c>
    </row>
    <row r="5737" ht="11.25" customHeight="1">
      <c r="A5737" s="21"/>
      <c r="B5737" s="22"/>
      <c r="C5737" s="21"/>
      <c r="D5737" s="21"/>
      <c r="E5737" s="21"/>
      <c r="F5737" s="21"/>
      <c r="G5737" s="23"/>
      <c r="H5737" s="24" t="str">
        <f>IFERROR(VLOOKUP(B5737,material!A:D,3,0),"")</f>
        <v/>
      </c>
    </row>
    <row r="5738" ht="11.25" customHeight="1">
      <c r="A5738" s="21"/>
      <c r="B5738" s="22"/>
      <c r="C5738" s="21"/>
      <c r="D5738" s="21"/>
      <c r="E5738" s="21"/>
      <c r="F5738" s="21"/>
      <c r="G5738" s="23"/>
      <c r="H5738" s="24" t="str">
        <f>IFERROR(VLOOKUP(B5738,material!A:D,3,0),"")</f>
        <v/>
      </c>
    </row>
    <row r="5739" ht="11.25" customHeight="1">
      <c r="A5739" s="21"/>
      <c r="B5739" s="22"/>
      <c r="C5739" s="21"/>
      <c r="D5739" s="21"/>
      <c r="E5739" s="21"/>
      <c r="F5739" s="21"/>
      <c r="G5739" s="23"/>
      <c r="H5739" s="24" t="str">
        <f>IFERROR(VLOOKUP(B5739,material!A:D,3,0),"")</f>
        <v/>
      </c>
    </row>
    <row r="5740" ht="11.25" customHeight="1">
      <c r="A5740" s="21"/>
      <c r="B5740" s="22"/>
      <c r="C5740" s="21"/>
      <c r="D5740" s="21"/>
      <c r="E5740" s="21"/>
      <c r="F5740" s="21"/>
      <c r="G5740" s="23"/>
      <c r="H5740" s="24" t="str">
        <f>IFERROR(VLOOKUP(B5740,material!A:D,3,0),"")</f>
        <v/>
      </c>
    </row>
    <row r="5741" ht="11.25" customHeight="1">
      <c r="A5741" s="21"/>
      <c r="B5741" s="22"/>
      <c r="C5741" s="21"/>
      <c r="D5741" s="21"/>
      <c r="E5741" s="21"/>
      <c r="F5741" s="21"/>
      <c r="G5741" s="23"/>
      <c r="H5741" s="24" t="str">
        <f>IFERROR(VLOOKUP(B5741,material!A:D,3,0),"")</f>
        <v/>
      </c>
    </row>
    <row r="5742" ht="11.25" customHeight="1">
      <c r="A5742" s="21"/>
      <c r="B5742" s="22"/>
      <c r="C5742" s="21"/>
      <c r="D5742" s="21"/>
      <c r="E5742" s="21"/>
      <c r="F5742" s="21"/>
      <c r="G5742" s="23"/>
      <c r="H5742" s="24" t="str">
        <f>IFERROR(VLOOKUP(B5742,material!A:D,3,0),"")</f>
        <v/>
      </c>
    </row>
    <row r="5743" ht="11.25" customHeight="1">
      <c r="A5743" s="21"/>
      <c r="B5743" s="22"/>
      <c r="C5743" s="21"/>
      <c r="D5743" s="21"/>
      <c r="E5743" s="21"/>
      <c r="F5743" s="21"/>
      <c r="G5743" s="23"/>
      <c r="H5743" s="24" t="str">
        <f>IFERROR(VLOOKUP(B5743,material!A:D,3,0),"")</f>
        <v/>
      </c>
    </row>
    <row r="5744" ht="11.25" customHeight="1">
      <c r="A5744" s="21"/>
      <c r="B5744" s="22"/>
      <c r="C5744" s="21"/>
      <c r="D5744" s="21"/>
      <c r="E5744" s="21"/>
      <c r="F5744" s="21"/>
      <c r="G5744" s="23"/>
      <c r="H5744" s="24" t="str">
        <f>IFERROR(VLOOKUP(B5744,material!A:D,3,0),"")</f>
        <v/>
      </c>
    </row>
    <row r="5745" ht="11.25" customHeight="1">
      <c r="A5745" s="21"/>
      <c r="B5745" s="22"/>
      <c r="C5745" s="21"/>
      <c r="D5745" s="21"/>
      <c r="E5745" s="21"/>
      <c r="F5745" s="21"/>
      <c r="G5745" s="23"/>
      <c r="H5745" s="24" t="str">
        <f>IFERROR(VLOOKUP(B5745,material!A:D,3,0),"")</f>
        <v/>
      </c>
    </row>
    <row r="5746" ht="11.25" customHeight="1">
      <c r="A5746" s="21"/>
      <c r="B5746" s="22"/>
      <c r="C5746" s="21"/>
      <c r="D5746" s="21"/>
      <c r="E5746" s="21"/>
      <c r="F5746" s="21"/>
      <c r="G5746" s="23"/>
      <c r="H5746" s="24" t="str">
        <f>IFERROR(VLOOKUP(B5746,material!A:D,3,0),"")</f>
        <v/>
      </c>
    </row>
    <row r="5747" ht="11.25" customHeight="1">
      <c r="A5747" s="21"/>
      <c r="B5747" s="22"/>
      <c r="C5747" s="21"/>
      <c r="D5747" s="21"/>
      <c r="E5747" s="21"/>
      <c r="F5747" s="21"/>
      <c r="G5747" s="23"/>
      <c r="H5747" s="24" t="str">
        <f>IFERROR(VLOOKUP(B5747,material!A:D,3,0),"")</f>
        <v/>
      </c>
    </row>
    <row r="5748" ht="11.25" customHeight="1">
      <c r="A5748" s="21"/>
      <c r="B5748" s="22"/>
      <c r="C5748" s="21"/>
      <c r="D5748" s="21"/>
      <c r="E5748" s="21"/>
      <c r="F5748" s="21"/>
      <c r="G5748" s="23"/>
      <c r="H5748" s="24" t="str">
        <f>IFERROR(VLOOKUP(B5748,material!A:D,3,0),"")</f>
        <v/>
      </c>
    </row>
    <row r="5749" ht="11.25" customHeight="1">
      <c r="A5749" s="21"/>
      <c r="B5749" s="22"/>
      <c r="C5749" s="21"/>
      <c r="D5749" s="21"/>
      <c r="E5749" s="21"/>
      <c r="F5749" s="21"/>
      <c r="G5749" s="23"/>
      <c r="H5749" s="24" t="str">
        <f>IFERROR(VLOOKUP(B5749,material!A:D,3,0),"")</f>
        <v/>
      </c>
    </row>
    <row r="5750" ht="11.25" customHeight="1">
      <c r="A5750" s="21"/>
      <c r="B5750" s="22"/>
      <c r="C5750" s="21"/>
      <c r="D5750" s="21"/>
      <c r="E5750" s="21"/>
      <c r="F5750" s="21"/>
      <c r="G5750" s="23"/>
      <c r="H5750" s="24" t="str">
        <f>IFERROR(VLOOKUP(B5750,material!A:D,3,0),"")</f>
        <v/>
      </c>
    </row>
    <row r="5751" ht="11.25" customHeight="1">
      <c r="A5751" s="21"/>
      <c r="B5751" s="22"/>
      <c r="C5751" s="21"/>
      <c r="D5751" s="21"/>
      <c r="E5751" s="21"/>
      <c r="F5751" s="21"/>
      <c r="G5751" s="23"/>
      <c r="H5751" s="24" t="str">
        <f>IFERROR(VLOOKUP(B5751,material!A:D,3,0),"")</f>
        <v/>
      </c>
    </row>
    <row r="5752" ht="11.25" customHeight="1">
      <c r="A5752" s="21"/>
      <c r="B5752" s="22"/>
      <c r="C5752" s="21"/>
      <c r="D5752" s="21"/>
      <c r="E5752" s="21"/>
      <c r="F5752" s="21"/>
      <c r="G5752" s="23"/>
      <c r="H5752" s="24" t="str">
        <f>IFERROR(VLOOKUP(B5752,material!A:D,3,0),"")</f>
        <v/>
      </c>
    </row>
    <row r="5753" ht="11.25" customHeight="1">
      <c r="A5753" s="21"/>
      <c r="B5753" s="22"/>
      <c r="C5753" s="21"/>
      <c r="D5753" s="21"/>
      <c r="E5753" s="21"/>
      <c r="F5753" s="21"/>
      <c r="G5753" s="23"/>
      <c r="H5753" s="24" t="str">
        <f>IFERROR(VLOOKUP(B5753,material!A:D,3,0),"")</f>
        <v/>
      </c>
    </row>
    <row r="5754" ht="11.25" customHeight="1">
      <c r="A5754" s="21"/>
      <c r="B5754" s="22"/>
      <c r="C5754" s="21"/>
      <c r="D5754" s="21"/>
      <c r="E5754" s="21"/>
      <c r="F5754" s="21"/>
      <c r="G5754" s="23"/>
      <c r="H5754" s="24" t="str">
        <f>IFERROR(VLOOKUP(B5754,material!A:D,3,0),"")</f>
        <v/>
      </c>
    </row>
    <row r="5755" ht="11.25" customHeight="1">
      <c r="A5755" s="21"/>
      <c r="B5755" s="22"/>
      <c r="C5755" s="21"/>
      <c r="D5755" s="21"/>
      <c r="E5755" s="21"/>
      <c r="F5755" s="21"/>
      <c r="G5755" s="23"/>
      <c r="H5755" s="24" t="str">
        <f>IFERROR(VLOOKUP(B5755,material!A:D,3,0),"")</f>
        <v/>
      </c>
    </row>
    <row r="5756" ht="11.25" customHeight="1">
      <c r="A5756" s="21"/>
      <c r="B5756" s="22"/>
      <c r="C5756" s="21"/>
      <c r="D5756" s="21"/>
      <c r="E5756" s="21"/>
      <c r="F5756" s="21"/>
      <c r="G5756" s="23"/>
      <c r="H5756" s="24" t="str">
        <f>IFERROR(VLOOKUP(B5756,material!A:D,3,0),"")</f>
        <v/>
      </c>
    </row>
    <row r="5757" ht="11.25" customHeight="1">
      <c r="A5757" s="21"/>
      <c r="B5757" s="22"/>
      <c r="C5757" s="21"/>
      <c r="D5757" s="21"/>
      <c r="E5757" s="21"/>
      <c r="F5757" s="21"/>
      <c r="G5757" s="23"/>
      <c r="H5757" s="24" t="str">
        <f>IFERROR(VLOOKUP(B5757,material!A:D,3,0),"")</f>
        <v/>
      </c>
    </row>
    <row r="5758" ht="11.25" customHeight="1">
      <c r="A5758" s="21"/>
      <c r="B5758" s="22"/>
      <c r="C5758" s="21"/>
      <c r="D5758" s="21"/>
      <c r="E5758" s="21"/>
      <c r="F5758" s="21"/>
      <c r="G5758" s="23"/>
      <c r="H5758" s="24" t="str">
        <f>IFERROR(VLOOKUP(B5758,material!A:D,3,0),"")</f>
        <v/>
      </c>
    </row>
    <row r="5759" ht="11.25" customHeight="1">
      <c r="A5759" s="21"/>
      <c r="B5759" s="22"/>
      <c r="C5759" s="21"/>
      <c r="D5759" s="21"/>
      <c r="E5759" s="21"/>
      <c r="F5759" s="21"/>
      <c r="G5759" s="23"/>
      <c r="H5759" s="24" t="str">
        <f>IFERROR(VLOOKUP(B5759,material!A:D,3,0),"")</f>
        <v/>
      </c>
    </row>
    <row r="5760" ht="11.25" customHeight="1">
      <c r="A5760" s="21"/>
      <c r="B5760" s="22"/>
      <c r="C5760" s="21"/>
      <c r="D5760" s="21"/>
      <c r="E5760" s="21"/>
      <c r="F5760" s="21"/>
      <c r="G5760" s="23"/>
      <c r="H5760" s="24" t="str">
        <f>IFERROR(VLOOKUP(B5760,material!A:D,3,0),"")</f>
        <v/>
      </c>
    </row>
    <row r="5761" ht="11.25" customHeight="1">
      <c r="A5761" s="21"/>
      <c r="B5761" s="22"/>
      <c r="C5761" s="21"/>
      <c r="D5761" s="21"/>
      <c r="E5761" s="21"/>
      <c r="F5761" s="21"/>
      <c r="G5761" s="23"/>
      <c r="H5761" s="24" t="str">
        <f>IFERROR(VLOOKUP(B5761,material!A:D,3,0),"")</f>
        <v/>
      </c>
    </row>
    <row r="5762" ht="11.25" customHeight="1">
      <c r="A5762" s="21"/>
      <c r="B5762" s="22"/>
      <c r="C5762" s="21"/>
      <c r="D5762" s="21"/>
      <c r="E5762" s="21"/>
      <c r="F5762" s="21"/>
      <c r="G5762" s="23"/>
      <c r="H5762" s="24" t="str">
        <f>IFERROR(VLOOKUP(B5762,material!A:D,3,0),"")</f>
        <v/>
      </c>
    </row>
    <row r="5763" ht="11.25" customHeight="1">
      <c r="A5763" s="21"/>
      <c r="B5763" s="22"/>
      <c r="C5763" s="21"/>
      <c r="D5763" s="21"/>
      <c r="E5763" s="21"/>
      <c r="F5763" s="21"/>
      <c r="G5763" s="23"/>
      <c r="H5763" s="24" t="str">
        <f>IFERROR(VLOOKUP(B5763,material!A:D,3,0),"")</f>
        <v/>
      </c>
    </row>
    <row r="5764" ht="11.25" customHeight="1">
      <c r="A5764" s="21"/>
      <c r="B5764" s="22"/>
      <c r="C5764" s="21"/>
      <c r="D5764" s="21"/>
      <c r="E5764" s="21"/>
      <c r="F5764" s="21"/>
      <c r="G5764" s="23"/>
      <c r="H5764" s="24" t="str">
        <f>IFERROR(VLOOKUP(B5764,material!A:D,3,0),"")</f>
        <v/>
      </c>
    </row>
    <row r="5765" ht="11.25" customHeight="1">
      <c r="A5765" s="21"/>
      <c r="B5765" s="22"/>
      <c r="C5765" s="21"/>
      <c r="D5765" s="21"/>
      <c r="E5765" s="21"/>
      <c r="F5765" s="21"/>
      <c r="G5765" s="23"/>
      <c r="H5765" s="24" t="str">
        <f>IFERROR(VLOOKUP(B5765,material!A:D,3,0),"")</f>
        <v/>
      </c>
    </row>
    <row r="5766" ht="11.25" customHeight="1">
      <c r="A5766" s="21"/>
      <c r="B5766" s="22"/>
      <c r="C5766" s="21"/>
      <c r="D5766" s="21"/>
      <c r="E5766" s="21"/>
      <c r="F5766" s="21"/>
      <c r="G5766" s="23"/>
      <c r="H5766" s="24" t="str">
        <f>IFERROR(VLOOKUP(B5766,material!A:D,3,0),"")</f>
        <v/>
      </c>
    </row>
    <row r="5767" ht="11.25" customHeight="1">
      <c r="A5767" s="21"/>
      <c r="B5767" s="22"/>
      <c r="C5767" s="21"/>
      <c r="D5767" s="21"/>
      <c r="E5767" s="21"/>
      <c r="F5767" s="21"/>
      <c r="G5767" s="23"/>
      <c r="H5767" s="24" t="str">
        <f>IFERROR(VLOOKUP(B5767,material!A:D,3,0),"")</f>
        <v/>
      </c>
    </row>
    <row r="5768" ht="11.25" customHeight="1">
      <c r="A5768" s="21"/>
      <c r="B5768" s="22"/>
      <c r="C5768" s="21"/>
      <c r="D5768" s="21"/>
      <c r="E5768" s="21"/>
      <c r="F5768" s="21"/>
      <c r="G5768" s="23"/>
      <c r="H5768" s="24" t="str">
        <f>IFERROR(VLOOKUP(B5768,material!A:D,3,0),"")</f>
        <v/>
      </c>
    </row>
    <row r="5769" ht="11.25" customHeight="1">
      <c r="A5769" s="21"/>
      <c r="B5769" s="22"/>
      <c r="C5769" s="21"/>
      <c r="D5769" s="21"/>
      <c r="E5769" s="21"/>
      <c r="F5769" s="21"/>
      <c r="G5769" s="23"/>
      <c r="H5769" s="24" t="str">
        <f>IFERROR(VLOOKUP(B5769,material!A:D,3,0),"")</f>
        <v/>
      </c>
    </row>
    <row r="5770" ht="11.25" customHeight="1">
      <c r="A5770" s="21"/>
      <c r="B5770" s="22"/>
      <c r="C5770" s="21"/>
      <c r="D5770" s="21"/>
      <c r="E5770" s="21"/>
      <c r="F5770" s="21"/>
      <c r="G5770" s="23"/>
      <c r="H5770" s="24" t="str">
        <f>IFERROR(VLOOKUP(B5770,material!A:D,3,0),"")</f>
        <v/>
      </c>
    </row>
    <row r="5771" ht="11.25" customHeight="1">
      <c r="A5771" s="21"/>
      <c r="B5771" s="22"/>
      <c r="C5771" s="21"/>
      <c r="D5771" s="21"/>
      <c r="E5771" s="21"/>
      <c r="F5771" s="21"/>
      <c r="G5771" s="23"/>
      <c r="H5771" s="24" t="str">
        <f>IFERROR(VLOOKUP(B5771,material!A:D,3,0),"")</f>
        <v/>
      </c>
    </row>
    <row r="5772" ht="11.25" customHeight="1">
      <c r="A5772" s="21"/>
      <c r="B5772" s="22"/>
      <c r="C5772" s="21"/>
      <c r="D5772" s="21"/>
      <c r="E5772" s="21"/>
      <c r="F5772" s="21"/>
      <c r="G5772" s="23"/>
      <c r="H5772" s="24" t="str">
        <f>IFERROR(VLOOKUP(B5772,material!A:D,3,0),"")</f>
        <v/>
      </c>
    </row>
    <row r="5773" ht="11.25" customHeight="1">
      <c r="A5773" s="21"/>
      <c r="B5773" s="22"/>
      <c r="C5773" s="21"/>
      <c r="D5773" s="21"/>
      <c r="E5773" s="21"/>
      <c r="F5773" s="21"/>
      <c r="G5773" s="23"/>
      <c r="H5773" s="24" t="str">
        <f>IFERROR(VLOOKUP(B5773,material!A:D,3,0),"")</f>
        <v/>
      </c>
    </row>
    <row r="5774" ht="11.25" customHeight="1">
      <c r="A5774" s="21"/>
      <c r="B5774" s="22"/>
      <c r="C5774" s="21"/>
      <c r="D5774" s="21"/>
      <c r="E5774" s="21"/>
      <c r="F5774" s="21"/>
      <c r="G5774" s="23"/>
      <c r="H5774" s="24" t="str">
        <f>IFERROR(VLOOKUP(B5774,material!A:D,3,0),"")</f>
        <v/>
      </c>
    </row>
    <row r="5775" ht="11.25" customHeight="1">
      <c r="A5775" s="21"/>
      <c r="B5775" s="22"/>
      <c r="C5775" s="21"/>
      <c r="D5775" s="21"/>
      <c r="E5775" s="21"/>
      <c r="F5775" s="21"/>
      <c r="G5775" s="23"/>
      <c r="H5775" s="24" t="str">
        <f>IFERROR(VLOOKUP(B5775,material!A:D,3,0),"")</f>
        <v/>
      </c>
    </row>
    <row r="5776" ht="11.25" customHeight="1">
      <c r="A5776" s="21"/>
      <c r="B5776" s="22"/>
      <c r="C5776" s="21"/>
      <c r="D5776" s="21"/>
      <c r="E5776" s="21"/>
      <c r="F5776" s="21"/>
      <c r="G5776" s="23"/>
      <c r="H5776" s="24" t="str">
        <f>IFERROR(VLOOKUP(B5776,material!A:D,3,0),"")</f>
        <v/>
      </c>
    </row>
    <row r="5777" ht="11.25" customHeight="1">
      <c r="A5777" s="21"/>
      <c r="B5777" s="22"/>
      <c r="C5777" s="21"/>
      <c r="D5777" s="21"/>
      <c r="E5777" s="21"/>
      <c r="F5777" s="21"/>
      <c r="G5777" s="23"/>
      <c r="H5777" s="24" t="str">
        <f>IFERROR(VLOOKUP(B5777,material!A:D,3,0),"")</f>
        <v/>
      </c>
    </row>
    <row r="5778" ht="11.25" customHeight="1">
      <c r="A5778" s="21"/>
      <c r="B5778" s="22"/>
      <c r="C5778" s="21"/>
      <c r="D5778" s="21"/>
      <c r="E5778" s="21"/>
      <c r="F5778" s="21"/>
      <c r="G5778" s="23"/>
      <c r="H5778" s="24" t="str">
        <f>IFERROR(VLOOKUP(B5778,material!A:D,3,0),"")</f>
        <v/>
      </c>
    </row>
    <row r="5779" ht="11.25" customHeight="1">
      <c r="A5779" s="21"/>
      <c r="B5779" s="22"/>
      <c r="C5779" s="21"/>
      <c r="D5779" s="21"/>
      <c r="E5779" s="21"/>
      <c r="F5779" s="21"/>
      <c r="G5779" s="23"/>
      <c r="H5779" s="24" t="str">
        <f>IFERROR(VLOOKUP(B5779,material!A:D,3,0),"")</f>
        <v/>
      </c>
    </row>
    <row r="5780" ht="11.25" customHeight="1">
      <c r="A5780" s="21"/>
      <c r="B5780" s="22"/>
      <c r="C5780" s="21"/>
      <c r="D5780" s="21"/>
      <c r="E5780" s="21"/>
      <c r="F5780" s="21"/>
      <c r="G5780" s="23"/>
      <c r="H5780" s="24" t="str">
        <f>IFERROR(VLOOKUP(B5780,material!A:D,3,0),"")</f>
        <v/>
      </c>
    </row>
    <row r="5781" ht="11.25" customHeight="1">
      <c r="A5781" s="21"/>
      <c r="B5781" s="22"/>
      <c r="C5781" s="21"/>
      <c r="D5781" s="21"/>
      <c r="E5781" s="21"/>
      <c r="F5781" s="21"/>
      <c r="G5781" s="23"/>
      <c r="H5781" s="24" t="str">
        <f>IFERROR(VLOOKUP(B5781,material!A:D,3,0),"")</f>
        <v/>
      </c>
    </row>
    <row r="5782" ht="11.25" customHeight="1">
      <c r="A5782" s="21"/>
      <c r="B5782" s="22"/>
      <c r="C5782" s="21"/>
      <c r="D5782" s="21"/>
      <c r="E5782" s="21"/>
      <c r="F5782" s="21"/>
      <c r="G5782" s="23"/>
      <c r="H5782" s="24" t="str">
        <f>IFERROR(VLOOKUP(B5782,material!A:D,3,0),"")</f>
        <v/>
      </c>
    </row>
    <row r="5783" ht="11.25" customHeight="1">
      <c r="A5783" s="21"/>
      <c r="B5783" s="22"/>
      <c r="C5783" s="21"/>
      <c r="D5783" s="21"/>
      <c r="E5783" s="21"/>
      <c r="F5783" s="21"/>
      <c r="G5783" s="23"/>
      <c r="H5783" s="24" t="str">
        <f>IFERROR(VLOOKUP(B5783,material!A:D,3,0),"")</f>
        <v/>
      </c>
    </row>
    <row r="5784" ht="11.25" customHeight="1">
      <c r="A5784" s="21"/>
      <c r="B5784" s="22"/>
      <c r="C5784" s="21"/>
      <c r="D5784" s="21"/>
      <c r="E5784" s="21"/>
      <c r="F5784" s="21"/>
      <c r="G5784" s="23"/>
      <c r="H5784" s="24" t="str">
        <f>IFERROR(VLOOKUP(B5784,material!A:D,3,0),"")</f>
        <v/>
      </c>
    </row>
    <row r="5785" ht="11.25" customHeight="1">
      <c r="A5785" s="21"/>
      <c r="B5785" s="22"/>
      <c r="C5785" s="21"/>
      <c r="D5785" s="21"/>
      <c r="E5785" s="21"/>
      <c r="F5785" s="21"/>
      <c r="G5785" s="23"/>
      <c r="H5785" s="24" t="str">
        <f>IFERROR(VLOOKUP(B5785,material!A:D,3,0),"")</f>
        <v/>
      </c>
    </row>
    <row r="5786" ht="11.25" customHeight="1">
      <c r="A5786" s="21"/>
      <c r="B5786" s="22"/>
      <c r="C5786" s="21"/>
      <c r="D5786" s="21"/>
      <c r="E5786" s="21"/>
      <c r="F5786" s="21"/>
      <c r="G5786" s="23"/>
      <c r="H5786" s="24" t="str">
        <f>IFERROR(VLOOKUP(B5786,material!A:D,3,0),"")</f>
        <v/>
      </c>
    </row>
    <row r="5787" ht="11.25" customHeight="1">
      <c r="A5787" s="21"/>
      <c r="B5787" s="22"/>
      <c r="C5787" s="21"/>
      <c r="D5787" s="21"/>
      <c r="E5787" s="21"/>
      <c r="F5787" s="21"/>
      <c r="G5787" s="23"/>
      <c r="H5787" s="24" t="str">
        <f>IFERROR(VLOOKUP(B5787,material!A:D,3,0),"")</f>
        <v/>
      </c>
    </row>
    <row r="5788" ht="11.25" customHeight="1">
      <c r="A5788" s="21"/>
      <c r="B5788" s="22"/>
      <c r="C5788" s="21"/>
      <c r="D5788" s="21"/>
      <c r="E5788" s="21"/>
      <c r="F5788" s="21"/>
      <c r="G5788" s="23"/>
      <c r="H5788" s="24" t="str">
        <f>IFERROR(VLOOKUP(B5788,material!A:D,3,0),"")</f>
        <v/>
      </c>
    </row>
    <row r="5789" ht="11.25" customHeight="1">
      <c r="A5789" s="21"/>
      <c r="B5789" s="22"/>
      <c r="C5789" s="21"/>
      <c r="D5789" s="21"/>
      <c r="E5789" s="21"/>
      <c r="F5789" s="21"/>
      <c r="G5789" s="23"/>
      <c r="H5789" s="24" t="str">
        <f>IFERROR(VLOOKUP(B5789,material!A:D,3,0),"")</f>
        <v/>
      </c>
    </row>
    <row r="5790" ht="11.25" customHeight="1">
      <c r="A5790" s="21"/>
      <c r="B5790" s="22"/>
      <c r="C5790" s="21"/>
      <c r="D5790" s="21"/>
      <c r="E5790" s="21"/>
      <c r="F5790" s="21"/>
      <c r="G5790" s="23"/>
      <c r="H5790" s="24" t="str">
        <f>IFERROR(VLOOKUP(B5790,material!A:D,3,0),"")</f>
        <v/>
      </c>
    </row>
    <row r="5791" ht="11.25" customHeight="1">
      <c r="A5791" s="21"/>
      <c r="B5791" s="22"/>
      <c r="C5791" s="21"/>
      <c r="D5791" s="21"/>
      <c r="E5791" s="21"/>
      <c r="F5791" s="21"/>
      <c r="G5791" s="23"/>
      <c r="H5791" s="24" t="str">
        <f>IFERROR(VLOOKUP(B5791,material!A:D,3,0),"")</f>
        <v/>
      </c>
    </row>
    <row r="5792" ht="11.25" customHeight="1">
      <c r="A5792" s="21"/>
      <c r="B5792" s="22"/>
      <c r="C5792" s="21"/>
      <c r="D5792" s="21"/>
      <c r="E5792" s="21"/>
      <c r="F5792" s="21"/>
      <c r="G5792" s="23"/>
      <c r="H5792" s="24" t="str">
        <f>IFERROR(VLOOKUP(B5792,material!A:D,3,0),"")</f>
        <v/>
      </c>
    </row>
    <row r="5793" ht="11.25" customHeight="1">
      <c r="A5793" s="21"/>
      <c r="B5793" s="22"/>
      <c r="C5793" s="21"/>
      <c r="D5793" s="21"/>
      <c r="E5793" s="21"/>
      <c r="F5793" s="21"/>
      <c r="G5793" s="23"/>
      <c r="H5793" s="24" t="str">
        <f>IFERROR(VLOOKUP(B5793,material!A:D,3,0),"")</f>
        <v/>
      </c>
    </row>
    <row r="5794" ht="11.25" customHeight="1">
      <c r="A5794" s="21"/>
      <c r="B5794" s="22"/>
      <c r="C5794" s="21"/>
      <c r="D5794" s="21"/>
      <c r="E5794" s="21"/>
      <c r="F5794" s="21"/>
      <c r="G5794" s="23"/>
      <c r="H5794" s="24" t="str">
        <f>IFERROR(VLOOKUP(B5794,material!A:D,3,0),"")</f>
        <v/>
      </c>
    </row>
    <row r="5795" ht="11.25" customHeight="1">
      <c r="A5795" s="21"/>
      <c r="B5795" s="22"/>
      <c r="C5795" s="21"/>
      <c r="D5795" s="21"/>
      <c r="E5795" s="21"/>
      <c r="F5795" s="21"/>
      <c r="G5795" s="23"/>
      <c r="H5795" s="24" t="str">
        <f>IFERROR(VLOOKUP(B5795,material!A:D,3,0),"")</f>
        <v/>
      </c>
    </row>
    <row r="5796" ht="11.25" customHeight="1">
      <c r="A5796" s="21"/>
      <c r="B5796" s="22"/>
      <c r="C5796" s="21"/>
      <c r="D5796" s="21"/>
      <c r="E5796" s="21"/>
      <c r="F5796" s="21"/>
      <c r="G5796" s="23"/>
      <c r="H5796" s="24" t="str">
        <f>IFERROR(VLOOKUP(B5796,material!A:D,3,0),"")</f>
        <v/>
      </c>
    </row>
    <row r="5797" ht="11.25" customHeight="1">
      <c r="A5797" s="21"/>
      <c r="B5797" s="22"/>
      <c r="C5797" s="21"/>
      <c r="D5797" s="21"/>
      <c r="E5797" s="21"/>
      <c r="F5797" s="21"/>
      <c r="G5797" s="23"/>
      <c r="H5797" s="24" t="str">
        <f>IFERROR(VLOOKUP(B5797,material!A:D,3,0),"")</f>
        <v/>
      </c>
    </row>
    <row r="5798" ht="11.25" customHeight="1">
      <c r="A5798" s="21"/>
      <c r="B5798" s="22"/>
      <c r="C5798" s="21"/>
      <c r="D5798" s="21"/>
      <c r="E5798" s="21"/>
      <c r="F5798" s="21"/>
      <c r="G5798" s="23"/>
      <c r="H5798" s="24" t="str">
        <f>IFERROR(VLOOKUP(B5798,material!A:D,3,0),"")</f>
        <v/>
      </c>
    </row>
    <row r="5799" ht="11.25" customHeight="1">
      <c r="A5799" s="21"/>
      <c r="B5799" s="22"/>
      <c r="C5799" s="21"/>
      <c r="D5799" s="21"/>
      <c r="E5799" s="21"/>
      <c r="F5799" s="21"/>
      <c r="G5799" s="23"/>
      <c r="H5799" s="24" t="str">
        <f>IFERROR(VLOOKUP(B5799,material!A:D,3,0),"")</f>
        <v/>
      </c>
    </row>
    <row r="5800" ht="11.25" customHeight="1">
      <c r="A5800" s="21"/>
      <c r="B5800" s="22"/>
      <c r="C5800" s="21"/>
      <c r="D5800" s="21"/>
      <c r="E5800" s="21"/>
      <c r="F5800" s="21"/>
      <c r="G5800" s="23"/>
      <c r="H5800" s="24" t="str">
        <f>IFERROR(VLOOKUP(B5800,material!A:D,3,0),"")</f>
        <v/>
      </c>
    </row>
    <row r="5801" ht="11.25" customHeight="1">
      <c r="A5801" s="21"/>
      <c r="B5801" s="22"/>
      <c r="C5801" s="21"/>
      <c r="D5801" s="21"/>
      <c r="E5801" s="21"/>
      <c r="F5801" s="21"/>
      <c r="G5801" s="23"/>
      <c r="H5801" s="24" t="str">
        <f>IFERROR(VLOOKUP(B5801,material!A:D,3,0),"")</f>
        <v/>
      </c>
    </row>
    <row r="5802" ht="11.25" customHeight="1">
      <c r="A5802" s="21"/>
      <c r="B5802" s="22"/>
      <c r="C5802" s="21"/>
      <c r="D5802" s="21"/>
      <c r="E5802" s="21"/>
      <c r="F5802" s="21"/>
      <c r="G5802" s="23"/>
      <c r="H5802" s="24" t="str">
        <f>IFERROR(VLOOKUP(B5802,material!A:D,3,0),"")</f>
        <v/>
      </c>
    </row>
    <row r="5803" ht="11.25" customHeight="1">
      <c r="A5803" s="21"/>
      <c r="B5803" s="22"/>
      <c r="C5803" s="21"/>
      <c r="D5803" s="21"/>
      <c r="E5803" s="21"/>
      <c r="F5803" s="21"/>
      <c r="G5803" s="23"/>
      <c r="H5803" s="24" t="str">
        <f>IFERROR(VLOOKUP(B5803,material!A:D,3,0),"")</f>
        <v/>
      </c>
    </row>
    <row r="5804" ht="11.25" customHeight="1">
      <c r="A5804" s="21"/>
      <c r="B5804" s="22"/>
      <c r="C5804" s="21"/>
      <c r="D5804" s="21"/>
      <c r="E5804" s="21"/>
      <c r="F5804" s="21"/>
      <c r="G5804" s="23"/>
      <c r="H5804" s="24" t="str">
        <f>IFERROR(VLOOKUP(B5804,material!A:D,3,0),"")</f>
        <v/>
      </c>
    </row>
    <row r="5805" ht="11.25" customHeight="1">
      <c r="A5805" s="21"/>
      <c r="B5805" s="22"/>
      <c r="C5805" s="21"/>
      <c r="D5805" s="21"/>
      <c r="E5805" s="21"/>
      <c r="F5805" s="21"/>
      <c r="G5805" s="23"/>
      <c r="H5805" s="24" t="str">
        <f>IFERROR(VLOOKUP(B5805,material!A:D,3,0),"")</f>
        <v/>
      </c>
    </row>
    <row r="5806" ht="11.25" customHeight="1">
      <c r="A5806" s="21"/>
      <c r="B5806" s="22"/>
      <c r="C5806" s="21"/>
      <c r="D5806" s="21"/>
      <c r="E5806" s="21"/>
      <c r="F5806" s="21"/>
      <c r="G5806" s="23"/>
      <c r="H5806" s="24" t="str">
        <f>IFERROR(VLOOKUP(B5806,material!A:D,3,0),"")</f>
        <v/>
      </c>
    </row>
    <row r="5807" ht="11.25" customHeight="1">
      <c r="A5807" s="21"/>
      <c r="B5807" s="22"/>
      <c r="C5807" s="21"/>
      <c r="D5807" s="21"/>
      <c r="E5807" s="21"/>
      <c r="F5807" s="21"/>
      <c r="G5807" s="23"/>
      <c r="H5807" s="24" t="str">
        <f>IFERROR(VLOOKUP(B5807,material!A:D,3,0),"")</f>
        <v/>
      </c>
    </row>
    <row r="5808" ht="11.25" customHeight="1">
      <c r="A5808" s="21"/>
      <c r="B5808" s="22"/>
      <c r="C5808" s="21"/>
      <c r="D5808" s="21"/>
      <c r="E5808" s="21"/>
      <c r="F5808" s="21"/>
      <c r="G5808" s="23"/>
      <c r="H5808" s="24" t="str">
        <f>IFERROR(VLOOKUP(B5808,material!A:D,3,0),"")</f>
        <v/>
      </c>
    </row>
    <row r="5809" ht="11.25" customHeight="1">
      <c r="A5809" s="21"/>
      <c r="B5809" s="22"/>
      <c r="C5809" s="21"/>
      <c r="D5809" s="21"/>
      <c r="E5809" s="21"/>
      <c r="F5809" s="21"/>
      <c r="G5809" s="23"/>
      <c r="H5809" s="24" t="str">
        <f>IFERROR(VLOOKUP(B5809,material!A:D,3,0),"")</f>
        <v/>
      </c>
    </row>
    <row r="5810" ht="11.25" customHeight="1">
      <c r="A5810" s="21"/>
      <c r="B5810" s="22"/>
      <c r="C5810" s="21"/>
      <c r="D5810" s="21"/>
      <c r="E5810" s="21"/>
      <c r="F5810" s="21"/>
      <c r="G5810" s="23"/>
      <c r="H5810" s="24" t="str">
        <f>IFERROR(VLOOKUP(B5810,material!A:D,3,0),"")</f>
        <v/>
      </c>
    </row>
    <row r="5811" ht="11.25" customHeight="1">
      <c r="A5811" s="21"/>
      <c r="B5811" s="22"/>
      <c r="C5811" s="21"/>
      <c r="D5811" s="21"/>
      <c r="E5811" s="21"/>
      <c r="F5811" s="21"/>
      <c r="G5811" s="23"/>
      <c r="H5811" s="24" t="str">
        <f>IFERROR(VLOOKUP(B5811,material!A:D,3,0),"")</f>
        <v/>
      </c>
    </row>
    <row r="5812" ht="11.25" customHeight="1">
      <c r="A5812" s="21"/>
      <c r="B5812" s="22"/>
      <c r="C5812" s="21"/>
      <c r="D5812" s="21"/>
      <c r="E5812" s="21"/>
      <c r="F5812" s="21"/>
      <c r="G5812" s="23"/>
      <c r="H5812" s="24" t="str">
        <f>IFERROR(VLOOKUP(B5812,material!A:D,3,0),"")</f>
        <v/>
      </c>
    </row>
    <row r="5813" ht="11.25" customHeight="1">
      <c r="A5813" s="21"/>
      <c r="B5813" s="22"/>
      <c r="C5813" s="21"/>
      <c r="D5813" s="21"/>
      <c r="E5813" s="21"/>
      <c r="F5813" s="21"/>
      <c r="G5813" s="23"/>
      <c r="H5813" s="24" t="str">
        <f>IFERROR(VLOOKUP(B5813,material!A:D,3,0),"")</f>
        <v/>
      </c>
    </row>
    <row r="5814" ht="11.25" customHeight="1">
      <c r="A5814" s="21"/>
      <c r="B5814" s="22"/>
      <c r="C5814" s="21"/>
      <c r="D5814" s="21"/>
      <c r="E5814" s="21"/>
      <c r="F5814" s="21"/>
      <c r="G5814" s="23"/>
      <c r="H5814" s="24" t="str">
        <f>IFERROR(VLOOKUP(B5814,material!A:D,3,0),"")</f>
        <v/>
      </c>
    </row>
    <row r="5815" ht="11.25" customHeight="1">
      <c r="A5815" s="21"/>
      <c r="B5815" s="22"/>
      <c r="C5815" s="21"/>
      <c r="D5815" s="21"/>
      <c r="E5815" s="21"/>
      <c r="F5815" s="21"/>
      <c r="G5815" s="23"/>
      <c r="H5815" s="24" t="str">
        <f>IFERROR(VLOOKUP(B5815,material!A:D,3,0),"")</f>
        <v/>
      </c>
    </row>
    <row r="5816" ht="11.25" customHeight="1">
      <c r="A5816" s="21"/>
      <c r="B5816" s="22"/>
      <c r="C5816" s="21"/>
      <c r="D5816" s="21"/>
      <c r="E5816" s="21"/>
      <c r="F5816" s="21"/>
      <c r="G5816" s="23"/>
      <c r="H5816" s="24" t="str">
        <f>IFERROR(VLOOKUP(B5816,material!A:D,3,0),"")</f>
        <v/>
      </c>
    </row>
    <row r="5817" ht="11.25" customHeight="1">
      <c r="A5817" s="21"/>
      <c r="B5817" s="22"/>
      <c r="C5817" s="21"/>
      <c r="D5817" s="21"/>
      <c r="E5817" s="21"/>
      <c r="F5817" s="21"/>
      <c r="G5817" s="23"/>
      <c r="H5817" s="24" t="str">
        <f>IFERROR(VLOOKUP(B5817,material!A:D,3,0),"")</f>
        <v/>
      </c>
    </row>
    <row r="5818" ht="11.25" customHeight="1">
      <c r="A5818" s="21"/>
      <c r="B5818" s="22"/>
      <c r="C5818" s="21"/>
      <c r="D5818" s="21"/>
      <c r="E5818" s="21"/>
      <c r="F5818" s="21"/>
      <c r="G5818" s="23"/>
      <c r="H5818" s="24" t="str">
        <f>IFERROR(VLOOKUP(B5818,material!A:D,3,0),"")</f>
        <v/>
      </c>
    </row>
    <row r="5819" ht="11.25" customHeight="1">
      <c r="A5819" s="21"/>
      <c r="B5819" s="22"/>
      <c r="C5819" s="21"/>
      <c r="D5819" s="21"/>
      <c r="E5819" s="21"/>
      <c r="F5819" s="21"/>
      <c r="G5819" s="23"/>
      <c r="H5819" s="24" t="str">
        <f>IFERROR(VLOOKUP(B5819,material!A:D,3,0),"")</f>
        <v/>
      </c>
    </row>
    <row r="5820" ht="11.25" customHeight="1">
      <c r="A5820" s="21"/>
      <c r="B5820" s="22"/>
      <c r="C5820" s="21"/>
      <c r="D5820" s="21"/>
      <c r="E5820" s="21"/>
      <c r="F5820" s="21"/>
      <c r="G5820" s="23"/>
      <c r="H5820" s="24" t="str">
        <f>IFERROR(VLOOKUP(B5820,material!A:D,3,0),"")</f>
        <v/>
      </c>
    </row>
    <row r="5821" ht="11.25" customHeight="1">
      <c r="A5821" s="21"/>
      <c r="B5821" s="22"/>
      <c r="C5821" s="21"/>
      <c r="D5821" s="21"/>
      <c r="E5821" s="21"/>
      <c r="F5821" s="21"/>
      <c r="G5821" s="23"/>
      <c r="H5821" s="24" t="str">
        <f>IFERROR(VLOOKUP(B5821,material!A:D,3,0),"")</f>
        <v/>
      </c>
    </row>
    <row r="5822" ht="11.25" customHeight="1">
      <c r="A5822" s="21"/>
      <c r="B5822" s="22"/>
      <c r="C5822" s="21"/>
      <c r="D5822" s="21"/>
      <c r="E5822" s="21"/>
      <c r="F5822" s="21"/>
      <c r="G5822" s="23"/>
      <c r="H5822" s="24" t="str">
        <f>IFERROR(VLOOKUP(B5822,material!A:D,3,0),"")</f>
        <v/>
      </c>
    </row>
    <row r="5823" ht="11.25" customHeight="1">
      <c r="A5823" s="21"/>
      <c r="B5823" s="22"/>
      <c r="C5823" s="21"/>
      <c r="D5823" s="21"/>
      <c r="E5823" s="21"/>
      <c r="F5823" s="21"/>
      <c r="G5823" s="23"/>
      <c r="H5823" s="24" t="str">
        <f>IFERROR(VLOOKUP(B5823,material!A:D,3,0),"")</f>
        <v/>
      </c>
    </row>
    <row r="5824" ht="11.25" customHeight="1">
      <c r="A5824" s="21"/>
      <c r="B5824" s="22"/>
      <c r="C5824" s="21"/>
      <c r="D5824" s="21"/>
      <c r="E5824" s="21"/>
      <c r="F5824" s="21"/>
      <c r="G5824" s="23"/>
      <c r="H5824" s="24" t="str">
        <f>IFERROR(VLOOKUP(B5824,material!A:D,3,0),"")</f>
        <v/>
      </c>
    </row>
    <row r="5825" ht="11.25" customHeight="1">
      <c r="A5825" s="21"/>
      <c r="B5825" s="22"/>
      <c r="C5825" s="21"/>
      <c r="D5825" s="21"/>
      <c r="E5825" s="21"/>
      <c r="F5825" s="21"/>
      <c r="G5825" s="23"/>
      <c r="H5825" s="24" t="str">
        <f>IFERROR(VLOOKUP(B5825,material!A:D,3,0),"")</f>
        <v/>
      </c>
    </row>
    <row r="5826" ht="11.25" customHeight="1">
      <c r="A5826" s="21"/>
      <c r="B5826" s="22"/>
      <c r="C5826" s="21"/>
      <c r="D5826" s="21"/>
      <c r="E5826" s="21"/>
      <c r="F5826" s="21"/>
      <c r="G5826" s="23"/>
      <c r="H5826" s="24" t="str">
        <f>IFERROR(VLOOKUP(B5826,material!A:D,3,0),"")</f>
        <v/>
      </c>
    </row>
    <row r="5827" ht="11.25" customHeight="1">
      <c r="A5827" s="21"/>
      <c r="B5827" s="22"/>
      <c r="C5827" s="21"/>
      <c r="D5827" s="21"/>
      <c r="E5827" s="21"/>
      <c r="F5827" s="21"/>
      <c r="G5827" s="23"/>
      <c r="H5827" s="24" t="str">
        <f>IFERROR(VLOOKUP(B5827,material!A:D,3,0),"")</f>
        <v/>
      </c>
    </row>
    <row r="5828" ht="11.25" customHeight="1">
      <c r="A5828" s="21"/>
      <c r="B5828" s="22"/>
      <c r="C5828" s="21"/>
      <c r="D5828" s="21"/>
      <c r="E5828" s="21"/>
      <c r="F5828" s="21"/>
      <c r="G5828" s="23"/>
      <c r="H5828" s="24" t="str">
        <f>IFERROR(VLOOKUP(B5828,material!A:D,3,0),"")</f>
        <v/>
      </c>
    </row>
    <row r="5829" ht="11.25" customHeight="1">
      <c r="A5829" s="21"/>
      <c r="B5829" s="22"/>
      <c r="C5829" s="21"/>
      <c r="D5829" s="21"/>
      <c r="E5829" s="21"/>
      <c r="F5829" s="21"/>
      <c r="G5829" s="23"/>
      <c r="H5829" s="24" t="str">
        <f>IFERROR(VLOOKUP(B5829,material!A:D,3,0),"")</f>
        <v/>
      </c>
    </row>
    <row r="5830" ht="11.25" customHeight="1">
      <c r="A5830" s="21"/>
      <c r="B5830" s="22"/>
      <c r="C5830" s="21"/>
      <c r="D5830" s="21"/>
      <c r="E5830" s="21"/>
      <c r="F5830" s="21"/>
      <c r="G5830" s="23"/>
      <c r="H5830" s="24" t="str">
        <f>IFERROR(VLOOKUP(B5830,material!A:D,3,0),"")</f>
        <v/>
      </c>
    </row>
    <row r="5831" ht="11.25" customHeight="1">
      <c r="A5831" s="21"/>
      <c r="B5831" s="22"/>
      <c r="C5831" s="21"/>
      <c r="D5831" s="21"/>
      <c r="E5831" s="21"/>
      <c r="F5831" s="21"/>
      <c r="G5831" s="23"/>
      <c r="H5831" s="24" t="str">
        <f>IFERROR(VLOOKUP(B5831,material!A:D,3,0),"")</f>
        <v/>
      </c>
    </row>
    <row r="5832" ht="11.25" customHeight="1">
      <c r="A5832" s="21"/>
      <c r="B5832" s="22"/>
      <c r="C5832" s="21"/>
      <c r="D5832" s="21"/>
      <c r="E5832" s="21"/>
      <c r="F5832" s="21"/>
      <c r="G5832" s="23"/>
      <c r="H5832" s="24" t="str">
        <f>IFERROR(VLOOKUP(B5832,material!A:D,3,0),"")</f>
        <v/>
      </c>
    </row>
    <row r="5833" ht="11.25" customHeight="1">
      <c r="A5833" s="21"/>
      <c r="B5833" s="22"/>
      <c r="C5833" s="21"/>
      <c r="D5833" s="21"/>
      <c r="E5833" s="21"/>
      <c r="F5833" s="21"/>
      <c r="G5833" s="23"/>
      <c r="H5833" s="24" t="str">
        <f>IFERROR(VLOOKUP(B5833,material!A:D,3,0),"")</f>
        <v/>
      </c>
    </row>
    <row r="5834" ht="11.25" customHeight="1">
      <c r="A5834" s="21"/>
      <c r="B5834" s="22"/>
      <c r="C5834" s="21"/>
      <c r="D5834" s="21"/>
      <c r="E5834" s="21"/>
      <c r="F5834" s="21"/>
      <c r="G5834" s="23"/>
      <c r="H5834" s="24" t="str">
        <f>IFERROR(VLOOKUP(B5834,material!A:D,3,0),"")</f>
        <v/>
      </c>
    </row>
    <row r="5835" ht="11.25" customHeight="1">
      <c r="A5835" s="21"/>
      <c r="B5835" s="22"/>
      <c r="C5835" s="21"/>
      <c r="D5835" s="21"/>
      <c r="E5835" s="21"/>
      <c r="F5835" s="21"/>
      <c r="G5835" s="23"/>
      <c r="H5835" s="24" t="str">
        <f>IFERROR(VLOOKUP(B5835,material!A:D,3,0),"")</f>
        <v/>
      </c>
    </row>
    <row r="5836" ht="11.25" customHeight="1">
      <c r="A5836" s="21"/>
      <c r="B5836" s="22"/>
      <c r="C5836" s="21"/>
      <c r="D5836" s="21"/>
      <c r="E5836" s="21"/>
      <c r="F5836" s="21"/>
      <c r="G5836" s="23"/>
      <c r="H5836" s="24" t="str">
        <f>IFERROR(VLOOKUP(B5836,material!A:D,3,0),"")</f>
        <v/>
      </c>
    </row>
    <row r="5837" ht="11.25" customHeight="1">
      <c r="A5837" s="21"/>
      <c r="B5837" s="22"/>
      <c r="C5837" s="21"/>
      <c r="D5837" s="21"/>
      <c r="E5837" s="21"/>
      <c r="F5837" s="21"/>
      <c r="G5837" s="23"/>
      <c r="H5837" s="24" t="str">
        <f>IFERROR(VLOOKUP(B5837,material!A:D,3,0),"")</f>
        <v/>
      </c>
    </row>
    <row r="5838" ht="11.25" customHeight="1">
      <c r="A5838" s="21"/>
      <c r="B5838" s="22"/>
      <c r="C5838" s="21"/>
      <c r="D5838" s="21"/>
      <c r="E5838" s="21"/>
      <c r="F5838" s="21"/>
      <c r="G5838" s="23"/>
      <c r="H5838" s="24" t="str">
        <f>IFERROR(VLOOKUP(B5838,material!A:D,3,0),"")</f>
        <v/>
      </c>
    </row>
    <row r="5839" ht="11.25" customHeight="1">
      <c r="A5839" s="21"/>
      <c r="B5839" s="22"/>
      <c r="C5839" s="21"/>
      <c r="D5839" s="21"/>
      <c r="E5839" s="21"/>
      <c r="F5839" s="21"/>
      <c r="G5839" s="23"/>
      <c r="H5839" s="24" t="str">
        <f>IFERROR(VLOOKUP(B5839,material!A:D,3,0),"")</f>
        <v/>
      </c>
    </row>
    <row r="5840" ht="11.25" customHeight="1">
      <c r="A5840" s="21"/>
      <c r="B5840" s="22"/>
      <c r="C5840" s="21"/>
      <c r="D5840" s="21"/>
      <c r="E5840" s="21"/>
      <c r="F5840" s="21"/>
      <c r="G5840" s="23"/>
      <c r="H5840" s="24" t="str">
        <f>IFERROR(VLOOKUP(B5840,material!A:D,3,0),"")</f>
        <v/>
      </c>
    </row>
    <row r="5841" ht="11.25" customHeight="1">
      <c r="A5841" s="21"/>
      <c r="B5841" s="22"/>
      <c r="C5841" s="21"/>
      <c r="D5841" s="21"/>
      <c r="E5841" s="21"/>
      <c r="F5841" s="21"/>
      <c r="G5841" s="23"/>
      <c r="H5841" s="24" t="str">
        <f>IFERROR(VLOOKUP(B5841,material!A:D,3,0),"")</f>
        <v/>
      </c>
    </row>
    <row r="5842" ht="11.25" customHeight="1">
      <c r="A5842" s="21"/>
      <c r="B5842" s="22"/>
      <c r="C5842" s="21"/>
      <c r="D5842" s="21"/>
      <c r="E5842" s="21"/>
      <c r="F5842" s="21"/>
      <c r="G5842" s="23"/>
      <c r="H5842" s="24" t="str">
        <f>IFERROR(VLOOKUP(B5842,material!A:D,3,0),"")</f>
        <v/>
      </c>
    </row>
    <row r="5843" ht="11.25" customHeight="1">
      <c r="A5843" s="21"/>
      <c r="B5843" s="22"/>
      <c r="C5843" s="21"/>
      <c r="D5843" s="21"/>
      <c r="E5843" s="21"/>
      <c r="F5843" s="21"/>
      <c r="G5843" s="23"/>
      <c r="H5843" s="24" t="str">
        <f>IFERROR(VLOOKUP(B5843,material!A:D,3,0),"")</f>
        <v/>
      </c>
    </row>
    <row r="5844" ht="11.25" customHeight="1">
      <c r="A5844" s="21"/>
      <c r="B5844" s="22"/>
      <c r="C5844" s="21"/>
      <c r="D5844" s="21"/>
      <c r="E5844" s="21"/>
      <c r="F5844" s="21"/>
      <c r="G5844" s="23"/>
      <c r="H5844" s="24" t="str">
        <f>IFERROR(VLOOKUP(B5844,material!A:D,3,0),"")</f>
        <v/>
      </c>
    </row>
    <row r="5845" ht="11.25" customHeight="1">
      <c r="A5845" s="21"/>
      <c r="B5845" s="22"/>
      <c r="C5845" s="21"/>
      <c r="D5845" s="21"/>
      <c r="E5845" s="21"/>
      <c r="F5845" s="21"/>
      <c r="G5845" s="23"/>
      <c r="H5845" s="24" t="str">
        <f>IFERROR(VLOOKUP(B5845,material!A:D,3,0),"")</f>
        <v/>
      </c>
    </row>
    <row r="5846" ht="11.25" customHeight="1">
      <c r="A5846" s="21"/>
      <c r="B5846" s="22"/>
      <c r="C5846" s="21"/>
      <c r="D5846" s="21"/>
      <c r="E5846" s="21"/>
      <c r="F5846" s="21"/>
      <c r="G5846" s="23"/>
      <c r="H5846" s="24" t="str">
        <f>IFERROR(VLOOKUP(B5846,material!A:D,3,0),"")</f>
        <v/>
      </c>
    </row>
    <row r="5847" ht="11.25" customHeight="1">
      <c r="A5847" s="21"/>
      <c r="B5847" s="22"/>
      <c r="C5847" s="21"/>
      <c r="D5847" s="21"/>
      <c r="E5847" s="21"/>
      <c r="F5847" s="21"/>
      <c r="G5847" s="23"/>
      <c r="H5847" s="24" t="str">
        <f>IFERROR(VLOOKUP(B5847,material!A:D,3,0),"")</f>
        <v/>
      </c>
    </row>
    <row r="5848" ht="11.25" customHeight="1">
      <c r="A5848" s="21"/>
      <c r="B5848" s="22"/>
      <c r="C5848" s="21"/>
      <c r="D5848" s="21"/>
      <c r="E5848" s="21"/>
      <c r="F5848" s="21"/>
      <c r="G5848" s="23"/>
      <c r="H5848" s="24" t="str">
        <f>IFERROR(VLOOKUP(B5848,material!A:D,3,0),"")</f>
        <v/>
      </c>
    </row>
    <row r="5849" ht="11.25" customHeight="1">
      <c r="A5849" s="21"/>
      <c r="B5849" s="22"/>
      <c r="C5849" s="21"/>
      <c r="D5849" s="21"/>
      <c r="E5849" s="21"/>
      <c r="F5849" s="21"/>
      <c r="G5849" s="23"/>
      <c r="H5849" s="24" t="str">
        <f>IFERROR(VLOOKUP(B5849,material!A:D,3,0),"")</f>
        <v/>
      </c>
    </row>
    <row r="5850" ht="11.25" customHeight="1">
      <c r="A5850" s="21"/>
      <c r="B5850" s="22"/>
      <c r="C5850" s="21"/>
      <c r="D5850" s="21"/>
      <c r="E5850" s="21"/>
      <c r="F5850" s="21"/>
      <c r="G5850" s="23"/>
      <c r="H5850" s="24" t="str">
        <f>IFERROR(VLOOKUP(B5850,material!A:D,3,0),"")</f>
        <v/>
      </c>
    </row>
    <row r="5851" ht="11.25" customHeight="1">
      <c r="A5851" s="21"/>
      <c r="B5851" s="22"/>
      <c r="C5851" s="21"/>
      <c r="D5851" s="21"/>
      <c r="E5851" s="21"/>
      <c r="F5851" s="21"/>
      <c r="G5851" s="23"/>
      <c r="H5851" s="24" t="str">
        <f>IFERROR(VLOOKUP(B5851,material!A:D,3,0),"")</f>
        <v/>
      </c>
    </row>
    <row r="5852" ht="11.25" customHeight="1">
      <c r="A5852" s="21"/>
      <c r="B5852" s="22"/>
      <c r="C5852" s="21"/>
      <c r="D5852" s="21"/>
      <c r="E5852" s="21"/>
      <c r="F5852" s="21"/>
      <c r="G5852" s="23"/>
      <c r="H5852" s="24" t="str">
        <f>IFERROR(VLOOKUP(B5852,material!A:D,3,0),"")</f>
        <v/>
      </c>
    </row>
    <row r="5853" ht="11.25" customHeight="1">
      <c r="A5853" s="21"/>
      <c r="B5853" s="22"/>
      <c r="C5853" s="21"/>
      <c r="D5853" s="21"/>
      <c r="E5853" s="21"/>
      <c r="F5853" s="21"/>
      <c r="G5853" s="23"/>
      <c r="H5853" s="24" t="str">
        <f>IFERROR(VLOOKUP(B5853,material!A:D,3,0),"")</f>
        <v/>
      </c>
    </row>
    <row r="5854" ht="11.25" customHeight="1">
      <c r="A5854" s="21"/>
      <c r="B5854" s="22"/>
      <c r="C5854" s="21"/>
      <c r="D5854" s="21"/>
      <c r="E5854" s="21"/>
      <c r="F5854" s="21"/>
      <c r="G5854" s="23"/>
      <c r="H5854" s="24" t="str">
        <f>IFERROR(VLOOKUP(B5854,material!A:D,3,0),"")</f>
        <v/>
      </c>
    </row>
    <row r="5855" ht="11.25" customHeight="1">
      <c r="A5855" s="21"/>
      <c r="B5855" s="22"/>
      <c r="C5855" s="21"/>
      <c r="D5855" s="21"/>
      <c r="E5855" s="21"/>
      <c r="F5855" s="21"/>
      <c r="G5855" s="23"/>
      <c r="H5855" s="24" t="str">
        <f>IFERROR(VLOOKUP(B5855,material!A:D,3,0),"")</f>
        <v/>
      </c>
    </row>
    <row r="5856" ht="11.25" customHeight="1">
      <c r="A5856" s="21"/>
      <c r="B5856" s="22"/>
      <c r="C5856" s="21"/>
      <c r="D5856" s="21"/>
      <c r="E5856" s="21"/>
      <c r="F5856" s="21"/>
      <c r="G5856" s="23"/>
      <c r="H5856" s="24" t="str">
        <f>IFERROR(VLOOKUP(B5856,material!A:D,3,0),"")</f>
        <v/>
      </c>
    </row>
    <row r="5857" ht="11.25" customHeight="1">
      <c r="A5857" s="21"/>
      <c r="B5857" s="22"/>
      <c r="C5857" s="21"/>
      <c r="D5857" s="21"/>
      <c r="E5857" s="21"/>
      <c r="F5857" s="21"/>
      <c r="G5857" s="23"/>
      <c r="H5857" s="24" t="str">
        <f>IFERROR(VLOOKUP(B5857,material!A:D,3,0),"")</f>
        <v/>
      </c>
    </row>
    <row r="5858" ht="11.25" customHeight="1">
      <c r="A5858" s="21"/>
      <c r="B5858" s="22"/>
      <c r="C5858" s="21"/>
      <c r="D5858" s="21"/>
      <c r="E5858" s="21"/>
      <c r="F5858" s="21"/>
      <c r="G5858" s="23"/>
      <c r="H5858" s="24" t="str">
        <f>IFERROR(VLOOKUP(B5858,material!A:D,3,0),"")</f>
        <v/>
      </c>
    </row>
    <row r="5859" ht="11.25" customHeight="1">
      <c r="A5859" s="21"/>
      <c r="B5859" s="22"/>
      <c r="C5859" s="21"/>
      <c r="D5859" s="21"/>
      <c r="E5859" s="21"/>
      <c r="F5859" s="21"/>
      <c r="G5859" s="23"/>
      <c r="H5859" s="24" t="str">
        <f>IFERROR(VLOOKUP(B5859,material!A:D,3,0),"")</f>
        <v/>
      </c>
    </row>
    <row r="5860" ht="11.25" customHeight="1">
      <c r="A5860" s="21"/>
      <c r="B5860" s="22"/>
      <c r="C5860" s="21"/>
      <c r="D5860" s="21"/>
      <c r="E5860" s="21"/>
      <c r="F5860" s="21"/>
      <c r="G5860" s="23"/>
      <c r="H5860" s="24" t="str">
        <f>IFERROR(VLOOKUP(B5860,material!A:D,3,0),"")</f>
        <v/>
      </c>
    </row>
    <row r="5861" ht="11.25" customHeight="1">
      <c r="A5861" s="21"/>
      <c r="B5861" s="22"/>
      <c r="C5861" s="21"/>
      <c r="D5861" s="21"/>
      <c r="E5861" s="21"/>
      <c r="F5861" s="21"/>
      <c r="G5861" s="23"/>
      <c r="H5861" s="24" t="str">
        <f>IFERROR(VLOOKUP(B5861,material!A:D,3,0),"")</f>
        <v/>
      </c>
    </row>
    <row r="5862" ht="11.25" customHeight="1">
      <c r="A5862" s="21"/>
      <c r="B5862" s="22"/>
      <c r="C5862" s="21"/>
      <c r="D5862" s="21"/>
      <c r="E5862" s="21"/>
      <c r="F5862" s="21"/>
      <c r="G5862" s="23"/>
      <c r="H5862" s="24" t="str">
        <f>IFERROR(VLOOKUP(B5862,material!A:D,3,0),"")</f>
        <v/>
      </c>
    </row>
    <row r="5863" ht="11.25" customHeight="1">
      <c r="A5863" s="21"/>
      <c r="B5863" s="22"/>
      <c r="C5863" s="21"/>
      <c r="D5863" s="21"/>
      <c r="E5863" s="21"/>
      <c r="F5863" s="21"/>
      <c r="G5863" s="23"/>
      <c r="H5863" s="24" t="str">
        <f>IFERROR(VLOOKUP(B5863,material!A:D,3,0),"")</f>
        <v/>
      </c>
    </row>
    <row r="5864" ht="11.25" customHeight="1">
      <c r="A5864" s="21"/>
      <c r="B5864" s="22"/>
      <c r="C5864" s="21"/>
      <c r="D5864" s="21"/>
      <c r="E5864" s="21"/>
      <c r="F5864" s="21"/>
      <c r="G5864" s="23"/>
      <c r="H5864" s="24" t="str">
        <f>IFERROR(VLOOKUP(B5864,material!A:D,3,0),"")</f>
        <v/>
      </c>
    </row>
    <row r="5865" ht="11.25" customHeight="1">
      <c r="A5865" s="21"/>
      <c r="B5865" s="22"/>
      <c r="C5865" s="21"/>
      <c r="D5865" s="21"/>
      <c r="E5865" s="21"/>
      <c r="F5865" s="21"/>
      <c r="G5865" s="23"/>
      <c r="H5865" s="24" t="str">
        <f>IFERROR(VLOOKUP(B5865,material!A:D,3,0),"")</f>
        <v/>
      </c>
    </row>
    <row r="5866" ht="11.25" customHeight="1">
      <c r="A5866" s="21"/>
      <c r="B5866" s="22"/>
      <c r="C5866" s="21"/>
      <c r="D5866" s="21"/>
      <c r="E5866" s="21"/>
      <c r="F5866" s="21"/>
      <c r="G5866" s="23"/>
      <c r="H5866" s="24" t="str">
        <f>IFERROR(VLOOKUP(B5866,material!A:D,3,0),"")</f>
        <v/>
      </c>
    </row>
    <row r="5867" ht="11.25" customHeight="1">
      <c r="A5867" s="21"/>
      <c r="B5867" s="22"/>
      <c r="C5867" s="21"/>
      <c r="D5867" s="21"/>
      <c r="E5867" s="21"/>
      <c r="F5867" s="21"/>
      <c r="G5867" s="23"/>
      <c r="H5867" s="24" t="str">
        <f>IFERROR(VLOOKUP(B5867,material!A:D,3,0),"")</f>
        <v/>
      </c>
    </row>
    <row r="5868" ht="11.25" customHeight="1">
      <c r="A5868" s="21"/>
      <c r="B5868" s="22"/>
      <c r="C5868" s="21"/>
      <c r="D5868" s="21"/>
      <c r="E5868" s="21"/>
      <c r="F5868" s="21"/>
      <c r="G5868" s="23"/>
      <c r="H5868" s="24" t="str">
        <f>IFERROR(VLOOKUP(B5868,material!A:D,3,0),"")</f>
        <v/>
      </c>
    </row>
    <row r="5869" ht="11.25" customHeight="1">
      <c r="A5869" s="21"/>
      <c r="B5869" s="22"/>
      <c r="C5869" s="21"/>
      <c r="D5869" s="21"/>
      <c r="E5869" s="21"/>
      <c r="F5869" s="21"/>
      <c r="G5869" s="23"/>
      <c r="H5869" s="24" t="str">
        <f>IFERROR(VLOOKUP(B5869,material!A:D,3,0),"")</f>
        <v/>
      </c>
    </row>
    <row r="5870" ht="11.25" customHeight="1">
      <c r="A5870" s="21"/>
      <c r="B5870" s="22"/>
      <c r="C5870" s="21"/>
      <c r="D5870" s="21"/>
      <c r="E5870" s="21"/>
      <c r="F5870" s="21"/>
      <c r="G5870" s="23"/>
      <c r="H5870" s="24" t="str">
        <f>IFERROR(VLOOKUP(B5870,material!A:D,3,0),"")</f>
        <v/>
      </c>
    </row>
    <row r="5871" ht="11.25" customHeight="1">
      <c r="A5871" s="21"/>
      <c r="B5871" s="22"/>
      <c r="C5871" s="21"/>
      <c r="D5871" s="21"/>
      <c r="E5871" s="21"/>
      <c r="F5871" s="21"/>
      <c r="G5871" s="23"/>
      <c r="H5871" s="24" t="str">
        <f>IFERROR(VLOOKUP(B5871,material!A:D,3,0),"")</f>
        <v/>
      </c>
    </row>
    <row r="5872" ht="11.25" customHeight="1">
      <c r="A5872" s="21"/>
      <c r="B5872" s="22"/>
      <c r="C5872" s="21"/>
      <c r="D5872" s="21"/>
      <c r="E5872" s="21"/>
      <c r="F5872" s="21"/>
      <c r="G5872" s="23"/>
      <c r="H5872" s="24" t="str">
        <f>IFERROR(VLOOKUP(B5872,material!A:D,3,0),"")</f>
        <v/>
      </c>
    </row>
    <row r="5873" ht="11.25" customHeight="1">
      <c r="A5873" s="21"/>
      <c r="B5873" s="22"/>
      <c r="C5873" s="21"/>
      <c r="D5873" s="21"/>
      <c r="E5873" s="21"/>
      <c r="F5873" s="21"/>
      <c r="G5873" s="23"/>
      <c r="H5873" s="24" t="str">
        <f>IFERROR(VLOOKUP(B5873,material!A:D,3,0),"")</f>
        <v/>
      </c>
    </row>
    <row r="5874" ht="11.25" customHeight="1">
      <c r="A5874" s="21"/>
      <c r="B5874" s="22"/>
      <c r="C5874" s="21"/>
      <c r="D5874" s="21"/>
      <c r="E5874" s="21"/>
      <c r="F5874" s="21"/>
      <c r="G5874" s="23"/>
      <c r="H5874" s="24" t="str">
        <f>IFERROR(VLOOKUP(B5874,material!A:D,3,0),"")</f>
        <v/>
      </c>
    </row>
    <row r="5875" ht="11.25" customHeight="1">
      <c r="A5875" s="21"/>
      <c r="B5875" s="22"/>
      <c r="C5875" s="21"/>
      <c r="D5875" s="21"/>
      <c r="E5875" s="21"/>
      <c r="F5875" s="21"/>
      <c r="G5875" s="23"/>
      <c r="H5875" s="24" t="str">
        <f>IFERROR(VLOOKUP(B5875,material!A:D,3,0),"")</f>
        <v/>
      </c>
    </row>
    <row r="5876" ht="11.25" customHeight="1">
      <c r="A5876" s="21"/>
      <c r="B5876" s="22"/>
      <c r="C5876" s="21"/>
      <c r="D5876" s="21"/>
      <c r="E5876" s="21"/>
      <c r="F5876" s="21"/>
      <c r="G5876" s="23"/>
      <c r="H5876" s="24" t="str">
        <f>IFERROR(VLOOKUP(B5876,material!A:D,3,0),"")</f>
        <v/>
      </c>
    </row>
    <row r="5877" ht="11.25" customHeight="1">
      <c r="A5877" s="21"/>
      <c r="B5877" s="22"/>
      <c r="C5877" s="21"/>
      <c r="D5877" s="21"/>
      <c r="E5877" s="21"/>
      <c r="F5877" s="21"/>
      <c r="G5877" s="23"/>
      <c r="H5877" s="24" t="str">
        <f>IFERROR(VLOOKUP(B5877,material!A:D,3,0),"")</f>
        <v/>
      </c>
    </row>
    <row r="5878" ht="11.25" customHeight="1">
      <c r="A5878" s="21"/>
      <c r="B5878" s="22"/>
      <c r="C5878" s="21"/>
      <c r="D5878" s="21"/>
      <c r="E5878" s="21"/>
      <c r="F5878" s="21"/>
      <c r="G5878" s="23"/>
      <c r="H5878" s="24" t="str">
        <f>IFERROR(VLOOKUP(B5878,material!A:D,3,0),"")</f>
        <v/>
      </c>
    </row>
    <row r="5879" ht="11.25" customHeight="1">
      <c r="A5879" s="21"/>
      <c r="B5879" s="22"/>
      <c r="C5879" s="21"/>
      <c r="D5879" s="21"/>
      <c r="E5879" s="21"/>
      <c r="F5879" s="21"/>
      <c r="G5879" s="23"/>
      <c r="H5879" s="24" t="str">
        <f>IFERROR(VLOOKUP(B5879,material!A:D,3,0),"")</f>
        <v/>
      </c>
    </row>
    <row r="5880" ht="11.25" customHeight="1">
      <c r="A5880" s="21"/>
      <c r="B5880" s="22"/>
      <c r="C5880" s="21"/>
      <c r="D5880" s="21"/>
      <c r="E5880" s="21"/>
      <c r="F5880" s="21"/>
      <c r="G5880" s="23"/>
      <c r="H5880" s="24" t="str">
        <f>IFERROR(VLOOKUP(B5880,material!A:D,3,0),"")</f>
        <v/>
      </c>
    </row>
    <row r="5881" ht="11.25" customHeight="1">
      <c r="A5881" s="21"/>
      <c r="B5881" s="22"/>
      <c r="C5881" s="21"/>
      <c r="D5881" s="21"/>
      <c r="E5881" s="21"/>
      <c r="F5881" s="21"/>
      <c r="G5881" s="23"/>
      <c r="H5881" s="24" t="str">
        <f>IFERROR(VLOOKUP(B5881,material!A:D,3,0),"")</f>
        <v/>
      </c>
    </row>
    <row r="5882" ht="11.25" customHeight="1">
      <c r="A5882" s="21"/>
      <c r="B5882" s="22"/>
      <c r="C5882" s="21"/>
      <c r="D5882" s="21"/>
      <c r="E5882" s="21"/>
      <c r="F5882" s="21"/>
      <c r="G5882" s="23"/>
      <c r="H5882" s="24" t="str">
        <f>IFERROR(VLOOKUP(B5882,material!A:D,3,0),"")</f>
        <v/>
      </c>
    </row>
    <row r="5883" ht="11.25" customHeight="1">
      <c r="A5883" s="21"/>
      <c r="B5883" s="22"/>
      <c r="C5883" s="21"/>
      <c r="D5883" s="21"/>
      <c r="E5883" s="21"/>
      <c r="F5883" s="21"/>
      <c r="G5883" s="23"/>
      <c r="H5883" s="24" t="str">
        <f>IFERROR(VLOOKUP(B5883,material!A:D,3,0),"")</f>
        <v/>
      </c>
    </row>
    <row r="5884" ht="11.25" customHeight="1">
      <c r="A5884" s="21"/>
      <c r="B5884" s="22"/>
      <c r="C5884" s="21"/>
      <c r="D5884" s="21"/>
      <c r="E5884" s="21"/>
      <c r="F5884" s="21"/>
      <c r="G5884" s="23"/>
      <c r="H5884" s="24" t="str">
        <f>IFERROR(VLOOKUP(B5884,material!A:D,3,0),"")</f>
        <v/>
      </c>
    </row>
    <row r="5885" ht="11.25" customHeight="1">
      <c r="A5885" s="21"/>
      <c r="B5885" s="22"/>
      <c r="C5885" s="21"/>
      <c r="D5885" s="21"/>
      <c r="E5885" s="21"/>
      <c r="F5885" s="21"/>
      <c r="G5885" s="23"/>
      <c r="H5885" s="24" t="str">
        <f>IFERROR(VLOOKUP(B5885,material!A:D,3,0),"")</f>
        <v/>
      </c>
    </row>
    <row r="5886" ht="11.25" customHeight="1">
      <c r="A5886" s="21"/>
      <c r="B5886" s="22"/>
      <c r="C5886" s="21"/>
      <c r="D5886" s="21"/>
      <c r="E5886" s="21"/>
      <c r="F5886" s="21"/>
      <c r="G5886" s="23"/>
      <c r="H5886" s="24" t="str">
        <f>IFERROR(VLOOKUP(B5886,material!A:D,3,0),"")</f>
        <v/>
      </c>
    </row>
    <row r="5887" ht="11.25" customHeight="1">
      <c r="A5887" s="21"/>
      <c r="B5887" s="22"/>
      <c r="C5887" s="21"/>
      <c r="D5887" s="21"/>
      <c r="E5887" s="21"/>
      <c r="F5887" s="21"/>
      <c r="G5887" s="23"/>
      <c r="H5887" s="24" t="str">
        <f>IFERROR(VLOOKUP(B5887,material!A:D,3,0),"")</f>
        <v/>
      </c>
    </row>
    <row r="5888" ht="11.25" customHeight="1">
      <c r="A5888" s="21"/>
      <c r="B5888" s="22"/>
      <c r="C5888" s="21"/>
      <c r="D5888" s="21"/>
      <c r="E5888" s="21"/>
      <c r="F5888" s="21"/>
      <c r="G5888" s="23"/>
      <c r="H5888" s="24" t="str">
        <f>IFERROR(VLOOKUP(B5888,material!A:D,3,0),"")</f>
        <v/>
      </c>
    </row>
    <row r="5889" ht="11.25" customHeight="1">
      <c r="A5889" s="21"/>
      <c r="B5889" s="22"/>
      <c r="C5889" s="21"/>
      <c r="D5889" s="21"/>
      <c r="E5889" s="21"/>
      <c r="F5889" s="21"/>
      <c r="G5889" s="23"/>
      <c r="H5889" s="24" t="str">
        <f>IFERROR(VLOOKUP(B5889,material!A:D,3,0),"")</f>
        <v/>
      </c>
    </row>
    <row r="5890" ht="11.25" customHeight="1">
      <c r="A5890" s="21"/>
      <c r="B5890" s="22"/>
      <c r="C5890" s="21"/>
      <c r="D5890" s="21"/>
      <c r="E5890" s="21"/>
      <c r="F5890" s="21"/>
      <c r="G5890" s="23"/>
      <c r="H5890" s="24" t="str">
        <f>IFERROR(VLOOKUP(B5890,material!A:D,3,0),"")</f>
        <v/>
      </c>
    </row>
    <row r="5891" ht="11.25" customHeight="1">
      <c r="A5891" s="21"/>
      <c r="B5891" s="22"/>
      <c r="C5891" s="21"/>
      <c r="D5891" s="21"/>
      <c r="E5891" s="21"/>
      <c r="F5891" s="21"/>
      <c r="G5891" s="23"/>
      <c r="H5891" s="24" t="str">
        <f>IFERROR(VLOOKUP(B5891,material!A:D,3,0),"")</f>
        <v/>
      </c>
    </row>
    <row r="5892" ht="11.25" customHeight="1">
      <c r="A5892" s="21"/>
      <c r="B5892" s="22"/>
      <c r="C5892" s="21"/>
      <c r="D5892" s="21"/>
      <c r="E5892" s="21"/>
      <c r="F5892" s="21"/>
      <c r="G5892" s="23"/>
      <c r="H5892" s="24" t="str">
        <f>IFERROR(VLOOKUP(B5892,material!A:D,3,0),"")</f>
        <v/>
      </c>
    </row>
    <row r="5893" ht="11.25" customHeight="1">
      <c r="A5893" s="21"/>
      <c r="B5893" s="22"/>
      <c r="C5893" s="21"/>
      <c r="D5893" s="21"/>
      <c r="E5893" s="21"/>
      <c r="F5893" s="21"/>
      <c r="G5893" s="23"/>
      <c r="H5893" s="24" t="str">
        <f>IFERROR(VLOOKUP(B5893,material!A:D,3,0),"")</f>
        <v/>
      </c>
    </row>
    <row r="5894" ht="11.25" customHeight="1">
      <c r="A5894" s="21"/>
      <c r="B5894" s="22"/>
      <c r="C5894" s="21"/>
      <c r="D5894" s="21"/>
      <c r="E5894" s="21"/>
      <c r="F5894" s="21"/>
      <c r="G5894" s="23"/>
      <c r="H5894" s="24" t="str">
        <f>IFERROR(VLOOKUP(B5894,material!A:D,3,0),"")</f>
        <v/>
      </c>
    </row>
    <row r="5895" ht="11.25" customHeight="1">
      <c r="A5895" s="21"/>
      <c r="B5895" s="22"/>
      <c r="C5895" s="21"/>
      <c r="D5895" s="21"/>
      <c r="E5895" s="21"/>
      <c r="F5895" s="21"/>
      <c r="G5895" s="23"/>
      <c r="H5895" s="24" t="str">
        <f>IFERROR(VLOOKUP(B5895,material!A:D,3,0),"")</f>
        <v/>
      </c>
    </row>
    <row r="5896" ht="11.25" customHeight="1">
      <c r="A5896" s="21"/>
      <c r="B5896" s="22"/>
      <c r="C5896" s="21"/>
      <c r="D5896" s="21"/>
      <c r="E5896" s="21"/>
      <c r="F5896" s="21"/>
      <c r="G5896" s="23"/>
      <c r="H5896" s="24" t="str">
        <f>IFERROR(VLOOKUP(B5896,material!A:D,3,0),"")</f>
        <v/>
      </c>
    </row>
    <row r="5897" ht="11.25" customHeight="1">
      <c r="A5897" s="21"/>
      <c r="B5897" s="22"/>
      <c r="C5897" s="21"/>
      <c r="D5897" s="21"/>
      <c r="E5897" s="21"/>
      <c r="F5897" s="21"/>
      <c r="G5897" s="23"/>
      <c r="H5897" s="24" t="str">
        <f>IFERROR(VLOOKUP(B5897,material!A:D,3,0),"")</f>
        <v/>
      </c>
    </row>
    <row r="5898" ht="11.25" customHeight="1">
      <c r="A5898" s="21"/>
      <c r="B5898" s="22"/>
      <c r="C5898" s="21"/>
      <c r="D5898" s="21"/>
      <c r="E5898" s="21"/>
      <c r="F5898" s="21"/>
      <c r="G5898" s="23"/>
      <c r="H5898" s="24" t="str">
        <f>IFERROR(VLOOKUP(B5898,material!A:D,3,0),"")</f>
        <v/>
      </c>
    </row>
    <row r="5899" ht="11.25" customHeight="1">
      <c r="A5899" s="21"/>
      <c r="B5899" s="22"/>
      <c r="C5899" s="21"/>
      <c r="D5899" s="21"/>
      <c r="E5899" s="21"/>
      <c r="F5899" s="21"/>
      <c r="G5899" s="23"/>
      <c r="H5899" s="24" t="str">
        <f>IFERROR(VLOOKUP(B5899,material!A:D,3,0),"")</f>
        <v/>
      </c>
    </row>
    <row r="5900" ht="11.25" customHeight="1">
      <c r="A5900" s="21"/>
      <c r="B5900" s="22"/>
      <c r="C5900" s="21"/>
      <c r="D5900" s="21"/>
      <c r="E5900" s="21"/>
      <c r="F5900" s="21"/>
      <c r="G5900" s="23"/>
      <c r="H5900" s="24" t="str">
        <f>IFERROR(VLOOKUP(B5900,material!A:D,3,0),"")</f>
        <v/>
      </c>
    </row>
    <row r="5901" ht="11.25" customHeight="1">
      <c r="A5901" s="21"/>
      <c r="B5901" s="22"/>
      <c r="C5901" s="21"/>
      <c r="D5901" s="21"/>
      <c r="E5901" s="21"/>
      <c r="F5901" s="21"/>
      <c r="G5901" s="23"/>
      <c r="H5901" s="24" t="str">
        <f>IFERROR(VLOOKUP(B5901,material!A:D,3,0),"")</f>
        <v/>
      </c>
    </row>
    <row r="5902" ht="11.25" customHeight="1">
      <c r="A5902" s="21"/>
      <c r="B5902" s="22"/>
      <c r="C5902" s="21"/>
      <c r="D5902" s="21"/>
      <c r="E5902" s="21"/>
      <c r="F5902" s="21"/>
      <c r="G5902" s="23"/>
      <c r="H5902" s="24" t="str">
        <f>IFERROR(VLOOKUP(B5902,material!A:D,3,0),"")</f>
        <v/>
      </c>
    </row>
    <row r="5903" ht="11.25" customHeight="1">
      <c r="A5903" s="21"/>
      <c r="B5903" s="22"/>
      <c r="C5903" s="21"/>
      <c r="D5903" s="21"/>
      <c r="E5903" s="21"/>
      <c r="F5903" s="21"/>
      <c r="G5903" s="23"/>
      <c r="H5903" s="24" t="str">
        <f>IFERROR(VLOOKUP(B5903,material!A:D,3,0),"")</f>
        <v/>
      </c>
    </row>
    <row r="5904" ht="11.25" customHeight="1">
      <c r="A5904" s="21"/>
      <c r="B5904" s="22"/>
      <c r="C5904" s="21"/>
      <c r="D5904" s="21"/>
      <c r="E5904" s="21"/>
      <c r="F5904" s="21"/>
      <c r="G5904" s="23"/>
      <c r="H5904" s="24" t="str">
        <f>IFERROR(VLOOKUP(B5904,material!A:D,3,0),"")</f>
        <v/>
      </c>
    </row>
    <row r="5905" ht="11.25" customHeight="1">
      <c r="A5905" s="21"/>
      <c r="B5905" s="22"/>
      <c r="C5905" s="21"/>
      <c r="D5905" s="21"/>
      <c r="E5905" s="21"/>
      <c r="F5905" s="21"/>
      <c r="G5905" s="23"/>
      <c r="H5905" s="24" t="str">
        <f>IFERROR(VLOOKUP(B5905,material!A:D,3,0),"")</f>
        <v/>
      </c>
    </row>
    <row r="5906" ht="11.25" customHeight="1">
      <c r="A5906" s="21"/>
      <c r="B5906" s="22"/>
      <c r="C5906" s="21"/>
      <c r="D5906" s="21"/>
      <c r="E5906" s="21"/>
      <c r="F5906" s="21"/>
      <c r="G5906" s="23"/>
      <c r="H5906" s="24" t="str">
        <f>IFERROR(VLOOKUP(B5906,material!A:D,3,0),"")</f>
        <v/>
      </c>
    </row>
    <row r="5907" ht="11.25" customHeight="1">
      <c r="A5907" s="21"/>
      <c r="B5907" s="22"/>
      <c r="C5907" s="21"/>
      <c r="D5907" s="21"/>
      <c r="E5907" s="21"/>
      <c r="F5907" s="21"/>
      <c r="G5907" s="23"/>
      <c r="H5907" s="24" t="str">
        <f>IFERROR(VLOOKUP(B5907,material!A:D,3,0),"")</f>
        <v/>
      </c>
    </row>
    <row r="5908" ht="11.25" customHeight="1">
      <c r="A5908" s="21"/>
      <c r="B5908" s="22"/>
      <c r="C5908" s="21"/>
      <c r="D5908" s="21"/>
      <c r="E5908" s="21"/>
      <c r="F5908" s="21"/>
      <c r="G5908" s="23"/>
      <c r="H5908" s="24" t="str">
        <f>IFERROR(VLOOKUP(B5908,material!A:D,3,0),"")</f>
        <v/>
      </c>
    </row>
    <row r="5909" ht="11.25" customHeight="1">
      <c r="A5909" s="21"/>
      <c r="B5909" s="22"/>
      <c r="C5909" s="21"/>
      <c r="D5909" s="21"/>
      <c r="E5909" s="21"/>
      <c r="F5909" s="21"/>
      <c r="G5909" s="23"/>
      <c r="H5909" s="24" t="str">
        <f>IFERROR(VLOOKUP(B5909,material!A:D,3,0),"")</f>
        <v/>
      </c>
    </row>
    <row r="5910" ht="11.25" customHeight="1">
      <c r="A5910" s="21"/>
      <c r="B5910" s="22"/>
      <c r="C5910" s="21"/>
      <c r="D5910" s="21"/>
      <c r="E5910" s="21"/>
      <c r="F5910" s="21"/>
      <c r="G5910" s="23"/>
      <c r="H5910" s="24" t="str">
        <f>IFERROR(VLOOKUP(B5910,material!A:D,3,0),"")</f>
        <v/>
      </c>
    </row>
    <row r="5911" ht="11.25" customHeight="1">
      <c r="A5911" s="21"/>
      <c r="B5911" s="22"/>
      <c r="C5911" s="21"/>
      <c r="D5911" s="21"/>
      <c r="E5911" s="21"/>
      <c r="F5911" s="21"/>
      <c r="G5911" s="23"/>
      <c r="H5911" s="24" t="str">
        <f>IFERROR(VLOOKUP(B5911,material!A:D,3,0),"")</f>
        <v/>
      </c>
    </row>
    <row r="5912" ht="11.25" customHeight="1">
      <c r="A5912" s="21"/>
      <c r="B5912" s="22"/>
      <c r="C5912" s="21"/>
      <c r="D5912" s="21"/>
      <c r="E5912" s="21"/>
      <c r="F5912" s="21"/>
      <c r="G5912" s="23"/>
      <c r="H5912" s="24" t="str">
        <f>IFERROR(VLOOKUP(B5912,material!A:D,3,0),"")</f>
        <v/>
      </c>
    </row>
    <row r="5913" ht="11.25" customHeight="1">
      <c r="A5913" s="21"/>
      <c r="B5913" s="22"/>
      <c r="C5913" s="21"/>
      <c r="D5913" s="21"/>
      <c r="E5913" s="21"/>
      <c r="F5913" s="21"/>
      <c r="G5913" s="23"/>
      <c r="H5913" s="24" t="str">
        <f>IFERROR(VLOOKUP(B5913,material!A:D,3,0),"")</f>
        <v/>
      </c>
    </row>
    <row r="5914" ht="11.25" customHeight="1">
      <c r="A5914" s="21"/>
      <c r="B5914" s="22"/>
      <c r="C5914" s="21"/>
      <c r="D5914" s="21"/>
      <c r="E5914" s="21"/>
      <c r="F5914" s="21"/>
      <c r="G5914" s="23"/>
      <c r="H5914" s="24" t="str">
        <f>IFERROR(VLOOKUP(B5914,material!A:D,3,0),"")</f>
        <v/>
      </c>
    </row>
    <row r="5915" ht="11.25" customHeight="1">
      <c r="A5915" s="21"/>
      <c r="B5915" s="22"/>
      <c r="C5915" s="21"/>
      <c r="D5915" s="21"/>
      <c r="E5915" s="21"/>
      <c r="F5915" s="21"/>
      <c r="G5915" s="23"/>
      <c r="H5915" s="24" t="str">
        <f>IFERROR(VLOOKUP(B5915,material!A:D,3,0),"")</f>
        <v/>
      </c>
    </row>
    <row r="5916" ht="11.25" customHeight="1">
      <c r="A5916" s="21"/>
      <c r="B5916" s="22"/>
      <c r="C5916" s="21"/>
      <c r="D5916" s="21"/>
      <c r="E5916" s="21"/>
      <c r="F5916" s="21"/>
      <c r="G5916" s="23"/>
      <c r="H5916" s="24" t="str">
        <f>IFERROR(VLOOKUP(B5916,material!A:D,3,0),"")</f>
        <v/>
      </c>
    </row>
    <row r="5917" ht="11.25" customHeight="1">
      <c r="A5917" s="21"/>
      <c r="B5917" s="22"/>
      <c r="C5917" s="21"/>
      <c r="D5917" s="21"/>
      <c r="E5917" s="21"/>
      <c r="F5917" s="21"/>
      <c r="G5917" s="23"/>
      <c r="H5917" s="24" t="str">
        <f>IFERROR(VLOOKUP(B5917,material!A:D,3,0),"")</f>
        <v/>
      </c>
    </row>
    <row r="5918" ht="11.25" customHeight="1">
      <c r="A5918" s="21"/>
      <c r="B5918" s="22"/>
      <c r="C5918" s="21"/>
      <c r="D5918" s="21"/>
      <c r="E5918" s="21"/>
      <c r="F5918" s="21"/>
      <c r="G5918" s="23"/>
      <c r="H5918" s="24" t="str">
        <f>IFERROR(VLOOKUP(B5918,material!A:D,3,0),"")</f>
        <v/>
      </c>
    </row>
    <row r="5919" ht="11.25" customHeight="1">
      <c r="A5919" s="21"/>
      <c r="B5919" s="22"/>
      <c r="C5919" s="21"/>
      <c r="D5919" s="21"/>
      <c r="E5919" s="21"/>
      <c r="F5919" s="21"/>
      <c r="G5919" s="23"/>
      <c r="H5919" s="24" t="str">
        <f>IFERROR(VLOOKUP(B5919,material!A:D,3,0),"")</f>
        <v/>
      </c>
    </row>
    <row r="5920" ht="11.25" customHeight="1">
      <c r="A5920" s="21"/>
      <c r="B5920" s="22"/>
      <c r="C5920" s="21"/>
      <c r="D5920" s="21"/>
      <c r="E5920" s="21"/>
      <c r="F5920" s="21"/>
      <c r="G5920" s="23"/>
      <c r="H5920" s="24" t="str">
        <f>IFERROR(VLOOKUP(B5920,material!A:D,3,0),"")</f>
        <v/>
      </c>
    </row>
    <row r="5921" ht="11.25" customHeight="1">
      <c r="A5921" s="21"/>
      <c r="B5921" s="22"/>
      <c r="C5921" s="21"/>
      <c r="D5921" s="21"/>
      <c r="E5921" s="21"/>
      <c r="F5921" s="21"/>
      <c r="G5921" s="23"/>
      <c r="H5921" s="24" t="str">
        <f>IFERROR(VLOOKUP(B5921,material!A:D,3,0),"")</f>
        <v/>
      </c>
    </row>
    <row r="5922" ht="11.25" customHeight="1">
      <c r="A5922" s="21"/>
      <c r="B5922" s="22"/>
      <c r="C5922" s="21"/>
      <c r="D5922" s="21"/>
      <c r="E5922" s="21"/>
      <c r="F5922" s="21"/>
      <c r="G5922" s="23"/>
      <c r="H5922" s="24" t="str">
        <f>IFERROR(VLOOKUP(B5922,material!A:D,3,0),"")</f>
        <v/>
      </c>
    </row>
    <row r="5923" ht="11.25" customHeight="1">
      <c r="A5923" s="21"/>
      <c r="B5923" s="22"/>
      <c r="C5923" s="21"/>
      <c r="D5923" s="21"/>
      <c r="E5923" s="21"/>
      <c r="F5923" s="21"/>
      <c r="G5923" s="23"/>
      <c r="H5923" s="24" t="str">
        <f>IFERROR(VLOOKUP(B5923,material!A:D,3,0),"")</f>
        <v/>
      </c>
    </row>
    <row r="5924" ht="11.25" customHeight="1">
      <c r="A5924" s="21"/>
      <c r="B5924" s="22"/>
      <c r="C5924" s="21"/>
      <c r="D5924" s="21"/>
      <c r="E5924" s="21"/>
      <c r="F5924" s="21"/>
      <c r="G5924" s="23"/>
      <c r="H5924" s="24" t="str">
        <f>IFERROR(VLOOKUP(B5924,material!A:D,3,0),"")</f>
        <v/>
      </c>
    </row>
    <row r="5925" ht="11.25" customHeight="1">
      <c r="A5925" s="21"/>
      <c r="B5925" s="22"/>
      <c r="C5925" s="21"/>
      <c r="D5925" s="21"/>
      <c r="E5925" s="21"/>
      <c r="F5925" s="21"/>
      <c r="G5925" s="23"/>
      <c r="H5925" s="24" t="str">
        <f>IFERROR(VLOOKUP(B5925,material!A:D,3,0),"")</f>
        <v/>
      </c>
    </row>
    <row r="5926" ht="11.25" customHeight="1">
      <c r="A5926" s="21"/>
      <c r="B5926" s="22"/>
      <c r="C5926" s="21"/>
      <c r="D5926" s="21"/>
      <c r="E5926" s="21"/>
      <c r="F5926" s="21"/>
      <c r="G5926" s="23"/>
      <c r="H5926" s="24" t="str">
        <f>IFERROR(VLOOKUP(B5926,material!A:D,3,0),"")</f>
        <v/>
      </c>
    </row>
    <row r="5927" ht="11.25" customHeight="1">
      <c r="A5927" s="21"/>
      <c r="B5927" s="22"/>
      <c r="C5927" s="21"/>
      <c r="D5927" s="21"/>
      <c r="E5927" s="21"/>
      <c r="F5927" s="21"/>
      <c r="G5927" s="23"/>
      <c r="H5927" s="24" t="str">
        <f>IFERROR(VLOOKUP(B5927,material!A:D,3,0),"")</f>
        <v/>
      </c>
    </row>
    <row r="5928" ht="11.25" customHeight="1">
      <c r="A5928" s="21"/>
      <c r="B5928" s="22"/>
      <c r="C5928" s="21"/>
      <c r="D5928" s="21"/>
      <c r="E5928" s="21"/>
      <c r="F5928" s="21"/>
      <c r="G5928" s="23"/>
      <c r="H5928" s="24" t="str">
        <f>IFERROR(VLOOKUP(B5928,material!A:D,3,0),"")</f>
        <v/>
      </c>
    </row>
    <row r="5929" ht="11.25" customHeight="1">
      <c r="A5929" s="21"/>
      <c r="B5929" s="22"/>
      <c r="C5929" s="21"/>
      <c r="D5929" s="21"/>
      <c r="E5929" s="21"/>
      <c r="F5929" s="21"/>
      <c r="G5929" s="23"/>
      <c r="H5929" s="24" t="str">
        <f>IFERROR(VLOOKUP(B5929,material!A:D,3,0),"")</f>
        <v/>
      </c>
    </row>
    <row r="5930" ht="11.25" customHeight="1">
      <c r="A5930" s="21"/>
      <c r="B5930" s="22"/>
      <c r="C5930" s="21"/>
      <c r="D5930" s="21"/>
      <c r="E5930" s="21"/>
      <c r="F5930" s="21"/>
      <c r="G5930" s="23"/>
      <c r="H5930" s="24" t="str">
        <f>IFERROR(VLOOKUP(B5930,material!A:D,3,0),"")</f>
        <v/>
      </c>
    </row>
    <row r="5931" ht="11.25" customHeight="1">
      <c r="A5931" s="21"/>
      <c r="B5931" s="22"/>
      <c r="C5931" s="21"/>
      <c r="D5931" s="21"/>
      <c r="E5931" s="21"/>
      <c r="F5931" s="21"/>
      <c r="G5931" s="23"/>
      <c r="H5931" s="24" t="str">
        <f>IFERROR(VLOOKUP(B5931,material!A:D,3,0),"")</f>
        <v/>
      </c>
    </row>
    <row r="5932" ht="11.25" customHeight="1">
      <c r="A5932" s="21"/>
      <c r="B5932" s="22"/>
      <c r="C5932" s="21"/>
      <c r="D5932" s="21"/>
      <c r="E5932" s="21"/>
      <c r="F5932" s="21"/>
      <c r="G5932" s="23"/>
      <c r="H5932" s="24" t="str">
        <f>IFERROR(VLOOKUP(B5932,material!A:D,3,0),"")</f>
        <v/>
      </c>
    </row>
    <row r="5933" ht="11.25" customHeight="1">
      <c r="A5933" s="21"/>
      <c r="B5933" s="22"/>
      <c r="C5933" s="21"/>
      <c r="D5933" s="21"/>
      <c r="E5933" s="21"/>
      <c r="F5933" s="21"/>
      <c r="G5933" s="23"/>
      <c r="H5933" s="24" t="str">
        <f>IFERROR(VLOOKUP(B5933,material!A:D,3,0),"")</f>
        <v/>
      </c>
    </row>
    <row r="5934" ht="11.25" customHeight="1">
      <c r="A5934" s="21"/>
      <c r="B5934" s="22"/>
      <c r="C5934" s="21"/>
      <c r="D5934" s="21"/>
      <c r="E5934" s="21"/>
      <c r="F5934" s="21"/>
      <c r="G5934" s="23"/>
      <c r="H5934" s="24" t="str">
        <f>IFERROR(VLOOKUP(B5934,material!A:D,3,0),"")</f>
        <v/>
      </c>
    </row>
    <row r="5935" ht="11.25" customHeight="1">
      <c r="A5935" s="21"/>
      <c r="B5935" s="22"/>
      <c r="C5935" s="21"/>
      <c r="D5935" s="21"/>
      <c r="E5935" s="21"/>
      <c r="F5935" s="21"/>
      <c r="G5935" s="23"/>
      <c r="H5935" s="24" t="str">
        <f>IFERROR(VLOOKUP(B5935,material!A:D,3,0),"")</f>
        <v/>
      </c>
    </row>
    <row r="5936" ht="11.25" customHeight="1">
      <c r="A5936" s="21"/>
      <c r="B5936" s="22"/>
      <c r="C5936" s="21"/>
      <c r="D5936" s="21"/>
      <c r="E5936" s="21"/>
      <c r="F5936" s="21"/>
      <c r="G5936" s="23"/>
      <c r="H5936" s="24" t="str">
        <f>IFERROR(VLOOKUP(B5936,material!A:D,3,0),"")</f>
        <v/>
      </c>
    </row>
    <row r="5937" ht="11.25" customHeight="1">
      <c r="A5937" s="21"/>
      <c r="B5937" s="22"/>
      <c r="C5937" s="21"/>
      <c r="D5937" s="21"/>
      <c r="E5937" s="21"/>
      <c r="F5937" s="21"/>
      <c r="G5937" s="23"/>
      <c r="H5937" s="24" t="str">
        <f>IFERROR(VLOOKUP(B5937,material!A:D,3,0),"")</f>
        <v/>
      </c>
    </row>
    <row r="5938" ht="11.25" customHeight="1">
      <c r="A5938" s="21"/>
      <c r="B5938" s="22"/>
      <c r="C5938" s="21"/>
      <c r="D5938" s="21"/>
      <c r="E5938" s="21"/>
      <c r="F5938" s="21"/>
      <c r="G5938" s="23"/>
      <c r="H5938" s="24" t="str">
        <f>IFERROR(VLOOKUP(B5938,material!A:D,3,0),"")</f>
        <v/>
      </c>
    </row>
    <row r="5939" ht="11.25" customHeight="1">
      <c r="A5939" s="21"/>
      <c r="B5939" s="22"/>
      <c r="C5939" s="21"/>
      <c r="D5939" s="21"/>
      <c r="E5939" s="21"/>
      <c r="F5939" s="21"/>
      <c r="G5939" s="23"/>
      <c r="H5939" s="24" t="str">
        <f>IFERROR(VLOOKUP(B5939,material!A:D,3,0),"")</f>
        <v/>
      </c>
    </row>
    <row r="5940" ht="11.25" customHeight="1">
      <c r="A5940" s="21"/>
      <c r="B5940" s="22"/>
      <c r="C5940" s="21"/>
      <c r="D5940" s="21"/>
      <c r="E5940" s="21"/>
      <c r="F5940" s="21"/>
      <c r="G5940" s="23"/>
      <c r="H5940" s="24" t="str">
        <f>IFERROR(VLOOKUP(B5940,material!A:D,3,0),"")</f>
        <v/>
      </c>
    </row>
    <row r="5941" ht="11.25" customHeight="1">
      <c r="A5941" s="21"/>
      <c r="B5941" s="22"/>
      <c r="C5941" s="21"/>
      <c r="D5941" s="21"/>
      <c r="E5941" s="21"/>
      <c r="F5941" s="21"/>
      <c r="G5941" s="23"/>
      <c r="H5941" s="24" t="str">
        <f>IFERROR(VLOOKUP(B5941,material!A:D,3,0),"")</f>
        <v/>
      </c>
    </row>
    <row r="5942" ht="11.25" customHeight="1">
      <c r="A5942" s="21"/>
      <c r="B5942" s="22"/>
      <c r="C5942" s="21"/>
      <c r="D5942" s="21"/>
      <c r="E5942" s="21"/>
      <c r="F5942" s="21"/>
      <c r="G5942" s="23"/>
      <c r="H5942" s="24" t="str">
        <f>IFERROR(VLOOKUP(B5942,material!A:D,3,0),"")</f>
        <v/>
      </c>
    </row>
    <row r="5943" ht="11.25" customHeight="1">
      <c r="A5943" s="21"/>
      <c r="B5943" s="22"/>
      <c r="C5943" s="21"/>
      <c r="D5943" s="21"/>
      <c r="E5943" s="21"/>
      <c r="F5943" s="21"/>
      <c r="G5943" s="23"/>
      <c r="H5943" s="24" t="str">
        <f>IFERROR(VLOOKUP(B5943,material!A:D,3,0),"")</f>
        <v/>
      </c>
    </row>
    <row r="5944" ht="11.25" customHeight="1">
      <c r="A5944" s="21"/>
      <c r="B5944" s="22"/>
      <c r="C5944" s="21"/>
      <c r="D5944" s="21"/>
      <c r="E5944" s="21"/>
      <c r="F5944" s="21"/>
      <c r="G5944" s="23"/>
      <c r="H5944" s="24" t="str">
        <f>IFERROR(VLOOKUP(B5944,material!A:D,3,0),"")</f>
        <v/>
      </c>
    </row>
    <row r="5945" ht="11.25" customHeight="1">
      <c r="A5945" s="21"/>
      <c r="B5945" s="22"/>
      <c r="C5945" s="21"/>
      <c r="D5945" s="21"/>
      <c r="E5945" s="21"/>
      <c r="F5945" s="21"/>
      <c r="G5945" s="23"/>
      <c r="H5945" s="24" t="str">
        <f>IFERROR(VLOOKUP(B5945,material!A:D,3,0),"")</f>
        <v/>
      </c>
    </row>
    <row r="5946" ht="11.25" customHeight="1">
      <c r="A5946" s="21"/>
      <c r="B5946" s="22"/>
      <c r="C5946" s="21"/>
      <c r="D5946" s="21"/>
      <c r="E5946" s="21"/>
      <c r="F5946" s="21"/>
      <c r="G5946" s="23"/>
      <c r="H5946" s="24" t="str">
        <f>IFERROR(VLOOKUP(B5946,material!A:D,3,0),"")</f>
        <v/>
      </c>
    </row>
    <row r="5947" ht="11.25" customHeight="1">
      <c r="A5947" s="21"/>
      <c r="B5947" s="22"/>
      <c r="C5947" s="21"/>
      <c r="D5947" s="21"/>
      <c r="E5947" s="21"/>
      <c r="F5947" s="21"/>
      <c r="G5947" s="23"/>
      <c r="H5947" s="24" t="str">
        <f>IFERROR(VLOOKUP(B5947,material!A:D,3,0),"")</f>
        <v/>
      </c>
    </row>
    <row r="5948" ht="11.25" customHeight="1">
      <c r="A5948" s="21"/>
      <c r="B5948" s="22"/>
      <c r="C5948" s="21"/>
      <c r="D5948" s="21"/>
      <c r="E5948" s="21"/>
      <c r="F5948" s="21"/>
      <c r="G5948" s="23"/>
      <c r="H5948" s="24" t="str">
        <f>IFERROR(VLOOKUP(B5948,material!A:D,3,0),"")</f>
        <v/>
      </c>
    </row>
    <row r="5949" ht="11.25" customHeight="1">
      <c r="A5949" s="21"/>
      <c r="B5949" s="22"/>
      <c r="C5949" s="21"/>
      <c r="D5949" s="21"/>
      <c r="E5949" s="21"/>
      <c r="F5949" s="21"/>
      <c r="G5949" s="23"/>
      <c r="H5949" s="24" t="str">
        <f>IFERROR(VLOOKUP(B5949,material!A:D,3,0),"")</f>
        <v/>
      </c>
    </row>
    <row r="5950" ht="11.25" customHeight="1">
      <c r="A5950" s="21"/>
      <c r="B5950" s="22"/>
      <c r="C5950" s="21"/>
      <c r="D5950" s="21"/>
      <c r="E5950" s="21"/>
      <c r="F5950" s="21"/>
      <c r="G5950" s="23"/>
      <c r="H5950" s="24" t="str">
        <f>IFERROR(VLOOKUP(B5950,material!A:D,3,0),"")</f>
        <v/>
      </c>
    </row>
    <row r="5951" ht="11.25" customHeight="1">
      <c r="A5951" s="21"/>
      <c r="B5951" s="22"/>
      <c r="C5951" s="21"/>
      <c r="D5951" s="21"/>
      <c r="E5951" s="21"/>
      <c r="F5951" s="21"/>
      <c r="G5951" s="23"/>
      <c r="H5951" s="24" t="str">
        <f>IFERROR(VLOOKUP(B5951,material!A:D,3,0),"")</f>
        <v/>
      </c>
    </row>
    <row r="5952" ht="11.25" customHeight="1">
      <c r="A5952" s="21"/>
      <c r="B5952" s="22"/>
      <c r="C5952" s="21"/>
      <c r="D5952" s="21"/>
      <c r="E5952" s="21"/>
      <c r="F5952" s="21"/>
      <c r="G5952" s="23"/>
      <c r="H5952" s="24" t="str">
        <f>IFERROR(VLOOKUP(B5952,material!A:D,3,0),"")</f>
        <v/>
      </c>
    </row>
    <row r="5953" ht="11.25" customHeight="1">
      <c r="A5953" s="21"/>
      <c r="B5953" s="22"/>
      <c r="C5953" s="21"/>
      <c r="D5953" s="21"/>
      <c r="E5953" s="21"/>
      <c r="F5953" s="21"/>
      <c r="G5953" s="23"/>
      <c r="H5953" s="24" t="str">
        <f>IFERROR(VLOOKUP(B5953,material!A:D,3,0),"")</f>
        <v/>
      </c>
    </row>
    <row r="5954" ht="11.25" customHeight="1">
      <c r="A5954" s="21"/>
      <c r="B5954" s="22"/>
      <c r="C5954" s="21"/>
      <c r="D5954" s="21"/>
      <c r="E5954" s="21"/>
      <c r="F5954" s="21"/>
      <c r="G5954" s="23"/>
      <c r="H5954" s="24" t="str">
        <f>IFERROR(VLOOKUP(B5954,material!A:D,3,0),"")</f>
        <v/>
      </c>
    </row>
    <row r="5955" ht="11.25" customHeight="1">
      <c r="A5955" s="21"/>
      <c r="B5955" s="22"/>
      <c r="C5955" s="21"/>
      <c r="D5955" s="21"/>
      <c r="E5955" s="21"/>
      <c r="F5955" s="21"/>
      <c r="G5955" s="23"/>
      <c r="H5955" s="24" t="str">
        <f>IFERROR(VLOOKUP(B5955,material!A:D,3,0),"")</f>
        <v/>
      </c>
    </row>
    <row r="5956" ht="11.25" customHeight="1">
      <c r="A5956" s="21"/>
      <c r="B5956" s="22"/>
      <c r="C5956" s="21"/>
      <c r="D5956" s="21"/>
      <c r="E5956" s="21"/>
      <c r="F5956" s="21"/>
      <c r="G5956" s="23"/>
      <c r="H5956" s="24" t="str">
        <f>IFERROR(VLOOKUP(B5956,material!A:D,3,0),"")</f>
        <v/>
      </c>
    </row>
    <row r="5957" ht="11.25" customHeight="1">
      <c r="A5957" s="21"/>
      <c r="B5957" s="22"/>
      <c r="C5957" s="21"/>
      <c r="D5957" s="21"/>
      <c r="E5957" s="21"/>
      <c r="F5957" s="21"/>
      <c r="G5957" s="23"/>
      <c r="H5957" s="24" t="str">
        <f>IFERROR(VLOOKUP(B5957,material!A:D,3,0),"")</f>
        <v/>
      </c>
    </row>
    <row r="5958" ht="11.25" customHeight="1">
      <c r="A5958" s="21"/>
      <c r="B5958" s="22"/>
      <c r="C5958" s="21"/>
      <c r="D5958" s="21"/>
      <c r="E5958" s="21"/>
      <c r="F5958" s="21"/>
      <c r="G5958" s="23"/>
      <c r="H5958" s="24" t="str">
        <f>IFERROR(VLOOKUP(B5958,material!A:D,3,0),"")</f>
        <v/>
      </c>
    </row>
    <row r="5959" ht="11.25" customHeight="1">
      <c r="A5959" s="21"/>
      <c r="B5959" s="22"/>
      <c r="C5959" s="21"/>
      <c r="D5959" s="21"/>
      <c r="E5959" s="21"/>
      <c r="F5959" s="21"/>
      <c r="G5959" s="23"/>
      <c r="H5959" s="24" t="str">
        <f>IFERROR(VLOOKUP(B5959,material!A:D,3,0),"")</f>
        <v/>
      </c>
    </row>
    <row r="5960" ht="11.25" customHeight="1">
      <c r="A5960" s="21"/>
      <c r="B5960" s="22"/>
      <c r="C5960" s="21"/>
      <c r="D5960" s="21"/>
      <c r="E5960" s="21"/>
      <c r="F5960" s="21"/>
      <c r="G5960" s="23"/>
      <c r="H5960" s="24" t="str">
        <f>IFERROR(VLOOKUP(B5960,material!A:D,3,0),"")</f>
        <v/>
      </c>
    </row>
    <row r="5961" ht="11.25" customHeight="1">
      <c r="A5961" s="21"/>
      <c r="B5961" s="22"/>
      <c r="C5961" s="21"/>
      <c r="D5961" s="21"/>
      <c r="E5961" s="21"/>
      <c r="F5961" s="21"/>
      <c r="G5961" s="23"/>
      <c r="H5961" s="24" t="str">
        <f>IFERROR(VLOOKUP(B5961,material!A:D,3,0),"")</f>
        <v/>
      </c>
    </row>
    <row r="5962" ht="11.25" customHeight="1">
      <c r="A5962" s="21"/>
      <c r="B5962" s="22"/>
      <c r="C5962" s="21"/>
      <c r="D5962" s="21"/>
      <c r="E5962" s="21"/>
      <c r="F5962" s="21"/>
      <c r="G5962" s="23"/>
      <c r="H5962" s="24" t="str">
        <f>IFERROR(VLOOKUP(B5962,material!A:D,3,0),"")</f>
        <v/>
      </c>
    </row>
    <row r="5963" ht="11.25" customHeight="1">
      <c r="A5963" s="21"/>
      <c r="B5963" s="22"/>
      <c r="C5963" s="21"/>
      <c r="D5963" s="21"/>
      <c r="E5963" s="21"/>
      <c r="F5963" s="21"/>
      <c r="G5963" s="23"/>
      <c r="H5963" s="24" t="str">
        <f>IFERROR(VLOOKUP(B5963,material!A:D,3,0),"")</f>
        <v/>
      </c>
    </row>
    <row r="5964" ht="11.25" customHeight="1">
      <c r="A5964" s="21"/>
      <c r="B5964" s="22"/>
      <c r="C5964" s="21"/>
      <c r="D5964" s="21"/>
      <c r="E5964" s="21"/>
      <c r="F5964" s="21"/>
      <c r="G5964" s="23"/>
      <c r="H5964" s="24" t="str">
        <f>IFERROR(VLOOKUP(B5964,material!A:D,3,0),"")</f>
        <v/>
      </c>
    </row>
    <row r="5965" ht="11.25" customHeight="1">
      <c r="A5965" s="21"/>
      <c r="B5965" s="22"/>
      <c r="C5965" s="21"/>
      <c r="D5965" s="21"/>
      <c r="E5965" s="21"/>
      <c r="F5965" s="21"/>
      <c r="G5965" s="23"/>
      <c r="H5965" s="24" t="str">
        <f>IFERROR(VLOOKUP(B5965,material!A:D,3,0),"")</f>
        <v/>
      </c>
    </row>
    <row r="5966" ht="11.25" customHeight="1">
      <c r="A5966" s="21"/>
      <c r="B5966" s="22"/>
      <c r="C5966" s="21"/>
      <c r="D5966" s="21"/>
      <c r="E5966" s="21"/>
      <c r="F5966" s="21"/>
      <c r="G5966" s="23"/>
      <c r="H5966" s="24" t="str">
        <f>IFERROR(VLOOKUP(B5966,material!A:D,3,0),"")</f>
        <v/>
      </c>
    </row>
    <row r="5967" ht="11.25" customHeight="1">
      <c r="A5967" s="21"/>
      <c r="B5967" s="22"/>
      <c r="C5967" s="21"/>
      <c r="D5967" s="21"/>
      <c r="E5967" s="21"/>
      <c r="F5967" s="21"/>
      <c r="G5967" s="23"/>
      <c r="H5967" s="24" t="str">
        <f>IFERROR(VLOOKUP(B5967,material!A:D,3,0),"")</f>
        <v/>
      </c>
    </row>
    <row r="5968" ht="11.25" customHeight="1">
      <c r="A5968" s="21"/>
      <c r="B5968" s="22"/>
      <c r="C5968" s="21"/>
      <c r="D5968" s="21"/>
      <c r="E5968" s="21"/>
      <c r="F5968" s="21"/>
      <c r="G5968" s="23"/>
      <c r="H5968" s="24" t="str">
        <f>IFERROR(VLOOKUP(B5968,material!A:D,3,0),"")</f>
        <v/>
      </c>
    </row>
    <row r="5969" ht="11.25" customHeight="1">
      <c r="A5969" s="21"/>
      <c r="B5969" s="22"/>
      <c r="C5969" s="21"/>
      <c r="D5969" s="21"/>
      <c r="E5969" s="21"/>
      <c r="F5969" s="21"/>
      <c r="G5969" s="23"/>
      <c r="H5969" s="24" t="str">
        <f>IFERROR(VLOOKUP(B5969,material!A:D,3,0),"")</f>
        <v/>
      </c>
    </row>
    <row r="5970" ht="11.25" customHeight="1">
      <c r="A5970" s="21"/>
      <c r="B5970" s="22"/>
      <c r="C5970" s="21"/>
      <c r="D5970" s="21"/>
      <c r="E5970" s="21"/>
      <c r="F5970" s="21"/>
      <c r="G5970" s="23"/>
      <c r="H5970" s="24" t="str">
        <f>IFERROR(VLOOKUP(B5970,material!A:D,3,0),"")</f>
        <v/>
      </c>
    </row>
    <row r="5971" ht="11.25" customHeight="1">
      <c r="A5971" s="21"/>
      <c r="B5971" s="22"/>
      <c r="C5971" s="21"/>
      <c r="D5971" s="21"/>
      <c r="E5971" s="21"/>
      <c r="F5971" s="21"/>
      <c r="G5971" s="23"/>
      <c r="H5971" s="24" t="str">
        <f>IFERROR(VLOOKUP(B5971,material!A:D,3,0),"")</f>
        <v/>
      </c>
    </row>
    <row r="5972" ht="11.25" customHeight="1">
      <c r="A5972" s="21"/>
      <c r="B5972" s="22"/>
      <c r="C5972" s="21"/>
      <c r="D5972" s="21"/>
      <c r="E5972" s="21"/>
      <c r="F5972" s="21"/>
      <c r="G5972" s="23"/>
      <c r="H5972" s="24" t="str">
        <f>IFERROR(VLOOKUP(B5972,material!A:D,3,0),"")</f>
        <v/>
      </c>
    </row>
    <row r="5973" ht="11.25" customHeight="1">
      <c r="A5973" s="21"/>
      <c r="B5973" s="22"/>
      <c r="C5973" s="21"/>
      <c r="D5973" s="21"/>
      <c r="E5973" s="21"/>
      <c r="F5973" s="21"/>
      <c r="G5973" s="23"/>
      <c r="H5973" s="24" t="str">
        <f>IFERROR(VLOOKUP(B5973,material!A:D,3,0),"")</f>
        <v/>
      </c>
    </row>
    <row r="5974" ht="11.25" customHeight="1">
      <c r="A5974" s="21"/>
      <c r="B5974" s="22"/>
      <c r="C5974" s="21"/>
      <c r="D5974" s="21"/>
      <c r="E5974" s="21"/>
      <c r="F5974" s="21"/>
      <c r="G5974" s="23"/>
      <c r="H5974" s="24" t="str">
        <f>IFERROR(VLOOKUP(B5974,material!A:D,3,0),"")</f>
        <v/>
      </c>
    </row>
    <row r="5975" ht="11.25" customHeight="1">
      <c r="A5975" s="21"/>
      <c r="B5975" s="22"/>
      <c r="C5975" s="21"/>
      <c r="D5975" s="21"/>
      <c r="E5975" s="21"/>
      <c r="F5975" s="21"/>
      <c r="G5975" s="23"/>
      <c r="H5975" s="24" t="str">
        <f>IFERROR(VLOOKUP(B5975,material!A:D,3,0),"")</f>
        <v/>
      </c>
    </row>
    <row r="5976" ht="11.25" customHeight="1">
      <c r="A5976" s="21"/>
      <c r="B5976" s="22"/>
      <c r="C5976" s="21"/>
      <c r="D5976" s="21"/>
      <c r="E5976" s="21"/>
      <c r="F5976" s="21"/>
      <c r="G5976" s="23"/>
      <c r="H5976" s="24" t="str">
        <f>IFERROR(VLOOKUP(B5976,material!A:D,3,0),"")</f>
        <v/>
      </c>
    </row>
    <row r="5977" ht="11.25" customHeight="1">
      <c r="A5977" s="21"/>
      <c r="B5977" s="22"/>
      <c r="C5977" s="21"/>
      <c r="D5977" s="21"/>
      <c r="E5977" s="21"/>
      <c r="F5977" s="21"/>
      <c r="G5977" s="23"/>
      <c r="H5977" s="24" t="str">
        <f>IFERROR(VLOOKUP(B5977,material!A:D,3,0),"")</f>
        <v/>
      </c>
    </row>
    <row r="5978" ht="11.25" customHeight="1">
      <c r="A5978" s="21"/>
      <c r="B5978" s="22"/>
      <c r="C5978" s="21"/>
      <c r="D5978" s="21"/>
      <c r="E5978" s="21"/>
      <c r="F5978" s="21"/>
      <c r="G5978" s="23"/>
      <c r="H5978" s="24" t="str">
        <f>IFERROR(VLOOKUP(B5978,material!A:D,3,0),"")</f>
        <v/>
      </c>
    </row>
    <row r="5979" ht="11.25" customHeight="1">
      <c r="A5979" s="21"/>
      <c r="B5979" s="22"/>
      <c r="C5979" s="21"/>
      <c r="D5979" s="21"/>
      <c r="E5979" s="21"/>
      <c r="F5979" s="21"/>
      <c r="G5979" s="23"/>
      <c r="H5979" s="24" t="str">
        <f>IFERROR(VLOOKUP(B5979,material!A:D,3,0),"")</f>
        <v/>
      </c>
    </row>
    <row r="5980" ht="11.25" customHeight="1">
      <c r="A5980" s="21"/>
      <c r="B5980" s="22"/>
      <c r="C5980" s="21"/>
      <c r="D5980" s="21"/>
      <c r="E5980" s="21"/>
      <c r="F5980" s="21"/>
      <c r="G5980" s="23"/>
      <c r="H5980" s="24" t="str">
        <f>IFERROR(VLOOKUP(B5980,material!A:D,3,0),"")</f>
        <v/>
      </c>
    </row>
    <row r="5981" ht="11.25" customHeight="1">
      <c r="A5981" s="21"/>
      <c r="B5981" s="22"/>
      <c r="C5981" s="21"/>
      <c r="D5981" s="21"/>
      <c r="E5981" s="21"/>
      <c r="F5981" s="21"/>
      <c r="G5981" s="23"/>
      <c r="H5981" s="24" t="str">
        <f>IFERROR(VLOOKUP(B5981,material!A:D,3,0),"")</f>
        <v/>
      </c>
    </row>
    <row r="5982" ht="11.25" customHeight="1">
      <c r="A5982" s="21"/>
      <c r="B5982" s="22"/>
      <c r="C5982" s="21"/>
      <c r="D5982" s="21"/>
      <c r="E5982" s="21"/>
      <c r="F5982" s="21"/>
      <c r="G5982" s="23"/>
      <c r="H5982" s="24" t="str">
        <f>IFERROR(VLOOKUP(B5982,material!A:D,3,0),"")</f>
        <v/>
      </c>
    </row>
    <row r="5983" ht="11.25" customHeight="1">
      <c r="A5983" s="21"/>
      <c r="B5983" s="22"/>
      <c r="C5983" s="21"/>
      <c r="D5983" s="21"/>
      <c r="E5983" s="21"/>
      <c r="F5983" s="21"/>
      <c r="G5983" s="23"/>
      <c r="H5983" s="24" t="str">
        <f>IFERROR(VLOOKUP(B5983,material!A:D,3,0),"")</f>
        <v/>
      </c>
    </row>
    <row r="5984" ht="11.25" customHeight="1">
      <c r="A5984" s="21"/>
      <c r="B5984" s="22"/>
      <c r="C5984" s="21"/>
      <c r="D5984" s="21"/>
      <c r="E5984" s="21"/>
      <c r="F5984" s="21"/>
      <c r="G5984" s="23"/>
      <c r="H5984" s="24" t="str">
        <f>IFERROR(VLOOKUP(B5984,material!A:D,3,0),"")</f>
        <v/>
      </c>
    </row>
    <row r="5985" ht="11.25" customHeight="1">
      <c r="A5985" s="21"/>
      <c r="B5985" s="22"/>
      <c r="C5985" s="21"/>
      <c r="D5985" s="21"/>
      <c r="E5985" s="21"/>
      <c r="F5985" s="21"/>
      <c r="G5985" s="23"/>
      <c r="H5985" s="24" t="str">
        <f>IFERROR(VLOOKUP(B5985,material!A:D,3,0),"")</f>
        <v/>
      </c>
    </row>
    <row r="5986" ht="11.25" customHeight="1">
      <c r="A5986" s="21"/>
      <c r="B5986" s="22"/>
      <c r="C5986" s="21"/>
      <c r="D5986" s="21"/>
      <c r="E5986" s="21"/>
      <c r="F5986" s="21"/>
      <c r="G5986" s="23"/>
      <c r="H5986" s="24" t="str">
        <f>IFERROR(VLOOKUP(B5986,material!A:D,3,0),"")</f>
        <v/>
      </c>
    </row>
    <row r="5987" ht="11.25" customHeight="1">
      <c r="A5987" s="21"/>
      <c r="B5987" s="22"/>
      <c r="C5987" s="21"/>
      <c r="D5987" s="21"/>
      <c r="E5987" s="21"/>
      <c r="F5987" s="21"/>
      <c r="G5987" s="23"/>
      <c r="H5987" s="24" t="str">
        <f>IFERROR(VLOOKUP(B5987,material!A:D,3,0),"")</f>
        <v/>
      </c>
    </row>
    <row r="5988" ht="11.25" customHeight="1">
      <c r="A5988" s="21"/>
      <c r="B5988" s="22"/>
      <c r="C5988" s="21"/>
      <c r="D5988" s="21"/>
      <c r="E5988" s="21"/>
      <c r="F5988" s="21"/>
      <c r="G5988" s="23"/>
      <c r="H5988" s="24" t="str">
        <f>IFERROR(VLOOKUP(B5988,material!A:D,3,0),"")</f>
        <v/>
      </c>
    </row>
    <row r="5989" ht="11.25" customHeight="1">
      <c r="A5989" s="21"/>
      <c r="B5989" s="22"/>
      <c r="C5989" s="21"/>
      <c r="D5989" s="21"/>
      <c r="E5989" s="21"/>
      <c r="F5989" s="21"/>
      <c r="G5989" s="23"/>
      <c r="H5989" s="24" t="str">
        <f>IFERROR(VLOOKUP(B5989,material!A:D,3,0),"")</f>
        <v/>
      </c>
    </row>
    <row r="5990" ht="11.25" customHeight="1">
      <c r="A5990" s="21"/>
      <c r="B5990" s="22"/>
      <c r="C5990" s="21"/>
      <c r="D5990" s="21"/>
      <c r="E5990" s="21"/>
      <c r="F5990" s="21"/>
      <c r="G5990" s="23"/>
      <c r="H5990" s="24" t="str">
        <f>IFERROR(VLOOKUP(B5990,material!A:D,3,0),"")</f>
        <v/>
      </c>
    </row>
    <row r="5991" ht="11.25" customHeight="1">
      <c r="A5991" s="21"/>
      <c r="B5991" s="22"/>
      <c r="C5991" s="21"/>
      <c r="D5991" s="21"/>
      <c r="E5991" s="21"/>
      <c r="F5991" s="21"/>
      <c r="G5991" s="23"/>
      <c r="H5991" s="24" t="str">
        <f>IFERROR(VLOOKUP(B5991,material!A:D,3,0),"")</f>
        <v/>
      </c>
    </row>
    <row r="5992" ht="11.25" customHeight="1">
      <c r="A5992" s="21"/>
      <c r="B5992" s="22"/>
      <c r="C5992" s="21"/>
      <c r="D5992" s="21"/>
      <c r="E5992" s="21"/>
      <c r="F5992" s="21"/>
      <c r="G5992" s="23"/>
      <c r="H5992" s="24" t="str">
        <f>IFERROR(VLOOKUP(B5992,material!A:D,3,0),"")</f>
        <v/>
      </c>
    </row>
    <row r="5993" ht="11.25" customHeight="1">
      <c r="A5993" s="21"/>
      <c r="B5993" s="22"/>
      <c r="C5993" s="21"/>
      <c r="D5993" s="21"/>
      <c r="E5993" s="21"/>
      <c r="F5993" s="21"/>
      <c r="G5993" s="23"/>
      <c r="H5993" s="24" t="str">
        <f>IFERROR(VLOOKUP(B5993,material!A:D,3,0),"")</f>
        <v/>
      </c>
    </row>
    <row r="5994" ht="11.25" customHeight="1">
      <c r="A5994" s="21"/>
      <c r="B5994" s="22"/>
      <c r="C5994" s="21"/>
      <c r="D5994" s="21"/>
      <c r="E5994" s="21"/>
      <c r="F5994" s="21"/>
      <c r="G5994" s="23"/>
      <c r="H5994" s="24" t="str">
        <f>IFERROR(VLOOKUP(B5994,material!A:D,3,0),"")</f>
        <v/>
      </c>
    </row>
    <row r="5995" ht="11.25" customHeight="1">
      <c r="A5995" s="21"/>
      <c r="B5995" s="22"/>
      <c r="C5995" s="21"/>
      <c r="D5995" s="21"/>
      <c r="E5995" s="21"/>
      <c r="F5995" s="21"/>
      <c r="G5995" s="23"/>
      <c r="H5995" s="24" t="str">
        <f>IFERROR(VLOOKUP(B5995,material!A:D,3,0),"")</f>
        <v/>
      </c>
    </row>
    <row r="5996" ht="11.25" customHeight="1">
      <c r="A5996" s="21"/>
      <c r="B5996" s="22"/>
      <c r="C5996" s="21"/>
      <c r="D5996" s="21"/>
      <c r="E5996" s="21"/>
      <c r="F5996" s="21"/>
      <c r="G5996" s="23"/>
      <c r="H5996" s="24" t="str">
        <f>IFERROR(VLOOKUP(B5996,material!A:D,3,0),"")</f>
        <v/>
      </c>
    </row>
    <row r="5997" ht="11.25" customHeight="1">
      <c r="A5997" s="21"/>
      <c r="B5997" s="22"/>
      <c r="C5997" s="21"/>
      <c r="D5997" s="21"/>
      <c r="E5997" s="21"/>
      <c r="F5997" s="21"/>
      <c r="G5997" s="23"/>
      <c r="H5997" s="24" t="str">
        <f>IFERROR(VLOOKUP(B5997,material!A:D,3,0),"")</f>
        <v/>
      </c>
    </row>
    <row r="5998" ht="11.25" customHeight="1">
      <c r="A5998" s="21"/>
      <c r="B5998" s="22"/>
      <c r="C5998" s="21"/>
      <c r="D5998" s="21"/>
      <c r="E5998" s="21"/>
      <c r="F5998" s="21"/>
      <c r="G5998" s="23"/>
      <c r="H5998" s="24" t="str">
        <f>IFERROR(VLOOKUP(B5998,material!A:D,3,0),"")</f>
        <v/>
      </c>
    </row>
    <row r="5999" ht="11.25" customHeight="1">
      <c r="A5999" s="21"/>
      <c r="B5999" s="22"/>
      <c r="C5999" s="21"/>
      <c r="D5999" s="21"/>
      <c r="E5999" s="21"/>
      <c r="F5999" s="21"/>
      <c r="G5999" s="23"/>
      <c r="H5999" s="24" t="str">
        <f>IFERROR(VLOOKUP(B5999,material!A:D,3,0),"")</f>
        <v/>
      </c>
    </row>
    <row r="6000" ht="11.25" customHeight="1">
      <c r="A6000" s="21"/>
      <c r="B6000" s="22"/>
      <c r="C6000" s="21"/>
      <c r="D6000" s="21"/>
      <c r="E6000" s="21"/>
      <c r="F6000" s="21"/>
      <c r="G6000" s="23"/>
      <c r="H6000" s="24" t="str">
        <f>IFERROR(VLOOKUP(B6000,material!A:D,3,0),"")</f>
        <v/>
      </c>
    </row>
    <row r="6001" ht="11.25" customHeight="1">
      <c r="A6001" s="21"/>
      <c r="B6001" s="22"/>
      <c r="C6001" s="21"/>
      <c r="D6001" s="21"/>
      <c r="E6001" s="21"/>
      <c r="F6001" s="21"/>
      <c r="G6001" s="23"/>
      <c r="H6001" s="24" t="str">
        <f>IFERROR(VLOOKUP(B6001,material!A:D,3,0),"")</f>
        <v/>
      </c>
    </row>
    <row r="6002" ht="11.25" customHeight="1">
      <c r="A6002" s="21"/>
      <c r="B6002" s="22"/>
      <c r="C6002" s="21"/>
      <c r="D6002" s="21"/>
      <c r="E6002" s="21"/>
      <c r="F6002" s="21"/>
      <c r="G6002" s="23"/>
      <c r="H6002" s="24" t="str">
        <f>IFERROR(VLOOKUP(B6002,material!A:D,3,0),"")</f>
        <v/>
      </c>
    </row>
    <row r="6003" ht="11.25" customHeight="1">
      <c r="A6003" s="21"/>
      <c r="B6003" s="22"/>
      <c r="C6003" s="21"/>
      <c r="D6003" s="21"/>
      <c r="E6003" s="21"/>
      <c r="F6003" s="21"/>
      <c r="G6003" s="23"/>
      <c r="H6003" s="24" t="str">
        <f>IFERROR(VLOOKUP(B6003,material!A:D,3,0),"")</f>
        <v/>
      </c>
    </row>
    <row r="6004" ht="11.25" customHeight="1">
      <c r="A6004" s="21"/>
      <c r="B6004" s="22"/>
      <c r="C6004" s="21"/>
      <c r="D6004" s="21"/>
      <c r="E6004" s="21"/>
      <c r="F6004" s="21"/>
      <c r="G6004" s="23"/>
      <c r="H6004" s="24" t="str">
        <f>IFERROR(VLOOKUP(B6004,material!A:D,3,0),"")</f>
        <v/>
      </c>
    </row>
    <row r="6005" ht="11.25" customHeight="1">
      <c r="A6005" s="21"/>
      <c r="B6005" s="22"/>
      <c r="C6005" s="21"/>
      <c r="D6005" s="21"/>
      <c r="E6005" s="21"/>
      <c r="F6005" s="21"/>
      <c r="G6005" s="23"/>
      <c r="H6005" s="24" t="str">
        <f>IFERROR(VLOOKUP(B6005,material!A:D,3,0),"")</f>
        <v/>
      </c>
    </row>
    <row r="6006" ht="11.25" customHeight="1">
      <c r="A6006" s="21"/>
      <c r="B6006" s="22"/>
      <c r="C6006" s="21"/>
      <c r="D6006" s="21"/>
      <c r="E6006" s="21"/>
      <c r="F6006" s="21"/>
      <c r="G6006" s="23"/>
      <c r="H6006" s="24" t="str">
        <f>IFERROR(VLOOKUP(B6006,material!A:D,3,0),"")</f>
        <v/>
      </c>
    </row>
    <row r="6007" ht="11.25" customHeight="1">
      <c r="A6007" s="21"/>
      <c r="B6007" s="22"/>
      <c r="C6007" s="21"/>
      <c r="D6007" s="21"/>
      <c r="E6007" s="21"/>
      <c r="F6007" s="21"/>
      <c r="G6007" s="23"/>
      <c r="H6007" s="24" t="str">
        <f>IFERROR(VLOOKUP(B6007,material!A:D,3,0),"")</f>
        <v/>
      </c>
    </row>
    <row r="6008" ht="11.25" customHeight="1">
      <c r="A6008" s="21"/>
      <c r="B6008" s="22"/>
      <c r="C6008" s="21"/>
      <c r="D6008" s="21"/>
      <c r="E6008" s="21"/>
      <c r="F6008" s="21"/>
      <c r="G6008" s="23"/>
      <c r="H6008" s="24" t="str">
        <f>IFERROR(VLOOKUP(B6008,material!A:D,3,0),"")</f>
        <v/>
      </c>
    </row>
    <row r="6009" ht="11.25" customHeight="1">
      <c r="A6009" s="21"/>
      <c r="B6009" s="22"/>
      <c r="C6009" s="21"/>
      <c r="D6009" s="21"/>
      <c r="E6009" s="21"/>
      <c r="F6009" s="21"/>
      <c r="G6009" s="23"/>
      <c r="H6009" s="24" t="str">
        <f>IFERROR(VLOOKUP(B6009,material!A:D,3,0),"")</f>
        <v/>
      </c>
    </row>
    <row r="6010" ht="11.25" customHeight="1">
      <c r="A6010" s="21"/>
      <c r="B6010" s="22"/>
      <c r="C6010" s="21"/>
      <c r="D6010" s="21"/>
      <c r="E6010" s="21"/>
      <c r="F6010" s="21"/>
      <c r="G6010" s="23"/>
      <c r="H6010" s="24" t="str">
        <f>IFERROR(VLOOKUP(B6010,material!A:D,3,0),"")</f>
        <v/>
      </c>
    </row>
    <row r="6011" ht="11.25" customHeight="1">
      <c r="A6011" s="21"/>
      <c r="B6011" s="22"/>
      <c r="C6011" s="21"/>
      <c r="D6011" s="21"/>
      <c r="E6011" s="21"/>
      <c r="F6011" s="21"/>
      <c r="G6011" s="23"/>
      <c r="H6011" s="24" t="str">
        <f>IFERROR(VLOOKUP(B6011,material!A:D,3,0),"")</f>
        <v/>
      </c>
    </row>
    <row r="6012" ht="11.25" customHeight="1">
      <c r="A6012" s="21"/>
      <c r="B6012" s="22"/>
      <c r="C6012" s="21"/>
      <c r="D6012" s="21"/>
      <c r="E6012" s="21"/>
      <c r="F6012" s="21"/>
      <c r="G6012" s="23"/>
      <c r="H6012" s="24" t="str">
        <f>IFERROR(VLOOKUP(B6012,material!A:D,3,0),"")</f>
        <v/>
      </c>
    </row>
    <row r="6013" ht="11.25" customHeight="1">
      <c r="A6013" s="21"/>
      <c r="B6013" s="22"/>
      <c r="C6013" s="21"/>
      <c r="D6013" s="21"/>
      <c r="E6013" s="21"/>
      <c r="F6013" s="21"/>
      <c r="G6013" s="23"/>
      <c r="H6013" s="24" t="str">
        <f>IFERROR(VLOOKUP(B6013,material!A:D,3,0),"")</f>
        <v/>
      </c>
    </row>
    <row r="6014" ht="11.25" customHeight="1">
      <c r="A6014" s="21"/>
      <c r="B6014" s="22"/>
      <c r="C6014" s="21"/>
      <c r="D6014" s="21"/>
      <c r="E6014" s="21"/>
      <c r="F6014" s="21"/>
      <c r="G6014" s="23"/>
      <c r="H6014" s="24" t="str">
        <f>IFERROR(VLOOKUP(B6014,material!A:D,3,0),"")</f>
        <v/>
      </c>
    </row>
    <row r="6015" ht="11.25" customHeight="1">
      <c r="A6015" s="21"/>
      <c r="B6015" s="22"/>
      <c r="C6015" s="21"/>
      <c r="D6015" s="21"/>
      <c r="E6015" s="21"/>
      <c r="F6015" s="21"/>
      <c r="G6015" s="23"/>
      <c r="H6015" s="24" t="str">
        <f>IFERROR(VLOOKUP(B6015,material!A:D,3,0),"")</f>
        <v/>
      </c>
    </row>
    <row r="6016" ht="11.25" customHeight="1">
      <c r="A6016" s="21"/>
      <c r="B6016" s="22"/>
      <c r="C6016" s="21"/>
      <c r="D6016" s="21"/>
      <c r="E6016" s="21"/>
      <c r="F6016" s="21"/>
      <c r="G6016" s="23"/>
      <c r="H6016" s="24" t="str">
        <f>IFERROR(VLOOKUP(B6016,material!A:D,3,0),"")</f>
        <v/>
      </c>
    </row>
    <row r="6017" ht="11.25" customHeight="1">
      <c r="A6017" s="21"/>
      <c r="B6017" s="22"/>
      <c r="C6017" s="21"/>
      <c r="D6017" s="21"/>
      <c r="E6017" s="21"/>
      <c r="F6017" s="21"/>
      <c r="G6017" s="23"/>
      <c r="H6017" s="24" t="str">
        <f>IFERROR(VLOOKUP(B6017,material!A:D,3,0),"")</f>
        <v/>
      </c>
    </row>
    <row r="6018" ht="11.25" customHeight="1">
      <c r="A6018" s="21"/>
      <c r="B6018" s="22"/>
      <c r="C6018" s="21"/>
      <c r="D6018" s="21"/>
      <c r="E6018" s="21"/>
      <c r="F6018" s="21"/>
      <c r="G6018" s="23"/>
      <c r="H6018" s="24" t="str">
        <f>IFERROR(VLOOKUP(B6018,material!A:D,3,0),"")</f>
        <v/>
      </c>
    </row>
    <row r="6019" ht="11.25" customHeight="1">
      <c r="A6019" s="21"/>
      <c r="B6019" s="22"/>
      <c r="C6019" s="21"/>
      <c r="D6019" s="21"/>
      <c r="E6019" s="21"/>
      <c r="F6019" s="21"/>
      <c r="G6019" s="23"/>
      <c r="H6019" s="24" t="str">
        <f>IFERROR(VLOOKUP(B6019,material!A:D,3,0),"")</f>
        <v/>
      </c>
    </row>
    <row r="6020" ht="11.25" customHeight="1">
      <c r="A6020" s="21"/>
      <c r="B6020" s="22"/>
      <c r="C6020" s="21"/>
      <c r="D6020" s="21"/>
      <c r="E6020" s="21"/>
      <c r="F6020" s="21"/>
      <c r="G6020" s="23"/>
      <c r="H6020" s="24" t="str">
        <f>IFERROR(VLOOKUP(B6020,material!A:D,3,0),"")</f>
        <v/>
      </c>
    </row>
    <row r="6021" ht="11.25" customHeight="1">
      <c r="A6021" s="21"/>
      <c r="B6021" s="22"/>
      <c r="C6021" s="21"/>
      <c r="D6021" s="21"/>
      <c r="E6021" s="21"/>
      <c r="F6021" s="21"/>
      <c r="G6021" s="23"/>
      <c r="H6021" s="24" t="str">
        <f>IFERROR(VLOOKUP(B6021,material!A:D,3,0),"")</f>
        <v/>
      </c>
    </row>
    <row r="6022" ht="11.25" customHeight="1">
      <c r="A6022" s="21"/>
      <c r="B6022" s="22"/>
      <c r="C6022" s="21"/>
      <c r="D6022" s="21"/>
      <c r="E6022" s="21"/>
      <c r="F6022" s="21"/>
      <c r="G6022" s="23"/>
      <c r="H6022" s="24" t="str">
        <f>IFERROR(VLOOKUP(B6022,material!A:D,3,0),"")</f>
        <v/>
      </c>
    </row>
    <row r="6023" ht="11.25" customHeight="1">
      <c r="A6023" s="21"/>
      <c r="B6023" s="22"/>
      <c r="C6023" s="21"/>
      <c r="D6023" s="21"/>
      <c r="E6023" s="21"/>
      <c r="F6023" s="21"/>
      <c r="G6023" s="23"/>
      <c r="H6023" s="24" t="str">
        <f>IFERROR(VLOOKUP(B6023,material!A:D,3,0),"")</f>
        <v/>
      </c>
    </row>
    <row r="6024" ht="11.25" customHeight="1">
      <c r="A6024" s="21"/>
      <c r="B6024" s="22"/>
      <c r="C6024" s="21"/>
      <c r="D6024" s="21"/>
      <c r="E6024" s="21"/>
      <c r="F6024" s="21"/>
      <c r="G6024" s="23"/>
      <c r="H6024" s="24" t="str">
        <f>IFERROR(VLOOKUP(B6024,material!A:D,3,0),"")</f>
        <v/>
      </c>
    </row>
    <row r="6025" ht="11.25" customHeight="1">
      <c r="A6025" s="21"/>
      <c r="B6025" s="22"/>
      <c r="C6025" s="21"/>
      <c r="D6025" s="21"/>
      <c r="E6025" s="21"/>
      <c r="F6025" s="21"/>
      <c r="G6025" s="23"/>
      <c r="H6025" s="24" t="str">
        <f>IFERROR(VLOOKUP(B6025,material!A:D,3,0),"")</f>
        <v/>
      </c>
    </row>
    <row r="6026" ht="11.25" customHeight="1">
      <c r="A6026" s="21"/>
      <c r="B6026" s="22"/>
      <c r="C6026" s="21"/>
      <c r="D6026" s="21"/>
      <c r="E6026" s="21"/>
      <c r="F6026" s="21"/>
      <c r="G6026" s="23"/>
      <c r="H6026" s="24" t="str">
        <f>IFERROR(VLOOKUP(B6026,material!A:D,3,0),"")</f>
        <v/>
      </c>
    </row>
    <row r="6027" ht="11.25" customHeight="1">
      <c r="A6027" s="21"/>
      <c r="B6027" s="22"/>
      <c r="C6027" s="21"/>
      <c r="D6027" s="21"/>
      <c r="E6027" s="21"/>
      <c r="F6027" s="21"/>
      <c r="G6027" s="23"/>
      <c r="H6027" s="24" t="str">
        <f>IFERROR(VLOOKUP(B6027,material!A:D,3,0),"")</f>
        <v/>
      </c>
    </row>
    <row r="6028" ht="11.25" customHeight="1">
      <c r="A6028" s="21"/>
      <c r="B6028" s="22"/>
      <c r="C6028" s="21"/>
      <c r="D6028" s="21"/>
      <c r="E6028" s="21"/>
      <c r="F6028" s="21"/>
      <c r="G6028" s="23"/>
      <c r="H6028" s="24" t="str">
        <f>IFERROR(VLOOKUP(B6028,material!A:D,3,0),"")</f>
        <v/>
      </c>
    </row>
    <row r="6029" ht="11.25" customHeight="1">
      <c r="A6029" s="21"/>
      <c r="B6029" s="22"/>
      <c r="C6029" s="21"/>
      <c r="D6029" s="21"/>
      <c r="E6029" s="21"/>
      <c r="F6029" s="21"/>
      <c r="G6029" s="23"/>
      <c r="H6029" s="24" t="str">
        <f>IFERROR(VLOOKUP(B6029,material!A:D,3,0),"")</f>
        <v/>
      </c>
    </row>
    <row r="6030" ht="11.25" customHeight="1">
      <c r="A6030" s="21"/>
      <c r="B6030" s="22"/>
      <c r="C6030" s="21"/>
      <c r="D6030" s="21"/>
      <c r="E6030" s="21"/>
      <c r="F6030" s="21"/>
      <c r="G6030" s="23"/>
      <c r="H6030" s="24" t="str">
        <f>IFERROR(VLOOKUP(B6030,material!A:D,3,0),"")</f>
        <v/>
      </c>
    </row>
    <row r="6031" ht="11.25" customHeight="1">
      <c r="A6031" s="21"/>
      <c r="B6031" s="22"/>
      <c r="C6031" s="21"/>
      <c r="D6031" s="21"/>
      <c r="E6031" s="21"/>
      <c r="F6031" s="21"/>
      <c r="G6031" s="23"/>
      <c r="H6031" s="24" t="str">
        <f>IFERROR(VLOOKUP(B6031,material!A:D,3,0),"")</f>
        <v/>
      </c>
    </row>
    <row r="6032" ht="11.25" customHeight="1">
      <c r="A6032" s="21"/>
      <c r="B6032" s="22"/>
      <c r="C6032" s="21"/>
      <c r="D6032" s="21"/>
      <c r="E6032" s="21"/>
      <c r="F6032" s="21"/>
      <c r="G6032" s="23"/>
      <c r="H6032" s="24" t="str">
        <f>IFERROR(VLOOKUP(B6032,material!A:D,3,0),"")</f>
        <v/>
      </c>
    </row>
    <row r="6033" ht="11.25" customHeight="1">
      <c r="A6033" s="21"/>
      <c r="B6033" s="22"/>
      <c r="C6033" s="21"/>
      <c r="D6033" s="21"/>
      <c r="E6033" s="21"/>
      <c r="F6033" s="21"/>
      <c r="G6033" s="23"/>
      <c r="H6033" s="24" t="str">
        <f>IFERROR(VLOOKUP(B6033,material!A:D,3,0),"")</f>
        <v/>
      </c>
    </row>
    <row r="6034" ht="11.25" customHeight="1">
      <c r="A6034" s="21"/>
      <c r="B6034" s="22"/>
      <c r="C6034" s="21"/>
      <c r="D6034" s="21"/>
      <c r="E6034" s="21"/>
      <c r="F6034" s="21"/>
      <c r="G6034" s="23"/>
      <c r="H6034" s="24" t="str">
        <f>IFERROR(VLOOKUP(B6034,material!A:D,3,0),"")</f>
        <v/>
      </c>
    </row>
    <row r="6035" ht="11.25" customHeight="1">
      <c r="A6035" s="21"/>
      <c r="B6035" s="22"/>
      <c r="C6035" s="21"/>
      <c r="D6035" s="21"/>
      <c r="E6035" s="21"/>
      <c r="F6035" s="21"/>
      <c r="G6035" s="23"/>
      <c r="H6035" s="24" t="str">
        <f>IFERROR(VLOOKUP(B6035,material!A:D,3,0),"")</f>
        <v/>
      </c>
    </row>
    <row r="6036" ht="11.25" customHeight="1">
      <c r="A6036" s="21"/>
      <c r="B6036" s="22"/>
      <c r="C6036" s="21"/>
      <c r="D6036" s="21"/>
      <c r="E6036" s="21"/>
      <c r="F6036" s="21"/>
      <c r="G6036" s="23"/>
      <c r="H6036" s="24" t="str">
        <f>IFERROR(VLOOKUP(B6036,material!A:D,3,0),"")</f>
        <v/>
      </c>
    </row>
    <row r="6037" ht="11.25" customHeight="1">
      <c r="A6037" s="21"/>
      <c r="B6037" s="22"/>
      <c r="C6037" s="21"/>
      <c r="D6037" s="21"/>
      <c r="E6037" s="21"/>
      <c r="F6037" s="21"/>
      <c r="G6037" s="23"/>
      <c r="H6037" s="24" t="str">
        <f>IFERROR(VLOOKUP(B6037,material!A:D,3,0),"")</f>
        <v/>
      </c>
    </row>
    <row r="6038" ht="11.25" customHeight="1">
      <c r="A6038" s="21"/>
      <c r="B6038" s="22"/>
      <c r="C6038" s="21"/>
      <c r="D6038" s="21"/>
      <c r="E6038" s="21"/>
      <c r="F6038" s="21"/>
      <c r="G6038" s="23"/>
      <c r="H6038" s="24" t="str">
        <f>IFERROR(VLOOKUP(B6038,material!A:D,3,0),"")</f>
        <v/>
      </c>
    </row>
    <row r="6039" ht="11.25" customHeight="1">
      <c r="A6039" s="21"/>
      <c r="B6039" s="22"/>
      <c r="C6039" s="21"/>
      <c r="D6039" s="21"/>
      <c r="E6039" s="21"/>
      <c r="F6039" s="21"/>
      <c r="G6039" s="23"/>
      <c r="H6039" s="24" t="str">
        <f>IFERROR(VLOOKUP(B6039,material!A:D,3,0),"")</f>
        <v/>
      </c>
    </row>
    <row r="6040" ht="11.25" customHeight="1">
      <c r="A6040" s="21"/>
      <c r="B6040" s="22"/>
      <c r="C6040" s="21"/>
      <c r="D6040" s="21"/>
      <c r="E6040" s="21"/>
      <c r="F6040" s="21"/>
      <c r="G6040" s="23"/>
      <c r="H6040" s="24" t="str">
        <f>IFERROR(VLOOKUP(B6040,material!A:D,3,0),"")</f>
        <v/>
      </c>
    </row>
    <row r="6041" ht="11.25" customHeight="1">
      <c r="A6041" s="21"/>
      <c r="B6041" s="22"/>
      <c r="C6041" s="21"/>
      <c r="D6041" s="21"/>
      <c r="E6041" s="21"/>
      <c r="F6041" s="21"/>
      <c r="G6041" s="23"/>
      <c r="H6041" s="24" t="str">
        <f>IFERROR(VLOOKUP(B6041,material!A:D,3,0),"")</f>
        <v/>
      </c>
    </row>
    <row r="6042" ht="11.25" customHeight="1">
      <c r="A6042" s="21"/>
      <c r="B6042" s="22"/>
      <c r="C6042" s="21"/>
      <c r="D6042" s="21"/>
      <c r="E6042" s="21"/>
      <c r="F6042" s="21"/>
      <c r="G6042" s="23"/>
      <c r="H6042" s="24" t="str">
        <f>IFERROR(VLOOKUP(B6042,material!A:D,3,0),"")</f>
        <v/>
      </c>
    </row>
    <row r="6043" ht="11.25" customHeight="1">
      <c r="A6043" s="21"/>
      <c r="B6043" s="22"/>
      <c r="C6043" s="21"/>
      <c r="D6043" s="21"/>
      <c r="E6043" s="21"/>
      <c r="F6043" s="21"/>
      <c r="G6043" s="23"/>
      <c r="H6043" s="24" t="str">
        <f>IFERROR(VLOOKUP(B6043,material!A:D,3,0),"")</f>
        <v/>
      </c>
    </row>
    <row r="6044" ht="11.25" customHeight="1">
      <c r="A6044" s="21"/>
      <c r="B6044" s="22"/>
      <c r="C6044" s="21"/>
      <c r="D6044" s="21"/>
      <c r="E6044" s="21"/>
      <c r="F6044" s="21"/>
      <c r="G6044" s="23"/>
      <c r="H6044" s="24" t="str">
        <f>IFERROR(VLOOKUP(B6044,material!A:D,3,0),"")</f>
        <v/>
      </c>
    </row>
    <row r="6045" ht="11.25" customHeight="1">
      <c r="A6045" s="21"/>
      <c r="B6045" s="22"/>
      <c r="C6045" s="21"/>
      <c r="D6045" s="21"/>
      <c r="E6045" s="21"/>
      <c r="F6045" s="21"/>
      <c r="G6045" s="23"/>
      <c r="H6045" s="24" t="str">
        <f>IFERROR(VLOOKUP(B6045,material!A:D,3,0),"")</f>
        <v/>
      </c>
    </row>
    <row r="6046" ht="11.25" customHeight="1">
      <c r="A6046" s="21"/>
      <c r="B6046" s="22"/>
      <c r="C6046" s="21"/>
      <c r="D6046" s="21"/>
      <c r="E6046" s="21"/>
      <c r="F6046" s="21"/>
      <c r="G6046" s="23"/>
      <c r="H6046" s="24" t="str">
        <f>IFERROR(VLOOKUP(B6046,material!A:D,3,0),"")</f>
        <v/>
      </c>
    </row>
    <row r="6047" ht="11.25" customHeight="1">
      <c r="A6047" s="21"/>
      <c r="B6047" s="22"/>
      <c r="C6047" s="21"/>
      <c r="D6047" s="21"/>
      <c r="E6047" s="21"/>
      <c r="F6047" s="21"/>
      <c r="G6047" s="23"/>
      <c r="H6047" s="24" t="str">
        <f>IFERROR(VLOOKUP(B6047,material!A:D,3,0),"")</f>
        <v/>
      </c>
    </row>
    <row r="6048" ht="11.25" customHeight="1">
      <c r="A6048" s="21"/>
      <c r="B6048" s="22"/>
      <c r="C6048" s="21"/>
      <c r="D6048" s="21"/>
      <c r="E6048" s="21"/>
      <c r="F6048" s="21"/>
      <c r="G6048" s="23"/>
      <c r="H6048" s="24" t="str">
        <f>IFERROR(VLOOKUP(B6048,material!A:D,3,0),"")</f>
        <v/>
      </c>
    </row>
    <row r="6049" ht="11.25" customHeight="1">
      <c r="A6049" s="21"/>
      <c r="B6049" s="22"/>
      <c r="C6049" s="21"/>
      <c r="D6049" s="21"/>
      <c r="E6049" s="21"/>
      <c r="F6049" s="21"/>
      <c r="G6049" s="23"/>
      <c r="H6049" s="24" t="str">
        <f>IFERROR(VLOOKUP(B6049,material!A:D,3,0),"")</f>
        <v/>
      </c>
    </row>
    <row r="6050" ht="11.25" customHeight="1">
      <c r="A6050" s="21"/>
      <c r="B6050" s="22"/>
      <c r="C6050" s="21"/>
      <c r="D6050" s="21"/>
      <c r="E6050" s="21"/>
      <c r="F6050" s="21"/>
      <c r="G6050" s="23"/>
      <c r="H6050" s="24" t="str">
        <f>IFERROR(VLOOKUP(B6050,material!A:D,3,0),"")</f>
        <v/>
      </c>
    </row>
    <row r="6051" ht="11.25" customHeight="1">
      <c r="A6051" s="21"/>
      <c r="B6051" s="22"/>
      <c r="C6051" s="21"/>
      <c r="D6051" s="21"/>
      <c r="E6051" s="21"/>
      <c r="F6051" s="21"/>
      <c r="G6051" s="23"/>
      <c r="H6051" s="24" t="str">
        <f>IFERROR(VLOOKUP(B6051,material!A:D,3,0),"")</f>
        <v/>
      </c>
    </row>
    <row r="6052" ht="11.25" customHeight="1">
      <c r="A6052" s="21"/>
      <c r="B6052" s="22"/>
      <c r="C6052" s="21"/>
      <c r="D6052" s="21"/>
      <c r="E6052" s="21"/>
      <c r="F6052" s="21"/>
      <c r="G6052" s="23"/>
      <c r="H6052" s="24" t="str">
        <f>IFERROR(VLOOKUP(B6052,material!A:D,3,0),"")</f>
        <v/>
      </c>
    </row>
    <row r="6053" ht="11.25" customHeight="1">
      <c r="A6053" s="21"/>
      <c r="B6053" s="22"/>
      <c r="C6053" s="21"/>
      <c r="D6053" s="21"/>
      <c r="E6053" s="21"/>
      <c r="F6053" s="21"/>
      <c r="G6053" s="23"/>
      <c r="H6053" s="24" t="str">
        <f>IFERROR(VLOOKUP(B6053,material!A:D,3,0),"")</f>
        <v/>
      </c>
    </row>
    <row r="6054" ht="11.25" customHeight="1">
      <c r="A6054" s="21"/>
      <c r="B6054" s="22"/>
      <c r="C6054" s="21"/>
      <c r="D6054" s="21"/>
      <c r="E6054" s="21"/>
      <c r="F6054" s="21"/>
      <c r="G6054" s="23"/>
      <c r="H6054" s="24" t="str">
        <f>IFERROR(VLOOKUP(B6054,material!A:D,3,0),"")</f>
        <v/>
      </c>
    </row>
    <row r="6055" ht="11.25" customHeight="1">
      <c r="A6055" s="21"/>
      <c r="B6055" s="22"/>
      <c r="C6055" s="21"/>
      <c r="D6055" s="21"/>
      <c r="E6055" s="21"/>
      <c r="F6055" s="21"/>
      <c r="G6055" s="23"/>
      <c r="H6055" s="24" t="str">
        <f>IFERROR(VLOOKUP(B6055,material!A:D,3,0),"")</f>
        <v/>
      </c>
    </row>
    <row r="6056" ht="11.25" customHeight="1">
      <c r="A6056" s="21"/>
      <c r="B6056" s="22"/>
      <c r="C6056" s="21"/>
      <c r="D6056" s="21"/>
      <c r="E6056" s="21"/>
      <c r="F6056" s="21"/>
      <c r="G6056" s="23"/>
      <c r="H6056" s="24" t="str">
        <f>IFERROR(VLOOKUP(B6056,material!A:D,3,0),"")</f>
        <v/>
      </c>
    </row>
    <row r="6057" ht="11.25" customHeight="1">
      <c r="A6057" s="21"/>
      <c r="B6057" s="22"/>
      <c r="C6057" s="21"/>
      <c r="D6057" s="21"/>
      <c r="E6057" s="21"/>
      <c r="F6057" s="21"/>
      <c r="G6057" s="23"/>
      <c r="H6057" s="24" t="str">
        <f>IFERROR(VLOOKUP(B6057,material!A:D,3,0),"")</f>
        <v/>
      </c>
    </row>
    <row r="6058" ht="11.25" customHeight="1">
      <c r="A6058" s="21"/>
      <c r="B6058" s="22"/>
      <c r="C6058" s="21"/>
      <c r="D6058" s="21"/>
      <c r="E6058" s="21"/>
      <c r="F6058" s="21"/>
      <c r="G6058" s="23"/>
      <c r="H6058" s="24" t="str">
        <f>IFERROR(VLOOKUP(B6058,material!A:D,3,0),"")</f>
        <v/>
      </c>
    </row>
    <row r="6059" ht="11.25" customHeight="1">
      <c r="A6059" s="21"/>
      <c r="B6059" s="22"/>
      <c r="C6059" s="21"/>
      <c r="D6059" s="21"/>
      <c r="E6059" s="21"/>
      <c r="F6059" s="21"/>
      <c r="G6059" s="23"/>
      <c r="H6059" s="24" t="str">
        <f>IFERROR(VLOOKUP(B6059,material!A:D,3,0),"")</f>
        <v/>
      </c>
    </row>
    <row r="6060" ht="11.25" customHeight="1">
      <c r="A6060" s="21"/>
      <c r="B6060" s="22"/>
      <c r="C6060" s="21"/>
      <c r="D6060" s="21"/>
      <c r="E6060" s="21"/>
      <c r="F6060" s="21"/>
      <c r="G6060" s="23"/>
      <c r="H6060" s="24" t="str">
        <f>IFERROR(VLOOKUP(B6060,material!A:D,3,0),"")</f>
        <v/>
      </c>
    </row>
    <row r="6061" ht="11.25" customHeight="1">
      <c r="A6061" s="21"/>
      <c r="B6061" s="22"/>
      <c r="C6061" s="21"/>
      <c r="D6061" s="21"/>
      <c r="E6061" s="21"/>
      <c r="F6061" s="21"/>
      <c r="G6061" s="23"/>
      <c r="H6061" s="24" t="str">
        <f>IFERROR(VLOOKUP(B6061,material!A:D,3,0),"")</f>
        <v/>
      </c>
    </row>
    <row r="6062" ht="11.25" customHeight="1">
      <c r="A6062" s="21"/>
      <c r="B6062" s="22"/>
      <c r="C6062" s="21"/>
      <c r="D6062" s="21"/>
      <c r="E6062" s="21"/>
      <c r="F6062" s="21"/>
      <c r="G6062" s="23"/>
      <c r="H6062" s="24" t="str">
        <f>IFERROR(VLOOKUP(B6062,material!A:D,3,0),"")</f>
        <v/>
      </c>
    </row>
    <row r="6063" ht="11.25" customHeight="1">
      <c r="A6063" s="21"/>
      <c r="B6063" s="22"/>
      <c r="C6063" s="21"/>
      <c r="D6063" s="21"/>
      <c r="E6063" s="21"/>
      <c r="F6063" s="21"/>
      <c r="G6063" s="23"/>
      <c r="H6063" s="24" t="str">
        <f>IFERROR(VLOOKUP(B6063,material!A:D,3,0),"")</f>
        <v/>
      </c>
    </row>
    <row r="6064" ht="11.25" customHeight="1">
      <c r="A6064" s="21"/>
      <c r="B6064" s="22"/>
      <c r="C6064" s="21"/>
      <c r="D6064" s="21"/>
      <c r="E6064" s="21"/>
      <c r="F6064" s="21"/>
      <c r="G6064" s="23"/>
      <c r="H6064" s="24" t="str">
        <f>IFERROR(VLOOKUP(B6064,material!A:D,3,0),"")</f>
        <v/>
      </c>
    </row>
    <row r="6065" ht="11.25" customHeight="1">
      <c r="A6065" s="21"/>
      <c r="B6065" s="22"/>
      <c r="C6065" s="21"/>
      <c r="D6065" s="21"/>
      <c r="E6065" s="21"/>
      <c r="F6065" s="21"/>
      <c r="G6065" s="23"/>
      <c r="H6065" s="24" t="str">
        <f>IFERROR(VLOOKUP(B6065,material!A:D,3,0),"")</f>
        <v/>
      </c>
    </row>
    <row r="6066" ht="11.25" customHeight="1">
      <c r="A6066" s="21"/>
      <c r="B6066" s="22"/>
      <c r="C6066" s="21"/>
      <c r="D6066" s="21"/>
      <c r="E6066" s="21"/>
      <c r="F6066" s="21"/>
      <c r="G6066" s="23"/>
      <c r="H6066" s="24" t="str">
        <f>IFERROR(VLOOKUP(B6066,material!A:D,3,0),"")</f>
        <v/>
      </c>
    </row>
    <row r="6067" ht="11.25" customHeight="1">
      <c r="A6067" s="21"/>
      <c r="B6067" s="22"/>
      <c r="C6067" s="21"/>
      <c r="D6067" s="21"/>
      <c r="E6067" s="21"/>
      <c r="F6067" s="21"/>
      <c r="G6067" s="23"/>
      <c r="H6067" s="24" t="str">
        <f>IFERROR(VLOOKUP(B6067,material!A:D,3,0),"")</f>
        <v/>
      </c>
    </row>
    <row r="6068" ht="11.25" customHeight="1">
      <c r="A6068" s="21"/>
      <c r="B6068" s="22"/>
      <c r="C6068" s="21"/>
      <c r="D6068" s="21"/>
      <c r="E6068" s="21"/>
      <c r="F6068" s="21"/>
      <c r="G6068" s="23"/>
      <c r="H6068" s="24" t="str">
        <f>IFERROR(VLOOKUP(B6068,material!A:D,3,0),"")</f>
        <v/>
      </c>
    </row>
    <row r="6069" ht="11.25" customHeight="1">
      <c r="A6069" s="21"/>
      <c r="B6069" s="22"/>
      <c r="C6069" s="21"/>
      <c r="D6069" s="21"/>
      <c r="E6069" s="21"/>
      <c r="F6069" s="21"/>
      <c r="G6069" s="23"/>
      <c r="H6069" s="24" t="str">
        <f>IFERROR(VLOOKUP(B6069,material!A:D,3,0),"")</f>
        <v/>
      </c>
    </row>
    <row r="6070" ht="11.25" customHeight="1">
      <c r="A6070" s="21"/>
      <c r="B6070" s="22"/>
      <c r="C6070" s="21"/>
      <c r="D6070" s="21"/>
      <c r="E6070" s="21"/>
      <c r="F6070" s="21"/>
      <c r="G6070" s="23"/>
      <c r="H6070" s="24" t="str">
        <f>IFERROR(VLOOKUP(B6070,material!A:D,3,0),"")</f>
        <v/>
      </c>
    </row>
    <row r="6071" ht="11.25" customHeight="1">
      <c r="A6071" s="21"/>
      <c r="B6071" s="22"/>
      <c r="C6071" s="21"/>
      <c r="D6071" s="21"/>
      <c r="E6071" s="21"/>
      <c r="F6071" s="21"/>
      <c r="G6071" s="23"/>
      <c r="H6071" s="24" t="str">
        <f>IFERROR(VLOOKUP(B6071,material!A:D,3,0),"")</f>
        <v/>
      </c>
    </row>
    <row r="6072" ht="11.25" customHeight="1">
      <c r="A6072" s="21"/>
      <c r="B6072" s="22"/>
      <c r="C6072" s="21"/>
      <c r="D6072" s="21"/>
      <c r="E6072" s="21"/>
      <c r="F6072" s="21"/>
      <c r="G6072" s="23"/>
      <c r="H6072" s="24" t="str">
        <f>IFERROR(VLOOKUP(B6072,material!A:D,3,0),"")</f>
        <v/>
      </c>
    </row>
    <row r="6073" ht="11.25" customHeight="1">
      <c r="A6073" s="21"/>
      <c r="B6073" s="22"/>
      <c r="C6073" s="21"/>
      <c r="D6073" s="21"/>
      <c r="E6073" s="21"/>
      <c r="F6073" s="21"/>
      <c r="G6073" s="23"/>
      <c r="H6073" s="24" t="str">
        <f>IFERROR(VLOOKUP(B6073,material!A:D,3,0),"")</f>
        <v/>
      </c>
    </row>
    <row r="6074" ht="11.25" customHeight="1">
      <c r="A6074" s="21"/>
      <c r="B6074" s="22"/>
      <c r="C6074" s="21"/>
      <c r="D6074" s="21"/>
      <c r="E6074" s="21"/>
      <c r="F6074" s="21"/>
      <c r="G6074" s="23"/>
      <c r="H6074" s="24" t="str">
        <f>IFERROR(VLOOKUP(B6074,material!A:D,3,0),"")</f>
        <v/>
      </c>
    </row>
    <row r="6075" ht="11.25" customHeight="1">
      <c r="A6075" s="21"/>
      <c r="B6075" s="22"/>
      <c r="C6075" s="21"/>
      <c r="D6075" s="21"/>
      <c r="E6075" s="21"/>
      <c r="F6075" s="21"/>
      <c r="G6075" s="23"/>
      <c r="H6075" s="24" t="str">
        <f>IFERROR(VLOOKUP(B6075,material!A:D,3,0),"")</f>
        <v/>
      </c>
    </row>
    <row r="6076" ht="11.25" customHeight="1">
      <c r="A6076" s="21"/>
      <c r="B6076" s="22"/>
      <c r="C6076" s="21"/>
      <c r="D6076" s="21"/>
      <c r="E6076" s="21"/>
      <c r="F6076" s="21"/>
      <c r="G6076" s="23"/>
      <c r="H6076" s="24" t="str">
        <f>IFERROR(VLOOKUP(B6076,material!A:D,3,0),"")</f>
        <v/>
      </c>
    </row>
    <row r="6077" ht="11.25" customHeight="1">
      <c r="A6077" s="21"/>
      <c r="B6077" s="22"/>
      <c r="C6077" s="21"/>
      <c r="D6077" s="21"/>
      <c r="E6077" s="21"/>
      <c r="F6077" s="21"/>
      <c r="G6077" s="23"/>
      <c r="H6077" s="24" t="str">
        <f>IFERROR(VLOOKUP(B6077,material!A:D,3,0),"")</f>
        <v/>
      </c>
    </row>
    <row r="6078" ht="11.25" customHeight="1">
      <c r="A6078" s="21"/>
      <c r="B6078" s="22"/>
      <c r="C6078" s="21"/>
      <c r="D6078" s="21"/>
      <c r="E6078" s="21"/>
      <c r="F6078" s="21"/>
      <c r="G6078" s="23"/>
      <c r="H6078" s="24" t="str">
        <f>IFERROR(VLOOKUP(B6078,material!A:D,3,0),"")</f>
        <v/>
      </c>
    </row>
    <row r="6079" ht="11.25" customHeight="1">
      <c r="A6079" s="21"/>
      <c r="B6079" s="22"/>
      <c r="C6079" s="21"/>
      <c r="D6079" s="21"/>
      <c r="E6079" s="21"/>
      <c r="F6079" s="21"/>
      <c r="G6079" s="23"/>
      <c r="H6079" s="24" t="str">
        <f>IFERROR(VLOOKUP(B6079,material!A:D,3,0),"")</f>
        <v/>
      </c>
    </row>
    <row r="6080" ht="11.25" customHeight="1">
      <c r="A6080" s="21"/>
      <c r="B6080" s="22"/>
      <c r="C6080" s="21"/>
      <c r="D6080" s="21"/>
      <c r="E6080" s="21"/>
      <c r="F6080" s="21"/>
      <c r="G6080" s="23"/>
      <c r="H6080" s="24" t="str">
        <f>IFERROR(VLOOKUP(B6080,material!A:D,3,0),"")</f>
        <v/>
      </c>
    </row>
    <row r="6081" ht="11.25" customHeight="1">
      <c r="A6081" s="21"/>
      <c r="B6081" s="22"/>
      <c r="C6081" s="21"/>
      <c r="D6081" s="21"/>
      <c r="E6081" s="21"/>
      <c r="F6081" s="21"/>
      <c r="G6081" s="23"/>
      <c r="H6081" s="24" t="str">
        <f>IFERROR(VLOOKUP(B6081,material!A:D,3,0),"")</f>
        <v/>
      </c>
    </row>
    <row r="6082" ht="11.25" customHeight="1">
      <c r="A6082" s="21"/>
      <c r="B6082" s="22"/>
      <c r="C6082" s="21"/>
      <c r="D6082" s="21"/>
      <c r="E6082" s="21"/>
      <c r="F6082" s="21"/>
      <c r="G6082" s="23"/>
      <c r="H6082" s="24" t="str">
        <f>IFERROR(VLOOKUP(B6082,material!A:D,3,0),"")</f>
        <v/>
      </c>
    </row>
    <row r="6083" ht="11.25" customHeight="1">
      <c r="A6083" s="21"/>
      <c r="B6083" s="22"/>
      <c r="C6083" s="21"/>
      <c r="D6083" s="21"/>
      <c r="E6083" s="21"/>
      <c r="F6083" s="21"/>
      <c r="G6083" s="23"/>
      <c r="H6083" s="24" t="str">
        <f>IFERROR(VLOOKUP(B6083,material!A:D,3,0),"")</f>
        <v/>
      </c>
    </row>
    <row r="6084" ht="11.25" customHeight="1">
      <c r="A6084" s="21"/>
      <c r="B6084" s="22"/>
      <c r="C6084" s="21"/>
      <c r="D6084" s="21"/>
      <c r="E6084" s="21"/>
      <c r="F6084" s="21"/>
      <c r="G6084" s="23"/>
      <c r="H6084" s="24" t="str">
        <f>IFERROR(VLOOKUP(B6084,material!A:D,3,0),"")</f>
        <v/>
      </c>
    </row>
    <row r="6085" ht="11.25" customHeight="1">
      <c r="A6085" s="21"/>
      <c r="B6085" s="22"/>
      <c r="C6085" s="21"/>
      <c r="D6085" s="21"/>
      <c r="E6085" s="21"/>
      <c r="F6085" s="21"/>
      <c r="G6085" s="23"/>
      <c r="H6085" s="24" t="str">
        <f>IFERROR(VLOOKUP(B6085,material!A:D,3,0),"")</f>
        <v/>
      </c>
    </row>
    <row r="6086" ht="11.25" customHeight="1">
      <c r="A6086" s="21"/>
      <c r="B6086" s="22"/>
      <c r="C6086" s="21"/>
      <c r="D6086" s="21"/>
      <c r="E6086" s="21"/>
      <c r="F6086" s="21"/>
      <c r="G6086" s="23"/>
      <c r="H6086" s="24" t="str">
        <f>IFERROR(VLOOKUP(B6086,material!A:D,3,0),"")</f>
        <v/>
      </c>
    </row>
    <row r="6087" ht="11.25" customHeight="1">
      <c r="A6087" s="21"/>
      <c r="B6087" s="22"/>
      <c r="C6087" s="21"/>
      <c r="D6087" s="21"/>
      <c r="E6087" s="21"/>
      <c r="F6087" s="21"/>
      <c r="G6087" s="23"/>
      <c r="H6087" s="24" t="str">
        <f>IFERROR(VLOOKUP(B6087,material!A:D,3,0),"")</f>
        <v/>
      </c>
    </row>
    <row r="6088" ht="11.25" customHeight="1">
      <c r="A6088" s="21"/>
      <c r="B6088" s="22"/>
      <c r="C6088" s="21"/>
      <c r="D6088" s="21"/>
      <c r="E6088" s="21"/>
      <c r="F6088" s="21"/>
      <c r="G6088" s="23"/>
      <c r="H6088" s="24" t="str">
        <f>IFERROR(VLOOKUP(B6088,material!A:D,3,0),"")</f>
        <v/>
      </c>
    </row>
    <row r="6089" ht="11.25" customHeight="1">
      <c r="A6089" s="21"/>
      <c r="B6089" s="22"/>
      <c r="C6089" s="21"/>
      <c r="D6089" s="21"/>
      <c r="E6089" s="21"/>
      <c r="F6089" s="21"/>
      <c r="G6089" s="23"/>
      <c r="H6089" s="24" t="str">
        <f>IFERROR(VLOOKUP(B6089,material!A:D,3,0),"")</f>
        <v/>
      </c>
    </row>
    <row r="6090" ht="11.25" customHeight="1">
      <c r="A6090" s="21"/>
      <c r="B6090" s="22"/>
      <c r="C6090" s="21"/>
      <c r="D6090" s="21"/>
      <c r="E6090" s="21"/>
      <c r="F6090" s="21"/>
      <c r="G6090" s="23"/>
      <c r="H6090" s="24" t="str">
        <f>IFERROR(VLOOKUP(B6090,material!A:D,3,0),"")</f>
        <v/>
      </c>
    </row>
    <row r="6091" ht="11.25" customHeight="1">
      <c r="A6091" s="21"/>
      <c r="B6091" s="22"/>
      <c r="C6091" s="21"/>
      <c r="D6091" s="21"/>
      <c r="E6091" s="21"/>
      <c r="F6091" s="21"/>
      <c r="G6091" s="23"/>
      <c r="H6091" s="24" t="str">
        <f>IFERROR(VLOOKUP(B6091,material!A:D,3,0),"")</f>
        <v/>
      </c>
    </row>
    <row r="6092" ht="11.25" customHeight="1">
      <c r="A6092" s="21"/>
      <c r="B6092" s="22"/>
      <c r="C6092" s="21"/>
      <c r="D6092" s="21"/>
      <c r="E6092" s="21"/>
      <c r="F6092" s="21"/>
      <c r="G6092" s="23"/>
      <c r="H6092" s="24" t="str">
        <f>IFERROR(VLOOKUP(B6092,material!A:D,3,0),"")</f>
        <v/>
      </c>
    </row>
    <row r="6093" ht="11.25" customHeight="1">
      <c r="A6093" s="21"/>
      <c r="B6093" s="22"/>
      <c r="C6093" s="21"/>
      <c r="D6093" s="21"/>
      <c r="E6093" s="21"/>
      <c r="F6093" s="21"/>
      <c r="G6093" s="23"/>
      <c r="H6093" s="24" t="str">
        <f>IFERROR(VLOOKUP(B6093,material!A:D,3,0),"")</f>
        <v/>
      </c>
    </row>
    <row r="6094" ht="11.25" customHeight="1">
      <c r="A6094" s="21"/>
      <c r="B6094" s="22"/>
      <c r="C6094" s="21"/>
      <c r="D6094" s="21"/>
      <c r="E6094" s="21"/>
      <c r="F6094" s="21"/>
      <c r="G6094" s="23"/>
      <c r="H6094" s="24" t="str">
        <f>IFERROR(VLOOKUP(B6094,material!A:D,3,0),"")</f>
        <v/>
      </c>
    </row>
    <row r="6095" ht="11.25" customHeight="1">
      <c r="A6095" s="21"/>
      <c r="B6095" s="22"/>
      <c r="C6095" s="21"/>
      <c r="D6095" s="21"/>
      <c r="E6095" s="21"/>
      <c r="F6095" s="21"/>
      <c r="G6095" s="23"/>
      <c r="H6095" s="24" t="str">
        <f>IFERROR(VLOOKUP(B6095,material!A:D,3,0),"")</f>
        <v/>
      </c>
    </row>
    <row r="6096" ht="11.25" customHeight="1">
      <c r="A6096" s="21"/>
      <c r="B6096" s="22"/>
      <c r="C6096" s="21"/>
      <c r="D6096" s="21"/>
      <c r="E6096" s="21"/>
      <c r="F6096" s="21"/>
      <c r="G6096" s="23"/>
      <c r="H6096" s="24" t="str">
        <f>IFERROR(VLOOKUP(B6096,material!A:D,3,0),"")</f>
        <v/>
      </c>
    </row>
    <row r="6097" ht="11.25" customHeight="1">
      <c r="A6097" s="21"/>
      <c r="B6097" s="22"/>
      <c r="C6097" s="21"/>
      <c r="D6097" s="21"/>
      <c r="E6097" s="21"/>
      <c r="F6097" s="21"/>
      <c r="G6097" s="23"/>
      <c r="H6097" s="24" t="str">
        <f>IFERROR(VLOOKUP(B6097,material!A:D,3,0),"")</f>
        <v/>
      </c>
    </row>
    <row r="6098" ht="11.25" customHeight="1">
      <c r="A6098" s="21"/>
      <c r="B6098" s="22"/>
      <c r="C6098" s="21"/>
      <c r="D6098" s="21"/>
      <c r="E6098" s="21"/>
      <c r="F6098" s="21"/>
      <c r="G6098" s="23"/>
      <c r="H6098" s="24" t="str">
        <f>IFERROR(VLOOKUP(B6098,material!A:D,3,0),"")</f>
        <v/>
      </c>
    </row>
    <row r="6099" ht="11.25" customHeight="1">
      <c r="A6099" s="21"/>
      <c r="B6099" s="22"/>
      <c r="C6099" s="21"/>
      <c r="D6099" s="21"/>
      <c r="E6099" s="21"/>
      <c r="F6099" s="21"/>
      <c r="G6099" s="23"/>
      <c r="H6099" s="24" t="str">
        <f>IFERROR(VLOOKUP(B6099,material!A:D,3,0),"")</f>
        <v/>
      </c>
    </row>
    <row r="6100" ht="11.25" customHeight="1">
      <c r="A6100" s="21"/>
      <c r="B6100" s="22"/>
      <c r="C6100" s="21"/>
      <c r="D6100" s="21"/>
      <c r="E6100" s="21"/>
      <c r="F6100" s="21"/>
      <c r="G6100" s="23"/>
      <c r="H6100" s="24" t="str">
        <f>IFERROR(VLOOKUP(B6100,material!A:D,3,0),"")</f>
        <v/>
      </c>
    </row>
    <row r="6101" ht="11.25" customHeight="1">
      <c r="A6101" s="21"/>
      <c r="B6101" s="22"/>
      <c r="C6101" s="21"/>
      <c r="D6101" s="21"/>
      <c r="E6101" s="21"/>
      <c r="F6101" s="21"/>
      <c r="G6101" s="23"/>
      <c r="H6101" s="24" t="str">
        <f>IFERROR(VLOOKUP(B6101,material!A:D,3,0),"")</f>
        <v/>
      </c>
    </row>
    <row r="6102" ht="11.25" customHeight="1">
      <c r="A6102" s="21"/>
      <c r="B6102" s="22"/>
      <c r="C6102" s="21"/>
      <c r="D6102" s="21"/>
      <c r="E6102" s="21"/>
      <c r="F6102" s="21"/>
      <c r="G6102" s="23"/>
      <c r="H6102" s="24" t="str">
        <f>IFERROR(VLOOKUP(B6102,material!A:D,3,0),"")</f>
        <v/>
      </c>
    </row>
    <row r="6103" ht="11.25" customHeight="1">
      <c r="A6103" s="21"/>
      <c r="B6103" s="22"/>
      <c r="C6103" s="21"/>
      <c r="D6103" s="21"/>
      <c r="E6103" s="21"/>
      <c r="F6103" s="21"/>
      <c r="G6103" s="23"/>
      <c r="H6103" s="24" t="str">
        <f>IFERROR(VLOOKUP(B6103,material!A:D,3,0),"")</f>
        <v/>
      </c>
    </row>
    <row r="6104" ht="11.25" customHeight="1">
      <c r="A6104" s="21"/>
      <c r="B6104" s="22"/>
      <c r="C6104" s="21"/>
      <c r="D6104" s="21"/>
      <c r="E6104" s="21"/>
      <c r="F6104" s="21"/>
      <c r="G6104" s="23"/>
      <c r="H6104" s="24" t="str">
        <f>IFERROR(VLOOKUP(B6104,material!A:D,3,0),"")</f>
        <v/>
      </c>
    </row>
    <row r="6105" ht="11.25" customHeight="1">
      <c r="A6105" s="21"/>
      <c r="B6105" s="22"/>
      <c r="C6105" s="21"/>
      <c r="D6105" s="21"/>
      <c r="E6105" s="21"/>
      <c r="F6105" s="21"/>
      <c r="G6105" s="23"/>
      <c r="H6105" s="24" t="str">
        <f>IFERROR(VLOOKUP(B6105,material!A:D,3,0),"")</f>
        <v/>
      </c>
    </row>
    <row r="6106" ht="11.25" customHeight="1">
      <c r="A6106" s="21"/>
      <c r="B6106" s="22"/>
      <c r="C6106" s="21"/>
      <c r="D6106" s="21"/>
      <c r="E6106" s="21"/>
      <c r="F6106" s="21"/>
      <c r="G6106" s="23"/>
      <c r="H6106" s="24" t="str">
        <f>IFERROR(VLOOKUP(B6106,material!A:D,3,0),"")</f>
        <v/>
      </c>
    </row>
    <row r="6107" ht="11.25" customHeight="1">
      <c r="A6107" s="21"/>
      <c r="B6107" s="22"/>
      <c r="C6107" s="21"/>
      <c r="D6107" s="21"/>
      <c r="E6107" s="21"/>
      <c r="F6107" s="21"/>
      <c r="G6107" s="23"/>
      <c r="H6107" s="24" t="str">
        <f>IFERROR(VLOOKUP(B6107,material!A:D,3,0),"")</f>
        <v/>
      </c>
    </row>
    <row r="6108" ht="11.25" customHeight="1">
      <c r="A6108" s="21"/>
      <c r="B6108" s="22"/>
      <c r="C6108" s="21"/>
      <c r="D6108" s="21"/>
      <c r="E6108" s="21"/>
      <c r="F6108" s="21"/>
      <c r="G6108" s="23"/>
      <c r="H6108" s="24" t="str">
        <f>IFERROR(VLOOKUP(B6108,material!A:D,3,0),"")</f>
        <v/>
      </c>
    </row>
    <row r="6109" ht="11.25" customHeight="1">
      <c r="A6109" s="21"/>
      <c r="B6109" s="22"/>
      <c r="C6109" s="21"/>
      <c r="D6109" s="21"/>
      <c r="E6109" s="21"/>
      <c r="F6109" s="21"/>
      <c r="G6109" s="23"/>
      <c r="H6109" s="24" t="str">
        <f>IFERROR(VLOOKUP(B6109,material!A:D,3,0),"")</f>
        <v/>
      </c>
    </row>
    <row r="6110" ht="11.25" customHeight="1">
      <c r="A6110" s="21"/>
      <c r="B6110" s="22"/>
      <c r="C6110" s="21"/>
      <c r="D6110" s="21"/>
      <c r="E6110" s="21"/>
      <c r="F6110" s="21"/>
      <c r="G6110" s="23"/>
      <c r="H6110" s="24" t="str">
        <f>IFERROR(VLOOKUP(B6110,material!A:D,3,0),"")</f>
        <v/>
      </c>
    </row>
    <row r="6111" ht="11.25" customHeight="1">
      <c r="A6111" s="21"/>
      <c r="B6111" s="22"/>
      <c r="C6111" s="21"/>
      <c r="D6111" s="21"/>
      <c r="E6111" s="21"/>
      <c r="F6111" s="21"/>
      <c r="G6111" s="23"/>
      <c r="H6111" s="24" t="str">
        <f>IFERROR(VLOOKUP(B6111,material!A:D,3,0),"")</f>
        <v/>
      </c>
    </row>
    <row r="6112" ht="11.25" customHeight="1">
      <c r="A6112" s="21"/>
      <c r="B6112" s="22"/>
      <c r="C6112" s="21"/>
      <c r="D6112" s="21"/>
      <c r="E6112" s="21"/>
      <c r="F6112" s="21"/>
      <c r="G6112" s="23"/>
      <c r="H6112" s="24" t="str">
        <f>IFERROR(VLOOKUP(B6112,material!A:D,3,0),"")</f>
        <v/>
      </c>
    </row>
    <row r="6113" ht="11.25" customHeight="1">
      <c r="A6113" s="21"/>
      <c r="B6113" s="22"/>
      <c r="C6113" s="21"/>
      <c r="D6113" s="21"/>
      <c r="E6113" s="21"/>
      <c r="F6113" s="21"/>
      <c r="G6113" s="23"/>
      <c r="H6113" s="24" t="str">
        <f>IFERROR(VLOOKUP(B6113,material!A:D,3,0),"")</f>
        <v/>
      </c>
    </row>
    <row r="6114" ht="11.25" customHeight="1">
      <c r="A6114" s="21"/>
      <c r="B6114" s="22"/>
      <c r="C6114" s="21"/>
      <c r="D6114" s="21"/>
      <c r="E6114" s="21"/>
      <c r="F6114" s="21"/>
      <c r="G6114" s="23"/>
      <c r="H6114" s="24" t="str">
        <f>IFERROR(VLOOKUP(B6114,material!A:D,3,0),"")</f>
        <v/>
      </c>
    </row>
    <row r="6115" ht="11.25" customHeight="1">
      <c r="A6115" s="21"/>
      <c r="B6115" s="22"/>
      <c r="C6115" s="21"/>
      <c r="D6115" s="21"/>
      <c r="E6115" s="21"/>
      <c r="F6115" s="21"/>
      <c r="G6115" s="23"/>
      <c r="H6115" s="24" t="str">
        <f>IFERROR(VLOOKUP(B6115,material!A:D,3,0),"")</f>
        <v/>
      </c>
    </row>
    <row r="6116" ht="11.25" customHeight="1">
      <c r="A6116" s="21"/>
      <c r="B6116" s="22"/>
      <c r="C6116" s="21"/>
      <c r="D6116" s="21"/>
      <c r="E6116" s="21"/>
      <c r="F6116" s="21"/>
      <c r="G6116" s="23"/>
      <c r="H6116" s="24" t="str">
        <f>IFERROR(VLOOKUP(B6116,material!A:D,3,0),"")</f>
        <v/>
      </c>
    </row>
    <row r="6117" ht="11.25" customHeight="1">
      <c r="A6117" s="21"/>
      <c r="B6117" s="22"/>
      <c r="C6117" s="21"/>
      <c r="D6117" s="21"/>
      <c r="E6117" s="21"/>
      <c r="F6117" s="21"/>
      <c r="G6117" s="23"/>
      <c r="H6117" s="24" t="str">
        <f>IFERROR(VLOOKUP(B6117,material!A:D,3,0),"")</f>
        <v/>
      </c>
    </row>
    <row r="6118" ht="11.25" customHeight="1">
      <c r="A6118" s="21"/>
      <c r="B6118" s="22"/>
      <c r="C6118" s="21"/>
      <c r="D6118" s="21"/>
      <c r="E6118" s="21"/>
      <c r="F6118" s="21"/>
      <c r="G6118" s="23"/>
      <c r="H6118" s="24" t="str">
        <f>IFERROR(VLOOKUP(B6118,material!A:D,3,0),"")</f>
        <v/>
      </c>
    </row>
    <row r="6119" ht="11.25" customHeight="1">
      <c r="A6119" s="21"/>
      <c r="B6119" s="22"/>
      <c r="C6119" s="21"/>
      <c r="D6119" s="21"/>
      <c r="E6119" s="21"/>
      <c r="F6119" s="21"/>
      <c r="G6119" s="23"/>
      <c r="H6119" s="24" t="str">
        <f>IFERROR(VLOOKUP(B6119,material!A:D,3,0),"")</f>
        <v/>
      </c>
    </row>
    <row r="6120" ht="11.25" customHeight="1">
      <c r="A6120" s="21"/>
      <c r="B6120" s="22"/>
      <c r="C6120" s="21"/>
      <c r="D6120" s="21"/>
      <c r="E6120" s="21"/>
      <c r="F6120" s="21"/>
      <c r="G6120" s="23"/>
      <c r="H6120" s="24" t="str">
        <f>IFERROR(VLOOKUP(B6120,material!A:D,3,0),"")</f>
        <v/>
      </c>
    </row>
    <row r="6121" ht="11.25" customHeight="1">
      <c r="A6121" s="21"/>
      <c r="B6121" s="22"/>
      <c r="C6121" s="21"/>
      <c r="D6121" s="21"/>
      <c r="E6121" s="21"/>
      <c r="F6121" s="21"/>
      <c r="G6121" s="23"/>
      <c r="H6121" s="24" t="str">
        <f>IFERROR(VLOOKUP(B6121,material!A:D,3,0),"")</f>
        <v/>
      </c>
    </row>
    <row r="6122" ht="11.25" customHeight="1">
      <c r="A6122" s="21"/>
      <c r="B6122" s="22"/>
      <c r="C6122" s="21"/>
      <c r="D6122" s="21"/>
      <c r="E6122" s="21"/>
      <c r="F6122" s="21"/>
      <c r="G6122" s="23"/>
      <c r="H6122" s="24" t="str">
        <f>IFERROR(VLOOKUP(B6122,material!A:D,3,0),"")</f>
        <v/>
      </c>
    </row>
    <row r="6123" ht="11.25" customHeight="1">
      <c r="A6123" s="21"/>
      <c r="B6123" s="22"/>
      <c r="C6123" s="21"/>
      <c r="D6123" s="21"/>
      <c r="E6123" s="21"/>
      <c r="F6123" s="21"/>
      <c r="G6123" s="23"/>
      <c r="H6123" s="24" t="str">
        <f>IFERROR(VLOOKUP(B6123,material!A:D,3,0),"")</f>
        <v/>
      </c>
    </row>
    <row r="6124" ht="11.25" customHeight="1">
      <c r="A6124" s="21"/>
      <c r="B6124" s="22"/>
      <c r="C6124" s="21"/>
      <c r="D6124" s="21"/>
      <c r="E6124" s="21"/>
      <c r="F6124" s="21"/>
      <c r="G6124" s="23"/>
      <c r="H6124" s="24" t="str">
        <f>IFERROR(VLOOKUP(B6124,material!A:D,3,0),"")</f>
        <v/>
      </c>
    </row>
    <row r="6125" ht="11.25" customHeight="1">
      <c r="A6125" s="21"/>
      <c r="B6125" s="22"/>
      <c r="C6125" s="21"/>
      <c r="D6125" s="21"/>
      <c r="E6125" s="21"/>
      <c r="F6125" s="21"/>
      <c r="G6125" s="23"/>
      <c r="H6125" s="24" t="str">
        <f>IFERROR(VLOOKUP(B6125,material!A:D,3,0),"")</f>
        <v/>
      </c>
    </row>
    <row r="6126" ht="11.25" customHeight="1">
      <c r="A6126" s="21"/>
      <c r="B6126" s="22"/>
      <c r="C6126" s="21"/>
      <c r="D6126" s="21"/>
      <c r="E6126" s="21"/>
      <c r="F6126" s="21"/>
      <c r="G6126" s="23"/>
      <c r="H6126" s="24" t="str">
        <f>IFERROR(VLOOKUP(B6126,material!A:D,3,0),"")</f>
        <v/>
      </c>
    </row>
    <row r="6127" ht="11.25" customHeight="1">
      <c r="A6127" s="21"/>
      <c r="B6127" s="22"/>
      <c r="C6127" s="21"/>
      <c r="D6127" s="21"/>
      <c r="E6127" s="21"/>
      <c r="F6127" s="21"/>
      <c r="G6127" s="23"/>
      <c r="H6127" s="24" t="str">
        <f>IFERROR(VLOOKUP(B6127,material!A:D,3,0),"")</f>
        <v/>
      </c>
    </row>
    <row r="6128" ht="11.25" customHeight="1">
      <c r="A6128" s="21"/>
      <c r="B6128" s="22"/>
      <c r="C6128" s="21"/>
      <c r="D6128" s="21"/>
      <c r="E6128" s="21"/>
      <c r="F6128" s="21"/>
      <c r="G6128" s="23"/>
      <c r="H6128" s="24" t="str">
        <f>IFERROR(VLOOKUP(B6128,material!A:D,3,0),"")</f>
        <v/>
      </c>
    </row>
    <row r="6129" ht="11.25" customHeight="1">
      <c r="A6129" s="21"/>
      <c r="B6129" s="22"/>
      <c r="C6129" s="21"/>
      <c r="D6129" s="21"/>
      <c r="E6129" s="21"/>
      <c r="F6129" s="21"/>
      <c r="G6129" s="23"/>
      <c r="H6129" s="24" t="str">
        <f>IFERROR(VLOOKUP(B6129,material!A:D,3,0),"")</f>
        <v/>
      </c>
    </row>
    <row r="6130" ht="11.25" customHeight="1">
      <c r="A6130" s="21"/>
      <c r="B6130" s="22"/>
      <c r="C6130" s="21"/>
      <c r="D6130" s="21"/>
      <c r="E6130" s="21"/>
      <c r="F6130" s="21"/>
      <c r="G6130" s="23"/>
      <c r="H6130" s="24" t="str">
        <f>IFERROR(VLOOKUP(B6130,material!A:D,3,0),"")</f>
        <v/>
      </c>
    </row>
    <row r="6131" ht="11.25" customHeight="1">
      <c r="A6131" s="21"/>
      <c r="B6131" s="22"/>
      <c r="C6131" s="21"/>
      <c r="D6131" s="21"/>
      <c r="E6131" s="21"/>
      <c r="F6131" s="21"/>
      <c r="G6131" s="23"/>
      <c r="H6131" s="24" t="str">
        <f>IFERROR(VLOOKUP(B6131,material!A:D,3,0),"")</f>
        <v/>
      </c>
    </row>
    <row r="6132" ht="11.25" customHeight="1">
      <c r="A6132" s="21"/>
      <c r="B6132" s="22"/>
      <c r="C6132" s="21"/>
      <c r="D6132" s="21"/>
      <c r="E6132" s="21"/>
      <c r="F6132" s="21"/>
      <c r="G6132" s="23"/>
      <c r="H6132" s="24" t="str">
        <f>IFERROR(VLOOKUP(B6132,material!A:D,3,0),"")</f>
        <v/>
      </c>
    </row>
    <row r="6133" ht="11.25" customHeight="1">
      <c r="A6133" s="21"/>
      <c r="B6133" s="22"/>
      <c r="C6133" s="21"/>
      <c r="D6133" s="21"/>
      <c r="E6133" s="21"/>
      <c r="F6133" s="21"/>
      <c r="G6133" s="23"/>
      <c r="H6133" s="24" t="str">
        <f>IFERROR(VLOOKUP(B6133,material!A:D,3,0),"")</f>
        <v/>
      </c>
    </row>
    <row r="6134" ht="11.25" customHeight="1">
      <c r="A6134" s="21"/>
      <c r="B6134" s="22"/>
      <c r="C6134" s="21"/>
      <c r="D6134" s="21"/>
      <c r="E6134" s="21"/>
      <c r="F6134" s="21"/>
      <c r="G6134" s="23"/>
      <c r="H6134" s="24" t="str">
        <f>IFERROR(VLOOKUP(B6134,material!A:D,3,0),"")</f>
        <v/>
      </c>
    </row>
    <row r="6135" ht="11.25" customHeight="1">
      <c r="A6135" s="21"/>
      <c r="B6135" s="22"/>
      <c r="C6135" s="21"/>
      <c r="D6135" s="21"/>
      <c r="E6135" s="21"/>
      <c r="F6135" s="21"/>
      <c r="G6135" s="23"/>
      <c r="H6135" s="24" t="str">
        <f>IFERROR(VLOOKUP(B6135,material!A:D,3,0),"")</f>
        <v/>
      </c>
    </row>
    <row r="6136" ht="11.25" customHeight="1">
      <c r="A6136" s="21"/>
      <c r="B6136" s="22"/>
      <c r="C6136" s="21"/>
      <c r="D6136" s="21"/>
      <c r="E6136" s="21"/>
      <c r="F6136" s="21"/>
      <c r="G6136" s="23"/>
      <c r="H6136" s="24" t="str">
        <f>IFERROR(VLOOKUP(B6136,material!A:D,3,0),"")</f>
        <v/>
      </c>
    </row>
    <row r="6137" ht="11.25" customHeight="1">
      <c r="A6137" s="21"/>
      <c r="B6137" s="22"/>
      <c r="C6137" s="21"/>
      <c r="D6137" s="21"/>
      <c r="E6137" s="21"/>
      <c r="F6137" s="21"/>
      <c r="G6137" s="23"/>
      <c r="H6137" s="24" t="str">
        <f>IFERROR(VLOOKUP(B6137,material!A:D,3,0),"")</f>
        <v/>
      </c>
    </row>
    <row r="6138" ht="11.25" customHeight="1">
      <c r="A6138" s="21"/>
      <c r="B6138" s="22"/>
      <c r="C6138" s="21"/>
      <c r="D6138" s="21"/>
      <c r="E6138" s="21"/>
      <c r="F6138" s="21"/>
      <c r="G6138" s="23"/>
      <c r="H6138" s="24" t="str">
        <f>IFERROR(VLOOKUP(B6138,material!A:D,3,0),"")</f>
        <v/>
      </c>
    </row>
    <row r="6139" ht="11.25" customHeight="1">
      <c r="A6139" s="21"/>
      <c r="B6139" s="22"/>
      <c r="C6139" s="21"/>
      <c r="D6139" s="21"/>
      <c r="E6139" s="21"/>
      <c r="F6139" s="21"/>
      <c r="G6139" s="23"/>
      <c r="H6139" s="24" t="str">
        <f>IFERROR(VLOOKUP(B6139,material!A:D,3,0),"")</f>
        <v/>
      </c>
    </row>
    <row r="6140" ht="11.25" customHeight="1">
      <c r="A6140" s="21"/>
      <c r="B6140" s="22"/>
      <c r="C6140" s="21"/>
      <c r="D6140" s="21"/>
      <c r="E6140" s="21"/>
      <c r="F6140" s="21"/>
      <c r="G6140" s="23"/>
      <c r="H6140" s="24" t="str">
        <f>IFERROR(VLOOKUP(B6140,material!A:D,3,0),"")</f>
        <v/>
      </c>
    </row>
    <row r="6141" ht="11.25" customHeight="1">
      <c r="A6141" s="21"/>
      <c r="B6141" s="22"/>
      <c r="C6141" s="21"/>
      <c r="D6141" s="21"/>
      <c r="E6141" s="21"/>
      <c r="F6141" s="21"/>
      <c r="G6141" s="23"/>
      <c r="H6141" s="24" t="str">
        <f>IFERROR(VLOOKUP(B6141,material!A:D,3,0),"")</f>
        <v/>
      </c>
    </row>
    <row r="6142" ht="11.25" customHeight="1">
      <c r="A6142" s="21"/>
      <c r="B6142" s="22"/>
      <c r="C6142" s="21"/>
      <c r="D6142" s="21"/>
      <c r="E6142" s="21"/>
      <c r="F6142" s="21"/>
      <c r="G6142" s="23"/>
      <c r="H6142" s="24" t="str">
        <f>IFERROR(VLOOKUP(B6142,material!A:D,3,0),"")</f>
        <v/>
      </c>
    </row>
    <row r="6143" ht="11.25" customHeight="1">
      <c r="A6143" s="21"/>
      <c r="B6143" s="22"/>
      <c r="C6143" s="21"/>
      <c r="D6143" s="21"/>
      <c r="E6143" s="21"/>
      <c r="F6143" s="21"/>
      <c r="G6143" s="23"/>
      <c r="H6143" s="24" t="str">
        <f>IFERROR(VLOOKUP(B6143,material!A:D,3,0),"")</f>
        <v/>
      </c>
    </row>
    <row r="6144" ht="11.25" customHeight="1">
      <c r="A6144" s="21"/>
      <c r="B6144" s="22"/>
      <c r="C6144" s="21"/>
      <c r="D6144" s="21"/>
      <c r="E6144" s="21"/>
      <c r="F6144" s="21"/>
      <c r="G6144" s="23"/>
      <c r="H6144" s="24" t="str">
        <f>IFERROR(VLOOKUP(B6144,material!A:D,3,0),"")</f>
        <v/>
      </c>
    </row>
    <row r="6145" ht="11.25" customHeight="1">
      <c r="A6145" s="21"/>
      <c r="B6145" s="22"/>
      <c r="C6145" s="21"/>
      <c r="D6145" s="21"/>
      <c r="E6145" s="21"/>
      <c r="F6145" s="21"/>
      <c r="G6145" s="23"/>
      <c r="H6145" s="24" t="str">
        <f>IFERROR(VLOOKUP(B6145,material!A:D,3,0),"")</f>
        <v/>
      </c>
    </row>
    <row r="6146" ht="11.25" customHeight="1">
      <c r="A6146" s="21"/>
      <c r="B6146" s="22"/>
      <c r="C6146" s="21"/>
      <c r="D6146" s="21"/>
      <c r="E6146" s="21"/>
      <c r="F6146" s="21"/>
      <c r="G6146" s="23"/>
      <c r="H6146" s="24" t="str">
        <f>IFERROR(VLOOKUP(B6146,material!A:D,3,0),"")</f>
        <v/>
      </c>
    </row>
    <row r="6147" ht="11.25" customHeight="1">
      <c r="A6147" s="21"/>
      <c r="B6147" s="22"/>
      <c r="C6147" s="21"/>
      <c r="D6147" s="21"/>
      <c r="E6147" s="21"/>
      <c r="F6147" s="21"/>
      <c r="G6147" s="23"/>
      <c r="H6147" s="24" t="str">
        <f>IFERROR(VLOOKUP(B6147,material!A:D,3,0),"")</f>
        <v/>
      </c>
    </row>
    <row r="6148" ht="11.25" customHeight="1">
      <c r="A6148" s="21"/>
      <c r="B6148" s="22"/>
      <c r="C6148" s="21"/>
      <c r="D6148" s="21"/>
      <c r="E6148" s="21"/>
      <c r="F6148" s="21"/>
      <c r="G6148" s="23"/>
      <c r="H6148" s="24" t="str">
        <f>IFERROR(VLOOKUP(B6148,material!A:D,3,0),"")</f>
        <v/>
      </c>
    </row>
    <row r="6149" ht="11.25" customHeight="1">
      <c r="A6149" s="21"/>
      <c r="B6149" s="22"/>
      <c r="C6149" s="21"/>
      <c r="D6149" s="21"/>
      <c r="E6149" s="21"/>
      <c r="F6149" s="21"/>
      <c r="G6149" s="23"/>
      <c r="H6149" s="24" t="str">
        <f>IFERROR(VLOOKUP(B6149,material!A:D,3,0),"")</f>
        <v/>
      </c>
    </row>
    <row r="6150" ht="11.25" customHeight="1">
      <c r="A6150" s="21"/>
      <c r="B6150" s="22"/>
      <c r="C6150" s="21"/>
      <c r="D6150" s="21"/>
      <c r="E6150" s="21"/>
      <c r="F6150" s="21"/>
      <c r="G6150" s="23"/>
      <c r="H6150" s="24" t="str">
        <f>IFERROR(VLOOKUP(B6150,material!A:D,3,0),"")</f>
        <v/>
      </c>
    </row>
    <row r="6151" ht="11.25" customHeight="1">
      <c r="A6151" s="21"/>
      <c r="B6151" s="22"/>
      <c r="C6151" s="21"/>
      <c r="D6151" s="21"/>
      <c r="E6151" s="21"/>
      <c r="F6151" s="21"/>
      <c r="G6151" s="23"/>
      <c r="H6151" s="24" t="str">
        <f>IFERROR(VLOOKUP(B6151,material!A:D,3,0),"")</f>
        <v/>
      </c>
    </row>
    <row r="6152" ht="11.25" customHeight="1">
      <c r="A6152" s="21"/>
      <c r="B6152" s="22"/>
      <c r="C6152" s="21"/>
      <c r="D6152" s="21"/>
      <c r="E6152" s="21"/>
      <c r="F6152" s="21"/>
      <c r="G6152" s="23"/>
      <c r="H6152" s="24" t="str">
        <f>IFERROR(VLOOKUP(B6152,material!A:D,3,0),"")</f>
        <v/>
      </c>
    </row>
    <row r="6153" ht="11.25" customHeight="1">
      <c r="A6153" s="21"/>
      <c r="B6153" s="22"/>
      <c r="C6153" s="21"/>
      <c r="D6153" s="21"/>
      <c r="E6153" s="21"/>
      <c r="F6153" s="21"/>
      <c r="G6153" s="23"/>
      <c r="H6153" s="24" t="str">
        <f>IFERROR(VLOOKUP(B6153,material!A:D,3,0),"")</f>
        <v/>
      </c>
    </row>
    <row r="6154" ht="11.25" customHeight="1">
      <c r="A6154" s="21"/>
      <c r="B6154" s="22"/>
      <c r="C6154" s="21"/>
      <c r="D6154" s="21"/>
      <c r="E6154" s="21"/>
      <c r="F6154" s="21"/>
      <c r="G6154" s="23"/>
      <c r="H6154" s="24" t="str">
        <f>IFERROR(VLOOKUP(B6154,material!A:D,3,0),"")</f>
        <v/>
      </c>
    </row>
    <row r="6155" ht="11.25" customHeight="1">
      <c r="A6155" s="21"/>
      <c r="B6155" s="22"/>
      <c r="C6155" s="21"/>
      <c r="D6155" s="21"/>
      <c r="E6155" s="21"/>
      <c r="F6155" s="21"/>
      <c r="G6155" s="23"/>
      <c r="H6155" s="24" t="str">
        <f>IFERROR(VLOOKUP(B6155,material!A:D,3,0),"")</f>
        <v/>
      </c>
    </row>
    <row r="6156" ht="11.25" customHeight="1">
      <c r="A6156" s="21"/>
      <c r="B6156" s="22"/>
      <c r="C6156" s="21"/>
      <c r="D6156" s="21"/>
      <c r="E6156" s="21"/>
      <c r="F6156" s="21"/>
      <c r="G6156" s="23"/>
      <c r="H6156" s="24" t="str">
        <f>IFERROR(VLOOKUP(B6156,material!A:D,3,0),"")</f>
        <v/>
      </c>
    </row>
    <row r="6157" ht="11.25" customHeight="1">
      <c r="A6157" s="21"/>
      <c r="B6157" s="22"/>
      <c r="C6157" s="21"/>
      <c r="D6157" s="21"/>
      <c r="E6157" s="21"/>
      <c r="F6157" s="21"/>
      <c r="G6157" s="23"/>
      <c r="H6157" s="24" t="str">
        <f>IFERROR(VLOOKUP(B6157,material!A:D,3,0),"")</f>
        <v/>
      </c>
    </row>
    <row r="6158" ht="11.25" customHeight="1">
      <c r="A6158" s="21"/>
      <c r="B6158" s="22"/>
      <c r="C6158" s="21"/>
      <c r="D6158" s="21"/>
      <c r="E6158" s="21"/>
      <c r="F6158" s="21"/>
      <c r="G6158" s="23"/>
      <c r="H6158" s="24" t="str">
        <f>IFERROR(VLOOKUP(B6158,material!A:D,3,0),"")</f>
        <v/>
      </c>
    </row>
    <row r="6159" ht="11.25" customHeight="1">
      <c r="A6159" s="21"/>
      <c r="B6159" s="22"/>
      <c r="C6159" s="21"/>
      <c r="D6159" s="21"/>
      <c r="E6159" s="21"/>
      <c r="F6159" s="21"/>
      <c r="G6159" s="23"/>
      <c r="H6159" s="24" t="str">
        <f>IFERROR(VLOOKUP(B6159,material!A:D,3,0),"")</f>
        <v/>
      </c>
    </row>
    <row r="6160" ht="11.25" customHeight="1">
      <c r="A6160" s="21"/>
      <c r="B6160" s="22"/>
      <c r="C6160" s="21"/>
      <c r="D6160" s="21"/>
      <c r="E6160" s="21"/>
      <c r="F6160" s="21"/>
      <c r="G6160" s="23"/>
      <c r="H6160" s="24" t="str">
        <f>IFERROR(VLOOKUP(B6160,material!A:D,3,0),"")</f>
        <v/>
      </c>
    </row>
    <row r="6161" ht="11.25" customHeight="1">
      <c r="A6161" s="21"/>
      <c r="B6161" s="22"/>
      <c r="C6161" s="21"/>
      <c r="D6161" s="21"/>
      <c r="E6161" s="21"/>
      <c r="F6161" s="21"/>
      <c r="G6161" s="23"/>
      <c r="H6161" s="24" t="str">
        <f>IFERROR(VLOOKUP(B6161,material!A:D,3,0),"")</f>
        <v/>
      </c>
    </row>
    <row r="6162" ht="11.25" customHeight="1">
      <c r="A6162" s="21"/>
      <c r="B6162" s="22"/>
      <c r="C6162" s="21"/>
      <c r="D6162" s="21"/>
      <c r="E6162" s="21"/>
      <c r="F6162" s="21"/>
      <c r="G6162" s="23"/>
      <c r="H6162" s="24" t="str">
        <f>IFERROR(VLOOKUP(B6162,material!A:D,3,0),"")</f>
        <v/>
      </c>
    </row>
    <row r="6163" ht="11.25" customHeight="1">
      <c r="A6163" s="21"/>
      <c r="B6163" s="22"/>
      <c r="C6163" s="21"/>
      <c r="D6163" s="21"/>
      <c r="E6163" s="21"/>
      <c r="F6163" s="21"/>
      <c r="G6163" s="23"/>
      <c r="H6163" s="24" t="str">
        <f>IFERROR(VLOOKUP(B6163,material!A:D,3,0),"")</f>
        <v/>
      </c>
    </row>
    <row r="6164" ht="11.25" customHeight="1">
      <c r="A6164" s="21"/>
      <c r="B6164" s="22"/>
      <c r="C6164" s="21"/>
      <c r="D6164" s="21"/>
      <c r="E6164" s="21"/>
      <c r="F6164" s="21"/>
      <c r="G6164" s="23"/>
      <c r="H6164" s="24" t="str">
        <f>IFERROR(VLOOKUP(B6164,material!A:D,3,0),"")</f>
        <v/>
      </c>
    </row>
    <row r="6165" ht="11.25" customHeight="1">
      <c r="A6165" s="21"/>
      <c r="B6165" s="22"/>
      <c r="C6165" s="21"/>
      <c r="D6165" s="21"/>
      <c r="E6165" s="21"/>
      <c r="F6165" s="21"/>
      <c r="G6165" s="23"/>
      <c r="H6165" s="24" t="str">
        <f>IFERROR(VLOOKUP(B6165,material!A:D,3,0),"")</f>
        <v/>
      </c>
    </row>
    <row r="6166" ht="11.25" customHeight="1">
      <c r="A6166" s="21"/>
      <c r="B6166" s="22"/>
      <c r="C6166" s="21"/>
      <c r="D6166" s="21"/>
      <c r="E6166" s="21"/>
      <c r="F6166" s="21"/>
      <c r="G6166" s="23"/>
      <c r="H6166" s="24" t="str">
        <f>IFERROR(VLOOKUP(B6166,material!A:D,3,0),"")</f>
        <v/>
      </c>
    </row>
    <row r="6167" ht="11.25" customHeight="1">
      <c r="A6167" s="21"/>
      <c r="B6167" s="22"/>
      <c r="C6167" s="21"/>
      <c r="D6167" s="21"/>
      <c r="E6167" s="21"/>
      <c r="F6167" s="21"/>
      <c r="G6167" s="23"/>
      <c r="H6167" s="24" t="str">
        <f>IFERROR(VLOOKUP(B6167,material!A:D,3,0),"")</f>
        <v/>
      </c>
    </row>
    <row r="6168" ht="11.25" customHeight="1">
      <c r="A6168" s="21"/>
      <c r="B6168" s="22"/>
      <c r="C6168" s="21"/>
      <c r="D6168" s="21"/>
      <c r="E6168" s="21"/>
      <c r="F6168" s="21"/>
      <c r="G6168" s="23"/>
      <c r="H6168" s="24" t="str">
        <f>IFERROR(VLOOKUP(B6168,material!A:D,3,0),"")</f>
        <v/>
      </c>
    </row>
    <row r="6169" ht="11.25" customHeight="1">
      <c r="A6169" s="21"/>
      <c r="B6169" s="22"/>
      <c r="C6169" s="21"/>
      <c r="D6169" s="21"/>
      <c r="E6169" s="21"/>
      <c r="F6169" s="21"/>
      <c r="G6169" s="23"/>
      <c r="H6169" s="24" t="str">
        <f>IFERROR(VLOOKUP(B6169,material!A:D,3,0),"")</f>
        <v/>
      </c>
    </row>
    <row r="6170" ht="11.25" customHeight="1">
      <c r="A6170" s="21"/>
      <c r="B6170" s="22"/>
      <c r="C6170" s="21"/>
      <c r="D6170" s="21"/>
      <c r="E6170" s="21"/>
      <c r="F6170" s="21"/>
      <c r="G6170" s="23"/>
      <c r="H6170" s="24" t="str">
        <f>IFERROR(VLOOKUP(B6170,material!A:D,3,0),"")</f>
        <v/>
      </c>
    </row>
    <row r="6171" ht="11.25" customHeight="1">
      <c r="A6171" s="21"/>
      <c r="B6171" s="22"/>
      <c r="C6171" s="21"/>
      <c r="D6171" s="21"/>
      <c r="E6171" s="21"/>
      <c r="F6171" s="21"/>
      <c r="G6171" s="23"/>
      <c r="H6171" s="24" t="str">
        <f>IFERROR(VLOOKUP(B6171,material!A:D,3,0),"")</f>
        <v/>
      </c>
    </row>
    <row r="6172" ht="11.25" customHeight="1">
      <c r="A6172" s="21"/>
      <c r="B6172" s="22"/>
      <c r="C6172" s="21"/>
      <c r="D6172" s="21"/>
      <c r="E6172" s="21"/>
      <c r="F6172" s="21"/>
      <c r="G6172" s="23"/>
      <c r="H6172" s="24" t="str">
        <f>IFERROR(VLOOKUP(B6172,material!A:D,3,0),"")</f>
        <v/>
      </c>
    </row>
    <row r="6173" ht="11.25" customHeight="1">
      <c r="A6173" s="21"/>
      <c r="B6173" s="22"/>
      <c r="C6173" s="21"/>
      <c r="D6173" s="21"/>
      <c r="E6173" s="21"/>
      <c r="F6173" s="21"/>
      <c r="G6173" s="23"/>
      <c r="H6173" s="24" t="str">
        <f>IFERROR(VLOOKUP(B6173,material!A:D,3,0),"")</f>
        <v/>
      </c>
    </row>
    <row r="6174" ht="11.25" customHeight="1">
      <c r="A6174" s="21"/>
      <c r="B6174" s="22"/>
      <c r="C6174" s="21"/>
      <c r="D6174" s="21"/>
      <c r="E6174" s="21"/>
      <c r="F6174" s="21"/>
      <c r="G6174" s="23"/>
      <c r="H6174" s="24" t="str">
        <f>IFERROR(VLOOKUP(B6174,material!A:D,3,0),"")</f>
        <v/>
      </c>
    </row>
    <row r="6175" ht="11.25" customHeight="1">
      <c r="A6175" s="21"/>
      <c r="B6175" s="22"/>
      <c r="C6175" s="21"/>
      <c r="D6175" s="21"/>
      <c r="E6175" s="21"/>
      <c r="F6175" s="21"/>
      <c r="G6175" s="23"/>
      <c r="H6175" s="24" t="str">
        <f>IFERROR(VLOOKUP(B6175,material!A:D,3,0),"")</f>
        <v/>
      </c>
    </row>
    <row r="6176" ht="11.25" customHeight="1">
      <c r="A6176" s="21"/>
      <c r="B6176" s="22"/>
      <c r="C6176" s="21"/>
      <c r="D6176" s="21"/>
      <c r="E6176" s="21"/>
      <c r="F6176" s="21"/>
      <c r="G6176" s="23"/>
      <c r="H6176" s="24" t="str">
        <f>IFERROR(VLOOKUP(B6176,material!A:D,3,0),"")</f>
        <v/>
      </c>
    </row>
    <row r="6177" ht="11.25" customHeight="1">
      <c r="A6177" s="21"/>
      <c r="B6177" s="22"/>
      <c r="C6177" s="21"/>
      <c r="D6177" s="21"/>
      <c r="E6177" s="21"/>
      <c r="F6177" s="21"/>
      <c r="G6177" s="23"/>
      <c r="H6177" s="24" t="str">
        <f>IFERROR(VLOOKUP(B6177,material!A:D,3,0),"")</f>
        <v/>
      </c>
    </row>
    <row r="6178" ht="11.25" customHeight="1">
      <c r="A6178" s="21"/>
      <c r="B6178" s="22"/>
      <c r="C6178" s="21"/>
      <c r="D6178" s="21"/>
      <c r="E6178" s="21"/>
      <c r="F6178" s="21"/>
      <c r="G6178" s="23"/>
      <c r="H6178" s="24" t="str">
        <f>IFERROR(VLOOKUP(B6178,material!A:D,3,0),"")</f>
        <v/>
      </c>
    </row>
    <row r="6179" ht="11.25" customHeight="1">
      <c r="A6179" s="21"/>
      <c r="B6179" s="22"/>
      <c r="C6179" s="21"/>
      <c r="D6179" s="21"/>
      <c r="E6179" s="21"/>
      <c r="F6179" s="21"/>
      <c r="G6179" s="23"/>
      <c r="H6179" s="24" t="str">
        <f>IFERROR(VLOOKUP(B6179,material!A:D,3,0),"")</f>
        <v/>
      </c>
    </row>
    <row r="6180" ht="11.25" customHeight="1">
      <c r="A6180" s="21"/>
      <c r="B6180" s="22"/>
      <c r="C6180" s="21"/>
      <c r="D6180" s="21"/>
      <c r="E6180" s="21"/>
      <c r="F6180" s="21"/>
      <c r="G6180" s="23"/>
      <c r="H6180" s="24" t="str">
        <f>IFERROR(VLOOKUP(B6180,material!A:D,3,0),"")</f>
        <v/>
      </c>
    </row>
    <row r="6181" ht="11.25" customHeight="1">
      <c r="A6181" s="21"/>
      <c r="B6181" s="22"/>
      <c r="C6181" s="21"/>
      <c r="D6181" s="21"/>
      <c r="E6181" s="21"/>
      <c r="F6181" s="21"/>
      <c r="G6181" s="23"/>
      <c r="H6181" s="24" t="str">
        <f>IFERROR(VLOOKUP(B6181,material!A:D,3,0),"")</f>
        <v/>
      </c>
    </row>
    <row r="6182" ht="11.25" customHeight="1">
      <c r="A6182" s="21"/>
      <c r="B6182" s="22"/>
      <c r="C6182" s="21"/>
      <c r="D6182" s="21"/>
      <c r="E6182" s="21"/>
      <c r="F6182" s="21"/>
      <c r="G6182" s="23"/>
      <c r="H6182" s="24" t="str">
        <f>IFERROR(VLOOKUP(B6182,material!A:D,3,0),"")</f>
        <v/>
      </c>
    </row>
    <row r="6183" ht="11.25" customHeight="1">
      <c r="A6183" s="21"/>
      <c r="B6183" s="22"/>
      <c r="C6183" s="21"/>
      <c r="D6183" s="21"/>
      <c r="E6183" s="21"/>
      <c r="F6183" s="21"/>
      <c r="G6183" s="23"/>
      <c r="H6183" s="24" t="str">
        <f>IFERROR(VLOOKUP(B6183,material!A:D,3,0),"")</f>
        <v/>
      </c>
    </row>
    <row r="6184" ht="11.25" customHeight="1">
      <c r="A6184" s="21"/>
      <c r="B6184" s="22"/>
      <c r="C6184" s="21"/>
      <c r="D6184" s="21"/>
      <c r="E6184" s="21"/>
      <c r="F6184" s="21"/>
      <c r="G6184" s="23"/>
      <c r="H6184" s="24" t="str">
        <f>IFERROR(VLOOKUP(B6184,material!A:D,3,0),"")</f>
        <v/>
      </c>
    </row>
    <row r="6185" ht="11.25" customHeight="1">
      <c r="A6185" s="21"/>
      <c r="B6185" s="22"/>
      <c r="C6185" s="21"/>
      <c r="D6185" s="21"/>
      <c r="E6185" s="21"/>
      <c r="F6185" s="21"/>
      <c r="G6185" s="23"/>
      <c r="H6185" s="24" t="str">
        <f>IFERROR(VLOOKUP(B6185,material!A:D,3,0),"")</f>
        <v/>
      </c>
    </row>
    <row r="6186" ht="11.25" customHeight="1">
      <c r="A6186" s="21"/>
      <c r="B6186" s="22"/>
      <c r="C6186" s="21"/>
      <c r="D6186" s="21"/>
      <c r="E6186" s="21"/>
      <c r="F6186" s="21"/>
      <c r="G6186" s="23"/>
      <c r="H6186" s="24" t="str">
        <f>IFERROR(VLOOKUP(B6186,material!A:D,3,0),"")</f>
        <v/>
      </c>
    </row>
    <row r="6187" ht="11.25" customHeight="1">
      <c r="A6187" s="21"/>
      <c r="B6187" s="22"/>
      <c r="C6187" s="21"/>
      <c r="D6187" s="21"/>
      <c r="E6187" s="21"/>
      <c r="F6187" s="21"/>
      <c r="G6187" s="23"/>
      <c r="H6187" s="24" t="str">
        <f>IFERROR(VLOOKUP(B6187,material!A:D,3,0),"")</f>
        <v/>
      </c>
    </row>
    <row r="6188" ht="11.25" customHeight="1">
      <c r="A6188" s="21"/>
      <c r="B6188" s="22"/>
      <c r="C6188" s="21"/>
      <c r="D6188" s="21"/>
      <c r="E6188" s="21"/>
      <c r="F6188" s="21"/>
      <c r="G6188" s="23"/>
      <c r="H6188" s="24" t="str">
        <f>IFERROR(VLOOKUP(B6188,material!A:D,3,0),"")</f>
        <v/>
      </c>
    </row>
    <row r="6189" ht="11.25" customHeight="1">
      <c r="A6189" s="21"/>
      <c r="B6189" s="22"/>
      <c r="C6189" s="21"/>
      <c r="D6189" s="21"/>
      <c r="E6189" s="21"/>
      <c r="F6189" s="21"/>
      <c r="G6189" s="23"/>
      <c r="H6189" s="24" t="str">
        <f>IFERROR(VLOOKUP(B6189,material!A:D,3,0),"")</f>
        <v/>
      </c>
    </row>
    <row r="6190" ht="11.25" customHeight="1">
      <c r="A6190" s="21"/>
      <c r="B6190" s="22"/>
      <c r="C6190" s="21"/>
      <c r="D6190" s="21"/>
      <c r="E6190" s="21"/>
      <c r="F6190" s="21"/>
      <c r="G6190" s="23"/>
      <c r="H6190" s="24" t="str">
        <f>IFERROR(VLOOKUP(B6190,material!A:D,3,0),"")</f>
        <v/>
      </c>
    </row>
    <row r="6191" ht="11.25" customHeight="1">
      <c r="A6191" s="21"/>
      <c r="B6191" s="22"/>
      <c r="C6191" s="21"/>
      <c r="D6191" s="21"/>
      <c r="E6191" s="21"/>
      <c r="F6191" s="21"/>
      <c r="G6191" s="23"/>
      <c r="H6191" s="24" t="str">
        <f>IFERROR(VLOOKUP(B6191,material!A:D,3,0),"")</f>
        <v/>
      </c>
    </row>
    <row r="6192" ht="11.25" customHeight="1">
      <c r="A6192" s="21"/>
      <c r="B6192" s="22"/>
      <c r="C6192" s="21"/>
      <c r="D6192" s="21"/>
      <c r="E6192" s="21"/>
      <c r="F6192" s="21"/>
      <c r="G6192" s="23"/>
      <c r="H6192" s="24" t="str">
        <f>IFERROR(VLOOKUP(B6192,material!A:D,3,0),"")</f>
        <v/>
      </c>
    </row>
    <row r="6193" ht="11.25" customHeight="1">
      <c r="A6193" s="21"/>
      <c r="B6193" s="22"/>
      <c r="C6193" s="21"/>
      <c r="D6193" s="21"/>
      <c r="E6193" s="21"/>
      <c r="F6193" s="21"/>
      <c r="G6193" s="23"/>
      <c r="H6193" s="24" t="str">
        <f>IFERROR(VLOOKUP(B6193,material!A:D,3,0),"")</f>
        <v/>
      </c>
    </row>
    <row r="6194" ht="11.25" customHeight="1">
      <c r="A6194" s="21"/>
      <c r="B6194" s="22"/>
      <c r="C6194" s="21"/>
      <c r="D6194" s="21"/>
      <c r="E6194" s="21"/>
      <c r="F6194" s="21"/>
      <c r="G6194" s="23"/>
      <c r="H6194" s="24" t="str">
        <f>IFERROR(VLOOKUP(B6194,material!A:D,3,0),"")</f>
        <v/>
      </c>
    </row>
    <row r="6195" ht="11.25" customHeight="1">
      <c r="A6195" s="21"/>
      <c r="B6195" s="22"/>
      <c r="C6195" s="21"/>
      <c r="D6195" s="21"/>
      <c r="E6195" s="21"/>
      <c r="F6195" s="21"/>
      <c r="G6195" s="23"/>
      <c r="H6195" s="24" t="str">
        <f>IFERROR(VLOOKUP(B6195,material!A:D,3,0),"")</f>
        <v/>
      </c>
    </row>
    <row r="6196" ht="11.25" customHeight="1">
      <c r="A6196" s="21"/>
      <c r="B6196" s="22"/>
      <c r="C6196" s="21"/>
      <c r="D6196" s="21"/>
      <c r="E6196" s="21"/>
      <c r="F6196" s="21"/>
      <c r="G6196" s="23"/>
      <c r="H6196" s="24" t="str">
        <f>IFERROR(VLOOKUP(B6196,material!A:D,3,0),"")</f>
        <v/>
      </c>
    </row>
    <row r="6197" ht="11.25" customHeight="1">
      <c r="A6197" s="21"/>
      <c r="B6197" s="22"/>
      <c r="C6197" s="21"/>
      <c r="D6197" s="21"/>
      <c r="E6197" s="21"/>
      <c r="F6197" s="21"/>
      <c r="G6197" s="23"/>
      <c r="H6197" s="24" t="str">
        <f>IFERROR(VLOOKUP(B6197,material!A:D,3,0),"")</f>
        <v/>
      </c>
    </row>
    <row r="6198" ht="11.25" customHeight="1">
      <c r="A6198" s="21"/>
      <c r="B6198" s="22"/>
      <c r="C6198" s="21"/>
      <c r="D6198" s="21"/>
      <c r="E6198" s="21"/>
      <c r="F6198" s="21"/>
      <c r="G6198" s="23"/>
      <c r="H6198" s="24" t="str">
        <f>IFERROR(VLOOKUP(B6198,material!A:D,3,0),"")</f>
        <v/>
      </c>
    </row>
    <row r="6199" ht="11.25" customHeight="1">
      <c r="A6199" s="21"/>
      <c r="B6199" s="22"/>
      <c r="C6199" s="21"/>
      <c r="D6199" s="21"/>
      <c r="E6199" s="21"/>
      <c r="F6199" s="21"/>
      <c r="G6199" s="23"/>
      <c r="H6199" s="24" t="str">
        <f>IFERROR(VLOOKUP(B6199,material!A:D,3,0),"")</f>
        <v/>
      </c>
    </row>
    <row r="6200" ht="11.25" customHeight="1">
      <c r="A6200" s="21"/>
      <c r="B6200" s="22"/>
      <c r="C6200" s="21"/>
      <c r="D6200" s="21"/>
      <c r="E6200" s="21"/>
      <c r="F6200" s="21"/>
      <c r="G6200" s="23"/>
      <c r="H6200" s="24" t="str">
        <f>IFERROR(VLOOKUP(B6200,material!A:D,3,0),"")</f>
        <v/>
      </c>
    </row>
    <row r="6201" ht="11.25" customHeight="1">
      <c r="A6201" s="21"/>
      <c r="B6201" s="22"/>
      <c r="C6201" s="21"/>
      <c r="D6201" s="21"/>
      <c r="E6201" s="21"/>
      <c r="F6201" s="21"/>
      <c r="G6201" s="23"/>
      <c r="H6201" s="24" t="str">
        <f>IFERROR(VLOOKUP(B6201,material!A:D,3,0),"")</f>
        <v/>
      </c>
    </row>
    <row r="6202" ht="11.25" customHeight="1">
      <c r="A6202" s="21"/>
      <c r="B6202" s="22"/>
      <c r="C6202" s="21"/>
      <c r="D6202" s="21"/>
      <c r="E6202" s="21"/>
      <c r="F6202" s="21"/>
      <c r="G6202" s="23"/>
      <c r="H6202" s="24" t="str">
        <f>IFERROR(VLOOKUP(B6202,material!A:D,3,0),"")</f>
        <v/>
      </c>
    </row>
    <row r="6203" ht="11.25" customHeight="1">
      <c r="A6203" s="21"/>
      <c r="B6203" s="22"/>
      <c r="C6203" s="21"/>
      <c r="D6203" s="21"/>
      <c r="E6203" s="21"/>
      <c r="F6203" s="21"/>
      <c r="G6203" s="23"/>
      <c r="H6203" s="24" t="str">
        <f>IFERROR(VLOOKUP(B6203,material!A:D,3,0),"")</f>
        <v/>
      </c>
    </row>
    <row r="6204" ht="11.25" customHeight="1">
      <c r="A6204" s="21"/>
      <c r="B6204" s="22"/>
      <c r="C6204" s="21"/>
      <c r="D6204" s="21"/>
      <c r="E6204" s="21"/>
      <c r="F6204" s="21"/>
      <c r="G6204" s="23"/>
      <c r="H6204" s="24" t="str">
        <f>IFERROR(VLOOKUP(B6204,material!A:D,3,0),"")</f>
        <v/>
      </c>
    </row>
    <row r="6205" ht="11.25" customHeight="1">
      <c r="A6205" s="21"/>
      <c r="B6205" s="22"/>
      <c r="C6205" s="21"/>
      <c r="D6205" s="21"/>
      <c r="E6205" s="21"/>
      <c r="F6205" s="21"/>
      <c r="G6205" s="23"/>
      <c r="H6205" s="24" t="str">
        <f>IFERROR(VLOOKUP(B6205,material!A:D,3,0),"")</f>
        <v/>
      </c>
    </row>
    <row r="6206" ht="11.25" customHeight="1">
      <c r="A6206" s="21"/>
      <c r="B6206" s="22"/>
      <c r="C6206" s="21"/>
      <c r="D6206" s="21"/>
      <c r="E6206" s="21"/>
      <c r="F6206" s="21"/>
      <c r="G6206" s="23"/>
      <c r="H6206" s="24" t="str">
        <f>IFERROR(VLOOKUP(B6206,material!A:D,3,0),"")</f>
        <v/>
      </c>
    </row>
    <row r="6207" ht="11.25" customHeight="1">
      <c r="A6207" s="21"/>
      <c r="B6207" s="22"/>
      <c r="C6207" s="21"/>
      <c r="D6207" s="21"/>
      <c r="E6207" s="21"/>
      <c r="F6207" s="21"/>
      <c r="G6207" s="23"/>
      <c r="H6207" s="24" t="str">
        <f>IFERROR(VLOOKUP(B6207,material!A:D,3,0),"")</f>
        <v/>
      </c>
    </row>
    <row r="6208" ht="11.25" customHeight="1">
      <c r="A6208" s="21"/>
      <c r="B6208" s="22"/>
      <c r="C6208" s="21"/>
      <c r="D6208" s="21"/>
      <c r="E6208" s="21"/>
      <c r="F6208" s="21"/>
      <c r="G6208" s="23"/>
      <c r="H6208" s="24" t="str">
        <f>IFERROR(VLOOKUP(B6208,material!A:D,3,0),"")</f>
        <v/>
      </c>
    </row>
    <row r="6209" ht="11.25" customHeight="1">
      <c r="A6209" s="21"/>
      <c r="B6209" s="22"/>
      <c r="C6209" s="21"/>
      <c r="D6209" s="21"/>
      <c r="E6209" s="21"/>
      <c r="F6209" s="21"/>
      <c r="G6209" s="23"/>
      <c r="H6209" s="24" t="str">
        <f>IFERROR(VLOOKUP(B6209,material!A:D,3,0),"")</f>
        <v/>
      </c>
    </row>
    <row r="6210" ht="11.25" customHeight="1">
      <c r="A6210" s="21"/>
      <c r="B6210" s="22"/>
      <c r="C6210" s="21"/>
      <c r="D6210" s="21"/>
      <c r="E6210" s="21"/>
      <c r="F6210" s="21"/>
      <c r="G6210" s="23"/>
      <c r="H6210" s="24" t="str">
        <f>IFERROR(VLOOKUP(B6210,material!A:D,3,0),"")</f>
        <v/>
      </c>
    </row>
    <row r="6211" ht="11.25" customHeight="1">
      <c r="A6211" s="21"/>
      <c r="B6211" s="22"/>
      <c r="C6211" s="21"/>
      <c r="D6211" s="21"/>
      <c r="E6211" s="21"/>
      <c r="F6211" s="21"/>
      <c r="G6211" s="23"/>
      <c r="H6211" s="24" t="str">
        <f>IFERROR(VLOOKUP(B6211,material!A:D,3,0),"")</f>
        <v/>
      </c>
    </row>
    <row r="6212" ht="11.25" customHeight="1">
      <c r="A6212" s="21"/>
      <c r="B6212" s="22"/>
      <c r="C6212" s="21"/>
      <c r="D6212" s="21"/>
      <c r="E6212" s="21"/>
      <c r="F6212" s="21"/>
      <c r="G6212" s="23"/>
      <c r="H6212" s="24" t="str">
        <f>IFERROR(VLOOKUP(B6212,material!A:D,3,0),"")</f>
        <v/>
      </c>
    </row>
    <row r="6213" ht="11.25" customHeight="1">
      <c r="A6213" s="21"/>
      <c r="B6213" s="22"/>
      <c r="C6213" s="21"/>
      <c r="D6213" s="21"/>
      <c r="E6213" s="21"/>
      <c r="F6213" s="21"/>
      <c r="G6213" s="23"/>
      <c r="H6213" s="24" t="str">
        <f>IFERROR(VLOOKUP(B6213,material!A:D,3,0),"")</f>
        <v/>
      </c>
    </row>
    <row r="6214" ht="11.25" customHeight="1">
      <c r="A6214" s="21"/>
      <c r="B6214" s="22"/>
      <c r="C6214" s="21"/>
      <c r="D6214" s="21"/>
      <c r="E6214" s="21"/>
      <c r="F6214" s="21"/>
      <c r="G6214" s="23"/>
      <c r="H6214" s="24" t="str">
        <f>IFERROR(VLOOKUP(B6214,material!A:D,3,0),"")</f>
        <v/>
      </c>
    </row>
    <row r="6215" ht="11.25" customHeight="1">
      <c r="A6215" s="21"/>
      <c r="B6215" s="22"/>
      <c r="C6215" s="21"/>
      <c r="D6215" s="21"/>
      <c r="E6215" s="21"/>
      <c r="F6215" s="21"/>
      <c r="G6215" s="23"/>
      <c r="H6215" s="24" t="str">
        <f>IFERROR(VLOOKUP(B6215,material!A:D,3,0),"")</f>
        <v/>
      </c>
    </row>
    <row r="6216" ht="11.25" customHeight="1">
      <c r="A6216" s="21"/>
      <c r="B6216" s="22"/>
      <c r="C6216" s="21"/>
      <c r="D6216" s="21"/>
      <c r="E6216" s="21"/>
      <c r="F6216" s="21"/>
      <c r="G6216" s="23"/>
      <c r="H6216" s="24" t="str">
        <f>IFERROR(VLOOKUP(B6216,material!A:D,3,0),"")</f>
        <v/>
      </c>
    </row>
    <row r="6217" ht="11.25" customHeight="1">
      <c r="A6217" s="21"/>
      <c r="B6217" s="22"/>
      <c r="C6217" s="21"/>
      <c r="D6217" s="21"/>
      <c r="E6217" s="21"/>
      <c r="F6217" s="21"/>
      <c r="G6217" s="23"/>
      <c r="H6217" s="24" t="str">
        <f>IFERROR(VLOOKUP(B6217,material!A:D,3,0),"")</f>
        <v/>
      </c>
    </row>
    <row r="6218" ht="11.25" customHeight="1">
      <c r="A6218" s="21"/>
      <c r="B6218" s="22"/>
      <c r="C6218" s="21"/>
      <c r="D6218" s="21"/>
      <c r="E6218" s="21"/>
      <c r="F6218" s="21"/>
      <c r="G6218" s="23"/>
      <c r="H6218" s="24" t="str">
        <f>IFERROR(VLOOKUP(B6218,material!A:D,3,0),"")</f>
        <v/>
      </c>
    </row>
    <row r="6219" ht="11.25" customHeight="1">
      <c r="A6219" s="21"/>
      <c r="B6219" s="22"/>
      <c r="C6219" s="21"/>
      <c r="D6219" s="21"/>
      <c r="E6219" s="21"/>
      <c r="F6219" s="21"/>
      <c r="G6219" s="23"/>
      <c r="H6219" s="24" t="str">
        <f>IFERROR(VLOOKUP(B6219,material!A:D,3,0),"")</f>
        <v/>
      </c>
    </row>
    <row r="6220" ht="11.25" customHeight="1">
      <c r="A6220" s="21"/>
      <c r="B6220" s="22"/>
      <c r="C6220" s="21"/>
      <c r="D6220" s="21"/>
      <c r="E6220" s="21"/>
      <c r="F6220" s="21"/>
      <c r="G6220" s="23"/>
      <c r="H6220" s="24" t="str">
        <f>IFERROR(VLOOKUP(B6220,material!A:D,3,0),"")</f>
        <v/>
      </c>
    </row>
    <row r="6221" ht="11.25" customHeight="1">
      <c r="A6221" s="21"/>
      <c r="B6221" s="22"/>
      <c r="C6221" s="21"/>
      <c r="D6221" s="21"/>
      <c r="E6221" s="21"/>
      <c r="F6221" s="21"/>
      <c r="G6221" s="23"/>
      <c r="H6221" s="24" t="str">
        <f>IFERROR(VLOOKUP(B6221,material!A:D,3,0),"")</f>
        <v/>
      </c>
    </row>
    <row r="6222" ht="11.25" customHeight="1">
      <c r="A6222" s="21"/>
      <c r="B6222" s="22"/>
      <c r="C6222" s="21"/>
      <c r="D6222" s="21"/>
      <c r="E6222" s="21"/>
      <c r="F6222" s="21"/>
      <c r="G6222" s="23"/>
      <c r="H6222" s="24" t="str">
        <f>IFERROR(VLOOKUP(B6222,material!A:D,3,0),"")</f>
        <v/>
      </c>
    </row>
    <row r="6223" ht="11.25" customHeight="1">
      <c r="A6223" s="21"/>
      <c r="B6223" s="22"/>
      <c r="C6223" s="21"/>
      <c r="D6223" s="21"/>
      <c r="E6223" s="21"/>
      <c r="F6223" s="21"/>
      <c r="G6223" s="23"/>
      <c r="H6223" s="24" t="str">
        <f>IFERROR(VLOOKUP(B6223,material!A:D,3,0),"")</f>
        <v/>
      </c>
    </row>
    <row r="6224" ht="11.25" customHeight="1">
      <c r="A6224" s="21"/>
      <c r="B6224" s="22"/>
      <c r="C6224" s="21"/>
      <c r="D6224" s="21"/>
      <c r="E6224" s="21"/>
      <c r="F6224" s="21"/>
      <c r="G6224" s="23"/>
      <c r="H6224" s="24" t="str">
        <f>IFERROR(VLOOKUP(B6224,material!A:D,3,0),"")</f>
        <v/>
      </c>
    </row>
    <row r="6225" ht="11.25" customHeight="1">
      <c r="A6225" s="21"/>
      <c r="B6225" s="22"/>
      <c r="C6225" s="21"/>
      <c r="D6225" s="21"/>
      <c r="E6225" s="21"/>
      <c r="F6225" s="21"/>
      <c r="G6225" s="23"/>
      <c r="H6225" s="24" t="str">
        <f>IFERROR(VLOOKUP(B6225,material!A:D,3,0),"")</f>
        <v/>
      </c>
    </row>
    <row r="6226" ht="11.25" customHeight="1">
      <c r="A6226" s="21"/>
      <c r="B6226" s="22"/>
      <c r="C6226" s="21"/>
      <c r="D6226" s="21"/>
      <c r="E6226" s="21"/>
      <c r="F6226" s="21"/>
      <c r="G6226" s="23"/>
      <c r="H6226" s="24" t="str">
        <f>IFERROR(VLOOKUP(B6226,material!A:D,3,0),"")</f>
        <v/>
      </c>
    </row>
    <row r="6227" ht="11.25" customHeight="1">
      <c r="A6227" s="21"/>
      <c r="B6227" s="22"/>
      <c r="C6227" s="21"/>
      <c r="D6227" s="21"/>
      <c r="E6227" s="21"/>
      <c r="F6227" s="21"/>
      <c r="G6227" s="23"/>
      <c r="H6227" s="24" t="str">
        <f>IFERROR(VLOOKUP(B6227,material!A:D,3,0),"")</f>
        <v/>
      </c>
    </row>
    <row r="6228" ht="11.25" customHeight="1">
      <c r="A6228" s="21"/>
      <c r="B6228" s="22"/>
      <c r="C6228" s="21"/>
      <c r="D6228" s="21"/>
      <c r="E6228" s="21"/>
      <c r="F6228" s="21"/>
      <c r="G6228" s="23"/>
      <c r="H6228" s="24" t="str">
        <f>IFERROR(VLOOKUP(B6228,material!A:D,3,0),"")</f>
        <v/>
      </c>
    </row>
    <row r="6229" ht="11.25" customHeight="1">
      <c r="A6229" s="21"/>
      <c r="B6229" s="22"/>
      <c r="C6229" s="21"/>
      <c r="D6229" s="21"/>
      <c r="E6229" s="21"/>
      <c r="F6229" s="21"/>
      <c r="G6229" s="23"/>
      <c r="H6229" s="24" t="str">
        <f>IFERROR(VLOOKUP(B6229,material!A:D,3,0),"")</f>
        <v/>
      </c>
    </row>
    <row r="6230" ht="11.25" customHeight="1">
      <c r="A6230" s="21"/>
      <c r="B6230" s="22"/>
      <c r="C6230" s="21"/>
      <c r="D6230" s="21"/>
      <c r="E6230" s="21"/>
      <c r="F6230" s="21"/>
      <c r="G6230" s="23"/>
      <c r="H6230" s="24" t="str">
        <f>IFERROR(VLOOKUP(B6230,material!A:D,3,0),"")</f>
        <v/>
      </c>
    </row>
    <row r="6231" ht="11.25" customHeight="1">
      <c r="A6231" s="21"/>
      <c r="B6231" s="22"/>
      <c r="C6231" s="21"/>
      <c r="D6231" s="21"/>
      <c r="E6231" s="21"/>
      <c r="F6231" s="21"/>
      <c r="G6231" s="23"/>
      <c r="H6231" s="24" t="str">
        <f>IFERROR(VLOOKUP(B6231,material!A:D,3,0),"")</f>
        <v/>
      </c>
    </row>
    <row r="6232" ht="11.25" customHeight="1">
      <c r="A6232" s="21"/>
      <c r="B6232" s="22"/>
      <c r="C6232" s="21"/>
      <c r="D6232" s="21"/>
      <c r="E6232" s="21"/>
      <c r="F6232" s="21"/>
      <c r="G6232" s="23"/>
      <c r="H6232" s="24" t="str">
        <f>IFERROR(VLOOKUP(B6232,material!A:D,3,0),"")</f>
        <v/>
      </c>
    </row>
    <row r="6233" ht="11.25" customHeight="1">
      <c r="A6233" s="21"/>
      <c r="B6233" s="22"/>
      <c r="C6233" s="21"/>
      <c r="D6233" s="21"/>
      <c r="E6233" s="21"/>
      <c r="F6233" s="21"/>
      <c r="G6233" s="23"/>
      <c r="H6233" s="24" t="str">
        <f>IFERROR(VLOOKUP(B6233,material!A:D,3,0),"")</f>
        <v/>
      </c>
    </row>
    <row r="6234" ht="11.25" customHeight="1">
      <c r="A6234" s="21"/>
      <c r="B6234" s="22"/>
      <c r="C6234" s="21"/>
      <c r="D6234" s="21"/>
      <c r="E6234" s="21"/>
      <c r="F6234" s="21"/>
      <c r="G6234" s="23"/>
      <c r="H6234" s="24" t="str">
        <f>IFERROR(VLOOKUP(B6234,material!A:D,3,0),"")</f>
        <v/>
      </c>
    </row>
    <row r="6235" ht="11.25" customHeight="1">
      <c r="A6235" s="21"/>
      <c r="B6235" s="22"/>
      <c r="C6235" s="21"/>
      <c r="D6235" s="21"/>
      <c r="E6235" s="21"/>
      <c r="F6235" s="21"/>
      <c r="G6235" s="23"/>
      <c r="H6235" s="24" t="str">
        <f>IFERROR(VLOOKUP(B6235,material!A:D,3,0),"")</f>
        <v/>
      </c>
    </row>
    <row r="6236" ht="11.25" customHeight="1">
      <c r="A6236" s="21"/>
      <c r="B6236" s="22"/>
      <c r="C6236" s="21"/>
      <c r="D6236" s="21"/>
      <c r="E6236" s="21"/>
      <c r="F6236" s="21"/>
      <c r="G6236" s="23"/>
      <c r="H6236" s="24" t="str">
        <f>IFERROR(VLOOKUP(B6236,material!A:D,3,0),"")</f>
        <v/>
      </c>
    </row>
    <row r="6237" ht="11.25" customHeight="1">
      <c r="A6237" s="21"/>
      <c r="B6237" s="22"/>
      <c r="C6237" s="21"/>
      <c r="D6237" s="21"/>
      <c r="E6237" s="21"/>
      <c r="F6237" s="21"/>
      <c r="G6237" s="23"/>
      <c r="H6237" s="24" t="str">
        <f>IFERROR(VLOOKUP(B6237,material!A:D,3,0),"")</f>
        <v/>
      </c>
    </row>
    <row r="6238" ht="11.25" customHeight="1">
      <c r="A6238" s="21"/>
      <c r="B6238" s="22"/>
      <c r="C6238" s="21"/>
      <c r="D6238" s="21"/>
      <c r="E6238" s="21"/>
      <c r="F6238" s="21"/>
      <c r="G6238" s="23"/>
      <c r="H6238" s="24" t="str">
        <f>IFERROR(VLOOKUP(B6238,material!A:D,3,0),"")</f>
        <v/>
      </c>
    </row>
    <row r="6239" ht="11.25" customHeight="1">
      <c r="A6239" s="21"/>
      <c r="B6239" s="22"/>
      <c r="C6239" s="21"/>
      <c r="D6239" s="21"/>
      <c r="E6239" s="21"/>
      <c r="F6239" s="21"/>
      <c r="G6239" s="23"/>
      <c r="H6239" s="24" t="str">
        <f>IFERROR(VLOOKUP(B6239,material!A:D,3,0),"")</f>
        <v/>
      </c>
    </row>
    <row r="6240" ht="11.25" customHeight="1">
      <c r="A6240" s="21"/>
      <c r="B6240" s="22"/>
      <c r="C6240" s="21"/>
      <c r="D6240" s="21"/>
      <c r="E6240" s="21"/>
      <c r="F6240" s="21"/>
      <c r="G6240" s="23"/>
      <c r="H6240" s="24" t="str">
        <f>IFERROR(VLOOKUP(B6240,material!A:D,3,0),"")</f>
        <v/>
      </c>
    </row>
    <row r="6241" ht="11.25" customHeight="1">
      <c r="A6241" s="21"/>
      <c r="B6241" s="22"/>
      <c r="C6241" s="21"/>
      <c r="D6241" s="21"/>
      <c r="E6241" s="21"/>
      <c r="F6241" s="21"/>
      <c r="G6241" s="23"/>
      <c r="H6241" s="24" t="str">
        <f>IFERROR(VLOOKUP(B6241,material!A:D,3,0),"")</f>
        <v/>
      </c>
    </row>
    <row r="6242" ht="11.25" customHeight="1">
      <c r="A6242" s="21"/>
      <c r="B6242" s="22"/>
      <c r="C6242" s="21"/>
      <c r="D6242" s="21"/>
      <c r="E6242" s="21"/>
      <c r="F6242" s="21"/>
      <c r="G6242" s="23"/>
      <c r="H6242" s="24" t="str">
        <f>IFERROR(VLOOKUP(B6242,material!A:D,3,0),"")</f>
        <v/>
      </c>
    </row>
    <row r="6243" ht="11.25" customHeight="1">
      <c r="A6243" s="21"/>
      <c r="B6243" s="22"/>
      <c r="C6243" s="21"/>
      <c r="D6243" s="21"/>
      <c r="E6243" s="21"/>
      <c r="F6243" s="21"/>
      <c r="G6243" s="23"/>
      <c r="H6243" s="24" t="str">
        <f>IFERROR(VLOOKUP(B6243,material!A:D,3,0),"")</f>
        <v/>
      </c>
    </row>
    <row r="6244" ht="11.25" customHeight="1">
      <c r="A6244" s="21"/>
      <c r="B6244" s="22"/>
      <c r="C6244" s="21"/>
      <c r="D6244" s="21"/>
      <c r="E6244" s="21"/>
      <c r="F6244" s="21"/>
      <c r="G6244" s="23"/>
      <c r="H6244" s="24" t="str">
        <f>IFERROR(VLOOKUP(B6244,material!A:D,3,0),"")</f>
        <v/>
      </c>
    </row>
    <row r="6245" ht="11.25" customHeight="1">
      <c r="A6245" s="21"/>
      <c r="B6245" s="22"/>
      <c r="C6245" s="21"/>
      <c r="D6245" s="21"/>
      <c r="E6245" s="21"/>
      <c r="F6245" s="21"/>
      <c r="G6245" s="23"/>
      <c r="H6245" s="24" t="str">
        <f>IFERROR(VLOOKUP(B6245,material!A:D,3,0),"")</f>
        <v/>
      </c>
    </row>
    <row r="6246" ht="11.25" customHeight="1">
      <c r="A6246" s="21"/>
      <c r="B6246" s="22"/>
      <c r="C6246" s="21"/>
      <c r="D6246" s="21"/>
      <c r="E6246" s="21"/>
      <c r="F6246" s="21"/>
      <c r="G6246" s="23"/>
      <c r="H6246" s="24" t="str">
        <f>IFERROR(VLOOKUP(B6246,material!A:D,3,0),"")</f>
        <v/>
      </c>
    </row>
    <row r="6247" ht="11.25" customHeight="1">
      <c r="A6247" s="21"/>
      <c r="B6247" s="22"/>
      <c r="C6247" s="21"/>
      <c r="D6247" s="21"/>
      <c r="E6247" s="21"/>
      <c r="F6247" s="21"/>
      <c r="G6247" s="23"/>
      <c r="H6247" s="24" t="str">
        <f>IFERROR(VLOOKUP(B6247,material!A:D,3,0),"")</f>
        <v/>
      </c>
    </row>
    <row r="6248" ht="11.25" customHeight="1">
      <c r="A6248" s="21"/>
      <c r="B6248" s="22"/>
      <c r="C6248" s="21"/>
      <c r="D6248" s="21"/>
      <c r="E6248" s="21"/>
      <c r="F6248" s="21"/>
      <c r="G6248" s="23"/>
      <c r="H6248" s="24" t="str">
        <f>IFERROR(VLOOKUP(B6248,material!A:D,3,0),"")</f>
        <v/>
      </c>
    </row>
    <row r="6249" ht="11.25" customHeight="1">
      <c r="A6249" s="21"/>
      <c r="B6249" s="22"/>
      <c r="C6249" s="21"/>
      <c r="D6249" s="21"/>
      <c r="E6249" s="21"/>
      <c r="F6249" s="21"/>
      <c r="G6249" s="23"/>
      <c r="H6249" s="24" t="str">
        <f>IFERROR(VLOOKUP(B6249,material!A:D,3,0),"")</f>
        <v/>
      </c>
    </row>
    <row r="6250" ht="11.25" customHeight="1">
      <c r="A6250" s="21"/>
      <c r="B6250" s="22"/>
      <c r="C6250" s="21"/>
      <c r="D6250" s="21"/>
      <c r="E6250" s="21"/>
      <c r="F6250" s="21"/>
      <c r="G6250" s="23"/>
      <c r="H6250" s="24" t="str">
        <f>IFERROR(VLOOKUP(B6250,material!A:D,3,0),"")</f>
        <v/>
      </c>
    </row>
    <row r="6251" ht="11.25" customHeight="1">
      <c r="A6251" s="21"/>
      <c r="B6251" s="22"/>
      <c r="C6251" s="21"/>
      <c r="D6251" s="21"/>
      <c r="E6251" s="21"/>
      <c r="F6251" s="21"/>
      <c r="G6251" s="23"/>
      <c r="H6251" s="24" t="str">
        <f>IFERROR(VLOOKUP(B6251,material!A:D,3,0),"")</f>
        <v/>
      </c>
    </row>
    <row r="6252" ht="11.25" customHeight="1">
      <c r="A6252" s="21"/>
      <c r="B6252" s="22"/>
      <c r="C6252" s="21"/>
      <c r="D6252" s="21"/>
      <c r="E6252" s="21"/>
      <c r="F6252" s="21"/>
      <c r="G6252" s="23"/>
      <c r="H6252" s="24" t="str">
        <f>IFERROR(VLOOKUP(B6252,material!A:D,3,0),"")</f>
        <v/>
      </c>
    </row>
    <row r="6253" ht="11.25" customHeight="1">
      <c r="A6253" s="21"/>
      <c r="B6253" s="22"/>
      <c r="C6253" s="21"/>
      <c r="D6253" s="21"/>
      <c r="E6253" s="21"/>
      <c r="F6253" s="21"/>
      <c r="G6253" s="23"/>
      <c r="H6253" s="24" t="str">
        <f>IFERROR(VLOOKUP(B6253,material!A:D,3,0),"")</f>
        <v/>
      </c>
    </row>
    <row r="6254" ht="11.25" customHeight="1">
      <c r="A6254" s="21"/>
      <c r="B6254" s="22"/>
      <c r="C6254" s="21"/>
      <c r="D6254" s="21"/>
      <c r="E6254" s="21"/>
      <c r="F6254" s="21"/>
      <c r="G6254" s="23"/>
      <c r="H6254" s="24" t="str">
        <f>IFERROR(VLOOKUP(B6254,material!A:D,3,0),"")</f>
        <v/>
      </c>
    </row>
    <row r="6255" ht="11.25" customHeight="1">
      <c r="A6255" s="21"/>
      <c r="B6255" s="22"/>
      <c r="C6255" s="21"/>
      <c r="D6255" s="21"/>
      <c r="E6255" s="21"/>
      <c r="F6255" s="21"/>
      <c r="G6255" s="23"/>
      <c r="H6255" s="24" t="str">
        <f>IFERROR(VLOOKUP(B6255,material!A:D,3,0),"")</f>
        <v/>
      </c>
    </row>
    <row r="6256" ht="11.25" customHeight="1">
      <c r="A6256" s="21"/>
      <c r="B6256" s="22"/>
      <c r="C6256" s="21"/>
      <c r="D6256" s="21"/>
      <c r="E6256" s="21"/>
      <c r="F6256" s="21"/>
      <c r="G6256" s="23"/>
      <c r="H6256" s="24" t="str">
        <f>IFERROR(VLOOKUP(B6256,material!A:D,3,0),"")</f>
        <v/>
      </c>
    </row>
    <row r="6257" ht="11.25" customHeight="1">
      <c r="A6257" s="21"/>
      <c r="B6257" s="22"/>
      <c r="C6257" s="21"/>
      <c r="D6257" s="21"/>
      <c r="E6257" s="21"/>
      <c r="F6257" s="21"/>
      <c r="G6257" s="23"/>
      <c r="H6257" s="24" t="str">
        <f>IFERROR(VLOOKUP(B6257,material!A:D,3,0),"")</f>
        <v/>
      </c>
    </row>
    <row r="6258" ht="11.25" customHeight="1">
      <c r="A6258" s="21"/>
      <c r="B6258" s="22"/>
      <c r="C6258" s="21"/>
      <c r="D6258" s="21"/>
      <c r="E6258" s="21"/>
      <c r="F6258" s="21"/>
      <c r="G6258" s="23"/>
      <c r="H6258" s="24" t="str">
        <f>IFERROR(VLOOKUP(B6258,material!A:D,3,0),"")</f>
        <v/>
      </c>
    </row>
    <row r="6259" ht="11.25" customHeight="1">
      <c r="A6259" s="21"/>
      <c r="B6259" s="22"/>
      <c r="C6259" s="21"/>
      <c r="D6259" s="21"/>
      <c r="E6259" s="21"/>
      <c r="F6259" s="21"/>
      <c r="G6259" s="23"/>
      <c r="H6259" s="24" t="str">
        <f>IFERROR(VLOOKUP(B6259,material!A:D,3,0),"")</f>
        <v/>
      </c>
    </row>
    <row r="6260" ht="11.25" customHeight="1">
      <c r="A6260" s="21"/>
      <c r="B6260" s="22"/>
      <c r="C6260" s="21"/>
      <c r="D6260" s="21"/>
      <c r="E6260" s="21"/>
      <c r="F6260" s="21"/>
      <c r="G6260" s="23"/>
      <c r="H6260" s="24" t="str">
        <f>IFERROR(VLOOKUP(B6260,material!A:D,3,0),"")</f>
        <v/>
      </c>
    </row>
    <row r="6261" ht="11.25" customHeight="1">
      <c r="A6261" s="21"/>
      <c r="B6261" s="22"/>
      <c r="C6261" s="21"/>
      <c r="D6261" s="21"/>
      <c r="E6261" s="21"/>
      <c r="F6261" s="21"/>
      <c r="G6261" s="23"/>
      <c r="H6261" s="24" t="str">
        <f>IFERROR(VLOOKUP(B6261,material!A:D,3,0),"")</f>
        <v/>
      </c>
    </row>
    <row r="6262" ht="11.25" customHeight="1">
      <c r="A6262" s="21"/>
      <c r="B6262" s="22"/>
      <c r="C6262" s="21"/>
      <c r="D6262" s="21"/>
      <c r="E6262" s="21"/>
      <c r="F6262" s="21"/>
      <c r="G6262" s="23"/>
      <c r="H6262" s="24" t="str">
        <f>IFERROR(VLOOKUP(B6262,material!A:D,3,0),"")</f>
        <v/>
      </c>
    </row>
    <row r="6263" ht="11.25" customHeight="1">
      <c r="A6263" s="21"/>
      <c r="B6263" s="22"/>
      <c r="C6263" s="21"/>
      <c r="D6263" s="21"/>
      <c r="E6263" s="21"/>
      <c r="F6263" s="21"/>
      <c r="G6263" s="23"/>
      <c r="H6263" s="24" t="str">
        <f>IFERROR(VLOOKUP(B6263,material!A:D,3,0),"")</f>
        <v/>
      </c>
    </row>
    <row r="6264" ht="11.25" customHeight="1">
      <c r="A6264" s="21"/>
      <c r="B6264" s="22"/>
      <c r="C6264" s="21"/>
      <c r="D6264" s="21"/>
      <c r="E6264" s="21"/>
      <c r="F6264" s="21"/>
      <c r="G6264" s="23"/>
      <c r="H6264" s="24" t="str">
        <f>IFERROR(VLOOKUP(B6264,material!A:D,3,0),"")</f>
        <v/>
      </c>
    </row>
    <row r="6265" ht="11.25" customHeight="1">
      <c r="A6265" s="21"/>
      <c r="B6265" s="22"/>
      <c r="C6265" s="21"/>
      <c r="D6265" s="21"/>
      <c r="E6265" s="21"/>
      <c r="F6265" s="21"/>
      <c r="G6265" s="23"/>
      <c r="H6265" s="24" t="str">
        <f>IFERROR(VLOOKUP(B6265,material!A:D,3,0),"")</f>
        <v/>
      </c>
    </row>
    <row r="6266" ht="11.25" customHeight="1">
      <c r="A6266" s="21"/>
      <c r="B6266" s="22"/>
      <c r="C6266" s="21"/>
      <c r="D6266" s="21"/>
      <c r="E6266" s="21"/>
      <c r="F6266" s="21"/>
      <c r="G6266" s="23"/>
      <c r="H6266" s="24" t="str">
        <f>IFERROR(VLOOKUP(B6266,material!A:D,3,0),"")</f>
        <v/>
      </c>
    </row>
    <row r="6267" ht="11.25" customHeight="1">
      <c r="A6267" s="21"/>
      <c r="B6267" s="22"/>
      <c r="C6267" s="21"/>
      <c r="D6267" s="21"/>
      <c r="E6267" s="21"/>
      <c r="F6267" s="21"/>
      <c r="G6267" s="23"/>
      <c r="H6267" s="24" t="str">
        <f>IFERROR(VLOOKUP(B6267,material!A:D,3,0),"")</f>
        <v/>
      </c>
    </row>
    <row r="6268" ht="11.25" customHeight="1">
      <c r="A6268" s="21"/>
      <c r="B6268" s="22"/>
      <c r="C6268" s="21"/>
      <c r="D6268" s="21"/>
      <c r="E6268" s="21"/>
      <c r="F6268" s="21"/>
      <c r="G6268" s="23"/>
      <c r="H6268" s="24" t="str">
        <f>IFERROR(VLOOKUP(B6268,material!A:D,3,0),"")</f>
        <v/>
      </c>
    </row>
    <row r="6269" ht="11.25" customHeight="1">
      <c r="A6269" s="21"/>
      <c r="B6269" s="22"/>
      <c r="C6269" s="21"/>
      <c r="D6269" s="21"/>
      <c r="E6269" s="21"/>
      <c r="F6269" s="21"/>
      <c r="G6269" s="23"/>
      <c r="H6269" s="24" t="str">
        <f>IFERROR(VLOOKUP(B6269,material!A:D,3,0),"")</f>
        <v/>
      </c>
    </row>
    <row r="6270" ht="11.25" customHeight="1">
      <c r="A6270" s="21"/>
      <c r="B6270" s="22"/>
      <c r="C6270" s="21"/>
      <c r="D6270" s="21"/>
      <c r="E6270" s="21"/>
      <c r="F6270" s="21"/>
      <c r="G6270" s="23"/>
      <c r="H6270" s="24" t="str">
        <f>IFERROR(VLOOKUP(B6270,material!A:D,3,0),"")</f>
        <v/>
      </c>
    </row>
    <row r="6271" ht="11.25" customHeight="1">
      <c r="A6271" s="21"/>
      <c r="B6271" s="22"/>
      <c r="C6271" s="21"/>
      <c r="D6271" s="21"/>
      <c r="E6271" s="21"/>
      <c r="F6271" s="21"/>
      <c r="G6271" s="23"/>
      <c r="H6271" s="24" t="str">
        <f>IFERROR(VLOOKUP(B6271,material!A:D,3,0),"")</f>
        <v/>
      </c>
    </row>
    <row r="6272" ht="11.25" customHeight="1">
      <c r="A6272" s="21"/>
      <c r="B6272" s="22"/>
      <c r="C6272" s="21"/>
      <c r="D6272" s="21"/>
      <c r="E6272" s="21"/>
      <c r="F6272" s="21"/>
      <c r="G6272" s="23"/>
      <c r="H6272" s="24" t="str">
        <f>IFERROR(VLOOKUP(B6272,material!A:D,3,0),"")</f>
        <v/>
      </c>
    </row>
    <row r="6273" ht="11.25" customHeight="1">
      <c r="A6273" s="21"/>
      <c r="B6273" s="22"/>
      <c r="C6273" s="21"/>
      <c r="D6273" s="21"/>
      <c r="E6273" s="21"/>
      <c r="F6273" s="21"/>
      <c r="G6273" s="23"/>
      <c r="H6273" s="24" t="str">
        <f>IFERROR(VLOOKUP(B6273,material!A:D,3,0),"")</f>
        <v/>
      </c>
    </row>
    <row r="6274" ht="11.25" customHeight="1">
      <c r="A6274" s="21"/>
      <c r="B6274" s="22"/>
      <c r="C6274" s="21"/>
      <c r="D6274" s="21"/>
      <c r="E6274" s="21"/>
      <c r="F6274" s="21"/>
      <c r="G6274" s="23"/>
      <c r="H6274" s="24" t="str">
        <f>IFERROR(VLOOKUP(B6274,material!A:D,3,0),"")</f>
        <v/>
      </c>
    </row>
    <row r="6275" ht="11.25" customHeight="1">
      <c r="A6275" s="21"/>
      <c r="B6275" s="22"/>
      <c r="C6275" s="21"/>
      <c r="D6275" s="21"/>
      <c r="E6275" s="21"/>
      <c r="F6275" s="21"/>
      <c r="G6275" s="23"/>
      <c r="H6275" s="24" t="str">
        <f>IFERROR(VLOOKUP(B6275,material!A:D,3,0),"")</f>
        <v/>
      </c>
    </row>
    <row r="6276" ht="11.25" customHeight="1">
      <c r="A6276" s="21"/>
      <c r="B6276" s="22"/>
      <c r="C6276" s="21"/>
      <c r="D6276" s="21"/>
      <c r="E6276" s="21"/>
      <c r="F6276" s="21"/>
      <c r="G6276" s="23"/>
      <c r="H6276" s="24" t="str">
        <f>IFERROR(VLOOKUP(B6276,material!A:D,3,0),"")</f>
        <v/>
      </c>
    </row>
    <row r="6277" ht="11.25" customHeight="1">
      <c r="A6277" s="21"/>
      <c r="B6277" s="22"/>
      <c r="C6277" s="21"/>
      <c r="D6277" s="21"/>
      <c r="E6277" s="21"/>
      <c r="F6277" s="21"/>
      <c r="G6277" s="23"/>
      <c r="H6277" s="24" t="str">
        <f>IFERROR(VLOOKUP(B6277,material!A:D,3,0),"")</f>
        <v/>
      </c>
    </row>
    <row r="6278" ht="11.25" customHeight="1">
      <c r="A6278" s="21"/>
      <c r="B6278" s="22"/>
      <c r="C6278" s="21"/>
      <c r="D6278" s="21"/>
      <c r="E6278" s="21"/>
      <c r="F6278" s="21"/>
      <c r="G6278" s="23"/>
      <c r="H6278" s="24" t="str">
        <f>IFERROR(VLOOKUP(B6278,material!A:D,3,0),"")</f>
        <v/>
      </c>
    </row>
    <row r="6279" ht="11.25" customHeight="1">
      <c r="A6279" s="21"/>
      <c r="B6279" s="22"/>
      <c r="C6279" s="21"/>
      <c r="D6279" s="21"/>
      <c r="E6279" s="21"/>
      <c r="F6279" s="21"/>
      <c r="G6279" s="23"/>
      <c r="H6279" s="24" t="str">
        <f>IFERROR(VLOOKUP(B6279,material!A:D,3,0),"")</f>
        <v/>
      </c>
    </row>
    <row r="6280" ht="11.25" customHeight="1">
      <c r="A6280" s="21"/>
      <c r="B6280" s="22"/>
      <c r="C6280" s="21"/>
      <c r="D6280" s="21"/>
      <c r="E6280" s="21"/>
      <c r="F6280" s="21"/>
      <c r="G6280" s="23"/>
      <c r="H6280" s="24" t="str">
        <f>IFERROR(VLOOKUP(B6280,material!A:D,3,0),"")</f>
        <v/>
      </c>
    </row>
    <row r="6281" ht="11.25" customHeight="1">
      <c r="A6281" s="21"/>
      <c r="B6281" s="22"/>
      <c r="C6281" s="21"/>
      <c r="D6281" s="21"/>
      <c r="E6281" s="21"/>
      <c r="F6281" s="21"/>
      <c r="G6281" s="23"/>
      <c r="H6281" s="24" t="str">
        <f>IFERROR(VLOOKUP(B6281,material!A:D,3,0),"")</f>
        <v/>
      </c>
    </row>
    <row r="6282" ht="11.25" customHeight="1">
      <c r="A6282" s="21"/>
      <c r="B6282" s="22"/>
      <c r="C6282" s="21"/>
      <c r="D6282" s="21"/>
      <c r="E6282" s="21"/>
      <c r="F6282" s="21"/>
      <c r="G6282" s="23"/>
      <c r="H6282" s="24" t="str">
        <f>IFERROR(VLOOKUP(B6282,material!A:D,3,0),"")</f>
        <v/>
      </c>
    </row>
    <row r="6283" ht="11.25" customHeight="1">
      <c r="A6283" s="21"/>
      <c r="B6283" s="22"/>
      <c r="C6283" s="21"/>
      <c r="D6283" s="21"/>
      <c r="E6283" s="21"/>
      <c r="F6283" s="21"/>
      <c r="G6283" s="23"/>
      <c r="H6283" s="24" t="str">
        <f>IFERROR(VLOOKUP(B6283,material!A:D,3,0),"")</f>
        <v/>
      </c>
    </row>
    <row r="6284" ht="11.25" customHeight="1">
      <c r="A6284" s="21"/>
      <c r="B6284" s="22"/>
      <c r="C6284" s="21"/>
      <c r="D6284" s="21"/>
      <c r="E6284" s="21"/>
      <c r="F6284" s="21"/>
      <c r="G6284" s="23"/>
      <c r="H6284" s="24" t="str">
        <f>IFERROR(VLOOKUP(B6284,material!A:D,3,0),"")</f>
        <v/>
      </c>
    </row>
    <row r="6285" ht="11.25" customHeight="1">
      <c r="A6285" s="21"/>
      <c r="B6285" s="22"/>
      <c r="C6285" s="21"/>
      <c r="D6285" s="21"/>
      <c r="E6285" s="21"/>
      <c r="F6285" s="21"/>
      <c r="G6285" s="23"/>
      <c r="H6285" s="24" t="str">
        <f>IFERROR(VLOOKUP(B6285,material!A:D,3,0),"")</f>
        <v/>
      </c>
    </row>
    <row r="6286" ht="11.25" customHeight="1">
      <c r="A6286" s="21"/>
      <c r="B6286" s="22"/>
      <c r="C6286" s="21"/>
      <c r="D6286" s="21"/>
      <c r="E6286" s="21"/>
      <c r="F6286" s="21"/>
      <c r="G6286" s="23"/>
      <c r="H6286" s="24" t="str">
        <f>IFERROR(VLOOKUP(B6286,material!A:D,3,0),"")</f>
        <v/>
      </c>
    </row>
    <row r="6287" ht="11.25" customHeight="1">
      <c r="A6287" s="21"/>
      <c r="B6287" s="22"/>
      <c r="C6287" s="21"/>
      <c r="D6287" s="21"/>
      <c r="E6287" s="21"/>
      <c r="F6287" s="21"/>
      <c r="G6287" s="23"/>
      <c r="H6287" s="24" t="str">
        <f>IFERROR(VLOOKUP(B6287,material!A:D,3,0),"")</f>
        <v/>
      </c>
    </row>
    <row r="6288" ht="11.25" customHeight="1">
      <c r="A6288" s="21"/>
      <c r="B6288" s="22"/>
      <c r="C6288" s="21"/>
      <c r="D6288" s="21"/>
      <c r="E6288" s="21"/>
      <c r="F6288" s="21"/>
      <c r="G6288" s="23"/>
      <c r="H6288" s="24" t="str">
        <f>IFERROR(VLOOKUP(B6288,material!A:D,3,0),"")</f>
        <v/>
      </c>
    </row>
    <row r="6289" ht="11.25" customHeight="1">
      <c r="A6289" s="21"/>
      <c r="B6289" s="22"/>
      <c r="C6289" s="21"/>
      <c r="D6289" s="21"/>
      <c r="E6289" s="21"/>
      <c r="F6289" s="21"/>
      <c r="G6289" s="23"/>
      <c r="H6289" s="24" t="str">
        <f>IFERROR(VLOOKUP(B6289,material!A:D,3,0),"")</f>
        <v/>
      </c>
    </row>
    <row r="6290" ht="11.25" customHeight="1">
      <c r="A6290" s="21"/>
      <c r="B6290" s="22"/>
      <c r="C6290" s="21"/>
      <c r="D6290" s="21"/>
      <c r="E6290" s="21"/>
      <c r="F6290" s="21"/>
      <c r="G6290" s="23"/>
      <c r="H6290" s="24" t="str">
        <f>IFERROR(VLOOKUP(B6290,material!A:D,3,0),"")</f>
        <v/>
      </c>
    </row>
    <row r="6291" ht="11.25" customHeight="1">
      <c r="A6291" s="21"/>
      <c r="B6291" s="22"/>
      <c r="C6291" s="21"/>
      <c r="D6291" s="21"/>
      <c r="E6291" s="21"/>
      <c r="F6291" s="21"/>
      <c r="G6291" s="23"/>
      <c r="H6291" s="24" t="str">
        <f>IFERROR(VLOOKUP(B6291,material!A:D,3,0),"")</f>
        <v/>
      </c>
    </row>
    <row r="6292" ht="11.25" customHeight="1">
      <c r="A6292" s="21"/>
      <c r="B6292" s="22"/>
      <c r="C6292" s="21"/>
      <c r="D6292" s="21"/>
      <c r="E6292" s="21"/>
      <c r="F6292" s="21"/>
      <c r="G6292" s="23"/>
      <c r="H6292" s="24" t="str">
        <f>IFERROR(VLOOKUP(B6292,material!A:D,3,0),"")</f>
        <v/>
      </c>
    </row>
    <row r="6293" ht="11.25" customHeight="1">
      <c r="A6293" s="21"/>
      <c r="B6293" s="22"/>
      <c r="C6293" s="21"/>
      <c r="D6293" s="21"/>
      <c r="E6293" s="21"/>
      <c r="F6293" s="21"/>
      <c r="G6293" s="23"/>
      <c r="H6293" s="24" t="str">
        <f>IFERROR(VLOOKUP(B6293,material!A:D,3,0),"")</f>
        <v/>
      </c>
    </row>
    <row r="6294" ht="11.25" customHeight="1">
      <c r="A6294" s="21"/>
      <c r="B6294" s="22"/>
      <c r="C6294" s="21"/>
      <c r="D6294" s="21"/>
      <c r="E6294" s="21"/>
      <c r="F6294" s="21"/>
      <c r="G6294" s="23"/>
      <c r="H6294" s="24" t="str">
        <f>IFERROR(VLOOKUP(B6294,material!A:D,3,0),"")</f>
        <v/>
      </c>
    </row>
    <row r="6295" ht="11.25" customHeight="1">
      <c r="A6295" s="21"/>
      <c r="B6295" s="22"/>
      <c r="C6295" s="21"/>
      <c r="D6295" s="21"/>
      <c r="E6295" s="21"/>
      <c r="F6295" s="21"/>
      <c r="G6295" s="23"/>
      <c r="H6295" s="24" t="str">
        <f>IFERROR(VLOOKUP(B6295,material!A:D,3,0),"")</f>
        <v/>
      </c>
    </row>
    <row r="6296" ht="11.25" customHeight="1">
      <c r="A6296" s="21"/>
      <c r="B6296" s="22"/>
      <c r="C6296" s="21"/>
      <c r="D6296" s="21"/>
      <c r="E6296" s="21"/>
      <c r="F6296" s="21"/>
      <c r="G6296" s="23"/>
      <c r="H6296" s="24" t="str">
        <f>IFERROR(VLOOKUP(B6296,material!A:D,3,0),"")</f>
        <v/>
      </c>
    </row>
    <row r="6297" ht="11.25" customHeight="1">
      <c r="A6297" s="21"/>
      <c r="B6297" s="22"/>
      <c r="C6297" s="21"/>
      <c r="D6297" s="21"/>
      <c r="E6297" s="21"/>
      <c r="F6297" s="21"/>
      <c r="G6297" s="23"/>
      <c r="H6297" s="24" t="str">
        <f>IFERROR(VLOOKUP(B6297,material!A:D,3,0),"")</f>
        <v/>
      </c>
    </row>
    <row r="6298" ht="11.25" customHeight="1">
      <c r="A6298" s="21"/>
      <c r="B6298" s="22"/>
      <c r="C6298" s="21"/>
      <c r="D6298" s="21"/>
      <c r="E6298" s="21"/>
      <c r="F6298" s="21"/>
      <c r="G6298" s="23"/>
      <c r="H6298" s="24" t="str">
        <f>IFERROR(VLOOKUP(B6298,material!A:D,3,0),"")</f>
        <v/>
      </c>
    </row>
    <row r="6299" ht="11.25" customHeight="1">
      <c r="A6299" s="21"/>
      <c r="B6299" s="22"/>
      <c r="C6299" s="21"/>
      <c r="D6299" s="21"/>
      <c r="E6299" s="21"/>
      <c r="F6299" s="21"/>
      <c r="G6299" s="23"/>
      <c r="H6299" s="24" t="str">
        <f>IFERROR(VLOOKUP(B6299,material!A:D,3,0),"")</f>
        <v/>
      </c>
    </row>
    <row r="6300" ht="11.25" customHeight="1">
      <c r="A6300" s="21"/>
      <c r="B6300" s="22"/>
      <c r="C6300" s="21"/>
      <c r="D6300" s="21"/>
      <c r="E6300" s="21"/>
      <c r="F6300" s="21"/>
      <c r="G6300" s="23"/>
      <c r="H6300" s="24" t="str">
        <f>IFERROR(VLOOKUP(B6300,material!A:D,3,0),"")</f>
        <v/>
      </c>
    </row>
    <row r="6301" ht="11.25" customHeight="1">
      <c r="A6301" s="21"/>
      <c r="B6301" s="22"/>
      <c r="C6301" s="21"/>
      <c r="D6301" s="21"/>
      <c r="E6301" s="21"/>
      <c r="F6301" s="21"/>
      <c r="G6301" s="23"/>
      <c r="H6301" s="24" t="str">
        <f>IFERROR(VLOOKUP(B6301,material!A:D,3,0),"")</f>
        <v/>
      </c>
    </row>
    <row r="6302" ht="11.25" customHeight="1">
      <c r="A6302" s="21"/>
      <c r="B6302" s="22"/>
      <c r="C6302" s="21"/>
      <c r="D6302" s="21"/>
      <c r="E6302" s="21"/>
      <c r="F6302" s="21"/>
      <c r="G6302" s="23"/>
      <c r="H6302" s="24" t="str">
        <f>IFERROR(VLOOKUP(B6302,material!A:D,3,0),"")</f>
        <v/>
      </c>
    </row>
    <row r="6303" ht="11.25" customHeight="1">
      <c r="A6303" s="21"/>
      <c r="B6303" s="22"/>
      <c r="C6303" s="21"/>
      <c r="D6303" s="21"/>
      <c r="E6303" s="21"/>
      <c r="F6303" s="21"/>
      <c r="G6303" s="23"/>
      <c r="H6303" s="24" t="str">
        <f>IFERROR(VLOOKUP(B6303,material!A:D,3,0),"")</f>
        <v/>
      </c>
    </row>
    <row r="6304" ht="11.25" customHeight="1">
      <c r="A6304" s="21"/>
      <c r="B6304" s="22"/>
      <c r="C6304" s="21"/>
      <c r="D6304" s="21"/>
      <c r="E6304" s="21"/>
      <c r="F6304" s="21"/>
      <c r="G6304" s="23"/>
      <c r="H6304" s="24" t="str">
        <f>IFERROR(VLOOKUP(B6304,material!A:D,3,0),"")</f>
        <v/>
      </c>
    </row>
    <row r="6305" ht="11.25" customHeight="1">
      <c r="A6305" s="21"/>
      <c r="B6305" s="22"/>
      <c r="C6305" s="21"/>
      <c r="D6305" s="21"/>
      <c r="E6305" s="21"/>
      <c r="F6305" s="21"/>
      <c r="G6305" s="23"/>
      <c r="H6305" s="24" t="str">
        <f>IFERROR(VLOOKUP(B6305,material!A:D,3,0),"")</f>
        <v/>
      </c>
    </row>
    <row r="6306" ht="11.25" customHeight="1">
      <c r="A6306" s="21"/>
      <c r="B6306" s="22"/>
      <c r="C6306" s="21"/>
      <c r="D6306" s="21"/>
      <c r="E6306" s="21"/>
      <c r="F6306" s="21"/>
      <c r="G6306" s="23"/>
      <c r="H6306" s="24" t="str">
        <f>IFERROR(VLOOKUP(B6306,material!A:D,3,0),"")</f>
        <v/>
      </c>
    </row>
    <row r="6307" ht="11.25" customHeight="1">
      <c r="A6307" s="21"/>
      <c r="B6307" s="22"/>
      <c r="C6307" s="21"/>
      <c r="D6307" s="21"/>
      <c r="E6307" s="21"/>
      <c r="F6307" s="21"/>
      <c r="G6307" s="23"/>
      <c r="H6307" s="24" t="str">
        <f>IFERROR(VLOOKUP(B6307,material!A:D,3,0),"")</f>
        <v/>
      </c>
    </row>
    <row r="6308" ht="11.25" customHeight="1">
      <c r="A6308" s="21"/>
      <c r="B6308" s="22"/>
      <c r="C6308" s="21"/>
      <c r="D6308" s="21"/>
      <c r="E6308" s="21"/>
      <c r="F6308" s="21"/>
      <c r="G6308" s="23"/>
      <c r="H6308" s="24" t="str">
        <f>IFERROR(VLOOKUP(B6308,material!A:D,3,0),"")</f>
        <v/>
      </c>
    </row>
    <row r="6309" ht="11.25" customHeight="1">
      <c r="A6309" s="21"/>
      <c r="B6309" s="22"/>
      <c r="C6309" s="21"/>
      <c r="D6309" s="21"/>
      <c r="E6309" s="21"/>
      <c r="F6309" s="21"/>
      <c r="G6309" s="23"/>
      <c r="H6309" s="24" t="str">
        <f>IFERROR(VLOOKUP(B6309,material!A:D,3,0),"")</f>
        <v/>
      </c>
    </row>
    <row r="6310" ht="11.25" customHeight="1">
      <c r="A6310" s="21"/>
      <c r="B6310" s="22"/>
      <c r="C6310" s="21"/>
      <c r="D6310" s="21"/>
      <c r="E6310" s="21"/>
      <c r="F6310" s="21"/>
      <c r="G6310" s="23"/>
      <c r="H6310" s="24" t="str">
        <f>IFERROR(VLOOKUP(B6310,material!A:D,3,0),"")</f>
        <v/>
      </c>
    </row>
    <row r="6311" ht="11.25" customHeight="1">
      <c r="A6311" s="21"/>
      <c r="B6311" s="22"/>
      <c r="C6311" s="21"/>
      <c r="D6311" s="21"/>
      <c r="E6311" s="21"/>
      <c r="F6311" s="21"/>
      <c r="G6311" s="23"/>
      <c r="H6311" s="24" t="str">
        <f>IFERROR(VLOOKUP(B6311,material!A:D,3,0),"")</f>
        <v/>
      </c>
    </row>
    <row r="6312" ht="11.25" customHeight="1">
      <c r="A6312" s="21"/>
      <c r="B6312" s="22"/>
      <c r="C6312" s="21"/>
      <c r="D6312" s="21"/>
      <c r="E6312" s="21"/>
      <c r="F6312" s="21"/>
      <c r="G6312" s="23"/>
      <c r="H6312" s="24" t="str">
        <f>IFERROR(VLOOKUP(B6312,material!A:D,3,0),"")</f>
        <v/>
      </c>
    </row>
    <row r="6313" ht="11.25" customHeight="1">
      <c r="A6313" s="21"/>
      <c r="B6313" s="22"/>
      <c r="C6313" s="21"/>
      <c r="D6313" s="21"/>
      <c r="E6313" s="21"/>
      <c r="F6313" s="21"/>
      <c r="G6313" s="23"/>
      <c r="H6313" s="24" t="str">
        <f>IFERROR(VLOOKUP(B6313,material!A:D,3,0),"")</f>
        <v/>
      </c>
    </row>
    <row r="6314" ht="11.25" customHeight="1">
      <c r="A6314" s="21"/>
      <c r="B6314" s="22"/>
      <c r="C6314" s="21"/>
      <c r="D6314" s="21"/>
      <c r="E6314" s="21"/>
      <c r="F6314" s="21"/>
      <c r="G6314" s="23"/>
      <c r="H6314" s="24" t="str">
        <f>IFERROR(VLOOKUP(B6314,material!A:D,3,0),"")</f>
        <v/>
      </c>
    </row>
    <row r="6315" ht="11.25" customHeight="1">
      <c r="A6315" s="21"/>
      <c r="B6315" s="22"/>
      <c r="C6315" s="21"/>
      <c r="D6315" s="21"/>
      <c r="E6315" s="21"/>
      <c r="F6315" s="21"/>
      <c r="G6315" s="23"/>
      <c r="H6315" s="24" t="str">
        <f>IFERROR(VLOOKUP(B6315,material!A:D,3,0),"")</f>
        <v/>
      </c>
    </row>
    <row r="6316" ht="11.25" customHeight="1">
      <c r="A6316" s="21"/>
      <c r="B6316" s="22"/>
      <c r="C6316" s="21"/>
      <c r="D6316" s="21"/>
      <c r="E6316" s="21"/>
      <c r="F6316" s="21"/>
      <c r="G6316" s="23"/>
      <c r="H6316" s="24" t="str">
        <f>IFERROR(VLOOKUP(B6316,material!A:D,3,0),"")</f>
        <v/>
      </c>
    </row>
    <row r="6317" ht="11.25" customHeight="1">
      <c r="A6317" s="21"/>
      <c r="B6317" s="22"/>
      <c r="C6317" s="21"/>
      <c r="D6317" s="21"/>
      <c r="E6317" s="21"/>
      <c r="F6317" s="21"/>
      <c r="G6317" s="23"/>
      <c r="H6317" s="24" t="str">
        <f>IFERROR(VLOOKUP(B6317,material!A:D,3,0),"")</f>
        <v/>
      </c>
    </row>
    <row r="6318" ht="11.25" customHeight="1">
      <c r="A6318" s="21"/>
      <c r="B6318" s="22"/>
      <c r="C6318" s="21"/>
      <c r="D6318" s="21"/>
      <c r="E6318" s="21"/>
      <c r="F6318" s="21"/>
      <c r="G6318" s="23"/>
      <c r="H6318" s="24" t="str">
        <f>IFERROR(VLOOKUP(B6318,material!A:D,3,0),"")</f>
        <v/>
      </c>
    </row>
    <row r="6319" ht="11.25" customHeight="1">
      <c r="A6319" s="21"/>
      <c r="B6319" s="22"/>
      <c r="C6319" s="21"/>
      <c r="D6319" s="21"/>
      <c r="E6319" s="21"/>
      <c r="F6319" s="21"/>
      <c r="G6319" s="23"/>
      <c r="H6319" s="24" t="str">
        <f>IFERROR(VLOOKUP(B6319,material!A:D,3,0),"")</f>
        <v/>
      </c>
    </row>
    <row r="6320" ht="11.25" customHeight="1">
      <c r="A6320" s="21"/>
      <c r="B6320" s="22"/>
      <c r="C6320" s="21"/>
      <c r="D6320" s="21"/>
      <c r="E6320" s="21"/>
      <c r="F6320" s="21"/>
      <c r="G6320" s="23"/>
      <c r="H6320" s="24" t="str">
        <f>IFERROR(VLOOKUP(B6320,material!A:D,3,0),"")</f>
        <v/>
      </c>
    </row>
    <row r="6321" ht="11.25" customHeight="1">
      <c r="A6321" s="21"/>
      <c r="B6321" s="22"/>
      <c r="C6321" s="21"/>
      <c r="D6321" s="21"/>
      <c r="E6321" s="21"/>
      <c r="F6321" s="21"/>
      <c r="G6321" s="23"/>
      <c r="H6321" s="24" t="str">
        <f>IFERROR(VLOOKUP(B6321,material!A:D,3,0),"")</f>
        <v/>
      </c>
    </row>
    <row r="6322" ht="11.25" customHeight="1">
      <c r="A6322" s="21"/>
      <c r="B6322" s="22"/>
      <c r="C6322" s="21"/>
      <c r="D6322" s="21"/>
      <c r="E6322" s="21"/>
      <c r="F6322" s="21"/>
      <c r="G6322" s="23"/>
      <c r="H6322" s="24" t="str">
        <f>IFERROR(VLOOKUP(B6322,material!A:D,3,0),"")</f>
        <v/>
      </c>
    </row>
    <row r="6323" ht="11.25" customHeight="1">
      <c r="A6323" s="21"/>
      <c r="B6323" s="22"/>
      <c r="C6323" s="21"/>
      <c r="D6323" s="21"/>
      <c r="E6323" s="21"/>
      <c r="F6323" s="21"/>
      <c r="G6323" s="23"/>
      <c r="H6323" s="24" t="str">
        <f>IFERROR(VLOOKUP(B6323,material!A:D,3,0),"")</f>
        <v/>
      </c>
    </row>
    <row r="6324" ht="11.25" customHeight="1">
      <c r="A6324" s="21"/>
      <c r="B6324" s="22"/>
      <c r="C6324" s="21"/>
      <c r="D6324" s="21"/>
      <c r="E6324" s="21"/>
      <c r="F6324" s="21"/>
      <c r="G6324" s="23"/>
      <c r="H6324" s="24" t="str">
        <f>IFERROR(VLOOKUP(B6324,material!A:D,3,0),"")</f>
        <v/>
      </c>
    </row>
    <row r="6325" ht="11.25" customHeight="1">
      <c r="A6325" s="21"/>
      <c r="B6325" s="22"/>
      <c r="C6325" s="21"/>
      <c r="D6325" s="21"/>
      <c r="E6325" s="21"/>
      <c r="F6325" s="21"/>
      <c r="G6325" s="23"/>
      <c r="H6325" s="24" t="str">
        <f>IFERROR(VLOOKUP(B6325,material!A:D,3,0),"")</f>
        <v/>
      </c>
    </row>
    <row r="6326" ht="11.25" customHeight="1">
      <c r="A6326" s="21"/>
      <c r="B6326" s="22"/>
      <c r="C6326" s="21"/>
      <c r="D6326" s="21"/>
      <c r="E6326" s="21"/>
      <c r="F6326" s="21"/>
      <c r="G6326" s="23"/>
      <c r="H6326" s="24" t="str">
        <f>IFERROR(VLOOKUP(B6326,material!A:D,3,0),"")</f>
        <v/>
      </c>
    </row>
    <row r="6327" ht="11.25" customHeight="1">
      <c r="A6327" s="21"/>
      <c r="B6327" s="22"/>
      <c r="C6327" s="21"/>
      <c r="D6327" s="21"/>
      <c r="E6327" s="21"/>
      <c r="F6327" s="21"/>
      <c r="G6327" s="23"/>
      <c r="H6327" s="24" t="str">
        <f>IFERROR(VLOOKUP(B6327,material!A:D,3,0),"")</f>
        <v/>
      </c>
    </row>
    <row r="6328" ht="11.25" customHeight="1">
      <c r="A6328" s="21"/>
      <c r="B6328" s="22"/>
      <c r="C6328" s="21"/>
      <c r="D6328" s="21"/>
      <c r="E6328" s="21"/>
      <c r="F6328" s="21"/>
      <c r="G6328" s="23"/>
      <c r="H6328" s="24" t="str">
        <f>IFERROR(VLOOKUP(B6328,material!A:D,3,0),"")</f>
        <v/>
      </c>
    </row>
    <row r="6329" ht="11.25" customHeight="1">
      <c r="A6329" s="21"/>
      <c r="B6329" s="22"/>
      <c r="C6329" s="21"/>
      <c r="D6329" s="21"/>
      <c r="E6329" s="21"/>
      <c r="F6329" s="21"/>
      <c r="G6329" s="23"/>
      <c r="H6329" s="24" t="str">
        <f>IFERROR(VLOOKUP(B6329,material!A:D,3,0),"")</f>
        <v/>
      </c>
    </row>
    <row r="6330" ht="11.25" customHeight="1">
      <c r="A6330" s="21"/>
      <c r="B6330" s="22"/>
      <c r="C6330" s="21"/>
      <c r="D6330" s="21"/>
      <c r="E6330" s="21"/>
      <c r="F6330" s="21"/>
      <c r="G6330" s="23"/>
      <c r="H6330" s="24" t="str">
        <f>IFERROR(VLOOKUP(B6330,material!A:D,3,0),"")</f>
        <v/>
      </c>
    </row>
    <row r="6331" ht="11.25" customHeight="1">
      <c r="A6331" s="21"/>
      <c r="B6331" s="22"/>
      <c r="C6331" s="21"/>
      <c r="D6331" s="21"/>
      <c r="E6331" s="21"/>
      <c r="F6331" s="21"/>
      <c r="G6331" s="23"/>
      <c r="H6331" s="24" t="str">
        <f>IFERROR(VLOOKUP(B6331,material!A:D,3,0),"")</f>
        <v/>
      </c>
    </row>
    <row r="6332" ht="11.25" customHeight="1">
      <c r="A6332" s="21"/>
      <c r="B6332" s="22"/>
      <c r="C6332" s="21"/>
      <c r="D6332" s="21"/>
      <c r="E6332" s="21"/>
      <c r="F6332" s="21"/>
      <c r="G6332" s="23"/>
      <c r="H6332" s="24" t="str">
        <f>IFERROR(VLOOKUP(B6332,material!A:D,3,0),"")</f>
        <v/>
      </c>
    </row>
    <row r="6333" ht="11.25" customHeight="1">
      <c r="A6333" s="21"/>
      <c r="B6333" s="22"/>
      <c r="C6333" s="21"/>
      <c r="D6333" s="21"/>
      <c r="E6333" s="21"/>
      <c r="F6333" s="21"/>
      <c r="G6333" s="23"/>
      <c r="H6333" s="24" t="str">
        <f>IFERROR(VLOOKUP(B6333,material!A:D,3,0),"")</f>
        <v/>
      </c>
    </row>
    <row r="6334" ht="11.25" customHeight="1">
      <c r="A6334" s="21"/>
      <c r="B6334" s="22"/>
      <c r="C6334" s="21"/>
      <c r="D6334" s="21"/>
      <c r="E6334" s="21"/>
      <c r="F6334" s="21"/>
      <c r="G6334" s="23"/>
      <c r="H6334" s="24" t="str">
        <f>IFERROR(VLOOKUP(B6334,material!A:D,3,0),"")</f>
        <v/>
      </c>
    </row>
    <row r="6335" ht="11.25" customHeight="1">
      <c r="A6335" s="21"/>
      <c r="B6335" s="22"/>
      <c r="C6335" s="21"/>
      <c r="D6335" s="21"/>
      <c r="E6335" s="21"/>
      <c r="F6335" s="21"/>
      <c r="G6335" s="23"/>
      <c r="H6335" s="24" t="str">
        <f>IFERROR(VLOOKUP(B6335,material!A:D,3,0),"")</f>
        <v/>
      </c>
    </row>
    <row r="6336" ht="11.25" customHeight="1">
      <c r="A6336" s="21"/>
      <c r="B6336" s="22"/>
      <c r="C6336" s="21"/>
      <c r="D6336" s="21"/>
      <c r="E6336" s="21"/>
      <c r="F6336" s="21"/>
      <c r="G6336" s="23"/>
      <c r="H6336" s="24" t="str">
        <f>IFERROR(VLOOKUP(B6336,material!A:D,3,0),"")</f>
        <v/>
      </c>
    </row>
    <row r="6337" ht="11.25" customHeight="1">
      <c r="A6337" s="21"/>
      <c r="B6337" s="22"/>
      <c r="C6337" s="21"/>
      <c r="D6337" s="21"/>
      <c r="E6337" s="21"/>
      <c r="F6337" s="21"/>
      <c r="G6337" s="23"/>
      <c r="H6337" s="24" t="str">
        <f>IFERROR(VLOOKUP(B6337,material!A:D,3,0),"")</f>
        <v/>
      </c>
    </row>
    <row r="6338" ht="11.25" customHeight="1">
      <c r="A6338" s="21"/>
      <c r="B6338" s="22"/>
      <c r="C6338" s="21"/>
      <c r="D6338" s="21"/>
      <c r="E6338" s="21"/>
      <c r="F6338" s="21"/>
      <c r="G6338" s="23"/>
      <c r="H6338" s="24" t="str">
        <f>IFERROR(VLOOKUP(B6338,material!A:D,3,0),"")</f>
        <v/>
      </c>
    </row>
    <row r="6339" ht="11.25" customHeight="1">
      <c r="A6339" s="21"/>
      <c r="B6339" s="22"/>
      <c r="C6339" s="21"/>
      <c r="D6339" s="21"/>
      <c r="E6339" s="21"/>
      <c r="F6339" s="21"/>
      <c r="G6339" s="23"/>
      <c r="H6339" s="24" t="str">
        <f>IFERROR(VLOOKUP(B6339,material!A:D,3,0),"")</f>
        <v/>
      </c>
    </row>
    <row r="6340" ht="11.25" customHeight="1">
      <c r="A6340" s="21"/>
      <c r="B6340" s="22"/>
      <c r="C6340" s="21"/>
      <c r="D6340" s="21"/>
      <c r="E6340" s="21"/>
      <c r="F6340" s="21"/>
      <c r="G6340" s="23"/>
      <c r="H6340" s="24" t="str">
        <f>IFERROR(VLOOKUP(B6340,material!A:D,3,0),"")</f>
        <v/>
      </c>
    </row>
    <row r="6341" ht="11.25" customHeight="1">
      <c r="A6341" s="21"/>
      <c r="B6341" s="22"/>
      <c r="C6341" s="21"/>
      <c r="D6341" s="21"/>
      <c r="E6341" s="21"/>
      <c r="F6341" s="21"/>
      <c r="G6341" s="23"/>
      <c r="H6341" s="24" t="str">
        <f>IFERROR(VLOOKUP(B6341,material!A:D,3,0),"")</f>
        <v/>
      </c>
    </row>
    <row r="6342" ht="11.25" customHeight="1">
      <c r="A6342" s="21"/>
      <c r="B6342" s="22"/>
      <c r="C6342" s="21"/>
      <c r="D6342" s="21"/>
      <c r="E6342" s="21"/>
      <c r="F6342" s="21"/>
      <c r="G6342" s="23"/>
      <c r="H6342" s="24" t="str">
        <f>IFERROR(VLOOKUP(B6342,material!A:D,3,0),"")</f>
        <v/>
      </c>
    </row>
    <row r="6343" ht="11.25" customHeight="1">
      <c r="A6343" s="21"/>
      <c r="B6343" s="22"/>
      <c r="C6343" s="21"/>
      <c r="D6343" s="21"/>
      <c r="E6343" s="21"/>
      <c r="F6343" s="21"/>
      <c r="G6343" s="23"/>
      <c r="H6343" s="24" t="str">
        <f>IFERROR(VLOOKUP(B6343,material!A:D,3,0),"")</f>
        <v/>
      </c>
    </row>
    <row r="6344" ht="11.25" customHeight="1">
      <c r="A6344" s="21"/>
      <c r="B6344" s="22"/>
      <c r="C6344" s="21"/>
      <c r="D6344" s="21"/>
      <c r="E6344" s="21"/>
      <c r="F6344" s="21"/>
      <c r="G6344" s="23"/>
      <c r="H6344" s="24" t="str">
        <f>IFERROR(VLOOKUP(B6344,material!A:D,3,0),"")</f>
        <v/>
      </c>
    </row>
    <row r="6345" ht="11.25" customHeight="1">
      <c r="A6345" s="21"/>
      <c r="B6345" s="22"/>
      <c r="C6345" s="21"/>
      <c r="D6345" s="21"/>
      <c r="E6345" s="21"/>
      <c r="F6345" s="21"/>
      <c r="G6345" s="23"/>
      <c r="H6345" s="24" t="str">
        <f>IFERROR(VLOOKUP(B6345,material!A:D,3,0),"")</f>
        <v/>
      </c>
    </row>
    <row r="6346" ht="11.25" customHeight="1">
      <c r="A6346" s="21"/>
      <c r="B6346" s="22"/>
      <c r="C6346" s="21"/>
      <c r="D6346" s="21"/>
      <c r="E6346" s="21"/>
      <c r="F6346" s="21"/>
      <c r="G6346" s="23"/>
      <c r="H6346" s="24" t="str">
        <f>IFERROR(VLOOKUP(B6346,material!A:D,3,0),"")</f>
        <v/>
      </c>
    </row>
    <row r="6347" ht="11.25" customHeight="1">
      <c r="A6347" s="21"/>
      <c r="B6347" s="22"/>
      <c r="C6347" s="21"/>
      <c r="D6347" s="21"/>
      <c r="E6347" s="21"/>
      <c r="F6347" s="21"/>
      <c r="G6347" s="23"/>
      <c r="H6347" s="24" t="str">
        <f>IFERROR(VLOOKUP(B6347,material!A:D,3,0),"")</f>
        <v/>
      </c>
    </row>
    <row r="6348" ht="11.25" customHeight="1">
      <c r="A6348" s="21"/>
      <c r="B6348" s="22"/>
      <c r="C6348" s="21"/>
      <c r="D6348" s="21"/>
      <c r="E6348" s="21"/>
      <c r="F6348" s="21"/>
      <c r="G6348" s="23"/>
      <c r="H6348" s="24" t="str">
        <f>IFERROR(VLOOKUP(B6348,material!A:D,3,0),"")</f>
        <v/>
      </c>
    </row>
    <row r="6349" ht="11.25" customHeight="1">
      <c r="A6349" s="21"/>
      <c r="B6349" s="22"/>
      <c r="C6349" s="21"/>
      <c r="D6349" s="21"/>
      <c r="E6349" s="21"/>
      <c r="F6349" s="21"/>
      <c r="G6349" s="23"/>
      <c r="H6349" s="24" t="str">
        <f>IFERROR(VLOOKUP(B6349,material!A:D,3,0),"")</f>
        <v/>
      </c>
    </row>
    <row r="6350" ht="11.25" customHeight="1">
      <c r="A6350" s="21"/>
      <c r="B6350" s="22"/>
      <c r="C6350" s="21"/>
      <c r="D6350" s="21"/>
      <c r="E6350" s="21"/>
      <c r="F6350" s="21"/>
      <c r="G6350" s="23"/>
      <c r="H6350" s="24" t="str">
        <f>IFERROR(VLOOKUP(B6350,material!A:D,3,0),"")</f>
        <v/>
      </c>
    </row>
    <row r="6351" ht="11.25" customHeight="1">
      <c r="A6351" s="21"/>
      <c r="B6351" s="22"/>
      <c r="C6351" s="21"/>
      <c r="D6351" s="21"/>
      <c r="E6351" s="21"/>
      <c r="F6351" s="21"/>
      <c r="G6351" s="23"/>
      <c r="H6351" s="24" t="str">
        <f>IFERROR(VLOOKUP(B6351,material!A:D,3,0),"")</f>
        <v/>
      </c>
    </row>
    <row r="6352" ht="11.25" customHeight="1">
      <c r="A6352" s="21"/>
      <c r="B6352" s="22"/>
      <c r="C6352" s="21"/>
      <c r="D6352" s="21"/>
      <c r="E6352" s="21"/>
      <c r="F6352" s="21"/>
      <c r="G6352" s="23"/>
      <c r="H6352" s="24" t="str">
        <f>IFERROR(VLOOKUP(B6352,material!A:D,3,0),"")</f>
        <v/>
      </c>
    </row>
    <row r="6353" ht="11.25" customHeight="1">
      <c r="A6353" s="21"/>
      <c r="B6353" s="22"/>
      <c r="C6353" s="21"/>
      <c r="D6353" s="21"/>
      <c r="E6353" s="21"/>
      <c r="F6353" s="21"/>
      <c r="G6353" s="23"/>
      <c r="H6353" s="24" t="str">
        <f>IFERROR(VLOOKUP(B6353,material!A:D,3,0),"")</f>
        <v/>
      </c>
    </row>
    <row r="6354" ht="11.25" customHeight="1">
      <c r="A6354" s="21"/>
      <c r="B6354" s="22"/>
      <c r="C6354" s="21"/>
      <c r="D6354" s="21"/>
      <c r="E6354" s="21"/>
      <c r="F6354" s="21"/>
      <c r="G6354" s="23"/>
      <c r="H6354" s="24" t="str">
        <f>IFERROR(VLOOKUP(B6354,material!A:D,3,0),"")</f>
        <v/>
      </c>
    </row>
    <row r="6355" ht="11.25" customHeight="1">
      <c r="A6355" s="21"/>
      <c r="B6355" s="22"/>
      <c r="C6355" s="21"/>
      <c r="D6355" s="21"/>
      <c r="E6355" s="21"/>
      <c r="F6355" s="21"/>
      <c r="G6355" s="23"/>
      <c r="H6355" s="24" t="str">
        <f>IFERROR(VLOOKUP(B6355,material!A:D,3,0),"")</f>
        <v/>
      </c>
    </row>
    <row r="6356" ht="11.25" customHeight="1">
      <c r="A6356" s="21"/>
      <c r="B6356" s="22"/>
      <c r="C6356" s="21"/>
      <c r="D6356" s="21"/>
      <c r="E6356" s="21"/>
      <c r="F6356" s="21"/>
      <c r="G6356" s="23"/>
      <c r="H6356" s="24" t="str">
        <f>IFERROR(VLOOKUP(B6356,material!A:D,3,0),"")</f>
        <v/>
      </c>
    </row>
    <row r="6357" ht="11.25" customHeight="1">
      <c r="A6357" s="21"/>
      <c r="B6357" s="22"/>
      <c r="C6357" s="21"/>
      <c r="D6357" s="21"/>
      <c r="E6357" s="21"/>
      <c r="F6357" s="21"/>
      <c r="G6357" s="23"/>
      <c r="H6357" s="24" t="str">
        <f>IFERROR(VLOOKUP(B6357,material!A:D,3,0),"")</f>
        <v/>
      </c>
    </row>
    <row r="6358" ht="11.25" customHeight="1">
      <c r="A6358" s="21"/>
      <c r="B6358" s="22"/>
      <c r="C6358" s="21"/>
      <c r="D6358" s="21"/>
      <c r="E6358" s="21"/>
      <c r="F6358" s="21"/>
      <c r="G6358" s="23"/>
      <c r="H6358" s="24" t="str">
        <f>IFERROR(VLOOKUP(B6358,material!A:D,3,0),"")</f>
        <v/>
      </c>
    </row>
    <row r="6359" ht="11.25" customHeight="1">
      <c r="A6359" s="21"/>
      <c r="B6359" s="22"/>
      <c r="C6359" s="21"/>
      <c r="D6359" s="21"/>
      <c r="E6359" s="21"/>
      <c r="F6359" s="21"/>
      <c r="G6359" s="23"/>
      <c r="H6359" s="24" t="str">
        <f>IFERROR(VLOOKUP(B6359,material!A:D,3,0),"")</f>
        <v/>
      </c>
    </row>
    <row r="6360" ht="11.25" customHeight="1">
      <c r="A6360" s="21"/>
      <c r="B6360" s="22"/>
      <c r="C6360" s="21"/>
      <c r="D6360" s="21"/>
      <c r="E6360" s="21"/>
      <c r="F6360" s="21"/>
      <c r="G6360" s="23"/>
      <c r="H6360" s="24" t="str">
        <f>IFERROR(VLOOKUP(B6360,material!A:D,3,0),"")</f>
        <v/>
      </c>
    </row>
    <row r="6361" ht="11.25" customHeight="1">
      <c r="A6361" s="21"/>
      <c r="B6361" s="22"/>
      <c r="C6361" s="21"/>
      <c r="D6361" s="21"/>
      <c r="E6361" s="21"/>
      <c r="F6361" s="21"/>
      <c r="G6361" s="23"/>
      <c r="H6361" s="24" t="str">
        <f>IFERROR(VLOOKUP(B6361,material!A:D,3,0),"")</f>
        <v/>
      </c>
    </row>
    <row r="6362" ht="11.25" customHeight="1">
      <c r="A6362" s="21"/>
      <c r="B6362" s="22"/>
      <c r="C6362" s="21"/>
      <c r="D6362" s="21"/>
      <c r="E6362" s="21"/>
      <c r="F6362" s="21"/>
      <c r="G6362" s="23"/>
      <c r="H6362" s="24" t="str">
        <f>IFERROR(VLOOKUP(B6362,material!A:D,3,0),"")</f>
        <v/>
      </c>
    </row>
    <row r="6363" ht="11.25" customHeight="1">
      <c r="A6363" s="21"/>
      <c r="B6363" s="22"/>
      <c r="C6363" s="21"/>
      <c r="D6363" s="21"/>
      <c r="E6363" s="21"/>
      <c r="F6363" s="21"/>
      <c r="G6363" s="23"/>
      <c r="H6363" s="24" t="str">
        <f>IFERROR(VLOOKUP(B6363,material!A:D,3,0),"")</f>
        <v/>
      </c>
    </row>
    <row r="6364" ht="11.25" customHeight="1">
      <c r="A6364" s="21"/>
      <c r="B6364" s="22"/>
      <c r="C6364" s="21"/>
      <c r="D6364" s="21"/>
      <c r="E6364" s="21"/>
      <c r="F6364" s="21"/>
      <c r="G6364" s="23"/>
      <c r="H6364" s="24" t="str">
        <f>IFERROR(VLOOKUP(B6364,material!A:D,3,0),"")</f>
        <v/>
      </c>
    </row>
    <row r="6365" ht="11.25" customHeight="1">
      <c r="A6365" s="21"/>
      <c r="B6365" s="22"/>
      <c r="C6365" s="21"/>
      <c r="D6365" s="21"/>
      <c r="E6365" s="21"/>
      <c r="F6365" s="21"/>
      <c r="G6365" s="23"/>
      <c r="H6365" s="24" t="str">
        <f>IFERROR(VLOOKUP(B6365,material!A:D,3,0),"")</f>
        <v/>
      </c>
    </row>
    <row r="6366" ht="11.25" customHeight="1">
      <c r="A6366" s="21"/>
      <c r="B6366" s="22"/>
      <c r="C6366" s="21"/>
      <c r="D6366" s="21"/>
      <c r="E6366" s="21"/>
      <c r="F6366" s="21"/>
      <c r="G6366" s="23"/>
      <c r="H6366" s="24" t="str">
        <f>IFERROR(VLOOKUP(B6366,material!A:D,3,0),"")</f>
        <v/>
      </c>
    </row>
    <row r="6367" ht="11.25" customHeight="1">
      <c r="A6367" s="21"/>
      <c r="B6367" s="22"/>
      <c r="C6367" s="21"/>
      <c r="D6367" s="21"/>
      <c r="E6367" s="21"/>
      <c r="F6367" s="21"/>
      <c r="G6367" s="23"/>
      <c r="H6367" s="24" t="str">
        <f>IFERROR(VLOOKUP(B6367,material!A:D,3,0),"")</f>
        <v/>
      </c>
    </row>
    <row r="6368" ht="11.25" customHeight="1">
      <c r="A6368" s="21"/>
      <c r="B6368" s="22"/>
      <c r="C6368" s="21"/>
      <c r="D6368" s="21"/>
      <c r="E6368" s="21"/>
      <c r="F6368" s="21"/>
      <c r="G6368" s="23"/>
      <c r="H6368" s="24" t="str">
        <f>IFERROR(VLOOKUP(B6368,material!A:D,3,0),"")</f>
        <v/>
      </c>
    </row>
    <row r="6369" ht="11.25" customHeight="1">
      <c r="A6369" s="21"/>
      <c r="B6369" s="22"/>
      <c r="C6369" s="21"/>
      <c r="D6369" s="21"/>
      <c r="E6369" s="21"/>
      <c r="F6369" s="21"/>
      <c r="G6369" s="23"/>
      <c r="H6369" s="24" t="str">
        <f>IFERROR(VLOOKUP(B6369,material!A:D,3,0),"")</f>
        <v/>
      </c>
    </row>
    <row r="6370" ht="11.25" customHeight="1">
      <c r="A6370" s="21"/>
      <c r="B6370" s="22"/>
      <c r="C6370" s="21"/>
      <c r="D6370" s="21"/>
      <c r="E6370" s="21"/>
      <c r="F6370" s="21"/>
      <c r="G6370" s="23"/>
      <c r="H6370" s="24" t="str">
        <f>IFERROR(VLOOKUP(B6370,material!A:D,3,0),"")</f>
        <v/>
      </c>
    </row>
    <row r="6371" ht="11.25" customHeight="1">
      <c r="A6371" s="21"/>
      <c r="B6371" s="22"/>
      <c r="C6371" s="21"/>
      <c r="D6371" s="21"/>
      <c r="E6371" s="21"/>
      <c r="F6371" s="21"/>
      <c r="G6371" s="23"/>
      <c r="H6371" s="24" t="str">
        <f>IFERROR(VLOOKUP(B6371,material!A:D,3,0),"")</f>
        <v/>
      </c>
    </row>
    <row r="6372" ht="11.25" customHeight="1">
      <c r="A6372" s="21"/>
      <c r="B6372" s="22"/>
      <c r="C6372" s="21"/>
      <c r="D6372" s="21"/>
      <c r="E6372" s="21"/>
      <c r="F6372" s="21"/>
      <c r="G6372" s="23"/>
      <c r="H6372" s="24" t="str">
        <f>IFERROR(VLOOKUP(B6372,material!A:D,3,0),"")</f>
        <v/>
      </c>
    </row>
    <row r="6373" ht="11.25" customHeight="1">
      <c r="A6373" s="21"/>
      <c r="B6373" s="22"/>
      <c r="C6373" s="21"/>
      <c r="D6373" s="21"/>
      <c r="E6373" s="21"/>
      <c r="F6373" s="21"/>
      <c r="G6373" s="23"/>
      <c r="H6373" s="24" t="str">
        <f>IFERROR(VLOOKUP(B6373,material!A:D,3,0),"")</f>
        <v/>
      </c>
    </row>
    <row r="6374" ht="11.25" customHeight="1">
      <c r="A6374" s="21"/>
      <c r="B6374" s="22"/>
      <c r="C6374" s="21"/>
      <c r="D6374" s="21"/>
      <c r="E6374" s="21"/>
      <c r="F6374" s="21"/>
      <c r="G6374" s="23"/>
      <c r="H6374" s="24" t="str">
        <f>IFERROR(VLOOKUP(B6374,material!A:D,3,0),"")</f>
        <v/>
      </c>
    </row>
    <row r="6375" ht="11.25" customHeight="1">
      <c r="A6375" s="21"/>
      <c r="B6375" s="22"/>
      <c r="C6375" s="21"/>
      <c r="D6375" s="21"/>
      <c r="E6375" s="21"/>
      <c r="F6375" s="21"/>
      <c r="G6375" s="23"/>
      <c r="H6375" s="24" t="str">
        <f>IFERROR(VLOOKUP(B6375,material!A:D,3,0),"")</f>
        <v/>
      </c>
    </row>
    <row r="6376" ht="11.25" customHeight="1">
      <c r="A6376" s="21"/>
      <c r="B6376" s="22"/>
      <c r="C6376" s="21"/>
      <c r="D6376" s="21"/>
      <c r="E6376" s="21"/>
      <c r="F6376" s="21"/>
      <c r="G6376" s="23"/>
      <c r="H6376" s="24" t="str">
        <f>IFERROR(VLOOKUP(B6376,material!A:D,3,0),"")</f>
        <v/>
      </c>
    </row>
    <row r="6377" ht="11.25" customHeight="1">
      <c r="A6377" s="21"/>
      <c r="B6377" s="22"/>
      <c r="C6377" s="21"/>
      <c r="D6377" s="21"/>
      <c r="E6377" s="21"/>
      <c r="F6377" s="21"/>
      <c r="G6377" s="23"/>
      <c r="H6377" s="24" t="str">
        <f>IFERROR(VLOOKUP(B6377,material!A:D,3,0),"")</f>
        <v/>
      </c>
    </row>
    <row r="6378" ht="11.25" customHeight="1">
      <c r="A6378" s="21"/>
      <c r="B6378" s="22"/>
      <c r="C6378" s="21"/>
      <c r="D6378" s="21"/>
      <c r="E6378" s="21"/>
      <c r="F6378" s="21"/>
      <c r="G6378" s="23"/>
      <c r="H6378" s="24" t="str">
        <f>IFERROR(VLOOKUP(B6378,material!A:D,3,0),"")</f>
        <v/>
      </c>
    </row>
    <row r="6379" ht="11.25" customHeight="1">
      <c r="A6379" s="21"/>
      <c r="B6379" s="22"/>
      <c r="C6379" s="21"/>
      <c r="D6379" s="21"/>
      <c r="E6379" s="21"/>
      <c r="F6379" s="21"/>
      <c r="G6379" s="23"/>
      <c r="H6379" s="24" t="str">
        <f>IFERROR(VLOOKUP(B6379,material!A:D,3,0),"")</f>
        <v/>
      </c>
    </row>
    <row r="6380" ht="11.25" customHeight="1">
      <c r="A6380" s="21"/>
      <c r="B6380" s="22"/>
      <c r="C6380" s="21"/>
      <c r="D6380" s="21"/>
      <c r="E6380" s="21"/>
      <c r="F6380" s="21"/>
      <c r="G6380" s="23"/>
      <c r="H6380" s="24" t="str">
        <f>IFERROR(VLOOKUP(B6380,material!A:D,3,0),"")</f>
        <v/>
      </c>
    </row>
    <row r="6381" ht="11.25" customHeight="1">
      <c r="A6381" s="21"/>
      <c r="B6381" s="22"/>
      <c r="C6381" s="21"/>
      <c r="D6381" s="21"/>
      <c r="E6381" s="21"/>
      <c r="F6381" s="21"/>
      <c r="G6381" s="23"/>
      <c r="H6381" s="24" t="str">
        <f>IFERROR(VLOOKUP(B6381,material!A:D,3,0),"")</f>
        <v/>
      </c>
    </row>
    <row r="6382" ht="11.25" customHeight="1">
      <c r="A6382" s="21"/>
      <c r="B6382" s="22"/>
      <c r="C6382" s="21"/>
      <c r="D6382" s="21"/>
      <c r="E6382" s="21"/>
      <c r="F6382" s="21"/>
      <c r="G6382" s="23"/>
      <c r="H6382" s="24" t="str">
        <f>IFERROR(VLOOKUP(B6382,material!A:D,3,0),"")</f>
        <v/>
      </c>
    </row>
    <row r="6383" ht="11.25" customHeight="1">
      <c r="A6383" s="21"/>
      <c r="B6383" s="22"/>
      <c r="C6383" s="21"/>
      <c r="D6383" s="21"/>
      <c r="E6383" s="21"/>
      <c r="F6383" s="21"/>
      <c r="G6383" s="23"/>
      <c r="H6383" s="24" t="str">
        <f>IFERROR(VLOOKUP(B6383,material!A:D,3,0),"")</f>
        <v/>
      </c>
    </row>
    <row r="6384" ht="11.25" customHeight="1">
      <c r="A6384" s="21"/>
      <c r="B6384" s="22"/>
      <c r="C6384" s="21"/>
      <c r="D6384" s="21"/>
      <c r="E6384" s="21"/>
      <c r="F6384" s="21"/>
      <c r="G6384" s="23"/>
      <c r="H6384" s="24" t="str">
        <f>IFERROR(VLOOKUP(B6384,material!A:D,3,0),"")</f>
        <v/>
      </c>
    </row>
    <row r="6385" ht="11.25" customHeight="1">
      <c r="A6385" s="21"/>
      <c r="B6385" s="22"/>
      <c r="C6385" s="21"/>
      <c r="D6385" s="21"/>
      <c r="E6385" s="21"/>
      <c r="F6385" s="21"/>
      <c r="G6385" s="23"/>
      <c r="H6385" s="24" t="str">
        <f>IFERROR(VLOOKUP(B6385,material!A:D,3,0),"")</f>
        <v/>
      </c>
    </row>
    <row r="6386" ht="11.25" customHeight="1">
      <c r="A6386" s="21"/>
      <c r="B6386" s="22"/>
      <c r="C6386" s="21"/>
      <c r="D6386" s="21"/>
      <c r="E6386" s="21"/>
      <c r="F6386" s="21"/>
      <c r="G6386" s="23"/>
      <c r="H6386" s="24" t="str">
        <f>IFERROR(VLOOKUP(B6386,material!A:D,3,0),"")</f>
        <v/>
      </c>
    </row>
    <row r="6387" ht="11.25" customHeight="1">
      <c r="A6387" s="21"/>
      <c r="B6387" s="22"/>
      <c r="C6387" s="21"/>
      <c r="D6387" s="21"/>
      <c r="E6387" s="21"/>
      <c r="F6387" s="21"/>
      <c r="G6387" s="23"/>
      <c r="H6387" s="24" t="str">
        <f>IFERROR(VLOOKUP(B6387,material!A:D,3,0),"")</f>
        <v/>
      </c>
    </row>
    <row r="6388" ht="11.25" customHeight="1">
      <c r="A6388" s="21"/>
      <c r="B6388" s="22"/>
      <c r="C6388" s="21"/>
      <c r="D6388" s="21"/>
      <c r="E6388" s="21"/>
      <c r="F6388" s="21"/>
      <c r="G6388" s="23"/>
      <c r="H6388" s="24" t="str">
        <f>IFERROR(VLOOKUP(B6388,material!A:D,3,0),"")</f>
        <v/>
      </c>
    </row>
    <row r="6389" ht="11.25" customHeight="1">
      <c r="A6389" s="21"/>
      <c r="B6389" s="22"/>
      <c r="C6389" s="21"/>
      <c r="D6389" s="21"/>
      <c r="E6389" s="21"/>
      <c r="F6389" s="21"/>
      <c r="G6389" s="23"/>
      <c r="H6389" s="24" t="str">
        <f>IFERROR(VLOOKUP(B6389,material!A:D,3,0),"")</f>
        <v/>
      </c>
    </row>
    <row r="6390" ht="11.25" customHeight="1">
      <c r="A6390" s="21"/>
      <c r="B6390" s="22"/>
      <c r="C6390" s="21"/>
      <c r="D6390" s="21"/>
      <c r="E6390" s="21"/>
      <c r="F6390" s="21"/>
      <c r="G6390" s="23"/>
      <c r="H6390" s="24" t="str">
        <f>IFERROR(VLOOKUP(B6390,material!A:D,3,0),"")</f>
        <v/>
      </c>
    </row>
    <row r="6391" ht="11.25" customHeight="1">
      <c r="A6391" s="21"/>
      <c r="B6391" s="22"/>
      <c r="C6391" s="21"/>
      <c r="D6391" s="21"/>
      <c r="E6391" s="21"/>
      <c r="F6391" s="21"/>
      <c r="G6391" s="23"/>
      <c r="H6391" s="24" t="str">
        <f>IFERROR(VLOOKUP(B6391,material!A:D,3,0),"")</f>
        <v/>
      </c>
    </row>
    <row r="6392" ht="11.25" customHeight="1">
      <c r="A6392" s="21"/>
      <c r="B6392" s="22"/>
      <c r="C6392" s="21"/>
      <c r="D6392" s="21"/>
      <c r="E6392" s="21"/>
      <c r="F6392" s="21"/>
      <c r="G6392" s="23"/>
      <c r="H6392" s="24" t="str">
        <f>IFERROR(VLOOKUP(B6392,material!A:D,3,0),"")</f>
        <v/>
      </c>
    </row>
    <row r="6393" ht="11.25" customHeight="1">
      <c r="A6393" s="21"/>
      <c r="B6393" s="22"/>
      <c r="C6393" s="21"/>
      <c r="D6393" s="21"/>
      <c r="E6393" s="21"/>
      <c r="F6393" s="21"/>
      <c r="G6393" s="23"/>
      <c r="H6393" s="24" t="str">
        <f>IFERROR(VLOOKUP(B6393,material!A:D,3,0),"")</f>
        <v/>
      </c>
    </row>
    <row r="6394" ht="11.25" customHeight="1">
      <c r="A6394" s="21"/>
      <c r="B6394" s="22"/>
      <c r="C6394" s="21"/>
      <c r="D6394" s="21"/>
      <c r="E6394" s="21"/>
      <c r="F6394" s="21"/>
      <c r="G6394" s="23"/>
      <c r="H6394" s="24" t="str">
        <f>IFERROR(VLOOKUP(B6394,material!A:D,3,0),"")</f>
        <v/>
      </c>
    </row>
    <row r="6395" ht="11.25" customHeight="1">
      <c r="A6395" s="21"/>
      <c r="B6395" s="22"/>
      <c r="C6395" s="21"/>
      <c r="D6395" s="21"/>
      <c r="E6395" s="21"/>
      <c r="F6395" s="21"/>
      <c r="G6395" s="23"/>
      <c r="H6395" s="24" t="str">
        <f>IFERROR(VLOOKUP(B6395,material!A:D,3,0),"")</f>
        <v/>
      </c>
    </row>
    <row r="6396" ht="11.25" customHeight="1">
      <c r="A6396" s="21"/>
      <c r="B6396" s="22"/>
      <c r="C6396" s="21"/>
      <c r="D6396" s="21"/>
      <c r="E6396" s="21"/>
      <c r="F6396" s="21"/>
      <c r="G6396" s="23"/>
      <c r="H6396" s="24" t="str">
        <f>IFERROR(VLOOKUP(B6396,material!A:D,3,0),"")</f>
        <v/>
      </c>
    </row>
    <row r="6397" ht="11.25" customHeight="1">
      <c r="A6397" s="21"/>
      <c r="B6397" s="22"/>
      <c r="C6397" s="21"/>
      <c r="D6397" s="21"/>
      <c r="E6397" s="21"/>
      <c r="F6397" s="21"/>
      <c r="G6397" s="23"/>
      <c r="H6397" s="24" t="str">
        <f>IFERROR(VLOOKUP(B6397,material!A:D,3,0),"")</f>
        <v/>
      </c>
    </row>
    <row r="6398" ht="11.25" customHeight="1">
      <c r="A6398" s="21"/>
      <c r="B6398" s="22"/>
      <c r="C6398" s="21"/>
      <c r="D6398" s="21"/>
      <c r="E6398" s="21"/>
      <c r="F6398" s="21"/>
      <c r="G6398" s="23"/>
      <c r="H6398" s="24" t="str">
        <f>IFERROR(VLOOKUP(B6398,material!A:D,3,0),"")</f>
        <v/>
      </c>
    </row>
    <row r="6399" ht="11.25" customHeight="1">
      <c r="A6399" s="21"/>
      <c r="B6399" s="22"/>
      <c r="C6399" s="21"/>
      <c r="D6399" s="21"/>
      <c r="E6399" s="21"/>
      <c r="F6399" s="21"/>
      <c r="G6399" s="23"/>
      <c r="H6399" s="24" t="str">
        <f>IFERROR(VLOOKUP(B6399,material!A:D,3,0),"")</f>
        <v/>
      </c>
    </row>
    <row r="6400" ht="11.25" customHeight="1">
      <c r="A6400" s="21"/>
      <c r="B6400" s="22"/>
      <c r="C6400" s="21"/>
      <c r="D6400" s="21"/>
      <c r="E6400" s="21"/>
      <c r="F6400" s="21"/>
      <c r="G6400" s="23"/>
      <c r="H6400" s="24" t="str">
        <f>IFERROR(VLOOKUP(B6400,material!A:D,3,0),"")</f>
        <v/>
      </c>
    </row>
    <row r="6401" ht="11.25" customHeight="1">
      <c r="A6401" s="21"/>
      <c r="B6401" s="22"/>
      <c r="C6401" s="21"/>
      <c r="D6401" s="21"/>
      <c r="E6401" s="21"/>
      <c r="F6401" s="21"/>
      <c r="G6401" s="23"/>
      <c r="H6401" s="24" t="str">
        <f>IFERROR(VLOOKUP(B6401,material!A:D,3,0),"")</f>
        <v/>
      </c>
    </row>
    <row r="6402" ht="11.25" customHeight="1">
      <c r="A6402" s="21"/>
      <c r="B6402" s="22"/>
      <c r="C6402" s="21"/>
      <c r="D6402" s="21"/>
      <c r="E6402" s="21"/>
      <c r="F6402" s="21"/>
      <c r="G6402" s="23"/>
      <c r="H6402" s="24" t="str">
        <f>IFERROR(VLOOKUP(B6402,material!A:D,3,0),"")</f>
        <v/>
      </c>
    </row>
    <row r="6403" ht="11.25" customHeight="1">
      <c r="A6403" s="21"/>
      <c r="B6403" s="22"/>
      <c r="C6403" s="21"/>
      <c r="D6403" s="21"/>
      <c r="E6403" s="21"/>
      <c r="F6403" s="21"/>
      <c r="G6403" s="23"/>
      <c r="H6403" s="24" t="str">
        <f>IFERROR(VLOOKUP(B6403,material!A:D,3,0),"")</f>
        <v/>
      </c>
    </row>
    <row r="6404" ht="11.25" customHeight="1">
      <c r="A6404" s="21"/>
      <c r="B6404" s="22"/>
      <c r="C6404" s="21"/>
      <c r="D6404" s="21"/>
      <c r="E6404" s="21"/>
      <c r="F6404" s="21"/>
      <c r="G6404" s="23"/>
      <c r="H6404" s="24" t="str">
        <f>IFERROR(VLOOKUP(B6404,material!A:D,3,0),"")</f>
        <v/>
      </c>
    </row>
    <row r="6405" ht="11.25" customHeight="1">
      <c r="A6405" s="21"/>
      <c r="B6405" s="22"/>
      <c r="C6405" s="21"/>
      <c r="D6405" s="21"/>
      <c r="E6405" s="21"/>
      <c r="F6405" s="21"/>
      <c r="G6405" s="23"/>
      <c r="H6405" s="24" t="str">
        <f>IFERROR(VLOOKUP(B6405,material!A:D,3,0),"")</f>
        <v/>
      </c>
    </row>
    <row r="6406" ht="11.25" customHeight="1">
      <c r="A6406" s="21"/>
      <c r="B6406" s="22"/>
      <c r="C6406" s="21"/>
      <c r="D6406" s="21"/>
      <c r="E6406" s="21"/>
      <c r="F6406" s="21"/>
      <c r="G6406" s="23"/>
      <c r="H6406" s="24" t="str">
        <f>IFERROR(VLOOKUP(B6406,material!A:D,3,0),"")</f>
        <v/>
      </c>
    </row>
    <row r="6407" ht="11.25" customHeight="1">
      <c r="A6407" s="21"/>
      <c r="B6407" s="22"/>
      <c r="C6407" s="21"/>
      <c r="D6407" s="21"/>
      <c r="E6407" s="21"/>
      <c r="F6407" s="21"/>
      <c r="G6407" s="23"/>
      <c r="H6407" s="24" t="str">
        <f>IFERROR(VLOOKUP(B6407,material!A:D,3,0),"")</f>
        <v/>
      </c>
    </row>
    <row r="6408" ht="11.25" customHeight="1">
      <c r="A6408" s="21"/>
      <c r="B6408" s="22"/>
      <c r="C6408" s="21"/>
      <c r="D6408" s="21"/>
      <c r="E6408" s="21"/>
      <c r="F6408" s="21"/>
      <c r="G6408" s="23"/>
      <c r="H6408" s="24" t="str">
        <f>IFERROR(VLOOKUP(B6408,material!A:D,3,0),"")</f>
        <v/>
      </c>
    </row>
    <row r="6409" ht="11.25" customHeight="1">
      <c r="A6409" s="21"/>
      <c r="B6409" s="22"/>
      <c r="C6409" s="21"/>
      <c r="D6409" s="21"/>
      <c r="E6409" s="21"/>
      <c r="F6409" s="21"/>
      <c r="G6409" s="23"/>
      <c r="H6409" s="24" t="str">
        <f>IFERROR(VLOOKUP(B6409,material!A:D,3,0),"")</f>
        <v/>
      </c>
    </row>
    <row r="6410" ht="11.25" customHeight="1">
      <c r="A6410" s="21"/>
      <c r="B6410" s="22"/>
      <c r="C6410" s="21"/>
      <c r="D6410" s="21"/>
      <c r="E6410" s="21"/>
      <c r="F6410" s="21"/>
      <c r="G6410" s="23"/>
      <c r="H6410" s="24" t="str">
        <f>IFERROR(VLOOKUP(B6410,material!A:D,3,0),"")</f>
        <v/>
      </c>
    </row>
    <row r="6411" ht="11.25" customHeight="1">
      <c r="A6411" s="21"/>
      <c r="B6411" s="22"/>
      <c r="C6411" s="21"/>
      <c r="D6411" s="21"/>
      <c r="E6411" s="21"/>
      <c r="F6411" s="21"/>
      <c r="G6411" s="23"/>
      <c r="H6411" s="24" t="str">
        <f>IFERROR(VLOOKUP(B6411,material!A:D,3,0),"")</f>
        <v/>
      </c>
    </row>
    <row r="6412" ht="11.25" customHeight="1">
      <c r="A6412" s="21"/>
      <c r="B6412" s="22"/>
      <c r="C6412" s="21"/>
      <c r="D6412" s="21"/>
      <c r="E6412" s="21"/>
      <c r="F6412" s="21"/>
      <c r="G6412" s="23"/>
      <c r="H6412" s="24" t="str">
        <f>IFERROR(VLOOKUP(B6412,material!A:D,3,0),"")</f>
        <v/>
      </c>
    </row>
    <row r="6413" ht="11.25" customHeight="1">
      <c r="A6413" s="21"/>
      <c r="B6413" s="22"/>
      <c r="C6413" s="21"/>
      <c r="D6413" s="21"/>
      <c r="E6413" s="21"/>
      <c r="F6413" s="21"/>
      <c r="G6413" s="23"/>
      <c r="H6413" s="24" t="str">
        <f>IFERROR(VLOOKUP(B6413,material!A:D,3,0),"")</f>
        <v/>
      </c>
    </row>
    <row r="6414" ht="11.25" customHeight="1">
      <c r="A6414" s="21"/>
      <c r="B6414" s="22"/>
      <c r="C6414" s="21"/>
      <c r="D6414" s="21"/>
      <c r="E6414" s="21"/>
      <c r="F6414" s="21"/>
      <c r="G6414" s="23"/>
      <c r="H6414" s="24" t="str">
        <f>IFERROR(VLOOKUP(B6414,material!A:D,3,0),"")</f>
        <v/>
      </c>
    </row>
    <row r="6415" ht="11.25" customHeight="1">
      <c r="A6415" s="21"/>
      <c r="B6415" s="22"/>
      <c r="C6415" s="21"/>
      <c r="D6415" s="21"/>
      <c r="E6415" s="21"/>
      <c r="F6415" s="21"/>
      <c r="G6415" s="23"/>
      <c r="H6415" s="24" t="str">
        <f>IFERROR(VLOOKUP(B6415,material!A:D,3,0),"")</f>
        <v/>
      </c>
    </row>
    <row r="6416" ht="11.25" customHeight="1">
      <c r="A6416" s="21"/>
      <c r="B6416" s="22"/>
      <c r="C6416" s="21"/>
      <c r="D6416" s="21"/>
      <c r="E6416" s="21"/>
      <c r="F6416" s="21"/>
      <c r="G6416" s="23"/>
      <c r="H6416" s="24" t="str">
        <f>IFERROR(VLOOKUP(B6416,material!A:D,3,0),"")</f>
        <v/>
      </c>
    </row>
    <row r="6417" ht="11.25" customHeight="1">
      <c r="A6417" s="21"/>
      <c r="B6417" s="22"/>
      <c r="C6417" s="21"/>
      <c r="D6417" s="21"/>
      <c r="E6417" s="21"/>
      <c r="F6417" s="21"/>
      <c r="G6417" s="23"/>
      <c r="H6417" s="24" t="str">
        <f>IFERROR(VLOOKUP(B6417,material!A:D,3,0),"")</f>
        <v/>
      </c>
    </row>
    <row r="6418" ht="11.25" customHeight="1">
      <c r="A6418" s="21"/>
      <c r="B6418" s="22"/>
      <c r="C6418" s="21"/>
      <c r="D6418" s="21"/>
      <c r="E6418" s="21"/>
      <c r="F6418" s="21"/>
      <c r="G6418" s="23"/>
      <c r="H6418" s="24" t="str">
        <f>IFERROR(VLOOKUP(B6418,material!A:D,3,0),"")</f>
        <v/>
      </c>
    </row>
    <row r="6419" ht="11.25" customHeight="1">
      <c r="A6419" s="21"/>
      <c r="B6419" s="22"/>
      <c r="C6419" s="21"/>
      <c r="D6419" s="21"/>
      <c r="E6419" s="21"/>
      <c r="F6419" s="21"/>
      <c r="G6419" s="23"/>
      <c r="H6419" s="24" t="str">
        <f>IFERROR(VLOOKUP(B6419,material!A:D,3,0),"")</f>
        <v/>
      </c>
    </row>
    <row r="6420" ht="11.25" customHeight="1">
      <c r="A6420" s="21"/>
      <c r="B6420" s="22"/>
      <c r="C6420" s="21"/>
      <c r="D6420" s="21"/>
      <c r="E6420" s="21"/>
      <c r="F6420" s="21"/>
      <c r="G6420" s="23"/>
      <c r="H6420" s="24" t="str">
        <f>IFERROR(VLOOKUP(B6420,material!A:D,3,0),"")</f>
        <v/>
      </c>
    </row>
    <row r="6421" ht="11.25" customHeight="1">
      <c r="A6421" s="21"/>
      <c r="B6421" s="22"/>
      <c r="C6421" s="21"/>
      <c r="D6421" s="21"/>
      <c r="E6421" s="21"/>
      <c r="F6421" s="21"/>
      <c r="G6421" s="23"/>
      <c r="H6421" s="24" t="str">
        <f>IFERROR(VLOOKUP(B6421,material!A:D,3,0),"")</f>
        <v/>
      </c>
    </row>
    <row r="6422" ht="11.25" customHeight="1">
      <c r="A6422" s="21"/>
      <c r="B6422" s="22"/>
      <c r="C6422" s="21"/>
      <c r="D6422" s="21"/>
      <c r="E6422" s="21"/>
      <c r="F6422" s="21"/>
      <c r="G6422" s="23"/>
      <c r="H6422" s="24" t="str">
        <f>IFERROR(VLOOKUP(B6422,material!A:D,3,0),"")</f>
        <v/>
      </c>
    </row>
    <row r="6423" ht="11.25" customHeight="1">
      <c r="A6423" s="21"/>
      <c r="B6423" s="22"/>
      <c r="C6423" s="21"/>
      <c r="D6423" s="21"/>
      <c r="E6423" s="21"/>
      <c r="F6423" s="21"/>
      <c r="G6423" s="23"/>
      <c r="H6423" s="24" t="str">
        <f>IFERROR(VLOOKUP(B6423,material!A:D,3,0),"")</f>
        <v/>
      </c>
    </row>
    <row r="6424" ht="11.25" customHeight="1">
      <c r="A6424" s="21"/>
      <c r="B6424" s="22"/>
      <c r="C6424" s="21"/>
      <c r="D6424" s="21"/>
      <c r="E6424" s="21"/>
      <c r="F6424" s="21"/>
      <c r="G6424" s="23"/>
      <c r="H6424" s="24" t="str">
        <f>IFERROR(VLOOKUP(B6424,material!A:D,3,0),"")</f>
        <v/>
      </c>
    </row>
    <row r="6425" ht="11.25" customHeight="1">
      <c r="A6425" s="21"/>
      <c r="B6425" s="22"/>
      <c r="C6425" s="21"/>
      <c r="D6425" s="21"/>
      <c r="E6425" s="21"/>
      <c r="F6425" s="21"/>
      <c r="G6425" s="23"/>
      <c r="H6425" s="24" t="str">
        <f>IFERROR(VLOOKUP(B6425,material!A:D,3,0),"")</f>
        <v/>
      </c>
    </row>
    <row r="6426" ht="11.25" customHeight="1">
      <c r="A6426" s="21"/>
      <c r="B6426" s="22"/>
      <c r="C6426" s="21"/>
      <c r="D6426" s="21"/>
      <c r="E6426" s="21"/>
      <c r="F6426" s="21"/>
      <c r="G6426" s="23"/>
      <c r="H6426" s="24" t="str">
        <f>IFERROR(VLOOKUP(B6426,material!A:D,3,0),"")</f>
        <v/>
      </c>
    </row>
    <row r="6427" ht="11.25" customHeight="1">
      <c r="A6427" s="21"/>
      <c r="B6427" s="22"/>
      <c r="C6427" s="21"/>
      <c r="D6427" s="21"/>
      <c r="E6427" s="21"/>
      <c r="F6427" s="21"/>
      <c r="G6427" s="23"/>
      <c r="H6427" s="24" t="str">
        <f>IFERROR(VLOOKUP(B6427,material!A:D,3,0),"")</f>
        <v/>
      </c>
    </row>
    <row r="6428" ht="11.25" customHeight="1">
      <c r="A6428" s="21"/>
      <c r="B6428" s="22"/>
      <c r="C6428" s="21"/>
      <c r="D6428" s="21"/>
      <c r="E6428" s="21"/>
      <c r="F6428" s="21"/>
      <c r="G6428" s="23"/>
      <c r="H6428" s="24" t="str">
        <f>IFERROR(VLOOKUP(B6428,material!A:D,3,0),"")</f>
        <v/>
      </c>
    </row>
    <row r="6429" ht="11.25" customHeight="1">
      <c r="A6429" s="21"/>
      <c r="B6429" s="22"/>
      <c r="C6429" s="21"/>
      <c r="D6429" s="21"/>
      <c r="E6429" s="21"/>
      <c r="F6429" s="21"/>
      <c r="G6429" s="23"/>
      <c r="H6429" s="24" t="str">
        <f>IFERROR(VLOOKUP(B6429,material!A:D,3,0),"")</f>
        <v/>
      </c>
    </row>
    <row r="6430" ht="11.25" customHeight="1">
      <c r="A6430" s="21"/>
      <c r="B6430" s="22"/>
      <c r="C6430" s="21"/>
      <c r="D6430" s="21"/>
      <c r="E6430" s="21"/>
      <c r="F6430" s="21"/>
      <c r="G6430" s="23"/>
      <c r="H6430" s="24" t="str">
        <f>IFERROR(VLOOKUP(B6430,material!A:D,3,0),"")</f>
        <v/>
      </c>
    </row>
    <row r="6431" ht="11.25" customHeight="1">
      <c r="A6431" s="21"/>
      <c r="B6431" s="22"/>
      <c r="C6431" s="21"/>
      <c r="D6431" s="21"/>
      <c r="E6431" s="21"/>
      <c r="F6431" s="21"/>
      <c r="G6431" s="23"/>
      <c r="H6431" s="24" t="str">
        <f>IFERROR(VLOOKUP(B6431,material!A:D,3,0),"")</f>
        <v/>
      </c>
    </row>
    <row r="6432" ht="11.25" customHeight="1">
      <c r="A6432" s="21"/>
      <c r="B6432" s="22"/>
      <c r="C6432" s="21"/>
      <c r="D6432" s="21"/>
      <c r="E6432" s="21"/>
      <c r="F6432" s="21"/>
      <c r="G6432" s="23"/>
      <c r="H6432" s="24" t="str">
        <f>IFERROR(VLOOKUP(B6432,material!A:D,3,0),"")</f>
        <v/>
      </c>
    </row>
    <row r="6433" ht="11.25" customHeight="1">
      <c r="A6433" s="21"/>
      <c r="B6433" s="22"/>
      <c r="C6433" s="21"/>
      <c r="D6433" s="21"/>
      <c r="E6433" s="21"/>
      <c r="F6433" s="21"/>
      <c r="G6433" s="23"/>
      <c r="H6433" s="24" t="str">
        <f>IFERROR(VLOOKUP(B6433,material!A:D,3,0),"")</f>
        <v/>
      </c>
    </row>
    <row r="6434" ht="11.25" customHeight="1">
      <c r="A6434" s="21"/>
      <c r="B6434" s="22"/>
      <c r="C6434" s="21"/>
      <c r="D6434" s="21"/>
      <c r="E6434" s="21"/>
      <c r="F6434" s="21"/>
      <c r="G6434" s="23"/>
      <c r="H6434" s="24" t="str">
        <f>IFERROR(VLOOKUP(B6434,material!A:D,3,0),"")</f>
        <v/>
      </c>
    </row>
    <row r="6435" ht="11.25" customHeight="1">
      <c r="A6435" s="21"/>
      <c r="B6435" s="22"/>
      <c r="C6435" s="21"/>
      <c r="D6435" s="21"/>
      <c r="E6435" s="21"/>
      <c r="F6435" s="21"/>
      <c r="G6435" s="23"/>
      <c r="H6435" s="24" t="str">
        <f>IFERROR(VLOOKUP(B6435,material!A:D,3,0),"")</f>
        <v/>
      </c>
    </row>
    <row r="6436" ht="11.25" customHeight="1">
      <c r="A6436" s="21"/>
      <c r="B6436" s="22"/>
      <c r="C6436" s="21"/>
      <c r="D6436" s="21"/>
      <c r="E6436" s="21"/>
      <c r="F6436" s="21"/>
      <c r="G6436" s="23"/>
      <c r="H6436" s="24" t="str">
        <f>IFERROR(VLOOKUP(B6436,material!A:D,3,0),"")</f>
        <v/>
      </c>
    </row>
    <row r="6437" ht="11.25" customHeight="1">
      <c r="A6437" s="21"/>
      <c r="B6437" s="22"/>
      <c r="C6437" s="21"/>
      <c r="D6437" s="21"/>
      <c r="E6437" s="21"/>
      <c r="F6437" s="21"/>
      <c r="G6437" s="23"/>
      <c r="H6437" s="24" t="str">
        <f>IFERROR(VLOOKUP(B6437,material!A:D,3,0),"")</f>
        <v/>
      </c>
    </row>
    <row r="6438" ht="11.25" customHeight="1">
      <c r="A6438" s="21"/>
      <c r="B6438" s="22"/>
      <c r="C6438" s="21"/>
      <c r="D6438" s="21"/>
      <c r="E6438" s="21"/>
      <c r="F6438" s="21"/>
      <c r="G6438" s="23"/>
      <c r="H6438" s="24" t="str">
        <f>IFERROR(VLOOKUP(B6438,material!A:D,3,0),"")</f>
        <v/>
      </c>
    </row>
    <row r="6439" ht="11.25" customHeight="1">
      <c r="A6439" s="21"/>
      <c r="B6439" s="22"/>
      <c r="C6439" s="21"/>
      <c r="D6439" s="21"/>
      <c r="E6439" s="21"/>
      <c r="F6439" s="21"/>
      <c r="G6439" s="23"/>
      <c r="H6439" s="24" t="str">
        <f>IFERROR(VLOOKUP(B6439,material!A:D,3,0),"")</f>
        <v/>
      </c>
    </row>
    <row r="6440" ht="11.25" customHeight="1">
      <c r="A6440" s="21"/>
      <c r="B6440" s="22"/>
      <c r="C6440" s="21"/>
      <c r="D6440" s="21"/>
      <c r="E6440" s="21"/>
      <c r="F6440" s="21"/>
      <c r="G6440" s="23"/>
      <c r="H6440" s="24" t="str">
        <f>IFERROR(VLOOKUP(B6440,material!A:D,3,0),"")</f>
        <v/>
      </c>
    </row>
    <row r="6441" ht="11.25" customHeight="1">
      <c r="A6441" s="21"/>
      <c r="B6441" s="22"/>
      <c r="C6441" s="21"/>
      <c r="D6441" s="21"/>
      <c r="E6441" s="21"/>
      <c r="F6441" s="21"/>
      <c r="G6441" s="23"/>
      <c r="H6441" s="24" t="str">
        <f>IFERROR(VLOOKUP(B6441,material!A:D,3,0),"")</f>
        <v/>
      </c>
    </row>
    <row r="6442" ht="11.25" customHeight="1">
      <c r="A6442" s="21"/>
      <c r="B6442" s="22"/>
      <c r="C6442" s="21"/>
      <c r="D6442" s="21"/>
      <c r="E6442" s="21"/>
      <c r="F6442" s="21"/>
      <c r="G6442" s="23"/>
      <c r="H6442" s="24" t="str">
        <f>IFERROR(VLOOKUP(B6442,material!A:D,3,0),"")</f>
        <v/>
      </c>
    </row>
    <row r="6443" ht="11.25" customHeight="1">
      <c r="A6443" s="21"/>
      <c r="B6443" s="22"/>
      <c r="C6443" s="21"/>
      <c r="D6443" s="21"/>
      <c r="E6443" s="21"/>
      <c r="F6443" s="21"/>
      <c r="G6443" s="23"/>
      <c r="H6443" s="24" t="str">
        <f>IFERROR(VLOOKUP(B6443,material!A:D,3,0),"")</f>
        <v/>
      </c>
    </row>
    <row r="6444" ht="11.25" customHeight="1">
      <c r="A6444" s="21"/>
      <c r="B6444" s="22"/>
      <c r="C6444" s="21"/>
      <c r="D6444" s="21"/>
      <c r="E6444" s="21"/>
      <c r="F6444" s="21"/>
      <c r="G6444" s="23"/>
      <c r="H6444" s="24" t="str">
        <f>IFERROR(VLOOKUP(B6444,material!A:D,3,0),"")</f>
        <v/>
      </c>
    </row>
    <row r="6445" ht="11.25" customHeight="1">
      <c r="A6445" s="21"/>
      <c r="B6445" s="22"/>
      <c r="C6445" s="21"/>
      <c r="D6445" s="21"/>
      <c r="E6445" s="21"/>
      <c r="F6445" s="21"/>
      <c r="G6445" s="23"/>
      <c r="H6445" s="24" t="str">
        <f>IFERROR(VLOOKUP(B6445,material!A:D,3,0),"")</f>
        <v/>
      </c>
    </row>
    <row r="6446" ht="11.25" customHeight="1">
      <c r="A6446" s="21"/>
      <c r="B6446" s="22"/>
      <c r="C6446" s="21"/>
      <c r="D6446" s="21"/>
      <c r="E6446" s="21"/>
      <c r="F6446" s="21"/>
      <c r="G6446" s="23"/>
      <c r="H6446" s="24" t="str">
        <f>IFERROR(VLOOKUP(B6446,material!A:D,3,0),"")</f>
        <v/>
      </c>
    </row>
    <row r="6447" ht="11.25" customHeight="1">
      <c r="A6447" s="21"/>
      <c r="B6447" s="22"/>
      <c r="C6447" s="21"/>
      <c r="D6447" s="21"/>
      <c r="E6447" s="21"/>
      <c r="F6447" s="21"/>
      <c r="G6447" s="23"/>
      <c r="H6447" s="24" t="str">
        <f>IFERROR(VLOOKUP(B6447,material!A:D,3,0),"")</f>
        <v/>
      </c>
    </row>
    <row r="6448" ht="11.25" customHeight="1">
      <c r="A6448" s="21"/>
      <c r="B6448" s="22"/>
      <c r="C6448" s="21"/>
      <c r="D6448" s="21"/>
      <c r="E6448" s="21"/>
      <c r="F6448" s="21"/>
      <c r="G6448" s="23"/>
      <c r="H6448" s="24" t="str">
        <f>IFERROR(VLOOKUP(B6448,material!A:D,3,0),"")</f>
        <v/>
      </c>
    </row>
    <row r="6449" ht="11.25" customHeight="1">
      <c r="A6449" s="21"/>
      <c r="B6449" s="22"/>
      <c r="C6449" s="21"/>
      <c r="D6449" s="21"/>
      <c r="E6449" s="21"/>
      <c r="F6449" s="21"/>
      <c r="G6449" s="23"/>
      <c r="H6449" s="24" t="str">
        <f>IFERROR(VLOOKUP(B6449,material!A:D,3,0),"")</f>
        <v/>
      </c>
    </row>
    <row r="6450" ht="11.25" customHeight="1">
      <c r="A6450" s="21"/>
      <c r="B6450" s="22"/>
      <c r="C6450" s="21"/>
      <c r="D6450" s="21"/>
      <c r="E6450" s="21"/>
      <c r="F6450" s="21"/>
      <c r="G6450" s="23"/>
      <c r="H6450" s="24" t="str">
        <f>IFERROR(VLOOKUP(B6450,material!A:D,3,0),"")</f>
        <v/>
      </c>
    </row>
    <row r="6451" ht="11.25" customHeight="1">
      <c r="A6451" s="21"/>
      <c r="B6451" s="22"/>
      <c r="C6451" s="21"/>
      <c r="D6451" s="21"/>
      <c r="E6451" s="21"/>
      <c r="F6451" s="21"/>
      <c r="G6451" s="23"/>
      <c r="H6451" s="24" t="str">
        <f>IFERROR(VLOOKUP(B6451,material!A:D,3,0),"")</f>
        <v/>
      </c>
    </row>
    <row r="6452" ht="11.25" customHeight="1">
      <c r="A6452" s="21"/>
      <c r="B6452" s="22"/>
      <c r="C6452" s="21"/>
      <c r="D6452" s="21"/>
      <c r="E6452" s="21"/>
      <c r="F6452" s="21"/>
      <c r="G6452" s="23"/>
      <c r="H6452" s="24" t="str">
        <f>IFERROR(VLOOKUP(B6452,material!A:D,3,0),"")</f>
        <v/>
      </c>
    </row>
    <row r="6453" ht="11.25" customHeight="1">
      <c r="A6453" s="21"/>
      <c r="B6453" s="22"/>
      <c r="C6453" s="21"/>
      <c r="D6453" s="21"/>
      <c r="E6453" s="21"/>
      <c r="F6453" s="21"/>
      <c r="G6453" s="23"/>
      <c r="H6453" s="24" t="str">
        <f>IFERROR(VLOOKUP(B6453,material!A:D,3,0),"")</f>
        <v/>
      </c>
    </row>
    <row r="6454" ht="11.25" customHeight="1">
      <c r="A6454" s="21"/>
      <c r="B6454" s="22"/>
      <c r="C6454" s="21"/>
      <c r="D6454" s="21"/>
      <c r="E6454" s="21"/>
      <c r="F6454" s="21"/>
      <c r="G6454" s="23"/>
      <c r="H6454" s="24" t="str">
        <f>IFERROR(VLOOKUP(B6454,material!A:D,3,0),"")</f>
        <v/>
      </c>
    </row>
    <row r="6455" ht="11.25" customHeight="1">
      <c r="A6455" s="21"/>
      <c r="B6455" s="22"/>
      <c r="C6455" s="21"/>
      <c r="D6455" s="21"/>
      <c r="E6455" s="21"/>
      <c r="F6455" s="21"/>
      <c r="G6455" s="23"/>
      <c r="H6455" s="24" t="str">
        <f>IFERROR(VLOOKUP(B6455,material!A:D,3,0),"")</f>
        <v/>
      </c>
    </row>
    <row r="6456" ht="11.25" customHeight="1">
      <c r="A6456" s="21"/>
      <c r="B6456" s="22"/>
      <c r="C6456" s="21"/>
      <c r="D6456" s="21"/>
      <c r="E6456" s="21"/>
      <c r="F6456" s="21"/>
      <c r="G6456" s="23"/>
      <c r="H6456" s="24" t="str">
        <f>IFERROR(VLOOKUP(B6456,material!A:D,3,0),"")</f>
        <v/>
      </c>
    </row>
    <row r="6457" ht="11.25" customHeight="1">
      <c r="A6457" s="21"/>
      <c r="B6457" s="22"/>
      <c r="C6457" s="21"/>
      <c r="D6457" s="21"/>
      <c r="E6457" s="21"/>
      <c r="F6457" s="21"/>
      <c r="G6457" s="23"/>
      <c r="H6457" s="24" t="str">
        <f>IFERROR(VLOOKUP(B6457,material!A:D,3,0),"")</f>
        <v/>
      </c>
    </row>
    <row r="6458" ht="11.25" customHeight="1">
      <c r="A6458" s="21"/>
      <c r="B6458" s="22"/>
      <c r="C6458" s="21"/>
      <c r="D6458" s="21"/>
      <c r="E6458" s="21"/>
      <c r="F6458" s="21"/>
      <c r="G6458" s="23"/>
      <c r="H6458" s="24" t="str">
        <f>IFERROR(VLOOKUP(B6458,material!A:D,3,0),"")</f>
        <v/>
      </c>
    </row>
    <row r="6459" ht="11.25" customHeight="1">
      <c r="A6459" s="21"/>
      <c r="B6459" s="22"/>
      <c r="C6459" s="21"/>
      <c r="D6459" s="21"/>
      <c r="E6459" s="21"/>
      <c r="F6459" s="21"/>
      <c r="G6459" s="23"/>
      <c r="H6459" s="24" t="str">
        <f>IFERROR(VLOOKUP(B6459,material!A:D,3,0),"")</f>
        <v/>
      </c>
    </row>
    <row r="6460" ht="11.25" customHeight="1">
      <c r="A6460" s="21"/>
      <c r="B6460" s="22"/>
      <c r="C6460" s="21"/>
      <c r="D6460" s="21"/>
      <c r="E6460" s="21"/>
      <c r="F6460" s="21"/>
      <c r="G6460" s="23"/>
      <c r="H6460" s="24" t="str">
        <f>IFERROR(VLOOKUP(B6460,material!A:D,3,0),"")</f>
        <v/>
      </c>
    </row>
    <row r="6461" ht="11.25" customHeight="1">
      <c r="A6461" s="21"/>
      <c r="B6461" s="22"/>
      <c r="C6461" s="21"/>
      <c r="D6461" s="21"/>
      <c r="E6461" s="21"/>
      <c r="F6461" s="21"/>
      <c r="G6461" s="23"/>
      <c r="H6461" s="24" t="str">
        <f>IFERROR(VLOOKUP(B6461,material!A:D,3,0),"")</f>
        <v/>
      </c>
    </row>
    <row r="6462" ht="11.25" customHeight="1">
      <c r="A6462" s="21"/>
      <c r="B6462" s="22"/>
      <c r="C6462" s="21"/>
      <c r="D6462" s="21"/>
      <c r="E6462" s="21"/>
      <c r="F6462" s="21"/>
      <c r="G6462" s="23"/>
      <c r="H6462" s="24" t="str">
        <f>IFERROR(VLOOKUP(B6462,material!A:D,3,0),"")</f>
        <v/>
      </c>
    </row>
    <row r="6463" ht="11.25" customHeight="1">
      <c r="A6463" s="21"/>
      <c r="B6463" s="22"/>
      <c r="C6463" s="21"/>
      <c r="D6463" s="21"/>
      <c r="E6463" s="21"/>
      <c r="F6463" s="21"/>
      <c r="G6463" s="23"/>
      <c r="H6463" s="24" t="str">
        <f>IFERROR(VLOOKUP(B6463,material!A:D,3,0),"")</f>
        <v/>
      </c>
    </row>
    <row r="6464" ht="11.25" customHeight="1">
      <c r="A6464" s="21"/>
      <c r="B6464" s="22"/>
      <c r="C6464" s="21"/>
      <c r="D6464" s="21"/>
      <c r="E6464" s="21"/>
      <c r="F6464" s="21"/>
      <c r="G6464" s="23"/>
      <c r="H6464" s="24" t="str">
        <f>IFERROR(VLOOKUP(B6464,material!A:D,3,0),"")</f>
        <v/>
      </c>
    </row>
    <row r="6465" ht="11.25" customHeight="1">
      <c r="A6465" s="21"/>
      <c r="B6465" s="22"/>
      <c r="C6465" s="21"/>
      <c r="D6465" s="21"/>
      <c r="E6465" s="21"/>
      <c r="F6465" s="21"/>
      <c r="G6465" s="23"/>
      <c r="H6465" s="24" t="str">
        <f>IFERROR(VLOOKUP(B6465,material!A:D,3,0),"")</f>
        <v/>
      </c>
    </row>
    <row r="6466" ht="11.25" customHeight="1">
      <c r="A6466" s="21"/>
      <c r="B6466" s="22"/>
      <c r="C6466" s="21"/>
      <c r="D6466" s="21"/>
      <c r="E6466" s="21"/>
      <c r="F6466" s="21"/>
      <c r="G6466" s="23"/>
      <c r="H6466" s="24" t="str">
        <f>IFERROR(VLOOKUP(B6466,material!A:D,3,0),"")</f>
        <v/>
      </c>
    </row>
    <row r="6467" ht="11.25" customHeight="1">
      <c r="A6467" s="21"/>
      <c r="B6467" s="22"/>
      <c r="C6467" s="21"/>
      <c r="D6467" s="21"/>
      <c r="E6467" s="21"/>
      <c r="F6467" s="21"/>
      <c r="G6467" s="23"/>
      <c r="H6467" s="24" t="str">
        <f>IFERROR(VLOOKUP(B6467,material!A:D,3,0),"")</f>
        <v/>
      </c>
    </row>
    <row r="6468" ht="11.25" customHeight="1">
      <c r="A6468" s="21"/>
      <c r="B6468" s="22"/>
      <c r="C6468" s="21"/>
      <c r="D6468" s="21"/>
      <c r="E6468" s="21"/>
      <c r="F6468" s="21"/>
      <c r="G6468" s="23"/>
      <c r="H6468" s="24" t="str">
        <f>IFERROR(VLOOKUP(B6468,material!A:D,3,0),"")</f>
        <v/>
      </c>
    </row>
    <row r="6469" ht="11.25" customHeight="1">
      <c r="A6469" s="21"/>
      <c r="B6469" s="22"/>
      <c r="C6469" s="21"/>
      <c r="D6469" s="21"/>
      <c r="E6469" s="21"/>
      <c r="F6469" s="21"/>
      <c r="G6469" s="23"/>
      <c r="H6469" s="24" t="str">
        <f>IFERROR(VLOOKUP(B6469,material!A:D,3,0),"")</f>
        <v/>
      </c>
    </row>
    <row r="6470" ht="11.25" customHeight="1">
      <c r="A6470" s="21"/>
      <c r="B6470" s="22"/>
      <c r="C6470" s="21"/>
      <c r="D6470" s="21"/>
      <c r="E6470" s="21"/>
      <c r="F6470" s="21"/>
      <c r="G6470" s="23"/>
      <c r="H6470" s="24" t="str">
        <f>IFERROR(VLOOKUP(B6470,material!A:D,3,0),"")</f>
        <v/>
      </c>
    </row>
    <row r="6471" ht="11.25" customHeight="1">
      <c r="A6471" s="21"/>
      <c r="B6471" s="22"/>
      <c r="C6471" s="21"/>
      <c r="D6471" s="21"/>
      <c r="E6471" s="21"/>
      <c r="F6471" s="21"/>
      <c r="G6471" s="23"/>
      <c r="H6471" s="24" t="str">
        <f>IFERROR(VLOOKUP(B6471,material!A:D,3,0),"")</f>
        <v/>
      </c>
    </row>
    <row r="6472" ht="11.25" customHeight="1">
      <c r="A6472" s="21"/>
      <c r="B6472" s="22"/>
      <c r="C6472" s="21"/>
      <c r="D6472" s="21"/>
      <c r="E6472" s="21"/>
      <c r="F6472" s="21"/>
      <c r="G6472" s="23"/>
      <c r="H6472" s="24" t="str">
        <f>IFERROR(VLOOKUP(B6472,material!A:D,3,0),"")</f>
        <v/>
      </c>
    </row>
    <row r="6473" ht="11.25" customHeight="1">
      <c r="A6473" s="21"/>
      <c r="B6473" s="22"/>
      <c r="C6473" s="21"/>
      <c r="D6473" s="21"/>
      <c r="E6473" s="21"/>
      <c r="F6473" s="21"/>
      <c r="G6473" s="23"/>
      <c r="H6473" s="24" t="str">
        <f>IFERROR(VLOOKUP(B6473,material!A:D,3,0),"")</f>
        <v/>
      </c>
    </row>
    <row r="6474" ht="11.25" customHeight="1">
      <c r="A6474" s="21"/>
      <c r="B6474" s="22"/>
      <c r="C6474" s="21"/>
      <c r="D6474" s="21"/>
      <c r="E6474" s="21"/>
      <c r="F6474" s="21"/>
      <c r="G6474" s="23"/>
      <c r="H6474" s="24" t="str">
        <f>IFERROR(VLOOKUP(B6474,material!A:D,3,0),"")</f>
        <v/>
      </c>
    </row>
    <row r="6475" ht="11.25" customHeight="1">
      <c r="A6475" s="21"/>
      <c r="B6475" s="22"/>
      <c r="C6475" s="21"/>
      <c r="D6475" s="21"/>
      <c r="E6475" s="21"/>
      <c r="F6475" s="21"/>
      <c r="G6475" s="23"/>
      <c r="H6475" s="24" t="str">
        <f>IFERROR(VLOOKUP(B6475,material!A:D,3,0),"")</f>
        <v/>
      </c>
    </row>
    <row r="6476" ht="11.25" customHeight="1">
      <c r="A6476" s="21"/>
      <c r="B6476" s="22"/>
      <c r="C6476" s="21"/>
      <c r="D6476" s="21"/>
      <c r="E6476" s="21"/>
      <c r="F6476" s="21"/>
      <c r="G6476" s="23"/>
      <c r="H6476" s="24" t="str">
        <f>IFERROR(VLOOKUP(B6476,material!A:D,3,0),"")</f>
        <v/>
      </c>
    </row>
    <row r="6477" ht="11.25" customHeight="1">
      <c r="A6477" s="21"/>
      <c r="B6477" s="22"/>
      <c r="C6477" s="21"/>
      <c r="D6477" s="21"/>
      <c r="E6477" s="21"/>
      <c r="F6477" s="21"/>
      <c r="G6477" s="23"/>
      <c r="H6477" s="24" t="str">
        <f>IFERROR(VLOOKUP(B6477,material!A:D,3,0),"")</f>
        <v/>
      </c>
    </row>
    <row r="6478" ht="11.25" customHeight="1">
      <c r="A6478" s="21"/>
      <c r="B6478" s="22"/>
      <c r="C6478" s="21"/>
      <c r="D6478" s="21"/>
      <c r="E6478" s="21"/>
      <c r="F6478" s="21"/>
      <c r="G6478" s="23"/>
      <c r="H6478" s="24" t="str">
        <f>IFERROR(VLOOKUP(B6478,material!A:D,3,0),"")</f>
        <v/>
      </c>
    </row>
    <row r="6479" ht="11.25" customHeight="1">
      <c r="A6479" s="21"/>
      <c r="B6479" s="22"/>
      <c r="C6479" s="21"/>
      <c r="D6479" s="21"/>
      <c r="E6479" s="21"/>
      <c r="F6479" s="21"/>
      <c r="G6479" s="23"/>
      <c r="H6479" s="24" t="str">
        <f>IFERROR(VLOOKUP(B6479,material!A:D,3,0),"")</f>
        <v/>
      </c>
    </row>
    <row r="6480" ht="11.25" customHeight="1">
      <c r="A6480" s="21"/>
      <c r="B6480" s="22"/>
      <c r="C6480" s="21"/>
      <c r="D6480" s="21"/>
      <c r="E6480" s="21"/>
      <c r="F6480" s="21"/>
      <c r="G6480" s="23"/>
      <c r="H6480" s="24" t="str">
        <f>IFERROR(VLOOKUP(B6480,material!A:D,3,0),"")</f>
        <v/>
      </c>
    </row>
    <row r="6481" ht="11.25" customHeight="1">
      <c r="A6481" s="21"/>
      <c r="B6481" s="22"/>
      <c r="C6481" s="21"/>
      <c r="D6481" s="21"/>
      <c r="E6481" s="21"/>
      <c r="F6481" s="21"/>
      <c r="G6481" s="23"/>
      <c r="H6481" s="24" t="str">
        <f>IFERROR(VLOOKUP(B6481,material!A:D,3,0),"")</f>
        <v/>
      </c>
    </row>
    <row r="6482" ht="11.25" customHeight="1">
      <c r="A6482" s="21"/>
      <c r="B6482" s="22"/>
      <c r="C6482" s="21"/>
      <c r="D6482" s="21"/>
      <c r="E6482" s="21"/>
      <c r="F6482" s="21"/>
      <c r="G6482" s="23"/>
      <c r="H6482" s="24" t="str">
        <f>IFERROR(VLOOKUP(B6482,material!A:D,3,0),"")</f>
        <v/>
      </c>
    </row>
    <row r="6483" ht="11.25" customHeight="1">
      <c r="A6483" s="21"/>
      <c r="B6483" s="22"/>
      <c r="C6483" s="21"/>
      <c r="D6483" s="21"/>
      <c r="E6483" s="21"/>
      <c r="F6483" s="21"/>
      <c r="G6483" s="23"/>
      <c r="H6483" s="24" t="str">
        <f>IFERROR(VLOOKUP(B6483,material!A:D,3,0),"")</f>
        <v/>
      </c>
    </row>
    <row r="6484" ht="11.25" customHeight="1">
      <c r="A6484" s="21"/>
      <c r="B6484" s="22"/>
      <c r="C6484" s="21"/>
      <c r="D6484" s="21"/>
      <c r="E6484" s="21"/>
      <c r="F6484" s="21"/>
      <c r="G6484" s="23"/>
      <c r="H6484" s="24" t="str">
        <f>IFERROR(VLOOKUP(B6484,material!A:D,3,0),"")</f>
        <v/>
      </c>
    </row>
    <row r="6485" ht="11.25" customHeight="1">
      <c r="A6485" s="21"/>
      <c r="B6485" s="22"/>
      <c r="C6485" s="21"/>
      <c r="D6485" s="21"/>
      <c r="E6485" s="21"/>
      <c r="F6485" s="21"/>
      <c r="G6485" s="23"/>
      <c r="H6485" s="24" t="str">
        <f>IFERROR(VLOOKUP(B6485,material!A:D,3,0),"")</f>
        <v/>
      </c>
    </row>
    <row r="6486" ht="11.25" customHeight="1">
      <c r="A6486" s="21"/>
      <c r="B6486" s="22"/>
      <c r="C6486" s="21"/>
      <c r="D6486" s="21"/>
      <c r="E6486" s="21"/>
      <c r="F6486" s="21"/>
      <c r="G6486" s="23"/>
      <c r="H6486" s="24" t="str">
        <f>IFERROR(VLOOKUP(B6486,material!A:D,3,0),"")</f>
        <v/>
      </c>
    </row>
    <row r="6487" ht="11.25" customHeight="1">
      <c r="A6487" s="21"/>
      <c r="B6487" s="22"/>
      <c r="C6487" s="21"/>
      <c r="D6487" s="21"/>
      <c r="E6487" s="21"/>
      <c r="F6487" s="21"/>
      <c r="G6487" s="23"/>
      <c r="H6487" s="24" t="str">
        <f>IFERROR(VLOOKUP(B6487,material!A:D,3,0),"")</f>
        <v/>
      </c>
    </row>
    <row r="6488" ht="11.25" customHeight="1">
      <c r="A6488" s="21"/>
      <c r="B6488" s="22"/>
      <c r="C6488" s="21"/>
      <c r="D6488" s="21"/>
      <c r="E6488" s="21"/>
      <c r="F6488" s="21"/>
      <c r="G6488" s="23"/>
      <c r="H6488" s="24" t="str">
        <f>IFERROR(VLOOKUP(B6488,material!A:D,3,0),"")</f>
        <v/>
      </c>
    </row>
    <row r="6489" ht="11.25" customHeight="1">
      <c r="A6489" s="21"/>
      <c r="B6489" s="22"/>
      <c r="C6489" s="21"/>
      <c r="D6489" s="21"/>
      <c r="E6489" s="21"/>
      <c r="F6489" s="21"/>
      <c r="G6489" s="23"/>
      <c r="H6489" s="24" t="str">
        <f>IFERROR(VLOOKUP(B6489,material!A:D,3,0),"")</f>
        <v/>
      </c>
    </row>
    <row r="6490" ht="11.25" customHeight="1">
      <c r="A6490" s="21"/>
      <c r="B6490" s="22"/>
      <c r="C6490" s="21"/>
      <c r="D6490" s="21"/>
      <c r="E6490" s="21"/>
      <c r="F6490" s="21"/>
      <c r="G6490" s="23"/>
      <c r="H6490" s="24" t="str">
        <f>IFERROR(VLOOKUP(B6490,material!A:D,3,0),"")</f>
        <v/>
      </c>
    </row>
    <row r="6491" ht="11.25" customHeight="1">
      <c r="A6491" s="21"/>
      <c r="B6491" s="22"/>
      <c r="C6491" s="21"/>
      <c r="D6491" s="21"/>
      <c r="E6491" s="21"/>
      <c r="F6491" s="21"/>
      <c r="G6491" s="23"/>
      <c r="H6491" s="24" t="str">
        <f>IFERROR(VLOOKUP(B6491,material!A:D,3,0),"")</f>
        <v/>
      </c>
    </row>
    <row r="6492" ht="11.25" customHeight="1">
      <c r="A6492" s="21"/>
      <c r="B6492" s="22"/>
      <c r="C6492" s="21"/>
      <c r="D6492" s="21"/>
      <c r="E6492" s="21"/>
      <c r="F6492" s="21"/>
      <c r="G6492" s="23"/>
      <c r="H6492" s="24" t="str">
        <f>IFERROR(VLOOKUP(B6492,material!A:D,3,0),"")</f>
        <v/>
      </c>
    </row>
    <row r="6493" ht="11.25" customHeight="1">
      <c r="A6493" s="21"/>
      <c r="B6493" s="22"/>
      <c r="C6493" s="21"/>
      <c r="D6493" s="21"/>
      <c r="E6493" s="21"/>
      <c r="F6493" s="21"/>
      <c r="G6493" s="23"/>
      <c r="H6493" s="24" t="str">
        <f>IFERROR(VLOOKUP(B6493,material!A:D,3,0),"")</f>
        <v/>
      </c>
    </row>
    <row r="6494" ht="11.25" customHeight="1">
      <c r="A6494" s="21"/>
      <c r="B6494" s="22"/>
      <c r="C6494" s="21"/>
      <c r="D6494" s="21"/>
      <c r="E6494" s="21"/>
      <c r="F6494" s="21"/>
      <c r="G6494" s="23"/>
      <c r="H6494" s="24" t="str">
        <f>IFERROR(VLOOKUP(B6494,material!A:D,3,0),"")</f>
        <v/>
      </c>
    </row>
    <row r="6495" ht="11.25" customHeight="1">
      <c r="A6495" s="21"/>
      <c r="B6495" s="22"/>
      <c r="C6495" s="21"/>
      <c r="D6495" s="21"/>
      <c r="E6495" s="21"/>
      <c r="F6495" s="21"/>
      <c r="G6495" s="23"/>
      <c r="H6495" s="24" t="str">
        <f>IFERROR(VLOOKUP(B6495,material!A:D,3,0),"")</f>
        <v/>
      </c>
    </row>
    <row r="6496" ht="11.25" customHeight="1">
      <c r="A6496" s="21"/>
      <c r="B6496" s="22"/>
      <c r="C6496" s="21"/>
      <c r="D6496" s="21"/>
      <c r="E6496" s="21"/>
      <c r="F6496" s="21"/>
      <c r="G6496" s="23"/>
      <c r="H6496" s="24" t="str">
        <f>IFERROR(VLOOKUP(B6496,material!A:D,3,0),"")</f>
        <v/>
      </c>
    </row>
    <row r="6497" ht="11.25" customHeight="1">
      <c r="A6497" s="21"/>
      <c r="B6497" s="22"/>
      <c r="C6497" s="21"/>
      <c r="D6497" s="21"/>
      <c r="E6497" s="21"/>
      <c r="F6497" s="21"/>
      <c r="G6497" s="23"/>
      <c r="H6497" s="24" t="str">
        <f>IFERROR(VLOOKUP(B6497,material!A:D,3,0),"")</f>
        <v/>
      </c>
    </row>
    <row r="6498" ht="11.25" customHeight="1">
      <c r="A6498" s="21"/>
      <c r="B6498" s="22"/>
      <c r="C6498" s="21"/>
      <c r="D6498" s="21"/>
      <c r="E6498" s="21"/>
      <c r="F6498" s="21"/>
      <c r="G6498" s="23"/>
      <c r="H6498" s="24" t="str">
        <f>IFERROR(VLOOKUP(B6498,material!A:D,3,0),"")</f>
        <v/>
      </c>
    </row>
    <row r="6499" ht="11.25" customHeight="1">
      <c r="A6499" s="21"/>
      <c r="B6499" s="22"/>
      <c r="C6499" s="21"/>
      <c r="D6499" s="21"/>
      <c r="E6499" s="21"/>
      <c r="F6499" s="21"/>
      <c r="G6499" s="23"/>
      <c r="H6499" s="24" t="str">
        <f>IFERROR(VLOOKUP(B6499,material!A:D,3,0),"")</f>
        <v/>
      </c>
    </row>
    <row r="6500" ht="11.25" customHeight="1">
      <c r="A6500" s="21"/>
      <c r="B6500" s="22"/>
      <c r="C6500" s="21"/>
      <c r="D6500" s="21"/>
      <c r="E6500" s="21"/>
      <c r="F6500" s="21"/>
      <c r="G6500" s="23"/>
      <c r="H6500" s="24" t="str">
        <f>IFERROR(VLOOKUP(B6500,material!A:D,3,0),"")</f>
        <v/>
      </c>
    </row>
    <row r="6501" ht="11.25" customHeight="1">
      <c r="A6501" s="21"/>
      <c r="B6501" s="22"/>
      <c r="C6501" s="21"/>
      <c r="D6501" s="21"/>
      <c r="E6501" s="21"/>
      <c r="F6501" s="21"/>
      <c r="G6501" s="23"/>
      <c r="H6501" s="24" t="str">
        <f>IFERROR(VLOOKUP(B6501,material!A:D,3,0),"")</f>
        <v/>
      </c>
    </row>
    <row r="6502" ht="11.25" customHeight="1">
      <c r="A6502" s="21"/>
      <c r="B6502" s="22"/>
      <c r="C6502" s="21"/>
      <c r="D6502" s="21"/>
      <c r="E6502" s="21"/>
      <c r="F6502" s="21"/>
      <c r="G6502" s="23"/>
      <c r="H6502" s="24" t="str">
        <f>IFERROR(VLOOKUP(B6502,material!A:D,3,0),"")</f>
        <v/>
      </c>
    </row>
    <row r="6503" ht="11.25" customHeight="1">
      <c r="A6503" s="21"/>
      <c r="B6503" s="22"/>
      <c r="C6503" s="21"/>
      <c r="D6503" s="21"/>
      <c r="E6503" s="21"/>
      <c r="F6503" s="21"/>
      <c r="G6503" s="23"/>
      <c r="H6503" s="24" t="str">
        <f>IFERROR(VLOOKUP(B6503,material!A:D,3,0),"")</f>
        <v/>
      </c>
    </row>
    <row r="6504" ht="11.25" customHeight="1">
      <c r="A6504" s="21"/>
      <c r="B6504" s="22"/>
      <c r="C6504" s="21"/>
      <c r="D6504" s="21"/>
      <c r="E6504" s="21"/>
      <c r="F6504" s="21"/>
      <c r="G6504" s="23"/>
      <c r="H6504" s="24" t="str">
        <f>IFERROR(VLOOKUP(B6504,material!A:D,3,0),"")</f>
        <v/>
      </c>
    </row>
    <row r="6505" ht="11.25" customHeight="1">
      <c r="A6505" s="21"/>
      <c r="B6505" s="22"/>
      <c r="C6505" s="21"/>
      <c r="D6505" s="21"/>
      <c r="E6505" s="21"/>
      <c r="F6505" s="21"/>
      <c r="G6505" s="23"/>
      <c r="H6505" s="24" t="str">
        <f>IFERROR(VLOOKUP(B6505,material!A:D,3,0),"")</f>
        <v/>
      </c>
    </row>
    <row r="6506" ht="11.25" customHeight="1">
      <c r="A6506" s="21"/>
      <c r="B6506" s="22"/>
      <c r="C6506" s="21"/>
      <c r="D6506" s="21"/>
      <c r="E6506" s="21"/>
      <c r="F6506" s="21"/>
      <c r="G6506" s="23"/>
      <c r="H6506" s="24" t="str">
        <f>IFERROR(VLOOKUP(B6506,material!A:D,3,0),"")</f>
        <v/>
      </c>
    </row>
    <row r="6507" ht="11.25" customHeight="1">
      <c r="A6507" s="21"/>
      <c r="B6507" s="22"/>
      <c r="C6507" s="21"/>
      <c r="D6507" s="21"/>
      <c r="E6507" s="21"/>
      <c r="F6507" s="21"/>
      <c r="G6507" s="23"/>
      <c r="H6507" s="24" t="str">
        <f>IFERROR(VLOOKUP(B6507,material!A:D,3,0),"")</f>
        <v/>
      </c>
    </row>
    <row r="6508" ht="11.25" customHeight="1">
      <c r="A6508" s="21"/>
      <c r="B6508" s="22"/>
      <c r="C6508" s="21"/>
      <c r="D6508" s="21"/>
      <c r="E6508" s="21"/>
      <c r="F6508" s="21"/>
      <c r="G6508" s="23"/>
      <c r="H6508" s="24" t="str">
        <f>IFERROR(VLOOKUP(B6508,material!A:D,3,0),"")</f>
        <v/>
      </c>
    </row>
    <row r="6509" ht="11.25" customHeight="1">
      <c r="A6509" s="21"/>
      <c r="B6509" s="22"/>
      <c r="C6509" s="21"/>
      <c r="D6509" s="21"/>
      <c r="E6509" s="21"/>
      <c r="F6509" s="21"/>
      <c r="G6509" s="23"/>
      <c r="H6509" s="24" t="str">
        <f>IFERROR(VLOOKUP(B6509,material!A:D,3,0),"")</f>
        <v/>
      </c>
    </row>
    <row r="6510" ht="11.25" customHeight="1">
      <c r="A6510" s="21"/>
      <c r="B6510" s="22"/>
      <c r="C6510" s="21"/>
      <c r="D6510" s="21"/>
      <c r="E6510" s="21"/>
      <c r="F6510" s="21"/>
      <c r="G6510" s="23"/>
      <c r="H6510" s="24" t="str">
        <f>IFERROR(VLOOKUP(B6510,material!A:D,3,0),"")</f>
        <v/>
      </c>
    </row>
    <row r="6511" ht="11.25" customHeight="1">
      <c r="A6511" s="21"/>
      <c r="B6511" s="22"/>
      <c r="C6511" s="21"/>
      <c r="D6511" s="21"/>
      <c r="E6511" s="21"/>
      <c r="F6511" s="21"/>
      <c r="G6511" s="23"/>
      <c r="H6511" s="24" t="str">
        <f>IFERROR(VLOOKUP(B6511,material!A:D,3,0),"")</f>
        <v/>
      </c>
    </row>
    <row r="6512" ht="11.25" customHeight="1">
      <c r="A6512" s="21"/>
      <c r="B6512" s="22"/>
      <c r="C6512" s="21"/>
      <c r="D6512" s="21"/>
      <c r="E6512" s="21"/>
      <c r="F6512" s="21"/>
      <c r="G6512" s="23"/>
      <c r="H6512" s="24" t="str">
        <f>IFERROR(VLOOKUP(B6512,material!A:D,3,0),"")</f>
        <v/>
      </c>
    </row>
    <row r="6513" ht="11.25" customHeight="1">
      <c r="A6513" s="21"/>
      <c r="B6513" s="22"/>
      <c r="C6513" s="21"/>
      <c r="D6513" s="21"/>
      <c r="E6513" s="21"/>
      <c r="F6513" s="21"/>
      <c r="G6513" s="23"/>
      <c r="H6513" s="24" t="str">
        <f>IFERROR(VLOOKUP(B6513,material!A:D,3,0),"")</f>
        <v/>
      </c>
    </row>
    <row r="6514" ht="11.25" customHeight="1">
      <c r="A6514" s="21"/>
      <c r="B6514" s="22"/>
      <c r="C6514" s="21"/>
      <c r="D6514" s="21"/>
      <c r="E6514" s="21"/>
      <c r="F6514" s="21"/>
      <c r="G6514" s="23"/>
      <c r="H6514" s="24" t="str">
        <f>IFERROR(VLOOKUP(B6514,material!A:D,3,0),"")</f>
        <v/>
      </c>
    </row>
    <row r="6515" ht="11.25" customHeight="1">
      <c r="A6515" s="21"/>
      <c r="B6515" s="22"/>
      <c r="C6515" s="21"/>
      <c r="D6515" s="21"/>
      <c r="E6515" s="21"/>
      <c r="F6515" s="21"/>
      <c r="G6515" s="23"/>
      <c r="H6515" s="24" t="str">
        <f>IFERROR(VLOOKUP(B6515,material!A:D,3,0),"")</f>
        <v/>
      </c>
    </row>
    <row r="6516" ht="11.25" customHeight="1">
      <c r="A6516" s="21"/>
      <c r="B6516" s="22"/>
      <c r="C6516" s="21"/>
      <c r="D6516" s="21"/>
      <c r="E6516" s="21"/>
      <c r="F6516" s="21"/>
      <c r="G6516" s="23"/>
      <c r="H6516" s="24" t="str">
        <f>IFERROR(VLOOKUP(B6516,material!A:D,3,0),"")</f>
        <v/>
      </c>
    </row>
    <row r="6517" ht="11.25" customHeight="1">
      <c r="A6517" s="21"/>
      <c r="B6517" s="22"/>
      <c r="C6517" s="21"/>
      <c r="D6517" s="21"/>
      <c r="E6517" s="21"/>
      <c r="F6517" s="21"/>
      <c r="G6517" s="23"/>
      <c r="H6517" s="24" t="str">
        <f>IFERROR(VLOOKUP(B6517,material!A:D,3,0),"")</f>
        <v/>
      </c>
    </row>
    <row r="6518" ht="11.25" customHeight="1">
      <c r="A6518" s="21"/>
      <c r="B6518" s="22"/>
      <c r="C6518" s="21"/>
      <c r="D6518" s="21"/>
      <c r="E6518" s="21"/>
      <c r="F6518" s="21"/>
      <c r="G6518" s="23"/>
      <c r="H6518" s="24" t="str">
        <f>IFERROR(VLOOKUP(B6518,material!A:D,3,0),"")</f>
        <v/>
      </c>
    </row>
    <row r="6519" ht="11.25" customHeight="1">
      <c r="A6519" s="21"/>
      <c r="B6519" s="22"/>
      <c r="C6519" s="21"/>
      <c r="D6519" s="21"/>
      <c r="E6519" s="21"/>
      <c r="F6519" s="21"/>
      <c r="G6519" s="23"/>
      <c r="H6519" s="24" t="str">
        <f>IFERROR(VLOOKUP(B6519,material!A:D,3,0),"")</f>
        <v/>
      </c>
    </row>
    <row r="6520" ht="11.25" customHeight="1">
      <c r="A6520" s="21"/>
      <c r="B6520" s="22"/>
      <c r="C6520" s="21"/>
      <c r="D6520" s="21"/>
      <c r="E6520" s="21"/>
      <c r="F6520" s="21"/>
      <c r="G6520" s="23"/>
      <c r="H6520" s="24" t="str">
        <f>IFERROR(VLOOKUP(B6520,material!A:D,3,0),"")</f>
        <v/>
      </c>
    </row>
    <row r="6521" ht="11.25" customHeight="1">
      <c r="A6521" s="21"/>
      <c r="B6521" s="22"/>
      <c r="C6521" s="21"/>
      <c r="D6521" s="21"/>
      <c r="E6521" s="21"/>
      <c r="F6521" s="21"/>
      <c r="G6521" s="23"/>
      <c r="H6521" s="24" t="str">
        <f>IFERROR(VLOOKUP(B6521,material!A:D,3,0),"")</f>
        <v/>
      </c>
    </row>
    <row r="6522" ht="11.25" customHeight="1">
      <c r="A6522" s="21"/>
      <c r="B6522" s="22"/>
      <c r="C6522" s="21"/>
      <c r="D6522" s="21"/>
      <c r="E6522" s="21"/>
      <c r="F6522" s="21"/>
      <c r="G6522" s="23"/>
      <c r="H6522" s="24" t="str">
        <f>IFERROR(VLOOKUP(B6522,material!A:D,3,0),"")</f>
        <v/>
      </c>
    </row>
    <row r="6523" ht="11.25" customHeight="1">
      <c r="A6523" s="21"/>
      <c r="B6523" s="22"/>
      <c r="C6523" s="21"/>
      <c r="D6523" s="21"/>
      <c r="E6523" s="21"/>
      <c r="F6523" s="21"/>
      <c r="G6523" s="23"/>
      <c r="H6523" s="24" t="str">
        <f>IFERROR(VLOOKUP(B6523,material!A:D,3,0),"")</f>
        <v/>
      </c>
    </row>
    <row r="6524" ht="11.25" customHeight="1">
      <c r="A6524" s="21"/>
      <c r="B6524" s="22"/>
      <c r="C6524" s="21"/>
      <c r="D6524" s="21"/>
      <c r="E6524" s="21"/>
      <c r="F6524" s="21"/>
      <c r="G6524" s="23"/>
      <c r="H6524" s="24" t="str">
        <f>IFERROR(VLOOKUP(B6524,material!A:D,3,0),"")</f>
        <v/>
      </c>
    </row>
    <row r="6525" ht="11.25" customHeight="1">
      <c r="A6525" s="21"/>
      <c r="B6525" s="22"/>
      <c r="C6525" s="21"/>
      <c r="D6525" s="21"/>
      <c r="E6525" s="21"/>
      <c r="F6525" s="21"/>
      <c r="G6525" s="23"/>
      <c r="H6525" s="24" t="str">
        <f>IFERROR(VLOOKUP(B6525,material!A:D,3,0),"")</f>
        <v/>
      </c>
    </row>
    <row r="6526" ht="11.25" customHeight="1">
      <c r="A6526" s="21"/>
      <c r="B6526" s="22"/>
      <c r="C6526" s="21"/>
      <c r="D6526" s="21"/>
      <c r="E6526" s="21"/>
      <c r="F6526" s="21"/>
      <c r="G6526" s="23"/>
      <c r="H6526" s="24" t="str">
        <f>IFERROR(VLOOKUP(B6526,material!A:D,3,0),"")</f>
        <v/>
      </c>
    </row>
    <row r="6527" ht="11.25" customHeight="1">
      <c r="A6527" s="21"/>
      <c r="B6527" s="22"/>
      <c r="C6527" s="21"/>
      <c r="D6527" s="21"/>
      <c r="E6527" s="21"/>
      <c r="F6527" s="21"/>
      <c r="G6527" s="23"/>
      <c r="H6527" s="24" t="str">
        <f>IFERROR(VLOOKUP(B6527,material!A:D,3,0),"")</f>
        <v/>
      </c>
    </row>
    <row r="6528" ht="11.25" customHeight="1">
      <c r="A6528" s="21"/>
      <c r="B6528" s="22"/>
      <c r="C6528" s="21"/>
      <c r="D6528" s="21"/>
      <c r="E6528" s="21"/>
      <c r="F6528" s="21"/>
      <c r="G6528" s="23"/>
      <c r="H6528" s="24" t="str">
        <f>IFERROR(VLOOKUP(B6528,material!A:D,3,0),"")</f>
        <v/>
      </c>
    </row>
    <row r="6529" ht="11.25" customHeight="1">
      <c r="A6529" s="21"/>
      <c r="B6529" s="22"/>
      <c r="C6529" s="21"/>
      <c r="D6529" s="21"/>
      <c r="E6529" s="21"/>
      <c r="F6529" s="21"/>
      <c r="G6529" s="23"/>
      <c r="H6529" s="24" t="str">
        <f>IFERROR(VLOOKUP(B6529,material!A:D,3,0),"")</f>
        <v/>
      </c>
    </row>
    <row r="6530" ht="11.25" customHeight="1">
      <c r="A6530" s="21"/>
      <c r="B6530" s="22"/>
      <c r="C6530" s="21"/>
      <c r="D6530" s="21"/>
      <c r="E6530" s="21"/>
      <c r="F6530" s="21"/>
      <c r="G6530" s="23"/>
      <c r="H6530" s="24" t="str">
        <f>IFERROR(VLOOKUP(B6530,material!A:D,3,0),"")</f>
        <v/>
      </c>
    </row>
    <row r="6531" ht="11.25" customHeight="1">
      <c r="A6531" s="21"/>
      <c r="B6531" s="22"/>
      <c r="C6531" s="21"/>
      <c r="D6531" s="21"/>
      <c r="E6531" s="21"/>
      <c r="F6531" s="21"/>
      <c r="G6531" s="23"/>
      <c r="H6531" s="24" t="str">
        <f>IFERROR(VLOOKUP(B6531,material!A:D,3,0),"")</f>
        <v/>
      </c>
    </row>
    <row r="6532" ht="11.25" customHeight="1">
      <c r="A6532" s="21"/>
      <c r="B6532" s="22"/>
      <c r="C6532" s="21"/>
      <c r="D6532" s="21"/>
      <c r="E6532" s="21"/>
      <c r="F6532" s="21"/>
      <c r="G6532" s="23"/>
      <c r="H6532" s="24" t="str">
        <f>IFERROR(VLOOKUP(B6532,material!A:D,3,0),"")</f>
        <v/>
      </c>
    </row>
    <row r="6533" ht="11.25" customHeight="1">
      <c r="A6533" s="21"/>
      <c r="B6533" s="22"/>
      <c r="C6533" s="21"/>
      <c r="D6533" s="21"/>
      <c r="E6533" s="21"/>
      <c r="F6533" s="21"/>
      <c r="G6533" s="23"/>
      <c r="H6533" s="24" t="str">
        <f>IFERROR(VLOOKUP(B6533,material!A:D,3,0),"")</f>
        <v/>
      </c>
    </row>
    <row r="6534" ht="11.25" customHeight="1">
      <c r="A6534" s="21"/>
      <c r="B6534" s="22"/>
      <c r="C6534" s="21"/>
      <c r="D6534" s="21"/>
      <c r="E6534" s="21"/>
      <c r="F6534" s="21"/>
      <c r="G6534" s="23"/>
      <c r="H6534" s="24" t="str">
        <f>IFERROR(VLOOKUP(B6534,material!A:D,3,0),"")</f>
        <v/>
      </c>
    </row>
    <row r="6535" ht="11.25" customHeight="1">
      <c r="A6535" s="21"/>
      <c r="B6535" s="22"/>
      <c r="C6535" s="21"/>
      <c r="D6535" s="21"/>
      <c r="E6535" s="21"/>
      <c r="F6535" s="21"/>
      <c r="G6535" s="23"/>
      <c r="H6535" s="24" t="str">
        <f>IFERROR(VLOOKUP(B6535,material!A:D,3,0),"")</f>
        <v/>
      </c>
    </row>
    <row r="6536" ht="11.25" customHeight="1">
      <c r="A6536" s="21"/>
      <c r="B6536" s="22"/>
      <c r="C6536" s="21"/>
      <c r="D6536" s="21"/>
      <c r="E6536" s="21"/>
      <c r="F6536" s="21"/>
      <c r="G6536" s="23"/>
      <c r="H6536" s="24" t="str">
        <f>IFERROR(VLOOKUP(B6536,material!A:D,3,0),"")</f>
        <v/>
      </c>
    </row>
    <row r="6537" ht="11.25" customHeight="1">
      <c r="A6537" s="21"/>
      <c r="B6537" s="22"/>
      <c r="C6537" s="21"/>
      <c r="D6537" s="21"/>
      <c r="E6537" s="21"/>
      <c r="F6537" s="21"/>
      <c r="G6537" s="23"/>
      <c r="H6537" s="24" t="str">
        <f>IFERROR(VLOOKUP(B6537,material!A:D,3,0),"")</f>
        <v/>
      </c>
    </row>
    <row r="6538" ht="11.25" customHeight="1">
      <c r="A6538" s="21"/>
      <c r="B6538" s="22"/>
      <c r="C6538" s="21"/>
      <c r="D6538" s="21"/>
      <c r="E6538" s="21"/>
      <c r="F6538" s="21"/>
      <c r="G6538" s="23"/>
      <c r="H6538" s="24" t="str">
        <f>IFERROR(VLOOKUP(B6538,material!A:D,3,0),"")</f>
        <v/>
      </c>
    </row>
    <row r="6539" ht="11.25" customHeight="1">
      <c r="A6539" s="21"/>
      <c r="B6539" s="22"/>
      <c r="C6539" s="21"/>
      <c r="D6539" s="21"/>
      <c r="E6539" s="21"/>
      <c r="F6539" s="21"/>
      <c r="G6539" s="23"/>
      <c r="H6539" s="24" t="str">
        <f>IFERROR(VLOOKUP(B6539,material!A:D,3,0),"")</f>
        <v/>
      </c>
    </row>
    <row r="6540" ht="11.25" customHeight="1">
      <c r="A6540" s="21"/>
      <c r="B6540" s="22"/>
      <c r="C6540" s="21"/>
      <c r="D6540" s="21"/>
      <c r="E6540" s="21"/>
      <c r="F6540" s="21"/>
      <c r="G6540" s="23"/>
      <c r="H6540" s="24" t="str">
        <f>IFERROR(VLOOKUP(B6540,material!A:D,3,0),"")</f>
        <v/>
      </c>
    </row>
    <row r="6541" ht="11.25" customHeight="1">
      <c r="A6541" s="21"/>
      <c r="B6541" s="22"/>
      <c r="C6541" s="21"/>
      <c r="D6541" s="21"/>
      <c r="E6541" s="21"/>
      <c r="F6541" s="21"/>
      <c r="G6541" s="23"/>
      <c r="H6541" s="24" t="str">
        <f>IFERROR(VLOOKUP(B6541,material!A:D,3,0),"")</f>
        <v/>
      </c>
    </row>
    <row r="6542" ht="11.25" customHeight="1">
      <c r="A6542" s="21"/>
      <c r="B6542" s="22"/>
      <c r="C6542" s="21"/>
      <c r="D6542" s="21"/>
      <c r="E6542" s="21"/>
      <c r="F6542" s="21"/>
      <c r="G6542" s="23"/>
      <c r="H6542" s="24" t="str">
        <f>IFERROR(VLOOKUP(B6542,material!A:D,3,0),"")</f>
        <v/>
      </c>
    </row>
    <row r="6543" ht="11.25" customHeight="1">
      <c r="A6543" s="21"/>
      <c r="B6543" s="22"/>
      <c r="C6543" s="21"/>
      <c r="D6543" s="21"/>
      <c r="E6543" s="21"/>
      <c r="F6543" s="21"/>
      <c r="G6543" s="23"/>
      <c r="H6543" s="24" t="str">
        <f>IFERROR(VLOOKUP(B6543,material!A:D,3,0),"")</f>
        <v/>
      </c>
    </row>
    <row r="6544" ht="11.25" customHeight="1">
      <c r="A6544" s="21"/>
      <c r="B6544" s="22"/>
      <c r="C6544" s="21"/>
      <c r="D6544" s="21"/>
      <c r="E6544" s="21"/>
      <c r="F6544" s="21"/>
      <c r="G6544" s="23"/>
      <c r="H6544" s="24" t="str">
        <f>IFERROR(VLOOKUP(B6544,material!A:D,3,0),"")</f>
        <v/>
      </c>
    </row>
    <row r="6545" ht="11.25" customHeight="1">
      <c r="A6545" s="21"/>
      <c r="B6545" s="22"/>
      <c r="C6545" s="21"/>
      <c r="D6545" s="21"/>
      <c r="E6545" s="21"/>
      <c r="F6545" s="21"/>
      <c r="G6545" s="23"/>
      <c r="H6545" s="24" t="str">
        <f>IFERROR(VLOOKUP(B6545,material!A:D,3,0),"")</f>
        <v/>
      </c>
    </row>
    <row r="6546" ht="11.25" customHeight="1">
      <c r="A6546" s="21"/>
      <c r="B6546" s="22"/>
      <c r="C6546" s="21"/>
      <c r="D6546" s="21"/>
      <c r="E6546" s="21"/>
      <c r="F6546" s="21"/>
      <c r="G6546" s="23"/>
      <c r="H6546" s="24" t="str">
        <f>IFERROR(VLOOKUP(B6546,material!A:D,3,0),"")</f>
        <v/>
      </c>
    </row>
    <row r="6547" ht="11.25" customHeight="1">
      <c r="A6547" s="21"/>
      <c r="B6547" s="22"/>
      <c r="C6547" s="21"/>
      <c r="D6547" s="21"/>
      <c r="E6547" s="21"/>
      <c r="F6547" s="21"/>
      <c r="G6547" s="23"/>
      <c r="H6547" s="24" t="str">
        <f>IFERROR(VLOOKUP(B6547,material!A:D,3,0),"")</f>
        <v/>
      </c>
    </row>
    <row r="6548" ht="11.25" customHeight="1">
      <c r="A6548" s="21"/>
      <c r="B6548" s="22"/>
      <c r="C6548" s="21"/>
      <c r="D6548" s="21"/>
      <c r="E6548" s="21"/>
      <c r="F6548" s="21"/>
      <c r="G6548" s="23"/>
      <c r="H6548" s="24" t="str">
        <f>IFERROR(VLOOKUP(B6548,material!A:D,3,0),"")</f>
        <v/>
      </c>
    </row>
    <row r="6549" ht="11.25" customHeight="1">
      <c r="A6549" s="21"/>
      <c r="B6549" s="22"/>
      <c r="C6549" s="21"/>
      <c r="D6549" s="21"/>
      <c r="E6549" s="21"/>
      <c r="F6549" s="21"/>
      <c r="G6549" s="23"/>
      <c r="H6549" s="24" t="str">
        <f>IFERROR(VLOOKUP(B6549,material!A:D,3,0),"")</f>
        <v/>
      </c>
    </row>
    <row r="6550" ht="11.25" customHeight="1">
      <c r="A6550" s="21"/>
      <c r="B6550" s="22"/>
      <c r="C6550" s="21"/>
      <c r="D6550" s="21"/>
      <c r="E6550" s="21"/>
      <c r="F6550" s="21"/>
      <c r="G6550" s="23"/>
      <c r="H6550" s="24" t="str">
        <f>IFERROR(VLOOKUP(B6550,material!A:D,3,0),"")</f>
        <v/>
      </c>
    </row>
    <row r="6551" ht="11.25" customHeight="1">
      <c r="A6551" s="21"/>
      <c r="B6551" s="22"/>
      <c r="C6551" s="21"/>
      <c r="D6551" s="21"/>
      <c r="E6551" s="21"/>
      <c r="F6551" s="21"/>
      <c r="G6551" s="23"/>
      <c r="H6551" s="24" t="str">
        <f>IFERROR(VLOOKUP(B6551,material!A:D,3,0),"")</f>
        <v/>
      </c>
    </row>
    <row r="6552" ht="11.25" customHeight="1">
      <c r="A6552" s="21"/>
      <c r="B6552" s="22"/>
      <c r="C6552" s="21"/>
      <c r="D6552" s="21"/>
      <c r="E6552" s="21"/>
      <c r="F6552" s="21"/>
      <c r="G6552" s="23"/>
      <c r="H6552" s="24" t="str">
        <f>IFERROR(VLOOKUP(B6552,material!A:D,3,0),"")</f>
        <v/>
      </c>
    </row>
    <row r="6553" ht="11.25" customHeight="1">
      <c r="A6553" s="21"/>
      <c r="B6553" s="22"/>
      <c r="C6553" s="21"/>
      <c r="D6553" s="21"/>
      <c r="E6553" s="21"/>
      <c r="F6553" s="21"/>
      <c r="G6553" s="23"/>
      <c r="H6553" s="24" t="str">
        <f>IFERROR(VLOOKUP(B6553,material!A:D,3,0),"")</f>
        <v/>
      </c>
    </row>
    <row r="6554" ht="11.25" customHeight="1">
      <c r="A6554" s="21"/>
      <c r="B6554" s="22"/>
      <c r="C6554" s="21"/>
      <c r="D6554" s="21"/>
      <c r="E6554" s="21"/>
      <c r="F6554" s="21"/>
      <c r="G6554" s="23"/>
      <c r="H6554" s="24" t="str">
        <f>IFERROR(VLOOKUP(B6554,material!A:D,3,0),"")</f>
        <v/>
      </c>
    </row>
    <row r="6555" ht="11.25" customHeight="1">
      <c r="A6555" s="21"/>
      <c r="B6555" s="22"/>
      <c r="C6555" s="21"/>
      <c r="D6555" s="21"/>
      <c r="E6555" s="21"/>
      <c r="F6555" s="21"/>
      <c r="G6555" s="23"/>
      <c r="H6555" s="24" t="str">
        <f>IFERROR(VLOOKUP(B6555,material!A:D,3,0),"")</f>
        <v/>
      </c>
    </row>
    <row r="6556" ht="11.25" customHeight="1">
      <c r="A6556" s="21"/>
      <c r="B6556" s="22"/>
      <c r="C6556" s="21"/>
      <c r="D6556" s="21"/>
      <c r="E6556" s="21"/>
      <c r="F6556" s="21"/>
      <c r="G6556" s="23"/>
      <c r="H6556" s="24" t="str">
        <f>IFERROR(VLOOKUP(B6556,material!A:D,3,0),"")</f>
        <v/>
      </c>
    </row>
    <row r="6557" ht="11.25" customHeight="1">
      <c r="A6557" s="21"/>
      <c r="B6557" s="22"/>
      <c r="C6557" s="21"/>
      <c r="D6557" s="21"/>
      <c r="E6557" s="21"/>
      <c r="F6557" s="21"/>
      <c r="G6557" s="23"/>
      <c r="H6557" s="24" t="str">
        <f>IFERROR(VLOOKUP(B6557,material!A:D,3,0),"")</f>
        <v/>
      </c>
    </row>
    <row r="6558" ht="11.25" customHeight="1">
      <c r="A6558" s="21"/>
      <c r="B6558" s="22"/>
      <c r="C6558" s="21"/>
      <c r="D6558" s="21"/>
      <c r="E6558" s="21"/>
      <c r="F6558" s="21"/>
      <c r="G6558" s="23"/>
      <c r="H6558" s="24" t="str">
        <f>IFERROR(VLOOKUP(B6558,material!A:D,3,0),"")</f>
        <v/>
      </c>
    </row>
    <row r="6559" ht="11.25" customHeight="1">
      <c r="A6559" s="21"/>
      <c r="B6559" s="22"/>
      <c r="C6559" s="21"/>
      <c r="D6559" s="21"/>
      <c r="E6559" s="21"/>
      <c r="F6559" s="21"/>
      <c r="G6559" s="23"/>
      <c r="H6559" s="24" t="str">
        <f>IFERROR(VLOOKUP(B6559,material!A:D,3,0),"")</f>
        <v/>
      </c>
    </row>
    <row r="6560" ht="11.25" customHeight="1">
      <c r="A6560" s="21"/>
      <c r="B6560" s="22"/>
      <c r="C6560" s="21"/>
      <c r="D6560" s="21"/>
      <c r="E6560" s="21"/>
      <c r="F6560" s="21"/>
      <c r="G6560" s="23"/>
      <c r="H6560" s="24" t="str">
        <f>IFERROR(VLOOKUP(B6560,material!A:D,3,0),"")</f>
        <v/>
      </c>
    </row>
    <row r="6561" ht="11.25" customHeight="1">
      <c r="A6561" s="21"/>
      <c r="B6561" s="22"/>
      <c r="C6561" s="21"/>
      <c r="D6561" s="21"/>
      <c r="E6561" s="21"/>
      <c r="F6561" s="21"/>
      <c r="G6561" s="23"/>
      <c r="H6561" s="24" t="str">
        <f>IFERROR(VLOOKUP(B6561,material!A:D,3,0),"")</f>
        <v/>
      </c>
    </row>
    <row r="6562" ht="11.25" customHeight="1">
      <c r="A6562" s="21"/>
      <c r="B6562" s="22"/>
      <c r="C6562" s="21"/>
      <c r="D6562" s="21"/>
      <c r="E6562" s="21"/>
      <c r="F6562" s="21"/>
      <c r="G6562" s="23"/>
      <c r="H6562" s="24" t="str">
        <f>IFERROR(VLOOKUP(B6562,material!A:D,3,0),"")</f>
        <v/>
      </c>
    </row>
    <row r="6563" ht="11.25" customHeight="1">
      <c r="A6563" s="21"/>
      <c r="B6563" s="22"/>
      <c r="C6563" s="21"/>
      <c r="D6563" s="21"/>
      <c r="E6563" s="21"/>
      <c r="F6563" s="21"/>
      <c r="G6563" s="23"/>
      <c r="H6563" s="24" t="str">
        <f>IFERROR(VLOOKUP(B6563,material!A:D,3,0),"")</f>
        <v/>
      </c>
    </row>
    <row r="6564" ht="11.25" customHeight="1">
      <c r="A6564" s="21"/>
      <c r="B6564" s="22"/>
      <c r="C6564" s="21"/>
      <c r="D6564" s="21"/>
      <c r="E6564" s="21"/>
      <c r="F6564" s="21"/>
      <c r="G6564" s="23"/>
      <c r="H6564" s="24" t="str">
        <f>IFERROR(VLOOKUP(B6564,material!A:D,3,0),"")</f>
        <v/>
      </c>
    </row>
    <row r="6565" ht="11.25" customHeight="1">
      <c r="A6565" s="21"/>
      <c r="B6565" s="22"/>
      <c r="C6565" s="21"/>
      <c r="D6565" s="21"/>
      <c r="E6565" s="21"/>
      <c r="F6565" s="21"/>
      <c r="G6565" s="23"/>
      <c r="H6565" s="24" t="str">
        <f>IFERROR(VLOOKUP(B6565,material!A:D,3,0),"")</f>
        <v/>
      </c>
    </row>
    <row r="6566" ht="11.25" customHeight="1">
      <c r="A6566" s="21"/>
      <c r="B6566" s="22"/>
      <c r="C6566" s="21"/>
      <c r="D6566" s="21"/>
      <c r="E6566" s="21"/>
      <c r="F6566" s="21"/>
      <c r="G6566" s="23"/>
      <c r="H6566" s="24" t="str">
        <f>IFERROR(VLOOKUP(B6566,material!A:D,3,0),"")</f>
        <v/>
      </c>
    </row>
    <row r="6567" ht="11.25" customHeight="1">
      <c r="A6567" s="21"/>
      <c r="B6567" s="22"/>
      <c r="C6567" s="21"/>
      <c r="D6567" s="21"/>
      <c r="E6567" s="21"/>
      <c r="F6567" s="21"/>
      <c r="G6567" s="23"/>
      <c r="H6567" s="24" t="str">
        <f>IFERROR(VLOOKUP(B6567,material!A:D,3,0),"")</f>
        <v/>
      </c>
    </row>
    <row r="6568" ht="11.25" customHeight="1">
      <c r="A6568" s="21"/>
      <c r="B6568" s="22"/>
      <c r="C6568" s="21"/>
      <c r="D6568" s="21"/>
      <c r="E6568" s="21"/>
      <c r="F6568" s="21"/>
      <c r="G6568" s="23"/>
      <c r="H6568" s="24" t="str">
        <f>IFERROR(VLOOKUP(B6568,material!A:D,3,0),"")</f>
        <v/>
      </c>
    </row>
    <row r="6569" ht="11.25" customHeight="1">
      <c r="A6569" s="21"/>
      <c r="B6569" s="22"/>
      <c r="C6569" s="21"/>
      <c r="D6569" s="21"/>
      <c r="E6569" s="21"/>
      <c r="F6569" s="21"/>
      <c r="G6569" s="23"/>
      <c r="H6569" s="24" t="str">
        <f>IFERROR(VLOOKUP(B6569,material!A:D,3,0),"")</f>
        <v/>
      </c>
    </row>
    <row r="6570" ht="11.25" customHeight="1">
      <c r="A6570" s="21"/>
      <c r="B6570" s="22"/>
      <c r="C6570" s="21"/>
      <c r="D6570" s="21"/>
      <c r="E6570" s="21"/>
      <c r="F6570" s="21"/>
      <c r="G6570" s="23"/>
      <c r="H6570" s="24" t="str">
        <f>IFERROR(VLOOKUP(B6570,material!A:D,3,0),"")</f>
        <v/>
      </c>
    </row>
    <row r="6571" ht="11.25" customHeight="1">
      <c r="A6571" s="21"/>
      <c r="B6571" s="22"/>
      <c r="C6571" s="21"/>
      <c r="D6571" s="21"/>
      <c r="E6571" s="21"/>
      <c r="F6571" s="21"/>
      <c r="G6571" s="23"/>
      <c r="H6571" s="24" t="str">
        <f>IFERROR(VLOOKUP(B6571,material!A:D,3,0),"")</f>
        <v/>
      </c>
    </row>
    <row r="6572" ht="11.25" customHeight="1">
      <c r="A6572" s="21"/>
      <c r="B6572" s="22"/>
      <c r="C6572" s="21"/>
      <c r="D6572" s="21"/>
      <c r="E6572" s="21"/>
      <c r="F6572" s="21"/>
      <c r="G6572" s="23"/>
      <c r="H6572" s="24" t="str">
        <f>IFERROR(VLOOKUP(B6572,material!A:D,3,0),"")</f>
        <v/>
      </c>
    </row>
    <row r="6573" ht="11.25" customHeight="1">
      <c r="A6573" s="21"/>
      <c r="B6573" s="22"/>
      <c r="C6573" s="21"/>
      <c r="D6573" s="21"/>
      <c r="E6573" s="21"/>
      <c r="F6573" s="21"/>
      <c r="G6573" s="23"/>
      <c r="H6573" s="24" t="str">
        <f>IFERROR(VLOOKUP(B6573,material!A:D,3,0),"")</f>
        <v/>
      </c>
    </row>
    <row r="6574" ht="11.25" customHeight="1">
      <c r="A6574" s="21"/>
      <c r="B6574" s="22"/>
      <c r="C6574" s="21"/>
      <c r="D6574" s="21"/>
      <c r="E6574" s="21"/>
      <c r="F6574" s="21"/>
      <c r="G6574" s="23"/>
      <c r="H6574" s="24" t="str">
        <f>IFERROR(VLOOKUP(B6574,material!A:D,3,0),"")</f>
        <v/>
      </c>
    </row>
    <row r="6575" ht="11.25" customHeight="1">
      <c r="A6575" s="21"/>
      <c r="B6575" s="22"/>
      <c r="C6575" s="21"/>
      <c r="D6575" s="21"/>
      <c r="E6575" s="21"/>
      <c r="F6575" s="21"/>
      <c r="G6575" s="23"/>
      <c r="H6575" s="24" t="str">
        <f>IFERROR(VLOOKUP(B6575,material!A:D,3,0),"")</f>
        <v/>
      </c>
    </row>
    <row r="6576" ht="11.25" customHeight="1">
      <c r="A6576" s="21"/>
      <c r="B6576" s="22"/>
      <c r="C6576" s="21"/>
      <c r="D6576" s="21"/>
      <c r="E6576" s="21"/>
      <c r="F6576" s="21"/>
      <c r="G6576" s="23"/>
      <c r="H6576" s="24" t="str">
        <f>IFERROR(VLOOKUP(B6576,material!A:D,3,0),"")</f>
        <v/>
      </c>
    </row>
    <row r="6577" ht="11.25" customHeight="1">
      <c r="A6577" s="21"/>
      <c r="B6577" s="22"/>
      <c r="C6577" s="21"/>
      <c r="D6577" s="21"/>
      <c r="E6577" s="21"/>
      <c r="F6577" s="21"/>
      <c r="G6577" s="23"/>
      <c r="H6577" s="24" t="str">
        <f>IFERROR(VLOOKUP(B6577,material!A:D,3,0),"")</f>
        <v/>
      </c>
    </row>
    <row r="6578" ht="11.25" customHeight="1">
      <c r="A6578" s="21"/>
      <c r="B6578" s="22"/>
      <c r="C6578" s="21"/>
      <c r="D6578" s="21"/>
      <c r="E6578" s="21"/>
      <c r="F6578" s="21"/>
      <c r="G6578" s="23"/>
      <c r="H6578" s="24" t="str">
        <f>IFERROR(VLOOKUP(B6578,material!A:D,3,0),"")</f>
        <v/>
      </c>
    </row>
    <row r="6579" ht="11.25" customHeight="1">
      <c r="A6579" s="21"/>
      <c r="B6579" s="22"/>
      <c r="C6579" s="21"/>
      <c r="D6579" s="21"/>
      <c r="E6579" s="21"/>
      <c r="F6579" s="21"/>
      <c r="G6579" s="23"/>
      <c r="H6579" s="24" t="str">
        <f>IFERROR(VLOOKUP(B6579,material!A:D,3,0),"")</f>
        <v/>
      </c>
    </row>
    <row r="6580" ht="11.25" customHeight="1">
      <c r="A6580" s="21"/>
      <c r="B6580" s="22"/>
      <c r="C6580" s="21"/>
      <c r="D6580" s="21"/>
      <c r="E6580" s="21"/>
      <c r="F6580" s="21"/>
      <c r="G6580" s="23"/>
      <c r="H6580" s="24" t="str">
        <f>IFERROR(VLOOKUP(B6580,material!A:D,3,0),"")</f>
        <v/>
      </c>
    </row>
    <row r="6581" ht="11.25" customHeight="1">
      <c r="A6581" s="21"/>
      <c r="B6581" s="22"/>
      <c r="C6581" s="21"/>
      <c r="D6581" s="21"/>
      <c r="E6581" s="21"/>
      <c r="F6581" s="21"/>
      <c r="G6581" s="23"/>
      <c r="H6581" s="24" t="str">
        <f>IFERROR(VLOOKUP(B6581,material!A:D,3,0),"")</f>
        <v/>
      </c>
    </row>
    <row r="6582" ht="11.25" customHeight="1">
      <c r="A6582" s="21"/>
      <c r="B6582" s="22"/>
      <c r="C6582" s="21"/>
      <c r="D6582" s="21"/>
      <c r="E6582" s="21"/>
      <c r="F6582" s="21"/>
      <c r="G6582" s="23"/>
      <c r="H6582" s="24" t="str">
        <f>IFERROR(VLOOKUP(B6582,material!A:D,3,0),"")</f>
        <v/>
      </c>
    </row>
    <row r="6583" ht="11.25" customHeight="1">
      <c r="A6583" s="21"/>
      <c r="B6583" s="22"/>
      <c r="C6583" s="21"/>
      <c r="D6583" s="21"/>
      <c r="E6583" s="21"/>
      <c r="F6583" s="21"/>
      <c r="G6583" s="23"/>
      <c r="H6583" s="24" t="str">
        <f>IFERROR(VLOOKUP(B6583,material!A:D,3,0),"")</f>
        <v/>
      </c>
    </row>
    <row r="6584" ht="11.25" customHeight="1">
      <c r="A6584" s="21"/>
      <c r="B6584" s="22"/>
      <c r="C6584" s="21"/>
      <c r="D6584" s="21"/>
      <c r="E6584" s="21"/>
      <c r="F6584" s="21"/>
      <c r="G6584" s="23"/>
      <c r="H6584" s="24" t="str">
        <f>IFERROR(VLOOKUP(B6584,material!A:D,3,0),"")</f>
        <v/>
      </c>
    </row>
    <row r="6585" ht="11.25" customHeight="1">
      <c r="A6585" s="21"/>
      <c r="B6585" s="22"/>
      <c r="C6585" s="21"/>
      <c r="D6585" s="21"/>
      <c r="E6585" s="21"/>
      <c r="F6585" s="21"/>
      <c r="G6585" s="23"/>
      <c r="H6585" s="24" t="str">
        <f>IFERROR(VLOOKUP(B6585,material!A:D,3,0),"")</f>
        <v/>
      </c>
    </row>
    <row r="6586" ht="11.25" customHeight="1">
      <c r="A6586" s="21"/>
      <c r="B6586" s="22"/>
      <c r="C6586" s="21"/>
      <c r="D6586" s="21"/>
      <c r="E6586" s="21"/>
      <c r="F6586" s="21"/>
      <c r="G6586" s="23"/>
      <c r="H6586" s="24" t="str">
        <f>IFERROR(VLOOKUP(B6586,material!A:D,3,0),"")</f>
        <v/>
      </c>
    </row>
    <row r="6587" ht="11.25" customHeight="1">
      <c r="A6587" s="21"/>
      <c r="B6587" s="22"/>
      <c r="C6587" s="21"/>
      <c r="D6587" s="21"/>
      <c r="E6587" s="21"/>
      <c r="F6587" s="21"/>
      <c r="G6587" s="23"/>
      <c r="H6587" s="24" t="str">
        <f>IFERROR(VLOOKUP(B6587,material!A:D,3,0),"")</f>
        <v/>
      </c>
    </row>
    <row r="6588" ht="11.25" customHeight="1">
      <c r="A6588" s="21"/>
      <c r="B6588" s="22"/>
      <c r="C6588" s="21"/>
      <c r="D6588" s="21"/>
      <c r="E6588" s="21"/>
      <c r="F6588" s="21"/>
      <c r="G6588" s="23"/>
      <c r="H6588" s="24" t="str">
        <f>IFERROR(VLOOKUP(B6588,material!A:D,3,0),"")</f>
        <v/>
      </c>
    </row>
    <row r="6589" ht="11.25" customHeight="1">
      <c r="A6589" s="21"/>
      <c r="B6589" s="22"/>
      <c r="C6589" s="21"/>
      <c r="D6589" s="21"/>
      <c r="E6589" s="21"/>
      <c r="F6589" s="21"/>
      <c r="G6589" s="23"/>
      <c r="H6589" s="24" t="str">
        <f>IFERROR(VLOOKUP(B6589,material!A:D,3,0),"")</f>
        <v/>
      </c>
    </row>
    <row r="6590" ht="11.25" customHeight="1">
      <c r="A6590" s="21"/>
      <c r="B6590" s="22"/>
      <c r="C6590" s="21"/>
      <c r="D6590" s="21"/>
      <c r="E6590" s="21"/>
      <c r="F6590" s="21"/>
      <c r="G6590" s="23"/>
      <c r="H6590" s="24" t="str">
        <f>IFERROR(VLOOKUP(B6590,material!A:D,3,0),"")</f>
        <v/>
      </c>
    </row>
    <row r="6591" ht="11.25" customHeight="1">
      <c r="A6591" s="21"/>
      <c r="B6591" s="22"/>
      <c r="C6591" s="21"/>
      <c r="D6591" s="21"/>
      <c r="E6591" s="21"/>
      <c r="F6591" s="21"/>
      <c r="G6591" s="23"/>
      <c r="H6591" s="24" t="str">
        <f>IFERROR(VLOOKUP(B6591,material!A:D,3,0),"")</f>
        <v/>
      </c>
    </row>
    <row r="6592" ht="11.25" customHeight="1">
      <c r="A6592" s="21"/>
      <c r="B6592" s="22"/>
      <c r="C6592" s="21"/>
      <c r="D6592" s="21"/>
      <c r="E6592" s="21"/>
      <c r="F6592" s="21"/>
      <c r="G6592" s="23"/>
      <c r="H6592" s="24" t="str">
        <f>IFERROR(VLOOKUP(B6592,material!A:D,3,0),"")</f>
        <v/>
      </c>
    </row>
    <row r="6593" ht="11.25" customHeight="1">
      <c r="A6593" s="21"/>
      <c r="B6593" s="22"/>
      <c r="C6593" s="21"/>
      <c r="D6593" s="21"/>
      <c r="E6593" s="21"/>
      <c r="F6593" s="21"/>
      <c r="G6593" s="23"/>
      <c r="H6593" s="24" t="str">
        <f>IFERROR(VLOOKUP(B6593,material!A:D,3,0),"")</f>
        <v/>
      </c>
    </row>
    <row r="6594" ht="11.25" customHeight="1">
      <c r="A6594" s="21"/>
      <c r="B6594" s="22"/>
      <c r="C6594" s="21"/>
      <c r="D6594" s="21"/>
      <c r="E6594" s="21"/>
      <c r="F6594" s="21"/>
      <c r="G6594" s="23"/>
      <c r="H6594" s="24" t="str">
        <f>IFERROR(VLOOKUP(B6594,material!A:D,3,0),"")</f>
        <v/>
      </c>
    </row>
    <row r="6595" ht="11.25" customHeight="1">
      <c r="A6595" s="21"/>
      <c r="B6595" s="22"/>
      <c r="C6595" s="21"/>
      <c r="D6595" s="21"/>
      <c r="E6595" s="21"/>
      <c r="F6595" s="21"/>
      <c r="G6595" s="23"/>
      <c r="H6595" s="24" t="str">
        <f>IFERROR(VLOOKUP(B6595,material!A:D,3,0),"")</f>
        <v/>
      </c>
    </row>
    <row r="6596" ht="11.25" customHeight="1">
      <c r="A6596" s="21"/>
      <c r="B6596" s="22"/>
      <c r="C6596" s="21"/>
      <c r="D6596" s="21"/>
      <c r="E6596" s="21"/>
      <c r="F6596" s="21"/>
      <c r="G6596" s="23"/>
      <c r="H6596" s="24" t="str">
        <f>IFERROR(VLOOKUP(B6596,material!A:D,3,0),"")</f>
        <v/>
      </c>
    </row>
    <row r="6597" ht="11.25" customHeight="1">
      <c r="A6597" s="21"/>
      <c r="B6597" s="22"/>
      <c r="C6597" s="21"/>
      <c r="D6597" s="21"/>
      <c r="E6597" s="21"/>
      <c r="F6597" s="21"/>
      <c r="G6597" s="23"/>
      <c r="H6597" s="24" t="str">
        <f>IFERROR(VLOOKUP(B6597,material!A:D,3,0),"")</f>
        <v/>
      </c>
    </row>
    <row r="6598" ht="11.25" customHeight="1">
      <c r="A6598" s="21"/>
      <c r="B6598" s="22"/>
      <c r="C6598" s="21"/>
      <c r="D6598" s="21"/>
      <c r="E6598" s="21"/>
      <c r="F6598" s="21"/>
      <c r="G6598" s="23"/>
      <c r="H6598" s="24" t="str">
        <f>IFERROR(VLOOKUP(B6598,material!A:D,3,0),"")</f>
        <v/>
      </c>
    </row>
    <row r="6599" ht="11.25" customHeight="1">
      <c r="A6599" s="21"/>
      <c r="B6599" s="22"/>
      <c r="C6599" s="21"/>
      <c r="D6599" s="21"/>
      <c r="E6599" s="21"/>
      <c r="F6599" s="21"/>
      <c r="G6599" s="23"/>
      <c r="H6599" s="24" t="str">
        <f>IFERROR(VLOOKUP(B6599,material!A:D,3,0),"")</f>
        <v/>
      </c>
    </row>
    <row r="6600" ht="11.25" customHeight="1">
      <c r="A6600" s="21"/>
      <c r="B6600" s="22"/>
      <c r="C6600" s="21"/>
      <c r="D6600" s="21"/>
      <c r="E6600" s="21"/>
      <c r="F6600" s="21"/>
      <c r="G6600" s="23"/>
      <c r="H6600" s="24" t="str">
        <f>IFERROR(VLOOKUP(B6600,material!A:D,3,0),"")</f>
        <v/>
      </c>
    </row>
    <row r="6601" ht="11.25" customHeight="1">
      <c r="A6601" s="21"/>
      <c r="B6601" s="22"/>
      <c r="C6601" s="21"/>
      <c r="D6601" s="21"/>
      <c r="E6601" s="21"/>
      <c r="F6601" s="21"/>
      <c r="G6601" s="23"/>
      <c r="H6601" s="24" t="str">
        <f>IFERROR(VLOOKUP(B6601,material!A:D,3,0),"")</f>
        <v/>
      </c>
    </row>
    <row r="6602" ht="11.25" customHeight="1">
      <c r="A6602" s="21"/>
      <c r="B6602" s="22"/>
      <c r="C6602" s="21"/>
      <c r="D6602" s="21"/>
      <c r="E6602" s="21"/>
      <c r="F6602" s="21"/>
      <c r="G6602" s="23"/>
      <c r="H6602" s="24" t="str">
        <f>IFERROR(VLOOKUP(B6602,material!A:D,3,0),"")</f>
        <v/>
      </c>
    </row>
    <row r="6603" ht="11.25" customHeight="1">
      <c r="A6603" s="21"/>
      <c r="B6603" s="22"/>
      <c r="C6603" s="21"/>
      <c r="D6603" s="21"/>
      <c r="E6603" s="21"/>
      <c r="F6603" s="21"/>
      <c r="G6603" s="23"/>
      <c r="H6603" s="24" t="str">
        <f>IFERROR(VLOOKUP(B6603,material!A:D,3,0),"")</f>
        <v/>
      </c>
    </row>
    <row r="6604" ht="11.25" customHeight="1">
      <c r="A6604" s="21"/>
      <c r="B6604" s="22"/>
      <c r="C6604" s="21"/>
      <c r="D6604" s="21"/>
      <c r="E6604" s="21"/>
      <c r="F6604" s="21"/>
      <c r="G6604" s="23"/>
      <c r="H6604" s="24" t="str">
        <f>IFERROR(VLOOKUP(B6604,material!A:D,3,0),"")</f>
        <v/>
      </c>
    </row>
    <row r="6605" ht="11.25" customHeight="1">
      <c r="A6605" s="21"/>
      <c r="B6605" s="22"/>
      <c r="C6605" s="21"/>
      <c r="D6605" s="21"/>
      <c r="E6605" s="21"/>
      <c r="F6605" s="21"/>
      <c r="G6605" s="23"/>
      <c r="H6605" s="24" t="str">
        <f>IFERROR(VLOOKUP(B6605,material!A:D,3,0),"")</f>
        <v/>
      </c>
    </row>
    <row r="6606" ht="11.25" customHeight="1">
      <c r="A6606" s="21"/>
      <c r="B6606" s="22"/>
      <c r="C6606" s="21"/>
      <c r="D6606" s="21"/>
      <c r="E6606" s="21"/>
      <c r="F6606" s="21"/>
      <c r="G6606" s="23"/>
      <c r="H6606" s="24" t="str">
        <f>IFERROR(VLOOKUP(B6606,material!A:D,3,0),"")</f>
        <v/>
      </c>
    </row>
    <row r="6607" ht="11.25" customHeight="1">
      <c r="A6607" s="21"/>
      <c r="B6607" s="22"/>
      <c r="C6607" s="21"/>
      <c r="D6607" s="21"/>
      <c r="E6607" s="21"/>
      <c r="F6607" s="21"/>
      <c r="G6607" s="23"/>
      <c r="H6607" s="24" t="str">
        <f>IFERROR(VLOOKUP(B6607,material!A:D,3,0),"")</f>
        <v/>
      </c>
    </row>
    <row r="6608" ht="11.25" customHeight="1">
      <c r="A6608" s="21"/>
      <c r="B6608" s="22"/>
      <c r="C6608" s="21"/>
      <c r="D6608" s="21"/>
      <c r="E6608" s="21"/>
      <c r="F6608" s="21"/>
      <c r="G6608" s="23"/>
      <c r="H6608" s="24" t="str">
        <f>IFERROR(VLOOKUP(B6608,material!A:D,3,0),"")</f>
        <v/>
      </c>
    </row>
    <row r="6609" ht="11.25" customHeight="1">
      <c r="A6609" s="21"/>
      <c r="B6609" s="22"/>
      <c r="C6609" s="21"/>
      <c r="D6609" s="21"/>
      <c r="E6609" s="21"/>
      <c r="F6609" s="21"/>
      <c r="G6609" s="23"/>
      <c r="H6609" s="24" t="str">
        <f>IFERROR(VLOOKUP(B6609,material!A:D,3,0),"")</f>
        <v/>
      </c>
    </row>
    <row r="6610" ht="11.25" customHeight="1">
      <c r="A6610" s="21"/>
      <c r="B6610" s="22"/>
      <c r="C6610" s="21"/>
      <c r="D6610" s="21"/>
      <c r="E6610" s="21"/>
      <c r="F6610" s="21"/>
      <c r="G6610" s="23"/>
      <c r="H6610" s="24" t="str">
        <f>IFERROR(VLOOKUP(B6610,material!A:D,3,0),"")</f>
        <v/>
      </c>
    </row>
    <row r="6611" ht="11.25" customHeight="1">
      <c r="A6611" s="21"/>
      <c r="B6611" s="22"/>
      <c r="C6611" s="21"/>
      <c r="D6611" s="21"/>
      <c r="E6611" s="21"/>
      <c r="F6611" s="21"/>
      <c r="G6611" s="23"/>
      <c r="H6611" s="24" t="str">
        <f>IFERROR(VLOOKUP(B6611,material!A:D,3,0),"")</f>
        <v/>
      </c>
    </row>
    <row r="6612" ht="11.25" customHeight="1">
      <c r="A6612" s="21"/>
      <c r="B6612" s="22"/>
      <c r="C6612" s="21"/>
      <c r="D6612" s="21"/>
      <c r="E6612" s="21"/>
      <c r="F6612" s="21"/>
      <c r="G6612" s="23"/>
      <c r="H6612" s="24" t="str">
        <f>IFERROR(VLOOKUP(B6612,material!A:D,3,0),"")</f>
        <v/>
      </c>
    </row>
    <row r="6613" ht="11.25" customHeight="1">
      <c r="A6613" s="21"/>
      <c r="B6613" s="22"/>
      <c r="C6613" s="21"/>
      <c r="D6613" s="21"/>
      <c r="E6613" s="21"/>
      <c r="F6613" s="21"/>
      <c r="G6613" s="23"/>
      <c r="H6613" s="24" t="str">
        <f>IFERROR(VLOOKUP(B6613,material!A:D,3,0),"")</f>
        <v/>
      </c>
    </row>
    <row r="6614" ht="11.25" customHeight="1">
      <c r="A6614" s="21"/>
      <c r="B6614" s="22"/>
      <c r="C6614" s="21"/>
      <c r="D6614" s="21"/>
      <c r="E6614" s="21"/>
      <c r="F6614" s="21"/>
      <c r="G6614" s="23"/>
      <c r="H6614" s="24" t="str">
        <f>IFERROR(VLOOKUP(B6614,material!A:D,3,0),"")</f>
        <v/>
      </c>
    </row>
    <row r="6615" ht="11.25" customHeight="1">
      <c r="A6615" s="21"/>
      <c r="B6615" s="22"/>
      <c r="C6615" s="21"/>
      <c r="D6615" s="21"/>
      <c r="E6615" s="21"/>
      <c r="F6615" s="21"/>
      <c r="G6615" s="23"/>
      <c r="H6615" s="24" t="str">
        <f>IFERROR(VLOOKUP(B6615,material!A:D,3,0),"")</f>
        <v/>
      </c>
    </row>
    <row r="6616" ht="11.25" customHeight="1">
      <c r="A6616" s="21"/>
      <c r="B6616" s="22"/>
      <c r="C6616" s="21"/>
      <c r="D6616" s="21"/>
      <c r="E6616" s="21"/>
      <c r="F6616" s="21"/>
      <c r="G6616" s="23"/>
      <c r="H6616" s="24" t="str">
        <f>IFERROR(VLOOKUP(B6616,material!A:D,3,0),"")</f>
        <v/>
      </c>
    </row>
    <row r="6617" ht="11.25" customHeight="1">
      <c r="A6617" s="21"/>
      <c r="B6617" s="22"/>
      <c r="C6617" s="21"/>
      <c r="D6617" s="21"/>
      <c r="E6617" s="21"/>
      <c r="F6617" s="21"/>
      <c r="G6617" s="23"/>
      <c r="H6617" s="24" t="str">
        <f>IFERROR(VLOOKUP(B6617,material!A:D,3,0),"")</f>
        <v/>
      </c>
    </row>
    <row r="6618" ht="11.25" customHeight="1">
      <c r="A6618" s="21"/>
      <c r="B6618" s="22"/>
      <c r="C6618" s="21"/>
      <c r="D6618" s="21"/>
      <c r="E6618" s="21"/>
      <c r="F6618" s="21"/>
      <c r="G6618" s="23"/>
      <c r="H6618" s="24" t="str">
        <f>IFERROR(VLOOKUP(B6618,material!A:D,3,0),"")</f>
        <v/>
      </c>
    </row>
    <row r="6619" ht="11.25" customHeight="1">
      <c r="A6619" s="21"/>
      <c r="B6619" s="22"/>
      <c r="C6619" s="21"/>
      <c r="D6619" s="21"/>
      <c r="E6619" s="21"/>
      <c r="F6619" s="21"/>
      <c r="G6619" s="23"/>
      <c r="H6619" s="24" t="str">
        <f>IFERROR(VLOOKUP(B6619,material!A:D,3,0),"")</f>
        <v/>
      </c>
    </row>
    <row r="6620" ht="11.25" customHeight="1">
      <c r="A6620" s="21"/>
      <c r="B6620" s="22"/>
      <c r="C6620" s="21"/>
      <c r="D6620" s="21"/>
      <c r="E6620" s="21"/>
      <c r="F6620" s="21"/>
      <c r="G6620" s="23"/>
      <c r="H6620" s="24" t="str">
        <f>IFERROR(VLOOKUP(B6620,material!A:D,3,0),"")</f>
        <v/>
      </c>
    </row>
    <row r="6621" ht="11.25" customHeight="1">
      <c r="A6621" s="21"/>
      <c r="B6621" s="22"/>
      <c r="C6621" s="21"/>
      <c r="D6621" s="21"/>
      <c r="E6621" s="21"/>
      <c r="F6621" s="21"/>
      <c r="G6621" s="23"/>
      <c r="H6621" s="24" t="str">
        <f>IFERROR(VLOOKUP(B6621,material!A:D,3,0),"")</f>
        <v/>
      </c>
    </row>
    <row r="6622" ht="11.25" customHeight="1">
      <c r="A6622" s="21"/>
      <c r="B6622" s="22"/>
      <c r="C6622" s="21"/>
      <c r="D6622" s="21"/>
      <c r="E6622" s="21"/>
      <c r="F6622" s="21"/>
      <c r="G6622" s="23"/>
      <c r="H6622" s="24" t="str">
        <f>IFERROR(VLOOKUP(B6622,material!A:D,3,0),"")</f>
        <v/>
      </c>
    </row>
    <row r="6623" ht="11.25" customHeight="1">
      <c r="A6623" s="21"/>
      <c r="B6623" s="22"/>
      <c r="C6623" s="21"/>
      <c r="D6623" s="21"/>
      <c r="E6623" s="21"/>
      <c r="F6623" s="21"/>
      <c r="G6623" s="23"/>
      <c r="H6623" s="24" t="str">
        <f>IFERROR(VLOOKUP(B6623,material!A:D,3,0),"")</f>
        <v/>
      </c>
    </row>
    <row r="6624" ht="11.25" customHeight="1">
      <c r="A6624" s="21"/>
      <c r="B6624" s="22"/>
      <c r="C6624" s="21"/>
      <c r="D6624" s="21"/>
      <c r="E6624" s="21"/>
      <c r="F6624" s="21"/>
      <c r="G6624" s="23"/>
      <c r="H6624" s="24" t="str">
        <f>IFERROR(VLOOKUP(B6624,material!A:D,3,0),"")</f>
        <v/>
      </c>
    </row>
    <row r="6625" ht="11.25" customHeight="1">
      <c r="A6625" s="21"/>
      <c r="B6625" s="22"/>
      <c r="C6625" s="21"/>
      <c r="D6625" s="21"/>
      <c r="E6625" s="21"/>
      <c r="F6625" s="21"/>
      <c r="G6625" s="23"/>
      <c r="H6625" s="24" t="str">
        <f>IFERROR(VLOOKUP(B6625,material!A:D,3,0),"")</f>
        <v/>
      </c>
    </row>
    <row r="6626" ht="11.25" customHeight="1">
      <c r="A6626" s="21"/>
      <c r="B6626" s="22"/>
      <c r="C6626" s="21"/>
      <c r="D6626" s="21"/>
      <c r="E6626" s="21"/>
      <c r="F6626" s="21"/>
      <c r="G6626" s="23"/>
      <c r="H6626" s="24" t="str">
        <f>IFERROR(VLOOKUP(B6626,material!A:D,3,0),"")</f>
        <v/>
      </c>
    </row>
    <row r="6627" ht="11.25" customHeight="1">
      <c r="A6627" s="21"/>
      <c r="B6627" s="22"/>
      <c r="C6627" s="21"/>
      <c r="D6627" s="21"/>
      <c r="E6627" s="21"/>
      <c r="F6627" s="21"/>
      <c r="G6627" s="23"/>
      <c r="H6627" s="24" t="str">
        <f>IFERROR(VLOOKUP(B6627,material!A:D,3,0),"")</f>
        <v/>
      </c>
    </row>
    <row r="6628" ht="11.25" customHeight="1">
      <c r="A6628" s="21"/>
      <c r="B6628" s="22"/>
      <c r="C6628" s="21"/>
      <c r="D6628" s="21"/>
      <c r="E6628" s="21"/>
      <c r="F6628" s="21"/>
      <c r="G6628" s="23"/>
      <c r="H6628" s="24" t="str">
        <f>IFERROR(VLOOKUP(B6628,material!A:D,3,0),"")</f>
        <v/>
      </c>
    </row>
    <row r="6629" ht="11.25" customHeight="1">
      <c r="A6629" s="21"/>
      <c r="B6629" s="22"/>
      <c r="C6629" s="21"/>
      <c r="D6629" s="21"/>
      <c r="E6629" s="21"/>
      <c r="F6629" s="21"/>
      <c r="G6629" s="23"/>
      <c r="H6629" s="24" t="str">
        <f>IFERROR(VLOOKUP(B6629,material!A:D,3,0),"")</f>
        <v/>
      </c>
    </row>
    <row r="6630" ht="11.25" customHeight="1">
      <c r="A6630" s="21"/>
      <c r="B6630" s="22"/>
      <c r="C6630" s="21"/>
      <c r="D6630" s="21"/>
      <c r="E6630" s="21"/>
      <c r="F6630" s="21"/>
      <c r="G6630" s="23"/>
      <c r="H6630" s="24" t="str">
        <f>IFERROR(VLOOKUP(B6630,material!A:D,3,0),"")</f>
        <v/>
      </c>
    </row>
    <row r="6631" ht="11.25" customHeight="1">
      <c r="A6631" s="21"/>
      <c r="B6631" s="22"/>
      <c r="C6631" s="21"/>
      <c r="D6631" s="21"/>
      <c r="E6631" s="21"/>
      <c r="F6631" s="21"/>
      <c r="G6631" s="23"/>
      <c r="H6631" s="24" t="str">
        <f>IFERROR(VLOOKUP(B6631,material!A:D,3,0),"")</f>
        <v/>
      </c>
    </row>
    <row r="6632" ht="11.25" customHeight="1">
      <c r="A6632" s="21"/>
      <c r="B6632" s="22"/>
      <c r="C6632" s="21"/>
      <c r="D6632" s="21"/>
      <c r="E6632" s="21"/>
      <c r="F6632" s="21"/>
      <c r="G6632" s="23"/>
      <c r="H6632" s="24" t="str">
        <f>IFERROR(VLOOKUP(B6632,material!A:D,3,0),"")</f>
        <v/>
      </c>
    </row>
    <row r="6633" ht="11.25" customHeight="1">
      <c r="A6633" s="21"/>
      <c r="B6633" s="22"/>
      <c r="C6633" s="21"/>
      <c r="D6633" s="21"/>
      <c r="E6633" s="21"/>
      <c r="F6633" s="21"/>
      <c r="G6633" s="23"/>
      <c r="H6633" s="24" t="str">
        <f>IFERROR(VLOOKUP(B6633,material!A:D,3,0),"")</f>
        <v/>
      </c>
    </row>
    <row r="6634" ht="11.25" customHeight="1">
      <c r="A6634" s="21"/>
      <c r="B6634" s="22"/>
      <c r="C6634" s="21"/>
      <c r="D6634" s="21"/>
      <c r="E6634" s="21"/>
      <c r="F6634" s="21"/>
      <c r="G6634" s="23"/>
      <c r="H6634" s="24" t="str">
        <f>IFERROR(VLOOKUP(B6634,material!A:D,3,0),"")</f>
        <v/>
      </c>
    </row>
    <row r="6635" ht="11.25" customHeight="1">
      <c r="A6635" s="21"/>
      <c r="B6635" s="22"/>
      <c r="C6635" s="21"/>
      <c r="D6635" s="21"/>
      <c r="E6635" s="21"/>
      <c r="F6635" s="21"/>
      <c r="G6635" s="23"/>
      <c r="H6635" s="24" t="str">
        <f>IFERROR(VLOOKUP(B6635,material!A:D,3,0),"")</f>
        <v/>
      </c>
    </row>
    <row r="6636" ht="11.25" customHeight="1">
      <c r="A6636" s="21"/>
      <c r="B6636" s="22"/>
      <c r="C6636" s="21"/>
      <c r="D6636" s="21"/>
      <c r="E6636" s="21"/>
      <c r="F6636" s="21"/>
      <c r="G6636" s="23"/>
      <c r="H6636" s="24" t="str">
        <f>IFERROR(VLOOKUP(B6636,material!A:D,3,0),"")</f>
        <v/>
      </c>
    </row>
    <row r="6637" ht="11.25" customHeight="1">
      <c r="A6637" s="21"/>
      <c r="B6637" s="22"/>
      <c r="C6637" s="21"/>
      <c r="D6637" s="21"/>
      <c r="E6637" s="21"/>
      <c r="F6637" s="21"/>
      <c r="G6637" s="23"/>
      <c r="H6637" s="24" t="str">
        <f>IFERROR(VLOOKUP(B6637,material!A:D,3,0),"")</f>
        <v/>
      </c>
    </row>
    <row r="6638" ht="11.25" customHeight="1">
      <c r="A6638" s="21"/>
      <c r="B6638" s="22"/>
      <c r="C6638" s="21"/>
      <c r="D6638" s="21"/>
      <c r="E6638" s="21"/>
      <c r="F6638" s="21"/>
      <c r="G6638" s="23"/>
      <c r="H6638" s="24" t="str">
        <f>IFERROR(VLOOKUP(B6638,material!A:D,3,0),"")</f>
        <v/>
      </c>
    </row>
    <row r="6639" ht="11.25" customHeight="1">
      <c r="A6639" s="21"/>
      <c r="B6639" s="22"/>
      <c r="C6639" s="21"/>
      <c r="D6639" s="21"/>
      <c r="E6639" s="21"/>
      <c r="F6639" s="21"/>
      <c r="G6639" s="23"/>
      <c r="H6639" s="24" t="str">
        <f>IFERROR(VLOOKUP(B6639,material!A:D,3,0),"")</f>
        <v/>
      </c>
    </row>
    <row r="6640" ht="11.25" customHeight="1">
      <c r="A6640" s="21"/>
      <c r="B6640" s="22"/>
      <c r="C6640" s="21"/>
      <c r="D6640" s="21"/>
      <c r="E6640" s="21"/>
      <c r="F6640" s="21"/>
      <c r="G6640" s="23"/>
      <c r="H6640" s="24" t="str">
        <f>IFERROR(VLOOKUP(B6640,material!A:D,3,0),"")</f>
        <v/>
      </c>
    </row>
    <row r="6641" ht="11.25" customHeight="1">
      <c r="A6641" s="21"/>
      <c r="B6641" s="22"/>
      <c r="C6641" s="21"/>
      <c r="D6641" s="21"/>
      <c r="E6641" s="21"/>
      <c r="F6641" s="21"/>
      <c r="G6641" s="23"/>
      <c r="H6641" s="24" t="str">
        <f>IFERROR(VLOOKUP(B6641,material!A:D,3,0),"")</f>
        <v/>
      </c>
    </row>
    <row r="6642" ht="11.25" customHeight="1">
      <c r="A6642" s="21"/>
      <c r="B6642" s="22"/>
      <c r="C6642" s="21"/>
      <c r="D6642" s="21"/>
      <c r="E6642" s="21"/>
      <c r="F6642" s="21"/>
      <c r="G6642" s="23"/>
      <c r="H6642" s="24" t="str">
        <f>IFERROR(VLOOKUP(B6642,material!A:D,3,0),"")</f>
        <v/>
      </c>
    </row>
    <row r="6643" ht="11.25" customHeight="1">
      <c r="A6643" s="21"/>
      <c r="B6643" s="22"/>
      <c r="C6643" s="21"/>
      <c r="D6643" s="21"/>
      <c r="E6643" s="21"/>
      <c r="F6643" s="21"/>
      <c r="G6643" s="23"/>
      <c r="H6643" s="24" t="str">
        <f>IFERROR(VLOOKUP(B6643,material!A:D,3,0),"")</f>
        <v/>
      </c>
    </row>
    <row r="6644" ht="11.25" customHeight="1">
      <c r="A6644" s="21"/>
      <c r="B6644" s="22"/>
      <c r="C6644" s="21"/>
      <c r="D6644" s="21"/>
      <c r="E6644" s="21"/>
      <c r="F6644" s="21"/>
      <c r="G6644" s="23"/>
      <c r="H6644" s="24" t="str">
        <f>IFERROR(VLOOKUP(B6644,material!A:D,3,0),"")</f>
        <v/>
      </c>
    </row>
    <row r="6645" ht="11.25" customHeight="1">
      <c r="A6645" s="21"/>
      <c r="B6645" s="22"/>
      <c r="C6645" s="21"/>
      <c r="D6645" s="21"/>
      <c r="E6645" s="21"/>
      <c r="F6645" s="21"/>
      <c r="G6645" s="23"/>
      <c r="H6645" s="24" t="str">
        <f>IFERROR(VLOOKUP(B6645,material!A:D,3,0),"")</f>
        <v/>
      </c>
    </row>
    <row r="6646" ht="11.25" customHeight="1">
      <c r="A6646" s="21"/>
      <c r="B6646" s="22"/>
      <c r="C6646" s="21"/>
      <c r="D6646" s="21"/>
      <c r="E6646" s="21"/>
      <c r="F6646" s="21"/>
      <c r="G6646" s="23"/>
      <c r="H6646" s="24" t="str">
        <f>IFERROR(VLOOKUP(B6646,material!A:D,3,0),"")</f>
        <v/>
      </c>
    </row>
    <row r="6647" ht="11.25" customHeight="1">
      <c r="A6647" s="21"/>
      <c r="B6647" s="22"/>
      <c r="C6647" s="21"/>
      <c r="D6647" s="21"/>
      <c r="E6647" s="21"/>
      <c r="F6647" s="21"/>
      <c r="G6647" s="23"/>
      <c r="H6647" s="24" t="str">
        <f>IFERROR(VLOOKUP(B6647,material!A:D,3,0),"")</f>
        <v/>
      </c>
    </row>
    <row r="6648" ht="11.25" customHeight="1">
      <c r="A6648" s="21"/>
      <c r="B6648" s="22"/>
      <c r="C6648" s="21"/>
      <c r="D6648" s="21"/>
      <c r="E6648" s="21"/>
      <c r="F6648" s="21"/>
      <c r="G6648" s="23"/>
      <c r="H6648" s="24" t="str">
        <f>IFERROR(VLOOKUP(B6648,material!A:D,3,0),"")</f>
        <v/>
      </c>
    </row>
    <row r="6649" ht="11.25" customHeight="1">
      <c r="A6649" s="21"/>
      <c r="B6649" s="22"/>
      <c r="C6649" s="21"/>
      <c r="D6649" s="21"/>
      <c r="E6649" s="21"/>
      <c r="F6649" s="21"/>
      <c r="G6649" s="23"/>
      <c r="H6649" s="24" t="str">
        <f>IFERROR(VLOOKUP(B6649,material!A:D,3,0),"")</f>
        <v/>
      </c>
    </row>
    <row r="6650" ht="11.25" customHeight="1">
      <c r="A6650" s="21"/>
      <c r="B6650" s="22"/>
      <c r="C6650" s="21"/>
      <c r="D6650" s="21"/>
      <c r="E6650" s="21"/>
      <c r="F6650" s="21"/>
      <c r="G6650" s="23"/>
      <c r="H6650" s="24" t="str">
        <f>IFERROR(VLOOKUP(B6650,material!A:D,3,0),"")</f>
        <v/>
      </c>
    </row>
    <row r="6651" ht="11.25" customHeight="1">
      <c r="A6651" s="21"/>
      <c r="B6651" s="22"/>
      <c r="C6651" s="21"/>
      <c r="D6651" s="21"/>
      <c r="E6651" s="21"/>
      <c r="F6651" s="21"/>
      <c r="G6651" s="23"/>
      <c r="H6651" s="24" t="str">
        <f>IFERROR(VLOOKUP(B6651,material!A:D,3,0),"")</f>
        <v/>
      </c>
    </row>
    <row r="6652" ht="11.25" customHeight="1">
      <c r="A6652" s="21"/>
      <c r="B6652" s="22"/>
      <c r="C6652" s="21"/>
      <c r="D6652" s="21"/>
      <c r="E6652" s="21"/>
      <c r="F6652" s="21"/>
      <c r="G6652" s="23"/>
      <c r="H6652" s="24" t="str">
        <f>IFERROR(VLOOKUP(B6652,material!A:D,3,0),"")</f>
        <v/>
      </c>
    </row>
    <row r="6653" ht="11.25" customHeight="1">
      <c r="A6653" s="21"/>
      <c r="B6653" s="22"/>
      <c r="C6653" s="21"/>
      <c r="D6653" s="21"/>
      <c r="E6653" s="21"/>
      <c r="F6653" s="21"/>
      <c r="G6653" s="23"/>
      <c r="H6653" s="24" t="str">
        <f>IFERROR(VLOOKUP(B6653,material!A:D,3,0),"")</f>
        <v/>
      </c>
    </row>
    <row r="6654" ht="11.25" customHeight="1">
      <c r="A6654" s="21"/>
      <c r="B6654" s="22"/>
      <c r="C6654" s="21"/>
      <c r="D6654" s="21"/>
      <c r="E6654" s="21"/>
      <c r="F6654" s="21"/>
      <c r="G6654" s="23"/>
      <c r="H6654" s="24" t="str">
        <f>IFERROR(VLOOKUP(B6654,material!A:D,3,0),"")</f>
        <v/>
      </c>
    </row>
    <row r="6655" ht="11.25" customHeight="1">
      <c r="A6655" s="21"/>
      <c r="B6655" s="22"/>
      <c r="C6655" s="21"/>
      <c r="D6655" s="21"/>
      <c r="E6655" s="21"/>
      <c r="F6655" s="21"/>
      <c r="G6655" s="23"/>
      <c r="H6655" s="24" t="str">
        <f>IFERROR(VLOOKUP(B6655,material!A:D,3,0),"")</f>
        <v/>
      </c>
    </row>
    <row r="6656" ht="11.25" customHeight="1">
      <c r="A6656" s="21"/>
      <c r="B6656" s="22"/>
      <c r="C6656" s="21"/>
      <c r="D6656" s="21"/>
      <c r="E6656" s="21"/>
      <c r="F6656" s="21"/>
      <c r="G6656" s="23"/>
      <c r="H6656" s="24" t="str">
        <f>IFERROR(VLOOKUP(B6656,material!A:D,3,0),"")</f>
        <v/>
      </c>
    </row>
    <row r="6657" ht="11.25" customHeight="1">
      <c r="A6657" s="21"/>
      <c r="B6657" s="22"/>
      <c r="C6657" s="21"/>
      <c r="D6657" s="21"/>
      <c r="E6657" s="21"/>
      <c r="F6657" s="21"/>
      <c r="G6657" s="23"/>
      <c r="H6657" s="24" t="str">
        <f>IFERROR(VLOOKUP(B6657,material!A:D,3,0),"")</f>
        <v/>
      </c>
    </row>
    <row r="6658" ht="11.25" customHeight="1">
      <c r="A6658" s="21"/>
      <c r="B6658" s="22"/>
      <c r="C6658" s="21"/>
      <c r="D6658" s="21"/>
      <c r="E6658" s="21"/>
      <c r="F6658" s="21"/>
      <c r="G6658" s="23"/>
      <c r="H6658" s="24" t="str">
        <f>IFERROR(VLOOKUP(B6658,material!A:D,3,0),"")</f>
        <v/>
      </c>
    </row>
    <row r="6659" ht="11.25" customHeight="1">
      <c r="A6659" s="21"/>
      <c r="B6659" s="22"/>
      <c r="C6659" s="21"/>
      <c r="D6659" s="21"/>
      <c r="E6659" s="21"/>
      <c r="F6659" s="21"/>
      <c r="G6659" s="23"/>
      <c r="H6659" s="24" t="str">
        <f>IFERROR(VLOOKUP(B6659,material!A:D,3,0),"")</f>
        <v/>
      </c>
    </row>
    <row r="6660" ht="11.25" customHeight="1">
      <c r="A6660" s="21"/>
      <c r="B6660" s="22"/>
      <c r="C6660" s="21"/>
      <c r="D6660" s="21"/>
      <c r="E6660" s="21"/>
      <c r="F6660" s="21"/>
      <c r="G6660" s="23"/>
      <c r="H6660" s="24" t="str">
        <f>IFERROR(VLOOKUP(B6660,material!A:D,3,0),"")</f>
        <v/>
      </c>
    </row>
    <row r="6661" ht="11.25" customHeight="1">
      <c r="A6661" s="21"/>
      <c r="B6661" s="22"/>
      <c r="C6661" s="21"/>
      <c r="D6661" s="21"/>
      <c r="E6661" s="21"/>
      <c r="F6661" s="21"/>
      <c r="G6661" s="23"/>
      <c r="H6661" s="24" t="str">
        <f>IFERROR(VLOOKUP(B6661,material!A:D,3,0),"")</f>
        <v/>
      </c>
    </row>
    <row r="6662" ht="11.25" customHeight="1">
      <c r="A6662" s="21"/>
      <c r="B6662" s="22"/>
      <c r="C6662" s="21"/>
      <c r="D6662" s="21"/>
      <c r="E6662" s="21"/>
      <c r="F6662" s="21"/>
      <c r="G6662" s="23"/>
      <c r="H6662" s="24" t="str">
        <f>IFERROR(VLOOKUP(B6662,material!A:D,3,0),"")</f>
        <v/>
      </c>
    </row>
    <row r="6663" ht="11.25" customHeight="1">
      <c r="A6663" s="21"/>
      <c r="B6663" s="22"/>
      <c r="C6663" s="21"/>
      <c r="D6663" s="21"/>
      <c r="E6663" s="21"/>
      <c r="F6663" s="21"/>
      <c r="G6663" s="23"/>
      <c r="H6663" s="24" t="str">
        <f>IFERROR(VLOOKUP(B6663,material!A:D,3,0),"")</f>
        <v/>
      </c>
    </row>
    <row r="6664" ht="11.25" customHeight="1">
      <c r="A6664" s="21"/>
      <c r="B6664" s="22"/>
      <c r="C6664" s="21"/>
      <c r="D6664" s="21"/>
      <c r="E6664" s="21"/>
      <c r="F6664" s="21"/>
      <c r="G6664" s="23"/>
      <c r="H6664" s="24" t="str">
        <f>IFERROR(VLOOKUP(B6664,material!A:D,3,0),"")</f>
        <v/>
      </c>
    </row>
    <row r="6665" ht="11.25" customHeight="1">
      <c r="A6665" s="21"/>
      <c r="B6665" s="22"/>
      <c r="C6665" s="21"/>
      <c r="D6665" s="21"/>
      <c r="E6665" s="21"/>
      <c r="F6665" s="21"/>
      <c r="G6665" s="23"/>
      <c r="H6665" s="24" t="str">
        <f>IFERROR(VLOOKUP(B6665,material!A:D,3,0),"")</f>
        <v/>
      </c>
    </row>
    <row r="6666" ht="11.25" customHeight="1">
      <c r="A6666" s="21"/>
      <c r="B6666" s="22"/>
      <c r="C6666" s="21"/>
      <c r="D6666" s="21"/>
      <c r="E6666" s="21"/>
      <c r="F6666" s="21"/>
      <c r="G6666" s="23"/>
      <c r="H6666" s="24" t="str">
        <f>IFERROR(VLOOKUP(B6666,material!A:D,3,0),"")</f>
        <v/>
      </c>
    </row>
    <row r="6667" ht="11.25" customHeight="1">
      <c r="A6667" s="21"/>
      <c r="B6667" s="22"/>
      <c r="C6667" s="21"/>
      <c r="D6667" s="21"/>
      <c r="E6667" s="21"/>
      <c r="F6667" s="21"/>
      <c r="G6667" s="23"/>
      <c r="H6667" s="24" t="str">
        <f>IFERROR(VLOOKUP(B6667,material!A:D,3,0),"")</f>
        <v/>
      </c>
    </row>
    <row r="6668" ht="11.25" customHeight="1">
      <c r="A6668" s="21"/>
      <c r="B6668" s="22"/>
      <c r="C6668" s="21"/>
      <c r="D6668" s="21"/>
      <c r="E6668" s="21"/>
      <c r="F6668" s="21"/>
      <c r="G6668" s="23"/>
      <c r="H6668" s="24" t="str">
        <f>IFERROR(VLOOKUP(B6668,material!A:D,3,0),"")</f>
        <v/>
      </c>
    </row>
    <row r="6669" ht="11.25" customHeight="1">
      <c r="A6669" s="21"/>
      <c r="B6669" s="22"/>
      <c r="C6669" s="21"/>
      <c r="D6669" s="21"/>
      <c r="E6669" s="21"/>
      <c r="F6669" s="21"/>
      <c r="G6669" s="23"/>
      <c r="H6669" s="24" t="str">
        <f>IFERROR(VLOOKUP(B6669,material!A:D,3,0),"")</f>
        <v/>
      </c>
    </row>
    <row r="6670" ht="11.25" customHeight="1">
      <c r="A6670" s="21"/>
      <c r="B6670" s="22"/>
      <c r="C6670" s="21"/>
      <c r="D6670" s="21"/>
      <c r="E6670" s="21"/>
      <c r="F6670" s="21"/>
      <c r="G6670" s="23"/>
      <c r="H6670" s="24" t="str">
        <f>IFERROR(VLOOKUP(B6670,material!A:D,3,0),"")</f>
        <v/>
      </c>
    </row>
    <row r="6671" ht="11.25" customHeight="1">
      <c r="A6671" s="21"/>
      <c r="B6671" s="22"/>
      <c r="C6671" s="21"/>
      <c r="D6671" s="21"/>
      <c r="E6671" s="21"/>
      <c r="F6671" s="21"/>
      <c r="G6671" s="23"/>
      <c r="H6671" s="24" t="str">
        <f>IFERROR(VLOOKUP(B6671,material!A:D,3,0),"")</f>
        <v/>
      </c>
    </row>
    <row r="6672" ht="11.25" customHeight="1">
      <c r="A6672" s="21"/>
      <c r="B6672" s="22"/>
      <c r="C6672" s="21"/>
      <c r="D6672" s="21"/>
      <c r="E6672" s="21"/>
      <c r="F6672" s="21"/>
      <c r="G6672" s="23"/>
      <c r="H6672" s="24" t="str">
        <f>IFERROR(VLOOKUP(B6672,material!A:D,3,0),"")</f>
        <v/>
      </c>
    </row>
    <row r="6673" ht="11.25" customHeight="1">
      <c r="A6673" s="21"/>
      <c r="B6673" s="22"/>
      <c r="C6673" s="21"/>
      <c r="D6673" s="21"/>
      <c r="E6673" s="21"/>
      <c r="F6673" s="21"/>
      <c r="G6673" s="23"/>
      <c r="H6673" s="24" t="str">
        <f>IFERROR(VLOOKUP(B6673,material!A:D,3,0),"")</f>
        <v/>
      </c>
    </row>
    <row r="6674" ht="11.25" customHeight="1">
      <c r="A6674" s="21"/>
      <c r="B6674" s="22"/>
      <c r="C6674" s="21"/>
      <c r="D6674" s="21"/>
      <c r="E6674" s="21"/>
      <c r="F6674" s="21"/>
      <c r="G6674" s="23"/>
      <c r="H6674" s="24" t="str">
        <f>IFERROR(VLOOKUP(B6674,material!A:D,3,0),"")</f>
        <v/>
      </c>
    </row>
    <row r="6675" ht="11.25" customHeight="1">
      <c r="A6675" s="21"/>
      <c r="B6675" s="22"/>
      <c r="C6675" s="21"/>
      <c r="D6675" s="21"/>
      <c r="E6675" s="21"/>
      <c r="F6675" s="21"/>
      <c r="G6675" s="23"/>
      <c r="H6675" s="24" t="str">
        <f>IFERROR(VLOOKUP(B6675,material!A:D,3,0),"")</f>
        <v/>
      </c>
    </row>
    <row r="6676" ht="11.25" customHeight="1">
      <c r="A6676" s="21"/>
      <c r="B6676" s="22"/>
      <c r="C6676" s="21"/>
      <c r="D6676" s="21"/>
      <c r="E6676" s="21"/>
      <c r="F6676" s="21"/>
      <c r="G6676" s="23"/>
      <c r="H6676" s="24" t="str">
        <f>IFERROR(VLOOKUP(B6676,material!A:D,3,0),"")</f>
        <v/>
      </c>
    </row>
    <row r="6677" ht="11.25" customHeight="1">
      <c r="A6677" s="21"/>
      <c r="B6677" s="22"/>
      <c r="C6677" s="21"/>
      <c r="D6677" s="21"/>
      <c r="E6677" s="21"/>
      <c r="F6677" s="21"/>
      <c r="G6677" s="23"/>
      <c r="H6677" s="24" t="str">
        <f>IFERROR(VLOOKUP(B6677,material!A:D,3,0),"")</f>
        <v/>
      </c>
    </row>
    <row r="6678" ht="11.25" customHeight="1">
      <c r="A6678" s="21"/>
      <c r="B6678" s="22"/>
      <c r="C6678" s="21"/>
      <c r="D6678" s="21"/>
      <c r="E6678" s="21"/>
      <c r="F6678" s="21"/>
      <c r="G6678" s="23"/>
      <c r="H6678" s="24" t="str">
        <f>IFERROR(VLOOKUP(B6678,material!A:D,3,0),"")</f>
        <v/>
      </c>
    </row>
    <row r="6679" ht="11.25" customHeight="1">
      <c r="A6679" s="21"/>
      <c r="B6679" s="22"/>
      <c r="C6679" s="21"/>
      <c r="D6679" s="21"/>
      <c r="E6679" s="21"/>
      <c r="F6679" s="21"/>
      <c r="G6679" s="23"/>
      <c r="H6679" s="24" t="str">
        <f>IFERROR(VLOOKUP(B6679,material!A:D,3,0),"")</f>
        <v/>
      </c>
    </row>
    <row r="6680" ht="11.25" customHeight="1">
      <c r="A6680" s="21"/>
      <c r="B6680" s="22"/>
      <c r="C6680" s="21"/>
      <c r="D6680" s="21"/>
      <c r="E6680" s="21"/>
      <c r="F6680" s="21"/>
      <c r="G6680" s="23"/>
      <c r="H6680" s="24" t="str">
        <f>IFERROR(VLOOKUP(B6680,material!A:D,3,0),"")</f>
        <v/>
      </c>
    </row>
    <row r="6681" ht="11.25" customHeight="1">
      <c r="A6681" s="21"/>
      <c r="B6681" s="22"/>
      <c r="C6681" s="21"/>
      <c r="D6681" s="21"/>
      <c r="E6681" s="21"/>
      <c r="F6681" s="21"/>
      <c r="G6681" s="23"/>
      <c r="H6681" s="24" t="str">
        <f>IFERROR(VLOOKUP(B6681,material!A:D,3,0),"")</f>
        <v/>
      </c>
    </row>
    <row r="6682" ht="11.25" customHeight="1">
      <c r="A6682" s="21"/>
      <c r="B6682" s="22"/>
      <c r="C6682" s="21"/>
      <c r="D6682" s="21"/>
      <c r="E6682" s="21"/>
      <c r="F6682" s="21"/>
      <c r="G6682" s="23"/>
      <c r="H6682" s="24" t="str">
        <f>IFERROR(VLOOKUP(B6682,material!A:D,3,0),"")</f>
        <v/>
      </c>
    </row>
    <row r="6683" ht="11.25" customHeight="1">
      <c r="A6683" s="21"/>
      <c r="B6683" s="22"/>
      <c r="C6683" s="21"/>
      <c r="D6683" s="21"/>
      <c r="E6683" s="21"/>
      <c r="F6683" s="21"/>
      <c r="G6683" s="23"/>
      <c r="H6683" s="24" t="str">
        <f>IFERROR(VLOOKUP(B6683,material!A:D,3,0),"")</f>
        <v/>
      </c>
    </row>
    <row r="6684" ht="11.25" customHeight="1">
      <c r="A6684" s="21"/>
      <c r="B6684" s="22"/>
      <c r="C6684" s="21"/>
      <c r="D6684" s="21"/>
      <c r="E6684" s="21"/>
      <c r="F6684" s="21"/>
      <c r="G6684" s="23"/>
      <c r="H6684" s="24" t="str">
        <f>IFERROR(VLOOKUP(B6684,material!A:D,3,0),"")</f>
        <v/>
      </c>
    </row>
    <row r="6685" ht="11.25" customHeight="1">
      <c r="A6685" s="21"/>
      <c r="B6685" s="22"/>
      <c r="C6685" s="21"/>
      <c r="D6685" s="21"/>
      <c r="E6685" s="21"/>
      <c r="F6685" s="21"/>
      <c r="G6685" s="23"/>
      <c r="H6685" s="24" t="str">
        <f>IFERROR(VLOOKUP(B6685,material!A:D,3,0),"")</f>
        <v/>
      </c>
    </row>
    <row r="6686" ht="11.25" customHeight="1">
      <c r="A6686" s="21"/>
      <c r="B6686" s="22"/>
      <c r="C6686" s="21"/>
      <c r="D6686" s="21"/>
      <c r="E6686" s="21"/>
      <c r="F6686" s="21"/>
      <c r="G6686" s="23"/>
      <c r="H6686" s="24" t="str">
        <f>IFERROR(VLOOKUP(B6686,material!A:D,3,0),"")</f>
        <v/>
      </c>
    </row>
    <row r="6687" ht="11.25" customHeight="1">
      <c r="A6687" s="21"/>
      <c r="B6687" s="22"/>
      <c r="C6687" s="21"/>
      <c r="D6687" s="21"/>
      <c r="E6687" s="21"/>
      <c r="F6687" s="21"/>
      <c r="G6687" s="23"/>
      <c r="H6687" s="24" t="str">
        <f>IFERROR(VLOOKUP(B6687,material!A:D,3,0),"")</f>
        <v/>
      </c>
    </row>
    <row r="6688" ht="11.25" customHeight="1">
      <c r="A6688" s="21"/>
      <c r="B6688" s="22"/>
      <c r="C6688" s="21"/>
      <c r="D6688" s="21"/>
      <c r="E6688" s="21"/>
      <c r="F6688" s="21"/>
      <c r="G6688" s="23"/>
      <c r="H6688" s="24" t="str">
        <f>IFERROR(VLOOKUP(B6688,material!A:D,3,0),"")</f>
        <v/>
      </c>
    </row>
    <row r="6689" ht="11.25" customHeight="1">
      <c r="A6689" s="21"/>
      <c r="B6689" s="22"/>
      <c r="C6689" s="21"/>
      <c r="D6689" s="21"/>
      <c r="E6689" s="21"/>
      <c r="F6689" s="21"/>
      <c r="G6689" s="23"/>
      <c r="H6689" s="24" t="str">
        <f>IFERROR(VLOOKUP(B6689,material!A:D,3,0),"")</f>
        <v/>
      </c>
    </row>
    <row r="6690" ht="11.25" customHeight="1">
      <c r="A6690" s="21"/>
      <c r="B6690" s="22"/>
      <c r="C6690" s="21"/>
      <c r="D6690" s="21"/>
      <c r="E6690" s="21"/>
      <c r="F6690" s="21"/>
      <c r="G6690" s="23"/>
      <c r="H6690" s="24" t="str">
        <f>IFERROR(VLOOKUP(B6690,material!A:D,3,0),"")</f>
        <v/>
      </c>
    </row>
    <row r="6691" ht="11.25" customHeight="1">
      <c r="A6691" s="21"/>
      <c r="B6691" s="22"/>
      <c r="C6691" s="21"/>
      <c r="D6691" s="21"/>
      <c r="E6691" s="21"/>
      <c r="F6691" s="21"/>
      <c r="G6691" s="23"/>
      <c r="H6691" s="24" t="str">
        <f>IFERROR(VLOOKUP(B6691,material!A:D,3,0),"")</f>
        <v/>
      </c>
    </row>
    <row r="6692" ht="11.25" customHeight="1">
      <c r="A6692" s="21"/>
      <c r="B6692" s="22"/>
      <c r="C6692" s="21"/>
      <c r="D6692" s="21"/>
      <c r="E6692" s="21"/>
      <c r="F6692" s="21"/>
      <c r="G6692" s="23"/>
      <c r="H6692" s="24" t="str">
        <f>IFERROR(VLOOKUP(B6692,material!A:D,3,0),"")</f>
        <v/>
      </c>
    </row>
    <row r="6693" ht="11.25" customHeight="1">
      <c r="A6693" s="21"/>
      <c r="B6693" s="22"/>
      <c r="C6693" s="21"/>
      <c r="D6693" s="21"/>
      <c r="E6693" s="21"/>
      <c r="F6693" s="21"/>
      <c r="G6693" s="23"/>
      <c r="H6693" s="24" t="str">
        <f>IFERROR(VLOOKUP(B6693,material!A:D,3,0),"")</f>
        <v/>
      </c>
    </row>
    <row r="6694" ht="11.25" customHeight="1">
      <c r="A6694" s="21"/>
      <c r="B6694" s="22"/>
      <c r="C6694" s="21"/>
      <c r="D6694" s="21"/>
      <c r="E6694" s="21"/>
      <c r="F6694" s="21"/>
      <c r="G6694" s="23"/>
      <c r="H6694" s="24" t="str">
        <f>IFERROR(VLOOKUP(B6694,material!A:D,3,0),"")</f>
        <v/>
      </c>
    </row>
    <row r="6695" ht="11.25" customHeight="1">
      <c r="A6695" s="21"/>
      <c r="B6695" s="22"/>
      <c r="C6695" s="21"/>
      <c r="D6695" s="21"/>
      <c r="E6695" s="21"/>
      <c r="F6695" s="21"/>
      <c r="G6695" s="23"/>
      <c r="H6695" s="24" t="str">
        <f>IFERROR(VLOOKUP(B6695,material!A:D,3,0),"")</f>
        <v/>
      </c>
    </row>
    <row r="6696" ht="11.25" customHeight="1">
      <c r="A6696" s="21"/>
      <c r="B6696" s="22"/>
      <c r="C6696" s="21"/>
      <c r="D6696" s="21"/>
      <c r="E6696" s="21"/>
      <c r="F6696" s="21"/>
      <c r="G6696" s="23"/>
      <c r="H6696" s="24" t="str">
        <f>IFERROR(VLOOKUP(B6696,material!A:D,3,0),"")</f>
        <v/>
      </c>
    </row>
    <row r="6697" ht="11.25" customHeight="1">
      <c r="A6697" s="21"/>
      <c r="B6697" s="22"/>
      <c r="C6697" s="21"/>
      <c r="D6697" s="21"/>
      <c r="E6697" s="21"/>
      <c r="F6697" s="21"/>
      <c r="G6697" s="23"/>
      <c r="H6697" s="24" t="str">
        <f>IFERROR(VLOOKUP(B6697,material!A:D,3,0),"")</f>
        <v/>
      </c>
    </row>
    <row r="6698" ht="11.25" customHeight="1">
      <c r="A6698" s="21"/>
      <c r="B6698" s="22"/>
      <c r="C6698" s="21"/>
      <c r="D6698" s="21"/>
      <c r="E6698" s="21"/>
      <c r="F6698" s="21"/>
      <c r="G6698" s="23"/>
      <c r="H6698" s="24" t="str">
        <f>IFERROR(VLOOKUP(B6698,material!A:D,3,0),"")</f>
        <v/>
      </c>
    </row>
    <row r="6699" ht="11.25" customHeight="1">
      <c r="A6699" s="21"/>
      <c r="B6699" s="22"/>
      <c r="C6699" s="21"/>
      <c r="D6699" s="21"/>
      <c r="E6699" s="21"/>
      <c r="F6699" s="21"/>
      <c r="G6699" s="23"/>
      <c r="H6699" s="24" t="str">
        <f>IFERROR(VLOOKUP(B6699,material!A:D,3,0),"")</f>
        <v/>
      </c>
    </row>
    <row r="6700" ht="11.25" customHeight="1">
      <c r="A6700" s="21"/>
      <c r="B6700" s="22"/>
      <c r="C6700" s="21"/>
      <c r="D6700" s="21"/>
      <c r="E6700" s="21"/>
      <c r="F6700" s="21"/>
      <c r="G6700" s="23"/>
      <c r="H6700" s="24" t="str">
        <f>IFERROR(VLOOKUP(B6700,material!A:D,3,0),"")</f>
        <v/>
      </c>
    </row>
    <row r="6701" ht="11.25" customHeight="1">
      <c r="A6701" s="21"/>
      <c r="B6701" s="22"/>
      <c r="C6701" s="21"/>
      <c r="D6701" s="21"/>
      <c r="E6701" s="21"/>
      <c r="F6701" s="21"/>
      <c r="G6701" s="23"/>
      <c r="H6701" s="24" t="str">
        <f>IFERROR(VLOOKUP(B6701,material!A:D,3,0),"")</f>
        <v/>
      </c>
    </row>
    <row r="6702" ht="11.25" customHeight="1">
      <c r="A6702" s="21"/>
      <c r="B6702" s="22"/>
      <c r="C6702" s="21"/>
      <c r="D6702" s="21"/>
      <c r="E6702" s="21"/>
      <c r="F6702" s="21"/>
      <c r="G6702" s="23"/>
      <c r="H6702" s="24" t="str">
        <f>IFERROR(VLOOKUP(B6702,material!A:D,3,0),"")</f>
        <v/>
      </c>
    </row>
    <row r="6703" ht="11.25" customHeight="1">
      <c r="A6703" s="21"/>
      <c r="B6703" s="22"/>
      <c r="C6703" s="21"/>
      <c r="D6703" s="21"/>
      <c r="E6703" s="21"/>
      <c r="F6703" s="21"/>
      <c r="G6703" s="23"/>
      <c r="H6703" s="24" t="str">
        <f>IFERROR(VLOOKUP(B6703,material!A:D,3,0),"")</f>
        <v/>
      </c>
    </row>
    <row r="6704" ht="11.25" customHeight="1">
      <c r="A6704" s="21"/>
      <c r="B6704" s="22"/>
      <c r="C6704" s="21"/>
      <c r="D6704" s="21"/>
      <c r="E6704" s="21"/>
      <c r="F6704" s="21"/>
      <c r="G6704" s="23"/>
      <c r="H6704" s="24" t="str">
        <f>IFERROR(VLOOKUP(B6704,material!A:D,3,0),"")</f>
        <v/>
      </c>
    </row>
    <row r="6705" ht="11.25" customHeight="1">
      <c r="A6705" s="21"/>
      <c r="B6705" s="22"/>
      <c r="C6705" s="21"/>
      <c r="D6705" s="21"/>
      <c r="E6705" s="21"/>
      <c r="F6705" s="21"/>
      <c r="G6705" s="23"/>
      <c r="H6705" s="24" t="str">
        <f>IFERROR(VLOOKUP(B6705,material!A:D,3,0),"")</f>
        <v/>
      </c>
    </row>
    <row r="6706" ht="11.25" customHeight="1">
      <c r="A6706" s="21"/>
      <c r="B6706" s="22"/>
      <c r="C6706" s="21"/>
      <c r="D6706" s="21"/>
      <c r="E6706" s="21"/>
      <c r="F6706" s="21"/>
      <c r="G6706" s="23"/>
      <c r="H6706" s="24" t="str">
        <f>IFERROR(VLOOKUP(B6706,material!A:D,3,0),"")</f>
        <v/>
      </c>
    </row>
    <row r="6707" ht="11.25" customHeight="1">
      <c r="A6707" s="21"/>
      <c r="B6707" s="22"/>
      <c r="C6707" s="21"/>
      <c r="D6707" s="21"/>
      <c r="E6707" s="21"/>
      <c r="F6707" s="21"/>
      <c r="G6707" s="23"/>
      <c r="H6707" s="24" t="str">
        <f>IFERROR(VLOOKUP(B6707,material!A:D,3,0),"")</f>
        <v/>
      </c>
    </row>
    <row r="6708" ht="11.25" customHeight="1">
      <c r="A6708" s="21"/>
      <c r="B6708" s="22"/>
      <c r="C6708" s="21"/>
      <c r="D6708" s="21"/>
      <c r="E6708" s="21"/>
      <c r="F6708" s="21"/>
      <c r="G6708" s="23"/>
      <c r="H6708" s="24" t="str">
        <f>IFERROR(VLOOKUP(B6708,material!A:D,3,0),"")</f>
        <v/>
      </c>
    </row>
    <row r="6709" ht="11.25" customHeight="1">
      <c r="A6709" s="21"/>
      <c r="B6709" s="22"/>
      <c r="C6709" s="21"/>
      <c r="D6709" s="21"/>
      <c r="E6709" s="21"/>
      <c r="F6709" s="21"/>
      <c r="G6709" s="23"/>
      <c r="H6709" s="24" t="str">
        <f>IFERROR(VLOOKUP(B6709,material!A:D,3,0),"")</f>
        <v/>
      </c>
    </row>
    <row r="6710" ht="11.25" customHeight="1">
      <c r="A6710" s="21"/>
      <c r="B6710" s="22"/>
      <c r="C6710" s="21"/>
      <c r="D6710" s="21"/>
      <c r="E6710" s="21"/>
      <c r="F6710" s="21"/>
      <c r="G6710" s="23"/>
      <c r="H6710" s="24" t="str">
        <f>IFERROR(VLOOKUP(B6710,material!A:D,3,0),"")</f>
        <v/>
      </c>
    </row>
    <row r="6711" ht="11.25" customHeight="1">
      <c r="A6711" s="21"/>
      <c r="B6711" s="22"/>
      <c r="C6711" s="21"/>
      <c r="D6711" s="21"/>
      <c r="E6711" s="21"/>
      <c r="F6711" s="21"/>
      <c r="G6711" s="23"/>
      <c r="H6711" s="24" t="str">
        <f>IFERROR(VLOOKUP(B6711,material!A:D,3,0),"")</f>
        <v/>
      </c>
    </row>
    <row r="6712" ht="11.25" customHeight="1">
      <c r="A6712" s="21"/>
      <c r="B6712" s="22"/>
      <c r="C6712" s="21"/>
      <c r="D6712" s="21"/>
      <c r="E6712" s="21"/>
      <c r="F6712" s="21"/>
      <c r="G6712" s="23"/>
      <c r="H6712" s="24" t="str">
        <f>IFERROR(VLOOKUP(B6712,material!A:D,3,0),"")</f>
        <v/>
      </c>
    </row>
    <row r="6713" ht="11.25" customHeight="1">
      <c r="A6713" s="21"/>
      <c r="B6713" s="22"/>
      <c r="C6713" s="21"/>
      <c r="D6713" s="21"/>
      <c r="E6713" s="21"/>
      <c r="F6713" s="21"/>
      <c r="G6713" s="23"/>
      <c r="H6713" s="24" t="str">
        <f>IFERROR(VLOOKUP(B6713,material!A:D,3,0),"")</f>
        <v/>
      </c>
    </row>
    <row r="6714" ht="11.25" customHeight="1">
      <c r="A6714" s="21"/>
      <c r="B6714" s="22"/>
      <c r="C6714" s="21"/>
      <c r="D6714" s="21"/>
      <c r="E6714" s="21"/>
      <c r="F6714" s="21"/>
      <c r="G6714" s="23"/>
      <c r="H6714" s="24" t="str">
        <f>IFERROR(VLOOKUP(B6714,material!A:D,3,0),"")</f>
        <v/>
      </c>
    </row>
    <row r="6715" ht="11.25" customHeight="1">
      <c r="A6715" s="21"/>
      <c r="B6715" s="22"/>
      <c r="C6715" s="21"/>
      <c r="D6715" s="21"/>
      <c r="E6715" s="21"/>
      <c r="F6715" s="21"/>
      <c r="G6715" s="23"/>
      <c r="H6715" s="24" t="str">
        <f>IFERROR(VLOOKUP(B6715,material!A:D,3,0),"")</f>
        <v/>
      </c>
    </row>
    <row r="6716" ht="11.25" customHeight="1">
      <c r="A6716" s="21"/>
      <c r="B6716" s="22"/>
      <c r="C6716" s="21"/>
      <c r="D6716" s="21"/>
      <c r="E6716" s="21"/>
      <c r="F6716" s="21"/>
      <c r="G6716" s="23"/>
      <c r="H6716" s="24" t="str">
        <f>IFERROR(VLOOKUP(B6716,material!A:D,3,0),"")</f>
        <v/>
      </c>
    </row>
    <row r="6717" ht="11.25" customHeight="1">
      <c r="A6717" s="21"/>
      <c r="B6717" s="22"/>
      <c r="C6717" s="21"/>
      <c r="D6717" s="21"/>
      <c r="E6717" s="21"/>
      <c r="F6717" s="21"/>
      <c r="G6717" s="23"/>
      <c r="H6717" s="24" t="str">
        <f>IFERROR(VLOOKUP(B6717,material!A:D,3,0),"")</f>
        <v/>
      </c>
    </row>
    <row r="6718" ht="11.25" customHeight="1">
      <c r="A6718" s="21"/>
      <c r="B6718" s="22"/>
      <c r="C6718" s="21"/>
      <c r="D6718" s="21"/>
      <c r="E6718" s="21"/>
      <c r="F6718" s="21"/>
      <c r="G6718" s="23"/>
      <c r="H6718" s="24" t="str">
        <f>IFERROR(VLOOKUP(B6718,material!A:D,3,0),"")</f>
        <v/>
      </c>
    </row>
    <row r="6719" ht="11.25" customHeight="1">
      <c r="A6719" s="21"/>
      <c r="B6719" s="22"/>
      <c r="C6719" s="21"/>
      <c r="D6719" s="21"/>
      <c r="E6719" s="21"/>
      <c r="F6719" s="21"/>
      <c r="G6719" s="23"/>
      <c r="H6719" s="24" t="str">
        <f>IFERROR(VLOOKUP(B6719,material!A:D,3,0),"")</f>
        <v/>
      </c>
    </row>
    <row r="6720" ht="11.25" customHeight="1">
      <c r="A6720" s="21"/>
      <c r="B6720" s="22"/>
      <c r="C6720" s="21"/>
      <c r="D6720" s="21"/>
      <c r="E6720" s="21"/>
      <c r="F6720" s="21"/>
      <c r="G6720" s="23"/>
      <c r="H6720" s="24" t="str">
        <f>IFERROR(VLOOKUP(B6720,material!A:D,3,0),"")</f>
        <v/>
      </c>
    </row>
    <row r="6721" ht="11.25" customHeight="1">
      <c r="A6721" s="21"/>
      <c r="B6721" s="22"/>
      <c r="C6721" s="21"/>
      <c r="D6721" s="21"/>
      <c r="E6721" s="21"/>
      <c r="F6721" s="21"/>
      <c r="G6721" s="23"/>
      <c r="H6721" s="24" t="str">
        <f>IFERROR(VLOOKUP(B6721,material!A:D,3,0),"")</f>
        <v/>
      </c>
    </row>
    <row r="6722" ht="11.25" customHeight="1">
      <c r="A6722" s="21"/>
      <c r="B6722" s="22"/>
      <c r="C6722" s="21"/>
      <c r="D6722" s="21"/>
      <c r="E6722" s="21"/>
      <c r="F6722" s="21"/>
      <c r="G6722" s="23"/>
      <c r="H6722" s="24" t="str">
        <f>IFERROR(VLOOKUP(B6722,material!A:D,3,0),"")</f>
        <v/>
      </c>
    </row>
    <row r="6723" ht="11.25" customHeight="1">
      <c r="A6723" s="21"/>
      <c r="B6723" s="22"/>
      <c r="C6723" s="21"/>
      <c r="D6723" s="21"/>
      <c r="E6723" s="21"/>
      <c r="F6723" s="21"/>
      <c r="G6723" s="23"/>
      <c r="H6723" s="24" t="str">
        <f>IFERROR(VLOOKUP(B6723,material!A:D,3,0),"")</f>
        <v/>
      </c>
    </row>
    <row r="6724" ht="11.25" customHeight="1">
      <c r="A6724" s="21"/>
      <c r="B6724" s="22"/>
      <c r="C6724" s="21"/>
      <c r="D6724" s="21"/>
      <c r="E6724" s="21"/>
      <c r="F6724" s="21"/>
      <c r="G6724" s="23"/>
      <c r="H6724" s="24" t="str">
        <f>IFERROR(VLOOKUP(B6724,material!A:D,3,0),"")</f>
        <v/>
      </c>
    </row>
    <row r="6725" ht="11.25" customHeight="1">
      <c r="A6725" s="21"/>
      <c r="B6725" s="22"/>
      <c r="C6725" s="21"/>
      <c r="D6725" s="21"/>
      <c r="E6725" s="21"/>
      <c r="F6725" s="21"/>
      <c r="G6725" s="23"/>
      <c r="H6725" s="24" t="str">
        <f>IFERROR(VLOOKUP(B6725,material!A:D,3,0),"")</f>
        <v/>
      </c>
    </row>
    <row r="6726" ht="11.25" customHeight="1">
      <c r="A6726" s="21"/>
      <c r="B6726" s="22"/>
      <c r="C6726" s="21"/>
      <c r="D6726" s="21"/>
      <c r="E6726" s="21"/>
      <c r="F6726" s="21"/>
      <c r="G6726" s="23"/>
      <c r="H6726" s="24" t="str">
        <f>IFERROR(VLOOKUP(B6726,material!A:D,3,0),"")</f>
        <v/>
      </c>
    </row>
    <row r="6727" ht="11.25" customHeight="1">
      <c r="A6727" s="21"/>
      <c r="B6727" s="22"/>
      <c r="C6727" s="21"/>
      <c r="D6727" s="21"/>
      <c r="E6727" s="21"/>
      <c r="F6727" s="21"/>
      <c r="G6727" s="23"/>
      <c r="H6727" s="24" t="str">
        <f>IFERROR(VLOOKUP(B6727,material!A:D,3,0),"")</f>
        <v/>
      </c>
    </row>
    <row r="6728" ht="11.25" customHeight="1">
      <c r="A6728" s="21"/>
      <c r="B6728" s="22"/>
      <c r="C6728" s="21"/>
      <c r="D6728" s="21"/>
      <c r="E6728" s="21"/>
      <c r="F6728" s="21"/>
      <c r="G6728" s="23"/>
      <c r="H6728" s="24" t="str">
        <f>IFERROR(VLOOKUP(B6728,material!A:D,3,0),"")</f>
        <v/>
      </c>
    </row>
    <row r="6729" ht="11.25" customHeight="1">
      <c r="A6729" s="21"/>
      <c r="B6729" s="22"/>
      <c r="C6729" s="21"/>
      <c r="D6729" s="21"/>
      <c r="E6729" s="21"/>
      <c r="F6729" s="21"/>
      <c r="G6729" s="23"/>
      <c r="H6729" s="24" t="str">
        <f>IFERROR(VLOOKUP(B6729,material!A:D,3,0),"")</f>
        <v/>
      </c>
    </row>
    <row r="6730" ht="11.25" customHeight="1">
      <c r="A6730" s="21"/>
      <c r="B6730" s="22"/>
      <c r="C6730" s="21"/>
      <c r="D6730" s="21"/>
      <c r="E6730" s="21"/>
      <c r="F6730" s="21"/>
      <c r="G6730" s="23"/>
      <c r="H6730" s="24" t="str">
        <f>IFERROR(VLOOKUP(B6730,material!A:D,3,0),"")</f>
        <v/>
      </c>
    </row>
    <row r="6731" ht="11.25" customHeight="1">
      <c r="A6731" s="21"/>
      <c r="B6731" s="22"/>
      <c r="C6731" s="21"/>
      <c r="D6731" s="21"/>
      <c r="E6731" s="21"/>
      <c r="F6731" s="21"/>
      <c r="G6731" s="23"/>
      <c r="H6731" s="24" t="str">
        <f>IFERROR(VLOOKUP(B6731,material!A:D,3,0),"")</f>
        <v/>
      </c>
    </row>
    <row r="6732" ht="11.25" customHeight="1">
      <c r="A6732" s="21"/>
      <c r="B6732" s="22"/>
      <c r="C6732" s="21"/>
      <c r="D6732" s="21"/>
      <c r="E6732" s="21"/>
      <c r="F6732" s="21"/>
      <c r="G6732" s="23"/>
      <c r="H6732" s="24" t="str">
        <f>IFERROR(VLOOKUP(B6732,material!A:D,3,0),"")</f>
        <v/>
      </c>
    </row>
    <row r="6733" ht="11.25" customHeight="1">
      <c r="A6733" s="21"/>
      <c r="B6733" s="22"/>
      <c r="C6733" s="21"/>
      <c r="D6733" s="21"/>
      <c r="E6733" s="21"/>
      <c r="F6733" s="21"/>
      <c r="G6733" s="23"/>
      <c r="H6733" s="24" t="str">
        <f>IFERROR(VLOOKUP(B6733,material!A:D,3,0),"")</f>
        <v/>
      </c>
    </row>
    <row r="6734" ht="11.25" customHeight="1">
      <c r="A6734" s="21"/>
      <c r="B6734" s="22"/>
      <c r="C6734" s="21"/>
      <c r="D6734" s="21"/>
      <c r="E6734" s="21"/>
      <c r="F6734" s="21"/>
      <c r="G6734" s="23"/>
      <c r="H6734" s="24" t="str">
        <f>IFERROR(VLOOKUP(B6734,material!A:D,3,0),"")</f>
        <v/>
      </c>
    </row>
    <row r="6735" ht="11.25" customHeight="1">
      <c r="A6735" s="21"/>
      <c r="B6735" s="22"/>
      <c r="C6735" s="21"/>
      <c r="D6735" s="21"/>
      <c r="E6735" s="21"/>
      <c r="F6735" s="21"/>
      <c r="G6735" s="23"/>
      <c r="H6735" s="24" t="str">
        <f>IFERROR(VLOOKUP(B6735,material!A:D,3,0),"")</f>
        <v/>
      </c>
    </row>
    <row r="6736" ht="11.25" customHeight="1">
      <c r="A6736" s="21"/>
      <c r="B6736" s="22"/>
      <c r="C6736" s="21"/>
      <c r="D6736" s="21"/>
      <c r="E6736" s="21"/>
      <c r="F6736" s="21"/>
      <c r="G6736" s="23"/>
      <c r="H6736" s="24" t="str">
        <f>IFERROR(VLOOKUP(B6736,material!A:D,3,0),"")</f>
        <v/>
      </c>
    </row>
    <row r="6737" ht="11.25" customHeight="1">
      <c r="A6737" s="21"/>
      <c r="B6737" s="22"/>
      <c r="C6737" s="21"/>
      <c r="D6737" s="21"/>
      <c r="E6737" s="21"/>
      <c r="F6737" s="21"/>
      <c r="G6737" s="23"/>
      <c r="H6737" s="24" t="str">
        <f>IFERROR(VLOOKUP(B6737,material!A:D,3,0),"")</f>
        <v/>
      </c>
    </row>
    <row r="6738" ht="11.25" customHeight="1">
      <c r="A6738" s="21"/>
      <c r="B6738" s="22"/>
      <c r="C6738" s="21"/>
      <c r="D6738" s="21"/>
      <c r="E6738" s="21"/>
      <c r="F6738" s="21"/>
      <c r="G6738" s="23"/>
      <c r="H6738" s="24" t="str">
        <f>IFERROR(VLOOKUP(B6738,material!A:D,3,0),"")</f>
        <v/>
      </c>
    </row>
    <row r="6739" ht="11.25" customHeight="1">
      <c r="A6739" s="21"/>
      <c r="B6739" s="22"/>
      <c r="C6739" s="21"/>
      <c r="D6739" s="21"/>
      <c r="E6739" s="21"/>
      <c r="F6739" s="21"/>
      <c r="G6739" s="23"/>
      <c r="H6739" s="24" t="str">
        <f>IFERROR(VLOOKUP(B6739,material!A:D,3,0),"")</f>
        <v/>
      </c>
    </row>
    <row r="6740" ht="11.25" customHeight="1">
      <c r="A6740" s="21"/>
      <c r="B6740" s="22"/>
      <c r="C6740" s="21"/>
      <c r="D6740" s="21"/>
      <c r="E6740" s="21"/>
      <c r="F6740" s="21"/>
      <c r="G6740" s="23"/>
      <c r="H6740" s="24" t="str">
        <f>IFERROR(VLOOKUP(B6740,material!A:D,3,0),"")</f>
        <v/>
      </c>
    </row>
    <row r="6741" ht="11.25" customHeight="1">
      <c r="A6741" s="21"/>
      <c r="B6741" s="22"/>
      <c r="C6741" s="21"/>
      <c r="D6741" s="21"/>
      <c r="E6741" s="21"/>
      <c r="F6741" s="21"/>
      <c r="G6741" s="23"/>
      <c r="H6741" s="24" t="str">
        <f>IFERROR(VLOOKUP(B6741,material!A:D,3,0),"")</f>
        <v/>
      </c>
    </row>
    <row r="6742" ht="11.25" customHeight="1">
      <c r="A6742" s="21"/>
      <c r="B6742" s="22"/>
      <c r="C6742" s="21"/>
      <c r="D6742" s="21"/>
      <c r="E6742" s="21"/>
      <c r="F6742" s="21"/>
      <c r="G6742" s="23"/>
      <c r="H6742" s="24" t="str">
        <f>IFERROR(VLOOKUP(B6742,material!A:D,3,0),"")</f>
        <v/>
      </c>
    </row>
    <row r="6743" ht="11.25" customHeight="1">
      <c r="A6743" s="21"/>
      <c r="B6743" s="22"/>
      <c r="C6743" s="21"/>
      <c r="D6743" s="21"/>
      <c r="E6743" s="21"/>
      <c r="F6743" s="21"/>
      <c r="G6743" s="23"/>
      <c r="H6743" s="24" t="str">
        <f>IFERROR(VLOOKUP(B6743,material!A:D,3,0),"")</f>
        <v/>
      </c>
    </row>
    <row r="6744" ht="11.25" customHeight="1">
      <c r="A6744" s="21"/>
      <c r="B6744" s="22"/>
      <c r="C6744" s="21"/>
      <c r="D6744" s="21"/>
      <c r="E6744" s="21"/>
      <c r="F6744" s="21"/>
      <c r="G6744" s="23"/>
      <c r="H6744" s="24" t="str">
        <f>IFERROR(VLOOKUP(B6744,material!A:D,3,0),"")</f>
        <v/>
      </c>
    </row>
    <row r="6745" ht="11.25" customHeight="1">
      <c r="A6745" s="21"/>
      <c r="B6745" s="22"/>
      <c r="C6745" s="21"/>
      <c r="D6745" s="21"/>
      <c r="E6745" s="21"/>
      <c r="F6745" s="21"/>
      <c r="G6745" s="23"/>
      <c r="H6745" s="24" t="str">
        <f>IFERROR(VLOOKUP(B6745,material!A:D,3,0),"")</f>
        <v/>
      </c>
    </row>
    <row r="6746" ht="11.25" customHeight="1">
      <c r="A6746" s="21"/>
      <c r="B6746" s="22"/>
      <c r="C6746" s="21"/>
      <c r="D6746" s="21"/>
      <c r="E6746" s="21"/>
      <c r="F6746" s="21"/>
      <c r="G6746" s="23"/>
      <c r="H6746" s="24" t="str">
        <f>IFERROR(VLOOKUP(B6746,material!A:D,3,0),"")</f>
        <v/>
      </c>
    </row>
    <row r="6747" ht="11.25" customHeight="1">
      <c r="A6747" s="21"/>
      <c r="B6747" s="22"/>
      <c r="C6747" s="21"/>
      <c r="D6747" s="21"/>
      <c r="E6747" s="21"/>
      <c r="F6747" s="21"/>
      <c r="G6747" s="23"/>
      <c r="H6747" s="24" t="str">
        <f>IFERROR(VLOOKUP(B6747,material!A:D,3,0),"")</f>
        <v/>
      </c>
    </row>
    <row r="6748" ht="11.25" customHeight="1">
      <c r="A6748" s="21"/>
      <c r="B6748" s="22"/>
      <c r="C6748" s="21"/>
      <c r="D6748" s="21"/>
      <c r="E6748" s="21"/>
      <c r="F6748" s="21"/>
      <c r="G6748" s="23"/>
      <c r="H6748" s="24" t="str">
        <f>IFERROR(VLOOKUP(B6748,material!A:D,3,0),"")</f>
        <v/>
      </c>
    </row>
    <row r="6749" ht="11.25" customHeight="1">
      <c r="A6749" s="21"/>
      <c r="B6749" s="22"/>
      <c r="C6749" s="21"/>
      <c r="D6749" s="21"/>
      <c r="E6749" s="21"/>
      <c r="F6749" s="21"/>
      <c r="G6749" s="23"/>
      <c r="H6749" s="24" t="str">
        <f>IFERROR(VLOOKUP(B6749,material!A:D,3,0),"")</f>
        <v/>
      </c>
    </row>
    <row r="6750" ht="11.25" customHeight="1">
      <c r="A6750" s="21"/>
      <c r="B6750" s="22"/>
      <c r="C6750" s="21"/>
      <c r="D6750" s="21"/>
      <c r="E6750" s="21"/>
      <c r="F6750" s="21"/>
      <c r="G6750" s="23"/>
      <c r="H6750" s="24" t="str">
        <f>IFERROR(VLOOKUP(B6750,material!A:D,3,0),"")</f>
        <v/>
      </c>
    </row>
    <row r="6751" ht="11.25" customHeight="1">
      <c r="A6751" s="21"/>
      <c r="B6751" s="22"/>
      <c r="C6751" s="21"/>
      <c r="D6751" s="21"/>
      <c r="E6751" s="21"/>
      <c r="F6751" s="21"/>
      <c r="G6751" s="23"/>
      <c r="H6751" s="24" t="str">
        <f>IFERROR(VLOOKUP(B6751,material!A:D,3,0),"")</f>
        <v/>
      </c>
    </row>
    <row r="6752" ht="11.25" customHeight="1">
      <c r="A6752" s="21"/>
      <c r="B6752" s="22"/>
      <c r="C6752" s="21"/>
      <c r="D6752" s="21"/>
      <c r="E6752" s="21"/>
      <c r="F6752" s="21"/>
      <c r="G6752" s="23"/>
      <c r="H6752" s="24" t="str">
        <f>IFERROR(VLOOKUP(B6752,material!A:D,3,0),"")</f>
        <v/>
      </c>
    </row>
    <row r="6753" ht="11.25" customHeight="1">
      <c r="A6753" s="21"/>
      <c r="B6753" s="22"/>
      <c r="C6753" s="21"/>
      <c r="D6753" s="21"/>
      <c r="E6753" s="21"/>
      <c r="F6753" s="21"/>
      <c r="G6753" s="23"/>
      <c r="H6753" s="24" t="str">
        <f>IFERROR(VLOOKUP(B6753,material!A:D,3,0),"")</f>
        <v/>
      </c>
    </row>
    <row r="6754" ht="11.25" customHeight="1">
      <c r="A6754" s="21"/>
      <c r="B6754" s="22"/>
      <c r="C6754" s="21"/>
      <c r="D6754" s="21"/>
      <c r="E6754" s="21"/>
      <c r="F6754" s="21"/>
      <c r="G6754" s="23"/>
      <c r="H6754" s="24" t="str">
        <f>IFERROR(VLOOKUP(B6754,material!A:D,3,0),"")</f>
        <v/>
      </c>
    </row>
    <row r="6755" ht="11.25" customHeight="1">
      <c r="A6755" s="21"/>
      <c r="B6755" s="22"/>
      <c r="C6755" s="21"/>
      <c r="D6755" s="21"/>
      <c r="E6755" s="21"/>
      <c r="F6755" s="21"/>
      <c r="G6755" s="23"/>
      <c r="H6755" s="24" t="str">
        <f>IFERROR(VLOOKUP(B6755,material!A:D,3,0),"")</f>
        <v/>
      </c>
    </row>
    <row r="6756" ht="11.25" customHeight="1">
      <c r="A6756" s="21"/>
      <c r="B6756" s="22"/>
      <c r="C6756" s="21"/>
      <c r="D6756" s="21"/>
      <c r="E6756" s="21"/>
      <c r="F6756" s="21"/>
      <c r="G6756" s="23"/>
      <c r="H6756" s="24" t="str">
        <f>IFERROR(VLOOKUP(B6756,material!A:D,3,0),"")</f>
        <v/>
      </c>
    </row>
    <row r="6757" ht="11.25" customHeight="1">
      <c r="A6757" s="21"/>
      <c r="B6757" s="22"/>
      <c r="C6757" s="21"/>
      <c r="D6757" s="21"/>
      <c r="E6757" s="21"/>
      <c r="F6757" s="21"/>
      <c r="G6757" s="23"/>
      <c r="H6757" s="24" t="str">
        <f>IFERROR(VLOOKUP(B6757,material!A:D,3,0),"")</f>
        <v/>
      </c>
    </row>
    <row r="6758" ht="11.25" customHeight="1">
      <c r="A6758" s="21"/>
      <c r="B6758" s="22"/>
      <c r="C6758" s="21"/>
      <c r="D6758" s="21"/>
      <c r="E6758" s="21"/>
      <c r="F6758" s="21"/>
      <c r="G6758" s="23"/>
      <c r="H6758" s="24" t="str">
        <f>IFERROR(VLOOKUP(B6758,material!A:D,3,0),"")</f>
        <v/>
      </c>
    </row>
    <row r="6759" ht="11.25" customHeight="1">
      <c r="A6759" s="21"/>
      <c r="B6759" s="22"/>
      <c r="C6759" s="21"/>
      <c r="D6759" s="21"/>
      <c r="E6759" s="21"/>
      <c r="F6759" s="21"/>
      <c r="G6759" s="23"/>
      <c r="H6759" s="24" t="str">
        <f>IFERROR(VLOOKUP(B6759,material!A:D,3,0),"")</f>
        <v/>
      </c>
    </row>
    <row r="6760" ht="11.25" customHeight="1">
      <c r="A6760" s="21"/>
      <c r="B6760" s="22"/>
      <c r="C6760" s="21"/>
      <c r="D6760" s="21"/>
      <c r="E6760" s="21"/>
      <c r="F6760" s="21"/>
      <c r="G6760" s="23"/>
      <c r="H6760" s="24" t="str">
        <f>IFERROR(VLOOKUP(B6760,material!A:D,3,0),"")</f>
        <v/>
      </c>
    </row>
    <row r="6761" ht="11.25" customHeight="1">
      <c r="A6761" s="21"/>
      <c r="B6761" s="22"/>
      <c r="C6761" s="21"/>
      <c r="D6761" s="21"/>
      <c r="E6761" s="21"/>
      <c r="F6761" s="21"/>
      <c r="G6761" s="23"/>
      <c r="H6761" s="24" t="str">
        <f>IFERROR(VLOOKUP(B6761,material!A:D,3,0),"")</f>
        <v/>
      </c>
    </row>
    <row r="6762" ht="11.25" customHeight="1">
      <c r="A6762" s="21"/>
      <c r="B6762" s="22"/>
      <c r="C6762" s="21"/>
      <c r="D6762" s="21"/>
      <c r="E6762" s="21"/>
      <c r="F6762" s="21"/>
      <c r="G6762" s="23"/>
      <c r="H6762" s="24" t="str">
        <f>IFERROR(VLOOKUP(B6762,material!A:D,3,0),"")</f>
        <v/>
      </c>
    </row>
    <row r="6763" ht="11.25" customHeight="1">
      <c r="A6763" s="21"/>
      <c r="B6763" s="22"/>
      <c r="C6763" s="21"/>
      <c r="D6763" s="21"/>
      <c r="E6763" s="21"/>
      <c r="F6763" s="21"/>
      <c r="G6763" s="23"/>
      <c r="H6763" s="24" t="str">
        <f>IFERROR(VLOOKUP(B6763,material!A:D,3,0),"")</f>
        <v/>
      </c>
    </row>
    <row r="6764" ht="11.25" customHeight="1">
      <c r="A6764" s="21"/>
      <c r="B6764" s="22"/>
      <c r="C6764" s="21"/>
      <c r="D6764" s="21"/>
      <c r="E6764" s="21"/>
      <c r="F6764" s="21"/>
      <c r="G6764" s="23"/>
      <c r="H6764" s="24" t="str">
        <f>IFERROR(VLOOKUP(B6764,material!A:D,3,0),"")</f>
        <v/>
      </c>
    </row>
    <row r="6765" ht="11.25" customHeight="1">
      <c r="A6765" s="21"/>
      <c r="B6765" s="22"/>
      <c r="C6765" s="21"/>
      <c r="D6765" s="21"/>
      <c r="E6765" s="21"/>
      <c r="F6765" s="21"/>
      <c r="G6765" s="23"/>
      <c r="H6765" s="24" t="str">
        <f>IFERROR(VLOOKUP(B6765,material!A:D,3,0),"")</f>
        <v/>
      </c>
    </row>
    <row r="6766" ht="11.25" customHeight="1">
      <c r="A6766" s="21"/>
      <c r="B6766" s="22"/>
      <c r="C6766" s="21"/>
      <c r="D6766" s="21"/>
      <c r="E6766" s="21"/>
      <c r="F6766" s="21"/>
      <c r="G6766" s="23"/>
      <c r="H6766" s="24" t="str">
        <f>IFERROR(VLOOKUP(B6766,material!A:D,3,0),"")</f>
        <v/>
      </c>
    </row>
    <row r="6767" ht="11.25" customHeight="1">
      <c r="A6767" s="21"/>
      <c r="B6767" s="22"/>
      <c r="C6767" s="21"/>
      <c r="D6767" s="21"/>
      <c r="E6767" s="21"/>
      <c r="F6767" s="21"/>
      <c r="G6767" s="23"/>
      <c r="H6767" s="24" t="str">
        <f>IFERROR(VLOOKUP(B6767,material!A:D,3,0),"")</f>
        <v/>
      </c>
    </row>
    <row r="6768" ht="11.25" customHeight="1">
      <c r="A6768" s="21"/>
      <c r="B6768" s="22"/>
      <c r="C6768" s="21"/>
      <c r="D6768" s="21"/>
      <c r="E6768" s="21"/>
      <c r="F6768" s="21"/>
      <c r="G6768" s="23"/>
      <c r="H6768" s="24" t="str">
        <f>IFERROR(VLOOKUP(B6768,material!A:D,3,0),"")</f>
        <v/>
      </c>
    </row>
    <row r="6769" ht="11.25" customHeight="1">
      <c r="A6769" s="21"/>
      <c r="B6769" s="22"/>
      <c r="C6769" s="21"/>
      <c r="D6769" s="21"/>
      <c r="E6769" s="21"/>
      <c r="F6769" s="21"/>
      <c r="G6769" s="23"/>
      <c r="H6769" s="24" t="str">
        <f>IFERROR(VLOOKUP(B6769,material!A:D,3,0),"")</f>
        <v/>
      </c>
    </row>
    <row r="6770" ht="11.25" customHeight="1">
      <c r="A6770" s="21"/>
      <c r="B6770" s="22"/>
      <c r="C6770" s="21"/>
      <c r="D6770" s="21"/>
      <c r="E6770" s="21"/>
      <c r="F6770" s="21"/>
      <c r="G6770" s="23"/>
      <c r="H6770" s="24" t="str">
        <f>IFERROR(VLOOKUP(B6770,material!A:D,3,0),"")</f>
        <v/>
      </c>
    </row>
    <row r="6771" ht="11.25" customHeight="1">
      <c r="A6771" s="21"/>
      <c r="B6771" s="22"/>
      <c r="C6771" s="21"/>
      <c r="D6771" s="21"/>
      <c r="E6771" s="21"/>
      <c r="F6771" s="21"/>
      <c r="G6771" s="23"/>
      <c r="H6771" s="24" t="str">
        <f>IFERROR(VLOOKUP(B6771,material!A:D,3,0),"")</f>
        <v/>
      </c>
    </row>
    <row r="6772" ht="11.25" customHeight="1">
      <c r="A6772" s="21"/>
      <c r="B6772" s="22"/>
      <c r="C6772" s="21"/>
      <c r="D6772" s="21"/>
      <c r="E6772" s="21"/>
      <c r="F6772" s="21"/>
      <c r="G6772" s="23"/>
      <c r="H6772" s="24" t="str">
        <f>IFERROR(VLOOKUP(B6772,material!A:D,3,0),"")</f>
        <v/>
      </c>
    </row>
    <row r="6773" ht="11.25" customHeight="1">
      <c r="A6773" s="21"/>
      <c r="B6773" s="22"/>
      <c r="C6773" s="21"/>
      <c r="D6773" s="21"/>
      <c r="E6773" s="21"/>
      <c r="F6773" s="21"/>
      <c r="G6773" s="23"/>
      <c r="H6773" s="24" t="str">
        <f>IFERROR(VLOOKUP(B6773,material!A:D,3,0),"")</f>
        <v/>
      </c>
    </row>
    <row r="6774" ht="11.25" customHeight="1">
      <c r="A6774" s="21"/>
      <c r="B6774" s="22"/>
      <c r="C6774" s="21"/>
      <c r="D6774" s="21"/>
      <c r="E6774" s="21"/>
      <c r="F6774" s="21"/>
      <c r="G6774" s="23"/>
      <c r="H6774" s="24" t="str">
        <f>IFERROR(VLOOKUP(B6774,material!A:D,3,0),"")</f>
        <v/>
      </c>
    </row>
    <row r="6775" ht="11.25" customHeight="1">
      <c r="A6775" s="21"/>
      <c r="B6775" s="22"/>
      <c r="C6775" s="21"/>
      <c r="D6775" s="21"/>
      <c r="E6775" s="21"/>
      <c r="F6775" s="21"/>
      <c r="G6775" s="23"/>
      <c r="H6775" s="24" t="str">
        <f>IFERROR(VLOOKUP(B6775,material!A:D,3,0),"")</f>
        <v/>
      </c>
    </row>
    <row r="6776" ht="11.25" customHeight="1">
      <c r="A6776" s="21"/>
      <c r="B6776" s="22"/>
      <c r="C6776" s="21"/>
      <c r="D6776" s="21"/>
      <c r="E6776" s="21"/>
      <c r="F6776" s="21"/>
      <c r="G6776" s="23"/>
      <c r="H6776" s="24" t="str">
        <f>IFERROR(VLOOKUP(B6776,material!A:D,3,0),"")</f>
        <v/>
      </c>
    </row>
    <row r="6777" ht="11.25" customHeight="1">
      <c r="A6777" s="21"/>
      <c r="B6777" s="22"/>
      <c r="C6777" s="21"/>
      <c r="D6777" s="21"/>
      <c r="E6777" s="21"/>
      <c r="F6777" s="21"/>
      <c r="G6777" s="23"/>
      <c r="H6777" s="24" t="str">
        <f>IFERROR(VLOOKUP(B6777,material!A:D,3,0),"")</f>
        <v/>
      </c>
    </row>
    <row r="6778" ht="11.25" customHeight="1">
      <c r="A6778" s="21"/>
      <c r="B6778" s="22"/>
      <c r="C6778" s="21"/>
      <c r="D6778" s="21"/>
      <c r="E6778" s="21"/>
      <c r="F6778" s="21"/>
      <c r="G6778" s="23"/>
      <c r="H6778" s="24" t="str">
        <f>IFERROR(VLOOKUP(B6778,material!A:D,3,0),"")</f>
        <v/>
      </c>
    </row>
    <row r="6779" ht="11.25" customHeight="1">
      <c r="A6779" s="21"/>
      <c r="B6779" s="22"/>
      <c r="C6779" s="21"/>
      <c r="D6779" s="21"/>
      <c r="E6779" s="21"/>
      <c r="F6779" s="21"/>
      <c r="G6779" s="23"/>
      <c r="H6779" s="24" t="str">
        <f>IFERROR(VLOOKUP(B6779,material!A:D,3,0),"")</f>
        <v/>
      </c>
    </row>
    <row r="6780" ht="11.25" customHeight="1">
      <c r="A6780" s="21"/>
      <c r="B6780" s="22"/>
      <c r="C6780" s="21"/>
      <c r="D6780" s="21"/>
      <c r="E6780" s="21"/>
      <c r="F6780" s="21"/>
      <c r="G6780" s="23"/>
      <c r="H6780" s="24" t="str">
        <f>IFERROR(VLOOKUP(B6780,material!A:D,3,0),"")</f>
        <v/>
      </c>
    </row>
    <row r="6781" ht="11.25" customHeight="1">
      <c r="A6781" s="21"/>
      <c r="B6781" s="22"/>
      <c r="C6781" s="21"/>
      <c r="D6781" s="21"/>
      <c r="E6781" s="21"/>
      <c r="F6781" s="21"/>
      <c r="G6781" s="23"/>
      <c r="H6781" s="24" t="str">
        <f>IFERROR(VLOOKUP(B6781,material!A:D,3,0),"")</f>
        <v/>
      </c>
    </row>
    <row r="6782" ht="11.25" customHeight="1">
      <c r="A6782" s="21"/>
      <c r="B6782" s="22"/>
      <c r="C6782" s="21"/>
      <c r="D6782" s="21"/>
      <c r="E6782" s="21"/>
      <c r="F6782" s="21"/>
      <c r="G6782" s="23"/>
      <c r="H6782" s="24" t="str">
        <f>IFERROR(VLOOKUP(B6782,material!A:D,3,0),"")</f>
        <v/>
      </c>
    </row>
    <row r="6783" ht="11.25" customHeight="1">
      <c r="A6783" s="21"/>
      <c r="B6783" s="22"/>
      <c r="C6783" s="21"/>
      <c r="D6783" s="21"/>
      <c r="E6783" s="21"/>
      <c r="F6783" s="21"/>
      <c r="G6783" s="23"/>
      <c r="H6783" s="24" t="str">
        <f>IFERROR(VLOOKUP(B6783,material!A:D,3,0),"")</f>
        <v/>
      </c>
    </row>
    <row r="6784" ht="11.25" customHeight="1">
      <c r="A6784" s="21"/>
      <c r="B6784" s="22"/>
      <c r="C6784" s="21"/>
      <c r="D6784" s="21"/>
      <c r="E6784" s="21"/>
      <c r="F6784" s="21"/>
      <c r="G6784" s="23"/>
      <c r="H6784" s="24" t="str">
        <f>IFERROR(VLOOKUP(B6784,material!A:D,3,0),"")</f>
        <v/>
      </c>
    </row>
    <row r="6785" ht="11.25" customHeight="1">
      <c r="A6785" s="21"/>
      <c r="B6785" s="22"/>
      <c r="C6785" s="21"/>
      <c r="D6785" s="21"/>
      <c r="E6785" s="21"/>
      <c r="F6785" s="21"/>
      <c r="G6785" s="23"/>
      <c r="H6785" s="24" t="str">
        <f>IFERROR(VLOOKUP(B6785,material!A:D,3,0),"")</f>
        <v/>
      </c>
    </row>
    <row r="6786" ht="11.25" customHeight="1">
      <c r="A6786" s="21"/>
      <c r="B6786" s="22"/>
      <c r="C6786" s="21"/>
      <c r="D6786" s="21"/>
      <c r="E6786" s="21"/>
      <c r="F6786" s="21"/>
      <c r="G6786" s="23"/>
      <c r="H6786" s="24" t="str">
        <f>IFERROR(VLOOKUP(B6786,material!A:D,3,0),"")</f>
        <v/>
      </c>
    </row>
    <row r="6787" ht="11.25" customHeight="1">
      <c r="A6787" s="21"/>
      <c r="B6787" s="22"/>
      <c r="C6787" s="21"/>
      <c r="D6787" s="21"/>
      <c r="E6787" s="21"/>
      <c r="F6787" s="21"/>
      <c r="G6787" s="23"/>
      <c r="H6787" s="24" t="str">
        <f>IFERROR(VLOOKUP(B6787,material!A:D,3,0),"")</f>
        <v/>
      </c>
    </row>
    <row r="6788" ht="11.25" customHeight="1">
      <c r="A6788" s="21"/>
      <c r="B6788" s="22"/>
      <c r="C6788" s="21"/>
      <c r="D6788" s="21"/>
      <c r="E6788" s="21"/>
      <c r="F6788" s="21"/>
      <c r="G6788" s="23"/>
      <c r="H6788" s="24" t="str">
        <f>IFERROR(VLOOKUP(B6788,material!A:D,3,0),"")</f>
        <v/>
      </c>
    </row>
    <row r="6789" ht="11.25" customHeight="1">
      <c r="A6789" s="21"/>
      <c r="B6789" s="22"/>
      <c r="C6789" s="21"/>
      <c r="D6789" s="21"/>
      <c r="E6789" s="21"/>
      <c r="F6789" s="21"/>
      <c r="G6789" s="23"/>
      <c r="H6789" s="24" t="str">
        <f>IFERROR(VLOOKUP(B6789,material!A:D,3,0),"")</f>
        <v/>
      </c>
    </row>
    <row r="6790" ht="11.25" customHeight="1">
      <c r="A6790" s="21"/>
      <c r="B6790" s="22"/>
      <c r="C6790" s="21"/>
      <c r="D6790" s="21"/>
      <c r="E6790" s="21"/>
      <c r="F6790" s="21"/>
      <c r="G6790" s="23"/>
      <c r="H6790" s="24" t="str">
        <f>IFERROR(VLOOKUP(B6790,material!A:D,3,0),"")</f>
        <v/>
      </c>
    </row>
    <row r="6791" ht="11.25" customHeight="1">
      <c r="A6791" s="21"/>
      <c r="B6791" s="22"/>
      <c r="C6791" s="21"/>
      <c r="D6791" s="21"/>
      <c r="E6791" s="21"/>
      <c r="F6791" s="21"/>
      <c r="G6791" s="23"/>
      <c r="H6791" s="24" t="str">
        <f>IFERROR(VLOOKUP(B6791,material!A:D,3,0),"")</f>
        <v/>
      </c>
    </row>
    <row r="6792" ht="11.25" customHeight="1">
      <c r="A6792" s="21"/>
      <c r="B6792" s="22"/>
      <c r="C6792" s="21"/>
      <c r="D6792" s="21"/>
      <c r="E6792" s="21"/>
      <c r="F6792" s="21"/>
      <c r="G6792" s="23"/>
      <c r="H6792" s="24" t="str">
        <f>IFERROR(VLOOKUP(B6792,material!A:D,3,0),"")</f>
        <v/>
      </c>
    </row>
    <row r="6793" ht="11.25" customHeight="1">
      <c r="A6793" s="21"/>
      <c r="B6793" s="22"/>
      <c r="C6793" s="21"/>
      <c r="D6793" s="21"/>
      <c r="E6793" s="21"/>
      <c r="F6793" s="21"/>
      <c r="G6793" s="23"/>
      <c r="H6793" s="24" t="str">
        <f>IFERROR(VLOOKUP(B6793,material!A:D,3,0),"")</f>
        <v/>
      </c>
    </row>
    <row r="6794" ht="11.25" customHeight="1">
      <c r="A6794" s="21"/>
      <c r="B6794" s="22"/>
      <c r="C6794" s="21"/>
      <c r="D6794" s="21"/>
      <c r="E6794" s="21"/>
      <c r="F6794" s="21"/>
      <c r="G6794" s="23"/>
      <c r="H6794" s="24" t="str">
        <f>IFERROR(VLOOKUP(B6794,material!A:D,3,0),"")</f>
        <v/>
      </c>
    </row>
    <row r="6795" ht="11.25" customHeight="1">
      <c r="A6795" s="21"/>
      <c r="B6795" s="22"/>
      <c r="C6795" s="21"/>
      <c r="D6795" s="21"/>
      <c r="E6795" s="21"/>
      <c r="F6795" s="21"/>
      <c r="G6795" s="23"/>
      <c r="H6795" s="24" t="str">
        <f>IFERROR(VLOOKUP(B6795,material!A:D,3,0),"")</f>
        <v/>
      </c>
    </row>
    <row r="6796" ht="11.25" customHeight="1">
      <c r="A6796" s="21"/>
      <c r="B6796" s="22"/>
      <c r="C6796" s="21"/>
      <c r="D6796" s="21"/>
      <c r="E6796" s="21"/>
      <c r="F6796" s="21"/>
      <c r="G6796" s="23"/>
      <c r="H6796" s="24" t="str">
        <f>IFERROR(VLOOKUP(B6796,material!A:D,3,0),"")</f>
        <v/>
      </c>
    </row>
    <row r="6797" ht="11.25" customHeight="1">
      <c r="A6797" s="21"/>
      <c r="B6797" s="22"/>
      <c r="C6797" s="21"/>
      <c r="D6797" s="21"/>
      <c r="E6797" s="21"/>
      <c r="F6797" s="21"/>
      <c r="G6797" s="23"/>
      <c r="H6797" s="24" t="str">
        <f>IFERROR(VLOOKUP(B6797,material!A:D,3,0),"")</f>
        <v/>
      </c>
    </row>
    <row r="6798" ht="11.25" customHeight="1">
      <c r="A6798" s="21"/>
      <c r="B6798" s="22"/>
      <c r="C6798" s="21"/>
      <c r="D6798" s="21"/>
      <c r="E6798" s="21"/>
      <c r="F6798" s="21"/>
      <c r="G6798" s="23"/>
      <c r="H6798" s="24" t="str">
        <f>IFERROR(VLOOKUP(B6798,material!A:D,3,0),"")</f>
        <v/>
      </c>
    </row>
    <row r="6799" ht="11.25" customHeight="1">
      <c r="A6799" s="21"/>
      <c r="B6799" s="22"/>
      <c r="C6799" s="21"/>
      <c r="D6799" s="21"/>
      <c r="E6799" s="21"/>
      <c r="F6799" s="21"/>
      <c r="G6799" s="23"/>
      <c r="H6799" s="24" t="str">
        <f>IFERROR(VLOOKUP(B6799,material!A:D,3,0),"")</f>
        <v/>
      </c>
    </row>
    <row r="6800" ht="11.25" customHeight="1">
      <c r="A6800" s="21"/>
      <c r="B6800" s="22"/>
      <c r="C6800" s="21"/>
      <c r="D6800" s="21"/>
      <c r="E6800" s="21"/>
      <c r="F6800" s="21"/>
      <c r="G6800" s="23"/>
      <c r="H6800" s="24" t="str">
        <f>IFERROR(VLOOKUP(B6800,material!A:D,3,0),"")</f>
        <v/>
      </c>
    </row>
    <row r="6801" ht="11.25" customHeight="1">
      <c r="A6801" s="21"/>
      <c r="B6801" s="22"/>
      <c r="C6801" s="21"/>
      <c r="D6801" s="21"/>
      <c r="E6801" s="21"/>
      <c r="F6801" s="21"/>
      <c r="G6801" s="23"/>
      <c r="H6801" s="24" t="str">
        <f>IFERROR(VLOOKUP(B6801,material!A:D,3,0),"")</f>
        <v/>
      </c>
    </row>
    <row r="6802" ht="11.25" customHeight="1">
      <c r="A6802" s="21"/>
      <c r="B6802" s="22"/>
      <c r="C6802" s="21"/>
      <c r="D6802" s="21"/>
      <c r="E6802" s="21"/>
      <c r="F6802" s="21"/>
      <c r="G6802" s="23"/>
      <c r="H6802" s="24" t="str">
        <f>IFERROR(VLOOKUP(B6802,material!A:D,3,0),"")</f>
        <v/>
      </c>
    </row>
    <row r="6803" ht="11.25" customHeight="1">
      <c r="A6803" s="21"/>
      <c r="B6803" s="22"/>
      <c r="C6803" s="21"/>
      <c r="D6803" s="21"/>
      <c r="E6803" s="21"/>
      <c r="F6803" s="21"/>
      <c r="G6803" s="23"/>
      <c r="H6803" s="24" t="str">
        <f>IFERROR(VLOOKUP(B6803,material!A:D,3,0),"")</f>
        <v/>
      </c>
    </row>
    <row r="6804" ht="11.25" customHeight="1">
      <c r="A6804" s="21"/>
      <c r="B6804" s="22"/>
      <c r="C6804" s="21"/>
      <c r="D6804" s="21"/>
      <c r="E6804" s="21"/>
      <c r="F6804" s="21"/>
      <c r="G6804" s="23"/>
      <c r="H6804" s="24" t="str">
        <f>IFERROR(VLOOKUP(B6804,material!A:D,3,0),"")</f>
        <v/>
      </c>
    </row>
    <row r="6805" ht="11.25" customHeight="1">
      <c r="A6805" s="21"/>
      <c r="B6805" s="22"/>
      <c r="C6805" s="21"/>
      <c r="D6805" s="21"/>
      <c r="E6805" s="21"/>
      <c r="F6805" s="21"/>
      <c r="G6805" s="23"/>
      <c r="H6805" s="24" t="str">
        <f>IFERROR(VLOOKUP(B6805,material!A:D,3,0),"")</f>
        <v/>
      </c>
    </row>
    <row r="6806" ht="11.25" customHeight="1">
      <c r="A6806" s="21"/>
      <c r="B6806" s="22"/>
      <c r="C6806" s="21"/>
      <c r="D6806" s="21"/>
      <c r="E6806" s="21"/>
      <c r="F6806" s="21"/>
      <c r="G6806" s="23"/>
      <c r="H6806" s="24" t="str">
        <f>IFERROR(VLOOKUP(B6806,material!A:D,3,0),"")</f>
        <v/>
      </c>
    </row>
    <row r="6807" ht="11.25" customHeight="1">
      <c r="A6807" s="21"/>
      <c r="B6807" s="22"/>
      <c r="C6807" s="21"/>
      <c r="D6807" s="21"/>
      <c r="E6807" s="21"/>
      <c r="F6807" s="21"/>
      <c r="G6807" s="23"/>
      <c r="H6807" s="24" t="str">
        <f>IFERROR(VLOOKUP(B6807,material!A:D,3,0),"")</f>
        <v/>
      </c>
    </row>
    <row r="6808" ht="11.25" customHeight="1">
      <c r="A6808" s="21"/>
      <c r="B6808" s="22"/>
      <c r="C6808" s="21"/>
      <c r="D6808" s="21"/>
      <c r="E6808" s="21"/>
      <c r="F6808" s="21"/>
      <c r="G6808" s="23"/>
      <c r="H6808" s="24" t="str">
        <f>IFERROR(VLOOKUP(B6808,material!A:D,3,0),"")</f>
        <v/>
      </c>
    </row>
    <row r="6809" ht="11.25" customHeight="1">
      <c r="A6809" s="21"/>
      <c r="B6809" s="22"/>
      <c r="C6809" s="21"/>
      <c r="D6809" s="21"/>
      <c r="E6809" s="21"/>
      <c r="F6809" s="21"/>
      <c r="G6809" s="23"/>
      <c r="H6809" s="24" t="str">
        <f>IFERROR(VLOOKUP(B6809,material!A:D,3,0),"")</f>
        <v/>
      </c>
    </row>
    <row r="6810" ht="11.25" customHeight="1">
      <c r="A6810" s="21"/>
      <c r="B6810" s="22"/>
      <c r="C6810" s="21"/>
      <c r="D6810" s="21"/>
      <c r="E6810" s="21"/>
      <c r="F6810" s="21"/>
      <c r="G6810" s="23"/>
      <c r="H6810" s="24" t="str">
        <f>IFERROR(VLOOKUP(B6810,material!A:D,3,0),"")</f>
        <v/>
      </c>
    </row>
    <row r="6811" ht="11.25" customHeight="1">
      <c r="A6811" s="21"/>
      <c r="B6811" s="22"/>
      <c r="C6811" s="21"/>
      <c r="D6811" s="21"/>
      <c r="E6811" s="21"/>
      <c r="F6811" s="21"/>
      <c r="G6811" s="23"/>
      <c r="H6811" s="24" t="str">
        <f>IFERROR(VLOOKUP(B6811,material!A:D,3,0),"")</f>
        <v/>
      </c>
    </row>
    <row r="6812" ht="11.25" customHeight="1">
      <c r="A6812" s="21"/>
      <c r="B6812" s="22"/>
      <c r="C6812" s="21"/>
      <c r="D6812" s="21"/>
      <c r="E6812" s="21"/>
      <c r="F6812" s="21"/>
      <c r="G6812" s="23"/>
      <c r="H6812" s="24" t="str">
        <f>IFERROR(VLOOKUP(B6812,material!A:D,3,0),"")</f>
        <v/>
      </c>
    </row>
    <row r="6813" ht="11.25" customHeight="1">
      <c r="A6813" s="21"/>
      <c r="B6813" s="22"/>
      <c r="C6813" s="21"/>
      <c r="D6813" s="21"/>
      <c r="E6813" s="21"/>
      <c r="F6813" s="21"/>
      <c r="G6813" s="23"/>
      <c r="H6813" s="24" t="str">
        <f>IFERROR(VLOOKUP(B6813,material!A:D,3,0),"")</f>
        <v/>
      </c>
    </row>
    <row r="6814" ht="11.25" customHeight="1">
      <c r="A6814" s="21"/>
      <c r="B6814" s="22"/>
      <c r="C6814" s="21"/>
      <c r="D6814" s="21"/>
      <c r="E6814" s="21"/>
      <c r="F6814" s="21"/>
      <c r="G6814" s="23"/>
      <c r="H6814" s="24" t="str">
        <f>IFERROR(VLOOKUP(B6814,material!A:D,3,0),"")</f>
        <v/>
      </c>
    </row>
    <row r="6815" ht="11.25" customHeight="1">
      <c r="A6815" s="21"/>
      <c r="B6815" s="22"/>
      <c r="C6815" s="21"/>
      <c r="D6815" s="21"/>
      <c r="E6815" s="21"/>
      <c r="F6815" s="21"/>
      <c r="G6815" s="23"/>
      <c r="H6815" s="24" t="str">
        <f>IFERROR(VLOOKUP(B6815,material!A:D,3,0),"")</f>
        <v/>
      </c>
    </row>
    <row r="6816" ht="11.25" customHeight="1">
      <c r="A6816" s="21"/>
      <c r="B6816" s="22"/>
      <c r="C6816" s="21"/>
      <c r="D6816" s="21"/>
      <c r="E6816" s="21"/>
      <c r="F6816" s="21"/>
      <c r="G6816" s="23"/>
      <c r="H6816" s="24" t="str">
        <f>IFERROR(VLOOKUP(B6816,material!A:D,3,0),"")</f>
        <v/>
      </c>
    </row>
    <row r="6817" ht="11.25" customHeight="1">
      <c r="A6817" s="21"/>
      <c r="B6817" s="22"/>
      <c r="C6817" s="21"/>
      <c r="D6817" s="21"/>
      <c r="E6817" s="21"/>
      <c r="F6817" s="21"/>
      <c r="G6817" s="23"/>
      <c r="H6817" s="24" t="str">
        <f>IFERROR(VLOOKUP(B6817,material!A:D,3,0),"")</f>
        <v/>
      </c>
    </row>
    <row r="6818" ht="11.25" customHeight="1">
      <c r="A6818" s="21"/>
      <c r="B6818" s="22"/>
      <c r="C6818" s="21"/>
      <c r="D6818" s="21"/>
      <c r="E6818" s="21"/>
      <c r="F6818" s="21"/>
      <c r="G6818" s="23"/>
      <c r="H6818" s="24" t="str">
        <f>IFERROR(VLOOKUP(B6818,material!A:D,3,0),"")</f>
        <v/>
      </c>
    </row>
    <row r="6819" ht="11.25" customHeight="1">
      <c r="A6819" s="21"/>
      <c r="B6819" s="22"/>
      <c r="C6819" s="21"/>
      <c r="D6819" s="21"/>
      <c r="E6819" s="21"/>
      <c r="F6819" s="21"/>
      <c r="G6819" s="23"/>
      <c r="H6819" s="24" t="str">
        <f>IFERROR(VLOOKUP(B6819,material!A:D,3,0),"")</f>
        <v/>
      </c>
    </row>
    <row r="6820" ht="11.25" customHeight="1">
      <c r="A6820" s="21"/>
      <c r="B6820" s="22"/>
      <c r="C6820" s="21"/>
      <c r="D6820" s="21"/>
      <c r="E6820" s="21"/>
      <c r="F6820" s="21"/>
      <c r="G6820" s="23"/>
      <c r="H6820" s="24" t="str">
        <f>IFERROR(VLOOKUP(B6820,material!A:D,3,0),"")</f>
        <v/>
      </c>
    </row>
    <row r="6821" ht="11.25" customHeight="1">
      <c r="A6821" s="21"/>
      <c r="B6821" s="22"/>
      <c r="C6821" s="21"/>
      <c r="D6821" s="21"/>
      <c r="E6821" s="21"/>
      <c r="F6821" s="21"/>
      <c r="G6821" s="23"/>
      <c r="H6821" s="24" t="str">
        <f>IFERROR(VLOOKUP(B6821,material!A:D,3,0),"")</f>
        <v/>
      </c>
    </row>
    <row r="6822" ht="11.25" customHeight="1">
      <c r="A6822" s="21"/>
      <c r="B6822" s="22"/>
      <c r="C6822" s="21"/>
      <c r="D6822" s="21"/>
      <c r="E6822" s="21"/>
      <c r="F6822" s="21"/>
      <c r="G6822" s="23"/>
      <c r="H6822" s="24" t="str">
        <f>IFERROR(VLOOKUP(B6822,material!A:D,3,0),"")</f>
        <v/>
      </c>
    </row>
    <row r="6823" ht="11.25" customHeight="1">
      <c r="A6823" s="21"/>
      <c r="B6823" s="22"/>
      <c r="C6823" s="21"/>
      <c r="D6823" s="21"/>
      <c r="E6823" s="21"/>
      <c r="F6823" s="21"/>
      <c r="G6823" s="23"/>
      <c r="H6823" s="24" t="str">
        <f>IFERROR(VLOOKUP(B6823,material!A:D,3,0),"")</f>
        <v/>
      </c>
    </row>
    <row r="6824" ht="11.25" customHeight="1">
      <c r="A6824" s="21"/>
      <c r="B6824" s="22"/>
      <c r="C6824" s="21"/>
      <c r="D6824" s="21"/>
      <c r="E6824" s="21"/>
      <c r="F6824" s="21"/>
      <c r="G6824" s="23"/>
      <c r="H6824" s="24" t="str">
        <f>IFERROR(VLOOKUP(B6824,material!A:D,3,0),"")</f>
        <v/>
      </c>
    </row>
    <row r="6825" ht="11.25" customHeight="1">
      <c r="A6825" s="21"/>
      <c r="B6825" s="22"/>
      <c r="C6825" s="21"/>
      <c r="D6825" s="21"/>
      <c r="E6825" s="21"/>
      <c r="F6825" s="21"/>
      <c r="G6825" s="23"/>
      <c r="H6825" s="24" t="str">
        <f>IFERROR(VLOOKUP(B6825,material!A:D,3,0),"")</f>
        <v/>
      </c>
    </row>
    <row r="6826" ht="11.25" customHeight="1">
      <c r="A6826" s="21"/>
      <c r="B6826" s="22"/>
      <c r="C6826" s="21"/>
      <c r="D6826" s="21"/>
      <c r="E6826" s="21"/>
      <c r="F6826" s="21"/>
      <c r="G6826" s="23"/>
      <c r="H6826" s="24" t="str">
        <f>IFERROR(VLOOKUP(B6826,material!A:D,3,0),"")</f>
        <v/>
      </c>
    </row>
    <row r="6827" ht="11.25" customHeight="1">
      <c r="A6827" s="21"/>
      <c r="B6827" s="22"/>
      <c r="C6827" s="21"/>
      <c r="D6827" s="21"/>
      <c r="E6827" s="21"/>
      <c r="F6827" s="21"/>
      <c r="G6827" s="23"/>
      <c r="H6827" s="24" t="str">
        <f>IFERROR(VLOOKUP(B6827,material!A:D,3,0),"")</f>
        <v/>
      </c>
    </row>
    <row r="6828" ht="11.25" customHeight="1">
      <c r="A6828" s="21"/>
      <c r="B6828" s="22"/>
      <c r="C6828" s="21"/>
      <c r="D6828" s="21"/>
      <c r="E6828" s="21"/>
      <c r="F6828" s="21"/>
      <c r="G6828" s="23"/>
      <c r="H6828" s="24" t="str">
        <f>IFERROR(VLOOKUP(B6828,material!A:D,3,0),"")</f>
        <v/>
      </c>
    </row>
    <row r="6829" ht="11.25" customHeight="1">
      <c r="A6829" s="21"/>
      <c r="B6829" s="22"/>
      <c r="C6829" s="21"/>
      <c r="D6829" s="21"/>
      <c r="E6829" s="21"/>
      <c r="F6829" s="21"/>
      <c r="G6829" s="23"/>
      <c r="H6829" s="24" t="str">
        <f>IFERROR(VLOOKUP(B6829,material!A:D,3,0),"")</f>
        <v/>
      </c>
    </row>
    <row r="6830" ht="11.25" customHeight="1">
      <c r="A6830" s="21"/>
      <c r="B6830" s="22"/>
      <c r="C6830" s="21"/>
      <c r="D6830" s="21"/>
      <c r="E6830" s="21"/>
      <c r="F6830" s="21"/>
      <c r="G6830" s="23"/>
      <c r="H6830" s="24" t="str">
        <f>IFERROR(VLOOKUP(B6830,material!A:D,3,0),"")</f>
        <v/>
      </c>
    </row>
    <row r="6831" ht="11.25" customHeight="1">
      <c r="A6831" s="21"/>
      <c r="B6831" s="22"/>
      <c r="C6831" s="21"/>
      <c r="D6831" s="21"/>
      <c r="E6831" s="21"/>
      <c r="F6831" s="21"/>
      <c r="G6831" s="23"/>
      <c r="H6831" s="24" t="str">
        <f>IFERROR(VLOOKUP(B6831,material!A:D,3,0),"")</f>
        <v/>
      </c>
    </row>
    <row r="6832" ht="11.25" customHeight="1">
      <c r="A6832" s="21"/>
      <c r="B6832" s="22"/>
      <c r="C6832" s="21"/>
      <c r="D6832" s="21"/>
      <c r="E6832" s="21"/>
      <c r="F6832" s="21"/>
      <c r="G6832" s="23"/>
      <c r="H6832" s="24" t="str">
        <f>IFERROR(VLOOKUP(B6832,material!A:D,3,0),"")</f>
        <v/>
      </c>
    </row>
    <row r="6833" ht="11.25" customHeight="1">
      <c r="A6833" s="21"/>
      <c r="B6833" s="22"/>
      <c r="C6833" s="21"/>
      <c r="D6833" s="21"/>
      <c r="E6833" s="21"/>
      <c r="F6833" s="21"/>
      <c r="G6833" s="23"/>
      <c r="H6833" s="24" t="str">
        <f>IFERROR(VLOOKUP(B6833,material!A:D,3,0),"")</f>
        <v/>
      </c>
    </row>
    <row r="6834" ht="11.25" customHeight="1">
      <c r="A6834" s="21"/>
      <c r="B6834" s="22"/>
      <c r="C6834" s="21"/>
      <c r="D6834" s="21"/>
      <c r="E6834" s="21"/>
      <c r="F6834" s="21"/>
      <c r="G6834" s="23"/>
      <c r="H6834" s="24" t="str">
        <f>IFERROR(VLOOKUP(B6834,material!A:D,3,0),"")</f>
        <v/>
      </c>
    </row>
    <row r="6835" ht="11.25" customHeight="1">
      <c r="A6835" s="21"/>
      <c r="B6835" s="22"/>
      <c r="C6835" s="21"/>
      <c r="D6835" s="21"/>
      <c r="E6835" s="21"/>
      <c r="F6835" s="21"/>
      <c r="G6835" s="23"/>
      <c r="H6835" s="24" t="str">
        <f>IFERROR(VLOOKUP(B6835,material!A:D,3,0),"")</f>
        <v/>
      </c>
    </row>
    <row r="6836" ht="11.25" customHeight="1">
      <c r="A6836" s="21"/>
      <c r="B6836" s="22"/>
      <c r="C6836" s="21"/>
      <c r="D6836" s="21"/>
      <c r="E6836" s="21"/>
      <c r="F6836" s="21"/>
      <c r="G6836" s="23"/>
      <c r="H6836" s="24" t="str">
        <f>IFERROR(VLOOKUP(B6836,material!A:D,3,0),"")</f>
        <v/>
      </c>
    </row>
    <row r="6837" ht="11.25" customHeight="1">
      <c r="A6837" s="21"/>
      <c r="B6837" s="22"/>
      <c r="C6837" s="21"/>
      <c r="D6837" s="21"/>
      <c r="E6837" s="21"/>
      <c r="F6837" s="21"/>
      <c r="G6837" s="23"/>
      <c r="H6837" s="24" t="str">
        <f>IFERROR(VLOOKUP(B6837,material!A:D,3,0),"")</f>
        <v/>
      </c>
    </row>
    <row r="6838" ht="11.25" customHeight="1">
      <c r="A6838" s="21"/>
      <c r="B6838" s="22"/>
      <c r="C6838" s="21"/>
      <c r="D6838" s="21"/>
      <c r="E6838" s="21"/>
      <c r="F6838" s="21"/>
      <c r="G6838" s="23"/>
      <c r="H6838" s="24" t="str">
        <f>IFERROR(VLOOKUP(B6838,material!A:D,3,0),"")</f>
        <v/>
      </c>
    </row>
    <row r="6839" ht="11.25" customHeight="1">
      <c r="A6839" s="21"/>
      <c r="B6839" s="22"/>
      <c r="C6839" s="21"/>
      <c r="D6839" s="21"/>
      <c r="E6839" s="21"/>
      <c r="F6839" s="21"/>
      <c r="G6839" s="23"/>
      <c r="H6839" s="24" t="str">
        <f>IFERROR(VLOOKUP(B6839,material!A:D,3,0),"")</f>
        <v/>
      </c>
    </row>
    <row r="6840" ht="11.25" customHeight="1">
      <c r="A6840" s="21"/>
      <c r="B6840" s="22"/>
      <c r="C6840" s="21"/>
      <c r="D6840" s="21"/>
      <c r="E6840" s="21"/>
      <c r="F6840" s="21"/>
      <c r="G6840" s="23"/>
      <c r="H6840" s="24" t="str">
        <f>IFERROR(VLOOKUP(B6840,material!A:D,3,0),"")</f>
        <v/>
      </c>
    </row>
    <row r="6841" ht="11.25" customHeight="1">
      <c r="A6841" s="21"/>
      <c r="B6841" s="22"/>
      <c r="C6841" s="21"/>
      <c r="D6841" s="21"/>
      <c r="E6841" s="21"/>
      <c r="F6841" s="21"/>
      <c r="G6841" s="23"/>
      <c r="H6841" s="24" t="str">
        <f>IFERROR(VLOOKUP(B6841,material!A:D,3,0),"")</f>
        <v/>
      </c>
    </row>
    <row r="6842" ht="11.25" customHeight="1">
      <c r="A6842" s="21"/>
      <c r="B6842" s="22"/>
      <c r="C6842" s="21"/>
      <c r="D6842" s="21"/>
      <c r="E6842" s="21"/>
      <c r="F6842" s="21"/>
      <c r="G6842" s="23"/>
      <c r="H6842" s="24" t="str">
        <f>IFERROR(VLOOKUP(B6842,material!A:D,3,0),"")</f>
        <v/>
      </c>
    </row>
    <row r="6843" ht="11.25" customHeight="1">
      <c r="A6843" s="21"/>
      <c r="B6843" s="22"/>
      <c r="C6843" s="21"/>
      <c r="D6843" s="21"/>
      <c r="E6843" s="21"/>
      <c r="F6843" s="21"/>
      <c r="G6843" s="23"/>
      <c r="H6843" s="24" t="str">
        <f>IFERROR(VLOOKUP(B6843,material!A:D,3,0),"")</f>
        <v/>
      </c>
    </row>
    <row r="6844" ht="11.25" customHeight="1">
      <c r="A6844" s="21"/>
      <c r="B6844" s="22"/>
      <c r="C6844" s="21"/>
      <c r="D6844" s="21"/>
      <c r="E6844" s="21"/>
      <c r="F6844" s="21"/>
      <c r="G6844" s="23"/>
      <c r="H6844" s="24" t="str">
        <f>IFERROR(VLOOKUP(B6844,material!A:D,3,0),"")</f>
        <v/>
      </c>
    </row>
    <row r="6845" ht="11.25" customHeight="1">
      <c r="A6845" s="21"/>
      <c r="B6845" s="22"/>
      <c r="C6845" s="21"/>
      <c r="D6845" s="21"/>
      <c r="E6845" s="21"/>
      <c r="F6845" s="21"/>
      <c r="G6845" s="23"/>
      <c r="H6845" s="24" t="str">
        <f>IFERROR(VLOOKUP(B6845,material!A:D,3,0),"")</f>
        <v/>
      </c>
    </row>
    <row r="6846" ht="11.25" customHeight="1">
      <c r="A6846" s="21"/>
      <c r="B6846" s="22"/>
      <c r="C6846" s="21"/>
      <c r="D6846" s="21"/>
      <c r="E6846" s="21"/>
      <c r="F6846" s="21"/>
      <c r="G6846" s="23"/>
      <c r="H6846" s="24" t="str">
        <f>IFERROR(VLOOKUP(B6846,material!A:D,3,0),"")</f>
        <v/>
      </c>
    </row>
    <row r="6847" ht="11.25" customHeight="1">
      <c r="A6847" s="21"/>
      <c r="B6847" s="22"/>
      <c r="C6847" s="21"/>
      <c r="D6847" s="21"/>
      <c r="E6847" s="21"/>
      <c r="F6847" s="21"/>
      <c r="G6847" s="23"/>
      <c r="H6847" s="24" t="str">
        <f>IFERROR(VLOOKUP(B6847,material!A:D,3,0),"")</f>
        <v/>
      </c>
    </row>
    <row r="6848" ht="11.25" customHeight="1">
      <c r="A6848" s="21"/>
      <c r="B6848" s="22"/>
      <c r="C6848" s="21"/>
      <c r="D6848" s="21"/>
      <c r="E6848" s="21"/>
      <c r="F6848" s="21"/>
      <c r="G6848" s="23"/>
      <c r="H6848" s="24" t="str">
        <f>IFERROR(VLOOKUP(B6848,material!A:D,3,0),"")</f>
        <v/>
      </c>
    </row>
    <row r="6849" ht="11.25" customHeight="1">
      <c r="A6849" s="21"/>
      <c r="B6849" s="22"/>
      <c r="C6849" s="21"/>
      <c r="D6849" s="21"/>
      <c r="E6849" s="21"/>
      <c r="F6849" s="21"/>
      <c r="G6849" s="23"/>
      <c r="H6849" s="24" t="str">
        <f>IFERROR(VLOOKUP(B6849,material!A:D,3,0),"")</f>
        <v/>
      </c>
    </row>
    <row r="6850" ht="11.25" customHeight="1">
      <c r="A6850" s="21"/>
      <c r="B6850" s="22"/>
      <c r="C6850" s="21"/>
      <c r="D6850" s="21"/>
      <c r="E6850" s="21"/>
      <c r="F6850" s="21"/>
      <c r="G6850" s="23"/>
      <c r="H6850" s="24" t="str">
        <f>IFERROR(VLOOKUP(B6850,material!A:D,3,0),"")</f>
        <v/>
      </c>
    </row>
    <row r="6851" ht="11.25" customHeight="1">
      <c r="A6851" s="21"/>
      <c r="B6851" s="22"/>
      <c r="C6851" s="21"/>
      <c r="D6851" s="21"/>
      <c r="E6851" s="21"/>
      <c r="F6851" s="21"/>
      <c r="G6851" s="23"/>
      <c r="H6851" s="24" t="str">
        <f>IFERROR(VLOOKUP(B6851,material!A:D,3,0),"")</f>
        <v/>
      </c>
    </row>
    <row r="6852" ht="11.25" customHeight="1">
      <c r="A6852" s="21"/>
      <c r="B6852" s="22"/>
      <c r="C6852" s="21"/>
      <c r="D6852" s="21"/>
      <c r="E6852" s="21"/>
      <c r="F6852" s="21"/>
      <c r="G6852" s="23"/>
      <c r="H6852" s="24" t="str">
        <f>IFERROR(VLOOKUP(B6852,material!A:D,3,0),"")</f>
        <v/>
      </c>
    </row>
    <row r="6853" ht="11.25" customHeight="1">
      <c r="A6853" s="21"/>
      <c r="B6853" s="22"/>
      <c r="C6853" s="21"/>
      <c r="D6853" s="21"/>
      <c r="E6853" s="21"/>
      <c r="F6853" s="21"/>
      <c r="G6853" s="23"/>
      <c r="H6853" s="24" t="str">
        <f>IFERROR(VLOOKUP(B6853,material!A:D,3,0),"")</f>
        <v/>
      </c>
    </row>
    <row r="6854" ht="11.25" customHeight="1">
      <c r="A6854" s="21"/>
      <c r="B6854" s="22"/>
      <c r="C6854" s="21"/>
      <c r="D6854" s="21"/>
      <c r="E6854" s="21"/>
      <c r="F6854" s="21"/>
      <c r="G6854" s="23"/>
      <c r="H6854" s="24" t="str">
        <f>IFERROR(VLOOKUP(B6854,material!A:D,3,0),"")</f>
        <v/>
      </c>
    </row>
    <row r="6855" ht="11.25" customHeight="1">
      <c r="A6855" s="21"/>
      <c r="B6855" s="22"/>
      <c r="C6855" s="21"/>
      <c r="D6855" s="21"/>
      <c r="E6855" s="21"/>
      <c r="F6855" s="21"/>
      <c r="G6855" s="23"/>
      <c r="H6855" s="24" t="str">
        <f>IFERROR(VLOOKUP(B6855,material!A:D,3,0),"")</f>
        <v/>
      </c>
    </row>
    <row r="6856" ht="11.25" customHeight="1">
      <c r="A6856" s="21"/>
      <c r="B6856" s="22"/>
      <c r="C6856" s="21"/>
      <c r="D6856" s="21"/>
      <c r="E6856" s="21"/>
      <c r="F6856" s="21"/>
      <c r="G6856" s="23"/>
      <c r="H6856" s="24" t="str">
        <f>IFERROR(VLOOKUP(B6856,material!A:D,3,0),"")</f>
        <v/>
      </c>
    </row>
    <row r="6857" ht="11.25" customHeight="1">
      <c r="A6857" s="21"/>
      <c r="B6857" s="22"/>
      <c r="C6857" s="21"/>
      <c r="D6857" s="21"/>
      <c r="E6857" s="21"/>
      <c r="F6857" s="21"/>
      <c r="G6857" s="23"/>
      <c r="H6857" s="24" t="str">
        <f>IFERROR(VLOOKUP(B6857,material!A:D,3,0),"")</f>
        <v/>
      </c>
    </row>
    <row r="6858" ht="11.25" customHeight="1">
      <c r="A6858" s="21"/>
      <c r="B6858" s="22"/>
      <c r="C6858" s="21"/>
      <c r="D6858" s="21"/>
      <c r="E6858" s="21"/>
      <c r="F6858" s="21"/>
      <c r="G6858" s="23"/>
      <c r="H6858" s="24" t="str">
        <f>IFERROR(VLOOKUP(B6858,material!A:D,3,0),"")</f>
        <v/>
      </c>
    </row>
    <row r="6859" ht="11.25" customHeight="1">
      <c r="A6859" s="21"/>
      <c r="B6859" s="22"/>
      <c r="C6859" s="21"/>
      <c r="D6859" s="21"/>
      <c r="E6859" s="21"/>
      <c r="F6859" s="21"/>
      <c r="G6859" s="23"/>
      <c r="H6859" s="24" t="str">
        <f>IFERROR(VLOOKUP(B6859,material!A:D,3,0),"")</f>
        <v/>
      </c>
    </row>
    <row r="6860" ht="11.25" customHeight="1">
      <c r="A6860" s="21"/>
      <c r="B6860" s="22"/>
      <c r="C6860" s="21"/>
      <c r="D6860" s="21"/>
      <c r="E6860" s="21"/>
      <c r="F6860" s="21"/>
      <c r="G6860" s="23"/>
      <c r="H6860" s="24" t="str">
        <f>IFERROR(VLOOKUP(B6860,material!A:D,3,0),"")</f>
        <v/>
      </c>
    </row>
    <row r="6861" ht="11.25" customHeight="1">
      <c r="A6861" s="21"/>
      <c r="B6861" s="22"/>
      <c r="C6861" s="21"/>
      <c r="D6861" s="21"/>
      <c r="E6861" s="21"/>
      <c r="F6861" s="21"/>
      <c r="G6861" s="23"/>
      <c r="H6861" s="24" t="str">
        <f>IFERROR(VLOOKUP(B6861,material!A:D,3,0),"")</f>
        <v/>
      </c>
    </row>
    <row r="6862" ht="11.25" customHeight="1">
      <c r="A6862" s="21"/>
      <c r="B6862" s="22"/>
      <c r="C6862" s="21"/>
      <c r="D6862" s="21"/>
      <c r="E6862" s="21"/>
      <c r="F6862" s="21"/>
      <c r="G6862" s="23"/>
      <c r="H6862" s="24" t="str">
        <f>IFERROR(VLOOKUP(B6862,material!A:D,3,0),"")</f>
        <v/>
      </c>
    </row>
    <row r="6863" ht="11.25" customHeight="1">
      <c r="A6863" s="21"/>
      <c r="B6863" s="22"/>
      <c r="C6863" s="21"/>
      <c r="D6863" s="21"/>
      <c r="E6863" s="21"/>
      <c r="F6863" s="21"/>
      <c r="G6863" s="23"/>
      <c r="H6863" s="24" t="str">
        <f>IFERROR(VLOOKUP(B6863,material!A:D,3,0),"")</f>
        <v/>
      </c>
    </row>
    <row r="6864" ht="11.25" customHeight="1">
      <c r="A6864" s="21"/>
      <c r="B6864" s="22"/>
      <c r="C6864" s="21"/>
      <c r="D6864" s="21"/>
      <c r="E6864" s="21"/>
      <c r="F6864" s="21"/>
      <c r="G6864" s="23"/>
      <c r="H6864" s="24" t="str">
        <f>IFERROR(VLOOKUP(B6864,material!A:D,3,0),"")</f>
        <v/>
      </c>
    </row>
    <row r="6865" ht="11.25" customHeight="1">
      <c r="A6865" s="21"/>
      <c r="B6865" s="22"/>
      <c r="C6865" s="21"/>
      <c r="D6865" s="21"/>
      <c r="E6865" s="21"/>
      <c r="F6865" s="21"/>
      <c r="G6865" s="23"/>
      <c r="H6865" s="24" t="str">
        <f>IFERROR(VLOOKUP(B6865,material!A:D,3,0),"")</f>
        <v/>
      </c>
    </row>
    <row r="6866" ht="11.25" customHeight="1">
      <c r="A6866" s="21"/>
      <c r="B6866" s="22"/>
      <c r="C6866" s="21"/>
      <c r="D6866" s="21"/>
      <c r="E6866" s="21"/>
      <c r="F6866" s="21"/>
      <c r="G6866" s="23"/>
      <c r="H6866" s="24" t="str">
        <f>IFERROR(VLOOKUP(B6866,material!A:D,3,0),"")</f>
        <v/>
      </c>
    </row>
    <row r="6867" ht="11.25" customHeight="1">
      <c r="A6867" s="21"/>
      <c r="B6867" s="22"/>
      <c r="C6867" s="21"/>
      <c r="D6867" s="21"/>
      <c r="E6867" s="21"/>
      <c r="F6867" s="21"/>
      <c r="G6867" s="23"/>
      <c r="H6867" s="24" t="str">
        <f>IFERROR(VLOOKUP(B6867,material!A:D,3,0),"")</f>
        <v/>
      </c>
    </row>
    <row r="6868" ht="11.25" customHeight="1">
      <c r="A6868" s="21"/>
      <c r="B6868" s="22"/>
      <c r="C6868" s="21"/>
      <c r="D6868" s="21"/>
      <c r="E6868" s="21"/>
      <c r="F6868" s="21"/>
      <c r="G6868" s="23"/>
      <c r="H6868" s="24" t="str">
        <f>IFERROR(VLOOKUP(B6868,material!A:D,3,0),"")</f>
        <v/>
      </c>
    </row>
    <row r="6869" ht="11.25" customHeight="1">
      <c r="A6869" s="21"/>
      <c r="B6869" s="22"/>
      <c r="C6869" s="21"/>
      <c r="D6869" s="21"/>
      <c r="E6869" s="21"/>
      <c r="F6869" s="21"/>
      <c r="G6869" s="23"/>
      <c r="H6869" s="24" t="str">
        <f>IFERROR(VLOOKUP(B6869,material!A:D,3,0),"")</f>
        <v/>
      </c>
    </row>
    <row r="6870" ht="11.25" customHeight="1">
      <c r="A6870" s="21"/>
      <c r="B6870" s="22"/>
      <c r="C6870" s="21"/>
      <c r="D6870" s="21"/>
      <c r="E6870" s="21"/>
      <c r="F6870" s="21"/>
      <c r="G6870" s="23"/>
      <c r="H6870" s="24" t="str">
        <f>IFERROR(VLOOKUP(B6870,material!A:D,3,0),"")</f>
        <v/>
      </c>
    </row>
    <row r="6871" ht="11.25" customHeight="1">
      <c r="A6871" s="21"/>
      <c r="B6871" s="22"/>
      <c r="C6871" s="21"/>
      <c r="D6871" s="21"/>
      <c r="E6871" s="21"/>
      <c r="F6871" s="21"/>
      <c r="G6871" s="23"/>
      <c r="H6871" s="24" t="str">
        <f>IFERROR(VLOOKUP(B6871,material!A:D,3,0),"")</f>
        <v/>
      </c>
    </row>
    <row r="6872" ht="11.25" customHeight="1">
      <c r="A6872" s="21"/>
      <c r="B6872" s="22"/>
      <c r="C6872" s="21"/>
      <c r="D6872" s="21"/>
      <c r="E6872" s="21"/>
      <c r="F6872" s="21"/>
      <c r="G6872" s="23"/>
      <c r="H6872" s="24" t="str">
        <f>IFERROR(VLOOKUP(B6872,material!A:D,3,0),"")</f>
        <v/>
      </c>
    </row>
    <row r="6873" ht="11.25" customHeight="1">
      <c r="A6873" s="21"/>
      <c r="B6873" s="22"/>
      <c r="C6873" s="21"/>
      <c r="D6873" s="21"/>
      <c r="E6873" s="21"/>
      <c r="F6873" s="21"/>
      <c r="G6873" s="23"/>
      <c r="H6873" s="24" t="str">
        <f>IFERROR(VLOOKUP(B6873,material!A:D,3,0),"")</f>
        <v/>
      </c>
    </row>
    <row r="6874" ht="11.25" customHeight="1">
      <c r="A6874" s="21"/>
      <c r="B6874" s="22"/>
      <c r="C6874" s="21"/>
      <c r="D6874" s="21"/>
      <c r="E6874" s="21"/>
      <c r="F6874" s="21"/>
      <c r="G6874" s="23"/>
      <c r="H6874" s="24" t="str">
        <f>IFERROR(VLOOKUP(B6874,material!A:D,3,0),"")</f>
        <v/>
      </c>
    </row>
    <row r="6875" ht="11.25" customHeight="1">
      <c r="A6875" s="21"/>
      <c r="B6875" s="22"/>
      <c r="C6875" s="21"/>
      <c r="D6875" s="21"/>
      <c r="E6875" s="21"/>
      <c r="F6875" s="21"/>
      <c r="G6875" s="23"/>
      <c r="H6875" s="24" t="str">
        <f>IFERROR(VLOOKUP(B6875,material!A:D,3,0),"")</f>
        <v/>
      </c>
    </row>
    <row r="6876" ht="11.25" customHeight="1">
      <c r="A6876" s="21"/>
      <c r="B6876" s="22"/>
      <c r="C6876" s="21"/>
      <c r="D6876" s="21"/>
      <c r="E6876" s="21"/>
      <c r="F6876" s="21"/>
      <c r="G6876" s="23"/>
      <c r="H6876" s="24" t="str">
        <f>IFERROR(VLOOKUP(B6876,material!A:D,3,0),"")</f>
        <v/>
      </c>
    </row>
    <row r="6877" ht="11.25" customHeight="1">
      <c r="A6877" s="21"/>
      <c r="B6877" s="22"/>
      <c r="C6877" s="21"/>
      <c r="D6877" s="21"/>
      <c r="E6877" s="21"/>
      <c r="F6877" s="21"/>
      <c r="G6877" s="23"/>
      <c r="H6877" s="24" t="str">
        <f>IFERROR(VLOOKUP(B6877,material!A:D,3,0),"")</f>
        <v/>
      </c>
    </row>
    <row r="6878" ht="11.25" customHeight="1">
      <c r="A6878" s="21"/>
      <c r="B6878" s="22"/>
      <c r="C6878" s="21"/>
      <c r="D6878" s="21"/>
      <c r="E6878" s="21"/>
      <c r="F6878" s="21"/>
      <c r="G6878" s="23"/>
      <c r="H6878" s="24" t="str">
        <f>IFERROR(VLOOKUP(B6878,material!A:D,3,0),"")</f>
        <v/>
      </c>
    </row>
    <row r="6879" ht="11.25" customHeight="1">
      <c r="A6879" s="21"/>
      <c r="B6879" s="22"/>
      <c r="C6879" s="21"/>
      <c r="D6879" s="21"/>
      <c r="E6879" s="21"/>
      <c r="F6879" s="21"/>
      <c r="G6879" s="23"/>
      <c r="H6879" s="24" t="str">
        <f>IFERROR(VLOOKUP(B6879,material!A:D,3,0),"")</f>
        <v/>
      </c>
    </row>
    <row r="6880" ht="11.25" customHeight="1">
      <c r="A6880" s="21"/>
      <c r="B6880" s="22"/>
      <c r="C6880" s="21"/>
      <c r="D6880" s="21"/>
      <c r="E6880" s="21"/>
      <c r="F6880" s="21"/>
      <c r="G6880" s="23"/>
      <c r="H6880" s="24" t="str">
        <f>IFERROR(VLOOKUP(B6880,material!A:D,3,0),"")</f>
        <v/>
      </c>
    </row>
    <row r="6881" ht="11.25" customHeight="1">
      <c r="A6881" s="21"/>
      <c r="B6881" s="22"/>
      <c r="C6881" s="21"/>
      <c r="D6881" s="21"/>
      <c r="E6881" s="21"/>
      <c r="F6881" s="21"/>
      <c r="G6881" s="23"/>
      <c r="H6881" s="24" t="str">
        <f>IFERROR(VLOOKUP(B6881,material!A:D,3,0),"")</f>
        <v/>
      </c>
    </row>
    <row r="6882" ht="11.25" customHeight="1">
      <c r="A6882" s="21"/>
      <c r="B6882" s="22"/>
      <c r="C6882" s="21"/>
      <c r="D6882" s="21"/>
      <c r="E6882" s="21"/>
      <c r="F6882" s="21"/>
      <c r="G6882" s="23"/>
      <c r="H6882" s="24" t="str">
        <f>IFERROR(VLOOKUP(B6882,material!A:D,3,0),"")</f>
        <v/>
      </c>
    </row>
    <row r="6883" ht="11.25" customHeight="1">
      <c r="A6883" s="21"/>
      <c r="B6883" s="22"/>
      <c r="C6883" s="21"/>
      <c r="D6883" s="21"/>
      <c r="E6883" s="21"/>
      <c r="F6883" s="21"/>
      <c r="G6883" s="23"/>
      <c r="H6883" s="24" t="str">
        <f>IFERROR(VLOOKUP(B6883,material!A:D,3,0),"")</f>
        <v/>
      </c>
    </row>
    <row r="6884" ht="11.25" customHeight="1">
      <c r="A6884" s="21"/>
      <c r="B6884" s="22"/>
      <c r="C6884" s="21"/>
      <c r="D6884" s="21"/>
      <c r="E6884" s="21"/>
      <c r="F6884" s="21"/>
      <c r="G6884" s="23"/>
      <c r="H6884" s="24" t="str">
        <f>IFERROR(VLOOKUP(B6884,material!A:D,3,0),"")</f>
        <v/>
      </c>
    </row>
    <row r="6885" ht="11.25" customHeight="1">
      <c r="A6885" s="21"/>
      <c r="B6885" s="22"/>
      <c r="C6885" s="21"/>
      <c r="D6885" s="21"/>
      <c r="E6885" s="21"/>
      <c r="F6885" s="21"/>
      <c r="G6885" s="23"/>
      <c r="H6885" s="24" t="str">
        <f>IFERROR(VLOOKUP(B6885,material!A:D,3,0),"")</f>
        <v/>
      </c>
    </row>
    <row r="6886" ht="11.25" customHeight="1">
      <c r="A6886" s="21"/>
      <c r="B6886" s="22"/>
      <c r="C6886" s="21"/>
      <c r="D6886" s="21"/>
      <c r="E6886" s="21"/>
      <c r="F6886" s="21"/>
      <c r="G6886" s="23"/>
      <c r="H6886" s="24" t="str">
        <f>IFERROR(VLOOKUP(B6886,material!A:D,3,0),"")</f>
        <v/>
      </c>
    </row>
    <row r="6887" ht="11.25" customHeight="1">
      <c r="A6887" s="21"/>
      <c r="B6887" s="22"/>
      <c r="C6887" s="21"/>
      <c r="D6887" s="21"/>
      <c r="E6887" s="21"/>
      <c r="F6887" s="21"/>
      <c r="G6887" s="23"/>
      <c r="H6887" s="24" t="str">
        <f>IFERROR(VLOOKUP(B6887,material!A:D,3,0),"")</f>
        <v/>
      </c>
    </row>
    <row r="6888" ht="11.25" customHeight="1">
      <c r="A6888" s="21"/>
      <c r="B6888" s="22"/>
      <c r="C6888" s="21"/>
      <c r="D6888" s="21"/>
      <c r="E6888" s="21"/>
      <c r="F6888" s="21"/>
      <c r="G6888" s="23"/>
      <c r="H6888" s="24" t="str">
        <f>IFERROR(VLOOKUP(B6888,material!A:D,3,0),"")</f>
        <v/>
      </c>
    </row>
    <row r="6889" ht="11.25" customHeight="1">
      <c r="A6889" s="21"/>
      <c r="B6889" s="22"/>
      <c r="C6889" s="21"/>
      <c r="D6889" s="21"/>
      <c r="E6889" s="21"/>
      <c r="F6889" s="21"/>
      <c r="G6889" s="23"/>
      <c r="H6889" s="24" t="str">
        <f>IFERROR(VLOOKUP(B6889,material!A:D,3,0),"")</f>
        <v/>
      </c>
    </row>
    <row r="6890" ht="11.25" customHeight="1">
      <c r="A6890" s="21"/>
      <c r="B6890" s="22"/>
      <c r="C6890" s="21"/>
      <c r="D6890" s="21"/>
      <c r="E6890" s="21"/>
      <c r="F6890" s="21"/>
      <c r="G6890" s="23"/>
      <c r="H6890" s="24" t="str">
        <f>IFERROR(VLOOKUP(B6890,material!A:D,3,0),"")</f>
        <v/>
      </c>
    </row>
    <row r="6891" ht="11.25" customHeight="1">
      <c r="A6891" s="21"/>
      <c r="B6891" s="22"/>
      <c r="C6891" s="21"/>
      <c r="D6891" s="21"/>
      <c r="E6891" s="21"/>
      <c r="F6891" s="21"/>
      <c r="G6891" s="23"/>
      <c r="H6891" s="24" t="str">
        <f>IFERROR(VLOOKUP(B6891,material!A:D,3,0),"")</f>
        <v/>
      </c>
    </row>
    <row r="6892" ht="11.25" customHeight="1">
      <c r="A6892" s="21"/>
      <c r="B6892" s="22"/>
      <c r="C6892" s="21"/>
      <c r="D6892" s="21"/>
      <c r="E6892" s="21"/>
      <c r="F6892" s="21"/>
      <c r="G6892" s="23"/>
      <c r="H6892" s="24" t="str">
        <f>IFERROR(VLOOKUP(B6892,material!A:D,3,0),"")</f>
        <v/>
      </c>
    </row>
    <row r="6893" ht="11.25" customHeight="1">
      <c r="A6893" s="21"/>
      <c r="B6893" s="22"/>
      <c r="C6893" s="21"/>
      <c r="D6893" s="21"/>
      <c r="E6893" s="21"/>
      <c r="F6893" s="21"/>
      <c r="G6893" s="23"/>
      <c r="H6893" s="24" t="str">
        <f>IFERROR(VLOOKUP(B6893,material!A:D,3,0),"")</f>
        <v/>
      </c>
    </row>
    <row r="6894" ht="11.25" customHeight="1">
      <c r="A6894" s="21"/>
      <c r="B6894" s="22"/>
      <c r="C6894" s="21"/>
      <c r="D6894" s="21"/>
      <c r="E6894" s="21"/>
      <c r="F6894" s="21"/>
      <c r="G6894" s="23"/>
      <c r="H6894" s="24" t="str">
        <f>IFERROR(VLOOKUP(B6894,material!A:D,3,0),"")</f>
        <v/>
      </c>
    </row>
    <row r="6895" ht="11.25" customHeight="1">
      <c r="A6895" s="21"/>
      <c r="B6895" s="22"/>
      <c r="C6895" s="21"/>
      <c r="D6895" s="21"/>
      <c r="E6895" s="21"/>
      <c r="F6895" s="21"/>
      <c r="G6895" s="23"/>
      <c r="H6895" s="24" t="str">
        <f>IFERROR(VLOOKUP(B6895,material!A:D,3,0),"")</f>
        <v/>
      </c>
    </row>
    <row r="6896" ht="11.25" customHeight="1">
      <c r="A6896" s="21"/>
      <c r="B6896" s="22"/>
      <c r="C6896" s="21"/>
      <c r="D6896" s="21"/>
      <c r="E6896" s="21"/>
      <c r="F6896" s="21"/>
      <c r="G6896" s="23"/>
      <c r="H6896" s="24" t="str">
        <f>IFERROR(VLOOKUP(B6896,material!A:D,3,0),"")</f>
        <v/>
      </c>
    </row>
    <row r="6897" ht="11.25" customHeight="1">
      <c r="A6897" s="21"/>
      <c r="B6897" s="22"/>
      <c r="C6897" s="21"/>
      <c r="D6897" s="21"/>
      <c r="E6897" s="21"/>
      <c r="F6897" s="21"/>
      <c r="G6897" s="23"/>
      <c r="H6897" s="24" t="str">
        <f>IFERROR(VLOOKUP(B6897,material!A:D,3,0),"")</f>
        <v/>
      </c>
    </row>
    <row r="6898" ht="11.25" customHeight="1">
      <c r="A6898" s="21"/>
      <c r="B6898" s="22"/>
      <c r="C6898" s="21"/>
      <c r="D6898" s="21"/>
      <c r="E6898" s="21"/>
      <c r="F6898" s="21"/>
      <c r="G6898" s="23"/>
      <c r="H6898" s="24" t="str">
        <f>IFERROR(VLOOKUP(B6898,material!A:D,3,0),"")</f>
        <v/>
      </c>
    </row>
    <row r="6899" ht="11.25" customHeight="1">
      <c r="A6899" s="21"/>
      <c r="B6899" s="22"/>
      <c r="C6899" s="21"/>
      <c r="D6899" s="21"/>
      <c r="E6899" s="21"/>
      <c r="F6899" s="21"/>
      <c r="G6899" s="23"/>
      <c r="H6899" s="24" t="str">
        <f>IFERROR(VLOOKUP(B6899,material!A:D,3,0),"")</f>
        <v/>
      </c>
    </row>
    <row r="6900" ht="11.25" customHeight="1">
      <c r="A6900" s="21"/>
      <c r="B6900" s="22"/>
      <c r="C6900" s="21"/>
      <c r="D6900" s="21"/>
      <c r="E6900" s="21"/>
      <c r="F6900" s="21"/>
      <c r="G6900" s="23"/>
      <c r="H6900" s="24" t="str">
        <f>IFERROR(VLOOKUP(B6900,material!A:D,3,0),"")</f>
        <v/>
      </c>
    </row>
    <row r="6901" ht="11.25" customHeight="1">
      <c r="A6901" s="21"/>
      <c r="B6901" s="22"/>
      <c r="C6901" s="21"/>
      <c r="D6901" s="21"/>
      <c r="E6901" s="21"/>
      <c r="F6901" s="21"/>
      <c r="G6901" s="23"/>
      <c r="H6901" s="24" t="str">
        <f>IFERROR(VLOOKUP(B6901,material!A:D,3,0),"")</f>
        <v/>
      </c>
    </row>
    <row r="6902" ht="11.25" customHeight="1">
      <c r="A6902" s="21"/>
      <c r="B6902" s="22"/>
      <c r="C6902" s="21"/>
      <c r="D6902" s="21"/>
      <c r="E6902" s="21"/>
      <c r="F6902" s="21"/>
      <c r="G6902" s="23"/>
      <c r="H6902" s="24" t="str">
        <f>IFERROR(VLOOKUP(B6902,material!A:D,3,0),"")</f>
        <v/>
      </c>
    </row>
    <row r="6903" ht="11.25" customHeight="1">
      <c r="A6903" s="21"/>
      <c r="B6903" s="22"/>
      <c r="C6903" s="21"/>
      <c r="D6903" s="21"/>
      <c r="E6903" s="21"/>
      <c r="F6903" s="21"/>
      <c r="G6903" s="23"/>
      <c r="H6903" s="24" t="str">
        <f>IFERROR(VLOOKUP(B6903,material!A:D,3,0),"")</f>
        <v/>
      </c>
    </row>
    <row r="6904" ht="11.25" customHeight="1">
      <c r="A6904" s="21"/>
      <c r="B6904" s="22"/>
      <c r="C6904" s="21"/>
      <c r="D6904" s="21"/>
      <c r="E6904" s="21"/>
      <c r="F6904" s="21"/>
      <c r="G6904" s="23"/>
      <c r="H6904" s="24" t="str">
        <f>IFERROR(VLOOKUP(B6904,material!A:D,3,0),"")</f>
        <v/>
      </c>
    </row>
    <row r="6905" ht="11.25" customHeight="1">
      <c r="A6905" s="21"/>
      <c r="B6905" s="22"/>
      <c r="C6905" s="21"/>
      <c r="D6905" s="21"/>
      <c r="E6905" s="21"/>
      <c r="F6905" s="21"/>
      <c r="G6905" s="23"/>
      <c r="H6905" s="24" t="str">
        <f>IFERROR(VLOOKUP(B6905,material!A:D,3,0),"")</f>
        <v/>
      </c>
    </row>
    <row r="6906" ht="11.25" customHeight="1">
      <c r="A6906" s="21"/>
      <c r="B6906" s="22"/>
      <c r="C6906" s="21"/>
      <c r="D6906" s="21"/>
      <c r="E6906" s="21"/>
      <c r="F6906" s="21"/>
      <c r="G6906" s="23"/>
      <c r="H6906" s="24" t="str">
        <f>IFERROR(VLOOKUP(B6906,material!A:D,3,0),"")</f>
        <v/>
      </c>
    </row>
    <row r="6907" ht="11.25" customHeight="1">
      <c r="A6907" s="21"/>
      <c r="B6907" s="22"/>
      <c r="C6907" s="21"/>
      <c r="D6907" s="21"/>
      <c r="E6907" s="21"/>
      <c r="F6907" s="21"/>
      <c r="G6907" s="23"/>
      <c r="H6907" s="24" t="str">
        <f>IFERROR(VLOOKUP(B6907,material!A:D,3,0),"")</f>
        <v/>
      </c>
    </row>
    <row r="6908" ht="11.25" customHeight="1">
      <c r="A6908" s="21"/>
      <c r="B6908" s="22"/>
      <c r="C6908" s="21"/>
      <c r="D6908" s="21"/>
      <c r="E6908" s="21"/>
      <c r="F6908" s="21"/>
      <c r="G6908" s="23"/>
      <c r="H6908" s="24" t="str">
        <f>IFERROR(VLOOKUP(B6908,material!A:D,3,0),"")</f>
        <v/>
      </c>
    </row>
    <row r="6909" ht="11.25" customHeight="1">
      <c r="A6909" s="21"/>
      <c r="B6909" s="22"/>
      <c r="C6909" s="21"/>
      <c r="D6909" s="21"/>
      <c r="E6909" s="21"/>
      <c r="F6909" s="21"/>
      <c r="G6909" s="23"/>
      <c r="H6909" s="24" t="str">
        <f>IFERROR(VLOOKUP(B6909,material!A:D,3,0),"")</f>
        <v/>
      </c>
    </row>
    <row r="6910" ht="11.25" customHeight="1">
      <c r="A6910" s="21"/>
      <c r="B6910" s="22"/>
      <c r="C6910" s="21"/>
      <c r="D6910" s="21"/>
      <c r="E6910" s="21"/>
      <c r="F6910" s="21"/>
      <c r="G6910" s="23"/>
      <c r="H6910" s="24" t="str">
        <f>IFERROR(VLOOKUP(B6910,material!A:D,3,0),"")</f>
        <v/>
      </c>
    </row>
    <row r="6911" ht="11.25" customHeight="1">
      <c r="A6911" s="21"/>
      <c r="B6911" s="22"/>
      <c r="C6911" s="21"/>
      <c r="D6911" s="21"/>
      <c r="E6911" s="21"/>
      <c r="F6911" s="21"/>
      <c r="G6911" s="23"/>
      <c r="H6911" s="24" t="str">
        <f>IFERROR(VLOOKUP(B6911,material!A:D,3,0),"")</f>
        <v/>
      </c>
    </row>
    <row r="6912" ht="11.25" customHeight="1">
      <c r="A6912" s="21"/>
      <c r="B6912" s="22"/>
      <c r="C6912" s="21"/>
      <c r="D6912" s="21"/>
      <c r="E6912" s="21"/>
      <c r="F6912" s="21"/>
      <c r="G6912" s="23"/>
      <c r="H6912" s="24" t="str">
        <f>IFERROR(VLOOKUP(B6912,material!A:D,3,0),"")</f>
        <v/>
      </c>
    </row>
    <row r="6913" ht="11.25" customHeight="1">
      <c r="A6913" s="21"/>
      <c r="B6913" s="22"/>
      <c r="C6913" s="21"/>
      <c r="D6913" s="21"/>
      <c r="E6913" s="21"/>
      <c r="F6913" s="21"/>
      <c r="G6913" s="23"/>
      <c r="H6913" s="24" t="str">
        <f>IFERROR(VLOOKUP(B6913,material!A:D,3,0),"")</f>
        <v/>
      </c>
    </row>
    <row r="6914" ht="11.25" customHeight="1">
      <c r="A6914" s="21"/>
      <c r="B6914" s="22"/>
      <c r="C6914" s="21"/>
      <c r="D6914" s="21"/>
      <c r="E6914" s="21"/>
      <c r="F6914" s="21"/>
      <c r="G6914" s="23"/>
      <c r="H6914" s="24" t="str">
        <f>IFERROR(VLOOKUP(B6914,material!A:D,3,0),"")</f>
        <v/>
      </c>
    </row>
    <row r="6915" ht="11.25" customHeight="1">
      <c r="A6915" s="21"/>
      <c r="B6915" s="22"/>
      <c r="C6915" s="21"/>
      <c r="D6915" s="21"/>
      <c r="E6915" s="21"/>
      <c r="F6915" s="21"/>
      <c r="G6915" s="23"/>
      <c r="H6915" s="24" t="str">
        <f>IFERROR(VLOOKUP(B6915,material!A:D,3,0),"")</f>
        <v/>
      </c>
    </row>
    <row r="6916" ht="11.25" customHeight="1">
      <c r="A6916" s="21"/>
      <c r="B6916" s="22"/>
      <c r="C6916" s="21"/>
      <c r="D6916" s="21"/>
      <c r="E6916" s="21"/>
      <c r="F6916" s="21"/>
      <c r="G6916" s="23"/>
      <c r="H6916" s="24" t="str">
        <f>IFERROR(VLOOKUP(B6916,material!A:D,3,0),"")</f>
        <v/>
      </c>
    </row>
    <row r="6917" ht="11.25" customHeight="1">
      <c r="A6917" s="21"/>
      <c r="B6917" s="22"/>
      <c r="C6917" s="21"/>
      <c r="D6917" s="21"/>
      <c r="E6917" s="21"/>
      <c r="F6917" s="21"/>
      <c r="G6917" s="23"/>
      <c r="H6917" s="24" t="str">
        <f>IFERROR(VLOOKUP(B6917,material!A:D,3,0),"")</f>
        <v/>
      </c>
    </row>
    <row r="6918" ht="11.25" customHeight="1">
      <c r="A6918" s="21"/>
      <c r="B6918" s="22"/>
      <c r="C6918" s="21"/>
      <c r="D6918" s="21"/>
      <c r="E6918" s="21"/>
      <c r="F6918" s="21"/>
      <c r="G6918" s="23"/>
      <c r="H6918" s="24" t="str">
        <f>IFERROR(VLOOKUP(B6918,material!A:D,3,0),"")</f>
        <v/>
      </c>
    </row>
    <row r="6919" ht="11.25" customHeight="1">
      <c r="A6919" s="21"/>
      <c r="B6919" s="22"/>
      <c r="C6919" s="21"/>
      <c r="D6919" s="21"/>
      <c r="E6919" s="21"/>
      <c r="F6919" s="21"/>
      <c r="G6919" s="23"/>
      <c r="H6919" s="24" t="str">
        <f>IFERROR(VLOOKUP(B6919,material!A:D,3,0),"")</f>
        <v/>
      </c>
    </row>
    <row r="6920" ht="11.25" customHeight="1">
      <c r="A6920" s="21"/>
      <c r="B6920" s="22"/>
      <c r="C6920" s="21"/>
      <c r="D6920" s="21"/>
      <c r="E6920" s="21"/>
      <c r="F6920" s="21"/>
      <c r="G6920" s="23"/>
      <c r="H6920" s="24" t="str">
        <f>IFERROR(VLOOKUP(B6920,material!A:D,3,0),"")</f>
        <v/>
      </c>
    </row>
    <row r="6921" ht="11.25" customHeight="1">
      <c r="A6921" s="21"/>
      <c r="B6921" s="22"/>
      <c r="C6921" s="21"/>
      <c r="D6921" s="21"/>
      <c r="E6921" s="21"/>
      <c r="F6921" s="21"/>
      <c r="G6921" s="23"/>
      <c r="H6921" s="24" t="str">
        <f>IFERROR(VLOOKUP(B6921,material!A:D,3,0),"")</f>
        <v/>
      </c>
    </row>
    <row r="6922" ht="11.25" customHeight="1">
      <c r="A6922" s="21"/>
      <c r="B6922" s="22"/>
      <c r="C6922" s="21"/>
      <c r="D6922" s="21"/>
      <c r="E6922" s="21"/>
      <c r="F6922" s="21"/>
      <c r="G6922" s="23"/>
      <c r="H6922" s="24" t="str">
        <f>IFERROR(VLOOKUP(B6922,material!A:D,3,0),"")</f>
        <v/>
      </c>
    </row>
    <row r="6923" ht="11.25" customHeight="1">
      <c r="A6923" s="21"/>
      <c r="B6923" s="22"/>
      <c r="C6923" s="21"/>
      <c r="D6923" s="21"/>
      <c r="E6923" s="21"/>
      <c r="F6923" s="21"/>
      <c r="G6923" s="23"/>
      <c r="H6923" s="24" t="str">
        <f>IFERROR(VLOOKUP(B6923,material!A:D,3,0),"")</f>
        <v/>
      </c>
    </row>
    <row r="6924" ht="11.25" customHeight="1">
      <c r="A6924" s="21"/>
      <c r="B6924" s="22"/>
      <c r="C6924" s="21"/>
      <c r="D6924" s="21"/>
      <c r="E6924" s="21"/>
      <c r="F6924" s="21"/>
      <c r="G6924" s="23"/>
      <c r="H6924" s="24" t="str">
        <f>IFERROR(VLOOKUP(B6924,material!A:D,3,0),"")</f>
        <v/>
      </c>
    </row>
    <row r="6925" ht="11.25" customHeight="1">
      <c r="A6925" s="21"/>
      <c r="B6925" s="22"/>
      <c r="C6925" s="21"/>
      <c r="D6925" s="21"/>
      <c r="E6925" s="21"/>
      <c r="F6925" s="21"/>
      <c r="G6925" s="23"/>
      <c r="H6925" s="24" t="str">
        <f>IFERROR(VLOOKUP(B6925,material!A:D,3,0),"")</f>
        <v/>
      </c>
    </row>
    <row r="6926" ht="11.25" customHeight="1">
      <c r="A6926" s="21"/>
      <c r="B6926" s="22"/>
      <c r="C6926" s="21"/>
      <c r="D6926" s="21"/>
      <c r="E6926" s="21"/>
      <c r="F6926" s="21"/>
      <c r="G6926" s="23"/>
      <c r="H6926" s="24" t="str">
        <f>IFERROR(VLOOKUP(B6926,material!A:D,3,0),"")</f>
        <v/>
      </c>
    </row>
    <row r="6927" ht="11.25" customHeight="1">
      <c r="A6927" s="21"/>
      <c r="B6927" s="22"/>
      <c r="C6927" s="21"/>
      <c r="D6927" s="21"/>
      <c r="E6927" s="21"/>
      <c r="F6927" s="21"/>
      <c r="G6927" s="23"/>
      <c r="H6927" s="24" t="str">
        <f>IFERROR(VLOOKUP(B6927,material!A:D,3,0),"")</f>
        <v/>
      </c>
    </row>
    <row r="6928" ht="11.25" customHeight="1">
      <c r="A6928" s="21"/>
      <c r="B6928" s="22"/>
      <c r="C6928" s="21"/>
      <c r="D6928" s="21"/>
      <c r="E6928" s="21"/>
      <c r="F6928" s="21"/>
      <c r="G6928" s="23"/>
      <c r="H6928" s="24" t="str">
        <f>IFERROR(VLOOKUP(B6928,material!A:D,3,0),"")</f>
        <v/>
      </c>
    </row>
    <row r="6929" ht="11.25" customHeight="1">
      <c r="A6929" s="21"/>
      <c r="B6929" s="22"/>
      <c r="C6929" s="21"/>
      <c r="D6929" s="21"/>
      <c r="E6929" s="21"/>
      <c r="F6929" s="21"/>
      <c r="G6929" s="23"/>
      <c r="H6929" s="24" t="str">
        <f>IFERROR(VLOOKUP(B6929,material!A:D,3,0),"")</f>
        <v/>
      </c>
    </row>
    <row r="6930" ht="11.25" customHeight="1">
      <c r="A6930" s="21"/>
      <c r="B6930" s="22"/>
      <c r="C6930" s="21"/>
      <c r="D6930" s="21"/>
      <c r="E6930" s="21"/>
      <c r="F6930" s="21"/>
      <c r="G6930" s="23"/>
      <c r="H6930" s="24" t="str">
        <f>IFERROR(VLOOKUP(B6930,material!A:D,3,0),"")</f>
        <v/>
      </c>
    </row>
    <row r="6931" ht="11.25" customHeight="1">
      <c r="A6931" s="21"/>
      <c r="B6931" s="22"/>
      <c r="C6931" s="21"/>
      <c r="D6931" s="21"/>
      <c r="E6931" s="21"/>
      <c r="F6931" s="21"/>
      <c r="G6931" s="23"/>
      <c r="H6931" s="24" t="str">
        <f>IFERROR(VLOOKUP(B6931,material!A:D,3,0),"")</f>
        <v/>
      </c>
    </row>
    <row r="6932" ht="11.25" customHeight="1">
      <c r="A6932" s="21"/>
      <c r="B6932" s="22"/>
      <c r="C6932" s="21"/>
      <c r="D6932" s="21"/>
      <c r="E6932" s="21"/>
      <c r="F6932" s="21"/>
      <c r="G6932" s="23"/>
      <c r="H6932" s="24" t="str">
        <f>IFERROR(VLOOKUP(B6932,material!A:D,3,0),"")</f>
        <v/>
      </c>
    </row>
    <row r="6933" ht="11.25" customHeight="1">
      <c r="A6933" s="21"/>
      <c r="B6933" s="22"/>
      <c r="C6933" s="21"/>
      <c r="D6933" s="21"/>
      <c r="E6933" s="21"/>
      <c r="F6933" s="21"/>
      <c r="G6933" s="23"/>
      <c r="H6933" s="24" t="str">
        <f>IFERROR(VLOOKUP(B6933,material!A:D,3,0),"")</f>
        <v/>
      </c>
    </row>
    <row r="6934" ht="11.25" customHeight="1">
      <c r="A6934" s="21"/>
      <c r="B6934" s="22"/>
      <c r="C6934" s="21"/>
      <c r="D6934" s="21"/>
      <c r="E6934" s="21"/>
      <c r="F6934" s="21"/>
      <c r="G6934" s="23"/>
      <c r="H6934" s="24" t="str">
        <f>IFERROR(VLOOKUP(B6934,material!A:D,3,0),"")</f>
        <v/>
      </c>
    </row>
    <row r="6935" ht="11.25" customHeight="1">
      <c r="A6935" s="21"/>
      <c r="B6935" s="22"/>
      <c r="C6935" s="21"/>
      <c r="D6935" s="21"/>
      <c r="E6935" s="21"/>
      <c r="F6935" s="21"/>
      <c r="G6935" s="23"/>
      <c r="H6935" s="24" t="str">
        <f>IFERROR(VLOOKUP(B6935,material!A:D,3,0),"")</f>
        <v/>
      </c>
    </row>
    <row r="6936" ht="11.25" customHeight="1">
      <c r="A6936" s="21"/>
      <c r="B6936" s="22"/>
      <c r="C6936" s="21"/>
      <c r="D6936" s="21"/>
      <c r="E6936" s="21"/>
      <c r="F6936" s="21"/>
      <c r="G6936" s="23"/>
      <c r="H6936" s="24" t="str">
        <f>IFERROR(VLOOKUP(B6936,material!A:D,3,0),"")</f>
        <v/>
      </c>
    </row>
    <row r="6937" ht="11.25" customHeight="1">
      <c r="A6937" s="21"/>
      <c r="B6937" s="22"/>
      <c r="C6937" s="21"/>
      <c r="D6937" s="21"/>
      <c r="E6937" s="21"/>
      <c r="F6937" s="21"/>
      <c r="G6937" s="23"/>
      <c r="H6937" s="24" t="str">
        <f>IFERROR(VLOOKUP(B6937,material!A:D,3,0),"")</f>
        <v/>
      </c>
    </row>
    <row r="6938" ht="11.25" customHeight="1">
      <c r="A6938" s="21"/>
      <c r="B6938" s="22"/>
      <c r="C6938" s="21"/>
      <c r="D6938" s="21"/>
      <c r="E6938" s="21"/>
      <c r="F6938" s="21"/>
      <c r="G6938" s="23"/>
      <c r="H6938" s="24" t="str">
        <f>IFERROR(VLOOKUP(B6938,material!A:D,3,0),"")</f>
        <v/>
      </c>
    </row>
    <row r="6939" ht="11.25" customHeight="1">
      <c r="A6939" s="21"/>
      <c r="B6939" s="22"/>
      <c r="C6939" s="21"/>
      <c r="D6939" s="21"/>
      <c r="E6939" s="21"/>
      <c r="F6939" s="21"/>
      <c r="G6939" s="23"/>
      <c r="H6939" s="24" t="str">
        <f>IFERROR(VLOOKUP(B6939,material!A:D,3,0),"")</f>
        <v/>
      </c>
    </row>
    <row r="6940" ht="11.25" customHeight="1">
      <c r="A6940" s="21"/>
      <c r="B6940" s="22"/>
      <c r="C6940" s="21"/>
      <c r="D6940" s="21"/>
      <c r="E6940" s="21"/>
      <c r="F6940" s="21"/>
      <c r="G6940" s="23"/>
      <c r="H6940" s="24" t="str">
        <f>IFERROR(VLOOKUP(B6940,material!A:D,3,0),"")</f>
        <v/>
      </c>
    </row>
    <row r="6941" ht="11.25" customHeight="1">
      <c r="A6941" s="21"/>
      <c r="B6941" s="22"/>
      <c r="C6941" s="21"/>
      <c r="D6941" s="21"/>
      <c r="E6941" s="21"/>
      <c r="F6941" s="21"/>
      <c r="G6941" s="23"/>
      <c r="H6941" s="24" t="str">
        <f>IFERROR(VLOOKUP(B6941,material!A:D,3,0),"")</f>
        <v/>
      </c>
    </row>
    <row r="6942" ht="11.25" customHeight="1">
      <c r="A6942" s="21"/>
      <c r="B6942" s="22"/>
      <c r="C6942" s="21"/>
      <c r="D6942" s="21"/>
      <c r="E6942" s="21"/>
      <c r="F6942" s="21"/>
      <c r="G6942" s="23"/>
      <c r="H6942" s="24" t="str">
        <f>IFERROR(VLOOKUP(B6942,material!A:D,3,0),"")</f>
        <v/>
      </c>
    </row>
    <row r="6943" ht="11.25" customHeight="1">
      <c r="A6943" s="21"/>
      <c r="B6943" s="22"/>
      <c r="C6943" s="21"/>
      <c r="D6943" s="21"/>
      <c r="E6943" s="21"/>
      <c r="F6943" s="21"/>
      <c r="G6943" s="23"/>
      <c r="H6943" s="24" t="str">
        <f>IFERROR(VLOOKUP(B6943,material!A:D,3,0),"")</f>
        <v/>
      </c>
    </row>
    <row r="6944" ht="11.25" customHeight="1">
      <c r="A6944" s="21"/>
      <c r="B6944" s="22"/>
      <c r="C6944" s="21"/>
      <c r="D6944" s="21"/>
      <c r="E6944" s="21"/>
      <c r="F6944" s="21"/>
      <c r="G6944" s="23"/>
      <c r="H6944" s="24" t="str">
        <f>IFERROR(VLOOKUP(B6944,material!A:D,3,0),"")</f>
        <v/>
      </c>
    </row>
    <row r="6945" ht="11.25" customHeight="1">
      <c r="A6945" s="21"/>
      <c r="B6945" s="22"/>
      <c r="C6945" s="21"/>
      <c r="D6945" s="21"/>
      <c r="E6945" s="21"/>
      <c r="F6945" s="21"/>
      <c r="G6945" s="23"/>
      <c r="H6945" s="24" t="str">
        <f>IFERROR(VLOOKUP(B6945,material!A:D,3,0),"")</f>
        <v/>
      </c>
    </row>
    <row r="6946" ht="11.25" customHeight="1">
      <c r="A6946" s="21"/>
      <c r="B6946" s="22"/>
      <c r="C6946" s="21"/>
      <c r="D6946" s="21"/>
      <c r="E6946" s="21"/>
      <c r="F6946" s="21"/>
      <c r="G6946" s="23"/>
      <c r="H6946" s="24" t="str">
        <f>IFERROR(VLOOKUP(B6946,material!A:D,3,0),"")</f>
        <v/>
      </c>
    </row>
    <row r="6947" ht="11.25" customHeight="1">
      <c r="A6947" s="21"/>
      <c r="B6947" s="22"/>
      <c r="C6947" s="21"/>
      <c r="D6947" s="21"/>
      <c r="E6947" s="21"/>
      <c r="F6947" s="21"/>
      <c r="G6947" s="23"/>
      <c r="H6947" s="24" t="str">
        <f>IFERROR(VLOOKUP(B6947,material!A:D,3,0),"")</f>
        <v/>
      </c>
    </row>
    <row r="6948" ht="11.25" customHeight="1">
      <c r="A6948" s="21"/>
      <c r="B6948" s="22"/>
      <c r="C6948" s="21"/>
      <c r="D6948" s="21"/>
      <c r="E6948" s="21"/>
      <c r="F6948" s="21"/>
      <c r="G6948" s="23"/>
      <c r="H6948" s="24" t="str">
        <f>IFERROR(VLOOKUP(B6948,material!A:D,3,0),"")</f>
        <v/>
      </c>
    </row>
    <row r="6949" ht="11.25" customHeight="1">
      <c r="A6949" s="21"/>
      <c r="B6949" s="22"/>
      <c r="C6949" s="21"/>
      <c r="D6949" s="21"/>
      <c r="E6949" s="21"/>
      <c r="F6949" s="21"/>
      <c r="G6949" s="23"/>
      <c r="H6949" s="24" t="str">
        <f>IFERROR(VLOOKUP(B6949,material!A:D,3,0),"")</f>
        <v/>
      </c>
    </row>
    <row r="6950" ht="11.25" customHeight="1">
      <c r="A6950" s="21"/>
      <c r="B6950" s="22"/>
      <c r="C6950" s="21"/>
      <c r="D6950" s="21"/>
      <c r="E6950" s="21"/>
      <c r="F6950" s="21"/>
      <c r="G6950" s="23"/>
      <c r="H6950" s="24" t="str">
        <f>IFERROR(VLOOKUP(B6950,material!A:D,3,0),"")</f>
        <v/>
      </c>
    </row>
    <row r="6951" ht="11.25" customHeight="1">
      <c r="A6951" s="21"/>
      <c r="B6951" s="22"/>
      <c r="C6951" s="21"/>
      <c r="D6951" s="21"/>
      <c r="E6951" s="21"/>
      <c r="F6951" s="21"/>
      <c r="G6951" s="23"/>
      <c r="H6951" s="24" t="str">
        <f>IFERROR(VLOOKUP(B6951,material!A:D,3,0),"")</f>
        <v/>
      </c>
    </row>
    <row r="6952" ht="11.25" customHeight="1">
      <c r="A6952" s="21"/>
      <c r="B6952" s="22"/>
      <c r="C6952" s="21"/>
      <c r="D6952" s="21"/>
      <c r="E6952" s="21"/>
      <c r="F6952" s="21"/>
      <c r="G6952" s="23"/>
      <c r="H6952" s="24" t="str">
        <f>IFERROR(VLOOKUP(B6952,material!A:D,3,0),"")</f>
        <v/>
      </c>
    </row>
    <row r="6953" ht="11.25" customHeight="1">
      <c r="A6953" s="21"/>
      <c r="B6953" s="22"/>
      <c r="C6953" s="21"/>
      <c r="D6953" s="21"/>
      <c r="E6953" s="21"/>
      <c r="F6953" s="21"/>
      <c r="G6953" s="23"/>
      <c r="H6953" s="24" t="str">
        <f>IFERROR(VLOOKUP(B6953,material!A:D,3,0),"")</f>
        <v/>
      </c>
    </row>
    <row r="6954" ht="11.25" customHeight="1">
      <c r="A6954" s="21"/>
      <c r="B6954" s="22"/>
      <c r="C6954" s="21"/>
      <c r="D6954" s="21"/>
      <c r="E6954" s="21"/>
      <c r="F6954" s="21"/>
      <c r="G6954" s="23"/>
      <c r="H6954" s="24" t="str">
        <f>IFERROR(VLOOKUP(B6954,material!A:D,3,0),"")</f>
        <v/>
      </c>
    </row>
    <row r="6955" ht="11.25" customHeight="1">
      <c r="A6955" s="21"/>
      <c r="B6955" s="22"/>
      <c r="C6955" s="21"/>
      <c r="D6955" s="21"/>
      <c r="E6955" s="21"/>
      <c r="F6955" s="21"/>
      <c r="G6955" s="23"/>
      <c r="H6955" s="24" t="str">
        <f>IFERROR(VLOOKUP(B6955,material!A:D,3,0),"")</f>
        <v/>
      </c>
    </row>
    <row r="6956" ht="11.25" customHeight="1">
      <c r="A6956" s="21"/>
      <c r="B6956" s="22"/>
      <c r="C6956" s="21"/>
      <c r="D6956" s="21"/>
      <c r="E6956" s="21"/>
      <c r="F6956" s="21"/>
      <c r="G6956" s="23"/>
      <c r="H6956" s="24" t="str">
        <f>IFERROR(VLOOKUP(B6956,material!A:D,3,0),"")</f>
        <v/>
      </c>
    </row>
    <row r="6957" ht="11.25" customHeight="1">
      <c r="A6957" s="21"/>
      <c r="B6957" s="22"/>
      <c r="C6957" s="21"/>
      <c r="D6957" s="21"/>
      <c r="E6957" s="21"/>
      <c r="F6957" s="21"/>
      <c r="G6957" s="23"/>
      <c r="H6957" s="24" t="str">
        <f>IFERROR(VLOOKUP(B6957,material!A:D,3,0),"")</f>
        <v/>
      </c>
    </row>
    <row r="6958" ht="11.25" customHeight="1">
      <c r="A6958" s="21"/>
      <c r="B6958" s="22"/>
      <c r="C6958" s="21"/>
      <c r="D6958" s="21"/>
      <c r="E6958" s="21"/>
      <c r="F6958" s="21"/>
      <c r="G6958" s="23"/>
      <c r="H6958" s="24" t="str">
        <f>IFERROR(VLOOKUP(B6958,material!A:D,3,0),"")</f>
        <v/>
      </c>
    </row>
    <row r="6959" ht="11.25" customHeight="1">
      <c r="A6959" s="21"/>
      <c r="B6959" s="22"/>
      <c r="C6959" s="21"/>
      <c r="D6959" s="21"/>
      <c r="E6959" s="21"/>
      <c r="F6959" s="21"/>
      <c r="G6959" s="23"/>
      <c r="H6959" s="24" t="str">
        <f>IFERROR(VLOOKUP(B6959,material!A:D,3,0),"")</f>
        <v/>
      </c>
    </row>
    <row r="6960" ht="11.25" customHeight="1">
      <c r="A6960" s="21"/>
      <c r="B6960" s="22"/>
      <c r="C6960" s="21"/>
      <c r="D6960" s="21"/>
      <c r="E6960" s="21"/>
      <c r="F6960" s="21"/>
      <c r="G6960" s="23"/>
      <c r="H6960" s="24" t="str">
        <f>IFERROR(VLOOKUP(B6960,material!A:D,3,0),"")</f>
        <v/>
      </c>
    </row>
    <row r="6961" ht="11.25" customHeight="1">
      <c r="A6961" s="21"/>
      <c r="B6961" s="22"/>
      <c r="C6961" s="21"/>
      <c r="D6961" s="21"/>
      <c r="E6961" s="21"/>
      <c r="F6961" s="21"/>
      <c r="G6961" s="23"/>
      <c r="H6961" s="24" t="str">
        <f>IFERROR(VLOOKUP(B6961,material!A:D,3,0),"")</f>
        <v/>
      </c>
    </row>
    <row r="6962" ht="11.25" customHeight="1">
      <c r="A6962" s="21"/>
      <c r="B6962" s="22"/>
      <c r="C6962" s="21"/>
      <c r="D6962" s="21"/>
      <c r="E6962" s="21"/>
      <c r="F6962" s="21"/>
      <c r="G6962" s="23"/>
      <c r="H6962" s="24" t="str">
        <f>IFERROR(VLOOKUP(B6962,material!A:D,3,0),"")</f>
        <v/>
      </c>
    </row>
    <row r="6963" ht="11.25" customHeight="1">
      <c r="A6963" s="21"/>
      <c r="B6963" s="22"/>
      <c r="C6963" s="21"/>
      <c r="D6963" s="21"/>
      <c r="E6963" s="21"/>
      <c r="F6963" s="21"/>
      <c r="G6963" s="23"/>
      <c r="H6963" s="24" t="str">
        <f>IFERROR(VLOOKUP(B6963,material!A:D,3,0),"")</f>
        <v/>
      </c>
    </row>
    <row r="6964" ht="11.25" customHeight="1">
      <c r="A6964" s="21"/>
      <c r="B6964" s="22"/>
      <c r="C6964" s="21"/>
      <c r="D6964" s="21"/>
      <c r="E6964" s="21"/>
      <c r="F6964" s="21"/>
      <c r="G6964" s="23"/>
      <c r="H6964" s="24" t="str">
        <f>IFERROR(VLOOKUP(B6964,material!A:D,3,0),"")</f>
        <v/>
      </c>
    </row>
    <row r="6965" ht="11.25" customHeight="1">
      <c r="A6965" s="21"/>
      <c r="B6965" s="22"/>
      <c r="C6965" s="21"/>
      <c r="D6965" s="21"/>
      <c r="E6965" s="21"/>
      <c r="F6965" s="21"/>
      <c r="G6965" s="23"/>
      <c r="H6965" s="24" t="str">
        <f>IFERROR(VLOOKUP(B6965,material!A:D,3,0),"")</f>
        <v/>
      </c>
    </row>
    <row r="6966" ht="11.25" customHeight="1">
      <c r="A6966" s="21"/>
      <c r="B6966" s="22"/>
      <c r="C6966" s="21"/>
      <c r="D6966" s="21"/>
      <c r="E6966" s="21"/>
      <c r="F6966" s="21"/>
      <c r="G6966" s="23"/>
      <c r="H6966" s="24" t="str">
        <f>IFERROR(VLOOKUP(B6966,material!A:D,3,0),"")</f>
        <v/>
      </c>
    </row>
    <row r="6967" ht="11.25" customHeight="1">
      <c r="A6967" s="21"/>
      <c r="B6967" s="22"/>
      <c r="C6967" s="21"/>
      <c r="D6967" s="21"/>
      <c r="E6967" s="21"/>
      <c r="F6967" s="21"/>
      <c r="G6967" s="23"/>
      <c r="H6967" s="24" t="str">
        <f>IFERROR(VLOOKUP(B6967,material!A:D,3,0),"")</f>
        <v/>
      </c>
    </row>
    <row r="6968" ht="11.25" customHeight="1">
      <c r="A6968" s="21"/>
      <c r="B6968" s="22"/>
      <c r="C6968" s="21"/>
      <c r="D6968" s="21"/>
      <c r="E6968" s="21"/>
      <c r="F6968" s="21"/>
      <c r="G6968" s="23"/>
      <c r="H6968" s="24" t="str">
        <f>IFERROR(VLOOKUP(B6968,material!A:D,3,0),"")</f>
        <v/>
      </c>
    </row>
    <row r="6969" ht="11.25" customHeight="1">
      <c r="A6969" s="21"/>
      <c r="B6969" s="22"/>
      <c r="C6969" s="21"/>
      <c r="D6969" s="21"/>
      <c r="E6969" s="21"/>
      <c r="F6969" s="21"/>
      <c r="G6969" s="23"/>
      <c r="H6969" s="24" t="str">
        <f>IFERROR(VLOOKUP(B6969,material!A:D,3,0),"")</f>
        <v/>
      </c>
    </row>
    <row r="6970" ht="11.25" customHeight="1">
      <c r="A6970" s="21"/>
      <c r="B6970" s="22"/>
      <c r="C6970" s="21"/>
      <c r="D6970" s="21"/>
      <c r="E6970" s="21"/>
      <c r="F6970" s="21"/>
      <c r="G6970" s="23"/>
      <c r="H6970" s="24" t="str">
        <f>IFERROR(VLOOKUP(B6970,material!A:D,3,0),"")</f>
        <v/>
      </c>
    </row>
    <row r="6971" ht="11.25" customHeight="1">
      <c r="A6971" s="21"/>
      <c r="B6971" s="22"/>
      <c r="C6971" s="21"/>
      <c r="D6971" s="21"/>
      <c r="E6971" s="21"/>
      <c r="F6971" s="21"/>
      <c r="G6971" s="23"/>
      <c r="H6971" s="24" t="str">
        <f>IFERROR(VLOOKUP(B6971,material!A:D,3,0),"")</f>
        <v/>
      </c>
    </row>
    <row r="6972" ht="11.25" customHeight="1">
      <c r="A6972" s="21"/>
      <c r="B6972" s="22"/>
      <c r="C6972" s="21"/>
      <c r="D6972" s="21"/>
      <c r="E6972" s="21"/>
      <c r="F6972" s="21"/>
      <c r="G6972" s="23"/>
      <c r="H6972" s="24" t="str">
        <f>IFERROR(VLOOKUP(B6972,material!A:D,3,0),"")</f>
        <v/>
      </c>
    </row>
    <row r="6973" ht="11.25" customHeight="1">
      <c r="A6973" s="21"/>
      <c r="B6973" s="22"/>
      <c r="C6973" s="21"/>
      <c r="D6973" s="21"/>
      <c r="E6973" s="21"/>
      <c r="F6973" s="21"/>
      <c r="G6973" s="23"/>
      <c r="H6973" s="24" t="str">
        <f>IFERROR(VLOOKUP(B6973,material!A:D,3,0),"")</f>
        <v/>
      </c>
    </row>
    <row r="6974" ht="11.25" customHeight="1">
      <c r="A6974" s="21"/>
      <c r="B6974" s="22"/>
      <c r="C6974" s="21"/>
      <c r="D6974" s="21"/>
      <c r="E6974" s="21"/>
      <c r="F6974" s="21"/>
      <c r="G6974" s="23"/>
      <c r="H6974" s="24" t="str">
        <f>IFERROR(VLOOKUP(B6974,material!A:D,3,0),"")</f>
        <v/>
      </c>
    </row>
    <row r="6975" ht="11.25" customHeight="1">
      <c r="A6975" s="21"/>
      <c r="B6975" s="22"/>
      <c r="C6975" s="21"/>
      <c r="D6975" s="21"/>
      <c r="E6975" s="21"/>
      <c r="F6975" s="21"/>
      <c r="G6975" s="23"/>
      <c r="H6975" s="24" t="str">
        <f>IFERROR(VLOOKUP(B6975,material!A:D,3,0),"")</f>
        <v/>
      </c>
    </row>
    <row r="6976" ht="11.25" customHeight="1">
      <c r="A6976" s="21"/>
      <c r="B6976" s="22"/>
      <c r="C6976" s="21"/>
      <c r="D6976" s="21"/>
      <c r="E6976" s="21"/>
      <c r="F6976" s="21"/>
      <c r="G6976" s="23"/>
      <c r="H6976" s="24" t="str">
        <f>IFERROR(VLOOKUP(B6976,material!A:D,3,0),"")</f>
        <v/>
      </c>
    </row>
    <row r="6977" ht="11.25" customHeight="1">
      <c r="A6977" s="21"/>
      <c r="B6977" s="22"/>
      <c r="C6977" s="21"/>
      <c r="D6977" s="21"/>
      <c r="E6977" s="21"/>
      <c r="F6977" s="21"/>
      <c r="G6977" s="23"/>
      <c r="H6977" s="24" t="str">
        <f>IFERROR(VLOOKUP(B6977,material!A:D,3,0),"")</f>
        <v/>
      </c>
    </row>
    <row r="6978" ht="11.25" customHeight="1">
      <c r="A6978" s="21"/>
      <c r="B6978" s="22"/>
      <c r="C6978" s="21"/>
      <c r="D6978" s="21"/>
      <c r="E6978" s="21"/>
      <c r="F6978" s="21"/>
      <c r="G6978" s="23"/>
      <c r="H6978" s="24" t="str">
        <f>IFERROR(VLOOKUP(B6978,material!A:D,3,0),"")</f>
        <v/>
      </c>
    </row>
    <row r="6979" ht="11.25" customHeight="1">
      <c r="A6979" s="21"/>
      <c r="B6979" s="22"/>
      <c r="C6979" s="21"/>
      <c r="D6979" s="21"/>
      <c r="E6979" s="21"/>
      <c r="F6979" s="21"/>
      <c r="G6979" s="23"/>
      <c r="H6979" s="24" t="str">
        <f>IFERROR(VLOOKUP(B6979,material!A:D,3,0),"")</f>
        <v/>
      </c>
    </row>
    <row r="6980" ht="11.25" customHeight="1">
      <c r="A6980" s="21"/>
      <c r="B6980" s="22"/>
      <c r="C6980" s="21"/>
      <c r="D6980" s="21"/>
      <c r="E6980" s="21"/>
      <c r="F6980" s="21"/>
      <c r="G6980" s="23"/>
      <c r="H6980" s="24" t="str">
        <f>IFERROR(VLOOKUP(B6980,material!A:D,3,0),"")</f>
        <v/>
      </c>
    </row>
    <row r="6981" ht="11.25" customHeight="1">
      <c r="A6981" s="21"/>
      <c r="B6981" s="22"/>
      <c r="C6981" s="21"/>
      <c r="D6981" s="21"/>
      <c r="E6981" s="21"/>
      <c r="F6981" s="21"/>
      <c r="G6981" s="23"/>
      <c r="H6981" s="24" t="str">
        <f>IFERROR(VLOOKUP(B6981,material!A:D,3,0),"")</f>
        <v/>
      </c>
    </row>
    <row r="6982" ht="11.25" customHeight="1">
      <c r="A6982" s="21"/>
      <c r="B6982" s="22"/>
      <c r="C6982" s="21"/>
      <c r="D6982" s="21"/>
      <c r="E6982" s="21"/>
      <c r="F6982" s="21"/>
      <c r="G6982" s="23"/>
      <c r="H6982" s="24" t="str">
        <f>IFERROR(VLOOKUP(B6982,material!A:D,3,0),"")</f>
        <v/>
      </c>
    </row>
    <row r="6983" ht="11.25" customHeight="1">
      <c r="A6983" s="21"/>
      <c r="B6983" s="22"/>
      <c r="C6983" s="21"/>
      <c r="D6983" s="21"/>
      <c r="E6983" s="21"/>
      <c r="F6983" s="21"/>
      <c r="G6983" s="23"/>
      <c r="H6983" s="24" t="str">
        <f>IFERROR(VLOOKUP(B6983,material!A:D,3,0),"")</f>
        <v/>
      </c>
    </row>
    <row r="6984" ht="11.25" customHeight="1">
      <c r="A6984" s="21"/>
      <c r="B6984" s="22"/>
      <c r="C6984" s="21"/>
      <c r="D6984" s="21"/>
      <c r="E6984" s="21"/>
      <c r="F6984" s="21"/>
      <c r="G6984" s="23"/>
      <c r="H6984" s="24" t="str">
        <f>IFERROR(VLOOKUP(B6984,material!A:D,3,0),"")</f>
        <v/>
      </c>
    </row>
    <row r="6985" ht="11.25" customHeight="1">
      <c r="A6985" s="21"/>
      <c r="B6985" s="22"/>
      <c r="C6985" s="21"/>
      <c r="D6985" s="21"/>
      <c r="E6985" s="21"/>
      <c r="F6985" s="21"/>
      <c r="G6985" s="23"/>
      <c r="H6985" s="24" t="str">
        <f>IFERROR(VLOOKUP(B6985,material!A:D,3,0),"")</f>
        <v/>
      </c>
    </row>
    <row r="6986" ht="11.25" customHeight="1">
      <c r="A6986" s="21"/>
      <c r="B6986" s="22"/>
      <c r="C6986" s="21"/>
      <c r="D6986" s="21"/>
      <c r="E6986" s="21"/>
      <c r="F6986" s="21"/>
      <c r="G6986" s="23"/>
      <c r="H6986" s="24" t="str">
        <f>IFERROR(VLOOKUP(B6986,material!A:D,3,0),"")</f>
        <v/>
      </c>
    </row>
    <row r="6987" ht="11.25" customHeight="1">
      <c r="A6987" s="21"/>
      <c r="B6987" s="22"/>
      <c r="C6987" s="21"/>
      <c r="D6987" s="21"/>
      <c r="E6987" s="21"/>
      <c r="F6987" s="21"/>
      <c r="G6987" s="23"/>
      <c r="H6987" s="24" t="str">
        <f>IFERROR(VLOOKUP(B6987,material!A:D,3,0),"")</f>
        <v/>
      </c>
    </row>
    <row r="6988" ht="11.25" customHeight="1">
      <c r="A6988" s="21"/>
      <c r="B6988" s="22"/>
      <c r="C6988" s="21"/>
      <c r="D6988" s="21"/>
      <c r="E6988" s="21"/>
      <c r="F6988" s="21"/>
      <c r="G6988" s="23"/>
      <c r="H6988" s="24" t="str">
        <f>IFERROR(VLOOKUP(B6988,material!A:D,3,0),"")</f>
        <v/>
      </c>
    </row>
    <row r="6989" ht="11.25" customHeight="1">
      <c r="A6989" s="21"/>
      <c r="B6989" s="22"/>
      <c r="C6989" s="21"/>
      <c r="D6989" s="21"/>
      <c r="E6989" s="21"/>
      <c r="F6989" s="21"/>
      <c r="G6989" s="23"/>
      <c r="H6989" s="24" t="str">
        <f>IFERROR(VLOOKUP(B6989,material!A:D,3,0),"")</f>
        <v/>
      </c>
    </row>
    <row r="6990" ht="11.25" customHeight="1">
      <c r="A6990" s="21"/>
      <c r="B6990" s="22"/>
      <c r="C6990" s="21"/>
      <c r="D6990" s="21"/>
      <c r="E6990" s="21"/>
      <c r="F6990" s="21"/>
      <c r="G6990" s="23"/>
      <c r="H6990" s="24" t="str">
        <f>IFERROR(VLOOKUP(B6990,material!A:D,3,0),"")</f>
        <v/>
      </c>
    </row>
    <row r="6991" ht="11.25" customHeight="1">
      <c r="A6991" s="21"/>
      <c r="B6991" s="22"/>
      <c r="C6991" s="21"/>
      <c r="D6991" s="21"/>
      <c r="E6991" s="21"/>
      <c r="F6991" s="21"/>
      <c r="G6991" s="23"/>
      <c r="H6991" s="24" t="str">
        <f>IFERROR(VLOOKUP(B6991,material!A:D,3,0),"")</f>
        <v/>
      </c>
    </row>
    <row r="6992" ht="11.25" customHeight="1">
      <c r="A6992" s="21"/>
      <c r="B6992" s="22"/>
      <c r="C6992" s="21"/>
      <c r="D6992" s="21"/>
      <c r="E6992" s="21"/>
      <c r="F6992" s="21"/>
      <c r="G6992" s="23"/>
      <c r="H6992" s="24" t="str">
        <f>IFERROR(VLOOKUP(B6992,material!A:D,3,0),"")</f>
        <v/>
      </c>
    </row>
    <row r="6993" ht="11.25" customHeight="1">
      <c r="A6993" s="21"/>
      <c r="B6993" s="22"/>
      <c r="C6993" s="21"/>
      <c r="D6993" s="21"/>
      <c r="E6993" s="21"/>
      <c r="F6993" s="21"/>
      <c r="G6993" s="23"/>
      <c r="H6993" s="24" t="str">
        <f>IFERROR(VLOOKUP(B6993,material!A:D,3,0),"")</f>
        <v/>
      </c>
    </row>
    <row r="6994" ht="11.25" customHeight="1">
      <c r="A6994" s="21"/>
      <c r="B6994" s="22"/>
      <c r="C6994" s="21"/>
      <c r="D6994" s="21"/>
      <c r="E6994" s="21"/>
      <c r="F6994" s="21"/>
      <c r="G6994" s="23"/>
      <c r="H6994" s="24" t="str">
        <f>IFERROR(VLOOKUP(B6994,material!A:D,3,0),"")</f>
        <v/>
      </c>
    </row>
    <row r="6995" ht="11.25" customHeight="1">
      <c r="A6995" s="21"/>
      <c r="B6995" s="22"/>
      <c r="C6995" s="21"/>
      <c r="D6995" s="21"/>
      <c r="E6995" s="21"/>
      <c r="F6995" s="21"/>
      <c r="G6995" s="23"/>
      <c r="H6995" s="24" t="str">
        <f>IFERROR(VLOOKUP(B6995,material!A:D,3,0),"")</f>
        <v/>
      </c>
    </row>
    <row r="6996" ht="11.25" customHeight="1">
      <c r="A6996" s="21"/>
      <c r="B6996" s="22"/>
      <c r="C6996" s="21"/>
      <c r="D6996" s="21"/>
      <c r="E6996" s="21"/>
      <c r="F6996" s="21"/>
      <c r="G6996" s="23"/>
      <c r="H6996" s="24" t="str">
        <f>IFERROR(VLOOKUP(B6996,material!A:D,3,0),"")</f>
        <v/>
      </c>
    </row>
    <row r="6997" ht="11.25" customHeight="1">
      <c r="A6997" s="21"/>
      <c r="B6997" s="22"/>
      <c r="C6997" s="21"/>
      <c r="D6997" s="21"/>
      <c r="E6997" s="21"/>
      <c r="F6997" s="21"/>
      <c r="G6997" s="23"/>
      <c r="H6997" s="24" t="str">
        <f>IFERROR(VLOOKUP(B6997,material!A:D,3,0),"")</f>
        <v/>
      </c>
    </row>
    <row r="6998" ht="11.25" customHeight="1">
      <c r="A6998" s="21"/>
      <c r="B6998" s="22"/>
      <c r="C6998" s="21"/>
      <c r="D6998" s="21"/>
      <c r="E6998" s="21"/>
      <c r="F6998" s="21"/>
      <c r="G6998" s="23"/>
      <c r="H6998" s="24" t="str">
        <f>IFERROR(VLOOKUP(B6998,material!A:D,3,0),"")</f>
        <v/>
      </c>
    </row>
    <row r="6999" ht="11.25" customHeight="1">
      <c r="A6999" s="21"/>
      <c r="B6999" s="22"/>
      <c r="C6999" s="21"/>
      <c r="D6999" s="21"/>
      <c r="E6999" s="21"/>
      <c r="F6999" s="21"/>
      <c r="G6999" s="23"/>
      <c r="H6999" s="24" t="str">
        <f>IFERROR(VLOOKUP(B6999,material!A:D,3,0),"")</f>
        <v/>
      </c>
    </row>
    <row r="7000" ht="11.25" customHeight="1">
      <c r="A7000" s="21"/>
      <c r="B7000" s="22"/>
      <c r="C7000" s="21"/>
      <c r="D7000" s="21"/>
      <c r="E7000" s="21"/>
      <c r="F7000" s="21"/>
      <c r="G7000" s="23"/>
      <c r="H7000" s="24" t="str">
        <f>IFERROR(VLOOKUP(B7000,material!A:D,3,0),"")</f>
        <v/>
      </c>
    </row>
    <row r="7001" ht="11.25" customHeight="1">
      <c r="A7001" s="21"/>
      <c r="B7001" s="22"/>
      <c r="C7001" s="21"/>
      <c r="D7001" s="21"/>
      <c r="E7001" s="21"/>
      <c r="F7001" s="21"/>
      <c r="G7001" s="23"/>
      <c r="H7001" s="24" t="str">
        <f>IFERROR(VLOOKUP(B7001,material!A:D,3,0),"")</f>
        <v/>
      </c>
    </row>
    <row r="7002" ht="11.25" customHeight="1">
      <c r="A7002" s="21"/>
      <c r="B7002" s="22"/>
      <c r="C7002" s="21"/>
      <c r="D7002" s="21"/>
      <c r="E7002" s="21"/>
      <c r="F7002" s="21"/>
      <c r="G7002" s="23"/>
      <c r="H7002" s="24" t="str">
        <f>IFERROR(VLOOKUP(B7002,material!A:D,3,0),"")</f>
        <v/>
      </c>
    </row>
    <row r="7003" ht="11.25" customHeight="1">
      <c r="A7003" s="21"/>
      <c r="B7003" s="22"/>
      <c r="C7003" s="21"/>
      <c r="D7003" s="21"/>
      <c r="E7003" s="21"/>
      <c r="F7003" s="21"/>
      <c r="G7003" s="23"/>
      <c r="H7003" s="24" t="str">
        <f>IFERROR(VLOOKUP(B7003,material!A:D,3,0),"")</f>
        <v/>
      </c>
    </row>
    <row r="7004" ht="11.25" customHeight="1">
      <c r="A7004" s="21"/>
      <c r="B7004" s="22"/>
      <c r="C7004" s="21"/>
      <c r="D7004" s="21"/>
      <c r="E7004" s="21"/>
      <c r="F7004" s="21"/>
      <c r="G7004" s="23"/>
      <c r="H7004" s="24" t="str">
        <f>IFERROR(VLOOKUP(B7004,material!A:D,3,0),"")</f>
        <v/>
      </c>
    </row>
    <row r="7005" ht="11.25" customHeight="1">
      <c r="A7005" s="21"/>
      <c r="B7005" s="22"/>
      <c r="C7005" s="21"/>
      <c r="D7005" s="21"/>
      <c r="E7005" s="21"/>
      <c r="F7005" s="21"/>
      <c r="G7005" s="23"/>
      <c r="H7005" s="24" t="str">
        <f>IFERROR(VLOOKUP(B7005,material!A:D,3,0),"")</f>
        <v/>
      </c>
    </row>
    <row r="7006" ht="11.25" customHeight="1">
      <c r="A7006" s="21"/>
      <c r="B7006" s="22"/>
      <c r="C7006" s="21"/>
      <c r="D7006" s="21"/>
      <c r="E7006" s="21"/>
      <c r="F7006" s="21"/>
      <c r="G7006" s="23"/>
      <c r="H7006" s="24" t="str">
        <f>IFERROR(VLOOKUP(B7006,material!A:D,3,0),"")</f>
        <v/>
      </c>
    </row>
    <row r="7007" ht="11.25" customHeight="1">
      <c r="A7007" s="21"/>
      <c r="B7007" s="22"/>
      <c r="C7007" s="21"/>
      <c r="D7007" s="21"/>
      <c r="E7007" s="21"/>
      <c r="F7007" s="21"/>
      <c r="G7007" s="23"/>
      <c r="H7007" s="24" t="str">
        <f>IFERROR(VLOOKUP(B7007,material!A:D,3,0),"")</f>
        <v/>
      </c>
    </row>
    <row r="7008" ht="11.25" customHeight="1">
      <c r="A7008" s="21"/>
      <c r="B7008" s="22"/>
      <c r="C7008" s="21"/>
      <c r="D7008" s="21"/>
      <c r="E7008" s="21"/>
      <c r="F7008" s="21"/>
      <c r="G7008" s="23"/>
      <c r="H7008" s="24" t="str">
        <f>IFERROR(VLOOKUP(B7008,material!A:D,3,0),"")</f>
        <v/>
      </c>
    </row>
    <row r="7009" ht="11.25" customHeight="1">
      <c r="A7009" s="21"/>
      <c r="B7009" s="22"/>
      <c r="C7009" s="21"/>
      <c r="D7009" s="21"/>
      <c r="E7009" s="21"/>
      <c r="F7009" s="21"/>
      <c r="G7009" s="23"/>
      <c r="H7009" s="24" t="str">
        <f>IFERROR(VLOOKUP(B7009,material!A:D,3,0),"")</f>
        <v/>
      </c>
    </row>
    <row r="7010" ht="11.25" customHeight="1">
      <c r="A7010" s="21"/>
      <c r="B7010" s="22"/>
      <c r="C7010" s="21"/>
      <c r="D7010" s="21"/>
      <c r="E7010" s="21"/>
      <c r="F7010" s="21"/>
      <c r="G7010" s="23"/>
      <c r="H7010" s="24" t="str">
        <f>IFERROR(VLOOKUP(B7010,material!A:D,3,0),"")</f>
        <v/>
      </c>
    </row>
    <row r="7011" ht="11.25" customHeight="1">
      <c r="A7011" s="21"/>
      <c r="B7011" s="22"/>
      <c r="C7011" s="21"/>
      <c r="D7011" s="21"/>
      <c r="E7011" s="21"/>
      <c r="F7011" s="21"/>
      <c r="G7011" s="23"/>
      <c r="H7011" s="24" t="str">
        <f>IFERROR(VLOOKUP(B7011,material!A:D,3,0),"")</f>
        <v/>
      </c>
    </row>
    <row r="7012" ht="11.25" customHeight="1">
      <c r="A7012" s="21"/>
      <c r="B7012" s="22"/>
      <c r="C7012" s="21"/>
      <c r="D7012" s="21"/>
      <c r="E7012" s="21"/>
      <c r="F7012" s="21"/>
      <c r="G7012" s="23"/>
      <c r="H7012" s="24" t="str">
        <f>IFERROR(VLOOKUP(B7012,material!A:D,3,0),"")</f>
        <v/>
      </c>
    </row>
    <row r="7013" ht="11.25" customHeight="1">
      <c r="A7013" s="21"/>
      <c r="B7013" s="22"/>
      <c r="C7013" s="21"/>
      <c r="D7013" s="21"/>
      <c r="E7013" s="21"/>
      <c r="F7013" s="21"/>
      <c r="G7013" s="23"/>
      <c r="H7013" s="24" t="str">
        <f>IFERROR(VLOOKUP(B7013,material!A:D,3,0),"")</f>
        <v/>
      </c>
    </row>
    <row r="7014" ht="11.25" customHeight="1">
      <c r="A7014" s="21"/>
      <c r="B7014" s="22"/>
      <c r="C7014" s="21"/>
      <c r="D7014" s="21"/>
      <c r="E7014" s="21"/>
      <c r="F7014" s="21"/>
      <c r="G7014" s="23"/>
      <c r="H7014" s="24" t="str">
        <f>IFERROR(VLOOKUP(B7014,material!A:D,3,0),"")</f>
        <v/>
      </c>
    </row>
    <row r="7015" ht="11.25" customHeight="1">
      <c r="A7015" s="21"/>
      <c r="B7015" s="22"/>
      <c r="C7015" s="21"/>
      <c r="D7015" s="21"/>
      <c r="E7015" s="21"/>
      <c r="F7015" s="21"/>
      <c r="G7015" s="23"/>
      <c r="H7015" s="24" t="str">
        <f>IFERROR(VLOOKUP(B7015,material!A:D,3,0),"")</f>
        <v/>
      </c>
    </row>
    <row r="7016" ht="11.25" customHeight="1">
      <c r="A7016" s="21"/>
      <c r="B7016" s="22"/>
      <c r="C7016" s="21"/>
      <c r="D7016" s="21"/>
      <c r="E7016" s="21"/>
      <c r="F7016" s="21"/>
      <c r="G7016" s="23"/>
      <c r="H7016" s="24" t="str">
        <f>IFERROR(VLOOKUP(B7016,material!A:D,3,0),"")</f>
        <v/>
      </c>
    </row>
    <row r="7017" ht="11.25" customHeight="1">
      <c r="A7017" s="21"/>
      <c r="B7017" s="22"/>
      <c r="C7017" s="21"/>
      <c r="D7017" s="21"/>
      <c r="E7017" s="21"/>
      <c r="F7017" s="21"/>
      <c r="G7017" s="23"/>
      <c r="H7017" s="24" t="str">
        <f>IFERROR(VLOOKUP(B7017,material!A:D,3,0),"")</f>
        <v/>
      </c>
    </row>
    <row r="7018" ht="11.25" customHeight="1">
      <c r="A7018" s="21"/>
      <c r="B7018" s="22"/>
      <c r="C7018" s="21"/>
      <c r="D7018" s="21"/>
      <c r="E7018" s="21"/>
      <c r="F7018" s="21"/>
      <c r="G7018" s="23"/>
      <c r="H7018" s="24" t="str">
        <f>IFERROR(VLOOKUP(B7018,material!A:D,3,0),"")</f>
        <v/>
      </c>
    </row>
    <row r="7019" ht="11.25" customHeight="1">
      <c r="A7019" s="21"/>
      <c r="B7019" s="22"/>
      <c r="C7019" s="21"/>
      <c r="D7019" s="21"/>
      <c r="E7019" s="21"/>
      <c r="F7019" s="21"/>
      <c r="G7019" s="23"/>
      <c r="H7019" s="24" t="str">
        <f>IFERROR(VLOOKUP(B7019,material!A:D,3,0),"")</f>
        <v/>
      </c>
    </row>
    <row r="7020" ht="11.25" customHeight="1">
      <c r="A7020" s="21"/>
      <c r="B7020" s="22"/>
      <c r="C7020" s="21"/>
      <c r="D7020" s="21"/>
      <c r="E7020" s="21"/>
      <c r="F7020" s="21"/>
      <c r="G7020" s="23"/>
      <c r="H7020" s="24" t="str">
        <f>IFERROR(VLOOKUP(B7020,material!A:D,3,0),"")</f>
        <v/>
      </c>
    </row>
    <row r="7021" ht="11.25" customHeight="1">
      <c r="A7021" s="21"/>
      <c r="B7021" s="22"/>
      <c r="C7021" s="21"/>
      <c r="D7021" s="21"/>
      <c r="E7021" s="21"/>
      <c r="F7021" s="21"/>
      <c r="G7021" s="23"/>
      <c r="H7021" s="24" t="str">
        <f>IFERROR(VLOOKUP(B7021,material!A:D,3,0),"")</f>
        <v/>
      </c>
    </row>
    <row r="7022" ht="11.25" customHeight="1">
      <c r="A7022" s="21"/>
      <c r="B7022" s="22"/>
      <c r="C7022" s="21"/>
      <c r="D7022" s="21"/>
      <c r="E7022" s="21"/>
      <c r="F7022" s="21"/>
      <c r="G7022" s="23"/>
      <c r="H7022" s="24" t="str">
        <f>IFERROR(VLOOKUP(B7022,material!A:D,3,0),"")</f>
        <v/>
      </c>
    </row>
    <row r="7023" ht="11.25" customHeight="1">
      <c r="A7023" s="21"/>
      <c r="B7023" s="22"/>
      <c r="C7023" s="21"/>
      <c r="D7023" s="21"/>
      <c r="E7023" s="21"/>
      <c r="F7023" s="21"/>
      <c r="G7023" s="23"/>
      <c r="H7023" s="24" t="str">
        <f>IFERROR(VLOOKUP(B7023,material!A:D,3,0),"")</f>
        <v/>
      </c>
    </row>
    <row r="7024" ht="11.25" customHeight="1">
      <c r="A7024" s="21"/>
      <c r="B7024" s="22"/>
      <c r="C7024" s="21"/>
      <c r="D7024" s="21"/>
      <c r="E7024" s="21"/>
      <c r="F7024" s="21"/>
      <c r="G7024" s="23"/>
      <c r="H7024" s="24" t="str">
        <f>IFERROR(VLOOKUP(B7024,material!A:D,3,0),"")</f>
        <v/>
      </c>
    </row>
    <row r="7025" ht="11.25" customHeight="1">
      <c r="A7025" s="21"/>
      <c r="B7025" s="22"/>
      <c r="C7025" s="21"/>
      <c r="D7025" s="21"/>
      <c r="E7025" s="21"/>
      <c r="F7025" s="21"/>
      <c r="G7025" s="23"/>
      <c r="H7025" s="24" t="str">
        <f>IFERROR(VLOOKUP(B7025,material!A:D,3,0),"")</f>
        <v/>
      </c>
    </row>
    <row r="7026" ht="11.25" customHeight="1">
      <c r="A7026" s="21"/>
      <c r="B7026" s="22"/>
      <c r="C7026" s="21"/>
      <c r="D7026" s="21"/>
      <c r="E7026" s="21"/>
      <c r="F7026" s="21"/>
      <c r="G7026" s="23"/>
      <c r="H7026" s="24" t="str">
        <f>IFERROR(VLOOKUP(B7026,material!A:D,3,0),"")</f>
        <v/>
      </c>
    </row>
    <row r="7027" ht="11.25" customHeight="1">
      <c r="A7027" s="21"/>
      <c r="B7027" s="22"/>
      <c r="C7027" s="21"/>
      <c r="D7027" s="21"/>
      <c r="E7027" s="21"/>
      <c r="F7027" s="21"/>
      <c r="G7027" s="23"/>
      <c r="H7027" s="24" t="str">
        <f>IFERROR(VLOOKUP(B7027,material!A:D,3,0),"")</f>
        <v/>
      </c>
    </row>
    <row r="7028" ht="11.25" customHeight="1">
      <c r="A7028" s="21"/>
      <c r="B7028" s="22"/>
      <c r="C7028" s="21"/>
      <c r="D7028" s="21"/>
      <c r="E7028" s="21"/>
      <c r="F7028" s="21"/>
      <c r="G7028" s="23"/>
      <c r="H7028" s="24" t="str">
        <f>IFERROR(VLOOKUP(B7028,material!A:D,3,0),"")</f>
        <v/>
      </c>
    </row>
    <row r="7029" ht="11.25" customHeight="1">
      <c r="A7029" s="21"/>
      <c r="B7029" s="22"/>
      <c r="C7029" s="21"/>
      <c r="D7029" s="21"/>
      <c r="E7029" s="21"/>
      <c r="F7029" s="21"/>
      <c r="G7029" s="23"/>
      <c r="H7029" s="24" t="str">
        <f>IFERROR(VLOOKUP(B7029,material!A:D,3,0),"")</f>
        <v/>
      </c>
    </row>
    <row r="7030" ht="11.25" customHeight="1">
      <c r="A7030" s="21"/>
      <c r="B7030" s="22"/>
      <c r="C7030" s="21"/>
      <c r="D7030" s="21"/>
      <c r="E7030" s="21"/>
      <c r="F7030" s="21"/>
      <c r="G7030" s="23"/>
      <c r="H7030" s="24" t="str">
        <f>IFERROR(VLOOKUP(B7030,material!A:D,3,0),"")</f>
        <v/>
      </c>
    </row>
    <row r="7031" ht="11.25" customHeight="1">
      <c r="A7031" s="21"/>
      <c r="B7031" s="22"/>
      <c r="C7031" s="21"/>
      <c r="D7031" s="21"/>
      <c r="E7031" s="21"/>
      <c r="F7031" s="21"/>
      <c r="G7031" s="23"/>
      <c r="H7031" s="24" t="str">
        <f>IFERROR(VLOOKUP(B7031,material!A:D,3,0),"")</f>
        <v/>
      </c>
    </row>
    <row r="7032" ht="11.25" customHeight="1">
      <c r="A7032" s="21"/>
      <c r="B7032" s="22"/>
      <c r="C7032" s="21"/>
      <c r="D7032" s="21"/>
      <c r="E7032" s="21"/>
      <c r="F7032" s="21"/>
      <c r="G7032" s="23"/>
      <c r="H7032" s="24" t="str">
        <f>IFERROR(VLOOKUP(B7032,material!A:D,3,0),"")</f>
        <v/>
      </c>
    </row>
    <row r="7033" ht="11.25" customHeight="1">
      <c r="A7033" s="21"/>
      <c r="B7033" s="22"/>
      <c r="C7033" s="21"/>
      <c r="D7033" s="21"/>
      <c r="E7033" s="21"/>
      <c r="F7033" s="21"/>
      <c r="G7033" s="23"/>
      <c r="H7033" s="24" t="str">
        <f>IFERROR(VLOOKUP(B7033,material!A:D,3,0),"")</f>
        <v/>
      </c>
    </row>
    <row r="7034" ht="11.25" customHeight="1">
      <c r="A7034" s="21"/>
      <c r="B7034" s="22"/>
      <c r="C7034" s="21"/>
      <c r="D7034" s="21"/>
      <c r="E7034" s="21"/>
      <c r="F7034" s="21"/>
      <c r="G7034" s="23"/>
      <c r="H7034" s="24" t="str">
        <f>IFERROR(VLOOKUP(B7034,material!A:D,3,0),"")</f>
        <v/>
      </c>
    </row>
    <row r="7035" ht="11.25" customHeight="1">
      <c r="A7035" s="21"/>
      <c r="B7035" s="22"/>
      <c r="C7035" s="21"/>
      <c r="D7035" s="21"/>
      <c r="E7035" s="21"/>
      <c r="F7035" s="21"/>
      <c r="G7035" s="23"/>
      <c r="H7035" s="24" t="str">
        <f>IFERROR(VLOOKUP(B7035,material!A:D,3,0),"")</f>
        <v/>
      </c>
    </row>
    <row r="7036" ht="11.25" customHeight="1">
      <c r="A7036" s="21"/>
      <c r="B7036" s="22"/>
      <c r="C7036" s="21"/>
      <c r="D7036" s="21"/>
      <c r="E7036" s="21"/>
      <c r="F7036" s="21"/>
      <c r="G7036" s="23"/>
      <c r="H7036" s="24" t="str">
        <f>IFERROR(VLOOKUP(B7036,material!A:D,3,0),"")</f>
        <v/>
      </c>
    </row>
    <row r="7037" ht="11.25" customHeight="1">
      <c r="A7037" s="21"/>
      <c r="B7037" s="22"/>
      <c r="C7037" s="21"/>
      <c r="D7037" s="21"/>
      <c r="E7037" s="21"/>
      <c r="F7037" s="21"/>
      <c r="G7037" s="23"/>
      <c r="H7037" s="24" t="str">
        <f>IFERROR(VLOOKUP(B7037,material!A:D,3,0),"")</f>
        <v/>
      </c>
    </row>
    <row r="7038" ht="11.25" customHeight="1">
      <c r="A7038" s="21"/>
      <c r="B7038" s="22"/>
      <c r="C7038" s="21"/>
      <c r="D7038" s="21"/>
      <c r="E7038" s="21"/>
      <c r="F7038" s="21"/>
      <c r="G7038" s="23"/>
      <c r="H7038" s="24" t="str">
        <f>IFERROR(VLOOKUP(B7038,material!A:D,3,0),"")</f>
        <v/>
      </c>
    </row>
    <row r="7039" ht="11.25" customHeight="1">
      <c r="A7039" s="21"/>
      <c r="B7039" s="22"/>
      <c r="C7039" s="21"/>
      <c r="D7039" s="21"/>
      <c r="E7039" s="21"/>
      <c r="F7039" s="21"/>
      <c r="G7039" s="23"/>
      <c r="H7039" s="24" t="str">
        <f>IFERROR(VLOOKUP(B7039,material!A:D,3,0),"")</f>
        <v/>
      </c>
    </row>
    <row r="7040" ht="11.25" customHeight="1">
      <c r="A7040" s="21"/>
      <c r="B7040" s="22"/>
      <c r="C7040" s="21"/>
      <c r="D7040" s="21"/>
      <c r="E7040" s="21"/>
      <c r="F7040" s="21"/>
      <c r="G7040" s="23"/>
      <c r="H7040" s="24" t="str">
        <f>IFERROR(VLOOKUP(B7040,material!A:D,3,0),"")</f>
        <v/>
      </c>
    </row>
    <row r="7041" ht="11.25" customHeight="1">
      <c r="A7041" s="21"/>
      <c r="B7041" s="22"/>
      <c r="C7041" s="21"/>
      <c r="D7041" s="21"/>
      <c r="E7041" s="21"/>
      <c r="F7041" s="21"/>
      <c r="G7041" s="23"/>
      <c r="H7041" s="24" t="str">
        <f>IFERROR(VLOOKUP(B7041,material!A:D,3,0),"")</f>
        <v/>
      </c>
    </row>
    <row r="7042" ht="11.25" customHeight="1">
      <c r="A7042" s="21"/>
      <c r="B7042" s="22"/>
      <c r="C7042" s="21"/>
      <c r="D7042" s="21"/>
      <c r="E7042" s="21"/>
      <c r="F7042" s="21"/>
      <c r="G7042" s="23"/>
      <c r="H7042" s="24" t="str">
        <f>IFERROR(VLOOKUP(B7042,material!A:D,3,0),"")</f>
        <v/>
      </c>
    </row>
    <row r="7043" ht="11.25" customHeight="1">
      <c r="A7043" s="21"/>
      <c r="B7043" s="22"/>
      <c r="C7043" s="21"/>
      <c r="D7043" s="21"/>
      <c r="E7043" s="21"/>
      <c r="F7043" s="21"/>
      <c r="G7043" s="23"/>
      <c r="H7043" s="24" t="str">
        <f>IFERROR(VLOOKUP(B7043,material!A:D,3,0),"")</f>
        <v/>
      </c>
    </row>
    <row r="7044" ht="11.25" customHeight="1">
      <c r="A7044" s="21"/>
      <c r="B7044" s="22"/>
      <c r="C7044" s="21"/>
      <c r="D7044" s="21"/>
      <c r="E7044" s="21"/>
      <c r="F7044" s="21"/>
      <c r="G7044" s="23"/>
      <c r="H7044" s="24" t="str">
        <f>IFERROR(VLOOKUP(B7044,material!A:D,3,0),"")</f>
        <v/>
      </c>
    </row>
    <row r="7045" ht="11.25" customHeight="1">
      <c r="A7045" s="21"/>
      <c r="B7045" s="22"/>
      <c r="C7045" s="21"/>
      <c r="D7045" s="21"/>
      <c r="E7045" s="21"/>
      <c r="F7045" s="21"/>
      <c r="G7045" s="23"/>
      <c r="H7045" s="24" t="str">
        <f>IFERROR(VLOOKUP(B7045,material!A:D,3,0),"")</f>
        <v/>
      </c>
    </row>
    <row r="7046" ht="11.25" customHeight="1">
      <c r="A7046" s="21"/>
      <c r="B7046" s="22"/>
      <c r="C7046" s="21"/>
      <c r="D7046" s="21"/>
      <c r="E7046" s="21"/>
      <c r="F7046" s="21"/>
      <c r="G7046" s="23"/>
      <c r="H7046" s="24" t="str">
        <f>IFERROR(VLOOKUP(B7046,material!A:D,3,0),"")</f>
        <v/>
      </c>
    </row>
    <row r="7047" ht="11.25" customHeight="1">
      <c r="A7047" s="21"/>
      <c r="B7047" s="22"/>
      <c r="C7047" s="21"/>
      <c r="D7047" s="21"/>
      <c r="E7047" s="21"/>
      <c r="F7047" s="21"/>
      <c r="G7047" s="23"/>
      <c r="H7047" s="24" t="str">
        <f>IFERROR(VLOOKUP(B7047,material!A:D,3,0),"")</f>
        <v/>
      </c>
    </row>
    <row r="7048" ht="11.25" customHeight="1">
      <c r="A7048" s="21"/>
      <c r="B7048" s="22"/>
      <c r="C7048" s="21"/>
      <c r="D7048" s="21"/>
      <c r="E7048" s="21"/>
      <c r="F7048" s="21"/>
      <c r="G7048" s="23"/>
      <c r="H7048" s="24" t="str">
        <f>IFERROR(VLOOKUP(B7048,material!A:D,3,0),"")</f>
        <v/>
      </c>
    </row>
    <row r="7049" ht="11.25" customHeight="1">
      <c r="A7049" s="21"/>
      <c r="B7049" s="22"/>
      <c r="C7049" s="21"/>
      <c r="D7049" s="21"/>
      <c r="E7049" s="21"/>
      <c r="F7049" s="21"/>
      <c r="G7049" s="23"/>
      <c r="H7049" s="24" t="str">
        <f>IFERROR(VLOOKUP(B7049,material!A:D,3,0),"")</f>
        <v/>
      </c>
    </row>
    <row r="7050" ht="11.25" customHeight="1">
      <c r="A7050" s="21"/>
      <c r="B7050" s="22"/>
      <c r="C7050" s="21"/>
      <c r="D7050" s="21"/>
      <c r="E7050" s="21"/>
      <c r="F7050" s="21"/>
      <c r="G7050" s="23"/>
      <c r="H7050" s="24" t="str">
        <f>IFERROR(VLOOKUP(B7050,material!A:D,3,0),"")</f>
        <v/>
      </c>
    </row>
    <row r="7051" ht="11.25" customHeight="1">
      <c r="A7051" s="21"/>
      <c r="B7051" s="22"/>
      <c r="C7051" s="21"/>
      <c r="D7051" s="21"/>
      <c r="E7051" s="21"/>
      <c r="F7051" s="21"/>
      <c r="G7051" s="23"/>
      <c r="H7051" s="24" t="str">
        <f>IFERROR(VLOOKUP(B7051,material!A:D,3,0),"")</f>
        <v/>
      </c>
    </row>
    <row r="7052" ht="11.25" customHeight="1">
      <c r="A7052" s="21"/>
      <c r="B7052" s="22"/>
      <c r="C7052" s="21"/>
      <c r="D7052" s="21"/>
      <c r="E7052" s="21"/>
      <c r="F7052" s="21"/>
      <c r="G7052" s="23"/>
      <c r="H7052" s="24" t="str">
        <f>IFERROR(VLOOKUP(B7052,material!A:D,3,0),"")</f>
        <v/>
      </c>
    </row>
    <row r="7053" ht="11.25" customHeight="1">
      <c r="A7053" s="21"/>
      <c r="B7053" s="22"/>
      <c r="C7053" s="21"/>
      <c r="D7053" s="21"/>
      <c r="E7053" s="21"/>
      <c r="F7053" s="21"/>
      <c r="G7053" s="23"/>
      <c r="H7053" s="24" t="str">
        <f>IFERROR(VLOOKUP(B7053,material!A:D,3,0),"")</f>
        <v/>
      </c>
    </row>
    <row r="7054" ht="11.25" customHeight="1">
      <c r="A7054" s="21"/>
      <c r="B7054" s="22"/>
      <c r="C7054" s="21"/>
      <c r="D7054" s="21"/>
      <c r="E7054" s="21"/>
      <c r="F7054" s="21"/>
      <c r="G7054" s="23"/>
      <c r="H7054" s="24" t="str">
        <f>IFERROR(VLOOKUP(B7054,material!A:D,3,0),"")</f>
        <v/>
      </c>
    </row>
    <row r="7055" ht="11.25" customHeight="1">
      <c r="A7055" s="21"/>
      <c r="B7055" s="22"/>
      <c r="C7055" s="21"/>
      <c r="D7055" s="21"/>
      <c r="E7055" s="21"/>
      <c r="F7055" s="21"/>
      <c r="G7055" s="23"/>
      <c r="H7055" s="24" t="str">
        <f>IFERROR(VLOOKUP(B7055,material!A:D,3,0),"")</f>
        <v/>
      </c>
    </row>
    <row r="7056" ht="11.25" customHeight="1">
      <c r="A7056" s="21"/>
      <c r="B7056" s="22"/>
      <c r="C7056" s="21"/>
      <c r="D7056" s="21"/>
      <c r="E7056" s="21"/>
      <c r="F7056" s="21"/>
      <c r="G7056" s="23"/>
      <c r="H7056" s="24" t="str">
        <f>IFERROR(VLOOKUP(B7056,material!A:D,3,0),"")</f>
        <v/>
      </c>
    </row>
    <row r="7057" ht="11.25" customHeight="1">
      <c r="A7057" s="21"/>
      <c r="B7057" s="22"/>
      <c r="C7057" s="21"/>
      <c r="D7057" s="21"/>
      <c r="E7057" s="21"/>
      <c r="F7057" s="21"/>
      <c r="G7057" s="23"/>
      <c r="H7057" s="24" t="str">
        <f>IFERROR(VLOOKUP(B7057,material!A:D,3,0),"")</f>
        <v/>
      </c>
    </row>
    <row r="7058" ht="11.25" customHeight="1">
      <c r="A7058" s="21"/>
      <c r="B7058" s="22"/>
      <c r="C7058" s="21"/>
      <c r="D7058" s="21"/>
      <c r="E7058" s="21"/>
      <c r="F7058" s="21"/>
      <c r="G7058" s="23"/>
      <c r="H7058" s="24" t="str">
        <f>IFERROR(VLOOKUP(B7058,material!A:D,3,0),"")</f>
        <v/>
      </c>
    </row>
    <row r="7059" ht="11.25" customHeight="1">
      <c r="A7059" s="21"/>
      <c r="B7059" s="22"/>
      <c r="C7059" s="21"/>
      <c r="D7059" s="21"/>
      <c r="E7059" s="21"/>
      <c r="F7059" s="21"/>
      <c r="G7059" s="23"/>
      <c r="H7059" s="24" t="str">
        <f>IFERROR(VLOOKUP(B7059,material!A:D,3,0),"")</f>
        <v/>
      </c>
    </row>
    <row r="7060" ht="11.25" customHeight="1">
      <c r="A7060" s="21"/>
      <c r="B7060" s="22"/>
      <c r="C7060" s="21"/>
      <c r="D7060" s="21"/>
      <c r="E7060" s="21"/>
      <c r="F7060" s="21"/>
      <c r="G7060" s="23"/>
      <c r="H7060" s="24" t="str">
        <f>IFERROR(VLOOKUP(B7060,material!A:D,3,0),"")</f>
        <v/>
      </c>
    </row>
    <row r="7061" ht="11.25" customHeight="1">
      <c r="A7061" s="21"/>
      <c r="B7061" s="22"/>
      <c r="C7061" s="21"/>
      <c r="D7061" s="21"/>
      <c r="E7061" s="21"/>
      <c r="F7061" s="21"/>
      <c r="G7061" s="23"/>
      <c r="H7061" s="24" t="str">
        <f>IFERROR(VLOOKUP(B7061,material!A:D,3,0),"")</f>
        <v/>
      </c>
    </row>
    <row r="7062" ht="11.25" customHeight="1">
      <c r="A7062" s="21"/>
      <c r="B7062" s="22"/>
      <c r="C7062" s="21"/>
      <c r="D7062" s="21"/>
      <c r="E7062" s="21"/>
      <c r="F7062" s="21"/>
      <c r="G7062" s="23"/>
      <c r="H7062" s="24" t="str">
        <f>IFERROR(VLOOKUP(B7062,material!A:D,3,0),"")</f>
        <v/>
      </c>
    </row>
    <row r="7063" ht="11.25" customHeight="1">
      <c r="A7063" s="21"/>
      <c r="B7063" s="22"/>
      <c r="C7063" s="21"/>
      <c r="D7063" s="21"/>
      <c r="E7063" s="21"/>
      <c r="F7063" s="21"/>
      <c r="G7063" s="23"/>
      <c r="H7063" s="24" t="str">
        <f>IFERROR(VLOOKUP(B7063,material!A:D,3,0),"")</f>
        <v/>
      </c>
    </row>
    <row r="7064" ht="11.25" customHeight="1">
      <c r="A7064" s="21"/>
      <c r="B7064" s="22"/>
      <c r="C7064" s="21"/>
      <c r="D7064" s="21"/>
      <c r="E7064" s="21"/>
      <c r="F7064" s="21"/>
      <c r="G7064" s="23"/>
      <c r="H7064" s="24" t="str">
        <f>IFERROR(VLOOKUP(B7064,material!A:D,3,0),"")</f>
        <v/>
      </c>
    </row>
    <row r="7065" ht="11.25" customHeight="1">
      <c r="A7065" s="21"/>
      <c r="B7065" s="22"/>
      <c r="C7065" s="21"/>
      <c r="D7065" s="21"/>
      <c r="E7065" s="21"/>
      <c r="F7065" s="21"/>
      <c r="G7065" s="23"/>
      <c r="H7065" s="24" t="str">
        <f>IFERROR(VLOOKUP(B7065,material!A:D,3,0),"")</f>
        <v/>
      </c>
    </row>
    <row r="7066" ht="11.25" customHeight="1">
      <c r="A7066" s="21"/>
      <c r="B7066" s="22"/>
      <c r="C7066" s="21"/>
      <c r="D7066" s="21"/>
      <c r="E7066" s="21"/>
      <c r="F7066" s="21"/>
      <c r="G7066" s="23"/>
      <c r="H7066" s="24" t="str">
        <f>IFERROR(VLOOKUP(B7066,material!A:D,3,0),"")</f>
        <v/>
      </c>
    </row>
    <row r="7067" ht="11.25" customHeight="1">
      <c r="A7067" s="21"/>
      <c r="B7067" s="22"/>
      <c r="C7067" s="21"/>
      <c r="D7067" s="21"/>
      <c r="E7067" s="21"/>
      <c r="F7067" s="21"/>
      <c r="G7067" s="23"/>
      <c r="H7067" s="24" t="str">
        <f>IFERROR(VLOOKUP(B7067,material!A:D,3,0),"")</f>
        <v/>
      </c>
    </row>
    <row r="7068" ht="11.25" customHeight="1">
      <c r="A7068" s="21"/>
      <c r="B7068" s="22"/>
      <c r="C7068" s="21"/>
      <c r="D7068" s="21"/>
      <c r="E7068" s="21"/>
      <c r="F7068" s="21"/>
      <c r="G7068" s="23"/>
      <c r="H7068" s="24" t="str">
        <f>IFERROR(VLOOKUP(B7068,material!A:D,3,0),"")</f>
        <v/>
      </c>
    </row>
    <row r="7069" ht="11.25" customHeight="1">
      <c r="A7069" s="21"/>
      <c r="B7069" s="22"/>
      <c r="C7069" s="21"/>
      <c r="D7069" s="21"/>
      <c r="E7069" s="21"/>
      <c r="F7069" s="21"/>
      <c r="G7069" s="23"/>
      <c r="H7069" s="24" t="str">
        <f>IFERROR(VLOOKUP(B7069,material!A:D,3,0),"")</f>
        <v/>
      </c>
    </row>
    <row r="7070" ht="11.25" customHeight="1">
      <c r="A7070" s="21"/>
      <c r="B7070" s="22"/>
      <c r="C7070" s="21"/>
      <c r="D7070" s="21"/>
      <c r="E7070" s="21"/>
      <c r="F7070" s="21"/>
      <c r="G7070" s="23"/>
      <c r="H7070" s="24" t="str">
        <f>IFERROR(VLOOKUP(B7070,material!A:D,3,0),"")</f>
        <v/>
      </c>
    </row>
    <row r="7071" ht="11.25" customHeight="1">
      <c r="A7071" s="21"/>
      <c r="B7071" s="22"/>
      <c r="C7071" s="21"/>
      <c r="D7071" s="21"/>
      <c r="E7071" s="21"/>
      <c r="F7071" s="21"/>
      <c r="G7071" s="23"/>
      <c r="H7071" s="24" t="str">
        <f>IFERROR(VLOOKUP(B7071,material!A:D,3,0),"")</f>
        <v/>
      </c>
    </row>
    <row r="7072" ht="11.25" customHeight="1">
      <c r="A7072" s="21"/>
      <c r="B7072" s="22"/>
      <c r="C7072" s="21"/>
      <c r="D7072" s="21"/>
      <c r="E7072" s="21"/>
      <c r="F7072" s="21"/>
      <c r="G7072" s="23"/>
      <c r="H7072" s="24" t="str">
        <f>IFERROR(VLOOKUP(B7072,material!A:D,3,0),"")</f>
        <v/>
      </c>
    </row>
    <row r="7073" ht="11.25" customHeight="1">
      <c r="A7073" s="21"/>
      <c r="B7073" s="22"/>
      <c r="C7073" s="21"/>
      <c r="D7073" s="21"/>
      <c r="E7073" s="21"/>
      <c r="F7073" s="21"/>
      <c r="G7073" s="23"/>
      <c r="H7073" s="24" t="str">
        <f>IFERROR(VLOOKUP(B7073,material!A:D,3,0),"")</f>
        <v/>
      </c>
    </row>
    <row r="7074" ht="11.25" customHeight="1">
      <c r="A7074" s="21"/>
      <c r="B7074" s="22"/>
      <c r="C7074" s="21"/>
      <c r="D7074" s="21"/>
      <c r="E7074" s="21"/>
      <c r="F7074" s="21"/>
      <c r="G7074" s="23"/>
      <c r="H7074" s="24" t="str">
        <f>IFERROR(VLOOKUP(B7074,material!A:D,3,0),"")</f>
        <v/>
      </c>
    </row>
    <row r="7075" ht="11.25" customHeight="1">
      <c r="A7075" s="21"/>
      <c r="B7075" s="22"/>
      <c r="C7075" s="21"/>
      <c r="D7075" s="21"/>
      <c r="E7075" s="21"/>
      <c r="F7075" s="21"/>
      <c r="G7075" s="23"/>
      <c r="H7075" s="24" t="str">
        <f>IFERROR(VLOOKUP(B7075,material!A:D,3,0),"")</f>
        <v/>
      </c>
    </row>
    <row r="7076" ht="11.25" customHeight="1">
      <c r="A7076" s="21"/>
      <c r="B7076" s="22"/>
      <c r="C7076" s="21"/>
      <c r="D7076" s="21"/>
      <c r="E7076" s="21"/>
      <c r="F7076" s="21"/>
      <c r="G7076" s="23"/>
      <c r="H7076" s="24" t="str">
        <f>IFERROR(VLOOKUP(B7076,material!A:D,3,0),"")</f>
        <v/>
      </c>
    </row>
    <row r="7077" ht="11.25" customHeight="1">
      <c r="A7077" s="21"/>
      <c r="B7077" s="22"/>
      <c r="C7077" s="21"/>
      <c r="D7077" s="21"/>
      <c r="E7077" s="21"/>
      <c r="F7077" s="21"/>
      <c r="G7077" s="23"/>
      <c r="H7077" s="24" t="str">
        <f>IFERROR(VLOOKUP(B7077,material!A:D,3,0),"")</f>
        <v/>
      </c>
    </row>
    <row r="7078" ht="11.25" customHeight="1">
      <c r="A7078" s="21"/>
      <c r="B7078" s="22"/>
      <c r="C7078" s="21"/>
      <c r="D7078" s="21"/>
      <c r="E7078" s="21"/>
      <c r="F7078" s="21"/>
      <c r="G7078" s="23"/>
      <c r="H7078" s="24" t="str">
        <f>IFERROR(VLOOKUP(B7078,material!A:D,3,0),"")</f>
        <v/>
      </c>
    </row>
    <row r="7079" ht="11.25" customHeight="1">
      <c r="A7079" s="21"/>
      <c r="B7079" s="22"/>
      <c r="C7079" s="21"/>
      <c r="D7079" s="21"/>
      <c r="E7079" s="21"/>
      <c r="F7079" s="21"/>
      <c r="G7079" s="23"/>
      <c r="H7079" s="24" t="str">
        <f>IFERROR(VLOOKUP(B7079,material!A:D,3,0),"")</f>
        <v/>
      </c>
    </row>
    <row r="7080" ht="11.25" customHeight="1">
      <c r="A7080" s="21"/>
      <c r="B7080" s="22"/>
      <c r="C7080" s="21"/>
      <c r="D7080" s="21"/>
      <c r="E7080" s="21"/>
      <c r="F7080" s="21"/>
      <c r="G7080" s="23"/>
      <c r="H7080" s="24" t="str">
        <f>IFERROR(VLOOKUP(B7080,material!A:D,3,0),"")</f>
        <v/>
      </c>
    </row>
    <row r="7081" ht="11.25" customHeight="1">
      <c r="A7081" s="21"/>
      <c r="B7081" s="22"/>
      <c r="C7081" s="21"/>
      <c r="D7081" s="21"/>
      <c r="E7081" s="21"/>
      <c r="F7081" s="21"/>
      <c r="G7081" s="23"/>
      <c r="H7081" s="24" t="str">
        <f>IFERROR(VLOOKUP(B7081,material!A:D,3,0),"")</f>
        <v/>
      </c>
    </row>
    <row r="7082" ht="11.25" customHeight="1">
      <c r="A7082" s="21"/>
      <c r="B7082" s="22"/>
      <c r="C7082" s="21"/>
      <c r="D7082" s="21"/>
      <c r="E7082" s="21"/>
      <c r="F7082" s="21"/>
      <c r="G7082" s="23"/>
      <c r="H7082" s="24" t="str">
        <f>IFERROR(VLOOKUP(B7082,material!A:D,3,0),"")</f>
        <v/>
      </c>
    </row>
    <row r="7083" ht="11.25" customHeight="1">
      <c r="A7083" s="21"/>
      <c r="B7083" s="22"/>
      <c r="C7083" s="21"/>
      <c r="D7083" s="21"/>
      <c r="E7083" s="21"/>
      <c r="F7083" s="21"/>
      <c r="G7083" s="23"/>
      <c r="H7083" s="24" t="str">
        <f>IFERROR(VLOOKUP(B7083,material!A:D,3,0),"")</f>
        <v/>
      </c>
    </row>
    <row r="7084" ht="11.25" customHeight="1">
      <c r="A7084" s="21"/>
      <c r="B7084" s="22"/>
      <c r="C7084" s="21"/>
      <c r="D7084" s="21"/>
      <c r="E7084" s="21"/>
      <c r="F7084" s="21"/>
      <c r="G7084" s="23"/>
      <c r="H7084" s="24" t="str">
        <f>IFERROR(VLOOKUP(B7084,material!A:D,3,0),"")</f>
        <v/>
      </c>
    </row>
    <row r="7085" ht="11.25" customHeight="1">
      <c r="A7085" s="21"/>
      <c r="B7085" s="22"/>
      <c r="C7085" s="21"/>
      <c r="D7085" s="21"/>
      <c r="E7085" s="21"/>
      <c r="F7085" s="21"/>
      <c r="G7085" s="23"/>
      <c r="H7085" s="24" t="str">
        <f>IFERROR(VLOOKUP(B7085,material!A:D,3,0),"")</f>
        <v/>
      </c>
    </row>
    <row r="7086" ht="11.25" customHeight="1">
      <c r="A7086" s="21"/>
      <c r="B7086" s="22"/>
      <c r="C7086" s="21"/>
      <c r="D7086" s="21"/>
      <c r="E7086" s="21"/>
      <c r="F7086" s="21"/>
      <c r="G7086" s="23"/>
      <c r="H7086" s="24" t="str">
        <f>IFERROR(VLOOKUP(B7086,material!A:D,3,0),"")</f>
        <v/>
      </c>
    </row>
    <row r="7087" ht="11.25" customHeight="1">
      <c r="A7087" s="21"/>
      <c r="B7087" s="22"/>
      <c r="C7087" s="21"/>
      <c r="D7087" s="21"/>
      <c r="E7087" s="21"/>
      <c r="F7087" s="21"/>
      <c r="G7087" s="23"/>
      <c r="H7087" s="24" t="str">
        <f>IFERROR(VLOOKUP(B7087,material!A:D,3,0),"")</f>
        <v/>
      </c>
    </row>
    <row r="7088" ht="11.25" customHeight="1">
      <c r="A7088" s="21"/>
      <c r="B7088" s="22"/>
      <c r="C7088" s="21"/>
      <c r="D7088" s="21"/>
      <c r="E7088" s="21"/>
      <c r="F7088" s="21"/>
      <c r="G7088" s="23"/>
      <c r="H7088" s="24" t="str">
        <f>IFERROR(VLOOKUP(B7088,material!A:D,3,0),"")</f>
        <v/>
      </c>
    </row>
    <row r="7089" ht="11.25" customHeight="1">
      <c r="A7089" s="21"/>
      <c r="B7089" s="22"/>
      <c r="C7089" s="21"/>
      <c r="D7089" s="21"/>
      <c r="E7089" s="21"/>
      <c r="F7089" s="21"/>
      <c r="G7089" s="23"/>
      <c r="H7089" s="24" t="str">
        <f>IFERROR(VLOOKUP(B7089,material!A:D,3,0),"")</f>
        <v/>
      </c>
    </row>
    <row r="7090" ht="11.25" customHeight="1">
      <c r="A7090" s="21"/>
      <c r="B7090" s="22"/>
      <c r="C7090" s="21"/>
      <c r="D7090" s="21"/>
      <c r="E7090" s="21"/>
      <c r="F7090" s="21"/>
      <c r="G7090" s="23"/>
      <c r="H7090" s="24" t="str">
        <f>IFERROR(VLOOKUP(B7090,material!A:D,3,0),"")</f>
        <v/>
      </c>
    </row>
    <row r="7091" ht="11.25" customHeight="1">
      <c r="A7091" s="21"/>
      <c r="B7091" s="22"/>
      <c r="C7091" s="21"/>
      <c r="D7091" s="21"/>
      <c r="E7091" s="21"/>
      <c r="F7091" s="21"/>
      <c r="G7091" s="23"/>
      <c r="H7091" s="24" t="str">
        <f>IFERROR(VLOOKUP(B7091,material!A:D,3,0),"")</f>
        <v/>
      </c>
    </row>
    <row r="7092" ht="11.25" customHeight="1">
      <c r="A7092" s="21"/>
      <c r="B7092" s="22"/>
      <c r="C7092" s="21"/>
      <c r="D7092" s="21"/>
      <c r="E7092" s="21"/>
      <c r="F7092" s="21"/>
      <c r="G7092" s="23"/>
      <c r="H7092" s="24" t="str">
        <f>IFERROR(VLOOKUP(B7092,material!A:D,3,0),"")</f>
        <v/>
      </c>
    </row>
    <row r="7093" ht="11.25" customHeight="1">
      <c r="A7093" s="21"/>
      <c r="B7093" s="22"/>
      <c r="C7093" s="21"/>
      <c r="D7093" s="21"/>
      <c r="E7093" s="21"/>
      <c r="F7093" s="21"/>
      <c r="G7093" s="23"/>
      <c r="H7093" s="24" t="str">
        <f>IFERROR(VLOOKUP(B7093,material!A:D,3,0),"")</f>
        <v/>
      </c>
    </row>
    <row r="7094" ht="11.25" customHeight="1">
      <c r="A7094" s="21"/>
      <c r="B7094" s="22"/>
      <c r="C7094" s="21"/>
      <c r="D7094" s="21"/>
      <c r="E7094" s="21"/>
      <c r="F7094" s="21"/>
      <c r="G7094" s="23"/>
      <c r="H7094" s="24" t="str">
        <f>IFERROR(VLOOKUP(B7094,material!A:D,3,0),"")</f>
        <v/>
      </c>
    </row>
    <row r="7095" ht="11.25" customHeight="1">
      <c r="A7095" s="21"/>
      <c r="B7095" s="22"/>
      <c r="C7095" s="21"/>
      <c r="D7095" s="21"/>
      <c r="E7095" s="21"/>
      <c r="F7095" s="21"/>
      <c r="G7095" s="23"/>
      <c r="H7095" s="24" t="str">
        <f>IFERROR(VLOOKUP(B7095,material!A:D,3,0),"")</f>
        <v/>
      </c>
    </row>
    <row r="7096" ht="11.25" customHeight="1">
      <c r="A7096" s="21"/>
      <c r="B7096" s="22"/>
      <c r="C7096" s="21"/>
      <c r="D7096" s="21"/>
      <c r="E7096" s="21"/>
      <c r="F7096" s="21"/>
      <c r="G7096" s="23"/>
      <c r="H7096" s="24" t="str">
        <f>IFERROR(VLOOKUP(B7096,material!A:D,3,0),"")</f>
        <v/>
      </c>
    </row>
    <row r="7097" ht="11.25" customHeight="1">
      <c r="A7097" s="21"/>
      <c r="B7097" s="22"/>
      <c r="C7097" s="21"/>
      <c r="D7097" s="21"/>
      <c r="E7097" s="21"/>
      <c r="F7097" s="21"/>
      <c r="G7097" s="23"/>
      <c r="H7097" s="24" t="str">
        <f>IFERROR(VLOOKUP(B7097,material!A:D,3,0),"")</f>
        <v/>
      </c>
    </row>
    <row r="7098" ht="11.25" customHeight="1">
      <c r="A7098" s="21"/>
      <c r="B7098" s="22"/>
      <c r="C7098" s="21"/>
      <c r="D7098" s="21"/>
      <c r="E7098" s="21"/>
      <c r="F7098" s="21"/>
      <c r="G7098" s="23"/>
      <c r="H7098" s="24" t="str">
        <f>IFERROR(VLOOKUP(B7098,material!A:D,3,0),"")</f>
        <v/>
      </c>
    </row>
    <row r="7099" ht="11.25" customHeight="1">
      <c r="A7099" s="21"/>
      <c r="B7099" s="22"/>
      <c r="C7099" s="21"/>
      <c r="D7099" s="21"/>
      <c r="E7099" s="21"/>
      <c r="F7099" s="21"/>
      <c r="G7099" s="23"/>
      <c r="H7099" s="24" t="str">
        <f>IFERROR(VLOOKUP(B7099,material!A:D,3,0),"")</f>
        <v/>
      </c>
    </row>
    <row r="7100" ht="11.25" customHeight="1">
      <c r="A7100" s="21"/>
      <c r="B7100" s="22"/>
      <c r="C7100" s="21"/>
      <c r="D7100" s="21"/>
      <c r="E7100" s="21"/>
      <c r="F7100" s="21"/>
      <c r="G7100" s="23"/>
      <c r="H7100" s="24" t="str">
        <f>IFERROR(VLOOKUP(B7100,material!A:D,3,0),"")</f>
        <v/>
      </c>
    </row>
    <row r="7101" ht="11.25" customHeight="1">
      <c r="A7101" s="21"/>
      <c r="B7101" s="22"/>
      <c r="C7101" s="21"/>
      <c r="D7101" s="21"/>
      <c r="E7101" s="21"/>
      <c r="F7101" s="21"/>
      <c r="G7101" s="23"/>
      <c r="H7101" s="24" t="str">
        <f>IFERROR(VLOOKUP(B7101,material!A:D,3,0),"")</f>
        <v/>
      </c>
    </row>
    <row r="7102" ht="11.25" customHeight="1">
      <c r="A7102" s="21"/>
      <c r="B7102" s="22"/>
      <c r="C7102" s="21"/>
      <c r="D7102" s="21"/>
      <c r="E7102" s="21"/>
      <c r="F7102" s="21"/>
      <c r="G7102" s="23"/>
      <c r="H7102" s="24" t="str">
        <f>IFERROR(VLOOKUP(B7102,material!A:D,3,0),"")</f>
        <v/>
      </c>
    </row>
    <row r="7103" ht="11.25" customHeight="1">
      <c r="A7103" s="21"/>
      <c r="B7103" s="22"/>
      <c r="C7103" s="21"/>
      <c r="D7103" s="21"/>
      <c r="E7103" s="21"/>
      <c r="F7103" s="21"/>
      <c r="G7103" s="23"/>
      <c r="H7103" s="24" t="str">
        <f>IFERROR(VLOOKUP(B7103,material!A:D,3,0),"")</f>
        <v/>
      </c>
    </row>
    <row r="7104" ht="11.25" customHeight="1">
      <c r="A7104" s="21"/>
      <c r="B7104" s="22"/>
      <c r="C7104" s="21"/>
      <c r="D7104" s="21"/>
      <c r="E7104" s="21"/>
      <c r="F7104" s="21"/>
      <c r="G7104" s="23"/>
      <c r="H7104" s="24" t="str">
        <f>IFERROR(VLOOKUP(B7104,material!A:D,3,0),"")</f>
        <v/>
      </c>
    </row>
    <row r="7105" ht="11.25" customHeight="1">
      <c r="A7105" s="21"/>
      <c r="B7105" s="22"/>
      <c r="C7105" s="21"/>
      <c r="D7105" s="21"/>
      <c r="E7105" s="21"/>
      <c r="F7105" s="21"/>
      <c r="G7105" s="23"/>
      <c r="H7105" s="24" t="str">
        <f>IFERROR(VLOOKUP(B7105,material!A:D,3,0),"")</f>
        <v/>
      </c>
    </row>
    <row r="7106" ht="11.25" customHeight="1">
      <c r="A7106" s="21"/>
      <c r="B7106" s="22"/>
      <c r="C7106" s="21"/>
      <c r="D7106" s="21"/>
      <c r="E7106" s="21"/>
      <c r="F7106" s="21"/>
      <c r="G7106" s="23"/>
      <c r="H7106" s="24" t="str">
        <f>IFERROR(VLOOKUP(B7106,material!A:D,3,0),"")</f>
        <v/>
      </c>
    </row>
    <row r="7107" ht="11.25" customHeight="1">
      <c r="A7107" s="21"/>
      <c r="B7107" s="22"/>
      <c r="C7107" s="21"/>
      <c r="D7107" s="21"/>
      <c r="E7107" s="21"/>
      <c r="F7107" s="21"/>
      <c r="G7107" s="23"/>
      <c r="H7107" s="24" t="str">
        <f>IFERROR(VLOOKUP(B7107,material!A:D,3,0),"")</f>
        <v/>
      </c>
    </row>
    <row r="7108" ht="11.25" customHeight="1">
      <c r="A7108" s="21"/>
      <c r="B7108" s="22"/>
      <c r="C7108" s="21"/>
      <c r="D7108" s="21"/>
      <c r="E7108" s="21"/>
      <c r="F7108" s="21"/>
      <c r="G7108" s="23"/>
      <c r="H7108" s="24" t="str">
        <f>IFERROR(VLOOKUP(B7108,material!A:D,3,0),"")</f>
        <v/>
      </c>
    </row>
    <row r="7109" ht="11.25" customHeight="1">
      <c r="A7109" s="21"/>
      <c r="B7109" s="22"/>
      <c r="C7109" s="21"/>
      <c r="D7109" s="21"/>
      <c r="E7109" s="21"/>
      <c r="F7109" s="21"/>
      <c r="G7109" s="23"/>
      <c r="H7109" s="24" t="str">
        <f>IFERROR(VLOOKUP(B7109,material!A:D,3,0),"")</f>
        <v/>
      </c>
    </row>
    <row r="7110" ht="11.25" customHeight="1">
      <c r="A7110" s="21"/>
      <c r="B7110" s="22"/>
      <c r="C7110" s="21"/>
      <c r="D7110" s="21"/>
      <c r="E7110" s="21"/>
      <c r="F7110" s="21"/>
      <c r="G7110" s="23"/>
      <c r="H7110" s="24" t="str">
        <f>IFERROR(VLOOKUP(B7110,material!A:D,3,0),"")</f>
        <v/>
      </c>
    </row>
    <row r="7111" ht="11.25" customHeight="1">
      <c r="A7111" s="21"/>
      <c r="B7111" s="22"/>
      <c r="C7111" s="21"/>
      <c r="D7111" s="21"/>
      <c r="E7111" s="21"/>
      <c r="F7111" s="21"/>
      <c r="G7111" s="23"/>
      <c r="H7111" s="24" t="str">
        <f>IFERROR(VLOOKUP(B7111,material!A:D,3,0),"")</f>
        <v/>
      </c>
    </row>
    <row r="7112" ht="11.25" customHeight="1">
      <c r="A7112" s="21"/>
      <c r="B7112" s="22"/>
      <c r="C7112" s="21"/>
      <c r="D7112" s="21"/>
      <c r="E7112" s="21"/>
      <c r="F7112" s="21"/>
      <c r="G7112" s="23"/>
      <c r="H7112" s="24" t="str">
        <f>IFERROR(VLOOKUP(B7112,material!A:D,3,0),"")</f>
        <v/>
      </c>
    </row>
    <row r="7113" ht="11.25" customHeight="1">
      <c r="A7113" s="21"/>
      <c r="B7113" s="22"/>
      <c r="C7113" s="21"/>
      <c r="D7113" s="21"/>
      <c r="E7113" s="21"/>
      <c r="F7113" s="21"/>
      <c r="G7113" s="23"/>
      <c r="H7113" s="24" t="str">
        <f>IFERROR(VLOOKUP(B7113,material!A:D,3,0),"")</f>
        <v/>
      </c>
    </row>
    <row r="7114" ht="11.25" customHeight="1">
      <c r="A7114" s="21"/>
      <c r="B7114" s="22"/>
      <c r="C7114" s="21"/>
      <c r="D7114" s="21"/>
      <c r="E7114" s="21"/>
      <c r="F7114" s="21"/>
      <c r="G7114" s="23"/>
      <c r="H7114" s="24" t="str">
        <f>IFERROR(VLOOKUP(B7114,material!A:D,3,0),"")</f>
        <v/>
      </c>
    </row>
    <row r="7115" ht="11.25" customHeight="1">
      <c r="A7115" s="21"/>
      <c r="B7115" s="22"/>
      <c r="C7115" s="21"/>
      <c r="D7115" s="21"/>
      <c r="E7115" s="21"/>
      <c r="F7115" s="21"/>
      <c r="G7115" s="23"/>
      <c r="H7115" s="24" t="str">
        <f>IFERROR(VLOOKUP(B7115,material!A:D,3,0),"")</f>
        <v/>
      </c>
    </row>
    <row r="7116" ht="11.25" customHeight="1">
      <c r="A7116" s="21"/>
      <c r="B7116" s="22"/>
      <c r="C7116" s="21"/>
      <c r="D7116" s="21"/>
      <c r="E7116" s="21"/>
      <c r="F7116" s="21"/>
      <c r="G7116" s="23"/>
      <c r="H7116" s="24" t="str">
        <f>IFERROR(VLOOKUP(B7116,material!A:D,3,0),"")</f>
        <v/>
      </c>
    </row>
    <row r="7117" ht="11.25" customHeight="1">
      <c r="A7117" s="21"/>
      <c r="B7117" s="22"/>
      <c r="C7117" s="21"/>
      <c r="D7117" s="21"/>
      <c r="E7117" s="21"/>
      <c r="F7117" s="21"/>
      <c r="G7117" s="23"/>
      <c r="H7117" s="24" t="str">
        <f>IFERROR(VLOOKUP(B7117,material!A:D,3,0),"")</f>
        <v/>
      </c>
    </row>
    <row r="7118" ht="11.25" customHeight="1">
      <c r="A7118" s="21"/>
      <c r="B7118" s="22"/>
      <c r="C7118" s="21"/>
      <c r="D7118" s="21"/>
      <c r="E7118" s="21"/>
      <c r="F7118" s="21"/>
      <c r="G7118" s="23"/>
      <c r="H7118" s="24" t="str">
        <f>IFERROR(VLOOKUP(B7118,material!A:D,3,0),"")</f>
        <v/>
      </c>
    </row>
    <row r="7119" ht="11.25" customHeight="1">
      <c r="A7119" s="21"/>
      <c r="B7119" s="22"/>
      <c r="C7119" s="21"/>
      <c r="D7119" s="21"/>
      <c r="E7119" s="21"/>
      <c r="F7119" s="21"/>
      <c r="G7119" s="23"/>
      <c r="H7119" s="24" t="str">
        <f>IFERROR(VLOOKUP(B7119,material!A:D,3,0),"")</f>
        <v/>
      </c>
    </row>
    <row r="7120" ht="11.25" customHeight="1">
      <c r="A7120" s="21"/>
      <c r="B7120" s="22"/>
      <c r="C7120" s="21"/>
      <c r="D7120" s="21"/>
      <c r="E7120" s="21"/>
      <c r="F7120" s="21"/>
      <c r="G7120" s="23"/>
      <c r="H7120" s="24" t="str">
        <f>IFERROR(VLOOKUP(B7120,material!A:D,3,0),"")</f>
        <v/>
      </c>
    </row>
    <row r="7121" ht="11.25" customHeight="1">
      <c r="A7121" s="21"/>
      <c r="B7121" s="22"/>
      <c r="C7121" s="21"/>
      <c r="D7121" s="21"/>
      <c r="E7121" s="21"/>
      <c r="F7121" s="21"/>
      <c r="G7121" s="23"/>
      <c r="H7121" s="24" t="str">
        <f>IFERROR(VLOOKUP(B7121,material!A:D,3,0),"")</f>
        <v/>
      </c>
    </row>
    <row r="7122" ht="11.25" customHeight="1">
      <c r="A7122" s="21"/>
      <c r="B7122" s="22"/>
      <c r="C7122" s="21"/>
      <c r="D7122" s="21"/>
      <c r="E7122" s="21"/>
      <c r="F7122" s="21"/>
      <c r="G7122" s="23"/>
      <c r="H7122" s="24" t="str">
        <f>IFERROR(VLOOKUP(B7122,material!A:D,3,0),"")</f>
        <v/>
      </c>
    </row>
    <row r="7123" ht="11.25" customHeight="1">
      <c r="A7123" s="21"/>
      <c r="B7123" s="22"/>
      <c r="C7123" s="21"/>
      <c r="D7123" s="21"/>
      <c r="E7123" s="21"/>
      <c r="F7123" s="21"/>
      <c r="G7123" s="23"/>
      <c r="H7123" s="24" t="str">
        <f>IFERROR(VLOOKUP(B7123,material!A:D,3,0),"")</f>
        <v/>
      </c>
    </row>
    <row r="7124" ht="11.25" customHeight="1">
      <c r="A7124" s="21"/>
      <c r="B7124" s="22"/>
      <c r="C7124" s="21"/>
      <c r="D7124" s="21"/>
      <c r="E7124" s="21"/>
      <c r="F7124" s="21"/>
      <c r="G7124" s="23"/>
      <c r="H7124" s="24" t="str">
        <f>IFERROR(VLOOKUP(B7124,material!A:D,3,0),"")</f>
        <v/>
      </c>
    </row>
    <row r="7125" ht="11.25" customHeight="1">
      <c r="A7125" s="21"/>
      <c r="B7125" s="22"/>
      <c r="C7125" s="21"/>
      <c r="D7125" s="21"/>
      <c r="E7125" s="21"/>
      <c r="F7125" s="21"/>
      <c r="G7125" s="23"/>
      <c r="H7125" s="24" t="str">
        <f>IFERROR(VLOOKUP(B7125,material!A:D,3,0),"")</f>
        <v/>
      </c>
    </row>
    <row r="7126" ht="11.25" customHeight="1">
      <c r="A7126" s="21"/>
      <c r="B7126" s="22"/>
      <c r="C7126" s="21"/>
      <c r="D7126" s="21"/>
      <c r="E7126" s="21"/>
      <c r="F7126" s="21"/>
      <c r="G7126" s="23"/>
      <c r="H7126" s="24" t="str">
        <f>IFERROR(VLOOKUP(B7126,material!A:D,3,0),"")</f>
        <v/>
      </c>
    </row>
    <row r="7127" ht="11.25" customHeight="1">
      <c r="A7127" s="21"/>
      <c r="B7127" s="22"/>
      <c r="C7127" s="21"/>
      <c r="D7127" s="21"/>
      <c r="E7127" s="21"/>
      <c r="F7127" s="21"/>
      <c r="G7127" s="23"/>
      <c r="H7127" s="24" t="str">
        <f>IFERROR(VLOOKUP(B7127,material!A:D,3,0),"")</f>
        <v/>
      </c>
    </row>
    <row r="7128" ht="11.25" customHeight="1">
      <c r="A7128" s="21"/>
      <c r="B7128" s="22"/>
      <c r="C7128" s="21"/>
      <c r="D7128" s="21"/>
      <c r="E7128" s="21"/>
      <c r="F7128" s="21"/>
      <c r="G7128" s="23"/>
      <c r="H7128" s="24" t="str">
        <f>IFERROR(VLOOKUP(B7128,material!A:D,3,0),"")</f>
        <v/>
      </c>
    </row>
    <row r="7129" ht="11.25" customHeight="1">
      <c r="A7129" s="21"/>
      <c r="B7129" s="22"/>
      <c r="C7129" s="21"/>
      <c r="D7129" s="21"/>
      <c r="E7129" s="21"/>
      <c r="F7129" s="21"/>
      <c r="G7129" s="23"/>
      <c r="H7129" s="24" t="str">
        <f>IFERROR(VLOOKUP(B7129,material!A:D,3,0),"")</f>
        <v/>
      </c>
    </row>
    <row r="7130" ht="11.25" customHeight="1">
      <c r="A7130" s="21"/>
      <c r="B7130" s="22"/>
      <c r="C7130" s="21"/>
      <c r="D7130" s="21"/>
      <c r="E7130" s="21"/>
      <c r="F7130" s="21"/>
      <c r="G7130" s="23"/>
      <c r="H7130" s="24" t="str">
        <f>IFERROR(VLOOKUP(B7130,material!A:D,3,0),"")</f>
        <v/>
      </c>
    </row>
    <row r="7131" ht="11.25" customHeight="1">
      <c r="A7131" s="21"/>
      <c r="B7131" s="22"/>
      <c r="C7131" s="21"/>
      <c r="D7131" s="21"/>
      <c r="E7131" s="21"/>
      <c r="F7131" s="21"/>
      <c r="G7131" s="23"/>
      <c r="H7131" s="24" t="str">
        <f>IFERROR(VLOOKUP(B7131,material!A:D,3,0),"")</f>
        <v/>
      </c>
    </row>
    <row r="7132" ht="11.25" customHeight="1">
      <c r="A7132" s="21"/>
      <c r="B7132" s="22"/>
      <c r="C7132" s="21"/>
      <c r="D7132" s="21"/>
      <c r="E7132" s="21"/>
      <c r="F7132" s="21"/>
      <c r="G7132" s="23"/>
      <c r="H7132" s="24" t="str">
        <f>IFERROR(VLOOKUP(B7132,material!A:D,3,0),"")</f>
        <v/>
      </c>
    </row>
    <row r="7133" ht="11.25" customHeight="1">
      <c r="A7133" s="21"/>
      <c r="B7133" s="22"/>
      <c r="C7133" s="21"/>
      <c r="D7133" s="21"/>
      <c r="E7133" s="21"/>
      <c r="F7133" s="21"/>
      <c r="G7133" s="23"/>
      <c r="H7133" s="24" t="str">
        <f>IFERROR(VLOOKUP(B7133,material!A:D,3,0),"")</f>
        <v/>
      </c>
    </row>
    <row r="7134" ht="11.25" customHeight="1">
      <c r="A7134" s="21"/>
      <c r="B7134" s="22"/>
      <c r="C7134" s="21"/>
      <c r="D7134" s="21"/>
      <c r="E7134" s="21"/>
      <c r="F7134" s="21"/>
      <c r="G7134" s="23"/>
      <c r="H7134" s="24" t="str">
        <f>IFERROR(VLOOKUP(B7134,material!A:D,3,0),"")</f>
        <v/>
      </c>
    </row>
    <row r="7135" ht="11.25" customHeight="1">
      <c r="A7135" s="21"/>
      <c r="B7135" s="22"/>
      <c r="C7135" s="21"/>
      <c r="D7135" s="21"/>
      <c r="E7135" s="21"/>
      <c r="F7135" s="21"/>
      <c r="G7135" s="23"/>
      <c r="H7135" s="24" t="str">
        <f>IFERROR(VLOOKUP(B7135,material!A:D,3,0),"")</f>
        <v/>
      </c>
    </row>
    <row r="7136" ht="11.25" customHeight="1">
      <c r="A7136" s="21"/>
      <c r="B7136" s="22"/>
      <c r="C7136" s="21"/>
      <c r="D7136" s="21"/>
      <c r="E7136" s="21"/>
      <c r="F7136" s="21"/>
      <c r="G7136" s="23"/>
      <c r="H7136" s="24" t="str">
        <f>IFERROR(VLOOKUP(B7136,material!A:D,3,0),"")</f>
        <v/>
      </c>
    </row>
    <row r="7137" ht="11.25" customHeight="1">
      <c r="A7137" s="21"/>
      <c r="B7137" s="22"/>
      <c r="C7137" s="21"/>
      <c r="D7137" s="21"/>
      <c r="E7137" s="21"/>
      <c r="F7137" s="21"/>
      <c r="G7137" s="23"/>
      <c r="H7137" s="24" t="str">
        <f>IFERROR(VLOOKUP(B7137,material!A:D,3,0),"")</f>
        <v/>
      </c>
    </row>
    <row r="7138" ht="11.25" customHeight="1">
      <c r="A7138" s="21"/>
      <c r="B7138" s="22"/>
      <c r="C7138" s="21"/>
      <c r="D7138" s="21"/>
      <c r="E7138" s="21"/>
      <c r="F7138" s="21"/>
      <c r="G7138" s="23"/>
      <c r="H7138" s="24" t="str">
        <f>IFERROR(VLOOKUP(B7138,material!A:D,3,0),"")</f>
        <v/>
      </c>
    </row>
    <row r="7139" ht="11.25" customHeight="1">
      <c r="A7139" s="21"/>
      <c r="B7139" s="22"/>
      <c r="C7139" s="21"/>
      <c r="D7139" s="21"/>
      <c r="E7139" s="21"/>
      <c r="F7139" s="21"/>
      <c r="G7139" s="23"/>
      <c r="H7139" s="24" t="str">
        <f>IFERROR(VLOOKUP(B7139,material!A:D,3,0),"")</f>
        <v/>
      </c>
    </row>
    <row r="7140" ht="11.25" customHeight="1">
      <c r="A7140" s="21"/>
      <c r="B7140" s="22"/>
      <c r="C7140" s="21"/>
      <c r="D7140" s="21"/>
      <c r="E7140" s="21"/>
      <c r="F7140" s="21"/>
      <c r="G7140" s="23"/>
      <c r="H7140" s="24" t="str">
        <f>IFERROR(VLOOKUP(B7140,material!A:D,3,0),"")</f>
        <v/>
      </c>
    </row>
    <row r="7141" ht="11.25" customHeight="1">
      <c r="A7141" s="21"/>
      <c r="B7141" s="22"/>
      <c r="C7141" s="21"/>
      <c r="D7141" s="21"/>
      <c r="E7141" s="21"/>
      <c r="F7141" s="21"/>
      <c r="G7141" s="23"/>
      <c r="H7141" s="24" t="str">
        <f>IFERROR(VLOOKUP(B7141,material!A:D,3,0),"")</f>
        <v/>
      </c>
    </row>
    <row r="7142" ht="11.25" customHeight="1">
      <c r="A7142" s="21"/>
      <c r="B7142" s="22"/>
      <c r="C7142" s="21"/>
      <c r="D7142" s="21"/>
      <c r="E7142" s="21"/>
      <c r="F7142" s="21"/>
      <c r="G7142" s="23"/>
      <c r="H7142" s="24" t="str">
        <f>IFERROR(VLOOKUP(B7142,material!A:D,3,0),"")</f>
        <v/>
      </c>
    </row>
    <row r="7143" ht="11.25" customHeight="1">
      <c r="A7143" s="21"/>
      <c r="B7143" s="22"/>
      <c r="C7143" s="21"/>
      <c r="D7143" s="21"/>
      <c r="E7143" s="21"/>
      <c r="F7143" s="21"/>
      <c r="G7143" s="23"/>
      <c r="H7143" s="24" t="str">
        <f>IFERROR(VLOOKUP(B7143,material!A:D,3,0),"")</f>
        <v/>
      </c>
    </row>
    <row r="7144" ht="11.25" customHeight="1">
      <c r="A7144" s="21"/>
      <c r="B7144" s="22"/>
      <c r="C7144" s="21"/>
      <c r="D7144" s="21"/>
      <c r="E7144" s="21"/>
      <c r="F7144" s="21"/>
      <c r="G7144" s="23"/>
      <c r="H7144" s="24" t="str">
        <f>IFERROR(VLOOKUP(B7144,material!A:D,3,0),"")</f>
        <v/>
      </c>
    </row>
    <row r="7145" ht="11.25" customHeight="1">
      <c r="A7145" s="21"/>
      <c r="B7145" s="22"/>
      <c r="C7145" s="21"/>
      <c r="D7145" s="21"/>
      <c r="E7145" s="21"/>
      <c r="F7145" s="21"/>
      <c r="G7145" s="23"/>
      <c r="H7145" s="24" t="str">
        <f>IFERROR(VLOOKUP(B7145,material!A:D,3,0),"")</f>
        <v/>
      </c>
    </row>
    <row r="7146" ht="11.25" customHeight="1">
      <c r="A7146" s="21"/>
      <c r="B7146" s="22"/>
      <c r="C7146" s="21"/>
      <c r="D7146" s="21"/>
      <c r="E7146" s="21"/>
      <c r="F7146" s="21"/>
      <c r="G7146" s="23"/>
      <c r="H7146" s="24" t="str">
        <f>IFERROR(VLOOKUP(B7146,material!A:D,3,0),"")</f>
        <v/>
      </c>
    </row>
    <row r="7147" ht="11.25" customHeight="1">
      <c r="A7147" s="21"/>
      <c r="B7147" s="22"/>
      <c r="C7147" s="21"/>
      <c r="D7147" s="21"/>
      <c r="E7147" s="21"/>
      <c r="F7147" s="21"/>
      <c r="G7147" s="23"/>
      <c r="H7147" s="24" t="str">
        <f>IFERROR(VLOOKUP(B7147,material!A:D,3,0),"")</f>
        <v/>
      </c>
    </row>
    <row r="7148" ht="11.25" customHeight="1">
      <c r="A7148" s="21"/>
      <c r="B7148" s="22"/>
      <c r="C7148" s="21"/>
      <c r="D7148" s="21"/>
      <c r="E7148" s="21"/>
      <c r="F7148" s="21"/>
      <c r="G7148" s="23"/>
      <c r="H7148" s="24" t="str">
        <f>IFERROR(VLOOKUP(B7148,material!A:D,3,0),"")</f>
        <v/>
      </c>
    </row>
    <row r="7149" ht="11.25" customHeight="1">
      <c r="A7149" s="21"/>
      <c r="B7149" s="22"/>
      <c r="C7149" s="21"/>
      <c r="D7149" s="21"/>
      <c r="E7149" s="21"/>
      <c r="F7149" s="21"/>
      <c r="G7149" s="23"/>
      <c r="H7149" s="24" t="str">
        <f>IFERROR(VLOOKUP(B7149,material!A:D,3,0),"")</f>
        <v/>
      </c>
    </row>
    <row r="7150" ht="11.25" customHeight="1">
      <c r="A7150" s="21"/>
      <c r="B7150" s="22"/>
      <c r="C7150" s="21"/>
      <c r="D7150" s="21"/>
      <c r="E7150" s="21"/>
      <c r="F7150" s="21"/>
      <c r="G7150" s="23"/>
      <c r="H7150" s="24" t="str">
        <f>IFERROR(VLOOKUP(B7150,material!A:D,3,0),"")</f>
        <v/>
      </c>
    </row>
    <row r="7151" ht="11.25" customHeight="1">
      <c r="A7151" s="21"/>
      <c r="B7151" s="22"/>
      <c r="C7151" s="21"/>
      <c r="D7151" s="21"/>
      <c r="E7151" s="21"/>
      <c r="F7151" s="21"/>
      <c r="G7151" s="23"/>
      <c r="H7151" s="24" t="str">
        <f>IFERROR(VLOOKUP(B7151,material!A:D,3,0),"")</f>
        <v/>
      </c>
    </row>
    <row r="7152" ht="11.25" customHeight="1">
      <c r="A7152" s="21"/>
      <c r="B7152" s="22"/>
      <c r="C7152" s="21"/>
      <c r="D7152" s="21"/>
      <c r="E7152" s="21"/>
      <c r="F7152" s="21"/>
      <c r="G7152" s="23"/>
      <c r="H7152" s="24" t="str">
        <f>IFERROR(VLOOKUP(B7152,material!A:D,3,0),"")</f>
        <v/>
      </c>
    </row>
    <row r="7153" ht="11.25" customHeight="1">
      <c r="A7153" s="21"/>
      <c r="B7153" s="22"/>
      <c r="C7153" s="21"/>
      <c r="D7153" s="21"/>
      <c r="E7153" s="21"/>
      <c r="F7153" s="21"/>
      <c r="G7153" s="23"/>
      <c r="H7153" s="24" t="str">
        <f>IFERROR(VLOOKUP(B7153,material!A:D,3,0),"")</f>
        <v/>
      </c>
    </row>
    <row r="7154" ht="11.25" customHeight="1">
      <c r="A7154" s="21"/>
      <c r="B7154" s="22"/>
      <c r="C7154" s="21"/>
      <c r="D7154" s="21"/>
      <c r="E7154" s="21"/>
      <c r="F7154" s="21"/>
      <c r="G7154" s="23"/>
      <c r="H7154" s="24" t="str">
        <f>IFERROR(VLOOKUP(B7154,material!A:D,3,0),"")</f>
        <v/>
      </c>
    </row>
    <row r="7155" ht="11.25" customHeight="1">
      <c r="A7155" s="21"/>
      <c r="B7155" s="22"/>
      <c r="C7155" s="21"/>
      <c r="D7155" s="21"/>
      <c r="E7155" s="21"/>
      <c r="F7155" s="21"/>
      <c r="G7155" s="23"/>
      <c r="H7155" s="24" t="str">
        <f>IFERROR(VLOOKUP(B7155,material!A:D,3,0),"")</f>
        <v/>
      </c>
    </row>
    <row r="7156" ht="11.25" customHeight="1">
      <c r="A7156" s="21"/>
      <c r="B7156" s="22"/>
      <c r="C7156" s="21"/>
      <c r="D7156" s="21"/>
      <c r="E7156" s="21"/>
      <c r="F7156" s="21"/>
      <c r="G7156" s="23"/>
      <c r="H7156" s="24" t="str">
        <f>IFERROR(VLOOKUP(B7156,material!A:D,3,0),"")</f>
        <v/>
      </c>
    </row>
    <row r="7157" ht="11.25" customHeight="1">
      <c r="A7157" s="21"/>
      <c r="B7157" s="22"/>
      <c r="C7157" s="21"/>
      <c r="D7157" s="21"/>
      <c r="E7157" s="21"/>
      <c r="F7157" s="21"/>
      <c r="G7157" s="23"/>
      <c r="H7157" s="24" t="str">
        <f>IFERROR(VLOOKUP(B7157,material!A:D,3,0),"")</f>
        <v/>
      </c>
    </row>
    <row r="7158" ht="11.25" customHeight="1">
      <c r="A7158" s="21"/>
      <c r="B7158" s="22"/>
      <c r="C7158" s="21"/>
      <c r="D7158" s="21"/>
      <c r="E7158" s="21"/>
      <c r="F7158" s="21"/>
      <c r="G7158" s="23"/>
      <c r="H7158" s="24" t="str">
        <f>IFERROR(VLOOKUP(B7158,material!A:D,3,0),"")</f>
        <v/>
      </c>
    </row>
    <row r="7159" ht="11.25" customHeight="1">
      <c r="A7159" s="21"/>
      <c r="B7159" s="22"/>
      <c r="C7159" s="21"/>
      <c r="D7159" s="21"/>
      <c r="E7159" s="21"/>
      <c r="F7159" s="21"/>
      <c r="G7159" s="23"/>
      <c r="H7159" s="24" t="str">
        <f>IFERROR(VLOOKUP(B7159,material!A:D,3,0),"")</f>
        <v/>
      </c>
    </row>
    <row r="7160" ht="11.25" customHeight="1">
      <c r="A7160" s="21"/>
      <c r="B7160" s="22"/>
      <c r="C7160" s="21"/>
      <c r="D7160" s="21"/>
      <c r="E7160" s="21"/>
      <c r="F7160" s="21"/>
      <c r="G7160" s="23"/>
      <c r="H7160" s="24" t="str">
        <f>IFERROR(VLOOKUP(B7160,material!A:D,3,0),"")</f>
        <v/>
      </c>
    </row>
    <row r="7161" ht="11.25" customHeight="1">
      <c r="A7161" s="21"/>
      <c r="B7161" s="22"/>
      <c r="C7161" s="21"/>
      <c r="D7161" s="21"/>
      <c r="E7161" s="21"/>
      <c r="F7161" s="21"/>
      <c r="G7161" s="23"/>
      <c r="H7161" s="24" t="str">
        <f>IFERROR(VLOOKUP(B7161,material!A:D,3,0),"")</f>
        <v/>
      </c>
    </row>
    <row r="7162" ht="11.25" customHeight="1">
      <c r="A7162" s="21"/>
      <c r="B7162" s="22"/>
      <c r="C7162" s="21"/>
      <c r="D7162" s="21"/>
      <c r="E7162" s="21"/>
      <c r="F7162" s="21"/>
      <c r="G7162" s="23"/>
      <c r="H7162" s="24" t="str">
        <f>IFERROR(VLOOKUP(B7162,material!A:D,3,0),"")</f>
        <v/>
      </c>
    </row>
    <row r="7163" ht="11.25" customHeight="1">
      <c r="A7163" s="21"/>
      <c r="B7163" s="22"/>
      <c r="C7163" s="21"/>
      <c r="D7163" s="21"/>
      <c r="E7163" s="21"/>
      <c r="F7163" s="21"/>
      <c r="G7163" s="23"/>
      <c r="H7163" s="24" t="str">
        <f>IFERROR(VLOOKUP(B7163,material!A:D,3,0),"")</f>
        <v/>
      </c>
    </row>
    <row r="7164" ht="11.25" customHeight="1">
      <c r="A7164" s="21"/>
      <c r="B7164" s="22"/>
      <c r="C7164" s="21"/>
      <c r="D7164" s="21"/>
      <c r="E7164" s="21"/>
      <c r="F7164" s="21"/>
      <c r="G7164" s="23"/>
      <c r="H7164" s="24" t="str">
        <f>IFERROR(VLOOKUP(B7164,material!A:D,3,0),"")</f>
        <v/>
      </c>
    </row>
    <row r="7165" ht="11.25" customHeight="1">
      <c r="A7165" s="21"/>
      <c r="B7165" s="22"/>
      <c r="C7165" s="21"/>
      <c r="D7165" s="21"/>
      <c r="E7165" s="21"/>
      <c r="F7165" s="21"/>
      <c r="G7165" s="23"/>
      <c r="H7165" s="24" t="str">
        <f>IFERROR(VLOOKUP(B7165,material!A:D,3,0),"")</f>
        <v/>
      </c>
    </row>
    <row r="7166" ht="11.25" customHeight="1">
      <c r="A7166" s="21"/>
      <c r="B7166" s="22"/>
      <c r="C7166" s="21"/>
      <c r="D7166" s="21"/>
      <c r="E7166" s="21"/>
      <c r="F7166" s="21"/>
      <c r="G7166" s="23"/>
      <c r="H7166" s="24" t="str">
        <f>IFERROR(VLOOKUP(B7166,material!A:D,3,0),"")</f>
        <v/>
      </c>
    </row>
    <row r="7167" ht="11.25" customHeight="1">
      <c r="A7167" s="21"/>
      <c r="B7167" s="22"/>
      <c r="C7167" s="21"/>
      <c r="D7167" s="21"/>
      <c r="E7167" s="21"/>
      <c r="F7167" s="21"/>
      <c r="G7167" s="23"/>
      <c r="H7167" s="24" t="str">
        <f>IFERROR(VLOOKUP(B7167,material!A:D,3,0),"")</f>
        <v/>
      </c>
    </row>
    <row r="7168" ht="11.25" customHeight="1">
      <c r="A7168" s="21"/>
      <c r="B7168" s="22"/>
      <c r="C7168" s="21"/>
      <c r="D7168" s="21"/>
      <c r="E7168" s="21"/>
      <c r="F7168" s="21"/>
      <c r="G7168" s="23"/>
      <c r="H7168" s="24" t="str">
        <f>IFERROR(VLOOKUP(B7168,material!A:D,3,0),"")</f>
        <v/>
      </c>
    </row>
    <row r="7169" ht="11.25" customHeight="1">
      <c r="A7169" s="21"/>
      <c r="B7169" s="22"/>
      <c r="C7169" s="21"/>
      <c r="D7169" s="21"/>
      <c r="E7169" s="21"/>
      <c r="F7169" s="21"/>
      <c r="G7169" s="23"/>
      <c r="H7169" s="24" t="str">
        <f>IFERROR(VLOOKUP(B7169,material!A:D,3,0),"")</f>
        <v/>
      </c>
    </row>
    <row r="7170" ht="11.25" customHeight="1">
      <c r="A7170" s="21"/>
      <c r="B7170" s="22"/>
      <c r="C7170" s="21"/>
      <c r="D7170" s="21"/>
      <c r="E7170" s="21"/>
      <c r="F7170" s="21"/>
      <c r="G7170" s="23"/>
      <c r="H7170" s="24" t="str">
        <f>IFERROR(VLOOKUP(B7170,material!A:D,3,0),"")</f>
        <v/>
      </c>
    </row>
    <row r="7171" ht="11.25" customHeight="1">
      <c r="A7171" s="21"/>
      <c r="B7171" s="22"/>
      <c r="C7171" s="21"/>
      <c r="D7171" s="21"/>
      <c r="E7171" s="21"/>
      <c r="F7171" s="21"/>
      <c r="G7171" s="23"/>
      <c r="H7171" s="24" t="str">
        <f>IFERROR(VLOOKUP(B7171,material!A:D,3,0),"")</f>
        <v/>
      </c>
    </row>
    <row r="7172" ht="11.25" customHeight="1">
      <c r="A7172" s="21"/>
      <c r="B7172" s="22"/>
      <c r="C7172" s="21"/>
      <c r="D7172" s="21"/>
      <c r="E7172" s="21"/>
      <c r="F7172" s="21"/>
      <c r="G7172" s="23"/>
      <c r="H7172" s="24" t="str">
        <f>IFERROR(VLOOKUP(B7172,material!A:D,3,0),"")</f>
        <v/>
      </c>
    </row>
    <row r="7173" ht="11.25" customHeight="1">
      <c r="A7173" s="21"/>
      <c r="B7173" s="22"/>
      <c r="C7173" s="21"/>
      <c r="D7173" s="21"/>
      <c r="E7173" s="21"/>
      <c r="F7173" s="21"/>
      <c r="G7173" s="23"/>
      <c r="H7173" s="24" t="str">
        <f>IFERROR(VLOOKUP(B7173,material!A:D,3,0),"")</f>
        <v/>
      </c>
    </row>
    <row r="7174" ht="11.25" customHeight="1">
      <c r="A7174" s="21"/>
      <c r="B7174" s="22"/>
      <c r="C7174" s="21"/>
      <c r="D7174" s="21"/>
      <c r="E7174" s="21"/>
      <c r="F7174" s="21"/>
      <c r="G7174" s="23"/>
      <c r="H7174" s="24" t="str">
        <f>IFERROR(VLOOKUP(B7174,material!A:D,3,0),"")</f>
        <v/>
      </c>
    </row>
    <row r="7175" ht="11.25" customHeight="1">
      <c r="A7175" s="21"/>
      <c r="B7175" s="22"/>
      <c r="C7175" s="21"/>
      <c r="D7175" s="21"/>
      <c r="E7175" s="21"/>
      <c r="F7175" s="21"/>
      <c r="G7175" s="23"/>
      <c r="H7175" s="24" t="str">
        <f>IFERROR(VLOOKUP(B7175,material!A:D,3,0),"")</f>
        <v/>
      </c>
    </row>
    <row r="7176" ht="11.25" customHeight="1">
      <c r="A7176" s="21"/>
      <c r="B7176" s="22"/>
      <c r="C7176" s="21"/>
      <c r="D7176" s="21"/>
      <c r="E7176" s="21"/>
      <c r="F7176" s="21"/>
      <c r="G7176" s="23"/>
      <c r="H7176" s="24" t="str">
        <f>IFERROR(VLOOKUP(B7176,material!A:D,3,0),"")</f>
        <v/>
      </c>
    </row>
    <row r="7177" ht="11.25" customHeight="1">
      <c r="A7177" s="21"/>
      <c r="B7177" s="22"/>
      <c r="C7177" s="21"/>
      <c r="D7177" s="21"/>
      <c r="E7177" s="21"/>
      <c r="F7177" s="21"/>
      <c r="G7177" s="23"/>
      <c r="H7177" s="24" t="str">
        <f>IFERROR(VLOOKUP(B7177,material!A:D,3,0),"")</f>
        <v/>
      </c>
    </row>
    <row r="7178" ht="11.25" customHeight="1">
      <c r="A7178" s="21"/>
      <c r="B7178" s="22"/>
      <c r="C7178" s="21"/>
      <c r="D7178" s="21"/>
      <c r="E7178" s="21"/>
      <c r="F7178" s="21"/>
      <c r="G7178" s="23"/>
      <c r="H7178" s="24" t="str">
        <f>IFERROR(VLOOKUP(B7178,material!A:D,3,0),"")</f>
        <v/>
      </c>
    </row>
    <row r="7179" ht="11.25" customHeight="1">
      <c r="A7179" s="21"/>
      <c r="B7179" s="22"/>
      <c r="C7179" s="21"/>
      <c r="D7179" s="21"/>
      <c r="E7179" s="21"/>
      <c r="F7179" s="21"/>
      <c r="G7179" s="23"/>
      <c r="H7179" s="24" t="str">
        <f>IFERROR(VLOOKUP(B7179,material!A:D,3,0),"")</f>
        <v/>
      </c>
    </row>
    <row r="7180" ht="11.25" customHeight="1">
      <c r="A7180" s="21"/>
      <c r="B7180" s="22"/>
      <c r="C7180" s="21"/>
      <c r="D7180" s="21"/>
      <c r="E7180" s="21"/>
      <c r="F7180" s="21"/>
      <c r="G7180" s="23"/>
      <c r="H7180" s="24" t="str">
        <f>IFERROR(VLOOKUP(B7180,material!A:D,3,0),"")</f>
        <v/>
      </c>
    </row>
    <row r="7181" ht="11.25" customHeight="1">
      <c r="A7181" s="21"/>
      <c r="B7181" s="22"/>
      <c r="C7181" s="21"/>
      <c r="D7181" s="21"/>
      <c r="E7181" s="21"/>
      <c r="F7181" s="21"/>
      <c r="G7181" s="23"/>
      <c r="H7181" s="24" t="str">
        <f>IFERROR(VLOOKUP(B7181,material!A:D,3,0),"")</f>
        <v/>
      </c>
    </row>
    <row r="7182" ht="11.25" customHeight="1">
      <c r="A7182" s="21"/>
      <c r="B7182" s="22"/>
      <c r="C7182" s="21"/>
      <c r="D7182" s="21"/>
      <c r="E7182" s="21"/>
      <c r="F7182" s="21"/>
      <c r="G7182" s="23"/>
      <c r="H7182" s="24" t="str">
        <f>IFERROR(VLOOKUP(B7182,material!A:D,3,0),"")</f>
        <v/>
      </c>
    </row>
    <row r="7183" ht="11.25" customHeight="1">
      <c r="A7183" s="21"/>
      <c r="B7183" s="22"/>
      <c r="C7183" s="21"/>
      <c r="D7183" s="21"/>
      <c r="E7183" s="21"/>
      <c r="F7183" s="21"/>
      <c r="G7183" s="23"/>
      <c r="H7183" s="24" t="str">
        <f>IFERROR(VLOOKUP(B7183,material!A:D,3,0),"")</f>
        <v/>
      </c>
    </row>
    <row r="7184" ht="11.25" customHeight="1">
      <c r="A7184" s="21"/>
      <c r="B7184" s="22"/>
      <c r="C7184" s="21"/>
      <c r="D7184" s="21"/>
      <c r="E7184" s="21"/>
      <c r="F7184" s="21"/>
      <c r="G7184" s="23"/>
      <c r="H7184" s="24" t="str">
        <f>IFERROR(VLOOKUP(B7184,material!A:D,3,0),"")</f>
        <v/>
      </c>
    </row>
    <row r="7185" ht="11.25" customHeight="1">
      <c r="A7185" s="21"/>
      <c r="B7185" s="22"/>
      <c r="C7185" s="21"/>
      <c r="D7185" s="21"/>
      <c r="E7185" s="21"/>
      <c r="F7185" s="21"/>
      <c r="G7185" s="23"/>
      <c r="H7185" s="24" t="str">
        <f>IFERROR(VLOOKUP(B7185,material!A:D,3,0),"")</f>
        <v/>
      </c>
    </row>
    <row r="7186" ht="11.25" customHeight="1">
      <c r="A7186" s="21"/>
      <c r="B7186" s="22"/>
      <c r="C7186" s="21"/>
      <c r="D7186" s="21"/>
      <c r="E7186" s="21"/>
      <c r="F7186" s="21"/>
      <c r="G7186" s="23"/>
      <c r="H7186" s="24" t="str">
        <f>IFERROR(VLOOKUP(B7186,material!A:D,3,0),"")</f>
        <v/>
      </c>
    </row>
    <row r="7187" ht="11.25" customHeight="1">
      <c r="A7187" s="21"/>
      <c r="B7187" s="22"/>
      <c r="C7187" s="21"/>
      <c r="D7187" s="21"/>
      <c r="E7187" s="21"/>
      <c r="F7187" s="21"/>
      <c r="G7187" s="23"/>
      <c r="H7187" s="24" t="str">
        <f>IFERROR(VLOOKUP(B7187,material!A:D,3,0),"")</f>
        <v/>
      </c>
    </row>
    <row r="7188" ht="11.25" customHeight="1">
      <c r="A7188" s="21"/>
      <c r="B7188" s="22"/>
      <c r="C7188" s="21"/>
      <c r="D7188" s="21"/>
      <c r="E7188" s="21"/>
      <c r="F7188" s="21"/>
      <c r="G7188" s="23"/>
      <c r="H7188" s="24" t="str">
        <f>IFERROR(VLOOKUP(B7188,material!A:D,3,0),"")</f>
        <v/>
      </c>
    </row>
    <row r="7189" ht="11.25" customHeight="1">
      <c r="A7189" s="21"/>
      <c r="B7189" s="22"/>
      <c r="C7189" s="21"/>
      <c r="D7189" s="21"/>
      <c r="E7189" s="21"/>
      <c r="F7189" s="21"/>
      <c r="G7189" s="23"/>
      <c r="H7189" s="24" t="str">
        <f>IFERROR(VLOOKUP(B7189,material!A:D,3,0),"")</f>
        <v/>
      </c>
    </row>
    <row r="7190" ht="11.25" customHeight="1">
      <c r="A7190" s="21"/>
      <c r="B7190" s="22"/>
      <c r="C7190" s="21"/>
      <c r="D7190" s="21"/>
      <c r="E7190" s="21"/>
      <c r="F7190" s="21"/>
      <c r="G7190" s="23"/>
      <c r="H7190" s="24" t="str">
        <f>IFERROR(VLOOKUP(B7190,material!A:D,3,0),"")</f>
        <v/>
      </c>
    </row>
    <row r="7191" ht="11.25" customHeight="1">
      <c r="A7191" s="21"/>
      <c r="B7191" s="22"/>
      <c r="C7191" s="21"/>
      <c r="D7191" s="21"/>
      <c r="E7191" s="21"/>
      <c r="F7191" s="21"/>
      <c r="G7191" s="23"/>
      <c r="H7191" s="24" t="str">
        <f>IFERROR(VLOOKUP(B7191,material!A:D,3,0),"")</f>
        <v/>
      </c>
    </row>
    <row r="7192" ht="11.25" customHeight="1">
      <c r="A7192" s="21"/>
      <c r="B7192" s="22"/>
      <c r="C7192" s="21"/>
      <c r="D7192" s="21"/>
      <c r="E7192" s="21"/>
      <c r="F7192" s="21"/>
      <c r="G7192" s="23"/>
      <c r="H7192" s="24" t="str">
        <f>IFERROR(VLOOKUP(B7192,material!A:D,3,0),"")</f>
        <v/>
      </c>
    </row>
    <row r="7193" ht="11.25" customHeight="1">
      <c r="A7193" s="21"/>
      <c r="B7193" s="22"/>
      <c r="C7193" s="21"/>
      <c r="D7193" s="21"/>
      <c r="E7193" s="21"/>
      <c r="F7193" s="21"/>
      <c r="G7193" s="23"/>
      <c r="H7193" s="24" t="str">
        <f>IFERROR(VLOOKUP(B7193,material!A:D,3,0),"")</f>
        <v/>
      </c>
    </row>
    <row r="7194" ht="11.25" customHeight="1">
      <c r="A7194" s="21"/>
      <c r="B7194" s="22"/>
      <c r="C7194" s="21"/>
      <c r="D7194" s="21"/>
      <c r="E7194" s="21"/>
      <c r="F7194" s="21"/>
      <c r="G7194" s="23"/>
      <c r="H7194" s="24" t="str">
        <f>IFERROR(VLOOKUP(B7194,material!A:D,3,0),"")</f>
        <v/>
      </c>
    </row>
    <row r="7195" ht="11.25" customHeight="1">
      <c r="A7195" s="21"/>
      <c r="B7195" s="22"/>
      <c r="C7195" s="21"/>
      <c r="D7195" s="21"/>
      <c r="E7195" s="21"/>
      <c r="F7195" s="21"/>
      <c r="G7195" s="23"/>
      <c r="H7195" s="24" t="str">
        <f>IFERROR(VLOOKUP(B7195,material!A:D,3,0),"")</f>
        <v/>
      </c>
    </row>
    <row r="7196" ht="11.25" customHeight="1">
      <c r="A7196" s="21"/>
      <c r="B7196" s="22"/>
      <c r="C7196" s="21"/>
      <c r="D7196" s="21"/>
      <c r="E7196" s="21"/>
      <c r="F7196" s="21"/>
      <c r="G7196" s="23"/>
      <c r="H7196" s="24" t="str">
        <f>IFERROR(VLOOKUP(B7196,material!A:D,3,0),"")</f>
        <v/>
      </c>
    </row>
    <row r="7197" ht="11.25" customHeight="1">
      <c r="A7197" s="21"/>
      <c r="B7197" s="22"/>
      <c r="C7197" s="21"/>
      <c r="D7197" s="21"/>
      <c r="E7197" s="21"/>
      <c r="F7197" s="21"/>
      <c r="G7197" s="23"/>
      <c r="H7197" s="24" t="str">
        <f>IFERROR(VLOOKUP(B7197,material!A:D,3,0),"")</f>
        <v/>
      </c>
    </row>
    <row r="7198" ht="11.25" customHeight="1">
      <c r="A7198" s="21"/>
      <c r="B7198" s="22"/>
      <c r="C7198" s="21"/>
      <c r="D7198" s="21"/>
      <c r="E7198" s="21"/>
      <c r="F7198" s="21"/>
      <c r="G7198" s="23"/>
      <c r="H7198" s="24" t="str">
        <f>IFERROR(VLOOKUP(B7198,material!A:D,3,0),"")</f>
        <v/>
      </c>
    </row>
    <row r="7199" ht="11.25" customHeight="1">
      <c r="A7199" s="21"/>
      <c r="B7199" s="22"/>
      <c r="C7199" s="21"/>
      <c r="D7199" s="21"/>
      <c r="E7199" s="21"/>
      <c r="F7199" s="21"/>
      <c r="G7199" s="23"/>
      <c r="H7199" s="24" t="str">
        <f>IFERROR(VLOOKUP(B7199,material!A:D,3,0),"")</f>
        <v/>
      </c>
    </row>
    <row r="7200" ht="11.25" customHeight="1">
      <c r="A7200" s="21"/>
      <c r="B7200" s="22"/>
      <c r="C7200" s="21"/>
      <c r="D7200" s="21"/>
      <c r="E7200" s="21"/>
      <c r="F7200" s="21"/>
      <c r="G7200" s="23"/>
      <c r="H7200" s="24" t="str">
        <f>IFERROR(VLOOKUP(B7200,material!A:D,3,0),"")</f>
        <v/>
      </c>
    </row>
    <row r="7201" ht="11.25" customHeight="1">
      <c r="A7201" s="21"/>
      <c r="B7201" s="22"/>
      <c r="C7201" s="21"/>
      <c r="D7201" s="21"/>
      <c r="E7201" s="21"/>
      <c r="F7201" s="21"/>
      <c r="G7201" s="23"/>
      <c r="H7201" s="24" t="str">
        <f>IFERROR(VLOOKUP(B7201,material!A:D,3,0),"")</f>
        <v/>
      </c>
    </row>
    <row r="7202" ht="11.25" customHeight="1">
      <c r="A7202" s="21"/>
      <c r="B7202" s="22"/>
      <c r="C7202" s="21"/>
      <c r="D7202" s="21"/>
      <c r="E7202" s="21"/>
      <c r="F7202" s="21"/>
      <c r="G7202" s="23"/>
      <c r="H7202" s="24" t="str">
        <f>IFERROR(VLOOKUP(B7202,material!A:D,3,0),"")</f>
        <v/>
      </c>
    </row>
    <row r="7203" ht="11.25" customHeight="1">
      <c r="A7203" s="21"/>
      <c r="B7203" s="22"/>
      <c r="C7203" s="21"/>
      <c r="D7203" s="21"/>
      <c r="E7203" s="21"/>
      <c r="F7203" s="21"/>
      <c r="G7203" s="23"/>
      <c r="H7203" s="24" t="str">
        <f>IFERROR(VLOOKUP(B7203,material!A:D,3,0),"")</f>
        <v/>
      </c>
    </row>
    <row r="7204" ht="11.25" customHeight="1">
      <c r="A7204" s="21"/>
      <c r="B7204" s="22"/>
      <c r="C7204" s="21"/>
      <c r="D7204" s="21"/>
      <c r="E7204" s="21"/>
      <c r="F7204" s="21"/>
      <c r="G7204" s="23"/>
      <c r="H7204" s="24" t="str">
        <f>IFERROR(VLOOKUP(B7204,material!A:D,3,0),"")</f>
        <v/>
      </c>
    </row>
    <row r="7205" ht="11.25" customHeight="1">
      <c r="A7205" s="21"/>
      <c r="B7205" s="22"/>
      <c r="C7205" s="21"/>
      <c r="D7205" s="21"/>
      <c r="E7205" s="21"/>
      <c r="F7205" s="21"/>
      <c r="G7205" s="23"/>
      <c r="H7205" s="24" t="str">
        <f>IFERROR(VLOOKUP(B7205,material!A:D,3,0),"")</f>
        <v/>
      </c>
    </row>
    <row r="7206" ht="11.25" customHeight="1">
      <c r="A7206" s="21"/>
      <c r="B7206" s="22"/>
      <c r="C7206" s="21"/>
      <c r="D7206" s="21"/>
      <c r="E7206" s="21"/>
      <c r="F7206" s="21"/>
      <c r="G7206" s="23"/>
      <c r="H7206" s="24" t="str">
        <f>IFERROR(VLOOKUP(B7206,material!A:D,3,0),"")</f>
        <v/>
      </c>
    </row>
    <row r="7207" ht="11.25" customHeight="1">
      <c r="A7207" s="21"/>
      <c r="B7207" s="22"/>
      <c r="C7207" s="21"/>
      <c r="D7207" s="21"/>
      <c r="E7207" s="21"/>
      <c r="F7207" s="21"/>
      <c r="G7207" s="23"/>
      <c r="H7207" s="24" t="str">
        <f>IFERROR(VLOOKUP(B7207,material!A:D,3,0),"")</f>
        <v/>
      </c>
    </row>
    <row r="7208" ht="11.25" customHeight="1">
      <c r="A7208" s="21"/>
      <c r="B7208" s="22"/>
      <c r="C7208" s="21"/>
      <c r="D7208" s="21"/>
      <c r="E7208" s="21"/>
      <c r="F7208" s="21"/>
      <c r="G7208" s="23"/>
      <c r="H7208" s="24" t="str">
        <f>IFERROR(VLOOKUP(B7208,material!A:D,3,0),"")</f>
        <v/>
      </c>
    </row>
    <row r="7209" ht="11.25" customHeight="1">
      <c r="A7209" s="21"/>
      <c r="B7209" s="22"/>
      <c r="C7209" s="21"/>
      <c r="D7209" s="21"/>
      <c r="E7209" s="21"/>
      <c r="F7209" s="21"/>
      <c r="G7209" s="23"/>
      <c r="H7209" s="24" t="str">
        <f>IFERROR(VLOOKUP(B7209,material!A:D,3,0),"")</f>
        <v/>
      </c>
    </row>
    <row r="7210" ht="11.25" customHeight="1">
      <c r="A7210" s="21"/>
      <c r="B7210" s="22"/>
      <c r="C7210" s="21"/>
      <c r="D7210" s="21"/>
      <c r="E7210" s="21"/>
      <c r="F7210" s="21"/>
      <c r="G7210" s="23"/>
      <c r="H7210" s="24" t="str">
        <f>IFERROR(VLOOKUP(B7210,material!A:D,3,0),"")</f>
        <v/>
      </c>
    </row>
    <row r="7211" ht="11.25" customHeight="1">
      <c r="A7211" s="21"/>
      <c r="B7211" s="22"/>
      <c r="C7211" s="21"/>
      <c r="D7211" s="21"/>
      <c r="E7211" s="21"/>
      <c r="F7211" s="21"/>
      <c r="G7211" s="23"/>
      <c r="H7211" s="24" t="str">
        <f>IFERROR(VLOOKUP(B7211,material!A:D,3,0),"")</f>
        <v/>
      </c>
    </row>
    <row r="7212" ht="11.25" customHeight="1">
      <c r="A7212" s="21"/>
      <c r="B7212" s="22"/>
      <c r="C7212" s="21"/>
      <c r="D7212" s="21"/>
      <c r="E7212" s="21"/>
      <c r="F7212" s="21"/>
      <c r="G7212" s="23"/>
      <c r="H7212" s="24" t="str">
        <f>IFERROR(VLOOKUP(B7212,material!A:D,3,0),"")</f>
        <v/>
      </c>
    </row>
    <row r="7213" ht="11.25" customHeight="1">
      <c r="A7213" s="21"/>
      <c r="B7213" s="22"/>
      <c r="C7213" s="21"/>
      <c r="D7213" s="21"/>
      <c r="E7213" s="21"/>
      <c r="F7213" s="21"/>
      <c r="G7213" s="23"/>
      <c r="H7213" s="24" t="str">
        <f>IFERROR(VLOOKUP(B7213,material!A:D,3,0),"")</f>
        <v/>
      </c>
    </row>
    <row r="7214" ht="11.25" customHeight="1">
      <c r="A7214" s="21"/>
      <c r="B7214" s="22"/>
      <c r="C7214" s="21"/>
      <c r="D7214" s="21"/>
      <c r="E7214" s="21"/>
      <c r="F7214" s="21"/>
      <c r="G7214" s="23"/>
      <c r="H7214" s="24" t="str">
        <f>IFERROR(VLOOKUP(B7214,material!A:D,3,0),"")</f>
        <v/>
      </c>
    </row>
    <row r="7215" ht="11.25" customHeight="1">
      <c r="A7215" s="21"/>
      <c r="B7215" s="22"/>
      <c r="C7215" s="21"/>
      <c r="D7215" s="21"/>
      <c r="E7215" s="21"/>
      <c r="F7215" s="21"/>
      <c r="G7215" s="23"/>
      <c r="H7215" s="24" t="str">
        <f>IFERROR(VLOOKUP(B7215,material!A:D,3,0),"")</f>
        <v/>
      </c>
    </row>
    <row r="7216" ht="11.25" customHeight="1">
      <c r="A7216" s="21"/>
      <c r="B7216" s="22"/>
      <c r="C7216" s="21"/>
      <c r="D7216" s="21"/>
      <c r="E7216" s="21"/>
      <c r="F7216" s="21"/>
      <c r="G7216" s="23"/>
      <c r="H7216" s="24" t="str">
        <f>IFERROR(VLOOKUP(B7216,material!A:D,3,0),"")</f>
        <v/>
      </c>
    </row>
    <row r="7217" ht="11.25" customHeight="1">
      <c r="A7217" s="21"/>
      <c r="B7217" s="22"/>
      <c r="C7217" s="21"/>
      <c r="D7217" s="21"/>
      <c r="E7217" s="21"/>
      <c r="F7217" s="21"/>
      <c r="G7217" s="23"/>
      <c r="H7217" s="24" t="str">
        <f>IFERROR(VLOOKUP(B7217,material!A:D,3,0),"")</f>
        <v/>
      </c>
    </row>
    <row r="7218" ht="11.25" customHeight="1">
      <c r="A7218" s="21"/>
      <c r="B7218" s="22"/>
      <c r="C7218" s="21"/>
      <c r="D7218" s="21"/>
      <c r="E7218" s="21"/>
      <c r="F7218" s="21"/>
      <c r="G7218" s="23"/>
      <c r="H7218" s="24" t="str">
        <f>IFERROR(VLOOKUP(B7218,material!A:D,3,0),"")</f>
        <v/>
      </c>
    </row>
    <row r="7219" ht="11.25" customHeight="1">
      <c r="A7219" s="21"/>
      <c r="B7219" s="22"/>
      <c r="C7219" s="21"/>
      <c r="D7219" s="21"/>
      <c r="E7219" s="21"/>
      <c r="F7219" s="21"/>
      <c r="G7219" s="23"/>
      <c r="H7219" s="24" t="str">
        <f>IFERROR(VLOOKUP(B7219,material!A:D,3,0),"")</f>
        <v/>
      </c>
    </row>
    <row r="7220" ht="11.25" customHeight="1">
      <c r="A7220" s="21"/>
      <c r="B7220" s="22"/>
      <c r="C7220" s="21"/>
      <c r="D7220" s="21"/>
      <c r="E7220" s="21"/>
      <c r="F7220" s="21"/>
      <c r="G7220" s="23"/>
      <c r="H7220" s="24" t="str">
        <f>IFERROR(VLOOKUP(B7220,material!A:D,3,0),"")</f>
        <v/>
      </c>
    </row>
    <row r="7221" ht="11.25" customHeight="1">
      <c r="A7221" s="21"/>
      <c r="B7221" s="22"/>
      <c r="C7221" s="21"/>
      <c r="D7221" s="21"/>
      <c r="E7221" s="21"/>
      <c r="F7221" s="21"/>
      <c r="G7221" s="23"/>
      <c r="H7221" s="24" t="str">
        <f>IFERROR(VLOOKUP(B7221,material!A:D,3,0),"")</f>
        <v/>
      </c>
    </row>
    <row r="7222" ht="11.25" customHeight="1">
      <c r="A7222" s="21"/>
      <c r="B7222" s="22"/>
      <c r="C7222" s="21"/>
      <c r="D7222" s="21"/>
      <c r="E7222" s="21"/>
      <c r="F7222" s="21"/>
      <c r="G7222" s="23"/>
      <c r="H7222" s="24" t="str">
        <f>IFERROR(VLOOKUP(B7222,material!A:D,3,0),"")</f>
        <v/>
      </c>
    </row>
    <row r="7223" ht="11.25" customHeight="1">
      <c r="A7223" s="21"/>
      <c r="B7223" s="22"/>
      <c r="C7223" s="21"/>
      <c r="D7223" s="21"/>
      <c r="E7223" s="21"/>
      <c r="F7223" s="21"/>
      <c r="G7223" s="23"/>
      <c r="H7223" s="24" t="str">
        <f>IFERROR(VLOOKUP(B7223,material!A:D,3,0),"")</f>
        <v/>
      </c>
    </row>
    <row r="7224" ht="11.25" customHeight="1">
      <c r="A7224" s="21"/>
      <c r="B7224" s="22"/>
      <c r="C7224" s="21"/>
      <c r="D7224" s="21"/>
      <c r="E7224" s="21"/>
      <c r="F7224" s="21"/>
      <c r="G7224" s="23"/>
      <c r="H7224" s="24" t="str">
        <f>IFERROR(VLOOKUP(B7224,material!A:D,3,0),"")</f>
        <v/>
      </c>
    </row>
    <row r="7225" ht="11.25" customHeight="1">
      <c r="A7225" s="21"/>
      <c r="B7225" s="22"/>
      <c r="C7225" s="21"/>
      <c r="D7225" s="21"/>
      <c r="E7225" s="21"/>
      <c r="F7225" s="21"/>
      <c r="G7225" s="23"/>
      <c r="H7225" s="24" t="str">
        <f>IFERROR(VLOOKUP(B7225,material!A:D,3,0),"")</f>
        <v/>
      </c>
    </row>
    <row r="7226" ht="11.25" customHeight="1">
      <c r="A7226" s="21"/>
      <c r="B7226" s="22"/>
      <c r="C7226" s="21"/>
      <c r="D7226" s="21"/>
      <c r="E7226" s="21"/>
      <c r="F7226" s="21"/>
      <c r="G7226" s="23"/>
      <c r="H7226" s="24" t="str">
        <f>IFERROR(VLOOKUP(B7226,material!A:D,3,0),"")</f>
        <v/>
      </c>
    </row>
    <row r="7227" ht="11.25" customHeight="1">
      <c r="A7227" s="21"/>
      <c r="B7227" s="22"/>
      <c r="C7227" s="21"/>
      <c r="D7227" s="21"/>
      <c r="E7227" s="21"/>
      <c r="F7227" s="21"/>
      <c r="G7227" s="23"/>
      <c r="H7227" s="24" t="str">
        <f>IFERROR(VLOOKUP(B7227,material!A:D,3,0),"")</f>
        <v/>
      </c>
    </row>
    <row r="7228" ht="11.25" customHeight="1">
      <c r="A7228" s="21"/>
      <c r="B7228" s="22"/>
      <c r="C7228" s="21"/>
      <c r="D7228" s="21"/>
      <c r="E7228" s="21"/>
      <c r="F7228" s="21"/>
      <c r="G7228" s="23"/>
      <c r="H7228" s="24" t="str">
        <f>IFERROR(VLOOKUP(B7228,material!A:D,3,0),"")</f>
        <v/>
      </c>
    </row>
    <row r="7229" ht="11.25" customHeight="1">
      <c r="A7229" s="21"/>
      <c r="B7229" s="22"/>
      <c r="C7229" s="21"/>
      <c r="D7229" s="21"/>
      <c r="E7229" s="21"/>
      <c r="F7229" s="21"/>
      <c r="G7229" s="23"/>
      <c r="H7229" s="24" t="str">
        <f>IFERROR(VLOOKUP(B7229,material!A:D,3,0),"")</f>
        <v/>
      </c>
    </row>
    <row r="7230" ht="11.25" customHeight="1">
      <c r="A7230" s="21"/>
      <c r="B7230" s="22"/>
      <c r="C7230" s="21"/>
      <c r="D7230" s="21"/>
      <c r="E7230" s="21"/>
      <c r="F7230" s="21"/>
      <c r="G7230" s="23"/>
      <c r="H7230" s="24" t="str">
        <f>IFERROR(VLOOKUP(B7230,material!A:D,3,0),"")</f>
        <v/>
      </c>
    </row>
    <row r="7231" ht="11.25" customHeight="1">
      <c r="A7231" s="21"/>
      <c r="B7231" s="22"/>
      <c r="C7231" s="21"/>
      <c r="D7231" s="21"/>
      <c r="E7231" s="21"/>
      <c r="F7231" s="21"/>
      <c r="G7231" s="23"/>
      <c r="H7231" s="24" t="str">
        <f>IFERROR(VLOOKUP(B7231,material!A:D,3,0),"")</f>
        <v/>
      </c>
    </row>
    <row r="7232" ht="11.25" customHeight="1">
      <c r="A7232" s="21"/>
      <c r="B7232" s="22"/>
      <c r="C7232" s="21"/>
      <c r="D7232" s="21"/>
      <c r="E7232" s="21"/>
      <c r="F7232" s="21"/>
      <c r="G7232" s="23"/>
      <c r="H7232" s="24" t="str">
        <f>IFERROR(VLOOKUP(B7232,material!A:D,3,0),"")</f>
        <v/>
      </c>
    </row>
    <row r="7233" ht="11.25" customHeight="1">
      <c r="A7233" s="21"/>
      <c r="B7233" s="22"/>
      <c r="C7233" s="21"/>
      <c r="D7233" s="21"/>
      <c r="E7233" s="21"/>
      <c r="F7233" s="21"/>
      <c r="G7233" s="23"/>
      <c r="H7233" s="24" t="str">
        <f>IFERROR(VLOOKUP(B7233,material!A:D,3,0),"")</f>
        <v/>
      </c>
    </row>
    <row r="7234" ht="11.25" customHeight="1">
      <c r="A7234" s="21"/>
      <c r="B7234" s="22"/>
      <c r="C7234" s="21"/>
      <c r="D7234" s="21"/>
      <c r="E7234" s="21"/>
      <c r="F7234" s="21"/>
      <c r="G7234" s="23"/>
      <c r="H7234" s="24" t="str">
        <f>IFERROR(VLOOKUP(B7234,material!A:D,3,0),"")</f>
        <v/>
      </c>
    </row>
    <row r="7235" ht="11.25" customHeight="1">
      <c r="A7235" s="21"/>
      <c r="B7235" s="22"/>
      <c r="C7235" s="21"/>
      <c r="D7235" s="21"/>
      <c r="E7235" s="21"/>
      <c r="F7235" s="21"/>
      <c r="G7235" s="23"/>
      <c r="H7235" s="24" t="str">
        <f>IFERROR(VLOOKUP(B7235,material!A:D,3,0),"")</f>
        <v/>
      </c>
    </row>
    <row r="7236" ht="11.25" customHeight="1">
      <c r="A7236" s="21"/>
      <c r="B7236" s="22"/>
      <c r="C7236" s="21"/>
      <c r="D7236" s="21"/>
      <c r="E7236" s="21"/>
      <c r="F7236" s="21"/>
      <c r="G7236" s="23"/>
      <c r="H7236" s="24" t="str">
        <f>IFERROR(VLOOKUP(B7236,material!A:D,3,0),"")</f>
        <v/>
      </c>
    </row>
    <row r="7237" ht="11.25" customHeight="1">
      <c r="A7237" s="21"/>
      <c r="B7237" s="22"/>
      <c r="C7237" s="21"/>
      <c r="D7237" s="21"/>
      <c r="E7237" s="21"/>
      <c r="F7237" s="21"/>
      <c r="G7237" s="23"/>
      <c r="H7237" s="24" t="str">
        <f>IFERROR(VLOOKUP(B7237,material!A:D,3,0),"")</f>
        <v/>
      </c>
    </row>
    <row r="7238" ht="11.25" customHeight="1">
      <c r="A7238" s="21"/>
      <c r="B7238" s="22"/>
      <c r="C7238" s="21"/>
      <c r="D7238" s="21"/>
      <c r="E7238" s="21"/>
      <c r="F7238" s="21"/>
      <c r="G7238" s="23"/>
      <c r="H7238" s="24" t="str">
        <f>IFERROR(VLOOKUP(B7238,material!A:D,3,0),"")</f>
        <v/>
      </c>
    </row>
    <row r="7239" ht="11.25" customHeight="1">
      <c r="A7239" s="21"/>
      <c r="B7239" s="22"/>
      <c r="C7239" s="21"/>
      <c r="D7239" s="21"/>
      <c r="E7239" s="21"/>
      <c r="F7239" s="21"/>
      <c r="G7239" s="23"/>
      <c r="H7239" s="24" t="str">
        <f>IFERROR(VLOOKUP(B7239,material!A:D,3,0),"")</f>
        <v/>
      </c>
    </row>
    <row r="7240" ht="11.25" customHeight="1">
      <c r="A7240" s="21"/>
      <c r="B7240" s="22"/>
      <c r="C7240" s="21"/>
      <c r="D7240" s="21"/>
      <c r="E7240" s="21"/>
      <c r="F7240" s="21"/>
      <c r="G7240" s="23"/>
      <c r="H7240" s="24" t="str">
        <f>IFERROR(VLOOKUP(B7240,material!A:D,3,0),"")</f>
        <v/>
      </c>
    </row>
    <row r="7241" ht="11.25" customHeight="1">
      <c r="A7241" s="21"/>
      <c r="B7241" s="22"/>
      <c r="C7241" s="21"/>
      <c r="D7241" s="21"/>
      <c r="E7241" s="21"/>
      <c r="F7241" s="21"/>
      <c r="G7241" s="23"/>
      <c r="H7241" s="24" t="str">
        <f>IFERROR(VLOOKUP(B7241,material!A:D,3,0),"")</f>
        <v/>
      </c>
    </row>
    <row r="7242" ht="11.25" customHeight="1">
      <c r="A7242" s="21"/>
      <c r="B7242" s="22"/>
      <c r="C7242" s="21"/>
      <c r="D7242" s="21"/>
      <c r="E7242" s="21"/>
      <c r="F7242" s="21"/>
      <c r="G7242" s="23"/>
      <c r="H7242" s="24" t="str">
        <f>IFERROR(VLOOKUP(B7242,material!A:D,3,0),"")</f>
        <v/>
      </c>
    </row>
    <row r="7243" ht="11.25" customHeight="1">
      <c r="A7243" s="21"/>
      <c r="B7243" s="22"/>
      <c r="C7243" s="21"/>
      <c r="D7243" s="21"/>
      <c r="E7243" s="21"/>
      <c r="F7243" s="21"/>
      <c r="G7243" s="23"/>
      <c r="H7243" s="24" t="str">
        <f>IFERROR(VLOOKUP(B7243,material!A:D,3,0),"")</f>
        <v/>
      </c>
    </row>
    <row r="7244" ht="11.25" customHeight="1">
      <c r="A7244" s="21"/>
      <c r="B7244" s="22"/>
      <c r="C7244" s="21"/>
      <c r="D7244" s="21"/>
      <c r="E7244" s="21"/>
      <c r="F7244" s="21"/>
      <c r="G7244" s="23"/>
      <c r="H7244" s="24" t="str">
        <f>IFERROR(VLOOKUP(B7244,material!A:D,3,0),"")</f>
        <v/>
      </c>
    </row>
    <row r="7245" ht="11.25" customHeight="1">
      <c r="A7245" s="21"/>
      <c r="B7245" s="22"/>
      <c r="C7245" s="21"/>
      <c r="D7245" s="21"/>
      <c r="E7245" s="21"/>
      <c r="F7245" s="21"/>
      <c r="G7245" s="23"/>
      <c r="H7245" s="24" t="str">
        <f>IFERROR(VLOOKUP(B7245,material!A:D,3,0),"")</f>
        <v/>
      </c>
    </row>
    <row r="7246" ht="11.25" customHeight="1">
      <c r="A7246" s="21"/>
      <c r="B7246" s="22"/>
      <c r="C7246" s="21"/>
      <c r="D7246" s="21"/>
      <c r="E7246" s="21"/>
      <c r="F7246" s="21"/>
      <c r="G7246" s="23"/>
      <c r="H7246" s="24" t="str">
        <f>IFERROR(VLOOKUP(B7246,material!A:D,3,0),"")</f>
        <v/>
      </c>
    </row>
    <row r="7247" ht="11.25" customHeight="1">
      <c r="A7247" s="21"/>
      <c r="B7247" s="22"/>
      <c r="C7247" s="21"/>
      <c r="D7247" s="21"/>
      <c r="E7247" s="21"/>
      <c r="F7247" s="21"/>
      <c r="G7247" s="23"/>
      <c r="H7247" s="24" t="str">
        <f>IFERROR(VLOOKUP(B7247,material!A:D,3,0),"")</f>
        <v/>
      </c>
    </row>
    <row r="7248" ht="11.25" customHeight="1">
      <c r="A7248" s="21"/>
      <c r="B7248" s="22"/>
      <c r="C7248" s="21"/>
      <c r="D7248" s="21"/>
      <c r="E7248" s="21"/>
      <c r="F7248" s="21"/>
      <c r="G7248" s="23"/>
      <c r="H7248" s="24" t="str">
        <f>IFERROR(VLOOKUP(B7248,material!A:D,3,0),"")</f>
        <v/>
      </c>
    </row>
    <row r="7249" ht="11.25" customHeight="1">
      <c r="A7249" s="21"/>
      <c r="B7249" s="22"/>
      <c r="C7249" s="21"/>
      <c r="D7249" s="21"/>
      <c r="E7249" s="21"/>
      <c r="F7249" s="21"/>
      <c r="G7249" s="23"/>
      <c r="H7249" s="24" t="str">
        <f>IFERROR(VLOOKUP(B7249,material!A:D,3,0),"")</f>
        <v/>
      </c>
    </row>
    <row r="7250" ht="11.25" customHeight="1">
      <c r="A7250" s="21"/>
      <c r="B7250" s="22"/>
      <c r="C7250" s="21"/>
      <c r="D7250" s="21"/>
      <c r="E7250" s="21"/>
      <c r="F7250" s="21"/>
      <c r="G7250" s="23"/>
      <c r="H7250" s="24" t="str">
        <f>IFERROR(VLOOKUP(B7250,material!A:D,3,0),"")</f>
        <v/>
      </c>
    </row>
    <row r="7251" ht="11.25" customHeight="1">
      <c r="A7251" s="21"/>
      <c r="B7251" s="22"/>
      <c r="C7251" s="21"/>
      <c r="D7251" s="21"/>
      <c r="E7251" s="21"/>
      <c r="F7251" s="21"/>
      <c r="G7251" s="23"/>
      <c r="H7251" s="24" t="str">
        <f>IFERROR(VLOOKUP(B7251,material!A:D,3,0),"")</f>
        <v/>
      </c>
    </row>
    <row r="7252" ht="11.25" customHeight="1">
      <c r="A7252" s="21"/>
      <c r="B7252" s="22"/>
      <c r="C7252" s="21"/>
      <c r="D7252" s="21"/>
      <c r="E7252" s="21"/>
      <c r="F7252" s="21"/>
      <c r="G7252" s="23"/>
      <c r="H7252" s="24" t="str">
        <f>IFERROR(VLOOKUP(B7252,material!A:D,3,0),"")</f>
        <v/>
      </c>
    </row>
    <row r="7253" ht="11.25" customHeight="1">
      <c r="A7253" s="21"/>
      <c r="B7253" s="22"/>
      <c r="C7253" s="21"/>
      <c r="D7253" s="21"/>
      <c r="E7253" s="21"/>
      <c r="F7253" s="21"/>
      <c r="G7253" s="23"/>
      <c r="H7253" s="24" t="str">
        <f>IFERROR(VLOOKUP(B7253,material!A:D,3,0),"")</f>
        <v/>
      </c>
    </row>
    <row r="7254" ht="11.25" customHeight="1">
      <c r="A7254" s="21"/>
      <c r="B7254" s="22"/>
      <c r="C7254" s="21"/>
      <c r="D7254" s="21"/>
      <c r="E7254" s="21"/>
      <c r="F7254" s="21"/>
      <c r="G7254" s="23"/>
      <c r="H7254" s="24" t="str">
        <f>IFERROR(VLOOKUP(B7254,material!A:D,3,0),"")</f>
        <v/>
      </c>
    </row>
    <row r="7255" ht="11.25" customHeight="1">
      <c r="A7255" s="21"/>
      <c r="B7255" s="22"/>
      <c r="C7255" s="21"/>
      <c r="D7255" s="21"/>
      <c r="E7255" s="21"/>
      <c r="F7255" s="21"/>
      <c r="G7255" s="23"/>
      <c r="H7255" s="24" t="str">
        <f>IFERROR(VLOOKUP(B7255,material!A:D,3,0),"")</f>
        <v/>
      </c>
    </row>
    <row r="7256" ht="11.25" customHeight="1">
      <c r="A7256" s="21"/>
      <c r="B7256" s="22"/>
      <c r="C7256" s="21"/>
      <c r="D7256" s="21"/>
      <c r="E7256" s="21"/>
      <c r="F7256" s="21"/>
      <c r="G7256" s="23"/>
      <c r="H7256" s="24" t="str">
        <f>IFERROR(VLOOKUP(B7256,material!A:D,3,0),"")</f>
        <v/>
      </c>
    </row>
    <row r="7257" ht="11.25" customHeight="1">
      <c r="A7257" s="21"/>
      <c r="B7257" s="22"/>
      <c r="C7257" s="21"/>
      <c r="D7257" s="21"/>
      <c r="E7257" s="21"/>
      <c r="F7257" s="21"/>
      <c r="G7257" s="23"/>
      <c r="H7257" s="24" t="str">
        <f>IFERROR(VLOOKUP(B7257,material!A:D,3,0),"")</f>
        <v/>
      </c>
    </row>
    <row r="7258" ht="11.25" customHeight="1">
      <c r="A7258" s="21"/>
      <c r="B7258" s="22"/>
      <c r="C7258" s="21"/>
      <c r="D7258" s="21"/>
      <c r="E7258" s="21"/>
      <c r="F7258" s="21"/>
      <c r="G7258" s="23"/>
      <c r="H7258" s="24" t="str">
        <f>IFERROR(VLOOKUP(B7258,material!A:D,3,0),"")</f>
        <v/>
      </c>
    </row>
    <row r="7259" ht="11.25" customHeight="1">
      <c r="A7259" s="21"/>
      <c r="B7259" s="22"/>
      <c r="C7259" s="21"/>
      <c r="D7259" s="21"/>
      <c r="E7259" s="21"/>
      <c r="F7259" s="21"/>
      <c r="G7259" s="23"/>
      <c r="H7259" s="24" t="str">
        <f>IFERROR(VLOOKUP(B7259,material!A:D,3,0),"")</f>
        <v/>
      </c>
    </row>
    <row r="7260" ht="11.25" customHeight="1">
      <c r="A7260" s="21"/>
      <c r="B7260" s="22"/>
      <c r="C7260" s="21"/>
      <c r="D7260" s="21"/>
      <c r="E7260" s="21"/>
      <c r="F7260" s="21"/>
      <c r="G7260" s="23"/>
      <c r="H7260" s="24" t="str">
        <f>IFERROR(VLOOKUP(B7260,material!A:D,3,0),"")</f>
        <v/>
      </c>
    </row>
    <row r="7261" ht="11.25" customHeight="1">
      <c r="A7261" s="21"/>
      <c r="B7261" s="22"/>
      <c r="C7261" s="21"/>
      <c r="D7261" s="21"/>
      <c r="E7261" s="21"/>
      <c r="F7261" s="21"/>
      <c r="G7261" s="23"/>
      <c r="H7261" s="24" t="str">
        <f>IFERROR(VLOOKUP(B7261,material!A:D,3,0),"")</f>
        <v/>
      </c>
    </row>
    <row r="7262" ht="11.25" customHeight="1">
      <c r="A7262" s="21"/>
      <c r="B7262" s="22"/>
      <c r="C7262" s="21"/>
      <c r="D7262" s="21"/>
      <c r="E7262" s="21"/>
      <c r="F7262" s="21"/>
      <c r="G7262" s="23"/>
      <c r="H7262" s="24" t="str">
        <f>IFERROR(VLOOKUP(B7262,material!A:D,3,0),"")</f>
        <v/>
      </c>
    </row>
    <row r="7263" ht="11.25" customHeight="1">
      <c r="A7263" s="21"/>
      <c r="B7263" s="22"/>
      <c r="C7263" s="21"/>
      <c r="D7263" s="21"/>
      <c r="E7263" s="21"/>
      <c r="F7263" s="21"/>
      <c r="G7263" s="23"/>
      <c r="H7263" s="24" t="str">
        <f>IFERROR(VLOOKUP(B7263,material!A:D,3,0),"")</f>
        <v/>
      </c>
    </row>
    <row r="7264" ht="11.25" customHeight="1">
      <c r="A7264" s="21"/>
      <c r="B7264" s="22"/>
      <c r="C7264" s="21"/>
      <c r="D7264" s="21"/>
      <c r="E7264" s="21"/>
      <c r="F7264" s="21"/>
      <c r="G7264" s="23"/>
      <c r="H7264" s="24" t="str">
        <f>IFERROR(VLOOKUP(B7264,material!A:D,3,0),"")</f>
        <v/>
      </c>
    </row>
    <row r="7265" ht="11.25" customHeight="1">
      <c r="A7265" s="21"/>
      <c r="B7265" s="22"/>
      <c r="C7265" s="21"/>
      <c r="D7265" s="21"/>
      <c r="E7265" s="21"/>
      <c r="F7265" s="21"/>
      <c r="G7265" s="23"/>
      <c r="H7265" s="24" t="str">
        <f>IFERROR(VLOOKUP(B7265,material!A:D,3,0),"")</f>
        <v/>
      </c>
    </row>
    <row r="7266" ht="11.25" customHeight="1">
      <c r="A7266" s="21"/>
      <c r="B7266" s="22"/>
      <c r="C7266" s="21"/>
      <c r="D7266" s="21"/>
      <c r="E7266" s="21"/>
      <c r="F7266" s="21"/>
      <c r="G7266" s="23"/>
      <c r="H7266" s="24" t="str">
        <f>IFERROR(VLOOKUP(B7266,material!A:D,3,0),"")</f>
        <v/>
      </c>
    </row>
    <row r="7267" ht="11.25" customHeight="1">
      <c r="A7267" s="21"/>
      <c r="B7267" s="22"/>
      <c r="C7267" s="21"/>
      <c r="D7267" s="21"/>
      <c r="E7267" s="21"/>
      <c r="F7267" s="21"/>
      <c r="G7267" s="23"/>
      <c r="H7267" s="24" t="str">
        <f>IFERROR(VLOOKUP(B7267,material!A:D,3,0),"")</f>
        <v/>
      </c>
    </row>
    <row r="7268" ht="11.25" customHeight="1">
      <c r="A7268" s="21"/>
      <c r="B7268" s="22"/>
      <c r="C7268" s="21"/>
      <c r="D7268" s="21"/>
      <c r="E7268" s="21"/>
      <c r="F7268" s="21"/>
      <c r="G7268" s="23"/>
      <c r="H7268" s="24" t="str">
        <f>IFERROR(VLOOKUP(B7268,material!A:D,3,0),"")</f>
        <v/>
      </c>
    </row>
    <row r="7269" ht="11.25" customHeight="1">
      <c r="A7269" s="21"/>
      <c r="B7269" s="22"/>
      <c r="C7269" s="21"/>
      <c r="D7269" s="21"/>
      <c r="E7269" s="21"/>
      <c r="F7269" s="21"/>
      <c r="G7269" s="23"/>
      <c r="H7269" s="24" t="str">
        <f>IFERROR(VLOOKUP(B7269,material!A:D,3,0),"")</f>
        <v/>
      </c>
    </row>
    <row r="7270" ht="11.25" customHeight="1">
      <c r="A7270" s="21"/>
      <c r="B7270" s="22"/>
      <c r="C7270" s="21"/>
      <c r="D7270" s="21"/>
      <c r="E7270" s="21"/>
      <c r="F7270" s="21"/>
      <c r="G7270" s="23"/>
      <c r="H7270" s="24" t="str">
        <f>IFERROR(VLOOKUP(B7270,material!A:D,3,0),"")</f>
        <v/>
      </c>
    </row>
    <row r="7271" ht="11.25" customHeight="1">
      <c r="A7271" s="21"/>
      <c r="B7271" s="22"/>
      <c r="C7271" s="21"/>
      <c r="D7271" s="21"/>
      <c r="E7271" s="21"/>
      <c r="F7271" s="21"/>
      <c r="G7271" s="23"/>
      <c r="H7271" s="24" t="str">
        <f>IFERROR(VLOOKUP(B7271,material!A:D,3,0),"")</f>
        <v/>
      </c>
    </row>
    <row r="7272" ht="11.25" customHeight="1">
      <c r="A7272" s="21"/>
      <c r="B7272" s="22"/>
      <c r="C7272" s="21"/>
      <c r="D7272" s="21"/>
      <c r="E7272" s="21"/>
      <c r="F7272" s="21"/>
      <c r="G7272" s="23"/>
      <c r="H7272" s="24" t="str">
        <f>IFERROR(VLOOKUP(B7272,material!A:D,3,0),"")</f>
        <v/>
      </c>
    </row>
    <row r="7273" ht="11.25" customHeight="1">
      <c r="A7273" s="21"/>
      <c r="B7273" s="22"/>
      <c r="C7273" s="21"/>
      <c r="D7273" s="21"/>
      <c r="E7273" s="21"/>
      <c r="F7273" s="21"/>
      <c r="G7273" s="23"/>
      <c r="H7273" s="24" t="str">
        <f>IFERROR(VLOOKUP(B7273,material!A:D,3,0),"")</f>
        <v/>
      </c>
    </row>
    <row r="7274" ht="11.25" customHeight="1">
      <c r="A7274" s="21"/>
      <c r="B7274" s="22"/>
      <c r="C7274" s="21"/>
      <c r="D7274" s="21"/>
      <c r="E7274" s="21"/>
      <c r="F7274" s="21"/>
      <c r="G7274" s="23"/>
      <c r="H7274" s="24" t="str">
        <f>IFERROR(VLOOKUP(B7274,material!A:D,3,0),"")</f>
        <v/>
      </c>
    </row>
    <row r="7275" ht="11.25" customHeight="1">
      <c r="A7275" s="21"/>
      <c r="B7275" s="22"/>
      <c r="C7275" s="21"/>
      <c r="D7275" s="21"/>
      <c r="E7275" s="21"/>
      <c r="F7275" s="21"/>
      <c r="G7275" s="23"/>
      <c r="H7275" s="24" t="str">
        <f>IFERROR(VLOOKUP(B7275,material!A:D,3,0),"")</f>
        <v/>
      </c>
    </row>
    <row r="7276" ht="11.25" customHeight="1">
      <c r="A7276" s="21"/>
      <c r="B7276" s="22"/>
      <c r="C7276" s="21"/>
      <c r="D7276" s="21"/>
      <c r="E7276" s="21"/>
      <c r="F7276" s="21"/>
      <c r="G7276" s="23"/>
      <c r="H7276" s="24" t="str">
        <f>IFERROR(VLOOKUP(B7276,material!A:D,3,0),"")</f>
        <v/>
      </c>
    </row>
    <row r="7277" ht="11.25" customHeight="1">
      <c r="A7277" s="21"/>
      <c r="B7277" s="22"/>
      <c r="C7277" s="21"/>
      <c r="D7277" s="21"/>
      <c r="E7277" s="21"/>
      <c r="F7277" s="21"/>
      <c r="G7277" s="23"/>
      <c r="H7277" s="24" t="str">
        <f>IFERROR(VLOOKUP(B7277,material!A:D,3,0),"")</f>
        <v/>
      </c>
    </row>
    <row r="7278" ht="11.25" customHeight="1">
      <c r="A7278" s="21"/>
      <c r="B7278" s="22"/>
      <c r="C7278" s="21"/>
      <c r="D7278" s="21"/>
      <c r="E7278" s="21"/>
      <c r="F7278" s="21"/>
      <c r="G7278" s="23"/>
      <c r="H7278" s="24" t="str">
        <f>IFERROR(VLOOKUP(B7278,material!A:D,3,0),"")</f>
        <v/>
      </c>
    </row>
    <row r="7279" ht="11.25" customHeight="1">
      <c r="A7279" s="21"/>
      <c r="B7279" s="22"/>
      <c r="C7279" s="21"/>
      <c r="D7279" s="21"/>
      <c r="E7279" s="21"/>
      <c r="F7279" s="21"/>
      <c r="G7279" s="23"/>
      <c r="H7279" s="24" t="str">
        <f>IFERROR(VLOOKUP(B7279,material!A:D,3,0),"")</f>
        <v/>
      </c>
    </row>
    <row r="7280" ht="11.25" customHeight="1">
      <c r="A7280" s="21"/>
      <c r="B7280" s="22"/>
      <c r="C7280" s="21"/>
      <c r="D7280" s="21"/>
      <c r="E7280" s="21"/>
      <c r="F7280" s="21"/>
      <c r="G7280" s="23"/>
      <c r="H7280" s="24" t="str">
        <f>IFERROR(VLOOKUP(B7280,material!A:D,3,0),"")</f>
        <v/>
      </c>
    </row>
    <row r="7281" ht="11.25" customHeight="1">
      <c r="A7281" s="21"/>
      <c r="B7281" s="22"/>
      <c r="C7281" s="21"/>
      <c r="D7281" s="21"/>
      <c r="E7281" s="21"/>
      <c r="F7281" s="21"/>
      <c r="G7281" s="23"/>
      <c r="H7281" s="24" t="str">
        <f>IFERROR(VLOOKUP(B7281,material!A:D,3,0),"")</f>
        <v/>
      </c>
    </row>
    <row r="7282" ht="11.25" customHeight="1">
      <c r="A7282" s="21"/>
      <c r="B7282" s="22"/>
      <c r="C7282" s="21"/>
      <c r="D7282" s="21"/>
      <c r="E7282" s="21"/>
      <c r="F7282" s="21"/>
      <c r="G7282" s="23"/>
      <c r="H7282" s="24" t="str">
        <f>IFERROR(VLOOKUP(B7282,material!A:D,3,0),"")</f>
        <v/>
      </c>
    </row>
    <row r="7283" ht="11.25" customHeight="1">
      <c r="A7283" s="21"/>
      <c r="B7283" s="22"/>
      <c r="C7283" s="21"/>
      <c r="D7283" s="21"/>
      <c r="E7283" s="21"/>
      <c r="F7283" s="21"/>
      <c r="G7283" s="23"/>
      <c r="H7283" s="24" t="str">
        <f>IFERROR(VLOOKUP(B7283,material!A:D,3,0),"")</f>
        <v/>
      </c>
    </row>
    <row r="7284" ht="11.25" customHeight="1">
      <c r="A7284" s="21"/>
      <c r="B7284" s="22"/>
      <c r="C7284" s="21"/>
      <c r="D7284" s="21"/>
      <c r="E7284" s="21"/>
      <c r="F7284" s="21"/>
      <c r="G7284" s="23"/>
      <c r="H7284" s="24" t="str">
        <f>IFERROR(VLOOKUP(B7284,material!A:D,3,0),"")</f>
        <v/>
      </c>
    </row>
    <row r="7285" ht="11.25" customHeight="1">
      <c r="A7285" s="21"/>
      <c r="B7285" s="22"/>
      <c r="C7285" s="21"/>
      <c r="D7285" s="21"/>
      <c r="E7285" s="21"/>
      <c r="F7285" s="21"/>
      <c r="G7285" s="23"/>
      <c r="H7285" s="24" t="str">
        <f>IFERROR(VLOOKUP(B7285,material!A:D,3,0),"")</f>
        <v/>
      </c>
    </row>
    <row r="7286" ht="11.25" customHeight="1">
      <c r="A7286" s="21"/>
      <c r="B7286" s="22"/>
      <c r="C7286" s="21"/>
      <c r="D7286" s="21"/>
      <c r="E7286" s="21"/>
      <c r="F7286" s="21"/>
      <c r="G7286" s="23"/>
      <c r="H7286" s="24" t="str">
        <f>IFERROR(VLOOKUP(B7286,material!A:D,3,0),"")</f>
        <v/>
      </c>
    </row>
    <row r="7287" ht="11.25" customHeight="1">
      <c r="A7287" s="21"/>
      <c r="B7287" s="22"/>
      <c r="C7287" s="21"/>
      <c r="D7287" s="21"/>
      <c r="E7287" s="21"/>
      <c r="F7287" s="21"/>
      <c r="G7287" s="23"/>
      <c r="H7287" s="24" t="str">
        <f>IFERROR(VLOOKUP(B7287,material!A:D,3,0),"")</f>
        <v/>
      </c>
    </row>
    <row r="7288" ht="11.25" customHeight="1">
      <c r="A7288" s="21"/>
      <c r="B7288" s="22"/>
      <c r="C7288" s="21"/>
      <c r="D7288" s="21"/>
      <c r="E7288" s="21"/>
      <c r="F7288" s="21"/>
      <c r="G7288" s="23"/>
      <c r="H7288" s="24" t="str">
        <f>IFERROR(VLOOKUP(B7288,material!A:D,3,0),"")</f>
        <v/>
      </c>
    </row>
    <row r="7289" ht="11.25" customHeight="1">
      <c r="A7289" s="21"/>
      <c r="B7289" s="22"/>
      <c r="C7289" s="21"/>
      <c r="D7289" s="21"/>
      <c r="E7289" s="21"/>
      <c r="F7289" s="21"/>
      <c r="G7289" s="23"/>
      <c r="H7289" s="24" t="str">
        <f>IFERROR(VLOOKUP(B7289,material!A:D,3,0),"")</f>
        <v/>
      </c>
    </row>
    <row r="7290" ht="11.25" customHeight="1">
      <c r="A7290" s="21"/>
      <c r="B7290" s="22"/>
      <c r="C7290" s="21"/>
      <c r="D7290" s="21"/>
      <c r="E7290" s="21"/>
      <c r="F7290" s="21"/>
      <c r="G7290" s="23"/>
      <c r="H7290" s="24" t="str">
        <f>IFERROR(VLOOKUP(B7290,material!A:D,3,0),"")</f>
        <v/>
      </c>
    </row>
    <row r="7291" ht="11.25" customHeight="1">
      <c r="A7291" s="21"/>
      <c r="B7291" s="22"/>
      <c r="C7291" s="21"/>
      <c r="D7291" s="21"/>
      <c r="E7291" s="21"/>
      <c r="F7291" s="21"/>
      <c r="G7291" s="23"/>
      <c r="H7291" s="24" t="str">
        <f>IFERROR(VLOOKUP(B7291,material!A:D,3,0),"")</f>
        <v/>
      </c>
    </row>
    <row r="7292" ht="11.25" customHeight="1">
      <c r="A7292" s="21"/>
      <c r="B7292" s="22"/>
      <c r="C7292" s="21"/>
      <c r="D7292" s="21"/>
      <c r="E7292" s="21"/>
      <c r="F7292" s="21"/>
      <c r="G7292" s="23"/>
      <c r="H7292" s="24" t="str">
        <f>IFERROR(VLOOKUP(B7292,material!A:D,3,0),"")</f>
        <v/>
      </c>
    </row>
    <row r="7293" ht="11.25" customHeight="1">
      <c r="A7293" s="21"/>
      <c r="B7293" s="22"/>
      <c r="C7293" s="21"/>
      <c r="D7293" s="21"/>
      <c r="E7293" s="21"/>
      <c r="F7293" s="21"/>
      <c r="G7293" s="23"/>
      <c r="H7293" s="24" t="str">
        <f>IFERROR(VLOOKUP(B7293,material!A:D,3,0),"")</f>
        <v/>
      </c>
    </row>
    <row r="7294" ht="11.25" customHeight="1">
      <c r="A7294" s="21"/>
      <c r="B7294" s="22"/>
      <c r="C7294" s="21"/>
      <c r="D7294" s="21"/>
      <c r="E7294" s="21"/>
      <c r="F7294" s="21"/>
      <c r="G7294" s="23"/>
      <c r="H7294" s="24" t="str">
        <f>IFERROR(VLOOKUP(B7294,material!A:D,3,0),"")</f>
        <v/>
      </c>
    </row>
    <row r="7295" ht="11.25" customHeight="1">
      <c r="A7295" s="21"/>
      <c r="B7295" s="22"/>
      <c r="C7295" s="21"/>
      <c r="D7295" s="21"/>
      <c r="E7295" s="21"/>
      <c r="F7295" s="21"/>
      <c r="G7295" s="23"/>
      <c r="H7295" s="24" t="str">
        <f>IFERROR(VLOOKUP(B7295,material!A:D,3,0),"")</f>
        <v/>
      </c>
    </row>
    <row r="7296" ht="11.25" customHeight="1">
      <c r="A7296" s="21"/>
      <c r="B7296" s="22"/>
      <c r="C7296" s="21"/>
      <c r="D7296" s="21"/>
      <c r="E7296" s="21"/>
      <c r="F7296" s="21"/>
      <c r="G7296" s="23"/>
      <c r="H7296" s="24" t="str">
        <f>IFERROR(VLOOKUP(B7296,material!A:D,3,0),"")</f>
        <v/>
      </c>
    </row>
    <row r="7297" ht="11.25" customHeight="1">
      <c r="A7297" s="21"/>
      <c r="B7297" s="22"/>
      <c r="C7297" s="21"/>
      <c r="D7297" s="21"/>
      <c r="E7297" s="21"/>
      <c r="F7297" s="21"/>
      <c r="G7297" s="23"/>
      <c r="H7297" s="24" t="str">
        <f>IFERROR(VLOOKUP(B7297,material!A:D,3,0),"")</f>
        <v/>
      </c>
    </row>
    <row r="7298" ht="11.25" customHeight="1">
      <c r="A7298" s="21"/>
      <c r="B7298" s="22"/>
      <c r="C7298" s="21"/>
      <c r="D7298" s="21"/>
      <c r="E7298" s="21"/>
      <c r="F7298" s="21"/>
      <c r="G7298" s="23"/>
      <c r="H7298" s="24" t="str">
        <f>IFERROR(VLOOKUP(B7298,material!A:D,3,0),"")</f>
        <v/>
      </c>
    </row>
    <row r="7299" ht="11.25" customHeight="1">
      <c r="A7299" s="21"/>
      <c r="B7299" s="22"/>
      <c r="C7299" s="21"/>
      <c r="D7299" s="21"/>
      <c r="E7299" s="21"/>
      <c r="F7299" s="21"/>
      <c r="G7299" s="23"/>
      <c r="H7299" s="24" t="str">
        <f>IFERROR(VLOOKUP(B7299,material!A:D,3,0),"")</f>
        <v/>
      </c>
    </row>
    <row r="7300" ht="11.25" customHeight="1">
      <c r="A7300" s="21"/>
      <c r="B7300" s="22"/>
      <c r="C7300" s="21"/>
      <c r="D7300" s="21"/>
      <c r="E7300" s="21"/>
      <c r="F7300" s="21"/>
      <c r="G7300" s="23"/>
      <c r="H7300" s="24" t="str">
        <f>IFERROR(VLOOKUP(B7300,material!A:D,3,0),"")</f>
        <v/>
      </c>
    </row>
    <row r="7301" ht="11.25" customHeight="1">
      <c r="A7301" s="21"/>
      <c r="B7301" s="22"/>
      <c r="C7301" s="21"/>
      <c r="D7301" s="21"/>
      <c r="E7301" s="21"/>
      <c r="F7301" s="21"/>
      <c r="G7301" s="23"/>
      <c r="H7301" s="24" t="str">
        <f>IFERROR(VLOOKUP(B7301,material!A:D,3,0),"")</f>
        <v/>
      </c>
    </row>
    <row r="7302" ht="11.25" customHeight="1">
      <c r="A7302" s="21"/>
      <c r="B7302" s="22"/>
      <c r="C7302" s="21"/>
      <c r="D7302" s="21"/>
      <c r="E7302" s="21"/>
      <c r="F7302" s="21"/>
      <c r="G7302" s="23"/>
      <c r="H7302" s="24" t="str">
        <f>IFERROR(VLOOKUP(B7302,material!A:D,3,0),"")</f>
        <v/>
      </c>
    </row>
    <row r="7303" ht="11.25" customHeight="1">
      <c r="A7303" s="21"/>
      <c r="B7303" s="22"/>
      <c r="C7303" s="21"/>
      <c r="D7303" s="21"/>
      <c r="E7303" s="21"/>
      <c r="F7303" s="21"/>
      <c r="G7303" s="23"/>
      <c r="H7303" s="24" t="str">
        <f>IFERROR(VLOOKUP(B7303,material!A:D,3,0),"")</f>
        <v/>
      </c>
    </row>
    <row r="7304" ht="11.25" customHeight="1">
      <c r="A7304" s="21"/>
      <c r="B7304" s="22"/>
      <c r="C7304" s="21"/>
      <c r="D7304" s="21"/>
      <c r="E7304" s="21"/>
      <c r="F7304" s="21"/>
      <c r="G7304" s="23"/>
      <c r="H7304" s="24" t="str">
        <f>IFERROR(VLOOKUP(B7304,material!A:D,3,0),"")</f>
        <v/>
      </c>
    </row>
    <row r="7305" ht="11.25" customHeight="1">
      <c r="A7305" s="21"/>
      <c r="B7305" s="22"/>
      <c r="C7305" s="21"/>
      <c r="D7305" s="21"/>
      <c r="E7305" s="21"/>
      <c r="F7305" s="21"/>
      <c r="G7305" s="23"/>
      <c r="H7305" s="24" t="str">
        <f>IFERROR(VLOOKUP(B7305,material!A:D,3,0),"")</f>
        <v/>
      </c>
    </row>
    <row r="7306" ht="11.25" customHeight="1">
      <c r="A7306" s="21"/>
      <c r="B7306" s="22"/>
      <c r="C7306" s="21"/>
      <c r="D7306" s="21"/>
      <c r="E7306" s="21"/>
      <c r="F7306" s="21"/>
      <c r="G7306" s="23"/>
      <c r="H7306" s="24" t="str">
        <f>IFERROR(VLOOKUP(B7306,material!A:D,3,0),"")</f>
        <v/>
      </c>
    </row>
    <row r="7307" ht="11.25" customHeight="1">
      <c r="A7307" s="21"/>
      <c r="B7307" s="22"/>
      <c r="C7307" s="21"/>
      <c r="D7307" s="21"/>
      <c r="E7307" s="21"/>
      <c r="F7307" s="21"/>
      <c r="G7307" s="23"/>
      <c r="H7307" s="24" t="str">
        <f>IFERROR(VLOOKUP(B7307,material!A:D,3,0),"")</f>
        <v/>
      </c>
    </row>
    <row r="7308" ht="11.25" customHeight="1">
      <c r="A7308" s="21"/>
      <c r="B7308" s="22"/>
      <c r="C7308" s="21"/>
      <c r="D7308" s="21"/>
      <c r="E7308" s="21"/>
      <c r="F7308" s="21"/>
      <c r="G7308" s="23"/>
      <c r="H7308" s="24" t="str">
        <f>IFERROR(VLOOKUP(B7308,material!A:D,3,0),"")</f>
        <v/>
      </c>
    </row>
    <row r="7309" ht="11.25" customHeight="1">
      <c r="A7309" s="21"/>
      <c r="B7309" s="22"/>
      <c r="C7309" s="21"/>
      <c r="D7309" s="21"/>
      <c r="E7309" s="21"/>
      <c r="F7309" s="21"/>
      <c r="G7309" s="23"/>
      <c r="H7309" s="24" t="str">
        <f>IFERROR(VLOOKUP(B7309,material!A:D,3,0),"")</f>
        <v/>
      </c>
    </row>
    <row r="7310" ht="11.25" customHeight="1">
      <c r="A7310" s="21"/>
      <c r="B7310" s="22"/>
      <c r="C7310" s="21"/>
      <c r="D7310" s="21"/>
      <c r="E7310" s="21"/>
      <c r="F7310" s="21"/>
      <c r="G7310" s="23"/>
      <c r="H7310" s="24" t="str">
        <f>IFERROR(VLOOKUP(B7310,material!A:D,3,0),"")</f>
        <v/>
      </c>
    </row>
    <row r="7311" ht="11.25" customHeight="1">
      <c r="A7311" s="21"/>
      <c r="B7311" s="22"/>
      <c r="C7311" s="21"/>
      <c r="D7311" s="21"/>
      <c r="E7311" s="21"/>
      <c r="F7311" s="21"/>
      <c r="G7311" s="23"/>
      <c r="H7311" s="24" t="str">
        <f>IFERROR(VLOOKUP(B7311,material!A:D,3,0),"")</f>
        <v/>
      </c>
    </row>
    <row r="7312" ht="11.25" customHeight="1">
      <c r="A7312" s="21"/>
      <c r="B7312" s="22"/>
      <c r="C7312" s="21"/>
      <c r="D7312" s="21"/>
      <c r="E7312" s="21"/>
      <c r="F7312" s="21"/>
      <c r="G7312" s="23"/>
      <c r="H7312" s="24" t="str">
        <f>IFERROR(VLOOKUP(B7312,material!A:D,3,0),"")</f>
        <v/>
      </c>
    </row>
    <row r="7313" ht="11.25" customHeight="1">
      <c r="A7313" s="21"/>
      <c r="B7313" s="22"/>
      <c r="C7313" s="21"/>
      <c r="D7313" s="21"/>
      <c r="E7313" s="21"/>
      <c r="F7313" s="21"/>
      <c r="G7313" s="23"/>
      <c r="H7313" s="24" t="str">
        <f>IFERROR(VLOOKUP(B7313,material!A:D,3,0),"")</f>
        <v/>
      </c>
    </row>
    <row r="7314" ht="11.25" customHeight="1">
      <c r="A7314" s="21"/>
      <c r="B7314" s="22"/>
      <c r="C7314" s="21"/>
      <c r="D7314" s="21"/>
      <c r="E7314" s="21"/>
      <c r="F7314" s="21"/>
      <c r="G7314" s="23"/>
      <c r="H7314" s="24" t="str">
        <f>IFERROR(VLOOKUP(B7314,material!A:D,3,0),"")</f>
        <v/>
      </c>
    </row>
    <row r="7315" ht="11.25" customHeight="1">
      <c r="A7315" s="21"/>
      <c r="B7315" s="22"/>
      <c r="C7315" s="21"/>
      <c r="D7315" s="21"/>
      <c r="E7315" s="21"/>
      <c r="F7315" s="21"/>
      <c r="G7315" s="23"/>
      <c r="H7315" s="24" t="str">
        <f>IFERROR(VLOOKUP(B7315,material!A:D,3,0),"")</f>
        <v/>
      </c>
    </row>
    <row r="7316" ht="11.25" customHeight="1">
      <c r="A7316" s="21"/>
      <c r="B7316" s="22"/>
      <c r="C7316" s="21"/>
      <c r="D7316" s="21"/>
      <c r="E7316" s="21"/>
      <c r="F7316" s="21"/>
      <c r="G7316" s="23"/>
      <c r="H7316" s="24" t="str">
        <f>IFERROR(VLOOKUP(B7316,material!A:D,3,0),"")</f>
        <v/>
      </c>
    </row>
    <row r="7317" ht="11.25" customHeight="1">
      <c r="A7317" s="21"/>
      <c r="B7317" s="22"/>
      <c r="C7317" s="21"/>
      <c r="D7317" s="21"/>
      <c r="E7317" s="21"/>
      <c r="F7317" s="21"/>
      <c r="G7317" s="23"/>
      <c r="H7317" s="24" t="str">
        <f>IFERROR(VLOOKUP(B7317,material!A:D,3,0),"")</f>
        <v/>
      </c>
    </row>
    <row r="7318" ht="11.25" customHeight="1">
      <c r="A7318" s="21"/>
      <c r="B7318" s="22"/>
      <c r="C7318" s="21"/>
      <c r="D7318" s="21"/>
      <c r="E7318" s="21"/>
      <c r="F7318" s="21"/>
      <c r="G7318" s="23"/>
      <c r="H7318" s="24" t="str">
        <f>IFERROR(VLOOKUP(B7318,material!A:D,3,0),"")</f>
        <v/>
      </c>
    </row>
    <row r="7319" ht="11.25" customHeight="1">
      <c r="A7319" s="21"/>
      <c r="B7319" s="22"/>
      <c r="C7319" s="21"/>
      <c r="D7319" s="21"/>
      <c r="E7319" s="21"/>
      <c r="F7319" s="21"/>
      <c r="G7319" s="23"/>
      <c r="H7319" s="24" t="str">
        <f>IFERROR(VLOOKUP(B7319,material!A:D,3,0),"")</f>
        <v/>
      </c>
    </row>
    <row r="7320" ht="11.25" customHeight="1">
      <c r="A7320" s="21"/>
      <c r="B7320" s="22"/>
      <c r="C7320" s="21"/>
      <c r="D7320" s="21"/>
      <c r="E7320" s="21"/>
      <c r="F7320" s="21"/>
      <c r="G7320" s="23"/>
      <c r="H7320" s="24" t="str">
        <f>IFERROR(VLOOKUP(B7320,material!A:D,3,0),"")</f>
        <v/>
      </c>
    </row>
    <row r="7321" ht="11.25" customHeight="1">
      <c r="A7321" s="21"/>
      <c r="B7321" s="22"/>
      <c r="C7321" s="21"/>
      <c r="D7321" s="21"/>
      <c r="E7321" s="21"/>
      <c r="F7321" s="21"/>
      <c r="G7321" s="23"/>
      <c r="H7321" s="24" t="str">
        <f>IFERROR(VLOOKUP(B7321,material!A:D,3,0),"")</f>
        <v/>
      </c>
    </row>
    <row r="7322" ht="11.25" customHeight="1">
      <c r="A7322" s="21"/>
      <c r="B7322" s="22"/>
      <c r="C7322" s="21"/>
      <c r="D7322" s="21"/>
      <c r="E7322" s="21"/>
      <c r="F7322" s="21"/>
      <c r="G7322" s="23"/>
      <c r="H7322" s="24" t="str">
        <f>IFERROR(VLOOKUP(B7322,material!A:D,3,0),"")</f>
        <v/>
      </c>
    </row>
    <row r="7323" ht="11.25" customHeight="1">
      <c r="A7323" s="21"/>
      <c r="B7323" s="22"/>
      <c r="C7323" s="21"/>
      <c r="D7323" s="21"/>
      <c r="E7323" s="21"/>
      <c r="F7323" s="21"/>
      <c r="G7323" s="23"/>
      <c r="H7323" s="24" t="str">
        <f>IFERROR(VLOOKUP(B7323,material!A:D,3,0),"")</f>
        <v/>
      </c>
    </row>
    <row r="7324" ht="11.25" customHeight="1">
      <c r="A7324" s="21"/>
      <c r="B7324" s="22"/>
      <c r="C7324" s="21"/>
      <c r="D7324" s="21"/>
      <c r="E7324" s="21"/>
      <c r="F7324" s="21"/>
      <c r="G7324" s="23"/>
      <c r="H7324" s="24" t="str">
        <f>IFERROR(VLOOKUP(B7324,material!A:D,3,0),"")</f>
        <v/>
      </c>
    </row>
    <row r="7325" ht="11.25" customHeight="1">
      <c r="A7325" s="21"/>
      <c r="B7325" s="22"/>
      <c r="C7325" s="21"/>
      <c r="D7325" s="21"/>
      <c r="E7325" s="21"/>
      <c r="F7325" s="21"/>
      <c r="G7325" s="23"/>
      <c r="H7325" s="24" t="str">
        <f>IFERROR(VLOOKUP(B7325,material!A:D,3,0),"")</f>
        <v/>
      </c>
    </row>
    <row r="7326" ht="11.25" customHeight="1">
      <c r="A7326" s="21"/>
      <c r="B7326" s="22"/>
      <c r="C7326" s="21"/>
      <c r="D7326" s="21"/>
      <c r="E7326" s="21"/>
      <c r="F7326" s="21"/>
      <c r="G7326" s="23"/>
      <c r="H7326" s="24" t="str">
        <f>IFERROR(VLOOKUP(B7326,material!A:D,3,0),"")</f>
        <v/>
      </c>
    </row>
    <row r="7327" ht="11.25" customHeight="1">
      <c r="A7327" s="21"/>
      <c r="B7327" s="22"/>
      <c r="C7327" s="21"/>
      <c r="D7327" s="21"/>
      <c r="E7327" s="21"/>
      <c r="F7327" s="21"/>
      <c r="G7327" s="23"/>
      <c r="H7327" s="24" t="str">
        <f>IFERROR(VLOOKUP(B7327,material!A:D,3,0),"")</f>
        <v/>
      </c>
    </row>
    <row r="7328" ht="11.25" customHeight="1">
      <c r="A7328" s="21"/>
      <c r="B7328" s="22"/>
      <c r="C7328" s="21"/>
      <c r="D7328" s="21"/>
      <c r="E7328" s="21"/>
      <c r="F7328" s="21"/>
      <c r="G7328" s="23"/>
      <c r="H7328" s="24" t="str">
        <f>IFERROR(VLOOKUP(B7328,material!A:D,3,0),"")</f>
        <v/>
      </c>
    </row>
    <row r="7329" ht="11.25" customHeight="1">
      <c r="A7329" s="21"/>
      <c r="B7329" s="22"/>
      <c r="C7329" s="21"/>
      <c r="D7329" s="21"/>
      <c r="E7329" s="21"/>
      <c r="F7329" s="21"/>
      <c r="G7329" s="23"/>
      <c r="H7329" s="24" t="str">
        <f>IFERROR(VLOOKUP(B7329,material!A:D,3,0),"")</f>
        <v/>
      </c>
    </row>
    <row r="7330" ht="11.25" customHeight="1">
      <c r="A7330" s="21"/>
      <c r="B7330" s="22"/>
      <c r="C7330" s="21"/>
      <c r="D7330" s="21"/>
      <c r="E7330" s="21"/>
      <c r="F7330" s="21"/>
      <c r="G7330" s="23"/>
      <c r="H7330" s="24" t="str">
        <f>IFERROR(VLOOKUP(B7330,material!A:D,3,0),"")</f>
        <v/>
      </c>
    </row>
    <row r="7331" ht="11.25" customHeight="1">
      <c r="A7331" s="21"/>
      <c r="B7331" s="22"/>
      <c r="C7331" s="21"/>
      <c r="D7331" s="21"/>
      <c r="E7331" s="21"/>
      <c r="F7331" s="21"/>
      <c r="G7331" s="23"/>
      <c r="H7331" s="24" t="str">
        <f>IFERROR(VLOOKUP(B7331,material!A:D,3,0),"")</f>
        <v/>
      </c>
    </row>
    <row r="7332" ht="11.25" customHeight="1">
      <c r="A7332" s="21"/>
      <c r="B7332" s="22"/>
      <c r="C7332" s="21"/>
      <c r="D7332" s="21"/>
      <c r="E7332" s="21"/>
      <c r="F7332" s="21"/>
      <c r="G7332" s="23"/>
      <c r="H7332" s="24" t="str">
        <f>IFERROR(VLOOKUP(B7332,material!A:D,3,0),"")</f>
        <v/>
      </c>
    </row>
    <row r="7333" ht="11.25" customHeight="1">
      <c r="A7333" s="21"/>
      <c r="B7333" s="22"/>
      <c r="C7333" s="21"/>
      <c r="D7333" s="21"/>
      <c r="E7333" s="21"/>
      <c r="F7333" s="21"/>
      <c r="G7333" s="23"/>
      <c r="H7333" s="24" t="str">
        <f>IFERROR(VLOOKUP(B7333,material!A:D,3,0),"")</f>
        <v/>
      </c>
    </row>
    <row r="7334" ht="11.25" customHeight="1">
      <c r="A7334" s="21"/>
      <c r="B7334" s="22"/>
      <c r="C7334" s="21"/>
      <c r="D7334" s="21"/>
      <c r="E7334" s="21"/>
      <c r="F7334" s="21"/>
      <c r="G7334" s="23"/>
      <c r="H7334" s="24" t="str">
        <f>IFERROR(VLOOKUP(B7334,material!A:D,3,0),"")</f>
        <v/>
      </c>
    </row>
    <row r="7335" ht="11.25" customHeight="1">
      <c r="A7335" s="21"/>
      <c r="B7335" s="22"/>
      <c r="C7335" s="21"/>
      <c r="D7335" s="21"/>
      <c r="E7335" s="21"/>
      <c r="F7335" s="21"/>
      <c r="G7335" s="23"/>
      <c r="H7335" s="24" t="str">
        <f>IFERROR(VLOOKUP(B7335,material!A:D,3,0),"")</f>
        <v/>
      </c>
    </row>
    <row r="7336" ht="11.25" customHeight="1">
      <c r="A7336" s="21"/>
      <c r="B7336" s="22"/>
      <c r="C7336" s="21"/>
      <c r="D7336" s="21"/>
      <c r="E7336" s="21"/>
      <c r="F7336" s="21"/>
      <c r="G7336" s="23"/>
      <c r="H7336" s="24" t="str">
        <f>IFERROR(VLOOKUP(B7336,material!A:D,3,0),"")</f>
        <v/>
      </c>
    </row>
    <row r="7337" ht="11.25" customHeight="1">
      <c r="A7337" s="21"/>
      <c r="B7337" s="22"/>
      <c r="C7337" s="21"/>
      <c r="D7337" s="21"/>
      <c r="E7337" s="21"/>
      <c r="F7337" s="21"/>
      <c r="G7337" s="23"/>
      <c r="H7337" s="24" t="str">
        <f>IFERROR(VLOOKUP(B7337,material!A:D,3,0),"")</f>
        <v/>
      </c>
    </row>
    <row r="7338" ht="11.25" customHeight="1">
      <c r="A7338" s="21"/>
      <c r="B7338" s="22"/>
      <c r="C7338" s="21"/>
      <c r="D7338" s="21"/>
      <c r="E7338" s="21"/>
      <c r="F7338" s="21"/>
      <c r="G7338" s="23"/>
      <c r="H7338" s="24" t="str">
        <f>IFERROR(VLOOKUP(B7338,material!A:D,3,0),"")</f>
        <v/>
      </c>
    </row>
    <row r="7339" ht="11.25" customHeight="1">
      <c r="A7339" s="21"/>
      <c r="B7339" s="22"/>
      <c r="C7339" s="21"/>
      <c r="D7339" s="21"/>
      <c r="E7339" s="21"/>
      <c r="F7339" s="21"/>
      <c r="G7339" s="23"/>
      <c r="H7339" s="24" t="str">
        <f>IFERROR(VLOOKUP(B7339,material!A:D,3,0),"")</f>
        <v/>
      </c>
    </row>
    <row r="7340" ht="11.25" customHeight="1">
      <c r="A7340" s="21"/>
      <c r="B7340" s="22"/>
      <c r="C7340" s="21"/>
      <c r="D7340" s="21"/>
      <c r="E7340" s="21"/>
      <c r="F7340" s="21"/>
      <c r="G7340" s="23"/>
      <c r="H7340" s="24" t="str">
        <f>IFERROR(VLOOKUP(B7340,material!A:D,3,0),"")</f>
        <v/>
      </c>
    </row>
    <row r="7341" ht="11.25" customHeight="1">
      <c r="A7341" s="21"/>
      <c r="B7341" s="22"/>
      <c r="C7341" s="21"/>
      <c r="D7341" s="21"/>
      <c r="E7341" s="21"/>
      <c r="F7341" s="21"/>
      <c r="G7341" s="23"/>
      <c r="H7341" s="24" t="str">
        <f>IFERROR(VLOOKUP(B7341,material!A:D,3,0),"")</f>
        <v/>
      </c>
    </row>
    <row r="7342" ht="11.25" customHeight="1">
      <c r="A7342" s="21"/>
      <c r="B7342" s="22"/>
      <c r="C7342" s="21"/>
      <c r="D7342" s="21"/>
      <c r="E7342" s="21"/>
      <c r="F7342" s="21"/>
      <c r="G7342" s="23"/>
      <c r="H7342" s="24" t="str">
        <f>IFERROR(VLOOKUP(B7342,material!A:D,3,0),"")</f>
        <v/>
      </c>
    </row>
    <row r="7343" ht="11.25" customHeight="1">
      <c r="A7343" s="21"/>
      <c r="B7343" s="22"/>
      <c r="C7343" s="21"/>
      <c r="D7343" s="21"/>
      <c r="E7343" s="21"/>
      <c r="F7343" s="21"/>
      <c r="G7343" s="23"/>
      <c r="H7343" s="24" t="str">
        <f>IFERROR(VLOOKUP(B7343,material!A:D,3,0),"")</f>
        <v/>
      </c>
    </row>
    <row r="7344" ht="11.25" customHeight="1">
      <c r="A7344" s="21"/>
      <c r="B7344" s="22"/>
      <c r="C7344" s="21"/>
      <c r="D7344" s="21"/>
      <c r="E7344" s="21"/>
      <c r="F7344" s="21"/>
      <c r="G7344" s="23"/>
      <c r="H7344" s="24" t="str">
        <f>IFERROR(VLOOKUP(B7344,material!A:D,3,0),"")</f>
        <v/>
      </c>
    </row>
    <row r="7345" ht="11.25" customHeight="1">
      <c r="A7345" s="21"/>
      <c r="B7345" s="22"/>
      <c r="C7345" s="21"/>
      <c r="D7345" s="21"/>
      <c r="E7345" s="21"/>
      <c r="F7345" s="21"/>
      <c r="G7345" s="23"/>
      <c r="H7345" s="24" t="str">
        <f>IFERROR(VLOOKUP(B7345,material!A:D,3,0),"")</f>
        <v/>
      </c>
    </row>
    <row r="7346" ht="11.25" customHeight="1">
      <c r="A7346" s="21"/>
      <c r="B7346" s="22"/>
      <c r="C7346" s="21"/>
      <c r="D7346" s="21"/>
      <c r="E7346" s="21"/>
      <c r="F7346" s="21"/>
      <c r="G7346" s="23"/>
      <c r="H7346" s="24" t="str">
        <f>IFERROR(VLOOKUP(B7346,material!A:D,3,0),"")</f>
        <v/>
      </c>
    </row>
    <row r="7347" ht="11.25" customHeight="1">
      <c r="A7347" s="21"/>
      <c r="B7347" s="22"/>
      <c r="C7347" s="21"/>
      <c r="D7347" s="21"/>
      <c r="E7347" s="21"/>
      <c r="F7347" s="21"/>
      <c r="G7347" s="23"/>
      <c r="H7347" s="24" t="str">
        <f>IFERROR(VLOOKUP(B7347,material!A:D,3,0),"")</f>
        <v/>
      </c>
    </row>
    <row r="7348" ht="11.25" customHeight="1">
      <c r="A7348" s="21"/>
      <c r="B7348" s="22"/>
      <c r="C7348" s="21"/>
      <c r="D7348" s="21"/>
      <c r="E7348" s="21"/>
      <c r="F7348" s="21"/>
      <c r="G7348" s="23"/>
      <c r="H7348" s="24" t="str">
        <f>IFERROR(VLOOKUP(B7348,material!A:D,3,0),"")</f>
        <v/>
      </c>
    </row>
    <row r="7349" ht="11.25" customHeight="1">
      <c r="A7349" s="21"/>
      <c r="B7349" s="22"/>
      <c r="C7349" s="21"/>
      <c r="D7349" s="21"/>
      <c r="E7349" s="21"/>
      <c r="F7349" s="21"/>
      <c r="G7349" s="23"/>
      <c r="H7349" s="24" t="str">
        <f>IFERROR(VLOOKUP(B7349,material!A:D,3,0),"")</f>
        <v/>
      </c>
    </row>
    <row r="7350" ht="11.25" customHeight="1">
      <c r="A7350" s="21"/>
      <c r="B7350" s="22"/>
      <c r="C7350" s="21"/>
      <c r="D7350" s="21"/>
      <c r="E7350" s="21"/>
      <c r="F7350" s="21"/>
      <c r="G7350" s="23"/>
      <c r="H7350" s="24" t="str">
        <f>IFERROR(VLOOKUP(B7350,material!A:D,3,0),"")</f>
        <v/>
      </c>
    </row>
    <row r="7351" ht="11.25" customHeight="1">
      <c r="A7351" s="21"/>
      <c r="B7351" s="22"/>
      <c r="C7351" s="21"/>
      <c r="D7351" s="21"/>
      <c r="E7351" s="21"/>
      <c r="F7351" s="21"/>
      <c r="G7351" s="23"/>
      <c r="H7351" s="24" t="str">
        <f>IFERROR(VLOOKUP(B7351,material!A:D,3,0),"")</f>
        <v/>
      </c>
    </row>
    <row r="7352" ht="11.25" customHeight="1">
      <c r="A7352" s="21"/>
      <c r="B7352" s="22"/>
      <c r="C7352" s="21"/>
      <c r="D7352" s="21"/>
      <c r="E7352" s="21"/>
      <c r="F7352" s="21"/>
      <c r="G7352" s="23"/>
      <c r="H7352" s="24" t="str">
        <f>IFERROR(VLOOKUP(B7352,material!A:D,3,0),"")</f>
        <v/>
      </c>
    </row>
    <row r="7353" ht="11.25" customHeight="1">
      <c r="A7353" s="21"/>
      <c r="B7353" s="22"/>
      <c r="C7353" s="21"/>
      <c r="D7353" s="21"/>
      <c r="E7353" s="21"/>
      <c r="F7353" s="21"/>
      <c r="G7353" s="23"/>
      <c r="H7353" s="24" t="str">
        <f>IFERROR(VLOOKUP(B7353,material!A:D,3,0),"")</f>
        <v/>
      </c>
    </row>
    <row r="7354" ht="11.25" customHeight="1">
      <c r="A7354" s="21"/>
      <c r="B7354" s="22"/>
      <c r="C7354" s="21"/>
      <c r="D7354" s="21"/>
      <c r="E7354" s="21"/>
      <c r="F7354" s="21"/>
      <c r="G7354" s="23"/>
      <c r="H7354" s="24" t="str">
        <f>IFERROR(VLOOKUP(B7354,material!A:D,3,0),"")</f>
        <v/>
      </c>
    </row>
    <row r="7355" ht="11.25" customHeight="1">
      <c r="A7355" s="21"/>
      <c r="B7355" s="22"/>
      <c r="C7355" s="21"/>
      <c r="D7355" s="21"/>
      <c r="E7355" s="21"/>
      <c r="F7355" s="21"/>
      <c r="G7355" s="23"/>
      <c r="H7355" s="24" t="str">
        <f>IFERROR(VLOOKUP(B7355,material!A:D,3,0),"")</f>
        <v/>
      </c>
    </row>
    <row r="7356" ht="11.25" customHeight="1">
      <c r="A7356" s="21"/>
      <c r="B7356" s="22"/>
      <c r="C7356" s="21"/>
      <c r="D7356" s="21"/>
      <c r="E7356" s="21"/>
      <c r="F7356" s="21"/>
      <c r="G7356" s="23"/>
      <c r="H7356" s="24" t="str">
        <f>IFERROR(VLOOKUP(B7356,material!A:D,3,0),"")</f>
        <v/>
      </c>
    </row>
    <row r="7357" ht="11.25" customHeight="1">
      <c r="A7357" s="21"/>
      <c r="B7357" s="22"/>
      <c r="C7357" s="21"/>
      <c r="D7357" s="21"/>
      <c r="E7357" s="21"/>
      <c r="F7357" s="21"/>
      <c r="G7357" s="23"/>
      <c r="H7357" s="24" t="str">
        <f>IFERROR(VLOOKUP(B7357,material!A:D,3,0),"")</f>
        <v/>
      </c>
    </row>
    <row r="7358" ht="11.25" customHeight="1">
      <c r="A7358" s="21"/>
      <c r="B7358" s="22"/>
      <c r="C7358" s="21"/>
      <c r="D7358" s="21"/>
      <c r="E7358" s="21"/>
      <c r="F7358" s="21"/>
      <c r="G7358" s="23"/>
      <c r="H7358" s="24" t="str">
        <f>IFERROR(VLOOKUP(B7358,material!A:D,3,0),"")</f>
        <v/>
      </c>
    </row>
    <row r="7359" ht="11.25" customHeight="1">
      <c r="A7359" s="21"/>
      <c r="B7359" s="22"/>
      <c r="C7359" s="21"/>
      <c r="D7359" s="21"/>
      <c r="E7359" s="21"/>
      <c r="F7359" s="21"/>
      <c r="G7359" s="23"/>
      <c r="H7359" s="24" t="str">
        <f>IFERROR(VLOOKUP(B7359,material!A:D,3,0),"")</f>
        <v/>
      </c>
    </row>
    <row r="7360" ht="11.25" customHeight="1">
      <c r="A7360" s="21"/>
      <c r="B7360" s="22"/>
      <c r="C7360" s="21"/>
      <c r="D7360" s="21"/>
      <c r="E7360" s="21"/>
      <c r="F7360" s="21"/>
      <c r="G7360" s="23"/>
      <c r="H7360" s="24" t="str">
        <f>IFERROR(VLOOKUP(B7360,material!A:D,3,0),"")</f>
        <v/>
      </c>
    </row>
    <row r="7361" ht="11.25" customHeight="1">
      <c r="A7361" s="21"/>
      <c r="B7361" s="22"/>
      <c r="C7361" s="21"/>
      <c r="D7361" s="21"/>
      <c r="E7361" s="21"/>
      <c r="F7361" s="21"/>
      <c r="G7361" s="23"/>
      <c r="H7361" s="24" t="str">
        <f>IFERROR(VLOOKUP(B7361,material!A:D,3,0),"")</f>
        <v/>
      </c>
    </row>
    <row r="7362" ht="11.25" customHeight="1">
      <c r="A7362" s="21"/>
      <c r="B7362" s="22"/>
      <c r="C7362" s="21"/>
      <c r="D7362" s="21"/>
      <c r="E7362" s="21"/>
      <c r="F7362" s="21"/>
      <c r="G7362" s="23"/>
      <c r="H7362" s="24" t="str">
        <f>IFERROR(VLOOKUP(B7362,material!A:D,3,0),"")</f>
        <v/>
      </c>
    </row>
    <row r="7363" ht="11.25" customHeight="1">
      <c r="A7363" s="21"/>
      <c r="B7363" s="22"/>
      <c r="C7363" s="21"/>
      <c r="D7363" s="21"/>
      <c r="E7363" s="21"/>
      <c r="F7363" s="21"/>
      <c r="G7363" s="23"/>
      <c r="H7363" s="24" t="str">
        <f>IFERROR(VLOOKUP(B7363,material!A:D,3,0),"")</f>
        <v/>
      </c>
    </row>
    <row r="7364" ht="11.25" customHeight="1">
      <c r="A7364" s="21"/>
      <c r="B7364" s="22"/>
      <c r="C7364" s="21"/>
      <c r="D7364" s="21"/>
      <c r="E7364" s="21"/>
      <c r="F7364" s="21"/>
      <c r="G7364" s="23"/>
      <c r="H7364" s="24" t="str">
        <f>IFERROR(VLOOKUP(B7364,material!A:D,3,0),"")</f>
        <v/>
      </c>
    </row>
    <row r="7365" ht="11.25" customHeight="1">
      <c r="A7365" s="21"/>
      <c r="B7365" s="22"/>
      <c r="C7365" s="21"/>
      <c r="D7365" s="21"/>
      <c r="E7365" s="21"/>
      <c r="F7365" s="21"/>
      <c r="G7365" s="23"/>
      <c r="H7365" s="24" t="str">
        <f>IFERROR(VLOOKUP(B7365,material!A:D,3,0),"")</f>
        <v/>
      </c>
    </row>
    <row r="7366" ht="11.25" customHeight="1">
      <c r="A7366" s="21"/>
      <c r="B7366" s="22"/>
      <c r="C7366" s="21"/>
      <c r="D7366" s="21"/>
      <c r="E7366" s="21"/>
      <c r="F7366" s="21"/>
      <c r="G7366" s="23"/>
      <c r="H7366" s="24" t="str">
        <f>IFERROR(VLOOKUP(B7366,material!A:D,3,0),"")</f>
        <v/>
      </c>
    </row>
    <row r="7367" ht="11.25" customHeight="1">
      <c r="A7367" s="21"/>
      <c r="B7367" s="22"/>
      <c r="C7367" s="21"/>
      <c r="D7367" s="21"/>
      <c r="E7367" s="21"/>
      <c r="F7367" s="21"/>
      <c r="G7367" s="23"/>
      <c r="H7367" s="24" t="str">
        <f>IFERROR(VLOOKUP(B7367,material!A:D,3,0),"")</f>
        <v/>
      </c>
    </row>
    <row r="7368" ht="11.25" customHeight="1">
      <c r="A7368" s="21"/>
      <c r="B7368" s="22"/>
      <c r="C7368" s="21"/>
      <c r="D7368" s="21"/>
      <c r="E7368" s="21"/>
      <c r="F7368" s="21"/>
      <c r="G7368" s="23"/>
      <c r="H7368" s="24" t="str">
        <f>IFERROR(VLOOKUP(B7368,material!A:D,3,0),"")</f>
        <v/>
      </c>
    </row>
    <row r="7369" ht="11.25" customHeight="1">
      <c r="A7369" s="21"/>
      <c r="B7369" s="22"/>
      <c r="C7369" s="21"/>
      <c r="D7369" s="21"/>
      <c r="E7369" s="21"/>
      <c r="F7369" s="21"/>
      <c r="G7369" s="23"/>
      <c r="H7369" s="24" t="str">
        <f>IFERROR(VLOOKUP(B7369,material!A:D,3,0),"")</f>
        <v/>
      </c>
    </row>
    <row r="7370" ht="11.25" customHeight="1">
      <c r="A7370" s="21"/>
      <c r="B7370" s="22"/>
      <c r="C7370" s="21"/>
      <c r="D7370" s="21"/>
      <c r="E7370" s="21"/>
      <c r="F7370" s="21"/>
      <c r="G7370" s="23"/>
      <c r="H7370" s="24" t="str">
        <f>IFERROR(VLOOKUP(B7370,material!A:D,3,0),"")</f>
        <v/>
      </c>
    </row>
    <row r="7371" ht="11.25" customHeight="1">
      <c r="A7371" s="21"/>
      <c r="B7371" s="22"/>
      <c r="C7371" s="21"/>
      <c r="D7371" s="21"/>
      <c r="E7371" s="21"/>
      <c r="F7371" s="21"/>
      <c r="G7371" s="23"/>
      <c r="H7371" s="24" t="str">
        <f>IFERROR(VLOOKUP(B7371,material!A:D,3,0),"")</f>
        <v/>
      </c>
    </row>
    <row r="7372" ht="11.25" customHeight="1">
      <c r="A7372" s="21"/>
      <c r="B7372" s="22"/>
      <c r="C7372" s="21"/>
      <c r="D7372" s="21"/>
      <c r="E7372" s="21"/>
      <c r="F7372" s="21"/>
      <c r="G7372" s="23"/>
      <c r="H7372" s="24" t="str">
        <f>IFERROR(VLOOKUP(B7372,material!A:D,3,0),"")</f>
        <v/>
      </c>
    </row>
    <row r="7373" ht="11.25" customHeight="1">
      <c r="A7373" s="21"/>
      <c r="B7373" s="22"/>
      <c r="C7373" s="21"/>
      <c r="D7373" s="21"/>
      <c r="E7373" s="21"/>
      <c r="F7373" s="21"/>
      <c r="G7373" s="23"/>
      <c r="H7373" s="24" t="str">
        <f>IFERROR(VLOOKUP(B7373,material!A:D,3,0),"")</f>
        <v/>
      </c>
    </row>
    <row r="7374" ht="11.25" customHeight="1">
      <c r="A7374" s="21"/>
      <c r="B7374" s="22"/>
      <c r="C7374" s="21"/>
      <c r="D7374" s="21"/>
      <c r="E7374" s="21"/>
      <c r="F7374" s="21"/>
      <c r="G7374" s="23"/>
      <c r="H7374" s="24" t="str">
        <f>IFERROR(VLOOKUP(B7374,material!A:D,3,0),"")</f>
        <v/>
      </c>
    </row>
    <row r="7375" ht="11.25" customHeight="1">
      <c r="A7375" s="21"/>
      <c r="B7375" s="22"/>
      <c r="C7375" s="21"/>
      <c r="D7375" s="21"/>
      <c r="E7375" s="21"/>
      <c r="F7375" s="21"/>
      <c r="G7375" s="23"/>
      <c r="H7375" s="24" t="str">
        <f>IFERROR(VLOOKUP(B7375,material!A:D,3,0),"")</f>
        <v/>
      </c>
    </row>
    <row r="7376" ht="11.25" customHeight="1">
      <c r="A7376" s="21"/>
      <c r="B7376" s="22"/>
      <c r="C7376" s="21"/>
      <c r="D7376" s="21"/>
      <c r="E7376" s="21"/>
      <c r="F7376" s="21"/>
      <c r="G7376" s="23"/>
      <c r="H7376" s="24" t="str">
        <f>IFERROR(VLOOKUP(B7376,material!A:D,3,0),"")</f>
        <v/>
      </c>
    </row>
    <row r="7377" ht="11.25" customHeight="1">
      <c r="A7377" s="21"/>
      <c r="B7377" s="22"/>
      <c r="C7377" s="21"/>
      <c r="D7377" s="21"/>
      <c r="E7377" s="21"/>
      <c r="F7377" s="21"/>
      <c r="G7377" s="23"/>
      <c r="H7377" s="24" t="str">
        <f>IFERROR(VLOOKUP(B7377,material!A:D,3,0),"")</f>
        <v/>
      </c>
    </row>
    <row r="7378" ht="11.25" customHeight="1">
      <c r="A7378" s="21"/>
      <c r="B7378" s="22"/>
      <c r="C7378" s="21"/>
      <c r="D7378" s="21"/>
      <c r="E7378" s="21"/>
      <c r="F7378" s="21"/>
      <c r="G7378" s="23"/>
      <c r="H7378" s="24" t="str">
        <f>IFERROR(VLOOKUP(B7378,material!A:D,3,0),"")</f>
        <v/>
      </c>
    </row>
    <row r="7379" ht="11.25" customHeight="1">
      <c r="A7379" s="21"/>
      <c r="B7379" s="22"/>
      <c r="C7379" s="21"/>
      <c r="D7379" s="21"/>
      <c r="E7379" s="21"/>
      <c r="F7379" s="21"/>
      <c r="G7379" s="23"/>
      <c r="H7379" s="24" t="str">
        <f>IFERROR(VLOOKUP(B7379,material!A:D,3,0),"")</f>
        <v/>
      </c>
    </row>
    <row r="7380" ht="11.25" customHeight="1">
      <c r="A7380" s="21"/>
      <c r="B7380" s="22"/>
      <c r="C7380" s="21"/>
      <c r="D7380" s="21"/>
      <c r="E7380" s="21"/>
      <c r="F7380" s="21"/>
      <c r="G7380" s="23"/>
      <c r="H7380" s="24" t="str">
        <f>IFERROR(VLOOKUP(B7380,material!A:D,3,0),"")</f>
        <v/>
      </c>
    </row>
    <row r="7381" ht="11.25" customHeight="1">
      <c r="A7381" s="21"/>
      <c r="B7381" s="22"/>
      <c r="C7381" s="21"/>
      <c r="D7381" s="21"/>
      <c r="E7381" s="21"/>
      <c r="F7381" s="21"/>
      <c r="G7381" s="23"/>
      <c r="H7381" s="24" t="str">
        <f>IFERROR(VLOOKUP(B7381,material!A:D,3,0),"")</f>
        <v/>
      </c>
    </row>
    <row r="7382" ht="11.25" customHeight="1">
      <c r="A7382" s="21"/>
      <c r="B7382" s="22"/>
      <c r="C7382" s="21"/>
      <c r="D7382" s="21"/>
      <c r="E7382" s="21"/>
      <c r="F7382" s="21"/>
      <c r="G7382" s="23"/>
      <c r="H7382" s="24" t="str">
        <f>IFERROR(VLOOKUP(B7382,material!A:D,3,0),"")</f>
        <v/>
      </c>
    </row>
    <row r="7383" ht="11.25" customHeight="1">
      <c r="A7383" s="21"/>
      <c r="B7383" s="22"/>
      <c r="C7383" s="21"/>
      <c r="D7383" s="21"/>
      <c r="E7383" s="21"/>
      <c r="F7383" s="21"/>
      <c r="G7383" s="23"/>
      <c r="H7383" s="24" t="str">
        <f>IFERROR(VLOOKUP(B7383,material!A:D,3,0),"")</f>
        <v/>
      </c>
    </row>
    <row r="7384" ht="11.25" customHeight="1">
      <c r="A7384" s="21"/>
      <c r="B7384" s="22"/>
      <c r="C7384" s="21"/>
      <c r="D7384" s="21"/>
      <c r="E7384" s="21"/>
      <c r="F7384" s="21"/>
      <c r="G7384" s="23"/>
      <c r="H7384" s="24" t="str">
        <f>IFERROR(VLOOKUP(B7384,material!A:D,3,0),"")</f>
        <v/>
      </c>
    </row>
    <row r="7385" ht="11.25" customHeight="1">
      <c r="A7385" s="21"/>
      <c r="B7385" s="22"/>
      <c r="C7385" s="21"/>
      <c r="D7385" s="21"/>
      <c r="E7385" s="21"/>
      <c r="F7385" s="21"/>
      <c r="G7385" s="23"/>
      <c r="H7385" s="24" t="str">
        <f>IFERROR(VLOOKUP(B7385,material!A:D,3,0),"")</f>
        <v/>
      </c>
    </row>
    <row r="7386" ht="11.25" customHeight="1">
      <c r="A7386" s="21"/>
      <c r="B7386" s="22"/>
      <c r="C7386" s="21"/>
      <c r="D7386" s="21"/>
      <c r="E7386" s="21"/>
      <c r="F7386" s="21"/>
      <c r="G7386" s="23"/>
      <c r="H7386" s="24" t="str">
        <f>IFERROR(VLOOKUP(B7386,material!A:D,3,0),"")</f>
        <v/>
      </c>
    </row>
    <row r="7387" ht="11.25" customHeight="1">
      <c r="A7387" s="21"/>
      <c r="B7387" s="22"/>
      <c r="C7387" s="21"/>
      <c r="D7387" s="21"/>
      <c r="E7387" s="21"/>
      <c r="F7387" s="21"/>
      <c r="G7387" s="23"/>
      <c r="H7387" s="24" t="str">
        <f>IFERROR(VLOOKUP(B7387,material!A:D,3,0),"")</f>
        <v/>
      </c>
    </row>
    <row r="7388" ht="11.25" customHeight="1">
      <c r="A7388" s="21"/>
      <c r="B7388" s="22"/>
      <c r="C7388" s="21"/>
      <c r="D7388" s="21"/>
      <c r="E7388" s="21"/>
      <c r="F7388" s="21"/>
      <c r="G7388" s="23"/>
      <c r="H7388" s="24" t="str">
        <f>IFERROR(VLOOKUP(B7388,material!A:D,3,0),"")</f>
        <v/>
      </c>
    </row>
    <row r="7389" ht="11.25" customHeight="1">
      <c r="A7389" s="21"/>
      <c r="B7389" s="22"/>
      <c r="C7389" s="21"/>
      <c r="D7389" s="21"/>
      <c r="E7389" s="21"/>
      <c r="F7389" s="21"/>
      <c r="G7389" s="23"/>
      <c r="H7389" s="24" t="str">
        <f>IFERROR(VLOOKUP(B7389,material!A:D,3,0),"")</f>
        <v/>
      </c>
    </row>
    <row r="7390" ht="11.25" customHeight="1">
      <c r="A7390" s="21"/>
      <c r="B7390" s="22"/>
      <c r="C7390" s="21"/>
      <c r="D7390" s="21"/>
      <c r="E7390" s="21"/>
      <c r="F7390" s="21"/>
      <c r="G7390" s="23"/>
      <c r="H7390" s="24" t="str">
        <f>IFERROR(VLOOKUP(B7390,material!A:D,3,0),"")</f>
        <v/>
      </c>
    </row>
    <row r="7391" ht="11.25" customHeight="1">
      <c r="A7391" s="21"/>
      <c r="B7391" s="22"/>
      <c r="C7391" s="21"/>
      <c r="D7391" s="21"/>
      <c r="E7391" s="21"/>
      <c r="F7391" s="21"/>
      <c r="G7391" s="23"/>
      <c r="H7391" s="24" t="str">
        <f>IFERROR(VLOOKUP(B7391,material!A:D,3,0),"")</f>
        <v/>
      </c>
    </row>
    <row r="7392" ht="11.25" customHeight="1">
      <c r="A7392" s="21"/>
      <c r="B7392" s="22"/>
      <c r="C7392" s="21"/>
      <c r="D7392" s="21"/>
      <c r="E7392" s="21"/>
      <c r="F7392" s="21"/>
      <c r="G7392" s="23"/>
      <c r="H7392" s="24" t="str">
        <f>IFERROR(VLOOKUP(B7392,material!A:D,3,0),"")</f>
        <v/>
      </c>
    </row>
    <row r="7393" ht="11.25" customHeight="1">
      <c r="A7393" s="21"/>
      <c r="B7393" s="22"/>
      <c r="C7393" s="21"/>
      <c r="D7393" s="21"/>
      <c r="E7393" s="21"/>
      <c r="F7393" s="21"/>
      <c r="G7393" s="23"/>
      <c r="H7393" s="24" t="str">
        <f>IFERROR(VLOOKUP(B7393,material!A:D,3,0),"")</f>
        <v/>
      </c>
    </row>
    <row r="7394" ht="11.25" customHeight="1">
      <c r="A7394" s="21"/>
      <c r="B7394" s="22"/>
      <c r="C7394" s="21"/>
      <c r="D7394" s="21"/>
      <c r="E7394" s="21"/>
      <c r="F7394" s="21"/>
      <c r="G7394" s="23"/>
      <c r="H7394" s="24" t="str">
        <f>IFERROR(VLOOKUP(B7394,material!A:D,3,0),"")</f>
        <v/>
      </c>
    </row>
    <row r="7395" ht="11.25" customHeight="1">
      <c r="A7395" s="21"/>
      <c r="B7395" s="22"/>
      <c r="C7395" s="21"/>
      <c r="D7395" s="21"/>
      <c r="E7395" s="21"/>
      <c r="F7395" s="21"/>
      <c r="G7395" s="23"/>
      <c r="H7395" s="24" t="str">
        <f>IFERROR(VLOOKUP(B7395,material!A:D,3,0),"")</f>
        <v/>
      </c>
    </row>
    <row r="7396" ht="11.25" customHeight="1">
      <c r="A7396" s="21"/>
      <c r="B7396" s="22"/>
      <c r="C7396" s="21"/>
      <c r="D7396" s="21"/>
      <c r="E7396" s="21"/>
      <c r="F7396" s="21"/>
      <c r="G7396" s="23"/>
      <c r="H7396" s="24" t="str">
        <f>IFERROR(VLOOKUP(B7396,material!A:D,3,0),"")</f>
        <v/>
      </c>
    </row>
    <row r="7397" ht="11.25" customHeight="1">
      <c r="A7397" s="21"/>
      <c r="B7397" s="22"/>
      <c r="C7397" s="21"/>
      <c r="D7397" s="21"/>
      <c r="E7397" s="21"/>
      <c r="F7397" s="21"/>
      <c r="G7397" s="23"/>
      <c r="H7397" s="24" t="str">
        <f>IFERROR(VLOOKUP(B7397,material!A:D,3,0),"")</f>
        <v/>
      </c>
    </row>
    <row r="7398" ht="11.25" customHeight="1">
      <c r="A7398" s="21"/>
      <c r="B7398" s="22"/>
      <c r="C7398" s="21"/>
      <c r="D7398" s="21"/>
      <c r="E7398" s="21"/>
      <c r="F7398" s="21"/>
      <c r="G7398" s="23"/>
      <c r="H7398" s="24" t="str">
        <f>IFERROR(VLOOKUP(B7398,material!A:D,3,0),"")</f>
        <v/>
      </c>
    </row>
    <row r="7399" ht="11.25" customHeight="1">
      <c r="A7399" s="21"/>
      <c r="B7399" s="22"/>
      <c r="C7399" s="21"/>
      <c r="D7399" s="21"/>
      <c r="E7399" s="21"/>
      <c r="F7399" s="21"/>
      <c r="G7399" s="23"/>
      <c r="H7399" s="24" t="str">
        <f>IFERROR(VLOOKUP(B7399,material!A:D,3,0),"")</f>
        <v/>
      </c>
    </row>
    <row r="7400" ht="11.25" customHeight="1">
      <c r="A7400" s="21"/>
      <c r="B7400" s="22"/>
      <c r="C7400" s="21"/>
      <c r="D7400" s="21"/>
      <c r="E7400" s="21"/>
      <c r="F7400" s="21"/>
      <c r="G7400" s="23"/>
      <c r="H7400" s="24" t="str">
        <f>IFERROR(VLOOKUP(B7400,material!A:D,3,0),"")</f>
        <v/>
      </c>
    </row>
    <row r="7401" ht="11.25" customHeight="1">
      <c r="A7401" s="21"/>
      <c r="B7401" s="22"/>
      <c r="C7401" s="21"/>
      <c r="D7401" s="21"/>
      <c r="E7401" s="21"/>
      <c r="F7401" s="21"/>
      <c r="G7401" s="23"/>
      <c r="H7401" s="24" t="str">
        <f>IFERROR(VLOOKUP(B7401,material!A:D,3,0),"")</f>
        <v/>
      </c>
    </row>
    <row r="7402" ht="11.25" customHeight="1">
      <c r="A7402" s="21"/>
      <c r="B7402" s="22"/>
      <c r="C7402" s="21"/>
      <c r="D7402" s="21"/>
      <c r="E7402" s="21"/>
      <c r="F7402" s="21"/>
      <c r="G7402" s="23"/>
      <c r="H7402" s="24" t="str">
        <f>IFERROR(VLOOKUP(B7402,material!A:D,3,0),"")</f>
        <v/>
      </c>
    </row>
    <row r="7403" ht="11.25" customHeight="1">
      <c r="A7403" s="21"/>
      <c r="B7403" s="22"/>
      <c r="C7403" s="21"/>
      <c r="D7403" s="21"/>
      <c r="E7403" s="21"/>
      <c r="F7403" s="21"/>
      <c r="G7403" s="23"/>
      <c r="H7403" s="24" t="str">
        <f>IFERROR(VLOOKUP(B7403,material!A:D,3,0),"")</f>
        <v/>
      </c>
    </row>
    <row r="7404" ht="11.25" customHeight="1">
      <c r="A7404" s="21"/>
      <c r="B7404" s="22"/>
      <c r="C7404" s="21"/>
      <c r="D7404" s="21"/>
      <c r="E7404" s="21"/>
      <c r="F7404" s="21"/>
      <c r="G7404" s="23"/>
      <c r="H7404" s="24" t="str">
        <f>IFERROR(VLOOKUP(B7404,material!A:D,3,0),"")</f>
        <v/>
      </c>
    </row>
    <row r="7405" ht="11.25" customHeight="1">
      <c r="A7405" s="21"/>
      <c r="B7405" s="22"/>
      <c r="C7405" s="21"/>
      <c r="D7405" s="21"/>
      <c r="E7405" s="21"/>
      <c r="F7405" s="21"/>
      <c r="G7405" s="23"/>
      <c r="H7405" s="24" t="str">
        <f>IFERROR(VLOOKUP(B7405,material!A:D,3,0),"")</f>
        <v/>
      </c>
    </row>
    <row r="7406" ht="11.25" customHeight="1">
      <c r="A7406" s="21"/>
      <c r="B7406" s="22"/>
      <c r="C7406" s="21"/>
      <c r="D7406" s="21"/>
      <c r="E7406" s="21"/>
      <c r="F7406" s="21"/>
      <c r="G7406" s="23"/>
      <c r="H7406" s="24" t="str">
        <f>IFERROR(VLOOKUP(B7406,material!A:D,3,0),"")</f>
        <v/>
      </c>
    </row>
    <row r="7407" ht="11.25" customHeight="1">
      <c r="A7407" s="21"/>
      <c r="B7407" s="22"/>
      <c r="C7407" s="21"/>
      <c r="D7407" s="21"/>
      <c r="E7407" s="21"/>
      <c r="F7407" s="21"/>
      <c r="G7407" s="23"/>
      <c r="H7407" s="24" t="str">
        <f>IFERROR(VLOOKUP(B7407,material!A:D,3,0),"")</f>
        <v/>
      </c>
    </row>
    <row r="7408" ht="11.25" customHeight="1">
      <c r="A7408" s="21"/>
      <c r="B7408" s="22"/>
      <c r="C7408" s="21"/>
      <c r="D7408" s="21"/>
      <c r="E7408" s="21"/>
      <c r="F7408" s="21"/>
      <c r="G7408" s="23"/>
      <c r="H7408" s="24" t="str">
        <f>IFERROR(VLOOKUP(B7408,material!A:D,3,0),"")</f>
        <v/>
      </c>
    </row>
    <row r="7409" ht="11.25" customHeight="1">
      <c r="A7409" s="21"/>
      <c r="B7409" s="22"/>
      <c r="C7409" s="21"/>
      <c r="D7409" s="21"/>
      <c r="E7409" s="21"/>
      <c r="F7409" s="21"/>
      <c r="G7409" s="23"/>
      <c r="H7409" s="24" t="str">
        <f>IFERROR(VLOOKUP(B7409,material!A:D,3,0),"")</f>
        <v/>
      </c>
    </row>
    <row r="7410" ht="11.25" customHeight="1">
      <c r="A7410" s="21"/>
      <c r="B7410" s="22"/>
      <c r="C7410" s="21"/>
      <c r="D7410" s="21"/>
      <c r="E7410" s="21"/>
      <c r="F7410" s="21"/>
      <c r="G7410" s="23"/>
      <c r="H7410" s="24" t="str">
        <f>IFERROR(VLOOKUP(B7410,material!A:D,3,0),"")</f>
        <v/>
      </c>
    </row>
    <row r="7411" ht="11.25" customHeight="1">
      <c r="A7411" s="21"/>
      <c r="B7411" s="22"/>
      <c r="C7411" s="21"/>
      <c r="D7411" s="21"/>
      <c r="E7411" s="21"/>
      <c r="F7411" s="21"/>
      <c r="G7411" s="23"/>
      <c r="H7411" s="24" t="str">
        <f>IFERROR(VLOOKUP(B7411,material!A:D,3,0),"")</f>
        <v/>
      </c>
    </row>
    <row r="7412" ht="11.25" customHeight="1">
      <c r="A7412" s="21"/>
      <c r="B7412" s="22"/>
      <c r="C7412" s="21"/>
      <c r="D7412" s="21"/>
      <c r="E7412" s="21"/>
      <c r="F7412" s="21"/>
      <c r="G7412" s="23"/>
      <c r="H7412" s="24" t="str">
        <f>IFERROR(VLOOKUP(B7412,material!A:D,3,0),"")</f>
        <v/>
      </c>
    </row>
    <row r="7413" ht="11.25" customHeight="1">
      <c r="A7413" s="21"/>
      <c r="B7413" s="22"/>
      <c r="C7413" s="21"/>
      <c r="D7413" s="21"/>
      <c r="E7413" s="21"/>
      <c r="F7413" s="21"/>
      <c r="G7413" s="23"/>
      <c r="H7413" s="24" t="str">
        <f>IFERROR(VLOOKUP(B7413,material!A:D,3,0),"")</f>
        <v/>
      </c>
    </row>
    <row r="7414" ht="11.25" customHeight="1">
      <c r="A7414" s="21"/>
      <c r="B7414" s="22"/>
      <c r="C7414" s="21"/>
      <c r="D7414" s="21"/>
      <c r="E7414" s="21"/>
      <c r="F7414" s="21"/>
      <c r="G7414" s="23"/>
      <c r="H7414" s="24" t="str">
        <f>IFERROR(VLOOKUP(B7414,material!A:D,3,0),"")</f>
        <v/>
      </c>
    </row>
    <row r="7415" ht="11.25" customHeight="1">
      <c r="A7415" s="21"/>
      <c r="B7415" s="22"/>
      <c r="C7415" s="21"/>
      <c r="D7415" s="21"/>
      <c r="E7415" s="21"/>
      <c r="F7415" s="21"/>
      <c r="G7415" s="23"/>
      <c r="H7415" s="24" t="str">
        <f>IFERROR(VLOOKUP(B7415,material!A:D,3,0),"")</f>
        <v/>
      </c>
    </row>
    <row r="7416" ht="11.25" customHeight="1">
      <c r="A7416" s="21"/>
      <c r="B7416" s="22"/>
      <c r="C7416" s="21"/>
      <c r="D7416" s="21"/>
      <c r="E7416" s="21"/>
      <c r="F7416" s="21"/>
      <c r="G7416" s="23"/>
      <c r="H7416" s="24" t="str">
        <f>IFERROR(VLOOKUP(B7416,material!A:D,3,0),"")</f>
        <v/>
      </c>
    </row>
    <row r="7417" ht="11.25" customHeight="1">
      <c r="A7417" s="21"/>
      <c r="B7417" s="22"/>
      <c r="C7417" s="21"/>
      <c r="D7417" s="21"/>
      <c r="E7417" s="21"/>
      <c r="F7417" s="21"/>
      <c r="G7417" s="23"/>
      <c r="H7417" s="24" t="str">
        <f>IFERROR(VLOOKUP(B7417,material!A:D,3,0),"")</f>
        <v/>
      </c>
    </row>
    <row r="7418" ht="11.25" customHeight="1">
      <c r="A7418" s="21"/>
      <c r="B7418" s="22"/>
      <c r="C7418" s="21"/>
      <c r="D7418" s="21"/>
      <c r="E7418" s="21"/>
      <c r="F7418" s="21"/>
      <c r="G7418" s="23"/>
      <c r="H7418" s="24" t="str">
        <f>IFERROR(VLOOKUP(B7418,material!A:D,3,0),"")</f>
        <v/>
      </c>
    </row>
    <row r="7419" ht="11.25" customHeight="1">
      <c r="A7419" s="21"/>
      <c r="B7419" s="22"/>
      <c r="C7419" s="21"/>
      <c r="D7419" s="21"/>
      <c r="E7419" s="21"/>
      <c r="F7419" s="21"/>
      <c r="G7419" s="23"/>
      <c r="H7419" s="24" t="str">
        <f>IFERROR(VLOOKUP(B7419,material!A:D,3,0),"")</f>
        <v/>
      </c>
    </row>
    <row r="7420" ht="11.25" customHeight="1">
      <c r="A7420" s="21"/>
      <c r="B7420" s="22"/>
      <c r="C7420" s="21"/>
      <c r="D7420" s="21"/>
      <c r="E7420" s="21"/>
      <c r="F7420" s="21"/>
      <c r="G7420" s="23"/>
      <c r="H7420" s="24" t="str">
        <f>IFERROR(VLOOKUP(B7420,material!A:D,3,0),"")</f>
        <v/>
      </c>
    </row>
    <row r="7421" ht="11.25" customHeight="1">
      <c r="A7421" s="21"/>
      <c r="B7421" s="22"/>
      <c r="C7421" s="21"/>
      <c r="D7421" s="21"/>
      <c r="E7421" s="21"/>
      <c r="F7421" s="21"/>
      <c r="G7421" s="23"/>
      <c r="H7421" s="24" t="str">
        <f>IFERROR(VLOOKUP(B7421,material!A:D,3,0),"")</f>
        <v/>
      </c>
    </row>
    <row r="7422" ht="11.25" customHeight="1">
      <c r="A7422" s="21"/>
      <c r="B7422" s="22"/>
      <c r="C7422" s="21"/>
      <c r="D7422" s="21"/>
      <c r="E7422" s="21"/>
      <c r="F7422" s="21"/>
      <c r="G7422" s="23"/>
      <c r="H7422" s="24" t="str">
        <f>IFERROR(VLOOKUP(B7422,material!A:D,3,0),"")</f>
        <v/>
      </c>
    </row>
    <row r="7423" ht="11.25" customHeight="1">
      <c r="A7423" s="21"/>
      <c r="B7423" s="22"/>
      <c r="C7423" s="21"/>
      <c r="D7423" s="21"/>
      <c r="E7423" s="21"/>
      <c r="F7423" s="21"/>
      <c r="G7423" s="23"/>
      <c r="H7423" s="24" t="str">
        <f>IFERROR(VLOOKUP(B7423,material!A:D,3,0),"")</f>
        <v/>
      </c>
    </row>
    <row r="7424" ht="11.25" customHeight="1">
      <c r="A7424" s="21"/>
      <c r="B7424" s="22"/>
      <c r="C7424" s="21"/>
      <c r="D7424" s="21"/>
      <c r="E7424" s="21"/>
      <c r="F7424" s="21"/>
      <c r="G7424" s="23"/>
      <c r="H7424" s="24" t="str">
        <f>IFERROR(VLOOKUP(B7424,material!A:D,3,0),"")</f>
        <v/>
      </c>
    </row>
    <row r="7425" ht="11.25" customHeight="1">
      <c r="A7425" s="21"/>
      <c r="B7425" s="22"/>
      <c r="C7425" s="21"/>
      <c r="D7425" s="21"/>
      <c r="E7425" s="21"/>
      <c r="F7425" s="21"/>
      <c r="G7425" s="23"/>
      <c r="H7425" s="24" t="str">
        <f>IFERROR(VLOOKUP(B7425,material!A:D,3,0),"")</f>
        <v/>
      </c>
    </row>
    <row r="7426" ht="11.25" customHeight="1">
      <c r="A7426" s="21"/>
      <c r="B7426" s="22"/>
      <c r="C7426" s="21"/>
      <c r="D7426" s="21"/>
      <c r="E7426" s="21"/>
      <c r="F7426" s="21"/>
      <c r="G7426" s="23"/>
      <c r="H7426" s="24" t="str">
        <f>IFERROR(VLOOKUP(B7426,material!A:D,3,0),"")</f>
        <v/>
      </c>
    </row>
    <row r="7427" ht="11.25" customHeight="1">
      <c r="A7427" s="21"/>
      <c r="B7427" s="22"/>
      <c r="C7427" s="21"/>
      <c r="D7427" s="21"/>
      <c r="E7427" s="21"/>
      <c r="F7427" s="21"/>
      <c r="G7427" s="23"/>
      <c r="H7427" s="24" t="str">
        <f>IFERROR(VLOOKUP(B7427,material!A:D,3,0),"")</f>
        <v/>
      </c>
    </row>
    <row r="7428" ht="11.25" customHeight="1">
      <c r="A7428" s="21"/>
      <c r="B7428" s="22"/>
      <c r="C7428" s="21"/>
      <c r="D7428" s="21"/>
      <c r="E7428" s="21"/>
      <c r="F7428" s="21"/>
      <c r="G7428" s="23"/>
      <c r="H7428" s="24" t="str">
        <f>IFERROR(VLOOKUP(B7428,material!A:D,3,0),"")</f>
        <v/>
      </c>
    </row>
    <row r="7429" ht="11.25" customHeight="1">
      <c r="A7429" s="21"/>
      <c r="B7429" s="22"/>
      <c r="C7429" s="21"/>
      <c r="D7429" s="21"/>
      <c r="E7429" s="21"/>
      <c r="F7429" s="21"/>
      <c r="G7429" s="23"/>
      <c r="H7429" s="24" t="str">
        <f>IFERROR(VLOOKUP(B7429,material!A:D,3,0),"")</f>
        <v/>
      </c>
    </row>
    <row r="7430" ht="11.25" customHeight="1">
      <c r="A7430" s="21"/>
      <c r="B7430" s="22"/>
      <c r="C7430" s="21"/>
      <c r="D7430" s="21"/>
      <c r="E7430" s="21"/>
      <c r="F7430" s="21"/>
      <c r="G7430" s="23"/>
      <c r="H7430" s="24" t="str">
        <f>IFERROR(VLOOKUP(B7430,material!A:D,3,0),"")</f>
        <v/>
      </c>
    </row>
    <row r="7431" ht="11.25" customHeight="1">
      <c r="A7431" s="21"/>
      <c r="B7431" s="22"/>
      <c r="C7431" s="21"/>
      <c r="D7431" s="21"/>
      <c r="E7431" s="21"/>
      <c r="F7431" s="21"/>
      <c r="G7431" s="23"/>
      <c r="H7431" s="24" t="str">
        <f>IFERROR(VLOOKUP(B7431,material!A:D,3,0),"")</f>
        <v/>
      </c>
    </row>
    <row r="7432" ht="11.25" customHeight="1">
      <c r="A7432" s="21"/>
      <c r="B7432" s="22"/>
      <c r="C7432" s="21"/>
      <c r="D7432" s="21"/>
      <c r="E7432" s="21"/>
      <c r="F7432" s="21"/>
      <c r="G7432" s="23"/>
      <c r="H7432" s="24" t="str">
        <f>IFERROR(VLOOKUP(B7432,material!A:D,3,0),"")</f>
        <v/>
      </c>
    </row>
    <row r="7433" ht="11.25" customHeight="1">
      <c r="A7433" s="21"/>
      <c r="B7433" s="22"/>
      <c r="C7433" s="21"/>
      <c r="D7433" s="21"/>
      <c r="E7433" s="21"/>
      <c r="F7433" s="21"/>
      <c r="G7433" s="23"/>
      <c r="H7433" s="24" t="str">
        <f>IFERROR(VLOOKUP(B7433,material!A:D,3,0),"")</f>
        <v/>
      </c>
    </row>
    <row r="7434" ht="11.25" customHeight="1">
      <c r="A7434" s="21"/>
      <c r="B7434" s="22"/>
      <c r="C7434" s="21"/>
      <c r="D7434" s="21"/>
      <c r="E7434" s="21"/>
      <c r="F7434" s="21"/>
      <c r="G7434" s="23"/>
      <c r="H7434" s="24" t="str">
        <f>IFERROR(VLOOKUP(B7434,material!A:D,3,0),"")</f>
        <v/>
      </c>
    </row>
    <row r="7435" ht="11.25" customHeight="1">
      <c r="A7435" s="21"/>
      <c r="B7435" s="22"/>
      <c r="C7435" s="21"/>
      <c r="D7435" s="21"/>
      <c r="E7435" s="21"/>
      <c r="F7435" s="21"/>
      <c r="G7435" s="23"/>
      <c r="H7435" s="24" t="str">
        <f>IFERROR(VLOOKUP(B7435,material!A:D,3,0),"")</f>
        <v/>
      </c>
    </row>
    <row r="7436" ht="11.25" customHeight="1">
      <c r="A7436" s="21"/>
      <c r="B7436" s="22"/>
      <c r="C7436" s="21"/>
      <c r="D7436" s="21"/>
      <c r="E7436" s="21"/>
      <c r="F7436" s="21"/>
      <c r="G7436" s="23"/>
      <c r="H7436" s="24" t="str">
        <f>IFERROR(VLOOKUP(B7436,material!A:D,3,0),"")</f>
        <v/>
      </c>
    </row>
    <row r="7437" ht="11.25" customHeight="1">
      <c r="A7437" s="21"/>
      <c r="B7437" s="22"/>
      <c r="C7437" s="21"/>
      <c r="D7437" s="21"/>
      <c r="E7437" s="21"/>
      <c r="F7437" s="21"/>
      <c r="G7437" s="23"/>
      <c r="H7437" s="24" t="str">
        <f>IFERROR(VLOOKUP(B7437,material!A:D,3,0),"")</f>
        <v/>
      </c>
    </row>
    <row r="7438" ht="11.25" customHeight="1">
      <c r="A7438" s="21"/>
      <c r="B7438" s="22"/>
      <c r="C7438" s="21"/>
      <c r="D7438" s="21"/>
      <c r="E7438" s="21"/>
      <c r="F7438" s="21"/>
      <c r="G7438" s="23"/>
      <c r="H7438" s="24" t="str">
        <f>IFERROR(VLOOKUP(B7438,material!A:D,3,0),"")</f>
        <v/>
      </c>
    </row>
    <row r="7439" ht="11.25" customHeight="1">
      <c r="A7439" s="21"/>
      <c r="B7439" s="22"/>
      <c r="C7439" s="21"/>
      <c r="D7439" s="21"/>
      <c r="E7439" s="21"/>
      <c r="F7439" s="21"/>
      <c r="G7439" s="23"/>
      <c r="H7439" s="24" t="str">
        <f>IFERROR(VLOOKUP(B7439,material!A:D,3,0),"")</f>
        <v/>
      </c>
    </row>
    <row r="7440" ht="11.25" customHeight="1">
      <c r="A7440" s="21"/>
      <c r="B7440" s="22"/>
      <c r="C7440" s="21"/>
      <c r="D7440" s="21"/>
      <c r="E7440" s="21"/>
      <c r="F7440" s="21"/>
      <c r="G7440" s="23"/>
      <c r="H7440" s="24" t="str">
        <f>IFERROR(VLOOKUP(B7440,material!A:D,3,0),"")</f>
        <v/>
      </c>
    </row>
    <row r="7441" ht="11.25" customHeight="1">
      <c r="A7441" s="21"/>
      <c r="B7441" s="22"/>
      <c r="C7441" s="21"/>
      <c r="D7441" s="21"/>
      <c r="E7441" s="21"/>
      <c r="F7441" s="21"/>
      <c r="G7441" s="23"/>
      <c r="H7441" s="24" t="str">
        <f>IFERROR(VLOOKUP(B7441,material!A:D,3,0),"")</f>
        <v/>
      </c>
    </row>
    <row r="7442" ht="11.25" customHeight="1">
      <c r="A7442" s="21"/>
      <c r="B7442" s="22"/>
      <c r="C7442" s="21"/>
      <c r="D7442" s="21"/>
      <c r="E7442" s="21"/>
      <c r="F7442" s="21"/>
      <c r="G7442" s="23"/>
      <c r="H7442" s="24" t="str">
        <f>IFERROR(VLOOKUP(B7442,material!A:D,3,0),"")</f>
        <v/>
      </c>
    </row>
    <row r="7443" ht="11.25" customHeight="1">
      <c r="A7443" s="21"/>
      <c r="B7443" s="22"/>
      <c r="C7443" s="21"/>
      <c r="D7443" s="21"/>
      <c r="E7443" s="21"/>
      <c r="F7443" s="21"/>
      <c r="G7443" s="23"/>
      <c r="H7443" s="24" t="str">
        <f>IFERROR(VLOOKUP(B7443,material!A:D,3,0),"")</f>
        <v/>
      </c>
    </row>
    <row r="7444" ht="11.25" customHeight="1">
      <c r="A7444" s="21"/>
      <c r="B7444" s="22"/>
      <c r="C7444" s="21"/>
      <c r="D7444" s="21"/>
      <c r="E7444" s="21"/>
      <c r="F7444" s="21"/>
      <c r="G7444" s="23"/>
      <c r="H7444" s="24" t="str">
        <f>IFERROR(VLOOKUP(B7444,material!A:D,3,0),"")</f>
        <v/>
      </c>
    </row>
    <row r="7445" ht="11.25" customHeight="1">
      <c r="A7445" s="21"/>
      <c r="B7445" s="22"/>
      <c r="C7445" s="21"/>
      <c r="D7445" s="21"/>
      <c r="E7445" s="21"/>
      <c r="F7445" s="21"/>
      <c r="G7445" s="23"/>
      <c r="H7445" s="24" t="str">
        <f>IFERROR(VLOOKUP(B7445,material!A:D,3,0),"")</f>
        <v/>
      </c>
    </row>
    <row r="7446" ht="11.25" customHeight="1">
      <c r="A7446" s="21"/>
      <c r="B7446" s="22"/>
      <c r="C7446" s="21"/>
      <c r="D7446" s="21"/>
      <c r="E7446" s="21"/>
      <c r="F7446" s="21"/>
      <c r="G7446" s="23"/>
      <c r="H7446" s="24" t="str">
        <f>IFERROR(VLOOKUP(B7446,material!A:D,3,0),"")</f>
        <v/>
      </c>
    </row>
    <row r="7447" ht="11.25" customHeight="1">
      <c r="A7447" s="21"/>
      <c r="B7447" s="22"/>
      <c r="C7447" s="21"/>
      <c r="D7447" s="21"/>
      <c r="E7447" s="21"/>
      <c r="F7447" s="21"/>
      <c r="G7447" s="23"/>
      <c r="H7447" s="24" t="str">
        <f>IFERROR(VLOOKUP(B7447,material!A:D,3,0),"")</f>
        <v/>
      </c>
    </row>
    <row r="7448" ht="11.25" customHeight="1">
      <c r="A7448" s="21"/>
      <c r="B7448" s="22"/>
      <c r="C7448" s="21"/>
      <c r="D7448" s="21"/>
      <c r="E7448" s="21"/>
      <c r="F7448" s="21"/>
      <c r="G7448" s="23"/>
      <c r="H7448" s="24" t="str">
        <f>IFERROR(VLOOKUP(B7448,material!A:D,3,0),"")</f>
        <v/>
      </c>
    </row>
    <row r="7449" ht="11.25" customHeight="1">
      <c r="A7449" s="21"/>
      <c r="B7449" s="22"/>
      <c r="C7449" s="21"/>
      <c r="D7449" s="21"/>
      <c r="E7449" s="21"/>
      <c r="F7449" s="21"/>
      <c r="G7449" s="23"/>
      <c r="H7449" s="24" t="str">
        <f>IFERROR(VLOOKUP(B7449,material!A:D,3,0),"")</f>
        <v/>
      </c>
    </row>
    <row r="7450" ht="11.25" customHeight="1">
      <c r="A7450" s="21"/>
      <c r="B7450" s="22"/>
      <c r="C7450" s="21"/>
      <c r="D7450" s="21"/>
      <c r="E7450" s="21"/>
      <c r="F7450" s="21"/>
      <c r="G7450" s="23"/>
      <c r="H7450" s="24" t="str">
        <f>IFERROR(VLOOKUP(B7450,material!A:D,3,0),"")</f>
        <v/>
      </c>
    </row>
    <row r="7451" ht="11.25" customHeight="1">
      <c r="A7451" s="21"/>
      <c r="B7451" s="22"/>
      <c r="C7451" s="21"/>
      <c r="D7451" s="21"/>
      <c r="E7451" s="21"/>
      <c r="F7451" s="21"/>
      <c r="G7451" s="23"/>
      <c r="H7451" s="24" t="str">
        <f>IFERROR(VLOOKUP(B7451,material!A:D,3,0),"")</f>
        <v/>
      </c>
    </row>
    <row r="7452" ht="11.25" customHeight="1">
      <c r="A7452" s="21"/>
      <c r="B7452" s="22"/>
      <c r="C7452" s="21"/>
      <c r="D7452" s="21"/>
      <c r="E7452" s="21"/>
      <c r="F7452" s="21"/>
      <c r="G7452" s="23"/>
      <c r="H7452" s="24" t="str">
        <f>IFERROR(VLOOKUP(B7452,material!A:D,3,0),"")</f>
        <v/>
      </c>
    </row>
    <row r="7453" ht="11.25" customHeight="1">
      <c r="A7453" s="21"/>
      <c r="B7453" s="22"/>
      <c r="C7453" s="21"/>
      <c r="D7453" s="21"/>
      <c r="E7453" s="21"/>
      <c r="F7453" s="21"/>
      <c r="G7453" s="23"/>
      <c r="H7453" s="24" t="str">
        <f>IFERROR(VLOOKUP(B7453,material!A:D,3,0),"")</f>
        <v/>
      </c>
    </row>
    <row r="7454" ht="11.25" customHeight="1">
      <c r="A7454" s="21"/>
      <c r="B7454" s="22"/>
      <c r="C7454" s="21"/>
      <c r="D7454" s="21"/>
      <c r="E7454" s="21"/>
      <c r="F7454" s="21"/>
      <c r="G7454" s="23"/>
      <c r="H7454" s="24" t="str">
        <f>IFERROR(VLOOKUP(B7454,material!A:D,3,0),"")</f>
        <v/>
      </c>
    </row>
    <row r="7455" ht="11.25" customHeight="1">
      <c r="A7455" s="21"/>
      <c r="B7455" s="22"/>
      <c r="C7455" s="21"/>
      <c r="D7455" s="21"/>
      <c r="E7455" s="21"/>
      <c r="F7455" s="21"/>
      <c r="G7455" s="23"/>
      <c r="H7455" s="24" t="str">
        <f>IFERROR(VLOOKUP(B7455,material!A:D,3,0),"")</f>
        <v/>
      </c>
    </row>
    <row r="7456" ht="11.25" customHeight="1">
      <c r="A7456" s="21"/>
      <c r="B7456" s="22"/>
      <c r="C7456" s="21"/>
      <c r="D7456" s="21"/>
      <c r="E7456" s="21"/>
      <c r="F7456" s="21"/>
      <c r="G7456" s="23"/>
      <c r="H7456" s="24" t="str">
        <f>IFERROR(VLOOKUP(B7456,material!A:D,3,0),"")</f>
        <v/>
      </c>
    </row>
    <row r="7457" ht="11.25" customHeight="1">
      <c r="A7457" s="21"/>
      <c r="B7457" s="22"/>
      <c r="C7457" s="21"/>
      <c r="D7457" s="21"/>
      <c r="E7457" s="21"/>
      <c r="F7457" s="21"/>
      <c r="G7457" s="23"/>
      <c r="H7457" s="24" t="str">
        <f>IFERROR(VLOOKUP(B7457,material!A:D,3,0),"")</f>
        <v/>
      </c>
    </row>
    <row r="7458" ht="11.25" customHeight="1">
      <c r="A7458" s="21"/>
      <c r="B7458" s="22"/>
      <c r="C7458" s="21"/>
      <c r="D7458" s="21"/>
      <c r="E7458" s="21"/>
      <c r="F7458" s="21"/>
      <c r="G7458" s="23"/>
      <c r="H7458" s="24" t="str">
        <f>IFERROR(VLOOKUP(B7458,material!A:D,3,0),"")</f>
        <v/>
      </c>
    </row>
    <row r="7459" ht="11.25" customHeight="1">
      <c r="A7459" s="21"/>
      <c r="B7459" s="22"/>
      <c r="C7459" s="21"/>
      <c r="D7459" s="21"/>
      <c r="E7459" s="21"/>
      <c r="F7459" s="21"/>
      <c r="G7459" s="23"/>
      <c r="H7459" s="24" t="str">
        <f>IFERROR(VLOOKUP(B7459,material!A:D,3,0),"")</f>
        <v/>
      </c>
    </row>
    <row r="7460" ht="11.25" customHeight="1">
      <c r="A7460" s="21"/>
      <c r="B7460" s="22"/>
      <c r="C7460" s="21"/>
      <c r="D7460" s="21"/>
      <c r="E7460" s="21"/>
      <c r="F7460" s="21"/>
      <c r="G7460" s="23"/>
      <c r="H7460" s="24" t="str">
        <f>IFERROR(VLOOKUP(B7460,material!A:D,3,0),"")</f>
        <v/>
      </c>
    </row>
    <row r="7461" ht="11.25" customHeight="1">
      <c r="A7461" s="21"/>
      <c r="B7461" s="22"/>
      <c r="C7461" s="21"/>
      <c r="D7461" s="21"/>
      <c r="E7461" s="21"/>
      <c r="F7461" s="21"/>
      <c r="G7461" s="23"/>
      <c r="H7461" s="24" t="str">
        <f>IFERROR(VLOOKUP(B7461,material!A:D,3,0),"")</f>
        <v/>
      </c>
    </row>
    <row r="7462" ht="11.25" customHeight="1">
      <c r="A7462" s="21"/>
      <c r="B7462" s="22"/>
      <c r="C7462" s="21"/>
      <c r="D7462" s="21"/>
      <c r="E7462" s="21"/>
      <c r="F7462" s="21"/>
      <c r="G7462" s="23"/>
      <c r="H7462" s="24" t="str">
        <f>IFERROR(VLOOKUP(B7462,material!A:D,3,0),"")</f>
        <v/>
      </c>
    </row>
    <row r="7463" ht="11.25" customHeight="1">
      <c r="A7463" s="21"/>
      <c r="B7463" s="22"/>
      <c r="C7463" s="21"/>
      <c r="D7463" s="21"/>
      <c r="E7463" s="21"/>
      <c r="F7463" s="21"/>
      <c r="G7463" s="23"/>
      <c r="H7463" s="24" t="str">
        <f>IFERROR(VLOOKUP(B7463,material!A:D,3,0),"")</f>
        <v/>
      </c>
    </row>
    <row r="7464" ht="11.25" customHeight="1">
      <c r="A7464" s="21"/>
      <c r="B7464" s="22"/>
      <c r="C7464" s="21"/>
      <c r="D7464" s="21"/>
      <c r="E7464" s="21"/>
      <c r="F7464" s="21"/>
      <c r="G7464" s="23"/>
      <c r="H7464" s="24" t="str">
        <f>IFERROR(VLOOKUP(B7464,material!A:D,3,0),"")</f>
        <v/>
      </c>
    </row>
    <row r="7465" ht="11.25" customHeight="1">
      <c r="A7465" s="21"/>
      <c r="B7465" s="22"/>
      <c r="C7465" s="21"/>
      <c r="D7465" s="21"/>
      <c r="E7465" s="21"/>
      <c r="F7465" s="21"/>
      <c r="G7465" s="23"/>
      <c r="H7465" s="24" t="str">
        <f>IFERROR(VLOOKUP(B7465,material!A:D,3,0),"")</f>
        <v/>
      </c>
    </row>
    <row r="7466" ht="11.25" customHeight="1">
      <c r="A7466" s="21"/>
      <c r="B7466" s="22"/>
      <c r="C7466" s="21"/>
      <c r="D7466" s="21"/>
      <c r="E7466" s="21"/>
      <c r="F7466" s="21"/>
      <c r="G7466" s="23"/>
      <c r="H7466" s="24" t="str">
        <f>IFERROR(VLOOKUP(B7466,material!A:D,3,0),"")</f>
        <v/>
      </c>
    </row>
    <row r="7467" ht="11.25" customHeight="1">
      <c r="A7467" s="21"/>
      <c r="B7467" s="22"/>
      <c r="C7467" s="21"/>
      <c r="D7467" s="21"/>
      <c r="E7467" s="21"/>
      <c r="F7467" s="21"/>
      <c r="G7467" s="23"/>
      <c r="H7467" s="24" t="str">
        <f>IFERROR(VLOOKUP(B7467,material!A:D,3,0),"")</f>
        <v/>
      </c>
    </row>
    <row r="7468" ht="11.25" customHeight="1">
      <c r="A7468" s="21"/>
      <c r="B7468" s="22"/>
      <c r="C7468" s="21"/>
      <c r="D7468" s="21"/>
      <c r="E7468" s="21"/>
      <c r="F7468" s="21"/>
      <c r="G7468" s="23"/>
      <c r="H7468" s="24" t="str">
        <f>IFERROR(VLOOKUP(B7468,material!A:D,3,0),"")</f>
        <v/>
      </c>
    </row>
    <row r="7469" ht="11.25" customHeight="1">
      <c r="A7469" s="21"/>
      <c r="B7469" s="22"/>
      <c r="C7469" s="21"/>
      <c r="D7469" s="21"/>
      <c r="E7469" s="21"/>
      <c r="F7469" s="21"/>
      <c r="G7469" s="23"/>
      <c r="H7469" s="24" t="str">
        <f>IFERROR(VLOOKUP(B7469,material!A:D,3,0),"")</f>
        <v/>
      </c>
    </row>
    <row r="7470" ht="11.25" customHeight="1">
      <c r="A7470" s="21"/>
      <c r="B7470" s="22"/>
      <c r="C7470" s="21"/>
      <c r="D7470" s="21"/>
      <c r="E7470" s="21"/>
      <c r="F7470" s="21"/>
      <c r="G7470" s="23"/>
      <c r="H7470" s="24" t="str">
        <f>IFERROR(VLOOKUP(B7470,material!A:D,3,0),"")</f>
        <v/>
      </c>
    </row>
    <row r="7471" ht="11.25" customHeight="1">
      <c r="A7471" s="21"/>
      <c r="B7471" s="22"/>
      <c r="C7471" s="21"/>
      <c r="D7471" s="21"/>
      <c r="E7471" s="21"/>
      <c r="F7471" s="21"/>
      <c r="G7471" s="23"/>
      <c r="H7471" s="24" t="str">
        <f>IFERROR(VLOOKUP(B7471,material!A:D,3,0),"")</f>
        <v/>
      </c>
    </row>
    <row r="7472" ht="11.25" customHeight="1">
      <c r="A7472" s="21"/>
      <c r="B7472" s="22"/>
      <c r="C7472" s="21"/>
      <c r="D7472" s="21"/>
      <c r="E7472" s="21"/>
      <c r="F7472" s="21"/>
      <c r="G7472" s="23"/>
      <c r="H7472" s="24" t="str">
        <f>IFERROR(VLOOKUP(B7472,material!A:D,3,0),"")</f>
        <v/>
      </c>
    </row>
    <row r="7473" ht="11.25" customHeight="1">
      <c r="A7473" s="21"/>
      <c r="B7473" s="22"/>
      <c r="C7473" s="21"/>
      <c r="D7473" s="21"/>
      <c r="E7473" s="21"/>
      <c r="F7473" s="21"/>
      <c r="G7473" s="23"/>
      <c r="H7473" s="24" t="str">
        <f>IFERROR(VLOOKUP(B7473,material!A:D,3,0),"")</f>
        <v/>
      </c>
    </row>
    <row r="7474" ht="11.25" customHeight="1">
      <c r="A7474" s="21"/>
      <c r="B7474" s="22"/>
      <c r="C7474" s="21"/>
      <c r="D7474" s="21"/>
      <c r="E7474" s="21"/>
      <c r="F7474" s="21"/>
      <c r="G7474" s="23"/>
      <c r="H7474" s="24" t="str">
        <f>IFERROR(VLOOKUP(B7474,material!A:D,3,0),"")</f>
        <v/>
      </c>
    </row>
    <row r="7475" ht="11.25" customHeight="1">
      <c r="A7475" s="21"/>
      <c r="B7475" s="22"/>
      <c r="C7475" s="21"/>
      <c r="D7475" s="21"/>
      <c r="E7475" s="21"/>
      <c r="F7475" s="21"/>
      <c r="G7475" s="23"/>
      <c r="H7475" s="24" t="str">
        <f>IFERROR(VLOOKUP(B7475,material!A:D,3,0),"")</f>
        <v/>
      </c>
    </row>
    <row r="7476" ht="11.25" customHeight="1">
      <c r="A7476" s="21"/>
      <c r="B7476" s="22"/>
      <c r="C7476" s="21"/>
      <c r="D7476" s="21"/>
      <c r="E7476" s="21"/>
      <c r="F7476" s="21"/>
      <c r="G7476" s="23"/>
      <c r="H7476" s="24" t="str">
        <f>IFERROR(VLOOKUP(B7476,material!A:D,3,0),"")</f>
        <v/>
      </c>
    </row>
    <row r="7477" ht="11.25" customHeight="1">
      <c r="A7477" s="21"/>
      <c r="B7477" s="22"/>
      <c r="C7477" s="21"/>
      <c r="D7477" s="21"/>
      <c r="E7477" s="21"/>
      <c r="F7477" s="21"/>
      <c r="G7477" s="23"/>
      <c r="H7477" s="24" t="str">
        <f>IFERROR(VLOOKUP(B7477,material!A:D,3,0),"")</f>
        <v/>
      </c>
    </row>
    <row r="7478" ht="11.25" customHeight="1">
      <c r="A7478" s="21"/>
      <c r="B7478" s="22"/>
      <c r="C7478" s="21"/>
      <c r="D7478" s="21"/>
      <c r="E7478" s="21"/>
      <c r="F7478" s="21"/>
      <c r="G7478" s="23"/>
      <c r="H7478" s="24" t="str">
        <f>IFERROR(VLOOKUP(B7478,material!A:D,3,0),"")</f>
        <v/>
      </c>
    </row>
    <row r="7479" ht="11.25" customHeight="1">
      <c r="A7479" s="21"/>
      <c r="B7479" s="22"/>
      <c r="C7479" s="21"/>
      <c r="D7479" s="21"/>
      <c r="E7479" s="21"/>
      <c r="F7479" s="21"/>
      <c r="G7479" s="23"/>
      <c r="H7479" s="24" t="str">
        <f>IFERROR(VLOOKUP(B7479,material!A:D,3,0),"")</f>
        <v/>
      </c>
    </row>
    <row r="7480" ht="11.25" customHeight="1">
      <c r="A7480" s="21"/>
      <c r="B7480" s="22"/>
      <c r="C7480" s="21"/>
      <c r="D7480" s="21"/>
      <c r="E7480" s="21"/>
      <c r="F7480" s="21"/>
      <c r="G7480" s="23"/>
      <c r="H7480" s="24" t="str">
        <f>IFERROR(VLOOKUP(B7480,material!A:D,3,0),"")</f>
        <v/>
      </c>
    </row>
    <row r="7481" ht="11.25" customHeight="1">
      <c r="A7481" s="21"/>
      <c r="B7481" s="22"/>
      <c r="C7481" s="21"/>
      <c r="D7481" s="21"/>
      <c r="E7481" s="21"/>
      <c r="F7481" s="21"/>
      <c r="G7481" s="23"/>
      <c r="H7481" s="24" t="str">
        <f>IFERROR(VLOOKUP(B7481,material!A:D,3,0),"")</f>
        <v/>
      </c>
    </row>
    <row r="7482" ht="11.25" customHeight="1">
      <c r="A7482" s="21"/>
      <c r="B7482" s="22"/>
      <c r="C7482" s="21"/>
      <c r="D7482" s="21"/>
      <c r="E7482" s="21"/>
      <c r="F7482" s="21"/>
      <c r="G7482" s="23"/>
      <c r="H7482" s="24" t="str">
        <f>IFERROR(VLOOKUP(B7482,material!A:D,3,0),"")</f>
        <v/>
      </c>
    </row>
    <row r="7483" ht="11.25" customHeight="1">
      <c r="A7483" s="21"/>
      <c r="B7483" s="22"/>
      <c r="C7483" s="21"/>
      <c r="D7483" s="21"/>
      <c r="E7483" s="21"/>
      <c r="F7483" s="21"/>
      <c r="G7483" s="23"/>
      <c r="H7483" s="24" t="str">
        <f>IFERROR(VLOOKUP(B7483,material!A:D,3,0),"")</f>
        <v/>
      </c>
    </row>
    <row r="7484" ht="11.25" customHeight="1">
      <c r="A7484" s="21"/>
      <c r="B7484" s="22"/>
      <c r="C7484" s="21"/>
      <c r="D7484" s="21"/>
      <c r="E7484" s="21"/>
      <c r="F7484" s="21"/>
      <c r="G7484" s="23"/>
      <c r="H7484" s="24" t="str">
        <f>IFERROR(VLOOKUP(B7484,material!A:D,3,0),"")</f>
        <v/>
      </c>
    </row>
    <row r="7485" ht="11.25" customHeight="1">
      <c r="A7485" s="21"/>
      <c r="B7485" s="22"/>
      <c r="C7485" s="21"/>
      <c r="D7485" s="21"/>
      <c r="E7485" s="21"/>
      <c r="F7485" s="21"/>
      <c r="G7485" s="23"/>
      <c r="H7485" s="24" t="str">
        <f>IFERROR(VLOOKUP(B7485,material!A:D,3,0),"")</f>
        <v/>
      </c>
    </row>
    <row r="7486" ht="11.25" customHeight="1">
      <c r="A7486" s="21"/>
      <c r="B7486" s="22"/>
      <c r="C7486" s="21"/>
      <c r="D7486" s="21"/>
      <c r="E7486" s="21"/>
      <c r="F7486" s="21"/>
      <c r="G7486" s="23"/>
      <c r="H7486" s="24" t="str">
        <f>IFERROR(VLOOKUP(B7486,material!A:D,3,0),"")</f>
        <v/>
      </c>
    </row>
    <row r="7487" ht="11.25" customHeight="1">
      <c r="A7487" s="21"/>
      <c r="B7487" s="22"/>
      <c r="C7487" s="21"/>
      <c r="D7487" s="21"/>
      <c r="E7487" s="21"/>
      <c r="F7487" s="21"/>
      <c r="G7487" s="23"/>
      <c r="H7487" s="24" t="str">
        <f>IFERROR(VLOOKUP(B7487,material!A:D,3,0),"")</f>
        <v/>
      </c>
    </row>
    <row r="7488" ht="11.25" customHeight="1">
      <c r="A7488" s="21"/>
      <c r="B7488" s="22"/>
      <c r="C7488" s="21"/>
      <c r="D7488" s="21"/>
      <c r="E7488" s="21"/>
      <c r="F7488" s="21"/>
      <c r="G7488" s="23"/>
      <c r="H7488" s="24" t="str">
        <f>IFERROR(VLOOKUP(B7488,material!A:D,3,0),"")</f>
        <v/>
      </c>
    </row>
    <row r="7489" ht="11.25" customHeight="1">
      <c r="A7489" s="21"/>
      <c r="B7489" s="22"/>
      <c r="C7489" s="21"/>
      <c r="D7489" s="21"/>
      <c r="E7489" s="21"/>
      <c r="F7489" s="21"/>
      <c r="G7489" s="23"/>
      <c r="H7489" s="24" t="str">
        <f>IFERROR(VLOOKUP(B7489,material!A:D,3,0),"")</f>
        <v/>
      </c>
    </row>
    <row r="7490" ht="11.25" customHeight="1">
      <c r="A7490" s="21"/>
      <c r="B7490" s="22"/>
      <c r="C7490" s="21"/>
      <c r="D7490" s="21"/>
      <c r="E7490" s="21"/>
      <c r="F7490" s="21"/>
      <c r="G7490" s="23"/>
      <c r="H7490" s="24" t="str">
        <f>IFERROR(VLOOKUP(B7490,material!A:D,3,0),"")</f>
        <v/>
      </c>
    </row>
    <row r="7491" ht="11.25" customHeight="1">
      <c r="A7491" s="21"/>
      <c r="B7491" s="22"/>
      <c r="C7491" s="21"/>
      <c r="D7491" s="21"/>
      <c r="E7491" s="21"/>
      <c r="F7491" s="21"/>
      <c r="G7491" s="23"/>
      <c r="H7491" s="24" t="str">
        <f>IFERROR(VLOOKUP(B7491,material!A:D,3,0),"")</f>
        <v/>
      </c>
    </row>
    <row r="7492" ht="11.25" customHeight="1">
      <c r="A7492" s="21"/>
      <c r="B7492" s="22"/>
      <c r="C7492" s="21"/>
      <c r="D7492" s="21"/>
      <c r="E7492" s="21"/>
      <c r="F7492" s="21"/>
      <c r="G7492" s="23"/>
      <c r="H7492" s="24" t="str">
        <f>IFERROR(VLOOKUP(B7492,material!A:D,3,0),"")</f>
        <v/>
      </c>
    </row>
    <row r="7493" ht="11.25" customHeight="1">
      <c r="A7493" s="21"/>
      <c r="B7493" s="22"/>
      <c r="C7493" s="21"/>
      <c r="D7493" s="21"/>
      <c r="E7493" s="21"/>
      <c r="F7493" s="21"/>
      <c r="G7493" s="23"/>
      <c r="H7493" s="24" t="str">
        <f>IFERROR(VLOOKUP(B7493,material!A:D,3,0),"")</f>
        <v/>
      </c>
    </row>
    <row r="7494" ht="11.25" customHeight="1">
      <c r="A7494" s="21"/>
      <c r="B7494" s="22"/>
      <c r="C7494" s="21"/>
      <c r="D7494" s="21"/>
      <c r="E7494" s="21"/>
      <c r="F7494" s="21"/>
      <c r="G7494" s="23"/>
      <c r="H7494" s="24" t="str">
        <f>IFERROR(VLOOKUP(B7494,material!A:D,3,0),"")</f>
        <v/>
      </c>
    </row>
    <row r="7495" ht="11.25" customHeight="1">
      <c r="A7495" s="21"/>
      <c r="B7495" s="22"/>
      <c r="C7495" s="21"/>
      <c r="D7495" s="21"/>
      <c r="E7495" s="21"/>
      <c r="F7495" s="21"/>
      <c r="G7495" s="23"/>
      <c r="H7495" s="24" t="str">
        <f>IFERROR(VLOOKUP(B7495,material!A:D,3,0),"")</f>
        <v/>
      </c>
    </row>
    <row r="7496" ht="11.25" customHeight="1">
      <c r="A7496" s="21"/>
      <c r="B7496" s="22"/>
      <c r="C7496" s="21"/>
      <c r="D7496" s="21"/>
      <c r="E7496" s="21"/>
      <c r="F7496" s="21"/>
      <c r="G7496" s="23"/>
      <c r="H7496" s="24" t="str">
        <f>IFERROR(VLOOKUP(B7496,material!A:D,3,0),"")</f>
        <v/>
      </c>
    </row>
    <row r="7497" ht="11.25" customHeight="1">
      <c r="A7497" s="21"/>
      <c r="B7497" s="22"/>
      <c r="C7497" s="21"/>
      <c r="D7497" s="21"/>
      <c r="E7497" s="21"/>
      <c r="F7497" s="21"/>
      <c r="G7497" s="23"/>
      <c r="H7497" s="24" t="str">
        <f>IFERROR(VLOOKUP(B7497,material!A:D,3,0),"")</f>
        <v/>
      </c>
    </row>
    <row r="7498" ht="11.25" customHeight="1">
      <c r="A7498" s="21"/>
      <c r="B7498" s="22"/>
      <c r="C7498" s="21"/>
      <c r="D7498" s="21"/>
      <c r="E7498" s="21"/>
      <c r="F7498" s="21"/>
      <c r="G7498" s="23"/>
      <c r="H7498" s="24" t="str">
        <f>IFERROR(VLOOKUP(B7498,material!A:D,3,0),"")</f>
        <v/>
      </c>
    </row>
    <row r="7499" ht="11.25" customHeight="1">
      <c r="A7499" s="21"/>
      <c r="B7499" s="22"/>
      <c r="C7499" s="21"/>
      <c r="D7499" s="21"/>
      <c r="E7499" s="21"/>
      <c r="F7499" s="21"/>
      <c r="G7499" s="23"/>
      <c r="H7499" s="24" t="str">
        <f>IFERROR(VLOOKUP(B7499,material!A:D,3,0),"")</f>
        <v/>
      </c>
    </row>
    <row r="7500" ht="11.25" customHeight="1">
      <c r="A7500" s="21"/>
      <c r="B7500" s="22"/>
      <c r="C7500" s="21"/>
      <c r="D7500" s="21"/>
      <c r="E7500" s="21"/>
      <c r="F7500" s="21"/>
      <c r="G7500" s="23"/>
      <c r="H7500" s="24" t="str">
        <f>IFERROR(VLOOKUP(B7500,material!A:D,3,0),"")</f>
        <v/>
      </c>
    </row>
    <row r="7501" ht="11.25" customHeight="1">
      <c r="A7501" s="21"/>
      <c r="B7501" s="22"/>
      <c r="C7501" s="21"/>
      <c r="D7501" s="21"/>
      <c r="E7501" s="21"/>
      <c r="F7501" s="21"/>
      <c r="G7501" s="23"/>
      <c r="H7501" s="24" t="str">
        <f>IFERROR(VLOOKUP(B7501,material!A:D,3,0),"")</f>
        <v/>
      </c>
    </row>
    <row r="7502" ht="11.25" customHeight="1">
      <c r="A7502" s="21"/>
      <c r="B7502" s="22"/>
      <c r="C7502" s="21"/>
      <c r="D7502" s="21"/>
      <c r="E7502" s="21"/>
      <c r="F7502" s="21"/>
      <c r="G7502" s="23"/>
      <c r="H7502" s="24" t="str">
        <f>IFERROR(VLOOKUP(B7502,material!A:D,3,0),"")</f>
        <v/>
      </c>
    </row>
    <row r="7503" ht="11.25" customHeight="1">
      <c r="A7503" s="21"/>
      <c r="B7503" s="22"/>
      <c r="C7503" s="21"/>
      <c r="D7503" s="21"/>
      <c r="E7503" s="21"/>
      <c r="F7503" s="21"/>
      <c r="G7503" s="23"/>
      <c r="H7503" s="24" t="str">
        <f>IFERROR(VLOOKUP(B7503,material!A:D,3,0),"")</f>
        <v/>
      </c>
    </row>
    <row r="7504" ht="11.25" customHeight="1">
      <c r="A7504" s="21"/>
      <c r="B7504" s="22"/>
      <c r="C7504" s="21"/>
      <c r="D7504" s="21"/>
      <c r="E7504" s="21"/>
      <c r="F7504" s="21"/>
      <c r="G7504" s="23"/>
      <c r="H7504" s="24" t="str">
        <f>IFERROR(VLOOKUP(B7504,material!A:D,3,0),"")</f>
        <v/>
      </c>
    </row>
    <row r="7505" ht="11.25" customHeight="1">
      <c r="A7505" s="21"/>
      <c r="B7505" s="22"/>
      <c r="C7505" s="21"/>
      <c r="D7505" s="21"/>
      <c r="E7505" s="21"/>
      <c r="F7505" s="21"/>
      <c r="G7505" s="23"/>
      <c r="H7505" s="24" t="str">
        <f>IFERROR(VLOOKUP(B7505,material!A:D,3,0),"")</f>
        <v/>
      </c>
    </row>
    <row r="7506" ht="11.25" customHeight="1">
      <c r="A7506" s="21"/>
      <c r="B7506" s="22"/>
      <c r="C7506" s="21"/>
      <c r="D7506" s="21"/>
      <c r="E7506" s="21"/>
      <c r="F7506" s="21"/>
      <c r="G7506" s="23"/>
      <c r="H7506" s="24" t="str">
        <f>IFERROR(VLOOKUP(B7506,material!A:D,3,0),"")</f>
        <v/>
      </c>
    </row>
    <row r="7507" ht="11.25" customHeight="1">
      <c r="A7507" s="21"/>
      <c r="B7507" s="22"/>
      <c r="C7507" s="21"/>
      <c r="D7507" s="21"/>
      <c r="E7507" s="21"/>
      <c r="F7507" s="21"/>
      <c r="G7507" s="23"/>
      <c r="H7507" s="24" t="str">
        <f>IFERROR(VLOOKUP(B7507,material!A:D,3,0),"")</f>
        <v/>
      </c>
    </row>
    <row r="7508" ht="11.25" customHeight="1">
      <c r="A7508" s="21"/>
      <c r="B7508" s="22"/>
      <c r="C7508" s="21"/>
      <c r="D7508" s="21"/>
      <c r="E7508" s="21"/>
      <c r="F7508" s="21"/>
      <c r="G7508" s="23"/>
      <c r="H7508" s="24" t="str">
        <f>IFERROR(VLOOKUP(B7508,material!A:D,3,0),"")</f>
        <v/>
      </c>
    </row>
    <row r="7509" ht="11.25" customHeight="1">
      <c r="A7509" s="21"/>
      <c r="B7509" s="22"/>
      <c r="C7509" s="21"/>
      <c r="D7509" s="21"/>
      <c r="E7509" s="21"/>
      <c r="F7509" s="21"/>
      <c r="G7509" s="23"/>
      <c r="H7509" s="24" t="str">
        <f>IFERROR(VLOOKUP(B7509,material!A:D,3,0),"")</f>
        <v/>
      </c>
    </row>
    <row r="7510" ht="11.25" customHeight="1">
      <c r="A7510" s="21"/>
      <c r="B7510" s="22"/>
      <c r="C7510" s="21"/>
      <c r="D7510" s="21"/>
      <c r="E7510" s="21"/>
      <c r="F7510" s="21"/>
      <c r="G7510" s="23"/>
      <c r="H7510" s="24" t="str">
        <f>IFERROR(VLOOKUP(B7510,material!A:D,3,0),"")</f>
        <v/>
      </c>
    </row>
    <row r="7511" ht="11.25" customHeight="1">
      <c r="A7511" s="21"/>
      <c r="B7511" s="22"/>
      <c r="C7511" s="21"/>
      <c r="D7511" s="21"/>
      <c r="E7511" s="21"/>
      <c r="F7511" s="21"/>
      <c r="G7511" s="23"/>
      <c r="H7511" s="24" t="str">
        <f>IFERROR(VLOOKUP(B7511,material!A:D,3,0),"")</f>
        <v/>
      </c>
    </row>
    <row r="7512" ht="11.25" customHeight="1">
      <c r="A7512" s="21"/>
      <c r="B7512" s="22"/>
      <c r="C7512" s="21"/>
      <c r="D7512" s="21"/>
      <c r="E7512" s="21"/>
      <c r="F7512" s="21"/>
      <c r="G7512" s="23"/>
      <c r="H7512" s="24" t="str">
        <f>IFERROR(VLOOKUP(B7512,material!A:D,3,0),"")</f>
        <v/>
      </c>
    </row>
    <row r="7513" ht="11.25" customHeight="1">
      <c r="A7513" s="21"/>
      <c r="B7513" s="22"/>
      <c r="C7513" s="21"/>
      <c r="D7513" s="21"/>
      <c r="E7513" s="21"/>
      <c r="F7513" s="21"/>
      <c r="G7513" s="23"/>
      <c r="H7513" s="24" t="str">
        <f>IFERROR(VLOOKUP(B7513,material!A:D,3,0),"")</f>
        <v/>
      </c>
    </row>
    <row r="7514" ht="11.25" customHeight="1">
      <c r="A7514" s="21"/>
      <c r="B7514" s="22"/>
      <c r="C7514" s="21"/>
      <c r="D7514" s="21"/>
      <c r="E7514" s="21"/>
      <c r="F7514" s="21"/>
      <c r="G7514" s="23"/>
      <c r="H7514" s="24" t="str">
        <f>IFERROR(VLOOKUP(B7514,material!A:D,3,0),"")</f>
        <v/>
      </c>
    </row>
    <row r="7515" ht="11.25" customHeight="1">
      <c r="A7515" s="21"/>
      <c r="B7515" s="22"/>
      <c r="C7515" s="21"/>
      <c r="D7515" s="21"/>
      <c r="E7515" s="21"/>
      <c r="F7515" s="21"/>
      <c r="G7515" s="23"/>
      <c r="H7515" s="24" t="str">
        <f>IFERROR(VLOOKUP(B7515,material!A:D,3,0),"")</f>
        <v/>
      </c>
    </row>
    <row r="7516" ht="11.25" customHeight="1">
      <c r="A7516" s="21"/>
      <c r="B7516" s="22"/>
      <c r="C7516" s="21"/>
      <c r="D7516" s="21"/>
      <c r="E7516" s="21"/>
      <c r="F7516" s="21"/>
      <c r="G7516" s="23"/>
      <c r="H7516" s="24" t="str">
        <f>IFERROR(VLOOKUP(B7516,material!A:D,3,0),"")</f>
        <v/>
      </c>
    </row>
    <row r="7517" ht="11.25" customHeight="1">
      <c r="A7517" s="21"/>
      <c r="B7517" s="22"/>
      <c r="C7517" s="21"/>
      <c r="D7517" s="21"/>
      <c r="E7517" s="21"/>
      <c r="F7517" s="21"/>
      <c r="G7517" s="23"/>
      <c r="H7517" s="24" t="str">
        <f>IFERROR(VLOOKUP(B7517,material!A:D,3,0),"")</f>
        <v/>
      </c>
    </row>
    <row r="7518" ht="11.25" customHeight="1">
      <c r="A7518" s="21"/>
      <c r="B7518" s="22"/>
      <c r="C7518" s="21"/>
      <c r="D7518" s="21"/>
      <c r="E7518" s="21"/>
      <c r="F7518" s="21"/>
      <c r="G7518" s="23"/>
      <c r="H7518" s="24" t="str">
        <f>IFERROR(VLOOKUP(B7518,material!A:D,3,0),"")</f>
        <v/>
      </c>
    </row>
    <row r="7519" ht="11.25" customHeight="1">
      <c r="A7519" s="21"/>
      <c r="B7519" s="22"/>
      <c r="C7519" s="21"/>
      <c r="D7519" s="21"/>
      <c r="E7519" s="21"/>
      <c r="F7519" s="21"/>
      <c r="G7519" s="23"/>
      <c r="H7519" s="24" t="str">
        <f>IFERROR(VLOOKUP(B7519,material!A:D,3,0),"")</f>
        <v/>
      </c>
    </row>
    <row r="7520" ht="11.25" customHeight="1">
      <c r="A7520" s="21"/>
      <c r="B7520" s="22"/>
      <c r="C7520" s="21"/>
      <c r="D7520" s="21"/>
      <c r="E7520" s="21"/>
      <c r="F7520" s="21"/>
      <c r="G7520" s="23"/>
      <c r="H7520" s="24" t="str">
        <f>IFERROR(VLOOKUP(B7520,material!A:D,3,0),"")</f>
        <v/>
      </c>
    </row>
    <row r="7521" ht="11.25" customHeight="1">
      <c r="A7521" s="21"/>
      <c r="B7521" s="22"/>
      <c r="C7521" s="21"/>
      <c r="D7521" s="21"/>
      <c r="E7521" s="21"/>
      <c r="F7521" s="21"/>
      <c r="G7521" s="23"/>
      <c r="H7521" s="24" t="str">
        <f>IFERROR(VLOOKUP(B7521,material!A:D,3,0),"")</f>
        <v/>
      </c>
    </row>
    <row r="7522" ht="11.25" customHeight="1">
      <c r="A7522" s="21"/>
      <c r="B7522" s="22"/>
      <c r="C7522" s="21"/>
      <c r="D7522" s="21"/>
      <c r="E7522" s="21"/>
      <c r="F7522" s="21"/>
      <c r="G7522" s="23"/>
      <c r="H7522" s="24" t="str">
        <f>IFERROR(VLOOKUP(B7522,material!A:D,3,0),"")</f>
        <v/>
      </c>
    </row>
    <row r="7523" ht="11.25" customHeight="1">
      <c r="A7523" s="21"/>
      <c r="B7523" s="22"/>
      <c r="C7523" s="21"/>
      <c r="D7523" s="21"/>
      <c r="E7523" s="21"/>
      <c r="F7523" s="21"/>
      <c r="G7523" s="23"/>
      <c r="H7523" s="24" t="str">
        <f>IFERROR(VLOOKUP(B7523,material!A:D,3,0),"")</f>
        <v/>
      </c>
    </row>
    <row r="7524" ht="11.25" customHeight="1">
      <c r="A7524" s="21"/>
      <c r="B7524" s="22"/>
      <c r="C7524" s="21"/>
      <c r="D7524" s="21"/>
      <c r="E7524" s="21"/>
      <c r="F7524" s="21"/>
      <c r="G7524" s="23"/>
      <c r="H7524" s="24" t="str">
        <f>IFERROR(VLOOKUP(B7524,material!A:D,3,0),"")</f>
        <v/>
      </c>
    </row>
    <row r="7525" ht="11.25" customHeight="1">
      <c r="A7525" s="21"/>
      <c r="B7525" s="22"/>
      <c r="C7525" s="21"/>
      <c r="D7525" s="21"/>
      <c r="E7525" s="21"/>
      <c r="F7525" s="21"/>
      <c r="G7525" s="23"/>
      <c r="H7525" s="24" t="str">
        <f>IFERROR(VLOOKUP(B7525,material!A:D,3,0),"")</f>
        <v/>
      </c>
    </row>
    <row r="7526" ht="11.25" customHeight="1">
      <c r="A7526" s="21"/>
      <c r="B7526" s="22"/>
      <c r="C7526" s="21"/>
      <c r="D7526" s="21"/>
      <c r="E7526" s="21"/>
      <c r="F7526" s="21"/>
      <c r="G7526" s="23"/>
      <c r="H7526" s="24" t="str">
        <f>IFERROR(VLOOKUP(B7526,material!A:D,3,0),"")</f>
        <v/>
      </c>
    </row>
    <row r="7527" ht="11.25" customHeight="1">
      <c r="A7527" s="21"/>
      <c r="B7527" s="22"/>
      <c r="C7527" s="21"/>
      <c r="D7527" s="21"/>
      <c r="E7527" s="21"/>
      <c r="F7527" s="21"/>
      <c r="G7527" s="23"/>
      <c r="H7527" s="24" t="str">
        <f>IFERROR(VLOOKUP(B7527,material!A:D,3,0),"")</f>
        <v/>
      </c>
    </row>
    <row r="7528" ht="11.25" customHeight="1">
      <c r="A7528" s="21"/>
      <c r="B7528" s="22"/>
      <c r="C7528" s="21"/>
      <c r="D7528" s="21"/>
      <c r="E7528" s="21"/>
      <c r="F7528" s="21"/>
      <c r="G7528" s="23"/>
      <c r="H7528" s="24" t="str">
        <f>IFERROR(VLOOKUP(B7528,material!A:D,3,0),"")</f>
        <v/>
      </c>
    </row>
    <row r="7529" ht="11.25" customHeight="1">
      <c r="A7529" s="21"/>
      <c r="B7529" s="22"/>
      <c r="C7529" s="21"/>
      <c r="D7529" s="21"/>
      <c r="E7529" s="21"/>
      <c r="F7529" s="21"/>
      <c r="G7529" s="23"/>
      <c r="H7529" s="24" t="str">
        <f>IFERROR(VLOOKUP(B7529,material!A:D,3,0),"")</f>
        <v/>
      </c>
    </row>
    <row r="7530" ht="11.25" customHeight="1">
      <c r="A7530" s="21"/>
      <c r="B7530" s="22"/>
      <c r="C7530" s="21"/>
      <c r="D7530" s="21"/>
      <c r="E7530" s="21"/>
      <c r="F7530" s="21"/>
      <c r="G7530" s="23"/>
      <c r="H7530" s="24" t="str">
        <f>IFERROR(VLOOKUP(B7530,material!A:D,3,0),"")</f>
        <v/>
      </c>
    </row>
    <row r="7531" ht="11.25" customHeight="1">
      <c r="A7531" s="21"/>
      <c r="B7531" s="22"/>
      <c r="C7531" s="21"/>
      <c r="D7531" s="21"/>
      <c r="E7531" s="21"/>
      <c r="F7531" s="21"/>
      <c r="G7531" s="23"/>
      <c r="H7531" s="24" t="str">
        <f>IFERROR(VLOOKUP(B7531,material!A:D,3,0),"")</f>
        <v/>
      </c>
    </row>
    <row r="7532" ht="11.25" customHeight="1">
      <c r="A7532" s="21"/>
      <c r="B7532" s="22"/>
      <c r="C7532" s="21"/>
      <c r="D7532" s="21"/>
      <c r="E7532" s="21"/>
      <c r="F7532" s="21"/>
      <c r="G7532" s="23"/>
      <c r="H7532" s="24" t="str">
        <f>IFERROR(VLOOKUP(B7532,material!A:D,3,0),"")</f>
        <v/>
      </c>
    </row>
    <row r="7533" ht="11.25" customHeight="1">
      <c r="A7533" s="21"/>
      <c r="B7533" s="22"/>
      <c r="C7533" s="21"/>
      <c r="D7533" s="21"/>
      <c r="E7533" s="21"/>
      <c r="F7533" s="21"/>
      <c r="G7533" s="23"/>
      <c r="H7533" s="24" t="str">
        <f>IFERROR(VLOOKUP(B7533,material!A:D,3,0),"")</f>
        <v/>
      </c>
    </row>
    <row r="7534" ht="11.25" customHeight="1">
      <c r="A7534" s="21"/>
      <c r="B7534" s="22"/>
      <c r="C7534" s="21"/>
      <c r="D7534" s="21"/>
      <c r="E7534" s="21"/>
      <c r="F7534" s="21"/>
      <c r="G7534" s="23"/>
      <c r="H7534" s="24" t="str">
        <f>IFERROR(VLOOKUP(B7534,material!A:D,3,0),"")</f>
        <v/>
      </c>
    </row>
    <row r="7535" ht="11.25" customHeight="1">
      <c r="A7535" s="21"/>
      <c r="B7535" s="22"/>
      <c r="C7535" s="21"/>
      <c r="D7535" s="21"/>
      <c r="E7535" s="21"/>
      <c r="F7535" s="21"/>
      <c r="G7535" s="23"/>
      <c r="H7535" s="24" t="str">
        <f>IFERROR(VLOOKUP(B7535,material!A:D,3,0),"")</f>
        <v/>
      </c>
    </row>
    <row r="7536" ht="11.25" customHeight="1">
      <c r="A7536" s="21"/>
      <c r="B7536" s="22"/>
      <c r="C7536" s="21"/>
      <c r="D7536" s="21"/>
      <c r="E7536" s="21"/>
      <c r="F7536" s="21"/>
      <c r="G7536" s="23"/>
      <c r="H7536" s="24" t="str">
        <f>IFERROR(VLOOKUP(B7536,material!A:D,3,0),"")</f>
        <v/>
      </c>
    </row>
    <row r="7537" ht="11.25" customHeight="1">
      <c r="A7537" s="21"/>
      <c r="B7537" s="22"/>
      <c r="C7537" s="21"/>
      <c r="D7537" s="21"/>
      <c r="E7537" s="21"/>
      <c r="F7537" s="21"/>
      <c r="G7537" s="23"/>
      <c r="H7537" s="24" t="str">
        <f>IFERROR(VLOOKUP(B7537,material!A:D,3,0),"")</f>
        <v/>
      </c>
    </row>
    <row r="7538" ht="11.25" customHeight="1">
      <c r="A7538" s="21"/>
      <c r="B7538" s="22"/>
      <c r="C7538" s="21"/>
      <c r="D7538" s="21"/>
      <c r="E7538" s="21"/>
      <c r="F7538" s="21"/>
      <c r="G7538" s="23"/>
      <c r="H7538" s="24" t="str">
        <f>IFERROR(VLOOKUP(B7538,material!A:D,3,0),"")</f>
        <v/>
      </c>
    </row>
    <row r="7539" ht="11.25" customHeight="1">
      <c r="A7539" s="21"/>
      <c r="B7539" s="22"/>
      <c r="C7539" s="21"/>
      <c r="D7539" s="21"/>
      <c r="E7539" s="21"/>
      <c r="F7539" s="21"/>
      <c r="G7539" s="23"/>
      <c r="H7539" s="24" t="str">
        <f>IFERROR(VLOOKUP(B7539,material!A:D,3,0),"")</f>
        <v/>
      </c>
    </row>
    <row r="7540" ht="11.25" customHeight="1">
      <c r="A7540" s="21"/>
      <c r="B7540" s="22"/>
      <c r="C7540" s="21"/>
      <c r="D7540" s="21"/>
      <c r="E7540" s="21"/>
      <c r="F7540" s="21"/>
      <c r="G7540" s="23"/>
      <c r="H7540" s="24" t="str">
        <f>IFERROR(VLOOKUP(B7540,material!A:D,3,0),"")</f>
        <v/>
      </c>
    </row>
    <row r="7541" ht="11.25" customHeight="1">
      <c r="A7541" s="21"/>
      <c r="B7541" s="22"/>
      <c r="C7541" s="21"/>
      <c r="D7541" s="21"/>
      <c r="E7541" s="21"/>
      <c r="F7541" s="21"/>
      <c r="G7541" s="23"/>
      <c r="H7541" s="24" t="str">
        <f>IFERROR(VLOOKUP(B7541,material!A:D,3,0),"")</f>
        <v/>
      </c>
    </row>
    <row r="7542" ht="11.25" customHeight="1">
      <c r="A7542" s="21"/>
      <c r="B7542" s="22"/>
      <c r="C7542" s="21"/>
      <c r="D7542" s="21"/>
      <c r="E7542" s="21"/>
      <c r="F7542" s="21"/>
      <c r="G7542" s="23"/>
      <c r="H7542" s="24" t="str">
        <f>IFERROR(VLOOKUP(B7542,material!A:D,3,0),"")</f>
        <v/>
      </c>
    </row>
    <row r="7543" ht="11.25" customHeight="1">
      <c r="A7543" s="21"/>
      <c r="B7543" s="22"/>
      <c r="C7543" s="21"/>
      <c r="D7543" s="21"/>
      <c r="E7543" s="21"/>
      <c r="F7543" s="21"/>
      <c r="G7543" s="23"/>
      <c r="H7543" s="24" t="str">
        <f>IFERROR(VLOOKUP(B7543,material!A:D,3,0),"")</f>
        <v/>
      </c>
    </row>
    <row r="7544" ht="11.25" customHeight="1">
      <c r="A7544" s="21"/>
      <c r="B7544" s="22"/>
      <c r="C7544" s="21"/>
      <c r="D7544" s="21"/>
      <c r="E7544" s="21"/>
      <c r="F7544" s="21"/>
      <c r="G7544" s="23"/>
      <c r="H7544" s="24" t="str">
        <f>IFERROR(VLOOKUP(B7544,material!A:D,3,0),"")</f>
        <v/>
      </c>
    </row>
    <row r="7545" ht="11.25" customHeight="1">
      <c r="A7545" s="21"/>
      <c r="B7545" s="22"/>
      <c r="C7545" s="21"/>
      <c r="D7545" s="21"/>
      <c r="E7545" s="21"/>
      <c r="F7545" s="21"/>
      <c r="G7545" s="23"/>
      <c r="H7545" s="24" t="str">
        <f>IFERROR(VLOOKUP(B7545,material!A:D,3,0),"")</f>
        <v/>
      </c>
    </row>
    <row r="7546" ht="11.25" customHeight="1">
      <c r="A7546" s="21"/>
      <c r="B7546" s="22"/>
      <c r="C7546" s="21"/>
      <c r="D7546" s="21"/>
      <c r="E7546" s="21"/>
      <c r="F7546" s="21"/>
      <c r="G7546" s="23"/>
      <c r="H7546" s="24" t="str">
        <f>IFERROR(VLOOKUP(B7546,material!A:D,3,0),"")</f>
        <v/>
      </c>
    </row>
    <row r="7547" ht="11.25" customHeight="1">
      <c r="A7547" s="21"/>
      <c r="B7547" s="22"/>
      <c r="C7547" s="21"/>
      <c r="D7547" s="21"/>
      <c r="E7547" s="21"/>
      <c r="F7547" s="21"/>
      <c r="G7547" s="23"/>
      <c r="H7547" s="24" t="str">
        <f>IFERROR(VLOOKUP(B7547,material!A:D,3,0),"")</f>
        <v/>
      </c>
    </row>
    <row r="7548" ht="11.25" customHeight="1">
      <c r="A7548" s="21"/>
      <c r="B7548" s="22"/>
      <c r="C7548" s="21"/>
      <c r="D7548" s="21"/>
      <c r="E7548" s="21"/>
      <c r="F7548" s="21"/>
      <c r="G7548" s="23"/>
      <c r="H7548" s="24" t="str">
        <f>IFERROR(VLOOKUP(B7548,material!A:D,3,0),"")</f>
        <v/>
      </c>
    </row>
    <row r="7549" ht="11.25" customHeight="1">
      <c r="A7549" s="21"/>
      <c r="B7549" s="22"/>
      <c r="C7549" s="21"/>
      <c r="D7549" s="21"/>
      <c r="E7549" s="21"/>
      <c r="F7549" s="21"/>
      <c r="G7549" s="23"/>
      <c r="H7549" s="24" t="str">
        <f>IFERROR(VLOOKUP(B7549,material!A:D,3,0),"")</f>
        <v/>
      </c>
    </row>
    <row r="7550" ht="11.25" customHeight="1">
      <c r="A7550" s="21"/>
      <c r="B7550" s="22"/>
      <c r="C7550" s="21"/>
      <c r="D7550" s="21"/>
      <c r="E7550" s="21"/>
      <c r="F7550" s="21"/>
      <c r="G7550" s="23"/>
      <c r="H7550" s="24" t="str">
        <f>IFERROR(VLOOKUP(B7550,material!A:D,3,0),"")</f>
        <v/>
      </c>
    </row>
    <row r="7551" ht="11.25" customHeight="1">
      <c r="A7551" s="21"/>
      <c r="B7551" s="22"/>
      <c r="C7551" s="21"/>
      <c r="D7551" s="21"/>
      <c r="E7551" s="21"/>
      <c r="F7551" s="21"/>
      <c r="G7551" s="23"/>
      <c r="H7551" s="24" t="str">
        <f>IFERROR(VLOOKUP(B7551,material!A:D,3,0),"")</f>
        <v/>
      </c>
    </row>
    <row r="7552" ht="11.25" customHeight="1">
      <c r="A7552" s="21"/>
      <c r="B7552" s="22"/>
      <c r="C7552" s="21"/>
      <c r="D7552" s="21"/>
      <c r="E7552" s="21"/>
      <c r="F7552" s="21"/>
      <c r="G7552" s="23"/>
      <c r="H7552" s="24" t="str">
        <f>IFERROR(VLOOKUP(B7552,material!A:D,3,0),"")</f>
        <v/>
      </c>
    </row>
    <row r="7553" ht="11.25" customHeight="1">
      <c r="A7553" s="21"/>
      <c r="B7553" s="22"/>
      <c r="C7553" s="21"/>
      <c r="D7553" s="21"/>
      <c r="E7553" s="21"/>
      <c r="F7553" s="21"/>
      <c r="G7553" s="23"/>
      <c r="H7553" s="24" t="str">
        <f>IFERROR(VLOOKUP(B7553,material!A:D,3,0),"")</f>
        <v/>
      </c>
    </row>
    <row r="7554" ht="11.25" customHeight="1">
      <c r="A7554" s="21"/>
      <c r="B7554" s="22"/>
      <c r="C7554" s="21"/>
      <c r="D7554" s="21"/>
      <c r="E7554" s="21"/>
      <c r="F7554" s="21"/>
      <c r="G7554" s="23"/>
      <c r="H7554" s="24" t="str">
        <f>IFERROR(VLOOKUP(B7554,material!A:D,3,0),"")</f>
        <v/>
      </c>
    </row>
    <row r="7555" ht="11.25" customHeight="1">
      <c r="A7555" s="21"/>
      <c r="B7555" s="22"/>
      <c r="C7555" s="21"/>
      <c r="D7555" s="21"/>
      <c r="E7555" s="21"/>
      <c r="F7555" s="21"/>
      <c r="G7555" s="23"/>
      <c r="H7555" s="24" t="str">
        <f>IFERROR(VLOOKUP(B7555,material!A:D,3,0),"")</f>
        <v/>
      </c>
    </row>
    <row r="7556" ht="11.25" customHeight="1">
      <c r="A7556" s="21"/>
      <c r="B7556" s="22"/>
      <c r="C7556" s="21"/>
      <c r="D7556" s="21"/>
      <c r="E7556" s="21"/>
      <c r="F7556" s="21"/>
      <c r="G7556" s="23"/>
      <c r="H7556" s="24" t="str">
        <f>IFERROR(VLOOKUP(B7556,material!A:D,3,0),"")</f>
        <v/>
      </c>
    </row>
    <row r="7557" ht="11.25" customHeight="1">
      <c r="A7557" s="21"/>
      <c r="B7557" s="22"/>
      <c r="C7557" s="21"/>
      <c r="D7557" s="21"/>
      <c r="E7557" s="21"/>
      <c r="F7557" s="21"/>
      <c r="G7557" s="23"/>
      <c r="H7557" s="24" t="str">
        <f>IFERROR(VLOOKUP(B7557,material!A:D,3,0),"")</f>
        <v/>
      </c>
    </row>
    <row r="7558" ht="11.25" customHeight="1">
      <c r="A7558" s="21"/>
      <c r="B7558" s="22"/>
      <c r="C7558" s="21"/>
      <c r="D7558" s="21"/>
      <c r="E7558" s="21"/>
      <c r="F7558" s="21"/>
      <c r="G7558" s="23"/>
      <c r="H7558" s="24" t="str">
        <f>IFERROR(VLOOKUP(B7558,material!A:D,3,0),"")</f>
        <v/>
      </c>
    </row>
    <row r="7559" ht="11.25" customHeight="1">
      <c r="A7559" s="21"/>
      <c r="B7559" s="22"/>
      <c r="C7559" s="21"/>
      <c r="D7559" s="21"/>
      <c r="E7559" s="21"/>
      <c r="F7559" s="21"/>
      <c r="G7559" s="23"/>
      <c r="H7559" s="24" t="str">
        <f>IFERROR(VLOOKUP(B7559,material!A:D,3,0),"")</f>
        <v/>
      </c>
    </row>
    <row r="7560" ht="11.25" customHeight="1">
      <c r="A7560" s="21"/>
      <c r="B7560" s="22"/>
      <c r="C7560" s="21"/>
      <c r="D7560" s="21"/>
      <c r="E7560" s="21"/>
      <c r="F7560" s="21"/>
      <c r="G7560" s="23"/>
      <c r="H7560" s="24" t="str">
        <f>IFERROR(VLOOKUP(B7560,material!A:D,3,0),"")</f>
        <v/>
      </c>
    </row>
    <row r="7561" ht="11.25" customHeight="1">
      <c r="A7561" s="21"/>
      <c r="B7561" s="22"/>
      <c r="C7561" s="21"/>
      <c r="D7561" s="21"/>
      <c r="E7561" s="21"/>
      <c r="F7561" s="21"/>
      <c r="G7561" s="23"/>
      <c r="H7561" s="24" t="str">
        <f>IFERROR(VLOOKUP(B7561,material!A:D,3,0),"")</f>
        <v/>
      </c>
    </row>
    <row r="7562" ht="11.25" customHeight="1">
      <c r="A7562" s="21"/>
      <c r="B7562" s="22"/>
      <c r="C7562" s="21"/>
      <c r="D7562" s="21"/>
      <c r="E7562" s="21"/>
      <c r="F7562" s="21"/>
      <c r="G7562" s="23"/>
      <c r="H7562" s="24" t="str">
        <f>IFERROR(VLOOKUP(B7562,material!A:D,3,0),"")</f>
        <v/>
      </c>
    </row>
    <row r="7563" ht="11.25" customHeight="1">
      <c r="A7563" s="21"/>
      <c r="B7563" s="22"/>
      <c r="C7563" s="21"/>
      <c r="D7563" s="21"/>
      <c r="E7563" s="21"/>
      <c r="F7563" s="21"/>
      <c r="G7563" s="23"/>
      <c r="H7563" s="24" t="str">
        <f>IFERROR(VLOOKUP(B7563,material!A:D,3,0),"")</f>
        <v/>
      </c>
    </row>
    <row r="7564" ht="11.25" customHeight="1">
      <c r="A7564" s="21"/>
      <c r="B7564" s="22"/>
      <c r="C7564" s="21"/>
      <c r="D7564" s="21"/>
      <c r="E7564" s="21"/>
      <c r="F7564" s="21"/>
      <c r="G7564" s="23"/>
      <c r="H7564" s="24" t="str">
        <f>IFERROR(VLOOKUP(B7564,material!A:D,3,0),"")</f>
        <v/>
      </c>
    </row>
    <row r="7565" ht="11.25" customHeight="1">
      <c r="A7565" s="21"/>
      <c r="B7565" s="22"/>
      <c r="C7565" s="21"/>
      <c r="D7565" s="21"/>
      <c r="E7565" s="21"/>
      <c r="F7565" s="21"/>
      <c r="G7565" s="23"/>
      <c r="H7565" s="24" t="str">
        <f>IFERROR(VLOOKUP(B7565,material!A:D,3,0),"")</f>
        <v/>
      </c>
    </row>
    <row r="7566" ht="11.25" customHeight="1">
      <c r="A7566" s="21"/>
      <c r="B7566" s="22"/>
      <c r="C7566" s="21"/>
      <c r="D7566" s="21"/>
      <c r="E7566" s="21"/>
      <c r="F7566" s="21"/>
      <c r="G7566" s="23"/>
      <c r="H7566" s="24" t="str">
        <f>IFERROR(VLOOKUP(B7566,material!A:D,3,0),"")</f>
        <v/>
      </c>
    </row>
    <row r="7567" ht="11.25" customHeight="1">
      <c r="A7567" s="21"/>
      <c r="B7567" s="22"/>
      <c r="C7567" s="21"/>
      <c r="D7567" s="21"/>
      <c r="E7567" s="21"/>
      <c r="F7567" s="21"/>
      <c r="G7567" s="23"/>
      <c r="H7567" s="24" t="str">
        <f>IFERROR(VLOOKUP(B7567,material!A:D,3,0),"")</f>
        <v/>
      </c>
    </row>
    <row r="7568" ht="11.25" customHeight="1">
      <c r="A7568" s="21"/>
      <c r="B7568" s="22"/>
      <c r="C7568" s="21"/>
      <c r="D7568" s="21"/>
      <c r="E7568" s="21"/>
      <c r="F7568" s="21"/>
      <c r="G7568" s="23"/>
      <c r="H7568" s="24" t="str">
        <f>IFERROR(VLOOKUP(B7568,material!A:D,3,0),"")</f>
        <v/>
      </c>
    </row>
    <row r="7569" ht="11.25" customHeight="1">
      <c r="A7569" s="21"/>
      <c r="B7569" s="22"/>
      <c r="C7569" s="21"/>
      <c r="D7569" s="21"/>
      <c r="E7569" s="21"/>
      <c r="F7569" s="21"/>
      <c r="G7569" s="23"/>
      <c r="H7569" s="24" t="str">
        <f>IFERROR(VLOOKUP(B7569,material!A:D,3,0),"")</f>
        <v/>
      </c>
    </row>
    <row r="7570" ht="11.25" customHeight="1">
      <c r="A7570" s="21"/>
      <c r="B7570" s="22"/>
      <c r="C7570" s="21"/>
      <c r="D7570" s="21"/>
      <c r="E7570" s="21"/>
      <c r="F7570" s="21"/>
      <c r="G7570" s="23"/>
      <c r="H7570" s="24" t="str">
        <f>IFERROR(VLOOKUP(B7570,material!A:D,3,0),"")</f>
        <v/>
      </c>
    </row>
    <row r="7571" ht="11.25" customHeight="1">
      <c r="A7571" s="21"/>
      <c r="B7571" s="22"/>
      <c r="C7571" s="21"/>
      <c r="D7571" s="21"/>
      <c r="E7571" s="21"/>
      <c r="F7571" s="21"/>
      <c r="G7571" s="23"/>
      <c r="H7571" s="24" t="str">
        <f>IFERROR(VLOOKUP(B7571,material!A:D,3,0),"")</f>
        <v/>
      </c>
    </row>
    <row r="7572" ht="11.25" customHeight="1">
      <c r="A7572" s="21"/>
      <c r="B7572" s="22"/>
      <c r="C7572" s="21"/>
      <c r="D7572" s="21"/>
      <c r="E7572" s="21"/>
      <c r="F7572" s="21"/>
      <c r="G7572" s="23"/>
      <c r="H7572" s="24" t="str">
        <f>IFERROR(VLOOKUP(B7572,material!A:D,3,0),"")</f>
        <v/>
      </c>
    </row>
    <row r="7573" ht="11.25" customHeight="1">
      <c r="A7573" s="21"/>
      <c r="B7573" s="22"/>
      <c r="C7573" s="21"/>
      <c r="D7573" s="21"/>
      <c r="E7573" s="21"/>
      <c r="F7573" s="21"/>
      <c r="G7573" s="23"/>
      <c r="H7573" s="24" t="str">
        <f>IFERROR(VLOOKUP(B7573,material!A:D,3,0),"")</f>
        <v/>
      </c>
    </row>
    <row r="7574" ht="11.25" customHeight="1">
      <c r="A7574" s="21"/>
      <c r="B7574" s="22"/>
      <c r="C7574" s="21"/>
      <c r="D7574" s="21"/>
      <c r="E7574" s="21"/>
      <c r="F7574" s="21"/>
      <c r="G7574" s="23"/>
      <c r="H7574" s="24" t="str">
        <f>IFERROR(VLOOKUP(B7574,material!A:D,3,0),"")</f>
        <v/>
      </c>
    </row>
    <row r="7575" ht="11.25" customHeight="1">
      <c r="A7575" s="21"/>
      <c r="B7575" s="22"/>
      <c r="C7575" s="21"/>
      <c r="D7575" s="21"/>
      <c r="E7575" s="21"/>
      <c r="F7575" s="21"/>
      <c r="G7575" s="23"/>
      <c r="H7575" s="24" t="str">
        <f>IFERROR(VLOOKUP(B7575,material!A:D,3,0),"")</f>
        <v/>
      </c>
    </row>
    <row r="7576" ht="11.25" customHeight="1">
      <c r="A7576" s="21"/>
      <c r="B7576" s="22"/>
      <c r="C7576" s="21"/>
      <c r="D7576" s="21"/>
      <c r="E7576" s="21"/>
      <c r="F7576" s="21"/>
      <c r="G7576" s="23"/>
      <c r="H7576" s="24" t="str">
        <f>IFERROR(VLOOKUP(B7576,material!A:D,3,0),"")</f>
        <v/>
      </c>
    </row>
    <row r="7577" ht="11.25" customHeight="1">
      <c r="A7577" s="21"/>
      <c r="B7577" s="22"/>
      <c r="C7577" s="21"/>
      <c r="D7577" s="21"/>
      <c r="E7577" s="21"/>
      <c r="F7577" s="21"/>
      <c r="G7577" s="23"/>
      <c r="H7577" s="24" t="str">
        <f>IFERROR(VLOOKUP(B7577,material!A:D,3,0),"")</f>
        <v/>
      </c>
    </row>
    <row r="7578" ht="11.25" customHeight="1">
      <c r="A7578" s="21"/>
      <c r="B7578" s="22"/>
      <c r="C7578" s="21"/>
      <c r="D7578" s="21"/>
      <c r="E7578" s="21"/>
      <c r="F7578" s="21"/>
      <c r="G7578" s="23"/>
      <c r="H7578" s="24" t="str">
        <f>IFERROR(VLOOKUP(B7578,material!A:D,3,0),"")</f>
        <v/>
      </c>
    </row>
    <row r="7579" ht="11.25" customHeight="1">
      <c r="A7579" s="21"/>
      <c r="B7579" s="22"/>
      <c r="C7579" s="21"/>
      <c r="D7579" s="21"/>
      <c r="E7579" s="21"/>
      <c r="F7579" s="21"/>
      <c r="G7579" s="23"/>
      <c r="H7579" s="24" t="str">
        <f>IFERROR(VLOOKUP(B7579,material!A:D,3,0),"")</f>
        <v/>
      </c>
    </row>
    <row r="7580" ht="11.25" customHeight="1">
      <c r="A7580" s="21"/>
      <c r="B7580" s="22"/>
      <c r="C7580" s="21"/>
      <c r="D7580" s="21"/>
      <c r="E7580" s="21"/>
      <c r="F7580" s="21"/>
      <c r="G7580" s="23"/>
      <c r="H7580" s="24" t="str">
        <f>IFERROR(VLOOKUP(B7580,material!A:D,3,0),"")</f>
        <v/>
      </c>
    </row>
    <row r="7581" ht="11.25" customHeight="1">
      <c r="A7581" s="21"/>
      <c r="B7581" s="22"/>
      <c r="C7581" s="21"/>
      <c r="D7581" s="21"/>
      <c r="E7581" s="21"/>
      <c r="F7581" s="21"/>
      <c r="G7581" s="23"/>
      <c r="H7581" s="24" t="str">
        <f>IFERROR(VLOOKUP(B7581,material!A:D,3,0),"")</f>
        <v/>
      </c>
    </row>
    <row r="7582" ht="11.25" customHeight="1">
      <c r="A7582" s="21"/>
      <c r="B7582" s="22"/>
      <c r="C7582" s="21"/>
      <c r="D7582" s="21"/>
      <c r="E7582" s="21"/>
      <c r="F7582" s="21"/>
      <c r="G7582" s="23"/>
      <c r="H7582" s="24" t="str">
        <f>IFERROR(VLOOKUP(B7582,material!A:D,3,0),"")</f>
        <v/>
      </c>
    </row>
    <row r="7583" ht="11.25" customHeight="1">
      <c r="A7583" s="21"/>
      <c r="B7583" s="22"/>
      <c r="C7583" s="21"/>
      <c r="D7583" s="21"/>
      <c r="E7583" s="21"/>
      <c r="F7583" s="21"/>
      <c r="G7583" s="23"/>
      <c r="H7583" s="24" t="str">
        <f>IFERROR(VLOOKUP(B7583,material!A:D,3,0),"")</f>
        <v/>
      </c>
    </row>
    <row r="7584" ht="11.25" customHeight="1">
      <c r="A7584" s="21"/>
      <c r="B7584" s="22"/>
      <c r="C7584" s="21"/>
      <c r="D7584" s="21"/>
      <c r="E7584" s="21"/>
      <c r="F7584" s="21"/>
      <c r="G7584" s="23"/>
      <c r="H7584" s="24" t="str">
        <f>IFERROR(VLOOKUP(B7584,material!A:D,3,0),"")</f>
        <v/>
      </c>
    </row>
    <row r="7585" ht="11.25" customHeight="1">
      <c r="A7585" s="21"/>
      <c r="B7585" s="22"/>
      <c r="C7585" s="21"/>
      <c r="D7585" s="21"/>
      <c r="E7585" s="21"/>
      <c r="F7585" s="21"/>
      <c r="G7585" s="23"/>
      <c r="H7585" s="24" t="str">
        <f>IFERROR(VLOOKUP(B7585,material!A:D,3,0),"")</f>
        <v/>
      </c>
    </row>
    <row r="7586" ht="11.25" customHeight="1">
      <c r="A7586" s="21"/>
      <c r="B7586" s="22"/>
      <c r="C7586" s="21"/>
      <c r="D7586" s="21"/>
      <c r="E7586" s="21"/>
      <c r="F7586" s="21"/>
      <c r="G7586" s="23"/>
      <c r="H7586" s="24" t="str">
        <f>IFERROR(VLOOKUP(B7586,material!A:D,3,0),"")</f>
        <v/>
      </c>
    </row>
    <row r="7587" ht="11.25" customHeight="1">
      <c r="A7587" s="21"/>
      <c r="B7587" s="22"/>
      <c r="C7587" s="21"/>
      <c r="D7587" s="21"/>
      <c r="E7587" s="21"/>
      <c r="F7587" s="21"/>
      <c r="G7587" s="23"/>
      <c r="H7587" s="24" t="str">
        <f>IFERROR(VLOOKUP(B7587,material!A:D,3,0),"")</f>
        <v/>
      </c>
    </row>
    <row r="7588" ht="11.25" customHeight="1">
      <c r="A7588" s="21"/>
      <c r="B7588" s="22"/>
      <c r="C7588" s="21"/>
      <c r="D7588" s="21"/>
      <c r="E7588" s="21"/>
      <c r="F7588" s="21"/>
      <c r="G7588" s="23"/>
      <c r="H7588" s="24" t="str">
        <f>IFERROR(VLOOKUP(B7588,material!A:D,3,0),"")</f>
        <v/>
      </c>
    </row>
    <row r="7589" ht="11.25" customHeight="1">
      <c r="A7589" s="21"/>
      <c r="B7589" s="22"/>
      <c r="C7589" s="21"/>
      <c r="D7589" s="21"/>
      <c r="E7589" s="21"/>
      <c r="F7589" s="21"/>
      <c r="G7589" s="23"/>
      <c r="H7589" s="24" t="str">
        <f>IFERROR(VLOOKUP(B7589,material!A:D,3,0),"")</f>
        <v/>
      </c>
    </row>
    <row r="7590" ht="11.25" customHeight="1">
      <c r="A7590" s="21"/>
      <c r="B7590" s="22"/>
      <c r="C7590" s="21"/>
      <c r="D7590" s="21"/>
      <c r="E7590" s="21"/>
      <c r="F7590" s="21"/>
      <c r="G7590" s="23"/>
      <c r="H7590" s="24" t="str">
        <f>IFERROR(VLOOKUP(B7590,material!A:D,3,0),"")</f>
        <v/>
      </c>
    </row>
    <row r="7591" ht="11.25" customHeight="1">
      <c r="A7591" s="21"/>
      <c r="B7591" s="22"/>
      <c r="C7591" s="21"/>
      <c r="D7591" s="21"/>
      <c r="E7591" s="21"/>
      <c r="F7591" s="21"/>
      <c r="G7591" s="23"/>
      <c r="H7591" s="24" t="str">
        <f>IFERROR(VLOOKUP(B7591,material!A:D,3,0),"")</f>
        <v/>
      </c>
    </row>
    <row r="7592" ht="11.25" customHeight="1">
      <c r="A7592" s="21"/>
      <c r="B7592" s="22"/>
      <c r="C7592" s="21"/>
      <c r="D7592" s="21"/>
      <c r="E7592" s="21"/>
      <c r="F7592" s="21"/>
      <c r="G7592" s="23"/>
      <c r="H7592" s="24" t="str">
        <f>IFERROR(VLOOKUP(B7592,material!A:D,3,0),"")</f>
        <v/>
      </c>
    </row>
    <row r="7593" ht="11.25" customHeight="1">
      <c r="A7593" s="21"/>
      <c r="B7593" s="22"/>
      <c r="C7593" s="21"/>
      <c r="D7593" s="21"/>
      <c r="E7593" s="21"/>
      <c r="F7593" s="21"/>
      <c r="G7593" s="23"/>
      <c r="H7593" s="24" t="str">
        <f>IFERROR(VLOOKUP(B7593,material!A:D,3,0),"")</f>
        <v/>
      </c>
    </row>
    <row r="7594" ht="11.25" customHeight="1">
      <c r="A7594" s="21"/>
      <c r="B7594" s="22"/>
      <c r="C7594" s="21"/>
      <c r="D7594" s="21"/>
      <c r="E7594" s="21"/>
      <c r="F7594" s="21"/>
      <c r="G7594" s="23"/>
      <c r="H7594" s="24" t="str">
        <f>IFERROR(VLOOKUP(B7594,material!A:D,3,0),"")</f>
        <v/>
      </c>
    </row>
    <row r="7595" ht="11.25" customHeight="1">
      <c r="A7595" s="21"/>
      <c r="B7595" s="22"/>
      <c r="C7595" s="21"/>
      <c r="D7595" s="21"/>
      <c r="E7595" s="21"/>
      <c r="F7595" s="21"/>
      <c r="G7595" s="23"/>
      <c r="H7595" s="24" t="str">
        <f>IFERROR(VLOOKUP(B7595,material!A:D,3,0),"")</f>
        <v/>
      </c>
    </row>
    <row r="7596" ht="11.25" customHeight="1">
      <c r="A7596" s="21"/>
      <c r="B7596" s="22"/>
      <c r="C7596" s="21"/>
      <c r="D7596" s="21"/>
      <c r="E7596" s="21"/>
      <c r="F7596" s="21"/>
      <c r="G7596" s="23"/>
      <c r="H7596" s="24" t="str">
        <f>IFERROR(VLOOKUP(B7596,material!A:D,3,0),"")</f>
        <v/>
      </c>
    </row>
    <row r="7597" ht="11.25" customHeight="1">
      <c r="A7597" s="21"/>
      <c r="B7597" s="22"/>
      <c r="C7597" s="21"/>
      <c r="D7597" s="21"/>
      <c r="E7597" s="21"/>
      <c r="F7597" s="21"/>
      <c r="G7597" s="23"/>
      <c r="H7597" s="24" t="str">
        <f>IFERROR(VLOOKUP(B7597,material!A:D,3,0),"")</f>
        <v/>
      </c>
    </row>
    <row r="7598" ht="11.25" customHeight="1">
      <c r="A7598" s="21"/>
      <c r="B7598" s="22"/>
      <c r="C7598" s="21"/>
      <c r="D7598" s="21"/>
      <c r="E7598" s="21"/>
      <c r="F7598" s="21"/>
      <c r="G7598" s="23"/>
      <c r="H7598" s="24" t="str">
        <f>IFERROR(VLOOKUP(B7598,material!A:D,3,0),"")</f>
        <v/>
      </c>
    </row>
    <row r="7599" ht="11.25" customHeight="1">
      <c r="A7599" s="21"/>
      <c r="B7599" s="22"/>
      <c r="C7599" s="21"/>
      <c r="D7599" s="21"/>
      <c r="E7599" s="21"/>
      <c r="F7599" s="21"/>
      <c r="G7599" s="23"/>
      <c r="H7599" s="24" t="str">
        <f>IFERROR(VLOOKUP(B7599,material!A:D,3,0),"")</f>
        <v/>
      </c>
    </row>
    <row r="7600" ht="11.25" customHeight="1">
      <c r="A7600" s="21"/>
      <c r="B7600" s="22"/>
      <c r="C7600" s="21"/>
      <c r="D7600" s="21"/>
      <c r="E7600" s="21"/>
      <c r="F7600" s="21"/>
      <c r="G7600" s="23"/>
      <c r="H7600" s="24" t="str">
        <f>IFERROR(VLOOKUP(B7600,material!A:D,3,0),"")</f>
        <v/>
      </c>
    </row>
    <row r="7601" ht="11.25" customHeight="1">
      <c r="A7601" s="21"/>
      <c r="B7601" s="22"/>
      <c r="C7601" s="21"/>
      <c r="D7601" s="21"/>
      <c r="E7601" s="21"/>
      <c r="F7601" s="21"/>
      <c r="G7601" s="23"/>
      <c r="H7601" s="24" t="str">
        <f>IFERROR(VLOOKUP(B7601,material!A:D,3,0),"")</f>
        <v/>
      </c>
    </row>
    <row r="7602" ht="11.25" customHeight="1">
      <c r="A7602" s="21"/>
      <c r="B7602" s="22"/>
      <c r="C7602" s="21"/>
      <c r="D7602" s="21"/>
      <c r="E7602" s="21"/>
      <c r="F7602" s="21"/>
      <c r="G7602" s="23"/>
      <c r="H7602" s="24" t="str">
        <f>IFERROR(VLOOKUP(B7602,material!A:D,3,0),"")</f>
        <v/>
      </c>
    </row>
    <row r="7603" ht="11.25" customHeight="1">
      <c r="A7603" s="21"/>
      <c r="B7603" s="22"/>
      <c r="C7603" s="21"/>
      <c r="D7603" s="21"/>
      <c r="E7603" s="21"/>
      <c r="F7603" s="21"/>
      <c r="G7603" s="23"/>
      <c r="H7603" s="24" t="str">
        <f>IFERROR(VLOOKUP(B7603,material!A:D,3,0),"")</f>
        <v/>
      </c>
    </row>
    <row r="7604" ht="11.25" customHeight="1">
      <c r="A7604" s="21"/>
      <c r="B7604" s="22"/>
      <c r="C7604" s="21"/>
      <c r="D7604" s="21"/>
      <c r="E7604" s="21"/>
      <c r="F7604" s="21"/>
      <c r="G7604" s="23"/>
      <c r="H7604" s="24" t="str">
        <f>IFERROR(VLOOKUP(B7604,material!A:D,3,0),"")</f>
        <v/>
      </c>
    </row>
    <row r="7605" ht="11.25" customHeight="1">
      <c r="A7605" s="21"/>
      <c r="B7605" s="22"/>
      <c r="C7605" s="21"/>
      <c r="D7605" s="21"/>
      <c r="E7605" s="21"/>
      <c r="F7605" s="21"/>
      <c r="G7605" s="23"/>
      <c r="H7605" s="24" t="str">
        <f>IFERROR(VLOOKUP(B7605,material!A:D,3,0),"")</f>
        <v/>
      </c>
    </row>
    <row r="7606" ht="11.25" customHeight="1">
      <c r="A7606" s="21"/>
      <c r="B7606" s="22"/>
      <c r="C7606" s="21"/>
      <c r="D7606" s="21"/>
      <c r="E7606" s="21"/>
      <c r="F7606" s="21"/>
      <c r="G7606" s="23"/>
      <c r="H7606" s="24" t="str">
        <f>IFERROR(VLOOKUP(B7606,material!A:D,3,0),"")</f>
        <v/>
      </c>
    </row>
    <row r="7607" ht="11.25" customHeight="1">
      <c r="A7607" s="21"/>
      <c r="B7607" s="22"/>
      <c r="C7607" s="21"/>
      <c r="D7607" s="21"/>
      <c r="E7607" s="21"/>
      <c r="F7607" s="21"/>
      <c r="G7607" s="23"/>
      <c r="H7607" s="24" t="str">
        <f>IFERROR(VLOOKUP(B7607,material!A:D,3,0),"")</f>
        <v/>
      </c>
    </row>
    <row r="7608" ht="11.25" customHeight="1">
      <c r="A7608" s="21"/>
      <c r="B7608" s="22"/>
      <c r="C7608" s="21"/>
      <c r="D7608" s="21"/>
      <c r="E7608" s="21"/>
      <c r="F7608" s="21"/>
      <c r="G7608" s="23"/>
      <c r="H7608" s="24" t="str">
        <f>IFERROR(VLOOKUP(B7608,material!A:D,3,0),"")</f>
        <v/>
      </c>
    </row>
    <row r="7609" ht="11.25" customHeight="1">
      <c r="A7609" s="21"/>
      <c r="B7609" s="22"/>
      <c r="C7609" s="21"/>
      <c r="D7609" s="21"/>
      <c r="E7609" s="21"/>
      <c r="F7609" s="21"/>
      <c r="G7609" s="23"/>
      <c r="H7609" s="24" t="str">
        <f>IFERROR(VLOOKUP(B7609,material!A:D,3,0),"")</f>
        <v/>
      </c>
    </row>
    <row r="7610" ht="11.25" customHeight="1">
      <c r="A7610" s="21"/>
      <c r="B7610" s="22"/>
      <c r="C7610" s="21"/>
      <c r="D7610" s="21"/>
      <c r="E7610" s="21"/>
      <c r="F7610" s="21"/>
      <c r="G7610" s="23"/>
      <c r="H7610" s="24" t="str">
        <f>IFERROR(VLOOKUP(B7610,material!A:D,3,0),"")</f>
        <v/>
      </c>
    </row>
    <row r="7611" ht="11.25" customHeight="1">
      <c r="A7611" s="21"/>
      <c r="B7611" s="22"/>
      <c r="C7611" s="21"/>
      <c r="D7611" s="21"/>
      <c r="E7611" s="21"/>
      <c r="F7611" s="21"/>
      <c r="G7611" s="23"/>
      <c r="H7611" s="24" t="str">
        <f>IFERROR(VLOOKUP(B7611,material!A:D,3,0),"")</f>
        <v/>
      </c>
    </row>
    <row r="7612" ht="11.25" customHeight="1">
      <c r="A7612" s="21"/>
      <c r="B7612" s="22"/>
      <c r="C7612" s="21"/>
      <c r="D7612" s="21"/>
      <c r="E7612" s="21"/>
      <c r="F7612" s="21"/>
      <c r="G7612" s="23"/>
      <c r="H7612" s="24" t="str">
        <f>IFERROR(VLOOKUP(B7612,material!A:D,3,0),"")</f>
        <v/>
      </c>
    </row>
    <row r="7613" ht="11.25" customHeight="1">
      <c r="A7613" s="21"/>
      <c r="B7613" s="22"/>
      <c r="C7613" s="21"/>
      <c r="D7613" s="21"/>
      <c r="E7613" s="21"/>
      <c r="F7613" s="21"/>
      <c r="G7613" s="23"/>
      <c r="H7613" s="24" t="str">
        <f>IFERROR(VLOOKUP(B7613,material!A:D,3,0),"")</f>
        <v/>
      </c>
    </row>
    <row r="7614" ht="11.25" customHeight="1">
      <c r="A7614" s="21"/>
      <c r="B7614" s="22"/>
      <c r="C7614" s="21"/>
      <c r="D7614" s="21"/>
      <c r="E7614" s="21"/>
      <c r="F7614" s="21"/>
      <c r="G7614" s="23"/>
      <c r="H7614" s="24" t="str">
        <f>IFERROR(VLOOKUP(B7614,material!A:D,3,0),"")</f>
        <v/>
      </c>
    </row>
    <row r="7615" ht="11.25" customHeight="1">
      <c r="A7615" s="21"/>
      <c r="B7615" s="22"/>
      <c r="C7615" s="21"/>
      <c r="D7615" s="21"/>
      <c r="E7615" s="21"/>
      <c r="F7615" s="21"/>
      <c r="G7615" s="23"/>
      <c r="H7615" s="24" t="str">
        <f>IFERROR(VLOOKUP(B7615,material!A:D,3,0),"")</f>
        <v/>
      </c>
    </row>
    <row r="7616" ht="11.25" customHeight="1">
      <c r="A7616" s="21"/>
      <c r="B7616" s="22"/>
      <c r="C7616" s="21"/>
      <c r="D7616" s="21"/>
      <c r="E7616" s="21"/>
      <c r="F7616" s="21"/>
      <c r="G7616" s="23"/>
      <c r="H7616" s="24" t="str">
        <f>IFERROR(VLOOKUP(B7616,material!A:D,3,0),"")</f>
        <v/>
      </c>
    </row>
    <row r="7617" ht="11.25" customHeight="1">
      <c r="A7617" s="21"/>
      <c r="B7617" s="22"/>
      <c r="C7617" s="21"/>
      <c r="D7617" s="21"/>
      <c r="E7617" s="21"/>
      <c r="F7617" s="21"/>
      <c r="G7617" s="23"/>
      <c r="H7617" s="24" t="str">
        <f>IFERROR(VLOOKUP(B7617,material!A:D,3,0),"")</f>
        <v/>
      </c>
    </row>
    <row r="7618" ht="11.25" customHeight="1">
      <c r="A7618" s="21"/>
      <c r="B7618" s="22"/>
      <c r="C7618" s="21"/>
      <c r="D7618" s="21"/>
      <c r="E7618" s="21"/>
      <c r="F7618" s="21"/>
      <c r="G7618" s="23"/>
      <c r="H7618" s="24" t="str">
        <f>IFERROR(VLOOKUP(B7618,material!A:D,3,0),"")</f>
        <v/>
      </c>
    </row>
    <row r="7619" ht="11.25" customHeight="1">
      <c r="A7619" s="21"/>
      <c r="B7619" s="22"/>
      <c r="C7619" s="21"/>
      <c r="D7619" s="21"/>
      <c r="E7619" s="21"/>
      <c r="F7619" s="21"/>
      <c r="G7619" s="23"/>
      <c r="H7619" s="24" t="str">
        <f>IFERROR(VLOOKUP(B7619,material!A:D,3,0),"")</f>
        <v/>
      </c>
    </row>
    <row r="7620" ht="11.25" customHeight="1">
      <c r="A7620" s="21"/>
      <c r="B7620" s="22"/>
      <c r="C7620" s="21"/>
      <c r="D7620" s="21"/>
      <c r="E7620" s="21"/>
      <c r="F7620" s="21"/>
      <c r="G7620" s="23"/>
      <c r="H7620" s="24" t="str">
        <f>IFERROR(VLOOKUP(B7620,material!A:D,3,0),"")</f>
        <v/>
      </c>
    </row>
    <row r="7621" ht="11.25" customHeight="1">
      <c r="A7621" s="21"/>
      <c r="B7621" s="22"/>
      <c r="C7621" s="21"/>
      <c r="D7621" s="21"/>
      <c r="E7621" s="21"/>
      <c r="F7621" s="21"/>
      <c r="G7621" s="23"/>
      <c r="H7621" s="24" t="str">
        <f>IFERROR(VLOOKUP(B7621,material!A:D,3,0),"")</f>
        <v/>
      </c>
    </row>
    <row r="7622" ht="11.25" customHeight="1">
      <c r="A7622" s="21"/>
      <c r="B7622" s="22"/>
      <c r="C7622" s="21"/>
      <c r="D7622" s="21"/>
      <c r="E7622" s="21"/>
      <c r="F7622" s="21"/>
      <c r="G7622" s="23"/>
      <c r="H7622" s="24" t="str">
        <f>IFERROR(VLOOKUP(B7622,material!A:D,3,0),"")</f>
        <v/>
      </c>
    </row>
    <row r="7623" ht="11.25" customHeight="1">
      <c r="A7623" s="21"/>
      <c r="B7623" s="22"/>
      <c r="C7623" s="21"/>
      <c r="D7623" s="21"/>
      <c r="E7623" s="21"/>
      <c r="F7623" s="21"/>
      <c r="G7623" s="23"/>
      <c r="H7623" s="24" t="str">
        <f>IFERROR(VLOOKUP(B7623,material!A:D,3,0),"")</f>
        <v/>
      </c>
    </row>
    <row r="7624" ht="11.25" customHeight="1">
      <c r="A7624" s="21"/>
      <c r="B7624" s="22"/>
      <c r="C7624" s="21"/>
      <c r="D7624" s="21"/>
      <c r="E7624" s="21"/>
      <c r="F7624" s="21"/>
      <c r="G7624" s="23"/>
      <c r="H7624" s="24" t="str">
        <f>IFERROR(VLOOKUP(B7624,material!A:D,3,0),"")</f>
        <v/>
      </c>
    </row>
    <row r="7625" ht="11.25" customHeight="1">
      <c r="A7625" s="21"/>
      <c r="B7625" s="22"/>
      <c r="C7625" s="21"/>
      <c r="D7625" s="21"/>
      <c r="E7625" s="21"/>
      <c r="F7625" s="21"/>
      <c r="G7625" s="23"/>
      <c r="H7625" s="24" t="str">
        <f>IFERROR(VLOOKUP(B7625,material!A:D,3,0),"")</f>
        <v/>
      </c>
    </row>
    <row r="7626" ht="11.25" customHeight="1">
      <c r="A7626" s="21"/>
      <c r="B7626" s="22"/>
      <c r="C7626" s="21"/>
      <c r="D7626" s="21"/>
      <c r="E7626" s="21"/>
      <c r="F7626" s="21"/>
      <c r="G7626" s="23"/>
      <c r="H7626" s="24" t="str">
        <f>IFERROR(VLOOKUP(B7626,material!A:D,3,0),"")</f>
        <v/>
      </c>
    </row>
    <row r="7627" ht="11.25" customHeight="1">
      <c r="A7627" s="21"/>
      <c r="B7627" s="22"/>
      <c r="C7627" s="21"/>
      <c r="D7627" s="21"/>
      <c r="E7627" s="21"/>
      <c r="F7627" s="21"/>
      <c r="G7627" s="23"/>
      <c r="H7627" s="24" t="str">
        <f>IFERROR(VLOOKUP(B7627,material!A:D,3,0),"")</f>
        <v/>
      </c>
    </row>
    <row r="7628" ht="11.25" customHeight="1">
      <c r="A7628" s="21"/>
      <c r="B7628" s="22"/>
      <c r="C7628" s="21"/>
      <c r="D7628" s="21"/>
      <c r="E7628" s="21"/>
      <c r="F7628" s="21"/>
      <c r="G7628" s="23"/>
      <c r="H7628" s="24" t="str">
        <f>IFERROR(VLOOKUP(B7628,material!A:D,3,0),"")</f>
        <v/>
      </c>
    </row>
    <row r="7629" ht="11.25" customHeight="1">
      <c r="A7629" s="21"/>
      <c r="B7629" s="22"/>
      <c r="C7629" s="21"/>
      <c r="D7629" s="21"/>
      <c r="E7629" s="21"/>
      <c r="F7629" s="21"/>
      <c r="G7629" s="23"/>
      <c r="H7629" s="24" t="str">
        <f>IFERROR(VLOOKUP(B7629,material!A:D,3,0),"")</f>
        <v/>
      </c>
    </row>
    <row r="7630" ht="11.25" customHeight="1">
      <c r="A7630" s="21"/>
      <c r="B7630" s="22"/>
      <c r="C7630" s="21"/>
      <c r="D7630" s="21"/>
      <c r="E7630" s="21"/>
      <c r="F7630" s="21"/>
      <c r="G7630" s="23"/>
      <c r="H7630" s="24" t="str">
        <f>IFERROR(VLOOKUP(B7630,material!A:D,3,0),"")</f>
        <v/>
      </c>
    </row>
    <row r="7631" ht="11.25" customHeight="1">
      <c r="A7631" s="21"/>
      <c r="B7631" s="22"/>
      <c r="C7631" s="21"/>
      <c r="D7631" s="21"/>
      <c r="E7631" s="21"/>
      <c r="F7631" s="21"/>
      <c r="G7631" s="23"/>
      <c r="H7631" s="24" t="str">
        <f>IFERROR(VLOOKUP(B7631,material!A:D,3,0),"")</f>
        <v/>
      </c>
    </row>
    <row r="7632" ht="11.25" customHeight="1">
      <c r="A7632" s="21"/>
      <c r="B7632" s="22"/>
      <c r="C7632" s="21"/>
      <c r="D7632" s="21"/>
      <c r="E7632" s="21"/>
      <c r="F7632" s="21"/>
      <c r="G7632" s="23"/>
      <c r="H7632" s="24" t="str">
        <f>IFERROR(VLOOKUP(B7632,material!A:D,3,0),"")</f>
        <v/>
      </c>
    </row>
    <row r="7633" ht="11.25" customHeight="1">
      <c r="A7633" s="21"/>
      <c r="B7633" s="22"/>
      <c r="C7633" s="21"/>
      <c r="D7633" s="21"/>
      <c r="E7633" s="21"/>
      <c r="F7633" s="21"/>
      <c r="G7633" s="23"/>
      <c r="H7633" s="24" t="str">
        <f>IFERROR(VLOOKUP(B7633,material!A:D,3,0),"")</f>
        <v/>
      </c>
    </row>
    <row r="7634" ht="11.25" customHeight="1">
      <c r="A7634" s="21"/>
      <c r="B7634" s="22"/>
      <c r="C7634" s="21"/>
      <c r="D7634" s="21"/>
      <c r="E7634" s="21"/>
      <c r="F7634" s="21"/>
      <c r="G7634" s="23"/>
      <c r="H7634" s="24" t="str">
        <f>IFERROR(VLOOKUP(B7634,material!A:D,3,0),"")</f>
        <v/>
      </c>
    </row>
    <row r="7635" ht="11.25" customHeight="1">
      <c r="A7635" s="21"/>
      <c r="B7635" s="22"/>
      <c r="C7635" s="21"/>
      <c r="D7635" s="21"/>
      <c r="E7635" s="21"/>
      <c r="F7635" s="21"/>
      <c r="G7635" s="23"/>
      <c r="H7635" s="24" t="str">
        <f>IFERROR(VLOOKUP(B7635,material!A:D,3,0),"")</f>
        <v/>
      </c>
    </row>
    <row r="7636" ht="11.25" customHeight="1">
      <c r="A7636" s="21"/>
      <c r="B7636" s="22"/>
      <c r="C7636" s="21"/>
      <c r="D7636" s="21"/>
      <c r="E7636" s="21"/>
      <c r="F7636" s="21"/>
      <c r="G7636" s="23"/>
      <c r="H7636" s="24" t="str">
        <f>IFERROR(VLOOKUP(B7636,material!A:D,3,0),"")</f>
        <v/>
      </c>
    </row>
    <row r="7637" ht="11.25" customHeight="1">
      <c r="A7637" s="21"/>
      <c r="B7637" s="22"/>
      <c r="C7637" s="21"/>
      <c r="D7637" s="21"/>
      <c r="E7637" s="21"/>
      <c r="F7637" s="21"/>
      <c r="G7637" s="23"/>
      <c r="H7637" s="24" t="str">
        <f>IFERROR(VLOOKUP(B7637,material!A:D,3,0),"")</f>
        <v/>
      </c>
    </row>
    <row r="7638" ht="11.25" customHeight="1">
      <c r="A7638" s="21"/>
      <c r="B7638" s="22"/>
      <c r="C7638" s="21"/>
      <c r="D7638" s="21"/>
      <c r="E7638" s="21"/>
      <c r="F7638" s="21"/>
      <c r="G7638" s="23"/>
      <c r="H7638" s="24" t="str">
        <f>IFERROR(VLOOKUP(B7638,material!A:D,3,0),"")</f>
        <v/>
      </c>
    </row>
    <row r="7639" ht="11.25" customHeight="1">
      <c r="A7639" s="21"/>
      <c r="B7639" s="22"/>
      <c r="C7639" s="21"/>
      <c r="D7639" s="21"/>
      <c r="E7639" s="21"/>
      <c r="F7639" s="21"/>
      <c r="G7639" s="23"/>
      <c r="H7639" s="24" t="str">
        <f>IFERROR(VLOOKUP(B7639,material!A:D,3,0),"")</f>
        <v/>
      </c>
    </row>
    <row r="7640" ht="11.25" customHeight="1">
      <c r="A7640" s="21"/>
      <c r="B7640" s="22"/>
      <c r="C7640" s="21"/>
      <c r="D7640" s="21"/>
      <c r="E7640" s="21"/>
      <c r="F7640" s="21"/>
      <c r="G7640" s="23"/>
      <c r="H7640" s="24" t="str">
        <f>IFERROR(VLOOKUP(B7640,material!A:D,3,0),"")</f>
        <v/>
      </c>
    </row>
    <row r="7641" ht="11.25" customHeight="1">
      <c r="A7641" s="21"/>
      <c r="B7641" s="22"/>
      <c r="C7641" s="21"/>
      <c r="D7641" s="21"/>
      <c r="E7641" s="21"/>
      <c r="F7641" s="21"/>
      <c r="G7641" s="23"/>
      <c r="H7641" s="24" t="str">
        <f>IFERROR(VLOOKUP(B7641,material!A:D,3,0),"")</f>
        <v/>
      </c>
    </row>
    <row r="7642" ht="11.25" customHeight="1">
      <c r="A7642" s="21"/>
      <c r="B7642" s="22"/>
      <c r="C7642" s="21"/>
      <c r="D7642" s="21"/>
      <c r="E7642" s="21"/>
      <c r="F7642" s="21"/>
      <c r="G7642" s="23"/>
      <c r="H7642" s="24" t="str">
        <f>IFERROR(VLOOKUP(B7642,material!A:D,3,0),"")</f>
        <v/>
      </c>
    </row>
    <row r="7643" ht="11.25" customHeight="1">
      <c r="A7643" s="21"/>
      <c r="B7643" s="22"/>
      <c r="C7643" s="21"/>
      <c r="D7643" s="21"/>
      <c r="E7643" s="21"/>
      <c r="F7643" s="21"/>
      <c r="G7643" s="23"/>
      <c r="H7643" s="24" t="str">
        <f>IFERROR(VLOOKUP(B7643,material!A:D,3,0),"")</f>
        <v/>
      </c>
    </row>
    <row r="7644" ht="11.25" customHeight="1">
      <c r="A7644" s="21"/>
      <c r="B7644" s="22"/>
      <c r="C7644" s="21"/>
      <c r="D7644" s="21"/>
      <c r="E7644" s="21"/>
      <c r="F7644" s="21"/>
      <c r="G7644" s="23"/>
      <c r="H7644" s="24" t="str">
        <f>IFERROR(VLOOKUP(B7644,material!A:D,3,0),"")</f>
        <v/>
      </c>
    </row>
    <row r="7645" ht="11.25" customHeight="1">
      <c r="A7645" s="21"/>
      <c r="B7645" s="22"/>
      <c r="C7645" s="21"/>
      <c r="D7645" s="21"/>
      <c r="E7645" s="21"/>
      <c r="F7645" s="21"/>
      <c r="G7645" s="23"/>
      <c r="H7645" s="24" t="str">
        <f>IFERROR(VLOOKUP(B7645,material!A:D,3,0),"")</f>
        <v/>
      </c>
    </row>
    <row r="7646" ht="11.25" customHeight="1">
      <c r="A7646" s="21"/>
      <c r="B7646" s="22"/>
      <c r="C7646" s="21"/>
      <c r="D7646" s="21"/>
      <c r="E7646" s="21"/>
      <c r="F7646" s="21"/>
      <c r="G7646" s="23"/>
      <c r="H7646" s="24" t="str">
        <f>IFERROR(VLOOKUP(B7646,material!A:D,3,0),"")</f>
        <v/>
      </c>
    </row>
    <row r="7647" ht="11.25" customHeight="1">
      <c r="A7647" s="21"/>
      <c r="B7647" s="22"/>
      <c r="C7647" s="21"/>
      <c r="D7647" s="21"/>
      <c r="E7647" s="21"/>
      <c r="F7647" s="21"/>
      <c r="G7647" s="23"/>
      <c r="H7647" s="24" t="str">
        <f>IFERROR(VLOOKUP(B7647,material!A:D,3,0),"")</f>
        <v/>
      </c>
    </row>
    <row r="7648" ht="11.25" customHeight="1">
      <c r="A7648" s="21"/>
      <c r="B7648" s="22"/>
      <c r="C7648" s="21"/>
      <c r="D7648" s="21"/>
      <c r="E7648" s="21"/>
      <c r="F7648" s="21"/>
      <c r="G7648" s="23"/>
      <c r="H7648" s="24" t="str">
        <f>IFERROR(VLOOKUP(B7648,material!A:D,3,0),"")</f>
        <v/>
      </c>
    </row>
    <row r="7649" ht="11.25" customHeight="1">
      <c r="A7649" s="21"/>
      <c r="B7649" s="22"/>
      <c r="C7649" s="21"/>
      <c r="D7649" s="21"/>
      <c r="E7649" s="21"/>
      <c r="F7649" s="21"/>
      <c r="G7649" s="23"/>
      <c r="H7649" s="24" t="str">
        <f>IFERROR(VLOOKUP(B7649,material!A:D,3,0),"")</f>
        <v/>
      </c>
    </row>
    <row r="7650" ht="11.25" customHeight="1">
      <c r="A7650" s="21"/>
      <c r="B7650" s="22"/>
      <c r="C7650" s="21"/>
      <c r="D7650" s="21"/>
      <c r="E7650" s="21"/>
      <c r="F7650" s="21"/>
      <c r="G7650" s="23"/>
      <c r="H7650" s="24" t="str">
        <f>IFERROR(VLOOKUP(B7650,material!A:D,3,0),"")</f>
        <v/>
      </c>
    </row>
    <row r="7651" ht="11.25" customHeight="1">
      <c r="A7651" s="21"/>
      <c r="B7651" s="22"/>
      <c r="C7651" s="21"/>
      <c r="D7651" s="21"/>
      <c r="E7651" s="21"/>
      <c r="F7651" s="21"/>
      <c r="G7651" s="23"/>
      <c r="H7651" s="24" t="str">
        <f>IFERROR(VLOOKUP(B7651,material!A:D,3,0),"")</f>
        <v/>
      </c>
    </row>
    <row r="7652" ht="11.25" customHeight="1">
      <c r="A7652" s="21"/>
      <c r="B7652" s="22"/>
      <c r="C7652" s="21"/>
      <c r="D7652" s="21"/>
      <c r="E7652" s="21"/>
      <c r="F7652" s="21"/>
      <c r="G7652" s="23"/>
      <c r="H7652" s="24" t="str">
        <f>IFERROR(VLOOKUP(B7652,material!A:D,3,0),"")</f>
        <v/>
      </c>
    </row>
    <row r="7653" ht="11.25" customHeight="1">
      <c r="A7653" s="21"/>
      <c r="B7653" s="22"/>
      <c r="C7653" s="21"/>
      <c r="D7653" s="21"/>
      <c r="E7653" s="21"/>
      <c r="F7653" s="21"/>
      <c r="G7653" s="23"/>
      <c r="H7653" s="24" t="str">
        <f>IFERROR(VLOOKUP(B7653,material!A:D,3,0),"")</f>
        <v/>
      </c>
    </row>
    <row r="7654" ht="11.25" customHeight="1">
      <c r="A7654" s="21"/>
      <c r="B7654" s="22"/>
      <c r="C7654" s="21"/>
      <c r="D7654" s="21"/>
      <c r="E7654" s="21"/>
      <c r="F7654" s="21"/>
      <c r="G7654" s="23"/>
      <c r="H7654" s="24" t="str">
        <f>IFERROR(VLOOKUP(B7654,material!A:D,3,0),"")</f>
        <v/>
      </c>
    </row>
    <row r="7655" ht="11.25" customHeight="1">
      <c r="A7655" s="21"/>
      <c r="B7655" s="22"/>
      <c r="C7655" s="21"/>
      <c r="D7655" s="21"/>
      <c r="E7655" s="21"/>
      <c r="F7655" s="21"/>
      <c r="G7655" s="23"/>
      <c r="H7655" s="24" t="str">
        <f>IFERROR(VLOOKUP(B7655,material!A:D,3,0),"")</f>
        <v/>
      </c>
    </row>
    <row r="7656" ht="11.25" customHeight="1">
      <c r="A7656" s="21"/>
      <c r="B7656" s="22"/>
      <c r="C7656" s="21"/>
      <c r="D7656" s="21"/>
      <c r="E7656" s="21"/>
      <c r="F7656" s="21"/>
      <c r="G7656" s="23"/>
      <c r="H7656" s="24" t="str">
        <f>IFERROR(VLOOKUP(B7656,material!A:D,3,0),"")</f>
        <v/>
      </c>
    </row>
    <row r="7657" ht="11.25" customHeight="1">
      <c r="A7657" s="21"/>
      <c r="B7657" s="22"/>
      <c r="C7657" s="21"/>
      <c r="D7657" s="21"/>
      <c r="E7657" s="21"/>
      <c r="F7657" s="21"/>
      <c r="G7657" s="23"/>
      <c r="H7657" s="24" t="str">
        <f>IFERROR(VLOOKUP(B7657,material!A:D,3,0),"")</f>
        <v/>
      </c>
    </row>
    <row r="7658" ht="11.25" customHeight="1">
      <c r="A7658" s="21"/>
      <c r="B7658" s="22"/>
      <c r="C7658" s="21"/>
      <c r="D7658" s="21"/>
      <c r="E7658" s="21"/>
      <c r="F7658" s="21"/>
      <c r="G7658" s="23"/>
      <c r="H7658" s="24" t="str">
        <f>IFERROR(VLOOKUP(B7658,material!A:D,3,0),"")</f>
        <v/>
      </c>
    </row>
    <row r="7659" ht="11.25" customHeight="1">
      <c r="A7659" s="21"/>
      <c r="B7659" s="22"/>
      <c r="C7659" s="21"/>
      <c r="D7659" s="21"/>
      <c r="E7659" s="21"/>
      <c r="F7659" s="21"/>
      <c r="G7659" s="23"/>
      <c r="H7659" s="24" t="str">
        <f>IFERROR(VLOOKUP(B7659,material!A:D,3,0),"")</f>
        <v/>
      </c>
    </row>
    <row r="7660" ht="11.25" customHeight="1">
      <c r="A7660" s="21"/>
      <c r="B7660" s="22"/>
      <c r="C7660" s="21"/>
      <c r="D7660" s="21"/>
      <c r="E7660" s="21"/>
      <c r="F7660" s="21"/>
      <c r="G7660" s="23"/>
      <c r="H7660" s="24" t="str">
        <f>IFERROR(VLOOKUP(B7660,material!A:D,3,0),"")</f>
        <v/>
      </c>
    </row>
    <row r="7661" ht="11.25" customHeight="1">
      <c r="A7661" s="21"/>
      <c r="B7661" s="22"/>
      <c r="C7661" s="21"/>
      <c r="D7661" s="21"/>
      <c r="E7661" s="21"/>
      <c r="F7661" s="21"/>
      <c r="G7661" s="23"/>
      <c r="H7661" s="24" t="str">
        <f>IFERROR(VLOOKUP(B7661,material!A:D,3,0),"")</f>
        <v/>
      </c>
    </row>
    <row r="7662" ht="11.25" customHeight="1">
      <c r="A7662" s="21"/>
      <c r="B7662" s="22"/>
      <c r="C7662" s="21"/>
      <c r="D7662" s="21"/>
      <c r="E7662" s="21"/>
      <c r="F7662" s="21"/>
      <c r="G7662" s="23"/>
      <c r="H7662" s="24" t="str">
        <f>IFERROR(VLOOKUP(B7662,material!A:D,3,0),"")</f>
        <v/>
      </c>
    </row>
    <row r="7663" ht="11.25" customHeight="1">
      <c r="A7663" s="21"/>
      <c r="B7663" s="22"/>
      <c r="C7663" s="21"/>
      <c r="D7663" s="21"/>
      <c r="E7663" s="21"/>
      <c r="F7663" s="21"/>
      <c r="G7663" s="23"/>
      <c r="H7663" s="24" t="str">
        <f>IFERROR(VLOOKUP(B7663,material!A:D,3,0),"")</f>
        <v/>
      </c>
    </row>
    <row r="7664" ht="11.25" customHeight="1">
      <c r="A7664" s="21"/>
      <c r="B7664" s="22"/>
      <c r="C7664" s="21"/>
      <c r="D7664" s="21"/>
      <c r="E7664" s="21"/>
      <c r="F7664" s="21"/>
      <c r="G7664" s="23"/>
      <c r="H7664" s="24" t="str">
        <f>IFERROR(VLOOKUP(B7664,material!A:D,3,0),"")</f>
        <v/>
      </c>
    </row>
    <row r="7665" ht="11.25" customHeight="1">
      <c r="A7665" s="21"/>
      <c r="B7665" s="22"/>
      <c r="C7665" s="21"/>
      <c r="D7665" s="21"/>
      <c r="E7665" s="21"/>
      <c r="F7665" s="21"/>
      <c r="G7665" s="23"/>
      <c r="H7665" s="24" t="str">
        <f>IFERROR(VLOOKUP(B7665,material!A:D,3,0),"")</f>
        <v/>
      </c>
    </row>
    <row r="7666" ht="11.25" customHeight="1">
      <c r="A7666" s="21"/>
      <c r="B7666" s="22"/>
      <c r="C7666" s="21"/>
      <c r="D7666" s="21"/>
      <c r="E7666" s="21"/>
      <c r="F7666" s="21"/>
      <c r="G7666" s="23"/>
      <c r="H7666" s="24" t="str">
        <f>IFERROR(VLOOKUP(B7666,material!A:D,3,0),"")</f>
        <v/>
      </c>
    </row>
    <row r="7667" ht="11.25" customHeight="1">
      <c r="A7667" s="21"/>
      <c r="B7667" s="22"/>
      <c r="C7667" s="21"/>
      <c r="D7667" s="21"/>
      <c r="E7667" s="21"/>
      <c r="F7667" s="21"/>
      <c r="G7667" s="23"/>
      <c r="H7667" s="24" t="str">
        <f>IFERROR(VLOOKUP(B7667,material!A:D,3,0),"")</f>
        <v/>
      </c>
    </row>
    <row r="7668" ht="11.25" customHeight="1">
      <c r="A7668" s="21"/>
      <c r="B7668" s="22"/>
      <c r="C7668" s="21"/>
      <c r="D7668" s="21"/>
      <c r="E7668" s="21"/>
      <c r="F7668" s="21"/>
      <c r="G7668" s="23"/>
      <c r="H7668" s="24" t="str">
        <f>IFERROR(VLOOKUP(B7668,material!A:D,3,0),"")</f>
        <v/>
      </c>
    </row>
    <row r="7669" ht="11.25" customHeight="1">
      <c r="A7669" s="21"/>
      <c r="B7669" s="22"/>
      <c r="C7669" s="21"/>
      <c r="D7669" s="21"/>
      <c r="E7669" s="21"/>
      <c r="F7669" s="21"/>
      <c r="G7669" s="23"/>
      <c r="H7669" s="24" t="str">
        <f>IFERROR(VLOOKUP(B7669,material!A:D,3,0),"")</f>
        <v/>
      </c>
    </row>
    <row r="7670" ht="11.25" customHeight="1">
      <c r="A7670" s="21"/>
      <c r="B7670" s="22"/>
      <c r="C7670" s="21"/>
      <c r="D7670" s="21"/>
      <c r="E7670" s="21"/>
      <c r="F7670" s="21"/>
      <c r="G7670" s="23"/>
      <c r="H7670" s="24" t="str">
        <f>IFERROR(VLOOKUP(B7670,material!A:D,3,0),"")</f>
        <v/>
      </c>
    </row>
    <row r="7671" ht="11.25" customHeight="1">
      <c r="A7671" s="21"/>
      <c r="B7671" s="22"/>
      <c r="C7671" s="21"/>
      <c r="D7671" s="21"/>
      <c r="E7671" s="21"/>
      <c r="F7671" s="21"/>
      <c r="G7671" s="23"/>
      <c r="H7671" s="24" t="str">
        <f>IFERROR(VLOOKUP(B7671,material!A:D,3,0),"")</f>
        <v/>
      </c>
    </row>
    <row r="7672" ht="11.25" customHeight="1">
      <c r="A7672" s="21"/>
      <c r="B7672" s="22"/>
      <c r="C7672" s="21"/>
      <c r="D7672" s="21"/>
      <c r="E7672" s="21"/>
      <c r="F7672" s="21"/>
      <c r="G7672" s="23"/>
      <c r="H7672" s="24" t="str">
        <f>IFERROR(VLOOKUP(B7672,material!A:D,3,0),"")</f>
        <v/>
      </c>
    </row>
    <row r="7673" ht="11.25" customHeight="1">
      <c r="A7673" s="21"/>
      <c r="B7673" s="22"/>
      <c r="C7673" s="21"/>
      <c r="D7673" s="21"/>
      <c r="E7673" s="21"/>
      <c r="F7673" s="21"/>
      <c r="G7673" s="23"/>
      <c r="H7673" s="24" t="str">
        <f>IFERROR(VLOOKUP(B7673,material!A:D,3,0),"")</f>
        <v/>
      </c>
    </row>
    <row r="7674" ht="11.25" customHeight="1">
      <c r="A7674" s="21"/>
      <c r="B7674" s="22"/>
      <c r="C7674" s="21"/>
      <c r="D7674" s="21"/>
      <c r="E7674" s="21"/>
      <c r="F7674" s="21"/>
      <c r="G7674" s="23"/>
      <c r="H7674" s="24" t="str">
        <f>IFERROR(VLOOKUP(B7674,material!A:D,3,0),"")</f>
        <v/>
      </c>
    </row>
    <row r="7675" ht="11.25" customHeight="1">
      <c r="A7675" s="21"/>
      <c r="B7675" s="22"/>
      <c r="C7675" s="21"/>
      <c r="D7675" s="21"/>
      <c r="E7675" s="21"/>
      <c r="F7675" s="21"/>
      <c r="G7675" s="23"/>
      <c r="H7675" s="24" t="str">
        <f>IFERROR(VLOOKUP(B7675,material!A:D,3,0),"")</f>
        <v/>
      </c>
    </row>
    <row r="7676" ht="11.25" customHeight="1">
      <c r="A7676" s="21"/>
      <c r="B7676" s="22"/>
      <c r="C7676" s="21"/>
      <c r="D7676" s="21"/>
      <c r="E7676" s="21"/>
      <c r="F7676" s="21"/>
      <c r="G7676" s="23"/>
      <c r="H7676" s="24" t="str">
        <f>IFERROR(VLOOKUP(B7676,material!A:D,3,0),"")</f>
        <v/>
      </c>
    </row>
    <row r="7677" ht="11.25" customHeight="1">
      <c r="A7677" s="21"/>
      <c r="B7677" s="22"/>
      <c r="C7677" s="21"/>
      <c r="D7677" s="21"/>
      <c r="E7677" s="21"/>
      <c r="F7677" s="21"/>
      <c r="G7677" s="23"/>
      <c r="H7677" s="24" t="str">
        <f>IFERROR(VLOOKUP(B7677,material!A:D,3,0),"")</f>
        <v/>
      </c>
    </row>
    <row r="7678" ht="11.25" customHeight="1">
      <c r="A7678" s="21"/>
      <c r="B7678" s="22"/>
      <c r="C7678" s="21"/>
      <c r="D7678" s="21"/>
      <c r="E7678" s="21"/>
      <c r="F7678" s="21"/>
      <c r="G7678" s="23"/>
      <c r="H7678" s="24" t="str">
        <f>IFERROR(VLOOKUP(B7678,material!A:D,3,0),"")</f>
        <v/>
      </c>
    </row>
    <row r="7679" ht="11.25" customHeight="1">
      <c r="A7679" s="21"/>
      <c r="B7679" s="22"/>
      <c r="C7679" s="21"/>
      <c r="D7679" s="21"/>
      <c r="E7679" s="21"/>
      <c r="F7679" s="21"/>
      <c r="G7679" s="23"/>
      <c r="H7679" s="24" t="str">
        <f>IFERROR(VLOOKUP(B7679,material!A:D,3,0),"")</f>
        <v/>
      </c>
    </row>
    <row r="7680" ht="11.25" customHeight="1">
      <c r="A7680" s="21"/>
      <c r="B7680" s="22"/>
      <c r="C7680" s="21"/>
      <c r="D7680" s="21"/>
      <c r="E7680" s="21"/>
      <c r="F7680" s="21"/>
      <c r="G7680" s="23"/>
      <c r="H7680" s="24" t="str">
        <f>IFERROR(VLOOKUP(B7680,material!A:D,3,0),"")</f>
        <v/>
      </c>
    </row>
    <row r="7681" ht="11.25" customHeight="1">
      <c r="A7681" s="21"/>
      <c r="B7681" s="22"/>
      <c r="C7681" s="21"/>
      <c r="D7681" s="21"/>
      <c r="E7681" s="21"/>
      <c r="F7681" s="21"/>
      <c r="G7681" s="23"/>
      <c r="H7681" s="24" t="str">
        <f>IFERROR(VLOOKUP(B7681,material!A:D,3,0),"")</f>
        <v/>
      </c>
    </row>
    <row r="7682" ht="11.25" customHeight="1">
      <c r="A7682" s="21"/>
      <c r="B7682" s="22"/>
      <c r="C7682" s="21"/>
      <c r="D7682" s="21"/>
      <c r="E7682" s="21"/>
      <c r="F7682" s="21"/>
      <c r="G7682" s="23"/>
      <c r="H7682" s="24" t="str">
        <f>IFERROR(VLOOKUP(B7682,material!A:D,3,0),"")</f>
        <v/>
      </c>
    </row>
    <row r="7683" ht="11.25" customHeight="1">
      <c r="A7683" s="21"/>
      <c r="B7683" s="22"/>
      <c r="C7683" s="21"/>
      <c r="D7683" s="21"/>
      <c r="E7683" s="21"/>
      <c r="F7683" s="21"/>
      <c r="G7683" s="23"/>
      <c r="H7683" s="24" t="str">
        <f>IFERROR(VLOOKUP(B7683,material!A:D,3,0),"")</f>
        <v/>
      </c>
    </row>
    <row r="7684" ht="11.25" customHeight="1">
      <c r="A7684" s="21"/>
      <c r="B7684" s="22"/>
      <c r="C7684" s="21"/>
      <c r="D7684" s="21"/>
      <c r="E7684" s="21"/>
      <c r="F7684" s="21"/>
      <c r="G7684" s="23"/>
      <c r="H7684" s="24" t="str">
        <f>IFERROR(VLOOKUP(B7684,material!A:D,3,0),"")</f>
        <v/>
      </c>
    </row>
    <row r="7685" ht="11.25" customHeight="1">
      <c r="A7685" s="21"/>
      <c r="B7685" s="22"/>
      <c r="C7685" s="21"/>
      <c r="D7685" s="21"/>
      <c r="E7685" s="21"/>
      <c r="F7685" s="21"/>
      <c r="G7685" s="23"/>
      <c r="H7685" s="24" t="str">
        <f>IFERROR(VLOOKUP(B7685,material!A:D,3,0),"")</f>
        <v/>
      </c>
    </row>
    <row r="7686" ht="11.25" customHeight="1">
      <c r="A7686" s="21"/>
      <c r="B7686" s="22"/>
      <c r="C7686" s="21"/>
      <c r="D7686" s="21"/>
      <c r="E7686" s="21"/>
      <c r="F7686" s="21"/>
      <c r="G7686" s="23"/>
      <c r="H7686" s="24" t="str">
        <f>IFERROR(VLOOKUP(B7686,material!A:D,3,0),"")</f>
        <v/>
      </c>
    </row>
    <row r="7687" ht="11.25" customHeight="1">
      <c r="A7687" s="21"/>
      <c r="B7687" s="22"/>
      <c r="C7687" s="21"/>
      <c r="D7687" s="21"/>
      <c r="E7687" s="21"/>
      <c r="F7687" s="21"/>
      <c r="G7687" s="23"/>
      <c r="H7687" s="24" t="str">
        <f>IFERROR(VLOOKUP(B7687,material!A:D,3,0),"")</f>
        <v/>
      </c>
    </row>
    <row r="7688" ht="11.25" customHeight="1">
      <c r="A7688" s="21"/>
      <c r="B7688" s="22"/>
      <c r="C7688" s="21"/>
      <c r="D7688" s="21"/>
      <c r="E7688" s="21"/>
      <c r="F7688" s="21"/>
      <c r="G7688" s="23"/>
      <c r="H7688" s="24" t="str">
        <f>IFERROR(VLOOKUP(B7688,material!A:D,3,0),"")</f>
        <v/>
      </c>
    </row>
    <row r="7689" ht="11.25" customHeight="1">
      <c r="A7689" s="21"/>
      <c r="B7689" s="22"/>
      <c r="C7689" s="21"/>
      <c r="D7689" s="21"/>
      <c r="E7689" s="21"/>
      <c r="F7689" s="21"/>
      <c r="G7689" s="23"/>
      <c r="H7689" s="24" t="str">
        <f>IFERROR(VLOOKUP(B7689,material!A:D,3,0),"")</f>
        <v/>
      </c>
    </row>
    <row r="7690" ht="11.25" customHeight="1">
      <c r="A7690" s="21"/>
      <c r="B7690" s="22"/>
      <c r="C7690" s="21"/>
      <c r="D7690" s="21"/>
      <c r="E7690" s="21"/>
      <c r="F7690" s="21"/>
      <c r="G7690" s="23"/>
      <c r="H7690" s="24" t="str">
        <f>IFERROR(VLOOKUP(B7690,material!A:D,3,0),"")</f>
        <v/>
      </c>
    </row>
    <row r="7691" ht="11.25" customHeight="1">
      <c r="A7691" s="21"/>
      <c r="B7691" s="22"/>
      <c r="C7691" s="21"/>
      <c r="D7691" s="21"/>
      <c r="E7691" s="21"/>
      <c r="F7691" s="21"/>
      <c r="G7691" s="23"/>
      <c r="H7691" s="24" t="str">
        <f>IFERROR(VLOOKUP(B7691,material!A:D,3,0),"")</f>
        <v/>
      </c>
    </row>
    <row r="7692" ht="11.25" customHeight="1">
      <c r="A7692" s="21"/>
      <c r="B7692" s="22"/>
      <c r="C7692" s="21"/>
      <c r="D7692" s="21"/>
      <c r="E7692" s="21"/>
      <c r="F7692" s="21"/>
      <c r="G7692" s="23"/>
      <c r="H7692" s="24" t="str">
        <f>IFERROR(VLOOKUP(B7692,material!A:D,3,0),"")</f>
        <v/>
      </c>
    </row>
    <row r="7693" ht="11.25" customHeight="1">
      <c r="A7693" s="21"/>
      <c r="B7693" s="22"/>
      <c r="C7693" s="21"/>
      <c r="D7693" s="21"/>
      <c r="E7693" s="21"/>
      <c r="F7693" s="21"/>
      <c r="G7693" s="23"/>
      <c r="H7693" s="24" t="str">
        <f>IFERROR(VLOOKUP(B7693,material!A:D,3,0),"")</f>
        <v/>
      </c>
    </row>
    <row r="7694" ht="11.25" customHeight="1">
      <c r="A7694" s="21"/>
      <c r="B7694" s="22"/>
      <c r="C7694" s="21"/>
      <c r="D7694" s="21"/>
      <c r="E7694" s="21"/>
      <c r="F7694" s="21"/>
      <c r="G7694" s="23"/>
      <c r="H7694" s="24" t="str">
        <f>IFERROR(VLOOKUP(B7694,material!A:D,3,0),"")</f>
        <v/>
      </c>
    </row>
    <row r="7695" ht="11.25" customHeight="1">
      <c r="A7695" s="21"/>
      <c r="B7695" s="22"/>
      <c r="C7695" s="21"/>
      <c r="D7695" s="21"/>
      <c r="E7695" s="21"/>
      <c r="F7695" s="21"/>
      <c r="G7695" s="23"/>
      <c r="H7695" s="24" t="str">
        <f>IFERROR(VLOOKUP(B7695,material!A:D,3,0),"")</f>
        <v/>
      </c>
    </row>
    <row r="7696" ht="11.25" customHeight="1">
      <c r="A7696" s="21"/>
      <c r="B7696" s="22"/>
      <c r="C7696" s="21"/>
      <c r="D7696" s="21"/>
      <c r="E7696" s="21"/>
      <c r="F7696" s="21"/>
      <c r="G7696" s="23"/>
      <c r="H7696" s="24" t="str">
        <f>IFERROR(VLOOKUP(B7696,material!A:D,3,0),"")</f>
        <v/>
      </c>
    </row>
    <row r="7697" ht="11.25" customHeight="1">
      <c r="A7697" s="21"/>
      <c r="B7697" s="22"/>
      <c r="C7697" s="21"/>
      <c r="D7697" s="21"/>
      <c r="E7697" s="21"/>
      <c r="F7697" s="21"/>
      <c r="G7697" s="23"/>
      <c r="H7697" s="24" t="str">
        <f>IFERROR(VLOOKUP(B7697,material!A:D,3,0),"")</f>
        <v/>
      </c>
    </row>
    <row r="7698" ht="11.25" customHeight="1">
      <c r="A7698" s="21"/>
      <c r="B7698" s="22"/>
      <c r="C7698" s="21"/>
      <c r="D7698" s="21"/>
      <c r="E7698" s="21"/>
      <c r="F7698" s="21"/>
      <c r="G7698" s="23"/>
      <c r="H7698" s="24" t="str">
        <f>IFERROR(VLOOKUP(B7698,material!A:D,3,0),"")</f>
        <v/>
      </c>
    </row>
    <row r="7699" ht="11.25" customHeight="1">
      <c r="A7699" s="21"/>
      <c r="B7699" s="22"/>
      <c r="C7699" s="21"/>
      <c r="D7699" s="21"/>
      <c r="E7699" s="21"/>
      <c r="F7699" s="21"/>
      <c r="G7699" s="23"/>
      <c r="H7699" s="24" t="str">
        <f>IFERROR(VLOOKUP(B7699,material!A:D,3,0),"")</f>
        <v/>
      </c>
    </row>
    <row r="7700" ht="11.25" customHeight="1">
      <c r="A7700" s="21"/>
      <c r="B7700" s="22"/>
      <c r="C7700" s="21"/>
      <c r="D7700" s="21"/>
      <c r="E7700" s="21"/>
      <c r="F7700" s="21"/>
      <c r="G7700" s="23"/>
      <c r="H7700" s="24" t="str">
        <f>IFERROR(VLOOKUP(B7700,material!A:D,3,0),"")</f>
        <v/>
      </c>
    </row>
    <row r="7701" ht="11.25" customHeight="1">
      <c r="A7701" s="21"/>
      <c r="B7701" s="22"/>
      <c r="C7701" s="21"/>
      <c r="D7701" s="21"/>
      <c r="E7701" s="21"/>
      <c r="F7701" s="21"/>
      <c r="G7701" s="23"/>
      <c r="H7701" s="24" t="str">
        <f>IFERROR(VLOOKUP(B7701,material!A:D,3,0),"")</f>
        <v/>
      </c>
    </row>
    <row r="7702" ht="11.25" customHeight="1">
      <c r="A7702" s="21"/>
      <c r="B7702" s="22"/>
      <c r="C7702" s="21"/>
      <c r="D7702" s="21"/>
      <c r="E7702" s="21"/>
      <c r="F7702" s="21"/>
      <c r="G7702" s="23"/>
      <c r="H7702" s="24" t="str">
        <f>IFERROR(VLOOKUP(B7702,material!A:D,3,0),"")</f>
        <v/>
      </c>
    </row>
    <row r="7703" ht="11.25" customHeight="1">
      <c r="A7703" s="21"/>
      <c r="B7703" s="22"/>
      <c r="C7703" s="21"/>
      <c r="D7703" s="21"/>
      <c r="E7703" s="21"/>
      <c r="F7703" s="21"/>
      <c r="G7703" s="23"/>
      <c r="H7703" s="24" t="str">
        <f>IFERROR(VLOOKUP(B7703,material!A:D,3,0),"")</f>
        <v/>
      </c>
    </row>
    <row r="7704" ht="11.25" customHeight="1">
      <c r="A7704" s="21"/>
      <c r="B7704" s="22"/>
      <c r="C7704" s="21"/>
      <c r="D7704" s="21"/>
      <c r="E7704" s="21"/>
      <c r="F7704" s="21"/>
      <c r="G7704" s="23"/>
      <c r="H7704" s="24" t="str">
        <f>IFERROR(VLOOKUP(B7704,material!A:D,3,0),"")</f>
        <v/>
      </c>
    </row>
    <row r="7705" ht="11.25" customHeight="1">
      <c r="A7705" s="21"/>
      <c r="B7705" s="22"/>
      <c r="C7705" s="21"/>
      <c r="D7705" s="21"/>
      <c r="E7705" s="21"/>
      <c r="F7705" s="21"/>
      <c r="G7705" s="23"/>
      <c r="H7705" s="24" t="str">
        <f>IFERROR(VLOOKUP(B7705,material!A:D,3,0),"")</f>
        <v/>
      </c>
    </row>
    <row r="7706" ht="11.25" customHeight="1">
      <c r="A7706" s="21"/>
      <c r="B7706" s="22"/>
      <c r="C7706" s="21"/>
      <c r="D7706" s="21"/>
      <c r="E7706" s="21"/>
      <c r="F7706" s="21"/>
      <c r="G7706" s="23"/>
      <c r="H7706" s="24" t="str">
        <f>IFERROR(VLOOKUP(B7706,material!A:D,3,0),"")</f>
        <v/>
      </c>
    </row>
    <row r="7707" ht="11.25" customHeight="1">
      <c r="A7707" s="21"/>
      <c r="B7707" s="22"/>
      <c r="C7707" s="21"/>
      <c r="D7707" s="21"/>
      <c r="E7707" s="21"/>
      <c r="F7707" s="21"/>
      <c r="G7707" s="23"/>
      <c r="H7707" s="24" t="str">
        <f>IFERROR(VLOOKUP(B7707,material!A:D,3,0),"")</f>
        <v/>
      </c>
    </row>
    <row r="7708" ht="11.25" customHeight="1">
      <c r="A7708" s="21"/>
      <c r="B7708" s="22"/>
      <c r="C7708" s="21"/>
      <c r="D7708" s="21"/>
      <c r="E7708" s="21"/>
      <c r="F7708" s="21"/>
      <c r="G7708" s="23"/>
      <c r="H7708" s="24" t="str">
        <f>IFERROR(VLOOKUP(B7708,material!A:D,3,0),"")</f>
        <v/>
      </c>
    </row>
    <row r="7709" ht="11.25" customHeight="1">
      <c r="A7709" s="21"/>
      <c r="B7709" s="22"/>
      <c r="C7709" s="21"/>
      <c r="D7709" s="21"/>
      <c r="E7709" s="21"/>
      <c r="F7709" s="21"/>
      <c r="G7709" s="23"/>
      <c r="H7709" s="24" t="str">
        <f>IFERROR(VLOOKUP(B7709,material!A:D,3,0),"")</f>
        <v/>
      </c>
    </row>
    <row r="7710" ht="11.25" customHeight="1">
      <c r="A7710" s="21"/>
      <c r="B7710" s="22"/>
      <c r="C7710" s="21"/>
      <c r="D7710" s="21"/>
      <c r="E7710" s="21"/>
      <c r="F7710" s="21"/>
      <c r="G7710" s="23"/>
      <c r="H7710" s="24" t="str">
        <f>IFERROR(VLOOKUP(B7710,material!A:D,3,0),"")</f>
        <v/>
      </c>
    </row>
    <row r="7711" ht="11.25" customHeight="1">
      <c r="A7711" s="21"/>
      <c r="B7711" s="22"/>
      <c r="C7711" s="21"/>
      <c r="D7711" s="21"/>
      <c r="E7711" s="21"/>
      <c r="F7711" s="21"/>
      <c r="G7711" s="23"/>
      <c r="H7711" s="24" t="str">
        <f>IFERROR(VLOOKUP(B7711,material!A:D,3,0),"")</f>
        <v/>
      </c>
    </row>
    <row r="7712" ht="11.25" customHeight="1">
      <c r="A7712" s="21"/>
      <c r="B7712" s="22"/>
      <c r="C7712" s="21"/>
      <c r="D7712" s="21"/>
      <c r="E7712" s="21"/>
      <c r="F7712" s="21"/>
      <c r="G7712" s="23"/>
      <c r="H7712" s="24" t="str">
        <f>IFERROR(VLOOKUP(B7712,material!A:D,3,0),"")</f>
        <v/>
      </c>
    </row>
    <row r="7713" ht="11.25" customHeight="1">
      <c r="A7713" s="21"/>
      <c r="B7713" s="22"/>
      <c r="C7713" s="21"/>
      <c r="D7713" s="21"/>
      <c r="E7713" s="21"/>
      <c r="F7713" s="21"/>
      <c r="G7713" s="23"/>
      <c r="H7713" s="24" t="str">
        <f>IFERROR(VLOOKUP(B7713,material!A:D,3,0),"")</f>
        <v/>
      </c>
    </row>
    <row r="7714" ht="11.25" customHeight="1">
      <c r="A7714" s="21"/>
      <c r="B7714" s="22"/>
      <c r="C7714" s="21"/>
      <c r="D7714" s="21"/>
      <c r="E7714" s="21"/>
      <c r="F7714" s="21"/>
      <c r="G7714" s="23"/>
      <c r="H7714" s="24" t="str">
        <f>IFERROR(VLOOKUP(B7714,material!A:D,3,0),"")</f>
        <v/>
      </c>
    </row>
    <row r="7715" ht="11.25" customHeight="1">
      <c r="A7715" s="21"/>
      <c r="B7715" s="22"/>
      <c r="C7715" s="21"/>
      <c r="D7715" s="21"/>
      <c r="E7715" s="21"/>
      <c r="F7715" s="21"/>
      <c r="G7715" s="23"/>
      <c r="H7715" s="24" t="str">
        <f>IFERROR(VLOOKUP(B7715,material!A:D,3,0),"")</f>
        <v/>
      </c>
    </row>
    <row r="7716" ht="11.25" customHeight="1">
      <c r="A7716" s="21"/>
      <c r="B7716" s="22"/>
      <c r="C7716" s="21"/>
      <c r="D7716" s="21"/>
      <c r="E7716" s="21"/>
      <c r="F7716" s="21"/>
      <c r="G7716" s="23"/>
      <c r="H7716" s="24" t="str">
        <f>IFERROR(VLOOKUP(B7716,material!A:D,3,0),"")</f>
        <v/>
      </c>
    </row>
    <row r="7717" ht="11.25" customHeight="1">
      <c r="A7717" s="21"/>
      <c r="B7717" s="22"/>
      <c r="C7717" s="21"/>
      <c r="D7717" s="21"/>
      <c r="E7717" s="21"/>
      <c r="F7717" s="21"/>
      <c r="G7717" s="23"/>
      <c r="H7717" s="24" t="str">
        <f>IFERROR(VLOOKUP(B7717,material!A:D,3,0),"")</f>
        <v/>
      </c>
    </row>
    <row r="7718" ht="11.25" customHeight="1">
      <c r="A7718" s="21"/>
      <c r="B7718" s="22"/>
      <c r="C7718" s="21"/>
      <c r="D7718" s="21"/>
      <c r="E7718" s="21"/>
      <c r="F7718" s="21"/>
      <c r="G7718" s="23"/>
      <c r="H7718" s="24" t="str">
        <f>IFERROR(VLOOKUP(B7718,material!A:D,3,0),"")</f>
        <v/>
      </c>
    </row>
    <row r="7719" ht="11.25" customHeight="1">
      <c r="A7719" s="21"/>
      <c r="B7719" s="22"/>
      <c r="C7719" s="21"/>
      <c r="D7719" s="21"/>
      <c r="E7719" s="21"/>
      <c r="F7719" s="21"/>
      <c r="G7719" s="23"/>
      <c r="H7719" s="24" t="str">
        <f>IFERROR(VLOOKUP(B7719,material!A:D,3,0),"")</f>
        <v/>
      </c>
    </row>
    <row r="7720" ht="11.25" customHeight="1">
      <c r="A7720" s="21"/>
      <c r="B7720" s="22"/>
      <c r="C7720" s="21"/>
      <c r="D7720" s="21"/>
      <c r="E7720" s="21"/>
      <c r="F7720" s="21"/>
      <c r="G7720" s="23"/>
      <c r="H7720" s="24" t="str">
        <f>IFERROR(VLOOKUP(B7720,material!A:D,3,0),"")</f>
        <v/>
      </c>
    </row>
    <row r="7721" ht="11.25" customHeight="1">
      <c r="A7721" s="21"/>
      <c r="B7721" s="22"/>
      <c r="C7721" s="21"/>
      <c r="D7721" s="21"/>
      <c r="E7721" s="21"/>
      <c r="F7721" s="21"/>
      <c r="G7721" s="23"/>
      <c r="H7721" s="24" t="str">
        <f>IFERROR(VLOOKUP(B7721,material!A:D,3,0),"")</f>
        <v/>
      </c>
    </row>
    <row r="7722" ht="11.25" customHeight="1">
      <c r="A7722" s="21"/>
      <c r="B7722" s="22"/>
      <c r="C7722" s="21"/>
      <c r="D7722" s="21"/>
      <c r="E7722" s="21"/>
      <c r="F7722" s="21"/>
      <c r="G7722" s="23"/>
      <c r="H7722" s="24" t="str">
        <f>IFERROR(VLOOKUP(B7722,material!A:D,3,0),"")</f>
        <v/>
      </c>
    </row>
    <row r="7723" ht="11.25" customHeight="1">
      <c r="A7723" s="21"/>
      <c r="B7723" s="22"/>
      <c r="C7723" s="21"/>
      <c r="D7723" s="21"/>
      <c r="E7723" s="21"/>
      <c r="F7723" s="21"/>
      <c r="G7723" s="23"/>
      <c r="H7723" s="24" t="str">
        <f>IFERROR(VLOOKUP(B7723,material!A:D,3,0),"")</f>
        <v/>
      </c>
    </row>
    <row r="7724" ht="11.25" customHeight="1">
      <c r="A7724" s="21"/>
      <c r="B7724" s="22"/>
      <c r="C7724" s="21"/>
      <c r="D7724" s="21"/>
      <c r="E7724" s="21"/>
      <c r="F7724" s="21"/>
      <c r="G7724" s="23"/>
      <c r="H7724" s="24" t="str">
        <f>IFERROR(VLOOKUP(B7724,material!A:D,3,0),"")</f>
        <v/>
      </c>
    </row>
    <row r="7725" ht="11.25" customHeight="1">
      <c r="A7725" s="21"/>
      <c r="B7725" s="22"/>
      <c r="C7725" s="21"/>
      <c r="D7725" s="21"/>
      <c r="E7725" s="21"/>
      <c r="F7725" s="21"/>
      <c r="G7725" s="23"/>
      <c r="H7725" s="24" t="str">
        <f>IFERROR(VLOOKUP(B7725,material!A:D,3,0),"")</f>
        <v/>
      </c>
    </row>
    <row r="7726" ht="11.25" customHeight="1">
      <c r="A7726" s="21"/>
      <c r="B7726" s="22"/>
      <c r="C7726" s="21"/>
      <c r="D7726" s="21"/>
      <c r="E7726" s="21"/>
      <c r="F7726" s="21"/>
      <c r="G7726" s="23"/>
      <c r="H7726" s="24" t="str">
        <f>IFERROR(VLOOKUP(B7726,material!A:D,3,0),"")</f>
        <v/>
      </c>
    </row>
    <row r="7727" ht="11.25" customHeight="1">
      <c r="A7727" s="21"/>
      <c r="B7727" s="22"/>
      <c r="C7727" s="21"/>
      <c r="D7727" s="21"/>
      <c r="E7727" s="21"/>
      <c r="F7727" s="21"/>
      <c r="G7727" s="23"/>
      <c r="H7727" s="24" t="str">
        <f>IFERROR(VLOOKUP(B7727,material!A:D,3,0),"")</f>
        <v/>
      </c>
    </row>
    <row r="7728" ht="11.25" customHeight="1">
      <c r="A7728" s="21"/>
      <c r="B7728" s="22"/>
      <c r="C7728" s="21"/>
      <c r="D7728" s="21"/>
      <c r="E7728" s="21"/>
      <c r="F7728" s="21"/>
      <c r="G7728" s="23"/>
      <c r="H7728" s="24" t="str">
        <f>IFERROR(VLOOKUP(B7728,material!A:D,3,0),"")</f>
        <v/>
      </c>
    </row>
    <row r="7729" ht="11.25" customHeight="1">
      <c r="A7729" s="21"/>
      <c r="B7729" s="22"/>
      <c r="C7729" s="21"/>
      <c r="D7729" s="21"/>
      <c r="E7729" s="21"/>
      <c r="F7729" s="21"/>
      <c r="G7729" s="23"/>
      <c r="H7729" s="24" t="str">
        <f>IFERROR(VLOOKUP(B7729,material!A:D,3,0),"")</f>
        <v/>
      </c>
    </row>
    <row r="7730" ht="11.25" customHeight="1">
      <c r="A7730" s="21"/>
      <c r="B7730" s="22"/>
      <c r="C7730" s="21"/>
      <c r="D7730" s="21"/>
      <c r="E7730" s="21"/>
      <c r="F7730" s="21"/>
      <c r="G7730" s="23"/>
      <c r="H7730" s="24" t="str">
        <f>IFERROR(VLOOKUP(B7730,material!A:D,3,0),"")</f>
        <v/>
      </c>
    </row>
    <row r="7731" ht="11.25" customHeight="1">
      <c r="A7731" s="21"/>
      <c r="B7731" s="22"/>
      <c r="C7731" s="21"/>
      <c r="D7731" s="21"/>
      <c r="E7731" s="21"/>
      <c r="F7731" s="21"/>
      <c r="G7731" s="23"/>
      <c r="H7731" s="24" t="str">
        <f>IFERROR(VLOOKUP(B7731,material!A:D,3,0),"")</f>
        <v/>
      </c>
    </row>
    <row r="7732" ht="11.25" customHeight="1">
      <c r="A7732" s="21"/>
      <c r="B7732" s="22"/>
      <c r="C7732" s="21"/>
      <c r="D7732" s="21"/>
      <c r="E7732" s="21"/>
      <c r="F7732" s="21"/>
      <c r="G7732" s="23"/>
      <c r="H7732" s="24" t="str">
        <f>IFERROR(VLOOKUP(B7732,material!A:D,3,0),"")</f>
        <v/>
      </c>
    </row>
    <row r="7733" ht="11.25" customHeight="1">
      <c r="A7733" s="21"/>
      <c r="B7733" s="22"/>
      <c r="C7733" s="21"/>
      <c r="D7733" s="21"/>
      <c r="E7733" s="21"/>
      <c r="F7733" s="21"/>
      <c r="G7733" s="23"/>
      <c r="H7733" s="24" t="str">
        <f>IFERROR(VLOOKUP(B7733,material!A:D,3,0),"")</f>
        <v/>
      </c>
    </row>
    <row r="7734" ht="11.25" customHeight="1">
      <c r="A7734" s="21"/>
      <c r="B7734" s="22"/>
      <c r="C7734" s="21"/>
      <c r="D7734" s="21"/>
      <c r="E7734" s="21"/>
      <c r="F7734" s="21"/>
      <c r="G7734" s="23"/>
      <c r="H7734" s="24" t="str">
        <f>IFERROR(VLOOKUP(B7734,material!A:D,3,0),"")</f>
        <v/>
      </c>
    </row>
    <row r="7735" ht="11.25" customHeight="1">
      <c r="A7735" s="21"/>
      <c r="B7735" s="22"/>
      <c r="C7735" s="21"/>
      <c r="D7735" s="21"/>
      <c r="E7735" s="21"/>
      <c r="F7735" s="21"/>
      <c r="G7735" s="23"/>
      <c r="H7735" s="24" t="str">
        <f>IFERROR(VLOOKUP(B7735,material!A:D,3,0),"")</f>
        <v/>
      </c>
    </row>
    <row r="7736" ht="11.25" customHeight="1">
      <c r="A7736" s="21"/>
      <c r="B7736" s="22"/>
      <c r="C7736" s="21"/>
      <c r="D7736" s="21"/>
      <c r="E7736" s="21"/>
      <c r="F7736" s="21"/>
      <c r="G7736" s="23"/>
      <c r="H7736" s="24" t="str">
        <f>IFERROR(VLOOKUP(B7736,material!A:D,3,0),"")</f>
        <v/>
      </c>
    </row>
    <row r="7737" ht="11.25" customHeight="1">
      <c r="A7737" s="21"/>
      <c r="B7737" s="22"/>
      <c r="C7737" s="21"/>
      <c r="D7737" s="21"/>
      <c r="E7737" s="21"/>
      <c r="F7737" s="21"/>
      <c r="G7737" s="23"/>
      <c r="H7737" s="24" t="str">
        <f>IFERROR(VLOOKUP(B7737,material!A:D,3,0),"")</f>
        <v/>
      </c>
    </row>
    <row r="7738" ht="11.25" customHeight="1">
      <c r="A7738" s="21"/>
      <c r="B7738" s="22"/>
      <c r="C7738" s="21"/>
      <c r="D7738" s="21"/>
      <c r="E7738" s="21"/>
      <c r="F7738" s="21"/>
      <c r="G7738" s="23"/>
      <c r="H7738" s="24" t="str">
        <f>IFERROR(VLOOKUP(B7738,material!A:D,3,0),"")</f>
        <v/>
      </c>
    </row>
    <row r="7739" ht="11.25" customHeight="1">
      <c r="A7739" s="21"/>
      <c r="B7739" s="22"/>
      <c r="C7739" s="21"/>
      <c r="D7739" s="21"/>
      <c r="E7739" s="21"/>
      <c r="F7739" s="21"/>
      <c r="G7739" s="23"/>
      <c r="H7739" s="24" t="str">
        <f>IFERROR(VLOOKUP(B7739,material!A:D,3,0),"")</f>
        <v/>
      </c>
    </row>
    <row r="7740" ht="11.25" customHeight="1">
      <c r="A7740" s="21"/>
      <c r="B7740" s="22"/>
      <c r="C7740" s="21"/>
      <c r="D7740" s="21"/>
      <c r="E7740" s="21"/>
      <c r="F7740" s="21"/>
      <c r="G7740" s="23"/>
      <c r="H7740" s="24" t="str">
        <f>IFERROR(VLOOKUP(B7740,material!A:D,3,0),"")</f>
        <v/>
      </c>
    </row>
    <row r="7741" ht="11.25" customHeight="1">
      <c r="A7741" s="21"/>
      <c r="B7741" s="22"/>
      <c r="C7741" s="21"/>
      <c r="D7741" s="21"/>
      <c r="E7741" s="21"/>
      <c r="F7741" s="21"/>
      <c r="G7741" s="23"/>
      <c r="H7741" s="24" t="str">
        <f>IFERROR(VLOOKUP(B7741,material!A:D,3,0),"")</f>
        <v/>
      </c>
    </row>
    <row r="7742" ht="11.25" customHeight="1">
      <c r="A7742" s="21"/>
      <c r="B7742" s="22"/>
      <c r="C7742" s="21"/>
      <c r="D7742" s="21"/>
      <c r="E7742" s="21"/>
      <c r="F7742" s="21"/>
      <c r="G7742" s="23"/>
      <c r="H7742" s="24" t="str">
        <f>IFERROR(VLOOKUP(B7742,material!A:D,3,0),"")</f>
        <v/>
      </c>
    </row>
    <row r="7743" ht="11.25" customHeight="1">
      <c r="A7743" s="21"/>
      <c r="B7743" s="22"/>
      <c r="C7743" s="21"/>
      <c r="D7743" s="21"/>
      <c r="E7743" s="21"/>
      <c r="F7743" s="21"/>
      <c r="G7743" s="23"/>
      <c r="H7743" s="24" t="str">
        <f>IFERROR(VLOOKUP(B7743,material!A:D,3,0),"")</f>
        <v/>
      </c>
    </row>
    <row r="7744" ht="11.25" customHeight="1">
      <c r="A7744" s="21"/>
      <c r="B7744" s="22"/>
      <c r="C7744" s="21"/>
      <c r="D7744" s="21"/>
      <c r="E7744" s="21"/>
      <c r="F7744" s="21"/>
      <c r="G7744" s="23"/>
      <c r="H7744" s="24" t="str">
        <f>IFERROR(VLOOKUP(B7744,material!A:D,3,0),"")</f>
        <v/>
      </c>
    </row>
    <row r="7745" ht="11.25" customHeight="1">
      <c r="A7745" s="21"/>
      <c r="B7745" s="22"/>
      <c r="C7745" s="21"/>
      <c r="D7745" s="21"/>
      <c r="E7745" s="21"/>
      <c r="F7745" s="21"/>
      <c r="G7745" s="23"/>
      <c r="H7745" s="24" t="str">
        <f>IFERROR(VLOOKUP(B7745,material!A:D,3,0),"")</f>
        <v/>
      </c>
    </row>
    <row r="7746" ht="11.25" customHeight="1">
      <c r="A7746" s="21"/>
      <c r="B7746" s="22"/>
      <c r="C7746" s="21"/>
      <c r="D7746" s="21"/>
      <c r="E7746" s="21"/>
      <c r="F7746" s="21"/>
      <c r="G7746" s="23"/>
      <c r="H7746" s="24" t="str">
        <f>IFERROR(VLOOKUP(B7746,material!A:D,3,0),"")</f>
        <v/>
      </c>
    </row>
    <row r="7747" ht="11.25" customHeight="1">
      <c r="A7747" s="21"/>
      <c r="B7747" s="22"/>
      <c r="C7747" s="21"/>
      <c r="D7747" s="21"/>
      <c r="E7747" s="21"/>
      <c r="F7747" s="21"/>
      <c r="G7747" s="23"/>
      <c r="H7747" s="24" t="str">
        <f>IFERROR(VLOOKUP(B7747,material!A:D,3,0),"")</f>
        <v/>
      </c>
    </row>
    <row r="7748" ht="11.25" customHeight="1">
      <c r="A7748" s="21"/>
      <c r="B7748" s="22"/>
      <c r="C7748" s="21"/>
      <c r="D7748" s="21"/>
      <c r="E7748" s="21"/>
      <c r="F7748" s="21"/>
      <c r="G7748" s="23"/>
      <c r="H7748" s="24" t="str">
        <f>IFERROR(VLOOKUP(B7748,material!A:D,3,0),"")</f>
        <v/>
      </c>
    </row>
    <row r="7749" ht="11.25" customHeight="1">
      <c r="A7749" s="21"/>
      <c r="B7749" s="22"/>
      <c r="C7749" s="21"/>
      <c r="D7749" s="21"/>
      <c r="E7749" s="21"/>
      <c r="F7749" s="21"/>
      <c r="G7749" s="23"/>
      <c r="H7749" s="24" t="str">
        <f>IFERROR(VLOOKUP(B7749,material!A:D,3,0),"")</f>
        <v/>
      </c>
    </row>
    <row r="7750" ht="11.25" customHeight="1">
      <c r="A7750" s="21"/>
      <c r="B7750" s="22"/>
      <c r="C7750" s="21"/>
      <c r="D7750" s="21"/>
      <c r="E7750" s="21"/>
      <c r="F7750" s="21"/>
      <c r="G7750" s="23"/>
      <c r="H7750" s="24" t="str">
        <f>IFERROR(VLOOKUP(B7750,material!A:D,3,0),"")</f>
        <v/>
      </c>
    </row>
    <row r="7751" ht="11.25" customHeight="1">
      <c r="A7751" s="21"/>
      <c r="B7751" s="22"/>
      <c r="C7751" s="21"/>
      <c r="D7751" s="21"/>
      <c r="E7751" s="21"/>
      <c r="F7751" s="21"/>
      <c r="G7751" s="23"/>
      <c r="H7751" s="24" t="str">
        <f>IFERROR(VLOOKUP(B7751,material!A:D,3,0),"")</f>
        <v/>
      </c>
    </row>
    <row r="7752" ht="11.25" customHeight="1">
      <c r="A7752" s="21"/>
      <c r="B7752" s="22"/>
      <c r="C7752" s="21"/>
      <c r="D7752" s="21"/>
      <c r="E7752" s="21"/>
      <c r="F7752" s="21"/>
      <c r="G7752" s="23"/>
      <c r="H7752" s="24" t="str">
        <f>IFERROR(VLOOKUP(B7752,material!A:D,3,0),"")</f>
        <v/>
      </c>
    </row>
    <row r="7753" ht="11.25" customHeight="1">
      <c r="A7753" s="21"/>
      <c r="B7753" s="22"/>
      <c r="C7753" s="21"/>
      <c r="D7753" s="21"/>
      <c r="E7753" s="21"/>
      <c r="F7753" s="21"/>
      <c r="G7753" s="23"/>
      <c r="H7753" s="24" t="str">
        <f>IFERROR(VLOOKUP(B7753,material!A:D,3,0),"")</f>
        <v/>
      </c>
    </row>
    <row r="7754" ht="11.25" customHeight="1">
      <c r="A7754" s="21"/>
      <c r="B7754" s="22"/>
      <c r="C7754" s="21"/>
      <c r="D7754" s="21"/>
      <c r="E7754" s="21"/>
      <c r="F7754" s="21"/>
      <c r="G7754" s="23"/>
      <c r="H7754" s="24" t="str">
        <f>IFERROR(VLOOKUP(B7754,material!A:D,3,0),"")</f>
        <v/>
      </c>
    </row>
    <row r="7755" ht="11.25" customHeight="1">
      <c r="A7755" s="21"/>
      <c r="B7755" s="22"/>
      <c r="C7755" s="21"/>
      <c r="D7755" s="21"/>
      <c r="E7755" s="21"/>
      <c r="F7755" s="21"/>
      <c r="G7755" s="23"/>
      <c r="H7755" s="24" t="str">
        <f>IFERROR(VLOOKUP(B7755,material!A:D,3,0),"")</f>
        <v/>
      </c>
    </row>
    <row r="7756" ht="11.25" customHeight="1">
      <c r="A7756" s="21"/>
      <c r="B7756" s="22"/>
      <c r="C7756" s="21"/>
      <c r="D7756" s="21"/>
      <c r="E7756" s="21"/>
      <c r="F7756" s="21"/>
      <c r="G7756" s="23"/>
      <c r="H7756" s="24" t="str">
        <f>IFERROR(VLOOKUP(B7756,material!A:D,3,0),"")</f>
        <v/>
      </c>
    </row>
    <row r="7757" ht="11.25" customHeight="1">
      <c r="A7757" s="21"/>
      <c r="B7757" s="22"/>
      <c r="C7757" s="21"/>
      <c r="D7757" s="21"/>
      <c r="E7757" s="21"/>
      <c r="F7757" s="21"/>
      <c r="G7757" s="23"/>
      <c r="H7757" s="24" t="str">
        <f>IFERROR(VLOOKUP(B7757,material!A:D,3,0),"")</f>
        <v/>
      </c>
    </row>
    <row r="7758" ht="11.25" customHeight="1">
      <c r="A7758" s="21"/>
      <c r="B7758" s="22"/>
      <c r="C7758" s="21"/>
      <c r="D7758" s="21"/>
      <c r="E7758" s="21"/>
      <c r="F7758" s="21"/>
      <c r="G7758" s="23"/>
      <c r="H7758" s="24" t="str">
        <f>IFERROR(VLOOKUP(B7758,material!A:D,3,0),"")</f>
        <v/>
      </c>
    </row>
    <row r="7759" ht="11.25" customHeight="1">
      <c r="A7759" s="21"/>
      <c r="B7759" s="22"/>
      <c r="C7759" s="21"/>
      <c r="D7759" s="21"/>
      <c r="E7759" s="21"/>
      <c r="F7759" s="21"/>
      <c r="G7759" s="23"/>
      <c r="H7759" s="24" t="str">
        <f>IFERROR(VLOOKUP(B7759,material!A:D,3,0),"")</f>
        <v/>
      </c>
    </row>
    <row r="7760" ht="11.25" customHeight="1">
      <c r="A7760" s="21"/>
      <c r="B7760" s="22"/>
      <c r="C7760" s="21"/>
      <c r="D7760" s="21"/>
      <c r="E7760" s="21"/>
      <c r="F7760" s="21"/>
      <c r="G7760" s="23"/>
      <c r="H7760" s="24" t="str">
        <f>IFERROR(VLOOKUP(B7760,material!A:D,3,0),"")</f>
        <v/>
      </c>
    </row>
    <row r="7761" ht="11.25" customHeight="1">
      <c r="A7761" s="21"/>
      <c r="B7761" s="22"/>
      <c r="C7761" s="21"/>
      <c r="D7761" s="21"/>
      <c r="E7761" s="21"/>
      <c r="F7761" s="21"/>
      <c r="G7761" s="23"/>
      <c r="H7761" s="24" t="str">
        <f>IFERROR(VLOOKUP(B7761,material!A:D,3,0),"")</f>
        <v/>
      </c>
    </row>
    <row r="7762" ht="11.25" customHeight="1">
      <c r="A7762" s="21"/>
      <c r="B7762" s="22"/>
      <c r="C7762" s="21"/>
      <c r="D7762" s="21"/>
      <c r="E7762" s="21"/>
      <c r="F7762" s="21"/>
      <c r="G7762" s="23"/>
      <c r="H7762" s="24" t="str">
        <f>IFERROR(VLOOKUP(B7762,material!A:D,3,0),"")</f>
        <v/>
      </c>
    </row>
    <row r="7763" ht="11.25" customHeight="1">
      <c r="A7763" s="21"/>
      <c r="B7763" s="22"/>
      <c r="C7763" s="21"/>
      <c r="D7763" s="21"/>
      <c r="E7763" s="21"/>
      <c r="F7763" s="21"/>
      <c r="G7763" s="23"/>
      <c r="H7763" s="24" t="str">
        <f>IFERROR(VLOOKUP(B7763,material!A:D,3,0),"")</f>
        <v/>
      </c>
    </row>
    <row r="7764" ht="11.25" customHeight="1">
      <c r="A7764" s="21"/>
      <c r="B7764" s="22"/>
      <c r="C7764" s="21"/>
      <c r="D7764" s="21"/>
      <c r="E7764" s="21"/>
      <c r="F7764" s="21"/>
      <c r="G7764" s="23"/>
      <c r="H7764" s="24" t="str">
        <f>IFERROR(VLOOKUP(B7764,material!A:D,3,0),"")</f>
        <v/>
      </c>
    </row>
    <row r="7765" ht="11.25" customHeight="1">
      <c r="A7765" s="21"/>
      <c r="B7765" s="22"/>
      <c r="C7765" s="21"/>
      <c r="D7765" s="21"/>
      <c r="E7765" s="21"/>
      <c r="F7765" s="21"/>
      <c r="G7765" s="23"/>
      <c r="H7765" s="24" t="str">
        <f>IFERROR(VLOOKUP(B7765,material!A:D,3,0),"")</f>
        <v/>
      </c>
    </row>
    <row r="7766" ht="11.25" customHeight="1">
      <c r="A7766" s="21"/>
      <c r="B7766" s="22"/>
      <c r="C7766" s="21"/>
      <c r="D7766" s="21"/>
      <c r="E7766" s="21"/>
      <c r="F7766" s="21"/>
      <c r="G7766" s="23"/>
      <c r="H7766" s="24" t="str">
        <f>IFERROR(VLOOKUP(B7766,material!A:D,3,0),"")</f>
        <v/>
      </c>
    </row>
    <row r="7767" ht="11.25" customHeight="1">
      <c r="A7767" s="21"/>
      <c r="B7767" s="22"/>
      <c r="C7767" s="21"/>
      <c r="D7767" s="21"/>
      <c r="E7767" s="21"/>
      <c r="F7767" s="21"/>
      <c r="G7767" s="23"/>
      <c r="H7767" s="24" t="str">
        <f>IFERROR(VLOOKUP(B7767,material!A:D,3,0),"")</f>
        <v/>
      </c>
    </row>
    <row r="7768" ht="11.25" customHeight="1">
      <c r="A7768" s="21"/>
      <c r="B7768" s="22"/>
      <c r="C7768" s="21"/>
      <c r="D7768" s="21"/>
      <c r="E7768" s="21"/>
      <c r="F7768" s="21"/>
      <c r="G7768" s="23"/>
      <c r="H7768" s="24" t="str">
        <f>IFERROR(VLOOKUP(B7768,material!A:D,3,0),"")</f>
        <v/>
      </c>
    </row>
    <row r="7769" ht="11.25" customHeight="1">
      <c r="A7769" s="21"/>
      <c r="B7769" s="22"/>
      <c r="C7769" s="21"/>
      <c r="D7769" s="21"/>
      <c r="E7769" s="21"/>
      <c r="F7769" s="21"/>
      <c r="G7769" s="23"/>
      <c r="H7769" s="24" t="str">
        <f>IFERROR(VLOOKUP(B7769,material!A:D,3,0),"")</f>
        <v/>
      </c>
    </row>
    <row r="7770" ht="11.25" customHeight="1">
      <c r="A7770" s="21"/>
      <c r="B7770" s="22"/>
      <c r="C7770" s="21"/>
      <c r="D7770" s="21"/>
      <c r="E7770" s="21"/>
      <c r="F7770" s="21"/>
      <c r="G7770" s="23"/>
      <c r="H7770" s="24" t="str">
        <f>IFERROR(VLOOKUP(B7770,material!A:D,3,0),"")</f>
        <v/>
      </c>
    </row>
    <row r="7771" ht="11.25" customHeight="1">
      <c r="A7771" s="21"/>
      <c r="B7771" s="22"/>
      <c r="C7771" s="21"/>
      <c r="D7771" s="21"/>
      <c r="E7771" s="21"/>
      <c r="F7771" s="21"/>
      <c r="G7771" s="23"/>
      <c r="H7771" s="24" t="str">
        <f>IFERROR(VLOOKUP(B7771,material!A:D,3,0),"")</f>
        <v/>
      </c>
    </row>
    <row r="7772" ht="11.25" customHeight="1">
      <c r="A7772" s="21"/>
      <c r="B7772" s="22"/>
      <c r="C7772" s="21"/>
      <c r="D7772" s="21"/>
      <c r="E7772" s="21"/>
      <c r="F7772" s="21"/>
      <c r="G7772" s="23"/>
      <c r="H7772" s="24" t="str">
        <f>IFERROR(VLOOKUP(B7772,material!A:D,3,0),"")</f>
        <v/>
      </c>
    </row>
    <row r="7773" ht="11.25" customHeight="1">
      <c r="A7773" s="21"/>
      <c r="B7773" s="22"/>
      <c r="C7773" s="21"/>
      <c r="D7773" s="21"/>
      <c r="E7773" s="21"/>
      <c r="F7773" s="21"/>
      <c r="G7773" s="23"/>
      <c r="H7773" s="24" t="str">
        <f>IFERROR(VLOOKUP(B7773,material!A:D,3,0),"")</f>
        <v/>
      </c>
    </row>
    <row r="7774" ht="11.25" customHeight="1">
      <c r="A7774" s="21"/>
      <c r="B7774" s="22"/>
      <c r="C7774" s="21"/>
      <c r="D7774" s="21"/>
      <c r="E7774" s="21"/>
      <c r="F7774" s="21"/>
      <c r="G7774" s="23"/>
      <c r="H7774" s="24" t="str">
        <f>IFERROR(VLOOKUP(B7774,material!A:D,3,0),"")</f>
        <v/>
      </c>
    </row>
    <row r="7775" ht="11.25" customHeight="1">
      <c r="A7775" s="21"/>
      <c r="B7775" s="22"/>
      <c r="C7775" s="21"/>
      <c r="D7775" s="21"/>
      <c r="E7775" s="21"/>
      <c r="F7775" s="21"/>
      <c r="G7775" s="23"/>
      <c r="H7775" s="24" t="str">
        <f>IFERROR(VLOOKUP(B7775,material!A:D,3,0),"")</f>
        <v/>
      </c>
    </row>
    <row r="7776" ht="11.25" customHeight="1">
      <c r="A7776" s="21"/>
      <c r="B7776" s="22"/>
      <c r="C7776" s="21"/>
      <c r="D7776" s="21"/>
      <c r="E7776" s="21"/>
      <c r="F7776" s="21"/>
      <c r="G7776" s="23"/>
      <c r="H7776" s="24" t="str">
        <f>IFERROR(VLOOKUP(B7776,material!A:D,3,0),"")</f>
        <v/>
      </c>
    </row>
    <row r="7777" ht="11.25" customHeight="1">
      <c r="A7777" s="21"/>
      <c r="B7777" s="22"/>
      <c r="C7777" s="21"/>
      <c r="D7777" s="21"/>
      <c r="E7777" s="21"/>
      <c r="F7777" s="21"/>
      <c r="G7777" s="23"/>
      <c r="H7777" s="24" t="str">
        <f>IFERROR(VLOOKUP(B7777,material!A:D,3,0),"")</f>
        <v/>
      </c>
    </row>
    <row r="7778" ht="11.25" customHeight="1">
      <c r="A7778" s="21"/>
      <c r="B7778" s="22"/>
      <c r="C7778" s="21"/>
      <c r="D7778" s="21"/>
      <c r="E7778" s="21"/>
      <c r="F7778" s="21"/>
      <c r="G7778" s="23"/>
      <c r="H7778" s="24" t="str">
        <f>IFERROR(VLOOKUP(B7778,material!A:D,3,0),"")</f>
        <v/>
      </c>
    </row>
    <row r="7779" ht="11.25" customHeight="1">
      <c r="A7779" s="21"/>
      <c r="B7779" s="22"/>
      <c r="C7779" s="21"/>
      <c r="D7779" s="21"/>
      <c r="E7779" s="21"/>
      <c r="F7779" s="21"/>
      <c r="G7779" s="23"/>
      <c r="H7779" s="24" t="str">
        <f>IFERROR(VLOOKUP(B7779,material!A:D,3,0),"")</f>
        <v/>
      </c>
    </row>
    <row r="7780" ht="11.25" customHeight="1">
      <c r="A7780" s="21"/>
      <c r="B7780" s="22"/>
      <c r="C7780" s="21"/>
      <c r="D7780" s="21"/>
      <c r="E7780" s="21"/>
      <c r="F7780" s="21"/>
      <c r="G7780" s="23"/>
      <c r="H7780" s="24" t="str">
        <f>IFERROR(VLOOKUP(B7780,material!A:D,3,0),"")</f>
        <v/>
      </c>
    </row>
    <row r="7781" ht="11.25" customHeight="1">
      <c r="A7781" s="21"/>
      <c r="B7781" s="22"/>
      <c r="C7781" s="21"/>
      <c r="D7781" s="21"/>
      <c r="E7781" s="21"/>
      <c r="F7781" s="21"/>
      <c r="G7781" s="23"/>
      <c r="H7781" s="24" t="str">
        <f>IFERROR(VLOOKUP(B7781,material!A:D,3,0),"")</f>
        <v/>
      </c>
    </row>
    <row r="7782" ht="11.25" customHeight="1">
      <c r="A7782" s="21"/>
      <c r="B7782" s="22"/>
      <c r="C7782" s="21"/>
      <c r="D7782" s="21"/>
      <c r="E7782" s="21"/>
      <c r="F7782" s="21"/>
      <c r="G7782" s="23"/>
      <c r="H7782" s="24" t="str">
        <f>IFERROR(VLOOKUP(B7782,material!A:D,3,0),"")</f>
        <v/>
      </c>
    </row>
    <row r="7783" ht="11.25" customHeight="1">
      <c r="A7783" s="21"/>
      <c r="B7783" s="22"/>
      <c r="C7783" s="21"/>
      <c r="D7783" s="21"/>
      <c r="E7783" s="21"/>
      <c r="F7783" s="21"/>
      <c r="G7783" s="23"/>
      <c r="H7783" s="24" t="str">
        <f>IFERROR(VLOOKUP(B7783,material!A:D,3,0),"")</f>
        <v/>
      </c>
    </row>
    <row r="7784" ht="11.25" customHeight="1">
      <c r="A7784" s="21"/>
      <c r="B7784" s="22"/>
      <c r="C7784" s="21"/>
      <c r="D7784" s="21"/>
      <c r="E7784" s="21"/>
      <c r="F7784" s="21"/>
      <c r="G7784" s="23"/>
      <c r="H7784" s="24" t="str">
        <f>IFERROR(VLOOKUP(B7784,material!A:D,3,0),"")</f>
        <v/>
      </c>
    </row>
    <row r="7785" ht="11.25" customHeight="1">
      <c r="A7785" s="21"/>
      <c r="B7785" s="22"/>
      <c r="C7785" s="21"/>
      <c r="D7785" s="21"/>
      <c r="E7785" s="21"/>
      <c r="F7785" s="21"/>
      <c r="G7785" s="23"/>
      <c r="H7785" s="24" t="str">
        <f>IFERROR(VLOOKUP(B7785,material!A:D,3,0),"")</f>
        <v/>
      </c>
    </row>
    <row r="7786" ht="11.25" customHeight="1">
      <c r="A7786" s="21"/>
      <c r="B7786" s="22"/>
      <c r="C7786" s="21"/>
      <c r="D7786" s="21"/>
      <c r="E7786" s="21"/>
      <c r="F7786" s="21"/>
      <c r="G7786" s="23"/>
      <c r="H7786" s="24" t="str">
        <f>IFERROR(VLOOKUP(B7786,material!A:D,3,0),"")</f>
        <v/>
      </c>
    </row>
    <row r="7787" ht="11.25" customHeight="1">
      <c r="A7787" s="21"/>
      <c r="B7787" s="22"/>
      <c r="C7787" s="21"/>
      <c r="D7787" s="21"/>
      <c r="E7787" s="21"/>
      <c r="F7787" s="21"/>
      <c r="G7787" s="23"/>
      <c r="H7787" s="24" t="str">
        <f>IFERROR(VLOOKUP(B7787,material!A:D,3,0),"")</f>
        <v/>
      </c>
    </row>
    <row r="7788" ht="11.25" customHeight="1">
      <c r="A7788" s="21"/>
      <c r="B7788" s="22"/>
      <c r="C7788" s="21"/>
      <c r="D7788" s="21"/>
      <c r="E7788" s="21"/>
      <c r="F7788" s="21"/>
      <c r="G7788" s="23"/>
      <c r="H7788" s="24" t="str">
        <f>IFERROR(VLOOKUP(B7788,material!A:D,3,0),"")</f>
        <v/>
      </c>
    </row>
    <row r="7789" ht="11.25" customHeight="1">
      <c r="A7789" s="21"/>
      <c r="B7789" s="22"/>
      <c r="C7789" s="21"/>
      <c r="D7789" s="21"/>
      <c r="E7789" s="21"/>
      <c r="F7789" s="21"/>
      <c r="G7789" s="23"/>
      <c r="H7789" s="24" t="str">
        <f>IFERROR(VLOOKUP(B7789,material!A:D,3,0),"")</f>
        <v/>
      </c>
    </row>
    <row r="7790" ht="11.25" customHeight="1">
      <c r="A7790" s="21"/>
      <c r="B7790" s="22"/>
      <c r="C7790" s="21"/>
      <c r="D7790" s="21"/>
      <c r="E7790" s="21"/>
      <c r="F7790" s="21"/>
      <c r="G7790" s="23"/>
      <c r="H7790" s="24" t="str">
        <f>IFERROR(VLOOKUP(B7790,material!A:D,3,0),"")</f>
        <v/>
      </c>
    </row>
    <row r="7791" ht="11.25" customHeight="1">
      <c r="A7791" s="21"/>
      <c r="B7791" s="22"/>
      <c r="C7791" s="21"/>
      <c r="D7791" s="21"/>
      <c r="E7791" s="21"/>
      <c r="F7791" s="21"/>
      <c r="G7791" s="23"/>
      <c r="H7791" s="24" t="str">
        <f>IFERROR(VLOOKUP(B7791,material!A:D,3,0),"")</f>
        <v/>
      </c>
    </row>
    <row r="7792" ht="11.25" customHeight="1">
      <c r="A7792" s="21"/>
      <c r="B7792" s="22"/>
      <c r="C7792" s="21"/>
      <c r="D7792" s="21"/>
      <c r="E7792" s="21"/>
      <c r="F7792" s="21"/>
      <c r="G7792" s="23"/>
      <c r="H7792" s="24" t="str">
        <f>IFERROR(VLOOKUP(B7792,material!A:D,3,0),"")</f>
        <v/>
      </c>
    </row>
    <row r="7793" ht="11.25" customHeight="1">
      <c r="A7793" s="21"/>
      <c r="B7793" s="22"/>
      <c r="C7793" s="21"/>
      <c r="D7793" s="21"/>
      <c r="E7793" s="21"/>
      <c r="F7793" s="21"/>
      <c r="G7793" s="23"/>
      <c r="H7793" s="24" t="str">
        <f>IFERROR(VLOOKUP(B7793,material!A:D,3,0),"")</f>
        <v/>
      </c>
    </row>
    <row r="7794" ht="11.25" customHeight="1">
      <c r="A7794" s="21"/>
      <c r="B7794" s="22"/>
      <c r="C7794" s="21"/>
      <c r="D7794" s="21"/>
      <c r="E7794" s="21"/>
      <c r="F7794" s="21"/>
      <c r="G7794" s="23"/>
      <c r="H7794" s="24" t="str">
        <f>IFERROR(VLOOKUP(B7794,material!A:D,3,0),"")</f>
        <v/>
      </c>
    </row>
    <row r="7795" ht="11.25" customHeight="1">
      <c r="A7795" s="21"/>
      <c r="B7795" s="22"/>
      <c r="C7795" s="21"/>
      <c r="D7795" s="21"/>
      <c r="E7795" s="21"/>
      <c r="F7795" s="21"/>
      <c r="G7795" s="23"/>
      <c r="H7795" s="24" t="str">
        <f>IFERROR(VLOOKUP(B7795,material!A:D,3,0),"")</f>
        <v/>
      </c>
    </row>
    <row r="7796" ht="11.25" customHeight="1">
      <c r="A7796" s="21"/>
      <c r="B7796" s="22"/>
      <c r="C7796" s="21"/>
      <c r="D7796" s="21"/>
      <c r="E7796" s="21"/>
      <c r="F7796" s="21"/>
      <c r="G7796" s="23"/>
      <c r="H7796" s="24" t="str">
        <f>IFERROR(VLOOKUP(B7796,material!A:D,3,0),"")</f>
        <v/>
      </c>
    </row>
    <row r="7797" ht="11.25" customHeight="1">
      <c r="A7797" s="21"/>
      <c r="B7797" s="22"/>
      <c r="C7797" s="21"/>
      <c r="D7797" s="21"/>
      <c r="E7797" s="21"/>
      <c r="F7797" s="21"/>
      <c r="G7797" s="23"/>
      <c r="H7797" s="24" t="str">
        <f>IFERROR(VLOOKUP(B7797,material!A:D,3,0),"")</f>
        <v/>
      </c>
    </row>
    <row r="7798" ht="11.25" customHeight="1">
      <c r="A7798" s="21"/>
      <c r="B7798" s="22"/>
      <c r="C7798" s="21"/>
      <c r="D7798" s="21"/>
      <c r="E7798" s="21"/>
      <c r="F7798" s="21"/>
      <c r="G7798" s="23"/>
      <c r="H7798" s="24" t="str">
        <f>IFERROR(VLOOKUP(B7798,material!A:D,3,0),"")</f>
        <v/>
      </c>
    </row>
    <row r="7799" ht="11.25" customHeight="1">
      <c r="A7799" s="21"/>
      <c r="B7799" s="22"/>
      <c r="C7799" s="21"/>
      <c r="D7799" s="21"/>
      <c r="E7799" s="21"/>
      <c r="F7799" s="21"/>
      <c r="G7799" s="23"/>
      <c r="H7799" s="24" t="str">
        <f>IFERROR(VLOOKUP(B7799,material!A:D,3,0),"")</f>
        <v/>
      </c>
    </row>
    <row r="7800" ht="11.25" customHeight="1">
      <c r="A7800" s="21"/>
      <c r="B7800" s="22"/>
      <c r="C7800" s="21"/>
      <c r="D7800" s="21"/>
      <c r="E7800" s="21"/>
      <c r="F7800" s="21"/>
      <c r="G7800" s="23"/>
      <c r="H7800" s="24" t="str">
        <f>IFERROR(VLOOKUP(B7800,material!A:D,3,0),"")</f>
        <v/>
      </c>
    </row>
    <row r="7801" ht="11.25" customHeight="1">
      <c r="A7801" s="21"/>
      <c r="B7801" s="22"/>
      <c r="C7801" s="21"/>
      <c r="D7801" s="21"/>
      <c r="E7801" s="21"/>
      <c r="F7801" s="21"/>
      <c r="G7801" s="23"/>
      <c r="H7801" s="24" t="str">
        <f>IFERROR(VLOOKUP(B7801,material!A:D,3,0),"")</f>
        <v/>
      </c>
    </row>
    <row r="7802" ht="11.25" customHeight="1">
      <c r="A7802" s="21"/>
      <c r="B7802" s="22"/>
      <c r="C7802" s="21"/>
      <c r="D7802" s="21"/>
      <c r="E7802" s="21"/>
      <c r="F7802" s="21"/>
      <c r="G7802" s="23"/>
      <c r="H7802" s="24" t="str">
        <f>IFERROR(VLOOKUP(B7802,material!A:D,3,0),"")</f>
        <v/>
      </c>
    </row>
    <row r="7803" ht="11.25" customHeight="1">
      <c r="A7803" s="21"/>
      <c r="B7803" s="22"/>
      <c r="C7803" s="21"/>
      <c r="D7803" s="21"/>
      <c r="E7803" s="21"/>
      <c r="F7803" s="21"/>
      <c r="G7803" s="23"/>
      <c r="H7803" s="24" t="str">
        <f>IFERROR(VLOOKUP(B7803,material!A:D,3,0),"")</f>
        <v/>
      </c>
    </row>
    <row r="7804" ht="11.25" customHeight="1">
      <c r="A7804" s="21"/>
      <c r="B7804" s="22"/>
      <c r="C7804" s="21"/>
      <c r="D7804" s="21"/>
      <c r="E7804" s="21"/>
      <c r="F7804" s="21"/>
      <c r="G7804" s="23"/>
      <c r="H7804" s="24" t="str">
        <f>IFERROR(VLOOKUP(B7804,material!A:D,3,0),"")</f>
        <v/>
      </c>
    </row>
    <row r="7805" ht="11.25" customHeight="1">
      <c r="A7805" s="21"/>
      <c r="B7805" s="22"/>
      <c r="C7805" s="21"/>
      <c r="D7805" s="21"/>
      <c r="E7805" s="21"/>
      <c r="F7805" s="21"/>
      <c r="G7805" s="23"/>
      <c r="H7805" s="24" t="str">
        <f>IFERROR(VLOOKUP(B7805,material!A:D,3,0),"")</f>
        <v/>
      </c>
    </row>
    <row r="7806" ht="11.25" customHeight="1">
      <c r="A7806" s="21"/>
      <c r="B7806" s="22"/>
      <c r="C7806" s="21"/>
      <c r="D7806" s="21"/>
      <c r="E7806" s="21"/>
      <c r="F7806" s="21"/>
      <c r="G7806" s="23"/>
      <c r="H7806" s="24" t="str">
        <f>IFERROR(VLOOKUP(B7806,material!A:D,3,0),"")</f>
        <v/>
      </c>
    </row>
    <row r="7807" ht="11.25" customHeight="1">
      <c r="A7807" s="21"/>
      <c r="B7807" s="22"/>
      <c r="C7807" s="21"/>
      <c r="D7807" s="21"/>
      <c r="E7807" s="21"/>
      <c r="F7807" s="21"/>
      <c r="G7807" s="23"/>
      <c r="H7807" s="24" t="str">
        <f>IFERROR(VLOOKUP(B7807,material!A:D,3,0),"")</f>
        <v/>
      </c>
    </row>
    <row r="7808" ht="11.25" customHeight="1">
      <c r="A7808" s="21"/>
      <c r="B7808" s="22"/>
      <c r="C7808" s="21"/>
      <c r="D7808" s="21"/>
      <c r="E7808" s="21"/>
      <c r="F7808" s="21"/>
      <c r="G7808" s="23"/>
      <c r="H7808" s="24" t="str">
        <f>IFERROR(VLOOKUP(B7808,material!A:D,3,0),"")</f>
        <v/>
      </c>
    </row>
    <row r="7809" ht="11.25" customHeight="1">
      <c r="A7809" s="21"/>
      <c r="B7809" s="22"/>
      <c r="C7809" s="21"/>
      <c r="D7809" s="21"/>
      <c r="E7809" s="21"/>
      <c r="F7809" s="21"/>
      <c r="G7809" s="23"/>
      <c r="H7809" s="24" t="str">
        <f>IFERROR(VLOOKUP(B7809,material!A:D,3,0),"")</f>
        <v/>
      </c>
    </row>
    <row r="7810" ht="11.25" customHeight="1">
      <c r="A7810" s="21"/>
      <c r="B7810" s="22"/>
      <c r="C7810" s="21"/>
      <c r="D7810" s="21"/>
      <c r="E7810" s="21"/>
      <c r="F7810" s="21"/>
      <c r="G7810" s="23"/>
      <c r="H7810" s="24" t="str">
        <f>IFERROR(VLOOKUP(B7810,material!A:D,3,0),"")</f>
        <v/>
      </c>
    </row>
    <row r="7811" ht="11.25" customHeight="1">
      <c r="A7811" s="21"/>
      <c r="B7811" s="22"/>
      <c r="C7811" s="21"/>
      <c r="D7811" s="21"/>
      <c r="E7811" s="21"/>
      <c r="F7811" s="21"/>
      <c r="G7811" s="23"/>
      <c r="H7811" s="24" t="str">
        <f>IFERROR(VLOOKUP(B7811,material!A:D,3,0),"")</f>
        <v/>
      </c>
    </row>
    <row r="7812" ht="11.25" customHeight="1">
      <c r="A7812" s="21"/>
      <c r="B7812" s="22"/>
      <c r="C7812" s="21"/>
      <c r="D7812" s="21"/>
      <c r="E7812" s="21"/>
      <c r="F7812" s="21"/>
      <c r="G7812" s="23"/>
      <c r="H7812" s="24" t="str">
        <f>IFERROR(VLOOKUP(B7812,material!A:D,3,0),"")</f>
        <v/>
      </c>
    </row>
    <row r="7813" ht="11.25" customHeight="1">
      <c r="A7813" s="21"/>
      <c r="B7813" s="22"/>
      <c r="C7813" s="21"/>
      <c r="D7813" s="21"/>
      <c r="E7813" s="21"/>
      <c r="F7813" s="21"/>
      <c r="G7813" s="23"/>
      <c r="H7813" s="24" t="str">
        <f>IFERROR(VLOOKUP(B7813,material!A:D,3,0),"")</f>
        <v/>
      </c>
    </row>
    <row r="7814" ht="11.25" customHeight="1">
      <c r="A7814" s="21"/>
      <c r="B7814" s="22"/>
      <c r="C7814" s="21"/>
      <c r="D7814" s="21"/>
      <c r="E7814" s="21"/>
      <c r="F7814" s="21"/>
      <c r="G7814" s="23"/>
      <c r="H7814" s="24" t="str">
        <f>IFERROR(VLOOKUP(B7814,material!A:D,3,0),"")</f>
        <v/>
      </c>
    </row>
    <row r="7815" ht="11.25" customHeight="1">
      <c r="A7815" s="21"/>
      <c r="B7815" s="22"/>
      <c r="C7815" s="21"/>
      <c r="D7815" s="21"/>
      <c r="E7815" s="21"/>
      <c r="F7815" s="21"/>
      <c r="G7815" s="23"/>
      <c r="H7815" s="24" t="str">
        <f>IFERROR(VLOOKUP(B7815,material!A:D,3,0),"")</f>
        <v/>
      </c>
    </row>
    <row r="7816" ht="11.25" customHeight="1">
      <c r="A7816" s="21"/>
      <c r="B7816" s="22"/>
      <c r="C7816" s="21"/>
      <c r="D7816" s="21"/>
      <c r="E7816" s="21"/>
      <c r="F7816" s="21"/>
      <c r="G7816" s="23"/>
      <c r="H7816" s="24" t="str">
        <f>IFERROR(VLOOKUP(B7816,material!A:D,3,0),"")</f>
        <v/>
      </c>
    </row>
    <row r="7817" ht="11.25" customHeight="1">
      <c r="A7817" s="21"/>
      <c r="B7817" s="22"/>
      <c r="C7817" s="21"/>
      <c r="D7817" s="21"/>
      <c r="E7817" s="21"/>
      <c r="F7817" s="21"/>
      <c r="G7817" s="23"/>
      <c r="H7817" s="24" t="str">
        <f>IFERROR(VLOOKUP(B7817,material!A:D,3,0),"")</f>
        <v/>
      </c>
    </row>
    <row r="7818" ht="11.25" customHeight="1">
      <c r="A7818" s="21"/>
      <c r="B7818" s="22"/>
      <c r="C7818" s="21"/>
      <c r="D7818" s="21"/>
      <c r="E7818" s="21"/>
      <c r="F7818" s="21"/>
      <c r="G7818" s="23"/>
      <c r="H7818" s="24" t="str">
        <f>IFERROR(VLOOKUP(B7818,material!A:D,3,0),"")</f>
        <v/>
      </c>
    </row>
    <row r="7819" ht="11.25" customHeight="1">
      <c r="A7819" s="21"/>
      <c r="B7819" s="22"/>
      <c r="C7819" s="21"/>
      <c r="D7819" s="21"/>
      <c r="E7819" s="21"/>
      <c r="F7819" s="21"/>
      <c r="G7819" s="23"/>
      <c r="H7819" s="24" t="str">
        <f>IFERROR(VLOOKUP(B7819,material!A:D,3,0),"")</f>
        <v/>
      </c>
    </row>
    <row r="7820" ht="11.25" customHeight="1">
      <c r="A7820" s="21"/>
      <c r="B7820" s="22"/>
      <c r="C7820" s="21"/>
      <c r="D7820" s="21"/>
      <c r="E7820" s="21"/>
      <c r="F7820" s="21"/>
      <c r="G7820" s="23"/>
      <c r="H7820" s="24" t="str">
        <f>IFERROR(VLOOKUP(B7820,material!A:D,3,0),"")</f>
        <v/>
      </c>
    </row>
    <row r="7821" ht="11.25" customHeight="1">
      <c r="A7821" s="21"/>
      <c r="B7821" s="22"/>
      <c r="C7821" s="21"/>
      <c r="D7821" s="21"/>
      <c r="E7821" s="21"/>
      <c r="F7821" s="21"/>
      <c r="G7821" s="23"/>
      <c r="H7821" s="24" t="str">
        <f>IFERROR(VLOOKUP(B7821,material!A:D,3,0),"")</f>
        <v/>
      </c>
    </row>
    <row r="7822" ht="11.25" customHeight="1">
      <c r="A7822" s="21"/>
      <c r="B7822" s="22"/>
      <c r="C7822" s="21"/>
      <c r="D7822" s="21"/>
      <c r="E7822" s="21"/>
      <c r="F7822" s="21"/>
      <c r="G7822" s="23"/>
      <c r="H7822" s="24" t="str">
        <f>IFERROR(VLOOKUP(B7822,material!A:D,3,0),"")</f>
        <v/>
      </c>
    </row>
    <row r="7823" ht="11.25" customHeight="1">
      <c r="A7823" s="21"/>
      <c r="B7823" s="22"/>
      <c r="C7823" s="21"/>
      <c r="D7823" s="21"/>
      <c r="E7823" s="21"/>
      <c r="F7823" s="21"/>
      <c r="G7823" s="23"/>
      <c r="H7823" s="24" t="str">
        <f>IFERROR(VLOOKUP(B7823,material!A:D,3,0),"")</f>
        <v/>
      </c>
    </row>
    <row r="7824" ht="11.25" customHeight="1">
      <c r="A7824" s="21"/>
      <c r="B7824" s="22"/>
      <c r="C7824" s="21"/>
      <c r="D7824" s="21"/>
      <c r="E7824" s="21"/>
      <c r="F7824" s="21"/>
      <c r="G7824" s="23"/>
      <c r="H7824" s="24" t="str">
        <f>IFERROR(VLOOKUP(B7824,material!A:D,3,0),"")</f>
        <v/>
      </c>
    </row>
    <row r="7825" ht="11.25" customHeight="1">
      <c r="A7825" s="21"/>
      <c r="B7825" s="22"/>
      <c r="C7825" s="21"/>
      <c r="D7825" s="21"/>
      <c r="E7825" s="21"/>
      <c r="F7825" s="21"/>
      <c r="G7825" s="23"/>
      <c r="H7825" s="24" t="str">
        <f>IFERROR(VLOOKUP(B7825,material!A:D,3,0),"")</f>
        <v/>
      </c>
    </row>
    <row r="7826" ht="11.25" customHeight="1">
      <c r="A7826" s="21"/>
      <c r="B7826" s="22"/>
      <c r="C7826" s="21"/>
      <c r="D7826" s="21"/>
      <c r="E7826" s="21"/>
      <c r="F7826" s="21"/>
      <c r="G7826" s="23"/>
      <c r="H7826" s="24" t="str">
        <f>IFERROR(VLOOKUP(B7826,material!A:D,3,0),"")</f>
        <v/>
      </c>
    </row>
    <row r="7827" ht="11.25" customHeight="1">
      <c r="A7827" s="21"/>
      <c r="B7827" s="22"/>
      <c r="C7827" s="21"/>
      <c r="D7827" s="21"/>
      <c r="E7827" s="21"/>
      <c r="F7827" s="21"/>
      <c r="G7827" s="23"/>
      <c r="H7827" s="24" t="str">
        <f>IFERROR(VLOOKUP(B7827,material!A:D,3,0),"")</f>
        <v/>
      </c>
    </row>
    <row r="7828" ht="11.25" customHeight="1">
      <c r="A7828" s="21"/>
      <c r="B7828" s="22"/>
      <c r="C7828" s="21"/>
      <c r="D7828" s="21"/>
      <c r="E7828" s="21"/>
      <c r="F7828" s="21"/>
      <c r="G7828" s="23"/>
      <c r="H7828" s="24" t="str">
        <f>IFERROR(VLOOKUP(B7828,material!A:D,3,0),"")</f>
        <v/>
      </c>
    </row>
    <row r="7829" ht="11.25" customHeight="1">
      <c r="A7829" s="21"/>
      <c r="B7829" s="22"/>
      <c r="C7829" s="21"/>
      <c r="D7829" s="21"/>
      <c r="E7829" s="21"/>
      <c r="F7829" s="21"/>
      <c r="G7829" s="23"/>
      <c r="H7829" s="24" t="str">
        <f>IFERROR(VLOOKUP(B7829,material!A:D,3,0),"")</f>
        <v/>
      </c>
    </row>
    <row r="7830" ht="11.25" customHeight="1">
      <c r="A7830" s="21"/>
      <c r="B7830" s="22"/>
      <c r="C7830" s="21"/>
      <c r="D7830" s="21"/>
      <c r="E7830" s="21"/>
      <c r="F7830" s="21"/>
      <c r="G7830" s="23"/>
      <c r="H7830" s="24" t="str">
        <f>IFERROR(VLOOKUP(B7830,material!A:D,3,0),"")</f>
        <v/>
      </c>
    </row>
    <row r="7831" ht="11.25" customHeight="1">
      <c r="A7831" s="21"/>
      <c r="B7831" s="22"/>
      <c r="C7831" s="21"/>
      <c r="D7831" s="21"/>
      <c r="E7831" s="21"/>
      <c r="F7831" s="21"/>
      <c r="G7831" s="23"/>
      <c r="H7831" s="24" t="str">
        <f>IFERROR(VLOOKUP(B7831,material!A:D,3,0),"")</f>
        <v/>
      </c>
    </row>
    <row r="7832" ht="11.25" customHeight="1">
      <c r="A7832" s="21"/>
      <c r="B7832" s="22"/>
      <c r="C7832" s="21"/>
      <c r="D7832" s="21"/>
      <c r="E7832" s="21"/>
      <c r="F7832" s="21"/>
      <c r="G7832" s="23"/>
      <c r="H7832" s="24" t="str">
        <f>IFERROR(VLOOKUP(B7832,material!A:D,3,0),"")</f>
        <v/>
      </c>
    </row>
    <row r="7833" ht="11.25" customHeight="1">
      <c r="A7833" s="21"/>
      <c r="B7833" s="22"/>
      <c r="C7833" s="21"/>
      <c r="D7833" s="21"/>
      <c r="E7833" s="21"/>
      <c r="F7833" s="21"/>
      <c r="G7833" s="23"/>
      <c r="H7833" s="24" t="str">
        <f>IFERROR(VLOOKUP(B7833,material!A:D,3,0),"")</f>
        <v/>
      </c>
    </row>
    <row r="7834" ht="11.25" customHeight="1">
      <c r="A7834" s="21"/>
      <c r="B7834" s="22"/>
      <c r="C7834" s="21"/>
      <c r="D7834" s="21"/>
      <c r="E7834" s="21"/>
      <c r="F7834" s="21"/>
      <c r="G7834" s="23"/>
      <c r="H7834" s="24" t="str">
        <f>IFERROR(VLOOKUP(B7834,material!A:D,3,0),"")</f>
        <v/>
      </c>
    </row>
    <row r="7835" ht="11.25" customHeight="1">
      <c r="A7835" s="21"/>
      <c r="B7835" s="22"/>
      <c r="C7835" s="21"/>
      <c r="D7835" s="21"/>
      <c r="E7835" s="21"/>
      <c r="F7835" s="21"/>
      <c r="G7835" s="23"/>
      <c r="H7835" s="24" t="str">
        <f>IFERROR(VLOOKUP(B7835,material!A:D,3,0),"")</f>
        <v/>
      </c>
    </row>
    <row r="7836" ht="11.25" customHeight="1">
      <c r="A7836" s="21"/>
      <c r="B7836" s="22"/>
      <c r="C7836" s="21"/>
      <c r="D7836" s="21"/>
      <c r="E7836" s="21"/>
      <c r="F7836" s="21"/>
      <c r="G7836" s="23"/>
      <c r="H7836" s="24" t="str">
        <f>IFERROR(VLOOKUP(B7836,material!A:D,3,0),"")</f>
        <v/>
      </c>
    </row>
    <row r="7837" ht="11.25" customHeight="1">
      <c r="A7837" s="21"/>
      <c r="B7837" s="22"/>
      <c r="C7837" s="21"/>
      <c r="D7837" s="21"/>
      <c r="E7837" s="21"/>
      <c r="F7837" s="21"/>
      <c r="G7837" s="23"/>
      <c r="H7837" s="24" t="str">
        <f>IFERROR(VLOOKUP(B7837,material!A:D,3,0),"")</f>
        <v/>
      </c>
    </row>
    <row r="7838" ht="11.25" customHeight="1">
      <c r="A7838" s="21"/>
      <c r="B7838" s="22"/>
      <c r="C7838" s="21"/>
      <c r="D7838" s="21"/>
      <c r="E7838" s="21"/>
      <c r="F7838" s="21"/>
      <c r="G7838" s="23"/>
      <c r="H7838" s="24" t="str">
        <f>IFERROR(VLOOKUP(B7838,material!A:D,3,0),"")</f>
        <v/>
      </c>
    </row>
    <row r="7839" ht="11.25" customHeight="1">
      <c r="A7839" s="21"/>
      <c r="B7839" s="22"/>
      <c r="C7839" s="21"/>
      <c r="D7839" s="21"/>
      <c r="E7839" s="21"/>
      <c r="F7839" s="21"/>
      <c r="G7839" s="23"/>
      <c r="H7839" s="24" t="str">
        <f>IFERROR(VLOOKUP(B7839,material!A:D,3,0),"")</f>
        <v/>
      </c>
    </row>
    <row r="7840" ht="11.25" customHeight="1">
      <c r="A7840" s="21"/>
      <c r="B7840" s="22"/>
      <c r="C7840" s="21"/>
      <c r="D7840" s="21"/>
      <c r="E7840" s="21"/>
      <c r="F7840" s="21"/>
      <c r="G7840" s="23"/>
      <c r="H7840" s="24" t="str">
        <f>IFERROR(VLOOKUP(B7840,material!A:D,3,0),"")</f>
        <v/>
      </c>
    </row>
    <row r="7841" ht="11.25" customHeight="1">
      <c r="A7841" s="21"/>
      <c r="B7841" s="22"/>
      <c r="C7841" s="21"/>
      <c r="D7841" s="21"/>
      <c r="E7841" s="21"/>
      <c r="F7841" s="21"/>
      <c r="G7841" s="23"/>
      <c r="H7841" s="24" t="str">
        <f>IFERROR(VLOOKUP(B7841,material!A:D,3,0),"")</f>
        <v/>
      </c>
    </row>
    <row r="7842" ht="11.25" customHeight="1">
      <c r="A7842" s="21"/>
      <c r="B7842" s="22"/>
      <c r="C7842" s="21"/>
      <c r="D7842" s="21"/>
      <c r="E7842" s="21"/>
      <c r="F7842" s="21"/>
      <c r="G7842" s="23"/>
      <c r="H7842" s="24" t="str">
        <f>IFERROR(VLOOKUP(B7842,material!A:D,3,0),"")</f>
        <v/>
      </c>
    </row>
    <row r="7843" ht="11.25" customHeight="1">
      <c r="A7843" s="21"/>
      <c r="B7843" s="22"/>
      <c r="C7843" s="21"/>
      <c r="D7843" s="21"/>
      <c r="E7843" s="21"/>
      <c r="F7843" s="21"/>
      <c r="G7843" s="23"/>
      <c r="H7843" s="24" t="str">
        <f>IFERROR(VLOOKUP(B7843,material!A:D,3,0),"")</f>
        <v/>
      </c>
    </row>
    <row r="7844" ht="11.25" customHeight="1">
      <c r="A7844" s="21"/>
      <c r="B7844" s="22"/>
      <c r="C7844" s="21"/>
      <c r="D7844" s="21"/>
      <c r="E7844" s="21"/>
      <c r="F7844" s="21"/>
      <c r="G7844" s="23"/>
      <c r="H7844" s="24" t="str">
        <f>IFERROR(VLOOKUP(B7844,material!A:D,3,0),"")</f>
        <v/>
      </c>
    </row>
    <row r="7845" ht="11.25" customHeight="1">
      <c r="A7845" s="21"/>
      <c r="B7845" s="22"/>
      <c r="C7845" s="21"/>
      <c r="D7845" s="21"/>
      <c r="E7845" s="21"/>
      <c r="F7845" s="21"/>
      <c r="G7845" s="23"/>
      <c r="H7845" s="24" t="str">
        <f>IFERROR(VLOOKUP(B7845,material!A:D,3,0),"")</f>
        <v/>
      </c>
    </row>
    <row r="7846" ht="11.25" customHeight="1">
      <c r="A7846" s="21"/>
      <c r="B7846" s="22"/>
      <c r="C7846" s="21"/>
      <c r="D7846" s="21"/>
      <c r="E7846" s="21"/>
      <c r="F7846" s="21"/>
      <c r="G7846" s="23"/>
      <c r="H7846" s="24" t="str">
        <f>IFERROR(VLOOKUP(B7846,material!A:D,3,0),"")</f>
        <v/>
      </c>
    </row>
    <row r="7847" ht="11.25" customHeight="1">
      <c r="A7847" s="21"/>
      <c r="B7847" s="22"/>
      <c r="C7847" s="21"/>
      <c r="D7847" s="21"/>
      <c r="E7847" s="21"/>
      <c r="F7847" s="21"/>
      <c r="G7847" s="23"/>
      <c r="H7847" s="24" t="str">
        <f>IFERROR(VLOOKUP(B7847,material!A:D,3,0),"")</f>
        <v/>
      </c>
    </row>
    <row r="7848" ht="11.25" customHeight="1">
      <c r="A7848" s="21"/>
      <c r="B7848" s="22"/>
      <c r="C7848" s="21"/>
      <c r="D7848" s="21"/>
      <c r="E7848" s="21"/>
      <c r="F7848" s="21"/>
      <c r="G7848" s="23"/>
      <c r="H7848" s="24" t="str">
        <f>IFERROR(VLOOKUP(B7848,material!A:D,3,0),"")</f>
        <v/>
      </c>
    </row>
    <row r="7849" ht="11.25" customHeight="1">
      <c r="A7849" s="21"/>
      <c r="B7849" s="22"/>
      <c r="C7849" s="21"/>
      <c r="D7849" s="21"/>
      <c r="E7849" s="21"/>
      <c r="F7849" s="21"/>
      <c r="G7849" s="23"/>
      <c r="H7849" s="24" t="str">
        <f>IFERROR(VLOOKUP(B7849,material!A:D,3,0),"")</f>
        <v/>
      </c>
    </row>
    <row r="7850" ht="11.25" customHeight="1">
      <c r="A7850" s="21"/>
      <c r="B7850" s="22"/>
      <c r="C7850" s="21"/>
      <c r="D7850" s="21"/>
      <c r="E7850" s="21"/>
      <c r="F7850" s="21"/>
      <c r="G7850" s="23"/>
      <c r="H7850" s="24" t="str">
        <f>IFERROR(VLOOKUP(B7850,material!A:D,3,0),"")</f>
        <v/>
      </c>
    </row>
    <row r="7851" ht="11.25" customHeight="1">
      <c r="A7851" s="21"/>
      <c r="B7851" s="22"/>
      <c r="C7851" s="21"/>
      <c r="D7851" s="21"/>
      <c r="E7851" s="21"/>
      <c r="F7851" s="21"/>
      <c r="G7851" s="23"/>
      <c r="H7851" s="24" t="str">
        <f>IFERROR(VLOOKUP(B7851,material!A:D,3,0),"")</f>
        <v/>
      </c>
    </row>
    <row r="7852" ht="11.25" customHeight="1">
      <c r="A7852" s="21"/>
      <c r="B7852" s="22"/>
      <c r="C7852" s="21"/>
      <c r="D7852" s="21"/>
      <c r="E7852" s="21"/>
      <c r="F7852" s="21"/>
      <c r="G7852" s="23"/>
      <c r="H7852" s="24" t="str">
        <f>IFERROR(VLOOKUP(B7852,material!A:D,3,0),"")</f>
        <v/>
      </c>
    </row>
    <row r="7853" ht="11.25" customHeight="1">
      <c r="A7853" s="21"/>
      <c r="B7853" s="22"/>
      <c r="C7853" s="21"/>
      <c r="D7853" s="21"/>
      <c r="E7853" s="21"/>
      <c r="F7853" s="21"/>
      <c r="G7853" s="23"/>
      <c r="H7853" s="24" t="str">
        <f>IFERROR(VLOOKUP(B7853,material!A:D,3,0),"")</f>
        <v/>
      </c>
    </row>
    <row r="7854" ht="11.25" customHeight="1">
      <c r="A7854" s="21"/>
      <c r="B7854" s="22"/>
      <c r="C7854" s="21"/>
      <c r="D7854" s="21"/>
      <c r="E7854" s="21"/>
      <c r="F7854" s="21"/>
      <c r="G7854" s="23"/>
      <c r="H7854" s="24" t="str">
        <f>IFERROR(VLOOKUP(B7854,material!A:D,3,0),"")</f>
        <v/>
      </c>
    </row>
    <row r="7855" ht="11.25" customHeight="1">
      <c r="A7855" s="21"/>
      <c r="B7855" s="22"/>
      <c r="C7855" s="21"/>
      <c r="D7855" s="21"/>
      <c r="E7855" s="21"/>
      <c r="F7855" s="21"/>
      <c r="G7855" s="23"/>
      <c r="H7855" s="24" t="str">
        <f>IFERROR(VLOOKUP(B7855,material!A:D,3,0),"")</f>
        <v/>
      </c>
    </row>
    <row r="7856" ht="11.25" customHeight="1">
      <c r="A7856" s="21"/>
      <c r="B7856" s="22"/>
      <c r="C7856" s="21"/>
      <c r="D7856" s="21"/>
      <c r="E7856" s="21"/>
      <c r="F7856" s="21"/>
      <c r="G7856" s="23"/>
      <c r="H7856" s="24" t="str">
        <f>IFERROR(VLOOKUP(B7856,material!A:D,3,0),"")</f>
        <v/>
      </c>
    </row>
    <row r="7857" ht="11.25" customHeight="1">
      <c r="A7857" s="21"/>
      <c r="B7857" s="22"/>
      <c r="C7857" s="21"/>
      <c r="D7857" s="21"/>
      <c r="E7857" s="21"/>
      <c r="F7857" s="21"/>
      <c r="G7857" s="23"/>
      <c r="H7857" s="24" t="str">
        <f>IFERROR(VLOOKUP(B7857,material!A:D,3,0),"")</f>
        <v/>
      </c>
    </row>
    <row r="7858" ht="11.25" customHeight="1">
      <c r="A7858" s="21"/>
      <c r="B7858" s="22"/>
      <c r="C7858" s="21"/>
      <c r="D7858" s="21"/>
      <c r="E7858" s="21"/>
      <c r="F7858" s="21"/>
      <c r="G7858" s="23"/>
      <c r="H7858" s="24" t="str">
        <f>IFERROR(VLOOKUP(B7858,material!A:D,3,0),"")</f>
        <v/>
      </c>
    </row>
    <row r="7859" ht="11.25" customHeight="1">
      <c r="A7859" s="21"/>
      <c r="B7859" s="22"/>
      <c r="C7859" s="21"/>
      <c r="D7859" s="21"/>
      <c r="E7859" s="21"/>
      <c r="F7859" s="21"/>
      <c r="G7859" s="23"/>
      <c r="H7859" s="24" t="str">
        <f>IFERROR(VLOOKUP(B7859,material!A:D,3,0),"")</f>
        <v/>
      </c>
    </row>
    <row r="7860" ht="11.25" customHeight="1">
      <c r="A7860" s="21"/>
      <c r="B7860" s="22"/>
      <c r="C7860" s="21"/>
      <c r="D7860" s="21"/>
      <c r="E7860" s="21"/>
      <c r="F7860" s="21"/>
      <c r="G7860" s="23"/>
      <c r="H7860" s="24" t="str">
        <f>IFERROR(VLOOKUP(B7860,material!A:D,3,0),"")</f>
        <v/>
      </c>
    </row>
    <row r="7861" ht="11.25" customHeight="1">
      <c r="A7861" s="21"/>
      <c r="B7861" s="22"/>
      <c r="C7861" s="21"/>
      <c r="D7861" s="21"/>
      <c r="E7861" s="21"/>
      <c r="F7861" s="21"/>
      <c r="G7861" s="23"/>
      <c r="H7861" s="24" t="str">
        <f>IFERROR(VLOOKUP(B7861,material!A:D,3,0),"")</f>
        <v/>
      </c>
    </row>
    <row r="7862" ht="11.25" customHeight="1">
      <c r="A7862" s="21"/>
      <c r="B7862" s="22"/>
      <c r="C7862" s="21"/>
      <c r="D7862" s="21"/>
      <c r="E7862" s="21"/>
      <c r="F7862" s="21"/>
      <c r="G7862" s="23"/>
      <c r="H7862" s="24" t="str">
        <f>IFERROR(VLOOKUP(B7862,material!A:D,3,0),"")</f>
        <v/>
      </c>
    </row>
    <row r="7863" ht="11.25" customHeight="1">
      <c r="A7863" s="21"/>
      <c r="B7863" s="22"/>
      <c r="C7863" s="21"/>
      <c r="D7863" s="21"/>
      <c r="E7863" s="21"/>
      <c r="F7863" s="21"/>
      <c r="G7863" s="23"/>
      <c r="H7863" s="24" t="str">
        <f>IFERROR(VLOOKUP(B7863,material!A:D,3,0),"")</f>
        <v/>
      </c>
    </row>
    <row r="7864" ht="11.25" customHeight="1">
      <c r="A7864" s="21"/>
      <c r="B7864" s="22"/>
      <c r="C7864" s="21"/>
      <c r="D7864" s="21"/>
      <c r="E7864" s="21"/>
      <c r="F7864" s="21"/>
      <c r="G7864" s="23"/>
      <c r="H7864" s="24" t="str">
        <f>IFERROR(VLOOKUP(B7864,material!A:D,3,0),"")</f>
        <v/>
      </c>
    </row>
    <row r="7865" ht="11.25" customHeight="1">
      <c r="A7865" s="21"/>
      <c r="B7865" s="22"/>
      <c r="C7865" s="21"/>
      <c r="D7865" s="21"/>
      <c r="E7865" s="21"/>
      <c r="F7865" s="21"/>
      <c r="G7865" s="23"/>
      <c r="H7865" s="24" t="str">
        <f>IFERROR(VLOOKUP(B7865,material!A:D,3,0),"")</f>
        <v/>
      </c>
    </row>
    <row r="7866" ht="11.25" customHeight="1">
      <c r="A7866" s="21"/>
      <c r="B7866" s="22"/>
      <c r="C7866" s="21"/>
      <c r="D7866" s="21"/>
      <c r="E7866" s="21"/>
      <c r="F7866" s="21"/>
      <c r="G7866" s="23"/>
      <c r="H7866" s="24" t="str">
        <f>IFERROR(VLOOKUP(B7866,material!A:D,3,0),"")</f>
        <v/>
      </c>
    </row>
    <row r="7867" ht="11.25" customHeight="1">
      <c r="A7867" s="21"/>
      <c r="B7867" s="22"/>
      <c r="C7867" s="21"/>
      <c r="D7867" s="21"/>
      <c r="E7867" s="21"/>
      <c r="F7867" s="21"/>
      <c r="G7867" s="23"/>
      <c r="H7867" s="24" t="str">
        <f>IFERROR(VLOOKUP(B7867,material!A:D,3,0),"")</f>
        <v/>
      </c>
    </row>
    <row r="7868" ht="11.25" customHeight="1">
      <c r="A7868" s="21"/>
      <c r="B7868" s="22"/>
      <c r="C7868" s="21"/>
      <c r="D7868" s="21"/>
      <c r="E7868" s="21"/>
      <c r="F7868" s="21"/>
      <c r="G7868" s="23"/>
      <c r="H7868" s="24" t="str">
        <f>IFERROR(VLOOKUP(B7868,material!A:D,3,0),"")</f>
        <v/>
      </c>
    </row>
    <row r="7869" ht="11.25" customHeight="1">
      <c r="A7869" s="21"/>
      <c r="B7869" s="22"/>
      <c r="C7869" s="21"/>
      <c r="D7869" s="21"/>
      <c r="E7869" s="21"/>
      <c r="F7869" s="21"/>
      <c r="G7869" s="23"/>
      <c r="H7869" s="24" t="str">
        <f>IFERROR(VLOOKUP(B7869,material!A:D,3,0),"")</f>
        <v/>
      </c>
    </row>
    <row r="7870" ht="11.25" customHeight="1">
      <c r="A7870" s="21"/>
      <c r="B7870" s="22"/>
      <c r="C7870" s="21"/>
      <c r="D7870" s="21"/>
      <c r="E7870" s="21"/>
      <c r="F7870" s="21"/>
      <c r="G7870" s="23"/>
      <c r="H7870" s="24" t="str">
        <f>IFERROR(VLOOKUP(B7870,material!A:D,3,0),"")</f>
        <v/>
      </c>
    </row>
    <row r="7871" ht="11.25" customHeight="1">
      <c r="A7871" s="21"/>
      <c r="B7871" s="22"/>
      <c r="C7871" s="21"/>
      <c r="D7871" s="21"/>
      <c r="E7871" s="21"/>
      <c r="F7871" s="21"/>
      <c r="G7871" s="23"/>
      <c r="H7871" s="24" t="str">
        <f>IFERROR(VLOOKUP(B7871,material!A:D,3,0),"")</f>
        <v/>
      </c>
    </row>
    <row r="7872" ht="11.25" customHeight="1">
      <c r="A7872" s="21"/>
      <c r="B7872" s="22"/>
      <c r="C7872" s="21"/>
      <c r="D7872" s="21"/>
      <c r="E7872" s="21"/>
      <c r="F7872" s="21"/>
      <c r="G7872" s="23"/>
      <c r="H7872" s="24" t="str">
        <f>IFERROR(VLOOKUP(B7872,material!A:D,3,0),"")</f>
        <v/>
      </c>
    </row>
    <row r="7873" ht="11.25" customHeight="1">
      <c r="A7873" s="21"/>
      <c r="B7873" s="22"/>
      <c r="C7873" s="21"/>
      <c r="D7873" s="21"/>
      <c r="E7873" s="21"/>
      <c r="F7873" s="21"/>
      <c r="G7873" s="23"/>
      <c r="H7873" s="24" t="str">
        <f>IFERROR(VLOOKUP(B7873,material!A:D,3,0),"")</f>
        <v/>
      </c>
    </row>
    <row r="7874" ht="11.25" customHeight="1">
      <c r="A7874" s="21"/>
      <c r="B7874" s="22"/>
      <c r="C7874" s="21"/>
      <c r="D7874" s="21"/>
      <c r="E7874" s="21"/>
      <c r="F7874" s="21"/>
      <c r="G7874" s="23"/>
      <c r="H7874" s="24" t="str">
        <f>IFERROR(VLOOKUP(B7874,material!A:D,3,0),"")</f>
        <v/>
      </c>
    </row>
    <row r="7875" ht="11.25" customHeight="1">
      <c r="A7875" s="21"/>
      <c r="B7875" s="22"/>
      <c r="C7875" s="21"/>
      <c r="D7875" s="21"/>
      <c r="E7875" s="21"/>
      <c r="F7875" s="21"/>
      <c r="G7875" s="23"/>
      <c r="H7875" s="24" t="str">
        <f>IFERROR(VLOOKUP(B7875,material!A:D,3,0),"")</f>
        <v/>
      </c>
    </row>
    <row r="7876" ht="11.25" customHeight="1">
      <c r="A7876" s="21"/>
      <c r="B7876" s="22"/>
      <c r="C7876" s="21"/>
      <c r="D7876" s="21"/>
      <c r="E7876" s="21"/>
      <c r="F7876" s="21"/>
      <c r="G7876" s="23"/>
      <c r="H7876" s="24" t="str">
        <f>IFERROR(VLOOKUP(B7876,material!A:D,3,0),"")</f>
        <v/>
      </c>
    </row>
    <row r="7877" ht="11.25" customHeight="1">
      <c r="A7877" s="21"/>
      <c r="B7877" s="22"/>
      <c r="C7877" s="21"/>
      <c r="D7877" s="21"/>
      <c r="E7877" s="21"/>
      <c r="F7877" s="21"/>
      <c r="G7877" s="23"/>
      <c r="H7877" s="24" t="str">
        <f>IFERROR(VLOOKUP(B7877,material!A:D,3,0),"")</f>
        <v/>
      </c>
    </row>
    <row r="7878" ht="11.25" customHeight="1">
      <c r="A7878" s="21"/>
      <c r="B7878" s="22"/>
      <c r="C7878" s="21"/>
      <c r="D7878" s="21"/>
      <c r="E7878" s="21"/>
      <c r="F7878" s="21"/>
      <c r="G7878" s="23"/>
      <c r="H7878" s="24" t="str">
        <f>IFERROR(VLOOKUP(B7878,material!A:D,3,0),"")</f>
        <v/>
      </c>
    </row>
    <row r="7879" ht="11.25" customHeight="1">
      <c r="A7879" s="21"/>
      <c r="B7879" s="22"/>
      <c r="C7879" s="21"/>
      <c r="D7879" s="21"/>
      <c r="E7879" s="21"/>
      <c r="F7879" s="21"/>
      <c r="G7879" s="23"/>
      <c r="H7879" s="24" t="str">
        <f>IFERROR(VLOOKUP(B7879,material!A:D,3,0),"")</f>
        <v/>
      </c>
    </row>
    <row r="7880" ht="11.25" customHeight="1">
      <c r="A7880" s="21"/>
      <c r="B7880" s="22"/>
      <c r="C7880" s="21"/>
      <c r="D7880" s="21"/>
      <c r="E7880" s="21"/>
      <c r="F7880" s="21"/>
      <c r="G7880" s="23"/>
      <c r="H7880" s="24" t="str">
        <f>IFERROR(VLOOKUP(B7880,material!A:D,3,0),"")</f>
        <v/>
      </c>
    </row>
    <row r="7881" ht="11.25" customHeight="1">
      <c r="A7881" s="21"/>
      <c r="B7881" s="22"/>
      <c r="C7881" s="21"/>
      <c r="D7881" s="21"/>
      <c r="E7881" s="21"/>
      <c r="F7881" s="21"/>
      <c r="G7881" s="23"/>
      <c r="H7881" s="24" t="str">
        <f>IFERROR(VLOOKUP(B7881,material!A:D,3,0),"")</f>
        <v/>
      </c>
    </row>
    <row r="7882" ht="11.25" customHeight="1">
      <c r="A7882" s="21"/>
      <c r="B7882" s="22"/>
      <c r="C7882" s="21"/>
      <c r="D7882" s="21"/>
      <c r="E7882" s="21"/>
      <c r="F7882" s="21"/>
      <c r="G7882" s="23"/>
      <c r="H7882" s="24" t="str">
        <f>IFERROR(VLOOKUP(B7882,material!A:D,3,0),"")</f>
        <v/>
      </c>
    </row>
    <row r="7883" ht="11.25" customHeight="1">
      <c r="A7883" s="21"/>
      <c r="B7883" s="22"/>
      <c r="C7883" s="21"/>
      <c r="D7883" s="21"/>
      <c r="E7883" s="21"/>
      <c r="F7883" s="21"/>
      <c r="G7883" s="23"/>
      <c r="H7883" s="24" t="str">
        <f>IFERROR(VLOOKUP(B7883,material!A:D,3,0),"")</f>
        <v/>
      </c>
    </row>
    <row r="7884" ht="11.25" customHeight="1">
      <c r="A7884" s="21"/>
      <c r="B7884" s="22"/>
      <c r="C7884" s="21"/>
      <c r="D7884" s="21"/>
      <c r="E7884" s="21"/>
      <c r="F7884" s="21"/>
      <c r="G7884" s="23"/>
      <c r="H7884" s="24" t="str">
        <f>IFERROR(VLOOKUP(B7884,material!A:D,3,0),"")</f>
        <v/>
      </c>
    </row>
    <row r="7885" ht="11.25" customHeight="1">
      <c r="A7885" s="21"/>
      <c r="B7885" s="22"/>
      <c r="C7885" s="21"/>
      <c r="D7885" s="21"/>
      <c r="E7885" s="21"/>
      <c r="F7885" s="21"/>
      <c r="G7885" s="23"/>
      <c r="H7885" s="24" t="str">
        <f>IFERROR(VLOOKUP(B7885,material!A:D,3,0),"")</f>
        <v/>
      </c>
    </row>
    <row r="7886" ht="11.25" customHeight="1">
      <c r="A7886" s="21"/>
      <c r="B7886" s="22"/>
      <c r="C7886" s="21"/>
      <c r="D7886" s="21"/>
      <c r="E7886" s="21"/>
      <c r="F7886" s="21"/>
      <c r="G7886" s="23"/>
      <c r="H7886" s="24" t="str">
        <f>IFERROR(VLOOKUP(B7886,material!A:D,3,0),"")</f>
        <v/>
      </c>
    </row>
    <row r="7887" ht="11.25" customHeight="1">
      <c r="A7887" s="21"/>
      <c r="B7887" s="22"/>
      <c r="C7887" s="21"/>
      <c r="D7887" s="21"/>
      <c r="E7887" s="21"/>
      <c r="F7887" s="21"/>
      <c r="G7887" s="23"/>
      <c r="H7887" s="24" t="str">
        <f>IFERROR(VLOOKUP(B7887,material!A:D,3,0),"")</f>
        <v/>
      </c>
    </row>
    <row r="7888" ht="11.25" customHeight="1">
      <c r="A7888" s="21"/>
      <c r="B7888" s="22"/>
      <c r="C7888" s="21"/>
      <c r="D7888" s="21"/>
      <c r="E7888" s="21"/>
      <c r="F7888" s="21"/>
      <c r="G7888" s="23"/>
      <c r="H7888" s="24" t="str">
        <f>IFERROR(VLOOKUP(B7888,material!A:D,3,0),"")</f>
        <v/>
      </c>
    </row>
    <row r="7889" ht="11.25" customHeight="1">
      <c r="A7889" s="21"/>
      <c r="B7889" s="22"/>
      <c r="C7889" s="21"/>
      <c r="D7889" s="21"/>
      <c r="E7889" s="21"/>
      <c r="F7889" s="21"/>
      <c r="G7889" s="23"/>
      <c r="H7889" s="24" t="str">
        <f>IFERROR(VLOOKUP(B7889,material!A:D,3,0),"")</f>
        <v/>
      </c>
    </row>
    <row r="7890" ht="11.25" customHeight="1">
      <c r="A7890" s="21"/>
      <c r="B7890" s="22"/>
      <c r="C7890" s="21"/>
      <c r="D7890" s="21"/>
      <c r="E7890" s="21"/>
      <c r="F7890" s="21"/>
      <c r="G7890" s="23"/>
      <c r="H7890" s="24" t="str">
        <f>IFERROR(VLOOKUP(B7890,material!A:D,3,0),"")</f>
        <v/>
      </c>
    </row>
    <row r="7891" ht="11.25" customHeight="1">
      <c r="A7891" s="21"/>
      <c r="B7891" s="22"/>
      <c r="C7891" s="21"/>
      <c r="D7891" s="21"/>
      <c r="E7891" s="21"/>
      <c r="F7891" s="21"/>
      <c r="G7891" s="23"/>
      <c r="H7891" s="24" t="str">
        <f>IFERROR(VLOOKUP(B7891,material!A:D,3,0),"")</f>
        <v/>
      </c>
    </row>
    <row r="7892" ht="11.25" customHeight="1">
      <c r="A7892" s="21"/>
      <c r="B7892" s="22"/>
      <c r="C7892" s="21"/>
      <c r="D7892" s="21"/>
      <c r="E7892" s="21"/>
      <c r="F7892" s="21"/>
      <c r="G7892" s="23"/>
      <c r="H7892" s="24" t="str">
        <f>IFERROR(VLOOKUP(B7892,material!A:D,3,0),"")</f>
        <v/>
      </c>
    </row>
    <row r="7893" ht="11.25" customHeight="1">
      <c r="A7893" s="21"/>
      <c r="B7893" s="22"/>
      <c r="C7893" s="21"/>
      <c r="D7893" s="21"/>
      <c r="E7893" s="21"/>
      <c r="F7893" s="21"/>
      <c r="G7893" s="23"/>
      <c r="H7893" s="24" t="str">
        <f>IFERROR(VLOOKUP(B7893,material!A:D,3,0),"")</f>
        <v/>
      </c>
    </row>
    <row r="7894" ht="11.25" customHeight="1">
      <c r="A7894" s="21"/>
      <c r="B7894" s="22"/>
      <c r="C7894" s="21"/>
      <c r="D7894" s="21"/>
      <c r="E7894" s="21"/>
      <c r="F7894" s="21"/>
      <c r="G7894" s="23"/>
      <c r="H7894" s="24" t="str">
        <f>IFERROR(VLOOKUP(B7894,material!A:D,3,0),"")</f>
        <v/>
      </c>
    </row>
    <row r="7895" ht="11.25" customHeight="1">
      <c r="A7895" s="21"/>
      <c r="B7895" s="22"/>
      <c r="C7895" s="21"/>
      <c r="D7895" s="21"/>
      <c r="E7895" s="21"/>
      <c r="F7895" s="21"/>
      <c r="G7895" s="23"/>
      <c r="H7895" s="24" t="str">
        <f>IFERROR(VLOOKUP(B7895,material!A:D,3,0),"")</f>
        <v/>
      </c>
    </row>
    <row r="7896" ht="11.25" customHeight="1">
      <c r="A7896" s="21"/>
      <c r="B7896" s="22"/>
      <c r="C7896" s="21"/>
      <c r="D7896" s="21"/>
      <c r="E7896" s="21"/>
      <c r="F7896" s="21"/>
      <c r="G7896" s="23"/>
      <c r="H7896" s="24" t="str">
        <f>IFERROR(VLOOKUP(B7896,material!A:D,3,0),"")</f>
        <v/>
      </c>
    </row>
    <row r="7897" ht="11.25" customHeight="1">
      <c r="A7897" s="21"/>
      <c r="B7897" s="22"/>
      <c r="C7897" s="21"/>
      <c r="D7897" s="21"/>
      <c r="E7897" s="21"/>
      <c r="F7897" s="21"/>
      <c r="G7897" s="23"/>
      <c r="H7897" s="24" t="str">
        <f>IFERROR(VLOOKUP(B7897,material!A:D,3,0),"")</f>
        <v/>
      </c>
    </row>
    <row r="7898" ht="11.25" customHeight="1">
      <c r="A7898" s="21"/>
      <c r="B7898" s="22"/>
      <c r="C7898" s="21"/>
      <c r="D7898" s="21"/>
      <c r="E7898" s="21"/>
      <c r="F7898" s="21"/>
      <c r="G7898" s="23"/>
      <c r="H7898" s="24" t="str">
        <f>IFERROR(VLOOKUP(B7898,material!A:D,3,0),"")</f>
        <v/>
      </c>
    </row>
    <row r="7899" ht="11.25" customHeight="1">
      <c r="A7899" s="21"/>
      <c r="B7899" s="22"/>
      <c r="C7899" s="21"/>
      <c r="D7899" s="21"/>
      <c r="E7899" s="21"/>
      <c r="F7899" s="21"/>
      <c r="G7899" s="23"/>
      <c r="H7899" s="24" t="str">
        <f>IFERROR(VLOOKUP(B7899,material!A:D,3,0),"")</f>
        <v/>
      </c>
    </row>
    <row r="7900" ht="11.25" customHeight="1">
      <c r="A7900" s="21"/>
      <c r="B7900" s="22"/>
      <c r="C7900" s="21"/>
      <c r="D7900" s="21"/>
      <c r="E7900" s="21"/>
      <c r="F7900" s="21"/>
      <c r="G7900" s="23"/>
      <c r="H7900" s="24" t="str">
        <f>IFERROR(VLOOKUP(B7900,material!A:D,3,0),"")</f>
        <v/>
      </c>
    </row>
    <row r="7901" ht="11.25" customHeight="1">
      <c r="A7901" s="21"/>
      <c r="B7901" s="22"/>
      <c r="C7901" s="21"/>
      <c r="D7901" s="21"/>
      <c r="E7901" s="21"/>
      <c r="F7901" s="21"/>
      <c r="G7901" s="23"/>
      <c r="H7901" s="24" t="str">
        <f>IFERROR(VLOOKUP(B7901,material!A:D,3,0),"")</f>
        <v/>
      </c>
    </row>
    <row r="7902" ht="11.25" customHeight="1">
      <c r="A7902" s="21"/>
      <c r="B7902" s="22"/>
      <c r="C7902" s="21"/>
      <c r="D7902" s="21"/>
      <c r="E7902" s="21"/>
      <c r="F7902" s="21"/>
      <c r="G7902" s="23"/>
      <c r="H7902" s="24" t="str">
        <f>IFERROR(VLOOKUP(B7902,material!A:D,3,0),"")</f>
        <v/>
      </c>
    </row>
    <row r="7903" ht="11.25" customHeight="1">
      <c r="A7903" s="21"/>
      <c r="B7903" s="22"/>
      <c r="C7903" s="21"/>
      <c r="D7903" s="21"/>
      <c r="E7903" s="21"/>
      <c r="F7903" s="21"/>
      <c r="G7903" s="23"/>
      <c r="H7903" s="24" t="str">
        <f>IFERROR(VLOOKUP(B7903,material!A:D,3,0),"")</f>
        <v/>
      </c>
    </row>
    <row r="7904" ht="11.25" customHeight="1">
      <c r="A7904" s="21"/>
      <c r="B7904" s="22"/>
      <c r="C7904" s="21"/>
      <c r="D7904" s="21"/>
      <c r="E7904" s="21"/>
      <c r="F7904" s="21"/>
      <c r="G7904" s="23"/>
      <c r="H7904" s="24" t="str">
        <f>IFERROR(VLOOKUP(B7904,material!A:D,3,0),"")</f>
        <v/>
      </c>
    </row>
    <row r="7905" ht="11.25" customHeight="1">
      <c r="A7905" s="21"/>
      <c r="B7905" s="22"/>
      <c r="C7905" s="21"/>
      <c r="D7905" s="21"/>
      <c r="E7905" s="21"/>
      <c r="F7905" s="21"/>
      <c r="G7905" s="23"/>
      <c r="H7905" s="24" t="str">
        <f>IFERROR(VLOOKUP(B7905,material!A:D,3,0),"")</f>
        <v/>
      </c>
    </row>
    <row r="7906" ht="11.25" customHeight="1">
      <c r="A7906" s="21"/>
      <c r="B7906" s="22"/>
      <c r="C7906" s="21"/>
      <c r="D7906" s="21"/>
      <c r="E7906" s="21"/>
      <c r="F7906" s="21"/>
      <c r="G7906" s="23"/>
      <c r="H7906" s="24" t="str">
        <f>IFERROR(VLOOKUP(B7906,material!A:D,3,0),"")</f>
        <v/>
      </c>
    </row>
    <row r="7907" ht="11.25" customHeight="1">
      <c r="A7907" s="21"/>
      <c r="B7907" s="22"/>
      <c r="C7907" s="21"/>
      <c r="D7907" s="21"/>
      <c r="E7907" s="21"/>
      <c r="F7907" s="21"/>
      <c r="G7907" s="23"/>
      <c r="H7907" s="24" t="str">
        <f>IFERROR(VLOOKUP(B7907,material!A:D,3,0),"")</f>
        <v/>
      </c>
    </row>
    <row r="7908" ht="11.25" customHeight="1">
      <c r="A7908" s="21"/>
      <c r="B7908" s="22"/>
      <c r="C7908" s="21"/>
      <c r="D7908" s="21"/>
      <c r="E7908" s="21"/>
      <c r="F7908" s="21"/>
      <c r="G7908" s="23"/>
      <c r="H7908" s="24" t="str">
        <f>IFERROR(VLOOKUP(B7908,material!A:D,3,0),"")</f>
        <v/>
      </c>
    </row>
    <row r="7909" ht="11.25" customHeight="1">
      <c r="A7909" s="21"/>
      <c r="B7909" s="22"/>
      <c r="C7909" s="21"/>
      <c r="D7909" s="21"/>
      <c r="E7909" s="21"/>
      <c r="F7909" s="21"/>
      <c r="G7909" s="23"/>
      <c r="H7909" s="24" t="str">
        <f>IFERROR(VLOOKUP(B7909,material!A:D,3,0),"")</f>
        <v/>
      </c>
    </row>
    <row r="7910" ht="11.25" customHeight="1">
      <c r="A7910" s="21"/>
      <c r="B7910" s="22"/>
      <c r="C7910" s="21"/>
      <c r="D7910" s="21"/>
      <c r="E7910" s="21"/>
      <c r="F7910" s="21"/>
      <c r="G7910" s="23"/>
      <c r="H7910" s="24" t="str">
        <f>IFERROR(VLOOKUP(B7910,material!A:D,3,0),"")</f>
        <v/>
      </c>
    </row>
    <row r="7911" ht="11.25" customHeight="1">
      <c r="A7911" s="21"/>
      <c r="B7911" s="22"/>
      <c r="C7911" s="21"/>
      <c r="D7911" s="21"/>
      <c r="E7911" s="21"/>
      <c r="F7911" s="21"/>
      <c r="G7911" s="23"/>
      <c r="H7911" s="24" t="str">
        <f>IFERROR(VLOOKUP(B7911,material!A:D,3,0),"")</f>
        <v/>
      </c>
    </row>
    <row r="7912" ht="11.25" customHeight="1">
      <c r="A7912" s="21"/>
      <c r="B7912" s="22"/>
      <c r="C7912" s="21"/>
      <c r="D7912" s="21"/>
      <c r="E7912" s="21"/>
      <c r="F7912" s="21"/>
      <c r="G7912" s="23"/>
      <c r="H7912" s="24" t="str">
        <f>IFERROR(VLOOKUP(B7912,material!A:D,3,0),"")</f>
        <v/>
      </c>
    </row>
    <row r="7913" ht="11.25" customHeight="1">
      <c r="A7913" s="21"/>
      <c r="B7913" s="22"/>
      <c r="C7913" s="21"/>
      <c r="D7913" s="21"/>
      <c r="E7913" s="21"/>
      <c r="F7913" s="21"/>
      <c r="G7913" s="23"/>
      <c r="H7913" s="24" t="str">
        <f>IFERROR(VLOOKUP(B7913,material!A:D,3,0),"")</f>
        <v/>
      </c>
    </row>
    <row r="7914" ht="11.25" customHeight="1">
      <c r="A7914" s="21"/>
      <c r="B7914" s="22"/>
      <c r="C7914" s="21"/>
      <c r="D7914" s="21"/>
      <c r="E7914" s="21"/>
      <c r="F7914" s="21"/>
      <c r="G7914" s="23"/>
      <c r="H7914" s="24" t="str">
        <f>IFERROR(VLOOKUP(B7914,material!A:D,3,0),"")</f>
        <v/>
      </c>
    </row>
    <row r="7915" ht="11.25" customHeight="1">
      <c r="A7915" s="21"/>
      <c r="B7915" s="22"/>
      <c r="C7915" s="21"/>
      <c r="D7915" s="21"/>
      <c r="E7915" s="21"/>
      <c r="F7915" s="21"/>
      <c r="G7915" s="23"/>
      <c r="H7915" s="24" t="str">
        <f>IFERROR(VLOOKUP(B7915,material!A:D,3,0),"")</f>
        <v/>
      </c>
    </row>
    <row r="7916" ht="11.25" customHeight="1">
      <c r="A7916" s="21"/>
      <c r="B7916" s="22"/>
      <c r="C7916" s="21"/>
      <c r="D7916" s="21"/>
      <c r="E7916" s="21"/>
      <c r="F7916" s="21"/>
      <c r="G7916" s="23"/>
      <c r="H7916" s="24" t="str">
        <f>IFERROR(VLOOKUP(B7916,material!A:D,3,0),"")</f>
        <v/>
      </c>
    </row>
    <row r="7917" ht="11.25" customHeight="1">
      <c r="A7917" s="21"/>
      <c r="B7917" s="22"/>
      <c r="C7917" s="21"/>
      <c r="D7917" s="21"/>
      <c r="E7917" s="21"/>
      <c r="F7917" s="21"/>
      <c r="G7917" s="23"/>
      <c r="H7917" s="24" t="str">
        <f>IFERROR(VLOOKUP(B7917,material!A:D,3,0),"")</f>
        <v/>
      </c>
    </row>
    <row r="7918" ht="11.25" customHeight="1">
      <c r="A7918" s="21"/>
      <c r="B7918" s="22"/>
      <c r="C7918" s="21"/>
      <c r="D7918" s="21"/>
      <c r="E7918" s="21"/>
      <c r="F7918" s="21"/>
      <c r="G7918" s="23"/>
      <c r="H7918" s="24" t="str">
        <f>IFERROR(VLOOKUP(B7918,material!A:D,3,0),"")</f>
        <v/>
      </c>
    </row>
    <row r="7919" ht="11.25" customHeight="1">
      <c r="A7919" s="21"/>
      <c r="B7919" s="22"/>
      <c r="C7919" s="21"/>
      <c r="D7919" s="21"/>
      <c r="E7919" s="21"/>
      <c r="F7919" s="21"/>
      <c r="G7919" s="23"/>
      <c r="H7919" s="24" t="str">
        <f>IFERROR(VLOOKUP(B7919,material!A:D,3,0),"")</f>
        <v/>
      </c>
    </row>
    <row r="7920" ht="11.25" customHeight="1">
      <c r="A7920" s="21"/>
      <c r="B7920" s="22"/>
      <c r="C7920" s="21"/>
      <c r="D7920" s="21"/>
      <c r="E7920" s="21"/>
      <c r="F7920" s="21"/>
      <c r="G7920" s="23"/>
      <c r="H7920" s="24" t="str">
        <f>IFERROR(VLOOKUP(B7920,material!A:D,3,0),"")</f>
        <v/>
      </c>
    </row>
    <row r="7921" ht="11.25" customHeight="1">
      <c r="A7921" s="21"/>
      <c r="B7921" s="22"/>
      <c r="C7921" s="21"/>
      <c r="D7921" s="21"/>
      <c r="E7921" s="21"/>
      <c r="F7921" s="21"/>
      <c r="G7921" s="23"/>
      <c r="H7921" s="24" t="str">
        <f>IFERROR(VLOOKUP(B7921,material!A:D,3,0),"")</f>
        <v/>
      </c>
    </row>
    <row r="7922" ht="11.25" customHeight="1">
      <c r="A7922" s="21"/>
      <c r="B7922" s="22"/>
      <c r="C7922" s="21"/>
      <c r="D7922" s="21"/>
      <c r="E7922" s="21"/>
      <c r="F7922" s="21"/>
      <c r="G7922" s="23"/>
      <c r="H7922" s="24" t="str">
        <f>IFERROR(VLOOKUP(B7922,material!A:D,3,0),"")</f>
        <v/>
      </c>
    </row>
    <row r="7923" ht="11.25" customHeight="1">
      <c r="A7923" s="21"/>
      <c r="B7923" s="22"/>
      <c r="C7923" s="21"/>
      <c r="D7923" s="21"/>
      <c r="E7923" s="21"/>
      <c r="F7923" s="21"/>
      <c r="G7923" s="23"/>
      <c r="H7923" s="24" t="str">
        <f>IFERROR(VLOOKUP(B7923,material!A:D,3,0),"")</f>
        <v/>
      </c>
    </row>
    <row r="7924" ht="11.25" customHeight="1">
      <c r="A7924" s="21"/>
      <c r="B7924" s="22"/>
      <c r="C7924" s="21"/>
      <c r="D7924" s="21"/>
      <c r="E7924" s="21"/>
      <c r="F7924" s="21"/>
      <c r="G7924" s="23"/>
      <c r="H7924" s="24" t="str">
        <f>IFERROR(VLOOKUP(B7924,material!A:D,3,0),"")</f>
        <v/>
      </c>
    </row>
    <row r="7925" ht="11.25" customHeight="1">
      <c r="A7925" s="21"/>
      <c r="B7925" s="22"/>
      <c r="C7925" s="21"/>
      <c r="D7925" s="21"/>
      <c r="E7925" s="21"/>
      <c r="F7925" s="21"/>
      <c r="G7925" s="23"/>
      <c r="H7925" s="24" t="str">
        <f>IFERROR(VLOOKUP(B7925,material!A:D,3,0),"")</f>
        <v/>
      </c>
    </row>
    <row r="7926" ht="11.25" customHeight="1">
      <c r="A7926" s="21"/>
      <c r="B7926" s="22"/>
      <c r="C7926" s="21"/>
      <c r="D7926" s="21"/>
      <c r="E7926" s="21"/>
      <c r="F7926" s="21"/>
      <c r="G7926" s="23"/>
      <c r="H7926" s="24" t="str">
        <f>IFERROR(VLOOKUP(B7926,material!A:D,3,0),"")</f>
        <v/>
      </c>
    </row>
    <row r="7927" ht="11.25" customHeight="1">
      <c r="A7927" s="21"/>
      <c r="B7927" s="22"/>
      <c r="C7927" s="21"/>
      <c r="D7927" s="21"/>
      <c r="E7927" s="21"/>
      <c r="F7927" s="21"/>
      <c r="G7927" s="23"/>
      <c r="H7927" s="24" t="str">
        <f>IFERROR(VLOOKUP(B7927,material!A:D,3,0),"")</f>
        <v/>
      </c>
    </row>
    <row r="7928" ht="11.25" customHeight="1">
      <c r="A7928" s="21"/>
      <c r="B7928" s="22"/>
      <c r="C7928" s="21"/>
      <c r="D7928" s="21"/>
      <c r="E7928" s="21"/>
      <c r="F7928" s="21"/>
      <c r="G7928" s="23"/>
      <c r="H7928" s="24" t="str">
        <f>IFERROR(VLOOKUP(B7928,material!A:D,3,0),"")</f>
        <v/>
      </c>
    </row>
    <row r="7929" ht="11.25" customHeight="1">
      <c r="A7929" s="21"/>
      <c r="B7929" s="22"/>
      <c r="C7929" s="21"/>
      <c r="D7929" s="21"/>
      <c r="E7929" s="21"/>
      <c r="F7929" s="21"/>
      <c r="G7929" s="23"/>
      <c r="H7929" s="24" t="str">
        <f>IFERROR(VLOOKUP(B7929,material!A:D,3,0),"")</f>
        <v/>
      </c>
    </row>
    <row r="7930" ht="11.25" customHeight="1">
      <c r="A7930" s="21"/>
      <c r="B7930" s="22"/>
      <c r="C7930" s="21"/>
      <c r="D7930" s="21"/>
      <c r="E7930" s="21"/>
      <c r="F7930" s="21"/>
      <c r="G7930" s="23"/>
      <c r="H7930" s="24" t="str">
        <f>IFERROR(VLOOKUP(B7930,material!A:D,3,0),"")</f>
        <v/>
      </c>
    </row>
    <row r="7931" ht="11.25" customHeight="1">
      <c r="A7931" s="21"/>
      <c r="B7931" s="22"/>
      <c r="C7931" s="21"/>
      <c r="D7931" s="21"/>
      <c r="E7931" s="21"/>
      <c r="F7931" s="21"/>
      <c r="G7931" s="23"/>
      <c r="H7931" s="24" t="str">
        <f>IFERROR(VLOOKUP(B7931,material!A:D,3,0),"")</f>
        <v/>
      </c>
    </row>
    <row r="7932" ht="11.25" customHeight="1">
      <c r="A7932" s="21"/>
      <c r="B7932" s="22"/>
      <c r="C7932" s="21"/>
      <c r="D7932" s="21"/>
      <c r="E7932" s="21"/>
      <c r="F7932" s="21"/>
      <c r="G7932" s="23"/>
      <c r="H7932" s="24" t="str">
        <f>IFERROR(VLOOKUP(B7932,material!A:D,3,0),"")</f>
        <v/>
      </c>
    </row>
    <row r="7933" ht="11.25" customHeight="1">
      <c r="A7933" s="21"/>
      <c r="B7933" s="22"/>
      <c r="C7933" s="21"/>
      <c r="D7933" s="21"/>
      <c r="E7933" s="21"/>
      <c r="F7933" s="21"/>
      <c r="G7933" s="23"/>
      <c r="H7933" s="24" t="str">
        <f>IFERROR(VLOOKUP(B7933,material!A:D,3,0),"")</f>
        <v/>
      </c>
    </row>
    <row r="7934" ht="11.25" customHeight="1">
      <c r="A7934" s="21"/>
      <c r="B7934" s="22"/>
      <c r="C7934" s="21"/>
      <c r="D7934" s="21"/>
      <c r="E7934" s="21"/>
      <c r="F7934" s="21"/>
      <c r="G7934" s="23"/>
      <c r="H7934" s="24" t="str">
        <f>IFERROR(VLOOKUP(B7934,material!A:D,3,0),"")</f>
        <v/>
      </c>
    </row>
    <row r="7935" ht="11.25" customHeight="1">
      <c r="A7935" s="21"/>
      <c r="B7935" s="22"/>
      <c r="C7935" s="21"/>
      <c r="D7935" s="21"/>
      <c r="E7935" s="21"/>
      <c r="F7935" s="21"/>
      <c r="G7935" s="23"/>
      <c r="H7935" s="24" t="str">
        <f>IFERROR(VLOOKUP(B7935,material!A:D,3,0),"")</f>
        <v/>
      </c>
    </row>
    <row r="7936" ht="11.25" customHeight="1">
      <c r="A7936" s="21"/>
      <c r="B7936" s="22"/>
      <c r="C7936" s="21"/>
      <c r="D7936" s="21"/>
      <c r="E7936" s="21"/>
      <c r="F7936" s="21"/>
      <c r="G7936" s="23"/>
      <c r="H7936" s="24" t="str">
        <f>IFERROR(VLOOKUP(B7936,material!A:D,3,0),"")</f>
        <v/>
      </c>
    </row>
    <row r="7937" ht="11.25" customHeight="1">
      <c r="A7937" s="21"/>
      <c r="B7937" s="22"/>
      <c r="C7937" s="21"/>
      <c r="D7937" s="21"/>
      <c r="E7937" s="21"/>
      <c r="F7937" s="21"/>
      <c r="G7937" s="23"/>
      <c r="H7937" s="24" t="str">
        <f>IFERROR(VLOOKUP(B7937,material!A:D,3,0),"")</f>
        <v/>
      </c>
    </row>
    <row r="7938" ht="11.25" customHeight="1">
      <c r="A7938" s="21"/>
      <c r="B7938" s="22"/>
      <c r="C7938" s="21"/>
      <c r="D7938" s="21"/>
      <c r="E7938" s="21"/>
      <c r="F7938" s="21"/>
      <c r="G7938" s="23"/>
      <c r="H7938" s="24" t="str">
        <f>IFERROR(VLOOKUP(B7938,material!A:D,3,0),"")</f>
        <v/>
      </c>
    </row>
    <row r="7939" ht="11.25" customHeight="1">
      <c r="A7939" s="21"/>
      <c r="B7939" s="22"/>
      <c r="C7939" s="21"/>
      <c r="D7939" s="21"/>
      <c r="E7939" s="21"/>
      <c r="F7939" s="21"/>
      <c r="G7939" s="23"/>
      <c r="H7939" s="24" t="str">
        <f>IFERROR(VLOOKUP(B7939,material!A:D,3,0),"")</f>
        <v/>
      </c>
    </row>
    <row r="7940" ht="11.25" customHeight="1">
      <c r="A7940" s="21"/>
      <c r="B7940" s="22"/>
      <c r="C7940" s="21"/>
      <c r="D7940" s="21"/>
      <c r="E7940" s="21"/>
      <c r="F7940" s="21"/>
      <c r="G7940" s="23"/>
      <c r="H7940" s="24" t="str">
        <f>IFERROR(VLOOKUP(B7940,material!A:D,3,0),"")</f>
        <v/>
      </c>
    </row>
    <row r="7941" ht="11.25" customHeight="1">
      <c r="A7941" s="21"/>
      <c r="B7941" s="22"/>
      <c r="C7941" s="21"/>
      <c r="D7941" s="21"/>
      <c r="E7941" s="21"/>
      <c r="F7941" s="21"/>
      <c r="G7941" s="23"/>
      <c r="H7941" s="24" t="str">
        <f>IFERROR(VLOOKUP(B7941,material!A:D,3,0),"")</f>
        <v/>
      </c>
    </row>
    <row r="7942" ht="11.25" customHeight="1">
      <c r="A7942" s="21"/>
      <c r="B7942" s="22"/>
      <c r="C7942" s="21"/>
      <c r="D7942" s="21"/>
      <c r="E7942" s="21"/>
      <c r="F7942" s="21"/>
      <c r="G7942" s="23"/>
      <c r="H7942" s="24" t="str">
        <f>IFERROR(VLOOKUP(B7942,material!A:D,3,0),"")</f>
        <v/>
      </c>
    </row>
    <row r="7943" ht="11.25" customHeight="1">
      <c r="A7943" s="21"/>
      <c r="B7943" s="22"/>
      <c r="C7943" s="21"/>
      <c r="D7943" s="21"/>
      <c r="E7943" s="21"/>
      <c r="F7943" s="21"/>
      <c r="G7943" s="23"/>
      <c r="H7943" s="24" t="str">
        <f>IFERROR(VLOOKUP(B7943,material!A:D,3,0),"")</f>
        <v/>
      </c>
    </row>
    <row r="7944" ht="11.25" customHeight="1">
      <c r="A7944" s="21"/>
      <c r="B7944" s="22"/>
      <c r="C7944" s="21"/>
      <c r="D7944" s="21"/>
      <c r="E7944" s="21"/>
      <c r="F7944" s="21"/>
      <c r="G7944" s="23"/>
      <c r="H7944" s="24" t="str">
        <f>IFERROR(VLOOKUP(B7944,material!A:D,3,0),"")</f>
        <v/>
      </c>
    </row>
    <row r="7945" ht="11.25" customHeight="1">
      <c r="A7945" s="21"/>
      <c r="B7945" s="22"/>
      <c r="C7945" s="21"/>
      <c r="D7945" s="21"/>
      <c r="E7945" s="21"/>
      <c r="F7945" s="21"/>
      <c r="G7945" s="23"/>
      <c r="H7945" s="24" t="str">
        <f>IFERROR(VLOOKUP(B7945,material!A:D,3,0),"")</f>
        <v/>
      </c>
    </row>
    <row r="7946" ht="11.25" customHeight="1">
      <c r="A7946" s="21"/>
      <c r="B7946" s="22"/>
      <c r="C7946" s="21"/>
      <c r="D7946" s="21"/>
      <c r="E7946" s="21"/>
      <c r="F7946" s="21"/>
      <c r="G7946" s="23"/>
      <c r="H7946" s="24" t="str">
        <f>IFERROR(VLOOKUP(B7946,material!A:D,3,0),"")</f>
        <v/>
      </c>
    </row>
    <row r="7947" ht="11.25" customHeight="1">
      <c r="A7947" s="21"/>
      <c r="B7947" s="22"/>
      <c r="C7947" s="21"/>
      <c r="D7947" s="21"/>
      <c r="E7947" s="21"/>
      <c r="F7947" s="21"/>
      <c r="G7947" s="23"/>
      <c r="H7947" s="24" t="str">
        <f>IFERROR(VLOOKUP(B7947,material!A:D,3,0),"")</f>
        <v/>
      </c>
    </row>
    <row r="7948" ht="11.25" customHeight="1">
      <c r="A7948" s="21"/>
      <c r="B7948" s="22"/>
      <c r="C7948" s="21"/>
      <c r="D7948" s="21"/>
      <c r="E7948" s="21"/>
      <c r="F7948" s="21"/>
      <c r="G7948" s="23"/>
      <c r="H7948" s="24" t="str">
        <f>IFERROR(VLOOKUP(B7948,material!A:D,3,0),"")</f>
        <v/>
      </c>
    </row>
    <row r="7949" ht="11.25" customHeight="1">
      <c r="A7949" s="21"/>
      <c r="B7949" s="22"/>
      <c r="C7949" s="21"/>
      <c r="D7949" s="21"/>
      <c r="E7949" s="21"/>
      <c r="F7949" s="21"/>
      <c r="G7949" s="23"/>
      <c r="H7949" s="24" t="str">
        <f>IFERROR(VLOOKUP(B7949,material!A:D,3,0),"")</f>
        <v/>
      </c>
    </row>
    <row r="7950" ht="11.25" customHeight="1">
      <c r="A7950" s="21"/>
      <c r="B7950" s="22"/>
      <c r="C7950" s="21"/>
      <c r="D7950" s="21"/>
      <c r="E7950" s="21"/>
      <c r="F7950" s="21"/>
      <c r="G7950" s="23"/>
      <c r="H7950" s="24" t="str">
        <f>IFERROR(VLOOKUP(B7950,material!A:D,3,0),"")</f>
        <v/>
      </c>
    </row>
    <row r="7951" ht="11.25" customHeight="1">
      <c r="A7951" s="21"/>
      <c r="B7951" s="22"/>
      <c r="C7951" s="21"/>
      <c r="D7951" s="21"/>
      <c r="E7951" s="21"/>
      <c r="F7951" s="21"/>
      <c r="G7951" s="23"/>
      <c r="H7951" s="24" t="str">
        <f>IFERROR(VLOOKUP(B7951,material!A:D,3,0),"")</f>
        <v/>
      </c>
    </row>
    <row r="7952" ht="11.25" customHeight="1">
      <c r="A7952" s="21"/>
      <c r="B7952" s="22"/>
      <c r="C7952" s="21"/>
      <c r="D7952" s="21"/>
      <c r="E7952" s="21"/>
      <c r="F7952" s="21"/>
      <c r="G7952" s="23"/>
      <c r="H7952" s="24" t="str">
        <f>IFERROR(VLOOKUP(B7952,material!A:D,3,0),"")</f>
        <v/>
      </c>
    </row>
    <row r="7953" ht="11.25" customHeight="1">
      <c r="A7953" s="21"/>
      <c r="B7953" s="22"/>
      <c r="C7953" s="21"/>
      <c r="D7953" s="21"/>
      <c r="E7953" s="21"/>
      <c r="F7953" s="21"/>
      <c r="G7953" s="23"/>
      <c r="H7953" s="24" t="str">
        <f>IFERROR(VLOOKUP(B7953,material!A:D,3,0),"")</f>
        <v/>
      </c>
    </row>
    <row r="7954" ht="11.25" customHeight="1">
      <c r="A7954" s="21"/>
      <c r="B7954" s="22"/>
      <c r="C7954" s="21"/>
      <c r="D7954" s="21"/>
      <c r="E7954" s="21"/>
      <c r="F7954" s="21"/>
      <c r="G7954" s="23"/>
      <c r="H7954" s="24" t="str">
        <f>IFERROR(VLOOKUP(B7954,material!A:D,3,0),"")</f>
        <v/>
      </c>
    </row>
    <row r="7955" ht="11.25" customHeight="1">
      <c r="A7955" s="21"/>
      <c r="B7955" s="22"/>
      <c r="C7955" s="21"/>
      <c r="D7955" s="21"/>
      <c r="E7955" s="21"/>
      <c r="F7955" s="21"/>
      <c r="G7955" s="23"/>
      <c r="H7955" s="24" t="str">
        <f>IFERROR(VLOOKUP(B7955,material!A:D,3,0),"")</f>
        <v/>
      </c>
    </row>
    <row r="7956" ht="11.25" customHeight="1">
      <c r="A7956" s="21"/>
      <c r="B7956" s="22"/>
      <c r="C7956" s="21"/>
      <c r="D7956" s="21"/>
      <c r="E7956" s="21"/>
      <c r="F7956" s="21"/>
      <c r="G7956" s="23"/>
      <c r="H7956" s="24" t="str">
        <f>IFERROR(VLOOKUP(B7956,material!A:D,3,0),"")</f>
        <v/>
      </c>
    </row>
    <row r="7957" ht="11.25" customHeight="1">
      <c r="A7957" s="21"/>
      <c r="B7957" s="22"/>
      <c r="C7957" s="21"/>
      <c r="D7957" s="21"/>
      <c r="E7957" s="21"/>
      <c r="F7957" s="21"/>
      <c r="G7957" s="23"/>
      <c r="H7957" s="24" t="str">
        <f>IFERROR(VLOOKUP(B7957,material!A:D,3,0),"")</f>
        <v/>
      </c>
    </row>
    <row r="7958" ht="11.25" customHeight="1">
      <c r="A7958" s="21"/>
      <c r="B7958" s="22"/>
      <c r="C7958" s="21"/>
      <c r="D7958" s="21"/>
      <c r="E7958" s="21"/>
      <c r="F7958" s="21"/>
      <c r="G7958" s="23"/>
      <c r="H7958" s="24" t="str">
        <f>IFERROR(VLOOKUP(B7958,material!A:D,3,0),"")</f>
        <v/>
      </c>
    </row>
    <row r="7959" ht="11.25" customHeight="1">
      <c r="A7959" s="21"/>
      <c r="B7959" s="22"/>
      <c r="C7959" s="21"/>
      <c r="D7959" s="21"/>
      <c r="E7959" s="21"/>
      <c r="F7959" s="21"/>
      <c r="G7959" s="23"/>
      <c r="H7959" s="24" t="str">
        <f>IFERROR(VLOOKUP(B7959,material!A:D,3,0),"")</f>
        <v/>
      </c>
    </row>
    <row r="7960" ht="11.25" customHeight="1">
      <c r="A7960" s="21"/>
      <c r="B7960" s="22"/>
      <c r="C7960" s="21"/>
      <c r="D7960" s="21"/>
      <c r="E7960" s="21"/>
      <c r="F7960" s="21"/>
      <c r="G7960" s="23"/>
      <c r="H7960" s="24" t="str">
        <f>IFERROR(VLOOKUP(B7960,material!A:D,3,0),"")</f>
        <v/>
      </c>
    </row>
    <row r="7961" ht="11.25" customHeight="1">
      <c r="A7961" s="21"/>
      <c r="B7961" s="22"/>
      <c r="C7961" s="21"/>
      <c r="D7961" s="21"/>
      <c r="E7961" s="21"/>
      <c r="F7961" s="21"/>
      <c r="G7961" s="23"/>
      <c r="H7961" s="24" t="str">
        <f>IFERROR(VLOOKUP(B7961,material!A:D,3,0),"")</f>
        <v/>
      </c>
    </row>
    <row r="7962" ht="11.25" customHeight="1">
      <c r="A7962" s="21"/>
      <c r="B7962" s="22"/>
      <c r="C7962" s="21"/>
      <c r="D7962" s="21"/>
      <c r="E7962" s="21"/>
      <c r="F7962" s="21"/>
      <c r="G7962" s="23"/>
      <c r="H7962" s="24" t="str">
        <f>IFERROR(VLOOKUP(B7962,material!A:D,3,0),"")</f>
        <v/>
      </c>
    </row>
    <row r="7963" ht="11.25" customHeight="1">
      <c r="A7963" s="21"/>
      <c r="B7963" s="22"/>
      <c r="C7963" s="21"/>
      <c r="D7963" s="21"/>
      <c r="E7963" s="21"/>
      <c r="F7963" s="21"/>
      <c r="G7963" s="23"/>
      <c r="H7963" s="24" t="str">
        <f>IFERROR(VLOOKUP(B7963,material!A:D,3,0),"")</f>
        <v/>
      </c>
    </row>
    <row r="7964" ht="11.25" customHeight="1">
      <c r="A7964" s="21"/>
      <c r="B7964" s="22"/>
      <c r="C7964" s="21"/>
      <c r="D7964" s="21"/>
      <c r="E7964" s="21"/>
      <c r="F7964" s="21"/>
      <c r="G7964" s="23"/>
      <c r="H7964" s="24" t="str">
        <f>IFERROR(VLOOKUP(B7964,material!A:D,3,0),"")</f>
        <v/>
      </c>
    </row>
    <row r="7965" ht="11.25" customHeight="1">
      <c r="A7965" s="21"/>
      <c r="B7965" s="22"/>
      <c r="C7965" s="21"/>
      <c r="D7965" s="21"/>
      <c r="E7965" s="21"/>
      <c r="F7965" s="21"/>
      <c r="G7965" s="23"/>
      <c r="H7965" s="24" t="str">
        <f>IFERROR(VLOOKUP(B7965,material!A:D,3,0),"")</f>
        <v/>
      </c>
    </row>
    <row r="7966" ht="11.25" customHeight="1">
      <c r="A7966" s="21"/>
      <c r="B7966" s="22"/>
      <c r="C7966" s="21"/>
      <c r="D7966" s="21"/>
      <c r="E7966" s="21"/>
      <c r="F7966" s="21"/>
      <c r="G7966" s="23"/>
      <c r="H7966" s="24" t="str">
        <f>IFERROR(VLOOKUP(B7966,material!A:D,3,0),"")</f>
        <v/>
      </c>
    </row>
    <row r="7967" ht="11.25" customHeight="1">
      <c r="A7967" s="21"/>
      <c r="B7967" s="22"/>
      <c r="C7967" s="21"/>
      <c r="D7967" s="21"/>
      <c r="E7967" s="21"/>
      <c r="F7967" s="21"/>
      <c r="G7967" s="23"/>
      <c r="H7967" s="24" t="str">
        <f>IFERROR(VLOOKUP(B7967,material!A:D,3,0),"")</f>
        <v/>
      </c>
    </row>
    <row r="7968" ht="11.25" customHeight="1">
      <c r="A7968" s="21"/>
      <c r="B7968" s="22"/>
      <c r="C7968" s="21"/>
      <c r="D7968" s="21"/>
      <c r="E7968" s="21"/>
      <c r="F7968" s="21"/>
      <c r="G7968" s="23"/>
      <c r="H7968" s="24" t="str">
        <f>IFERROR(VLOOKUP(B7968,material!A:D,3,0),"")</f>
        <v/>
      </c>
    </row>
    <row r="7969" ht="11.25" customHeight="1">
      <c r="A7969" s="21"/>
      <c r="B7969" s="22"/>
      <c r="C7969" s="21"/>
      <c r="D7969" s="21"/>
      <c r="E7969" s="21"/>
      <c r="F7969" s="21"/>
      <c r="G7969" s="23"/>
      <c r="H7969" s="24" t="str">
        <f>IFERROR(VLOOKUP(B7969,material!A:D,3,0),"")</f>
        <v/>
      </c>
    </row>
    <row r="7970" ht="11.25" customHeight="1">
      <c r="A7970" s="21"/>
      <c r="B7970" s="22"/>
      <c r="C7970" s="21"/>
      <c r="D7970" s="21"/>
      <c r="E7970" s="21"/>
      <c r="F7970" s="21"/>
      <c r="G7970" s="23"/>
      <c r="H7970" s="24" t="str">
        <f>IFERROR(VLOOKUP(B7970,material!A:D,3,0),"")</f>
        <v/>
      </c>
    </row>
    <row r="7971" ht="11.25" customHeight="1">
      <c r="A7971" s="21"/>
      <c r="B7971" s="22"/>
      <c r="C7971" s="21"/>
      <c r="D7971" s="21"/>
      <c r="E7971" s="21"/>
      <c r="F7971" s="21"/>
      <c r="G7971" s="23"/>
      <c r="H7971" s="24" t="str">
        <f>IFERROR(VLOOKUP(B7971,material!A:D,3,0),"")</f>
        <v/>
      </c>
    </row>
    <row r="7972" ht="11.25" customHeight="1">
      <c r="A7972" s="21"/>
      <c r="B7972" s="22"/>
      <c r="C7972" s="21"/>
      <c r="D7972" s="21"/>
      <c r="E7972" s="21"/>
      <c r="F7972" s="21"/>
      <c r="G7972" s="23"/>
      <c r="H7972" s="24" t="str">
        <f>IFERROR(VLOOKUP(B7972,material!A:D,3,0),"")</f>
        <v/>
      </c>
    </row>
    <row r="7973" ht="11.25" customHeight="1">
      <c r="A7973" s="21"/>
      <c r="B7973" s="22"/>
      <c r="C7973" s="21"/>
      <c r="D7973" s="21"/>
      <c r="E7973" s="21"/>
      <c r="F7973" s="21"/>
      <c r="G7973" s="23"/>
      <c r="H7973" s="24" t="str">
        <f>IFERROR(VLOOKUP(B7973,material!A:D,3,0),"")</f>
        <v/>
      </c>
    </row>
    <row r="7974" ht="11.25" customHeight="1">
      <c r="A7974" s="21"/>
      <c r="B7974" s="22"/>
      <c r="C7974" s="21"/>
      <c r="D7974" s="21"/>
      <c r="E7974" s="21"/>
      <c r="F7974" s="21"/>
      <c r="G7974" s="23"/>
      <c r="H7974" s="24" t="str">
        <f>IFERROR(VLOOKUP(B7974,material!A:D,3,0),"")</f>
        <v/>
      </c>
    </row>
    <row r="7975" ht="11.25" customHeight="1">
      <c r="A7975" s="21"/>
      <c r="B7975" s="22"/>
      <c r="C7975" s="21"/>
      <c r="D7975" s="21"/>
      <c r="E7975" s="21"/>
      <c r="F7975" s="21"/>
      <c r="G7975" s="23"/>
      <c r="H7975" s="24" t="str">
        <f>IFERROR(VLOOKUP(B7975,material!A:D,3,0),"")</f>
        <v/>
      </c>
    </row>
    <row r="7976" ht="11.25" customHeight="1">
      <c r="A7976" s="21"/>
      <c r="B7976" s="22"/>
      <c r="C7976" s="21"/>
      <c r="D7976" s="21"/>
      <c r="E7976" s="21"/>
      <c r="F7976" s="21"/>
      <c r="G7976" s="23"/>
      <c r="H7976" s="24" t="str">
        <f>IFERROR(VLOOKUP(B7976,material!A:D,3,0),"")</f>
        <v/>
      </c>
    </row>
    <row r="7977" ht="11.25" customHeight="1">
      <c r="A7977" s="21"/>
      <c r="B7977" s="22"/>
      <c r="C7977" s="21"/>
      <c r="D7977" s="21"/>
      <c r="E7977" s="21"/>
      <c r="F7977" s="21"/>
      <c r="G7977" s="23"/>
      <c r="H7977" s="24" t="str">
        <f>IFERROR(VLOOKUP(B7977,material!A:D,3,0),"")</f>
        <v/>
      </c>
    </row>
    <row r="7978" ht="11.25" customHeight="1">
      <c r="A7978" s="21"/>
      <c r="B7978" s="22"/>
      <c r="C7978" s="21"/>
      <c r="D7978" s="21"/>
      <c r="E7978" s="21"/>
      <c r="F7978" s="21"/>
      <c r="G7978" s="23"/>
      <c r="H7978" s="24" t="str">
        <f>IFERROR(VLOOKUP(B7978,material!A:D,3,0),"")</f>
        <v/>
      </c>
    </row>
    <row r="7979" ht="11.25" customHeight="1">
      <c r="A7979" s="21"/>
      <c r="B7979" s="22"/>
      <c r="C7979" s="21"/>
      <c r="D7979" s="21"/>
      <c r="E7979" s="21"/>
      <c r="F7979" s="21"/>
      <c r="G7979" s="23"/>
      <c r="H7979" s="24" t="str">
        <f>IFERROR(VLOOKUP(B7979,material!A:D,3,0),"")</f>
        <v/>
      </c>
    </row>
    <row r="7980" ht="11.25" customHeight="1">
      <c r="A7980" s="21"/>
      <c r="B7980" s="22"/>
      <c r="C7980" s="21"/>
      <c r="D7980" s="21"/>
      <c r="E7980" s="21"/>
      <c r="F7980" s="21"/>
      <c r="G7980" s="23"/>
      <c r="H7980" s="24" t="str">
        <f>IFERROR(VLOOKUP(B7980,material!A:D,3,0),"")</f>
        <v/>
      </c>
    </row>
    <row r="7981" ht="11.25" customHeight="1">
      <c r="A7981" s="21"/>
      <c r="B7981" s="22"/>
      <c r="C7981" s="21"/>
      <c r="D7981" s="21"/>
      <c r="E7981" s="21"/>
      <c r="F7981" s="21"/>
      <c r="G7981" s="23"/>
      <c r="H7981" s="24" t="str">
        <f>IFERROR(VLOOKUP(B7981,material!A:D,3,0),"")</f>
        <v/>
      </c>
    </row>
    <row r="7982" ht="11.25" customHeight="1">
      <c r="A7982" s="21"/>
      <c r="B7982" s="22"/>
      <c r="C7982" s="21"/>
      <c r="D7982" s="21"/>
      <c r="E7982" s="21"/>
      <c r="F7982" s="21"/>
      <c r="G7982" s="23"/>
      <c r="H7982" s="24" t="str">
        <f>IFERROR(VLOOKUP(B7982,material!A:D,3,0),"")</f>
        <v/>
      </c>
    </row>
    <row r="7983" ht="11.25" customHeight="1">
      <c r="A7983" s="21"/>
      <c r="B7983" s="22"/>
      <c r="C7983" s="21"/>
      <c r="D7983" s="21"/>
      <c r="E7983" s="21"/>
      <c r="F7983" s="21"/>
      <c r="G7983" s="23"/>
      <c r="H7983" s="24" t="str">
        <f>IFERROR(VLOOKUP(B7983,material!A:D,3,0),"")</f>
        <v/>
      </c>
    </row>
    <row r="7984" ht="11.25" customHeight="1">
      <c r="A7984" s="21"/>
      <c r="B7984" s="22"/>
      <c r="C7984" s="21"/>
      <c r="D7984" s="21"/>
      <c r="E7984" s="21"/>
      <c r="F7984" s="21"/>
      <c r="G7984" s="23"/>
      <c r="H7984" s="24" t="str">
        <f>IFERROR(VLOOKUP(B7984,material!A:D,3,0),"")</f>
        <v/>
      </c>
    </row>
    <row r="7985" ht="11.25" customHeight="1">
      <c r="A7985" s="21"/>
      <c r="B7985" s="22"/>
      <c r="C7985" s="21"/>
      <c r="D7985" s="21"/>
      <c r="E7985" s="21"/>
      <c r="F7985" s="21"/>
      <c r="G7985" s="23"/>
      <c r="H7985" s="24" t="str">
        <f>IFERROR(VLOOKUP(B7985,material!A:D,3,0),"")</f>
        <v/>
      </c>
    </row>
    <row r="7986" ht="11.25" customHeight="1">
      <c r="A7986" s="21"/>
      <c r="B7986" s="22"/>
      <c r="C7986" s="21"/>
      <c r="D7986" s="21"/>
      <c r="E7986" s="21"/>
      <c r="F7986" s="21"/>
      <c r="G7986" s="23"/>
      <c r="H7986" s="24" t="str">
        <f>IFERROR(VLOOKUP(B7986,material!A:D,3,0),"")</f>
        <v/>
      </c>
    </row>
    <row r="7987" ht="11.25" customHeight="1">
      <c r="A7987" s="21"/>
      <c r="B7987" s="22"/>
      <c r="C7987" s="21"/>
      <c r="D7987" s="21"/>
      <c r="E7987" s="21"/>
      <c r="F7987" s="21"/>
      <c r="G7987" s="23"/>
      <c r="H7987" s="24" t="str">
        <f>IFERROR(VLOOKUP(B7987,material!A:D,3,0),"")</f>
        <v/>
      </c>
    </row>
    <row r="7988" ht="11.25" customHeight="1">
      <c r="A7988" s="21"/>
      <c r="B7988" s="22"/>
      <c r="C7988" s="21"/>
      <c r="D7988" s="21"/>
      <c r="E7988" s="21"/>
      <c r="F7988" s="21"/>
      <c r="G7988" s="23"/>
      <c r="H7988" s="24" t="str">
        <f>IFERROR(VLOOKUP(B7988,material!A:D,3,0),"")</f>
        <v/>
      </c>
    </row>
    <row r="7989" ht="11.25" customHeight="1">
      <c r="A7989" s="21"/>
      <c r="B7989" s="22"/>
      <c r="C7989" s="21"/>
      <c r="D7989" s="21"/>
      <c r="E7989" s="21"/>
      <c r="F7989" s="21"/>
      <c r="G7989" s="23"/>
      <c r="H7989" s="24" t="str">
        <f>IFERROR(VLOOKUP(B7989,material!A:D,3,0),"")</f>
        <v/>
      </c>
    </row>
    <row r="7990" ht="11.25" customHeight="1">
      <c r="A7990" s="21"/>
      <c r="B7990" s="22"/>
      <c r="C7990" s="21"/>
      <c r="D7990" s="21"/>
      <c r="E7990" s="21"/>
      <c r="F7990" s="21"/>
      <c r="G7990" s="23"/>
      <c r="H7990" s="24" t="str">
        <f>IFERROR(VLOOKUP(B7990,material!A:D,3,0),"")</f>
        <v/>
      </c>
    </row>
    <row r="7991" ht="11.25" customHeight="1">
      <c r="A7991" s="21"/>
      <c r="B7991" s="22"/>
      <c r="C7991" s="21"/>
      <c r="D7991" s="21"/>
      <c r="E7991" s="21"/>
      <c r="F7991" s="21"/>
      <c r="G7991" s="23"/>
      <c r="H7991" s="24" t="str">
        <f>IFERROR(VLOOKUP(B7991,material!A:D,3,0),"")</f>
        <v/>
      </c>
    </row>
    <row r="7992" ht="11.25" customHeight="1">
      <c r="A7992" s="21"/>
      <c r="B7992" s="22"/>
      <c r="C7992" s="21"/>
      <c r="D7992" s="21"/>
      <c r="E7992" s="21"/>
      <c r="F7992" s="21"/>
      <c r="G7992" s="23"/>
      <c r="H7992" s="24" t="str">
        <f>IFERROR(VLOOKUP(B7992,material!A:D,3,0),"")</f>
        <v/>
      </c>
    </row>
    <row r="7993" ht="11.25" customHeight="1">
      <c r="A7993" s="21"/>
      <c r="B7993" s="22"/>
      <c r="C7993" s="21"/>
      <c r="D7993" s="21"/>
      <c r="E7993" s="21"/>
      <c r="F7993" s="21"/>
      <c r="G7993" s="23"/>
      <c r="H7993" s="24" t="str">
        <f>IFERROR(VLOOKUP(B7993,material!A:D,3,0),"")</f>
        <v/>
      </c>
    </row>
    <row r="7994" ht="11.25" customHeight="1">
      <c r="A7994" s="21"/>
      <c r="B7994" s="22"/>
      <c r="C7994" s="21"/>
      <c r="D7994" s="21"/>
      <c r="E7994" s="21"/>
      <c r="F7994" s="21"/>
      <c r="G7994" s="23"/>
      <c r="H7994" s="24" t="str">
        <f>IFERROR(VLOOKUP(B7994,material!A:D,3,0),"")</f>
        <v/>
      </c>
    </row>
    <row r="7995" ht="11.25" customHeight="1">
      <c r="A7995" s="21"/>
      <c r="B7995" s="22"/>
      <c r="C7995" s="21"/>
      <c r="D7995" s="21"/>
      <c r="E7995" s="21"/>
      <c r="F7995" s="21"/>
      <c r="G7995" s="23"/>
      <c r="H7995" s="24" t="str">
        <f>IFERROR(VLOOKUP(B7995,material!A:D,3,0),"")</f>
        <v/>
      </c>
    </row>
    <row r="7996" ht="11.25" customHeight="1">
      <c r="A7996" s="21"/>
      <c r="B7996" s="22"/>
      <c r="C7996" s="21"/>
      <c r="D7996" s="21"/>
      <c r="E7996" s="21"/>
      <c r="F7996" s="21"/>
      <c r="G7996" s="23"/>
      <c r="H7996" s="24" t="str">
        <f>IFERROR(VLOOKUP(B7996,material!A:D,3,0),"")</f>
        <v/>
      </c>
    </row>
    <row r="7997" ht="11.25" customHeight="1">
      <c r="A7997" s="21"/>
      <c r="B7997" s="22"/>
      <c r="C7997" s="21"/>
      <c r="D7997" s="21"/>
      <c r="E7997" s="21"/>
      <c r="F7997" s="21"/>
      <c r="G7997" s="23"/>
      <c r="H7997" s="24" t="str">
        <f>IFERROR(VLOOKUP(B7997,material!A:D,3,0),"")</f>
        <v/>
      </c>
    </row>
    <row r="7998" ht="11.25" customHeight="1">
      <c r="A7998" s="21"/>
      <c r="B7998" s="22"/>
      <c r="C7998" s="21"/>
      <c r="D7998" s="21"/>
      <c r="E7998" s="21"/>
      <c r="F7998" s="21"/>
      <c r="G7998" s="23"/>
      <c r="H7998" s="24" t="str">
        <f>IFERROR(VLOOKUP(B7998,material!A:D,3,0),"")</f>
        <v/>
      </c>
    </row>
    <row r="7999" ht="11.25" customHeight="1">
      <c r="A7999" s="21"/>
      <c r="B7999" s="22"/>
      <c r="C7999" s="21"/>
      <c r="D7999" s="21"/>
      <c r="E7999" s="21"/>
      <c r="F7999" s="21"/>
      <c r="G7999" s="23"/>
      <c r="H7999" s="24" t="str">
        <f>IFERROR(VLOOKUP(B7999,material!A:D,3,0),"")</f>
        <v/>
      </c>
    </row>
    <row r="8000" ht="11.25" customHeight="1">
      <c r="A8000" s="21"/>
      <c r="B8000" s="22"/>
      <c r="C8000" s="21"/>
      <c r="D8000" s="21"/>
      <c r="E8000" s="21"/>
      <c r="F8000" s="21"/>
      <c r="G8000" s="23"/>
      <c r="H8000" s="24" t="str">
        <f>IFERROR(VLOOKUP(B8000,material!A:D,3,0),"")</f>
        <v/>
      </c>
    </row>
    <row r="8001" ht="11.25" customHeight="1">
      <c r="A8001" s="21"/>
      <c r="B8001" s="22"/>
      <c r="C8001" s="21"/>
      <c r="D8001" s="21"/>
      <c r="E8001" s="21"/>
      <c r="F8001" s="21"/>
      <c r="G8001" s="25"/>
      <c r="H8001" s="24" t="str">
        <f>IFERROR(VLOOKUP(B8001,material!A:D,3,0),"")</f>
        <v/>
      </c>
    </row>
    <row r="8002" ht="11.25" customHeight="1">
      <c r="A8002" s="21"/>
      <c r="B8002" s="22"/>
      <c r="C8002" s="21"/>
      <c r="D8002" s="21"/>
      <c r="E8002" s="21"/>
      <c r="F8002" s="21"/>
      <c r="G8002" s="25"/>
      <c r="H8002" s="24" t="str">
        <f>IFERROR(VLOOKUP(B8002,material!A:D,3,0),"")</f>
        <v/>
      </c>
    </row>
    <row r="8003" ht="11.25" customHeight="1">
      <c r="A8003" s="21"/>
      <c r="B8003" s="22"/>
      <c r="C8003" s="21"/>
      <c r="D8003" s="21"/>
      <c r="E8003" s="21"/>
      <c r="F8003" s="21"/>
      <c r="G8003" s="25"/>
      <c r="H8003" s="24" t="str">
        <f>IFERROR(VLOOKUP(B8003,material!A:D,3,0),"")</f>
        <v/>
      </c>
    </row>
    <row r="8004" ht="11.25" customHeight="1">
      <c r="A8004" s="21"/>
      <c r="B8004" s="22"/>
      <c r="C8004" s="21"/>
      <c r="D8004" s="21"/>
      <c r="E8004" s="21"/>
      <c r="F8004" s="21"/>
      <c r="G8004" s="25"/>
      <c r="H8004" s="24" t="str">
        <f>IFERROR(VLOOKUP(B8004,material!A:D,3,0),"")</f>
        <v/>
      </c>
    </row>
    <row r="8005" ht="11.25" customHeight="1">
      <c r="A8005" s="21"/>
      <c r="B8005" s="22"/>
      <c r="C8005" s="21"/>
      <c r="D8005" s="21"/>
      <c r="E8005" s="21"/>
      <c r="F8005" s="21"/>
      <c r="G8005" s="25"/>
      <c r="H8005" s="24" t="str">
        <f>IFERROR(VLOOKUP(B8005,material!A:D,3,0),"")</f>
        <v/>
      </c>
    </row>
    <row r="8006" ht="11.25" customHeight="1">
      <c r="A8006" s="21"/>
      <c r="B8006" s="22"/>
      <c r="C8006" s="21"/>
      <c r="D8006" s="21"/>
      <c r="E8006" s="21"/>
      <c r="F8006" s="21"/>
      <c r="G8006" s="25"/>
      <c r="H8006" s="24" t="str">
        <f>IFERROR(VLOOKUP(B8006,material!A:D,3,0),"")</f>
        <v/>
      </c>
    </row>
    <row r="8007" ht="11.25" customHeight="1">
      <c r="A8007" s="21"/>
      <c r="B8007" s="22"/>
      <c r="C8007" s="21"/>
      <c r="D8007" s="21"/>
      <c r="E8007" s="21"/>
      <c r="F8007" s="21"/>
      <c r="G8007" s="25"/>
      <c r="H8007" s="24" t="str">
        <f>IFERROR(VLOOKUP(B8007,material!A:D,3,0),"")</f>
        <v/>
      </c>
    </row>
    <row r="8008" ht="11.25" customHeight="1">
      <c r="A8008" s="21"/>
      <c r="B8008" s="22"/>
      <c r="C8008" s="21"/>
      <c r="D8008" s="21"/>
      <c r="E8008" s="21"/>
      <c r="F8008" s="21"/>
      <c r="G8008" s="25"/>
      <c r="H8008" s="24" t="str">
        <f>IFERROR(VLOOKUP(B8008,material!A:D,3,0),"")</f>
        <v/>
      </c>
    </row>
    <row r="8009" ht="11.25" customHeight="1">
      <c r="A8009" s="21"/>
      <c r="B8009" s="22"/>
      <c r="C8009" s="21"/>
      <c r="D8009" s="21"/>
      <c r="E8009" s="21"/>
      <c r="F8009" s="21"/>
      <c r="G8009" s="25"/>
      <c r="H8009" s="24" t="str">
        <f>IFERROR(VLOOKUP(B8009,material!A:D,3,0),"")</f>
        <v/>
      </c>
    </row>
    <row r="8010" ht="11.25" customHeight="1">
      <c r="A8010" s="21"/>
      <c r="B8010" s="22"/>
      <c r="C8010" s="21"/>
      <c r="D8010" s="21"/>
      <c r="E8010" s="21"/>
      <c r="F8010" s="21"/>
      <c r="G8010" s="25"/>
      <c r="H8010" s="24" t="str">
        <f>IFERROR(VLOOKUP(B8010,material!A:D,3,0),"")</f>
        <v/>
      </c>
    </row>
    <row r="8011" ht="11.25" customHeight="1">
      <c r="A8011" s="21"/>
      <c r="B8011" s="22"/>
      <c r="C8011" s="21"/>
      <c r="D8011" s="21"/>
      <c r="E8011" s="21"/>
      <c r="F8011" s="21"/>
      <c r="G8011" s="25"/>
      <c r="H8011" s="24" t="str">
        <f>IFERROR(VLOOKUP(B8011,material!A:D,3,0),"")</f>
        <v/>
      </c>
    </row>
    <row r="8012" ht="11.25" customHeight="1">
      <c r="A8012" s="21"/>
      <c r="B8012" s="22"/>
      <c r="C8012" s="21"/>
      <c r="D8012" s="21"/>
      <c r="E8012" s="21"/>
      <c r="F8012" s="21"/>
      <c r="G8012" s="25"/>
      <c r="H8012" s="24" t="str">
        <f>IFERROR(VLOOKUP(B8012,material!A:D,3,0),"")</f>
        <v/>
      </c>
    </row>
    <row r="8013" ht="11.25" customHeight="1">
      <c r="A8013" s="21"/>
      <c r="B8013" s="22"/>
      <c r="C8013" s="21"/>
      <c r="D8013" s="21"/>
      <c r="E8013" s="21"/>
      <c r="F8013" s="21"/>
      <c r="G8013" s="25"/>
      <c r="H8013" s="24" t="str">
        <f>IFERROR(VLOOKUP(B8013,material!A:D,3,0),"")</f>
        <v/>
      </c>
    </row>
    <row r="8014" ht="11.25" customHeight="1">
      <c r="A8014" s="21"/>
      <c r="B8014" s="22"/>
      <c r="C8014" s="21"/>
      <c r="D8014" s="21"/>
      <c r="E8014" s="21"/>
      <c r="F8014" s="21"/>
      <c r="G8014" s="25"/>
      <c r="H8014" s="24" t="str">
        <f>IFERROR(VLOOKUP(B8014,material!A:D,3,0),"")</f>
        <v/>
      </c>
    </row>
    <row r="8015" ht="11.25" customHeight="1">
      <c r="A8015" s="21"/>
      <c r="B8015" s="22"/>
      <c r="C8015" s="21"/>
      <c r="D8015" s="21"/>
      <c r="E8015" s="21"/>
      <c r="F8015" s="21"/>
      <c r="G8015" s="25"/>
      <c r="H8015" s="24" t="str">
        <f>IFERROR(VLOOKUP(B8015,material!A:D,3,0),"")</f>
        <v/>
      </c>
    </row>
    <row r="8016" ht="11.25" customHeight="1">
      <c r="A8016" s="21"/>
      <c r="B8016" s="22"/>
      <c r="C8016" s="21"/>
      <c r="D8016" s="21"/>
      <c r="E8016" s="21"/>
      <c r="F8016" s="21"/>
      <c r="G8016" s="25"/>
      <c r="H8016" s="24" t="str">
        <f>IFERROR(VLOOKUP(B8016,material!A:D,3,0),"")</f>
        <v/>
      </c>
    </row>
    <row r="8017" ht="11.25" customHeight="1">
      <c r="A8017" s="21"/>
      <c r="B8017" s="22"/>
      <c r="C8017" s="21"/>
      <c r="D8017" s="21"/>
      <c r="E8017" s="21"/>
      <c r="F8017" s="21"/>
      <c r="G8017" s="25"/>
      <c r="H8017" s="24" t="str">
        <f>IFERROR(VLOOKUP(B8017,material!A:D,3,0),"")</f>
        <v/>
      </c>
    </row>
    <row r="8018" ht="11.25" customHeight="1">
      <c r="A8018" s="21"/>
      <c r="B8018" s="22"/>
      <c r="C8018" s="21"/>
      <c r="D8018" s="21"/>
      <c r="E8018" s="21"/>
      <c r="F8018" s="21"/>
      <c r="G8018" s="25"/>
      <c r="H8018" s="24" t="str">
        <f>IFERROR(VLOOKUP(B8018,material!A:D,3,0),"")</f>
        <v/>
      </c>
    </row>
    <row r="8019" ht="11.25" customHeight="1">
      <c r="A8019" s="21"/>
      <c r="B8019" s="22"/>
      <c r="C8019" s="21"/>
      <c r="D8019" s="21"/>
      <c r="E8019" s="21"/>
      <c r="F8019" s="21"/>
      <c r="G8019" s="25"/>
      <c r="H8019" s="24" t="str">
        <f>IFERROR(VLOOKUP(B8019,material!A:D,3,0),"")</f>
        <v/>
      </c>
    </row>
    <row r="8020" ht="11.25" customHeight="1">
      <c r="A8020" s="21"/>
      <c r="B8020" s="22"/>
      <c r="C8020" s="21"/>
      <c r="D8020" s="21"/>
      <c r="E8020" s="21"/>
      <c r="F8020" s="21"/>
      <c r="G8020" s="25"/>
      <c r="H8020" s="24" t="str">
        <f>IFERROR(VLOOKUP(B8020,material!A:D,3,0),"")</f>
        <v/>
      </c>
    </row>
    <row r="8021" ht="11.25" customHeight="1">
      <c r="A8021" s="21"/>
      <c r="B8021" s="22"/>
      <c r="C8021" s="21"/>
      <c r="D8021" s="21"/>
      <c r="E8021" s="21"/>
      <c r="F8021" s="21"/>
      <c r="G8021" s="25"/>
      <c r="H8021" s="24" t="str">
        <f>IFERROR(VLOOKUP(B8021,material!A:D,3,0),"")</f>
        <v/>
      </c>
    </row>
    <row r="8022" ht="11.25" customHeight="1">
      <c r="A8022" s="21"/>
      <c r="B8022" s="22"/>
      <c r="C8022" s="21"/>
      <c r="D8022" s="21"/>
      <c r="E8022" s="21"/>
      <c r="F8022" s="21"/>
      <c r="G8022" s="25"/>
      <c r="H8022" s="24" t="str">
        <f>IFERROR(VLOOKUP(B8022,material!A:D,3,0),"")</f>
        <v/>
      </c>
    </row>
    <row r="8023" ht="11.25" customHeight="1">
      <c r="A8023" s="21"/>
      <c r="B8023" s="22"/>
      <c r="C8023" s="21"/>
      <c r="D8023" s="21"/>
      <c r="E8023" s="21"/>
      <c r="F8023" s="21"/>
      <c r="G8023" s="25"/>
      <c r="H8023" s="24" t="str">
        <f>IFERROR(VLOOKUP(B8023,material!A:D,3,0),"")</f>
        <v/>
      </c>
    </row>
    <row r="8024" ht="11.25" customHeight="1">
      <c r="A8024" s="21"/>
      <c r="B8024" s="22"/>
      <c r="C8024" s="21"/>
      <c r="D8024" s="21"/>
      <c r="E8024" s="21"/>
      <c r="F8024" s="21"/>
      <c r="G8024" s="25"/>
      <c r="H8024" s="24" t="str">
        <f>IFERROR(VLOOKUP(B8024,material!A:D,3,0),"")</f>
        <v/>
      </c>
    </row>
    <row r="8025" ht="11.25" customHeight="1">
      <c r="A8025" s="21"/>
      <c r="B8025" s="22"/>
      <c r="C8025" s="21"/>
      <c r="D8025" s="21"/>
      <c r="E8025" s="21"/>
      <c r="F8025" s="21"/>
      <c r="G8025" s="25"/>
      <c r="H8025" s="24" t="str">
        <f>IFERROR(VLOOKUP(B8025,material!A:D,3,0),"")</f>
        <v/>
      </c>
    </row>
    <row r="8026" ht="11.25" customHeight="1">
      <c r="A8026" s="21"/>
      <c r="B8026" s="22"/>
      <c r="C8026" s="21"/>
      <c r="D8026" s="21"/>
      <c r="E8026" s="21"/>
      <c r="F8026" s="21"/>
      <c r="G8026" s="25"/>
      <c r="H8026" s="24" t="str">
        <f>IFERROR(VLOOKUP(B8026,material!A:D,3,0),"")</f>
        <v/>
      </c>
    </row>
    <row r="8027" ht="11.25" customHeight="1">
      <c r="A8027" s="21"/>
      <c r="B8027" s="22"/>
      <c r="C8027" s="21"/>
      <c r="D8027" s="21"/>
      <c r="E8027" s="21"/>
      <c r="F8027" s="21"/>
      <c r="G8027" s="25"/>
      <c r="H8027" s="24" t="str">
        <f>IFERROR(VLOOKUP(B8027,material!A:D,3,0),"")</f>
        <v/>
      </c>
    </row>
    <row r="8028" ht="11.25" customHeight="1">
      <c r="A8028" s="21"/>
      <c r="B8028" s="22"/>
      <c r="C8028" s="21"/>
      <c r="D8028" s="21"/>
      <c r="E8028" s="21"/>
      <c r="F8028" s="21"/>
      <c r="G8028" s="25"/>
      <c r="H8028" s="24" t="str">
        <f>IFERROR(VLOOKUP(B8028,material!A:D,3,0),"")</f>
        <v/>
      </c>
    </row>
    <row r="8029" ht="11.25" customHeight="1">
      <c r="A8029" s="21"/>
      <c r="B8029" s="22"/>
      <c r="C8029" s="21"/>
      <c r="D8029" s="21"/>
      <c r="E8029" s="21"/>
      <c r="F8029" s="21"/>
      <c r="G8029" s="25"/>
      <c r="H8029" s="24" t="str">
        <f>IFERROR(VLOOKUP(B8029,material!A:D,3,0),"")</f>
        <v/>
      </c>
    </row>
    <row r="8030" ht="11.25" customHeight="1">
      <c r="A8030" s="21"/>
      <c r="B8030" s="22"/>
      <c r="C8030" s="21"/>
      <c r="D8030" s="21"/>
      <c r="E8030" s="21"/>
      <c r="F8030" s="21"/>
      <c r="G8030" s="25"/>
      <c r="H8030" s="24" t="str">
        <f>IFERROR(VLOOKUP(B8030,material!A:D,3,0),"")</f>
        <v/>
      </c>
    </row>
    <row r="8031" ht="11.25" customHeight="1">
      <c r="A8031" s="21"/>
      <c r="B8031" s="22"/>
      <c r="C8031" s="21"/>
      <c r="D8031" s="21"/>
      <c r="E8031" s="21"/>
      <c r="F8031" s="21"/>
      <c r="G8031" s="25"/>
      <c r="H8031" s="24" t="str">
        <f>IFERROR(VLOOKUP(B8031,material!A:D,3,0),"")</f>
        <v/>
      </c>
    </row>
    <row r="8032" ht="11.25" customHeight="1">
      <c r="A8032" s="21"/>
      <c r="B8032" s="22"/>
      <c r="C8032" s="21"/>
      <c r="D8032" s="21"/>
      <c r="E8032" s="21"/>
      <c r="F8032" s="21"/>
      <c r="G8032" s="25"/>
      <c r="H8032" s="24" t="str">
        <f>IFERROR(VLOOKUP(B8032,material!A:D,3,0),"")</f>
        <v/>
      </c>
    </row>
    <row r="8033" ht="11.25" customHeight="1">
      <c r="A8033" s="21"/>
      <c r="B8033" s="22"/>
      <c r="C8033" s="21"/>
      <c r="D8033" s="21"/>
      <c r="E8033" s="21"/>
      <c r="F8033" s="21"/>
      <c r="G8033" s="25"/>
      <c r="H8033" s="24" t="str">
        <f>IFERROR(VLOOKUP(B8033,material!A:D,3,0),"")</f>
        <v/>
      </c>
    </row>
    <row r="8034" ht="11.25" customHeight="1">
      <c r="A8034" s="21"/>
      <c r="B8034" s="22"/>
      <c r="C8034" s="21"/>
      <c r="D8034" s="21"/>
      <c r="E8034" s="21"/>
      <c r="F8034" s="21"/>
      <c r="G8034" s="25"/>
      <c r="H8034" s="24" t="str">
        <f>IFERROR(VLOOKUP(B8034,material!A:D,3,0),"")</f>
        <v/>
      </c>
    </row>
    <row r="8035" ht="11.25" customHeight="1">
      <c r="A8035" s="21"/>
      <c r="B8035" s="22"/>
      <c r="C8035" s="21"/>
      <c r="D8035" s="21"/>
      <c r="E8035" s="21"/>
      <c r="F8035" s="21"/>
      <c r="G8035" s="25"/>
      <c r="H8035" s="24" t="str">
        <f>IFERROR(VLOOKUP(B8035,material!A:D,3,0),"")</f>
        <v/>
      </c>
    </row>
    <row r="8036" ht="11.25" customHeight="1">
      <c r="A8036" s="21"/>
      <c r="B8036" s="22"/>
      <c r="C8036" s="21"/>
      <c r="D8036" s="21"/>
      <c r="E8036" s="21"/>
      <c r="F8036" s="21"/>
      <c r="G8036" s="25"/>
      <c r="H8036" s="24" t="str">
        <f>IFERROR(VLOOKUP(B8036,material!A:D,3,0),"")</f>
        <v/>
      </c>
    </row>
    <row r="8037" ht="11.25" customHeight="1">
      <c r="A8037" s="21"/>
      <c r="B8037" s="22"/>
      <c r="C8037" s="21"/>
      <c r="D8037" s="21"/>
      <c r="E8037" s="21"/>
      <c r="F8037" s="21"/>
      <c r="G8037" s="25"/>
      <c r="H8037" s="24" t="str">
        <f>IFERROR(VLOOKUP(B8037,material!A:D,3,0),"")</f>
        <v/>
      </c>
    </row>
    <row r="8038" ht="11.25" customHeight="1">
      <c r="A8038" s="21"/>
      <c r="B8038" s="22"/>
      <c r="C8038" s="21"/>
      <c r="D8038" s="21"/>
      <c r="E8038" s="21"/>
      <c r="F8038" s="21"/>
      <c r="G8038" s="25"/>
      <c r="H8038" s="24" t="str">
        <f>IFERROR(VLOOKUP(B8038,material!A:D,3,0),"")</f>
        <v/>
      </c>
    </row>
    <row r="8039" ht="11.25" customHeight="1">
      <c r="A8039" s="21"/>
      <c r="B8039" s="22"/>
      <c r="C8039" s="21"/>
      <c r="D8039" s="21"/>
      <c r="E8039" s="21"/>
      <c r="F8039" s="21"/>
      <c r="G8039" s="25"/>
      <c r="H8039" s="24" t="str">
        <f>IFERROR(VLOOKUP(B8039,material!A:D,3,0),"")</f>
        <v/>
      </c>
    </row>
    <row r="8040" ht="11.25" customHeight="1">
      <c r="A8040" s="21"/>
      <c r="B8040" s="22"/>
      <c r="C8040" s="21"/>
      <c r="D8040" s="21"/>
      <c r="E8040" s="21"/>
      <c r="F8040" s="21"/>
      <c r="G8040" s="25"/>
      <c r="H8040" s="24" t="str">
        <f>IFERROR(VLOOKUP(B8040,material!A:D,3,0),"")</f>
        <v/>
      </c>
    </row>
    <row r="8041" ht="11.25" customHeight="1">
      <c r="A8041" s="21"/>
      <c r="B8041" s="22"/>
      <c r="C8041" s="21"/>
      <c r="D8041" s="21"/>
      <c r="E8041" s="21"/>
      <c r="F8041" s="21"/>
      <c r="G8041" s="25"/>
      <c r="H8041" s="24" t="str">
        <f>IFERROR(VLOOKUP(B8041,material!A:D,3,0),"")</f>
        <v/>
      </c>
    </row>
    <row r="8042" ht="11.25" customHeight="1">
      <c r="A8042" s="21"/>
      <c r="B8042" s="22"/>
      <c r="C8042" s="21"/>
      <c r="D8042" s="21"/>
      <c r="E8042" s="21"/>
      <c r="F8042" s="21"/>
      <c r="G8042" s="25"/>
      <c r="H8042" s="24" t="str">
        <f>IFERROR(VLOOKUP(B8042,material!A:D,3,0),"")</f>
        <v/>
      </c>
    </row>
    <row r="8043" ht="11.25" customHeight="1">
      <c r="A8043" s="21"/>
      <c r="B8043" s="22"/>
      <c r="C8043" s="21"/>
      <c r="D8043" s="21"/>
      <c r="E8043" s="21"/>
      <c r="F8043" s="21"/>
      <c r="G8043" s="25"/>
      <c r="H8043" s="24" t="str">
        <f>IFERROR(VLOOKUP(B8043,material!A:D,3,0),"")</f>
        <v/>
      </c>
    </row>
    <row r="8044" ht="11.25" customHeight="1">
      <c r="A8044" s="21"/>
      <c r="B8044" s="22"/>
      <c r="C8044" s="21"/>
      <c r="D8044" s="21"/>
      <c r="E8044" s="21"/>
      <c r="F8044" s="21"/>
      <c r="G8044" s="25"/>
      <c r="H8044" s="24" t="str">
        <f>IFERROR(VLOOKUP(B8044,material!A:D,3,0),"")</f>
        <v/>
      </c>
    </row>
    <row r="8045" ht="11.25" customHeight="1">
      <c r="A8045" s="21"/>
      <c r="B8045" s="22"/>
      <c r="C8045" s="21"/>
      <c r="D8045" s="21"/>
      <c r="E8045" s="21"/>
      <c r="F8045" s="21"/>
      <c r="G8045" s="25"/>
      <c r="H8045" s="24" t="str">
        <f>IFERROR(VLOOKUP(B8045,material!A:D,3,0),"")</f>
        <v/>
      </c>
    </row>
    <row r="8046" ht="11.25" customHeight="1">
      <c r="A8046" s="21"/>
      <c r="B8046" s="22"/>
      <c r="C8046" s="21"/>
      <c r="D8046" s="21"/>
      <c r="E8046" s="21"/>
      <c r="F8046" s="21"/>
      <c r="G8046" s="25"/>
      <c r="H8046" s="24" t="str">
        <f>IFERROR(VLOOKUP(B8046,material!A:D,3,0),"")</f>
        <v/>
      </c>
    </row>
    <row r="8047" ht="11.25" customHeight="1">
      <c r="A8047" s="21"/>
      <c r="B8047" s="22"/>
      <c r="C8047" s="21"/>
      <c r="D8047" s="21"/>
      <c r="E8047" s="21"/>
      <c r="F8047" s="21"/>
      <c r="G8047" s="25"/>
      <c r="H8047" s="24" t="str">
        <f>IFERROR(VLOOKUP(B8047,material!A:D,3,0),"")</f>
        <v/>
      </c>
    </row>
    <row r="8048" ht="11.25" customHeight="1">
      <c r="A8048" s="21"/>
      <c r="B8048" s="22"/>
      <c r="C8048" s="21"/>
      <c r="D8048" s="21"/>
      <c r="E8048" s="21"/>
      <c r="F8048" s="21"/>
      <c r="G8048" s="25"/>
      <c r="H8048" s="24" t="str">
        <f>IFERROR(VLOOKUP(B8048,material!A:D,3,0),"")</f>
        <v/>
      </c>
    </row>
    <row r="8049" ht="11.25" customHeight="1">
      <c r="A8049" s="21"/>
      <c r="B8049" s="22"/>
      <c r="C8049" s="21"/>
      <c r="D8049" s="21"/>
      <c r="E8049" s="21"/>
      <c r="F8049" s="21"/>
      <c r="G8049" s="25"/>
      <c r="H8049" s="24" t="str">
        <f>IFERROR(VLOOKUP(B8049,material!A:D,3,0),"")</f>
        <v/>
      </c>
    </row>
    <row r="8050" ht="11.25" customHeight="1">
      <c r="A8050" s="21"/>
      <c r="B8050" s="22"/>
      <c r="C8050" s="21"/>
      <c r="D8050" s="21"/>
      <c r="E8050" s="21"/>
      <c r="F8050" s="21"/>
      <c r="G8050" s="25"/>
      <c r="H8050" s="24" t="str">
        <f>IFERROR(VLOOKUP(B8050,material!A:D,3,0),"")</f>
        <v/>
      </c>
    </row>
    <row r="8051" ht="11.25" customHeight="1">
      <c r="A8051" s="21"/>
      <c r="B8051" s="22"/>
      <c r="C8051" s="21"/>
      <c r="D8051" s="21"/>
      <c r="E8051" s="21"/>
      <c r="F8051" s="21"/>
      <c r="G8051" s="25"/>
      <c r="H8051" s="24" t="str">
        <f>IFERROR(VLOOKUP(B8051,material!A:D,3,0),"")</f>
        <v/>
      </c>
    </row>
    <row r="8052" ht="11.25" customHeight="1">
      <c r="A8052" s="21"/>
      <c r="B8052" s="22"/>
      <c r="C8052" s="21"/>
      <c r="D8052" s="21"/>
      <c r="E8052" s="21"/>
      <c r="F8052" s="21"/>
      <c r="G8052" s="25"/>
      <c r="H8052" s="24" t="str">
        <f>IFERROR(VLOOKUP(B8052,material!A:D,3,0),"")</f>
        <v/>
      </c>
    </row>
    <row r="8053" ht="11.25" customHeight="1">
      <c r="A8053" s="21"/>
      <c r="B8053" s="22"/>
      <c r="C8053" s="21"/>
      <c r="D8053" s="21"/>
      <c r="E8053" s="21"/>
      <c r="F8053" s="21"/>
      <c r="G8053" s="25"/>
      <c r="H8053" s="24" t="str">
        <f>IFERROR(VLOOKUP(B8053,material!A:D,3,0),"")</f>
        <v/>
      </c>
    </row>
    <row r="8054" ht="11.25" customHeight="1">
      <c r="A8054" s="21"/>
      <c r="B8054" s="22"/>
      <c r="C8054" s="21"/>
      <c r="D8054" s="21"/>
      <c r="E8054" s="21"/>
      <c r="F8054" s="21"/>
      <c r="G8054" s="25"/>
      <c r="H8054" s="24" t="str">
        <f>IFERROR(VLOOKUP(B8054,material!A:D,3,0),"")</f>
        <v/>
      </c>
    </row>
    <row r="8055" ht="11.25" customHeight="1">
      <c r="A8055" s="21"/>
      <c r="B8055" s="22"/>
      <c r="C8055" s="21"/>
      <c r="D8055" s="21"/>
      <c r="E8055" s="21"/>
      <c r="F8055" s="21"/>
      <c r="G8055" s="25"/>
      <c r="H8055" s="24" t="str">
        <f>IFERROR(VLOOKUP(B8055,material!A:D,3,0),"")</f>
        <v/>
      </c>
    </row>
    <row r="8056" ht="11.25" customHeight="1">
      <c r="A8056" s="21"/>
      <c r="B8056" s="22"/>
      <c r="C8056" s="21"/>
      <c r="D8056" s="21"/>
      <c r="E8056" s="21"/>
      <c r="F8056" s="21"/>
      <c r="G8056" s="25"/>
      <c r="H8056" s="24" t="str">
        <f>IFERROR(VLOOKUP(B8056,material!A:D,3,0),"")</f>
        <v/>
      </c>
    </row>
    <row r="8057" ht="11.25" customHeight="1">
      <c r="A8057" s="21"/>
      <c r="B8057" s="22"/>
      <c r="C8057" s="21"/>
      <c r="D8057" s="21"/>
      <c r="E8057" s="21"/>
      <c r="F8057" s="21"/>
      <c r="G8057" s="25"/>
      <c r="H8057" s="24" t="str">
        <f>IFERROR(VLOOKUP(B8057,material!A:D,3,0),"")</f>
        <v/>
      </c>
    </row>
    <row r="8058" ht="11.25" customHeight="1">
      <c r="A8058" s="21"/>
      <c r="B8058" s="22"/>
      <c r="C8058" s="21"/>
      <c r="D8058" s="21"/>
      <c r="E8058" s="21"/>
      <c r="F8058" s="21"/>
      <c r="G8058" s="25"/>
      <c r="H8058" s="24" t="str">
        <f>IFERROR(VLOOKUP(B8058,material!A:D,3,0),"")</f>
        <v/>
      </c>
    </row>
    <row r="8059" ht="11.25" customHeight="1">
      <c r="A8059" s="21"/>
      <c r="B8059" s="22"/>
      <c r="C8059" s="21"/>
      <c r="D8059" s="21"/>
      <c r="E8059" s="21"/>
      <c r="F8059" s="21"/>
      <c r="G8059" s="25"/>
      <c r="H8059" s="24" t="str">
        <f>IFERROR(VLOOKUP(B8059,material!A:D,3,0),"")</f>
        <v/>
      </c>
    </row>
    <row r="8060" ht="11.25" customHeight="1">
      <c r="A8060" s="21"/>
      <c r="B8060" s="22"/>
      <c r="C8060" s="21"/>
      <c r="D8060" s="21"/>
      <c r="E8060" s="21"/>
      <c r="F8060" s="21"/>
      <c r="G8060" s="25"/>
      <c r="H8060" s="24" t="str">
        <f>IFERROR(VLOOKUP(B8060,material!A:D,3,0),"")</f>
        <v/>
      </c>
    </row>
    <row r="8061" ht="11.25" customHeight="1">
      <c r="A8061" s="21"/>
      <c r="B8061" s="22"/>
      <c r="C8061" s="21"/>
      <c r="D8061" s="21"/>
      <c r="E8061" s="21"/>
      <c r="F8061" s="21"/>
      <c r="G8061" s="25"/>
      <c r="H8061" s="24" t="str">
        <f>IFERROR(VLOOKUP(B8061,material!A:D,3,0),"")</f>
        <v/>
      </c>
    </row>
    <row r="8062" ht="11.25" customHeight="1">
      <c r="A8062" s="21"/>
      <c r="B8062" s="22"/>
      <c r="C8062" s="21"/>
      <c r="D8062" s="21"/>
      <c r="E8062" s="21"/>
      <c r="F8062" s="21"/>
      <c r="G8062" s="25"/>
      <c r="H8062" s="24" t="str">
        <f>IFERROR(VLOOKUP(B8062,material!A:D,3,0),"")</f>
        <v/>
      </c>
    </row>
    <row r="8063" ht="11.25" customHeight="1">
      <c r="A8063" s="21"/>
      <c r="B8063" s="22"/>
      <c r="C8063" s="21"/>
      <c r="D8063" s="21"/>
      <c r="E8063" s="21"/>
      <c r="F8063" s="21"/>
      <c r="G8063" s="25"/>
      <c r="H8063" s="24" t="str">
        <f>IFERROR(VLOOKUP(B8063,material!A:D,3,0),"")</f>
        <v/>
      </c>
    </row>
    <row r="8064" ht="11.25" customHeight="1">
      <c r="A8064" s="21"/>
      <c r="B8064" s="22"/>
      <c r="C8064" s="21"/>
      <c r="D8064" s="21"/>
      <c r="E8064" s="21"/>
      <c r="F8064" s="21"/>
      <c r="G8064" s="25"/>
      <c r="H8064" s="24" t="str">
        <f>IFERROR(VLOOKUP(B8064,material!A:D,3,0),"")</f>
        <v/>
      </c>
    </row>
    <row r="8065" ht="11.25" customHeight="1">
      <c r="A8065" s="21"/>
      <c r="B8065" s="22"/>
      <c r="C8065" s="21"/>
      <c r="D8065" s="21"/>
      <c r="E8065" s="21"/>
      <c r="F8065" s="21"/>
      <c r="G8065" s="25"/>
      <c r="H8065" s="24" t="str">
        <f>IFERROR(VLOOKUP(B8065,material!A:D,3,0),"")</f>
        <v/>
      </c>
    </row>
    <row r="8066" ht="11.25" customHeight="1">
      <c r="A8066" s="21"/>
      <c r="B8066" s="22"/>
      <c r="C8066" s="21"/>
      <c r="D8066" s="21"/>
      <c r="E8066" s="21"/>
      <c r="F8066" s="21"/>
      <c r="G8066" s="25"/>
      <c r="H8066" s="24" t="str">
        <f>IFERROR(VLOOKUP(B8066,material!A:D,3,0),"")</f>
        <v/>
      </c>
    </row>
    <row r="8067" ht="11.25" customHeight="1">
      <c r="A8067" s="21"/>
      <c r="B8067" s="22"/>
      <c r="C8067" s="21"/>
      <c r="D8067" s="21"/>
      <c r="E8067" s="21"/>
      <c r="F8067" s="21"/>
      <c r="G8067" s="25"/>
      <c r="H8067" s="24" t="str">
        <f>IFERROR(VLOOKUP(B8067,material!A:D,3,0),"")</f>
        <v/>
      </c>
    </row>
    <row r="8068" ht="11.25" customHeight="1">
      <c r="A8068" s="21"/>
      <c r="B8068" s="22"/>
      <c r="C8068" s="21"/>
      <c r="D8068" s="21"/>
      <c r="E8068" s="21"/>
      <c r="F8068" s="21"/>
      <c r="G8068" s="25"/>
      <c r="H8068" s="24" t="str">
        <f>IFERROR(VLOOKUP(B8068,material!A:D,3,0),"")</f>
        <v/>
      </c>
    </row>
    <row r="8069" ht="11.25" customHeight="1">
      <c r="A8069" s="21"/>
      <c r="B8069" s="22"/>
      <c r="C8069" s="21"/>
      <c r="D8069" s="21"/>
      <c r="E8069" s="21"/>
      <c r="F8069" s="21"/>
      <c r="G8069" s="25"/>
      <c r="H8069" s="24" t="str">
        <f>IFERROR(VLOOKUP(B8069,material!A:D,3,0),"")</f>
        <v/>
      </c>
    </row>
    <row r="8070" ht="11.25" customHeight="1">
      <c r="A8070" s="21"/>
      <c r="B8070" s="22"/>
      <c r="C8070" s="21"/>
      <c r="D8070" s="21"/>
      <c r="E8070" s="21"/>
      <c r="F8070" s="21"/>
      <c r="G8070" s="25"/>
      <c r="H8070" s="24" t="str">
        <f>IFERROR(VLOOKUP(B8070,material!A:D,3,0),"")</f>
        <v/>
      </c>
    </row>
    <row r="8071" ht="11.25" customHeight="1">
      <c r="A8071" s="21"/>
      <c r="B8071" s="22"/>
      <c r="C8071" s="21"/>
      <c r="D8071" s="21"/>
      <c r="E8071" s="21"/>
      <c r="F8071" s="21"/>
      <c r="G8071" s="25"/>
      <c r="H8071" s="24" t="str">
        <f>IFERROR(VLOOKUP(B8071,material!A:D,3,0),"")</f>
        <v/>
      </c>
    </row>
    <row r="8072" ht="11.25" customHeight="1">
      <c r="A8072" s="21"/>
      <c r="B8072" s="22"/>
      <c r="C8072" s="21"/>
      <c r="D8072" s="21"/>
      <c r="E8072" s="21"/>
      <c r="F8072" s="21"/>
      <c r="G8072" s="25"/>
      <c r="H8072" s="24" t="str">
        <f>IFERROR(VLOOKUP(B8072,material!A:D,3,0),"")</f>
        <v/>
      </c>
    </row>
    <row r="8073" ht="11.25" customHeight="1">
      <c r="A8073" s="21"/>
      <c r="B8073" s="22"/>
      <c r="C8073" s="21"/>
      <c r="D8073" s="21"/>
      <c r="E8073" s="21"/>
      <c r="F8073" s="21"/>
      <c r="G8073" s="25"/>
      <c r="H8073" s="24" t="str">
        <f>IFERROR(VLOOKUP(B8073,material!A:D,3,0),"")</f>
        <v/>
      </c>
    </row>
    <row r="8074" ht="11.25" customHeight="1">
      <c r="A8074" s="21"/>
      <c r="B8074" s="22"/>
      <c r="C8074" s="21"/>
      <c r="D8074" s="21"/>
      <c r="E8074" s="21"/>
      <c r="F8074" s="21"/>
      <c r="G8074" s="25"/>
      <c r="H8074" s="24" t="str">
        <f>IFERROR(VLOOKUP(B8074,material!A:D,3,0),"")</f>
        <v/>
      </c>
    </row>
    <row r="8075" ht="11.25" customHeight="1">
      <c r="A8075" s="21"/>
      <c r="B8075" s="22"/>
      <c r="C8075" s="21"/>
      <c r="D8075" s="21"/>
      <c r="E8075" s="21"/>
      <c r="F8075" s="21"/>
      <c r="G8075" s="25"/>
      <c r="H8075" s="24" t="str">
        <f>IFERROR(VLOOKUP(B8075,material!A:D,3,0),"")</f>
        <v/>
      </c>
    </row>
    <row r="8076" ht="11.25" customHeight="1">
      <c r="A8076" s="21"/>
      <c r="B8076" s="22"/>
      <c r="C8076" s="21"/>
      <c r="D8076" s="21"/>
      <c r="E8076" s="21"/>
      <c r="F8076" s="21"/>
      <c r="G8076" s="25"/>
      <c r="H8076" s="24" t="str">
        <f>IFERROR(VLOOKUP(B8076,material!A:D,3,0),"")</f>
        <v/>
      </c>
    </row>
    <row r="8077" ht="11.25" customHeight="1">
      <c r="A8077" s="21"/>
      <c r="B8077" s="22"/>
      <c r="C8077" s="21"/>
      <c r="D8077" s="21"/>
      <c r="E8077" s="21"/>
      <c r="F8077" s="21"/>
      <c r="G8077" s="25"/>
      <c r="H8077" s="24" t="str">
        <f>IFERROR(VLOOKUP(B8077,material!A:D,3,0),"")</f>
        <v/>
      </c>
    </row>
    <row r="8078" ht="11.25" customHeight="1">
      <c r="A8078" s="21"/>
      <c r="B8078" s="22"/>
      <c r="C8078" s="21"/>
      <c r="D8078" s="21"/>
      <c r="E8078" s="21"/>
      <c r="F8078" s="21"/>
      <c r="G8078" s="25"/>
      <c r="H8078" s="24" t="str">
        <f>IFERROR(VLOOKUP(B8078,material!A:D,3,0),"")</f>
        <v/>
      </c>
    </row>
    <row r="8079" ht="11.25" customHeight="1">
      <c r="A8079" s="21"/>
      <c r="B8079" s="22"/>
      <c r="C8079" s="21"/>
      <c r="D8079" s="21"/>
      <c r="E8079" s="21"/>
      <c r="F8079" s="21"/>
      <c r="G8079" s="25"/>
      <c r="H8079" s="24" t="str">
        <f>IFERROR(VLOOKUP(B8079,material!A:D,3,0),"")</f>
        <v/>
      </c>
    </row>
    <row r="8080" ht="11.25" customHeight="1">
      <c r="A8080" s="21"/>
      <c r="B8080" s="22"/>
      <c r="C8080" s="21"/>
      <c r="D8080" s="21"/>
      <c r="E8080" s="21"/>
      <c r="F8080" s="21"/>
      <c r="G8080" s="25"/>
      <c r="H8080" s="24" t="str">
        <f>IFERROR(VLOOKUP(B8080,material!A:D,3,0),"")</f>
        <v/>
      </c>
    </row>
    <row r="8081" ht="11.25" customHeight="1">
      <c r="A8081" s="21"/>
      <c r="B8081" s="22"/>
      <c r="C8081" s="21"/>
      <c r="D8081" s="21"/>
      <c r="E8081" s="21"/>
      <c r="F8081" s="21"/>
      <c r="G8081" s="25"/>
      <c r="H8081" s="24" t="str">
        <f>IFERROR(VLOOKUP(B8081,material!A:D,3,0),"")</f>
        <v/>
      </c>
    </row>
    <row r="8082" ht="11.25" customHeight="1">
      <c r="A8082" s="21"/>
      <c r="B8082" s="22"/>
      <c r="C8082" s="21"/>
      <c r="D8082" s="21"/>
      <c r="E8082" s="21"/>
      <c r="F8082" s="21"/>
      <c r="G8082" s="25"/>
      <c r="H8082" s="24" t="str">
        <f>IFERROR(VLOOKUP(B8082,material!A:D,3,0),"")</f>
        <v/>
      </c>
    </row>
    <row r="8083" ht="11.25" customHeight="1">
      <c r="A8083" s="21"/>
      <c r="B8083" s="22"/>
      <c r="C8083" s="21"/>
      <c r="D8083" s="21"/>
      <c r="E8083" s="21"/>
      <c r="F8083" s="21"/>
      <c r="G8083" s="25"/>
      <c r="H8083" s="24" t="str">
        <f>IFERROR(VLOOKUP(B8083,material!A:D,3,0),"")</f>
        <v/>
      </c>
    </row>
    <row r="8084" ht="11.25" customHeight="1">
      <c r="A8084" s="21"/>
      <c r="B8084" s="22"/>
      <c r="C8084" s="21"/>
      <c r="D8084" s="21"/>
      <c r="E8084" s="21"/>
      <c r="F8084" s="21"/>
      <c r="G8084" s="25"/>
      <c r="H8084" s="24" t="str">
        <f>IFERROR(VLOOKUP(B8084,material!A:D,3,0),"")</f>
        <v/>
      </c>
    </row>
    <row r="8085" ht="11.25" customHeight="1">
      <c r="A8085" s="21"/>
      <c r="B8085" s="22"/>
      <c r="C8085" s="21"/>
      <c r="D8085" s="21"/>
      <c r="E8085" s="21"/>
      <c r="F8085" s="21"/>
      <c r="G8085" s="25"/>
      <c r="H8085" s="24" t="str">
        <f>IFERROR(VLOOKUP(B8085,material!A:D,3,0),"")</f>
        <v/>
      </c>
    </row>
    <row r="8086" ht="11.25" customHeight="1">
      <c r="A8086" s="21"/>
      <c r="B8086" s="22"/>
      <c r="C8086" s="21"/>
      <c r="D8086" s="21"/>
      <c r="E8086" s="21"/>
      <c r="F8086" s="21"/>
      <c r="G8086" s="25"/>
      <c r="H8086" s="24" t="str">
        <f>IFERROR(VLOOKUP(B8086,material!A:D,3,0),"")</f>
        <v/>
      </c>
    </row>
    <row r="8087" ht="11.25" customHeight="1">
      <c r="A8087" s="21"/>
      <c r="B8087" s="22"/>
      <c r="C8087" s="21"/>
      <c r="D8087" s="21"/>
      <c r="E8087" s="21"/>
      <c r="F8087" s="21"/>
      <c r="G8087" s="25"/>
      <c r="H8087" s="24" t="str">
        <f>IFERROR(VLOOKUP(B8087,material!A:D,3,0),"")</f>
        <v/>
      </c>
    </row>
    <row r="8088" ht="11.25" customHeight="1">
      <c r="A8088" s="21"/>
      <c r="B8088" s="22"/>
      <c r="C8088" s="21"/>
      <c r="D8088" s="21"/>
      <c r="E8088" s="21"/>
      <c r="F8088" s="21"/>
      <c r="G8088" s="25"/>
      <c r="H8088" s="24" t="str">
        <f>IFERROR(VLOOKUP(B8088,material!A:D,3,0),"")</f>
        <v/>
      </c>
    </row>
    <row r="8089" ht="11.25" customHeight="1">
      <c r="A8089" s="21"/>
      <c r="B8089" s="22"/>
      <c r="C8089" s="21"/>
      <c r="D8089" s="21"/>
      <c r="E8089" s="21"/>
      <c r="F8089" s="21"/>
      <c r="G8089" s="25"/>
      <c r="H8089" s="24" t="str">
        <f>IFERROR(VLOOKUP(B8089,material!A:D,3,0),"")</f>
        <v/>
      </c>
    </row>
    <row r="8090" ht="11.25" customHeight="1">
      <c r="A8090" s="21"/>
      <c r="B8090" s="22"/>
      <c r="C8090" s="21"/>
      <c r="D8090" s="21"/>
      <c r="E8090" s="21"/>
      <c r="F8090" s="21"/>
      <c r="G8090" s="25"/>
      <c r="H8090" s="24" t="str">
        <f>IFERROR(VLOOKUP(B8090,material!A:D,3,0),"")</f>
        <v/>
      </c>
    </row>
    <row r="8091" ht="11.25" customHeight="1">
      <c r="A8091" s="21"/>
      <c r="B8091" s="22"/>
      <c r="C8091" s="21"/>
      <c r="D8091" s="21"/>
      <c r="E8091" s="21"/>
      <c r="F8091" s="21"/>
      <c r="G8091" s="25"/>
      <c r="H8091" s="24" t="str">
        <f>IFERROR(VLOOKUP(B8091,material!A:D,3,0),"")</f>
        <v/>
      </c>
    </row>
    <row r="8092" ht="11.25" customHeight="1">
      <c r="A8092" s="21"/>
      <c r="B8092" s="22"/>
      <c r="C8092" s="21"/>
      <c r="D8092" s="21"/>
      <c r="E8092" s="21"/>
      <c r="F8092" s="21"/>
      <c r="G8092" s="25"/>
      <c r="H8092" s="24" t="str">
        <f>IFERROR(VLOOKUP(B8092,material!A:D,3,0),"")</f>
        <v/>
      </c>
    </row>
    <row r="8093" ht="11.25" customHeight="1">
      <c r="A8093" s="21"/>
      <c r="B8093" s="22"/>
      <c r="C8093" s="21"/>
      <c r="D8093" s="21"/>
      <c r="E8093" s="21"/>
      <c r="F8093" s="21"/>
      <c r="G8093" s="25"/>
      <c r="H8093" s="24" t="str">
        <f>IFERROR(VLOOKUP(B8093,material!A:D,3,0),"")</f>
        <v/>
      </c>
    </row>
    <row r="8094" ht="11.25" customHeight="1">
      <c r="A8094" s="21"/>
      <c r="B8094" s="22"/>
      <c r="C8094" s="21"/>
      <c r="D8094" s="21"/>
      <c r="E8094" s="21"/>
      <c r="F8094" s="21"/>
      <c r="G8094" s="25"/>
      <c r="H8094" s="24" t="str">
        <f>IFERROR(VLOOKUP(B8094,material!A:D,3,0),"")</f>
        <v/>
      </c>
    </row>
    <row r="8095" ht="11.25" customHeight="1">
      <c r="A8095" s="21"/>
      <c r="B8095" s="22"/>
      <c r="C8095" s="21"/>
      <c r="D8095" s="21"/>
      <c r="E8095" s="21"/>
      <c r="F8095" s="21"/>
      <c r="G8095" s="25"/>
      <c r="H8095" s="24" t="str">
        <f>IFERROR(VLOOKUP(B8095,material!A:D,3,0),"")</f>
        <v/>
      </c>
    </row>
    <row r="8096" ht="11.25" customHeight="1">
      <c r="A8096" s="21"/>
      <c r="B8096" s="22"/>
      <c r="C8096" s="21"/>
      <c r="D8096" s="21"/>
      <c r="E8096" s="21"/>
      <c r="F8096" s="21"/>
      <c r="G8096" s="25"/>
      <c r="H8096" s="24" t="str">
        <f>IFERROR(VLOOKUP(B8096,material!A:D,3,0),"")</f>
        <v/>
      </c>
    </row>
    <row r="8097" ht="11.25" customHeight="1">
      <c r="A8097" s="21"/>
      <c r="B8097" s="22"/>
      <c r="C8097" s="21"/>
      <c r="D8097" s="21"/>
      <c r="E8097" s="21"/>
      <c r="F8097" s="21"/>
      <c r="G8097" s="25"/>
      <c r="H8097" s="24" t="str">
        <f>IFERROR(VLOOKUP(B8097,material!A:D,3,0),"")</f>
        <v/>
      </c>
    </row>
    <row r="8098" ht="11.25" customHeight="1">
      <c r="A8098" s="21"/>
      <c r="B8098" s="22"/>
      <c r="C8098" s="21"/>
      <c r="D8098" s="21"/>
      <c r="E8098" s="21"/>
      <c r="F8098" s="21"/>
      <c r="G8098" s="25"/>
      <c r="H8098" s="24" t="str">
        <f>IFERROR(VLOOKUP(B8098,material!A:D,3,0),"")</f>
        <v/>
      </c>
    </row>
    <row r="8099" ht="11.25" customHeight="1">
      <c r="A8099" s="21"/>
      <c r="B8099" s="22"/>
      <c r="C8099" s="21"/>
      <c r="D8099" s="21"/>
      <c r="E8099" s="21"/>
      <c r="F8099" s="21"/>
      <c r="G8099" s="25"/>
      <c r="H8099" s="24" t="str">
        <f>IFERROR(VLOOKUP(B8099,material!A:D,3,0),"")</f>
        <v/>
      </c>
    </row>
    <row r="8100" ht="11.25" customHeight="1">
      <c r="A8100" s="21"/>
      <c r="B8100" s="22"/>
      <c r="C8100" s="21"/>
      <c r="D8100" s="21"/>
      <c r="E8100" s="21"/>
      <c r="F8100" s="21"/>
      <c r="G8100" s="25"/>
      <c r="H8100" s="24" t="str">
        <f>IFERROR(VLOOKUP(B8100,material!A:D,3,0),"")</f>
        <v/>
      </c>
    </row>
    <row r="8101" ht="11.25" customHeight="1">
      <c r="A8101" s="21"/>
      <c r="B8101" s="22"/>
      <c r="C8101" s="21"/>
      <c r="D8101" s="21"/>
      <c r="E8101" s="21"/>
      <c r="F8101" s="21"/>
      <c r="G8101" s="25"/>
      <c r="H8101" s="24" t="str">
        <f>IFERROR(VLOOKUP(B8101,material!A:D,3,0),"")</f>
        <v/>
      </c>
    </row>
    <row r="8102" ht="11.25" customHeight="1">
      <c r="A8102" s="21"/>
      <c r="B8102" s="22"/>
      <c r="C8102" s="21"/>
      <c r="D8102" s="21"/>
      <c r="E8102" s="21"/>
      <c r="F8102" s="21"/>
      <c r="G8102" s="25"/>
      <c r="H8102" s="24" t="str">
        <f>IFERROR(VLOOKUP(B8102,material!A:D,3,0),"")</f>
        <v/>
      </c>
    </row>
    <row r="8103" ht="11.25" customHeight="1">
      <c r="A8103" s="21"/>
      <c r="B8103" s="22"/>
      <c r="C8103" s="21"/>
      <c r="D8103" s="21"/>
      <c r="E8103" s="21"/>
      <c r="F8103" s="21"/>
      <c r="G8103" s="25"/>
      <c r="H8103" s="24" t="str">
        <f>IFERROR(VLOOKUP(B8103,material!A:D,3,0),"")</f>
        <v/>
      </c>
    </row>
    <row r="8104" ht="11.25" customHeight="1">
      <c r="A8104" s="21"/>
      <c r="B8104" s="22"/>
      <c r="C8104" s="21"/>
      <c r="D8104" s="21"/>
      <c r="E8104" s="21"/>
      <c r="F8104" s="21"/>
      <c r="G8104" s="25"/>
      <c r="H8104" s="24" t="str">
        <f>IFERROR(VLOOKUP(B8104,material!A:D,3,0),"")</f>
        <v/>
      </c>
    </row>
    <row r="8105" ht="11.25" customHeight="1">
      <c r="A8105" s="21"/>
      <c r="B8105" s="22"/>
      <c r="C8105" s="21"/>
      <c r="D8105" s="21"/>
      <c r="E8105" s="21"/>
      <c r="F8105" s="21"/>
      <c r="G8105" s="25"/>
      <c r="H8105" s="24" t="str">
        <f>IFERROR(VLOOKUP(B8105,material!A:D,3,0),"")</f>
        <v/>
      </c>
    </row>
    <row r="8106" ht="11.25" customHeight="1">
      <c r="A8106" s="21"/>
      <c r="B8106" s="22"/>
      <c r="C8106" s="21"/>
      <c r="D8106" s="21"/>
      <c r="E8106" s="21"/>
      <c r="F8106" s="21"/>
      <c r="G8106" s="25"/>
      <c r="H8106" s="24" t="str">
        <f>IFERROR(VLOOKUP(B8106,material!A:D,3,0),"")</f>
        <v/>
      </c>
    </row>
    <row r="8107" ht="11.25" customHeight="1">
      <c r="A8107" s="21"/>
      <c r="B8107" s="22"/>
      <c r="C8107" s="21"/>
      <c r="D8107" s="21"/>
      <c r="E8107" s="21"/>
      <c r="F8107" s="21"/>
      <c r="G8107" s="25"/>
      <c r="H8107" s="24" t="str">
        <f>IFERROR(VLOOKUP(B8107,material!A:D,3,0),"")</f>
        <v/>
      </c>
    </row>
    <row r="8108" ht="11.25" customHeight="1">
      <c r="A8108" s="21"/>
      <c r="B8108" s="22"/>
      <c r="C8108" s="21"/>
      <c r="D8108" s="21"/>
      <c r="E8108" s="21"/>
      <c r="F8108" s="21"/>
      <c r="G8108" s="25"/>
      <c r="H8108" s="24" t="str">
        <f>IFERROR(VLOOKUP(B8108,material!A:D,3,0),"")</f>
        <v/>
      </c>
    </row>
    <row r="8109" ht="11.25" customHeight="1">
      <c r="A8109" s="21"/>
      <c r="B8109" s="22"/>
      <c r="C8109" s="21"/>
      <c r="D8109" s="21"/>
      <c r="E8109" s="21"/>
      <c r="F8109" s="21"/>
      <c r="G8109" s="25"/>
      <c r="H8109" s="24" t="str">
        <f>IFERROR(VLOOKUP(B8109,material!A:D,3,0),"")</f>
        <v/>
      </c>
    </row>
    <row r="8110" ht="11.25" customHeight="1">
      <c r="A8110" s="21"/>
      <c r="B8110" s="22"/>
      <c r="C8110" s="21"/>
      <c r="D8110" s="21"/>
      <c r="E8110" s="21"/>
      <c r="F8110" s="21"/>
      <c r="G8110" s="25"/>
      <c r="H8110" s="24" t="str">
        <f>IFERROR(VLOOKUP(B8110,material!A:D,3,0),"")</f>
        <v/>
      </c>
    </row>
    <row r="8111" ht="11.25" customHeight="1">
      <c r="A8111" s="21"/>
      <c r="B8111" s="22"/>
      <c r="C8111" s="21"/>
      <c r="D8111" s="21"/>
      <c r="E8111" s="21"/>
      <c r="F8111" s="21"/>
      <c r="G8111" s="25"/>
      <c r="H8111" s="24" t="str">
        <f>IFERROR(VLOOKUP(B8111,material!A:D,3,0),"")</f>
        <v/>
      </c>
    </row>
    <row r="8112" ht="11.25" customHeight="1">
      <c r="A8112" s="21"/>
      <c r="B8112" s="22"/>
      <c r="C8112" s="21"/>
      <c r="D8112" s="21"/>
      <c r="E8112" s="21"/>
      <c r="F8112" s="21"/>
      <c r="G8112" s="25"/>
      <c r="H8112" s="24" t="str">
        <f>IFERROR(VLOOKUP(B8112,material!A:D,3,0),"")</f>
        <v/>
      </c>
    </row>
    <row r="8113" ht="11.25" customHeight="1">
      <c r="A8113" s="21"/>
      <c r="B8113" s="22"/>
      <c r="C8113" s="21"/>
      <c r="D8113" s="21"/>
      <c r="E8113" s="21"/>
      <c r="F8113" s="21"/>
      <c r="G8113" s="25"/>
      <c r="H8113" s="24" t="str">
        <f>IFERROR(VLOOKUP(B8113,material!A:D,3,0),"")</f>
        <v/>
      </c>
    </row>
    <row r="8114" ht="11.25" customHeight="1">
      <c r="A8114" s="21"/>
      <c r="B8114" s="22"/>
      <c r="C8114" s="21"/>
      <c r="D8114" s="21"/>
      <c r="E8114" s="21"/>
      <c r="F8114" s="21"/>
      <c r="G8114" s="25"/>
      <c r="H8114" s="24" t="str">
        <f>IFERROR(VLOOKUP(B8114,material!A:D,3,0),"")</f>
        <v/>
      </c>
    </row>
    <row r="8115" ht="11.25" customHeight="1">
      <c r="A8115" s="21"/>
      <c r="B8115" s="22"/>
      <c r="C8115" s="21"/>
      <c r="D8115" s="21"/>
      <c r="E8115" s="21"/>
      <c r="F8115" s="21"/>
      <c r="G8115" s="25"/>
      <c r="H8115" s="24" t="str">
        <f>IFERROR(VLOOKUP(B8115,material!A:D,3,0),"")</f>
        <v/>
      </c>
    </row>
    <row r="8116" ht="11.25" customHeight="1">
      <c r="A8116" s="21"/>
      <c r="B8116" s="22"/>
      <c r="C8116" s="21"/>
      <c r="D8116" s="21"/>
      <c r="E8116" s="21"/>
      <c r="F8116" s="21"/>
      <c r="G8116" s="25"/>
      <c r="H8116" s="24" t="str">
        <f>IFERROR(VLOOKUP(B8116,material!A:D,3,0),"")</f>
        <v/>
      </c>
    </row>
    <row r="8117" ht="11.25" customHeight="1">
      <c r="A8117" s="21"/>
      <c r="B8117" s="22"/>
      <c r="C8117" s="21"/>
      <c r="D8117" s="21"/>
      <c r="E8117" s="21"/>
      <c r="F8117" s="21"/>
      <c r="G8117" s="25"/>
      <c r="H8117" s="24" t="str">
        <f>IFERROR(VLOOKUP(B8117,material!A:D,3,0),"")</f>
        <v/>
      </c>
    </row>
    <row r="8118" ht="11.25" customHeight="1">
      <c r="A8118" s="21"/>
      <c r="B8118" s="22"/>
      <c r="C8118" s="21"/>
      <c r="D8118" s="21"/>
      <c r="E8118" s="21"/>
      <c r="F8118" s="21"/>
      <c r="G8118" s="25"/>
      <c r="H8118" s="24" t="str">
        <f>IFERROR(VLOOKUP(B8118,material!A:D,3,0),"")</f>
        <v/>
      </c>
    </row>
    <row r="8119" ht="11.25" customHeight="1">
      <c r="A8119" s="21"/>
      <c r="B8119" s="22"/>
      <c r="C8119" s="21"/>
      <c r="D8119" s="21"/>
      <c r="E8119" s="21"/>
      <c r="F8119" s="21"/>
      <c r="G8119" s="25"/>
      <c r="H8119" s="24" t="str">
        <f>IFERROR(VLOOKUP(B8119,material!A:D,3,0),"")</f>
        <v/>
      </c>
    </row>
    <row r="8120" ht="11.25" customHeight="1">
      <c r="A8120" s="21"/>
      <c r="B8120" s="22"/>
      <c r="C8120" s="21"/>
      <c r="D8120" s="21"/>
      <c r="E8120" s="21"/>
      <c r="F8120" s="21"/>
      <c r="G8120" s="25"/>
      <c r="H8120" s="24" t="str">
        <f>IFERROR(VLOOKUP(B8120,material!A:D,3,0),"")</f>
        <v/>
      </c>
    </row>
    <row r="8121" ht="11.25" customHeight="1">
      <c r="A8121" s="21"/>
      <c r="B8121" s="22"/>
      <c r="C8121" s="21"/>
      <c r="D8121" s="21"/>
      <c r="E8121" s="21"/>
      <c r="F8121" s="21"/>
      <c r="G8121" s="25"/>
      <c r="H8121" s="24" t="str">
        <f>IFERROR(VLOOKUP(B8121,material!A:D,3,0),"")</f>
        <v/>
      </c>
    </row>
    <row r="8122" ht="11.25" customHeight="1">
      <c r="A8122" s="21"/>
      <c r="B8122" s="22"/>
      <c r="C8122" s="21"/>
      <c r="D8122" s="21"/>
      <c r="E8122" s="21"/>
      <c r="F8122" s="21"/>
      <c r="G8122" s="25"/>
      <c r="H8122" s="24" t="str">
        <f>IFERROR(VLOOKUP(B8122,material!A:D,3,0),"")</f>
        <v/>
      </c>
    </row>
    <row r="8123" ht="11.25" customHeight="1">
      <c r="A8123" s="21"/>
      <c r="B8123" s="22"/>
      <c r="C8123" s="21"/>
      <c r="D8123" s="21"/>
      <c r="E8123" s="21"/>
      <c r="F8123" s="21"/>
      <c r="G8123" s="25"/>
      <c r="H8123" s="24" t="str">
        <f>IFERROR(VLOOKUP(B8123,material!A:D,3,0),"")</f>
        <v/>
      </c>
    </row>
    <row r="8124" ht="11.25" customHeight="1">
      <c r="A8124" s="21"/>
      <c r="B8124" s="22"/>
      <c r="C8124" s="21"/>
      <c r="D8124" s="21"/>
      <c r="E8124" s="21"/>
      <c r="F8124" s="21"/>
      <c r="G8124" s="25"/>
      <c r="H8124" s="24" t="str">
        <f>IFERROR(VLOOKUP(B8124,material!A:D,3,0),"")</f>
        <v/>
      </c>
    </row>
    <row r="8125" ht="11.25" customHeight="1">
      <c r="A8125" s="21"/>
      <c r="B8125" s="22"/>
      <c r="C8125" s="21"/>
      <c r="D8125" s="21"/>
      <c r="E8125" s="21"/>
      <c r="F8125" s="21"/>
      <c r="G8125" s="25"/>
      <c r="H8125" s="24" t="str">
        <f>IFERROR(VLOOKUP(B8125,material!A:D,3,0),"")</f>
        <v/>
      </c>
    </row>
    <row r="8126" ht="11.25" customHeight="1">
      <c r="A8126" s="21"/>
      <c r="B8126" s="22"/>
      <c r="C8126" s="21"/>
      <c r="D8126" s="21"/>
      <c r="E8126" s="21"/>
      <c r="F8126" s="21"/>
      <c r="G8126" s="25"/>
      <c r="H8126" s="24" t="str">
        <f>IFERROR(VLOOKUP(B8126,material!A:D,3,0),"")</f>
        <v/>
      </c>
    </row>
    <row r="8127" ht="11.25" customHeight="1">
      <c r="A8127" s="21"/>
      <c r="B8127" s="22"/>
      <c r="C8127" s="21"/>
      <c r="D8127" s="21"/>
      <c r="E8127" s="21"/>
      <c r="F8127" s="21"/>
      <c r="G8127" s="25"/>
      <c r="H8127" s="24" t="str">
        <f>IFERROR(VLOOKUP(B8127,material!A:D,3,0),"")</f>
        <v/>
      </c>
    </row>
    <row r="8128" ht="11.25" customHeight="1">
      <c r="A8128" s="21"/>
      <c r="B8128" s="22"/>
      <c r="C8128" s="21"/>
      <c r="D8128" s="21"/>
      <c r="E8128" s="21"/>
      <c r="F8128" s="21"/>
      <c r="G8128" s="25"/>
      <c r="H8128" s="24" t="str">
        <f>IFERROR(VLOOKUP(B8128,material!A:D,3,0),"")</f>
        <v/>
      </c>
    </row>
    <row r="8129" ht="11.25" customHeight="1">
      <c r="A8129" s="21"/>
      <c r="B8129" s="22"/>
      <c r="C8129" s="21"/>
      <c r="D8129" s="21"/>
      <c r="E8129" s="21"/>
      <c r="F8129" s="21"/>
      <c r="G8129" s="25"/>
      <c r="H8129" s="24" t="str">
        <f>IFERROR(VLOOKUP(B8129,material!A:D,3,0),"")</f>
        <v/>
      </c>
    </row>
    <row r="8130" ht="11.25" customHeight="1">
      <c r="A8130" s="21"/>
      <c r="B8130" s="22"/>
      <c r="C8130" s="21"/>
      <c r="D8130" s="21"/>
      <c r="E8130" s="21"/>
      <c r="F8130" s="21"/>
      <c r="G8130" s="25"/>
      <c r="H8130" s="24" t="str">
        <f>IFERROR(VLOOKUP(B8130,material!A:D,3,0),"")</f>
        <v/>
      </c>
    </row>
    <row r="8131" ht="11.25" customHeight="1">
      <c r="A8131" s="21"/>
      <c r="B8131" s="22"/>
      <c r="C8131" s="21"/>
      <c r="D8131" s="21"/>
      <c r="E8131" s="21"/>
      <c r="F8131" s="21"/>
      <c r="G8131" s="25"/>
      <c r="H8131" s="24" t="str">
        <f>IFERROR(VLOOKUP(B8131,material!A:D,3,0),"")</f>
        <v/>
      </c>
    </row>
    <row r="8132" ht="11.25" customHeight="1">
      <c r="A8132" s="21"/>
      <c r="B8132" s="22"/>
      <c r="C8132" s="21"/>
      <c r="D8132" s="21"/>
      <c r="E8132" s="21"/>
      <c r="F8132" s="21"/>
      <c r="G8132" s="25"/>
      <c r="H8132" s="24" t="str">
        <f>IFERROR(VLOOKUP(B8132,material!A:D,3,0),"")</f>
        <v/>
      </c>
    </row>
    <row r="8133" ht="11.25" customHeight="1">
      <c r="A8133" s="21"/>
      <c r="B8133" s="22"/>
      <c r="C8133" s="21"/>
      <c r="D8133" s="21"/>
      <c r="E8133" s="21"/>
      <c r="F8133" s="21"/>
      <c r="G8133" s="25"/>
      <c r="H8133" s="24" t="str">
        <f>IFERROR(VLOOKUP(B8133,material!A:D,3,0),"")</f>
        <v/>
      </c>
    </row>
    <row r="8134" ht="11.25" customHeight="1">
      <c r="A8134" s="21"/>
      <c r="B8134" s="22"/>
      <c r="C8134" s="21"/>
      <c r="D8134" s="21"/>
      <c r="E8134" s="21"/>
      <c r="F8134" s="21"/>
      <c r="G8134" s="25"/>
      <c r="H8134" s="24" t="str">
        <f>IFERROR(VLOOKUP(B8134,material!A:D,3,0),"")</f>
        <v/>
      </c>
    </row>
    <row r="8135" ht="11.25" customHeight="1">
      <c r="A8135" s="21"/>
      <c r="B8135" s="22"/>
      <c r="C8135" s="21"/>
      <c r="D8135" s="21"/>
      <c r="E8135" s="21"/>
      <c r="F8135" s="21"/>
      <c r="G8135" s="25"/>
      <c r="H8135" s="24" t="str">
        <f>IFERROR(VLOOKUP(B8135,material!A:D,3,0),"")</f>
        <v/>
      </c>
    </row>
    <row r="8136" ht="11.25" customHeight="1">
      <c r="A8136" s="21"/>
      <c r="B8136" s="22"/>
      <c r="C8136" s="21"/>
      <c r="D8136" s="21"/>
      <c r="E8136" s="21"/>
      <c r="F8136" s="21"/>
      <c r="G8136" s="25"/>
      <c r="H8136" s="24" t="str">
        <f>IFERROR(VLOOKUP(B8136,material!A:D,3,0),"")</f>
        <v/>
      </c>
    </row>
    <row r="8137" ht="11.25" customHeight="1">
      <c r="A8137" s="21"/>
      <c r="B8137" s="22"/>
      <c r="C8137" s="21"/>
      <c r="D8137" s="21"/>
      <c r="E8137" s="21"/>
      <c r="F8137" s="21"/>
      <c r="G8137" s="25"/>
      <c r="H8137" s="24" t="str">
        <f>IFERROR(VLOOKUP(B8137,material!A:D,3,0),"")</f>
        <v/>
      </c>
    </row>
    <row r="8138" ht="11.25" customHeight="1">
      <c r="A8138" s="21"/>
      <c r="B8138" s="22"/>
      <c r="C8138" s="21"/>
      <c r="D8138" s="21"/>
      <c r="E8138" s="21"/>
      <c r="F8138" s="21"/>
      <c r="G8138" s="25"/>
      <c r="H8138" s="24" t="str">
        <f>IFERROR(VLOOKUP(B8138,material!A:D,3,0),"")</f>
        <v/>
      </c>
    </row>
    <row r="8139" ht="11.25" customHeight="1">
      <c r="A8139" s="21"/>
      <c r="B8139" s="22"/>
      <c r="C8139" s="21"/>
      <c r="D8139" s="21"/>
      <c r="E8139" s="21"/>
      <c r="F8139" s="21"/>
      <c r="G8139" s="25"/>
      <c r="H8139" s="24" t="str">
        <f>IFERROR(VLOOKUP(B8139,material!A:D,3,0),"")</f>
        <v/>
      </c>
    </row>
    <row r="8140" ht="11.25" customHeight="1">
      <c r="A8140" s="21"/>
      <c r="B8140" s="22"/>
      <c r="C8140" s="21"/>
      <c r="D8140" s="21"/>
      <c r="E8140" s="21"/>
      <c r="F8140" s="21"/>
      <c r="G8140" s="25"/>
      <c r="H8140" s="24" t="str">
        <f>IFERROR(VLOOKUP(B8140,material!A:D,3,0),"")</f>
        <v/>
      </c>
    </row>
    <row r="8141" ht="11.25" customHeight="1">
      <c r="A8141" s="21"/>
      <c r="B8141" s="22"/>
      <c r="C8141" s="21"/>
      <c r="D8141" s="21"/>
      <c r="E8141" s="21"/>
      <c r="F8141" s="21"/>
      <c r="G8141" s="25"/>
      <c r="H8141" s="24" t="str">
        <f>IFERROR(VLOOKUP(B8141,material!A:D,3,0),"")</f>
        <v/>
      </c>
    </row>
    <row r="8142" ht="11.25" customHeight="1">
      <c r="A8142" s="21"/>
      <c r="B8142" s="22"/>
      <c r="C8142" s="21"/>
      <c r="D8142" s="21"/>
      <c r="E8142" s="21"/>
      <c r="F8142" s="21"/>
      <c r="G8142" s="25"/>
      <c r="H8142" s="24" t="str">
        <f>IFERROR(VLOOKUP(B8142,material!A:D,3,0),"")</f>
        <v/>
      </c>
    </row>
    <row r="8143" ht="11.25" customHeight="1">
      <c r="A8143" s="21"/>
      <c r="B8143" s="22"/>
      <c r="C8143" s="21"/>
      <c r="D8143" s="21"/>
      <c r="E8143" s="21"/>
      <c r="F8143" s="21"/>
      <c r="G8143" s="25"/>
      <c r="H8143" s="24" t="str">
        <f>IFERROR(VLOOKUP(B8143,material!A:D,3,0),"")</f>
        <v/>
      </c>
    </row>
    <row r="8144" ht="11.25" customHeight="1">
      <c r="A8144" s="21"/>
      <c r="B8144" s="22"/>
      <c r="C8144" s="21"/>
      <c r="D8144" s="21"/>
      <c r="E8144" s="21"/>
      <c r="F8144" s="21"/>
      <c r="G8144" s="25"/>
      <c r="H8144" s="24" t="str">
        <f>IFERROR(VLOOKUP(B8144,material!A:D,3,0),"")</f>
        <v/>
      </c>
    </row>
    <row r="8145" ht="11.25" customHeight="1">
      <c r="A8145" s="21"/>
      <c r="B8145" s="22"/>
      <c r="C8145" s="21"/>
      <c r="D8145" s="21"/>
      <c r="E8145" s="21"/>
      <c r="F8145" s="21"/>
      <c r="G8145" s="25"/>
      <c r="H8145" s="24" t="str">
        <f>IFERROR(VLOOKUP(B8145,material!A:D,3,0),"")</f>
        <v/>
      </c>
    </row>
    <row r="8146" ht="11.25" customHeight="1">
      <c r="A8146" s="21"/>
      <c r="B8146" s="22"/>
      <c r="C8146" s="21"/>
      <c r="D8146" s="21"/>
      <c r="E8146" s="21"/>
      <c r="F8146" s="21"/>
      <c r="G8146" s="25"/>
      <c r="H8146" s="24" t="str">
        <f>IFERROR(VLOOKUP(B8146,material!A:D,3,0),"")</f>
        <v/>
      </c>
    </row>
    <row r="8147" ht="11.25" customHeight="1">
      <c r="A8147" s="21"/>
      <c r="B8147" s="22"/>
      <c r="C8147" s="21"/>
      <c r="D8147" s="21"/>
      <c r="E8147" s="21"/>
      <c r="F8147" s="21"/>
      <c r="G8147" s="25"/>
      <c r="H8147" s="24" t="str">
        <f>IFERROR(VLOOKUP(B8147,material!A:D,3,0),"")</f>
        <v/>
      </c>
    </row>
    <row r="8148" ht="11.25" customHeight="1">
      <c r="A8148" s="21"/>
      <c r="B8148" s="22"/>
      <c r="C8148" s="21"/>
      <c r="D8148" s="21"/>
      <c r="E8148" s="21"/>
      <c r="F8148" s="21"/>
      <c r="G8148" s="25"/>
      <c r="H8148" s="24" t="str">
        <f>IFERROR(VLOOKUP(B8148,material!A:D,3,0),"")</f>
        <v/>
      </c>
    </row>
    <row r="8149" ht="11.25" customHeight="1">
      <c r="A8149" s="21"/>
      <c r="B8149" s="22"/>
      <c r="C8149" s="21"/>
      <c r="D8149" s="21"/>
      <c r="E8149" s="21"/>
      <c r="F8149" s="21"/>
      <c r="G8149" s="25"/>
      <c r="H8149" s="24" t="str">
        <f>IFERROR(VLOOKUP(B8149,material!A:D,3,0),"")</f>
        <v/>
      </c>
    </row>
    <row r="8150" ht="11.25" customHeight="1">
      <c r="A8150" s="21"/>
      <c r="B8150" s="22"/>
      <c r="C8150" s="21"/>
      <c r="D8150" s="21"/>
      <c r="E8150" s="21"/>
      <c r="F8150" s="21"/>
      <c r="G8150" s="25"/>
      <c r="H8150" s="24" t="str">
        <f>IFERROR(VLOOKUP(B8150,material!A:D,3,0),"")</f>
        <v/>
      </c>
    </row>
    <row r="8151" ht="11.25" customHeight="1">
      <c r="A8151" s="21"/>
      <c r="B8151" s="22"/>
      <c r="C8151" s="21"/>
      <c r="D8151" s="21"/>
      <c r="E8151" s="21"/>
      <c r="F8151" s="21"/>
      <c r="G8151" s="25"/>
      <c r="H8151" s="24" t="str">
        <f>IFERROR(VLOOKUP(B8151,material!A:D,3,0),"")</f>
        <v/>
      </c>
    </row>
    <row r="8152" ht="11.25" customHeight="1">
      <c r="A8152" s="21"/>
      <c r="B8152" s="22"/>
      <c r="C8152" s="21"/>
      <c r="D8152" s="21"/>
      <c r="E8152" s="21"/>
      <c r="F8152" s="21"/>
      <c r="G8152" s="25"/>
      <c r="H8152" s="24" t="str">
        <f>IFERROR(VLOOKUP(B8152,material!A:D,3,0),"")</f>
        <v/>
      </c>
    </row>
    <row r="8153" ht="11.25" customHeight="1">
      <c r="A8153" s="21"/>
      <c r="B8153" s="22"/>
      <c r="C8153" s="21"/>
      <c r="D8153" s="21"/>
      <c r="E8153" s="21"/>
      <c r="F8153" s="21"/>
      <c r="G8153" s="25"/>
      <c r="H8153" s="24" t="str">
        <f>IFERROR(VLOOKUP(B8153,material!A:D,3,0),"")</f>
        <v/>
      </c>
    </row>
    <row r="8154" ht="11.25" customHeight="1">
      <c r="A8154" s="21"/>
      <c r="B8154" s="22"/>
      <c r="C8154" s="21"/>
      <c r="D8154" s="21"/>
      <c r="E8154" s="21"/>
      <c r="F8154" s="21"/>
      <c r="G8154" s="25"/>
      <c r="H8154" s="24" t="str">
        <f>IFERROR(VLOOKUP(B8154,material!A:D,3,0),"")</f>
        <v/>
      </c>
    </row>
    <row r="8155" ht="11.25" customHeight="1">
      <c r="A8155" s="21"/>
      <c r="B8155" s="22"/>
      <c r="C8155" s="21"/>
      <c r="D8155" s="21"/>
      <c r="E8155" s="21"/>
      <c r="F8155" s="21"/>
      <c r="G8155" s="25"/>
      <c r="H8155" s="24" t="str">
        <f>IFERROR(VLOOKUP(B8155,material!A:D,3,0),"")</f>
        <v/>
      </c>
    </row>
    <row r="8156" ht="11.25" customHeight="1">
      <c r="A8156" s="21"/>
      <c r="B8156" s="22"/>
      <c r="C8156" s="21"/>
      <c r="D8156" s="21"/>
      <c r="E8156" s="21"/>
      <c r="F8156" s="21"/>
      <c r="G8156" s="25"/>
      <c r="H8156" s="24" t="str">
        <f>IFERROR(VLOOKUP(B8156,material!A:D,3,0),"")</f>
        <v/>
      </c>
    </row>
    <row r="8157" ht="11.25" customHeight="1">
      <c r="A8157" s="21"/>
      <c r="B8157" s="22"/>
      <c r="C8157" s="21"/>
      <c r="D8157" s="21"/>
      <c r="E8157" s="21"/>
      <c r="F8157" s="21"/>
      <c r="G8157" s="25"/>
      <c r="H8157" s="24" t="str">
        <f>IFERROR(VLOOKUP(B8157,material!A:D,3,0),"")</f>
        <v/>
      </c>
    </row>
    <row r="8158" ht="11.25" customHeight="1">
      <c r="A8158" s="21"/>
      <c r="B8158" s="22"/>
      <c r="C8158" s="21"/>
      <c r="D8158" s="21"/>
      <c r="E8158" s="21"/>
      <c r="F8158" s="21"/>
      <c r="G8158" s="25"/>
      <c r="H8158" s="24" t="str">
        <f>IFERROR(VLOOKUP(B8158,material!A:D,3,0),"")</f>
        <v/>
      </c>
    </row>
    <row r="8159" ht="11.25" customHeight="1">
      <c r="A8159" s="21"/>
      <c r="B8159" s="22"/>
      <c r="C8159" s="21"/>
      <c r="D8159" s="21"/>
      <c r="E8159" s="21"/>
      <c r="F8159" s="21"/>
      <c r="G8159" s="25"/>
      <c r="H8159" s="24" t="str">
        <f>IFERROR(VLOOKUP(B8159,material!A:D,3,0),"")</f>
        <v/>
      </c>
    </row>
    <row r="8160" ht="11.25" customHeight="1">
      <c r="A8160" s="21"/>
      <c r="B8160" s="22"/>
      <c r="C8160" s="21"/>
      <c r="D8160" s="21"/>
      <c r="E8160" s="21"/>
      <c r="F8160" s="21"/>
      <c r="G8160" s="25"/>
      <c r="H8160" s="24" t="str">
        <f>IFERROR(VLOOKUP(B8160,material!A:D,3,0),"")</f>
        <v/>
      </c>
    </row>
    <row r="8161" ht="11.25" customHeight="1">
      <c r="A8161" s="21"/>
      <c r="B8161" s="22"/>
      <c r="C8161" s="21"/>
      <c r="D8161" s="21"/>
      <c r="E8161" s="21"/>
      <c r="F8161" s="21"/>
      <c r="G8161" s="25"/>
      <c r="H8161" s="24" t="str">
        <f>IFERROR(VLOOKUP(B8161,material!A:D,3,0),"")</f>
        <v/>
      </c>
    </row>
    <row r="8162" ht="11.25" customHeight="1">
      <c r="A8162" s="21"/>
      <c r="B8162" s="22"/>
      <c r="C8162" s="21"/>
      <c r="D8162" s="21"/>
      <c r="E8162" s="21"/>
      <c r="F8162" s="21"/>
      <c r="G8162" s="25"/>
      <c r="H8162" s="24" t="str">
        <f>IFERROR(VLOOKUP(B8162,material!A:D,3,0),"")</f>
        <v/>
      </c>
    </row>
    <row r="8163" ht="11.25" customHeight="1">
      <c r="A8163" s="21"/>
      <c r="B8163" s="22"/>
      <c r="C8163" s="21"/>
      <c r="D8163" s="21"/>
      <c r="E8163" s="21"/>
      <c r="F8163" s="21"/>
      <c r="G8163" s="25"/>
      <c r="H8163" s="24" t="str">
        <f>IFERROR(VLOOKUP(B8163,material!A:D,3,0),"")</f>
        <v/>
      </c>
    </row>
    <row r="8164" ht="11.25" customHeight="1">
      <c r="A8164" s="21"/>
      <c r="B8164" s="22"/>
      <c r="C8164" s="21"/>
      <c r="D8164" s="21"/>
      <c r="E8164" s="21"/>
      <c r="F8164" s="21"/>
      <c r="G8164" s="25"/>
      <c r="H8164" s="24" t="str">
        <f>IFERROR(VLOOKUP(B8164,material!A:D,3,0),"")</f>
        <v/>
      </c>
    </row>
    <row r="8165" ht="11.25" customHeight="1">
      <c r="A8165" s="21"/>
      <c r="B8165" s="22"/>
      <c r="C8165" s="21"/>
      <c r="D8165" s="21"/>
      <c r="E8165" s="21"/>
      <c r="F8165" s="21"/>
      <c r="G8165" s="25"/>
      <c r="H8165" s="24" t="str">
        <f>IFERROR(VLOOKUP(B8165,material!A:D,3,0),"")</f>
        <v/>
      </c>
    </row>
    <row r="8166" ht="11.25" customHeight="1">
      <c r="A8166" s="21"/>
      <c r="B8166" s="22"/>
      <c r="C8166" s="21"/>
      <c r="D8166" s="21"/>
      <c r="E8166" s="21"/>
      <c r="F8166" s="21"/>
      <c r="G8166" s="25"/>
      <c r="H8166" s="24" t="str">
        <f>IFERROR(VLOOKUP(B8166,material!A:D,3,0),"")</f>
        <v/>
      </c>
    </row>
    <row r="8167" ht="11.25" customHeight="1">
      <c r="A8167" s="21"/>
      <c r="B8167" s="22"/>
      <c r="C8167" s="21"/>
      <c r="D8167" s="21"/>
      <c r="E8167" s="21"/>
      <c r="F8167" s="21"/>
      <c r="G8167" s="25"/>
      <c r="H8167" s="24" t="str">
        <f>IFERROR(VLOOKUP(B8167,material!A:D,3,0),"")</f>
        <v/>
      </c>
    </row>
    <row r="8168" ht="11.25" customHeight="1">
      <c r="A8168" s="21"/>
      <c r="B8168" s="22"/>
      <c r="C8168" s="21"/>
      <c r="D8168" s="21"/>
      <c r="E8168" s="21"/>
      <c r="F8168" s="21"/>
      <c r="G8168" s="25"/>
      <c r="H8168" s="24" t="str">
        <f>IFERROR(VLOOKUP(B8168,material!A:D,3,0),"")</f>
        <v/>
      </c>
    </row>
    <row r="8169" ht="11.25" customHeight="1">
      <c r="A8169" s="21"/>
      <c r="B8169" s="22"/>
      <c r="C8169" s="21"/>
      <c r="D8169" s="21"/>
      <c r="E8169" s="21"/>
      <c r="F8169" s="21"/>
      <c r="G8169" s="25"/>
      <c r="H8169" s="24" t="str">
        <f>IFERROR(VLOOKUP(B8169,material!A:D,3,0),"")</f>
        <v/>
      </c>
    </row>
    <row r="8170" ht="11.25" customHeight="1">
      <c r="A8170" s="21"/>
      <c r="B8170" s="22"/>
      <c r="C8170" s="21"/>
      <c r="D8170" s="21"/>
      <c r="E8170" s="21"/>
      <c r="F8170" s="21"/>
      <c r="G8170" s="25"/>
      <c r="H8170" s="24" t="str">
        <f>IFERROR(VLOOKUP(B8170,material!A:D,3,0),"")</f>
        <v/>
      </c>
    </row>
    <row r="8171" ht="11.25" customHeight="1">
      <c r="A8171" s="21"/>
      <c r="B8171" s="22"/>
      <c r="C8171" s="21"/>
      <c r="D8171" s="21"/>
      <c r="E8171" s="21"/>
      <c r="F8171" s="21"/>
      <c r="G8171" s="25"/>
      <c r="H8171" s="24" t="str">
        <f>IFERROR(VLOOKUP(B8171,material!A:D,3,0),"")</f>
        <v/>
      </c>
    </row>
    <row r="8172" ht="11.25" customHeight="1">
      <c r="A8172" s="21"/>
      <c r="B8172" s="22"/>
      <c r="C8172" s="21"/>
      <c r="D8172" s="21"/>
      <c r="E8172" s="21"/>
      <c r="F8172" s="21"/>
      <c r="G8172" s="25"/>
      <c r="H8172" s="24" t="str">
        <f>IFERROR(VLOOKUP(B8172,material!A:D,3,0),"")</f>
        <v/>
      </c>
    </row>
    <row r="8173" ht="11.25" customHeight="1">
      <c r="A8173" s="21"/>
      <c r="B8173" s="22"/>
      <c r="C8173" s="21"/>
      <c r="D8173" s="21"/>
      <c r="E8173" s="21"/>
      <c r="F8173" s="21"/>
      <c r="G8173" s="25"/>
      <c r="H8173" s="24" t="str">
        <f>IFERROR(VLOOKUP(B8173,material!A:D,3,0),"")</f>
        <v/>
      </c>
    </row>
    <row r="8174" ht="11.25" customHeight="1">
      <c r="A8174" s="21"/>
      <c r="B8174" s="22"/>
      <c r="C8174" s="21"/>
      <c r="D8174" s="21"/>
      <c r="E8174" s="21"/>
      <c r="F8174" s="21"/>
      <c r="G8174" s="25"/>
      <c r="H8174" s="24" t="str">
        <f>IFERROR(VLOOKUP(B8174,material!A:D,3,0),"")</f>
        <v/>
      </c>
    </row>
    <row r="8175" ht="11.25" customHeight="1">
      <c r="A8175" s="21"/>
      <c r="B8175" s="22"/>
      <c r="C8175" s="21"/>
      <c r="D8175" s="21"/>
      <c r="E8175" s="21"/>
      <c r="F8175" s="21"/>
      <c r="G8175" s="25"/>
      <c r="H8175" s="24" t="str">
        <f>IFERROR(VLOOKUP(B8175,material!A:D,3,0),"")</f>
        <v/>
      </c>
    </row>
    <row r="8176" ht="11.25" customHeight="1">
      <c r="A8176" s="21"/>
      <c r="B8176" s="22"/>
      <c r="C8176" s="21"/>
      <c r="D8176" s="21"/>
      <c r="E8176" s="21"/>
      <c r="F8176" s="21"/>
      <c r="G8176" s="25"/>
      <c r="H8176" s="24" t="str">
        <f>IFERROR(VLOOKUP(B8176,material!A:D,3,0),"")</f>
        <v/>
      </c>
    </row>
    <row r="8177" ht="11.25" customHeight="1">
      <c r="A8177" s="21"/>
      <c r="B8177" s="22"/>
      <c r="C8177" s="21"/>
      <c r="D8177" s="21"/>
      <c r="E8177" s="21"/>
      <c r="F8177" s="21"/>
      <c r="G8177" s="25"/>
      <c r="H8177" s="24" t="str">
        <f>IFERROR(VLOOKUP(B8177,material!A:D,3,0),"")</f>
        <v/>
      </c>
    </row>
    <row r="8178" ht="11.25" customHeight="1">
      <c r="A8178" s="21"/>
      <c r="B8178" s="22"/>
      <c r="C8178" s="21"/>
      <c r="D8178" s="21"/>
      <c r="E8178" s="21"/>
      <c r="F8178" s="21"/>
      <c r="G8178" s="25"/>
      <c r="H8178" s="24" t="str">
        <f>IFERROR(VLOOKUP(B8178,material!A:D,3,0),"")</f>
        <v/>
      </c>
    </row>
    <row r="8179" ht="11.25" customHeight="1">
      <c r="A8179" s="21"/>
      <c r="B8179" s="22"/>
      <c r="C8179" s="21"/>
      <c r="D8179" s="21"/>
      <c r="E8179" s="21"/>
      <c r="F8179" s="21"/>
      <c r="G8179" s="25"/>
      <c r="H8179" s="24" t="str">
        <f>IFERROR(VLOOKUP(B8179,material!A:D,3,0),"")</f>
        <v/>
      </c>
    </row>
    <row r="8180" ht="11.25" customHeight="1">
      <c r="A8180" s="21"/>
      <c r="B8180" s="22"/>
      <c r="C8180" s="21"/>
      <c r="D8180" s="21"/>
      <c r="E8180" s="21"/>
      <c r="F8180" s="21"/>
      <c r="G8180" s="25"/>
      <c r="H8180" s="24" t="str">
        <f>IFERROR(VLOOKUP(B8180,material!A:D,3,0),"")</f>
        <v/>
      </c>
    </row>
    <row r="8181" ht="11.25" customHeight="1">
      <c r="A8181" s="21"/>
      <c r="B8181" s="22"/>
      <c r="C8181" s="21"/>
      <c r="D8181" s="21"/>
      <c r="E8181" s="21"/>
      <c r="F8181" s="21"/>
      <c r="G8181" s="25"/>
      <c r="H8181" s="24" t="str">
        <f>IFERROR(VLOOKUP(B8181,material!A:D,3,0),"")</f>
        <v/>
      </c>
    </row>
    <row r="8182" ht="11.25" customHeight="1">
      <c r="A8182" s="21"/>
      <c r="B8182" s="22"/>
      <c r="C8182" s="21"/>
      <c r="D8182" s="21"/>
      <c r="E8182" s="21"/>
      <c r="F8182" s="21"/>
      <c r="G8182" s="25"/>
      <c r="H8182" s="24" t="str">
        <f>IFERROR(VLOOKUP(B8182,material!A:D,3,0),"")</f>
        <v/>
      </c>
    </row>
    <row r="8183" ht="11.25" customHeight="1">
      <c r="A8183" s="21"/>
      <c r="B8183" s="22"/>
      <c r="C8183" s="21"/>
      <c r="D8183" s="21"/>
      <c r="E8183" s="21"/>
      <c r="F8183" s="21"/>
      <c r="G8183" s="25"/>
      <c r="H8183" s="24" t="str">
        <f>IFERROR(VLOOKUP(B8183,material!A:D,3,0),"")</f>
        <v/>
      </c>
    </row>
    <row r="8184" ht="11.25" customHeight="1">
      <c r="A8184" s="21"/>
      <c r="B8184" s="22"/>
      <c r="C8184" s="21"/>
      <c r="D8184" s="21"/>
      <c r="E8184" s="21"/>
      <c r="F8184" s="21"/>
      <c r="G8184" s="25"/>
      <c r="H8184" s="24" t="str">
        <f>IFERROR(VLOOKUP(B8184,material!A:D,3,0),"")</f>
        <v/>
      </c>
    </row>
    <row r="8185" ht="11.25" customHeight="1">
      <c r="A8185" s="21"/>
      <c r="B8185" s="22"/>
      <c r="C8185" s="21"/>
      <c r="D8185" s="21"/>
      <c r="E8185" s="21"/>
      <c r="F8185" s="21"/>
      <c r="G8185" s="25"/>
      <c r="H8185" s="24" t="str">
        <f>IFERROR(VLOOKUP(B8185,material!A:D,3,0),"")</f>
        <v/>
      </c>
    </row>
    <row r="8186" ht="11.25" customHeight="1">
      <c r="A8186" s="21"/>
      <c r="B8186" s="22"/>
      <c r="C8186" s="21"/>
      <c r="D8186" s="21"/>
      <c r="E8186" s="21"/>
      <c r="F8186" s="21"/>
      <c r="G8186" s="25"/>
      <c r="H8186" s="24" t="str">
        <f>IFERROR(VLOOKUP(B8186,material!A:D,3,0),"")</f>
        <v/>
      </c>
    </row>
    <row r="8187" ht="11.25" customHeight="1">
      <c r="A8187" s="21"/>
      <c r="B8187" s="22"/>
      <c r="C8187" s="21"/>
      <c r="D8187" s="21"/>
      <c r="E8187" s="21"/>
      <c r="F8187" s="21"/>
      <c r="G8187" s="25"/>
      <c r="H8187" s="24" t="str">
        <f>IFERROR(VLOOKUP(B8187,material!A:D,3,0),"")</f>
        <v/>
      </c>
    </row>
    <row r="8188" ht="11.25" customHeight="1">
      <c r="A8188" s="21"/>
      <c r="B8188" s="22"/>
      <c r="C8188" s="21"/>
      <c r="D8188" s="21"/>
      <c r="E8188" s="21"/>
      <c r="F8188" s="21"/>
      <c r="G8188" s="25"/>
      <c r="H8188" s="24" t="str">
        <f>IFERROR(VLOOKUP(B8188,material!A:D,3,0),"")</f>
        <v/>
      </c>
    </row>
    <row r="8189" ht="11.25" customHeight="1">
      <c r="A8189" s="21"/>
      <c r="B8189" s="22"/>
      <c r="C8189" s="21"/>
      <c r="D8189" s="21"/>
      <c r="E8189" s="21"/>
      <c r="F8189" s="21"/>
      <c r="G8189" s="25"/>
      <c r="H8189" s="24" t="str">
        <f>IFERROR(VLOOKUP(B8189,material!A:D,3,0),"")</f>
        <v/>
      </c>
    </row>
    <row r="8190" ht="11.25" customHeight="1">
      <c r="A8190" s="21"/>
      <c r="B8190" s="26"/>
      <c r="C8190" s="21"/>
      <c r="D8190" s="21"/>
      <c r="E8190" s="21"/>
      <c r="F8190" s="21"/>
      <c r="G8190" s="25"/>
      <c r="H8190" s="24" t="str">
        <f>IFERROR(VLOOKUP(B8190,material!A:D,3,0),"")</f>
        <v/>
      </c>
    </row>
    <row r="8191" ht="11.25" customHeight="1">
      <c r="A8191" s="21"/>
      <c r="B8191" s="22"/>
      <c r="C8191" s="21"/>
      <c r="D8191" s="21"/>
      <c r="E8191" s="21"/>
      <c r="F8191" s="21"/>
      <c r="G8191" s="25"/>
      <c r="H8191" s="24" t="str">
        <f>IFERROR(VLOOKUP(B8191,material!A:D,3,0),"")</f>
        <v/>
      </c>
    </row>
    <row r="8192" ht="11.25" customHeight="1">
      <c r="A8192" s="21"/>
      <c r="B8192" s="22"/>
      <c r="C8192" s="21"/>
      <c r="D8192" s="21"/>
      <c r="E8192" s="21"/>
      <c r="F8192" s="21"/>
      <c r="G8192" s="25"/>
      <c r="H8192" s="24" t="str">
        <f>IFERROR(VLOOKUP(B8192,material!A:D,3,0),"")</f>
        <v/>
      </c>
    </row>
    <row r="8193" ht="11.25" customHeight="1">
      <c r="A8193" s="21"/>
      <c r="B8193" s="22"/>
      <c r="C8193" s="21"/>
      <c r="D8193" s="21"/>
      <c r="E8193" s="21"/>
      <c r="F8193" s="21"/>
      <c r="G8193" s="25"/>
      <c r="H8193" s="24" t="str">
        <f>IFERROR(VLOOKUP(B8193,material!A:D,3,0),"")</f>
        <v/>
      </c>
    </row>
    <row r="8194" ht="11.25" customHeight="1">
      <c r="A8194" s="21"/>
      <c r="B8194" s="22"/>
      <c r="C8194" s="21"/>
      <c r="D8194" s="21"/>
      <c r="E8194" s="21"/>
      <c r="F8194" s="21"/>
      <c r="G8194" s="25"/>
      <c r="H8194" s="24" t="str">
        <f>IFERROR(VLOOKUP(B8194,material!A:D,3,0),"")</f>
        <v/>
      </c>
    </row>
    <row r="8195" ht="11.25" customHeight="1">
      <c r="A8195" s="21"/>
      <c r="B8195" s="22"/>
      <c r="C8195" s="21"/>
      <c r="D8195" s="21"/>
      <c r="E8195" s="21"/>
      <c r="F8195" s="21"/>
      <c r="G8195" s="25"/>
      <c r="H8195" s="24" t="str">
        <f>IFERROR(VLOOKUP(B8195,material!A:D,3,0),"")</f>
        <v/>
      </c>
    </row>
    <row r="8196" ht="11.25" customHeight="1">
      <c r="A8196" s="21"/>
      <c r="B8196" s="22"/>
      <c r="C8196" s="21"/>
      <c r="D8196" s="21"/>
      <c r="E8196" s="21"/>
      <c r="F8196" s="21"/>
      <c r="G8196" s="25"/>
      <c r="H8196" s="24" t="str">
        <f>IFERROR(VLOOKUP(B8196,material!A:D,3,0),"")</f>
        <v/>
      </c>
    </row>
    <row r="8197" ht="11.25" customHeight="1">
      <c r="A8197" s="21"/>
      <c r="B8197" s="22"/>
      <c r="C8197" s="21"/>
      <c r="D8197" s="21"/>
      <c r="E8197" s="21"/>
      <c r="F8197" s="21"/>
      <c r="G8197" s="25"/>
      <c r="H8197" s="24" t="str">
        <f>IFERROR(VLOOKUP(B8197,material!A:D,3,0),"")</f>
        <v/>
      </c>
    </row>
    <row r="8198" ht="11.25" customHeight="1">
      <c r="A8198" s="21"/>
      <c r="B8198" s="22"/>
      <c r="C8198" s="21"/>
      <c r="D8198" s="21"/>
      <c r="E8198" s="21"/>
      <c r="F8198" s="21"/>
      <c r="G8198" s="25"/>
      <c r="H8198" s="24" t="str">
        <f>IFERROR(VLOOKUP(B8198,material!A:D,3,0),"")</f>
        <v/>
      </c>
    </row>
    <row r="8199" ht="11.25" customHeight="1">
      <c r="A8199" s="21"/>
      <c r="B8199" s="22"/>
      <c r="C8199" s="21"/>
      <c r="D8199" s="21"/>
      <c r="E8199" s="21"/>
      <c r="F8199" s="21"/>
      <c r="G8199" s="25"/>
      <c r="H8199" s="24" t="str">
        <f>IFERROR(VLOOKUP(B8199,material!A:D,3,0),"")</f>
        <v/>
      </c>
    </row>
    <row r="8200" ht="11.25" customHeight="1">
      <c r="A8200" s="21"/>
      <c r="B8200" s="22"/>
      <c r="C8200" s="21"/>
      <c r="D8200" s="21"/>
      <c r="E8200" s="21"/>
      <c r="F8200" s="21"/>
      <c r="G8200" s="25"/>
      <c r="H8200" s="24" t="str">
        <f>IFERROR(VLOOKUP(B8200,material!A:D,3,0),"")</f>
        <v/>
      </c>
    </row>
    <row r="8201" ht="11.25" customHeight="1">
      <c r="A8201" s="21"/>
      <c r="B8201" s="22"/>
      <c r="C8201" s="21"/>
      <c r="D8201" s="21"/>
      <c r="E8201" s="21"/>
      <c r="F8201" s="21"/>
      <c r="G8201" s="25"/>
      <c r="H8201" s="24" t="str">
        <f>IFERROR(VLOOKUP(B8201,material!A:D,3,0),"")</f>
        <v/>
      </c>
    </row>
    <row r="8202" ht="11.25" customHeight="1">
      <c r="A8202" s="21"/>
      <c r="B8202" s="22"/>
      <c r="C8202" s="21"/>
      <c r="D8202" s="21"/>
      <c r="E8202" s="21"/>
      <c r="F8202" s="21"/>
      <c r="G8202" s="25"/>
      <c r="H8202" s="24" t="str">
        <f>IFERROR(VLOOKUP(B8202,material!A:D,3,0),"")</f>
        <v/>
      </c>
    </row>
    <row r="8203" ht="11.25" customHeight="1">
      <c r="A8203" s="21"/>
      <c r="B8203" s="22"/>
      <c r="C8203" s="21"/>
      <c r="D8203" s="21"/>
      <c r="E8203" s="21"/>
      <c r="F8203" s="21"/>
      <c r="G8203" s="25"/>
      <c r="H8203" s="24" t="str">
        <f>IFERROR(VLOOKUP(B8203,material!A:D,3,0),"")</f>
        <v/>
      </c>
    </row>
    <row r="8204" ht="11.25" customHeight="1">
      <c r="A8204" s="21"/>
      <c r="B8204" s="22"/>
      <c r="C8204" s="21"/>
      <c r="D8204" s="21"/>
      <c r="E8204" s="21"/>
      <c r="F8204" s="21"/>
      <c r="G8204" s="25"/>
      <c r="H8204" s="24" t="str">
        <f>IFERROR(VLOOKUP(B8204,material!A:D,3,0),"")</f>
        <v/>
      </c>
    </row>
    <row r="8205" ht="11.25" customHeight="1">
      <c r="A8205" s="21"/>
      <c r="B8205" s="22"/>
      <c r="C8205" s="21"/>
      <c r="D8205" s="21"/>
      <c r="E8205" s="21"/>
      <c r="F8205" s="21"/>
      <c r="G8205" s="25"/>
      <c r="H8205" s="24" t="str">
        <f>IFERROR(VLOOKUP(B8205,material!A:D,3,0),"")</f>
        <v/>
      </c>
    </row>
    <row r="8206" ht="11.25" customHeight="1">
      <c r="A8206" s="21"/>
      <c r="B8206" s="22"/>
      <c r="C8206" s="21"/>
      <c r="D8206" s="21"/>
      <c r="E8206" s="21"/>
      <c r="F8206" s="21"/>
      <c r="G8206" s="25"/>
      <c r="H8206" s="24" t="str">
        <f>IFERROR(VLOOKUP(B8206,material!A:D,3,0),"")</f>
        <v/>
      </c>
    </row>
    <row r="8207" ht="11.25" customHeight="1">
      <c r="A8207" s="21"/>
      <c r="B8207" s="22"/>
      <c r="C8207" s="21"/>
      <c r="D8207" s="21"/>
      <c r="E8207" s="21"/>
      <c r="F8207" s="21"/>
      <c r="G8207" s="25"/>
      <c r="H8207" s="24" t="str">
        <f>IFERROR(VLOOKUP(B8207,material!A:D,3,0),"")</f>
        <v/>
      </c>
    </row>
    <row r="8208" ht="11.25" customHeight="1">
      <c r="A8208" s="21"/>
      <c r="B8208" s="22"/>
      <c r="C8208" s="21"/>
      <c r="D8208" s="21"/>
      <c r="E8208" s="21"/>
      <c r="F8208" s="21"/>
      <c r="G8208" s="25"/>
      <c r="H8208" s="24" t="str">
        <f>IFERROR(VLOOKUP(B8208,material!A:D,3,0),"")</f>
        <v/>
      </c>
    </row>
    <row r="8209" ht="11.25" customHeight="1">
      <c r="A8209" s="21"/>
      <c r="B8209" s="22"/>
      <c r="C8209" s="21"/>
      <c r="D8209" s="21"/>
      <c r="E8209" s="21"/>
      <c r="F8209" s="21"/>
      <c r="G8209" s="25"/>
      <c r="H8209" s="24" t="str">
        <f>IFERROR(VLOOKUP(B8209,material!A:D,3,0),"")</f>
        <v/>
      </c>
    </row>
    <row r="8210" ht="11.25" customHeight="1">
      <c r="A8210" s="21"/>
      <c r="B8210" s="22"/>
      <c r="C8210" s="21"/>
      <c r="D8210" s="21"/>
      <c r="E8210" s="21"/>
      <c r="F8210" s="21"/>
      <c r="G8210" s="25"/>
      <c r="H8210" s="24" t="str">
        <f>IFERROR(VLOOKUP(B8210,material!A:D,3,0),"")</f>
        <v/>
      </c>
    </row>
    <row r="8211" ht="11.25" customHeight="1">
      <c r="A8211" s="21"/>
      <c r="B8211" s="22"/>
      <c r="C8211" s="21"/>
      <c r="D8211" s="21"/>
      <c r="E8211" s="21"/>
      <c r="F8211" s="21"/>
      <c r="G8211" s="25"/>
      <c r="H8211" s="24" t="str">
        <f>IFERROR(VLOOKUP(B8211,material!A:D,3,0),"")</f>
        <v/>
      </c>
    </row>
    <row r="8212" ht="11.25" customHeight="1">
      <c r="A8212" s="21"/>
      <c r="B8212" s="22"/>
      <c r="C8212" s="21"/>
      <c r="D8212" s="21"/>
      <c r="E8212" s="21"/>
      <c r="F8212" s="21"/>
      <c r="G8212" s="25"/>
      <c r="H8212" s="24" t="str">
        <f>IFERROR(VLOOKUP(B8212,material!A:D,3,0),"")</f>
        <v/>
      </c>
    </row>
    <row r="8213" ht="11.25" customHeight="1">
      <c r="A8213" s="21"/>
      <c r="B8213" s="22"/>
      <c r="C8213" s="21"/>
      <c r="D8213" s="21"/>
      <c r="E8213" s="21"/>
      <c r="F8213" s="21"/>
      <c r="G8213" s="25"/>
      <c r="H8213" s="24" t="str">
        <f>IFERROR(VLOOKUP(B8213,material!A:D,3,0),"")</f>
        <v/>
      </c>
    </row>
    <row r="8214" ht="11.25" customHeight="1">
      <c r="A8214" s="21"/>
      <c r="B8214" s="22"/>
      <c r="C8214" s="21"/>
      <c r="D8214" s="21"/>
      <c r="E8214" s="21"/>
      <c r="F8214" s="21"/>
      <c r="G8214" s="25"/>
      <c r="H8214" s="24" t="str">
        <f>IFERROR(VLOOKUP(B8214,material!A:D,3,0),"")</f>
        <v/>
      </c>
    </row>
    <row r="8215" ht="11.25" customHeight="1">
      <c r="A8215" s="21"/>
      <c r="B8215" s="22"/>
      <c r="C8215" s="21"/>
      <c r="D8215" s="21"/>
      <c r="E8215" s="21"/>
      <c r="F8215" s="21"/>
      <c r="G8215" s="25"/>
      <c r="H8215" s="24" t="str">
        <f>IFERROR(VLOOKUP(B8215,material!A:D,3,0),"")</f>
        <v/>
      </c>
    </row>
    <row r="8216" ht="11.25" customHeight="1">
      <c r="A8216" s="21"/>
      <c r="B8216" s="22"/>
      <c r="C8216" s="21"/>
      <c r="D8216" s="21"/>
      <c r="E8216" s="21"/>
      <c r="F8216" s="21"/>
      <c r="G8216" s="25"/>
      <c r="H8216" s="24" t="str">
        <f>IFERROR(VLOOKUP(B8216,material!A:D,3,0),"")</f>
        <v/>
      </c>
    </row>
    <row r="8217" ht="11.25" customHeight="1">
      <c r="A8217" s="21"/>
      <c r="B8217" s="22"/>
      <c r="C8217" s="21"/>
      <c r="D8217" s="21"/>
      <c r="E8217" s="21"/>
      <c r="F8217" s="21"/>
      <c r="G8217" s="25"/>
      <c r="H8217" s="24" t="str">
        <f>IFERROR(VLOOKUP(B8217,material!A:D,3,0),"")</f>
        <v/>
      </c>
    </row>
    <row r="8218" ht="11.25" customHeight="1">
      <c r="A8218" s="21"/>
      <c r="B8218" s="22"/>
      <c r="C8218" s="21"/>
      <c r="D8218" s="21"/>
      <c r="E8218" s="21"/>
      <c r="F8218" s="21"/>
      <c r="G8218" s="25"/>
      <c r="H8218" s="24" t="str">
        <f>IFERROR(VLOOKUP(B8218,material!A:D,3,0),"")</f>
        <v/>
      </c>
    </row>
    <row r="8219" ht="11.25" customHeight="1">
      <c r="A8219" s="21"/>
      <c r="B8219" s="22"/>
      <c r="C8219" s="21"/>
      <c r="D8219" s="21"/>
      <c r="E8219" s="21"/>
      <c r="F8219" s="21"/>
      <c r="G8219" s="25"/>
      <c r="H8219" s="24" t="str">
        <f>IFERROR(VLOOKUP(B8219,material!A:D,3,0),"")</f>
        <v/>
      </c>
    </row>
    <row r="8220" ht="11.25" customHeight="1">
      <c r="A8220" s="21"/>
      <c r="B8220" s="22"/>
      <c r="C8220" s="21"/>
      <c r="D8220" s="21"/>
      <c r="E8220" s="21"/>
      <c r="F8220" s="21"/>
      <c r="G8220" s="25"/>
      <c r="H8220" s="24" t="str">
        <f>IFERROR(VLOOKUP(B8220,material!A:D,3,0),"")</f>
        <v/>
      </c>
    </row>
    <row r="8221" ht="11.25" customHeight="1">
      <c r="A8221" s="21"/>
      <c r="B8221" s="22"/>
      <c r="C8221" s="21"/>
      <c r="D8221" s="21"/>
      <c r="E8221" s="21"/>
      <c r="F8221" s="21"/>
      <c r="G8221" s="25"/>
      <c r="H8221" s="24" t="str">
        <f>IFERROR(VLOOKUP(B8221,material!A:D,3,0),"")</f>
        <v/>
      </c>
    </row>
    <row r="8222" ht="11.25" customHeight="1">
      <c r="A8222" s="21"/>
      <c r="B8222" s="22"/>
      <c r="C8222" s="21"/>
      <c r="D8222" s="21"/>
      <c r="E8222" s="21"/>
      <c r="F8222" s="21"/>
      <c r="G8222" s="25"/>
      <c r="H8222" s="24" t="str">
        <f>IFERROR(VLOOKUP(B8222,material!A:D,3,0),"")</f>
        <v/>
      </c>
    </row>
    <row r="8223" ht="11.25" customHeight="1">
      <c r="A8223" s="21"/>
      <c r="B8223" s="22"/>
      <c r="C8223" s="21"/>
      <c r="D8223" s="21"/>
      <c r="E8223" s="21"/>
      <c r="F8223" s="21"/>
      <c r="G8223" s="25"/>
      <c r="H8223" s="24" t="str">
        <f>IFERROR(VLOOKUP(B8223,material!A:D,3,0),"")</f>
        <v/>
      </c>
    </row>
    <row r="8224" ht="11.25" customHeight="1">
      <c r="A8224" s="21"/>
      <c r="B8224" s="22"/>
      <c r="C8224" s="21"/>
      <c r="D8224" s="21"/>
      <c r="E8224" s="21"/>
      <c r="F8224" s="21"/>
      <c r="G8224" s="25"/>
      <c r="H8224" s="24" t="str">
        <f>IFERROR(VLOOKUP(B8224,material!A:D,3,0),"")</f>
        <v/>
      </c>
    </row>
    <row r="8225" ht="11.25" customHeight="1">
      <c r="A8225" s="21"/>
      <c r="B8225" s="22"/>
      <c r="C8225" s="21"/>
      <c r="D8225" s="21"/>
      <c r="E8225" s="21"/>
      <c r="F8225" s="21"/>
      <c r="G8225" s="25"/>
      <c r="H8225" s="24" t="str">
        <f>IFERROR(VLOOKUP(B8225,material!A:D,3,0),"")</f>
        <v/>
      </c>
    </row>
    <row r="8226" ht="11.25" customHeight="1">
      <c r="A8226" s="21"/>
      <c r="B8226" s="22"/>
      <c r="C8226" s="21"/>
      <c r="D8226" s="21"/>
      <c r="E8226" s="21"/>
      <c r="F8226" s="21"/>
      <c r="G8226" s="25"/>
      <c r="H8226" s="24" t="str">
        <f>IFERROR(VLOOKUP(B8226,material!A:D,3,0),"")</f>
        <v/>
      </c>
    </row>
    <row r="8227" ht="11.25" customHeight="1">
      <c r="A8227" s="21"/>
      <c r="B8227" s="22"/>
      <c r="C8227" s="21"/>
      <c r="D8227" s="21"/>
      <c r="E8227" s="21"/>
      <c r="F8227" s="21"/>
      <c r="G8227" s="25"/>
      <c r="H8227" s="24" t="str">
        <f>IFERROR(VLOOKUP(B8227,material!A:D,3,0),"")</f>
        <v/>
      </c>
    </row>
    <row r="8228" ht="11.25" customHeight="1">
      <c r="A8228" s="21"/>
      <c r="B8228" s="22"/>
      <c r="C8228" s="21"/>
      <c r="D8228" s="21"/>
      <c r="E8228" s="21"/>
      <c r="F8228" s="21"/>
      <c r="G8228" s="25"/>
      <c r="H8228" s="24" t="str">
        <f>IFERROR(VLOOKUP(B8228,material!A:D,3,0),"")</f>
        <v/>
      </c>
    </row>
    <row r="8229" ht="11.25" customHeight="1">
      <c r="A8229" s="21"/>
      <c r="B8229" s="22"/>
      <c r="C8229" s="21"/>
      <c r="D8229" s="21"/>
      <c r="E8229" s="21"/>
      <c r="F8229" s="21"/>
      <c r="G8229" s="25"/>
      <c r="H8229" s="24" t="str">
        <f>IFERROR(VLOOKUP(B8229,material!A:D,3,0),"")</f>
        <v/>
      </c>
    </row>
    <row r="8230" ht="11.25" customHeight="1">
      <c r="A8230" s="21"/>
      <c r="B8230" s="22"/>
      <c r="C8230" s="21"/>
      <c r="D8230" s="21"/>
      <c r="E8230" s="21"/>
      <c r="F8230" s="21"/>
      <c r="G8230" s="25"/>
      <c r="H8230" s="24" t="str">
        <f>IFERROR(VLOOKUP(B8230,material!A:D,3,0),"")</f>
        <v/>
      </c>
    </row>
    <row r="8231" ht="11.25" customHeight="1">
      <c r="A8231" s="21"/>
      <c r="B8231" s="22"/>
      <c r="C8231" s="21"/>
      <c r="D8231" s="21"/>
      <c r="E8231" s="21"/>
      <c r="F8231" s="21"/>
      <c r="G8231" s="25"/>
      <c r="H8231" s="24" t="str">
        <f>IFERROR(VLOOKUP(B8231,material!A:D,3,0),"")</f>
        <v/>
      </c>
    </row>
    <row r="8232" ht="11.25" customHeight="1">
      <c r="A8232" s="21"/>
      <c r="B8232" s="22"/>
      <c r="C8232" s="21"/>
      <c r="D8232" s="21"/>
      <c r="E8232" s="21"/>
      <c r="F8232" s="21"/>
      <c r="G8232" s="25"/>
      <c r="H8232" s="24" t="str">
        <f>IFERROR(VLOOKUP(B8232,material!A:D,3,0),"")</f>
        <v/>
      </c>
    </row>
    <row r="8233" ht="11.25" customHeight="1">
      <c r="A8233" s="21"/>
      <c r="B8233" s="22"/>
      <c r="C8233" s="21"/>
      <c r="D8233" s="21"/>
      <c r="E8233" s="21"/>
      <c r="F8233" s="21"/>
      <c r="G8233" s="25"/>
      <c r="H8233" s="24" t="str">
        <f>IFERROR(VLOOKUP(B8233,material!A:D,3,0),"")</f>
        <v/>
      </c>
    </row>
    <row r="8234" ht="11.25" customHeight="1">
      <c r="A8234" s="21"/>
      <c r="B8234" s="22"/>
      <c r="C8234" s="21"/>
      <c r="D8234" s="21"/>
      <c r="E8234" s="21"/>
      <c r="F8234" s="21"/>
      <c r="G8234" s="25"/>
      <c r="H8234" s="24" t="str">
        <f>IFERROR(VLOOKUP(B8234,material!A:D,3,0),"")</f>
        <v/>
      </c>
    </row>
    <row r="8235" ht="11.25" customHeight="1">
      <c r="A8235" s="21"/>
      <c r="B8235" s="22"/>
      <c r="C8235" s="21"/>
      <c r="D8235" s="21"/>
      <c r="E8235" s="21"/>
      <c r="F8235" s="21"/>
      <c r="G8235" s="25"/>
      <c r="H8235" s="24" t="str">
        <f>IFERROR(VLOOKUP(B8235,material!A:D,3,0),"")</f>
        <v/>
      </c>
    </row>
    <row r="8236" ht="11.25" customHeight="1">
      <c r="A8236" s="21"/>
      <c r="B8236" s="22"/>
      <c r="C8236" s="21"/>
      <c r="D8236" s="21"/>
      <c r="E8236" s="21"/>
      <c r="F8236" s="21"/>
      <c r="G8236" s="25"/>
      <c r="H8236" s="24" t="str">
        <f>IFERROR(VLOOKUP(B8236,material!A:D,3,0),"")</f>
        <v/>
      </c>
    </row>
    <row r="8237" ht="11.25" customHeight="1">
      <c r="A8237" s="21"/>
      <c r="B8237" s="22"/>
      <c r="C8237" s="27"/>
      <c r="D8237" s="21"/>
      <c r="E8237" s="21"/>
      <c r="F8237" s="21"/>
      <c r="G8237" s="25"/>
      <c r="H8237" s="24" t="str">
        <f>IFERROR(VLOOKUP(B8237,material!A:D,3,0),"")</f>
        <v/>
      </c>
    </row>
    <row r="8238" ht="11.25" customHeight="1">
      <c r="A8238" s="21"/>
      <c r="B8238" s="22"/>
      <c r="C8238" s="21"/>
      <c r="D8238" s="21"/>
      <c r="E8238" s="21"/>
      <c r="F8238" s="21"/>
      <c r="G8238" s="25"/>
      <c r="H8238" s="24" t="str">
        <f>IFERROR(VLOOKUP(B8238,material!A:D,3,0),"")</f>
        <v/>
      </c>
    </row>
    <row r="8239" ht="11.25" customHeight="1">
      <c r="A8239" s="21"/>
      <c r="B8239" s="22"/>
      <c r="C8239" s="21"/>
      <c r="D8239" s="21"/>
      <c r="E8239" s="21"/>
      <c r="F8239" s="21"/>
      <c r="G8239" s="25"/>
      <c r="H8239" s="24" t="str">
        <f>IFERROR(VLOOKUP(B8239,material!A:D,3,0),"")</f>
        <v/>
      </c>
    </row>
    <row r="8240" ht="11.25" customHeight="1">
      <c r="A8240" s="21"/>
      <c r="B8240" s="22"/>
      <c r="C8240" s="21"/>
      <c r="D8240" s="21"/>
      <c r="E8240" s="21"/>
      <c r="F8240" s="21"/>
      <c r="G8240" s="25"/>
      <c r="H8240" s="24" t="str">
        <f>IFERROR(VLOOKUP(B8240,material!A:D,3,0),"")</f>
        <v/>
      </c>
    </row>
    <row r="8241" ht="11.25" customHeight="1">
      <c r="A8241" s="21"/>
      <c r="B8241" s="22"/>
      <c r="C8241" s="21"/>
      <c r="D8241" s="21"/>
      <c r="E8241" s="21"/>
      <c r="F8241" s="21"/>
      <c r="G8241" s="25"/>
      <c r="H8241" s="24" t="str">
        <f>IFERROR(VLOOKUP(B8241,material!A:D,3,0),"")</f>
        <v/>
      </c>
    </row>
    <row r="8242" ht="11.25" customHeight="1">
      <c r="A8242" s="21"/>
      <c r="B8242" s="22"/>
      <c r="C8242" s="21"/>
      <c r="D8242" s="21"/>
      <c r="E8242" s="21"/>
      <c r="F8242" s="21"/>
      <c r="G8242" s="25"/>
      <c r="H8242" s="24" t="str">
        <f>IFERROR(VLOOKUP(B8242,material!A:D,3,0),"")</f>
        <v/>
      </c>
    </row>
    <row r="8243" ht="11.25" customHeight="1">
      <c r="A8243" s="21"/>
      <c r="B8243" s="22"/>
      <c r="C8243" s="21"/>
      <c r="D8243" s="21"/>
      <c r="E8243" s="21"/>
      <c r="F8243" s="21"/>
      <c r="G8243" s="25"/>
      <c r="H8243" s="24" t="str">
        <f>IFERROR(VLOOKUP(B8243,material!A:D,3,0),"")</f>
        <v/>
      </c>
    </row>
    <row r="8244" ht="11.25" customHeight="1">
      <c r="A8244" s="21"/>
      <c r="B8244" s="22"/>
      <c r="C8244" s="21"/>
      <c r="D8244" s="21"/>
      <c r="E8244" s="21"/>
      <c r="F8244" s="21"/>
      <c r="G8244" s="25"/>
      <c r="H8244" s="24" t="str">
        <f>IFERROR(VLOOKUP(B8244,material!A:D,3,0),"")</f>
        <v/>
      </c>
    </row>
    <row r="8245" ht="11.25" customHeight="1">
      <c r="A8245" s="21"/>
      <c r="B8245" s="22"/>
      <c r="C8245" s="21"/>
      <c r="D8245" s="21"/>
      <c r="E8245" s="21"/>
      <c r="F8245" s="21"/>
      <c r="G8245" s="25"/>
      <c r="H8245" s="24" t="str">
        <f>IFERROR(VLOOKUP(B8245,material!A:D,3,0),"")</f>
        <v/>
      </c>
    </row>
    <row r="8246" ht="11.25" customHeight="1">
      <c r="A8246" s="21"/>
      <c r="B8246" s="22"/>
      <c r="C8246" s="21"/>
      <c r="D8246" s="21"/>
      <c r="E8246" s="21"/>
      <c r="F8246" s="21"/>
      <c r="G8246" s="25"/>
      <c r="H8246" s="24" t="str">
        <f>IFERROR(VLOOKUP(B8246,material!A:D,3,0),"")</f>
        <v/>
      </c>
    </row>
    <row r="8247" ht="11.25" customHeight="1">
      <c r="A8247" s="21"/>
      <c r="B8247" s="22"/>
      <c r="C8247" s="21"/>
      <c r="D8247" s="21"/>
      <c r="E8247" s="21"/>
      <c r="F8247" s="21"/>
      <c r="G8247" s="25"/>
      <c r="H8247" s="24" t="str">
        <f>IFERROR(VLOOKUP(B8247,material!A:D,3,0),"")</f>
        <v/>
      </c>
    </row>
    <row r="8248" ht="11.25" customHeight="1">
      <c r="A8248" s="21"/>
      <c r="B8248" s="22"/>
      <c r="C8248" s="21"/>
      <c r="D8248" s="21"/>
      <c r="E8248" s="21"/>
      <c r="F8248" s="21"/>
      <c r="G8248" s="25"/>
      <c r="H8248" s="24" t="str">
        <f>IFERROR(VLOOKUP(B8248,material!A:D,3,0),"")</f>
        <v/>
      </c>
    </row>
    <row r="8249" ht="11.25" customHeight="1">
      <c r="A8249" s="21"/>
      <c r="B8249" s="22"/>
      <c r="C8249" s="21"/>
      <c r="D8249" s="21"/>
      <c r="E8249" s="21"/>
      <c r="F8249" s="21"/>
      <c r="G8249" s="25"/>
      <c r="H8249" s="24" t="str">
        <f>IFERROR(VLOOKUP(B8249,material!A:D,3,0),"")</f>
        <v/>
      </c>
    </row>
    <row r="8250" ht="11.25" customHeight="1">
      <c r="A8250" s="21"/>
      <c r="B8250" s="22"/>
      <c r="C8250" s="21"/>
      <c r="D8250" s="21"/>
      <c r="E8250" s="21"/>
      <c r="F8250" s="21"/>
      <c r="G8250" s="25"/>
      <c r="H8250" s="24" t="str">
        <f>IFERROR(VLOOKUP(B8250,material!A:D,3,0),"")</f>
        <v/>
      </c>
    </row>
    <row r="8251" ht="11.25" customHeight="1">
      <c r="A8251" s="21"/>
      <c r="B8251" s="22"/>
      <c r="C8251" s="21"/>
      <c r="D8251" s="21"/>
      <c r="E8251" s="21"/>
      <c r="F8251" s="21"/>
      <c r="G8251" s="25"/>
      <c r="H8251" s="24" t="str">
        <f>IFERROR(VLOOKUP(B8251,material!A:D,3,0),"")</f>
        <v/>
      </c>
    </row>
    <row r="8252" ht="11.25" customHeight="1">
      <c r="A8252" s="21"/>
      <c r="B8252" s="22"/>
      <c r="C8252" s="21"/>
      <c r="D8252" s="21"/>
      <c r="E8252" s="21"/>
      <c r="F8252" s="21"/>
      <c r="G8252" s="25"/>
      <c r="H8252" s="24" t="str">
        <f>IFERROR(VLOOKUP(B8252,material!A:D,3,0),"")</f>
        <v/>
      </c>
    </row>
    <row r="8253" ht="11.25" customHeight="1">
      <c r="A8253" s="21"/>
      <c r="B8253" s="22"/>
      <c r="C8253" s="21"/>
      <c r="D8253" s="21"/>
      <c r="E8253" s="21"/>
      <c r="F8253" s="21"/>
      <c r="G8253" s="25"/>
      <c r="H8253" s="24" t="str">
        <f>IFERROR(VLOOKUP(B8253,material!A:D,3,0),"")</f>
        <v/>
      </c>
    </row>
    <row r="8254" ht="11.25" customHeight="1">
      <c r="A8254" s="21"/>
      <c r="B8254" s="22"/>
      <c r="C8254" s="21"/>
      <c r="D8254" s="21"/>
      <c r="E8254" s="21"/>
      <c r="F8254" s="21"/>
      <c r="G8254" s="25"/>
      <c r="H8254" s="24" t="str">
        <f>IFERROR(VLOOKUP(B8254,material!A:D,3,0),"")</f>
        <v/>
      </c>
    </row>
    <row r="8255" ht="11.25" customHeight="1">
      <c r="A8255" s="21"/>
      <c r="B8255" s="22"/>
      <c r="C8255" s="21"/>
      <c r="D8255" s="21"/>
      <c r="E8255" s="21"/>
      <c r="F8255" s="21"/>
      <c r="G8255" s="25"/>
      <c r="H8255" s="24" t="str">
        <f>IFERROR(VLOOKUP(B8255,material!A:D,3,0),"")</f>
        <v/>
      </c>
    </row>
    <row r="8256" ht="11.25" customHeight="1">
      <c r="A8256" s="21"/>
      <c r="B8256" s="22"/>
      <c r="C8256" s="21"/>
      <c r="D8256" s="21"/>
      <c r="E8256" s="21"/>
      <c r="F8256" s="21"/>
      <c r="G8256" s="25"/>
      <c r="H8256" s="24" t="str">
        <f>IFERROR(VLOOKUP(B8256,material!A:D,3,0),"")</f>
        <v/>
      </c>
    </row>
    <row r="8257" ht="11.25" customHeight="1">
      <c r="A8257" s="21"/>
      <c r="B8257" s="22"/>
      <c r="C8257" s="21"/>
      <c r="D8257" s="21"/>
      <c r="E8257" s="21"/>
      <c r="F8257" s="21"/>
      <c r="G8257" s="25"/>
      <c r="H8257" s="24" t="str">
        <f>IFERROR(VLOOKUP(B8257,material!A:D,3,0),"")</f>
        <v/>
      </c>
    </row>
    <row r="8258" ht="11.25" customHeight="1">
      <c r="A8258" s="21"/>
      <c r="B8258" s="22"/>
      <c r="C8258" s="21"/>
      <c r="D8258" s="21"/>
      <c r="E8258" s="21"/>
      <c r="F8258" s="21"/>
      <c r="G8258" s="25"/>
      <c r="H8258" s="24" t="str">
        <f>IFERROR(VLOOKUP(B8258,material!A:D,3,0),"")</f>
        <v/>
      </c>
    </row>
    <row r="8259" ht="11.25" customHeight="1">
      <c r="A8259" s="21"/>
      <c r="B8259" s="22"/>
      <c r="C8259" s="21"/>
      <c r="D8259" s="21"/>
      <c r="E8259" s="21"/>
      <c r="F8259" s="21"/>
      <c r="G8259" s="25"/>
      <c r="H8259" s="24" t="str">
        <f>IFERROR(VLOOKUP(B8259,material!A:D,3,0),"")</f>
        <v/>
      </c>
    </row>
    <row r="8260" ht="11.25" customHeight="1">
      <c r="A8260" s="21"/>
      <c r="B8260" s="22"/>
      <c r="C8260" s="21"/>
      <c r="D8260" s="21"/>
      <c r="E8260" s="21"/>
      <c r="F8260" s="21"/>
      <c r="G8260" s="25"/>
      <c r="H8260" s="24" t="str">
        <f>IFERROR(VLOOKUP(B8260,material!A:D,3,0),"")</f>
        <v/>
      </c>
    </row>
    <row r="8261" ht="11.25" customHeight="1">
      <c r="A8261" s="21"/>
      <c r="B8261" s="22"/>
      <c r="C8261" s="21"/>
      <c r="D8261" s="21"/>
      <c r="E8261" s="21"/>
      <c r="F8261" s="21"/>
      <c r="G8261" s="25"/>
      <c r="H8261" s="24" t="str">
        <f>IFERROR(VLOOKUP(B8261,material!A:D,3,0),"")</f>
        <v/>
      </c>
    </row>
    <row r="8262" ht="11.25" customHeight="1">
      <c r="A8262" s="21"/>
      <c r="B8262" s="22"/>
      <c r="C8262" s="21"/>
      <c r="D8262" s="21"/>
      <c r="E8262" s="21"/>
      <c r="F8262" s="21"/>
      <c r="G8262" s="25"/>
      <c r="H8262" s="24" t="str">
        <f>IFERROR(VLOOKUP(B8262,material!A:D,3,0),"")</f>
        <v/>
      </c>
    </row>
    <row r="8263" ht="11.25" customHeight="1">
      <c r="A8263" s="21"/>
      <c r="B8263" s="22"/>
      <c r="C8263" s="21"/>
      <c r="D8263" s="21"/>
      <c r="E8263" s="21"/>
      <c r="F8263" s="21"/>
      <c r="G8263" s="25"/>
      <c r="H8263" s="24" t="str">
        <f>IFERROR(VLOOKUP(B8263,material!A:D,3,0),"")</f>
        <v/>
      </c>
    </row>
    <row r="8264" ht="11.25" customHeight="1">
      <c r="A8264" s="21"/>
      <c r="B8264" s="22"/>
      <c r="C8264" s="21"/>
      <c r="D8264" s="21"/>
      <c r="E8264" s="21"/>
      <c r="F8264" s="21"/>
      <c r="G8264" s="25"/>
      <c r="H8264" s="24" t="str">
        <f>IFERROR(VLOOKUP(B8264,material!A:D,3,0),"")</f>
        <v/>
      </c>
    </row>
    <row r="8265" ht="11.25" customHeight="1">
      <c r="A8265" s="21"/>
      <c r="B8265" s="22"/>
      <c r="C8265" s="21"/>
      <c r="D8265" s="21"/>
      <c r="E8265" s="21"/>
      <c r="F8265" s="21"/>
      <c r="G8265" s="25"/>
      <c r="H8265" s="24" t="str">
        <f>IFERROR(VLOOKUP(B8265,material!A:D,3,0),"")</f>
        <v/>
      </c>
    </row>
    <row r="8266" ht="11.25" customHeight="1">
      <c r="A8266" s="21"/>
      <c r="B8266" s="22"/>
      <c r="C8266" s="21"/>
      <c r="D8266" s="21"/>
      <c r="E8266" s="21"/>
      <c r="F8266" s="21"/>
      <c r="G8266" s="25"/>
      <c r="H8266" s="24" t="str">
        <f>IFERROR(VLOOKUP(B8266,material!A:D,3,0),"")</f>
        <v/>
      </c>
    </row>
    <row r="8267" ht="11.25" customHeight="1">
      <c r="A8267" s="21"/>
      <c r="B8267" s="22"/>
      <c r="C8267" s="21"/>
      <c r="D8267" s="21"/>
      <c r="E8267" s="21"/>
      <c r="F8267" s="21"/>
      <c r="G8267" s="25"/>
      <c r="H8267" s="24" t="str">
        <f>IFERROR(VLOOKUP(B8267,material!A:D,3,0),"")</f>
        <v/>
      </c>
    </row>
    <row r="8268" ht="11.25" customHeight="1">
      <c r="A8268" s="21"/>
      <c r="B8268" s="22"/>
      <c r="C8268" s="21"/>
      <c r="D8268" s="21"/>
      <c r="E8268" s="21"/>
      <c r="F8268" s="21"/>
      <c r="G8268" s="25"/>
      <c r="H8268" s="24" t="str">
        <f>IFERROR(VLOOKUP(B8268,material!A:D,3,0),"")</f>
        <v/>
      </c>
    </row>
    <row r="8269" ht="11.25" customHeight="1">
      <c r="A8269" s="21"/>
      <c r="B8269" s="22"/>
      <c r="C8269" s="21"/>
      <c r="D8269" s="21"/>
      <c r="E8269" s="21"/>
      <c r="F8269" s="21"/>
      <c r="G8269" s="25"/>
      <c r="H8269" s="24" t="str">
        <f>IFERROR(VLOOKUP(B8269,material!A:D,3,0),"")</f>
        <v/>
      </c>
    </row>
    <row r="8270" ht="11.25" customHeight="1">
      <c r="A8270" s="21"/>
      <c r="B8270" s="22"/>
      <c r="C8270" s="21"/>
      <c r="D8270" s="21"/>
      <c r="E8270" s="21"/>
      <c r="F8270" s="21"/>
      <c r="G8270" s="25"/>
      <c r="H8270" s="24" t="str">
        <f>IFERROR(VLOOKUP(B8270,material!A:D,3,0),"")</f>
        <v/>
      </c>
    </row>
    <row r="8271" ht="11.25" customHeight="1">
      <c r="A8271" s="21"/>
      <c r="B8271" s="22"/>
      <c r="C8271" s="21"/>
      <c r="D8271" s="21"/>
      <c r="E8271" s="21"/>
      <c r="F8271" s="21"/>
      <c r="G8271" s="25"/>
      <c r="H8271" s="24" t="str">
        <f>IFERROR(VLOOKUP(B8271,material!A:D,3,0),"")</f>
        <v/>
      </c>
    </row>
    <row r="8272" ht="11.25" customHeight="1">
      <c r="A8272" s="21"/>
      <c r="B8272" s="22"/>
      <c r="C8272" s="21"/>
      <c r="D8272" s="21"/>
      <c r="E8272" s="21"/>
      <c r="F8272" s="21"/>
      <c r="G8272" s="25"/>
      <c r="H8272" s="24" t="str">
        <f>IFERROR(VLOOKUP(B8272,material!A:D,3,0),"")</f>
        <v/>
      </c>
    </row>
    <row r="8273" ht="11.25" customHeight="1">
      <c r="A8273" s="21"/>
      <c r="B8273" s="22"/>
      <c r="C8273" s="21"/>
      <c r="D8273" s="21"/>
      <c r="E8273" s="21"/>
      <c r="F8273" s="21"/>
      <c r="G8273" s="25"/>
      <c r="H8273" s="24" t="str">
        <f>IFERROR(VLOOKUP(B8273,material!A:D,3,0),"")</f>
        <v/>
      </c>
    </row>
    <row r="8274" ht="11.25" customHeight="1">
      <c r="A8274" s="21"/>
      <c r="B8274" s="22"/>
      <c r="C8274" s="21"/>
      <c r="D8274" s="21"/>
      <c r="E8274" s="21"/>
      <c r="F8274" s="21"/>
      <c r="G8274" s="25"/>
      <c r="H8274" s="24" t="str">
        <f>IFERROR(VLOOKUP(B8274,material!A:D,3,0),"")</f>
        <v/>
      </c>
    </row>
    <row r="8275" ht="11.25" customHeight="1">
      <c r="A8275" s="21"/>
      <c r="B8275" s="22"/>
      <c r="C8275" s="21"/>
      <c r="D8275" s="21"/>
      <c r="E8275" s="21"/>
      <c r="F8275" s="21"/>
      <c r="G8275" s="25"/>
      <c r="H8275" s="24" t="str">
        <f>IFERROR(VLOOKUP(B8275,material!A:D,3,0),"")</f>
        <v/>
      </c>
    </row>
    <row r="8276" ht="11.25" customHeight="1">
      <c r="A8276" s="21"/>
      <c r="B8276" s="22"/>
      <c r="C8276" s="21"/>
      <c r="D8276" s="21"/>
      <c r="E8276" s="21"/>
      <c r="F8276" s="21"/>
      <c r="G8276" s="25"/>
      <c r="H8276" s="24" t="str">
        <f>IFERROR(VLOOKUP(B8276,material!A:D,3,0),"")</f>
        <v/>
      </c>
    </row>
    <row r="8277" ht="11.25" customHeight="1">
      <c r="A8277" s="21"/>
      <c r="B8277" s="22"/>
      <c r="C8277" s="21"/>
      <c r="D8277" s="21"/>
      <c r="E8277" s="21"/>
      <c r="F8277" s="21"/>
      <c r="G8277" s="25"/>
      <c r="H8277" s="24" t="str">
        <f>IFERROR(VLOOKUP(B8277,material!A:D,3,0),"")</f>
        <v/>
      </c>
    </row>
    <row r="8278" ht="11.25" customHeight="1">
      <c r="A8278" s="21"/>
      <c r="B8278" s="22"/>
      <c r="C8278" s="21"/>
      <c r="D8278" s="21"/>
      <c r="E8278" s="21"/>
      <c r="F8278" s="21"/>
      <c r="G8278" s="25"/>
      <c r="H8278" s="24" t="str">
        <f>IFERROR(VLOOKUP(B8278,material!A:D,3,0),"")</f>
        <v/>
      </c>
    </row>
    <row r="8279" ht="11.25" customHeight="1">
      <c r="A8279" s="21"/>
      <c r="B8279" s="22"/>
      <c r="C8279" s="21"/>
      <c r="D8279" s="21"/>
      <c r="E8279" s="21"/>
      <c r="F8279" s="21"/>
      <c r="G8279" s="25"/>
      <c r="H8279" s="24" t="str">
        <f>IFERROR(VLOOKUP(B8279,material!A:D,3,0),"")</f>
        <v/>
      </c>
    </row>
    <row r="8280" ht="11.25" customHeight="1">
      <c r="A8280" s="21"/>
      <c r="B8280" s="22"/>
      <c r="C8280" s="21"/>
      <c r="D8280" s="21"/>
      <c r="E8280" s="21"/>
      <c r="F8280" s="21"/>
      <c r="G8280" s="25"/>
      <c r="H8280" s="24" t="str">
        <f>IFERROR(VLOOKUP(B8280,material!A:D,3,0),"")</f>
        <v/>
      </c>
    </row>
    <row r="8281" ht="11.25" customHeight="1">
      <c r="A8281" s="21"/>
      <c r="B8281" s="22"/>
      <c r="C8281" s="21"/>
      <c r="D8281" s="21"/>
      <c r="E8281" s="21"/>
      <c r="F8281" s="21"/>
      <c r="G8281" s="25"/>
      <c r="H8281" s="24" t="str">
        <f>IFERROR(VLOOKUP(B8281,material!A:D,3,0),"")</f>
        <v/>
      </c>
    </row>
    <row r="8282" ht="11.25" customHeight="1">
      <c r="A8282" s="21"/>
      <c r="B8282" s="22"/>
      <c r="C8282" s="21"/>
      <c r="D8282" s="21"/>
      <c r="E8282" s="21"/>
      <c r="F8282" s="21"/>
      <c r="G8282" s="25"/>
      <c r="H8282" s="24" t="str">
        <f>IFERROR(VLOOKUP(B8282,material!A:D,3,0),"")</f>
        <v/>
      </c>
    </row>
    <row r="8283" ht="11.25" customHeight="1">
      <c r="A8283" s="21"/>
      <c r="B8283" s="22"/>
      <c r="C8283" s="21"/>
      <c r="D8283" s="21"/>
      <c r="E8283" s="21"/>
      <c r="F8283" s="21"/>
      <c r="G8283" s="25"/>
      <c r="H8283" s="24" t="str">
        <f>IFERROR(VLOOKUP(B8283,material!A:D,3,0),"")</f>
        <v/>
      </c>
    </row>
    <row r="8284" ht="11.25" customHeight="1">
      <c r="A8284" s="21"/>
      <c r="B8284" s="22"/>
      <c r="C8284" s="21"/>
      <c r="D8284" s="21"/>
      <c r="E8284" s="21"/>
      <c r="F8284" s="21"/>
      <c r="G8284" s="25"/>
      <c r="H8284" s="24" t="str">
        <f>IFERROR(VLOOKUP(B8284,material!A:D,3,0),"")</f>
        <v/>
      </c>
    </row>
    <row r="8285" ht="11.25" customHeight="1">
      <c r="A8285" s="21"/>
      <c r="B8285" s="22"/>
      <c r="C8285" s="21"/>
      <c r="D8285" s="21"/>
      <c r="E8285" s="21"/>
      <c r="F8285" s="21"/>
      <c r="G8285" s="25"/>
      <c r="H8285" s="24" t="str">
        <f>IFERROR(VLOOKUP(B8285,material!A:D,3,0),"")</f>
        <v/>
      </c>
    </row>
    <row r="8286" ht="11.25" customHeight="1">
      <c r="A8286" s="21"/>
      <c r="B8286" s="22"/>
      <c r="C8286" s="21"/>
      <c r="D8286" s="21"/>
      <c r="E8286" s="21"/>
      <c r="F8286" s="21"/>
      <c r="G8286" s="25"/>
      <c r="H8286" s="24" t="str">
        <f>IFERROR(VLOOKUP(B8286,material!A:D,3,0),"")</f>
        <v/>
      </c>
    </row>
    <row r="8287" ht="11.25" customHeight="1">
      <c r="A8287" s="21"/>
      <c r="B8287" s="22"/>
      <c r="C8287" s="21"/>
      <c r="D8287" s="21"/>
      <c r="E8287" s="21"/>
      <c r="F8287" s="21"/>
      <c r="G8287" s="25"/>
      <c r="H8287" s="24" t="str">
        <f>IFERROR(VLOOKUP(B8287,material!A:D,3,0),"")</f>
        <v/>
      </c>
    </row>
    <row r="8288" ht="11.25" customHeight="1">
      <c r="A8288" s="21"/>
      <c r="B8288" s="22"/>
      <c r="C8288" s="21"/>
      <c r="D8288" s="21"/>
      <c r="E8288" s="21"/>
      <c r="F8288" s="21"/>
      <c r="G8288" s="25"/>
      <c r="H8288" s="24" t="str">
        <f>IFERROR(VLOOKUP(B8288,material!A:D,3,0),"")</f>
        <v/>
      </c>
    </row>
    <row r="8289" ht="11.25" customHeight="1">
      <c r="A8289" s="21"/>
      <c r="B8289" s="22"/>
      <c r="C8289" s="21"/>
      <c r="D8289" s="21"/>
      <c r="E8289" s="21"/>
      <c r="F8289" s="21"/>
      <c r="G8289" s="25"/>
      <c r="H8289" s="24" t="str">
        <f>IFERROR(VLOOKUP(B8289,material!A:D,3,0),"")</f>
        <v/>
      </c>
    </row>
    <row r="8290" ht="11.25" customHeight="1">
      <c r="A8290" s="21"/>
      <c r="B8290" s="22"/>
      <c r="C8290" s="21"/>
      <c r="D8290" s="21"/>
      <c r="E8290" s="21"/>
      <c r="F8290" s="21"/>
      <c r="G8290" s="25"/>
      <c r="H8290" s="24" t="str">
        <f>IFERROR(VLOOKUP(B8290,material!A:D,3,0),"")</f>
        <v/>
      </c>
    </row>
    <row r="8291" ht="11.25" customHeight="1">
      <c r="A8291" s="21"/>
      <c r="B8291" s="22"/>
      <c r="C8291" s="21"/>
      <c r="D8291" s="21"/>
      <c r="E8291" s="21"/>
      <c r="F8291" s="21"/>
      <c r="G8291" s="25"/>
      <c r="H8291" s="24" t="str">
        <f>IFERROR(VLOOKUP(B8291,material!A:D,3,0),"")</f>
        <v/>
      </c>
    </row>
    <row r="8292" ht="11.25" customHeight="1">
      <c r="A8292" s="21"/>
      <c r="B8292" s="22"/>
      <c r="C8292" s="21"/>
      <c r="D8292" s="21"/>
      <c r="E8292" s="21"/>
      <c r="F8292" s="21"/>
      <c r="G8292" s="25"/>
      <c r="H8292" s="24" t="str">
        <f>IFERROR(VLOOKUP(B8292,material!A:D,3,0),"")</f>
        <v/>
      </c>
    </row>
    <row r="8293" ht="11.25" customHeight="1">
      <c r="A8293" s="21"/>
      <c r="B8293" s="22"/>
      <c r="C8293" s="21"/>
      <c r="D8293" s="21"/>
      <c r="E8293" s="21"/>
      <c r="F8293" s="21"/>
      <c r="G8293" s="25"/>
      <c r="H8293" s="24" t="str">
        <f>IFERROR(VLOOKUP(B8293,material!A:D,3,0),"")</f>
        <v/>
      </c>
    </row>
    <row r="8294" ht="11.25" customHeight="1">
      <c r="A8294" s="21"/>
      <c r="B8294" s="22"/>
      <c r="C8294" s="21"/>
      <c r="D8294" s="21"/>
      <c r="E8294" s="21"/>
      <c r="F8294" s="21"/>
      <c r="G8294" s="25"/>
      <c r="H8294" s="24" t="str">
        <f>IFERROR(VLOOKUP(B8294,material!A:D,3,0),"")</f>
        <v/>
      </c>
    </row>
    <row r="8295" ht="11.25" customHeight="1">
      <c r="A8295" s="21"/>
      <c r="B8295" s="22"/>
      <c r="C8295" s="21"/>
      <c r="D8295" s="21"/>
      <c r="E8295" s="21"/>
      <c r="F8295" s="21"/>
      <c r="G8295" s="25"/>
      <c r="H8295" s="24" t="str">
        <f>IFERROR(VLOOKUP(B8295,material!A:D,3,0),"")</f>
        <v/>
      </c>
    </row>
    <row r="8296" ht="11.25" customHeight="1">
      <c r="A8296" s="21"/>
      <c r="B8296" s="22"/>
      <c r="C8296" s="21"/>
      <c r="D8296" s="21"/>
      <c r="E8296" s="21"/>
      <c r="F8296" s="21"/>
      <c r="G8296" s="25"/>
      <c r="H8296" s="24" t="str">
        <f>IFERROR(VLOOKUP(B8296,material!A:D,3,0),"")</f>
        <v/>
      </c>
    </row>
    <row r="8297" ht="11.25" customHeight="1">
      <c r="A8297" s="21"/>
      <c r="B8297" s="22"/>
      <c r="C8297" s="21"/>
      <c r="D8297" s="21"/>
      <c r="E8297" s="21"/>
      <c r="F8297" s="21"/>
      <c r="G8297" s="25"/>
      <c r="H8297" s="24" t="str">
        <f>IFERROR(VLOOKUP(B8297,material!A:D,3,0),"")</f>
        <v/>
      </c>
    </row>
    <row r="8298" ht="11.25" customHeight="1">
      <c r="A8298" s="21"/>
      <c r="B8298" s="22"/>
      <c r="C8298" s="21"/>
      <c r="D8298" s="21"/>
      <c r="E8298" s="21"/>
      <c r="F8298" s="21"/>
      <c r="G8298" s="25"/>
      <c r="H8298" s="24" t="str">
        <f>IFERROR(VLOOKUP(B8298,material!A:D,3,0),"")</f>
        <v/>
      </c>
    </row>
    <row r="8299" ht="11.25" customHeight="1">
      <c r="A8299" s="21"/>
      <c r="B8299" s="22"/>
      <c r="C8299" s="21"/>
      <c r="D8299" s="21"/>
      <c r="E8299" s="21"/>
      <c r="F8299" s="21"/>
      <c r="G8299" s="25"/>
      <c r="H8299" s="24" t="str">
        <f>IFERROR(VLOOKUP(B8299,material!A:D,3,0),"")</f>
        <v/>
      </c>
    </row>
    <row r="8300" ht="11.25" customHeight="1">
      <c r="A8300" s="21"/>
      <c r="B8300" s="22"/>
      <c r="C8300" s="21"/>
      <c r="D8300" s="21"/>
      <c r="E8300" s="21"/>
      <c r="F8300" s="21"/>
      <c r="G8300" s="25"/>
      <c r="H8300" s="24" t="str">
        <f>IFERROR(VLOOKUP(B8300,material!A:D,3,0),"")</f>
        <v/>
      </c>
    </row>
    <row r="8301" ht="11.25" customHeight="1">
      <c r="A8301" s="21"/>
      <c r="B8301" s="22"/>
      <c r="C8301" s="21"/>
      <c r="D8301" s="21"/>
      <c r="E8301" s="21"/>
      <c r="F8301" s="21"/>
      <c r="G8301" s="25"/>
      <c r="H8301" s="24" t="str">
        <f>IFERROR(VLOOKUP(B8301,material!A:D,3,0),"")</f>
        <v/>
      </c>
    </row>
    <row r="8302" ht="11.25" customHeight="1">
      <c r="A8302" s="21"/>
      <c r="B8302" s="22"/>
      <c r="C8302" s="21"/>
      <c r="D8302" s="21"/>
      <c r="E8302" s="21"/>
      <c r="F8302" s="21"/>
      <c r="G8302" s="25"/>
      <c r="H8302" s="24" t="str">
        <f>IFERROR(VLOOKUP(B8302,material!A:D,3,0),"")</f>
        <v/>
      </c>
    </row>
    <row r="8303" ht="11.25" customHeight="1">
      <c r="A8303" s="21"/>
      <c r="B8303" s="22"/>
      <c r="C8303" s="21"/>
      <c r="D8303" s="21"/>
      <c r="E8303" s="21"/>
      <c r="F8303" s="21"/>
      <c r="G8303" s="25"/>
      <c r="H8303" s="24" t="str">
        <f>IFERROR(VLOOKUP(B8303,material!A:D,3,0),"")</f>
        <v/>
      </c>
    </row>
    <row r="8304" ht="11.25" customHeight="1">
      <c r="A8304" s="21"/>
      <c r="B8304" s="22"/>
      <c r="C8304" s="21"/>
      <c r="D8304" s="21"/>
      <c r="E8304" s="21"/>
      <c r="F8304" s="21"/>
      <c r="G8304" s="25"/>
      <c r="H8304" s="24" t="str">
        <f>IFERROR(VLOOKUP(B8304,material!A:D,3,0),"")</f>
        <v/>
      </c>
    </row>
    <row r="8305" ht="11.25" customHeight="1">
      <c r="A8305" s="21"/>
      <c r="B8305" s="22"/>
      <c r="C8305" s="21"/>
      <c r="D8305" s="21"/>
      <c r="E8305" s="21"/>
      <c r="F8305" s="21"/>
      <c r="G8305" s="25"/>
      <c r="H8305" s="24" t="str">
        <f>IFERROR(VLOOKUP(B8305,material!A:D,3,0),"")</f>
        <v/>
      </c>
    </row>
    <row r="8306" ht="11.25" customHeight="1">
      <c r="A8306" s="21"/>
      <c r="B8306" s="22"/>
      <c r="C8306" s="21"/>
      <c r="D8306" s="21"/>
      <c r="E8306" s="21"/>
      <c r="F8306" s="21"/>
      <c r="G8306" s="25"/>
      <c r="H8306" s="24" t="str">
        <f>IFERROR(VLOOKUP(B8306,material!A:D,3,0),"")</f>
        <v/>
      </c>
    </row>
    <row r="8307" ht="11.25" customHeight="1">
      <c r="A8307" s="21"/>
      <c r="B8307" s="22"/>
      <c r="C8307" s="21"/>
      <c r="D8307" s="21"/>
      <c r="E8307" s="21"/>
      <c r="F8307" s="21"/>
      <c r="G8307" s="25"/>
      <c r="H8307" s="24" t="str">
        <f>IFERROR(VLOOKUP(B8307,material!A:D,3,0),"")</f>
        <v/>
      </c>
    </row>
    <row r="8308" ht="11.25" customHeight="1">
      <c r="A8308" s="21"/>
      <c r="B8308" s="22"/>
      <c r="C8308" s="21"/>
      <c r="D8308" s="21"/>
      <c r="E8308" s="21"/>
      <c r="F8308" s="21"/>
      <c r="G8308" s="25"/>
      <c r="H8308" s="24" t="str">
        <f>IFERROR(VLOOKUP(B8308,material!A:D,3,0),"")</f>
        <v/>
      </c>
    </row>
    <row r="8309" ht="11.25" customHeight="1">
      <c r="A8309" s="21"/>
      <c r="B8309" s="22"/>
      <c r="C8309" s="21"/>
      <c r="D8309" s="21"/>
      <c r="E8309" s="21"/>
      <c r="F8309" s="21"/>
      <c r="G8309" s="25"/>
      <c r="H8309" s="24" t="str">
        <f>IFERROR(VLOOKUP(B8309,material!A:D,3,0),"")</f>
        <v/>
      </c>
    </row>
    <row r="8310" ht="11.25" customHeight="1">
      <c r="A8310" s="21"/>
      <c r="B8310" s="22"/>
      <c r="C8310" s="21"/>
      <c r="D8310" s="21"/>
      <c r="E8310" s="21"/>
      <c r="F8310" s="21"/>
      <c r="G8310" s="25"/>
      <c r="H8310" s="24" t="str">
        <f>IFERROR(VLOOKUP(B8310,material!A:D,3,0),"")</f>
        <v/>
      </c>
    </row>
    <row r="8311" ht="11.25" customHeight="1">
      <c r="A8311" s="21"/>
      <c r="B8311" s="22"/>
      <c r="C8311" s="21"/>
      <c r="D8311" s="21"/>
      <c r="E8311" s="21"/>
      <c r="F8311" s="21"/>
      <c r="G8311" s="25"/>
      <c r="H8311" s="24" t="str">
        <f>IFERROR(VLOOKUP(B8311,material!A:D,3,0),"")</f>
        <v/>
      </c>
    </row>
    <row r="8312" ht="11.25" customHeight="1">
      <c r="A8312" s="21"/>
      <c r="B8312" s="22"/>
      <c r="C8312" s="21"/>
      <c r="D8312" s="21"/>
      <c r="E8312" s="21"/>
      <c r="F8312" s="21"/>
      <c r="G8312" s="25"/>
      <c r="H8312" s="24" t="str">
        <f>IFERROR(VLOOKUP(B8312,material!A:D,3,0),"")</f>
        <v/>
      </c>
    </row>
    <row r="8313" ht="11.25" customHeight="1">
      <c r="A8313" s="21"/>
      <c r="B8313" s="22"/>
      <c r="C8313" s="21"/>
      <c r="D8313" s="21"/>
      <c r="E8313" s="21"/>
      <c r="F8313" s="21"/>
      <c r="G8313" s="25"/>
      <c r="H8313" s="24" t="str">
        <f>IFERROR(VLOOKUP(B8313,material!A:D,3,0),"")</f>
        <v/>
      </c>
    </row>
    <row r="8314" ht="11.25" customHeight="1">
      <c r="A8314" s="21"/>
      <c r="B8314" s="22"/>
      <c r="C8314" s="21"/>
      <c r="D8314" s="21"/>
      <c r="E8314" s="21"/>
      <c r="F8314" s="21"/>
      <c r="G8314" s="25"/>
      <c r="H8314" s="24" t="str">
        <f>IFERROR(VLOOKUP(B8314,material!A:D,3,0),"")</f>
        <v/>
      </c>
    </row>
    <row r="8315" ht="11.25" customHeight="1">
      <c r="A8315" s="21"/>
      <c r="B8315" s="22"/>
      <c r="C8315" s="21"/>
      <c r="D8315" s="21"/>
      <c r="E8315" s="21"/>
      <c r="F8315" s="21"/>
      <c r="G8315" s="25"/>
      <c r="H8315" s="24" t="str">
        <f>IFERROR(VLOOKUP(B8315,material!A:D,3,0),"")</f>
        <v/>
      </c>
    </row>
    <row r="8316" ht="11.25" customHeight="1">
      <c r="A8316" s="21"/>
      <c r="B8316" s="22"/>
      <c r="C8316" s="21"/>
      <c r="D8316" s="21"/>
      <c r="E8316" s="21"/>
      <c r="F8316" s="21"/>
      <c r="G8316" s="25"/>
      <c r="H8316" s="24" t="str">
        <f>IFERROR(VLOOKUP(B8316,material!A:D,3,0),"")</f>
        <v/>
      </c>
    </row>
    <row r="8317" ht="11.25" customHeight="1">
      <c r="A8317" s="21"/>
      <c r="B8317" s="22"/>
      <c r="C8317" s="21"/>
      <c r="D8317" s="21"/>
      <c r="E8317" s="21"/>
      <c r="F8317" s="21"/>
      <c r="G8317" s="25"/>
      <c r="H8317" s="24" t="str">
        <f>IFERROR(VLOOKUP(B8317,material!A:D,3,0),"")</f>
        <v/>
      </c>
    </row>
    <row r="8318" ht="11.25" customHeight="1">
      <c r="A8318" s="21"/>
      <c r="B8318" s="22"/>
      <c r="C8318" s="21"/>
      <c r="D8318" s="21"/>
      <c r="E8318" s="21"/>
      <c r="F8318" s="21"/>
      <c r="G8318" s="25"/>
      <c r="H8318" s="24" t="str">
        <f>IFERROR(VLOOKUP(B8318,material!A:D,3,0),"")</f>
        <v/>
      </c>
    </row>
    <row r="8319" ht="11.25" customHeight="1">
      <c r="A8319" s="21"/>
      <c r="B8319" s="22"/>
      <c r="C8319" s="21"/>
      <c r="D8319" s="21"/>
      <c r="E8319" s="21"/>
      <c r="F8319" s="21"/>
      <c r="G8319" s="25"/>
      <c r="H8319" s="24" t="str">
        <f>IFERROR(VLOOKUP(B8319,material!A:D,3,0),"")</f>
        <v/>
      </c>
    </row>
    <row r="8320" ht="11.25" customHeight="1">
      <c r="A8320" s="21"/>
      <c r="B8320" s="22"/>
      <c r="C8320" s="21"/>
      <c r="D8320" s="21"/>
      <c r="E8320" s="21"/>
      <c r="F8320" s="21"/>
      <c r="G8320" s="25"/>
      <c r="H8320" s="24" t="str">
        <f>IFERROR(VLOOKUP(B8320,material!A:D,3,0),"")</f>
        <v/>
      </c>
    </row>
    <row r="8321" ht="11.25" customHeight="1">
      <c r="A8321" s="21"/>
      <c r="B8321" s="22"/>
      <c r="C8321" s="21"/>
      <c r="D8321" s="21"/>
      <c r="E8321" s="21"/>
      <c r="F8321" s="21"/>
      <c r="G8321" s="25"/>
      <c r="H8321" s="24" t="str">
        <f>IFERROR(VLOOKUP(B8321,material!A:D,3,0),"")</f>
        <v/>
      </c>
    </row>
    <row r="8322" ht="11.25" customHeight="1">
      <c r="A8322" s="21"/>
      <c r="B8322" s="22"/>
      <c r="C8322" s="21"/>
      <c r="D8322" s="21"/>
      <c r="E8322" s="21"/>
      <c r="F8322" s="21"/>
      <c r="G8322" s="25"/>
      <c r="H8322" s="24" t="str">
        <f>IFERROR(VLOOKUP(B8322,material!A:D,3,0),"")</f>
        <v/>
      </c>
    </row>
    <row r="8323" ht="11.25" customHeight="1">
      <c r="A8323" s="21"/>
      <c r="B8323" s="22"/>
      <c r="C8323" s="21"/>
      <c r="D8323" s="21"/>
      <c r="E8323" s="21"/>
      <c r="F8323" s="21"/>
      <c r="G8323" s="25"/>
      <c r="H8323" s="24" t="str">
        <f>IFERROR(VLOOKUP(B8323,material!A:D,3,0),"")</f>
        <v/>
      </c>
    </row>
    <row r="8324" ht="11.25" customHeight="1">
      <c r="A8324" s="21"/>
      <c r="B8324" s="22"/>
      <c r="C8324" s="21"/>
      <c r="D8324" s="21"/>
      <c r="E8324" s="21"/>
      <c r="F8324" s="21"/>
      <c r="G8324" s="25"/>
      <c r="H8324" s="24" t="str">
        <f>IFERROR(VLOOKUP(B8324,material!A:D,3,0),"")</f>
        <v/>
      </c>
    </row>
    <row r="8325" ht="11.25" customHeight="1">
      <c r="A8325" s="21"/>
      <c r="B8325" s="22"/>
      <c r="C8325" s="21"/>
      <c r="D8325" s="21"/>
      <c r="E8325" s="21"/>
      <c r="F8325" s="21"/>
      <c r="G8325" s="25"/>
      <c r="H8325" s="24" t="str">
        <f>IFERROR(VLOOKUP(B8325,material!A:D,3,0),"")</f>
        <v/>
      </c>
    </row>
    <row r="8326" ht="11.25" customHeight="1">
      <c r="A8326" s="21"/>
      <c r="B8326" s="22"/>
      <c r="C8326" s="21"/>
      <c r="D8326" s="21"/>
      <c r="E8326" s="21"/>
      <c r="F8326" s="21"/>
      <c r="G8326" s="25"/>
      <c r="H8326" s="24" t="str">
        <f>IFERROR(VLOOKUP(B8326,material!A:D,3,0),"")</f>
        <v/>
      </c>
    </row>
    <row r="8327" ht="11.25" customHeight="1">
      <c r="A8327" s="21"/>
      <c r="B8327" s="22"/>
      <c r="C8327" s="21"/>
      <c r="D8327" s="21"/>
      <c r="E8327" s="21"/>
      <c r="F8327" s="21"/>
      <c r="G8327" s="25"/>
      <c r="H8327" s="24" t="str">
        <f>IFERROR(VLOOKUP(B8327,material!A:D,3,0),"")</f>
        <v/>
      </c>
    </row>
    <row r="8328" ht="11.25" customHeight="1">
      <c r="A8328" s="21"/>
      <c r="B8328" s="22"/>
      <c r="C8328" s="21"/>
      <c r="D8328" s="21"/>
      <c r="E8328" s="21"/>
      <c r="F8328" s="21"/>
      <c r="G8328" s="25"/>
      <c r="H8328" s="24" t="str">
        <f>IFERROR(VLOOKUP(B8328,material!A:D,3,0),"")</f>
        <v/>
      </c>
    </row>
    <row r="8329" ht="11.25" customHeight="1">
      <c r="A8329" s="21"/>
      <c r="B8329" s="22"/>
      <c r="C8329" s="21"/>
      <c r="D8329" s="21"/>
      <c r="E8329" s="21"/>
      <c r="F8329" s="21"/>
      <c r="G8329" s="25"/>
      <c r="H8329" s="24" t="str">
        <f>IFERROR(VLOOKUP(B8329,material!A:D,3,0),"")</f>
        <v/>
      </c>
    </row>
    <row r="8330" ht="11.25" customHeight="1">
      <c r="A8330" s="21"/>
      <c r="B8330" s="22"/>
      <c r="C8330" s="21"/>
      <c r="D8330" s="21"/>
      <c r="E8330" s="21"/>
      <c r="F8330" s="21"/>
      <c r="G8330" s="25"/>
      <c r="H8330" s="24" t="str">
        <f>IFERROR(VLOOKUP(B8330,material!A:D,3,0),"")</f>
        <v/>
      </c>
    </row>
    <row r="8331" ht="11.25" customHeight="1">
      <c r="A8331" s="21"/>
      <c r="B8331" s="22"/>
      <c r="C8331" s="21"/>
      <c r="D8331" s="21"/>
      <c r="E8331" s="21"/>
      <c r="F8331" s="21"/>
      <c r="G8331" s="25"/>
      <c r="H8331" s="24" t="str">
        <f>IFERROR(VLOOKUP(B8331,material!A:D,3,0),"")</f>
        <v/>
      </c>
    </row>
    <row r="8332" ht="11.25" customHeight="1">
      <c r="A8332" s="21"/>
      <c r="B8332" s="22"/>
      <c r="C8332" s="21"/>
      <c r="D8332" s="21"/>
      <c r="E8332" s="21"/>
      <c r="F8332" s="21"/>
      <c r="G8332" s="25"/>
      <c r="H8332" s="24" t="str">
        <f>IFERROR(VLOOKUP(B8332,material!A:D,3,0),"")</f>
        <v/>
      </c>
    </row>
    <row r="8333" ht="11.25" customHeight="1">
      <c r="A8333" s="21"/>
      <c r="B8333" s="22"/>
      <c r="C8333" s="21"/>
      <c r="D8333" s="21"/>
      <c r="E8333" s="21"/>
      <c r="F8333" s="21"/>
      <c r="G8333" s="25"/>
      <c r="H8333" s="24" t="str">
        <f>IFERROR(VLOOKUP(B8333,material!A:D,3,0),"")</f>
        <v/>
      </c>
    </row>
    <row r="8334" ht="11.25" customHeight="1">
      <c r="A8334" s="21"/>
      <c r="B8334" s="22"/>
      <c r="C8334" s="21"/>
      <c r="D8334" s="21"/>
      <c r="E8334" s="21"/>
      <c r="F8334" s="21"/>
      <c r="G8334" s="25"/>
      <c r="H8334" s="24" t="str">
        <f>IFERROR(VLOOKUP(B8334,material!A:D,3,0),"")</f>
        <v/>
      </c>
    </row>
    <row r="8335" ht="11.25" customHeight="1">
      <c r="A8335" s="21"/>
      <c r="B8335" s="22"/>
      <c r="C8335" s="21"/>
      <c r="D8335" s="21"/>
      <c r="E8335" s="21"/>
      <c r="F8335" s="21"/>
      <c r="G8335" s="25"/>
      <c r="H8335" s="24" t="str">
        <f>IFERROR(VLOOKUP(B8335,material!A:D,3,0),"")</f>
        <v/>
      </c>
    </row>
    <row r="8336" ht="11.25" customHeight="1">
      <c r="A8336" s="21"/>
      <c r="B8336" s="22"/>
      <c r="C8336" s="21"/>
      <c r="D8336" s="21"/>
      <c r="E8336" s="21"/>
      <c r="F8336" s="21"/>
      <c r="G8336" s="25"/>
      <c r="H8336" s="24" t="str">
        <f>IFERROR(VLOOKUP(B8336,material!A:D,3,0),"")</f>
        <v/>
      </c>
    </row>
    <row r="8337" ht="11.25" customHeight="1">
      <c r="A8337" s="21"/>
      <c r="B8337" s="22"/>
      <c r="C8337" s="21"/>
      <c r="D8337" s="21"/>
      <c r="E8337" s="21"/>
      <c r="F8337" s="21"/>
      <c r="G8337" s="25"/>
      <c r="H8337" s="24" t="str">
        <f>IFERROR(VLOOKUP(B8337,material!A:D,3,0),"")</f>
        <v/>
      </c>
    </row>
    <row r="8338" ht="11.25" customHeight="1">
      <c r="A8338" s="21"/>
      <c r="B8338" s="22"/>
      <c r="C8338" s="21"/>
      <c r="D8338" s="21"/>
      <c r="E8338" s="21"/>
      <c r="F8338" s="21"/>
      <c r="G8338" s="25"/>
      <c r="H8338" s="24" t="str">
        <f>IFERROR(VLOOKUP(B8338,material!A:D,3,0),"")</f>
        <v/>
      </c>
    </row>
    <row r="8339" ht="11.25" customHeight="1">
      <c r="A8339" s="21"/>
      <c r="B8339" s="22"/>
      <c r="C8339" s="21"/>
      <c r="D8339" s="21"/>
      <c r="E8339" s="21"/>
      <c r="F8339" s="21"/>
      <c r="G8339" s="25"/>
      <c r="H8339" s="24" t="str">
        <f>IFERROR(VLOOKUP(B8339,material!A:D,3,0),"")</f>
        <v/>
      </c>
    </row>
    <row r="8340" ht="11.25" customHeight="1">
      <c r="A8340" s="21"/>
      <c r="B8340" s="22"/>
      <c r="C8340" s="21"/>
      <c r="D8340" s="21"/>
      <c r="E8340" s="21"/>
      <c r="F8340" s="21"/>
      <c r="G8340" s="25"/>
      <c r="H8340" s="24" t="str">
        <f>IFERROR(VLOOKUP(B8340,material!A:D,3,0),"")</f>
        <v/>
      </c>
    </row>
    <row r="8341" ht="11.25" customHeight="1">
      <c r="A8341" s="21"/>
      <c r="B8341" s="22"/>
      <c r="C8341" s="21"/>
      <c r="D8341" s="21"/>
      <c r="E8341" s="21"/>
      <c r="F8341" s="21"/>
      <c r="G8341" s="25"/>
      <c r="H8341" s="24" t="str">
        <f>IFERROR(VLOOKUP(B8341,material!A:D,3,0),"")</f>
        <v/>
      </c>
    </row>
    <row r="8342" ht="11.25" customHeight="1">
      <c r="A8342" s="21"/>
      <c r="B8342" s="22"/>
      <c r="C8342" s="21"/>
      <c r="D8342" s="21"/>
      <c r="E8342" s="21"/>
      <c r="F8342" s="21"/>
      <c r="G8342" s="25"/>
      <c r="H8342" s="24" t="str">
        <f>IFERROR(VLOOKUP(B8342,material!A:D,3,0),"")</f>
        <v/>
      </c>
    </row>
    <row r="8343" ht="11.25" customHeight="1">
      <c r="A8343" s="21"/>
      <c r="B8343" s="22"/>
      <c r="C8343" s="21"/>
      <c r="D8343" s="21"/>
      <c r="E8343" s="21"/>
      <c r="F8343" s="21"/>
      <c r="G8343" s="25"/>
      <c r="H8343" s="24" t="str">
        <f>IFERROR(VLOOKUP(B8343,material!A:D,3,0),"")</f>
        <v/>
      </c>
    </row>
    <row r="8344" ht="11.25" customHeight="1">
      <c r="A8344" s="21"/>
      <c r="B8344" s="22"/>
      <c r="C8344" s="21"/>
      <c r="D8344" s="21"/>
      <c r="E8344" s="21"/>
      <c r="F8344" s="21"/>
      <c r="G8344" s="25"/>
      <c r="H8344" s="24" t="str">
        <f>IFERROR(VLOOKUP(B8344,material!A:D,3,0),"")</f>
        <v/>
      </c>
    </row>
    <row r="8345" ht="11.25" customHeight="1">
      <c r="A8345" s="21"/>
      <c r="B8345" s="22"/>
      <c r="C8345" s="21"/>
      <c r="D8345" s="21"/>
      <c r="E8345" s="21"/>
      <c r="F8345" s="21"/>
      <c r="G8345" s="25"/>
      <c r="H8345" s="24" t="str">
        <f>IFERROR(VLOOKUP(B8345,material!A:D,3,0),"")</f>
        <v/>
      </c>
    </row>
    <row r="8346" ht="11.25" customHeight="1">
      <c r="A8346" s="21"/>
      <c r="B8346" s="22"/>
      <c r="C8346" s="21"/>
      <c r="D8346" s="21"/>
      <c r="E8346" s="21"/>
      <c r="F8346" s="21"/>
      <c r="G8346" s="25"/>
      <c r="H8346" s="24" t="str">
        <f>IFERROR(VLOOKUP(B8346,material!A:D,3,0),"")</f>
        <v/>
      </c>
    </row>
    <row r="8347" ht="11.25" customHeight="1">
      <c r="A8347" s="21"/>
      <c r="B8347" s="22"/>
      <c r="C8347" s="21"/>
      <c r="D8347" s="21"/>
      <c r="E8347" s="21"/>
      <c r="F8347" s="21"/>
      <c r="G8347" s="25"/>
      <c r="H8347" s="24" t="str">
        <f>IFERROR(VLOOKUP(B8347,material!A:D,3,0),"")</f>
        <v/>
      </c>
    </row>
    <row r="8348" ht="11.25" customHeight="1">
      <c r="A8348" s="21"/>
      <c r="B8348" s="22"/>
      <c r="C8348" s="21"/>
      <c r="D8348" s="21"/>
      <c r="E8348" s="21"/>
      <c r="F8348" s="21"/>
      <c r="G8348" s="25"/>
      <c r="H8348" s="24" t="str">
        <f>IFERROR(VLOOKUP(B8348,material!A:D,3,0),"")</f>
        <v/>
      </c>
    </row>
    <row r="8349" ht="11.25" customHeight="1">
      <c r="A8349" s="21"/>
      <c r="B8349" s="22"/>
      <c r="C8349" s="21"/>
      <c r="D8349" s="21"/>
      <c r="E8349" s="21"/>
      <c r="F8349" s="21"/>
      <c r="G8349" s="25"/>
      <c r="H8349" s="24" t="str">
        <f>IFERROR(VLOOKUP(B8349,material!A:D,3,0),"")</f>
        <v/>
      </c>
    </row>
    <row r="8350" ht="11.25" customHeight="1">
      <c r="A8350" s="21"/>
      <c r="B8350" s="22"/>
      <c r="C8350" s="21"/>
      <c r="D8350" s="21"/>
      <c r="E8350" s="21"/>
      <c r="F8350" s="21"/>
      <c r="G8350" s="25"/>
      <c r="H8350" s="24" t="str">
        <f>IFERROR(VLOOKUP(B8350,material!A:D,3,0),"")</f>
        <v/>
      </c>
    </row>
    <row r="8351" ht="11.25" customHeight="1">
      <c r="A8351" s="21"/>
      <c r="B8351" s="22"/>
      <c r="C8351" s="21"/>
      <c r="D8351" s="21"/>
      <c r="E8351" s="21"/>
      <c r="F8351" s="21"/>
      <c r="G8351" s="25"/>
      <c r="H8351" s="24" t="str">
        <f>IFERROR(VLOOKUP(B8351,material!A:D,3,0),"")</f>
        <v/>
      </c>
    </row>
    <row r="8352" ht="11.25" customHeight="1">
      <c r="A8352" s="21"/>
      <c r="B8352" s="22"/>
      <c r="C8352" s="21"/>
      <c r="D8352" s="21"/>
      <c r="E8352" s="21"/>
      <c r="F8352" s="21"/>
      <c r="G8352" s="25"/>
      <c r="H8352" s="24" t="str">
        <f>IFERROR(VLOOKUP(B8352,material!A:D,3,0),"")</f>
        <v/>
      </c>
    </row>
    <row r="8353" ht="11.25" customHeight="1">
      <c r="A8353" s="21"/>
      <c r="B8353" s="22"/>
      <c r="C8353" s="21"/>
      <c r="D8353" s="21"/>
      <c r="E8353" s="21"/>
      <c r="F8353" s="21"/>
      <c r="G8353" s="25"/>
      <c r="H8353" s="24" t="str">
        <f>IFERROR(VLOOKUP(B8353,material!A:D,3,0),"")</f>
        <v/>
      </c>
    </row>
    <row r="8354" ht="11.25" customHeight="1">
      <c r="A8354" s="21"/>
      <c r="B8354" s="22"/>
      <c r="C8354" s="21"/>
      <c r="D8354" s="21"/>
      <c r="E8354" s="21"/>
      <c r="F8354" s="21"/>
      <c r="G8354" s="25"/>
      <c r="H8354" s="24" t="str">
        <f>IFERROR(VLOOKUP(B8354,material!A:D,3,0),"")</f>
        <v/>
      </c>
    </row>
    <row r="8355" ht="11.25" customHeight="1">
      <c r="A8355" s="21"/>
      <c r="B8355" s="22"/>
      <c r="C8355" s="21"/>
      <c r="D8355" s="21"/>
      <c r="E8355" s="21"/>
      <c r="F8355" s="21"/>
      <c r="G8355" s="25"/>
      <c r="H8355" s="24" t="str">
        <f>IFERROR(VLOOKUP(B8355,material!A:D,3,0),"")</f>
        <v/>
      </c>
    </row>
    <row r="8356" ht="11.25" customHeight="1">
      <c r="A8356" s="21"/>
      <c r="B8356" s="22"/>
      <c r="C8356" s="21"/>
      <c r="D8356" s="21"/>
      <c r="E8356" s="21"/>
      <c r="F8356" s="21"/>
      <c r="G8356" s="25"/>
      <c r="H8356" s="24" t="str">
        <f>IFERROR(VLOOKUP(B8356,material!A:D,3,0),"")</f>
        <v/>
      </c>
    </row>
    <row r="8357" ht="11.25" customHeight="1">
      <c r="A8357" s="21"/>
      <c r="B8357" s="22"/>
      <c r="C8357" s="21"/>
      <c r="D8357" s="21"/>
      <c r="E8357" s="21"/>
      <c r="F8357" s="21"/>
      <c r="G8357" s="25"/>
      <c r="H8357" s="24" t="str">
        <f>IFERROR(VLOOKUP(B8357,material!A:D,3,0),"")</f>
        <v/>
      </c>
    </row>
    <row r="8358" ht="11.25" customHeight="1">
      <c r="A8358" s="21"/>
      <c r="B8358" s="22"/>
      <c r="C8358" s="21"/>
      <c r="D8358" s="21"/>
      <c r="E8358" s="21"/>
      <c r="F8358" s="21"/>
      <c r="G8358" s="25"/>
      <c r="H8358" s="24" t="str">
        <f>IFERROR(VLOOKUP(B8358,material!A:D,3,0),"")</f>
        <v/>
      </c>
    </row>
    <row r="8359" ht="11.25" customHeight="1">
      <c r="A8359" s="21"/>
      <c r="B8359" s="22"/>
      <c r="C8359" s="21"/>
      <c r="D8359" s="21"/>
      <c r="E8359" s="21"/>
      <c r="F8359" s="21"/>
      <c r="G8359" s="25"/>
      <c r="H8359" s="24" t="str">
        <f>IFERROR(VLOOKUP(B8359,material!A:D,3,0),"")</f>
        <v/>
      </c>
    </row>
    <row r="8360" ht="11.25" customHeight="1">
      <c r="A8360" s="21"/>
      <c r="B8360" s="22"/>
      <c r="C8360" s="21"/>
      <c r="D8360" s="21"/>
      <c r="E8360" s="21"/>
      <c r="F8360" s="21"/>
      <c r="G8360" s="25"/>
      <c r="H8360" s="24" t="str">
        <f>IFERROR(VLOOKUP(B8360,material!A:D,3,0),"")</f>
        <v/>
      </c>
    </row>
    <row r="8361" ht="11.25" customHeight="1">
      <c r="A8361" s="21"/>
      <c r="B8361" s="22"/>
      <c r="C8361" s="21"/>
      <c r="D8361" s="21"/>
      <c r="E8361" s="21"/>
      <c r="F8361" s="21"/>
      <c r="G8361" s="25"/>
      <c r="H8361" s="24" t="str">
        <f>IFERROR(VLOOKUP(B8361,material!A:D,3,0),"")</f>
        <v/>
      </c>
    </row>
    <row r="8362" ht="11.25" customHeight="1">
      <c r="A8362" s="21"/>
      <c r="B8362" s="22"/>
      <c r="C8362" s="21"/>
      <c r="D8362" s="21"/>
      <c r="E8362" s="21"/>
      <c r="F8362" s="21"/>
      <c r="G8362" s="25"/>
      <c r="H8362" s="24" t="str">
        <f>IFERROR(VLOOKUP(B8362,material!A:D,3,0),"")</f>
        <v/>
      </c>
    </row>
    <row r="8363" ht="11.25" customHeight="1">
      <c r="A8363" s="21"/>
      <c r="B8363" s="22"/>
      <c r="C8363" s="21"/>
      <c r="D8363" s="21"/>
      <c r="E8363" s="21"/>
      <c r="F8363" s="21"/>
      <c r="G8363" s="25"/>
      <c r="H8363" s="24" t="str">
        <f>IFERROR(VLOOKUP(B8363,material!A:D,3,0),"")</f>
        <v/>
      </c>
    </row>
    <row r="8364" ht="11.25" customHeight="1">
      <c r="A8364" s="21"/>
      <c r="B8364" s="22"/>
      <c r="C8364" s="21"/>
      <c r="D8364" s="21"/>
      <c r="E8364" s="21"/>
      <c r="F8364" s="21"/>
      <c r="G8364" s="25"/>
      <c r="H8364" s="24" t="str">
        <f>IFERROR(VLOOKUP(B8364,material!A:D,3,0),"")</f>
        <v/>
      </c>
    </row>
    <row r="8365" ht="11.25" customHeight="1">
      <c r="A8365" s="21"/>
      <c r="B8365" s="22"/>
      <c r="C8365" s="21"/>
      <c r="D8365" s="21"/>
      <c r="E8365" s="21"/>
      <c r="F8365" s="21"/>
      <c r="G8365" s="25"/>
      <c r="H8365" s="24" t="str">
        <f>IFERROR(VLOOKUP(B8365,material!A:D,3,0),"")</f>
        <v/>
      </c>
    </row>
    <row r="8366" ht="11.25" customHeight="1">
      <c r="A8366" s="21"/>
      <c r="B8366" s="22"/>
      <c r="C8366" s="21"/>
      <c r="D8366" s="21"/>
      <c r="E8366" s="21"/>
      <c r="F8366" s="21"/>
      <c r="G8366" s="25"/>
      <c r="H8366" s="24" t="str">
        <f>IFERROR(VLOOKUP(B8366,material!A:D,3,0),"")</f>
        <v/>
      </c>
    </row>
    <row r="8367" ht="11.25" customHeight="1">
      <c r="A8367" s="21"/>
      <c r="B8367" s="22"/>
      <c r="C8367" s="21"/>
      <c r="D8367" s="21"/>
      <c r="E8367" s="21"/>
      <c r="F8367" s="21"/>
      <c r="G8367" s="25"/>
      <c r="H8367" s="24" t="str">
        <f>IFERROR(VLOOKUP(B8367,material!A:D,3,0),"")</f>
        <v/>
      </c>
    </row>
    <row r="8368" ht="11.25" customHeight="1">
      <c r="A8368" s="21"/>
      <c r="B8368" s="22"/>
      <c r="C8368" s="21"/>
      <c r="D8368" s="21"/>
      <c r="E8368" s="21"/>
      <c r="F8368" s="21"/>
      <c r="G8368" s="25"/>
      <c r="H8368" s="24" t="str">
        <f>IFERROR(VLOOKUP(B8368,material!A:D,3,0),"")</f>
        <v/>
      </c>
    </row>
    <row r="8369" ht="11.25" customHeight="1">
      <c r="A8369" s="21"/>
      <c r="B8369" s="22"/>
      <c r="C8369" s="21"/>
      <c r="D8369" s="21"/>
      <c r="E8369" s="21"/>
      <c r="F8369" s="21"/>
      <c r="G8369" s="25"/>
      <c r="H8369" s="24" t="str">
        <f>IFERROR(VLOOKUP(B8369,material!A:D,3,0),"")</f>
        <v/>
      </c>
    </row>
    <row r="8370" ht="11.25" customHeight="1">
      <c r="A8370" s="21"/>
      <c r="B8370" s="22"/>
      <c r="C8370" s="21"/>
      <c r="D8370" s="21"/>
      <c r="E8370" s="21"/>
      <c r="F8370" s="21"/>
      <c r="G8370" s="25"/>
      <c r="H8370" s="24" t="str">
        <f>IFERROR(VLOOKUP(B8370,material!A:D,3,0),"")</f>
        <v/>
      </c>
    </row>
    <row r="8371" ht="11.25" customHeight="1">
      <c r="A8371" s="21"/>
      <c r="B8371" s="22"/>
      <c r="C8371" s="21"/>
      <c r="D8371" s="21"/>
      <c r="E8371" s="21"/>
      <c r="F8371" s="21"/>
      <c r="G8371" s="25"/>
      <c r="H8371" s="24" t="str">
        <f>IFERROR(VLOOKUP(B8371,material!A:D,3,0),"")</f>
        <v/>
      </c>
    </row>
    <row r="8372" ht="11.25" customHeight="1">
      <c r="A8372" s="21"/>
      <c r="B8372" s="22"/>
      <c r="C8372" s="21"/>
      <c r="D8372" s="21"/>
      <c r="E8372" s="21"/>
      <c r="F8372" s="21"/>
      <c r="G8372" s="25"/>
      <c r="H8372" s="24" t="str">
        <f>IFERROR(VLOOKUP(B8372,material!A:D,3,0),"")</f>
        <v/>
      </c>
    </row>
    <row r="8373" ht="11.25" customHeight="1">
      <c r="A8373" s="21"/>
      <c r="B8373" s="22"/>
      <c r="C8373" s="21"/>
      <c r="D8373" s="21"/>
      <c r="E8373" s="21"/>
      <c r="F8373" s="21"/>
      <c r="G8373" s="25"/>
      <c r="H8373" s="24" t="str">
        <f>IFERROR(VLOOKUP(B8373,material!A:D,3,0),"")</f>
        <v/>
      </c>
    </row>
    <row r="8374" ht="11.25" customHeight="1">
      <c r="A8374" s="21"/>
      <c r="B8374" s="22"/>
      <c r="C8374" s="21"/>
      <c r="D8374" s="21"/>
      <c r="E8374" s="21"/>
      <c r="F8374" s="21"/>
      <c r="G8374" s="25"/>
      <c r="H8374" s="24" t="str">
        <f>IFERROR(VLOOKUP(B8374,material!A:D,3,0),"")</f>
        <v/>
      </c>
    </row>
    <row r="8375" ht="11.25" customHeight="1">
      <c r="A8375" s="21"/>
      <c r="B8375" s="22"/>
      <c r="C8375" s="21"/>
      <c r="D8375" s="21"/>
      <c r="E8375" s="21"/>
      <c r="F8375" s="21"/>
      <c r="G8375" s="25"/>
      <c r="H8375" s="24" t="str">
        <f>IFERROR(VLOOKUP(B8375,material!A:D,3,0),"")</f>
        <v/>
      </c>
    </row>
    <row r="8376" ht="11.25" customHeight="1">
      <c r="A8376" s="21"/>
      <c r="B8376" s="22"/>
      <c r="C8376" s="21"/>
      <c r="D8376" s="21"/>
      <c r="E8376" s="21"/>
      <c r="F8376" s="21"/>
      <c r="G8376" s="25"/>
      <c r="H8376" s="24" t="str">
        <f>IFERROR(VLOOKUP(B8376,material!A:D,3,0),"")</f>
        <v/>
      </c>
    </row>
    <row r="8377" ht="11.25" customHeight="1">
      <c r="A8377" s="21"/>
      <c r="B8377" s="22"/>
      <c r="C8377" s="21"/>
      <c r="D8377" s="21"/>
      <c r="E8377" s="21"/>
      <c r="F8377" s="21"/>
      <c r="G8377" s="25"/>
      <c r="H8377" s="24" t="str">
        <f>IFERROR(VLOOKUP(B8377,material!A:D,3,0),"")</f>
        <v/>
      </c>
    </row>
    <row r="8378" ht="11.25" customHeight="1">
      <c r="A8378" s="21"/>
      <c r="B8378" s="22"/>
      <c r="C8378" s="21"/>
      <c r="D8378" s="21"/>
      <c r="E8378" s="21"/>
      <c r="F8378" s="21"/>
      <c r="G8378" s="25"/>
      <c r="H8378" s="24" t="str">
        <f>IFERROR(VLOOKUP(B8378,material!A:D,3,0),"")</f>
        <v/>
      </c>
    </row>
    <row r="8379" ht="11.25" customHeight="1">
      <c r="A8379" s="21"/>
      <c r="B8379" s="22"/>
      <c r="C8379" s="21"/>
      <c r="D8379" s="21"/>
      <c r="E8379" s="21"/>
      <c r="F8379" s="21"/>
      <c r="G8379" s="25"/>
      <c r="H8379" s="24" t="str">
        <f>IFERROR(VLOOKUP(B8379,material!A:D,3,0),"")</f>
        <v/>
      </c>
    </row>
    <row r="8380" ht="11.25" customHeight="1">
      <c r="A8380" s="21"/>
      <c r="B8380" s="22"/>
      <c r="C8380" s="21"/>
      <c r="D8380" s="21"/>
      <c r="E8380" s="21"/>
      <c r="F8380" s="21"/>
      <c r="G8380" s="25"/>
      <c r="H8380" s="24" t="str">
        <f>IFERROR(VLOOKUP(B8380,material!A:D,3,0),"")</f>
        <v/>
      </c>
    </row>
    <row r="8381" ht="11.25" customHeight="1">
      <c r="A8381" s="21"/>
      <c r="B8381" s="22"/>
      <c r="C8381" s="21"/>
      <c r="D8381" s="21"/>
      <c r="E8381" s="21"/>
      <c r="F8381" s="21"/>
      <c r="G8381" s="25"/>
      <c r="H8381" s="24" t="str">
        <f>IFERROR(VLOOKUP(B8381,material!A:D,3,0),"")</f>
        <v/>
      </c>
    </row>
    <row r="8382" ht="11.25" customHeight="1">
      <c r="A8382" s="21"/>
      <c r="B8382" s="22"/>
      <c r="C8382" s="21"/>
      <c r="D8382" s="21"/>
      <c r="E8382" s="21"/>
      <c r="F8382" s="21"/>
      <c r="G8382" s="25"/>
      <c r="H8382" s="24" t="str">
        <f>IFERROR(VLOOKUP(B8382,material!A:D,3,0),"")</f>
        <v/>
      </c>
    </row>
    <row r="8383" ht="11.25" customHeight="1">
      <c r="A8383" s="21"/>
      <c r="B8383" s="22"/>
      <c r="C8383" s="21"/>
      <c r="D8383" s="21"/>
      <c r="E8383" s="21"/>
      <c r="F8383" s="21"/>
      <c r="G8383" s="25"/>
      <c r="H8383" s="24" t="str">
        <f>IFERROR(VLOOKUP(B8383,material!A:D,3,0),"")</f>
        <v/>
      </c>
    </row>
    <row r="8384" ht="11.25" customHeight="1">
      <c r="A8384" s="21"/>
      <c r="B8384" s="22"/>
      <c r="C8384" s="21"/>
      <c r="D8384" s="21"/>
      <c r="E8384" s="21"/>
      <c r="F8384" s="21"/>
      <c r="G8384" s="25"/>
      <c r="H8384" s="24" t="str">
        <f>IFERROR(VLOOKUP(B8384,material!A:D,3,0),"")</f>
        <v/>
      </c>
    </row>
    <row r="8385" ht="11.25" customHeight="1">
      <c r="A8385" s="21"/>
      <c r="B8385" s="22"/>
      <c r="C8385" s="21"/>
      <c r="D8385" s="21"/>
      <c r="E8385" s="21"/>
      <c r="F8385" s="21"/>
      <c r="G8385" s="25"/>
      <c r="H8385" s="24" t="str">
        <f>IFERROR(VLOOKUP(B8385,material!A:D,3,0),"")</f>
        <v/>
      </c>
    </row>
    <row r="8386" ht="11.25" customHeight="1">
      <c r="A8386" s="21"/>
      <c r="B8386" s="22"/>
      <c r="C8386" s="21"/>
      <c r="D8386" s="21"/>
      <c r="E8386" s="21"/>
      <c r="F8386" s="21"/>
      <c r="G8386" s="25"/>
      <c r="H8386" s="24" t="str">
        <f>IFERROR(VLOOKUP(B8386,material!A:D,3,0),"")</f>
        <v/>
      </c>
    </row>
    <row r="8387" ht="11.25" customHeight="1">
      <c r="A8387" s="21"/>
      <c r="B8387" s="22"/>
      <c r="C8387" s="21"/>
      <c r="D8387" s="21"/>
      <c r="E8387" s="21"/>
      <c r="F8387" s="21"/>
      <c r="G8387" s="25"/>
      <c r="H8387" s="24" t="str">
        <f>IFERROR(VLOOKUP(B8387,material!A:D,3,0),"")</f>
        <v/>
      </c>
    </row>
    <row r="8388" ht="11.25" customHeight="1">
      <c r="A8388" s="21"/>
      <c r="B8388" s="22"/>
      <c r="C8388" s="21"/>
      <c r="D8388" s="21"/>
      <c r="E8388" s="21"/>
      <c r="F8388" s="21"/>
      <c r="G8388" s="25"/>
      <c r="H8388" s="24" t="str">
        <f>IFERROR(VLOOKUP(B8388,material!A:D,3,0),"")</f>
        <v/>
      </c>
    </row>
    <row r="8389" ht="11.25" customHeight="1">
      <c r="A8389" s="21"/>
      <c r="B8389" s="22"/>
      <c r="C8389" s="21"/>
      <c r="D8389" s="21"/>
      <c r="E8389" s="21"/>
      <c r="F8389" s="21"/>
      <c r="G8389" s="25"/>
      <c r="H8389" s="24" t="str">
        <f>IFERROR(VLOOKUP(B8389,material!A:D,3,0),"")</f>
        <v/>
      </c>
    </row>
    <row r="8390" ht="11.25" customHeight="1">
      <c r="A8390" s="21"/>
      <c r="B8390" s="22"/>
      <c r="C8390" s="21"/>
      <c r="D8390" s="21"/>
      <c r="E8390" s="21"/>
      <c r="F8390" s="21"/>
      <c r="G8390" s="25"/>
      <c r="H8390" s="24" t="str">
        <f>IFERROR(VLOOKUP(B8390,material!A:D,3,0),"")</f>
        <v/>
      </c>
    </row>
    <row r="8391" ht="11.25" customHeight="1">
      <c r="A8391" s="21"/>
      <c r="B8391" s="22"/>
      <c r="C8391" s="21"/>
      <c r="D8391" s="21"/>
      <c r="E8391" s="21"/>
      <c r="F8391" s="21"/>
      <c r="G8391" s="25"/>
      <c r="H8391" s="24" t="str">
        <f>IFERROR(VLOOKUP(B8391,material!A:D,3,0),"")</f>
        <v/>
      </c>
    </row>
    <row r="8392" ht="11.25" customHeight="1">
      <c r="A8392" s="21"/>
      <c r="B8392" s="22"/>
      <c r="C8392" s="21"/>
      <c r="D8392" s="21"/>
      <c r="E8392" s="21"/>
      <c r="F8392" s="21"/>
      <c r="G8392" s="25"/>
      <c r="H8392" s="24" t="str">
        <f>IFERROR(VLOOKUP(B8392,material!A:D,3,0),"")</f>
        <v/>
      </c>
    </row>
    <row r="8393" ht="11.25" customHeight="1">
      <c r="A8393" s="21"/>
      <c r="B8393" s="22"/>
      <c r="C8393" s="21"/>
      <c r="D8393" s="21"/>
      <c r="E8393" s="21"/>
      <c r="F8393" s="21"/>
      <c r="G8393" s="25"/>
      <c r="H8393" s="24" t="str">
        <f>IFERROR(VLOOKUP(B8393,material!A:D,3,0),"")</f>
        <v/>
      </c>
    </row>
    <row r="8394" ht="11.25" customHeight="1">
      <c r="A8394" s="21"/>
      <c r="B8394" s="22"/>
      <c r="C8394" s="21"/>
      <c r="D8394" s="21"/>
      <c r="E8394" s="21"/>
      <c r="F8394" s="21"/>
      <c r="G8394" s="25"/>
      <c r="H8394" s="24" t="str">
        <f>IFERROR(VLOOKUP(B8394,material!A:D,3,0),"")</f>
        <v/>
      </c>
    </row>
    <row r="8395" ht="11.25" customHeight="1">
      <c r="A8395" s="21"/>
      <c r="B8395" s="22"/>
      <c r="C8395" s="21"/>
      <c r="D8395" s="21"/>
      <c r="E8395" s="21"/>
      <c r="F8395" s="21"/>
      <c r="G8395" s="25"/>
      <c r="H8395" s="24" t="str">
        <f>IFERROR(VLOOKUP(B8395,material!A:D,3,0),"")</f>
        <v/>
      </c>
    </row>
    <row r="8396" ht="11.25" customHeight="1">
      <c r="A8396" s="21"/>
      <c r="B8396" s="22"/>
      <c r="C8396" s="21"/>
      <c r="D8396" s="21"/>
      <c r="E8396" s="21"/>
      <c r="F8396" s="21"/>
      <c r="G8396" s="25"/>
      <c r="H8396" s="24" t="str">
        <f>IFERROR(VLOOKUP(B8396,material!A:D,3,0),"")</f>
        <v/>
      </c>
    </row>
    <row r="8397" ht="11.25" customHeight="1">
      <c r="A8397" s="21"/>
      <c r="B8397" s="22"/>
      <c r="C8397" s="21"/>
      <c r="D8397" s="21"/>
      <c r="E8397" s="21"/>
      <c r="F8397" s="21"/>
      <c r="G8397" s="25"/>
      <c r="H8397" s="24" t="str">
        <f>IFERROR(VLOOKUP(B8397,material!A:D,3,0),"")</f>
        <v/>
      </c>
    </row>
    <row r="8398" ht="11.25" customHeight="1">
      <c r="A8398" s="21"/>
      <c r="B8398" s="22"/>
      <c r="C8398" s="21"/>
      <c r="D8398" s="21"/>
      <c r="E8398" s="21"/>
      <c r="F8398" s="21"/>
      <c r="G8398" s="25"/>
      <c r="H8398" s="24" t="str">
        <f>IFERROR(VLOOKUP(B8398,material!A:D,3,0),"")</f>
        <v/>
      </c>
    </row>
    <row r="8399" ht="11.25" customHeight="1">
      <c r="A8399" s="21"/>
      <c r="B8399" s="22"/>
      <c r="C8399" s="21"/>
      <c r="D8399" s="21"/>
      <c r="E8399" s="21"/>
      <c r="F8399" s="21"/>
      <c r="G8399" s="25"/>
      <c r="H8399" s="24" t="str">
        <f>IFERROR(VLOOKUP(B8399,material!A:D,3,0),"")</f>
        <v/>
      </c>
    </row>
    <row r="8400" ht="11.25" customHeight="1">
      <c r="A8400" s="21"/>
      <c r="B8400" s="22"/>
      <c r="C8400" s="21"/>
      <c r="D8400" s="21"/>
      <c r="E8400" s="21"/>
      <c r="F8400" s="21"/>
      <c r="G8400" s="25"/>
      <c r="H8400" s="24" t="str">
        <f>IFERROR(VLOOKUP(B8400,material!A:D,3,0),"")</f>
        <v/>
      </c>
    </row>
    <row r="8401" ht="11.25" customHeight="1">
      <c r="A8401" s="21"/>
      <c r="B8401" s="22"/>
      <c r="C8401" s="21"/>
      <c r="D8401" s="21"/>
      <c r="E8401" s="21"/>
      <c r="F8401" s="21"/>
      <c r="G8401" s="25"/>
      <c r="H8401" s="24" t="str">
        <f>IFERROR(VLOOKUP(B8401,material!A:D,3,0),"")</f>
        <v/>
      </c>
    </row>
    <row r="8402" ht="11.25" customHeight="1">
      <c r="A8402" s="21"/>
      <c r="B8402" s="22"/>
      <c r="C8402" s="21"/>
      <c r="D8402" s="21"/>
      <c r="E8402" s="21"/>
      <c r="F8402" s="21"/>
      <c r="G8402" s="25"/>
      <c r="H8402" s="24" t="str">
        <f>IFERROR(VLOOKUP(B8402,material!A:D,3,0),"")</f>
        <v/>
      </c>
    </row>
    <row r="8403" ht="11.25" customHeight="1">
      <c r="A8403" s="21"/>
      <c r="B8403" s="22"/>
      <c r="C8403" s="21"/>
      <c r="D8403" s="21"/>
      <c r="E8403" s="21"/>
      <c r="F8403" s="21"/>
      <c r="G8403" s="25"/>
      <c r="H8403" s="24" t="str">
        <f>IFERROR(VLOOKUP(B8403,material!A:D,3,0),"")</f>
        <v/>
      </c>
    </row>
    <row r="8404" ht="11.25" customHeight="1">
      <c r="A8404" s="21"/>
      <c r="B8404" s="22"/>
      <c r="C8404" s="21"/>
      <c r="D8404" s="21"/>
      <c r="E8404" s="21"/>
      <c r="F8404" s="21"/>
      <c r="G8404" s="25"/>
      <c r="H8404" s="24" t="str">
        <f>IFERROR(VLOOKUP(B8404,material!A:D,3,0),"")</f>
        <v/>
      </c>
    </row>
    <row r="8405" ht="11.25" customHeight="1">
      <c r="A8405" s="21"/>
      <c r="B8405" s="22"/>
      <c r="C8405" s="21"/>
      <c r="D8405" s="21"/>
      <c r="E8405" s="21"/>
      <c r="F8405" s="21"/>
      <c r="G8405" s="25"/>
      <c r="H8405" s="24" t="str">
        <f>IFERROR(VLOOKUP(B8405,material!A:D,3,0),"")</f>
        <v/>
      </c>
    </row>
    <row r="8406" ht="11.25" customHeight="1">
      <c r="A8406" s="21"/>
      <c r="B8406" s="22"/>
      <c r="C8406" s="21"/>
      <c r="D8406" s="21"/>
      <c r="E8406" s="21"/>
      <c r="F8406" s="21"/>
      <c r="G8406" s="25"/>
      <c r="H8406" s="24" t="str">
        <f>IFERROR(VLOOKUP(B8406,material!A:D,3,0),"")</f>
        <v/>
      </c>
    </row>
    <row r="8407" ht="11.25" customHeight="1">
      <c r="A8407" s="21"/>
      <c r="B8407" s="22"/>
      <c r="C8407" s="21"/>
      <c r="D8407" s="21"/>
      <c r="E8407" s="21"/>
      <c r="F8407" s="21"/>
      <c r="G8407" s="25"/>
      <c r="H8407" s="24" t="str">
        <f>IFERROR(VLOOKUP(B8407,material!A:D,3,0),"")</f>
        <v/>
      </c>
    </row>
    <row r="8408" ht="11.25" customHeight="1">
      <c r="A8408" s="21"/>
      <c r="B8408" s="22"/>
      <c r="C8408" s="21"/>
      <c r="D8408" s="21"/>
      <c r="E8408" s="21"/>
      <c r="F8408" s="21"/>
      <c r="G8408" s="25"/>
      <c r="H8408" s="24" t="str">
        <f>IFERROR(VLOOKUP(B8408,material!A:D,3,0),"")</f>
        <v/>
      </c>
    </row>
    <row r="8409" ht="11.25" customHeight="1">
      <c r="A8409" s="21"/>
      <c r="B8409" s="22"/>
      <c r="C8409" s="21"/>
      <c r="D8409" s="21"/>
      <c r="E8409" s="21"/>
      <c r="F8409" s="21"/>
      <c r="G8409" s="25"/>
      <c r="H8409" s="24" t="str">
        <f>IFERROR(VLOOKUP(B8409,material!A:D,3,0),"")</f>
        <v/>
      </c>
    </row>
    <row r="8410" ht="11.25" customHeight="1">
      <c r="A8410" s="21"/>
      <c r="B8410" s="22"/>
      <c r="C8410" s="21"/>
      <c r="D8410" s="21"/>
      <c r="E8410" s="21"/>
      <c r="F8410" s="21"/>
      <c r="G8410" s="25"/>
      <c r="H8410" s="24" t="str">
        <f>IFERROR(VLOOKUP(B8410,material!A:D,3,0),"")</f>
        <v/>
      </c>
    </row>
    <row r="8411" ht="11.25" customHeight="1">
      <c r="A8411" s="21"/>
      <c r="B8411" s="22"/>
      <c r="C8411" s="21"/>
      <c r="D8411" s="21"/>
      <c r="E8411" s="21"/>
      <c r="F8411" s="21"/>
      <c r="G8411" s="25"/>
      <c r="H8411" s="24" t="str">
        <f>IFERROR(VLOOKUP(B8411,material!A:D,3,0),"")</f>
        <v/>
      </c>
    </row>
    <row r="8412" ht="11.25" customHeight="1">
      <c r="A8412" s="21"/>
      <c r="B8412" s="22"/>
      <c r="C8412" s="21"/>
      <c r="D8412" s="21"/>
      <c r="E8412" s="21"/>
      <c r="F8412" s="21"/>
      <c r="G8412" s="25"/>
      <c r="H8412" s="24" t="str">
        <f>IFERROR(VLOOKUP(B8412,material!A:D,3,0),"")</f>
        <v/>
      </c>
    </row>
    <row r="8413" ht="11.25" customHeight="1">
      <c r="A8413" s="21"/>
      <c r="B8413" s="22"/>
      <c r="C8413" s="21"/>
      <c r="D8413" s="21"/>
      <c r="E8413" s="21"/>
      <c r="F8413" s="21"/>
      <c r="G8413" s="25"/>
      <c r="H8413" s="24" t="str">
        <f>IFERROR(VLOOKUP(B8413,material!A:D,3,0),"")</f>
        <v/>
      </c>
    </row>
    <row r="8414" ht="11.25" customHeight="1">
      <c r="A8414" s="21"/>
      <c r="B8414" s="22"/>
      <c r="C8414" s="21"/>
      <c r="D8414" s="21"/>
      <c r="E8414" s="21"/>
      <c r="F8414" s="21"/>
      <c r="G8414" s="25"/>
      <c r="H8414" s="24" t="str">
        <f>IFERROR(VLOOKUP(B8414,material!A:D,3,0),"")</f>
        <v/>
      </c>
    </row>
    <row r="8415" ht="11.25" customHeight="1">
      <c r="A8415" s="21"/>
      <c r="B8415" s="22"/>
      <c r="C8415" s="21"/>
      <c r="D8415" s="21"/>
      <c r="E8415" s="21"/>
      <c r="F8415" s="21"/>
      <c r="G8415" s="25"/>
      <c r="H8415" s="24" t="str">
        <f>IFERROR(VLOOKUP(B8415,material!A:D,3,0),"")</f>
        <v/>
      </c>
    </row>
    <row r="8416" ht="11.25" customHeight="1">
      <c r="A8416" s="21"/>
      <c r="B8416" s="22"/>
      <c r="C8416" s="21"/>
      <c r="D8416" s="21"/>
      <c r="E8416" s="21"/>
      <c r="F8416" s="21"/>
      <c r="G8416" s="25"/>
      <c r="H8416" s="24" t="str">
        <f>IFERROR(VLOOKUP(B8416,material!A:D,3,0),"")</f>
        <v/>
      </c>
    </row>
    <row r="8417" ht="11.25" customHeight="1">
      <c r="A8417" s="21"/>
      <c r="B8417" s="22"/>
      <c r="C8417" s="21"/>
      <c r="D8417" s="21"/>
      <c r="E8417" s="21"/>
      <c r="F8417" s="21"/>
      <c r="G8417" s="25"/>
      <c r="H8417" s="24" t="str">
        <f>IFERROR(VLOOKUP(B8417,material!A:D,3,0),"")</f>
        <v/>
      </c>
    </row>
    <row r="8418" ht="11.25" customHeight="1">
      <c r="A8418" s="21"/>
      <c r="B8418" s="22"/>
      <c r="C8418" s="21"/>
      <c r="D8418" s="21"/>
      <c r="E8418" s="21"/>
      <c r="F8418" s="21"/>
      <c r="G8418" s="25"/>
      <c r="H8418" s="24" t="str">
        <f>IFERROR(VLOOKUP(B8418,material!A:D,3,0),"")</f>
        <v/>
      </c>
    </row>
    <row r="8419" ht="11.25" customHeight="1">
      <c r="A8419" s="21"/>
      <c r="B8419" s="22"/>
      <c r="C8419" s="21"/>
      <c r="D8419" s="21"/>
      <c r="E8419" s="21"/>
      <c r="F8419" s="21"/>
      <c r="G8419" s="25"/>
      <c r="H8419" s="24" t="str">
        <f>IFERROR(VLOOKUP(B8419,material!A:D,3,0),"")</f>
        <v/>
      </c>
    </row>
    <row r="8420" ht="11.25" customHeight="1">
      <c r="A8420" s="21"/>
      <c r="B8420" s="22"/>
      <c r="C8420" s="21"/>
      <c r="D8420" s="21"/>
      <c r="E8420" s="21"/>
      <c r="F8420" s="21"/>
      <c r="G8420" s="25"/>
      <c r="H8420" s="24" t="str">
        <f>IFERROR(VLOOKUP(B8420,material!A:D,3,0),"")</f>
        <v/>
      </c>
    </row>
    <row r="8421" ht="11.25" customHeight="1">
      <c r="A8421" s="21"/>
      <c r="B8421" s="22"/>
      <c r="C8421" s="21"/>
      <c r="D8421" s="21"/>
      <c r="E8421" s="21"/>
      <c r="F8421" s="21"/>
      <c r="G8421" s="25"/>
      <c r="H8421" s="24" t="str">
        <f>IFERROR(VLOOKUP(B8421,material!A:D,3,0),"")</f>
        <v/>
      </c>
    </row>
    <row r="8422" ht="11.25" customHeight="1">
      <c r="A8422" s="21"/>
      <c r="B8422" s="22"/>
      <c r="C8422" s="21"/>
      <c r="D8422" s="21"/>
      <c r="E8422" s="21"/>
      <c r="F8422" s="21"/>
      <c r="G8422" s="25"/>
      <c r="H8422" s="24" t="str">
        <f>IFERROR(VLOOKUP(B8422,material!A:D,3,0),"")</f>
        <v/>
      </c>
    </row>
    <row r="8423" ht="11.25" customHeight="1">
      <c r="A8423" s="21"/>
      <c r="B8423" s="22"/>
      <c r="C8423" s="21"/>
      <c r="D8423" s="21"/>
      <c r="E8423" s="21"/>
      <c r="F8423" s="21"/>
      <c r="G8423" s="25"/>
      <c r="H8423" s="24" t="str">
        <f>IFERROR(VLOOKUP(B8423,material!A:D,3,0),"")</f>
        <v/>
      </c>
    </row>
    <row r="8424" ht="11.25" customHeight="1">
      <c r="A8424" s="21"/>
      <c r="B8424" s="22"/>
      <c r="C8424" s="21"/>
      <c r="D8424" s="21"/>
      <c r="E8424" s="21"/>
      <c r="F8424" s="21"/>
      <c r="G8424" s="25"/>
      <c r="H8424" s="24" t="str">
        <f>IFERROR(VLOOKUP(B8424,material!A:D,3,0),"")</f>
        <v/>
      </c>
    </row>
    <row r="8425" ht="11.25" customHeight="1">
      <c r="A8425" s="21"/>
      <c r="B8425" s="22"/>
      <c r="C8425" s="21"/>
      <c r="D8425" s="21"/>
      <c r="E8425" s="21"/>
      <c r="F8425" s="21"/>
      <c r="G8425" s="25"/>
      <c r="H8425" s="24" t="str">
        <f>IFERROR(VLOOKUP(B8425,material!A:D,3,0),"")</f>
        <v/>
      </c>
    </row>
    <row r="8426" ht="11.25" customHeight="1">
      <c r="A8426" s="21"/>
      <c r="B8426" s="22"/>
      <c r="C8426" s="21"/>
      <c r="D8426" s="21"/>
      <c r="E8426" s="21"/>
      <c r="F8426" s="21"/>
      <c r="G8426" s="25"/>
      <c r="H8426" s="24" t="str">
        <f>IFERROR(VLOOKUP(B8426,material!A:D,3,0),"")</f>
        <v/>
      </c>
    </row>
    <row r="8427" ht="11.25" customHeight="1">
      <c r="A8427" s="21"/>
      <c r="B8427" s="22"/>
      <c r="C8427" s="21"/>
      <c r="D8427" s="21"/>
      <c r="E8427" s="21"/>
      <c r="F8427" s="21"/>
      <c r="G8427" s="25"/>
      <c r="H8427" s="24" t="str">
        <f>IFERROR(VLOOKUP(B8427,material!A:D,3,0),"")</f>
        <v/>
      </c>
    </row>
    <row r="8428" ht="11.25" customHeight="1">
      <c r="A8428" s="21"/>
      <c r="B8428" s="22"/>
      <c r="C8428" s="21"/>
      <c r="D8428" s="21"/>
      <c r="E8428" s="21"/>
      <c r="F8428" s="21"/>
      <c r="G8428" s="25"/>
      <c r="H8428" s="24" t="str">
        <f>IFERROR(VLOOKUP(B8428,material!A:D,3,0),"")</f>
        <v/>
      </c>
    </row>
    <row r="8429" ht="11.25" customHeight="1">
      <c r="A8429" s="21"/>
      <c r="B8429" s="22"/>
      <c r="C8429" s="21"/>
      <c r="D8429" s="21"/>
      <c r="E8429" s="21"/>
      <c r="F8429" s="21"/>
      <c r="G8429" s="25"/>
      <c r="H8429" s="24" t="str">
        <f>IFERROR(VLOOKUP(B8429,material!A:D,3,0),"")</f>
        <v/>
      </c>
    </row>
    <row r="8430" ht="11.25" customHeight="1">
      <c r="A8430" s="21"/>
      <c r="B8430" s="22"/>
      <c r="C8430" s="21"/>
      <c r="D8430" s="21"/>
      <c r="E8430" s="21"/>
      <c r="F8430" s="21"/>
      <c r="G8430" s="25"/>
      <c r="H8430" s="24" t="str">
        <f>IFERROR(VLOOKUP(B8430,material!A:D,3,0),"")</f>
        <v/>
      </c>
    </row>
    <row r="8431" ht="11.25" customHeight="1">
      <c r="A8431" s="21"/>
      <c r="B8431" s="22"/>
      <c r="C8431" s="21"/>
      <c r="D8431" s="21"/>
      <c r="E8431" s="21"/>
      <c r="F8431" s="21"/>
      <c r="G8431" s="25"/>
      <c r="H8431" s="24" t="str">
        <f>IFERROR(VLOOKUP(B8431,material!A:D,3,0),"")</f>
        <v/>
      </c>
    </row>
    <row r="8432" ht="11.25" customHeight="1">
      <c r="A8432" s="21"/>
      <c r="B8432" s="22"/>
      <c r="C8432" s="21"/>
      <c r="D8432" s="21"/>
      <c r="E8432" s="21"/>
      <c r="F8432" s="21"/>
      <c r="G8432" s="25"/>
      <c r="H8432" s="24" t="str">
        <f>IFERROR(VLOOKUP(B8432,material!A:D,3,0),"")</f>
        <v/>
      </c>
    </row>
    <row r="8433" ht="11.25" customHeight="1">
      <c r="A8433" s="21"/>
      <c r="B8433" s="22"/>
      <c r="C8433" s="21"/>
      <c r="D8433" s="21"/>
      <c r="E8433" s="21"/>
      <c r="F8433" s="21"/>
      <c r="G8433" s="25"/>
      <c r="H8433" s="24" t="str">
        <f>IFERROR(VLOOKUP(B8433,material!A:D,3,0),"")</f>
        <v/>
      </c>
    </row>
    <row r="8434" ht="11.25" customHeight="1">
      <c r="A8434" s="21"/>
      <c r="B8434" s="22"/>
      <c r="C8434" s="21"/>
      <c r="D8434" s="21"/>
      <c r="E8434" s="21"/>
      <c r="F8434" s="21"/>
      <c r="G8434" s="25"/>
      <c r="H8434" s="24" t="str">
        <f>IFERROR(VLOOKUP(B8434,material!A:D,3,0),"")</f>
        <v/>
      </c>
    </row>
    <row r="8435" ht="11.25" customHeight="1">
      <c r="A8435" s="21"/>
      <c r="B8435" s="22"/>
      <c r="C8435" s="21"/>
      <c r="D8435" s="21"/>
      <c r="E8435" s="21"/>
      <c r="F8435" s="21"/>
      <c r="G8435" s="25"/>
      <c r="H8435" s="24" t="str">
        <f>IFERROR(VLOOKUP(B8435,material!A:D,3,0),"")</f>
        <v/>
      </c>
    </row>
    <row r="8436" ht="11.25" customHeight="1">
      <c r="A8436" s="21"/>
      <c r="B8436" s="22"/>
      <c r="C8436" s="21"/>
      <c r="D8436" s="21"/>
      <c r="E8436" s="21"/>
      <c r="F8436" s="21"/>
      <c r="G8436" s="25"/>
      <c r="H8436" s="24" t="str">
        <f>IFERROR(VLOOKUP(B8436,material!A:D,3,0),"")</f>
        <v/>
      </c>
    </row>
    <row r="8437" ht="11.25" customHeight="1">
      <c r="A8437" s="21"/>
      <c r="B8437" s="22"/>
      <c r="C8437" s="21"/>
      <c r="D8437" s="21"/>
      <c r="E8437" s="21"/>
      <c r="F8437" s="21"/>
      <c r="G8437" s="25"/>
      <c r="H8437" s="24" t="str">
        <f>IFERROR(VLOOKUP(B8437,material!A:D,3,0),"")</f>
        <v/>
      </c>
    </row>
    <row r="8438" ht="11.25" customHeight="1">
      <c r="A8438" s="21"/>
      <c r="B8438" s="22"/>
      <c r="C8438" s="21"/>
      <c r="D8438" s="21"/>
      <c r="E8438" s="21"/>
      <c r="F8438" s="21"/>
      <c r="G8438" s="25"/>
      <c r="H8438" s="24" t="str">
        <f>IFERROR(VLOOKUP(B8438,material!A:D,3,0),"")</f>
        <v/>
      </c>
    </row>
    <row r="8439" ht="11.25" customHeight="1">
      <c r="A8439" s="21"/>
      <c r="B8439" s="22"/>
      <c r="C8439" s="21"/>
      <c r="D8439" s="21"/>
      <c r="E8439" s="21"/>
      <c r="F8439" s="21"/>
      <c r="G8439" s="25"/>
      <c r="H8439" s="24" t="str">
        <f>IFERROR(VLOOKUP(B8439,material!A:D,3,0),"")</f>
        <v/>
      </c>
    </row>
    <row r="8440" ht="11.25" customHeight="1">
      <c r="A8440" s="21"/>
      <c r="B8440" s="22"/>
      <c r="C8440" s="21"/>
      <c r="D8440" s="21"/>
      <c r="E8440" s="21"/>
      <c r="F8440" s="21"/>
      <c r="G8440" s="25"/>
      <c r="H8440" s="24" t="str">
        <f>IFERROR(VLOOKUP(B8440,material!A:D,3,0),"")</f>
        <v/>
      </c>
    </row>
    <row r="8441" ht="11.25" customHeight="1">
      <c r="A8441" s="21"/>
      <c r="B8441" s="22"/>
      <c r="C8441" s="21"/>
      <c r="D8441" s="21"/>
      <c r="E8441" s="21"/>
      <c r="F8441" s="21"/>
      <c r="G8441" s="25"/>
      <c r="H8441" s="24" t="str">
        <f>IFERROR(VLOOKUP(B8441,material!A:D,3,0),"")</f>
        <v/>
      </c>
    </row>
    <row r="8442" ht="11.25" customHeight="1">
      <c r="A8442" s="21"/>
      <c r="B8442" s="22"/>
      <c r="C8442" s="21"/>
      <c r="D8442" s="21"/>
      <c r="E8442" s="21"/>
      <c r="F8442" s="21"/>
      <c r="G8442" s="25"/>
      <c r="H8442" s="24" t="str">
        <f>IFERROR(VLOOKUP(B8442,material!A:D,3,0),"")</f>
        <v/>
      </c>
    </row>
    <row r="8443" ht="11.25" customHeight="1">
      <c r="A8443" s="21"/>
      <c r="B8443" s="22"/>
      <c r="C8443" s="21"/>
      <c r="D8443" s="21"/>
      <c r="E8443" s="21"/>
      <c r="F8443" s="21"/>
      <c r="G8443" s="25"/>
      <c r="H8443" s="24" t="str">
        <f>IFERROR(VLOOKUP(B8443,material!A:D,3,0),"")</f>
        <v/>
      </c>
    </row>
    <row r="8444" ht="11.25" customHeight="1">
      <c r="A8444" s="21"/>
      <c r="B8444" s="22"/>
      <c r="C8444" s="21"/>
      <c r="D8444" s="21"/>
      <c r="E8444" s="21"/>
      <c r="F8444" s="21"/>
      <c r="G8444" s="25"/>
      <c r="H8444" s="24" t="str">
        <f>IFERROR(VLOOKUP(B8444,material!A:D,3,0),"")</f>
        <v/>
      </c>
    </row>
    <row r="8445" ht="11.25" customHeight="1">
      <c r="A8445" s="21"/>
      <c r="B8445" s="22"/>
      <c r="C8445" s="21"/>
      <c r="D8445" s="21"/>
      <c r="E8445" s="21"/>
      <c r="F8445" s="21"/>
      <c r="G8445" s="25"/>
      <c r="H8445" s="24" t="str">
        <f>IFERROR(VLOOKUP(B8445,material!A:D,3,0),"")</f>
        <v/>
      </c>
    </row>
    <row r="8446" ht="11.25" customHeight="1">
      <c r="A8446" s="21"/>
      <c r="B8446" s="22"/>
      <c r="C8446" s="21"/>
      <c r="D8446" s="21"/>
      <c r="E8446" s="21"/>
      <c r="F8446" s="21"/>
      <c r="G8446" s="25"/>
      <c r="H8446" s="24" t="str">
        <f>IFERROR(VLOOKUP(B8446,material!A:D,3,0),"")</f>
        <v/>
      </c>
    </row>
    <row r="8447" ht="11.25" customHeight="1">
      <c r="A8447" s="21"/>
      <c r="B8447" s="22"/>
      <c r="C8447" s="21"/>
      <c r="D8447" s="21"/>
      <c r="E8447" s="21"/>
      <c r="F8447" s="21"/>
      <c r="G8447" s="25"/>
      <c r="H8447" s="24" t="str">
        <f>IFERROR(VLOOKUP(B8447,material!A:D,3,0),"")</f>
        <v/>
      </c>
    </row>
    <row r="8448" ht="11.25" customHeight="1">
      <c r="A8448" s="21"/>
      <c r="B8448" s="22"/>
      <c r="C8448" s="21"/>
      <c r="D8448" s="21"/>
      <c r="E8448" s="21"/>
      <c r="F8448" s="21"/>
      <c r="G8448" s="25"/>
      <c r="H8448" s="24" t="str">
        <f>IFERROR(VLOOKUP(B8448,material!A:D,3,0),"")</f>
        <v/>
      </c>
    </row>
    <row r="8449" ht="11.25" customHeight="1">
      <c r="A8449" s="21"/>
      <c r="B8449" s="22"/>
      <c r="C8449" s="21"/>
      <c r="D8449" s="21"/>
      <c r="E8449" s="21"/>
      <c r="F8449" s="21"/>
      <c r="G8449" s="25"/>
      <c r="H8449" s="24" t="str">
        <f>IFERROR(VLOOKUP(B8449,material!A:D,3,0),"")</f>
        <v/>
      </c>
    </row>
    <row r="8450" ht="11.25" customHeight="1">
      <c r="A8450" s="21"/>
      <c r="B8450" s="22"/>
      <c r="C8450" s="21"/>
      <c r="D8450" s="21"/>
      <c r="E8450" s="21"/>
      <c r="F8450" s="21"/>
      <c r="G8450" s="25"/>
      <c r="H8450" s="24" t="str">
        <f>IFERROR(VLOOKUP(B8450,material!A:D,3,0),"")</f>
        <v/>
      </c>
    </row>
    <row r="8451" ht="11.25" customHeight="1">
      <c r="A8451" s="21"/>
      <c r="B8451" s="22"/>
      <c r="C8451" s="21"/>
      <c r="D8451" s="21"/>
      <c r="E8451" s="21"/>
      <c r="F8451" s="21"/>
      <c r="G8451" s="25"/>
      <c r="H8451" s="24" t="str">
        <f>IFERROR(VLOOKUP(B8451,material!A:D,3,0),"")</f>
        <v/>
      </c>
    </row>
    <row r="8452" ht="11.25" customHeight="1">
      <c r="A8452" s="21"/>
      <c r="B8452" s="22"/>
      <c r="C8452" s="21"/>
      <c r="D8452" s="21"/>
      <c r="E8452" s="21"/>
      <c r="F8452" s="21"/>
      <c r="G8452" s="25"/>
      <c r="H8452" s="24" t="str">
        <f>IFERROR(VLOOKUP(B8452,material!A:D,3,0),"")</f>
        <v/>
      </c>
    </row>
    <row r="8453" ht="11.25" customHeight="1">
      <c r="A8453" s="21"/>
      <c r="B8453" s="22"/>
      <c r="C8453" s="21"/>
      <c r="D8453" s="21"/>
      <c r="E8453" s="21"/>
      <c r="F8453" s="21"/>
      <c r="G8453" s="25"/>
      <c r="H8453" s="24" t="str">
        <f>IFERROR(VLOOKUP(B8453,material!A:D,3,0),"")</f>
        <v/>
      </c>
    </row>
    <row r="8454" ht="11.25" customHeight="1">
      <c r="A8454" s="21"/>
      <c r="B8454" s="22"/>
      <c r="C8454" s="21"/>
      <c r="D8454" s="21"/>
      <c r="E8454" s="21"/>
      <c r="F8454" s="21"/>
      <c r="G8454" s="25"/>
      <c r="H8454" s="24" t="str">
        <f>IFERROR(VLOOKUP(B8454,material!A:D,3,0),"")</f>
        <v/>
      </c>
    </row>
    <row r="8455" ht="11.25" customHeight="1">
      <c r="A8455" s="21"/>
      <c r="B8455" s="22"/>
      <c r="C8455" s="21"/>
      <c r="D8455" s="21"/>
      <c r="E8455" s="21"/>
      <c r="F8455" s="21"/>
      <c r="G8455" s="25"/>
      <c r="H8455" s="24" t="str">
        <f>IFERROR(VLOOKUP(B8455,material!A:D,3,0),"")</f>
        <v/>
      </c>
    </row>
    <row r="8456" ht="11.25" customHeight="1">
      <c r="A8456" s="21"/>
      <c r="B8456" s="22"/>
      <c r="C8456" s="21"/>
      <c r="D8456" s="21"/>
      <c r="E8456" s="21"/>
      <c r="F8456" s="21"/>
      <c r="G8456" s="25"/>
      <c r="H8456" s="24" t="str">
        <f>IFERROR(VLOOKUP(B8456,material!A:D,3,0),"")</f>
        <v/>
      </c>
    </row>
    <row r="8457" ht="11.25" customHeight="1">
      <c r="A8457" s="21"/>
      <c r="B8457" s="22"/>
      <c r="C8457" s="21"/>
      <c r="D8457" s="21"/>
      <c r="E8457" s="21"/>
      <c r="F8457" s="21"/>
      <c r="G8457" s="25"/>
      <c r="H8457" s="24" t="str">
        <f>IFERROR(VLOOKUP(B8457,material!A:D,3,0),"")</f>
        <v/>
      </c>
    </row>
    <row r="8458" ht="11.25" customHeight="1">
      <c r="A8458" s="21"/>
      <c r="B8458" s="22"/>
      <c r="C8458" s="21"/>
      <c r="D8458" s="21"/>
      <c r="E8458" s="21"/>
      <c r="F8458" s="21"/>
      <c r="G8458" s="25"/>
      <c r="H8458" s="24" t="str">
        <f>IFERROR(VLOOKUP(B8458,material!A:D,3,0),"")</f>
        <v/>
      </c>
    </row>
    <row r="8459" ht="11.25" customHeight="1">
      <c r="A8459" s="21"/>
      <c r="B8459" s="22"/>
      <c r="C8459" s="21"/>
      <c r="D8459" s="21"/>
      <c r="E8459" s="21"/>
      <c r="F8459" s="21"/>
      <c r="G8459" s="25"/>
      <c r="H8459" s="24" t="str">
        <f>IFERROR(VLOOKUP(B8459,material!A:D,3,0),"")</f>
        <v/>
      </c>
    </row>
    <row r="8460" ht="11.25" customHeight="1">
      <c r="A8460" s="21"/>
      <c r="B8460" s="22"/>
      <c r="C8460" s="21"/>
      <c r="D8460" s="21"/>
      <c r="E8460" s="21"/>
      <c r="F8460" s="21"/>
      <c r="G8460" s="25"/>
      <c r="H8460" s="24" t="str">
        <f>IFERROR(VLOOKUP(B8460,material!A:D,3,0),"")</f>
        <v/>
      </c>
    </row>
    <row r="8461" ht="11.25" customHeight="1">
      <c r="A8461" s="21"/>
      <c r="B8461" s="22"/>
      <c r="C8461" s="21"/>
      <c r="D8461" s="21"/>
      <c r="E8461" s="21"/>
      <c r="F8461" s="21"/>
      <c r="G8461" s="25"/>
      <c r="H8461" s="24" t="str">
        <f>IFERROR(VLOOKUP(B8461,material!A:D,3,0),"")</f>
        <v/>
      </c>
    </row>
    <row r="8462" ht="11.25" customHeight="1">
      <c r="A8462" s="21"/>
      <c r="B8462" s="22"/>
      <c r="C8462" s="21"/>
      <c r="D8462" s="21"/>
      <c r="E8462" s="21"/>
      <c r="F8462" s="21"/>
      <c r="G8462" s="25"/>
      <c r="H8462" s="24" t="str">
        <f>IFERROR(VLOOKUP(B8462,material!A:D,3,0),"")</f>
        <v/>
      </c>
    </row>
    <row r="8463" ht="11.25" customHeight="1">
      <c r="A8463" s="21"/>
      <c r="B8463" s="22"/>
      <c r="C8463" s="21"/>
      <c r="D8463" s="21"/>
      <c r="E8463" s="21"/>
      <c r="F8463" s="21"/>
      <c r="G8463" s="25"/>
      <c r="H8463" s="24" t="str">
        <f>IFERROR(VLOOKUP(B8463,material!A:D,3,0),"")</f>
        <v/>
      </c>
    </row>
    <row r="8464" ht="11.25" customHeight="1">
      <c r="A8464" s="21"/>
      <c r="B8464" s="22"/>
      <c r="C8464" s="21"/>
      <c r="D8464" s="21"/>
      <c r="E8464" s="21"/>
      <c r="F8464" s="21"/>
      <c r="G8464" s="25"/>
      <c r="H8464" s="24" t="str">
        <f>IFERROR(VLOOKUP(B8464,material!A:D,3,0),"")</f>
        <v/>
      </c>
    </row>
    <row r="8465" ht="11.25" customHeight="1">
      <c r="A8465" s="21"/>
      <c r="B8465" s="22"/>
      <c r="C8465" s="21"/>
      <c r="D8465" s="21"/>
      <c r="E8465" s="21"/>
      <c r="F8465" s="21"/>
      <c r="G8465" s="25"/>
      <c r="H8465" s="24" t="str">
        <f>IFERROR(VLOOKUP(B8465,material!A:D,3,0),"")</f>
        <v/>
      </c>
    </row>
    <row r="8466" ht="11.25" customHeight="1">
      <c r="A8466" s="21"/>
      <c r="B8466" s="22"/>
      <c r="C8466" s="21"/>
      <c r="D8466" s="21"/>
      <c r="E8466" s="21"/>
      <c r="F8466" s="21"/>
      <c r="G8466" s="25"/>
      <c r="H8466" s="24" t="str">
        <f>IFERROR(VLOOKUP(B8466,material!A:D,3,0),"")</f>
        <v/>
      </c>
    </row>
    <row r="8467" ht="11.25" customHeight="1">
      <c r="A8467" s="21"/>
      <c r="B8467" s="22"/>
      <c r="C8467" s="21"/>
      <c r="D8467" s="21"/>
      <c r="E8467" s="21"/>
      <c r="F8467" s="21"/>
      <c r="G8467" s="25"/>
      <c r="H8467" s="24" t="str">
        <f>IFERROR(VLOOKUP(B8467,material!A:D,3,0),"")</f>
        <v/>
      </c>
    </row>
    <row r="8468" ht="11.25" customHeight="1">
      <c r="A8468" s="21"/>
      <c r="B8468" s="22"/>
      <c r="C8468" s="21"/>
      <c r="D8468" s="21"/>
      <c r="E8468" s="21"/>
      <c r="F8468" s="21"/>
      <c r="G8468" s="25"/>
      <c r="H8468" s="24" t="str">
        <f>IFERROR(VLOOKUP(B8468,material!A:D,3,0),"")</f>
        <v/>
      </c>
    </row>
    <row r="8469" ht="11.25" customHeight="1">
      <c r="A8469" s="21"/>
      <c r="B8469" s="22"/>
      <c r="C8469" s="21"/>
      <c r="D8469" s="21"/>
      <c r="E8469" s="21"/>
      <c r="F8469" s="21"/>
      <c r="G8469" s="25"/>
      <c r="H8469" s="24" t="str">
        <f>IFERROR(VLOOKUP(B8469,material!A:D,3,0),"")</f>
        <v/>
      </c>
    </row>
    <row r="8470" ht="11.25" customHeight="1">
      <c r="A8470" s="21"/>
      <c r="B8470" s="22"/>
      <c r="C8470" s="21"/>
      <c r="D8470" s="21"/>
      <c r="E8470" s="21"/>
      <c r="F8470" s="21"/>
      <c r="G8470" s="25"/>
      <c r="H8470" s="24" t="str">
        <f>IFERROR(VLOOKUP(B8470,material!A:D,3,0),"")</f>
        <v/>
      </c>
    </row>
    <row r="8471" ht="11.25" customHeight="1">
      <c r="A8471" s="21"/>
      <c r="B8471" s="22"/>
      <c r="C8471" s="21"/>
      <c r="D8471" s="21"/>
      <c r="E8471" s="21"/>
      <c r="F8471" s="21"/>
      <c r="G8471" s="25"/>
      <c r="H8471" s="24" t="str">
        <f>IFERROR(VLOOKUP(B8471,material!A:D,3,0),"")</f>
        <v/>
      </c>
    </row>
    <row r="8472" ht="11.25" customHeight="1">
      <c r="A8472" s="21"/>
      <c r="B8472" s="22"/>
      <c r="C8472" s="21"/>
      <c r="D8472" s="21"/>
      <c r="E8472" s="21"/>
      <c r="F8472" s="21"/>
      <c r="G8472" s="25"/>
      <c r="H8472" s="24" t="str">
        <f>IFERROR(VLOOKUP(B8472,material!A:D,3,0),"")</f>
        <v/>
      </c>
    </row>
    <row r="8473" ht="11.25" customHeight="1">
      <c r="A8473" s="21"/>
      <c r="B8473" s="22"/>
      <c r="C8473" s="21"/>
      <c r="D8473" s="21"/>
      <c r="E8473" s="21"/>
      <c r="F8473" s="21"/>
      <c r="G8473" s="25"/>
      <c r="H8473" s="24" t="str">
        <f>IFERROR(VLOOKUP(B8473,material!A:D,3,0),"")</f>
        <v/>
      </c>
    </row>
    <row r="8474" ht="11.25" customHeight="1">
      <c r="A8474" s="21"/>
      <c r="B8474" s="22"/>
      <c r="C8474" s="21"/>
      <c r="D8474" s="21"/>
      <c r="E8474" s="21"/>
      <c r="F8474" s="21"/>
      <c r="G8474" s="25"/>
      <c r="H8474" s="24" t="str">
        <f>IFERROR(VLOOKUP(B8474,material!A:D,3,0),"")</f>
        <v/>
      </c>
    </row>
    <row r="8475" ht="11.25" customHeight="1">
      <c r="A8475" s="21"/>
      <c r="B8475" s="22"/>
      <c r="C8475" s="21"/>
      <c r="D8475" s="21"/>
      <c r="E8475" s="21"/>
      <c r="F8475" s="21"/>
      <c r="G8475" s="25"/>
      <c r="H8475" s="24" t="str">
        <f>IFERROR(VLOOKUP(B8475,material!A:D,3,0),"")</f>
        <v/>
      </c>
    </row>
    <row r="8476" ht="11.25" customHeight="1">
      <c r="A8476" s="21"/>
      <c r="B8476" s="22"/>
      <c r="C8476" s="21"/>
      <c r="D8476" s="21"/>
      <c r="E8476" s="21"/>
      <c r="F8476" s="21"/>
      <c r="G8476" s="25"/>
      <c r="H8476" s="24" t="str">
        <f>IFERROR(VLOOKUP(B8476,material!A:D,3,0),"")</f>
        <v/>
      </c>
    </row>
    <row r="8477" ht="11.25" customHeight="1">
      <c r="A8477" s="21"/>
      <c r="B8477" s="22"/>
      <c r="C8477" s="21"/>
      <c r="D8477" s="21"/>
      <c r="E8477" s="21"/>
      <c r="F8477" s="21"/>
      <c r="G8477" s="25"/>
      <c r="H8477" s="24" t="str">
        <f>IFERROR(VLOOKUP(B8477,material!A:D,3,0),"")</f>
        <v/>
      </c>
    </row>
    <row r="8478" ht="11.25" customHeight="1">
      <c r="A8478" s="21"/>
      <c r="B8478" s="22"/>
      <c r="C8478" s="21"/>
      <c r="D8478" s="21"/>
      <c r="E8478" s="21"/>
      <c r="F8478" s="21"/>
      <c r="G8478" s="25"/>
      <c r="H8478" s="24" t="str">
        <f>IFERROR(VLOOKUP(B8478,material!A:D,3,0),"")</f>
        <v/>
      </c>
    </row>
    <row r="8479" ht="11.25" customHeight="1">
      <c r="A8479" s="21"/>
      <c r="B8479" s="22"/>
      <c r="C8479" s="21"/>
      <c r="D8479" s="21"/>
      <c r="E8479" s="21"/>
      <c r="F8479" s="21"/>
      <c r="G8479" s="25"/>
      <c r="H8479" s="24" t="str">
        <f>IFERROR(VLOOKUP(B8479,material!A:D,3,0),"")</f>
        <v/>
      </c>
    </row>
    <row r="8480" ht="11.25" customHeight="1">
      <c r="A8480" s="21"/>
      <c r="B8480" s="22"/>
      <c r="C8480" s="21"/>
      <c r="D8480" s="21"/>
      <c r="E8480" s="21"/>
      <c r="F8480" s="21"/>
      <c r="G8480" s="25"/>
      <c r="H8480" s="24" t="str">
        <f>IFERROR(VLOOKUP(B8480,material!A:D,3,0),"")</f>
        <v/>
      </c>
    </row>
    <row r="8481" ht="11.25" customHeight="1">
      <c r="A8481" s="21"/>
      <c r="B8481" s="22"/>
      <c r="C8481" s="21"/>
      <c r="D8481" s="21"/>
      <c r="E8481" s="21"/>
      <c r="F8481" s="21"/>
      <c r="G8481" s="25"/>
      <c r="H8481" s="24" t="str">
        <f>IFERROR(VLOOKUP(B8481,material!A:D,3,0),"")</f>
        <v/>
      </c>
    </row>
    <row r="8482" ht="11.25" customHeight="1">
      <c r="A8482" s="21"/>
      <c r="B8482" s="22"/>
      <c r="C8482" s="21"/>
      <c r="D8482" s="21"/>
      <c r="E8482" s="21"/>
      <c r="F8482" s="21"/>
      <c r="G8482" s="25"/>
      <c r="H8482" s="24" t="str">
        <f>IFERROR(VLOOKUP(B8482,material!A:D,3,0),"")</f>
        <v/>
      </c>
    </row>
    <row r="8483" ht="11.25" customHeight="1">
      <c r="A8483" s="21"/>
      <c r="B8483" s="22"/>
      <c r="C8483" s="21"/>
      <c r="D8483" s="21"/>
      <c r="E8483" s="21"/>
      <c r="F8483" s="21"/>
      <c r="G8483" s="25"/>
      <c r="H8483" s="24" t="str">
        <f>IFERROR(VLOOKUP(B8483,material!A:D,3,0),"")</f>
        <v/>
      </c>
    </row>
    <row r="8484" ht="11.25" customHeight="1">
      <c r="A8484" s="21"/>
      <c r="B8484" s="22"/>
      <c r="C8484" s="21"/>
      <c r="D8484" s="21"/>
      <c r="E8484" s="21"/>
      <c r="F8484" s="21"/>
      <c r="G8484" s="25"/>
      <c r="H8484" s="24" t="str">
        <f>IFERROR(VLOOKUP(B8484,material!A:D,3,0),"")</f>
        <v/>
      </c>
    </row>
    <row r="8485" ht="11.25" customHeight="1">
      <c r="A8485" s="21"/>
      <c r="B8485" s="22"/>
      <c r="C8485" s="21"/>
      <c r="D8485" s="21"/>
      <c r="E8485" s="21"/>
      <c r="F8485" s="21"/>
      <c r="G8485" s="25"/>
      <c r="H8485" s="24" t="str">
        <f>IFERROR(VLOOKUP(B8485,material!A:D,3,0),"")</f>
        <v/>
      </c>
    </row>
    <row r="8486" ht="11.25" customHeight="1">
      <c r="A8486" s="21"/>
      <c r="B8486" s="22"/>
      <c r="C8486" s="21"/>
      <c r="D8486" s="21"/>
      <c r="E8486" s="21"/>
      <c r="F8486" s="21"/>
      <c r="G8486" s="25"/>
      <c r="H8486" s="24" t="str">
        <f>IFERROR(VLOOKUP(B8486,material!A:D,3,0),"")</f>
        <v/>
      </c>
    </row>
    <row r="8487" ht="11.25" customHeight="1">
      <c r="A8487" s="21"/>
      <c r="B8487" s="22"/>
      <c r="C8487" s="21"/>
      <c r="D8487" s="21"/>
      <c r="E8487" s="21"/>
      <c r="F8487" s="21"/>
      <c r="G8487" s="25"/>
      <c r="H8487" s="24" t="str">
        <f>IFERROR(VLOOKUP(B8487,material!A:D,3,0),"")</f>
        <v/>
      </c>
    </row>
    <row r="8488" ht="11.25" customHeight="1">
      <c r="A8488" s="21"/>
      <c r="B8488" s="22"/>
      <c r="C8488" s="21"/>
      <c r="D8488" s="21"/>
      <c r="E8488" s="21"/>
      <c r="F8488" s="21"/>
      <c r="G8488" s="25"/>
      <c r="H8488" s="24" t="str">
        <f>IFERROR(VLOOKUP(B8488,material!A:D,3,0),"")</f>
        <v/>
      </c>
    </row>
    <row r="8489" ht="11.25" customHeight="1">
      <c r="A8489" s="21"/>
      <c r="B8489" s="22"/>
      <c r="C8489" s="21"/>
      <c r="D8489" s="21"/>
      <c r="E8489" s="21"/>
      <c r="F8489" s="21"/>
      <c r="G8489" s="25"/>
      <c r="H8489" s="24" t="str">
        <f>IFERROR(VLOOKUP(B8489,material!A:D,3,0),"")</f>
        <v/>
      </c>
    </row>
    <row r="8490" ht="11.25" customHeight="1">
      <c r="A8490" s="21"/>
      <c r="B8490" s="22"/>
      <c r="C8490" s="21"/>
      <c r="D8490" s="21"/>
      <c r="E8490" s="21"/>
      <c r="F8490" s="21"/>
      <c r="G8490" s="25"/>
      <c r="H8490" s="24" t="str">
        <f>IFERROR(VLOOKUP(B8490,material!A:D,3,0),"")</f>
        <v/>
      </c>
    </row>
    <row r="8491" ht="11.25" customHeight="1">
      <c r="A8491" s="21"/>
      <c r="B8491" s="22"/>
      <c r="C8491" s="21"/>
      <c r="D8491" s="21"/>
      <c r="E8491" s="21"/>
      <c r="F8491" s="21"/>
      <c r="G8491" s="25"/>
      <c r="H8491" s="24" t="str">
        <f>IFERROR(VLOOKUP(B8491,material!A:D,3,0),"")</f>
        <v/>
      </c>
    </row>
    <row r="8492" ht="11.25" customHeight="1">
      <c r="A8492" s="21"/>
      <c r="B8492" s="22"/>
      <c r="C8492" s="21"/>
      <c r="D8492" s="21"/>
      <c r="E8492" s="21"/>
      <c r="F8492" s="21"/>
      <c r="G8492" s="25"/>
      <c r="H8492" s="24" t="str">
        <f>IFERROR(VLOOKUP(B8492,material!A:D,3,0),"")</f>
        <v/>
      </c>
    </row>
    <row r="8493" ht="11.25" customHeight="1">
      <c r="A8493" s="21"/>
      <c r="B8493" s="22"/>
      <c r="C8493" s="21"/>
      <c r="D8493" s="21"/>
      <c r="E8493" s="21"/>
      <c r="F8493" s="21"/>
      <c r="G8493" s="25"/>
      <c r="H8493" s="24" t="str">
        <f>IFERROR(VLOOKUP(B8493,material!A:D,3,0),"")</f>
        <v/>
      </c>
    </row>
    <row r="8494" ht="11.25" customHeight="1">
      <c r="A8494" s="21"/>
      <c r="B8494" s="22"/>
      <c r="C8494" s="21"/>
      <c r="D8494" s="21"/>
      <c r="E8494" s="21"/>
      <c r="F8494" s="21"/>
      <c r="G8494" s="25"/>
      <c r="H8494" s="24" t="str">
        <f>IFERROR(VLOOKUP(B8494,material!A:D,3,0),"")</f>
        <v/>
      </c>
    </row>
    <row r="8495" ht="11.25" customHeight="1">
      <c r="A8495" s="21"/>
      <c r="B8495" s="22"/>
      <c r="C8495" s="21"/>
      <c r="D8495" s="21"/>
      <c r="E8495" s="21"/>
      <c r="F8495" s="21"/>
      <c r="G8495" s="25"/>
      <c r="H8495" s="24" t="str">
        <f>IFERROR(VLOOKUP(B8495,material!A:D,3,0),"")</f>
        <v/>
      </c>
    </row>
    <row r="8496" ht="11.25" customHeight="1">
      <c r="A8496" s="21"/>
      <c r="B8496" s="22"/>
      <c r="C8496" s="21"/>
      <c r="D8496" s="21"/>
      <c r="E8496" s="21"/>
      <c r="F8496" s="21"/>
      <c r="G8496" s="25"/>
      <c r="H8496" s="24" t="str">
        <f>IFERROR(VLOOKUP(B8496,material!A:D,3,0),"")</f>
        <v/>
      </c>
    </row>
    <row r="8497" ht="11.25" customHeight="1">
      <c r="A8497" s="21"/>
      <c r="B8497" s="22"/>
      <c r="C8497" s="21"/>
      <c r="D8497" s="21"/>
      <c r="E8497" s="21"/>
      <c r="F8497" s="21"/>
      <c r="G8497" s="25"/>
      <c r="H8497" s="24" t="str">
        <f>IFERROR(VLOOKUP(B8497,material!A:D,3,0),"")</f>
        <v/>
      </c>
    </row>
    <row r="8498" ht="11.25" customHeight="1">
      <c r="A8498" s="21"/>
      <c r="B8498" s="22"/>
      <c r="C8498" s="21"/>
      <c r="D8498" s="21"/>
      <c r="E8498" s="21"/>
      <c r="F8498" s="21"/>
      <c r="G8498" s="25"/>
      <c r="H8498" s="24" t="str">
        <f>IFERROR(VLOOKUP(B8498,material!A:D,3,0),"")</f>
        <v/>
      </c>
    </row>
    <row r="8499" ht="11.25" customHeight="1">
      <c r="A8499" s="21"/>
      <c r="B8499" s="22"/>
      <c r="C8499" s="21"/>
      <c r="D8499" s="21"/>
      <c r="E8499" s="21"/>
      <c r="F8499" s="21"/>
      <c r="G8499" s="25"/>
      <c r="H8499" s="24" t="str">
        <f>IFERROR(VLOOKUP(B8499,material!A:D,3,0),"")</f>
        <v/>
      </c>
    </row>
    <row r="8500" ht="11.25" customHeight="1">
      <c r="A8500" s="21"/>
      <c r="B8500" s="22"/>
      <c r="C8500" s="21"/>
      <c r="D8500" s="21"/>
      <c r="E8500" s="21"/>
      <c r="F8500" s="21"/>
      <c r="G8500" s="25"/>
      <c r="H8500" s="24" t="str">
        <f>IFERROR(VLOOKUP(B8500,material!A:D,3,0),"")</f>
        <v/>
      </c>
    </row>
    <row r="8501" ht="11.25" customHeight="1">
      <c r="A8501" s="21"/>
      <c r="B8501" s="22"/>
      <c r="C8501" s="21"/>
      <c r="D8501" s="21"/>
      <c r="E8501" s="21"/>
      <c r="F8501" s="21"/>
      <c r="G8501" s="25"/>
      <c r="H8501" s="24" t="str">
        <f>IFERROR(VLOOKUP(B8501,material!A:D,3,0),"")</f>
        <v/>
      </c>
    </row>
    <row r="8502" ht="11.25" customHeight="1">
      <c r="A8502" s="21"/>
      <c r="B8502" s="22"/>
      <c r="C8502" s="21"/>
      <c r="D8502" s="21"/>
      <c r="E8502" s="21"/>
      <c r="F8502" s="21"/>
      <c r="G8502" s="25"/>
      <c r="H8502" s="24" t="str">
        <f>IFERROR(VLOOKUP(B8502,material!A:D,3,0),"")</f>
        <v/>
      </c>
    </row>
    <row r="8503" ht="11.25" customHeight="1">
      <c r="A8503" s="21"/>
      <c r="B8503" s="22"/>
      <c r="C8503" s="21"/>
      <c r="D8503" s="21"/>
      <c r="E8503" s="21"/>
      <c r="F8503" s="21"/>
      <c r="G8503" s="25"/>
      <c r="H8503" s="24" t="str">
        <f>IFERROR(VLOOKUP(B8503,material!A:D,3,0),"")</f>
        <v/>
      </c>
    </row>
    <row r="8504" ht="11.25" customHeight="1">
      <c r="A8504" s="21"/>
      <c r="B8504" s="22"/>
      <c r="C8504" s="21"/>
      <c r="D8504" s="21"/>
      <c r="E8504" s="21"/>
      <c r="F8504" s="21"/>
      <c r="G8504" s="25"/>
      <c r="H8504" s="24" t="str">
        <f>IFERROR(VLOOKUP(B8504,material!A:D,3,0),"")</f>
        <v/>
      </c>
    </row>
    <row r="8505" ht="11.25" customHeight="1">
      <c r="A8505" s="21"/>
      <c r="B8505" s="22"/>
      <c r="C8505" s="21"/>
      <c r="D8505" s="21"/>
      <c r="E8505" s="21"/>
      <c r="F8505" s="21"/>
      <c r="G8505" s="25"/>
      <c r="H8505" s="24" t="str">
        <f>IFERROR(VLOOKUP(B8505,material!A:D,3,0),"")</f>
        <v/>
      </c>
    </row>
    <row r="8506" ht="11.25" customHeight="1">
      <c r="A8506" s="21"/>
      <c r="B8506" s="22"/>
      <c r="C8506" s="21"/>
      <c r="D8506" s="21"/>
      <c r="E8506" s="21"/>
      <c r="F8506" s="21"/>
      <c r="G8506" s="25"/>
      <c r="H8506" s="24" t="str">
        <f>IFERROR(VLOOKUP(B8506,material!A:D,3,0),"")</f>
        <v/>
      </c>
    </row>
    <row r="8507" ht="11.25" customHeight="1">
      <c r="A8507" s="21"/>
      <c r="B8507" s="22"/>
      <c r="C8507" s="21"/>
      <c r="D8507" s="21"/>
      <c r="E8507" s="21"/>
      <c r="F8507" s="21"/>
      <c r="G8507" s="25"/>
      <c r="H8507" s="24" t="str">
        <f>IFERROR(VLOOKUP(B8507,material!A:D,3,0),"")</f>
        <v/>
      </c>
    </row>
    <row r="8508" ht="11.25" customHeight="1">
      <c r="A8508" s="21"/>
      <c r="B8508" s="22"/>
      <c r="C8508" s="21"/>
      <c r="D8508" s="21"/>
      <c r="E8508" s="21"/>
      <c r="F8508" s="21"/>
      <c r="G8508" s="25"/>
      <c r="H8508" s="24" t="str">
        <f>IFERROR(VLOOKUP(B8508,material!A:D,3,0),"")</f>
        <v/>
      </c>
    </row>
    <row r="8509" ht="11.25" customHeight="1">
      <c r="A8509" s="21"/>
      <c r="B8509" s="22"/>
      <c r="C8509" s="21"/>
      <c r="D8509" s="21"/>
      <c r="E8509" s="21"/>
      <c r="F8509" s="21"/>
      <c r="G8509" s="25"/>
      <c r="H8509" s="24" t="str">
        <f>IFERROR(VLOOKUP(B8509,material!A:D,3,0),"")</f>
        <v/>
      </c>
    </row>
    <row r="8510" ht="11.25" customHeight="1">
      <c r="A8510" s="21"/>
      <c r="B8510" s="22"/>
      <c r="C8510" s="21"/>
      <c r="D8510" s="21"/>
      <c r="E8510" s="21"/>
      <c r="F8510" s="21"/>
      <c r="G8510" s="25"/>
      <c r="H8510" s="24" t="str">
        <f>IFERROR(VLOOKUP(B8510,material!A:D,3,0),"")</f>
        <v/>
      </c>
    </row>
    <row r="8511" ht="11.25" customHeight="1">
      <c r="A8511" s="21"/>
      <c r="B8511" s="22"/>
      <c r="C8511" s="21"/>
      <c r="D8511" s="21"/>
      <c r="E8511" s="21"/>
      <c r="F8511" s="21"/>
      <c r="G8511" s="25"/>
      <c r="H8511" s="24" t="str">
        <f>IFERROR(VLOOKUP(B8511,material!A:D,3,0),"")</f>
        <v/>
      </c>
    </row>
    <row r="8512" ht="11.25" customHeight="1">
      <c r="A8512" s="21"/>
      <c r="B8512" s="22"/>
      <c r="C8512" s="21"/>
      <c r="D8512" s="21"/>
      <c r="E8512" s="21"/>
      <c r="F8512" s="21"/>
      <c r="G8512" s="25"/>
      <c r="H8512" s="24" t="str">
        <f>IFERROR(VLOOKUP(B8512,material!A:D,3,0),"")</f>
        <v/>
      </c>
    </row>
    <row r="8513" ht="11.25" customHeight="1">
      <c r="A8513" s="21"/>
      <c r="B8513" s="22"/>
      <c r="C8513" s="21"/>
      <c r="D8513" s="21"/>
      <c r="E8513" s="21"/>
      <c r="F8513" s="21"/>
      <c r="G8513" s="25"/>
      <c r="H8513" s="24" t="str">
        <f>IFERROR(VLOOKUP(B8513,material!A:D,3,0),"")</f>
        <v/>
      </c>
    </row>
    <row r="8514" ht="11.25" customHeight="1">
      <c r="A8514" s="21"/>
      <c r="B8514" s="22"/>
      <c r="C8514" s="21"/>
      <c r="D8514" s="21"/>
      <c r="E8514" s="21"/>
      <c r="F8514" s="21"/>
      <c r="G8514" s="25"/>
      <c r="H8514" s="24" t="str">
        <f>IFERROR(VLOOKUP(B8514,material!A:D,3,0),"")</f>
        <v/>
      </c>
    </row>
    <row r="8515" ht="11.25" customHeight="1">
      <c r="A8515" s="21"/>
      <c r="B8515" s="22"/>
      <c r="C8515" s="21"/>
      <c r="D8515" s="21"/>
      <c r="E8515" s="21"/>
      <c r="F8515" s="21"/>
      <c r="G8515" s="25"/>
      <c r="H8515" s="24" t="str">
        <f>IFERROR(VLOOKUP(B8515,material!A:D,3,0),"")</f>
        <v/>
      </c>
    </row>
    <row r="8516" ht="11.25" customHeight="1">
      <c r="A8516" s="21"/>
      <c r="B8516" s="22"/>
      <c r="C8516" s="21"/>
      <c r="D8516" s="21"/>
      <c r="E8516" s="21"/>
      <c r="F8516" s="21"/>
      <c r="G8516" s="25"/>
      <c r="H8516" s="24" t="str">
        <f>IFERROR(VLOOKUP(B8516,material!A:D,3,0),"")</f>
        <v/>
      </c>
    </row>
    <row r="8517" ht="11.25" customHeight="1">
      <c r="A8517" s="21"/>
      <c r="B8517" s="22"/>
      <c r="C8517" s="21"/>
      <c r="D8517" s="21"/>
      <c r="E8517" s="21"/>
      <c r="F8517" s="21"/>
      <c r="G8517" s="25"/>
      <c r="H8517" s="24" t="str">
        <f>IFERROR(VLOOKUP(B8517,material!A:D,3,0),"")</f>
        <v/>
      </c>
    </row>
    <row r="8518" ht="11.25" customHeight="1">
      <c r="A8518" s="21"/>
      <c r="B8518" s="22"/>
      <c r="C8518" s="21"/>
      <c r="D8518" s="21"/>
      <c r="E8518" s="21"/>
      <c r="F8518" s="21"/>
      <c r="G8518" s="25"/>
      <c r="H8518" s="24" t="str">
        <f>IFERROR(VLOOKUP(B8518,material!A:D,3,0),"")</f>
        <v/>
      </c>
    </row>
    <row r="8519" ht="11.25" customHeight="1">
      <c r="A8519" s="21"/>
      <c r="B8519" s="22"/>
      <c r="C8519" s="21"/>
      <c r="D8519" s="21"/>
      <c r="E8519" s="21"/>
      <c r="F8519" s="21"/>
      <c r="G8519" s="25"/>
      <c r="H8519" s="24" t="str">
        <f>IFERROR(VLOOKUP(B8519,material!A:D,3,0),"")</f>
        <v/>
      </c>
    </row>
    <row r="8520" ht="11.25" customHeight="1">
      <c r="A8520" s="21"/>
      <c r="B8520" s="22"/>
      <c r="C8520" s="21"/>
      <c r="D8520" s="21"/>
      <c r="E8520" s="21"/>
      <c r="F8520" s="21"/>
      <c r="G8520" s="25"/>
      <c r="H8520" s="24" t="str">
        <f>IFERROR(VLOOKUP(B8520,material!A:D,3,0),"")</f>
        <v/>
      </c>
    </row>
    <row r="8521" ht="11.25" customHeight="1">
      <c r="A8521" s="21"/>
      <c r="B8521" s="22"/>
      <c r="C8521" s="21"/>
      <c r="D8521" s="21"/>
      <c r="E8521" s="21"/>
      <c r="F8521" s="21"/>
      <c r="G8521" s="25"/>
      <c r="H8521" s="24" t="str">
        <f>IFERROR(VLOOKUP(B8521,material!A:D,3,0),"")</f>
        <v/>
      </c>
    </row>
    <row r="8522" ht="11.25" customHeight="1">
      <c r="A8522" s="21"/>
      <c r="B8522" s="22"/>
      <c r="C8522" s="21"/>
      <c r="D8522" s="21"/>
      <c r="E8522" s="21"/>
      <c r="F8522" s="21"/>
      <c r="G8522" s="25"/>
      <c r="H8522" s="24" t="str">
        <f>IFERROR(VLOOKUP(B8522,material!A:D,3,0),"")</f>
        <v/>
      </c>
    </row>
    <row r="8523" ht="11.25" customHeight="1">
      <c r="A8523" s="21"/>
      <c r="B8523" s="22"/>
      <c r="C8523" s="21"/>
      <c r="D8523" s="21"/>
      <c r="E8523" s="21"/>
      <c r="F8523" s="21"/>
      <c r="G8523" s="25"/>
      <c r="H8523" s="24" t="str">
        <f>IFERROR(VLOOKUP(B8523,material!A:D,3,0),"")</f>
        <v/>
      </c>
    </row>
    <row r="8524" ht="11.25" customHeight="1">
      <c r="A8524" s="21"/>
      <c r="B8524" s="22"/>
      <c r="C8524" s="21"/>
      <c r="D8524" s="21"/>
      <c r="E8524" s="21"/>
      <c r="F8524" s="21"/>
      <c r="G8524" s="25"/>
      <c r="H8524" s="24" t="str">
        <f>IFERROR(VLOOKUP(B8524,material!A:D,3,0),"")</f>
        <v/>
      </c>
    </row>
    <row r="8525" ht="11.25" customHeight="1">
      <c r="A8525" s="21"/>
      <c r="B8525" s="22"/>
      <c r="C8525" s="21"/>
      <c r="D8525" s="21"/>
      <c r="E8525" s="21"/>
      <c r="F8525" s="21"/>
      <c r="G8525" s="25"/>
      <c r="H8525" s="24" t="str">
        <f>IFERROR(VLOOKUP(B8525,material!A:D,3,0),"")</f>
        <v/>
      </c>
    </row>
    <row r="8526" ht="11.25" customHeight="1">
      <c r="A8526" s="21"/>
      <c r="B8526" s="22"/>
      <c r="C8526" s="21"/>
      <c r="D8526" s="21"/>
      <c r="E8526" s="21"/>
      <c r="F8526" s="21"/>
      <c r="G8526" s="25"/>
      <c r="H8526" s="24" t="str">
        <f>IFERROR(VLOOKUP(B8526,material!A:D,3,0),"")</f>
        <v/>
      </c>
    </row>
    <row r="8527" ht="11.25" customHeight="1">
      <c r="A8527" s="21"/>
      <c r="B8527" s="22"/>
      <c r="C8527" s="21"/>
      <c r="D8527" s="21"/>
      <c r="E8527" s="21"/>
      <c r="F8527" s="21"/>
      <c r="G8527" s="25"/>
      <c r="H8527" s="24" t="str">
        <f>IFERROR(VLOOKUP(B8527,material!A:D,3,0),"")</f>
        <v/>
      </c>
    </row>
    <row r="8528" ht="11.25" customHeight="1">
      <c r="A8528" s="21"/>
      <c r="B8528" s="22"/>
      <c r="C8528" s="21"/>
      <c r="D8528" s="21"/>
      <c r="E8528" s="21"/>
      <c r="F8528" s="21"/>
      <c r="G8528" s="25"/>
      <c r="H8528" s="24" t="str">
        <f>IFERROR(VLOOKUP(B8528,material!A:D,3,0),"")</f>
        <v/>
      </c>
    </row>
    <row r="8529" ht="11.25" customHeight="1">
      <c r="A8529" s="21"/>
      <c r="B8529" s="22"/>
      <c r="C8529" s="21"/>
      <c r="D8529" s="21"/>
      <c r="E8529" s="21"/>
      <c r="F8529" s="21"/>
      <c r="G8529" s="25"/>
      <c r="H8529" s="24" t="str">
        <f>IFERROR(VLOOKUP(B8529,material!A:D,3,0),"")</f>
        <v/>
      </c>
    </row>
    <row r="8530" ht="11.25" customHeight="1">
      <c r="A8530" s="21"/>
      <c r="B8530" s="22"/>
      <c r="C8530" s="21"/>
      <c r="D8530" s="21"/>
      <c r="E8530" s="21"/>
      <c r="F8530" s="21"/>
      <c r="G8530" s="25"/>
      <c r="H8530" s="24" t="str">
        <f>IFERROR(VLOOKUP(B8530,material!A:D,3,0),"")</f>
        <v/>
      </c>
    </row>
    <row r="8531" ht="11.25" customHeight="1">
      <c r="A8531" s="21"/>
      <c r="B8531" s="22"/>
      <c r="C8531" s="21"/>
      <c r="D8531" s="21"/>
      <c r="E8531" s="21"/>
      <c r="F8531" s="21"/>
      <c r="G8531" s="25"/>
      <c r="H8531" s="24" t="str">
        <f>IFERROR(VLOOKUP(B8531,material!A:D,3,0),"")</f>
        <v/>
      </c>
    </row>
    <row r="8532" ht="11.25" customHeight="1">
      <c r="A8532" s="21"/>
      <c r="B8532" s="22"/>
      <c r="C8532" s="21"/>
      <c r="D8532" s="21"/>
      <c r="E8532" s="21"/>
      <c r="F8532" s="21"/>
      <c r="G8532" s="25"/>
      <c r="H8532" s="24" t="str">
        <f>IFERROR(VLOOKUP(B8532,material!A:D,3,0),"")</f>
        <v/>
      </c>
    </row>
    <row r="8533" ht="11.25" customHeight="1">
      <c r="A8533" s="21"/>
      <c r="B8533" s="22"/>
      <c r="C8533" s="21"/>
      <c r="D8533" s="21"/>
      <c r="E8533" s="21"/>
      <c r="F8533" s="21"/>
      <c r="G8533" s="25"/>
      <c r="H8533" s="24" t="str">
        <f>IFERROR(VLOOKUP(B8533,material!A:D,3,0),"")</f>
        <v/>
      </c>
    </row>
    <row r="8534" ht="11.25" customHeight="1">
      <c r="A8534" s="21"/>
      <c r="B8534" s="22"/>
      <c r="C8534" s="21"/>
      <c r="D8534" s="21"/>
      <c r="E8534" s="21"/>
      <c r="F8534" s="21"/>
      <c r="G8534" s="25"/>
      <c r="H8534" s="24" t="str">
        <f>IFERROR(VLOOKUP(B8534,material!A:D,3,0),"")</f>
        <v/>
      </c>
    </row>
    <row r="8535" ht="11.25" customHeight="1">
      <c r="A8535" s="21"/>
      <c r="B8535" s="22"/>
      <c r="C8535" s="21"/>
      <c r="D8535" s="21"/>
      <c r="E8535" s="21"/>
      <c r="F8535" s="21"/>
      <c r="G8535" s="25"/>
      <c r="H8535" s="24" t="str">
        <f>IFERROR(VLOOKUP(B8535,material!A:D,3,0),"")</f>
        <v/>
      </c>
    </row>
    <row r="8536" ht="11.25" customHeight="1">
      <c r="A8536" s="21"/>
      <c r="B8536" s="22"/>
      <c r="C8536" s="21"/>
      <c r="D8536" s="21"/>
      <c r="E8536" s="21"/>
      <c r="F8536" s="21"/>
      <c r="G8536" s="25"/>
      <c r="H8536" s="24" t="str">
        <f>IFERROR(VLOOKUP(B8536,material!A:D,3,0),"")</f>
        <v/>
      </c>
    </row>
    <row r="8537" ht="11.25" customHeight="1">
      <c r="A8537" s="21"/>
      <c r="B8537" s="22"/>
      <c r="C8537" s="21"/>
      <c r="D8537" s="21"/>
      <c r="E8537" s="21"/>
      <c r="F8537" s="21"/>
      <c r="G8537" s="25"/>
      <c r="H8537" s="24" t="str">
        <f>IFERROR(VLOOKUP(B8537,material!A:D,3,0),"")</f>
        <v/>
      </c>
    </row>
    <row r="8538" ht="11.25" customHeight="1">
      <c r="A8538" s="21"/>
      <c r="B8538" s="22"/>
      <c r="C8538" s="21"/>
      <c r="D8538" s="21"/>
      <c r="E8538" s="21"/>
      <c r="F8538" s="21"/>
      <c r="G8538" s="25"/>
      <c r="H8538" s="24" t="str">
        <f>IFERROR(VLOOKUP(B8538,material!A:D,3,0),"")</f>
        <v/>
      </c>
    </row>
    <row r="8539" ht="11.25" customHeight="1">
      <c r="A8539" s="21"/>
      <c r="B8539" s="22"/>
      <c r="C8539" s="21"/>
      <c r="D8539" s="21"/>
      <c r="E8539" s="21"/>
      <c r="F8539" s="21"/>
      <c r="G8539" s="25"/>
      <c r="H8539" s="24" t="str">
        <f>IFERROR(VLOOKUP(B8539,material!A:D,3,0),"")</f>
        <v/>
      </c>
    </row>
    <row r="8540" ht="11.25" customHeight="1">
      <c r="A8540" s="21"/>
      <c r="B8540" s="22"/>
      <c r="C8540" s="21"/>
      <c r="D8540" s="21"/>
      <c r="E8540" s="21"/>
      <c r="F8540" s="21"/>
      <c r="G8540" s="25"/>
      <c r="H8540" s="24" t="str">
        <f>IFERROR(VLOOKUP(B8540,material!A:D,3,0),"")</f>
        <v/>
      </c>
    </row>
    <row r="8541" ht="11.25" customHeight="1">
      <c r="A8541" s="21"/>
      <c r="B8541" s="22"/>
      <c r="C8541" s="21"/>
      <c r="D8541" s="21"/>
      <c r="E8541" s="21"/>
      <c r="F8541" s="21"/>
      <c r="G8541" s="25"/>
      <c r="H8541" s="24" t="str">
        <f>IFERROR(VLOOKUP(B8541,material!A:D,3,0),"")</f>
        <v/>
      </c>
    </row>
    <row r="8542" ht="11.25" customHeight="1">
      <c r="A8542" s="21"/>
      <c r="B8542" s="22"/>
      <c r="C8542" s="21"/>
      <c r="D8542" s="21"/>
      <c r="E8542" s="21"/>
      <c r="F8542" s="21"/>
      <c r="G8542" s="25"/>
      <c r="H8542" s="24" t="str">
        <f>IFERROR(VLOOKUP(B8542,material!A:D,3,0),"")</f>
        <v/>
      </c>
    </row>
    <row r="8543" ht="11.25" customHeight="1">
      <c r="A8543" s="21"/>
      <c r="B8543" s="22"/>
      <c r="C8543" s="21"/>
      <c r="D8543" s="21"/>
      <c r="E8543" s="21"/>
      <c r="F8543" s="21"/>
      <c r="G8543" s="25"/>
      <c r="H8543" s="24" t="str">
        <f>IFERROR(VLOOKUP(B8543,material!A:D,3,0),"")</f>
        <v/>
      </c>
    </row>
    <row r="8544" ht="11.25" customHeight="1">
      <c r="A8544" s="21"/>
      <c r="B8544" s="22"/>
      <c r="C8544" s="21"/>
      <c r="D8544" s="21"/>
      <c r="E8544" s="21"/>
      <c r="F8544" s="21"/>
      <c r="G8544" s="25"/>
      <c r="H8544" s="24" t="str">
        <f>IFERROR(VLOOKUP(B8544,material!A:D,3,0),"")</f>
        <v/>
      </c>
    </row>
    <row r="8545" ht="11.25" customHeight="1">
      <c r="A8545" s="21"/>
      <c r="B8545" s="22"/>
      <c r="C8545" s="21"/>
      <c r="D8545" s="21"/>
      <c r="E8545" s="21"/>
      <c r="F8545" s="21"/>
      <c r="G8545" s="25"/>
      <c r="H8545" s="24" t="str">
        <f>IFERROR(VLOOKUP(B8545,material!A:D,3,0),"")</f>
        <v/>
      </c>
    </row>
    <row r="8546" ht="11.25" customHeight="1">
      <c r="A8546" s="21"/>
      <c r="B8546" s="22"/>
      <c r="C8546" s="21"/>
      <c r="D8546" s="21"/>
      <c r="E8546" s="21"/>
      <c r="F8546" s="21"/>
      <c r="G8546" s="25"/>
      <c r="H8546" s="24" t="str">
        <f>IFERROR(VLOOKUP(B8546,material!A:D,3,0),"")</f>
        <v/>
      </c>
    </row>
    <row r="8547" ht="11.25" customHeight="1">
      <c r="A8547" s="21"/>
      <c r="B8547" s="22"/>
      <c r="C8547" s="21"/>
      <c r="D8547" s="21"/>
      <c r="E8547" s="21"/>
      <c r="F8547" s="21"/>
      <c r="G8547" s="25"/>
      <c r="H8547" s="24" t="str">
        <f>IFERROR(VLOOKUP(B8547,material!A:D,3,0),"")</f>
        <v/>
      </c>
    </row>
    <row r="8548" ht="11.25" customHeight="1">
      <c r="A8548" s="21"/>
      <c r="B8548" s="22"/>
      <c r="C8548" s="21"/>
      <c r="D8548" s="21"/>
      <c r="E8548" s="21"/>
      <c r="F8548" s="21"/>
      <c r="G8548" s="25"/>
      <c r="H8548" s="24" t="str">
        <f>IFERROR(VLOOKUP(B8548,material!A:D,3,0),"")</f>
        <v/>
      </c>
    </row>
    <row r="8549" ht="11.25" customHeight="1">
      <c r="A8549" s="21"/>
      <c r="B8549" s="22"/>
      <c r="C8549" s="21"/>
      <c r="D8549" s="21"/>
      <c r="E8549" s="21"/>
      <c r="F8549" s="21"/>
      <c r="G8549" s="25"/>
      <c r="H8549" s="24" t="str">
        <f>IFERROR(VLOOKUP(B8549,material!A:D,3,0),"")</f>
        <v/>
      </c>
    </row>
    <row r="8550" ht="11.25" customHeight="1">
      <c r="A8550" s="21"/>
      <c r="B8550" s="22"/>
      <c r="C8550" s="21"/>
      <c r="D8550" s="21"/>
      <c r="E8550" s="21"/>
      <c r="F8550" s="21"/>
      <c r="G8550" s="25"/>
      <c r="H8550" s="24" t="str">
        <f>IFERROR(VLOOKUP(B8550,material!A:D,3,0),"")</f>
        <v/>
      </c>
    </row>
    <row r="8551" ht="11.25" customHeight="1">
      <c r="A8551" s="21"/>
      <c r="B8551" s="22"/>
      <c r="C8551" s="21"/>
      <c r="D8551" s="21"/>
      <c r="E8551" s="21"/>
      <c r="F8551" s="21"/>
      <c r="G8551" s="25"/>
      <c r="H8551" s="24" t="str">
        <f>IFERROR(VLOOKUP(B8551,material!A:D,3,0),"")</f>
        <v/>
      </c>
    </row>
    <row r="8552" ht="11.25" customHeight="1">
      <c r="A8552" s="21"/>
      <c r="B8552" s="22"/>
      <c r="C8552" s="21"/>
      <c r="D8552" s="21"/>
      <c r="E8552" s="21"/>
      <c r="F8552" s="21"/>
      <c r="G8552" s="25"/>
      <c r="H8552" s="24" t="str">
        <f>IFERROR(VLOOKUP(B8552,material!A:D,3,0),"")</f>
        <v/>
      </c>
    </row>
    <row r="8553" ht="11.25" customHeight="1">
      <c r="A8553" s="21"/>
      <c r="B8553" s="22"/>
      <c r="C8553" s="21"/>
      <c r="D8553" s="21"/>
      <c r="E8553" s="21"/>
      <c r="F8553" s="21"/>
      <c r="G8553" s="25"/>
      <c r="H8553" s="24" t="str">
        <f>IFERROR(VLOOKUP(B8553,material!A:D,3,0),"")</f>
        <v/>
      </c>
    </row>
    <row r="8554" ht="11.25" customHeight="1">
      <c r="A8554" s="21"/>
      <c r="B8554" s="22"/>
      <c r="C8554" s="21"/>
      <c r="D8554" s="21"/>
      <c r="E8554" s="21"/>
      <c r="F8554" s="21"/>
      <c r="G8554" s="25"/>
      <c r="H8554" s="24" t="str">
        <f>IFERROR(VLOOKUP(B8554,material!A:D,3,0),"")</f>
        <v/>
      </c>
    </row>
    <row r="8555" ht="11.25" customHeight="1">
      <c r="A8555" s="21"/>
      <c r="B8555" s="22"/>
      <c r="C8555" s="21"/>
      <c r="D8555" s="21"/>
      <c r="E8555" s="21"/>
      <c r="F8555" s="21"/>
      <c r="G8555" s="25"/>
      <c r="H8555" s="24" t="str">
        <f>IFERROR(VLOOKUP(B8555,material!A:D,3,0),"")</f>
        <v/>
      </c>
    </row>
    <row r="8556" ht="11.25" customHeight="1">
      <c r="A8556" s="21"/>
      <c r="B8556" s="22"/>
      <c r="C8556" s="21"/>
      <c r="D8556" s="21"/>
      <c r="E8556" s="21"/>
      <c r="F8556" s="21"/>
      <c r="G8556" s="25"/>
      <c r="H8556" s="24" t="str">
        <f>IFERROR(VLOOKUP(B8556,material!A:D,3,0),"")</f>
        <v/>
      </c>
    </row>
    <row r="8557" ht="11.25" customHeight="1">
      <c r="A8557" s="21"/>
      <c r="B8557" s="22"/>
      <c r="C8557" s="21"/>
      <c r="D8557" s="21"/>
      <c r="E8557" s="21"/>
      <c r="F8557" s="21"/>
      <c r="G8557" s="25"/>
      <c r="H8557" s="24" t="str">
        <f>IFERROR(VLOOKUP(B8557,material!A:D,3,0),"")</f>
        <v/>
      </c>
    </row>
    <row r="8558" ht="11.25" customHeight="1">
      <c r="A8558" s="21"/>
      <c r="B8558" s="22"/>
      <c r="C8558" s="21"/>
      <c r="D8558" s="21"/>
      <c r="E8558" s="21"/>
      <c r="F8558" s="21"/>
      <c r="G8558" s="25"/>
      <c r="H8558" s="24" t="str">
        <f>IFERROR(VLOOKUP(B8558,material!A:D,3,0),"")</f>
        <v/>
      </c>
    </row>
    <row r="8559" ht="11.25" customHeight="1">
      <c r="A8559" s="21"/>
      <c r="B8559" s="22"/>
      <c r="C8559" s="21"/>
      <c r="D8559" s="21"/>
      <c r="E8559" s="21"/>
      <c r="F8559" s="21"/>
      <c r="G8559" s="25"/>
      <c r="H8559" s="24" t="str">
        <f>IFERROR(VLOOKUP(B8559,material!A:D,3,0),"")</f>
        <v/>
      </c>
    </row>
    <row r="8560" ht="11.25" customHeight="1">
      <c r="A8560" s="21"/>
      <c r="B8560" s="22"/>
      <c r="C8560" s="21"/>
      <c r="D8560" s="21"/>
      <c r="E8560" s="21"/>
      <c r="F8560" s="21"/>
      <c r="G8560" s="25"/>
      <c r="H8560" s="24" t="str">
        <f>IFERROR(VLOOKUP(B8560,material!A:D,3,0),"")</f>
        <v/>
      </c>
    </row>
    <row r="8561" ht="11.25" customHeight="1">
      <c r="A8561" s="21"/>
      <c r="B8561" s="22"/>
      <c r="C8561" s="21"/>
      <c r="D8561" s="21"/>
      <c r="E8561" s="21"/>
      <c r="F8561" s="21"/>
      <c r="G8561" s="25"/>
      <c r="H8561" s="24" t="str">
        <f>IFERROR(VLOOKUP(B8561,material!A:D,3,0),"")</f>
        <v/>
      </c>
    </row>
    <row r="8562" ht="11.25" customHeight="1">
      <c r="A8562" s="21"/>
      <c r="B8562" s="22"/>
      <c r="C8562" s="21"/>
      <c r="D8562" s="21"/>
      <c r="E8562" s="21"/>
      <c r="F8562" s="21"/>
      <c r="G8562" s="25"/>
      <c r="H8562" s="24" t="str">
        <f>IFERROR(VLOOKUP(B8562,material!A:D,3,0),"")</f>
        <v/>
      </c>
    </row>
    <row r="8563" ht="11.25" customHeight="1">
      <c r="A8563" s="21"/>
      <c r="B8563" s="22"/>
      <c r="C8563" s="21"/>
      <c r="D8563" s="21"/>
      <c r="E8563" s="21"/>
      <c r="F8563" s="21"/>
      <c r="G8563" s="25"/>
      <c r="H8563" s="24" t="str">
        <f>IFERROR(VLOOKUP(B8563,material!A:D,3,0),"")</f>
        <v/>
      </c>
    </row>
    <row r="8564" ht="11.25" customHeight="1">
      <c r="A8564" s="21"/>
      <c r="B8564" s="22"/>
      <c r="C8564" s="21"/>
      <c r="D8564" s="21"/>
      <c r="E8564" s="21"/>
      <c r="F8564" s="21"/>
      <c r="G8564" s="25"/>
      <c r="H8564" s="24" t="str">
        <f>IFERROR(VLOOKUP(B8564,material!A:D,3,0),"")</f>
        <v/>
      </c>
    </row>
    <row r="8565" ht="11.25" customHeight="1">
      <c r="A8565" s="21"/>
      <c r="B8565" s="22"/>
      <c r="C8565" s="21"/>
      <c r="D8565" s="21"/>
      <c r="E8565" s="21"/>
      <c r="F8565" s="21"/>
      <c r="G8565" s="25"/>
      <c r="H8565" s="24" t="str">
        <f>IFERROR(VLOOKUP(B8565,material!A:D,3,0),"")</f>
        <v/>
      </c>
    </row>
    <row r="8566" ht="11.25" customHeight="1">
      <c r="A8566" s="21"/>
      <c r="B8566" s="22"/>
      <c r="C8566" s="21"/>
      <c r="D8566" s="21"/>
      <c r="E8566" s="21"/>
      <c r="F8566" s="21"/>
      <c r="G8566" s="25"/>
      <c r="H8566" s="24" t="str">
        <f>IFERROR(VLOOKUP(B8566,material!A:D,3,0),"")</f>
        <v/>
      </c>
    </row>
    <row r="8567" ht="11.25" customHeight="1">
      <c r="A8567" s="21"/>
      <c r="B8567" s="22"/>
      <c r="C8567" s="21"/>
      <c r="D8567" s="21"/>
      <c r="E8567" s="21"/>
      <c r="F8567" s="21"/>
      <c r="G8567" s="25"/>
      <c r="H8567" s="24" t="str">
        <f>IFERROR(VLOOKUP(B8567,material!A:D,3,0),"")</f>
        <v/>
      </c>
    </row>
    <row r="8568" ht="11.25" customHeight="1">
      <c r="A8568" s="21"/>
      <c r="B8568" s="22"/>
      <c r="C8568" s="21"/>
      <c r="D8568" s="21"/>
      <c r="E8568" s="21"/>
      <c r="F8568" s="21"/>
      <c r="G8568" s="25"/>
      <c r="H8568" s="24" t="str">
        <f>IFERROR(VLOOKUP(B8568,material!A:D,3,0),"")</f>
        <v/>
      </c>
    </row>
    <row r="8569" ht="11.25" customHeight="1">
      <c r="A8569" s="21"/>
      <c r="B8569" s="22"/>
      <c r="C8569" s="21"/>
      <c r="D8569" s="21"/>
      <c r="E8569" s="21"/>
      <c r="F8569" s="21"/>
      <c r="G8569" s="25"/>
      <c r="H8569" s="24" t="str">
        <f>IFERROR(VLOOKUP(B8569,material!A:D,3,0),"")</f>
        <v/>
      </c>
    </row>
    <row r="8570" ht="11.25" customHeight="1">
      <c r="A8570" s="21"/>
      <c r="B8570" s="22"/>
      <c r="C8570" s="21"/>
      <c r="D8570" s="21"/>
      <c r="E8570" s="21"/>
      <c r="F8570" s="21"/>
      <c r="G8570" s="25"/>
      <c r="H8570" s="24" t="str">
        <f>IFERROR(VLOOKUP(B8570,material!A:D,3,0),"")</f>
        <v/>
      </c>
    </row>
    <row r="8571" ht="11.25" customHeight="1">
      <c r="A8571" s="21"/>
      <c r="B8571" s="22"/>
      <c r="C8571" s="21"/>
      <c r="D8571" s="21"/>
      <c r="E8571" s="21"/>
      <c r="F8571" s="21"/>
      <c r="G8571" s="25"/>
      <c r="H8571" s="24" t="str">
        <f>IFERROR(VLOOKUP(B8571,material!A:D,3,0),"")</f>
        <v/>
      </c>
    </row>
    <row r="8572" ht="11.25" customHeight="1">
      <c r="A8572" s="21"/>
      <c r="B8572" s="22"/>
      <c r="C8572" s="21"/>
      <c r="D8572" s="21"/>
      <c r="E8572" s="21"/>
      <c r="F8572" s="21"/>
      <c r="G8572" s="25"/>
      <c r="H8572" s="24" t="str">
        <f>IFERROR(VLOOKUP(B8572,material!A:D,3,0),"")</f>
        <v/>
      </c>
    </row>
    <row r="8573" ht="11.25" customHeight="1">
      <c r="A8573" s="21"/>
      <c r="B8573" s="22"/>
      <c r="C8573" s="21"/>
      <c r="D8573" s="21"/>
      <c r="E8573" s="21"/>
      <c r="F8573" s="21"/>
      <c r="G8573" s="25"/>
      <c r="H8573" s="24" t="str">
        <f>IFERROR(VLOOKUP(B8573,material!A:D,3,0),"")</f>
        <v/>
      </c>
    </row>
    <row r="8574" ht="11.25" customHeight="1">
      <c r="A8574" s="21"/>
      <c r="B8574" s="22"/>
      <c r="C8574" s="21"/>
      <c r="D8574" s="21"/>
      <c r="E8574" s="21"/>
      <c r="F8574" s="21"/>
      <c r="G8574" s="25"/>
      <c r="H8574" s="24" t="str">
        <f>IFERROR(VLOOKUP(B8574,material!A:D,3,0),"")</f>
        <v/>
      </c>
    </row>
    <row r="8575" ht="11.25" customHeight="1">
      <c r="A8575" s="21"/>
      <c r="B8575" s="22"/>
      <c r="C8575" s="21"/>
      <c r="D8575" s="21"/>
      <c r="E8575" s="21"/>
      <c r="F8575" s="21"/>
      <c r="G8575" s="25"/>
      <c r="H8575" s="24" t="str">
        <f>IFERROR(VLOOKUP(B8575,material!A:D,3,0),"")</f>
        <v/>
      </c>
    </row>
    <row r="8576" ht="11.25" customHeight="1">
      <c r="A8576" s="21"/>
      <c r="B8576" s="22"/>
      <c r="C8576" s="21"/>
      <c r="D8576" s="21"/>
      <c r="E8576" s="21"/>
      <c r="F8576" s="21"/>
      <c r="G8576" s="25"/>
      <c r="H8576" s="24" t="str">
        <f>IFERROR(VLOOKUP(B8576,material!A:D,3,0),"")</f>
        <v/>
      </c>
    </row>
    <row r="8577" ht="11.25" customHeight="1">
      <c r="A8577" s="21"/>
      <c r="B8577" s="22"/>
      <c r="C8577" s="21"/>
      <c r="D8577" s="21"/>
      <c r="E8577" s="21"/>
      <c r="F8577" s="21"/>
      <c r="G8577" s="25"/>
      <c r="H8577" s="24" t="str">
        <f>IFERROR(VLOOKUP(B8577,material!A:D,3,0),"")</f>
        <v/>
      </c>
    </row>
    <row r="8578" ht="11.25" customHeight="1">
      <c r="A8578" s="21"/>
      <c r="B8578" s="22"/>
      <c r="C8578" s="21"/>
      <c r="D8578" s="21"/>
      <c r="E8578" s="21"/>
      <c r="F8578" s="21"/>
      <c r="G8578" s="25"/>
      <c r="H8578" s="24" t="str">
        <f>IFERROR(VLOOKUP(B8578,material!A:D,3,0),"")</f>
        <v/>
      </c>
    </row>
    <row r="8579" ht="11.25" customHeight="1">
      <c r="A8579" s="21"/>
      <c r="B8579" s="22"/>
      <c r="C8579" s="21"/>
      <c r="D8579" s="21"/>
      <c r="E8579" s="21"/>
      <c r="F8579" s="21"/>
      <c r="G8579" s="25"/>
      <c r="H8579" s="24" t="str">
        <f>IFERROR(VLOOKUP(B8579,material!A:D,3,0),"")</f>
        <v/>
      </c>
    </row>
    <row r="8580" ht="11.25" customHeight="1">
      <c r="A8580" s="21"/>
      <c r="B8580" s="22"/>
      <c r="C8580" s="21"/>
      <c r="D8580" s="21"/>
      <c r="E8580" s="21"/>
      <c r="F8580" s="21"/>
      <c r="G8580" s="25"/>
      <c r="H8580" s="24" t="str">
        <f>IFERROR(VLOOKUP(B8580,material!A:D,3,0),"")</f>
        <v/>
      </c>
    </row>
    <row r="8581" ht="11.25" customHeight="1">
      <c r="A8581" s="21"/>
      <c r="B8581" s="22"/>
      <c r="C8581" s="21"/>
      <c r="D8581" s="21"/>
      <c r="E8581" s="21"/>
      <c r="F8581" s="21"/>
      <c r="G8581" s="25"/>
      <c r="H8581" s="24" t="str">
        <f>IFERROR(VLOOKUP(B8581,material!A:D,3,0),"")</f>
        <v/>
      </c>
    </row>
    <row r="8582" ht="11.25" customHeight="1">
      <c r="A8582" s="21"/>
      <c r="B8582" s="22"/>
      <c r="C8582" s="21"/>
      <c r="D8582" s="21"/>
      <c r="E8582" s="21"/>
      <c r="F8582" s="21"/>
      <c r="G8582" s="25"/>
      <c r="H8582" s="24" t="str">
        <f>IFERROR(VLOOKUP(B8582,material!A:D,3,0),"")</f>
        <v/>
      </c>
    </row>
    <row r="8583" ht="11.25" customHeight="1">
      <c r="A8583" s="21"/>
      <c r="B8583" s="22"/>
      <c r="C8583" s="21"/>
      <c r="D8583" s="21"/>
      <c r="E8583" s="21"/>
      <c r="F8583" s="21"/>
      <c r="G8583" s="25"/>
      <c r="H8583" s="24" t="str">
        <f>IFERROR(VLOOKUP(B8583,material!A:D,3,0),"")</f>
        <v/>
      </c>
    </row>
    <row r="8584" ht="11.25" customHeight="1">
      <c r="A8584" s="21"/>
      <c r="B8584" s="22"/>
      <c r="C8584" s="21"/>
      <c r="D8584" s="21"/>
      <c r="E8584" s="21"/>
      <c r="F8584" s="21"/>
      <c r="G8584" s="25"/>
      <c r="H8584" s="24" t="str">
        <f>IFERROR(VLOOKUP(B8584,material!A:D,3,0),"")</f>
        <v/>
      </c>
    </row>
    <row r="8585" ht="11.25" customHeight="1">
      <c r="A8585" s="21"/>
      <c r="B8585" s="22"/>
      <c r="C8585" s="21"/>
      <c r="D8585" s="21"/>
      <c r="E8585" s="21"/>
      <c r="F8585" s="21"/>
      <c r="G8585" s="25"/>
      <c r="H8585" s="24" t="str">
        <f>IFERROR(VLOOKUP(B8585,material!A:D,3,0),"")</f>
        <v/>
      </c>
    </row>
    <row r="8586" ht="11.25" customHeight="1">
      <c r="A8586" s="21"/>
      <c r="B8586" s="22"/>
      <c r="C8586" s="21"/>
      <c r="D8586" s="21"/>
      <c r="E8586" s="21"/>
      <c r="F8586" s="21"/>
      <c r="G8586" s="25"/>
      <c r="H8586" s="24" t="str">
        <f>IFERROR(VLOOKUP(B8586,material!A:D,3,0),"")</f>
        <v/>
      </c>
    </row>
    <row r="8587" ht="11.25" customHeight="1">
      <c r="A8587" s="21"/>
      <c r="B8587" s="22"/>
      <c r="C8587" s="21"/>
      <c r="D8587" s="21"/>
      <c r="E8587" s="21"/>
      <c r="F8587" s="21"/>
      <c r="G8587" s="25"/>
      <c r="H8587" s="24" t="str">
        <f>IFERROR(VLOOKUP(B8587,material!A:D,3,0),"")</f>
        <v/>
      </c>
    </row>
    <row r="8588" ht="11.25" customHeight="1">
      <c r="A8588" s="21"/>
      <c r="B8588" s="22"/>
      <c r="C8588" s="21"/>
      <c r="D8588" s="21"/>
      <c r="E8588" s="21"/>
      <c r="F8588" s="21"/>
      <c r="G8588" s="25"/>
      <c r="H8588" s="24" t="str">
        <f>IFERROR(VLOOKUP(B8588,material!A:D,3,0),"")</f>
        <v/>
      </c>
    </row>
    <row r="8589" ht="11.25" customHeight="1">
      <c r="A8589" s="21"/>
      <c r="B8589" s="22"/>
      <c r="C8589" s="21"/>
      <c r="D8589" s="21"/>
      <c r="E8589" s="21"/>
      <c r="F8589" s="21"/>
      <c r="G8589" s="25"/>
      <c r="H8589" s="24" t="str">
        <f>IFERROR(VLOOKUP(B8589,material!A:D,3,0),"")</f>
        <v/>
      </c>
    </row>
    <row r="8590" ht="11.25" customHeight="1">
      <c r="A8590" s="21"/>
      <c r="B8590" s="22"/>
      <c r="C8590" s="21"/>
      <c r="D8590" s="21"/>
      <c r="E8590" s="21"/>
      <c r="F8590" s="21"/>
      <c r="G8590" s="25"/>
      <c r="H8590" s="24" t="str">
        <f>IFERROR(VLOOKUP(B8590,material!A:D,3,0),"")</f>
        <v/>
      </c>
    </row>
    <row r="8591" ht="11.25" customHeight="1">
      <c r="A8591" s="21"/>
      <c r="B8591" s="22"/>
      <c r="C8591" s="21"/>
      <c r="D8591" s="21"/>
      <c r="E8591" s="21"/>
      <c r="F8591" s="21"/>
      <c r="G8591" s="25"/>
      <c r="H8591" s="24" t="str">
        <f>IFERROR(VLOOKUP(B8591,material!A:D,3,0),"")</f>
        <v/>
      </c>
    </row>
    <row r="8592" ht="11.25" customHeight="1">
      <c r="A8592" s="21"/>
      <c r="B8592" s="22"/>
      <c r="C8592" s="21"/>
      <c r="D8592" s="21"/>
      <c r="E8592" s="21"/>
      <c r="F8592" s="21"/>
      <c r="G8592" s="25"/>
      <c r="H8592" s="24" t="str">
        <f>IFERROR(VLOOKUP(B8592,material!A:D,3,0),"")</f>
        <v/>
      </c>
    </row>
    <row r="8593" ht="11.25" customHeight="1">
      <c r="A8593" s="21"/>
      <c r="B8593" s="22"/>
      <c r="C8593" s="21"/>
      <c r="D8593" s="21"/>
      <c r="E8593" s="21"/>
      <c r="F8593" s="21"/>
      <c r="G8593" s="25"/>
      <c r="H8593" s="24" t="str">
        <f>IFERROR(VLOOKUP(B8593,material!A:D,3,0),"")</f>
        <v/>
      </c>
    </row>
    <row r="8594" ht="11.25" customHeight="1">
      <c r="A8594" s="21"/>
      <c r="B8594" s="22"/>
      <c r="C8594" s="21"/>
      <c r="D8594" s="21"/>
      <c r="E8594" s="21"/>
      <c r="F8594" s="21"/>
      <c r="G8594" s="25"/>
      <c r="H8594" s="24" t="str">
        <f>IFERROR(VLOOKUP(B8594,material!A:D,3,0),"")</f>
        <v/>
      </c>
    </row>
    <row r="8595" ht="11.25" customHeight="1">
      <c r="A8595" s="21"/>
      <c r="B8595" s="22"/>
      <c r="C8595" s="21"/>
      <c r="D8595" s="21"/>
      <c r="E8595" s="21"/>
      <c r="F8595" s="21"/>
      <c r="G8595" s="25"/>
      <c r="H8595" s="24" t="str">
        <f>IFERROR(VLOOKUP(B8595,material!A:D,3,0),"")</f>
        <v/>
      </c>
    </row>
    <row r="8596" ht="11.25" customHeight="1">
      <c r="A8596" s="21"/>
      <c r="B8596" s="22"/>
      <c r="C8596" s="21"/>
      <c r="D8596" s="21"/>
      <c r="E8596" s="21"/>
      <c r="F8596" s="21"/>
      <c r="G8596" s="25"/>
      <c r="H8596" s="24" t="str">
        <f>IFERROR(VLOOKUP(B8596,material!A:D,3,0),"")</f>
        <v/>
      </c>
    </row>
    <row r="8597" ht="11.25" customHeight="1">
      <c r="A8597" s="21"/>
      <c r="B8597" s="22"/>
      <c r="C8597" s="21"/>
      <c r="D8597" s="21"/>
      <c r="E8597" s="21"/>
      <c r="F8597" s="21"/>
      <c r="G8597" s="25"/>
      <c r="H8597" s="24" t="str">
        <f>IFERROR(VLOOKUP(B8597,material!A:D,3,0),"")</f>
        <v/>
      </c>
    </row>
    <row r="8598" ht="11.25" customHeight="1">
      <c r="A8598" s="21"/>
      <c r="B8598" s="22"/>
      <c r="C8598" s="21"/>
      <c r="D8598" s="21"/>
      <c r="E8598" s="21"/>
      <c r="F8598" s="21"/>
      <c r="G8598" s="25"/>
      <c r="H8598" s="24" t="str">
        <f>IFERROR(VLOOKUP(B8598,material!A:D,3,0),"")</f>
        <v/>
      </c>
    </row>
    <row r="8599" ht="11.25" customHeight="1">
      <c r="A8599" s="21"/>
      <c r="B8599" s="22"/>
      <c r="C8599" s="21"/>
      <c r="D8599" s="21"/>
      <c r="E8599" s="21"/>
      <c r="F8599" s="21"/>
      <c r="G8599" s="25"/>
      <c r="H8599" s="24" t="str">
        <f>IFERROR(VLOOKUP(B8599,material!A:D,3,0),"")</f>
        <v/>
      </c>
    </row>
    <row r="8600" ht="11.25" customHeight="1">
      <c r="A8600" s="21"/>
      <c r="B8600" s="22"/>
      <c r="C8600" s="21"/>
      <c r="D8600" s="21"/>
      <c r="E8600" s="21"/>
      <c r="F8600" s="21"/>
      <c r="G8600" s="25"/>
      <c r="H8600" s="24" t="str">
        <f>IFERROR(VLOOKUP(B8600,material!A:D,3,0),"")</f>
        <v/>
      </c>
    </row>
    <row r="8601" ht="11.25" customHeight="1">
      <c r="A8601" s="21"/>
      <c r="B8601" s="22"/>
      <c r="C8601" s="21"/>
      <c r="D8601" s="21"/>
      <c r="E8601" s="21"/>
      <c r="F8601" s="21"/>
      <c r="G8601" s="25"/>
      <c r="H8601" s="24" t="str">
        <f>IFERROR(VLOOKUP(B8601,material!A:D,3,0),"")</f>
        <v/>
      </c>
    </row>
    <row r="8602" ht="11.25" customHeight="1">
      <c r="A8602" s="21"/>
      <c r="B8602" s="22"/>
      <c r="C8602" s="21"/>
      <c r="D8602" s="21"/>
      <c r="E8602" s="21"/>
      <c r="F8602" s="21"/>
      <c r="G8602" s="25"/>
      <c r="H8602" s="24" t="str">
        <f>IFERROR(VLOOKUP(B8602,material!A:D,3,0),"")</f>
        <v/>
      </c>
    </row>
    <row r="8603" ht="11.25" customHeight="1">
      <c r="A8603" s="21"/>
      <c r="B8603" s="22"/>
      <c r="C8603" s="21"/>
      <c r="D8603" s="21"/>
      <c r="E8603" s="21"/>
      <c r="F8603" s="21"/>
      <c r="G8603" s="25"/>
      <c r="H8603" s="24" t="str">
        <f>IFERROR(VLOOKUP(B8603,material!A:D,3,0),"")</f>
        <v/>
      </c>
    </row>
    <row r="8604" ht="11.25" customHeight="1">
      <c r="A8604" s="21"/>
      <c r="B8604" s="22"/>
      <c r="C8604" s="21"/>
      <c r="D8604" s="21"/>
      <c r="E8604" s="21"/>
      <c r="F8604" s="21"/>
      <c r="G8604" s="25"/>
      <c r="H8604" s="24" t="str">
        <f>IFERROR(VLOOKUP(B8604,material!A:D,3,0),"")</f>
        <v/>
      </c>
    </row>
    <row r="8605" ht="11.25" customHeight="1">
      <c r="A8605" s="21"/>
      <c r="B8605" s="22"/>
      <c r="C8605" s="21"/>
      <c r="D8605" s="21"/>
      <c r="E8605" s="21"/>
      <c r="F8605" s="21"/>
      <c r="G8605" s="25"/>
      <c r="H8605" s="24" t="str">
        <f>IFERROR(VLOOKUP(B8605,material!A:D,3,0),"")</f>
        <v/>
      </c>
    </row>
    <row r="8606" ht="11.25" customHeight="1">
      <c r="A8606" s="21"/>
      <c r="B8606" s="22"/>
      <c r="C8606" s="21"/>
      <c r="D8606" s="21"/>
      <c r="E8606" s="21"/>
      <c r="F8606" s="21"/>
      <c r="G8606" s="25"/>
      <c r="H8606" s="24" t="str">
        <f>IFERROR(VLOOKUP(B8606,material!A:D,3,0),"")</f>
        <v/>
      </c>
    </row>
    <row r="8607" ht="11.25" customHeight="1">
      <c r="A8607" s="21"/>
      <c r="B8607" s="22"/>
      <c r="C8607" s="21"/>
      <c r="D8607" s="21"/>
      <c r="E8607" s="21"/>
      <c r="F8607" s="21"/>
      <c r="G8607" s="25"/>
      <c r="H8607" s="24" t="str">
        <f>IFERROR(VLOOKUP(B8607,material!A:D,3,0),"")</f>
        <v/>
      </c>
    </row>
    <row r="8608" ht="11.25" customHeight="1">
      <c r="A8608" s="21"/>
      <c r="B8608" s="22"/>
      <c r="C8608" s="21"/>
      <c r="D8608" s="21"/>
      <c r="E8608" s="21"/>
      <c r="F8608" s="21"/>
      <c r="G8608" s="25"/>
      <c r="H8608" s="24" t="str">
        <f>IFERROR(VLOOKUP(B8608,material!A:D,3,0),"")</f>
        <v/>
      </c>
    </row>
    <row r="8609" ht="11.25" customHeight="1">
      <c r="A8609" s="21"/>
      <c r="B8609" s="22"/>
      <c r="C8609" s="21"/>
      <c r="D8609" s="21"/>
      <c r="E8609" s="21"/>
      <c r="F8609" s="21"/>
      <c r="G8609" s="25"/>
      <c r="H8609" s="24" t="str">
        <f>IFERROR(VLOOKUP(B8609,material!A:D,3,0),"")</f>
        <v/>
      </c>
    </row>
    <row r="8610" ht="11.25" customHeight="1">
      <c r="A8610" s="21"/>
      <c r="B8610" s="22"/>
      <c r="C8610" s="21"/>
      <c r="D8610" s="21"/>
      <c r="E8610" s="21"/>
      <c r="F8610" s="21"/>
      <c r="G8610" s="25"/>
      <c r="H8610" s="24" t="str">
        <f>IFERROR(VLOOKUP(B8610,material!A:D,3,0),"")</f>
        <v/>
      </c>
    </row>
    <row r="8611" ht="11.25" customHeight="1">
      <c r="A8611" s="21"/>
      <c r="B8611" s="22"/>
      <c r="C8611" s="21"/>
      <c r="D8611" s="21"/>
      <c r="E8611" s="21"/>
      <c r="F8611" s="21"/>
      <c r="G8611" s="25"/>
      <c r="H8611" s="24" t="str">
        <f>IFERROR(VLOOKUP(B8611,material!A:D,3,0),"")</f>
        <v/>
      </c>
    </row>
    <row r="8612" ht="11.25" customHeight="1">
      <c r="A8612" s="21"/>
      <c r="B8612" s="22"/>
      <c r="C8612" s="21"/>
      <c r="D8612" s="21"/>
      <c r="E8612" s="21"/>
      <c r="F8612" s="21"/>
      <c r="G8612" s="25"/>
      <c r="H8612" s="24" t="str">
        <f>IFERROR(VLOOKUP(B8612,material!A:D,3,0),"")</f>
        <v/>
      </c>
    </row>
    <row r="8613" ht="11.25" customHeight="1">
      <c r="A8613" s="21"/>
      <c r="B8613" s="22"/>
      <c r="C8613" s="21"/>
      <c r="D8613" s="21"/>
      <c r="E8613" s="21"/>
      <c r="F8613" s="21"/>
      <c r="G8613" s="25"/>
      <c r="H8613" s="24" t="str">
        <f>IFERROR(VLOOKUP(B8613,material!A:D,3,0),"")</f>
        <v/>
      </c>
    </row>
    <row r="8614" ht="11.25" customHeight="1">
      <c r="A8614" s="21"/>
      <c r="B8614" s="22"/>
      <c r="C8614" s="21"/>
      <c r="D8614" s="21"/>
      <c r="E8614" s="21"/>
      <c r="F8614" s="21"/>
      <c r="G8614" s="25"/>
      <c r="H8614" s="24" t="str">
        <f>IFERROR(VLOOKUP(B8614,material!A:D,3,0),"")</f>
        <v/>
      </c>
    </row>
    <row r="8615" ht="11.25" customHeight="1">
      <c r="A8615" s="21"/>
      <c r="B8615" s="22"/>
      <c r="C8615" s="21"/>
      <c r="D8615" s="21"/>
      <c r="E8615" s="21"/>
      <c r="F8615" s="21"/>
      <c r="G8615" s="25"/>
      <c r="H8615" s="24" t="str">
        <f>IFERROR(VLOOKUP(B8615,material!A:D,3,0),"")</f>
        <v/>
      </c>
    </row>
    <row r="8616" ht="11.25" customHeight="1">
      <c r="A8616" s="21"/>
      <c r="B8616" s="22"/>
      <c r="C8616" s="21"/>
      <c r="D8616" s="21"/>
      <c r="E8616" s="21"/>
      <c r="F8616" s="21"/>
      <c r="G8616" s="25"/>
      <c r="H8616" s="24" t="str">
        <f>IFERROR(VLOOKUP(B8616,material!A:D,3,0),"")</f>
        <v/>
      </c>
    </row>
    <row r="8617" ht="11.25" customHeight="1">
      <c r="A8617" s="21"/>
      <c r="B8617" s="22"/>
      <c r="C8617" s="21"/>
      <c r="D8617" s="21"/>
      <c r="E8617" s="21"/>
      <c r="F8617" s="21"/>
      <c r="G8617" s="25"/>
      <c r="H8617" s="24" t="str">
        <f>IFERROR(VLOOKUP(B8617,material!A:D,3,0),"")</f>
        <v/>
      </c>
    </row>
    <row r="8618" ht="11.25" customHeight="1">
      <c r="A8618" s="21"/>
      <c r="B8618" s="22"/>
      <c r="C8618" s="21"/>
      <c r="D8618" s="21"/>
      <c r="E8618" s="21"/>
      <c r="F8618" s="21"/>
      <c r="G8618" s="25"/>
      <c r="H8618" s="24" t="str">
        <f>IFERROR(VLOOKUP(B8618,material!A:D,3,0),"")</f>
        <v/>
      </c>
    </row>
    <row r="8619" ht="11.25" customHeight="1">
      <c r="A8619" s="21"/>
      <c r="B8619" s="22"/>
      <c r="C8619" s="21"/>
      <c r="D8619" s="21"/>
      <c r="E8619" s="21"/>
      <c r="F8619" s="21"/>
      <c r="G8619" s="25"/>
      <c r="H8619" s="24" t="str">
        <f>IFERROR(VLOOKUP(B8619,material!A:D,3,0),"")</f>
        <v/>
      </c>
    </row>
    <row r="8620" ht="11.25" customHeight="1">
      <c r="A8620" s="21"/>
      <c r="B8620" s="22"/>
      <c r="C8620" s="21"/>
      <c r="D8620" s="21"/>
      <c r="E8620" s="21"/>
      <c r="F8620" s="21"/>
      <c r="G8620" s="25"/>
      <c r="H8620" s="24" t="str">
        <f>IFERROR(VLOOKUP(B8620,material!A:D,3,0),"")</f>
        <v/>
      </c>
    </row>
    <row r="8621" ht="11.25" customHeight="1">
      <c r="A8621" s="21"/>
      <c r="B8621" s="22"/>
      <c r="C8621" s="21"/>
      <c r="D8621" s="21"/>
      <c r="E8621" s="21"/>
      <c r="F8621" s="21"/>
      <c r="G8621" s="25"/>
      <c r="H8621" s="24" t="str">
        <f>IFERROR(VLOOKUP(B8621,material!A:D,3,0),"")</f>
        <v/>
      </c>
    </row>
    <row r="8622" ht="11.25" customHeight="1">
      <c r="A8622" s="21"/>
      <c r="B8622" s="22"/>
      <c r="C8622" s="21"/>
      <c r="D8622" s="21"/>
      <c r="E8622" s="21"/>
      <c r="F8622" s="21"/>
      <c r="G8622" s="25"/>
      <c r="H8622" s="24" t="str">
        <f>IFERROR(VLOOKUP(B8622,material!A:D,3,0),"")</f>
        <v/>
      </c>
    </row>
    <row r="8623" ht="11.25" customHeight="1">
      <c r="A8623" s="21"/>
      <c r="B8623" s="22"/>
      <c r="C8623" s="21"/>
      <c r="D8623" s="21"/>
      <c r="E8623" s="21"/>
      <c r="F8623" s="21"/>
      <c r="G8623" s="25"/>
      <c r="H8623" s="24" t="str">
        <f>IFERROR(VLOOKUP(B8623,material!A:D,3,0),"")</f>
        <v/>
      </c>
    </row>
    <row r="8624" ht="11.25" customHeight="1">
      <c r="A8624" s="21"/>
      <c r="B8624" s="22"/>
      <c r="C8624" s="21"/>
      <c r="D8624" s="21"/>
      <c r="E8624" s="21"/>
      <c r="F8624" s="21"/>
      <c r="G8624" s="25"/>
      <c r="H8624" s="24" t="str">
        <f>IFERROR(VLOOKUP(B8624,material!A:D,3,0),"")</f>
        <v/>
      </c>
    </row>
    <row r="8625" ht="11.25" customHeight="1">
      <c r="A8625" s="21"/>
      <c r="B8625" s="22"/>
      <c r="C8625" s="21"/>
      <c r="D8625" s="21"/>
      <c r="E8625" s="21"/>
      <c r="F8625" s="21"/>
      <c r="G8625" s="25"/>
      <c r="H8625" s="24" t="str">
        <f>IFERROR(VLOOKUP(B8625,material!A:D,3,0),"")</f>
        <v/>
      </c>
    </row>
    <row r="8626" ht="11.25" customHeight="1">
      <c r="A8626" s="21"/>
      <c r="B8626" s="22"/>
      <c r="C8626" s="21"/>
      <c r="D8626" s="21"/>
      <c r="E8626" s="21"/>
      <c r="F8626" s="21"/>
      <c r="G8626" s="25"/>
      <c r="H8626" s="24" t="str">
        <f>IFERROR(VLOOKUP(B8626,material!A:D,3,0),"")</f>
        <v/>
      </c>
    </row>
    <row r="8627" ht="11.25" customHeight="1">
      <c r="A8627" s="21"/>
      <c r="B8627" s="22"/>
      <c r="C8627" s="21"/>
      <c r="D8627" s="21"/>
      <c r="E8627" s="21"/>
      <c r="F8627" s="21"/>
      <c r="G8627" s="25"/>
      <c r="H8627" s="24" t="str">
        <f>IFERROR(VLOOKUP(B8627,material!A:D,3,0),"")</f>
        <v/>
      </c>
    </row>
    <row r="8628" ht="11.25" customHeight="1">
      <c r="A8628" s="21"/>
      <c r="B8628" s="22"/>
      <c r="C8628" s="21"/>
      <c r="D8628" s="21"/>
      <c r="E8628" s="21"/>
      <c r="F8628" s="21"/>
      <c r="G8628" s="25"/>
      <c r="H8628" s="24" t="str">
        <f>IFERROR(VLOOKUP(B8628,material!A:D,3,0),"")</f>
        <v/>
      </c>
    </row>
    <row r="8629" ht="11.25" customHeight="1">
      <c r="A8629" s="21"/>
      <c r="B8629" s="22"/>
      <c r="C8629" s="21"/>
      <c r="D8629" s="21"/>
      <c r="E8629" s="21"/>
      <c r="F8629" s="21"/>
      <c r="G8629" s="25"/>
      <c r="H8629" s="24" t="str">
        <f>IFERROR(VLOOKUP(B8629,material!A:D,3,0),"")</f>
        <v/>
      </c>
    </row>
    <row r="8630" ht="11.25" customHeight="1">
      <c r="A8630" s="21"/>
      <c r="B8630" s="22"/>
      <c r="C8630" s="21"/>
      <c r="D8630" s="21"/>
      <c r="E8630" s="21"/>
      <c r="F8630" s="21"/>
      <c r="G8630" s="25"/>
      <c r="H8630" s="24" t="str">
        <f>IFERROR(VLOOKUP(B8630,material!A:D,3,0),"")</f>
        <v/>
      </c>
    </row>
    <row r="8631" ht="11.25" customHeight="1">
      <c r="A8631" s="21"/>
      <c r="B8631" s="22"/>
      <c r="C8631" s="21"/>
      <c r="D8631" s="21"/>
      <c r="E8631" s="21"/>
      <c r="F8631" s="21"/>
      <c r="G8631" s="25"/>
      <c r="H8631" s="24" t="str">
        <f>IFERROR(VLOOKUP(B8631,material!A:D,3,0),"")</f>
        <v/>
      </c>
    </row>
    <row r="8632" ht="11.25" customHeight="1">
      <c r="A8632" s="21"/>
      <c r="B8632" s="22"/>
      <c r="C8632" s="21"/>
      <c r="D8632" s="21"/>
      <c r="E8632" s="21"/>
      <c r="F8632" s="21"/>
      <c r="G8632" s="25"/>
      <c r="H8632" s="24" t="str">
        <f>IFERROR(VLOOKUP(B8632,material!A:D,3,0),"")</f>
        <v/>
      </c>
    </row>
    <row r="8633" ht="11.25" customHeight="1">
      <c r="A8633" s="21"/>
      <c r="B8633" s="22"/>
      <c r="C8633" s="21"/>
      <c r="D8633" s="21"/>
      <c r="E8633" s="21"/>
      <c r="F8633" s="21"/>
      <c r="G8633" s="25"/>
      <c r="H8633" s="24" t="str">
        <f>IFERROR(VLOOKUP(B8633,material!A:D,3,0),"")</f>
        <v/>
      </c>
    </row>
    <row r="8634" ht="11.25" customHeight="1">
      <c r="A8634" s="21"/>
      <c r="B8634" s="22"/>
      <c r="C8634" s="21"/>
      <c r="D8634" s="21"/>
      <c r="E8634" s="21"/>
      <c r="F8634" s="21"/>
      <c r="G8634" s="25"/>
      <c r="H8634" s="24" t="str">
        <f>IFERROR(VLOOKUP(B8634,material!A:D,3,0),"")</f>
        <v/>
      </c>
    </row>
    <row r="8635" ht="11.25" customHeight="1">
      <c r="A8635" s="21"/>
      <c r="B8635" s="22"/>
      <c r="C8635" s="21"/>
      <c r="D8635" s="21"/>
      <c r="E8635" s="21"/>
      <c r="F8635" s="21"/>
      <c r="G8635" s="25"/>
      <c r="H8635" s="24" t="str">
        <f>IFERROR(VLOOKUP(B8635,material!A:D,3,0),"")</f>
        <v/>
      </c>
    </row>
    <row r="8636" ht="11.25" customHeight="1">
      <c r="A8636" s="21"/>
      <c r="B8636" s="22"/>
      <c r="C8636" s="21"/>
      <c r="D8636" s="21"/>
      <c r="E8636" s="21"/>
      <c r="F8636" s="21"/>
      <c r="G8636" s="25"/>
      <c r="H8636" s="24" t="str">
        <f>IFERROR(VLOOKUP(B8636,material!A:D,3,0),"")</f>
        <v/>
      </c>
    </row>
    <row r="8637" ht="11.25" customHeight="1">
      <c r="A8637" s="21"/>
      <c r="B8637" s="22"/>
      <c r="C8637" s="21"/>
      <c r="D8637" s="21"/>
      <c r="E8637" s="21"/>
      <c r="F8637" s="21"/>
      <c r="G8637" s="25"/>
      <c r="H8637" s="24" t="str">
        <f>IFERROR(VLOOKUP(B8637,material!A:D,3,0),"")</f>
        <v/>
      </c>
    </row>
    <row r="8638" ht="11.25" customHeight="1">
      <c r="A8638" s="21"/>
      <c r="B8638" s="22"/>
      <c r="C8638" s="21"/>
      <c r="D8638" s="21"/>
      <c r="E8638" s="21"/>
      <c r="F8638" s="21"/>
      <c r="G8638" s="25"/>
      <c r="H8638" s="24" t="str">
        <f>IFERROR(VLOOKUP(B8638,material!A:D,3,0),"")</f>
        <v/>
      </c>
    </row>
    <row r="8639" ht="11.25" customHeight="1">
      <c r="A8639" s="21"/>
      <c r="B8639" s="22"/>
      <c r="C8639" s="21"/>
      <c r="D8639" s="21"/>
      <c r="E8639" s="21"/>
      <c r="F8639" s="21"/>
      <c r="G8639" s="25"/>
      <c r="H8639" s="24" t="str">
        <f>IFERROR(VLOOKUP(B8639,material!A:D,3,0),"")</f>
        <v/>
      </c>
    </row>
    <row r="8640" ht="11.25" customHeight="1">
      <c r="A8640" s="21"/>
      <c r="B8640" s="22"/>
      <c r="C8640" s="21"/>
      <c r="D8640" s="21"/>
      <c r="E8640" s="21"/>
      <c r="F8640" s="21"/>
      <c r="G8640" s="25"/>
      <c r="H8640" s="24" t="str">
        <f>IFERROR(VLOOKUP(B8640,material!A:D,3,0),"")</f>
        <v/>
      </c>
    </row>
    <row r="8641" ht="11.25" customHeight="1">
      <c r="A8641" s="21"/>
      <c r="B8641" s="22"/>
      <c r="C8641" s="21"/>
      <c r="D8641" s="21"/>
      <c r="E8641" s="21"/>
      <c r="F8641" s="21"/>
      <c r="G8641" s="25"/>
      <c r="H8641" s="24" t="str">
        <f>IFERROR(VLOOKUP(B8641,material!A:D,3,0),"")</f>
        <v/>
      </c>
    </row>
    <row r="8642" ht="11.25" customHeight="1">
      <c r="A8642" s="21"/>
      <c r="B8642" s="22"/>
      <c r="C8642" s="21"/>
      <c r="D8642" s="21"/>
      <c r="E8642" s="21"/>
      <c r="F8642" s="21"/>
      <c r="G8642" s="25"/>
      <c r="H8642" s="24" t="str">
        <f>IFERROR(VLOOKUP(B8642,material!A:D,3,0),"")</f>
        <v/>
      </c>
    </row>
    <row r="8643" ht="11.25" customHeight="1">
      <c r="A8643" s="21"/>
      <c r="B8643" s="22"/>
      <c r="C8643" s="21"/>
      <c r="D8643" s="21"/>
      <c r="E8643" s="21"/>
      <c r="F8643" s="21"/>
      <c r="G8643" s="25"/>
      <c r="H8643" s="24" t="str">
        <f>IFERROR(VLOOKUP(B8643,material!A:D,3,0),"")</f>
        <v/>
      </c>
    </row>
    <row r="8644" ht="11.25" customHeight="1">
      <c r="A8644" s="21"/>
      <c r="B8644" s="22"/>
      <c r="C8644" s="21"/>
      <c r="D8644" s="21"/>
      <c r="E8644" s="21"/>
      <c r="F8644" s="21"/>
      <c r="G8644" s="25"/>
      <c r="H8644" s="24" t="str">
        <f>IFERROR(VLOOKUP(B8644,material!A:D,3,0),"")</f>
        <v/>
      </c>
    </row>
    <row r="8645" ht="11.25" customHeight="1">
      <c r="A8645" s="21"/>
      <c r="B8645" s="22"/>
      <c r="C8645" s="21"/>
      <c r="D8645" s="21"/>
      <c r="E8645" s="21"/>
      <c r="F8645" s="21"/>
      <c r="G8645" s="25"/>
      <c r="H8645" s="24" t="str">
        <f>IFERROR(VLOOKUP(B8645,material!A:D,3,0),"")</f>
        <v/>
      </c>
    </row>
    <row r="8646" ht="11.25" customHeight="1">
      <c r="A8646" s="21"/>
      <c r="B8646" s="22"/>
      <c r="C8646" s="21"/>
      <c r="D8646" s="21"/>
      <c r="E8646" s="21"/>
      <c r="F8646" s="21"/>
      <c r="G8646" s="25"/>
      <c r="H8646" s="24" t="str">
        <f>IFERROR(VLOOKUP(B8646,material!A:D,3,0),"")</f>
        <v/>
      </c>
    </row>
    <row r="8647" ht="11.25" customHeight="1">
      <c r="A8647" s="21"/>
      <c r="B8647" s="22"/>
      <c r="C8647" s="21"/>
      <c r="D8647" s="21"/>
      <c r="E8647" s="21"/>
      <c r="F8647" s="21"/>
      <c r="G8647" s="25"/>
      <c r="H8647" s="24" t="str">
        <f>IFERROR(VLOOKUP(B8647,material!A:D,3,0),"")</f>
        <v/>
      </c>
    </row>
    <row r="8648" ht="11.25" customHeight="1">
      <c r="A8648" s="21"/>
      <c r="B8648" s="22"/>
      <c r="C8648" s="21"/>
      <c r="D8648" s="21"/>
      <c r="E8648" s="21"/>
      <c r="F8648" s="21"/>
      <c r="G8648" s="25"/>
      <c r="H8648" s="24" t="str">
        <f>IFERROR(VLOOKUP(B8648,material!A:D,3,0),"")</f>
        <v/>
      </c>
    </row>
    <row r="8649" ht="11.25" customHeight="1">
      <c r="A8649" s="21"/>
      <c r="B8649" s="22"/>
      <c r="C8649" s="21"/>
      <c r="D8649" s="21"/>
      <c r="E8649" s="21"/>
      <c r="F8649" s="21"/>
      <c r="G8649" s="25"/>
      <c r="H8649" s="24" t="str">
        <f>IFERROR(VLOOKUP(B8649,material!A:D,3,0),"")</f>
        <v/>
      </c>
    </row>
    <row r="8650" ht="11.25" customHeight="1">
      <c r="A8650" s="21"/>
      <c r="B8650" s="22"/>
      <c r="C8650" s="21"/>
      <c r="D8650" s="21"/>
      <c r="E8650" s="21"/>
      <c r="F8650" s="21"/>
      <c r="G8650" s="25"/>
      <c r="H8650" s="24" t="str">
        <f>IFERROR(VLOOKUP(B8650,material!A:D,3,0),"")</f>
        <v/>
      </c>
    </row>
    <row r="8651" ht="11.25" customHeight="1">
      <c r="A8651" s="21"/>
      <c r="B8651" s="22"/>
      <c r="C8651" s="21"/>
      <c r="D8651" s="21"/>
      <c r="E8651" s="21"/>
      <c r="F8651" s="21"/>
      <c r="G8651" s="25"/>
      <c r="H8651" s="24" t="str">
        <f>IFERROR(VLOOKUP(B8651,material!A:D,3,0),"")</f>
        <v/>
      </c>
    </row>
    <row r="8652" ht="11.25" customHeight="1">
      <c r="A8652" s="21"/>
      <c r="B8652" s="22"/>
      <c r="C8652" s="21"/>
      <c r="D8652" s="21"/>
      <c r="E8652" s="21"/>
      <c r="F8652" s="21"/>
      <c r="G8652" s="25"/>
      <c r="H8652" s="24" t="str">
        <f>IFERROR(VLOOKUP(B8652,material!A:D,3,0),"")</f>
        <v/>
      </c>
    </row>
    <row r="8653" ht="11.25" customHeight="1">
      <c r="A8653" s="21"/>
      <c r="B8653" s="22"/>
      <c r="C8653" s="21"/>
      <c r="D8653" s="21"/>
      <c r="E8653" s="21"/>
      <c r="F8653" s="21"/>
      <c r="G8653" s="25"/>
      <c r="H8653" s="24" t="str">
        <f>IFERROR(VLOOKUP(B8653,material!A:D,3,0),"")</f>
        <v/>
      </c>
    </row>
    <row r="8654" ht="11.25" customHeight="1">
      <c r="A8654" s="21"/>
      <c r="B8654" s="22"/>
      <c r="C8654" s="21"/>
      <c r="D8654" s="21"/>
      <c r="E8654" s="21"/>
      <c r="F8654" s="21"/>
      <c r="G8654" s="25"/>
      <c r="H8654" s="24" t="str">
        <f>IFERROR(VLOOKUP(B8654,material!A:D,3,0),"")</f>
        <v/>
      </c>
    </row>
    <row r="8655" ht="11.25" customHeight="1">
      <c r="A8655" s="21"/>
      <c r="B8655" s="22"/>
      <c r="C8655" s="21"/>
      <c r="D8655" s="21"/>
      <c r="E8655" s="21"/>
      <c r="F8655" s="21"/>
      <c r="G8655" s="25"/>
      <c r="H8655" s="24" t="str">
        <f>IFERROR(VLOOKUP(B8655,material!A:D,3,0),"")</f>
        <v/>
      </c>
    </row>
    <row r="8656" ht="11.25" customHeight="1">
      <c r="A8656" s="21"/>
      <c r="B8656" s="22"/>
      <c r="C8656" s="21"/>
      <c r="D8656" s="21"/>
      <c r="E8656" s="21"/>
      <c r="F8656" s="21"/>
      <c r="G8656" s="25"/>
      <c r="H8656" s="24" t="str">
        <f>IFERROR(VLOOKUP(B8656,material!A:D,3,0),"")</f>
        <v/>
      </c>
    </row>
    <row r="8657" ht="11.25" customHeight="1">
      <c r="A8657" s="21"/>
      <c r="B8657" s="22"/>
      <c r="C8657" s="21"/>
      <c r="D8657" s="21"/>
      <c r="E8657" s="21"/>
      <c r="F8657" s="21"/>
      <c r="G8657" s="25"/>
      <c r="H8657" s="24" t="str">
        <f>IFERROR(VLOOKUP(B8657,material!A:D,3,0),"")</f>
        <v/>
      </c>
    </row>
    <row r="8658" ht="11.25" customHeight="1">
      <c r="A8658" s="21"/>
      <c r="B8658" s="22"/>
      <c r="C8658" s="21"/>
      <c r="D8658" s="21"/>
      <c r="E8658" s="21"/>
      <c r="F8658" s="21"/>
      <c r="G8658" s="25"/>
      <c r="H8658" s="24" t="str">
        <f>IFERROR(VLOOKUP(B8658,material!A:D,3,0),"")</f>
        <v/>
      </c>
    </row>
    <row r="8659" ht="11.25" customHeight="1">
      <c r="A8659" s="21"/>
      <c r="B8659" s="22"/>
      <c r="C8659" s="21"/>
      <c r="D8659" s="21"/>
      <c r="E8659" s="21"/>
      <c r="F8659" s="21"/>
      <c r="G8659" s="25"/>
      <c r="H8659" s="24" t="str">
        <f>IFERROR(VLOOKUP(B8659,material!A:D,3,0),"")</f>
        <v/>
      </c>
    </row>
    <row r="8660" ht="11.25" customHeight="1">
      <c r="A8660" s="21"/>
      <c r="B8660" s="22"/>
      <c r="C8660" s="21"/>
      <c r="D8660" s="21"/>
      <c r="E8660" s="21"/>
      <c r="F8660" s="21"/>
      <c r="G8660" s="25"/>
      <c r="H8660" s="24" t="str">
        <f>IFERROR(VLOOKUP(B8660,material!A:D,3,0),"")</f>
        <v/>
      </c>
    </row>
    <row r="8661" ht="11.25" customHeight="1">
      <c r="A8661" s="21"/>
      <c r="B8661" s="22"/>
      <c r="C8661" s="21"/>
      <c r="D8661" s="21"/>
      <c r="E8661" s="21"/>
      <c r="F8661" s="21"/>
      <c r="G8661" s="25"/>
      <c r="H8661" s="24" t="str">
        <f>IFERROR(VLOOKUP(B8661,material!A:D,3,0),"")</f>
        <v/>
      </c>
    </row>
    <row r="8662" ht="11.25" customHeight="1">
      <c r="A8662" s="21"/>
      <c r="B8662" s="22"/>
      <c r="C8662" s="21"/>
      <c r="D8662" s="21"/>
      <c r="E8662" s="21"/>
      <c r="F8662" s="21"/>
      <c r="G8662" s="25"/>
      <c r="H8662" s="24" t="str">
        <f>IFERROR(VLOOKUP(B8662,material!A:D,3,0),"")</f>
        <v/>
      </c>
    </row>
    <row r="8663" ht="11.25" customHeight="1">
      <c r="A8663" s="21"/>
      <c r="B8663" s="22"/>
      <c r="C8663" s="21"/>
      <c r="D8663" s="21"/>
      <c r="E8663" s="21"/>
      <c r="F8663" s="21"/>
      <c r="G8663" s="25"/>
      <c r="H8663" s="24" t="str">
        <f>IFERROR(VLOOKUP(B8663,material!A:D,3,0),"")</f>
        <v/>
      </c>
    </row>
    <row r="8664" ht="11.25" customHeight="1">
      <c r="A8664" s="21"/>
      <c r="B8664" s="22"/>
      <c r="C8664" s="21"/>
      <c r="D8664" s="21"/>
      <c r="E8664" s="21"/>
      <c r="F8664" s="21"/>
      <c r="G8664" s="25"/>
      <c r="H8664" s="24" t="str">
        <f>IFERROR(VLOOKUP(B8664,material!A:D,3,0),"")</f>
        <v/>
      </c>
    </row>
    <row r="8665" ht="11.25" customHeight="1">
      <c r="A8665" s="21"/>
      <c r="B8665" s="22"/>
      <c r="C8665" s="21"/>
      <c r="D8665" s="21"/>
      <c r="E8665" s="21"/>
      <c r="F8665" s="21"/>
      <c r="G8665" s="25"/>
      <c r="H8665" s="24" t="str">
        <f>IFERROR(VLOOKUP(B8665,material!A:D,3,0),"")</f>
        <v/>
      </c>
    </row>
    <row r="8666" ht="11.25" customHeight="1">
      <c r="A8666" s="21"/>
      <c r="B8666" s="22"/>
      <c r="C8666" s="21"/>
      <c r="D8666" s="21"/>
      <c r="E8666" s="21"/>
      <c r="F8666" s="21"/>
      <c r="G8666" s="25"/>
      <c r="H8666" s="24" t="str">
        <f>IFERROR(VLOOKUP(B8666,material!A:D,3,0),"")</f>
        <v/>
      </c>
    </row>
    <row r="8667" ht="11.25" customHeight="1">
      <c r="A8667" s="21"/>
      <c r="B8667" s="22"/>
      <c r="C8667" s="21"/>
      <c r="D8667" s="21"/>
      <c r="E8667" s="21"/>
      <c r="F8667" s="21"/>
      <c r="G8667" s="25"/>
      <c r="H8667" s="24" t="str">
        <f>IFERROR(VLOOKUP(B8667,material!A:D,3,0),"")</f>
        <v/>
      </c>
    </row>
    <row r="8668" ht="11.25" customHeight="1">
      <c r="A8668" s="21"/>
      <c r="B8668" s="22"/>
      <c r="C8668" s="21"/>
      <c r="D8668" s="21"/>
      <c r="E8668" s="21"/>
      <c r="F8668" s="21"/>
      <c r="G8668" s="25"/>
      <c r="H8668" s="24" t="str">
        <f>IFERROR(VLOOKUP(B8668,material!A:D,3,0),"")</f>
        <v/>
      </c>
    </row>
    <row r="8669" ht="11.25" customHeight="1">
      <c r="A8669" s="21"/>
      <c r="B8669" s="22"/>
      <c r="C8669" s="21"/>
      <c r="D8669" s="21"/>
      <c r="E8669" s="21"/>
      <c r="F8669" s="21"/>
      <c r="G8669" s="25"/>
      <c r="H8669" s="24" t="str">
        <f>IFERROR(VLOOKUP(B8669,material!A:D,3,0),"")</f>
        <v/>
      </c>
    </row>
    <row r="8670" ht="11.25" customHeight="1">
      <c r="A8670" s="21"/>
      <c r="B8670" s="22"/>
      <c r="C8670" s="21"/>
      <c r="D8670" s="21"/>
      <c r="E8670" s="21"/>
      <c r="F8670" s="21"/>
      <c r="G8670" s="25"/>
      <c r="H8670" s="24" t="str">
        <f>IFERROR(VLOOKUP(B8670,material!A:D,3,0),"")</f>
        <v/>
      </c>
    </row>
    <row r="8671" ht="11.25" customHeight="1">
      <c r="A8671" s="21"/>
      <c r="B8671" s="22"/>
      <c r="C8671" s="21"/>
      <c r="D8671" s="21"/>
      <c r="E8671" s="21"/>
      <c r="F8671" s="21"/>
      <c r="G8671" s="25"/>
      <c r="H8671" s="24" t="str">
        <f>IFERROR(VLOOKUP(B8671,material!A:D,3,0),"")</f>
        <v/>
      </c>
    </row>
    <row r="8672" ht="11.25" customHeight="1">
      <c r="A8672" s="21"/>
      <c r="B8672" s="22"/>
      <c r="C8672" s="21"/>
      <c r="D8672" s="21"/>
      <c r="E8672" s="21"/>
      <c r="F8672" s="21"/>
      <c r="G8672" s="25"/>
      <c r="H8672" s="24" t="str">
        <f>IFERROR(VLOOKUP(B8672,material!A:D,3,0),"")</f>
        <v/>
      </c>
    </row>
    <row r="8673" ht="11.25" customHeight="1">
      <c r="A8673" s="21"/>
      <c r="B8673" s="22"/>
      <c r="C8673" s="21"/>
      <c r="D8673" s="21"/>
      <c r="E8673" s="21"/>
      <c r="F8673" s="21"/>
      <c r="G8673" s="25"/>
      <c r="H8673" s="24" t="str">
        <f>IFERROR(VLOOKUP(B8673,material!A:D,3,0),"")</f>
        <v/>
      </c>
    </row>
    <row r="8674" ht="11.25" customHeight="1">
      <c r="A8674" s="21"/>
      <c r="B8674" s="22"/>
      <c r="C8674" s="21"/>
      <c r="D8674" s="21"/>
      <c r="E8674" s="21"/>
      <c r="F8674" s="21"/>
      <c r="G8674" s="25"/>
      <c r="H8674" s="24" t="str">
        <f>IFERROR(VLOOKUP(B8674,material!A:D,3,0),"")</f>
        <v/>
      </c>
    </row>
    <row r="8675" ht="11.25" customHeight="1">
      <c r="A8675" s="21"/>
      <c r="B8675" s="22"/>
      <c r="C8675" s="21"/>
      <c r="D8675" s="21"/>
      <c r="E8675" s="21"/>
      <c r="F8675" s="21"/>
      <c r="G8675" s="25"/>
      <c r="H8675" s="24" t="str">
        <f>IFERROR(VLOOKUP(B8675,material!A:D,3,0),"")</f>
        <v/>
      </c>
    </row>
    <row r="8676" ht="11.25" customHeight="1">
      <c r="A8676" s="21"/>
      <c r="B8676" s="22"/>
      <c r="C8676" s="21"/>
      <c r="D8676" s="21"/>
      <c r="E8676" s="21"/>
      <c r="F8676" s="21"/>
      <c r="G8676" s="25"/>
      <c r="H8676" s="24" t="str">
        <f>IFERROR(VLOOKUP(B8676,material!A:D,3,0),"")</f>
        <v/>
      </c>
    </row>
    <row r="8677" ht="11.25" customHeight="1">
      <c r="A8677" s="21"/>
      <c r="B8677" s="22"/>
      <c r="C8677" s="21"/>
      <c r="D8677" s="21"/>
      <c r="E8677" s="21"/>
      <c r="F8677" s="21"/>
      <c r="G8677" s="25"/>
      <c r="H8677" s="24" t="str">
        <f>IFERROR(VLOOKUP(B8677,material!A:D,3,0),"")</f>
        <v/>
      </c>
    </row>
    <row r="8678" ht="11.25" customHeight="1">
      <c r="A8678" s="21"/>
      <c r="B8678" s="22"/>
      <c r="C8678" s="21"/>
      <c r="D8678" s="21"/>
      <c r="E8678" s="21"/>
      <c r="F8678" s="21"/>
      <c r="G8678" s="25"/>
      <c r="H8678" s="24" t="str">
        <f>IFERROR(VLOOKUP(B8678,material!A:D,3,0),"")</f>
        <v/>
      </c>
    </row>
    <row r="8679" ht="11.25" customHeight="1">
      <c r="A8679" s="21"/>
      <c r="B8679" s="22"/>
      <c r="C8679" s="21"/>
      <c r="D8679" s="21"/>
      <c r="E8679" s="21"/>
      <c r="F8679" s="21"/>
      <c r="G8679" s="25"/>
      <c r="H8679" s="24" t="str">
        <f>IFERROR(VLOOKUP(B8679,material!A:D,3,0),"")</f>
        <v/>
      </c>
    </row>
    <row r="8680" ht="11.25" customHeight="1">
      <c r="A8680" s="21"/>
      <c r="B8680" s="22"/>
      <c r="C8680" s="21"/>
      <c r="D8680" s="21"/>
      <c r="E8680" s="21"/>
      <c r="F8680" s="21"/>
      <c r="G8680" s="25"/>
      <c r="H8680" s="24" t="str">
        <f>IFERROR(VLOOKUP(B8680,material!A:D,3,0),"")</f>
        <v/>
      </c>
    </row>
    <row r="8681" ht="11.25" customHeight="1">
      <c r="A8681" s="21"/>
      <c r="B8681" s="22"/>
      <c r="C8681" s="21"/>
      <c r="D8681" s="21"/>
      <c r="E8681" s="21"/>
      <c r="F8681" s="21"/>
      <c r="G8681" s="25"/>
      <c r="H8681" s="24" t="str">
        <f>IFERROR(VLOOKUP(B8681,material!A:D,3,0),"")</f>
        <v/>
      </c>
    </row>
    <row r="8682" ht="11.25" customHeight="1">
      <c r="A8682" s="21"/>
      <c r="B8682" s="22"/>
      <c r="C8682" s="21"/>
      <c r="D8682" s="21"/>
      <c r="E8682" s="21"/>
      <c r="F8682" s="21"/>
      <c r="G8682" s="25"/>
      <c r="H8682" s="24" t="str">
        <f>IFERROR(VLOOKUP(B8682,material!A:D,3,0),"")</f>
        <v/>
      </c>
    </row>
    <row r="8683" ht="11.25" customHeight="1">
      <c r="A8683" s="21"/>
      <c r="B8683" s="22"/>
      <c r="C8683" s="21"/>
      <c r="D8683" s="21"/>
      <c r="E8683" s="21"/>
      <c r="F8683" s="21"/>
      <c r="G8683" s="25"/>
      <c r="H8683" s="24" t="str">
        <f>IFERROR(VLOOKUP(B8683,material!A:D,3,0),"")</f>
        <v/>
      </c>
    </row>
    <row r="8684" ht="11.25" customHeight="1">
      <c r="A8684" s="21"/>
      <c r="B8684" s="22"/>
      <c r="C8684" s="21"/>
      <c r="D8684" s="21"/>
      <c r="E8684" s="21"/>
      <c r="F8684" s="21"/>
      <c r="G8684" s="25"/>
      <c r="H8684" s="24" t="str">
        <f>IFERROR(VLOOKUP(B8684,material!A:D,3,0),"")</f>
        <v/>
      </c>
    </row>
    <row r="8685" ht="11.25" customHeight="1">
      <c r="A8685" s="21"/>
      <c r="B8685" s="22"/>
      <c r="C8685" s="21"/>
      <c r="D8685" s="21"/>
      <c r="E8685" s="21"/>
      <c r="F8685" s="21"/>
      <c r="G8685" s="25"/>
      <c r="H8685" s="24" t="str">
        <f>IFERROR(VLOOKUP(B8685,material!A:D,3,0),"")</f>
        <v/>
      </c>
    </row>
    <row r="8686" ht="11.25" customHeight="1">
      <c r="A8686" s="21"/>
      <c r="B8686" s="22"/>
      <c r="C8686" s="21"/>
      <c r="D8686" s="21"/>
      <c r="E8686" s="21"/>
      <c r="F8686" s="21"/>
      <c r="G8686" s="25"/>
      <c r="H8686" s="24" t="str">
        <f>IFERROR(VLOOKUP(B8686,material!A:D,3,0),"")</f>
        <v/>
      </c>
    </row>
    <row r="8687" ht="11.25" customHeight="1">
      <c r="A8687" s="21"/>
      <c r="B8687" s="22"/>
      <c r="C8687" s="21"/>
      <c r="D8687" s="21"/>
      <c r="E8687" s="21"/>
      <c r="F8687" s="21"/>
      <c r="G8687" s="25"/>
      <c r="H8687" s="24" t="str">
        <f>IFERROR(VLOOKUP(B8687,material!A:D,3,0),"")</f>
        <v/>
      </c>
    </row>
    <row r="8688" ht="11.25" customHeight="1">
      <c r="A8688" s="21"/>
      <c r="B8688" s="22"/>
      <c r="C8688" s="21"/>
      <c r="D8688" s="21"/>
      <c r="E8688" s="21"/>
      <c r="F8688" s="21"/>
      <c r="G8688" s="25"/>
      <c r="H8688" s="24" t="str">
        <f>IFERROR(VLOOKUP(B8688,material!A:D,3,0),"")</f>
        <v/>
      </c>
    </row>
    <row r="8689" ht="11.25" customHeight="1">
      <c r="A8689" s="21"/>
      <c r="B8689" s="22"/>
      <c r="C8689" s="21"/>
      <c r="D8689" s="21"/>
      <c r="E8689" s="21"/>
      <c r="F8689" s="21"/>
      <c r="G8689" s="25"/>
      <c r="H8689" s="24" t="str">
        <f>IFERROR(VLOOKUP(B8689,material!A:D,3,0),"")</f>
        <v/>
      </c>
    </row>
    <row r="8690" ht="11.25" customHeight="1">
      <c r="A8690" s="21"/>
      <c r="B8690" s="22"/>
      <c r="C8690" s="21"/>
      <c r="D8690" s="21"/>
      <c r="E8690" s="21"/>
      <c r="F8690" s="21"/>
      <c r="G8690" s="25"/>
      <c r="H8690" s="24" t="str">
        <f>IFERROR(VLOOKUP(B8690,material!A:D,3,0),"")</f>
        <v/>
      </c>
    </row>
    <row r="8691" ht="11.25" customHeight="1">
      <c r="A8691" s="21"/>
      <c r="B8691" s="22"/>
      <c r="C8691" s="21"/>
      <c r="D8691" s="21"/>
      <c r="E8691" s="21"/>
      <c r="F8691" s="21"/>
      <c r="G8691" s="25"/>
      <c r="H8691" s="24" t="str">
        <f>IFERROR(VLOOKUP(B8691,material!A:D,3,0),"")</f>
        <v/>
      </c>
    </row>
    <row r="8692" ht="11.25" customHeight="1">
      <c r="A8692" s="21"/>
      <c r="B8692" s="22"/>
      <c r="C8692" s="21"/>
      <c r="D8692" s="21"/>
      <c r="E8692" s="21"/>
      <c r="F8692" s="21"/>
      <c r="G8692" s="25"/>
      <c r="H8692" s="24" t="str">
        <f>IFERROR(VLOOKUP(B8692,material!A:D,3,0),"")</f>
        <v/>
      </c>
    </row>
    <row r="8693" ht="11.25" customHeight="1">
      <c r="A8693" s="21"/>
      <c r="B8693" s="22"/>
      <c r="C8693" s="21"/>
      <c r="D8693" s="21"/>
      <c r="E8693" s="21"/>
      <c r="F8693" s="21"/>
      <c r="G8693" s="25"/>
      <c r="H8693" s="24" t="str">
        <f>IFERROR(VLOOKUP(B8693,material!A:D,3,0),"")</f>
        <v/>
      </c>
    </row>
    <row r="8694" ht="11.25" customHeight="1">
      <c r="A8694" s="21"/>
      <c r="B8694" s="22"/>
      <c r="C8694" s="21"/>
      <c r="D8694" s="21"/>
      <c r="E8694" s="21"/>
      <c r="F8694" s="21"/>
      <c r="G8694" s="25"/>
      <c r="H8694" s="24" t="str">
        <f>IFERROR(VLOOKUP(B8694,material!A:D,3,0),"")</f>
        <v/>
      </c>
    </row>
    <row r="8695" ht="11.25" customHeight="1">
      <c r="A8695" s="21"/>
      <c r="B8695" s="22"/>
      <c r="C8695" s="21"/>
      <c r="D8695" s="21"/>
      <c r="E8695" s="21"/>
      <c r="F8695" s="21"/>
      <c r="G8695" s="25"/>
      <c r="H8695" s="24" t="str">
        <f>IFERROR(VLOOKUP(B8695,material!A:D,3,0),"")</f>
        <v/>
      </c>
    </row>
    <row r="8696" ht="11.25" customHeight="1">
      <c r="A8696" s="21"/>
      <c r="B8696" s="22"/>
      <c r="C8696" s="21"/>
      <c r="D8696" s="21"/>
      <c r="E8696" s="21"/>
      <c r="F8696" s="21"/>
      <c r="G8696" s="25"/>
      <c r="H8696" s="24" t="str">
        <f>IFERROR(VLOOKUP(B8696,material!A:D,3,0),"")</f>
        <v/>
      </c>
    </row>
    <row r="8697" ht="11.25" customHeight="1">
      <c r="A8697" s="21"/>
      <c r="B8697" s="22"/>
      <c r="C8697" s="21"/>
      <c r="D8697" s="21"/>
      <c r="E8697" s="21"/>
      <c r="F8697" s="21"/>
      <c r="G8697" s="25"/>
      <c r="H8697" s="24" t="str">
        <f>IFERROR(VLOOKUP(B8697,material!A:D,3,0),"")</f>
        <v/>
      </c>
    </row>
    <row r="8698" ht="11.25" customHeight="1">
      <c r="A8698" s="21"/>
      <c r="B8698" s="22"/>
      <c r="C8698" s="21"/>
      <c r="D8698" s="21"/>
      <c r="E8698" s="21"/>
      <c r="F8698" s="21"/>
      <c r="G8698" s="25"/>
      <c r="H8698" s="24" t="str">
        <f>IFERROR(VLOOKUP(B8698,material!A:D,3,0),"")</f>
        <v/>
      </c>
    </row>
    <row r="8699" ht="11.25" customHeight="1">
      <c r="A8699" s="21"/>
      <c r="B8699" s="22"/>
      <c r="C8699" s="21"/>
      <c r="D8699" s="21"/>
      <c r="E8699" s="21"/>
      <c r="F8699" s="21"/>
      <c r="G8699" s="25"/>
      <c r="H8699" s="24" t="str">
        <f>IFERROR(VLOOKUP(B8699,material!A:D,3,0),"")</f>
        <v/>
      </c>
    </row>
    <row r="8700" ht="11.25" customHeight="1">
      <c r="A8700" s="21"/>
      <c r="B8700" s="22"/>
      <c r="C8700" s="21"/>
      <c r="D8700" s="21"/>
      <c r="E8700" s="21"/>
      <c r="F8700" s="21"/>
      <c r="G8700" s="25"/>
      <c r="H8700" s="24" t="str">
        <f>IFERROR(VLOOKUP(B8700,material!A:D,3,0),"")</f>
        <v/>
      </c>
    </row>
    <row r="8701" ht="11.25" customHeight="1">
      <c r="A8701" s="21"/>
      <c r="B8701" s="22"/>
      <c r="C8701" s="21"/>
      <c r="D8701" s="21"/>
      <c r="E8701" s="21"/>
      <c r="F8701" s="21"/>
      <c r="G8701" s="25"/>
      <c r="H8701" s="24" t="str">
        <f>IFERROR(VLOOKUP(B8701,material!A:D,3,0),"")</f>
        <v/>
      </c>
    </row>
    <row r="8702" ht="11.25" customHeight="1">
      <c r="A8702" s="21"/>
      <c r="B8702" s="22"/>
      <c r="C8702" s="21"/>
      <c r="D8702" s="21"/>
      <c r="E8702" s="21"/>
      <c r="F8702" s="21"/>
      <c r="G8702" s="25"/>
      <c r="H8702" s="24" t="str">
        <f>IFERROR(VLOOKUP(B8702,material!A:D,3,0),"")</f>
        <v/>
      </c>
    </row>
    <row r="8703" ht="11.25" customHeight="1">
      <c r="A8703" s="21"/>
      <c r="B8703" s="22"/>
      <c r="C8703" s="21"/>
      <c r="D8703" s="21"/>
      <c r="E8703" s="21"/>
      <c r="F8703" s="21"/>
      <c r="G8703" s="25"/>
      <c r="H8703" s="24" t="str">
        <f>IFERROR(VLOOKUP(B8703,material!A:D,3,0),"")</f>
        <v/>
      </c>
    </row>
    <row r="8704" ht="11.25" customHeight="1">
      <c r="A8704" s="21"/>
      <c r="B8704" s="22"/>
      <c r="C8704" s="21"/>
      <c r="D8704" s="21"/>
      <c r="E8704" s="21"/>
      <c r="F8704" s="21"/>
      <c r="G8704" s="25"/>
      <c r="H8704" s="24" t="str">
        <f>IFERROR(VLOOKUP(B8704,material!A:D,3,0),"")</f>
        <v/>
      </c>
    </row>
    <row r="8705" ht="11.25" customHeight="1">
      <c r="A8705" s="21"/>
      <c r="B8705" s="22"/>
      <c r="C8705" s="21"/>
      <c r="D8705" s="21"/>
      <c r="E8705" s="21"/>
      <c r="F8705" s="21"/>
      <c r="G8705" s="25"/>
      <c r="H8705" s="24" t="str">
        <f>IFERROR(VLOOKUP(B8705,material!A:D,3,0),"")</f>
        <v/>
      </c>
    </row>
    <row r="8706" ht="11.25" customHeight="1">
      <c r="A8706" s="21"/>
      <c r="B8706" s="22"/>
      <c r="C8706" s="21"/>
      <c r="D8706" s="21"/>
      <c r="E8706" s="21"/>
      <c r="F8706" s="21"/>
      <c r="G8706" s="25"/>
      <c r="H8706" s="24" t="str">
        <f>IFERROR(VLOOKUP(B8706,material!A:D,3,0),"")</f>
        <v/>
      </c>
    </row>
    <row r="8707" ht="11.25" customHeight="1">
      <c r="A8707" s="21"/>
      <c r="B8707" s="22"/>
      <c r="C8707" s="21"/>
      <c r="D8707" s="21"/>
      <c r="E8707" s="21"/>
      <c r="F8707" s="21"/>
      <c r="G8707" s="25"/>
      <c r="H8707" s="24" t="str">
        <f>IFERROR(VLOOKUP(B8707,material!A:D,3,0),"")</f>
        <v/>
      </c>
    </row>
    <row r="8708" ht="11.25" customHeight="1">
      <c r="A8708" s="21"/>
      <c r="B8708" s="22"/>
      <c r="C8708" s="21"/>
      <c r="D8708" s="21"/>
      <c r="E8708" s="21"/>
      <c r="F8708" s="21"/>
      <c r="G8708" s="25"/>
      <c r="H8708" s="24" t="str">
        <f>IFERROR(VLOOKUP(B8708,material!A:D,3,0),"")</f>
        <v/>
      </c>
    </row>
    <row r="8709" ht="11.25" customHeight="1">
      <c r="A8709" s="21"/>
      <c r="B8709" s="22"/>
      <c r="C8709" s="21"/>
      <c r="D8709" s="21"/>
      <c r="E8709" s="21"/>
      <c r="F8709" s="21"/>
      <c r="G8709" s="25"/>
      <c r="H8709" s="24" t="str">
        <f>IFERROR(VLOOKUP(B8709,material!A:D,3,0),"")</f>
        <v/>
      </c>
    </row>
    <row r="8710" ht="11.25" customHeight="1">
      <c r="A8710" s="21"/>
      <c r="B8710" s="22"/>
      <c r="C8710" s="21"/>
      <c r="D8710" s="21"/>
      <c r="E8710" s="21"/>
      <c r="F8710" s="21"/>
      <c r="G8710" s="25"/>
      <c r="H8710" s="24" t="str">
        <f>IFERROR(VLOOKUP(B8710,material!A:D,3,0),"")</f>
        <v/>
      </c>
    </row>
    <row r="8711" ht="11.25" customHeight="1">
      <c r="A8711" s="21"/>
      <c r="B8711" s="22"/>
      <c r="C8711" s="21"/>
      <c r="D8711" s="21"/>
      <c r="E8711" s="21"/>
      <c r="F8711" s="21"/>
      <c r="G8711" s="25"/>
      <c r="H8711" s="24" t="str">
        <f>IFERROR(VLOOKUP(B8711,material!A:D,3,0),"")</f>
        <v/>
      </c>
    </row>
    <row r="8712" ht="11.25" customHeight="1">
      <c r="A8712" s="21"/>
      <c r="B8712" s="22"/>
      <c r="C8712" s="21"/>
      <c r="D8712" s="21"/>
      <c r="E8712" s="21"/>
      <c r="F8712" s="21"/>
      <c r="G8712" s="25"/>
      <c r="H8712" s="24" t="str">
        <f>IFERROR(VLOOKUP(B8712,material!A:D,3,0),"")</f>
        <v/>
      </c>
    </row>
    <row r="8713" ht="11.25" customHeight="1">
      <c r="A8713" s="21"/>
      <c r="B8713" s="22"/>
      <c r="C8713" s="21"/>
      <c r="D8713" s="21"/>
      <c r="E8713" s="21"/>
      <c r="F8713" s="21"/>
      <c r="G8713" s="25"/>
      <c r="H8713" s="24" t="str">
        <f>IFERROR(VLOOKUP(B8713,material!A:D,3,0),"")</f>
        <v/>
      </c>
    </row>
    <row r="8714" ht="11.25" customHeight="1">
      <c r="A8714" s="21"/>
      <c r="B8714" s="22"/>
      <c r="C8714" s="21"/>
      <c r="D8714" s="21"/>
      <c r="E8714" s="21"/>
      <c r="F8714" s="21"/>
      <c r="G8714" s="25"/>
      <c r="H8714" s="24" t="str">
        <f>IFERROR(VLOOKUP(B8714,material!A:D,3,0),"")</f>
        <v/>
      </c>
    </row>
    <row r="8715" ht="11.25" customHeight="1">
      <c r="A8715" s="21"/>
      <c r="B8715" s="22"/>
      <c r="C8715" s="21"/>
      <c r="D8715" s="21"/>
      <c r="E8715" s="21"/>
      <c r="F8715" s="21"/>
      <c r="G8715" s="25"/>
      <c r="H8715" s="24" t="str">
        <f>IFERROR(VLOOKUP(B8715,material!A:D,3,0),"")</f>
        <v/>
      </c>
    </row>
    <row r="8716" ht="11.25" customHeight="1">
      <c r="A8716" s="21"/>
      <c r="B8716" s="22"/>
      <c r="C8716" s="21"/>
      <c r="D8716" s="21"/>
      <c r="E8716" s="21"/>
      <c r="F8716" s="21"/>
      <c r="G8716" s="25"/>
      <c r="H8716" s="24" t="str">
        <f>IFERROR(VLOOKUP(B8716,material!A:D,3,0),"")</f>
        <v/>
      </c>
    </row>
    <row r="8717" ht="11.25" customHeight="1">
      <c r="A8717" s="21"/>
      <c r="B8717" s="22"/>
      <c r="C8717" s="21"/>
      <c r="D8717" s="21"/>
      <c r="E8717" s="21"/>
      <c r="F8717" s="21"/>
      <c r="G8717" s="25"/>
      <c r="H8717" s="24" t="str">
        <f>IFERROR(VLOOKUP(B8717,material!A:D,3,0),"")</f>
        <v/>
      </c>
    </row>
    <row r="8718" ht="11.25" customHeight="1">
      <c r="A8718" s="21"/>
      <c r="B8718" s="22"/>
      <c r="C8718" s="21"/>
      <c r="D8718" s="21"/>
      <c r="E8718" s="21"/>
      <c r="F8718" s="21"/>
      <c r="G8718" s="25"/>
      <c r="H8718" s="24" t="str">
        <f>IFERROR(VLOOKUP(B8718,material!A:D,3,0),"")</f>
        <v/>
      </c>
    </row>
    <row r="8719" ht="11.25" customHeight="1">
      <c r="A8719" s="21"/>
      <c r="B8719" s="22"/>
      <c r="C8719" s="21"/>
      <c r="D8719" s="21"/>
      <c r="E8719" s="21"/>
      <c r="F8719" s="21"/>
      <c r="G8719" s="25"/>
      <c r="H8719" s="24" t="str">
        <f>IFERROR(VLOOKUP(B8719,material!A:D,3,0),"")</f>
        <v/>
      </c>
    </row>
    <row r="8720" ht="11.25" customHeight="1">
      <c r="A8720" s="21"/>
      <c r="B8720" s="22"/>
      <c r="C8720" s="21"/>
      <c r="D8720" s="21"/>
      <c r="E8720" s="21"/>
      <c r="F8720" s="21"/>
      <c r="G8720" s="25"/>
      <c r="H8720" s="24" t="str">
        <f>IFERROR(VLOOKUP(B8720,material!A:D,3,0),"")</f>
        <v/>
      </c>
    </row>
    <row r="8721" ht="11.25" customHeight="1">
      <c r="A8721" s="21"/>
      <c r="B8721" s="22"/>
      <c r="C8721" s="21"/>
      <c r="D8721" s="21"/>
      <c r="E8721" s="21"/>
      <c r="F8721" s="21"/>
      <c r="G8721" s="25"/>
      <c r="H8721" s="24" t="str">
        <f>IFERROR(VLOOKUP(B8721,material!A:D,3,0),"")</f>
        <v/>
      </c>
    </row>
    <row r="8722" ht="11.25" customHeight="1">
      <c r="A8722" s="21"/>
      <c r="B8722" s="22"/>
      <c r="C8722" s="21"/>
      <c r="D8722" s="21"/>
      <c r="E8722" s="21"/>
      <c r="F8722" s="21"/>
      <c r="G8722" s="25"/>
      <c r="H8722" s="24" t="str">
        <f>IFERROR(VLOOKUP(B8722,material!A:D,3,0),"")</f>
        <v/>
      </c>
    </row>
    <row r="8723" ht="11.25" customHeight="1">
      <c r="A8723" s="21"/>
      <c r="B8723" s="22"/>
      <c r="C8723" s="21"/>
      <c r="D8723" s="21"/>
      <c r="E8723" s="21"/>
      <c r="F8723" s="21"/>
      <c r="G8723" s="25"/>
      <c r="H8723" s="24" t="str">
        <f>IFERROR(VLOOKUP(B8723,material!A:D,3,0),"")</f>
        <v/>
      </c>
    </row>
    <row r="8724" ht="11.25" customHeight="1">
      <c r="A8724" s="21"/>
      <c r="B8724" s="22"/>
      <c r="C8724" s="21"/>
      <c r="D8724" s="21"/>
      <c r="E8724" s="21"/>
      <c r="F8724" s="21"/>
      <c r="G8724" s="25"/>
      <c r="H8724" s="24" t="str">
        <f>IFERROR(VLOOKUP(B8724,material!A:D,3,0),"")</f>
        <v/>
      </c>
    </row>
    <row r="8725" ht="11.25" customHeight="1">
      <c r="A8725" s="21"/>
      <c r="B8725" s="22"/>
      <c r="C8725" s="21"/>
      <c r="D8725" s="21"/>
      <c r="E8725" s="21"/>
      <c r="F8725" s="21"/>
      <c r="G8725" s="25"/>
      <c r="H8725" s="24" t="str">
        <f>IFERROR(VLOOKUP(B8725,material!A:D,3,0),"")</f>
        <v/>
      </c>
    </row>
    <row r="8726" ht="11.25" customHeight="1">
      <c r="A8726" s="21"/>
      <c r="B8726" s="22"/>
      <c r="C8726" s="21"/>
      <c r="D8726" s="21"/>
      <c r="E8726" s="21"/>
      <c r="F8726" s="21"/>
      <c r="G8726" s="25"/>
      <c r="H8726" s="24" t="str">
        <f>IFERROR(VLOOKUP(B8726,material!A:D,3,0),"")</f>
        <v/>
      </c>
    </row>
    <row r="8727" ht="11.25" customHeight="1">
      <c r="A8727" s="21"/>
      <c r="B8727" s="22"/>
      <c r="C8727" s="21"/>
      <c r="D8727" s="21"/>
      <c r="E8727" s="21"/>
      <c r="F8727" s="21"/>
      <c r="G8727" s="25"/>
      <c r="H8727" s="24" t="str">
        <f>IFERROR(VLOOKUP(B8727,material!A:D,3,0),"")</f>
        <v/>
      </c>
    </row>
    <row r="8728" ht="11.25" customHeight="1">
      <c r="A8728" s="21"/>
      <c r="B8728" s="22"/>
      <c r="C8728" s="21"/>
      <c r="D8728" s="21"/>
      <c r="E8728" s="21"/>
      <c r="F8728" s="21"/>
      <c r="G8728" s="25"/>
      <c r="H8728" s="24" t="str">
        <f>IFERROR(VLOOKUP(B8728,material!A:D,3,0),"")</f>
        <v/>
      </c>
    </row>
    <row r="8729" ht="11.25" customHeight="1">
      <c r="A8729" s="21"/>
      <c r="B8729" s="22"/>
      <c r="C8729" s="21"/>
      <c r="D8729" s="21"/>
      <c r="E8729" s="21"/>
      <c r="F8729" s="21"/>
      <c r="G8729" s="25"/>
      <c r="H8729" s="24" t="str">
        <f>IFERROR(VLOOKUP(B8729,material!A:D,3,0),"")</f>
        <v/>
      </c>
    </row>
    <row r="8730" ht="11.25" customHeight="1">
      <c r="A8730" s="21"/>
      <c r="B8730" s="22"/>
      <c r="C8730" s="21"/>
      <c r="D8730" s="21"/>
      <c r="E8730" s="21"/>
      <c r="F8730" s="21"/>
      <c r="G8730" s="25"/>
      <c r="H8730" s="24" t="str">
        <f>IFERROR(VLOOKUP(B8730,material!A:D,3,0),"")</f>
        <v/>
      </c>
    </row>
    <row r="8731" ht="11.25" customHeight="1">
      <c r="A8731" s="21"/>
      <c r="B8731" s="22"/>
      <c r="C8731" s="21"/>
      <c r="D8731" s="21"/>
      <c r="E8731" s="21"/>
      <c r="F8731" s="21"/>
      <c r="G8731" s="25"/>
      <c r="H8731" s="24" t="str">
        <f>IFERROR(VLOOKUP(B8731,material!A:D,3,0),"")</f>
        <v/>
      </c>
    </row>
    <row r="8732" ht="11.25" customHeight="1">
      <c r="A8732" s="21"/>
      <c r="B8732" s="22"/>
      <c r="C8732" s="21"/>
      <c r="D8732" s="21"/>
      <c r="E8732" s="21"/>
      <c r="F8732" s="21"/>
      <c r="G8732" s="25"/>
      <c r="H8732" s="24" t="str">
        <f>IFERROR(VLOOKUP(B8732,material!A:D,3,0),"")</f>
        <v/>
      </c>
    </row>
    <row r="8733" ht="11.25" customHeight="1">
      <c r="A8733" s="21"/>
      <c r="B8733" s="22"/>
      <c r="C8733" s="21"/>
      <c r="D8733" s="21"/>
      <c r="E8733" s="21"/>
      <c r="F8733" s="21"/>
      <c r="G8733" s="25"/>
      <c r="H8733" s="24" t="str">
        <f>IFERROR(VLOOKUP(B8733,material!A:D,3,0),"")</f>
        <v/>
      </c>
    </row>
    <row r="8734" ht="11.25" customHeight="1">
      <c r="A8734" s="21"/>
      <c r="B8734" s="22"/>
      <c r="C8734" s="21"/>
      <c r="D8734" s="21"/>
      <c r="E8734" s="21"/>
      <c r="F8734" s="21"/>
      <c r="G8734" s="25"/>
      <c r="H8734" s="24" t="str">
        <f>IFERROR(VLOOKUP(B8734,material!A:D,3,0),"")</f>
        <v/>
      </c>
    </row>
    <row r="8735" ht="11.25" customHeight="1">
      <c r="A8735" s="21"/>
      <c r="B8735" s="22"/>
      <c r="C8735" s="21"/>
      <c r="D8735" s="21"/>
      <c r="E8735" s="21"/>
      <c r="F8735" s="21"/>
      <c r="G8735" s="25"/>
      <c r="H8735" s="24" t="str">
        <f>IFERROR(VLOOKUP(B8735,material!A:D,3,0),"")</f>
        <v/>
      </c>
    </row>
    <row r="8736" ht="11.25" customHeight="1">
      <c r="A8736" s="21"/>
      <c r="B8736" s="22"/>
      <c r="C8736" s="21"/>
      <c r="D8736" s="21"/>
      <c r="E8736" s="21"/>
      <c r="F8736" s="21"/>
      <c r="G8736" s="25"/>
      <c r="H8736" s="24" t="str">
        <f>IFERROR(VLOOKUP(B8736,material!A:D,3,0),"")</f>
        <v/>
      </c>
    </row>
    <row r="8737" ht="11.25" customHeight="1">
      <c r="A8737" s="21"/>
      <c r="B8737" s="22"/>
      <c r="C8737" s="21"/>
      <c r="D8737" s="21"/>
      <c r="E8737" s="21"/>
      <c r="F8737" s="21"/>
      <c r="G8737" s="25"/>
      <c r="H8737" s="24" t="str">
        <f>IFERROR(VLOOKUP(B8737,material!A:D,3,0),"")</f>
        <v/>
      </c>
    </row>
    <row r="8738" ht="11.25" customHeight="1">
      <c r="A8738" s="21"/>
      <c r="B8738" s="22"/>
      <c r="C8738" s="21"/>
      <c r="D8738" s="21"/>
      <c r="E8738" s="21"/>
      <c r="F8738" s="21"/>
      <c r="G8738" s="25"/>
      <c r="H8738" s="24" t="str">
        <f>IFERROR(VLOOKUP(B8738,material!A:D,3,0),"")</f>
        <v/>
      </c>
    </row>
    <row r="8739" ht="11.25" customHeight="1">
      <c r="A8739" s="21"/>
      <c r="B8739" s="22"/>
      <c r="C8739" s="21"/>
      <c r="D8739" s="21"/>
      <c r="E8739" s="21"/>
      <c r="F8739" s="21"/>
      <c r="G8739" s="25"/>
      <c r="H8739" s="24" t="str">
        <f>IFERROR(VLOOKUP(B8739,material!A:D,3,0),"")</f>
        <v/>
      </c>
    </row>
    <row r="8740" ht="11.25" customHeight="1">
      <c r="A8740" s="21"/>
      <c r="B8740" s="22"/>
      <c r="C8740" s="21"/>
      <c r="D8740" s="21"/>
      <c r="E8740" s="21"/>
      <c r="F8740" s="21"/>
      <c r="G8740" s="25"/>
      <c r="H8740" s="24" t="str">
        <f>IFERROR(VLOOKUP(B8740,material!A:D,3,0),"")</f>
        <v/>
      </c>
    </row>
    <row r="8741" ht="11.25" customHeight="1">
      <c r="A8741" s="21"/>
      <c r="B8741" s="22"/>
      <c r="C8741" s="21"/>
      <c r="D8741" s="21"/>
      <c r="E8741" s="21"/>
      <c r="F8741" s="21"/>
      <c r="G8741" s="25"/>
      <c r="H8741" s="24" t="str">
        <f>IFERROR(VLOOKUP(B8741,material!A:D,3,0),"")</f>
        <v/>
      </c>
    </row>
    <row r="8742" ht="11.25" customHeight="1">
      <c r="A8742" s="21"/>
      <c r="B8742" s="22"/>
      <c r="C8742" s="21"/>
      <c r="D8742" s="21"/>
      <c r="E8742" s="21"/>
      <c r="F8742" s="21"/>
      <c r="G8742" s="25"/>
      <c r="H8742" s="24" t="str">
        <f>IFERROR(VLOOKUP(B8742,material!A:D,3,0),"")</f>
        <v/>
      </c>
    </row>
    <row r="8743" ht="11.25" customHeight="1">
      <c r="A8743" s="21"/>
      <c r="B8743" s="22"/>
      <c r="C8743" s="21"/>
      <c r="D8743" s="21"/>
      <c r="E8743" s="21"/>
      <c r="F8743" s="21"/>
      <c r="G8743" s="25"/>
      <c r="H8743" s="24" t="str">
        <f>IFERROR(VLOOKUP(B8743,material!A:D,3,0),"")</f>
        <v/>
      </c>
    </row>
    <row r="8744" ht="11.25" customHeight="1">
      <c r="A8744" s="21"/>
      <c r="B8744" s="22"/>
      <c r="C8744" s="21"/>
      <c r="D8744" s="21"/>
      <c r="E8744" s="21"/>
      <c r="F8744" s="21"/>
      <c r="G8744" s="25"/>
      <c r="H8744" s="24" t="str">
        <f>IFERROR(VLOOKUP(B8744,material!A:D,3,0),"")</f>
        <v/>
      </c>
    </row>
    <row r="8745" ht="11.25" customHeight="1">
      <c r="A8745" s="21"/>
      <c r="B8745" s="22"/>
      <c r="C8745" s="21"/>
      <c r="D8745" s="21"/>
      <c r="E8745" s="21"/>
      <c r="F8745" s="21"/>
      <c r="G8745" s="25"/>
      <c r="H8745" s="24" t="str">
        <f>IFERROR(VLOOKUP(B8745,material!A:D,3,0),"")</f>
        <v/>
      </c>
    </row>
    <row r="8746" ht="11.25" customHeight="1">
      <c r="A8746" s="21"/>
      <c r="B8746" s="22"/>
      <c r="C8746" s="21"/>
      <c r="D8746" s="21"/>
      <c r="E8746" s="21"/>
      <c r="F8746" s="21"/>
      <c r="G8746" s="25"/>
      <c r="H8746" s="24" t="str">
        <f>IFERROR(VLOOKUP(B8746,material!A:D,3,0),"")</f>
        <v/>
      </c>
    </row>
    <row r="8747" ht="11.25" customHeight="1">
      <c r="A8747" s="21"/>
      <c r="B8747" s="22"/>
      <c r="C8747" s="21"/>
      <c r="D8747" s="21"/>
      <c r="E8747" s="21"/>
      <c r="F8747" s="21"/>
      <c r="G8747" s="25"/>
      <c r="H8747" s="24" t="str">
        <f>IFERROR(VLOOKUP(B8747,material!A:D,3,0),"")</f>
        <v/>
      </c>
    </row>
    <row r="8748" ht="11.25" customHeight="1">
      <c r="A8748" s="21"/>
      <c r="B8748" s="22"/>
      <c r="C8748" s="21"/>
      <c r="D8748" s="21"/>
      <c r="E8748" s="21"/>
      <c r="F8748" s="21"/>
      <c r="G8748" s="25"/>
      <c r="H8748" s="24" t="str">
        <f>IFERROR(VLOOKUP(B8748,material!A:D,3,0),"")</f>
        <v/>
      </c>
    </row>
    <row r="8749" ht="11.25" customHeight="1">
      <c r="A8749" s="21"/>
      <c r="B8749" s="22"/>
      <c r="C8749" s="21"/>
      <c r="D8749" s="21"/>
      <c r="E8749" s="21"/>
      <c r="F8749" s="21"/>
      <c r="G8749" s="25"/>
      <c r="H8749" s="24" t="str">
        <f>IFERROR(VLOOKUP(B8749,material!A:D,3,0),"")</f>
        <v/>
      </c>
    </row>
    <row r="8750" ht="11.25" customHeight="1">
      <c r="A8750" s="21"/>
      <c r="B8750" s="22"/>
      <c r="C8750" s="21"/>
      <c r="D8750" s="21"/>
      <c r="E8750" s="21"/>
      <c r="F8750" s="21"/>
      <c r="G8750" s="25"/>
      <c r="H8750" s="24" t="str">
        <f>IFERROR(VLOOKUP(B8750,material!A:D,3,0),"")</f>
        <v/>
      </c>
    </row>
    <row r="8751" ht="11.25" customHeight="1">
      <c r="A8751" s="21"/>
      <c r="B8751" s="22"/>
      <c r="C8751" s="21"/>
      <c r="D8751" s="21"/>
      <c r="E8751" s="21"/>
      <c r="F8751" s="21"/>
      <c r="G8751" s="25"/>
      <c r="H8751" s="24" t="str">
        <f>IFERROR(VLOOKUP(B8751,material!A:D,3,0),"")</f>
        <v/>
      </c>
    </row>
    <row r="8752" ht="11.25" customHeight="1">
      <c r="A8752" s="21"/>
      <c r="B8752" s="22"/>
      <c r="C8752" s="21"/>
      <c r="D8752" s="21"/>
      <c r="E8752" s="21"/>
      <c r="F8752" s="21"/>
      <c r="G8752" s="25"/>
      <c r="H8752" s="24" t="str">
        <f>IFERROR(VLOOKUP(B8752,material!A:D,3,0),"")</f>
        <v/>
      </c>
    </row>
    <row r="8753" ht="11.25" customHeight="1">
      <c r="A8753" s="21"/>
      <c r="B8753" s="22"/>
      <c r="C8753" s="21"/>
      <c r="D8753" s="21"/>
      <c r="E8753" s="21"/>
      <c r="F8753" s="21"/>
      <c r="G8753" s="25"/>
      <c r="H8753" s="24" t="str">
        <f>IFERROR(VLOOKUP(B8753,material!A:D,3,0),"")</f>
        <v/>
      </c>
    </row>
    <row r="8754" ht="11.25" customHeight="1">
      <c r="A8754" s="21"/>
      <c r="B8754" s="22"/>
      <c r="C8754" s="21"/>
      <c r="D8754" s="21"/>
      <c r="E8754" s="21"/>
      <c r="F8754" s="21"/>
      <c r="G8754" s="25"/>
      <c r="H8754" s="24" t="str">
        <f>IFERROR(VLOOKUP(B8754,material!A:D,3,0),"")</f>
        <v/>
      </c>
    </row>
    <row r="8755" ht="11.25" customHeight="1">
      <c r="A8755" s="21"/>
      <c r="B8755" s="22"/>
      <c r="C8755" s="21"/>
      <c r="D8755" s="21"/>
      <c r="E8755" s="21"/>
      <c r="F8755" s="21"/>
      <c r="G8755" s="25"/>
      <c r="H8755" s="24" t="str">
        <f>IFERROR(VLOOKUP(B8755,material!A:D,3,0),"")</f>
        <v/>
      </c>
    </row>
    <row r="8756" ht="11.25" customHeight="1">
      <c r="A8756" s="21"/>
      <c r="B8756" s="22"/>
      <c r="C8756" s="21"/>
      <c r="D8756" s="21"/>
      <c r="E8756" s="21"/>
      <c r="F8756" s="21"/>
      <c r="G8756" s="25"/>
      <c r="H8756" s="24" t="str">
        <f>IFERROR(VLOOKUP(B8756,material!A:D,3,0),"")</f>
        <v/>
      </c>
    </row>
    <row r="8757" ht="11.25" customHeight="1">
      <c r="A8757" s="21"/>
      <c r="B8757" s="22"/>
      <c r="C8757" s="21"/>
      <c r="D8757" s="21"/>
      <c r="E8757" s="21"/>
      <c r="F8757" s="21"/>
      <c r="G8757" s="25"/>
      <c r="H8757" s="24" t="str">
        <f>IFERROR(VLOOKUP(B8757,material!A:D,3,0),"")</f>
        <v/>
      </c>
    </row>
    <row r="8758" ht="11.25" customHeight="1">
      <c r="A8758" s="21"/>
      <c r="B8758" s="22"/>
      <c r="C8758" s="21"/>
      <c r="D8758" s="21"/>
      <c r="E8758" s="21"/>
      <c r="F8758" s="21"/>
      <c r="G8758" s="25"/>
      <c r="H8758" s="24" t="str">
        <f>IFERROR(VLOOKUP(B8758,material!A:D,3,0),"")</f>
        <v/>
      </c>
    </row>
    <row r="8759" ht="11.25" customHeight="1">
      <c r="A8759" s="21"/>
      <c r="B8759" s="22"/>
      <c r="C8759" s="21"/>
      <c r="D8759" s="21"/>
      <c r="E8759" s="21"/>
      <c r="F8759" s="21"/>
      <c r="G8759" s="25"/>
      <c r="H8759" s="24" t="str">
        <f>IFERROR(VLOOKUP(B8759,material!A:D,3,0),"")</f>
        <v/>
      </c>
    </row>
    <row r="8760" ht="11.25" customHeight="1">
      <c r="A8760" s="21"/>
      <c r="B8760" s="22"/>
      <c r="C8760" s="21"/>
      <c r="D8760" s="21"/>
      <c r="E8760" s="21"/>
      <c r="F8760" s="21"/>
      <c r="G8760" s="25"/>
      <c r="H8760" s="24" t="str">
        <f>IFERROR(VLOOKUP(B8760,material!A:D,3,0),"")</f>
        <v/>
      </c>
    </row>
    <row r="8761" ht="11.25" customHeight="1">
      <c r="A8761" s="21"/>
      <c r="B8761" s="22"/>
      <c r="C8761" s="21"/>
      <c r="D8761" s="21"/>
      <c r="E8761" s="21"/>
      <c r="F8761" s="21"/>
      <c r="G8761" s="25"/>
      <c r="H8761" s="24" t="str">
        <f>IFERROR(VLOOKUP(B8761,material!A:D,3,0),"")</f>
        <v/>
      </c>
    </row>
    <row r="8762" ht="11.25" customHeight="1">
      <c r="A8762" s="21"/>
      <c r="B8762" s="22"/>
      <c r="C8762" s="21"/>
      <c r="D8762" s="21"/>
      <c r="E8762" s="21"/>
      <c r="F8762" s="21"/>
      <c r="G8762" s="25"/>
      <c r="H8762" s="24" t="str">
        <f>IFERROR(VLOOKUP(B8762,material!A:D,3,0),"")</f>
        <v/>
      </c>
    </row>
    <row r="8763" ht="11.25" customHeight="1">
      <c r="A8763" s="21"/>
      <c r="B8763" s="22"/>
      <c r="C8763" s="21"/>
      <c r="D8763" s="21"/>
      <c r="E8763" s="21"/>
      <c r="F8763" s="21"/>
      <c r="G8763" s="25"/>
      <c r="H8763" s="24" t="str">
        <f>IFERROR(VLOOKUP(B8763,material!A:D,3,0),"")</f>
        <v/>
      </c>
    </row>
    <row r="8764" ht="11.25" customHeight="1">
      <c r="A8764" s="21"/>
      <c r="B8764" s="22"/>
      <c r="C8764" s="21"/>
      <c r="D8764" s="21"/>
      <c r="E8764" s="21"/>
      <c r="F8764" s="21"/>
      <c r="G8764" s="25"/>
      <c r="H8764" s="24" t="str">
        <f>IFERROR(VLOOKUP(B8764,material!A:D,3,0),"")</f>
        <v/>
      </c>
    </row>
    <row r="8765" ht="11.25" customHeight="1">
      <c r="A8765" s="21"/>
      <c r="B8765" s="22"/>
      <c r="C8765" s="21"/>
      <c r="D8765" s="21"/>
      <c r="E8765" s="21"/>
      <c r="F8765" s="21"/>
      <c r="G8765" s="25"/>
      <c r="H8765" s="24" t="str">
        <f>IFERROR(VLOOKUP(B8765,material!A:D,3,0),"")</f>
        <v/>
      </c>
    </row>
    <row r="8766" ht="11.25" customHeight="1">
      <c r="A8766" s="21"/>
      <c r="B8766" s="22"/>
      <c r="C8766" s="21"/>
      <c r="D8766" s="21"/>
      <c r="E8766" s="21"/>
      <c r="F8766" s="21"/>
      <c r="G8766" s="25"/>
      <c r="H8766" s="24" t="str">
        <f>IFERROR(VLOOKUP(B8766,material!A:D,3,0),"")</f>
        <v/>
      </c>
    </row>
    <row r="8767" ht="11.25" customHeight="1">
      <c r="A8767" s="21"/>
      <c r="B8767" s="22"/>
      <c r="C8767" s="21"/>
      <c r="D8767" s="21"/>
      <c r="E8767" s="21"/>
      <c r="F8767" s="21"/>
      <c r="G8767" s="25"/>
      <c r="H8767" s="24" t="str">
        <f>IFERROR(VLOOKUP(B8767,material!A:D,3,0),"")</f>
        <v/>
      </c>
    </row>
    <row r="8768" ht="11.25" customHeight="1">
      <c r="A8768" s="21"/>
      <c r="B8768" s="22"/>
      <c r="C8768" s="21"/>
      <c r="D8768" s="21"/>
      <c r="E8768" s="21"/>
      <c r="F8768" s="21"/>
      <c r="G8768" s="25"/>
      <c r="H8768" s="24" t="str">
        <f>IFERROR(VLOOKUP(B8768,material!A:D,3,0),"")</f>
        <v/>
      </c>
    </row>
    <row r="8769" ht="11.25" customHeight="1">
      <c r="A8769" s="21"/>
      <c r="B8769" s="22"/>
      <c r="C8769" s="21"/>
      <c r="D8769" s="21"/>
      <c r="E8769" s="21"/>
      <c r="F8769" s="21"/>
      <c r="G8769" s="25"/>
      <c r="H8769" s="24" t="str">
        <f>IFERROR(VLOOKUP(B8769,material!A:D,3,0),"")</f>
        <v/>
      </c>
    </row>
    <row r="8770" ht="11.25" customHeight="1">
      <c r="A8770" s="21"/>
      <c r="B8770" s="22"/>
      <c r="C8770" s="21"/>
      <c r="D8770" s="21"/>
      <c r="E8770" s="21"/>
      <c r="F8770" s="21"/>
      <c r="G8770" s="25"/>
      <c r="H8770" s="24" t="str">
        <f>IFERROR(VLOOKUP(B8770,material!A:D,3,0),"")</f>
        <v/>
      </c>
    </row>
    <row r="8771" ht="11.25" customHeight="1">
      <c r="A8771" s="21"/>
      <c r="B8771" s="22"/>
      <c r="C8771" s="21"/>
      <c r="D8771" s="21"/>
      <c r="E8771" s="21"/>
      <c r="F8771" s="21"/>
      <c r="G8771" s="25"/>
      <c r="H8771" s="24" t="str">
        <f>IFERROR(VLOOKUP(B8771,material!A:D,3,0),"")</f>
        <v/>
      </c>
    </row>
    <row r="8772" ht="11.25" customHeight="1">
      <c r="A8772" s="21"/>
      <c r="B8772" s="22"/>
      <c r="C8772" s="21"/>
      <c r="D8772" s="21"/>
      <c r="E8772" s="21"/>
      <c r="F8772" s="21"/>
      <c r="G8772" s="25"/>
      <c r="H8772" s="24" t="str">
        <f>IFERROR(VLOOKUP(B8772,material!A:D,3,0),"")</f>
        <v/>
      </c>
    </row>
    <row r="8773" ht="11.25" customHeight="1">
      <c r="A8773" s="21"/>
      <c r="B8773" s="22"/>
      <c r="C8773" s="21"/>
      <c r="D8773" s="21"/>
      <c r="E8773" s="21"/>
      <c r="F8773" s="21"/>
      <c r="G8773" s="25"/>
      <c r="H8773" s="24" t="str">
        <f>IFERROR(VLOOKUP(B8773,material!A:D,3,0),"")</f>
        <v/>
      </c>
    </row>
    <row r="8774" ht="11.25" customHeight="1">
      <c r="A8774" s="21"/>
      <c r="B8774" s="22"/>
      <c r="C8774" s="21"/>
      <c r="D8774" s="21"/>
      <c r="E8774" s="21"/>
      <c r="F8774" s="21"/>
      <c r="G8774" s="25"/>
      <c r="H8774" s="24" t="str">
        <f>IFERROR(VLOOKUP(B8774,material!A:D,3,0),"")</f>
        <v/>
      </c>
    </row>
    <row r="8775" ht="11.25" customHeight="1">
      <c r="A8775" s="21"/>
      <c r="B8775" s="22"/>
      <c r="C8775" s="21"/>
      <c r="D8775" s="21"/>
      <c r="E8775" s="21"/>
      <c r="F8775" s="21"/>
      <c r="G8775" s="25"/>
      <c r="H8775" s="24" t="str">
        <f>IFERROR(VLOOKUP(B8775,material!A:D,3,0),"")</f>
        <v/>
      </c>
    </row>
    <row r="8776" ht="11.25" customHeight="1">
      <c r="A8776" s="21"/>
      <c r="B8776" s="22"/>
      <c r="C8776" s="21"/>
      <c r="D8776" s="21"/>
      <c r="E8776" s="21"/>
      <c r="F8776" s="21"/>
      <c r="G8776" s="25"/>
      <c r="H8776" s="24" t="str">
        <f>IFERROR(VLOOKUP(B8776,material!A:D,3,0),"")</f>
        <v/>
      </c>
    </row>
    <row r="8777" ht="11.25" customHeight="1">
      <c r="A8777" s="21"/>
      <c r="B8777" s="22"/>
      <c r="C8777" s="21"/>
      <c r="D8777" s="21"/>
      <c r="E8777" s="21"/>
      <c r="F8777" s="21"/>
      <c r="G8777" s="25"/>
      <c r="H8777" s="24" t="str">
        <f>IFERROR(VLOOKUP(B8777,material!A:D,3,0),"")</f>
        <v/>
      </c>
    </row>
    <row r="8778" ht="11.25" customHeight="1">
      <c r="A8778" s="21"/>
      <c r="B8778" s="22"/>
      <c r="C8778" s="21"/>
      <c r="D8778" s="21"/>
      <c r="E8778" s="21"/>
      <c r="F8778" s="21"/>
      <c r="G8778" s="25"/>
      <c r="H8778" s="24" t="str">
        <f>IFERROR(VLOOKUP(B8778,material!A:D,3,0),"")</f>
        <v/>
      </c>
    </row>
    <row r="8779" ht="11.25" customHeight="1">
      <c r="A8779" s="21"/>
      <c r="B8779" s="22"/>
      <c r="C8779" s="21"/>
      <c r="D8779" s="21"/>
      <c r="E8779" s="21"/>
      <c r="F8779" s="21"/>
      <c r="G8779" s="25"/>
      <c r="H8779" s="24" t="str">
        <f>IFERROR(VLOOKUP(B8779,material!A:D,3,0),"")</f>
        <v/>
      </c>
    </row>
    <row r="8780" ht="11.25" customHeight="1">
      <c r="A8780" s="21"/>
      <c r="B8780" s="22"/>
      <c r="C8780" s="21"/>
      <c r="D8780" s="21"/>
      <c r="E8780" s="21"/>
      <c r="F8780" s="21"/>
      <c r="G8780" s="25"/>
      <c r="H8780" s="24" t="str">
        <f>IFERROR(VLOOKUP(B8780,material!A:D,3,0),"")</f>
        <v/>
      </c>
    </row>
    <row r="8781" ht="11.25" customHeight="1">
      <c r="A8781" s="21"/>
      <c r="B8781" s="22"/>
      <c r="C8781" s="21"/>
      <c r="D8781" s="21"/>
      <c r="E8781" s="21"/>
      <c r="F8781" s="21"/>
      <c r="G8781" s="25"/>
      <c r="H8781" s="24" t="str">
        <f>IFERROR(VLOOKUP(B8781,material!A:D,3,0),"")</f>
        <v/>
      </c>
    </row>
    <row r="8782" ht="11.25" customHeight="1">
      <c r="A8782" s="21"/>
      <c r="B8782" s="22"/>
      <c r="C8782" s="21"/>
      <c r="D8782" s="21"/>
      <c r="E8782" s="21"/>
      <c r="F8782" s="21"/>
      <c r="G8782" s="25"/>
      <c r="H8782" s="24" t="str">
        <f>IFERROR(VLOOKUP(B8782,material!A:D,3,0),"")</f>
        <v/>
      </c>
    </row>
    <row r="8783" ht="11.25" customHeight="1">
      <c r="A8783" s="21"/>
      <c r="B8783" s="22"/>
      <c r="C8783" s="21"/>
      <c r="D8783" s="21"/>
      <c r="E8783" s="21"/>
      <c r="F8783" s="21"/>
      <c r="G8783" s="25"/>
      <c r="H8783" s="24" t="str">
        <f>IFERROR(VLOOKUP(B8783,material!A:D,3,0),"")</f>
        <v/>
      </c>
    </row>
    <row r="8784" ht="11.25" customHeight="1">
      <c r="A8784" s="21"/>
      <c r="B8784" s="22"/>
      <c r="C8784" s="21"/>
      <c r="D8784" s="21"/>
      <c r="E8784" s="21"/>
      <c r="F8784" s="21"/>
      <c r="G8784" s="25"/>
      <c r="H8784" s="24" t="str">
        <f>IFERROR(VLOOKUP(B8784,material!A:D,3,0),"")</f>
        <v/>
      </c>
    </row>
    <row r="8785" ht="11.25" customHeight="1">
      <c r="A8785" s="21"/>
      <c r="B8785" s="22"/>
      <c r="C8785" s="21"/>
      <c r="D8785" s="21"/>
      <c r="E8785" s="21"/>
      <c r="F8785" s="21"/>
      <c r="G8785" s="25"/>
      <c r="H8785" s="24" t="str">
        <f>IFERROR(VLOOKUP(B8785,material!A:D,3,0),"")</f>
        <v/>
      </c>
    </row>
    <row r="8786" ht="11.25" customHeight="1">
      <c r="A8786" s="21"/>
      <c r="B8786" s="22"/>
      <c r="C8786" s="21"/>
      <c r="D8786" s="21"/>
      <c r="E8786" s="21"/>
      <c r="F8786" s="21"/>
      <c r="G8786" s="25"/>
      <c r="H8786" s="24" t="str">
        <f>IFERROR(VLOOKUP(B8786,material!A:D,3,0),"")</f>
        <v/>
      </c>
    </row>
    <row r="8787" ht="11.25" customHeight="1">
      <c r="A8787" s="21"/>
      <c r="B8787" s="22"/>
      <c r="C8787" s="21"/>
      <c r="D8787" s="21"/>
      <c r="E8787" s="21"/>
      <c r="F8787" s="21"/>
      <c r="G8787" s="25"/>
      <c r="H8787" s="24" t="str">
        <f>IFERROR(VLOOKUP(B8787,material!A:D,3,0),"")</f>
        <v/>
      </c>
    </row>
    <row r="8788" ht="11.25" customHeight="1">
      <c r="A8788" s="21"/>
      <c r="B8788" s="22"/>
      <c r="C8788" s="21"/>
      <c r="D8788" s="21"/>
      <c r="E8788" s="21"/>
      <c r="F8788" s="21"/>
      <c r="G8788" s="25"/>
      <c r="H8788" s="24" t="str">
        <f>IFERROR(VLOOKUP(B8788,material!A:D,3,0),"")</f>
        <v/>
      </c>
    </row>
    <row r="8789" ht="11.25" customHeight="1">
      <c r="A8789" s="21"/>
      <c r="B8789" s="22"/>
      <c r="C8789" s="21"/>
      <c r="D8789" s="21"/>
      <c r="E8789" s="21"/>
      <c r="F8789" s="21"/>
      <c r="G8789" s="25"/>
      <c r="H8789" s="24" t="str">
        <f>IFERROR(VLOOKUP(B8789,material!A:D,3,0),"")</f>
        <v/>
      </c>
    </row>
    <row r="8790" ht="11.25" customHeight="1">
      <c r="A8790" s="21"/>
      <c r="B8790" s="22"/>
      <c r="C8790" s="21"/>
      <c r="D8790" s="21"/>
      <c r="E8790" s="21"/>
      <c r="F8790" s="21"/>
      <c r="G8790" s="25"/>
      <c r="H8790" s="24" t="str">
        <f>IFERROR(VLOOKUP(B8790,material!A:D,3,0),"")</f>
        <v/>
      </c>
    </row>
    <row r="8791" ht="11.25" customHeight="1">
      <c r="A8791" s="21"/>
      <c r="B8791" s="22"/>
      <c r="C8791" s="21"/>
      <c r="D8791" s="21"/>
      <c r="E8791" s="21"/>
      <c r="F8791" s="21"/>
      <c r="G8791" s="25"/>
      <c r="H8791" s="24" t="str">
        <f>IFERROR(VLOOKUP(B8791,material!A:D,3,0),"")</f>
        <v/>
      </c>
    </row>
    <row r="8792" ht="11.25" customHeight="1">
      <c r="A8792" s="21"/>
      <c r="B8792" s="22"/>
      <c r="C8792" s="21"/>
      <c r="D8792" s="21"/>
      <c r="E8792" s="21"/>
      <c r="F8792" s="21"/>
      <c r="G8792" s="25"/>
      <c r="H8792" s="24" t="str">
        <f>IFERROR(VLOOKUP(B8792,material!A:D,3,0),"")</f>
        <v/>
      </c>
    </row>
    <row r="8793" ht="11.25" customHeight="1">
      <c r="A8793" s="21"/>
      <c r="B8793" s="22"/>
      <c r="C8793" s="21"/>
      <c r="D8793" s="21"/>
      <c r="E8793" s="21"/>
      <c r="F8793" s="21"/>
      <c r="G8793" s="25"/>
      <c r="H8793" s="24" t="str">
        <f>IFERROR(VLOOKUP(B8793,material!A:D,3,0),"")</f>
        <v/>
      </c>
    </row>
    <row r="8794" ht="11.25" customHeight="1">
      <c r="A8794" s="21"/>
      <c r="B8794" s="22"/>
      <c r="C8794" s="21"/>
      <c r="D8794" s="21"/>
      <c r="E8794" s="21"/>
      <c r="F8794" s="21"/>
      <c r="G8794" s="25"/>
      <c r="H8794" s="24" t="str">
        <f>IFERROR(VLOOKUP(B8794,material!A:D,3,0),"")</f>
        <v/>
      </c>
    </row>
    <row r="8795" ht="11.25" customHeight="1">
      <c r="A8795" s="21"/>
      <c r="B8795" s="22"/>
      <c r="C8795" s="21"/>
      <c r="D8795" s="21"/>
      <c r="E8795" s="21"/>
      <c r="F8795" s="21"/>
      <c r="G8795" s="25"/>
      <c r="H8795" s="24" t="str">
        <f>IFERROR(VLOOKUP(B8795,material!A:D,3,0),"")</f>
        <v/>
      </c>
    </row>
    <row r="8796" ht="11.25" customHeight="1">
      <c r="A8796" s="21"/>
      <c r="B8796" s="22"/>
      <c r="C8796" s="21"/>
      <c r="D8796" s="21"/>
      <c r="E8796" s="21"/>
      <c r="F8796" s="21"/>
      <c r="G8796" s="25"/>
      <c r="H8796" s="24" t="str">
        <f>IFERROR(VLOOKUP(B8796,material!A:D,3,0),"")</f>
        <v/>
      </c>
    </row>
    <row r="8797" ht="11.25" customHeight="1">
      <c r="A8797" s="21"/>
      <c r="B8797" s="22"/>
      <c r="C8797" s="21"/>
      <c r="D8797" s="21"/>
      <c r="E8797" s="21"/>
      <c r="F8797" s="21"/>
      <c r="G8797" s="25"/>
      <c r="H8797" s="24" t="str">
        <f>IFERROR(VLOOKUP(B8797,material!A:D,3,0),"")</f>
        <v/>
      </c>
    </row>
    <row r="8798" ht="11.25" customHeight="1">
      <c r="A8798" s="21"/>
      <c r="B8798" s="22"/>
      <c r="C8798" s="21"/>
      <c r="D8798" s="21"/>
      <c r="E8798" s="21"/>
      <c r="F8798" s="21"/>
      <c r="G8798" s="25"/>
      <c r="H8798" s="24" t="str">
        <f>IFERROR(VLOOKUP(B8798,material!A:D,3,0),"")</f>
        <v/>
      </c>
    </row>
    <row r="8799" ht="11.25" customHeight="1">
      <c r="A8799" s="21"/>
      <c r="B8799" s="22"/>
      <c r="C8799" s="21"/>
      <c r="D8799" s="21"/>
      <c r="E8799" s="21"/>
      <c r="F8799" s="21"/>
      <c r="G8799" s="25"/>
      <c r="H8799" s="24" t="str">
        <f>IFERROR(VLOOKUP(B8799,material!A:D,3,0),"")</f>
        <v/>
      </c>
    </row>
    <row r="8800" ht="11.25" customHeight="1">
      <c r="A8800" s="21"/>
      <c r="B8800" s="22"/>
      <c r="C8800" s="21"/>
      <c r="D8800" s="21"/>
      <c r="E8800" s="21"/>
      <c r="F8800" s="21"/>
      <c r="G8800" s="25"/>
      <c r="H8800" s="24" t="str">
        <f>IFERROR(VLOOKUP(B8800,material!A:D,3,0),"")</f>
        <v/>
      </c>
    </row>
    <row r="8801" ht="11.25" customHeight="1">
      <c r="A8801" s="21"/>
      <c r="B8801" s="22"/>
      <c r="C8801" s="21"/>
      <c r="D8801" s="21"/>
      <c r="E8801" s="21"/>
      <c r="F8801" s="21"/>
      <c r="G8801" s="25"/>
      <c r="H8801" s="24" t="str">
        <f>IFERROR(VLOOKUP(B8801,material!A:D,3,0),"")</f>
        <v/>
      </c>
    </row>
    <row r="8802" ht="11.25" customHeight="1">
      <c r="A8802" s="21"/>
      <c r="B8802" s="22"/>
      <c r="C8802" s="21"/>
      <c r="D8802" s="21"/>
      <c r="E8802" s="21"/>
      <c r="F8802" s="21"/>
      <c r="G8802" s="25"/>
      <c r="H8802" s="24" t="str">
        <f>IFERROR(VLOOKUP(B8802,material!A:D,3,0),"")</f>
        <v/>
      </c>
    </row>
    <row r="8803" ht="11.25" customHeight="1">
      <c r="A8803" s="21"/>
      <c r="B8803" s="22"/>
      <c r="C8803" s="21"/>
      <c r="D8803" s="21"/>
      <c r="E8803" s="21"/>
      <c r="F8803" s="21"/>
      <c r="G8803" s="25"/>
      <c r="H8803" s="24" t="str">
        <f>IFERROR(VLOOKUP(B8803,material!A:D,3,0),"")</f>
        <v/>
      </c>
    </row>
    <row r="8804" ht="11.25" customHeight="1">
      <c r="A8804" s="21"/>
      <c r="B8804" s="22"/>
      <c r="C8804" s="21"/>
      <c r="D8804" s="21"/>
      <c r="E8804" s="21"/>
      <c r="F8804" s="21"/>
      <c r="G8804" s="25"/>
      <c r="H8804" s="24" t="str">
        <f>IFERROR(VLOOKUP(B8804,material!A:D,3,0),"")</f>
        <v/>
      </c>
    </row>
    <row r="8805" ht="11.25" customHeight="1">
      <c r="A8805" s="21"/>
      <c r="B8805" s="22"/>
      <c r="C8805" s="21"/>
      <c r="D8805" s="21"/>
      <c r="E8805" s="21"/>
      <c r="F8805" s="21"/>
      <c r="G8805" s="25"/>
      <c r="H8805" s="24" t="str">
        <f>IFERROR(VLOOKUP(B8805,material!A:D,3,0),"")</f>
        <v/>
      </c>
    </row>
    <row r="8806" ht="11.25" customHeight="1">
      <c r="A8806" s="21"/>
      <c r="B8806" s="22"/>
      <c r="C8806" s="21"/>
      <c r="D8806" s="21"/>
      <c r="E8806" s="21"/>
      <c r="F8806" s="21"/>
      <c r="G8806" s="25"/>
      <c r="H8806" s="24" t="str">
        <f>IFERROR(VLOOKUP(B8806,material!A:D,3,0),"")</f>
        <v/>
      </c>
    </row>
    <row r="8807" ht="11.25" customHeight="1">
      <c r="A8807" s="21"/>
      <c r="B8807" s="22"/>
      <c r="C8807" s="21"/>
      <c r="D8807" s="21"/>
      <c r="E8807" s="21"/>
      <c r="F8807" s="21"/>
      <c r="G8807" s="25"/>
      <c r="H8807" s="24" t="str">
        <f>IFERROR(VLOOKUP(B8807,material!A:D,3,0),"")</f>
        <v/>
      </c>
    </row>
    <row r="8808" ht="11.25" customHeight="1">
      <c r="A8808" s="21"/>
      <c r="B8808" s="22"/>
      <c r="C8808" s="21"/>
      <c r="D8808" s="21"/>
      <c r="E8808" s="21"/>
      <c r="F8808" s="21"/>
      <c r="G8808" s="25"/>
      <c r="H8808" s="24" t="str">
        <f>IFERROR(VLOOKUP(B8808,material!A:D,3,0),"")</f>
        <v/>
      </c>
    </row>
    <row r="8809" ht="11.25" customHeight="1">
      <c r="A8809" s="21"/>
      <c r="B8809" s="22"/>
      <c r="C8809" s="21"/>
      <c r="D8809" s="21"/>
      <c r="E8809" s="21"/>
      <c r="F8809" s="21"/>
      <c r="G8809" s="25"/>
      <c r="H8809" s="24" t="str">
        <f>IFERROR(VLOOKUP(B8809,material!A:D,3,0),"")</f>
        <v/>
      </c>
    </row>
    <row r="8810" ht="11.25" customHeight="1">
      <c r="A8810" s="21"/>
      <c r="B8810" s="22"/>
      <c r="C8810" s="21"/>
      <c r="D8810" s="21"/>
      <c r="E8810" s="21"/>
      <c r="F8810" s="21"/>
      <c r="G8810" s="25"/>
      <c r="H8810" s="24" t="str">
        <f>IFERROR(VLOOKUP(B8810,material!A:D,3,0),"")</f>
        <v/>
      </c>
    </row>
    <row r="8811" ht="11.25" customHeight="1">
      <c r="A8811" s="21"/>
      <c r="B8811" s="22"/>
      <c r="C8811" s="21"/>
      <c r="D8811" s="21"/>
      <c r="E8811" s="21"/>
      <c r="F8811" s="21"/>
      <c r="G8811" s="25"/>
      <c r="H8811" s="24" t="str">
        <f>IFERROR(VLOOKUP(B8811,material!A:D,3,0),"")</f>
        <v/>
      </c>
    </row>
    <row r="8812" ht="11.25" customHeight="1">
      <c r="A8812" s="21"/>
      <c r="B8812" s="22"/>
      <c r="C8812" s="21"/>
      <c r="D8812" s="21"/>
      <c r="E8812" s="21"/>
      <c r="F8812" s="21"/>
      <c r="G8812" s="25"/>
      <c r="H8812" s="24" t="str">
        <f>IFERROR(VLOOKUP(B8812,material!A:D,3,0),"")</f>
        <v/>
      </c>
    </row>
    <row r="8813" ht="11.25" customHeight="1">
      <c r="A8813" s="21"/>
      <c r="B8813" s="22"/>
      <c r="C8813" s="21"/>
      <c r="D8813" s="21"/>
      <c r="E8813" s="21"/>
      <c r="F8813" s="21"/>
      <c r="G8813" s="25"/>
      <c r="H8813" s="24" t="str">
        <f>IFERROR(VLOOKUP(B8813,material!A:D,3,0),"")</f>
        <v/>
      </c>
    </row>
    <row r="8814" ht="11.25" customHeight="1">
      <c r="A8814" s="21"/>
      <c r="B8814" s="22"/>
      <c r="C8814" s="21"/>
      <c r="D8814" s="21"/>
      <c r="E8814" s="21"/>
      <c r="F8814" s="21"/>
      <c r="G8814" s="25"/>
      <c r="H8814" s="24" t="str">
        <f>IFERROR(VLOOKUP(B8814,material!A:D,3,0),"")</f>
        <v/>
      </c>
    </row>
    <row r="8815" ht="11.25" customHeight="1">
      <c r="A8815" s="21"/>
      <c r="B8815" s="22"/>
      <c r="C8815" s="21"/>
      <c r="D8815" s="21"/>
      <c r="E8815" s="21"/>
      <c r="F8815" s="21"/>
      <c r="G8815" s="25"/>
      <c r="H8815" s="24" t="str">
        <f>IFERROR(VLOOKUP(B8815,material!A:D,3,0),"")</f>
        <v/>
      </c>
    </row>
    <row r="8816" ht="11.25" customHeight="1">
      <c r="A8816" s="21"/>
      <c r="B8816" s="22"/>
      <c r="C8816" s="21"/>
      <c r="D8816" s="21"/>
      <c r="E8816" s="21"/>
      <c r="F8816" s="21"/>
      <c r="G8816" s="25"/>
      <c r="H8816" s="24" t="str">
        <f>IFERROR(VLOOKUP(B8816,material!A:D,3,0),"")</f>
        <v/>
      </c>
    </row>
    <row r="8817" ht="11.25" customHeight="1">
      <c r="A8817" s="21"/>
      <c r="B8817" s="22"/>
      <c r="C8817" s="21"/>
      <c r="D8817" s="21"/>
      <c r="E8817" s="21"/>
      <c r="F8817" s="21"/>
      <c r="G8817" s="25"/>
      <c r="H8817" s="24" t="str">
        <f>IFERROR(VLOOKUP(B8817,material!A:D,3,0),"")</f>
        <v/>
      </c>
    </row>
    <row r="8818" ht="11.25" customHeight="1">
      <c r="A8818" s="21"/>
      <c r="B8818" s="22"/>
      <c r="C8818" s="21"/>
      <c r="D8818" s="21"/>
      <c r="E8818" s="21"/>
      <c r="F8818" s="21"/>
      <c r="G8818" s="25"/>
      <c r="H8818" s="24" t="str">
        <f>IFERROR(VLOOKUP(B8818,material!A:D,3,0),"")</f>
        <v/>
      </c>
    </row>
    <row r="8819" ht="11.25" customHeight="1">
      <c r="A8819" s="21"/>
      <c r="B8819" s="22"/>
      <c r="C8819" s="21"/>
      <c r="D8819" s="21"/>
      <c r="E8819" s="21"/>
      <c r="F8819" s="21"/>
      <c r="G8819" s="25"/>
      <c r="H8819" s="24" t="str">
        <f>IFERROR(VLOOKUP(B8819,material!A:D,3,0),"")</f>
        <v/>
      </c>
    </row>
    <row r="8820" ht="11.25" customHeight="1">
      <c r="A8820" s="21"/>
      <c r="B8820" s="22"/>
      <c r="C8820" s="21"/>
      <c r="D8820" s="21"/>
      <c r="E8820" s="21"/>
      <c r="F8820" s="21"/>
      <c r="G8820" s="25"/>
      <c r="H8820" s="24" t="str">
        <f>IFERROR(VLOOKUP(B8820,material!A:D,3,0),"")</f>
        <v/>
      </c>
    </row>
    <row r="8821" ht="11.25" customHeight="1">
      <c r="A8821" s="21"/>
      <c r="B8821" s="22"/>
      <c r="C8821" s="21"/>
      <c r="D8821" s="21"/>
      <c r="E8821" s="21"/>
      <c r="F8821" s="21"/>
      <c r="G8821" s="25"/>
      <c r="H8821" s="24" t="str">
        <f>IFERROR(VLOOKUP(B8821,material!A:D,3,0),"")</f>
        <v/>
      </c>
    </row>
    <row r="8822" ht="11.25" customHeight="1">
      <c r="A8822" s="21"/>
      <c r="B8822" s="22"/>
      <c r="C8822" s="21"/>
      <c r="D8822" s="21"/>
      <c r="E8822" s="21"/>
      <c r="F8822" s="21"/>
      <c r="G8822" s="25"/>
      <c r="H8822" s="24" t="str">
        <f>IFERROR(VLOOKUP(B8822,material!A:D,3,0),"")</f>
        <v/>
      </c>
    </row>
    <row r="8823" ht="11.25" customHeight="1">
      <c r="A8823" s="21"/>
      <c r="B8823" s="22"/>
      <c r="C8823" s="21"/>
      <c r="D8823" s="21"/>
      <c r="E8823" s="21"/>
      <c r="F8823" s="21"/>
      <c r="G8823" s="25"/>
      <c r="H8823" s="24" t="str">
        <f>IFERROR(VLOOKUP(B8823,material!A:D,3,0),"")</f>
        <v/>
      </c>
    </row>
    <row r="8824" ht="11.25" customHeight="1">
      <c r="A8824" s="21"/>
      <c r="B8824" s="22"/>
      <c r="C8824" s="21"/>
      <c r="D8824" s="21"/>
      <c r="E8824" s="21"/>
      <c r="F8824" s="21"/>
      <c r="G8824" s="25"/>
      <c r="H8824" s="24" t="str">
        <f>IFERROR(VLOOKUP(B8824,material!A:D,3,0),"")</f>
        <v/>
      </c>
    </row>
    <row r="8825" ht="11.25" customHeight="1">
      <c r="A8825" s="21"/>
      <c r="B8825" s="22"/>
      <c r="C8825" s="21"/>
      <c r="D8825" s="21"/>
      <c r="E8825" s="21"/>
      <c r="F8825" s="21"/>
      <c r="G8825" s="25"/>
      <c r="H8825" s="24" t="str">
        <f>IFERROR(VLOOKUP(B8825,material!A:D,3,0),"")</f>
        <v/>
      </c>
    </row>
    <row r="8826" ht="11.25" customHeight="1">
      <c r="A8826" s="21"/>
      <c r="B8826" s="22"/>
      <c r="C8826" s="21"/>
      <c r="D8826" s="21"/>
      <c r="E8826" s="21"/>
      <c r="F8826" s="21"/>
      <c r="G8826" s="25"/>
      <c r="H8826" s="24" t="str">
        <f>IFERROR(VLOOKUP(B8826,material!A:D,3,0),"")</f>
        <v/>
      </c>
    </row>
    <row r="8827" ht="11.25" customHeight="1">
      <c r="A8827" s="21"/>
      <c r="B8827" s="22"/>
      <c r="C8827" s="21"/>
      <c r="D8827" s="21"/>
      <c r="E8827" s="21"/>
      <c r="F8827" s="21"/>
      <c r="G8827" s="25"/>
      <c r="H8827" s="24" t="str">
        <f>IFERROR(VLOOKUP(B8827,material!A:D,3,0),"")</f>
        <v/>
      </c>
    </row>
    <row r="8828" ht="11.25" customHeight="1">
      <c r="A8828" s="21"/>
      <c r="B8828" s="22"/>
      <c r="C8828" s="21"/>
      <c r="D8828" s="21"/>
      <c r="E8828" s="21"/>
      <c r="F8828" s="21"/>
      <c r="G8828" s="25"/>
      <c r="H8828" s="24" t="str">
        <f>IFERROR(VLOOKUP(B8828,material!A:D,3,0),"")</f>
        <v/>
      </c>
    </row>
    <row r="8829" ht="11.25" customHeight="1">
      <c r="A8829" s="21"/>
      <c r="B8829" s="22"/>
      <c r="C8829" s="21"/>
      <c r="D8829" s="21"/>
      <c r="E8829" s="21"/>
      <c r="F8829" s="21"/>
      <c r="G8829" s="25"/>
      <c r="H8829" s="24" t="str">
        <f>IFERROR(VLOOKUP(B8829,material!A:D,3,0),"")</f>
        <v/>
      </c>
    </row>
    <row r="8830" ht="11.25" customHeight="1">
      <c r="A8830" s="21"/>
      <c r="B8830" s="22"/>
      <c r="C8830" s="21"/>
      <c r="D8830" s="21"/>
      <c r="E8830" s="21"/>
      <c r="F8830" s="21"/>
      <c r="G8830" s="25"/>
      <c r="H8830" s="24" t="str">
        <f>IFERROR(VLOOKUP(B8830,material!A:D,3,0),"")</f>
        <v/>
      </c>
    </row>
    <row r="8831" ht="11.25" customHeight="1">
      <c r="A8831" s="21"/>
      <c r="B8831" s="22"/>
      <c r="C8831" s="21"/>
      <c r="D8831" s="21"/>
      <c r="E8831" s="21"/>
      <c r="F8831" s="21"/>
      <c r="G8831" s="25"/>
      <c r="H8831" s="24" t="str">
        <f>IFERROR(VLOOKUP(B8831,material!A:D,3,0),"")</f>
        <v/>
      </c>
    </row>
    <row r="8832" ht="11.25" customHeight="1">
      <c r="A8832" s="21"/>
      <c r="B8832" s="22"/>
      <c r="C8832" s="21"/>
      <c r="D8832" s="21"/>
      <c r="E8832" s="21"/>
      <c r="F8832" s="21"/>
      <c r="G8832" s="25"/>
      <c r="H8832" s="24" t="str">
        <f>IFERROR(VLOOKUP(B8832,material!A:D,3,0),"")</f>
        <v/>
      </c>
    </row>
    <row r="8833" ht="11.25" customHeight="1">
      <c r="A8833" s="21"/>
      <c r="B8833" s="22"/>
      <c r="C8833" s="21"/>
      <c r="D8833" s="21"/>
      <c r="E8833" s="21"/>
      <c r="F8833" s="21"/>
      <c r="G8833" s="25"/>
      <c r="H8833" s="24" t="str">
        <f>IFERROR(VLOOKUP(B8833,material!A:D,3,0),"")</f>
        <v/>
      </c>
    </row>
    <row r="8834" ht="11.25" customHeight="1">
      <c r="A8834" s="21"/>
      <c r="B8834" s="22"/>
      <c r="C8834" s="21"/>
      <c r="D8834" s="21"/>
      <c r="E8834" s="21"/>
      <c r="F8834" s="21"/>
      <c r="G8834" s="25"/>
      <c r="H8834" s="24" t="str">
        <f>IFERROR(VLOOKUP(B8834,material!A:D,3,0),"")</f>
        <v/>
      </c>
    </row>
    <row r="8835" ht="11.25" customHeight="1">
      <c r="A8835" s="21"/>
      <c r="B8835" s="22"/>
      <c r="C8835" s="21"/>
      <c r="D8835" s="21"/>
      <c r="E8835" s="21"/>
      <c r="F8835" s="21"/>
      <c r="G8835" s="25"/>
      <c r="H8835" s="24" t="str">
        <f>IFERROR(VLOOKUP(B8835,material!A:D,3,0),"")</f>
        <v/>
      </c>
    </row>
    <row r="8836" ht="11.25" customHeight="1">
      <c r="A8836" s="21"/>
      <c r="B8836" s="22"/>
      <c r="C8836" s="21"/>
      <c r="D8836" s="21"/>
      <c r="E8836" s="21"/>
      <c r="F8836" s="21"/>
      <c r="G8836" s="25"/>
      <c r="H8836" s="24" t="str">
        <f>IFERROR(VLOOKUP(B8836,material!A:D,3,0),"")</f>
        <v/>
      </c>
    </row>
    <row r="8837" ht="11.25" customHeight="1">
      <c r="A8837" s="21"/>
      <c r="B8837" s="22"/>
      <c r="C8837" s="21"/>
      <c r="D8837" s="21"/>
      <c r="E8837" s="21"/>
      <c r="F8837" s="21"/>
      <c r="G8837" s="25"/>
      <c r="H8837" s="24" t="str">
        <f>IFERROR(VLOOKUP(B8837,material!A:D,3,0),"")</f>
        <v/>
      </c>
    </row>
    <row r="8838" ht="11.25" customHeight="1">
      <c r="A8838" s="21"/>
      <c r="B8838" s="22"/>
      <c r="C8838" s="21"/>
      <c r="D8838" s="21"/>
      <c r="E8838" s="21"/>
      <c r="F8838" s="21"/>
      <c r="G8838" s="25"/>
      <c r="H8838" s="24" t="str">
        <f>IFERROR(VLOOKUP(B8838,material!A:D,3,0),"")</f>
        <v/>
      </c>
    </row>
    <row r="8839" ht="11.25" customHeight="1">
      <c r="A8839" s="21"/>
      <c r="B8839" s="22"/>
      <c r="C8839" s="21"/>
      <c r="D8839" s="21"/>
      <c r="E8839" s="21"/>
      <c r="F8839" s="21"/>
      <c r="G8839" s="25"/>
      <c r="H8839" s="24" t="str">
        <f>IFERROR(VLOOKUP(B8839,material!A:D,3,0),"")</f>
        <v/>
      </c>
    </row>
    <row r="8840" ht="11.25" customHeight="1">
      <c r="A8840" s="21"/>
      <c r="B8840" s="22"/>
      <c r="C8840" s="21"/>
      <c r="D8840" s="21"/>
      <c r="E8840" s="21"/>
      <c r="F8840" s="21"/>
      <c r="G8840" s="25"/>
      <c r="H8840" s="24" t="str">
        <f>IFERROR(VLOOKUP(B8840,material!A:D,3,0),"")</f>
        <v/>
      </c>
    </row>
    <row r="8841" ht="11.25" customHeight="1">
      <c r="A8841" s="21"/>
      <c r="B8841" s="22"/>
      <c r="C8841" s="21"/>
      <c r="D8841" s="21"/>
      <c r="E8841" s="21"/>
      <c r="F8841" s="21"/>
      <c r="G8841" s="25"/>
      <c r="H8841" s="24" t="str">
        <f>IFERROR(VLOOKUP(B8841,material!A:D,3,0),"")</f>
        <v/>
      </c>
    </row>
    <row r="8842" ht="11.25" customHeight="1">
      <c r="A8842" s="21"/>
      <c r="B8842" s="22"/>
      <c r="C8842" s="21"/>
      <c r="D8842" s="21"/>
      <c r="E8842" s="21"/>
      <c r="F8842" s="21"/>
      <c r="G8842" s="25"/>
      <c r="H8842" s="24" t="str">
        <f>IFERROR(VLOOKUP(B8842,material!A:D,3,0),"")</f>
        <v/>
      </c>
    </row>
    <row r="8843" ht="11.25" customHeight="1">
      <c r="A8843" s="21"/>
      <c r="B8843" s="22"/>
      <c r="C8843" s="21"/>
      <c r="D8843" s="21"/>
      <c r="E8843" s="21"/>
      <c r="F8843" s="21"/>
      <c r="G8843" s="25"/>
      <c r="H8843" s="24" t="str">
        <f>IFERROR(VLOOKUP(B8843,material!A:D,3,0),"")</f>
        <v/>
      </c>
    </row>
    <row r="8844" ht="11.25" customHeight="1">
      <c r="A8844" s="21"/>
      <c r="B8844" s="22"/>
      <c r="C8844" s="21"/>
      <c r="D8844" s="21"/>
      <c r="E8844" s="21"/>
      <c r="F8844" s="21"/>
      <c r="G8844" s="25"/>
      <c r="H8844" s="24" t="str">
        <f>IFERROR(VLOOKUP(B8844,material!A:D,3,0),"")</f>
        <v/>
      </c>
    </row>
    <row r="8845" ht="11.25" customHeight="1">
      <c r="A8845" s="21"/>
      <c r="B8845" s="22"/>
      <c r="C8845" s="21"/>
      <c r="D8845" s="21"/>
      <c r="E8845" s="21"/>
      <c r="F8845" s="21"/>
      <c r="G8845" s="25"/>
      <c r="H8845" s="24" t="str">
        <f>IFERROR(VLOOKUP(B8845,material!A:D,3,0),"")</f>
        <v/>
      </c>
    </row>
    <row r="8846" ht="11.25" customHeight="1">
      <c r="A8846" s="21"/>
      <c r="B8846" s="22"/>
      <c r="C8846" s="21"/>
      <c r="D8846" s="21"/>
      <c r="E8846" s="21"/>
      <c r="F8846" s="21"/>
      <c r="G8846" s="25"/>
      <c r="H8846" s="24" t="str">
        <f>IFERROR(VLOOKUP(B8846,material!A:D,3,0),"")</f>
        <v/>
      </c>
    </row>
    <row r="8847" ht="11.25" customHeight="1">
      <c r="A8847" s="21"/>
      <c r="B8847" s="22"/>
      <c r="C8847" s="21"/>
      <c r="D8847" s="21"/>
      <c r="E8847" s="21"/>
      <c r="F8847" s="21"/>
      <c r="G8847" s="25"/>
      <c r="H8847" s="24" t="str">
        <f>IFERROR(VLOOKUP(B8847,material!A:D,3,0),"")</f>
        <v/>
      </c>
    </row>
    <row r="8848" ht="11.25" customHeight="1">
      <c r="A8848" s="21"/>
      <c r="B8848" s="22"/>
      <c r="C8848" s="21"/>
      <c r="D8848" s="21"/>
      <c r="E8848" s="21"/>
      <c r="F8848" s="21"/>
      <c r="G8848" s="25"/>
      <c r="H8848" s="24" t="str">
        <f>IFERROR(VLOOKUP(B8848,material!A:D,3,0),"")</f>
        <v/>
      </c>
    </row>
    <row r="8849" ht="11.25" customHeight="1">
      <c r="A8849" s="21"/>
      <c r="B8849" s="22"/>
      <c r="C8849" s="21"/>
      <c r="D8849" s="21"/>
      <c r="E8849" s="21"/>
      <c r="F8849" s="21"/>
      <c r="G8849" s="25"/>
      <c r="H8849" s="24" t="str">
        <f>IFERROR(VLOOKUP(B8849,material!A:D,3,0),"")</f>
        <v/>
      </c>
    </row>
    <row r="8850" ht="11.25" customHeight="1">
      <c r="A8850" s="21"/>
      <c r="B8850" s="22"/>
      <c r="C8850" s="21"/>
      <c r="D8850" s="21"/>
      <c r="E8850" s="21"/>
      <c r="F8850" s="21"/>
      <c r="G8850" s="25"/>
      <c r="H8850" s="24" t="str">
        <f>IFERROR(VLOOKUP(B8850,material!A:D,3,0),"")</f>
        <v/>
      </c>
    </row>
    <row r="8851" ht="11.25" customHeight="1">
      <c r="A8851" s="21"/>
      <c r="B8851" s="22"/>
      <c r="C8851" s="21"/>
      <c r="D8851" s="21"/>
      <c r="E8851" s="21"/>
      <c r="F8851" s="21"/>
      <c r="G8851" s="25"/>
      <c r="H8851" s="24" t="str">
        <f>IFERROR(VLOOKUP(B8851,material!A:D,3,0),"")</f>
        <v/>
      </c>
    </row>
    <row r="8852" ht="11.25" customHeight="1">
      <c r="A8852" s="21"/>
      <c r="B8852" s="22"/>
      <c r="C8852" s="21"/>
      <c r="D8852" s="21"/>
      <c r="E8852" s="21"/>
      <c r="F8852" s="21"/>
      <c r="G8852" s="25"/>
      <c r="H8852" s="24" t="str">
        <f>IFERROR(VLOOKUP(B8852,material!A:D,3,0),"")</f>
        <v/>
      </c>
    </row>
    <row r="8853" ht="11.25" customHeight="1">
      <c r="A8853" s="21"/>
      <c r="B8853" s="22"/>
      <c r="C8853" s="21"/>
      <c r="D8853" s="21"/>
      <c r="E8853" s="21"/>
      <c r="F8853" s="21"/>
      <c r="G8853" s="25"/>
      <c r="H8853" s="24" t="str">
        <f>IFERROR(VLOOKUP(B8853,material!A:D,3,0),"")</f>
        <v/>
      </c>
    </row>
    <row r="8854" ht="11.25" customHeight="1">
      <c r="A8854" s="21"/>
      <c r="B8854" s="22"/>
      <c r="C8854" s="21"/>
      <c r="D8854" s="21"/>
      <c r="E8854" s="21"/>
      <c r="F8854" s="21"/>
      <c r="G8854" s="25"/>
      <c r="H8854" s="24" t="str">
        <f>IFERROR(VLOOKUP(B8854,material!A:D,3,0),"")</f>
        <v/>
      </c>
    </row>
    <row r="8855" ht="11.25" customHeight="1">
      <c r="A8855" s="21"/>
      <c r="B8855" s="22"/>
      <c r="C8855" s="21"/>
      <c r="D8855" s="21"/>
      <c r="E8855" s="21"/>
      <c r="F8855" s="21"/>
      <c r="G8855" s="25"/>
      <c r="H8855" s="24" t="str">
        <f>IFERROR(VLOOKUP(B8855,material!A:D,3,0),"")</f>
        <v/>
      </c>
    </row>
    <row r="8856" ht="11.25" customHeight="1">
      <c r="A8856" s="21"/>
      <c r="B8856" s="22"/>
      <c r="C8856" s="21"/>
      <c r="D8856" s="21"/>
      <c r="E8856" s="21"/>
      <c r="F8856" s="21"/>
      <c r="G8856" s="25"/>
      <c r="H8856" s="24" t="str">
        <f>IFERROR(VLOOKUP(B8856,material!A:D,3,0),"")</f>
        <v/>
      </c>
    </row>
    <row r="8857" ht="11.25" customHeight="1">
      <c r="A8857" s="21"/>
      <c r="B8857" s="22"/>
      <c r="C8857" s="21"/>
      <c r="D8857" s="21"/>
      <c r="E8857" s="21"/>
      <c r="F8857" s="21"/>
      <c r="G8857" s="25"/>
      <c r="H8857" s="24" t="str">
        <f>IFERROR(VLOOKUP(B8857,material!A:D,3,0),"")</f>
        <v/>
      </c>
    </row>
    <row r="8858" ht="11.25" customHeight="1">
      <c r="A8858" s="21"/>
      <c r="B8858" s="22"/>
      <c r="C8858" s="21"/>
      <c r="D8858" s="21"/>
      <c r="E8858" s="21"/>
      <c r="F8858" s="21"/>
      <c r="G8858" s="25"/>
      <c r="H8858" s="24" t="str">
        <f>IFERROR(VLOOKUP(B8858,material!A:D,3,0),"")</f>
        <v/>
      </c>
    </row>
    <row r="8859" ht="11.25" customHeight="1">
      <c r="A8859" s="21"/>
      <c r="B8859" s="22"/>
      <c r="C8859" s="21"/>
      <c r="D8859" s="21"/>
      <c r="E8859" s="21"/>
      <c r="F8859" s="21"/>
      <c r="G8859" s="25"/>
      <c r="H8859" s="24" t="str">
        <f>IFERROR(VLOOKUP(B8859,material!A:D,3,0),"")</f>
        <v/>
      </c>
    </row>
    <row r="8860" ht="11.25" customHeight="1">
      <c r="A8860" s="21"/>
      <c r="B8860" s="22"/>
      <c r="C8860" s="21"/>
      <c r="D8860" s="21"/>
      <c r="E8860" s="21"/>
      <c r="F8860" s="21"/>
      <c r="G8860" s="25"/>
      <c r="H8860" s="24" t="str">
        <f>IFERROR(VLOOKUP(B8860,material!A:D,3,0),"")</f>
        <v/>
      </c>
    </row>
    <row r="8861" ht="11.25" customHeight="1">
      <c r="A8861" s="21"/>
      <c r="B8861" s="22"/>
      <c r="C8861" s="21"/>
      <c r="D8861" s="21"/>
      <c r="E8861" s="21"/>
      <c r="F8861" s="21"/>
      <c r="G8861" s="25"/>
      <c r="H8861" s="24" t="str">
        <f>IFERROR(VLOOKUP(B8861,material!A:D,3,0),"")</f>
        <v/>
      </c>
    </row>
    <row r="8862" ht="11.25" customHeight="1">
      <c r="A8862" s="21"/>
      <c r="B8862" s="22"/>
      <c r="C8862" s="21"/>
      <c r="D8862" s="21"/>
      <c r="E8862" s="21"/>
      <c r="F8862" s="21"/>
      <c r="G8862" s="25"/>
      <c r="H8862" s="24" t="str">
        <f>IFERROR(VLOOKUP(B8862,material!A:D,3,0),"")</f>
        <v/>
      </c>
    </row>
    <row r="8863" ht="11.25" customHeight="1">
      <c r="A8863" s="21"/>
      <c r="B8863" s="22"/>
      <c r="C8863" s="21"/>
      <c r="D8863" s="21"/>
      <c r="E8863" s="21"/>
      <c r="F8863" s="21"/>
      <c r="G8863" s="25"/>
      <c r="H8863" s="24" t="str">
        <f>IFERROR(VLOOKUP(B8863,material!A:D,3,0),"")</f>
        <v/>
      </c>
    </row>
    <row r="8864" ht="11.25" customHeight="1">
      <c r="A8864" s="21"/>
      <c r="B8864" s="22"/>
      <c r="C8864" s="21"/>
      <c r="D8864" s="21"/>
      <c r="E8864" s="21"/>
      <c r="F8864" s="21"/>
      <c r="G8864" s="25"/>
      <c r="H8864" s="24" t="str">
        <f>IFERROR(VLOOKUP(B8864,material!A:D,3,0),"")</f>
        <v/>
      </c>
    </row>
    <row r="8865" ht="11.25" customHeight="1">
      <c r="A8865" s="21"/>
      <c r="B8865" s="22"/>
      <c r="C8865" s="21"/>
      <c r="D8865" s="21"/>
      <c r="E8865" s="21"/>
      <c r="F8865" s="21"/>
      <c r="G8865" s="25"/>
      <c r="H8865" s="24" t="str">
        <f>IFERROR(VLOOKUP(B8865,material!A:D,3,0),"")</f>
        <v/>
      </c>
    </row>
    <row r="8866" ht="11.25" customHeight="1">
      <c r="A8866" s="21"/>
      <c r="B8866" s="22"/>
      <c r="C8866" s="21"/>
      <c r="D8866" s="21"/>
      <c r="E8866" s="21"/>
      <c r="F8866" s="21"/>
      <c r="G8866" s="25"/>
      <c r="H8866" s="24" t="str">
        <f>IFERROR(VLOOKUP(B8866,material!A:D,3,0),"")</f>
        <v/>
      </c>
    </row>
    <row r="8867" ht="11.25" customHeight="1">
      <c r="A8867" s="21"/>
      <c r="B8867" s="22"/>
      <c r="C8867" s="21"/>
      <c r="D8867" s="21"/>
      <c r="E8867" s="21"/>
      <c r="F8867" s="21"/>
      <c r="G8867" s="25"/>
      <c r="H8867" s="24" t="str">
        <f>IFERROR(VLOOKUP(B8867,material!A:D,3,0),"")</f>
        <v/>
      </c>
    </row>
    <row r="8868" ht="11.25" customHeight="1">
      <c r="A8868" s="21"/>
      <c r="B8868" s="22"/>
      <c r="C8868" s="21"/>
      <c r="D8868" s="21"/>
      <c r="E8868" s="21"/>
      <c r="F8868" s="21"/>
      <c r="G8868" s="25"/>
      <c r="H8868" s="24" t="str">
        <f>IFERROR(VLOOKUP(B8868,material!A:D,3,0),"")</f>
        <v/>
      </c>
    </row>
    <row r="8869" ht="11.25" customHeight="1">
      <c r="A8869" s="21"/>
      <c r="B8869" s="22"/>
      <c r="C8869" s="21"/>
      <c r="D8869" s="21"/>
      <c r="E8869" s="21"/>
      <c r="F8869" s="21"/>
      <c r="G8869" s="25"/>
      <c r="H8869" s="24" t="str">
        <f>IFERROR(VLOOKUP(B8869,material!A:D,3,0),"")</f>
        <v/>
      </c>
    </row>
    <row r="8870" ht="11.25" customHeight="1">
      <c r="A8870" s="21"/>
      <c r="B8870" s="22"/>
      <c r="C8870" s="21"/>
      <c r="D8870" s="21"/>
      <c r="E8870" s="21"/>
      <c r="F8870" s="21"/>
      <c r="G8870" s="25"/>
      <c r="H8870" s="24" t="str">
        <f>IFERROR(VLOOKUP(B8870,material!A:D,3,0),"")</f>
        <v/>
      </c>
    </row>
    <row r="8871" ht="11.25" customHeight="1">
      <c r="A8871" s="21"/>
      <c r="B8871" s="22"/>
      <c r="C8871" s="21"/>
      <c r="D8871" s="21"/>
      <c r="E8871" s="21"/>
      <c r="F8871" s="21"/>
      <c r="G8871" s="25"/>
      <c r="H8871" s="24" t="str">
        <f>IFERROR(VLOOKUP(B8871,material!A:D,3,0),"")</f>
        <v/>
      </c>
    </row>
    <row r="8872" ht="11.25" customHeight="1">
      <c r="A8872" s="21"/>
      <c r="B8872" s="22"/>
      <c r="C8872" s="21"/>
      <c r="D8872" s="21"/>
      <c r="E8872" s="21"/>
      <c r="F8872" s="21"/>
      <c r="G8872" s="25"/>
      <c r="H8872" s="24" t="str">
        <f>IFERROR(VLOOKUP(B8872,material!A:D,3,0),"")</f>
        <v/>
      </c>
    </row>
    <row r="8873" ht="11.25" customHeight="1">
      <c r="A8873" s="21"/>
      <c r="B8873" s="22"/>
      <c r="C8873" s="21"/>
      <c r="D8873" s="21"/>
      <c r="E8873" s="21"/>
      <c r="F8873" s="21"/>
      <c r="G8873" s="25"/>
      <c r="H8873" s="24" t="str">
        <f>IFERROR(VLOOKUP(B8873,material!A:D,3,0),"")</f>
        <v/>
      </c>
    </row>
    <row r="8874" ht="11.25" customHeight="1">
      <c r="A8874" s="21"/>
      <c r="B8874" s="22"/>
      <c r="C8874" s="21"/>
      <c r="D8874" s="21"/>
      <c r="E8874" s="21"/>
      <c r="F8874" s="21"/>
      <c r="G8874" s="25"/>
      <c r="H8874" s="24" t="str">
        <f>IFERROR(VLOOKUP(B8874,material!A:D,3,0),"")</f>
        <v/>
      </c>
    </row>
    <row r="8875" ht="11.25" customHeight="1">
      <c r="A8875" s="21"/>
      <c r="B8875" s="22"/>
      <c r="C8875" s="21"/>
      <c r="D8875" s="21"/>
      <c r="E8875" s="21"/>
      <c r="F8875" s="21"/>
      <c r="G8875" s="25"/>
      <c r="H8875" s="24" t="str">
        <f>IFERROR(VLOOKUP(B8875,material!A:D,3,0),"")</f>
        <v/>
      </c>
    </row>
    <row r="8876" ht="11.25" customHeight="1">
      <c r="A8876" s="21"/>
      <c r="B8876" s="22"/>
      <c r="C8876" s="21"/>
      <c r="D8876" s="21"/>
      <c r="E8876" s="21"/>
      <c r="F8876" s="21"/>
      <c r="G8876" s="25"/>
      <c r="H8876" s="24" t="str">
        <f>IFERROR(VLOOKUP(B8876,material!A:D,3,0),"")</f>
        <v/>
      </c>
    </row>
    <row r="8877" ht="11.25" customHeight="1">
      <c r="A8877" s="21"/>
      <c r="B8877" s="22"/>
      <c r="C8877" s="21"/>
      <c r="D8877" s="21"/>
      <c r="E8877" s="21"/>
      <c r="F8877" s="21"/>
      <c r="G8877" s="25"/>
      <c r="H8877" s="24" t="str">
        <f>IFERROR(VLOOKUP(B8877,material!A:D,3,0),"")</f>
        <v/>
      </c>
    </row>
    <row r="8878" ht="11.25" customHeight="1">
      <c r="A8878" s="21"/>
      <c r="B8878" s="22"/>
      <c r="C8878" s="21"/>
      <c r="D8878" s="21"/>
      <c r="E8878" s="21"/>
      <c r="F8878" s="21"/>
      <c r="G8878" s="25"/>
      <c r="H8878" s="24" t="str">
        <f>IFERROR(VLOOKUP(B8878,material!A:D,3,0),"")</f>
        <v/>
      </c>
    </row>
    <row r="8879" ht="11.25" customHeight="1">
      <c r="A8879" s="21"/>
      <c r="B8879" s="22"/>
      <c r="C8879" s="21"/>
      <c r="D8879" s="21"/>
      <c r="E8879" s="21"/>
      <c r="F8879" s="21"/>
      <c r="G8879" s="25"/>
      <c r="H8879" s="24" t="str">
        <f>IFERROR(VLOOKUP(B8879,material!A:D,3,0),"")</f>
        <v/>
      </c>
    </row>
    <row r="8880" ht="11.25" customHeight="1">
      <c r="A8880" s="21"/>
      <c r="B8880" s="22"/>
      <c r="C8880" s="21"/>
      <c r="D8880" s="21"/>
      <c r="E8880" s="21"/>
      <c r="F8880" s="21"/>
      <c r="G8880" s="25"/>
      <c r="H8880" s="24" t="str">
        <f>IFERROR(VLOOKUP(B8880,material!A:D,3,0),"")</f>
        <v/>
      </c>
    </row>
    <row r="8881" ht="11.25" customHeight="1">
      <c r="A8881" s="21"/>
      <c r="B8881" s="22"/>
      <c r="C8881" s="21"/>
      <c r="D8881" s="21"/>
      <c r="E8881" s="21"/>
      <c r="F8881" s="21"/>
      <c r="G8881" s="25"/>
      <c r="H8881" s="24" t="str">
        <f>IFERROR(VLOOKUP(B8881,material!A:D,3,0),"")</f>
        <v/>
      </c>
    </row>
    <row r="8882" ht="11.25" customHeight="1">
      <c r="A8882" s="21"/>
      <c r="B8882" s="22"/>
      <c r="C8882" s="21"/>
      <c r="D8882" s="21"/>
      <c r="E8882" s="21"/>
      <c r="F8882" s="21"/>
      <c r="G8882" s="25"/>
      <c r="H8882" s="24" t="str">
        <f>IFERROR(VLOOKUP(B8882,material!A:D,3,0),"")</f>
        <v/>
      </c>
    </row>
    <row r="8883" ht="11.25" customHeight="1">
      <c r="A8883" s="21"/>
      <c r="B8883" s="22"/>
      <c r="C8883" s="21"/>
      <c r="D8883" s="21"/>
      <c r="E8883" s="21"/>
      <c r="F8883" s="21"/>
      <c r="G8883" s="25"/>
      <c r="H8883" s="24" t="str">
        <f>IFERROR(VLOOKUP(B8883,material!A:D,3,0),"")</f>
        <v/>
      </c>
    </row>
    <row r="8884" ht="11.25" customHeight="1">
      <c r="A8884" s="21"/>
      <c r="B8884" s="22"/>
      <c r="C8884" s="21"/>
      <c r="D8884" s="21"/>
      <c r="E8884" s="21"/>
      <c r="F8884" s="21"/>
      <c r="G8884" s="25"/>
      <c r="H8884" s="24" t="str">
        <f>IFERROR(VLOOKUP(B8884,material!A:D,3,0),"")</f>
        <v/>
      </c>
    </row>
    <row r="8885" ht="11.25" customHeight="1">
      <c r="A8885" s="21"/>
      <c r="B8885" s="22"/>
      <c r="C8885" s="21"/>
      <c r="D8885" s="21"/>
      <c r="E8885" s="21"/>
      <c r="F8885" s="21"/>
      <c r="G8885" s="25"/>
      <c r="H8885" s="24" t="str">
        <f>IFERROR(VLOOKUP(B8885,material!A:D,3,0),"")</f>
        <v/>
      </c>
    </row>
    <row r="8886" ht="11.25" customHeight="1">
      <c r="A8886" s="21"/>
      <c r="B8886" s="22"/>
      <c r="C8886" s="21"/>
      <c r="D8886" s="21"/>
      <c r="E8886" s="21"/>
      <c r="F8886" s="21"/>
      <c r="G8886" s="25"/>
      <c r="H8886" s="24" t="str">
        <f>IFERROR(VLOOKUP(B8886,material!A:D,3,0),"")</f>
        <v/>
      </c>
    </row>
    <row r="8887" ht="11.25" customHeight="1">
      <c r="A8887" s="21"/>
      <c r="B8887" s="22"/>
      <c r="C8887" s="21"/>
      <c r="D8887" s="21"/>
      <c r="E8887" s="21"/>
      <c r="F8887" s="21"/>
      <c r="G8887" s="25"/>
      <c r="H8887" s="24" t="str">
        <f>IFERROR(VLOOKUP(B8887,material!A:D,3,0),"")</f>
        <v/>
      </c>
    </row>
    <row r="8888" ht="11.25" customHeight="1">
      <c r="A8888" s="21"/>
      <c r="B8888" s="22"/>
      <c r="C8888" s="21"/>
      <c r="D8888" s="21"/>
      <c r="E8888" s="21"/>
      <c r="F8888" s="21"/>
      <c r="G8888" s="25"/>
      <c r="H8888" s="24" t="str">
        <f>IFERROR(VLOOKUP(B8888,material!A:D,3,0),"")</f>
        <v/>
      </c>
    </row>
    <row r="8889" ht="11.25" customHeight="1">
      <c r="A8889" s="21"/>
      <c r="B8889" s="22"/>
      <c r="C8889" s="21"/>
      <c r="D8889" s="21"/>
      <c r="E8889" s="21"/>
      <c r="F8889" s="21"/>
      <c r="G8889" s="25"/>
      <c r="H8889" s="24" t="str">
        <f>IFERROR(VLOOKUP(B8889,material!A:D,3,0),"")</f>
        <v/>
      </c>
    </row>
    <row r="8890" ht="11.25" customHeight="1">
      <c r="A8890" s="21"/>
      <c r="B8890" s="22"/>
      <c r="C8890" s="21"/>
      <c r="D8890" s="21"/>
      <c r="E8890" s="21"/>
      <c r="F8890" s="21"/>
      <c r="G8890" s="25"/>
      <c r="H8890" s="24" t="str">
        <f>IFERROR(VLOOKUP(B8890,material!A:D,3,0),"")</f>
        <v/>
      </c>
    </row>
    <row r="8891" ht="11.25" customHeight="1">
      <c r="A8891" s="21"/>
      <c r="B8891" s="22"/>
      <c r="C8891" s="21"/>
      <c r="D8891" s="21"/>
      <c r="E8891" s="21"/>
      <c r="F8891" s="21"/>
      <c r="G8891" s="25"/>
      <c r="H8891" s="24" t="str">
        <f>IFERROR(VLOOKUP(B8891,material!A:D,3,0),"")</f>
        <v/>
      </c>
    </row>
    <row r="8892" ht="11.25" customHeight="1">
      <c r="A8892" s="21"/>
      <c r="B8892" s="22"/>
      <c r="C8892" s="21"/>
      <c r="D8892" s="21"/>
      <c r="E8892" s="21"/>
      <c r="F8892" s="21"/>
      <c r="G8892" s="25"/>
      <c r="H8892" s="24" t="str">
        <f>IFERROR(VLOOKUP(B8892,material!A:D,3,0),"")</f>
        <v/>
      </c>
    </row>
    <row r="8893" ht="11.25" customHeight="1">
      <c r="A8893" s="21"/>
      <c r="B8893" s="22"/>
      <c r="C8893" s="21"/>
      <c r="D8893" s="21"/>
      <c r="E8893" s="21"/>
      <c r="F8893" s="21"/>
      <c r="G8893" s="25"/>
      <c r="H8893" s="24" t="str">
        <f>IFERROR(VLOOKUP(B8893,material!A:D,3,0),"")</f>
        <v/>
      </c>
    </row>
    <row r="8894" ht="11.25" customHeight="1">
      <c r="A8894" s="21"/>
      <c r="B8894" s="22"/>
      <c r="C8894" s="21"/>
      <c r="D8894" s="21"/>
      <c r="E8894" s="21"/>
      <c r="F8894" s="21"/>
      <c r="G8894" s="25"/>
      <c r="H8894" s="24" t="str">
        <f>IFERROR(VLOOKUP(B8894,material!A:D,3,0),"")</f>
        <v/>
      </c>
    </row>
    <row r="8895" ht="11.25" customHeight="1">
      <c r="A8895" s="21"/>
      <c r="B8895" s="22"/>
      <c r="C8895" s="21"/>
      <c r="D8895" s="21"/>
      <c r="E8895" s="21"/>
      <c r="F8895" s="21"/>
      <c r="G8895" s="25"/>
      <c r="H8895" s="24" t="str">
        <f>IFERROR(VLOOKUP(B8895,material!A:D,3,0),"")</f>
        <v/>
      </c>
    </row>
    <row r="8896" ht="11.25" customHeight="1">
      <c r="A8896" s="21"/>
      <c r="B8896" s="22"/>
      <c r="C8896" s="21"/>
      <c r="D8896" s="21"/>
      <c r="E8896" s="21"/>
      <c r="F8896" s="21"/>
      <c r="G8896" s="25"/>
      <c r="H8896" s="24" t="str">
        <f>IFERROR(VLOOKUP(B8896,material!A:D,3,0),"")</f>
        <v/>
      </c>
    </row>
    <row r="8897" ht="11.25" customHeight="1">
      <c r="A8897" s="21"/>
      <c r="B8897" s="22"/>
      <c r="C8897" s="21"/>
      <c r="D8897" s="21"/>
      <c r="E8897" s="21"/>
      <c r="F8897" s="21"/>
      <c r="G8897" s="25"/>
      <c r="H8897" s="24" t="str">
        <f>IFERROR(VLOOKUP(B8897,material!A:D,3,0),"")</f>
        <v/>
      </c>
    </row>
    <row r="8898" ht="11.25" customHeight="1">
      <c r="A8898" s="21"/>
      <c r="B8898" s="22"/>
      <c r="C8898" s="21"/>
      <c r="D8898" s="21"/>
      <c r="E8898" s="21"/>
      <c r="F8898" s="21"/>
      <c r="G8898" s="25"/>
      <c r="H8898" s="24" t="str">
        <f>IFERROR(VLOOKUP(B8898,material!A:D,3,0),"")</f>
        <v/>
      </c>
    </row>
    <row r="8899" ht="11.25" customHeight="1">
      <c r="A8899" s="21"/>
      <c r="B8899" s="22"/>
      <c r="C8899" s="21"/>
      <c r="D8899" s="21"/>
      <c r="E8899" s="21"/>
      <c r="F8899" s="21"/>
      <c r="G8899" s="25"/>
      <c r="H8899" s="24" t="str">
        <f>IFERROR(VLOOKUP(B8899,material!A:D,3,0),"")</f>
        <v/>
      </c>
    </row>
    <row r="8900" ht="11.25" customHeight="1">
      <c r="A8900" s="21"/>
      <c r="B8900" s="22"/>
      <c r="C8900" s="21"/>
      <c r="D8900" s="21"/>
      <c r="E8900" s="21"/>
      <c r="F8900" s="21"/>
      <c r="G8900" s="25"/>
      <c r="H8900" s="24" t="str">
        <f>IFERROR(VLOOKUP(B8900,material!A:D,3,0),"")</f>
        <v/>
      </c>
    </row>
    <row r="8901" ht="11.25" customHeight="1">
      <c r="A8901" s="21"/>
      <c r="B8901" s="22"/>
      <c r="C8901" s="21"/>
      <c r="D8901" s="21"/>
      <c r="E8901" s="21"/>
      <c r="F8901" s="21"/>
      <c r="G8901" s="25"/>
      <c r="H8901" s="24" t="str">
        <f>IFERROR(VLOOKUP(B8901,material!A:D,3,0),"")</f>
        <v/>
      </c>
    </row>
    <row r="8902" ht="11.25" customHeight="1">
      <c r="A8902" s="21"/>
      <c r="B8902" s="22"/>
      <c r="C8902" s="21"/>
      <c r="D8902" s="21"/>
      <c r="E8902" s="21"/>
      <c r="F8902" s="21"/>
      <c r="G8902" s="25"/>
      <c r="H8902" s="24" t="str">
        <f>IFERROR(VLOOKUP(B8902,material!A:D,3,0),"")</f>
        <v/>
      </c>
    </row>
    <row r="8903" ht="11.25" customHeight="1">
      <c r="A8903" s="21"/>
      <c r="B8903" s="22"/>
      <c r="C8903" s="21"/>
      <c r="D8903" s="21"/>
      <c r="E8903" s="21"/>
      <c r="F8903" s="21"/>
      <c r="G8903" s="25"/>
      <c r="H8903" s="24" t="str">
        <f>IFERROR(VLOOKUP(B8903,material!A:D,3,0),"")</f>
        <v/>
      </c>
    </row>
    <row r="8904" ht="11.25" customHeight="1">
      <c r="A8904" s="21"/>
      <c r="B8904" s="22"/>
      <c r="C8904" s="21"/>
      <c r="D8904" s="21"/>
      <c r="E8904" s="21"/>
      <c r="F8904" s="21"/>
      <c r="G8904" s="25"/>
      <c r="H8904" s="24" t="str">
        <f>IFERROR(VLOOKUP(B8904,material!A:D,3,0),"")</f>
        <v/>
      </c>
    </row>
    <row r="8905" ht="11.25" customHeight="1">
      <c r="A8905" s="21"/>
      <c r="B8905" s="22"/>
      <c r="C8905" s="21"/>
      <c r="D8905" s="21"/>
      <c r="E8905" s="21"/>
      <c r="F8905" s="21"/>
      <c r="G8905" s="25"/>
      <c r="H8905" s="24" t="str">
        <f>IFERROR(VLOOKUP(B8905,material!A:D,3,0),"")</f>
        <v/>
      </c>
    </row>
    <row r="8906" ht="11.25" customHeight="1">
      <c r="A8906" s="21"/>
      <c r="B8906" s="22"/>
      <c r="C8906" s="21"/>
      <c r="D8906" s="21"/>
      <c r="E8906" s="21"/>
      <c r="F8906" s="21"/>
      <c r="G8906" s="25"/>
      <c r="H8906" s="24" t="str">
        <f>IFERROR(VLOOKUP(B8906,material!A:D,3,0),"")</f>
        <v/>
      </c>
    </row>
    <row r="8907" ht="11.25" customHeight="1">
      <c r="A8907" s="21"/>
      <c r="B8907" s="22"/>
      <c r="C8907" s="21"/>
      <c r="D8907" s="21"/>
      <c r="E8907" s="21"/>
      <c r="F8907" s="21"/>
      <c r="G8907" s="25"/>
      <c r="H8907" s="24" t="str">
        <f>IFERROR(VLOOKUP(B8907,material!A:D,3,0),"")</f>
        <v/>
      </c>
    </row>
    <row r="8908" ht="11.25" customHeight="1">
      <c r="A8908" s="21"/>
      <c r="B8908" s="22"/>
      <c r="C8908" s="21"/>
      <c r="D8908" s="21"/>
      <c r="E8908" s="21"/>
      <c r="F8908" s="21"/>
      <c r="G8908" s="25"/>
      <c r="H8908" s="24" t="str">
        <f>IFERROR(VLOOKUP(B8908,material!A:D,3,0),"")</f>
        <v/>
      </c>
    </row>
    <row r="8909" ht="11.25" customHeight="1">
      <c r="A8909" s="21"/>
      <c r="B8909" s="22"/>
      <c r="C8909" s="21"/>
      <c r="D8909" s="21"/>
      <c r="E8909" s="21"/>
      <c r="F8909" s="21"/>
      <c r="G8909" s="25"/>
      <c r="H8909" s="24" t="str">
        <f>IFERROR(VLOOKUP(B8909,material!A:D,3,0),"")</f>
        <v/>
      </c>
    </row>
    <row r="8910" ht="11.25" customHeight="1">
      <c r="A8910" s="21"/>
      <c r="B8910" s="22"/>
      <c r="C8910" s="21"/>
      <c r="D8910" s="21"/>
      <c r="E8910" s="21"/>
      <c r="F8910" s="21"/>
      <c r="G8910" s="25"/>
      <c r="H8910" s="24" t="str">
        <f>IFERROR(VLOOKUP(B8910,material!A:D,3,0),"")</f>
        <v/>
      </c>
    </row>
    <row r="8911" ht="11.25" customHeight="1">
      <c r="A8911" s="21"/>
      <c r="B8911" s="22"/>
      <c r="C8911" s="21"/>
      <c r="D8911" s="21"/>
      <c r="E8911" s="21"/>
      <c r="F8911" s="21"/>
      <c r="G8911" s="25"/>
      <c r="H8911" s="24" t="str">
        <f>IFERROR(VLOOKUP(B8911,material!A:D,3,0),"")</f>
        <v/>
      </c>
    </row>
    <row r="8912" ht="11.25" customHeight="1">
      <c r="A8912" s="21"/>
      <c r="B8912" s="22"/>
      <c r="C8912" s="21"/>
      <c r="D8912" s="21"/>
      <c r="E8912" s="21"/>
      <c r="F8912" s="21"/>
      <c r="G8912" s="25"/>
      <c r="H8912" s="24" t="str">
        <f>IFERROR(VLOOKUP(B8912,material!A:D,3,0),"")</f>
        <v/>
      </c>
    </row>
    <row r="8913" ht="11.25" customHeight="1">
      <c r="A8913" s="21"/>
      <c r="B8913" s="22"/>
      <c r="C8913" s="21"/>
      <c r="D8913" s="21"/>
      <c r="E8913" s="21"/>
      <c r="F8913" s="21"/>
      <c r="G8913" s="25"/>
      <c r="H8913" s="24" t="str">
        <f>IFERROR(VLOOKUP(B8913,material!A:D,3,0),"")</f>
        <v/>
      </c>
    </row>
    <row r="8914" ht="11.25" customHeight="1">
      <c r="A8914" s="21"/>
      <c r="B8914" s="22"/>
      <c r="C8914" s="21"/>
      <c r="D8914" s="21"/>
      <c r="E8914" s="21"/>
      <c r="F8914" s="21"/>
      <c r="G8914" s="25"/>
      <c r="H8914" s="24" t="str">
        <f>IFERROR(VLOOKUP(B8914,material!A:D,3,0),"")</f>
        <v/>
      </c>
    </row>
    <row r="8915" ht="11.25" customHeight="1">
      <c r="A8915" s="21"/>
      <c r="B8915" s="22"/>
      <c r="C8915" s="21"/>
      <c r="D8915" s="21"/>
      <c r="E8915" s="21"/>
      <c r="F8915" s="21"/>
      <c r="G8915" s="25"/>
      <c r="H8915" s="24" t="str">
        <f>IFERROR(VLOOKUP(B8915,material!A:D,3,0),"")</f>
        <v/>
      </c>
    </row>
    <row r="8916" ht="11.25" customHeight="1">
      <c r="A8916" s="21"/>
      <c r="B8916" s="22"/>
      <c r="C8916" s="21"/>
      <c r="D8916" s="21"/>
      <c r="E8916" s="21"/>
      <c r="F8916" s="21"/>
      <c r="G8916" s="25"/>
      <c r="H8916" s="24" t="str">
        <f>IFERROR(VLOOKUP(B8916,material!A:D,3,0),"")</f>
        <v/>
      </c>
    </row>
    <row r="8917" ht="11.25" customHeight="1">
      <c r="A8917" s="21"/>
      <c r="B8917" s="22"/>
      <c r="C8917" s="21"/>
      <c r="D8917" s="21"/>
      <c r="E8917" s="21"/>
      <c r="F8917" s="21"/>
      <c r="G8917" s="25"/>
      <c r="H8917" s="24" t="str">
        <f>IFERROR(VLOOKUP(B8917,material!A:D,3,0),"")</f>
        <v/>
      </c>
    </row>
    <row r="8918" ht="11.25" customHeight="1">
      <c r="A8918" s="21"/>
      <c r="B8918" s="22"/>
      <c r="C8918" s="21"/>
      <c r="D8918" s="21"/>
      <c r="E8918" s="21"/>
      <c r="F8918" s="21"/>
      <c r="G8918" s="25"/>
      <c r="H8918" s="24" t="str">
        <f>IFERROR(VLOOKUP(B8918,material!A:D,3,0),"")</f>
        <v/>
      </c>
    </row>
    <row r="8919" ht="11.25" customHeight="1">
      <c r="A8919" s="21"/>
      <c r="B8919" s="22"/>
      <c r="C8919" s="21"/>
      <c r="D8919" s="21"/>
      <c r="E8919" s="21"/>
      <c r="F8919" s="21"/>
      <c r="G8919" s="25"/>
      <c r="H8919" s="24" t="str">
        <f>IFERROR(VLOOKUP(B8919,material!A:D,3,0),"")</f>
        <v/>
      </c>
    </row>
    <row r="8920" ht="11.25" customHeight="1">
      <c r="A8920" s="21"/>
      <c r="B8920" s="22"/>
      <c r="C8920" s="21"/>
      <c r="D8920" s="21"/>
      <c r="E8920" s="21"/>
      <c r="F8920" s="21"/>
      <c r="G8920" s="25"/>
      <c r="H8920" s="24" t="str">
        <f>IFERROR(VLOOKUP(B8920,material!A:D,3,0),"")</f>
        <v/>
      </c>
    </row>
    <row r="8921" ht="11.25" customHeight="1">
      <c r="A8921" s="21"/>
      <c r="B8921" s="22"/>
      <c r="C8921" s="21"/>
      <c r="D8921" s="21"/>
      <c r="E8921" s="21"/>
      <c r="F8921" s="21"/>
      <c r="G8921" s="25"/>
      <c r="H8921" s="24" t="str">
        <f>IFERROR(VLOOKUP(B8921,material!A:D,3,0),"")</f>
        <v/>
      </c>
    </row>
    <row r="8922" ht="11.25" customHeight="1">
      <c r="A8922" s="21"/>
      <c r="B8922" s="22"/>
      <c r="C8922" s="21"/>
      <c r="D8922" s="21"/>
      <c r="E8922" s="21"/>
      <c r="F8922" s="21"/>
      <c r="G8922" s="25"/>
      <c r="H8922" s="24" t="str">
        <f>IFERROR(VLOOKUP(B8922,material!A:D,3,0),"")</f>
        <v/>
      </c>
    </row>
    <row r="8923" ht="11.25" customHeight="1">
      <c r="A8923" s="21"/>
      <c r="B8923" s="22"/>
      <c r="C8923" s="21"/>
      <c r="D8923" s="21"/>
      <c r="E8923" s="21"/>
      <c r="F8923" s="21"/>
      <c r="G8923" s="25"/>
      <c r="H8923" s="24" t="str">
        <f>IFERROR(VLOOKUP(B8923,material!A:D,3,0),"")</f>
        <v/>
      </c>
    </row>
    <row r="8924" ht="11.25" customHeight="1">
      <c r="A8924" s="21"/>
      <c r="B8924" s="22"/>
      <c r="C8924" s="21"/>
      <c r="D8924" s="21"/>
      <c r="E8924" s="21"/>
      <c r="F8924" s="21"/>
      <c r="G8924" s="25"/>
      <c r="H8924" s="24" t="str">
        <f>IFERROR(VLOOKUP(B8924,material!A:D,3,0),"")</f>
        <v/>
      </c>
    </row>
    <row r="8925" ht="11.25" customHeight="1">
      <c r="A8925" s="21"/>
      <c r="B8925" s="22"/>
      <c r="C8925" s="21"/>
      <c r="D8925" s="21"/>
      <c r="E8925" s="21"/>
      <c r="F8925" s="21"/>
      <c r="G8925" s="25"/>
      <c r="H8925" s="24" t="str">
        <f>IFERROR(VLOOKUP(B8925,material!A:D,3,0),"")</f>
        <v/>
      </c>
    </row>
    <row r="8926" ht="11.25" customHeight="1">
      <c r="A8926" s="21"/>
      <c r="B8926" s="22"/>
      <c r="C8926" s="21"/>
      <c r="D8926" s="21"/>
      <c r="E8926" s="21"/>
      <c r="F8926" s="21"/>
      <c r="G8926" s="25"/>
      <c r="H8926" s="24" t="str">
        <f>IFERROR(VLOOKUP(B8926,material!A:D,3,0),"")</f>
        <v/>
      </c>
    </row>
    <row r="8927" ht="11.25" customHeight="1">
      <c r="A8927" s="21"/>
      <c r="B8927" s="22"/>
      <c r="C8927" s="21"/>
      <c r="D8927" s="21"/>
      <c r="E8927" s="21"/>
      <c r="F8927" s="21"/>
      <c r="G8927" s="25"/>
      <c r="H8927" s="24" t="str">
        <f>IFERROR(VLOOKUP(B8927,material!A:D,3,0),"")</f>
        <v/>
      </c>
    </row>
    <row r="8928" ht="11.25" customHeight="1">
      <c r="A8928" s="21"/>
      <c r="B8928" s="22"/>
      <c r="C8928" s="21"/>
      <c r="D8928" s="21"/>
      <c r="E8928" s="21"/>
      <c r="F8928" s="21"/>
      <c r="G8928" s="25"/>
      <c r="H8928" s="24" t="str">
        <f>IFERROR(VLOOKUP(B8928,material!A:D,3,0),"")</f>
        <v/>
      </c>
    </row>
    <row r="8929" ht="11.25" customHeight="1">
      <c r="A8929" s="21"/>
      <c r="B8929" s="22"/>
      <c r="C8929" s="21"/>
      <c r="D8929" s="21"/>
      <c r="E8929" s="21"/>
      <c r="F8929" s="21"/>
      <c r="G8929" s="25"/>
      <c r="H8929" s="24" t="str">
        <f>IFERROR(VLOOKUP(B8929,material!A:D,3,0),"")</f>
        <v/>
      </c>
    </row>
    <row r="8930" ht="11.25" customHeight="1">
      <c r="A8930" s="21"/>
      <c r="B8930" s="22"/>
      <c r="C8930" s="21"/>
      <c r="D8930" s="21"/>
      <c r="E8930" s="21"/>
      <c r="F8930" s="21"/>
      <c r="G8930" s="25"/>
      <c r="H8930" s="24" t="str">
        <f>IFERROR(VLOOKUP(B8930,material!A:D,3,0),"")</f>
        <v/>
      </c>
    </row>
    <row r="8931" ht="11.25" customHeight="1">
      <c r="A8931" s="21"/>
      <c r="B8931" s="22"/>
      <c r="C8931" s="21"/>
      <c r="D8931" s="21"/>
      <c r="E8931" s="21"/>
      <c r="F8931" s="21"/>
      <c r="G8931" s="25"/>
      <c r="H8931" s="24" t="str">
        <f>IFERROR(VLOOKUP(B8931,material!A:D,3,0),"")</f>
        <v/>
      </c>
    </row>
    <row r="8932" ht="11.25" customHeight="1">
      <c r="A8932" s="21"/>
      <c r="B8932" s="22"/>
      <c r="C8932" s="21"/>
      <c r="D8932" s="21"/>
      <c r="E8932" s="21"/>
      <c r="F8932" s="21"/>
      <c r="G8932" s="25"/>
      <c r="H8932" s="24" t="str">
        <f>IFERROR(VLOOKUP(B8932,material!A:D,3,0),"")</f>
        <v/>
      </c>
    </row>
    <row r="8933" ht="11.25" customHeight="1">
      <c r="A8933" s="21"/>
      <c r="B8933" s="22"/>
      <c r="C8933" s="21"/>
      <c r="D8933" s="21"/>
      <c r="E8933" s="21"/>
      <c r="F8933" s="21"/>
      <c r="G8933" s="25"/>
      <c r="H8933" s="24" t="str">
        <f>IFERROR(VLOOKUP(B8933,material!A:D,3,0),"")</f>
        <v/>
      </c>
    </row>
    <row r="8934" ht="11.25" customHeight="1">
      <c r="A8934" s="21"/>
      <c r="B8934" s="22"/>
      <c r="C8934" s="21"/>
      <c r="D8934" s="21"/>
      <c r="E8934" s="21"/>
      <c r="F8934" s="21"/>
      <c r="G8934" s="25"/>
      <c r="H8934" s="24" t="str">
        <f>IFERROR(VLOOKUP(B8934,material!A:D,3,0),"")</f>
        <v/>
      </c>
    </row>
    <row r="8935" ht="11.25" customHeight="1">
      <c r="A8935" s="21"/>
      <c r="B8935" s="22"/>
      <c r="C8935" s="21"/>
      <c r="D8935" s="21"/>
      <c r="E8935" s="21"/>
      <c r="F8935" s="21"/>
      <c r="G8935" s="25"/>
      <c r="H8935" s="24" t="str">
        <f>IFERROR(VLOOKUP(B8935,material!A:D,3,0),"")</f>
        <v/>
      </c>
    </row>
    <row r="8936" ht="11.25" customHeight="1">
      <c r="A8936" s="21"/>
      <c r="B8936" s="22"/>
      <c r="C8936" s="21"/>
      <c r="D8936" s="21"/>
      <c r="E8936" s="21"/>
      <c r="F8936" s="21"/>
      <c r="G8936" s="25"/>
      <c r="H8936" s="24" t="str">
        <f>IFERROR(VLOOKUP(B8936,material!A:D,3,0),"")</f>
        <v/>
      </c>
    </row>
    <row r="8937" ht="11.25" customHeight="1">
      <c r="A8937" s="21"/>
      <c r="B8937" s="22"/>
      <c r="C8937" s="21"/>
      <c r="D8937" s="21"/>
      <c r="E8937" s="21"/>
      <c r="F8937" s="21"/>
      <c r="G8937" s="25"/>
      <c r="H8937" s="24" t="str">
        <f>IFERROR(VLOOKUP(B8937,material!A:D,3,0),"")</f>
        <v/>
      </c>
    </row>
    <row r="8938" ht="11.25" customHeight="1">
      <c r="A8938" s="21"/>
      <c r="B8938" s="22"/>
      <c r="C8938" s="21"/>
      <c r="D8938" s="21"/>
      <c r="E8938" s="21"/>
      <c r="F8938" s="21"/>
      <c r="G8938" s="25"/>
      <c r="H8938" s="24" t="str">
        <f>IFERROR(VLOOKUP(B8938,material!A:D,3,0),"")</f>
        <v/>
      </c>
    </row>
    <row r="8939" ht="11.25" customHeight="1">
      <c r="A8939" s="21"/>
      <c r="B8939" s="22"/>
      <c r="C8939" s="21"/>
      <c r="D8939" s="21"/>
      <c r="E8939" s="21"/>
      <c r="F8939" s="21"/>
      <c r="G8939" s="25"/>
      <c r="H8939" s="24" t="str">
        <f>IFERROR(VLOOKUP(B8939,material!A:D,3,0),"")</f>
        <v/>
      </c>
    </row>
    <row r="8940" ht="11.25" customHeight="1">
      <c r="A8940" s="21"/>
      <c r="B8940" s="22"/>
      <c r="C8940" s="21"/>
      <c r="D8940" s="21"/>
      <c r="E8940" s="21"/>
      <c r="F8940" s="21"/>
      <c r="G8940" s="25"/>
      <c r="H8940" s="24" t="str">
        <f>IFERROR(VLOOKUP(B8940,material!A:D,3,0),"")</f>
        <v/>
      </c>
    </row>
    <row r="8941" ht="11.25" customHeight="1">
      <c r="A8941" s="21"/>
      <c r="B8941" s="22"/>
      <c r="C8941" s="21"/>
      <c r="D8941" s="21"/>
      <c r="E8941" s="21"/>
      <c r="F8941" s="21"/>
      <c r="G8941" s="25"/>
      <c r="H8941" s="24" t="str">
        <f>IFERROR(VLOOKUP(B8941,material!A:D,3,0),"")</f>
        <v/>
      </c>
    </row>
    <row r="8942" ht="11.25" customHeight="1">
      <c r="A8942" s="21"/>
      <c r="B8942" s="22"/>
      <c r="C8942" s="21"/>
      <c r="D8942" s="21"/>
      <c r="E8942" s="21"/>
      <c r="F8942" s="21"/>
      <c r="G8942" s="25"/>
      <c r="H8942" s="24" t="str">
        <f>IFERROR(VLOOKUP(B8942,material!A:D,3,0),"")</f>
        <v/>
      </c>
    </row>
    <row r="8943" ht="11.25" customHeight="1">
      <c r="A8943" s="21"/>
      <c r="B8943" s="22"/>
      <c r="C8943" s="21"/>
      <c r="D8943" s="21"/>
      <c r="E8943" s="21"/>
      <c r="F8943" s="21"/>
      <c r="G8943" s="25"/>
      <c r="H8943" s="24" t="str">
        <f>IFERROR(VLOOKUP(B8943,material!A:D,3,0),"")</f>
        <v/>
      </c>
    </row>
    <row r="8944" ht="11.25" customHeight="1">
      <c r="A8944" s="21"/>
      <c r="B8944" s="22"/>
      <c r="C8944" s="21"/>
      <c r="D8944" s="21"/>
      <c r="E8944" s="21"/>
      <c r="F8944" s="21"/>
      <c r="G8944" s="25"/>
      <c r="H8944" s="24" t="str">
        <f>IFERROR(VLOOKUP(B8944,material!A:D,3,0),"")</f>
        <v/>
      </c>
    </row>
    <row r="8945" ht="11.25" customHeight="1">
      <c r="A8945" s="21"/>
      <c r="B8945" s="22"/>
      <c r="C8945" s="21"/>
      <c r="D8945" s="21"/>
      <c r="E8945" s="21"/>
      <c r="F8945" s="21"/>
      <c r="G8945" s="25"/>
      <c r="H8945" s="24" t="str">
        <f>IFERROR(VLOOKUP(B8945,material!A:D,3,0),"")</f>
        <v/>
      </c>
    </row>
    <row r="8946" ht="11.25" customHeight="1">
      <c r="A8946" s="21"/>
      <c r="B8946" s="22"/>
      <c r="C8946" s="21"/>
      <c r="D8946" s="21"/>
      <c r="E8946" s="21"/>
      <c r="F8946" s="21"/>
      <c r="G8946" s="25"/>
      <c r="H8946" s="24" t="str">
        <f>IFERROR(VLOOKUP(B8946,material!A:D,3,0),"")</f>
        <v/>
      </c>
    </row>
    <row r="8947" ht="11.25" customHeight="1">
      <c r="A8947" s="21"/>
      <c r="B8947" s="22"/>
      <c r="C8947" s="21"/>
      <c r="D8947" s="21"/>
      <c r="E8947" s="21"/>
      <c r="F8947" s="21"/>
      <c r="G8947" s="25"/>
      <c r="H8947" s="24" t="str">
        <f>IFERROR(VLOOKUP(B8947,material!A:D,3,0),"")</f>
        <v/>
      </c>
    </row>
    <row r="8948" ht="11.25" customHeight="1">
      <c r="A8948" s="21"/>
      <c r="B8948" s="22"/>
      <c r="C8948" s="21"/>
      <c r="D8948" s="21"/>
      <c r="E8948" s="21"/>
      <c r="F8948" s="21"/>
      <c r="G8948" s="25"/>
      <c r="H8948" s="24" t="str">
        <f>IFERROR(VLOOKUP(B8948,material!A:D,3,0),"")</f>
        <v/>
      </c>
    </row>
    <row r="8949" ht="11.25" customHeight="1">
      <c r="A8949" s="21"/>
      <c r="B8949" s="22"/>
      <c r="C8949" s="21"/>
      <c r="D8949" s="21"/>
      <c r="E8949" s="21"/>
      <c r="F8949" s="21"/>
      <c r="G8949" s="25"/>
      <c r="H8949" s="24" t="str">
        <f>IFERROR(VLOOKUP(B8949,material!A:D,3,0),"")</f>
        <v/>
      </c>
    </row>
    <row r="8950" ht="11.25" customHeight="1">
      <c r="A8950" s="21"/>
      <c r="B8950" s="22"/>
      <c r="C8950" s="21"/>
      <c r="D8950" s="21"/>
      <c r="E8950" s="21"/>
      <c r="F8950" s="21"/>
      <c r="G8950" s="25"/>
      <c r="H8950" s="24" t="str">
        <f>IFERROR(VLOOKUP(B8950,material!A:D,3,0),"")</f>
        <v/>
      </c>
    </row>
    <row r="8951" ht="11.25" customHeight="1">
      <c r="A8951" s="21"/>
      <c r="B8951" s="22"/>
      <c r="C8951" s="21"/>
      <c r="D8951" s="21"/>
      <c r="E8951" s="21"/>
      <c r="F8951" s="21"/>
      <c r="G8951" s="25"/>
      <c r="H8951" s="24" t="str">
        <f>IFERROR(VLOOKUP(B8951,material!A:D,3,0),"")</f>
        <v/>
      </c>
    </row>
    <row r="8952" ht="11.25" customHeight="1">
      <c r="A8952" s="21"/>
      <c r="B8952" s="22"/>
      <c r="C8952" s="21"/>
      <c r="D8952" s="21"/>
      <c r="E8952" s="21"/>
      <c r="F8952" s="21"/>
      <c r="G8952" s="25"/>
      <c r="H8952" s="24" t="str">
        <f>IFERROR(VLOOKUP(B8952,material!A:D,3,0),"")</f>
        <v/>
      </c>
    </row>
    <row r="8953" ht="11.25" customHeight="1">
      <c r="A8953" s="21"/>
      <c r="B8953" s="22"/>
      <c r="C8953" s="21"/>
      <c r="D8953" s="21"/>
      <c r="E8953" s="21"/>
      <c r="F8953" s="21"/>
      <c r="G8953" s="25"/>
      <c r="H8953" s="24" t="str">
        <f>IFERROR(VLOOKUP(B8953,material!A:D,3,0),"")</f>
        <v/>
      </c>
    </row>
    <row r="8954" ht="11.25" customHeight="1">
      <c r="A8954" s="21"/>
      <c r="B8954" s="22"/>
      <c r="C8954" s="21"/>
      <c r="D8954" s="21"/>
      <c r="E8954" s="21"/>
      <c r="F8954" s="21"/>
      <c r="G8954" s="25"/>
      <c r="H8954" s="24" t="str">
        <f>IFERROR(VLOOKUP(B8954,material!A:D,3,0),"")</f>
        <v/>
      </c>
    </row>
    <row r="8955" ht="11.25" customHeight="1">
      <c r="A8955" s="21"/>
      <c r="B8955" s="22"/>
      <c r="C8955" s="21"/>
      <c r="D8955" s="21"/>
      <c r="E8955" s="21"/>
      <c r="F8955" s="21"/>
      <c r="G8955" s="25"/>
      <c r="H8955" s="24" t="str">
        <f>IFERROR(VLOOKUP(B8955,material!A:D,3,0),"")</f>
        <v/>
      </c>
    </row>
    <row r="8956" ht="11.25" customHeight="1">
      <c r="A8956" s="21"/>
      <c r="B8956" s="22"/>
      <c r="C8956" s="21"/>
      <c r="D8956" s="21"/>
      <c r="E8956" s="21"/>
      <c r="F8956" s="21"/>
      <c r="G8956" s="25"/>
      <c r="H8956" s="24" t="str">
        <f>IFERROR(VLOOKUP(B8956,material!A:D,3,0),"")</f>
        <v/>
      </c>
    </row>
    <row r="8957" ht="11.25" customHeight="1">
      <c r="A8957" s="21"/>
      <c r="B8957" s="22"/>
      <c r="C8957" s="21"/>
      <c r="D8957" s="21"/>
      <c r="E8957" s="21"/>
      <c r="F8957" s="21"/>
      <c r="G8957" s="25"/>
      <c r="H8957" s="24" t="str">
        <f>IFERROR(VLOOKUP(B8957,material!A:D,3,0),"")</f>
        <v/>
      </c>
    </row>
    <row r="8958" ht="11.25" customHeight="1">
      <c r="A8958" s="21"/>
      <c r="B8958" s="22"/>
      <c r="C8958" s="21"/>
      <c r="D8958" s="21"/>
      <c r="E8958" s="21"/>
      <c r="F8958" s="21"/>
      <c r="G8958" s="25"/>
      <c r="H8958" s="24" t="str">
        <f>IFERROR(VLOOKUP(B8958,material!A:D,3,0),"")</f>
        <v/>
      </c>
    </row>
    <row r="8959" ht="11.25" customHeight="1">
      <c r="A8959" s="21"/>
      <c r="B8959" s="22"/>
      <c r="C8959" s="21"/>
      <c r="D8959" s="21"/>
      <c r="E8959" s="21"/>
      <c r="F8959" s="21"/>
      <c r="G8959" s="25"/>
      <c r="H8959" s="24" t="str">
        <f>IFERROR(VLOOKUP(B8959,material!A:D,3,0),"")</f>
        <v/>
      </c>
    </row>
    <row r="8960" ht="11.25" customHeight="1">
      <c r="A8960" s="21"/>
      <c r="B8960" s="22"/>
      <c r="C8960" s="21"/>
      <c r="D8960" s="21"/>
      <c r="E8960" s="21"/>
      <c r="F8960" s="21"/>
      <c r="G8960" s="25"/>
      <c r="H8960" s="24" t="str">
        <f>IFERROR(VLOOKUP(B8960,material!A:D,3,0),"")</f>
        <v/>
      </c>
    </row>
    <row r="8961" ht="11.25" customHeight="1">
      <c r="A8961" s="21"/>
      <c r="B8961" s="22"/>
      <c r="C8961" s="21"/>
      <c r="D8961" s="21"/>
      <c r="E8961" s="21"/>
      <c r="F8961" s="21"/>
      <c r="G8961" s="25"/>
      <c r="H8961" s="24" t="str">
        <f>IFERROR(VLOOKUP(B8961,material!A:D,3,0),"")</f>
        <v/>
      </c>
    </row>
    <row r="8962" ht="11.25" customHeight="1">
      <c r="A8962" s="21"/>
      <c r="B8962" s="22"/>
      <c r="C8962" s="21"/>
      <c r="D8962" s="21"/>
      <c r="E8962" s="21"/>
      <c r="F8962" s="21"/>
      <c r="G8962" s="25"/>
      <c r="H8962" s="24" t="str">
        <f>IFERROR(VLOOKUP(B8962,material!A:D,3,0),"")</f>
        <v/>
      </c>
    </row>
    <row r="8963" ht="11.25" customHeight="1">
      <c r="A8963" s="21"/>
      <c r="B8963" s="22"/>
      <c r="C8963" s="21"/>
      <c r="D8963" s="21"/>
      <c r="E8963" s="21"/>
      <c r="F8963" s="21"/>
      <c r="G8963" s="25"/>
      <c r="H8963" s="24" t="str">
        <f>IFERROR(VLOOKUP(B8963,material!A:D,3,0),"")</f>
        <v/>
      </c>
    </row>
    <row r="8964" ht="11.25" customHeight="1">
      <c r="A8964" s="21"/>
      <c r="B8964" s="22"/>
      <c r="C8964" s="21"/>
      <c r="D8964" s="21"/>
      <c r="E8964" s="21"/>
      <c r="F8964" s="21"/>
      <c r="G8964" s="25"/>
      <c r="H8964" s="24" t="str">
        <f>IFERROR(VLOOKUP(B8964,material!A:D,3,0),"")</f>
        <v/>
      </c>
    </row>
    <row r="8965" ht="11.25" customHeight="1">
      <c r="A8965" s="21"/>
      <c r="B8965" s="22"/>
      <c r="C8965" s="21"/>
      <c r="D8965" s="21"/>
      <c r="E8965" s="21"/>
      <c r="F8965" s="21"/>
      <c r="G8965" s="25"/>
      <c r="H8965" s="24" t="str">
        <f>IFERROR(VLOOKUP(B8965,material!A:D,3,0),"")</f>
        <v/>
      </c>
    </row>
    <row r="8966" ht="11.25" customHeight="1">
      <c r="A8966" s="21"/>
      <c r="B8966" s="22"/>
      <c r="C8966" s="21"/>
      <c r="D8966" s="21"/>
      <c r="E8966" s="21"/>
      <c r="F8966" s="21"/>
      <c r="G8966" s="25"/>
      <c r="H8966" s="24" t="str">
        <f>IFERROR(VLOOKUP(B8966,material!A:D,3,0),"")</f>
        <v/>
      </c>
    </row>
    <row r="8967" ht="11.25" customHeight="1">
      <c r="A8967" s="21"/>
      <c r="B8967" s="22"/>
      <c r="C8967" s="21"/>
      <c r="D8967" s="21"/>
      <c r="E8967" s="21"/>
      <c r="F8967" s="21"/>
      <c r="G8967" s="25"/>
      <c r="H8967" s="24" t="str">
        <f>IFERROR(VLOOKUP(B8967,material!A:D,3,0),"")</f>
        <v/>
      </c>
    </row>
    <row r="8968" ht="11.25" customHeight="1">
      <c r="A8968" s="21"/>
      <c r="B8968" s="22"/>
      <c r="C8968" s="21"/>
      <c r="D8968" s="21"/>
      <c r="E8968" s="21"/>
      <c r="F8968" s="21"/>
      <c r="G8968" s="25"/>
      <c r="H8968" s="24" t="str">
        <f>IFERROR(VLOOKUP(B8968,material!A:D,3,0),"")</f>
        <v/>
      </c>
    </row>
    <row r="8969" ht="11.25" customHeight="1">
      <c r="A8969" s="21"/>
      <c r="B8969" s="22"/>
      <c r="C8969" s="21"/>
      <c r="D8969" s="21"/>
      <c r="E8969" s="21"/>
      <c r="F8969" s="21"/>
      <c r="G8969" s="25"/>
      <c r="H8969" s="24" t="str">
        <f>IFERROR(VLOOKUP(B8969,material!A:D,3,0),"")</f>
        <v/>
      </c>
    </row>
    <row r="8970" ht="11.25" customHeight="1">
      <c r="A8970" s="21"/>
      <c r="B8970" s="22"/>
      <c r="C8970" s="21"/>
      <c r="D8970" s="21"/>
      <c r="E8970" s="21"/>
      <c r="F8970" s="21"/>
      <c r="G8970" s="25"/>
      <c r="H8970" s="24" t="str">
        <f>IFERROR(VLOOKUP(B8970,material!A:D,3,0),"")</f>
        <v/>
      </c>
    </row>
    <row r="8971" ht="11.25" customHeight="1">
      <c r="A8971" s="21"/>
      <c r="B8971" s="22"/>
      <c r="C8971" s="21"/>
      <c r="D8971" s="21"/>
      <c r="E8971" s="21"/>
      <c r="F8971" s="21"/>
      <c r="G8971" s="25"/>
      <c r="H8971" s="24" t="str">
        <f>IFERROR(VLOOKUP(B8971,material!A:D,3,0),"")</f>
        <v/>
      </c>
    </row>
    <row r="8972" ht="11.25" customHeight="1">
      <c r="A8972" s="21"/>
      <c r="B8972" s="22"/>
      <c r="C8972" s="21"/>
      <c r="D8972" s="21"/>
      <c r="E8972" s="21"/>
      <c r="F8972" s="21"/>
      <c r="G8972" s="25"/>
      <c r="H8972" s="24" t="str">
        <f>IFERROR(VLOOKUP(B8972,material!A:D,3,0),"")</f>
        <v/>
      </c>
    </row>
    <row r="8973" ht="11.25" customHeight="1">
      <c r="A8973" s="21"/>
      <c r="B8973" s="22"/>
      <c r="C8973" s="21"/>
      <c r="D8973" s="21"/>
      <c r="E8973" s="21"/>
      <c r="F8973" s="21"/>
      <c r="G8973" s="25"/>
      <c r="H8973" s="24" t="str">
        <f>IFERROR(VLOOKUP(B8973,material!A:D,3,0),"")</f>
        <v/>
      </c>
    </row>
    <row r="8974" ht="11.25" customHeight="1">
      <c r="A8974" s="21"/>
      <c r="B8974" s="22"/>
      <c r="C8974" s="21"/>
      <c r="D8974" s="21"/>
      <c r="E8974" s="21"/>
      <c r="F8974" s="21"/>
      <c r="G8974" s="25"/>
      <c r="H8974" s="24" t="str">
        <f>IFERROR(VLOOKUP(B8974,material!A:D,3,0),"")</f>
        <v/>
      </c>
    </row>
    <row r="8975" ht="11.25" customHeight="1">
      <c r="A8975" s="21"/>
      <c r="B8975" s="22"/>
      <c r="C8975" s="21"/>
      <c r="D8975" s="21"/>
      <c r="E8975" s="21"/>
      <c r="F8975" s="21"/>
      <c r="G8975" s="25"/>
      <c r="H8975" s="24" t="str">
        <f>IFERROR(VLOOKUP(B8975,material!A:D,3,0),"")</f>
        <v/>
      </c>
    </row>
    <row r="8976" ht="11.25" customHeight="1">
      <c r="A8976" s="21"/>
      <c r="B8976" s="22"/>
      <c r="C8976" s="21"/>
      <c r="D8976" s="21"/>
      <c r="E8976" s="21"/>
      <c r="F8976" s="21"/>
      <c r="G8976" s="25"/>
      <c r="H8976" s="24" t="str">
        <f>IFERROR(VLOOKUP(B8976,material!A:D,3,0),"")</f>
        <v/>
      </c>
    </row>
    <row r="8977" ht="11.25" customHeight="1">
      <c r="A8977" s="21"/>
      <c r="B8977" s="22"/>
      <c r="C8977" s="21"/>
      <c r="D8977" s="21"/>
      <c r="E8977" s="21"/>
      <c r="F8977" s="21"/>
      <c r="G8977" s="25"/>
      <c r="H8977" s="24" t="str">
        <f>IFERROR(VLOOKUP(B8977,material!A:D,3,0),"")</f>
        <v/>
      </c>
    </row>
    <row r="8978" ht="11.25" customHeight="1">
      <c r="A8978" s="21"/>
      <c r="B8978" s="22"/>
      <c r="C8978" s="21"/>
      <c r="D8978" s="21"/>
      <c r="E8978" s="21"/>
      <c r="F8978" s="21"/>
      <c r="G8978" s="25"/>
      <c r="H8978" s="24" t="str">
        <f>IFERROR(VLOOKUP(B8978,material!A:D,3,0),"")</f>
        <v/>
      </c>
    </row>
    <row r="8979" ht="11.25" customHeight="1">
      <c r="A8979" s="21"/>
      <c r="B8979" s="22"/>
      <c r="C8979" s="21"/>
      <c r="D8979" s="21"/>
      <c r="E8979" s="21"/>
      <c r="F8979" s="21"/>
      <c r="G8979" s="25"/>
      <c r="H8979" s="24" t="str">
        <f>IFERROR(VLOOKUP(B8979,material!A:D,3,0),"")</f>
        <v/>
      </c>
    </row>
    <row r="8980" ht="11.25" customHeight="1">
      <c r="A8980" s="21"/>
      <c r="B8980" s="22"/>
      <c r="C8980" s="21"/>
      <c r="D8980" s="21"/>
      <c r="E8980" s="21"/>
      <c r="F8980" s="21"/>
      <c r="G8980" s="25"/>
      <c r="H8980" s="24" t="str">
        <f>IFERROR(VLOOKUP(B8980,material!A:D,3,0),"")</f>
        <v/>
      </c>
    </row>
    <row r="8981" ht="11.25" customHeight="1">
      <c r="A8981" s="21"/>
      <c r="B8981" s="22"/>
      <c r="C8981" s="21"/>
      <c r="D8981" s="21"/>
      <c r="E8981" s="21"/>
      <c r="F8981" s="21"/>
      <c r="G8981" s="25"/>
      <c r="H8981" s="24" t="str">
        <f>IFERROR(VLOOKUP(B8981,material!A:D,3,0),"")</f>
        <v/>
      </c>
    </row>
    <row r="8982" ht="11.25" customHeight="1">
      <c r="A8982" s="21"/>
      <c r="B8982" s="22"/>
      <c r="C8982" s="21"/>
      <c r="D8982" s="21"/>
      <c r="E8982" s="21"/>
      <c r="F8982" s="21"/>
      <c r="G8982" s="25"/>
      <c r="H8982" s="24" t="str">
        <f>IFERROR(VLOOKUP(B8982,material!A:D,3,0),"")</f>
        <v/>
      </c>
    </row>
    <row r="8983" ht="11.25" customHeight="1">
      <c r="A8983" s="21"/>
      <c r="B8983" s="22"/>
      <c r="C8983" s="21"/>
      <c r="D8983" s="21"/>
      <c r="E8983" s="21"/>
      <c r="F8983" s="21"/>
      <c r="G8983" s="25"/>
      <c r="H8983" s="24" t="str">
        <f>IFERROR(VLOOKUP(B8983,material!A:D,3,0),"")</f>
        <v/>
      </c>
    </row>
    <row r="8984" ht="11.25" customHeight="1">
      <c r="A8984" s="21"/>
      <c r="B8984" s="22"/>
      <c r="C8984" s="21"/>
      <c r="D8984" s="21"/>
      <c r="E8984" s="21"/>
      <c r="F8984" s="21"/>
      <c r="G8984" s="25"/>
      <c r="H8984" s="24" t="str">
        <f>IFERROR(VLOOKUP(B8984,material!A:D,3,0),"")</f>
        <v/>
      </c>
    </row>
    <row r="8985" ht="11.25" customHeight="1">
      <c r="A8985" s="21"/>
      <c r="B8985" s="22"/>
      <c r="C8985" s="21"/>
      <c r="D8985" s="21"/>
      <c r="E8985" s="21"/>
      <c r="F8985" s="21"/>
      <c r="G8985" s="25"/>
      <c r="H8985" s="24" t="str">
        <f>IFERROR(VLOOKUP(B8985,material!A:D,3,0),"")</f>
        <v/>
      </c>
    </row>
    <row r="8986" ht="11.25" customHeight="1">
      <c r="A8986" s="21"/>
      <c r="B8986" s="22"/>
      <c r="C8986" s="21"/>
      <c r="D8986" s="21"/>
      <c r="E8986" s="21"/>
      <c r="F8986" s="21"/>
      <c r="G8986" s="25"/>
      <c r="H8986" s="24" t="str">
        <f>IFERROR(VLOOKUP(B8986,material!A:D,3,0),"")</f>
        <v/>
      </c>
    </row>
    <row r="8987" ht="11.25" customHeight="1">
      <c r="A8987" s="21"/>
      <c r="B8987" s="22"/>
      <c r="C8987" s="21"/>
      <c r="D8987" s="21"/>
      <c r="E8987" s="21"/>
      <c r="F8987" s="21"/>
      <c r="G8987" s="25"/>
      <c r="H8987" s="24" t="str">
        <f>IFERROR(VLOOKUP(B8987,material!A:D,3,0),"")</f>
        <v/>
      </c>
    </row>
    <row r="8988" ht="11.25" customHeight="1">
      <c r="A8988" s="21"/>
      <c r="B8988" s="22"/>
      <c r="C8988" s="21"/>
      <c r="D8988" s="21"/>
      <c r="E8988" s="21"/>
      <c r="F8988" s="21"/>
      <c r="G8988" s="25"/>
      <c r="H8988" s="24" t="str">
        <f>IFERROR(VLOOKUP(B8988,material!A:D,3,0),"")</f>
        <v/>
      </c>
    </row>
    <row r="8989" ht="11.25" customHeight="1">
      <c r="A8989" s="21"/>
      <c r="B8989" s="22"/>
      <c r="C8989" s="21"/>
      <c r="D8989" s="21"/>
      <c r="E8989" s="21"/>
      <c r="F8989" s="21"/>
      <c r="G8989" s="25"/>
      <c r="H8989" s="24" t="str">
        <f>IFERROR(VLOOKUP(B8989,material!A:D,3,0),"")</f>
        <v/>
      </c>
    </row>
    <row r="8990" ht="11.25" customHeight="1">
      <c r="A8990" s="21"/>
      <c r="B8990" s="22"/>
      <c r="C8990" s="21"/>
      <c r="D8990" s="21"/>
      <c r="E8990" s="21"/>
      <c r="F8990" s="21"/>
      <c r="G8990" s="25"/>
      <c r="H8990" s="24" t="str">
        <f>IFERROR(VLOOKUP(B8990,material!A:D,3,0),"")</f>
        <v/>
      </c>
    </row>
    <row r="8991" ht="11.25" customHeight="1">
      <c r="A8991" s="21"/>
      <c r="B8991" s="22"/>
      <c r="C8991" s="21"/>
      <c r="D8991" s="21"/>
      <c r="E8991" s="21"/>
      <c r="F8991" s="21"/>
      <c r="G8991" s="25"/>
      <c r="H8991" s="24" t="str">
        <f>IFERROR(VLOOKUP(B8991,material!A:D,3,0),"")</f>
        <v/>
      </c>
    </row>
    <row r="8992" ht="11.25" customHeight="1">
      <c r="A8992" s="21"/>
      <c r="B8992" s="22"/>
      <c r="C8992" s="21"/>
      <c r="D8992" s="21"/>
      <c r="E8992" s="21"/>
      <c r="F8992" s="21"/>
      <c r="G8992" s="25"/>
      <c r="H8992" s="24" t="str">
        <f>IFERROR(VLOOKUP(B8992,material!A:D,3,0),"")</f>
        <v/>
      </c>
    </row>
    <row r="8993" ht="11.25" customHeight="1">
      <c r="A8993" s="21"/>
      <c r="B8993" s="22"/>
      <c r="C8993" s="21"/>
      <c r="D8993" s="21"/>
      <c r="E8993" s="21"/>
      <c r="F8993" s="21"/>
      <c r="G8993" s="25"/>
      <c r="H8993" s="24" t="str">
        <f>IFERROR(VLOOKUP(B8993,material!A:D,3,0),"")</f>
        <v/>
      </c>
    </row>
    <row r="8994" ht="11.25" customHeight="1">
      <c r="A8994" s="21"/>
      <c r="B8994" s="22"/>
      <c r="C8994" s="21"/>
      <c r="D8994" s="21"/>
      <c r="E8994" s="21"/>
      <c r="F8994" s="21"/>
      <c r="G8994" s="25"/>
      <c r="H8994" s="24" t="str">
        <f>IFERROR(VLOOKUP(B8994,material!A:D,3,0),"")</f>
        <v/>
      </c>
    </row>
    <row r="8995" ht="11.25" customHeight="1">
      <c r="A8995" s="21"/>
      <c r="B8995" s="22"/>
      <c r="C8995" s="21"/>
      <c r="D8995" s="21"/>
      <c r="E8995" s="21"/>
      <c r="F8995" s="21"/>
      <c r="G8995" s="25"/>
      <c r="H8995" s="24" t="str">
        <f>IFERROR(VLOOKUP(B8995,material!A:D,3,0),"")</f>
        <v/>
      </c>
    </row>
    <row r="8996" ht="11.25" customHeight="1">
      <c r="A8996" s="21"/>
      <c r="B8996" s="22"/>
      <c r="C8996" s="21"/>
      <c r="D8996" s="21"/>
      <c r="E8996" s="21"/>
      <c r="F8996" s="21"/>
      <c r="G8996" s="25"/>
      <c r="H8996" s="24" t="str">
        <f>IFERROR(VLOOKUP(B8996,material!A:D,3,0),"")</f>
        <v/>
      </c>
    </row>
    <row r="8997" ht="11.25" customHeight="1">
      <c r="A8997" s="21"/>
      <c r="B8997" s="22"/>
      <c r="C8997" s="21"/>
      <c r="D8997" s="21"/>
      <c r="E8997" s="21"/>
      <c r="F8997" s="21"/>
      <c r="G8997" s="25"/>
      <c r="H8997" s="24" t="str">
        <f>IFERROR(VLOOKUP(B8997,material!A:D,3,0),"")</f>
        <v/>
      </c>
    </row>
    <row r="8998" ht="11.25" customHeight="1">
      <c r="A8998" s="21"/>
      <c r="B8998" s="22"/>
      <c r="C8998" s="21"/>
      <c r="D8998" s="21"/>
      <c r="E8998" s="21"/>
      <c r="F8998" s="21"/>
      <c r="G8998" s="25"/>
      <c r="H8998" s="24" t="str">
        <f>IFERROR(VLOOKUP(B8998,material!A:D,3,0),"")</f>
        <v/>
      </c>
    </row>
    <row r="8999" ht="11.25" customHeight="1">
      <c r="A8999" s="21"/>
      <c r="B8999" s="22"/>
      <c r="C8999" s="21"/>
      <c r="D8999" s="21"/>
      <c r="E8999" s="21"/>
      <c r="F8999" s="21"/>
      <c r="G8999" s="25"/>
      <c r="H8999" s="24" t="str">
        <f>IFERROR(VLOOKUP(B8999,material!A:D,3,0),"")</f>
        <v/>
      </c>
    </row>
    <row r="9000" ht="11.25" customHeight="1">
      <c r="A9000" s="21"/>
      <c r="B9000" s="22"/>
      <c r="C9000" s="21"/>
      <c r="D9000" s="21"/>
      <c r="E9000" s="21"/>
      <c r="F9000" s="21"/>
      <c r="G9000" s="25"/>
      <c r="H9000" s="24" t="str">
        <f>IFERROR(VLOOKUP(B9000,material!A:D,3,0),"")</f>
        <v/>
      </c>
    </row>
    <row r="9001" ht="11.25" customHeight="1">
      <c r="A9001" s="21"/>
      <c r="B9001" s="22"/>
      <c r="C9001" s="21"/>
      <c r="D9001" s="21"/>
      <c r="E9001" s="21"/>
      <c r="F9001" s="21"/>
      <c r="G9001" s="25"/>
      <c r="H9001" s="24" t="str">
        <f>IFERROR(VLOOKUP(B9001,material!A:D,3,0),"")</f>
        <v/>
      </c>
    </row>
    <row r="9002" ht="11.25" customHeight="1">
      <c r="A9002" s="21"/>
      <c r="B9002" s="22"/>
      <c r="C9002" s="21"/>
      <c r="D9002" s="21"/>
      <c r="E9002" s="21"/>
      <c r="F9002" s="21"/>
      <c r="G9002" s="25"/>
      <c r="H9002" s="24" t="str">
        <f>IFERROR(VLOOKUP(B9002,material!A:D,3,0),"")</f>
        <v/>
      </c>
    </row>
    <row r="9003" ht="11.25" customHeight="1">
      <c r="A9003" s="21"/>
      <c r="B9003" s="22"/>
      <c r="C9003" s="21"/>
      <c r="D9003" s="21"/>
      <c r="E9003" s="21"/>
      <c r="F9003" s="21"/>
      <c r="G9003" s="25"/>
      <c r="H9003" s="24" t="str">
        <f>IFERROR(VLOOKUP(B9003,material!A:D,3,0),"")</f>
        <v/>
      </c>
    </row>
    <row r="9004" ht="11.25" customHeight="1">
      <c r="A9004" s="21"/>
      <c r="B9004" s="22"/>
      <c r="C9004" s="21"/>
      <c r="D9004" s="21"/>
      <c r="E9004" s="21"/>
      <c r="F9004" s="21"/>
      <c r="G9004" s="25"/>
      <c r="H9004" s="24" t="str">
        <f>IFERROR(VLOOKUP(B9004,material!A:D,3,0),"")</f>
        <v/>
      </c>
    </row>
    <row r="9005" ht="11.25" customHeight="1">
      <c r="A9005" s="21"/>
      <c r="B9005" s="22"/>
      <c r="C9005" s="21"/>
      <c r="D9005" s="21"/>
      <c r="E9005" s="21"/>
      <c r="F9005" s="21"/>
      <c r="G9005" s="25"/>
      <c r="H9005" s="24" t="str">
        <f>IFERROR(VLOOKUP(B9005,material!A:D,3,0),"")</f>
        <v/>
      </c>
    </row>
    <row r="9006" ht="11.25" customHeight="1">
      <c r="A9006" s="21"/>
      <c r="B9006" s="22"/>
      <c r="C9006" s="21"/>
      <c r="D9006" s="21"/>
      <c r="E9006" s="21"/>
      <c r="F9006" s="21"/>
      <c r="G9006" s="25"/>
      <c r="H9006" s="24" t="str">
        <f>IFERROR(VLOOKUP(B9006,material!A:D,3,0),"")</f>
        <v/>
      </c>
    </row>
    <row r="9007" ht="11.25" customHeight="1">
      <c r="A9007" s="21"/>
      <c r="B9007" s="22"/>
      <c r="C9007" s="21"/>
      <c r="D9007" s="21"/>
      <c r="E9007" s="21"/>
      <c r="F9007" s="21"/>
      <c r="G9007" s="25"/>
      <c r="H9007" s="24" t="str">
        <f>IFERROR(VLOOKUP(B9007,material!A:D,3,0),"")</f>
        <v/>
      </c>
    </row>
    <row r="9008" ht="11.25" customHeight="1">
      <c r="A9008" s="21"/>
      <c r="B9008" s="22"/>
      <c r="C9008" s="21"/>
      <c r="D9008" s="21"/>
      <c r="E9008" s="21"/>
      <c r="F9008" s="21"/>
      <c r="G9008" s="25"/>
      <c r="H9008" s="24" t="str">
        <f>IFERROR(VLOOKUP(B9008,material!A:D,3,0),"")</f>
        <v/>
      </c>
    </row>
    <row r="9009" ht="11.25" customHeight="1">
      <c r="A9009" s="21"/>
      <c r="B9009" s="22"/>
      <c r="C9009" s="21"/>
      <c r="D9009" s="21"/>
      <c r="E9009" s="21"/>
      <c r="F9009" s="21"/>
      <c r="G9009" s="25"/>
      <c r="H9009" s="24" t="str">
        <f>IFERROR(VLOOKUP(B9009,material!A:D,3,0),"")</f>
        <v/>
      </c>
    </row>
    <row r="9010" ht="11.25" customHeight="1">
      <c r="A9010" s="21"/>
      <c r="B9010" s="22"/>
      <c r="C9010" s="21"/>
      <c r="D9010" s="21"/>
      <c r="E9010" s="21"/>
      <c r="F9010" s="21"/>
      <c r="G9010" s="25"/>
      <c r="H9010" s="24" t="str">
        <f>IFERROR(VLOOKUP(B9010,material!A:D,3,0),"")</f>
        <v/>
      </c>
    </row>
    <row r="9011" ht="11.25" customHeight="1">
      <c r="A9011" s="21"/>
      <c r="B9011" s="22"/>
      <c r="C9011" s="21"/>
      <c r="D9011" s="21"/>
      <c r="E9011" s="21"/>
      <c r="F9011" s="21"/>
      <c r="G9011" s="25"/>
      <c r="H9011" s="24" t="str">
        <f>IFERROR(VLOOKUP(B9011,material!A:D,3,0),"")</f>
        <v/>
      </c>
    </row>
    <row r="9012" ht="11.25" customHeight="1">
      <c r="A9012" s="21"/>
      <c r="B9012" s="22"/>
      <c r="C9012" s="21"/>
      <c r="D9012" s="21"/>
      <c r="E9012" s="21"/>
      <c r="F9012" s="21"/>
      <c r="G9012" s="25"/>
      <c r="H9012" s="24" t="str">
        <f>IFERROR(VLOOKUP(B9012,material!A:D,3,0),"")</f>
        <v/>
      </c>
    </row>
    <row r="9013" ht="11.25" customHeight="1">
      <c r="A9013" s="21"/>
      <c r="B9013" s="22"/>
      <c r="C9013" s="21"/>
      <c r="D9013" s="21"/>
      <c r="E9013" s="21"/>
      <c r="F9013" s="21"/>
      <c r="G9013" s="25"/>
      <c r="H9013" s="24" t="str">
        <f>IFERROR(VLOOKUP(B9013,material!A:D,3,0),"")</f>
        <v/>
      </c>
    </row>
    <row r="9014" ht="11.25" customHeight="1">
      <c r="A9014" s="21"/>
      <c r="B9014" s="22"/>
      <c r="C9014" s="21"/>
      <c r="D9014" s="21"/>
      <c r="E9014" s="21"/>
      <c r="F9014" s="21"/>
      <c r="G9014" s="25"/>
      <c r="H9014" s="24" t="str">
        <f>IFERROR(VLOOKUP(B9014,material!A:D,3,0),"")</f>
        <v/>
      </c>
    </row>
    <row r="9015" ht="11.25" customHeight="1">
      <c r="A9015" s="21"/>
      <c r="B9015" s="22"/>
      <c r="C9015" s="21"/>
      <c r="D9015" s="21"/>
      <c r="E9015" s="21"/>
      <c r="F9015" s="21"/>
      <c r="G9015" s="25"/>
      <c r="H9015" s="24" t="str">
        <f>IFERROR(VLOOKUP(B9015,material!A:D,3,0),"")</f>
        <v/>
      </c>
    </row>
    <row r="9016" ht="11.25" customHeight="1">
      <c r="A9016" s="21"/>
      <c r="B9016" s="22"/>
      <c r="C9016" s="21"/>
      <c r="D9016" s="21"/>
      <c r="E9016" s="21"/>
      <c r="F9016" s="21"/>
      <c r="G9016" s="25"/>
      <c r="H9016" s="24" t="str">
        <f>IFERROR(VLOOKUP(B9016,material!A:D,3,0),"")</f>
        <v/>
      </c>
    </row>
    <row r="9017" ht="11.25" customHeight="1">
      <c r="A9017" s="21"/>
      <c r="B9017" s="22"/>
      <c r="C9017" s="21"/>
      <c r="D9017" s="21"/>
      <c r="E9017" s="21"/>
      <c r="F9017" s="21"/>
      <c r="G9017" s="25"/>
      <c r="H9017" s="24" t="str">
        <f>IFERROR(VLOOKUP(B9017,material!A:D,3,0),"")</f>
        <v/>
      </c>
    </row>
    <row r="9018" ht="11.25" customHeight="1">
      <c r="A9018" s="21"/>
      <c r="B9018" s="22"/>
      <c r="C9018" s="21"/>
      <c r="D9018" s="21"/>
      <c r="E9018" s="21"/>
      <c r="F9018" s="21"/>
      <c r="G9018" s="25"/>
      <c r="H9018" s="24" t="str">
        <f>IFERROR(VLOOKUP(B9018,material!A:D,3,0),"")</f>
        <v/>
      </c>
    </row>
    <row r="9019" ht="11.25" customHeight="1">
      <c r="A9019" s="21"/>
      <c r="B9019" s="22"/>
      <c r="C9019" s="21"/>
      <c r="D9019" s="21"/>
      <c r="E9019" s="21"/>
      <c r="F9019" s="21"/>
      <c r="G9019" s="25"/>
      <c r="H9019" s="24" t="str">
        <f>IFERROR(VLOOKUP(B9019,material!A:D,3,0),"")</f>
        <v/>
      </c>
    </row>
    <row r="9020" ht="11.25" customHeight="1">
      <c r="A9020" s="21"/>
      <c r="B9020" s="22"/>
      <c r="C9020" s="21"/>
      <c r="D9020" s="21"/>
      <c r="E9020" s="21"/>
      <c r="F9020" s="21"/>
      <c r="G9020" s="25"/>
      <c r="H9020" s="24" t="str">
        <f>IFERROR(VLOOKUP(B9020,material!A:D,3,0),"")</f>
        <v/>
      </c>
    </row>
    <row r="9021" ht="11.25" customHeight="1">
      <c r="A9021" s="21"/>
      <c r="B9021" s="22"/>
      <c r="C9021" s="21"/>
      <c r="D9021" s="21"/>
      <c r="E9021" s="21"/>
      <c r="F9021" s="21"/>
      <c r="G9021" s="25"/>
      <c r="H9021" s="24" t="str">
        <f>IFERROR(VLOOKUP(B9021,material!A:D,3,0),"")</f>
        <v/>
      </c>
    </row>
    <row r="9022" ht="11.25" customHeight="1">
      <c r="A9022" s="21"/>
      <c r="B9022" s="22"/>
      <c r="C9022" s="21"/>
      <c r="D9022" s="21"/>
      <c r="E9022" s="21"/>
      <c r="F9022" s="21"/>
      <c r="G9022" s="25"/>
      <c r="H9022" s="24" t="str">
        <f>IFERROR(VLOOKUP(B9022,material!A:D,3,0),"")</f>
        <v/>
      </c>
    </row>
    <row r="9023" ht="11.25" customHeight="1">
      <c r="A9023" s="21"/>
      <c r="B9023" s="22"/>
      <c r="C9023" s="21"/>
      <c r="D9023" s="21"/>
      <c r="E9023" s="21"/>
      <c r="F9023" s="21"/>
      <c r="G9023" s="25"/>
      <c r="H9023" s="24" t="str">
        <f>IFERROR(VLOOKUP(B9023,material!A:D,3,0),"")</f>
        <v/>
      </c>
    </row>
    <row r="9024" ht="11.25" customHeight="1">
      <c r="A9024" s="21"/>
      <c r="B9024" s="22"/>
      <c r="C9024" s="21"/>
      <c r="D9024" s="21"/>
      <c r="E9024" s="21"/>
      <c r="F9024" s="21"/>
      <c r="G9024" s="25"/>
      <c r="H9024" s="24" t="str">
        <f>IFERROR(VLOOKUP(B9024,material!A:D,3,0),"")</f>
        <v/>
      </c>
    </row>
    <row r="9025" ht="11.25" customHeight="1">
      <c r="A9025" s="21"/>
      <c r="B9025" s="22"/>
      <c r="C9025" s="21"/>
      <c r="D9025" s="21"/>
      <c r="E9025" s="21"/>
      <c r="F9025" s="21"/>
      <c r="G9025" s="25"/>
      <c r="H9025" s="24" t="str">
        <f>IFERROR(VLOOKUP(B9025,material!A:D,3,0),"")</f>
        <v/>
      </c>
    </row>
    <row r="9026" ht="11.25" customHeight="1">
      <c r="A9026" s="21"/>
      <c r="B9026" s="22"/>
      <c r="C9026" s="21"/>
      <c r="D9026" s="21"/>
      <c r="E9026" s="21"/>
      <c r="F9026" s="21"/>
      <c r="G9026" s="25"/>
      <c r="H9026" s="24" t="str">
        <f>IFERROR(VLOOKUP(B9026,material!A:D,3,0),"")</f>
        <v/>
      </c>
    </row>
    <row r="9027" ht="11.25" customHeight="1">
      <c r="A9027" s="21"/>
      <c r="B9027" s="22"/>
      <c r="C9027" s="21"/>
      <c r="D9027" s="21"/>
      <c r="E9027" s="21"/>
      <c r="F9027" s="21"/>
      <c r="G9027" s="25"/>
      <c r="H9027" s="24" t="str">
        <f>IFERROR(VLOOKUP(B9027,material!A:D,3,0),"")</f>
        <v/>
      </c>
    </row>
    <row r="9028" ht="11.25" customHeight="1">
      <c r="A9028" s="21"/>
      <c r="B9028" s="22"/>
      <c r="C9028" s="21"/>
      <c r="D9028" s="21"/>
      <c r="E9028" s="21"/>
      <c r="F9028" s="21"/>
      <c r="G9028" s="25"/>
      <c r="H9028" s="24" t="str">
        <f>IFERROR(VLOOKUP(B9028,material!A:D,3,0),"")</f>
        <v/>
      </c>
    </row>
    <row r="9029" ht="11.25" customHeight="1">
      <c r="A9029" s="21"/>
      <c r="B9029" s="22"/>
      <c r="C9029" s="21"/>
      <c r="D9029" s="21"/>
      <c r="E9029" s="21"/>
      <c r="F9029" s="21"/>
      <c r="G9029" s="25"/>
      <c r="H9029" s="24" t="str">
        <f>IFERROR(VLOOKUP(B9029,material!A:D,3,0),"")</f>
        <v/>
      </c>
    </row>
    <row r="9030" ht="11.25" customHeight="1">
      <c r="A9030" s="21"/>
      <c r="B9030" s="22"/>
      <c r="C9030" s="21"/>
      <c r="D9030" s="21"/>
      <c r="E9030" s="21"/>
      <c r="F9030" s="21"/>
      <c r="G9030" s="25"/>
      <c r="H9030" s="24" t="str">
        <f>IFERROR(VLOOKUP(B9030,material!A:D,3,0),"")</f>
        <v/>
      </c>
    </row>
    <row r="9031" ht="11.25" customHeight="1">
      <c r="A9031" s="21"/>
      <c r="B9031" s="22"/>
      <c r="C9031" s="21"/>
      <c r="D9031" s="21"/>
      <c r="E9031" s="21"/>
      <c r="F9031" s="21"/>
      <c r="G9031" s="25"/>
      <c r="H9031" s="24" t="str">
        <f>IFERROR(VLOOKUP(B9031,material!A:D,3,0),"")</f>
        <v/>
      </c>
    </row>
    <row r="9032" ht="11.25" customHeight="1">
      <c r="A9032" s="21"/>
      <c r="B9032" s="22"/>
      <c r="C9032" s="21"/>
      <c r="D9032" s="21"/>
      <c r="E9032" s="21"/>
      <c r="F9032" s="21"/>
      <c r="G9032" s="25"/>
      <c r="H9032" s="24" t="str">
        <f>IFERROR(VLOOKUP(B9032,material!A:D,3,0),"")</f>
        <v/>
      </c>
    </row>
    <row r="9033" ht="11.25" customHeight="1">
      <c r="A9033" s="21"/>
      <c r="B9033" s="22"/>
      <c r="C9033" s="21"/>
      <c r="D9033" s="21"/>
      <c r="E9033" s="21"/>
      <c r="F9033" s="21"/>
      <c r="G9033" s="25"/>
      <c r="H9033" s="24" t="str">
        <f>IFERROR(VLOOKUP(B9033,material!A:D,3,0),"")</f>
        <v/>
      </c>
    </row>
    <row r="9034" ht="11.25" customHeight="1">
      <c r="A9034" s="21"/>
      <c r="B9034" s="22"/>
      <c r="C9034" s="21"/>
      <c r="D9034" s="21"/>
      <c r="E9034" s="21"/>
      <c r="F9034" s="21"/>
      <c r="G9034" s="25"/>
      <c r="H9034" s="24" t="str">
        <f>IFERROR(VLOOKUP(B9034,material!A:D,3,0),"")</f>
        <v/>
      </c>
    </row>
    <row r="9035" ht="11.25" customHeight="1">
      <c r="A9035" s="21"/>
      <c r="B9035" s="22"/>
      <c r="C9035" s="21"/>
      <c r="D9035" s="21"/>
      <c r="E9035" s="21"/>
      <c r="F9035" s="21"/>
      <c r="G9035" s="25"/>
      <c r="H9035" s="24" t="str">
        <f>IFERROR(VLOOKUP(B9035,material!A:D,3,0),"")</f>
        <v/>
      </c>
    </row>
    <row r="9036" ht="11.25" customHeight="1">
      <c r="A9036" s="21"/>
      <c r="B9036" s="22"/>
      <c r="C9036" s="21"/>
      <c r="D9036" s="21"/>
      <c r="E9036" s="21"/>
      <c r="F9036" s="21"/>
      <c r="G9036" s="25"/>
      <c r="H9036" s="24" t="str">
        <f>IFERROR(VLOOKUP(B9036,material!A:D,3,0),"")</f>
        <v/>
      </c>
    </row>
    <row r="9037" ht="11.25" customHeight="1">
      <c r="A9037" s="21"/>
      <c r="B9037" s="22"/>
      <c r="C9037" s="21"/>
      <c r="D9037" s="21"/>
      <c r="E9037" s="21"/>
      <c r="F9037" s="21"/>
      <c r="G9037" s="25"/>
      <c r="H9037" s="24" t="str">
        <f>IFERROR(VLOOKUP(B9037,material!A:D,3,0),"")</f>
        <v/>
      </c>
    </row>
    <row r="9038" ht="11.25" customHeight="1">
      <c r="A9038" s="21"/>
      <c r="B9038" s="22"/>
      <c r="C9038" s="21"/>
      <c r="D9038" s="21"/>
      <c r="E9038" s="21"/>
      <c r="F9038" s="21"/>
      <c r="G9038" s="25"/>
      <c r="H9038" s="24" t="str">
        <f>IFERROR(VLOOKUP(B9038,material!A:D,3,0),"")</f>
        <v/>
      </c>
    </row>
    <row r="9039" ht="11.25" customHeight="1">
      <c r="A9039" s="21"/>
      <c r="B9039" s="22"/>
      <c r="C9039" s="21"/>
      <c r="D9039" s="21"/>
      <c r="E9039" s="21"/>
      <c r="F9039" s="21"/>
      <c r="G9039" s="25"/>
      <c r="H9039" s="24" t="str">
        <f>IFERROR(VLOOKUP(B9039,material!A:D,3,0),"")</f>
        <v/>
      </c>
    </row>
    <row r="9040" ht="11.25" customHeight="1">
      <c r="A9040" s="21"/>
      <c r="B9040" s="22"/>
      <c r="C9040" s="21"/>
      <c r="D9040" s="21"/>
      <c r="E9040" s="21"/>
      <c r="F9040" s="21"/>
      <c r="G9040" s="25"/>
      <c r="H9040" s="24" t="str">
        <f>IFERROR(VLOOKUP(B9040,material!A:D,3,0),"")</f>
        <v/>
      </c>
    </row>
    <row r="9041" ht="11.25" customHeight="1">
      <c r="A9041" s="21"/>
      <c r="B9041" s="22"/>
      <c r="C9041" s="21"/>
      <c r="D9041" s="21"/>
      <c r="E9041" s="21"/>
      <c r="F9041" s="21"/>
      <c r="G9041" s="25"/>
      <c r="H9041" s="24" t="str">
        <f>IFERROR(VLOOKUP(B9041,material!A:D,3,0),"")</f>
        <v/>
      </c>
    </row>
    <row r="9042" ht="11.25" customHeight="1">
      <c r="A9042" s="21"/>
      <c r="B9042" s="22"/>
      <c r="C9042" s="21"/>
      <c r="D9042" s="21"/>
      <c r="E9042" s="21"/>
      <c r="F9042" s="21"/>
      <c r="G9042" s="25"/>
      <c r="H9042" s="24" t="str">
        <f>IFERROR(VLOOKUP(B9042,material!A:D,3,0),"")</f>
        <v/>
      </c>
    </row>
    <row r="9043" ht="11.25" customHeight="1">
      <c r="A9043" s="21"/>
      <c r="B9043" s="22"/>
      <c r="C9043" s="21"/>
      <c r="D9043" s="21"/>
      <c r="E9043" s="21"/>
      <c r="F9043" s="21"/>
      <c r="G9043" s="25"/>
      <c r="H9043" s="24" t="str">
        <f>IFERROR(VLOOKUP(B9043,material!A:D,3,0),"")</f>
        <v/>
      </c>
    </row>
    <row r="9044" ht="11.25" customHeight="1">
      <c r="A9044" s="21"/>
      <c r="B9044" s="22"/>
      <c r="C9044" s="21"/>
      <c r="D9044" s="21"/>
      <c r="E9044" s="21"/>
      <c r="F9044" s="21"/>
      <c r="G9044" s="25"/>
      <c r="H9044" s="24" t="str">
        <f>IFERROR(VLOOKUP(B9044,material!A:D,3,0),"")</f>
        <v/>
      </c>
    </row>
    <row r="9045" ht="11.25" customHeight="1">
      <c r="A9045" s="21"/>
      <c r="B9045" s="22"/>
      <c r="C9045" s="21"/>
      <c r="D9045" s="21"/>
      <c r="E9045" s="21"/>
      <c r="F9045" s="21"/>
      <c r="G9045" s="25"/>
      <c r="H9045" s="24" t="str">
        <f>IFERROR(VLOOKUP(B9045,material!A:D,3,0),"")</f>
        <v/>
      </c>
    </row>
    <row r="9046" ht="11.25" customHeight="1">
      <c r="A9046" s="21"/>
      <c r="B9046" s="22"/>
      <c r="C9046" s="21"/>
      <c r="D9046" s="21"/>
      <c r="E9046" s="21"/>
      <c r="F9046" s="21"/>
      <c r="G9046" s="25"/>
      <c r="H9046" s="24" t="str">
        <f>IFERROR(VLOOKUP(B9046,material!A:D,3,0),"")</f>
        <v/>
      </c>
    </row>
    <row r="9047" ht="11.25" customHeight="1">
      <c r="A9047" s="21"/>
      <c r="B9047" s="22"/>
      <c r="C9047" s="21"/>
      <c r="D9047" s="21"/>
      <c r="E9047" s="21"/>
      <c r="F9047" s="21"/>
      <c r="G9047" s="25"/>
      <c r="H9047" s="24" t="str">
        <f>IFERROR(VLOOKUP(B9047,material!A:D,3,0),"")</f>
        <v/>
      </c>
    </row>
    <row r="9048" ht="11.25" customHeight="1">
      <c r="A9048" s="21"/>
      <c r="B9048" s="22"/>
      <c r="C9048" s="21"/>
      <c r="D9048" s="21"/>
      <c r="E9048" s="21"/>
      <c r="F9048" s="21"/>
      <c r="G9048" s="25"/>
      <c r="H9048" s="24" t="str">
        <f>IFERROR(VLOOKUP(B9048,material!A:D,3,0),"")</f>
        <v/>
      </c>
    </row>
    <row r="9049" ht="11.25" customHeight="1">
      <c r="A9049" s="21"/>
      <c r="B9049" s="22"/>
      <c r="C9049" s="21"/>
      <c r="D9049" s="21"/>
      <c r="E9049" s="21"/>
      <c r="F9049" s="21"/>
      <c r="G9049" s="25"/>
      <c r="H9049" s="24" t="str">
        <f>IFERROR(VLOOKUP(B9049,material!A:D,3,0),"")</f>
        <v/>
      </c>
    </row>
    <row r="9050" ht="11.25" customHeight="1">
      <c r="A9050" s="21"/>
      <c r="B9050" s="22"/>
      <c r="C9050" s="21"/>
      <c r="D9050" s="21"/>
      <c r="E9050" s="21"/>
      <c r="F9050" s="21"/>
      <c r="G9050" s="25"/>
      <c r="H9050" s="24" t="str">
        <f>IFERROR(VLOOKUP(B9050,material!A:D,3,0),"")</f>
        <v/>
      </c>
    </row>
    <row r="9051" ht="11.25" customHeight="1">
      <c r="A9051" s="21"/>
      <c r="B9051" s="22"/>
      <c r="C9051" s="21"/>
      <c r="D9051" s="21"/>
      <c r="E9051" s="21"/>
      <c r="F9051" s="21"/>
      <c r="G9051" s="25"/>
      <c r="H9051" s="24" t="str">
        <f>IFERROR(VLOOKUP(B9051,material!A:D,3,0),"")</f>
        <v/>
      </c>
    </row>
    <row r="9052" ht="11.25" customHeight="1">
      <c r="A9052" s="21"/>
      <c r="B9052" s="22"/>
      <c r="C9052" s="21"/>
      <c r="D9052" s="21"/>
      <c r="E9052" s="21"/>
      <c r="F9052" s="21"/>
      <c r="G9052" s="25"/>
      <c r="H9052" s="24" t="str">
        <f>IFERROR(VLOOKUP(B9052,material!A:D,3,0),"")</f>
        <v/>
      </c>
    </row>
    <row r="9053" ht="11.25" customHeight="1">
      <c r="A9053" s="21"/>
      <c r="B9053" s="22"/>
      <c r="C9053" s="21"/>
      <c r="D9053" s="21"/>
      <c r="E9053" s="21"/>
      <c r="F9053" s="21"/>
      <c r="G9053" s="25"/>
      <c r="H9053" s="24" t="str">
        <f>IFERROR(VLOOKUP(B9053,material!A:D,3,0),"")</f>
        <v/>
      </c>
    </row>
    <row r="9054" ht="11.25" customHeight="1">
      <c r="A9054" s="21"/>
      <c r="B9054" s="22"/>
      <c r="C9054" s="21"/>
      <c r="D9054" s="21"/>
      <c r="E9054" s="21"/>
      <c r="F9054" s="21"/>
      <c r="G9054" s="25"/>
      <c r="H9054" s="24" t="str">
        <f>IFERROR(VLOOKUP(B9054,material!A:D,3,0),"")</f>
        <v/>
      </c>
    </row>
    <row r="9055" ht="11.25" customHeight="1">
      <c r="A9055" s="21"/>
      <c r="B9055" s="22"/>
      <c r="C9055" s="21"/>
      <c r="D9055" s="21"/>
      <c r="E9055" s="21"/>
      <c r="F9055" s="21"/>
      <c r="G9055" s="25"/>
      <c r="H9055" s="24" t="str">
        <f>IFERROR(VLOOKUP(B9055,material!A:D,3,0),"")</f>
        <v/>
      </c>
    </row>
    <row r="9056" ht="11.25" customHeight="1">
      <c r="A9056" s="21"/>
      <c r="B9056" s="22"/>
      <c r="C9056" s="21"/>
      <c r="D9056" s="21"/>
      <c r="E9056" s="21"/>
      <c r="F9056" s="21"/>
      <c r="G9056" s="25"/>
      <c r="H9056" s="24" t="str">
        <f>IFERROR(VLOOKUP(B9056,material!A:D,3,0),"")</f>
        <v/>
      </c>
    </row>
    <row r="9057" ht="11.25" customHeight="1">
      <c r="A9057" s="21"/>
      <c r="B9057" s="22"/>
      <c r="C9057" s="21"/>
      <c r="D9057" s="21"/>
      <c r="E9057" s="21"/>
      <c r="F9057" s="21"/>
      <c r="G9057" s="25"/>
      <c r="H9057" s="24" t="str">
        <f>IFERROR(VLOOKUP(B9057,material!A:D,3,0),"")</f>
        <v/>
      </c>
    </row>
    <row r="9058" ht="11.25" customHeight="1">
      <c r="A9058" s="21"/>
      <c r="B9058" s="22"/>
      <c r="C9058" s="21"/>
      <c r="D9058" s="21"/>
      <c r="E9058" s="21"/>
      <c r="F9058" s="21"/>
      <c r="G9058" s="25"/>
      <c r="H9058" s="24" t="str">
        <f>IFERROR(VLOOKUP(B9058,material!A:D,3,0),"")</f>
        <v/>
      </c>
    </row>
    <row r="9059" ht="11.25" customHeight="1">
      <c r="A9059" s="21"/>
      <c r="B9059" s="22"/>
      <c r="C9059" s="21"/>
      <c r="D9059" s="21"/>
      <c r="E9059" s="21"/>
      <c r="F9059" s="21"/>
      <c r="G9059" s="25"/>
      <c r="H9059" s="24" t="str">
        <f>IFERROR(VLOOKUP(B9059,material!A:D,3,0),"")</f>
        <v/>
      </c>
    </row>
    <row r="9060" ht="11.25" customHeight="1">
      <c r="A9060" s="21"/>
      <c r="B9060" s="22"/>
      <c r="C9060" s="21"/>
      <c r="D9060" s="21"/>
      <c r="E9060" s="21"/>
      <c r="F9060" s="21"/>
      <c r="G9060" s="25"/>
      <c r="H9060" s="24" t="str">
        <f>IFERROR(VLOOKUP(B9060,material!A:D,3,0),"")</f>
        <v/>
      </c>
    </row>
    <row r="9061" ht="11.25" customHeight="1">
      <c r="A9061" s="21"/>
      <c r="B9061" s="22"/>
      <c r="C9061" s="21"/>
      <c r="D9061" s="21"/>
      <c r="E9061" s="21"/>
      <c r="F9061" s="21"/>
      <c r="G9061" s="25"/>
      <c r="H9061" s="24" t="str">
        <f>IFERROR(VLOOKUP(B9061,material!A:D,3,0),"")</f>
        <v/>
      </c>
    </row>
    <row r="9062" ht="11.25" customHeight="1">
      <c r="A9062" s="21"/>
      <c r="B9062" s="22"/>
      <c r="C9062" s="21"/>
      <c r="D9062" s="21"/>
      <c r="E9062" s="21"/>
      <c r="F9062" s="21"/>
      <c r="G9062" s="25"/>
      <c r="H9062" s="24" t="str">
        <f>IFERROR(VLOOKUP(B9062,material!A:D,3,0),"")</f>
        <v/>
      </c>
    </row>
    <row r="9063" ht="11.25" customHeight="1">
      <c r="A9063" s="21"/>
      <c r="B9063" s="22"/>
      <c r="C9063" s="21"/>
      <c r="D9063" s="21"/>
      <c r="E9063" s="21"/>
      <c r="F9063" s="21"/>
      <c r="G9063" s="25"/>
      <c r="H9063" s="24" t="str">
        <f>IFERROR(VLOOKUP(B9063,material!A:D,3,0),"")</f>
        <v/>
      </c>
    </row>
    <row r="9064" ht="11.25" customHeight="1">
      <c r="A9064" s="21"/>
      <c r="B9064" s="22"/>
      <c r="C9064" s="21"/>
      <c r="D9064" s="21"/>
      <c r="E9064" s="21"/>
      <c r="F9064" s="21"/>
      <c r="G9064" s="25"/>
      <c r="H9064" s="24" t="str">
        <f>IFERROR(VLOOKUP(B9064,material!A:D,3,0),"")</f>
        <v/>
      </c>
    </row>
    <row r="9065" ht="11.25" customHeight="1">
      <c r="A9065" s="21"/>
      <c r="B9065" s="22"/>
      <c r="C9065" s="21"/>
      <c r="D9065" s="21"/>
      <c r="E9065" s="21"/>
      <c r="F9065" s="21"/>
      <c r="G9065" s="25"/>
      <c r="H9065" s="24" t="str">
        <f>IFERROR(VLOOKUP(B9065,material!A:D,3,0),"")</f>
        <v/>
      </c>
    </row>
    <row r="9066" ht="11.25" customHeight="1">
      <c r="A9066" s="21"/>
      <c r="B9066" s="22"/>
      <c r="C9066" s="21"/>
      <c r="D9066" s="21"/>
      <c r="E9066" s="21"/>
      <c r="F9066" s="21"/>
      <c r="G9066" s="25"/>
      <c r="H9066" s="24" t="str">
        <f>IFERROR(VLOOKUP(B9066,material!A:D,3,0),"")</f>
        <v/>
      </c>
    </row>
    <row r="9067" ht="11.25" customHeight="1">
      <c r="A9067" s="21"/>
      <c r="B9067" s="22"/>
      <c r="C9067" s="21"/>
      <c r="D9067" s="21"/>
      <c r="E9067" s="21"/>
      <c r="F9067" s="21"/>
      <c r="G9067" s="25"/>
      <c r="H9067" s="24" t="str">
        <f>IFERROR(VLOOKUP(B9067,material!A:D,3,0),"")</f>
        <v/>
      </c>
    </row>
    <row r="9068" ht="11.25" customHeight="1">
      <c r="A9068" s="21"/>
      <c r="B9068" s="22"/>
      <c r="C9068" s="21"/>
      <c r="D9068" s="21"/>
      <c r="E9068" s="21"/>
      <c r="F9068" s="21"/>
      <c r="G9068" s="25"/>
      <c r="H9068" s="24" t="str">
        <f>IFERROR(VLOOKUP(B9068,material!A:D,3,0),"")</f>
        <v/>
      </c>
    </row>
    <row r="9069" ht="11.25" customHeight="1">
      <c r="A9069" s="21"/>
      <c r="B9069" s="22"/>
      <c r="C9069" s="21"/>
      <c r="D9069" s="21"/>
      <c r="E9069" s="21"/>
      <c r="F9069" s="21"/>
      <c r="G9069" s="25"/>
      <c r="H9069" s="24" t="str">
        <f>IFERROR(VLOOKUP(B9069,material!A:D,3,0),"")</f>
        <v/>
      </c>
    </row>
    <row r="9070" ht="11.25" customHeight="1">
      <c r="A9070" s="21"/>
      <c r="B9070" s="22"/>
      <c r="C9070" s="21"/>
      <c r="D9070" s="21"/>
      <c r="E9070" s="21"/>
      <c r="F9070" s="21"/>
      <c r="G9070" s="25"/>
      <c r="H9070" s="24" t="str">
        <f>IFERROR(VLOOKUP(B9070,material!A:D,3,0),"")</f>
        <v/>
      </c>
    </row>
    <row r="9071" ht="11.25" customHeight="1">
      <c r="A9071" s="21"/>
      <c r="B9071" s="22"/>
      <c r="C9071" s="21"/>
      <c r="D9071" s="21"/>
      <c r="E9071" s="21"/>
      <c r="F9071" s="21"/>
      <c r="G9071" s="25"/>
      <c r="H9071" s="24" t="str">
        <f>IFERROR(VLOOKUP(B9071,material!A:D,3,0),"")</f>
        <v/>
      </c>
    </row>
    <row r="9072" ht="11.25" customHeight="1">
      <c r="A9072" s="21"/>
      <c r="B9072" s="22"/>
      <c r="C9072" s="21"/>
      <c r="D9072" s="21"/>
      <c r="E9072" s="21"/>
      <c r="F9072" s="21"/>
      <c r="G9072" s="25"/>
      <c r="H9072" s="24" t="str">
        <f>IFERROR(VLOOKUP(B9072,material!A:D,3,0),"")</f>
        <v/>
      </c>
    </row>
    <row r="9073" ht="11.25" customHeight="1">
      <c r="A9073" s="21"/>
      <c r="B9073" s="22"/>
      <c r="C9073" s="21"/>
      <c r="D9073" s="21"/>
      <c r="E9073" s="21"/>
      <c r="F9073" s="21"/>
      <c r="G9073" s="25"/>
      <c r="H9073" s="24" t="str">
        <f>IFERROR(VLOOKUP(B9073,material!A:D,3,0),"")</f>
        <v/>
      </c>
    </row>
    <row r="9074" ht="11.25" customHeight="1">
      <c r="A9074" s="21"/>
      <c r="B9074" s="22"/>
      <c r="C9074" s="21"/>
      <c r="D9074" s="21"/>
      <c r="E9074" s="21"/>
      <c r="F9074" s="21"/>
      <c r="G9074" s="25"/>
      <c r="H9074" s="24" t="str">
        <f>IFERROR(VLOOKUP(B9074,material!A:D,3,0),"")</f>
        <v/>
      </c>
    </row>
    <row r="9075" ht="11.25" customHeight="1">
      <c r="A9075" s="21"/>
      <c r="B9075" s="22"/>
      <c r="C9075" s="21"/>
      <c r="D9075" s="21"/>
      <c r="E9075" s="21"/>
      <c r="F9075" s="21"/>
      <c r="G9075" s="25"/>
      <c r="H9075" s="24" t="str">
        <f>IFERROR(VLOOKUP(B9075,material!A:D,3,0),"")</f>
        <v/>
      </c>
    </row>
    <row r="9076" ht="11.25" customHeight="1">
      <c r="A9076" s="21"/>
      <c r="B9076" s="22"/>
      <c r="C9076" s="21"/>
      <c r="D9076" s="21"/>
      <c r="E9076" s="21"/>
      <c r="F9076" s="21"/>
      <c r="G9076" s="25"/>
      <c r="H9076" s="24" t="str">
        <f>IFERROR(VLOOKUP(B9076,material!A:D,3,0),"")</f>
        <v/>
      </c>
    </row>
    <row r="9077" ht="11.25" customHeight="1">
      <c r="A9077" s="21"/>
      <c r="B9077" s="22"/>
      <c r="C9077" s="21"/>
      <c r="D9077" s="21"/>
      <c r="E9077" s="21"/>
      <c r="F9077" s="21"/>
      <c r="G9077" s="25"/>
      <c r="H9077" s="24" t="str">
        <f>IFERROR(VLOOKUP(B9077,material!A:D,3,0),"")</f>
        <v/>
      </c>
    </row>
    <row r="9078" ht="11.25" customHeight="1">
      <c r="A9078" s="21"/>
      <c r="B9078" s="22"/>
      <c r="C9078" s="21"/>
      <c r="D9078" s="21"/>
      <c r="E9078" s="21"/>
      <c r="F9078" s="21"/>
      <c r="G9078" s="25"/>
      <c r="H9078" s="24" t="str">
        <f>IFERROR(VLOOKUP(B9078,material!A:D,3,0),"")</f>
        <v/>
      </c>
    </row>
    <row r="9079" ht="11.25" customHeight="1">
      <c r="A9079" s="21"/>
      <c r="B9079" s="22"/>
      <c r="C9079" s="21"/>
      <c r="D9079" s="21"/>
      <c r="E9079" s="21"/>
      <c r="F9079" s="21"/>
      <c r="G9079" s="25"/>
      <c r="H9079" s="24" t="str">
        <f>IFERROR(VLOOKUP(B9079,material!A:D,3,0),"")</f>
        <v/>
      </c>
    </row>
    <row r="9080" ht="11.25" customHeight="1">
      <c r="A9080" s="21"/>
      <c r="B9080" s="22"/>
      <c r="C9080" s="21"/>
      <c r="D9080" s="21"/>
      <c r="E9080" s="21"/>
      <c r="F9080" s="21"/>
      <c r="G9080" s="25"/>
      <c r="H9080" s="24" t="str">
        <f>IFERROR(VLOOKUP(B9080,material!A:D,3,0),"")</f>
        <v/>
      </c>
    </row>
    <row r="9081" ht="11.25" customHeight="1">
      <c r="A9081" s="21"/>
      <c r="B9081" s="22"/>
      <c r="C9081" s="21"/>
      <c r="D9081" s="21"/>
      <c r="E9081" s="21"/>
      <c r="F9081" s="21"/>
      <c r="G9081" s="25"/>
      <c r="H9081" s="24" t="str">
        <f>IFERROR(VLOOKUP(B9081,material!A:D,3,0),"")</f>
        <v/>
      </c>
    </row>
    <row r="9082" ht="11.25" customHeight="1">
      <c r="A9082" s="21"/>
      <c r="B9082" s="22"/>
      <c r="C9082" s="21"/>
      <c r="D9082" s="21"/>
      <c r="E9082" s="21"/>
      <c r="F9082" s="21"/>
      <c r="G9082" s="25"/>
      <c r="H9082" s="24" t="str">
        <f>IFERROR(VLOOKUP(B9082,material!A:D,3,0),"")</f>
        <v/>
      </c>
    </row>
    <row r="9083" ht="11.25" customHeight="1">
      <c r="A9083" s="21"/>
      <c r="B9083" s="22"/>
      <c r="C9083" s="21"/>
      <c r="D9083" s="21"/>
      <c r="E9083" s="21"/>
      <c r="F9083" s="21"/>
      <c r="G9083" s="25"/>
      <c r="H9083" s="24" t="str">
        <f>IFERROR(VLOOKUP(B9083,material!A:D,3,0),"")</f>
        <v/>
      </c>
    </row>
    <row r="9084" ht="11.25" customHeight="1">
      <c r="A9084" s="21"/>
      <c r="B9084" s="22"/>
      <c r="C9084" s="21"/>
      <c r="D9084" s="21"/>
      <c r="E9084" s="21"/>
      <c r="F9084" s="21"/>
      <c r="G9084" s="25"/>
      <c r="H9084" s="24" t="str">
        <f>IFERROR(VLOOKUP(B9084,material!A:D,3,0),"")</f>
        <v/>
      </c>
    </row>
    <row r="9085" ht="11.25" customHeight="1">
      <c r="A9085" s="21"/>
      <c r="B9085" s="22"/>
      <c r="C9085" s="21"/>
      <c r="D9085" s="21"/>
      <c r="E9085" s="21"/>
      <c r="F9085" s="21"/>
      <c r="G9085" s="25"/>
      <c r="H9085" s="24" t="str">
        <f>IFERROR(VLOOKUP(B9085,material!A:D,3,0),"")</f>
        <v/>
      </c>
    </row>
    <row r="9086" ht="11.25" customHeight="1">
      <c r="A9086" s="21"/>
      <c r="B9086" s="22"/>
      <c r="C9086" s="21"/>
      <c r="D9086" s="21"/>
      <c r="E9086" s="21"/>
      <c r="F9086" s="21"/>
      <c r="G9086" s="25"/>
      <c r="H9086" s="24" t="str">
        <f>IFERROR(VLOOKUP(B9086,material!A:D,3,0),"")</f>
        <v/>
      </c>
    </row>
    <row r="9087" ht="11.25" customHeight="1">
      <c r="A9087" s="21"/>
      <c r="B9087" s="22"/>
      <c r="C9087" s="21"/>
      <c r="D9087" s="21"/>
      <c r="E9087" s="21"/>
      <c r="F9087" s="21"/>
      <c r="G9087" s="25"/>
      <c r="H9087" s="24" t="str">
        <f>IFERROR(VLOOKUP(B9087,material!A:D,3,0),"")</f>
        <v/>
      </c>
    </row>
    <row r="9088" ht="11.25" customHeight="1">
      <c r="A9088" s="21"/>
      <c r="B9088" s="22"/>
      <c r="C9088" s="21"/>
      <c r="D9088" s="21"/>
      <c r="E9088" s="21"/>
      <c r="F9088" s="21"/>
      <c r="G9088" s="25"/>
      <c r="H9088" s="24" t="str">
        <f>IFERROR(VLOOKUP(B9088,material!A:D,3,0),"")</f>
        <v/>
      </c>
    </row>
    <row r="9089" ht="11.25" customHeight="1">
      <c r="A9089" s="21"/>
      <c r="B9089" s="22"/>
      <c r="C9089" s="21"/>
      <c r="D9089" s="21"/>
      <c r="E9089" s="21"/>
      <c r="F9089" s="21"/>
      <c r="G9089" s="25"/>
      <c r="H9089" s="24" t="str">
        <f>IFERROR(VLOOKUP(B9089,material!A:D,3,0),"")</f>
        <v/>
      </c>
    </row>
    <row r="9090" ht="11.25" customHeight="1">
      <c r="A9090" s="21"/>
      <c r="B9090" s="22"/>
      <c r="C9090" s="21"/>
      <c r="D9090" s="21"/>
      <c r="E9090" s="21"/>
      <c r="F9090" s="21"/>
      <c r="G9090" s="25"/>
      <c r="H9090" s="24" t="str">
        <f>IFERROR(VLOOKUP(B9090,material!A:D,3,0),"")</f>
        <v/>
      </c>
    </row>
    <row r="9091" ht="11.25" customHeight="1">
      <c r="A9091" s="21"/>
      <c r="B9091" s="22"/>
      <c r="C9091" s="21"/>
      <c r="D9091" s="21"/>
      <c r="E9091" s="21"/>
      <c r="F9091" s="21"/>
      <c r="G9091" s="25"/>
      <c r="H9091" s="24" t="str">
        <f>IFERROR(VLOOKUP(B9091,material!A:D,3,0),"")</f>
        <v/>
      </c>
    </row>
    <row r="9092" ht="11.25" customHeight="1">
      <c r="A9092" s="21"/>
      <c r="B9092" s="22"/>
      <c r="C9092" s="21"/>
      <c r="D9092" s="21"/>
      <c r="E9092" s="21"/>
      <c r="F9092" s="21"/>
      <c r="G9092" s="25"/>
      <c r="H9092" s="24" t="str">
        <f>IFERROR(VLOOKUP(B9092,material!A:D,3,0),"")</f>
        <v/>
      </c>
    </row>
    <row r="9093" ht="11.25" customHeight="1">
      <c r="A9093" s="21"/>
      <c r="B9093" s="22"/>
      <c r="C9093" s="21"/>
      <c r="D9093" s="21"/>
      <c r="E9093" s="21"/>
      <c r="F9093" s="21"/>
      <c r="G9093" s="25"/>
      <c r="H9093" s="24" t="str">
        <f>IFERROR(VLOOKUP(B9093,material!A:D,3,0),"")</f>
        <v/>
      </c>
    </row>
    <row r="9094" ht="11.25" customHeight="1">
      <c r="A9094" s="21"/>
      <c r="B9094" s="22"/>
      <c r="C9094" s="21"/>
      <c r="D9094" s="21"/>
      <c r="E9094" s="21"/>
      <c r="F9094" s="21"/>
      <c r="G9094" s="25"/>
      <c r="H9094" s="24" t="str">
        <f>IFERROR(VLOOKUP(B9094,material!A:D,3,0),"")</f>
        <v/>
      </c>
    </row>
    <row r="9095" ht="11.25" customHeight="1">
      <c r="A9095" s="21"/>
      <c r="B9095" s="22"/>
      <c r="C9095" s="21"/>
      <c r="D9095" s="21"/>
      <c r="E9095" s="21"/>
      <c r="F9095" s="21"/>
      <c r="G9095" s="25"/>
      <c r="H9095" s="24" t="str">
        <f>IFERROR(VLOOKUP(B9095,material!A:D,3,0),"")</f>
        <v/>
      </c>
    </row>
    <row r="9096" ht="11.25" customHeight="1">
      <c r="A9096" s="21"/>
      <c r="B9096" s="22"/>
      <c r="C9096" s="21"/>
      <c r="D9096" s="21"/>
      <c r="E9096" s="21"/>
      <c r="F9096" s="21"/>
      <c r="G9096" s="25"/>
      <c r="H9096" s="24" t="str">
        <f>IFERROR(VLOOKUP(B9096,material!A:D,3,0),"")</f>
        <v/>
      </c>
    </row>
    <row r="9097" ht="11.25" customHeight="1">
      <c r="A9097" s="21"/>
      <c r="B9097" s="22"/>
      <c r="C9097" s="21"/>
      <c r="D9097" s="21"/>
      <c r="E9097" s="21"/>
      <c r="F9097" s="21"/>
      <c r="G9097" s="25"/>
      <c r="H9097" s="24" t="str">
        <f>IFERROR(VLOOKUP(B9097,material!A:D,3,0),"")</f>
        <v/>
      </c>
    </row>
    <row r="9098" ht="11.25" customHeight="1">
      <c r="A9098" s="21"/>
      <c r="B9098" s="22"/>
      <c r="C9098" s="21"/>
      <c r="D9098" s="21"/>
      <c r="E9098" s="21"/>
      <c r="F9098" s="21"/>
      <c r="G9098" s="25"/>
      <c r="H9098" s="24" t="str">
        <f>IFERROR(VLOOKUP(B9098,material!A:D,3,0),"")</f>
        <v/>
      </c>
    </row>
    <row r="9099" ht="11.25" customHeight="1">
      <c r="A9099" s="21"/>
      <c r="B9099" s="22"/>
      <c r="C9099" s="21"/>
      <c r="D9099" s="21"/>
      <c r="E9099" s="21"/>
      <c r="F9099" s="21"/>
      <c r="G9099" s="25"/>
      <c r="H9099" s="24" t="str">
        <f>IFERROR(VLOOKUP(B9099,material!A:D,3,0),"")</f>
        <v/>
      </c>
    </row>
    <row r="9100" ht="11.25" customHeight="1">
      <c r="A9100" s="21"/>
      <c r="B9100" s="22"/>
      <c r="C9100" s="21"/>
      <c r="D9100" s="21"/>
      <c r="E9100" s="21"/>
      <c r="F9100" s="21"/>
      <c r="G9100" s="25"/>
      <c r="H9100" s="24" t="str">
        <f>IFERROR(VLOOKUP(B9100,material!A:D,3,0),"")</f>
        <v/>
      </c>
    </row>
    <row r="9101" ht="11.25" customHeight="1">
      <c r="A9101" s="21"/>
      <c r="B9101" s="22"/>
      <c r="C9101" s="21"/>
      <c r="D9101" s="21"/>
      <c r="E9101" s="21"/>
      <c r="F9101" s="21"/>
      <c r="G9101" s="25"/>
      <c r="H9101" s="24" t="str">
        <f>IFERROR(VLOOKUP(B9101,material!A:D,3,0),"")</f>
        <v/>
      </c>
    </row>
    <row r="9102" ht="11.25" customHeight="1">
      <c r="A9102" s="21"/>
      <c r="B9102" s="22"/>
      <c r="C9102" s="21"/>
      <c r="D9102" s="21"/>
      <c r="E9102" s="21"/>
      <c r="F9102" s="21"/>
      <c r="G9102" s="25"/>
      <c r="H9102" s="24" t="str">
        <f>IFERROR(VLOOKUP(B9102,material!A:D,3,0),"")</f>
        <v/>
      </c>
    </row>
    <row r="9103" ht="11.25" customHeight="1">
      <c r="A9103" s="21"/>
      <c r="B9103" s="22"/>
      <c r="C9103" s="21"/>
      <c r="D9103" s="21"/>
      <c r="E9103" s="21"/>
      <c r="F9103" s="21"/>
      <c r="G9103" s="25"/>
      <c r="H9103" s="24" t="str">
        <f>IFERROR(VLOOKUP(B9103,material!A:D,3,0),"")</f>
        <v/>
      </c>
    </row>
    <row r="9104" ht="11.25" customHeight="1">
      <c r="A9104" s="21"/>
      <c r="B9104" s="22"/>
      <c r="C9104" s="21"/>
      <c r="D9104" s="21"/>
      <c r="E9104" s="21"/>
      <c r="F9104" s="21"/>
      <c r="G9104" s="25"/>
      <c r="H9104" s="24" t="str">
        <f>IFERROR(VLOOKUP(B9104,material!A:D,3,0),"")</f>
        <v/>
      </c>
    </row>
    <row r="9105" ht="11.25" customHeight="1">
      <c r="A9105" s="21"/>
      <c r="B9105" s="22"/>
      <c r="C9105" s="21"/>
      <c r="D9105" s="21"/>
      <c r="E9105" s="21"/>
      <c r="F9105" s="21"/>
      <c r="G9105" s="25"/>
      <c r="H9105" s="24" t="str">
        <f>IFERROR(VLOOKUP(B9105,material!A:D,3,0),"")</f>
        <v/>
      </c>
    </row>
    <row r="9106" ht="11.25" customHeight="1">
      <c r="A9106" s="21"/>
      <c r="B9106" s="22"/>
      <c r="C9106" s="21"/>
      <c r="D9106" s="21"/>
      <c r="E9106" s="21"/>
      <c r="F9106" s="21"/>
      <c r="G9106" s="25"/>
      <c r="H9106" s="24" t="str">
        <f>IFERROR(VLOOKUP(B9106,material!A:D,3,0),"")</f>
        <v/>
      </c>
    </row>
    <row r="9107" ht="11.25" customHeight="1">
      <c r="A9107" s="21"/>
      <c r="B9107" s="22"/>
      <c r="C9107" s="21"/>
      <c r="D9107" s="21"/>
      <c r="E9107" s="21"/>
      <c r="F9107" s="21"/>
      <c r="G9107" s="25"/>
      <c r="H9107" s="24" t="str">
        <f>IFERROR(VLOOKUP(B9107,material!A:D,3,0),"")</f>
        <v/>
      </c>
    </row>
    <row r="9108" ht="11.25" customHeight="1">
      <c r="A9108" s="21"/>
      <c r="B9108" s="22"/>
      <c r="C9108" s="21"/>
      <c r="D9108" s="21"/>
      <c r="E9108" s="21"/>
      <c r="F9108" s="21"/>
      <c r="G9108" s="25"/>
      <c r="H9108" s="24" t="str">
        <f>IFERROR(VLOOKUP(B9108,material!A:D,3,0),"")</f>
        <v/>
      </c>
    </row>
    <row r="9109" ht="11.25" customHeight="1">
      <c r="A9109" s="21"/>
      <c r="B9109" s="22"/>
      <c r="C9109" s="21"/>
      <c r="D9109" s="21"/>
      <c r="E9109" s="21"/>
      <c r="F9109" s="21"/>
      <c r="G9109" s="25"/>
      <c r="H9109" s="24" t="str">
        <f>IFERROR(VLOOKUP(B9109,material!A:D,3,0),"")</f>
        <v/>
      </c>
    </row>
    <row r="9110" ht="11.25" customHeight="1">
      <c r="A9110" s="21"/>
      <c r="B9110" s="22"/>
      <c r="C9110" s="21"/>
      <c r="D9110" s="21"/>
      <c r="E9110" s="21"/>
      <c r="F9110" s="21"/>
      <c r="G9110" s="25"/>
      <c r="H9110" s="24" t="str">
        <f>IFERROR(VLOOKUP(B9110,material!A:D,3,0),"")</f>
        <v/>
      </c>
    </row>
    <row r="9111" ht="11.25" customHeight="1">
      <c r="A9111" s="21"/>
      <c r="B9111" s="22"/>
      <c r="C9111" s="21"/>
      <c r="D9111" s="21"/>
      <c r="E9111" s="21"/>
      <c r="F9111" s="21"/>
      <c r="G9111" s="25"/>
      <c r="H9111" s="24" t="str">
        <f>IFERROR(VLOOKUP(B9111,material!A:D,3,0),"")</f>
        <v/>
      </c>
    </row>
    <row r="9112" ht="11.25" customHeight="1">
      <c r="A9112" s="21"/>
      <c r="B9112" s="22"/>
      <c r="C9112" s="21"/>
      <c r="D9112" s="21"/>
      <c r="E9112" s="21"/>
      <c r="F9112" s="21"/>
      <c r="G9112" s="25"/>
      <c r="H9112" s="24" t="str">
        <f>IFERROR(VLOOKUP(B9112,material!A:D,3,0),"")</f>
        <v/>
      </c>
    </row>
    <row r="9113" ht="11.25" customHeight="1">
      <c r="A9113" s="21"/>
      <c r="B9113" s="22"/>
      <c r="C9113" s="21"/>
      <c r="D9113" s="21"/>
      <c r="E9113" s="21"/>
      <c r="F9113" s="21"/>
      <c r="G9113" s="25"/>
      <c r="H9113" s="24" t="str">
        <f>IFERROR(VLOOKUP(B9113,material!A:D,3,0),"")</f>
        <v/>
      </c>
    </row>
    <row r="9114" ht="11.25" customHeight="1">
      <c r="A9114" s="21"/>
      <c r="B9114" s="22"/>
      <c r="C9114" s="21"/>
      <c r="D9114" s="21"/>
      <c r="E9114" s="21"/>
      <c r="F9114" s="21"/>
      <c r="G9114" s="25"/>
      <c r="H9114" s="24" t="str">
        <f>IFERROR(VLOOKUP(B9114,material!A:D,3,0),"")</f>
        <v/>
      </c>
    </row>
    <row r="9115" ht="11.25" customHeight="1">
      <c r="A9115" s="21"/>
      <c r="B9115" s="22"/>
      <c r="C9115" s="21"/>
      <c r="D9115" s="21"/>
      <c r="E9115" s="21"/>
      <c r="F9115" s="21"/>
      <c r="G9115" s="25"/>
      <c r="H9115" s="24" t="str">
        <f>IFERROR(VLOOKUP(B9115,material!A:D,3,0),"")</f>
        <v/>
      </c>
    </row>
    <row r="9116" ht="11.25" customHeight="1">
      <c r="A9116" s="21"/>
      <c r="B9116" s="22"/>
      <c r="C9116" s="21"/>
      <c r="D9116" s="21"/>
      <c r="E9116" s="21"/>
      <c r="F9116" s="21"/>
      <c r="G9116" s="25"/>
      <c r="H9116" s="24" t="str">
        <f>IFERROR(VLOOKUP(B9116,material!A:D,3,0),"")</f>
        <v/>
      </c>
    </row>
    <row r="9117" ht="11.25" customHeight="1">
      <c r="A9117" s="21"/>
      <c r="B9117" s="22"/>
      <c r="C9117" s="21"/>
      <c r="D9117" s="21"/>
      <c r="E9117" s="21"/>
      <c r="F9117" s="21"/>
      <c r="G9117" s="25"/>
      <c r="H9117" s="24" t="str">
        <f>IFERROR(VLOOKUP(B9117,material!A:D,3,0),"")</f>
        <v/>
      </c>
    </row>
    <row r="9118" ht="11.25" customHeight="1">
      <c r="A9118" s="21"/>
      <c r="B9118" s="22"/>
      <c r="C9118" s="21"/>
      <c r="D9118" s="21"/>
      <c r="E9118" s="21"/>
      <c r="F9118" s="21"/>
      <c r="G9118" s="25"/>
      <c r="H9118" s="24" t="str">
        <f>IFERROR(VLOOKUP(B9118,material!A:D,3,0),"")</f>
        <v/>
      </c>
    </row>
    <row r="9119" ht="11.25" customHeight="1">
      <c r="A9119" s="21"/>
      <c r="B9119" s="22"/>
      <c r="C9119" s="21"/>
      <c r="D9119" s="21"/>
      <c r="E9119" s="21"/>
      <c r="F9119" s="21"/>
      <c r="G9119" s="25"/>
      <c r="H9119" s="24" t="str">
        <f>IFERROR(VLOOKUP(B9119,material!A:D,3,0),"")</f>
        <v/>
      </c>
    </row>
    <row r="9120" ht="11.25" customHeight="1">
      <c r="A9120" s="21"/>
      <c r="B9120" s="22"/>
      <c r="C9120" s="21"/>
      <c r="D9120" s="21"/>
      <c r="E9120" s="21"/>
      <c r="F9120" s="21"/>
      <c r="G9120" s="25"/>
      <c r="H9120" s="24" t="str">
        <f>IFERROR(VLOOKUP(B9120,material!A:D,3,0),"")</f>
        <v/>
      </c>
    </row>
    <row r="9121" ht="11.25" customHeight="1">
      <c r="A9121" s="21"/>
      <c r="B9121" s="22"/>
      <c r="C9121" s="21"/>
      <c r="D9121" s="21"/>
      <c r="E9121" s="21"/>
      <c r="F9121" s="21"/>
      <c r="G9121" s="25"/>
      <c r="H9121" s="24" t="str">
        <f>IFERROR(VLOOKUP(B9121,material!A:D,3,0),"")</f>
        <v/>
      </c>
    </row>
    <row r="9122" ht="11.25" customHeight="1">
      <c r="A9122" s="21"/>
      <c r="B9122" s="22"/>
      <c r="C9122" s="21"/>
      <c r="D9122" s="21"/>
      <c r="E9122" s="21"/>
      <c r="F9122" s="21"/>
      <c r="G9122" s="25"/>
      <c r="H9122" s="24" t="str">
        <f>IFERROR(VLOOKUP(B9122,material!A:D,3,0),"")</f>
        <v/>
      </c>
    </row>
    <row r="9123" ht="11.25" customHeight="1">
      <c r="A9123" s="21"/>
      <c r="B9123" s="22"/>
      <c r="C9123" s="21"/>
      <c r="D9123" s="21"/>
      <c r="E9123" s="21"/>
      <c r="F9123" s="21"/>
      <c r="G9123" s="25"/>
      <c r="H9123" s="24" t="str">
        <f>IFERROR(VLOOKUP(B9123,material!A:D,3,0),"")</f>
        <v/>
      </c>
    </row>
    <row r="9124" ht="11.25" customHeight="1">
      <c r="A9124" s="21"/>
      <c r="B9124" s="22"/>
      <c r="C9124" s="21"/>
      <c r="D9124" s="21"/>
      <c r="E9124" s="21"/>
      <c r="F9124" s="21"/>
      <c r="G9124" s="25"/>
      <c r="H9124" s="24" t="str">
        <f>IFERROR(VLOOKUP(B9124,material!A:D,3,0),"")</f>
        <v/>
      </c>
    </row>
    <row r="9125" ht="11.25" customHeight="1">
      <c r="A9125" s="21"/>
      <c r="B9125" s="22"/>
      <c r="C9125" s="21"/>
      <c r="D9125" s="21"/>
      <c r="E9125" s="21"/>
      <c r="F9125" s="21"/>
      <c r="G9125" s="25"/>
      <c r="H9125" s="24" t="str">
        <f>IFERROR(VLOOKUP(B9125,material!A:D,3,0),"")</f>
        <v/>
      </c>
    </row>
    <row r="9126" ht="11.25" customHeight="1">
      <c r="A9126" s="21"/>
      <c r="B9126" s="22"/>
      <c r="C9126" s="21"/>
      <c r="D9126" s="21"/>
      <c r="E9126" s="21"/>
      <c r="F9126" s="21"/>
      <c r="G9126" s="25"/>
      <c r="H9126" s="24" t="str">
        <f>IFERROR(VLOOKUP(B9126,material!A:D,3,0),"")</f>
        <v/>
      </c>
    </row>
    <row r="9127" ht="11.25" customHeight="1">
      <c r="A9127" s="21"/>
      <c r="B9127" s="22"/>
      <c r="C9127" s="21"/>
      <c r="D9127" s="21"/>
      <c r="E9127" s="21"/>
      <c r="F9127" s="21"/>
      <c r="G9127" s="25"/>
      <c r="H9127" s="24" t="str">
        <f>IFERROR(VLOOKUP(B9127,material!A:D,3,0),"")</f>
        <v/>
      </c>
    </row>
    <row r="9128" ht="11.25" customHeight="1">
      <c r="A9128" s="21"/>
      <c r="B9128" s="22"/>
      <c r="C9128" s="21"/>
      <c r="D9128" s="21"/>
      <c r="E9128" s="21"/>
      <c r="F9128" s="21"/>
      <c r="G9128" s="25"/>
      <c r="H9128" s="24" t="str">
        <f>IFERROR(VLOOKUP(B9128,material!A:D,3,0),"")</f>
        <v/>
      </c>
    </row>
    <row r="9129" ht="11.25" customHeight="1">
      <c r="A9129" s="21"/>
      <c r="B9129" s="22"/>
      <c r="C9129" s="21"/>
      <c r="D9129" s="21"/>
      <c r="E9129" s="21"/>
      <c r="F9129" s="21"/>
      <c r="G9129" s="25"/>
      <c r="H9129" s="24" t="str">
        <f>IFERROR(VLOOKUP(B9129,material!A:D,3,0),"")</f>
        <v/>
      </c>
    </row>
    <row r="9130" ht="11.25" customHeight="1">
      <c r="A9130" s="21"/>
      <c r="B9130" s="22"/>
      <c r="C9130" s="21"/>
      <c r="D9130" s="21"/>
      <c r="E9130" s="21"/>
      <c r="F9130" s="21"/>
      <c r="G9130" s="25"/>
      <c r="H9130" s="24" t="str">
        <f>IFERROR(VLOOKUP(B9130,material!A:D,3,0),"")</f>
        <v/>
      </c>
    </row>
    <row r="9131" ht="11.25" customHeight="1">
      <c r="A9131" s="21"/>
      <c r="B9131" s="22"/>
      <c r="C9131" s="21"/>
      <c r="D9131" s="21"/>
      <c r="E9131" s="21"/>
      <c r="F9131" s="21"/>
      <c r="G9131" s="25"/>
      <c r="H9131" s="24" t="str">
        <f>IFERROR(VLOOKUP(B9131,material!A:D,3,0),"")</f>
        <v/>
      </c>
    </row>
    <row r="9132" ht="11.25" customHeight="1">
      <c r="A9132" s="21"/>
      <c r="B9132" s="22"/>
      <c r="C9132" s="21"/>
      <c r="D9132" s="21"/>
      <c r="E9132" s="21"/>
      <c r="F9132" s="21"/>
      <c r="G9132" s="25"/>
      <c r="H9132" s="24" t="str">
        <f>IFERROR(VLOOKUP(B9132,material!A:D,3,0),"")</f>
        <v/>
      </c>
    </row>
    <row r="9133" ht="11.25" customHeight="1">
      <c r="A9133" s="21"/>
      <c r="B9133" s="22"/>
      <c r="C9133" s="21"/>
      <c r="D9133" s="21"/>
      <c r="E9133" s="21"/>
      <c r="F9133" s="21"/>
      <c r="G9133" s="25"/>
      <c r="H9133" s="24" t="str">
        <f>IFERROR(VLOOKUP(B9133,material!A:D,3,0),"")</f>
        <v/>
      </c>
    </row>
    <row r="9134" ht="11.25" customHeight="1">
      <c r="A9134" s="21"/>
      <c r="B9134" s="22"/>
      <c r="C9134" s="21"/>
      <c r="D9134" s="21"/>
      <c r="E9134" s="21"/>
      <c r="F9134" s="21"/>
      <c r="G9134" s="25"/>
      <c r="H9134" s="24" t="str">
        <f>IFERROR(VLOOKUP(B9134,material!A:D,3,0),"")</f>
        <v/>
      </c>
    </row>
    <row r="9135" ht="11.25" customHeight="1">
      <c r="A9135" s="21"/>
      <c r="B9135" s="22"/>
      <c r="C9135" s="21"/>
      <c r="D9135" s="21"/>
      <c r="E9135" s="21"/>
      <c r="F9135" s="21"/>
      <c r="G9135" s="25"/>
      <c r="H9135" s="24" t="str">
        <f>IFERROR(VLOOKUP(B9135,material!A:D,3,0),"")</f>
        <v/>
      </c>
    </row>
    <row r="9136" ht="11.25" customHeight="1">
      <c r="A9136" s="21"/>
      <c r="B9136" s="22"/>
      <c r="C9136" s="21"/>
      <c r="D9136" s="21"/>
      <c r="E9136" s="21"/>
      <c r="F9136" s="21"/>
      <c r="G9136" s="25"/>
      <c r="H9136" s="24" t="str">
        <f>IFERROR(VLOOKUP(B9136,material!A:D,3,0),"")</f>
        <v/>
      </c>
    </row>
    <row r="9137" ht="11.25" customHeight="1">
      <c r="A9137" s="21"/>
      <c r="B9137" s="22"/>
      <c r="C9137" s="21"/>
      <c r="D9137" s="21"/>
      <c r="E9137" s="21"/>
      <c r="F9137" s="21"/>
      <c r="G9137" s="25"/>
      <c r="H9137" s="24" t="str">
        <f>IFERROR(VLOOKUP(B9137,material!A:D,3,0),"")</f>
        <v/>
      </c>
    </row>
    <row r="9138" ht="11.25" customHeight="1">
      <c r="A9138" s="21"/>
      <c r="B9138" s="22"/>
      <c r="C9138" s="21"/>
      <c r="D9138" s="21"/>
      <c r="E9138" s="21"/>
      <c r="F9138" s="21"/>
      <c r="G9138" s="25"/>
      <c r="H9138" s="24" t="str">
        <f>IFERROR(VLOOKUP(B9138,material!A:D,3,0),"")</f>
        <v/>
      </c>
    </row>
    <row r="9139" ht="11.25" customHeight="1">
      <c r="A9139" s="21"/>
      <c r="B9139" s="22"/>
      <c r="C9139" s="21"/>
      <c r="D9139" s="21"/>
      <c r="E9139" s="21"/>
      <c r="F9139" s="21"/>
      <c r="G9139" s="25"/>
      <c r="H9139" s="24" t="str">
        <f>IFERROR(VLOOKUP(B9139,material!A:D,3,0),"")</f>
        <v/>
      </c>
    </row>
    <row r="9140" ht="11.25" customHeight="1">
      <c r="A9140" s="21"/>
      <c r="B9140" s="22"/>
      <c r="C9140" s="21"/>
      <c r="D9140" s="21"/>
      <c r="E9140" s="21"/>
      <c r="F9140" s="21"/>
      <c r="G9140" s="25"/>
      <c r="H9140" s="24" t="str">
        <f>IFERROR(VLOOKUP(B9140,material!A:D,3,0),"")</f>
        <v/>
      </c>
    </row>
    <row r="9141" ht="11.25" customHeight="1">
      <c r="A9141" s="21"/>
      <c r="B9141" s="22"/>
      <c r="C9141" s="21"/>
      <c r="D9141" s="21"/>
      <c r="E9141" s="21"/>
      <c r="F9141" s="21"/>
      <c r="G9141" s="25"/>
      <c r="H9141" s="24" t="str">
        <f>IFERROR(VLOOKUP(B9141,material!A:D,3,0),"")</f>
        <v/>
      </c>
    </row>
    <row r="9142" ht="11.25" customHeight="1">
      <c r="A9142" s="21"/>
      <c r="B9142" s="22"/>
      <c r="C9142" s="21"/>
      <c r="D9142" s="21"/>
      <c r="E9142" s="21"/>
      <c r="F9142" s="21"/>
      <c r="G9142" s="25"/>
      <c r="H9142" s="24" t="str">
        <f>IFERROR(VLOOKUP(B9142,material!A:D,3,0),"")</f>
        <v/>
      </c>
    </row>
    <row r="9143" ht="11.25" customHeight="1">
      <c r="A9143" s="21"/>
      <c r="B9143" s="22"/>
      <c r="C9143" s="21"/>
      <c r="D9143" s="21"/>
      <c r="E9143" s="21"/>
      <c r="F9143" s="21"/>
      <c r="G9143" s="25"/>
      <c r="H9143" s="24" t="str">
        <f>IFERROR(VLOOKUP(B9143,material!A:D,3,0),"")</f>
        <v/>
      </c>
    </row>
    <row r="9144" ht="11.25" customHeight="1">
      <c r="A9144" s="21"/>
      <c r="B9144" s="22"/>
      <c r="C9144" s="21"/>
      <c r="D9144" s="21"/>
      <c r="E9144" s="21"/>
      <c r="F9144" s="21"/>
      <c r="G9144" s="25"/>
      <c r="H9144" s="24" t="str">
        <f>IFERROR(VLOOKUP(B9144,material!A:D,3,0),"")</f>
        <v/>
      </c>
    </row>
    <row r="9145" ht="11.25" customHeight="1">
      <c r="A9145" s="21"/>
      <c r="B9145" s="22"/>
      <c r="C9145" s="21"/>
      <c r="D9145" s="21"/>
      <c r="E9145" s="21"/>
      <c r="F9145" s="21"/>
      <c r="G9145" s="25"/>
      <c r="H9145" s="24" t="str">
        <f>IFERROR(VLOOKUP(B9145,material!A:D,3,0),"")</f>
        <v/>
      </c>
    </row>
    <row r="9146" ht="11.25" customHeight="1">
      <c r="A9146" s="21"/>
      <c r="B9146" s="22"/>
      <c r="C9146" s="21"/>
      <c r="D9146" s="21"/>
      <c r="E9146" s="21"/>
      <c r="F9146" s="21"/>
      <c r="G9146" s="25"/>
      <c r="H9146" s="24" t="str">
        <f>IFERROR(VLOOKUP(B9146,material!A:D,3,0),"")</f>
        <v/>
      </c>
    </row>
    <row r="9147" ht="11.25" customHeight="1">
      <c r="A9147" s="21"/>
      <c r="B9147" s="22"/>
      <c r="C9147" s="21"/>
      <c r="D9147" s="21"/>
      <c r="E9147" s="21"/>
      <c r="F9147" s="21"/>
      <c r="G9147" s="25"/>
      <c r="H9147" s="24" t="str">
        <f>IFERROR(VLOOKUP(B9147,material!A:D,3,0),"")</f>
        <v/>
      </c>
    </row>
    <row r="9148" ht="11.25" customHeight="1">
      <c r="A9148" s="21"/>
      <c r="B9148" s="22"/>
      <c r="C9148" s="21"/>
      <c r="D9148" s="21"/>
      <c r="E9148" s="21"/>
      <c r="F9148" s="21"/>
      <c r="G9148" s="25"/>
      <c r="H9148" s="24" t="str">
        <f>IFERROR(VLOOKUP(B9148,material!A:D,3,0),"")</f>
        <v/>
      </c>
    </row>
    <row r="9149" ht="11.25" customHeight="1">
      <c r="A9149" s="21"/>
      <c r="B9149" s="22"/>
      <c r="C9149" s="21"/>
      <c r="D9149" s="21"/>
      <c r="E9149" s="21"/>
      <c r="F9149" s="21"/>
      <c r="G9149" s="25"/>
      <c r="H9149" s="24" t="str">
        <f>IFERROR(VLOOKUP(B9149,material!A:D,3,0),"")</f>
        <v/>
      </c>
    </row>
    <row r="9150" ht="11.25" customHeight="1">
      <c r="A9150" s="21"/>
      <c r="B9150" s="22"/>
      <c r="C9150" s="21"/>
      <c r="D9150" s="21"/>
      <c r="E9150" s="21"/>
      <c r="F9150" s="21"/>
      <c r="G9150" s="25"/>
      <c r="H9150" s="24" t="str">
        <f>IFERROR(VLOOKUP(B9150,material!A:D,3,0),"")</f>
        <v/>
      </c>
    </row>
    <row r="9151" ht="11.25" customHeight="1">
      <c r="A9151" s="21"/>
      <c r="B9151" s="22"/>
      <c r="C9151" s="21"/>
      <c r="D9151" s="21"/>
      <c r="E9151" s="21"/>
      <c r="F9151" s="21"/>
      <c r="G9151" s="25"/>
      <c r="H9151" s="24" t="str">
        <f>IFERROR(VLOOKUP(B9151,material!A:D,3,0),"")</f>
        <v/>
      </c>
    </row>
    <row r="9152" ht="11.25" customHeight="1">
      <c r="A9152" s="21"/>
      <c r="B9152" s="22"/>
      <c r="C9152" s="21"/>
      <c r="D9152" s="21"/>
      <c r="E9152" s="21"/>
      <c r="F9152" s="21"/>
      <c r="G9152" s="25"/>
      <c r="H9152" s="24" t="str">
        <f>IFERROR(VLOOKUP(B9152,material!A:D,3,0),"")</f>
        <v/>
      </c>
    </row>
    <row r="9153" ht="11.25" customHeight="1">
      <c r="A9153" s="21"/>
      <c r="B9153" s="22"/>
      <c r="C9153" s="21"/>
      <c r="D9153" s="21"/>
      <c r="E9153" s="21"/>
      <c r="F9153" s="21"/>
      <c r="G9153" s="25"/>
      <c r="H9153" s="24" t="str">
        <f>IFERROR(VLOOKUP(B9153,material!A:D,3,0),"")</f>
        <v/>
      </c>
    </row>
    <row r="9154" ht="11.25" customHeight="1">
      <c r="A9154" s="21"/>
      <c r="B9154" s="22"/>
      <c r="C9154" s="21"/>
      <c r="D9154" s="21"/>
      <c r="E9154" s="21"/>
      <c r="F9154" s="21"/>
      <c r="G9154" s="25"/>
      <c r="H9154" s="24" t="str">
        <f>IFERROR(VLOOKUP(B9154,material!A:D,3,0),"")</f>
        <v/>
      </c>
    </row>
    <row r="9155" ht="11.25" customHeight="1">
      <c r="A9155" s="21"/>
      <c r="B9155" s="22"/>
      <c r="C9155" s="21"/>
      <c r="D9155" s="21"/>
      <c r="E9155" s="21"/>
      <c r="F9155" s="21"/>
      <c r="G9155" s="25"/>
      <c r="H9155" s="24" t="str">
        <f>IFERROR(VLOOKUP(B9155,material!A:D,3,0),"")</f>
        <v/>
      </c>
    </row>
    <row r="9156" ht="11.25" customHeight="1">
      <c r="A9156" s="21"/>
      <c r="B9156" s="22"/>
      <c r="C9156" s="21"/>
      <c r="D9156" s="21"/>
      <c r="E9156" s="21"/>
      <c r="F9156" s="21"/>
      <c r="G9156" s="25"/>
      <c r="H9156" s="24" t="str">
        <f>IFERROR(VLOOKUP(B9156,material!A:D,3,0),"")</f>
        <v/>
      </c>
    </row>
    <row r="9157" ht="11.25" customHeight="1">
      <c r="A9157" s="21"/>
      <c r="B9157" s="22"/>
      <c r="C9157" s="21"/>
      <c r="D9157" s="21"/>
      <c r="E9157" s="21"/>
      <c r="F9157" s="21"/>
      <c r="G9157" s="25"/>
      <c r="H9157" s="24" t="str">
        <f>IFERROR(VLOOKUP(B9157,material!A:D,3,0),"")</f>
        <v/>
      </c>
    </row>
    <row r="9158" ht="11.25" customHeight="1">
      <c r="A9158" s="21"/>
      <c r="B9158" s="22"/>
      <c r="C9158" s="21"/>
      <c r="D9158" s="21"/>
      <c r="E9158" s="21"/>
      <c r="F9158" s="21"/>
      <c r="G9158" s="25"/>
      <c r="H9158" s="24" t="str">
        <f>IFERROR(VLOOKUP(B9158,material!A:D,3,0),"")</f>
        <v/>
      </c>
    </row>
    <row r="9159" ht="11.25" customHeight="1">
      <c r="A9159" s="21"/>
      <c r="B9159" s="22"/>
      <c r="C9159" s="21"/>
      <c r="D9159" s="21"/>
      <c r="E9159" s="21"/>
      <c r="F9159" s="21"/>
      <c r="G9159" s="25"/>
      <c r="H9159" s="24" t="str">
        <f>IFERROR(VLOOKUP(B9159,material!A:D,3,0),"")</f>
        <v/>
      </c>
    </row>
    <row r="9160" ht="11.25" customHeight="1">
      <c r="A9160" s="21"/>
      <c r="B9160" s="22"/>
      <c r="C9160" s="21"/>
      <c r="D9160" s="21"/>
      <c r="E9160" s="21"/>
      <c r="F9160" s="21"/>
      <c r="G9160" s="25"/>
      <c r="H9160" s="24" t="str">
        <f>IFERROR(VLOOKUP(B9160,material!A:D,3,0),"")</f>
        <v/>
      </c>
    </row>
    <row r="9161" ht="11.25" customHeight="1">
      <c r="A9161" s="21"/>
      <c r="B9161" s="22"/>
      <c r="C9161" s="21"/>
      <c r="D9161" s="21"/>
      <c r="E9161" s="21"/>
      <c r="F9161" s="21"/>
      <c r="G9161" s="25"/>
      <c r="H9161" s="24" t="str">
        <f>IFERROR(VLOOKUP(B9161,material!A:D,3,0),"")</f>
        <v/>
      </c>
    </row>
    <row r="9162" ht="11.25" customHeight="1">
      <c r="A9162" s="21"/>
      <c r="B9162" s="22"/>
      <c r="C9162" s="21"/>
      <c r="D9162" s="21"/>
      <c r="E9162" s="21"/>
      <c r="F9162" s="21"/>
      <c r="G9162" s="25"/>
      <c r="H9162" s="24" t="str">
        <f>IFERROR(VLOOKUP(B9162,material!A:D,3,0),"")</f>
        <v/>
      </c>
    </row>
    <row r="9163" ht="11.25" customHeight="1">
      <c r="A9163" s="21"/>
      <c r="B9163" s="22"/>
      <c r="C9163" s="21"/>
      <c r="D9163" s="21"/>
      <c r="E9163" s="21"/>
      <c r="F9163" s="21"/>
      <c r="G9163" s="25"/>
      <c r="H9163" s="24" t="str">
        <f>IFERROR(VLOOKUP(B9163,material!A:D,3,0),"")</f>
        <v/>
      </c>
    </row>
    <row r="9164" ht="11.25" customHeight="1">
      <c r="A9164" s="21"/>
      <c r="B9164" s="22"/>
      <c r="C9164" s="21"/>
      <c r="D9164" s="21"/>
      <c r="E9164" s="21"/>
      <c r="F9164" s="21"/>
      <c r="G9164" s="25"/>
      <c r="H9164" s="24" t="str">
        <f>IFERROR(VLOOKUP(B9164,material!A:D,3,0),"")</f>
        <v/>
      </c>
    </row>
    <row r="9165" ht="11.25" customHeight="1">
      <c r="A9165" s="21"/>
      <c r="B9165" s="22"/>
      <c r="C9165" s="21"/>
      <c r="D9165" s="21"/>
      <c r="E9165" s="21"/>
      <c r="F9165" s="21"/>
      <c r="G9165" s="25"/>
      <c r="H9165" s="24" t="str">
        <f>IFERROR(VLOOKUP(B9165,material!A:D,3,0),"")</f>
        <v/>
      </c>
    </row>
    <row r="9166" ht="11.25" customHeight="1">
      <c r="A9166" s="21"/>
      <c r="B9166" s="22"/>
      <c r="C9166" s="21"/>
      <c r="D9166" s="21"/>
      <c r="E9166" s="21"/>
      <c r="F9166" s="21"/>
      <c r="G9166" s="25"/>
      <c r="H9166" s="24" t="str">
        <f>IFERROR(VLOOKUP(B9166,material!A:D,3,0),"")</f>
        <v/>
      </c>
    </row>
    <row r="9167" ht="11.25" customHeight="1">
      <c r="A9167" s="21"/>
      <c r="B9167" s="22"/>
      <c r="C9167" s="21"/>
      <c r="D9167" s="21"/>
      <c r="E9167" s="21"/>
      <c r="F9167" s="21"/>
      <c r="G9167" s="25"/>
      <c r="H9167" s="24" t="str">
        <f>IFERROR(VLOOKUP(B9167,material!A:D,3,0),"")</f>
        <v/>
      </c>
    </row>
    <row r="9168" ht="11.25" customHeight="1">
      <c r="A9168" s="21"/>
      <c r="B9168" s="22"/>
      <c r="C9168" s="21"/>
      <c r="D9168" s="21"/>
      <c r="E9168" s="21"/>
      <c r="F9168" s="21"/>
      <c r="G9168" s="25"/>
      <c r="H9168" s="24" t="str">
        <f>IFERROR(VLOOKUP(B9168,material!A:D,3,0),"")</f>
        <v/>
      </c>
    </row>
    <row r="9169" ht="11.25" customHeight="1">
      <c r="A9169" s="21"/>
      <c r="B9169" s="22"/>
      <c r="C9169" s="21"/>
      <c r="D9169" s="21"/>
      <c r="E9169" s="21"/>
      <c r="F9169" s="21"/>
      <c r="G9169" s="25"/>
      <c r="H9169" s="24" t="str">
        <f>IFERROR(VLOOKUP(B9169,material!A:D,3,0),"")</f>
        <v/>
      </c>
    </row>
    <row r="9170" ht="11.25" customHeight="1">
      <c r="A9170" s="21"/>
      <c r="B9170" s="22"/>
      <c r="C9170" s="21"/>
      <c r="D9170" s="21"/>
      <c r="E9170" s="21"/>
      <c r="F9170" s="21"/>
      <c r="G9170" s="25"/>
      <c r="H9170" s="24" t="str">
        <f>IFERROR(VLOOKUP(B9170,material!A:D,3,0),"")</f>
        <v/>
      </c>
    </row>
    <row r="9171" ht="11.25" customHeight="1">
      <c r="A9171" s="21"/>
      <c r="B9171" s="22"/>
      <c r="C9171" s="21"/>
      <c r="D9171" s="21"/>
      <c r="E9171" s="21"/>
      <c r="F9171" s="21"/>
      <c r="G9171" s="25"/>
      <c r="H9171" s="24" t="str">
        <f>IFERROR(VLOOKUP(B9171,material!A:D,3,0),"")</f>
        <v/>
      </c>
    </row>
    <row r="9172" ht="11.25" customHeight="1">
      <c r="A9172" s="21"/>
      <c r="B9172" s="22"/>
      <c r="C9172" s="21"/>
      <c r="D9172" s="21"/>
      <c r="E9172" s="21"/>
      <c r="F9172" s="21"/>
      <c r="G9172" s="25"/>
      <c r="H9172" s="24" t="str">
        <f>IFERROR(VLOOKUP(B9172,material!A:D,3,0),"")</f>
        <v/>
      </c>
    </row>
    <row r="9173" ht="11.25" customHeight="1">
      <c r="A9173" s="21"/>
      <c r="B9173" s="22"/>
      <c r="C9173" s="21"/>
      <c r="D9173" s="21"/>
      <c r="E9173" s="21"/>
      <c r="F9173" s="21"/>
      <c r="G9173" s="25"/>
      <c r="H9173" s="24" t="str">
        <f>IFERROR(VLOOKUP(B9173,material!A:D,3,0),"")</f>
        <v/>
      </c>
    </row>
    <row r="9174" ht="11.25" customHeight="1">
      <c r="A9174" s="21"/>
      <c r="B9174" s="22"/>
      <c r="C9174" s="21"/>
      <c r="D9174" s="21"/>
      <c r="E9174" s="21"/>
      <c r="F9174" s="21"/>
      <c r="G9174" s="25"/>
      <c r="H9174" s="24" t="str">
        <f>IFERROR(VLOOKUP(B9174,material!A:D,3,0),"")</f>
        <v/>
      </c>
    </row>
    <row r="9175" ht="11.25" customHeight="1">
      <c r="A9175" s="21"/>
      <c r="B9175" s="22"/>
      <c r="C9175" s="21"/>
      <c r="D9175" s="21"/>
      <c r="E9175" s="21"/>
      <c r="F9175" s="21"/>
      <c r="G9175" s="25"/>
      <c r="H9175" s="24" t="str">
        <f>IFERROR(VLOOKUP(B9175,material!A:D,3,0),"")</f>
        <v/>
      </c>
    </row>
    <row r="9176" ht="11.25" customHeight="1">
      <c r="A9176" s="21"/>
      <c r="B9176" s="22"/>
      <c r="C9176" s="21"/>
      <c r="D9176" s="21"/>
      <c r="E9176" s="21"/>
      <c r="F9176" s="21"/>
      <c r="G9176" s="25"/>
      <c r="H9176" s="24" t="str">
        <f>IFERROR(VLOOKUP(B9176,material!A:D,3,0),"")</f>
        <v/>
      </c>
    </row>
    <row r="9177" ht="11.25" customHeight="1">
      <c r="A9177" s="21"/>
      <c r="B9177" s="22"/>
      <c r="C9177" s="21"/>
      <c r="D9177" s="21"/>
      <c r="E9177" s="21"/>
      <c r="F9177" s="21"/>
      <c r="G9177" s="25"/>
      <c r="H9177" s="24" t="str">
        <f>IFERROR(VLOOKUP(B9177,material!A:D,3,0),"")</f>
        <v/>
      </c>
    </row>
    <row r="9178" ht="11.25" customHeight="1">
      <c r="A9178" s="21"/>
      <c r="B9178" s="22"/>
      <c r="C9178" s="21"/>
      <c r="D9178" s="21"/>
      <c r="E9178" s="21"/>
      <c r="F9178" s="21"/>
      <c r="G9178" s="25"/>
      <c r="H9178" s="24" t="str">
        <f>IFERROR(VLOOKUP(B9178,material!A:D,3,0),"")</f>
        <v/>
      </c>
    </row>
    <row r="9179" ht="11.25" customHeight="1">
      <c r="A9179" s="21"/>
      <c r="B9179" s="22"/>
      <c r="C9179" s="21"/>
      <c r="D9179" s="21"/>
      <c r="E9179" s="21"/>
      <c r="F9179" s="21"/>
      <c r="G9179" s="25"/>
      <c r="H9179" s="24" t="str">
        <f>IFERROR(VLOOKUP(B9179,material!A:D,3,0),"")</f>
        <v/>
      </c>
    </row>
    <row r="9180" ht="11.25" customHeight="1">
      <c r="A9180" s="21"/>
      <c r="B9180" s="22"/>
      <c r="C9180" s="21"/>
      <c r="D9180" s="21"/>
      <c r="E9180" s="21"/>
      <c r="F9180" s="21"/>
      <c r="G9180" s="25"/>
      <c r="H9180" s="24" t="str">
        <f>IFERROR(VLOOKUP(B9180,material!A:D,3,0),"")</f>
        <v/>
      </c>
    </row>
    <row r="9181" ht="11.25" customHeight="1">
      <c r="A9181" s="21"/>
      <c r="B9181" s="22"/>
      <c r="C9181" s="21"/>
      <c r="D9181" s="21"/>
      <c r="E9181" s="21"/>
      <c r="F9181" s="21"/>
      <c r="G9181" s="25"/>
      <c r="H9181" s="24" t="str">
        <f>IFERROR(VLOOKUP(B9181,material!A:D,3,0),"")</f>
        <v/>
      </c>
    </row>
    <row r="9182" ht="11.25" customHeight="1">
      <c r="A9182" s="21"/>
      <c r="B9182" s="22"/>
      <c r="C9182" s="21"/>
      <c r="D9182" s="21"/>
      <c r="E9182" s="21"/>
      <c r="F9182" s="21"/>
      <c r="G9182" s="25"/>
      <c r="H9182" s="24" t="str">
        <f>IFERROR(VLOOKUP(B9182,material!A:D,3,0),"")</f>
        <v/>
      </c>
    </row>
    <row r="9183" ht="11.25" customHeight="1">
      <c r="A9183" s="21"/>
      <c r="B9183" s="22"/>
      <c r="C9183" s="21"/>
      <c r="D9183" s="21"/>
      <c r="E9183" s="21"/>
      <c r="F9183" s="21"/>
      <c r="G9183" s="25"/>
      <c r="H9183" s="24" t="str">
        <f>IFERROR(VLOOKUP(B9183,material!A:D,3,0),"")</f>
        <v/>
      </c>
    </row>
    <row r="9184" ht="11.25" customHeight="1">
      <c r="A9184" s="21"/>
      <c r="B9184" s="22"/>
      <c r="C9184" s="21"/>
      <c r="D9184" s="21"/>
      <c r="E9184" s="21"/>
      <c r="F9184" s="21"/>
      <c r="G9184" s="25"/>
      <c r="H9184" s="24" t="str">
        <f>IFERROR(VLOOKUP(B9184,material!A:D,3,0),"")</f>
        <v/>
      </c>
    </row>
    <row r="9185" ht="11.25" customHeight="1">
      <c r="A9185" s="21"/>
      <c r="B9185" s="22"/>
      <c r="C9185" s="21"/>
      <c r="D9185" s="21"/>
      <c r="E9185" s="21"/>
      <c r="F9185" s="21"/>
      <c r="G9185" s="25"/>
      <c r="H9185" s="24" t="str">
        <f>IFERROR(VLOOKUP(B9185,material!A:D,3,0),"")</f>
        <v/>
      </c>
    </row>
    <row r="9186" ht="11.25" customHeight="1">
      <c r="A9186" s="21"/>
      <c r="B9186" s="22"/>
      <c r="C9186" s="21"/>
      <c r="D9186" s="21"/>
      <c r="E9186" s="21"/>
      <c r="F9186" s="21"/>
      <c r="G9186" s="25"/>
      <c r="H9186" s="24" t="str">
        <f>IFERROR(VLOOKUP(B9186,material!A:D,3,0),"")</f>
        <v/>
      </c>
    </row>
    <row r="9187" ht="11.25" customHeight="1">
      <c r="A9187" s="21"/>
      <c r="B9187" s="22"/>
      <c r="C9187" s="21"/>
      <c r="D9187" s="21"/>
      <c r="E9187" s="21"/>
      <c r="F9187" s="21"/>
      <c r="G9187" s="25"/>
      <c r="H9187" s="24" t="str">
        <f>IFERROR(VLOOKUP(B9187,material!A:D,3,0),"")</f>
        <v/>
      </c>
    </row>
    <row r="9188" ht="11.25" customHeight="1">
      <c r="A9188" s="21"/>
      <c r="B9188" s="22"/>
      <c r="C9188" s="21"/>
      <c r="D9188" s="21"/>
      <c r="E9188" s="21"/>
      <c r="F9188" s="21"/>
      <c r="G9188" s="25"/>
      <c r="H9188" s="24" t="str">
        <f>IFERROR(VLOOKUP(B9188,material!A:D,3,0),"")</f>
        <v/>
      </c>
    </row>
    <row r="9189" ht="11.25" customHeight="1">
      <c r="A9189" s="21"/>
      <c r="B9189" s="22"/>
      <c r="C9189" s="21"/>
      <c r="D9189" s="21"/>
      <c r="E9189" s="21"/>
      <c r="F9189" s="21"/>
      <c r="G9189" s="25"/>
      <c r="H9189" s="24" t="str">
        <f>IFERROR(VLOOKUP(B9189,material!A:D,3,0),"")</f>
        <v/>
      </c>
    </row>
    <row r="9190" ht="11.25" customHeight="1">
      <c r="A9190" s="21"/>
      <c r="B9190" s="22"/>
      <c r="C9190" s="21"/>
      <c r="D9190" s="21"/>
      <c r="E9190" s="21"/>
      <c r="F9190" s="21"/>
      <c r="G9190" s="25"/>
      <c r="H9190" s="24" t="str">
        <f>IFERROR(VLOOKUP(B9190,material!A:D,3,0),"")</f>
        <v/>
      </c>
    </row>
    <row r="9191" ht="11.25" customHeight="1">
      <c r="A9191" s="21"/>
      <c r="B9191" s="22"/>
      <c r="C9191" s="21"/>
      <c r="D9191" s="21"/>
      <c r="E9191" s="21"/>
      <c r="F9191" s="21"/>
      <c r="G9191" s="25"/>
      <c r="H9191" s="24" t="str">
        <f>IFERROR(VLOOKUP(B9191,material!A:D,3,0),"")</f>
        <v/>
      </c>
    </row>
    <row r="9192" ht="11.25" customHeight="1">
      <c r="A9192" s="21"/>
      <c r="B9192" s="22"/>
      <c r="C9192" s="21"/>
      <c r="D9192" s="21"/>
      <c r="E9192" s="21"/>
      <c r="F9192" s="21"/>
      <c r="G9192" s="25"/>
      <c r="H9192" s="24" t="str">
        <f>IFERROR(VLOOKUP(B9192,material!A:D,3,0),"")</f>
        <v/>
      </c>
    </row>
    <row r="9193" ht="11.25" customHeight="1">
      <c r="A9193" s="21"/>
      <c r="B9193" s="22"/>
      <c r="C9193" s="21"/>
      <c r="D9193" s="21"/>
      <c r="E9193" s="21"/>
      <c r="F9193" s="21"/>
      <c r="G9193" s="25"/>
      <c r="H9193" s="24" t="str">
        <f>IFERROR(VLOOKUP(B9193,material!A:D,3,0),"")</f>
        <v/>
      </c>
    </row>
    <row r="9194" ht="11.25" customHeight="1">
      <c r="A9194" s="21"/>
      <c r="B9194" s="22"/>
      <c r="C9194" s="21"/>
      <c r="D9194" s="21"/>
      <c r="E9194" s="21"/>
      <c r="F9194" s="21"/>
      <c r="G9194" s="25"/>
      <c r="H9194" s="24" t="str">
        <f>IFERROR(VLOOKUP(B9194,material!A:D,3,0),"")</f>
        <v/>
      </c>
    </row>
    <row r="9195" ht="11.25" customHeight="1">
      <c r="A9195" s="21"/>
      <c r="B9195" s="22"/>
      <c r="C9195" s="21"/>
      <c r="D9195" s="21"/>
      <c r="E9195" s="21"/>
      <c r="F9195" s="21"/>
      <c r="G9195" s="25"/>
      <c r="H9195" s="24" t="str">
        <f>IFERROR(VLOOKUP(B9195,material!A:D,3,0),"")</f>
        <v/>
      </c>
    </row>
    <row r="9196" ht="11.25" customHeight="1">
      <c r="A9196" s="21"/>
      <c r="B9196" s="22"/>
      <c r="C9196" s="21"/>
      <c r="D9196" s="21"/>
      <c r="E9196" s="21"/>
      <c r="F9196" s="21"/>
      <c r="G9196" s="25"/>
      <c r="H9196" s="24" t="str">
        <f>IFERROR(VLOOKUP(B9196,material!A:D,3,0),"")</f>
        <v/>
      </c>
    </row>
    <row r="9197" ht="11.25" customHeight="1">
      <c r="A9197" s="21"/>
      <c r="B9197" s="22"/>
      <c r="C9197" s="21"/>
      <c r="D9197" s="21"/>
      <c r="E9197" s="21"/>
      <c r="F9197" s="21"/>
      <c r="G9197" s="25"/>
      <c r="H9197" s="24" t="str">
        <f>IFERROR(VLOOKUP(B9197,material!A:D,3,0),"")</f>
        <v/>
      </c>
    </row>
    <row r="9198" ht="11.25" customHeight="1">
      <c r="A9198" s="21"/>
      <c r="B9198" s="22"/>
      <c r="C9198" s="21"/>
      <c r="D9198" s="21"/>
      <c r="E9198" s="21"/>
      <c r="F9198" s="21"/>
      <c r="G9198" s="25"/>
      <c r="H9198" s="24" t="str">
        <f>IFERROR(VLOOKUP(B9198,material!A:D,3,0),"")</f>
        <v/>
      </c>
    </row>
    <row r="9199" ht="11.25" customHeight="1">
      <c r="A9199" s="21"/>
      <c r="B9199" s="22"/>
      <c r="C9199" s="21"/>
      <c r="D9199" s="21"/>
      <c r="E9199" s="21"/>
      <c r="F9199" s="21"/>
      <c r="G9199" s="25"/>
      <c r="H9199" s="24" t="str">
        <f>IFERROR(VLOOKUP(B9199,material!A:D,3,0),"")</f>
        <v/>
      </c>
    </row>
    <row r="9200" ht="11.25" customHeight="1">
      <c r="A9200" s="21"/>
      <c r="B9200" s="22"/>
      <c r="C9200" s="21"/>
      <c r="D9200" s="21"/>
      <c r="E9200" s="21"/>
      <c r="F9200" s="21"/>
      <c r="G9200" s="25"/>
      <c r="H9200" s="24" t="str">
        <f>IFERROR(VLOOKUP(B9200,material!A:D,3,0),"")</f>
        <v/>
      </c>
    </row>
    <row r="9201" ht="11.25" customHeight="1">
      <c r="A9201" s="21"/>
      <c r="B9201" s="22"/>
      <c r="C9201" s="21"/>
      <c r="D9201" s="21"/>
      <c r="E9201" s="21"/>
      <c r="F9201" s="21"/>
      <c r="G9201" s="25"/>
      <c r="H9201" s="24" t="str">
        <f>IFERROR(VLOOKUP(B9201,material!A:D,3,0),"")</f>
        <v/>
      </c>
    </row>
    <row r="9202" ht="11.25" customHeight="1">
      <c r="A9202" s="21"/>
      <c r="B9202" s="22"/>
      <c r="C9202" s="21"/>
      <c r="D9202" s="21"/>
      <c r="E9202" s="21"/>
      <c r="F9202" s="21"/>
      <c r="G9202" s="25"/>
      <c r="H9202" s="24" t="str">
        <f>IFERROR(VLOOKUP(B9202,material!A:D,3,0),"")</f>
        <v/>
      </c>
    </row>
    <row r="9203" ht="11.25" customHeight="1">
      <c r="A9203" s="21"/>
      <c r="B9203" s="22"/>
      <c r="C9203" s="21"/>
      <c r="D9203" s="21"/>
      <c r="E9203" s="21"/>
      <c r="F9203" s="21"/>
      <c r="G9203" s="25"/>
      <c r="H9203" s="24" t="str">
        <f>IFERROR(VLOOKUP(B9203,material!A:D,3,0),"")</f>
        <v/>
      </c>
    </row>
    <row r="9204" ht="11.25" customHeight="1">
      <c r="A9204" s="21"/>
      <c r="B9204" s="22"/>
      <c r="C9204" s="21"/>
      <c r="D9204" s="21"/>
      <c r="E9204" s="21"/>
      <c r="F9204" s="21"/>
      <c r="G9204" s="25"/>
      <c r="H9204" s="24" t="str">
        <f>IFERROR(VLOOKUP(B9204,material!A:D,3,0),"")</f>
        <v/>
      </c>
    </row>
    <row r="9205" ht="11.25" customHeight="1">
      <c r="A9205" s="21"/>
      <c r="B9205" s="22"/>
      <c r="C9205" s="21"/>
      <c r="D9205" s="21"/>
      <c r="E9205" s="21"/>
      <c r="F9205" s="21"/>
      <c r="G9205" s="25"/>
      <c r="H9205" s="24" t="str">
        <f>IFERROR(VLOOKUP(B9205,material!A:D,3,0),"")</f>
        <v/>
      </c>
    </row>
    <row r="9206" ht="11.25" customHeight="1">
      <c r="A9206" s="21"/>
      <c r="B9206" s="22"/>
      <c r="C9206" s="21"/>
      <c r="D9206" s="21"/>
      <c r="E9206" s="21"/>
      <c r="F9206" s="21"/>
      <c r="G9206" s="25"/>
      <c r="H9206" s="24" t="str">
        <f>IFERROR(VLOOKUP(B9206,material!A:D,3,0),"")</f>
        <v/>
      </c>
    </row>
    <row r="9207" ht="11.25" customHeight="1">
      <c r="A9207" s="21"/>
      <c r="B9207" s="22"/>
      <c r="C9207" s="21"/>
      <c r="D9207" s="21"/>
      <c r="E9207" s="21"/>
      <c r="F9207" s="21"/>
      <c r="G9207" s="25"/>
      <c r="H9207" s="24" t="str">
        <f>IFERROR(VLOOKUP(B9207,material!A:D,3,0),"")</f>
        <v/>
      </c>
    </row>
    <row r="9208" ht="11.25" customHeight="1">
      <c r="A9208" s="21"/>
      <c r="B9208" s="22"/>
      <c r="C9208" s="21"/>
      <c r="D9208" s="21"/>
      <c r="E9208" s="21"/>
      <c r="F9208" s="21"/>
      <c r="G9208" s="25"/>
      <c r="H9208" s="24" t="str">
        <f>IFERROR(VLOOKUP(B9208,material!A:D,3,0),"")</f>
        <v/>
      </c>
    </row>
    <row r="9209" ht="11.25" customHeight="1">
      <c r="A9209" s="21"/>
      <c r="B9209" s="22"/>
      <c r="C9209" s="21"/>
      <c r="D9209" s="21"/>
      <c r="E9209" s="21"/>
      <c r="F9209" s="21"/>
      <c r="G9209" s="25"/>
      <c r="H9209" s="24" t="str">
        <f>IFERROR(VLOOKUP(B9209,material!A:D,3,0),"")</f>
        <v/>
      </c>
    </row>
    <row r="9210" ht="11.25" customHeight="1">
      <c r="A9210" s="21"/>
      <c r="B9210" s="22"/>
      <c r="C9210" s="21"/>
      <c r="D9210" s="21"/>
      <c r="E9210" s="21"/>
      <c r="F9210" s="21"/>
      <c r="G9210" s="25"/>
      <c r="H9210" s="24" t="str">
        <f>IFERROR(VLOOKUP(B9210,material!A:D,3,0),"")</f>
        <v/>
      </c>
    </row>
    <row r="9211" ht="11.25" customHeight="1">
      <c r="A9211" s="21"/>
      <c r="B9211" s="22"/>
      <c r="C9211" s="21"/>
      <c r="D9211" s="21"/>
      <c r="E9211" s="21"/>
      <c r="F9211" s="21"/>
      <c r="G9211" s="25"/>
      <c r="H9211" s="24" t="str">
        <f>IFERROR(VLOOKUP(B9211,material!A:D,3,0),"")</f>
        <v/>
      </c>
    </row>
    <row r="9212" ht="11.25" customHeight="1">
      <c r="A9212" s="21"/>
      <c r="B9212" s="22"/>
      <c r="C9212" s="21"/>
      <c r="D9212" s="21"/>
      <c r="E9212" s="21"/>
      <c r="F9212" s="21"/>
      <c r="G9212" s="25"/>
      <c r="H9212" s="24" t="str">
        <f>IFERROR(VLOOKUP(B9212,material!A:D,3,0),"")</f>
        <v/>
      </c>
    </row>
    <row r="9213" ht="11.25" customHeight="1">
      <c r="A9213" s="21"/>
      <c r="B9213" s="22"/>
      <c r="C9213" s="21"/>
      <c r="D9213" s="21"/>
      <c r="E9213" s="21"/>
      <c r="F9213" s="21"/>
      <c r="G9213" s="25"/>
      <c r="H9213" s="24" t="str">
        <f>IFERROR(VLOOKUP(B9213,material!A:D,3,0),"")</f>
        <v/>
      </c>
    </row>
    <row r="9214" ht="11.25" customHeight="1">
      <c r="A9214" s="21"/>
      <c r="B9214" s="22"/>
      <c r="C9214" s="21"/>
      <c r="D9214" s="21"/>
      <c r="E9214" s="21"/>
      <c r="F9214" s="21"/>
      <c r="G9214" s="25"/>
      <c r="H9214" s="24" t="str">
        <f>IFERROR(VLOOKUP(B9214,material!A:D,3,0),"")</f>
        <v/>
      </c>
    </row>
    <row r="9215" ht="11.25" customHeight="1">
      <c r="A9215" s="21"/>
      <c r="B9215" s="22"/>
      <c r="C9215" s="21"/>
      <c r="D9215" s="21"/>
      <c r="E9215" s="21"/>
      <c r="F9215" s="21"/>
      <c r="G9215" s="25"/>
      <c r="H9215" s="24" t="str">
        <f>IFERROR(VLOOKUP(B9215,material!A:D,3,0),"")</f>
        <v/>
      </c>
    </row>
    <row r="9216" ht="11.25" customHeight="1">
      <c r="A9216" s="21"/>
      <c r="B9216" s="22"/>
      <c r="C9216" s="21"/>
      <c r="D9216" s="21"/>
      <c r="E9216" s="21"/>
      <c r="F9216" s="21"/>
      <c r="G9216" s="25"/>
      <c r="H9216" s="24" t="str">
        <f>IFERROR(VLOOKUP(B9216,material!A:D,3,0),"")</f>
        <v/>
      </c>
    </row>
    <row r="9217" ht="11.25" customHeight="1">
      <c r="A9217" s="21"/>
      <c r="B9217" s="22"/>
      <c r="C9217" s="21"/>
      <c r="D9217" s="21"/>
      <c r="E9217" s="21"/>
      <c r="F9217" s="21"/>
      <c r="G9217" s="25"/>
      <c r="H9217" s="24" t="str">
        <f>IFERROR(VLOOKUP(B9217,material!A:D,3,0),"")</f>
        <v/>
      </c>
    </row>
    <row r="9218" ht="11.25" customHeight="1">
      <c r="A9218" s="21"/>
      <c r="B9218" s="22"/>
      <c r="C9218" s="21"/>
      <c r="D9218" s="21"/>
      <c r="E9218" s="21"/>
      <c r="F9218" s="21"/>
      <c r="G9218" s="25"/>
      <c r="H9218" s="24" t="str">
        <f>IFERROR(VLOOKUP(B9218,material!A:D,3,0),"")</f>
        <v/>
      </c>
    </row>
    <row r="9219" ht="11.25" customHeight="1">
      <c r="A9219" s="21"/>
      <c r="B9219" s="22"/>
      <c r="C9219" s="21"/>
      <c r="D9219" s="21"/>
      <c r="E9219" s="21"/>
      <c r="F9219" s="21"/>
      <c r="G9219" s="25"/>
      <c r="H9219" s="24" t="str">
        <f>IFERROR(VLOOKUP(B9219,material!A:D,3,0),"")</f>
        <v/>
      </c>
    </row>
    <row r="9220" ht="11.25" customHeight="1">
      <c r="A9220" s="21"/>
      <c r="B9220" s="22"/>
      <c r="C9220" s="21"/>
      <c r="D9220" s="21"/>
      <c r="E9220" s="21"/>
      <c r="F9220" s="21"/>
      <c r="G9220" s="25"/>
      <c r="H9220" s="24" t="str">
        <f>IFERROR(VLOOKUP(B9220,material!A:D,3,0),"")</f>
        <v/>
      </c>
    </row>
    <row r="9221" ht="11.25" customHeight="1">
      <c r="A9221" s="21"/>
      <c r="B9221" s="22"/>
      <c r="C9221" s="21"/>
      <c r="D9221" s="21"/>
      <c r="E9221" s="21"/>
      <c r="F9221" s="21"/>
      <c r="G9221" s="25"/>
      <c r="H9221" s="24" t="str">
        <f>IFERROR(VLOOKUP(B9221,material!A:D,3,0),"")</f>
        <v/>
      </c>
    </row>
    <row r="9222" ht="11.25" customHeight="1">
      <c r="A9222" s="21"/>
      <c r="B9222" s="22"/>
      <c r="C9222" s="21"/>
      <c r="D9222" s="21"/>
      <c r="E9222" s="21"/>
      <c r="F9222" s="21"/>
      <c r="G9222" s="25"/>
      <c r="H9222" s="24" t="str">
        <f>IFERROR(VLOOKUP(B9222,material!A:D,3,0),"")</f>
        <v/>
      </c>
    </row>
    <row r="9223" ht="11.25" customHeight="1">
      <c r="A9223" s="21"/>
      <c r="B9223" s="22"/>
      <c r="C9223" s="21"/>
      <c r="D9223" s="21"/>
      <c r="E9223" s="21"/>
      <c r="F9223" s="21"/>
      <c r="G9223" s="25"/>
      <c r="H9223" s="24" t="str">
        <f>IFERROR(VLOOKUP(B9223,material!A:D,3,0),"")</f>
        <v/>
      </c>
    </row>
    <row r="9224" ht="11.25" customHeight="1">
      <c r="A9224" s="21"/>
      <c r="B9224" s="22"/>
      <c r="C9224" s="21"/>
      <c r="D9224" s="21"/>
      <c r="E9224" s="21"/>
      <c r="F9224" s="21"/>
      <c r="G9224" s="25"/>
      <c r="H9224" s="24" t="str">
        <f>IFERROR(VLOOKUP(B9224,material!A:D,3,0),"")</f>
        <v/>
      </c>
    </row>
    <row r="9225" ht="11.25" customHeight="1">
      <c r="A9225" s="21"/>
      <c r="B9225" s="22"/>
      <c r="C9225" s="21"/>
      <c r="D9225" s="21"/>
      <c r="E9225" s="21"/>
      <c r="F9225" s="21"/>
      <c r="G9225" s="25"/>
      <c r="H9225" s="24" t="str">
        <f>IFERROR(VLOOKUP(B9225,material!A:D,3,0),"")</f>
        <v/>
      </c>
    </row>
    <row r="9226" ht="11.25" customHeight="1">
      <c r="A9226" s="21"/>
      <c r="B9226" s="22"/>
      <c r="C9226" s="21"/>
      <c r="D9226" s="21"/>
      <c r="E9226" s="21"/>
      <c r="F9226" s="21"/>
      <c r="G9226" s="25"/>
      <c r="H9226" s="24" t="str">
        <f>IFERROR(VLOOKUP(B9226,material!A:D,3,0),"")</f>
        <v/>
      </c>
    </row>
    <row r="9227" ht="11.25" customHeight="1">
      <c r="A9227" s="21"/>
      <c r="B9227" s="22"/>
      <c r="C9227" s="21"/>
      <c r="D9227" s="21"/>
      <c r="E9227" s="21"/>
      <c r="F9227" s="21"/>
      <c r="G9227" s="25"/>
      <c r="H9227" s="24" t="str">
        <f>IFERROR(VLOOKUP(B9227,material!A:D,3,0),"")</f>
        <v/>
      </c>
    </row>
    <row r="9228" ht="11.25" customHeight="1">
      <c r="A9228" s="21"/>
      <c r="B9228" s="22"/>
      <c r="C9228" s="21"/>
      <c r="D9228" s="21"/>
      <c r="E9228" s="21"/>
      <c r="F9228" s="21"/>
      <c r="G9228" s="25"/>
      <c r="H9228" s="24" t="str">
        <f>IFERROR(VLOOKUP(B9228,material!A:D,3,0),"")</f>
        <v/>
      </c>
    </row>
    <row r="9229" ht="11.25" customHeight="1">
      <c r="A9229" s="21"/>
      <c r="B9229" s="22"/>
      <c r="C9229" s="21"/>
      <c r="D9229" s="21"/>
      <c r="E9229" s="21"/>
      <c r="F9229" s="21"/>
      <c r="G9229" s="25"/>
      <c r="H9229" s="24" t="str">
        <f>IFERROR(VLOOKUP(B9229,material!A:D,3,0),"")</f>
        <v/>
      </c>
    </row>
    <row r="9230" ht="11.25" customHeight="1">
      <c r="A9230" s="21"/>
      <c r="B9230" s="22"/>
      <c r="C9230" s="21"/>
      <c r="D9230" s="21"/>
      <c r="E9230" s="21"/>
      <c r="F9230" s="21"/>
      <c r="G9230" s="25"/>
      <c r="H9230" s="24" t="str">
        <f>IFERROR(VLOOKUP(B9230,material!A:D,3,0),"")</f>
        <v/>
      </c>
    </row>
    <row r="9231" ht="11.25" customHeight="1">
      <c r="A9231" s="21"/>
      <c r="B9231" s="22"/>
      <c r="C9231" s="21"/>
      <c r="D9231" s="21"/>
      <c r="E9231" s="21"/>
      <c r="F9231" s="21"/>
      <c r="G9231" s="25"/>
      <c r="H9231" s="24" t="str">
        <f>IFERROR(VLOOKUP(B9231,material!A:D,3,0),"")</f>
        <v/>
      </c>
    </row>
    <row r="9232" ht="11.25" customHeight="1">
      <c r="A9232" s="21"/>
      <c r="B9232" s="22"/>
      <c r="C9232" s="21"/>
      <c r="D9232" s="21"/>
      <c r="E9232" s="21"/>
      <c r="F9232" s="21"/>
      <c r="G9232" s="25"/>
      <c r="H9232" s="24" t="str">
        <f>IFERROR(VLOOKUP(B9232,material!A:D,3,0),"")</f>
        <v/>
      </c>
    </row>
    <row r="9233" ht="11.25" customHeight="1">
      <c r="A9233" s="21"/>
      <c r="B9233" s="22"/>
      <c r="C9233" s="21"/>
      <c r="D9233" s="21"/>
      <c r="E9233" s="21"/>
      <c r="F9233" s="21"/>
      <c r="G9233" s="25"/>
      <c r="H9233" s="24" t="str">
        <f>IFERROR(VLOOKUP(B9233,material!A:D,3,0),"")</f>
        <v/>
      </c>
    </row>
    <row r="9234" ht="11.25" customHeight="1">
      <c r="A9234" s="21"/>
      <c r="B9234" s="22"/>
      <c r="C9234" s="21"/>
      <c r="D9234" s="21"/>
      <c r="E9234" s="21"/>
      <c r="F9234" s="21"/>
      <c r="G9234" s="25"/>
      <c r="H9234" s="24" t="str">
        <f>IFERROR(VLOOKUP(B9234,material!A:D,3,0),"")</f>
        <v/>
      </c>
    </row>
    <row r="9235" ht="11.25" customHeight="1">
      <c r="A9235" s="21"/>
      <c r="B9235" s="22"/>
      <c r="C9235" s="21"/>
      <c r="D9235" s="21"/>
      <c r="E9235" s="21"/>
      <c r="F9235" s="21"/>
      <c r="G9235" s="25"/>
      <c r="H9235" s="24" t="str">
        <f>IFERROR(VLOOKUP(B9235,material!A:D,3,0),"")</f>
        <v/>
      </c>
    </row>
    <row r="9236" ht="11.25" customHeight="1">
      <c r="A9236" s="21"/>
      <c r="B9236" s="22"/>
      <c r="C9236" s="21"/>
      <c r="D9236" s="21"/>
      <c r="E9236" s="21"/>
      <c r="F9236" s="21"/>
      <c r="G9236" s="25"/>
      <c r="H9236" s="24" t="str">
        <f>IFERROR(VLOOKUP(B9236,material!A:D,3,0),"")</f>
        <v/>
      </c>
    </row>
    <row r="9237" ht="11.25" customHeight="1">
      <c r="A9237" s="21"/>
      <c r="B9237" s="22"/>
      <c r="C9237" s="21"/>
      <c r="D9237" s="21"/>
      <c r="E9237" s="21"/>
      <c r="F9237" s="21"/>
      <c r="G9237" s="25"/>
      <c r="H9237" s="24" t="str">
        <f>IFERROR(VLOOKUP(B9237,material!A:D,3,0),"")</f>
        <v/>
      </c>
    </row>
    <row r="9238" ht="11.25" customHeight="1">
      <c r="A9238" s="21"/>
      <c r="B9238" s="22"/>
      <c r="C9238" s="21"/>
      <c r="D9238" s="21"/>
      <c r="E9238" s="21"/>
      <c r="F9238" s="21"/>
      <c r="G9238" s="25"/>
      <c r="H9238" s="24" t="str">
        <f>IFERROR(VLOOKUP(B9238,material!A:D,3,0),"")</f>
        <v/>
      </c>
    </row>
    <row r="9239" ht="11.25" customHeight="1">
      <c r="A9239" s="21"/>
      <c r="B9239" s="22"/>
      <c r="C9239" s="21"/>
      <c r="D9239" s="21"/>
      <c r="E9239" s="21"/>
      <c r="F9239" s="21"/>
      <c r="G9239" s="25"/>
      <c r="H9239" s="24" t="str">
        <f>IFERROR(VLOOKUP(B9239,material!A:D,3,0),"")</f>
        <v/>
      </c>
    </row>
    <row r="9240" ht="11.25" customHeight="1">
      <c r="A9240" s="21"/>
      <c r="B9240" s="22"/>
      <c r="C9240" s="21"/>
      <c r="D9240" s="21"/>
      <c r="E9240" s="21"/>
      <c r="F9240" s="21"/>
      <c r="G9240" s="25"/>
      <c r="H9240" s="24" t="str">
        <f>IFERROR(VLOOKUP(B9240,material!A:D,3,0),"")</f>
        <v/>
      </c>
    </row>
    <row r="9241" ht="11.25" customHeight="1">
      <c r="A9241" s="21"/>
      <c r="B9241" s="22"/>
      <c r="C9241" s="21"/>
      <c r="D9241" s="21"/>
      <c r="E9241" s="21"/>
      <c r="F9241" s="21"/>
      <c r="G9241" s="25"/>
      <c r="H9241" s="24" t="str">
        <f>IFERROR(VLOOKUP(B9241,material!A:D,3,0),"")</f>
        <v/>
      </c>
    </row>
    <row r="9242" ht="11.25" customHeight="1">
      <c r="A9242" s="21"/>
      <c r="B9242" s="22"/>
      <c r="C9242" s="21"/>
      <c r="D9242" s="21"/>
      <c r="E9242" s="21"/>
      <c r="F9242" s="21"/>
      <c r="G9242" s="25"/>
      <c r="H9242" s="24" t="str">
        <f>IFERROR(VLOOKUP(B9242,material!A:D,3,0),"")</f>
        <v/>
      </c>
    </row>
    <row r="9243" ht="11.25" customHeight="1">
      <c r="A9243" s="21"/>
      <c r="B9243" s="22"/>
      <c r="C9243" s="21"/>
      <c r="D9243" s="21"/>
      <c r="E9243" s="21"/>
      <c r="F9243" s="21"/>
      <c r="G9243" s="25"/>
      <c r="H9243" s="24" t="str">
        <f>IFERROR(VLOOKUP(B9243,material!A:D,3,0),"")</f>
        <v/>
      </c>
    </row>
    <row r="9244" ht="11.25" customHeight="1">
      <c r="A9244" s="21"/>
      <c r="B9244" s="22"/>
      <c r="C9244" s="21"/>
      <c r="D9244" s="21"/>
      <c r="E9244" s="21"/>
      <c r="F9244" s="21"/>
      <c r="G9244" s="25"/>
      <c r="H9244" s="24" t="str">
        <f>IFERROR(VLOOKUP(B9244,material!A:D,3,0),"")</f>
        <v/>
      </c>
    </row>
    <row r="9245" ht="11.25" customHeight="1">
      <c r="A9245" s="21"/>
      <c r="B9245" s="22"/>
      <c r="C9245" s="21"/>
      <c r="D9245" s="21"/>
      <c r="E9245" s="21"/>
      <c r="F9245" s="21"/>
      <c r="G9245" s="25"/>
      <c r="H9245" s="24" t="str">
        <f>IFERROR(VLOOKUP(B9245,material!A:D,3,0),"")</f>
        <v/>
      </c>
    </row>
    <row r="9246" ht="11.25" customHeight="1">
      <c r="A9246" s="21"/>
      <c r="B9246" s="22"/>
      <c r="C9246" s="21"/>
      <c r="D9246" s="21"/>
      <c r="E9246" s="21"/>
      <c r="F9246" s="21"/>
      <c r="G9246" s="25"/>
      <c r="H9246" s="24" t="str">
        <f>IFERROR(VLOOKUP(B9246,material!A:D,3,0),"")</f>
        <v/>
      </c>
    </row>
    <row r="9247" ht="11.25" customHeight="1">
      <c r="A9247" s="21"/>
      <c r="B9247" s="22"/>
      <c r="C9247" s="21"/>
      <c r="D9247" s="21"/>
      <c r="E9247" s="21"/>
      <c r="F9247" s="21"/>
      <c r="G9247" s="25"/>
      <c r="H9247" s="24" t="str">
        <f>IFERROR(VLOOKUP(B9247,material!A:D,3,0),"")</f>
        <v/>
      </c>
    </row>
    <row r="9248" ht="11.25" customHeight="1">
      <c r="A9248" s="21"/>
      <c r="B9248" s="22"/>
      <c r="C9248" s="21"/>
      <c r="D9248" s="21"/>
      <c r="E9248" s="21"/>
      <c r="F9248" s="21"/>
      <c r="G9248" s="25"/>
      <c r="H9248" s="24" t="str">
        <f>IFERROR(VLOOKUP(B9248,material!A:D,3,0),"")</f>
        <v/>
      </c>
    </row>
    <row r="9249" ht="11.25" customHeight="1">
      <c r="A9249" s="21"/>
      <c r="B9249" s="22"/>
      <c r="C9249" s="21"/>
      <c r="D9249" s="21"/>
      <c r="E9249" s="21"/>
      <c r="F9249" s="21"/>
      <c r="G9249" s="25"/>
      <c r="H9249" s="24" t="str">
        <f>IFERROR(VLOOKUP(B9249,material!A:D,3,0),"")</f>
        <v/>
      </c>
    </row>
    <row r="9250" ht="11.25" customHeight="1">
      <c r="A9250" s="21"/>
      <c r="B9250" s="22"/>
      <c r="C9250" s="21"/>
      <c r="D9250" s="21"/>
      <c r="E9250" s="21"/>
      <c r="F9250" s="21"/>
      <c r="G9250" s="25"/>
      <c r="H9250" s="24" t="str">
        <f>IFERROR(VLOOKUP(B9250,material!A:D,3,0),"")</f>
        <v/>
      </c>
    </row>
    <row r="9251" ht="11.25" customHeight="1">
      <c r="A9251" s="21"/>
      <c r="B9251" s="22"/>
      <c r="C9251" s="21"/>
      <c r="D9251" s="21"/>
      <c r="E9251" s="21"/>
      <c r="F9251" s="21"/>
      <c r="G9251" s="25"/>
      <c r="H9251" s="24" t="str">
        <f>IFERROR(VLOOKUP(B9251,material!A:D,3,0),"")</f>
        <v/>
      </c>
    </row>
    <row r="9252" ht="11.25" customHeight="1">
      <c r="A9252" s="21"/>
      <c r="B9252" s="22"/>
      <c r="C9252" s="21"/>
      <c r="D9252" s="21"/>
      <c r="E9252" s="21"/>
      <c r="F9252" s="21"/>
      <c r="G9252" s="25"/>
      <c r="H9252" s="24" t="str">
        <f>IFERROR(VLOOKUP(B9252,material!A:D,3,0),"")</f>
        <v/>
      </c>
    </row>
    <row r="9253" ht="11.25" customHeight="1">
      <c r="A9253" s="21"/>
      <c r="B9253" s="22"/>
      <c r="C9253" s="21"/>
      <c r="D9253" s="21"/>
      <c r="E9253" s="21"/>
      <c r="F9253" s="21"/>
      <c r="G9253" s="25"/>
      <c r="H9253" s="24" t="str">
        <f>IFERROR(VLOOKUP(B9253,material!A:D,3,0),"")</f>
        <v/>
      </c>
    </row>
    <row r="9254" ht="11.25" customHeight="1">
      <c r="A9254" s="21"/>
      <c r="B9254" s="22"/>
      <c r="C9254" s="21"/>
      <c r="D9254" s="21"/>
      <c r="E9254" s="21"/>
      <c r="F9254" s="21"/>
      <c r="G9254" s="25"/>
      <c r="H9254" s="24" t="str">
        <f>IFERROR(VLOOKUP(B9254,material!A:D,3,0),"")</f>
        <v/>
      </c>
    </row>
    <row r="9255" ht="11.25" customHeight="1">
      <c r="A9255" s="21"/>
      <c r="B9255" s="22"/>
      <c r="C9255" s="21"/>
      <c r="D9255" s="21"/>
      <c r="E9255" s="21"/>
      <c r="F9255" s="21"/>
      <c r="G9255" s="25"/>
      <c r="H9255" s="24" t="str">
        <f>IFERROR(VLOOKUP(B9255,material!A:D,3,0),"")</f>
        <v/>
      </c>
    </row>
    <row r="9256" ht="11.25" customHeight="1">
      <c r="A9256" s="21"/>
      <c r="B9256" s="22"/>
      <c r="C9256" s="21"/>
      <c r="D9256" s="21"/>
      <c r="E9256" s="21"/>
      <c r="F9256" s="21"/>
      <c r="G9256" s="25"/>
      <c r="H9256" s="24" t="str">
        <f>IFERROR(VLOOKUP(B9256,material!A:D,3,0),"")</f>
        <v/>
      </c>
    </row>
    <row r="9257" ht="11.25" customHeight="1">
      <c r="A9257" s="21"/>
      <c r="B9257" s="22"/>
      <c r="C9257" s="21"/>
      <c r="D9257" s="21"/>
      <c r="E9257" s="21"/>
      <c r="F9257" s="21"/>
      <c r="G9257" s="25"/>
      <c r="H9257" s="24" t="str">
        <f>IFERROR(VLOOKUP(B9257,material!A:D,3,0),"")</f>
        <v/>
      </c>
    </row>
    <row r="9258" ht="11.25" customHeight="1">
      <c r="A9258" s="21"/>
      <c r="B9258" s="22"/>
      <c r="C9258" s="21"/>
      <c r="D9258" s="21"/>
      <c r="E9258" s="21"/>
      <c r="F9258" s="21"/>
      <c r="G9258" s="25"/>
      <c r="H9258" s="24" t="str">
        <f>IFERROR(VLOOKUP(B9258,material!A:D,3,0),"")</f>
        <v/>
      </c>
    </row>
    <row r="9259" ht="11.25" customHeight="1">
      <c r="A9259" s="21"/>
      <c r="B9259" s="22"/>
      <c r="C9259" s="21"/>
      <c r="D9259" s="21"/>
      <c r="E9259" s="21"/>
      <c r="F9259" s="21"/>
      <c r="G9259" s="25"/>
      <c r="H9259" s="24" t="str">
        <f>IFERROR(VLOOKUP(B9259,material!A:D,3,0),"")</f>
        <v/>
      </c>
    </row>
    <row r="9260" ht="11.25" customHeight="1">
      <c r="A9260" s="21"/>
      <c r="B9260" s="22"/>
      <c r="C9260" s="21"/>
      <c r="D9260" s="21"/>
      <c r="E9260" s="21"/>
      <c r="F9260" s="21"/>
      <c r="G9260" s="25"/>
      <c r="H9260" s="24" t="str">
        <f>IFERROR(VLOOKUP(B9260,material!A:D,3,0),"")</f>
        <v/>
      </c>
    </row>
    <row r="9261" ht="11.25" customHeight="1">
      <c r="A9261" s="21"/>
      <c r="B9261" s="22"/>
      <c r="C9261" s="21"/>
      <c r="D9261" s="21"/>
      <c r="E9261" s="21"/>
      <c r="F9261" s="21"/>
      <c r="G9261" s="25"/>
      <c r="H9261" s="24" t="str">
        <f>IFERROR(VLOOKUP(B9261,material!A:D,3,0),"")</f>
        <v/>
      </c>
    </row>
    <row r="9262" ht="11.25" customHeight="1">
      <c r="A9262" s="21"/>
      <c r="B9262" s="22"/>
      <c r="C9262" s="21"/>
      <c r="D9262" s="21"/>
      <c r="E9262" s="21"/>
      <c r="F9262" s="21"/>
      <c r="G9262" s="25"/>
      <c r="H9262" s="24" t="str">
        <f>IFERROR(VLOOKUP(B9262,material!A:D,3,0),"")</f>
        <v/>
      </c>
    </row>
    <row r="9263" ht="11.25" customHeight="1">
      <c r="A9263" s="21"/>
      <c r="B9263" s="22"/>
      <c r="C9263" s="21"/>
      <c r="D9263" s="21"/>
      <c r="E9263" s="21"/>
      <c r="F9263" s="21"/>
      <c r="G9263" s="25"/>
      <c r="H9263" s="24" t="str">
        <f>IFERROR(VLOOKUP(B9263,material!A:D,3,0),"")</f>
        <v/>
      </c>
    </row>
    <row r="9264" ht="11.25" customHeight="1">
      <c r="A9264" s="21"/>
      <c r="B9264" s="22"/>
      <c r="C9264" s="21"/>
      <c r="D9264" s="21"/>
      <c r="E9264" s="21"/>
      <c r="F9264" s="21"/>
      <c r="G9264" s="25"/>
      <c r="H9264" s="24" t="str">
        <f>IFERROR(VLOOKUP(B9264,material!A:D,3,0),"")</f>
        <v/>
      </c>
    </row>
    <row r="9265" ht="11.25" customHeight="1">
      <c r="A9265" s="21"/>
      <c r="B9265" s="22"/>
      <c r="C9265" s="21"/>
      <c r="D9265" s="21"/>
      <c r="E9265" s="21"/>
      <c r="F9265" s="21"/>
      <c r="G9265" s="25"/>
      <c r="H9265" s="24" t="str">
        <f>IFERROR(VLOOKUP(B9265,material!A:D,3,0),"")</f>
        <v/>
      </c>
    </row>
    <row r="9266" ht="11.25" customHeight="1">
      <c r="A9266" s="21"/>
      <c r="B9266" s="22"/>
      <c r="C9266" s="21"/>
      <c r="D9266" s="21"/>
      <c r="E9266" s="21"/>
      <c r="F9266" s="21"/>
      <c r="G9266" s="25"/>
      <c r="H9266" s="24" t="str">
        <f>IFERROR(VLOOKUP(B9266,material!A:D,3,0),"")</f>
        <v/>
      </c>
    </row>
    <row r="9267" ht="11.25" customHeight="1">
      <c r="A9267" s="21"/>
      <c r="B9267" s="22"/>
      <c r="C9267" s="21"/>
      <c r="D9267" s="21"/>
      <c r="E9267" s="21"/>
      <c r="F9267" s="21"/>
      <c r="G9267" s="25"/>
      <c r="H9267" s="24" t="str">
        <f>IFERROR(VLOOKUP(B9267,material!A:D,3,0),"")</f>
        <v/>
      </c>
    </row>
    <row r="9268" ht="11.25" customHeight="1">
      <c r="A9268" s="21"/>
      <c r="B9268" s="22"/>
      <c r="C9268" s="21"/>
      <c r="D9268" s="21"/>
      <c r="E9268" s="21"/>
      <c r="F9268" s="21"/>
      <c r="G9268" s="25"/>
      <c r="H9268" s="24" t="str">
        <f>IFERROR(VLOOKUP(B9268,material!A:D,3,0),"")</f>
        <v/>
      </c>
    </row>
    <row r="9269" ht="11.25" customHeight="1">
      <c r="A9269" s="21"/>
      <c r="B9269" s="22"/>
      <c r="C9269" s="21"/>
      <c r="D9269" s="21"/>
      <c r="E9269" s="21"/>
      <c r="F9269" s="21"/>
      <c r="G9269" s="25"/>
      <c r="H9269" s="24" t="str">
        <f>IFERROR(VLOOKUP(B9269,material!A:D,3,0),"")</f>
        <v/>
      </c>
    </row>
    <row r="9270" ht="11.25" customHeight="1">
      <c r="A9270" s="21"/>
      <c r="B9270" s="22"/>
      <c r="C9270" s="21"/>
      <c r="D9270" s="21"/>
      <c r="E9270" s="21"/>
      <c r="F9270" s="21"/>
      <c r="G9270" s="25"/>
      <c r="H9270" s="24" t="str">
        <f>IFERROR(VLOOKUP(B9270,material!A:D,3,0),"")</f>
        <v/>
      </c>
    </row>
    <row r="9271" ht="11.25" customHeight="1">
      <c r="A9271" s="21"/>
      <c r="B9271" s="22"/>
      <c r="C9271" s="21"/>
      <c r="D9271" s="21"/>
      <c r="E9271" s="21"/>
      <c r="F9271" s="21"/>
      <c r="G9271" s="25"/>
      <c r="H9271" s="24" t="str">
        <f>IFERROR(VLOOKUP(B9271,material!A:D,3,0),"")</f>
        <v/>
      </c>
    </row>
    <row r="9272" ht="11.25" customHeight="1">
      <c r="A9272" s="21"/>
      <c r="B9272" s="22"/>
      <c r="C9272" s="21"/>
      <c r="D9272" s="21"/>
      <c r="E9272" s="21"/>
      <c r="F9272" s="21"/>
      <c r="G9272" s="25"/>
      <c r="H9272" s="24" t="str">
        <f>IFERROR(VLOOKUP(B9272,material!A:D,3,0),"")</f>
        <v/>
      </c>
    </row>
    <row r="9273" ht="11.25" customHeight="1">
      <c r="A9273" s="21"/>
      <c r="B9273" s="22"/>
      <c r="C9273" s="21"/>
      <c r="D9273" s="21"/>
      <c r="E9273" s="21"/>
      <c r="F9273" s="21"/>
      <c r="G9273" s="25"/>
      <c r="H9273" s="24" t="str">
        <f>IFERROR(VLOOKUP(B9273,material!A:D,3,0),"")</f>
        <v/>
      </c>
    </row>
    <row r="9274" ht="11.25" customHeight="1">
      <c r="A9274" s="21"/>
      <c r="B9274" s="22"/>
      <c r="C9274" s="21"/>
      <c r="D9274" s="21"/>
      <c r="E9274" s="21"/>
      <c r="F9274" s="21"/>
      <c r="G9274" s="25"/>
      <c r="H9274" s="24" t="str">
        <f>IFERROR(VLOOKUP(B9274,material!A:D,3,0),"")</f>
        <v/>
      </c>
    </row>
    <row r="9275" ht="11.25" customHeight="1">
      <c r="A9275" s="21"/>
      <c r="B9275" s="22"/>
      <c r="C9275" s="21"/>
      <c r="D9275" s="21"/>
      <c r="E9275" s="21"/>
      <c r="F9275" s="21"/>
      <c r="G9275" s="25"/>
      <c r="H9275" s="24" t="str">
        <f>IFERROR(VLOOKUP(B9275,material!A:D,3,0),"")</f>
        <v/>
      </c>
    </row>
    <row r="9276" ht="11.25" customHeight="1">
      <c r="A9276" s="21"/>
      <c r="B9276" s="22"/>
      <c r="C9276" s="21"/>
      <c r="D9276" s="21"/>
      <c r="E9276" s="21"/>
      <c r="F9276" s="21"/>
      <c r="G9276" s="25"/>
      <c r="H9276" s="24" t="str">
        <f>IFERROR(VLOOKUP(B9276,material!A:D,3,0),"")</f>
        <v/>
      </c>
    </row>
    <row r="9277" ht="11.25" customHeight="1">
      <c r="A9277" s="21"/>
      <c r="B9277" s="22"/>
      <c r="C9277" s="21"/>
      <c r="D9277" s="21"/>
      <c r="E9277" s="21"/>
      <c r="F9277" s="21"/>
      <c r="G9277" s="25"/>
      <c r="H9277" s="24" t="str">
        <f>IFERROR(VLOOKUP(B9277,material!A:D,3,0),"")</f>
        <v/>
      </c>
    </row>
    <row r="9278" ht="11.25" customHeight="1">
      <c r="A9278" s="21"/>
      <c r="B9278" s="22"/>
      <c r="C9278" s="21"/>
      <c r="D9278" s="21"/>
      <c r="E9278" s="21"/>
      <c r="F9278" s="21"/>
      <c r="G9278" s="25"/>
      <c r="H9278" s="24" t="str">
        <f>IFERROR(VLOOKUP(B9278,material!A:D,3,0),"")</f>
        <v/>
      </c>
    </row>
    <row r="9279" ht="11.25" customHeight="1">
      <c r="A9279" s="21"/>
      <c r="B9279" s="22"/>
      <c r="C9279" s="21"/>
      <c r="D9279" s="21"/>
      <c r="E9279" s="21"/>
      <c r="F9279" s="21"/>
      <c r="G9279" s="25"/>
      <c r="H9279" s="24" t="str">
        <f>IFERROR(VLOOKUP(B9279,material!A:D,3,0),"")</f>
        <v/>
      </c>
    </row>
    <row r="9280" ht="11.25" customHeight="1">
      <c r="A9280" s="21"/>
      <c r="B9280" s="22"/>
      <c r="C9280" s="21"/>
      <c r="D9280" s="21"/>
      <c r="E9280" s="21"/>
      <c r="F9280" s="21"/>
      <c r="G9280" s="25"/>
      <c r="H9280" s="24" t="str">
        <f>IFERROR(VLOOKUP(B9280,material!A:D,3,0),"")</f>
        <v/>
      </c>
    </row>
    <row r="9281" ht="11.25" customHeight="1">
      <c r="A9281" s="21"/>
      <c r="B9281" s="22"/>
      <c r="C9281" s="21"/>
      <c r="D9281" s="21"/>
      <c r="E9281" s="21"/>
      <c r="F9281" s="21"/>
      <c r="G9281" s="25"/>
      <c r="H9281" s="24" t="str">
        <f>IFERROR(VLOOKUP(B9281,material!A:D,3,0),"")</f>
        <v/>
      </c>
    </row>
    <row r="9282" ht="11.25" customHeight="1">
      <c r="A9282" s="21"/>
      <c r="B9282" s="22"/>
      <c r="C9282" s="21"/>
      <c r="D9282" s="21"/>
      <c r="E9282" s="21"/>
      <c r="F9282" s="21"/>
      <c r="G9282" s="25"/>
      <c r="H9282" s="24" t="str">
        <f>IFERROR(VLOOKUP(B9282,material!A:D,3,0),"")</f>
        <v/>
      </c>
    </row>
    <row r="9283" ht="11.25" customHeight="1">
      <c r="A9283" s="21"/>
      <c r="B9283" s="22"/>
      <c r="C9283" s="21"/>
      <c r="D9283" s="21"/>
      <c r="E9283" s="21"/>
      <c r="F9283" s="21"/>
      <c r="G9283" s="25"/>
      <c r="H9283" s="24" t="str">
        <f>IFERROR(VLOOKUP(B9283,material!A:D,3,0),"")</f>
        <v/>
      </c>
    </row>
    <row r="9284" ht="11.25" customHeight="1">
      <c r="A9284" s="21"/>
      <c r="B9284" s="22"/>
      <c r="C9284" s="21"/>
      <c r="D9284" s="21"/>
      <c r="E9284" s="21"/>
      <c r="F9284" s="21"/>
      <c r="G9284" s="25"/>
      <c r="H9284" s="24" t="str">
        <f>IFERROR(VLOOKUP(B9284,material!A:D,3,0),"")</f>
        <v/>
      </c>
    </row>
    <row r="9285" ht="11.25" customHeight="1">
      <c r="A9285" s="21"/>
      <c r="B9285" s="22"/>
      <c r="C9285" s="21"/>
      <c r="D9285" s="21"/>
      <c r="E9285" s="21"/>
      <c r="F9285" s="21"/>
      <c r="G9285" s="25"/>
      <c r="H9285" s="24" t="str">
        <f>IFERROR(VLOOKUP(B9285,material!A:D,3,0),"")</f>
        <v/>
      </c>
    </row>
    <row r="9286" ht="11.25" customHeight="1">
      <c r="A9286" s="21"/>
      <c r="B9286" s="22"/>
      <c r="C9286" s="21"/>
      <c r="D9286" s="21"/>
      <c r="E9286" s="21"/>
      <c r="F9286" s="21"/>
      <c r="G9286" s="25"/>
      <c r="H9286" s="24" t="str">
        <f>IFERROR(VLOOKUP(B9286,material!A:D,3,0),"")</f>
        <v/>
      </c>
    </row>
    <row r="9287" ht="11.25" customHeight="1">
      <c r="A9287" s="21"/>
      <c r="B9287" s="22"/>
      <c r="C9287" s="21"/>
      <c r="D9287" s="21"/>
      <c r="E9287" s="21"/>
      <c r="F9287" s="21"/>
      <c r="G9287" s="25"/>
      <c r="H9287" s="24" t="str">
        <f>IFERROR(VLOOKUP(B9287,material!A:D,3,0),"")</f>
        <v/>
      </c>
    </row>
    <row r="9288" ht="11.25" customHeight="1">
      <c r="A9288" s="21"/>
      <c r="B9288" s="22"/>
      <c r="C9288" s="21"/>
      <c r="D9288" s="21"/>
      <c r="E9288" s="21"/>
      <c r="F9288" s="21"/>
      <c r="G9288" s="25"/>
      <c r="H9288" s="24" t="str">
        <f>IFERROR(VLOOKUP(B9288,material!A:D,3,0),"")</f>
        <v/>
      </c>
    </row>
    <row r="9289" ht="11.25" customHeight="1">
      <c r="A9289" s="21"/>
      <c r="B9289" s="22"/>
      <c r="C9289" s="21"/>
      <c r="D9289" s="21"/>
      <c r="E9289" s="21"/>
      <c r="F9289" s="21"/>
      <c r="G9289" s="25"/>
      <c r="H9289" s="24" t="str">
        <f>IFERROR(VLOOKUP(B9289,material!A:D,3,0),"")</f>
        <v/>
      </c>
    </row>
    <row r="9290" ht="11.25" customHeight="1">
      <c r="A9290" s="21"/>
      <c r="B9290" s="22"/>
      <c r="C9290" s="21"/>
      <c r="D9290" s="21"/>
      <c r="E9290" s="21"/>
      <c r="F9290" s="21"/>
      <c r="G9290" s="25"/>
      <c r="H9290" s="24" t="str">
        <f>IFERROR(VLOOKUP(B9290,material!A:D,3,0),"")</f>
        <v/>
      </c>
    </row>
    <row r="9291" ht="11.25" customHeight="1">
      <c r="A9291" s="21"/>
      <c r="B9291" s="22"/>
      <c r="C9291" s="21"/>
      <c r="D9291" s="21"/>
      <c r="E9291" s="21"/>
      <c r="F9291" s="21"/>
      <c r="G9291" s="25"/>
      <c r="H9291" s="24" t="str">
        <f>IFERROR(VLOOKUP(B9291,material!A:D,3,0),"")</f>
        <v/>
      </c>
    </row>
    <row r="9292" ht="11.25" customHeight="1">
      <c r="A9292" s="21"/>
      <c r="B9292" s="22"/>
      <c r="C9292" s="21"/>
      <c r="D9292" s="21"/>
      <c r="E9292" s="21"/>
      <c r="F9292" s="21"/>
      <c r="G9292" s="25"/>
      <c r="H9292" s="24" t="str">
        <f>IFERROR(VLOOKUP(B9292,material!A:D,3,0),"")</f>
        <v/>
      </c>
    </row>
    <row r="9293" ht="11.25" customHeight="1">
      <c r="A9293" s="21"/>
      <c r="B9293" s="22"/>
      <c r="C9293" s="21"/>
      <c r="D9293" s="21"/>
      <c r="E9293" s="21"/>
      <c r="F9293" s="21"/>
      <c r="G9293" s="25"/>
      <c r="H9293" s="24" t="str">
        <f>IFERROR(VLOOKUP(B9293,material!A:D,3,0),"")</f>
        <v/>
      </c>
    </row>
    <row r="9294" ht="11.25" customHeight="1">
      <c r="A9294" s="21"/>
      <c r="B9294" s="22"/>
      <c r="C9294" s="21"/>
      <c r="D9294" s="21"/>
      <c r="E9294" s="21"/>
      <c r="F9294" s="21"/>
      <c r="G9294" s="25"/>
      <c r="H9294" s="24" t="str">
        <f>IFERROR(VLOOKUP(B9294,material!A:D,3,0),"")</f>
        <v/>
      </c>
    </row>
    <row r="9295" ht="11.25" customHeight="1">
      <c r="A9295" s="21"/>
      <c r="B9295" s="22"/>
      <c r="C9295" s="21"/>
      <c r="D9295" s="21"/>
      <c r="E9295" s="21"/>
      <c r="F9295" s="21"/>
      <c r="G9295" s="25"/>
      <c r="H9295" s="24" t="str">
        <f>IFERROR(VLOOKUP(B9295,material!A:D,3,0),"")</f>
        <v/>
      </c>
    </row>
    <row r="9296" ht="11.25" customHeight="1">
      <c r="A9296" s="21"/>
      <c r="B9296" s="22"/>
      <c r="C9296" s="21"/>
      <c r="D9296" s="21"/>
      <c r="E9296" s="21"/>
      <c r="F9296" s="21"/>
      <c r="G9296" s="25"/>
      <c r="H9296" s="24" t="str">
        <f>IFERROR(VLOOKUP(B9296,material!A:D,3,0),"")</f>
        <v/>
      </c>
    </row>
    <row r="9297" ht="11.25" customHeight="1">
      <c r="A9297" s="21"/>
      <c r="B9297" s="22"/>
      <c r="C9297" s="21"/>
      <c r="D9297" s="21"/>
      <c r="E9297" s="21"/>
      <c r="F9297" s="21"/>
      <c r="G9297" s="25"/>
      <c r="H9297" s="24" t="str">
        <f>IFERROR(VLOOKUP(B9297,material!A:D,3,0),"")</f>
        <v/>
      </c>
    </row>
    <row r="9298" ht="11.25" customHeight="1">
      <c r="A9298" s="21"/>
      <c r="B9298" s="22"/>
      <c r="C9298" s="21"/>
      <c r="D9298" s="21"/>
      <c r="E9298" s="21"/>
      <c r="F9298" s="21"/>
      <c r="G9298" s="25"/>
      <c r="H9298" s="24" t="str">
        <f>IFERROR(VLOOKUP(B9298,material!A:D,3,0),"")</f>
        <v/>
      </c>
    </row>
    <row r="9299" ht="11.25" customHeight="1">
      <c r="A9299" s="21"/>
      <c r="B9299" s="22"/>
      <c r="C9299" s="21"/>
      <c r="D9299" s="21"/>
      <c r="E9299" s="21"/>
      <c r="F9299" s="21"/>
      <c r="G9299" s="25"/>
      <c r="H9299" s="24" t="str">
        <f>IFERROR(VLOOKUP(B9299,material!A:D,3,0),"")</f>
        <v/>
      </c>
    </row>
    <row r="9300" ht="11.25" customHeight="1">
      <c r="A9300" s="21"/>
      <c r="B9300" s="22"/>
      <c r="C9300" s="21"/>
      <c r="D9300" s="21"/>
      <c r="E9300" s="21"/>
      <c r="F9300" s="21"/>
      <c r="G9300" s="25"/>
      <c r="H9300" s="24" t="str">
        <f>IFERROR(VLOOKUP(B9300,material!A:D,3,0),"")</f>
        <v/>
      </c>
    </row>
    <row r="9301" ht="11.25" customHeight="1">
      <c r="A9301" s="21"/>
      <c r="B9301" s="22"/>
      <c r="C9301" s="21"/>
      <c r="D9301" s="21"/>
      <c r="E9301" s="21"/>
      <c r="F9301" s="21"/>
      <c r="G9301" s="25"/>
      <c r="H9301" s="24" t="str">
        <f>IFERROR(VLOOKUP(B9301,material!A:D,3,0),"")</f>
        <v/>
      </c>
    </row>
    <row r="9302" ht="11.25" customHeight="1">
      <c r="A9302" s="21"/>
      <c r="B9302" s="22"/>
      <c r="C9302" s="21"/>
      <c r="D9302" s="21"/>
      <c r="E9302" s="21"/>
      <c r="F9302" s="21"/>
      <c r="G9302" s="25"/>
      <c r="H9302" s="24" t="str">
        <f>IFERROR(VLOOKUP(B9302,material!A:D,3,0),"")</f>
        <v/>
      </c>
    </row>
    <row r="9303" ht="11.25" customHeight="1">
      <c r="A9303" s="21"/>
      <c r="B9303" s="22"/>
      <c r="C9303" s="21"/>
      <c r="D9303" s="21"/>
      <c r="E9303" s="21"/>
      <c r="F9303" s="21"/>
      <c r="G9303" s="25"/>
      <c r="H9303" s="24" t="str">
        <f>IFERROR(VLOOKUP(B9303,material!A:D,3,0),"")</f>
        <v/>
      </c>
    </row>
    <row r="9304" ht="11.25" customHeight="1">
      <c r="A9304" s="21"/>
      <c r="B9304" s="22"/>
      <c r="C9304" s="21"/>
      <c r="D9304" s="21"/>
      <c r="E9304" s="21"/>
      <c r="F9304" s="21"/>
      <c r="G9304" s="25"/>
      <c r="H9304" s="24" t="str">
        <f>IFERROR(VLOOKUP(B9304,material!A:D,3,0),"")</f>
        <v/>
      </c>
    </row>
    <row r="9305" ht="11.25" customHeight="1">
      <c r="A9305" s="21"/>
      <c r="B9305" s="22"/>
      <c r="C9305" s="21"/>
      <c r="D9305" s="21"/>
      <c r="E9305" s="21"/>
      <c r="F9305" s="21"/>
      <c r="G9305" s="25"/>
      <c r="H9305" s="24" t="str">
        <f>IFERROR(VLOOKUP(B9305,material!A:D,3,0),"")</f>
        <v/>
      </c>
    </row>
    <row r="9306" ht="11.25" customHeight="1">
      <c r="A9306" s="21"/>
      <c r="B9306" s="22"/>
      <c r="C9306" s="21"/>
      <c r="D9306" s="21"/>
      <c r="E9306" s="21"/>
      <c r="F9306" s="21"/>
      <c r="G9306" s="25"/>
      <c r="H9306" s="24" t="str">
        <f>IFERROR(VLOOKUP(B9306,material!A:D,3,0),"")</f>
        <v/>
      </c>
    </row>
    <row r="9307" ht="11.25" customHeight="1">
      <c r="A9307" s="21"/>
      <c r="B9307" s="22"/>
      <c r="C9307" s="21"/>
      <c r="D9307" s="21"/>
      <c r="E9307" s="21"/>
      <c r="F9307" s="21"/>
      <c r="G9307" s="25"/>
      <c r="H9307" s="24" t="str">
        <f>IFERROR(VLOOKUP(B9307,material!A:D,3,0),"")</f>
        <v/>
      </c>
    </row>
    <row r="9308" ht="11.25" customHeight="1">
      <c r="A9308" s="21"/>
      <c r="B9308" s="22"/>
      <c r="C9308" s="21"/>
      <c r="D9308" s="21"/>
      <c r="E9308" s="21"/>
      <c r="F9308" s="21"/>
      <c r="G9308" s="25"/>
      <c r="H9308" s="24" t="str">
        <f>IFERROR(VLOOKUP(B9308,material!A:D,3,0),"")</f>
        <v/>
      </c>
    </row>
    <row r="9309" ht="11.25" customHeight="1">
      <c r="A9309" s="21"/>
      <c r="B9309" s="22"/>
      <c r="C9309" s="21"/>
      <c r="D9309" s="21"/>
      <c r="E9309" s="21"/>
      <c r="F9309" s="21"/>
      <c r="G9309" s="25"/>
      <c r="H9309" s="24" t="str">
        <f>IFERROR(VLOOKUP(B9309,material!A:D,3,0),"")</f>
        <v/>
      </c>
    </row>
    <row r="9310" ht="11.25" customHeight="1">
      <c r="A9310" s="21"/>
      <c r="B9310" s="22"/>
      <c r="C9310" s="21"/>
      <c r="D9310" s="21"/>
      <c r="E9310" s="21"/>
      <c r="F9310" s="21"/>
      <c r="G9310" s="25"/>
      <c r="H9310" s="24" t="str">
        <f>IFERROR(VLOOKUP(B9310,material!A:D,3,0),"")</f>
        <v/>
      </c>
    </row>
    <row r="9311" ht="11.25" customHeight="1">
      <c r="A9311" s="21"/>
      <c r="B9311" s="22"/>
      <c r="C9311" s="21"/>
      <c r="D9311" s="21"/>
      <c r="E9311" s="21"/>
      <c r="F9311" s="21"/>
      <c r="G9311" s="25"/>
      <c r="H9311" s="24" t="str">
        <f>IFERROR(VLOOKUP(B9311,material!A:D,3,0),"")</f>
        <v/>
      </c>
    </row>
    <row r="9312" ht="11.25" customHeight="1">
      <c r="A9312" s="21"/>
      <c r="B9312" s="22"/>
      <c r="C9312" s="21"/>
      <c r="D9312" s="21"/>
      <c r="E9312" s="21"/>
      <c r="F9312" s="21"/>
      <c r="G9312" s="25"/>
      <c r="H9312" s="24" t="str">
        <f>IFERROR(VLOOKUP(B9312,material!A:D,3,0),"")</f>
        <v/>
      </c>
    </row>
    <row r="9313" ht="11.25" customHeight="1">
      <c r="A9313" s="21"/>
      <c r="B9313" s="22"/>
      <c r="C9313" s="21"/>
      <c r="D9313" s="21"/>
      <c r="E9313" s="21"/>
      <c r="F9313" s="21"/>
      <c r="G9313" s="25"/>
      <c r="H9313" s="24" t="str">
        <f>IFERROR(VLOOKUP(B9313,material!A:D,3,0),"")</f>
        <v/>
      </c>
    </row>
    <row r="9314" ht="11.25" customHeight="1">
      <c r="A9314" s="21"/>
      <c r="B9314" s="22"/>
      <c r="C9314" s="21"/>
      <c r="D9314" s="21"/>
      <c r="E9314" s="21"/>
      <c r="F9314" s="21"/>
      <c r="G9314" s="25"/>
      <c r="H9314" s="24" t="str">
        <f>IFERROR(VLOOKUP(B9314,material!A:D,3,0),"")</f>
        <v/>
      </c>
    </row>
    <row r="9315" ht="11.25" customHeight="1">
      <c r="A9315" s="21"/>
      <c r="B9315" s="22"/>
      <c r="C9315" s="21"/>
      <c r="D9315" s="21"/>
      <c r="E9315" s="21"/>
      <c r="F9315" s="21"/>
      <c r="G9315" s="25"/>
      <c r="H9315" s="24" t="str">
        <f>IFERROR(VLOOKUP(B9315,material!A:D,3,0),"")</f>
        <v/>
      </c>
    </row>
    <row r="9316" ht="11.25" customHeight="1">
      <c r="A9316" s="21"/>
      <c r="B9316" s="22"/>
      <c r="C9316" s="21"/>
      <c r="D9316" s="21"/>
      <c r="E9316" s="21"/>
      <c r="F9316" s="21"/>
      <c r="G9316" s="25"/>
      <c r="H9316" s="24" t="str">
        <f>IFERROR(VLOOKUP(B9316,material!A:D,3,0),"")</f>
        <v/>
      </c>
    </row>
    <row r="9317" ht="11.25" customHeight="1">
      <c r="A9317" s="21"/>
      <c r="B9317" s="22"/>
      <c r="C9317" s="21"/>
      <c r="D9317" s="21"/>
      <c r="E9317" s="21"/>
      <c r="F9317" s="21"/>
      <c r="G9317" s="25"/>
      <c r="H9317" s="24" t="str">
        <f>IFERROR(VLOOKUP(B9317,material!A:D,3,0),"")</f>
        <v/>
      </c>
    </row>
    <row r="9318" ht="11.25" customHeight="1">
      <c r="A9318" s="21"/>
      <c r="B9318" s="22"/>
      <c r="C9318" s="21"/>
      <c r="D9318" s="21"/>
      <c r="E9318" s="21"/>
      <c r="F9318" s="21"/>
      <c r="G9318" s="25"/>
      <c r="H9318" s="24" t="str">
        <f>IFERROR(VLOOKUP(B9318,material!A:D,3,0),"")</f>
        <v/>
      </c>
    </row>
    <row r="9319" ht="11.25" customHeight="1">
      <c r="A9319" s="21"/>
      <c r="B9319" s="22"/>
      <c r="C9319" s="21"/>
      <c r="D9319" s="21"/>
      <c r="E9319" s="21"/>
      <c r="F9319" s="21"/>
      <c r="G9319" s="25"/>
      <c r="H9319" s="24" t="str">
        <f>IFERROR(VLOOKUP(B9319,material!A:D,3,0),"")</f>
        <v/>
      </c>
    </row>
    <row r="9320" ht="11.25" customHeight="1">
      <c r="A9320" s="21"/>
      <c r="B9320" s="22"/>
      <c r="C9320" s="21"/>
      <c r="D9320" s="21"/>
      <c r="E9320" s="21"/>
      <c r="F9320" s="21"/>
      <c r="G9320" s="25"/>
      <c r="H9320" s="24" t="str">
        <f>IFERROR(VLOOKUP(B9320,material!A:D,3,0),"")</f>
        <v/>
      </c>
    </row>
    <row r="9321" ht="11.25" customHeight="1">
      <c r="A9321" s="21"/>
      <c r="B9321" s="22"/>
      <c r="C9321" s="21"/>
      <c r="D9321" s="21"/>
      <c r="E9321" s="21"/>
      <c r="F9321" s="21"/>
      <c r="G9321" s="25"/>
      <c r="H9321" s="24" t="str">
        <f>IFERROR(VLOOKUP(B9321,material!A:D,3,0),"")</f>
        <v/>
      </c>
    </row>
    <row r="9322" ht="11.25" customHeight="1">
      <c r="A9322" s="21"/>
      <c r="B9322" s="22"/>
      <c r="C9322" s="21"/>
      <c r="D9322" s="21"/>
      <c r="E9322" s="21"/>
      <c r="F9322" s="21"/>
      <c r="G9322" s="25"/>
      <c r="H9322" s="24" t="str">
        <f>IFERROR(VLOOKUP(B9322,material!A:D,3,0),"")</f>
        <v/>
      </c>
    </row>
    <row r="9323" ht="11.25" customHeight="1">
      <c r="A9323" s="21"/>
      <c r="B9323" s="22"/>
      <c r="C9323" s="21"/>
      <c r="D9323" s="21"/>
      <c r="E9323" s="21"/>
      <c r="F9323" s="21"/>
      <c r="G9323" s="25"/>
      <c r="H9323" s="24" t="str">
        <f>IFERROR(VLOOKUP(B9323,material!A:D,3,0),"")</f>
        <v/>
      </c>
    </row>
    <row r="9324" ht="11.25" customHeight="1">
      <c r="A9324" s="21"/>
      <c r="B9324" s="22"/>
      <c r="C9324" s="21"/>
      <c r="D9324" s="21"/>
      <c r="E9324" s="21"/>
      <c r="F9324" s="21"/>
      <c r="G9324" s="25"/>
      <c r="H9324" s="24" t="str">
        <f>IFERROR(VLOOKUP(B9324,material!A:D,3,0),"")</f>
        <v/>
      </c>
    </row>
    <row r="9325" ht="11.25" customHeight="1">
      <c r="A9325" s="21"/>
      <c r="B9325" s="22"/>
      <c r="C9325" s="21"/>
      <c r="D9325" s="21"/>
      <c r="E9325" s="21"/>
      <c r="F9325" s="21"/>
      <c r="G9325" s="25"/>
      <c r="H9325" s="24" t="str">
        <f>IFERROR(VLOOKUP(B9325,material!A:D,3,0),"")</f>
        <v/>
      </c>
    </row>
    <row r="9326" ht="11.25" customHeight="1">
      <c r="A9326" s="21"/>
      <c r="B9326" s="22"/>
      <c r="C9326" s="21"/>
      <c r="D9326" s="21"/>
      <c r="E9326" s="21"/>
      <c r="F9326" s="21"/>
      <c r="G9326" s="25"/>
      <c r="H9326" s="24" t="str">
        <f>IFERROR(VLOOKUP(B9326,material!A:D,3,0),"")</f>
        <v/>
      </c>
    </row>
    <row r="9327" ht="11.25" customHeight="1">
      <c r="A9327" s="21"/>
      <c r="B9327" s="22"/>
      <c r="C9327" s="21"/>
      <c r="D9327" s="21"/>
      <c r="E9327" s="21"/>
      <c r="F9327" s="21"/>
      <c r="G9327" s="25"/>
      <c r="H9327" s="24" t="str">
        <f>IFERROR(VLOOKUP(B9327,material!A:D,3,0),"")</f>
        <v/>
      </c>
    </row>
    <row r="9328" ht="11.25" customHeight="1">
      <c r="A9328" s="21"/>
      <c r="B9328" s="22"/>
      <c r="C9328" s="21"/>
      <c r="D9328" s="21"/>
      <c r="E9328" s="21"/>
      <c r="F9328" s="21"/>
      <c r="G9328" s="25"/>
      <c r="H9328" s="24" t="str">
        <f>IFERROR(VLOOKUP(B9328,material!A:D,3,0),"")</f>
        <v/>
      </c>
    </row>
    <row r="9329" ht="11.25" customHeight="1">
      <c r="A9329" s="21"/>
      <c r="B9329" s="22"/>
      <c r="C9329" s="21"/>
      <c r="D9329" s="21"/>
      <c r="E9329" s="21"/>
      <c r="F9329" s="21"/>
      <c r="G9329" s="25"/>
      <c r="H9329" s="24" t="str">
        <f>IFERROR(VLOOKUP(B9329,material!A:D,3,0),"")</f>
        <v/>
      </c>
    </row>
    <row r="9330" ht="11.25" customHeight="1">
      <c r="A9330" s="21"/>
      <c r="B9330" s="22"/>
      <c r="C9330" s="21"/>
      <c r="D9330" s="21"/>
      <c r="E9330" s="21"/>
      <c r="F9330" s="21"/>
      <c r="G9330" s="25"/>
      <c r="H9330" s="24" t="str">
        <f>IFERROR(VLOOKUP(B9330,material!A:D,3,0),"")</f>
        <v/>
      </c>
    </row>
    <row r="9331" ht="11.25" customHeight="1">
      <c r="A9331" s="21"/>
      <c r="B9331" s="22"/>
      <c r="C9331" s="21"/>
      <c r="D9331" s="21"/>
      <c r="E9331" s="21"/>
      <c r="F9331" s="21"/>
      <c r="G9331" s="25"/>
      <c r="H9331" s="24" t="str">
        <f>IFERROR(VLOOKUP(B9331,material!A:D,3,0),"")</f>
        <v/>
      </c>
    </row>
    <row r="9332" ht="11.25" customHeight="1">
      <c r="A9332" s="21"/>
      <c r="B9332" s="22"/>
      <c r="C9332" s="21"/>
      <c r="D9332" s="21"/>
      <c r="E9332" s="21"/>
      <c r="F9332" s="21"/>
      <c r="G9332" s="25"/>
      <c r="H9332" s="24" t="str">
        <f>IFERROR(VLOOKUP(B9332,material!A:D,3,0),"")</f>
        <v/>
      </c>
    </row>
    <row r="9333" ht="11.25" customHeight="1">
      <c r="A9333" s="21"/>
      <c r="B9333" s="22"/>
      <c r="C9333" s="21"/>
      <c r="D9333" s="21"/>
      <c r="E9333" s="21"/>
      <c r="F9333" s="21"/>
      <c r="G9333" s="25"/>
      <c r="H9333" s="24" t="str">
        <f>IFERROR(VLOOKUP(B9333,material!A:D,3,0),"")</f>
        <v/>
      </c>
    </row>
    <row r="9334" ht="11.25" customHeight="1">
      <c r="A9334" s="21"/>
      <c r="B9334" s="22"/>
      <c r="C9334" s="21"/>
      <c r="D9334" s="21"/>
      <c r="E9334" s="21"/>
      <c r="F9334" s="21"/>
      <c r="G9334" s="25"/>
      <c r="H9334" s="24" t="str">
        <f>IFERROR(VLOOKUP(B9334,material!A:D,3,0),"")</f>
        <v/>
      </c>
    </row>
    <row r="9335" ht="11.25" customHeight="1">
      <c r="A9335" s="21"/>
      <c r="B9335" s="22"/>
      <c r="C9335" s="21"/>
      <c r="D9335" s="21"/>
      <c r="E9335" s="21"/>
      <c r="F9335" s="21"/>
      <c r="G9335" s="25"/>
      <c r="H9335" s="24" t="str">
        <f>IFERROR(VLOOKUP(B9335,material!A:D,3,0),"")</f>
        <v/>
      </c>
    </row>
    <row r="9336" ht="11.25" customHeight="1">
      <c r="A9336" s="21"/>
      <c r="B9336" s="22"/>
      <c r="C9336" s="21"/>
      <c r="D9336" s="21"/>
      <c r="E9336" s="21"/>
      <c r="F9336" s="21"/>
      <c r="G9336" s="25"/>
      <c r="H9336" s="24" t="str">
        <f>IFERROR(VLOOKUP(B9336,material!A:D,3,0),"")</f>
        <v/>
      </c>
    </row>
    <row r="9337" ht="11.25" customHeight="1">
      <c r="A9337" s="21"/>
      <c r="B9337" s="22"/>
      <c r="C9337" s="21"/>
      <c r="D9337" s="21"/>
      <c r="E9337" s="21"/>
      <c r="F9337" s="21"/>
      <c r="G9337" s="25"/>
      <c r="H9337" s="24" t="str">
        <f>IFERROR(VLOOKUP(B9337,material!A:D,3,0),"")</f>
        <v/>
      </c>
    </row>
    <row r="9338" ht="11.25" customHeight="1">
      <c r="A9338" s="21"/>
      <c r="B9338" s="22"/>
      <c r="C9338" s="21"/>
      <c r="D9338" s="21"/>
      <c r="E9338" s="21"/>
      <c r="F9338" s="21"/>
      <c r="G9338" s="25"/>
      <c r="H9338" s="24" t="str">
        <f>IFERROR(VLOOKUP(B9338,material!A:D,3,0),"")</f>
        <v/>
      </c>
    </row>
    <row r="9339" ht="11.25" customHeight="1">
      <c r="A9339" s="21"/>
      <c r="B9339" s="22"/>
      <c r="C9339" s="21"/>
      <c r="D9339" s="21"/>
      <c r="E9339" s="21"/>
      <c r="F9339" s="21"/>
      <c r="G9339" s="25"/>
      <c r="H9339" s="24" t="str">
        <f>IFERROR(VLOOKUP(B9339,material!A:D,3,0),"")</f>
        <v/>
      </c>
    </row>
    <row r="9340" ht="11.25" customHeight="1">
      <c r="A9340" s="21"/>
      <c r="B9340" s="22"/>
      <c r="C9340" s="21"/>
      <c r="D9340" s="21"/>
      <c r="E9340" s="21"/>
      <c r="F9340" s="21"/>
      <c r="G9340" s="25"/>
      <c r="H9340" s="24" t="str">
        <f>IFERROR(VLOOKUP(B9340,material!A:D,3,0),"")</f>
        <v/>
      </c>
    </row>
    <row r="9341" ht="11.25" customHeight="1">
      <c r="A9341" s="21"/>
      <c r="B9341" s="22"/>
      <c r="C9341" s="21"/>
      <c r="D9341" s="21"/>
      <c r="E9341" s="21"/>
      <c r="F9341" s="21"/>
      <c r="G9341" s="25"/>
      <c r="H9341" s="24" t="str">
        <f>IFERROR(VLOOKUP(B9341,material!A:D,3,0),"")</f>
        <v/>
      </c>
    </row>
    <row r="9342" ht="11.25" customHeight="1">
      <c r="A9342" s="21"/>
      <c r="B9342" s="22"/>
      <c r="C9342" s="21"/>
      <c r="D9342" s="21"/>
      <c r="E9342" s="21"/>
      <c r="F9342" s="21"/>
      <c r="G9342" s="25"/>
      <c r="H9342" s="24" t="str">
        <f>IFERROR(VLOOKUP(B9342,material!A:D,3,0),"")</f>
        <v/>
      </c>
    </row>
    <row r="9343" ht="11.25" customHeight="1">
      <c r="A9343" s="21"/>
      <c r="B9343" s="22"/>
      <c r="C9343" s="21"/>
      <c r="D9343" s="21"/>
      <c r="E9343" s="21"/>
      <c r="F9343" s="21"/>
      <c r="G9343" s="25"/>
      <c r="H9343" s="24" t="str">
        <f>IFERROR(VLOOKUP(B9343,material!A:D,3,0),"")</f>
        <v/>
      </c>
    </row>
    <row r="9344" ht="11.25" customHeight="1">
      <c r="A9344" s="21"/>
      <c r="B9344" s="22"/>
      <c r="C9344" s="21"/>
      <c r="D9344" s="21"/>
      <c r="E9344" s="21"/>
      <c r="F9344" s="21"/>
      <c r="G9344" s="25"/>
      <c r="H9344" s="24" t="str">
        <f>IFERROR(VLOOKUP(B9344,material!A:D,3,0),"")</f>
        <v/>
      </c>
    </row>
    <row r="9345" ht="11.25" customHeight="1">
      <c r="A9345" s="21"/>
      <c r="B9345" s="22"/>
      <c r="C9345" s="21"/>
      <c r="D9345" s="21"/>
      <c r="E9345" s="21"/>
      <c r="F9345" s="21"/>
      <c r="G9345" s="25"/>
      <c r="H9345" s="24" t="str">
        <f>IFERROR(VLOOKUP(B9345,material!A:D,3,0),"")</f>
        <v/>
      </c>
    </row>
    <row r="9346" ht="11.25" customHeight="1">
      <c r="A9346" s="21"/>
      <c r="B9346" s="22"/>
      <c r="C9346" s="21"/>
      <c r="D9346" s="21"/>
      <c r="E9346" s="21"/>
      <c r="F9346" s="21"/>
      <c r="G9346" s="25"/>
      <c r="H9346" s="24" t="str">
        <f>IFERROR(VLOOKUP(B9346,material!A:D,3,0),"")</f>
        <v/>
      </c>
    </row>
    <row r="9347" ht="11.25" customHeight="1">
      <c r="A9347" s="21"/>
      <c r="B9347" s="22"/>
      <c r="C9347" s="21"/>
      <c r="D9347" s="21"/>
      <c r="E9347" s="21"/>
      <c r="F9347" s="21"/>
      <c r="G9347" s="25"/>
      <c r="H9347" s="24" t="str">
        <f>IFERROR(VLOOKUP(B9347,material!A:D,3,0),"")</f>
        <v/>
      </c>
    </row>
    <row r="9348" ht="11.25" customHeight="1">
      <c r="A9348" s="21"/>
      <c r="B9348" s="22"/>
      <c r="C9348" s="21"/>
      <c r="D9348" s="21"/>
      <c r="E9348" s="21"/>
      <c r="F9348" s="21"/>
      <c r="G9348" s="25"/>
      <c r="H9348" s="24" t="str">
        <f>IFERROR(VLOOKUP(B9348,material!A:D,3,0),"")</f>
        <v/>
      </c>
    </row>
    <row r="9349" ht="11.25" customHeight="1">
      <c r="A9349" s="21"/>
      <c r="B9349" s="22"/>
      <c r="C9349" s="21"/>
      <c r="D9349" s="21"/>
      <c r="E9349" s="21"/>
      <c r="F9349" s="21"/>
      <c r="G9349" s="25"/>
      <c r="H9349" s="24" t="str">
        <f>IFERROR(VLOOKUP(B9349,material!A:D,3,0),"")</f>
        <v/>
      </c>
    </row>
    <row r="9350" ht="11.25" customHeight="1">
      <c r="A9350" s="21"/>
      <c r="B9350" s="22"/>
      <c r="C9350" s="21"/>
      <c r="D9350" s="21"/>
      <c r="E9350" s="21"/>
      <c r="F9350" s="21"/>
      <c r="G9350" s="25"/>
      <c r="H9350" s="24" t="str">
        <f>IFERROR(VLOOKUP(B9350,material!A:D,3,0),"")</f>
        <v/>
      </c>
    </row>
    <row r="9351" ht="11.25" customHeight="1">
      <c r="A9351" s="21"/>
      <c r="B9351" s="22"/>
      <c r="C9351" s="21"/>
      <c r="D9351" s="21"/>
      <c r="E9351" s="21"/>
      <c r="F9351" s="21"/>
      <c r="G9351" s="25"/>
      <c r="H9351" s="24" t="str">
        <f>IFERROR(VLOOKUP(B9351,material!A:D,3,0),"")</f>
        <v/>
      </c>
    </row>
    <row r="9352" ht="11.25" customHeight="1">
      <c r="A9352" s="21"/>
      <c r="B9352" s="22"/>
      <c r="C9352" s="21"/>
      <c r="D9352" s="21"/>
      <c r="E9352" s="21"/>
      <c r="F9352" s="21"/>
      <c r="G9352" s="25"/>
      <c r="H9352" s="24" t="str">
        <f>IFERROR(VLOOKUP(B9352,material!A:D,3,0),"")</f>
        <v/>
      </c>
    </row>
    <row r="9353" ht="11.25" customHeight="1">
      <c r="A9353" s="21"/>
      <c r="B9353" s="22"/>
      <c r="C9353" s="21"/>
      <c r="D9353" s="21"/>
      <c r="E9353" s="21"/>
      <c r="F9353" s="21"/>
      <c r="G9353" s="25"/>
      <c r="H9353" s="24" t="str">
        <f>IFERROR(VLOOKUP(B9353,material!A:D,3,0),"")</f>
        <v/>
      </c>
    </row>
    <row r="9354" ht="11.25" customHeight="1">
      <c r="A9354" s="21"/>
      <c r="B9354" s="22"/>
      <c r="C9354" s="21"/>
      <c r="D9354" s="21"/>
      <c r="E9354" s="21"/>
      <c r="F9354" s="21"/>
      <c r="G9354" s="25"/>
      <c r="H9354" s="24" t="str">
        <f>IFERROR(VLOOKUP(B9354,material!A:D,3,0),"")</f>
        <v/>
      </c>
    </row>
    <row r="9355" ht="11.25" customHeight="1">
      <c r="A9355" s="21"/>
      <c r="B9355" s="22"/>
      <c r="C9355" s="21"/>
      <c r="D9355" s="21"/>
      <c r="E9355" s="21"/>
      <c r="F9355" s="21"/>
      <c r="G9355" s="25"/>
      <c r="H9355" s="24" t="str">
        <f>IFERROR(VLOOKUP(B9355,material!A:D,3,0),"")</f>
        <v/>
      </c>
    </row>
    <row r="9356" ht="11.25" customHeight="1">
      <c r="A9356" s="21"/>
      <c r="B9356" s="22"/>
      <c r="C9356" s="21"/>
      <c r="D9356" s="21"/>
      <c r="E9356" s="21"/>
      <c r="F9356" s="21"/>
      <c r="G9356" s="25"/>
      <c r="H9356" s="24" t="str">
        <f>IFERROR(VLOOKUP(B9356,material!A:D,3,0),"")</f>
        <v/>
      </c>
    </row>
    <row r="9357" ht="11.25" customHeight="1">
      <c r="A9357" s="21"/>
      <c r="B9357" s="22"/>
      <c r="C9357" s="21"/>
      <c r="D9357" s="21"/>
      <c r="E9357" s="21"/>
      <c r="F9357" s="21"/>
      <c r="G9357" s="25"/>
      <c r="H9357" s="24" t="str">
        <f>IFERROR(VLOOKUP(B9357,material!A:D,3,0),"")</f>
        <v/>
      </c>
    </row>
    <row r="9358" ht="11.25" customHeight="1">
      <c r="A9358" s="21"/>
      <c r="B9358" s="22"/>
      <c r="C9358" s="21"/>
      <c r="D9358" s="21"/>
      <c r="E9358" s="21"/>
      <c r="F9358" s="21"/>
      <c r="G9358" s="25"/>
      <c r="H9358" s="24" t="str">
        <f>IFERROR(VLOOKUP(B9358,material!A:D,3,0),"")</f>
        <v/>
      </c>
    </row>
    <row r="9359" ht="11.25" customHeight="1">
      <c r="A9359" s="21"/>
      <c r="B9359" s="22"/>
      <c r="C9359" s="21"/>
      <c r="D9359" s="21"/>
      <c r="E9359" s="21"/>
      <c r="F9359" s="21"/>
      <c r="G9359" s="25"/>
      <c r="H9359" s="24" t="str">
        <f>IFERROR(VLOOKUP(B9359,material!A:D,3,0),"")</f>
        <v/>
      </c>
    </row>
    <row r="9360" ht="11.25" customHeight="1">
      <c r="A9360" s="21"/>
      <c r="B9360" s="22"/>
      <c r="C9360" s="21"/>
      <c r="D9360" s="21"/>
      <c r="E9360" s="21"/>
      <c r="F9360" s="21"/>
      <c r="G9360" s="25"/>
      <c r="H9360" s="24" t="str">
        <f>IFERROR(VLOOKUP(B9360,material!A:D,3,0),"")</f>
        <v/>
      </c>
    </row>
    <row r="9361" ht="11.25" customHeight="1">
      <c r="A9361" s="21"/>
      <c r="B9361" s="22"/>
      <c r="C9361" s="21"/>
      <c r="D9361" s="21"/>
      <c r="E9361" s="21"/>
      <c r="F9361" s="21"/>
      <c r="G9361" s="25"/>
      <c r="H9361" s="24" t="str">
        <f>IFERROR(VLOOKUP(B9361,material!A:D,3,0),"")</f>
        <v/>
      </c>
    </row>
    <row r="9362" ht="11.25" customHeight="1">
      <c r="A9362" s="21"/>
      <c r="B9362" s="22"/>
      <c r="C9362" s="21"/>
      <c r="D9362" s="21"/>
      <c r="E9362" s="21"/>
      <c r="F9362" s="21"/>
      <c r="G9362" s="25"/>
      <c r="H9362" s="24" t="str">
        <f>IFERROR(VLOOKUP(B9362,material!A:D,3,0),"")</f>
        <v/>
      </c>
    </row>
    <row r="9363" ht="11.25" customHeight="1">
      <c r="A9363" s="21"/>
      <c r="B9363" s="22"/>
      <c r="C9363" s="21"/>
      <c r="D9363" s="21"/>
      <c r="E9363" s="21"/>
      <c r="F9363" s="21"/>
      <c r="G9363" s="25"/>
      <c r="H9363" s="24" t="str">
        <f>IFERROR(VLOOKUP(B9363,material!A:D,3,0),"")</f>
        <v/>
      </c>
    </row>
    <row r="9364" ht="11.25" customHeight="1">
      <c r="A9364" s="21"/>
      <c r="B9364" s="22"/>
      <c r="C9364" s="21"/>
      <c r="D9364" s="21"/>
      <c r="E9364" s="21"/>
      <c r="F9364" s="21"/>
      <c r="G9364" s="25"/>
      <c r="H9364" s="24" t="str">
        <f>IFERROR(VLOOKUP(B9364,material!A:D,3,0),"")</f>
        <v/>
      </c>
    </row>
    <row r="9365" ht="11.25" customHeight="1">
      <c r="A9365" s="21"/>
      <c r="B9365" s="22"/>
      <c r="C9365" s="21"/>
      <c r="D9365" s="21"/>
      <c r="E9365" s="21"/>
      <c r="F9365" s="21"/>
      <c r="G9365" s="25"/>
      <c r="H9365" s="24" t="str">
        <f>IFERROR(VLOOKUP(B9365,material!A:D,3,0),"")</f>
        <v/>
      </c>
    </row>
    <row r="9366" ht="11.25" customHeight="1">
      <c r="A9366" s="21"/>
      <c r="B9366" s="22"/>
      <c r="C9366" s="21"/>
      <c r="D9366" s="21"/>
      <c r="E9366" s="21"/>
      <c r="F9366" s="21"/>
      <c r="G9366" s="25"/>
      <c r="H9366" s="24" t="str">
        <f>IFERROR(VLOOKUP(B9366,material!A:D,3,0),"")</f>
        <v/>
      </c>
    </row>
    <row r="9367" ht="11.25" customHeight="1">
      <c r="A9367" s="21"/>
      <c r="B9367" s="22"/>
      <c r="C9367" s="21"/>
      <c r="D9367" s="21"/>
      <c r="E9367" s="21"/>
      <c r="F9367" s="21"/>
      <c r="G9367" s="25"/>
      <c r="H9367" s="24" t="str">
        <f>IFERROR(VLOOKUP(B9367,material!A:D,3,0),"")</f>
        <v/>
      </c>
    </row>
    <row r="9368" ht="11.25" customHeight="1">
      <c r="A9368" s="21"/>
      <c r="B9368" s="22"/>
      <c r="C9368" s="21"/>
      <c r="D9368" s="21"/>
      <c r="E9368" s="21"/>
      <c r="F9368" s="21"/>
      <c r="G9368" s="25"/>
      <c r="H9368" s="24" t="str">
        <f>IFERROR(VLOOKUP(B9368,material!A:D,3,0),"")</f>
        <v/>
      </c>
    </row>
    <row r="9369" ht="11.25" customHeight="1">
      <c r="A9369" s="21"/>
      <c r="B9369" s="22"/>
      <c r="C9369" s="21"/>
      <c r="D9369" s="21"/>
      <c r="E9369" s="21"/>
      <c r="F9369" s="21"/>
      <c r="G9369" s="25"/>
      <c r="H9369" s="24" t="str">
        <f>IFERROR(VLOOKUP(B9369,material!A:D,3,0),"")</f>
        <v/>
      </c>
    </row>
    <row r="9370" ht="11.25" customHeight="1">
      <c r="A9370" s="21"/>
      <c r="B9370" s="22"/>
      <c r="C9370" s="21"/>
      <c r="D9370" s="21"/>
      <c r="E9370" s="21"/>
      <c r="F9370" s="21"/>
      <c r="G9370" s="25"/>
      <c r="H9370" s="24" t="str">
        <f>IFERROR(VLOOKUP(B9370,material!A:D,3,0),"")</f>
        <v/>
      </c>
    </row>
    <row r="9371" ht="11.25" customHeight="1">
      <c r="A9371" s="21"/>
      <c r="B9371" s="22"/>
      <c r="C9371" s="21"/>
      <c r="D9371" s="21"/>
      <c r="E9371" s="21"/>
      <c r="F9371" s="21"/>
      <c r="G9371" s="25"/>
      <c r="H9371" s="24" t="str">
        <f>IFERROR(VLOOKUP(B9371,material!A:D,3,0),"")</f>
        <v/>
      </c>
    </row>
    <row r="9372" ht="11.25" customHeight="1">
      <c r="A9372" s="21"/>
      <c r="B9372" s="22"/>
      <c r="C9372" s="21"/>
      <c r="D9372" s="21"/>
      <c r="E9372" s="21"/>
      <c r="F9372" s="21"/>
      <c r="G9372" s="25"/>
      <c r="H9372" s="24" t="str">
        <f>IFERROR(VLOOKUP(B9372,material!A:D,3,0),"")</f>
        <v/>
      </c>
    </row>
    <row r="9373" ht="11.25" customHeight="1">
      <c r="A9373" s="21"/>
      <c r="B9373" s="22"/>
      <c r="C9373" s="21"/>
      <c r="D9373" s="21"/>
      <c r="E9373" s="21"/>
      <c r="F9373" s="21"/>
      <c r="G9373" s="25"/>
      <c r="H9373" s="24" t="str">
        <f>IFERROR(VLOOKUP(B9373,material!A:D,3,0),"")</f>
        <v/>
      </c>
    </row>
    <row r="9374" ht="11.25" customHeight="1">
      <c r="A9374" s="21"/>
      <c r="B9374" s="22"/>
      <c r="C9374" s="21"/>
      <c r="D9374" s="21"/>
      <c r="E9374" s="21"/>
      <c r="F9374" s="21"/>
      <c r="G9374" s="25"/>
      <c r="H9374" s="24" t="str">
        <f>IFERROR(VLOOKUP(B9374,material!A:D,3,0),"")</f>
        <v/>
      </c>
    </row>
    <row r="9375" ht="11.25" customHeight="1">
      <c r="A9375" s="21"/>
      <c r="B9375" s="22"/>
      <c r="C9375" s="21"/>
      <c r="D9375" s="21"/>
      <c r="E9375" s="21"/>
      <c r="F9375" s="21"/>
      <c r="G9375" s="25"/>
      <c r="H9375" s="24" t="str">
        <f>IFERROR(VLOOKUP(B9375,material!A:D,3,0),"")</f>
        <v/>
      </c>
    </row>
    <row r="9376" ht="11.25" customHeight="1">
      <c r="A9376" s="21"/>
      <c r="B9376" s="22"/>
      <c r="C9376" s="21"/>
      <c r="D9376" s="21"/>
      <c r="E9376" s="21"/>
      <c r="F9376" s="21"/>
      <c r="G9376" s="25"/>
      <c r="H9376" s="24" t="str">
        <f>IFERROR(VLOOKUP(B9376,material!A:D,3,0),"")</f>
        <v/>
      </c>
    </row>
    <row r="9377" ht="11.25" customHeight="1">
      <c r="A9377" s="21"/>
      <c r="B9377" s="22"/>
      <c r="C9377" s="21"/>
      <c r="D9377" s="21"/>
      <c r="E9377" s="21"/>
      <c r="F9377" s="21"/>
      <c r="G9377" s="25"/>
      <c r="H9377" s="24" t="str">
        <f>IFERROR(VLOOKUP(B9377,material!A:D,3,0),"")</f>
        <v/>
      </c>
    </row>
    <row r="9378" ht="11.25" customHeight="1">
      <c r="A9378" s="21"/>
      <c r="B9378" s="22"/>
      <c r="C9378" s="21"/>
      <c r="D9378" s="21"/>
      <c r="E9378" s="21"/>
      <c r="F9378" s="21"/>
      <c r="G9378" s="25"/>
      <c r="H9378" s="24" t="str">
        <f>IFERROR(VLOOKUP(B9378,material!A:D,3,0),"")</f>
        <v/>
      </c>
    </row>
    <row r="9379" ht="11.25" customHeight="1">
      <c r="A9379" s="21"/>
      <c r="B9379" s="22"/>
      <c r="C9379" s="21"/>
      <c r="D9379" s="21"/>
      <c r="E9379" s="21"/>
      <c r="F9379" s="21"/>
      <c r="G9379" s="25"/>
      <c r="H9379" s="24" t="str">
        <f>IFERROR(VLOOKUP(B9379,material!A:D,3,0),"")</f>
        <v/>
      </c>
    </row>
    <row r="9380" ht="11.25" customHeight="1">
      <c r="A9380" s="21"/>
      <c r="B9380" s="22"/>
      <c r="C9380" s="21"/>
      <c r="D9380" s="21"/>
      <c r="E9380" s="21"/>
      <c r="F9380" s="21"/>
      <c r="G9380" s="25"/>
      <c r="H9380" s="24" t="str">
        <f>IFERROR(VLOOKUP(B9380,material!A:D,3,0),"")</f>
        <v/>
      </c>
    </row>
    <row r="9381" ht="11.25" customHeight="1">
      <c r="A9381" s="21"/>
      <c r="B9381" s="22"/>
      <c r="C9381" s="21"/>
      <c r="D9381" s="21"/>
      <c r="E9381" s="21"/>
      <c r="F9381" s="21"/>
      <c r="G9381" s="25"/>
      <c r="H9381" s="24" t="str">
        <f>IFERROR(VLOOKUP(B9381,material!A:D,3,0),"")</f>
        <v/>
      </c>
    </row>
    <row r="9382" ht="11.25" customHeight="1">
      <c r="A9382" s="21"/>
      <c r="B9382" s="22"/>
      <c r="C9382" s="21"/>
      <c r="D9382" s="21"/>
      <c r="E9382" s="21"/>
      <c r="F9382" s="21"/>
      <c r="G9382" s="25"/>
      <c r="H9382" s="24" t="str">
        <f>IFERROR(VLOOKUP(B9382,material!A:D,3,0),"")</f>
        <v/>
      </c>
    </row>
    <row r="9383" ht="11.25" customHeight="1">
      <c r="A9383" s="21"/>
      <c r="B9383" s="22"/>
      <c r="C9383" s="21"/>
      <c r="D9383" s="21"/>
      <c r="E9383" s="21"/>
      <c r="F9383" s="21"/>
      <c r="G9383" s="25"/>
      <c r="H9383" s="24" t="str">
        <f>IFERROR(VLOOKUP(B9383,material!A:D,3,0),"")</f>
        <v/>
      </c>
    </row>
    <row r="9384" ht="11.25" customHeight="1">
      <c r="A9384" s="21"/>
      <c r="B9384" s="22"/>
      <c r="C9384" s="21"/>
      <c r="D9384" s="21"/>
      <c r="E9384" s="21"/>
      <c r="F9384" s="21"/>
      <c r="G9384" s="25"/>
      <c r="H9384" s="24" t="str">
        <f>IFERROR(VLOOKUP(B9384,material!A:D,3,0),"")</f>
        <v/>
      </c>
    </row>
    <row r="9385" ht="11.25" customHeight="1">
      <c r="A9385" s="21"/>
      <c r="B9385" s="22"/>
      <c r="C9385" s="21"/>
      <c r="D9385" s="21"/>
      <c r="E9385" s="21"/>
      <c r="F9385" s="21"/>
      <c r="G9385" s="25"/>
      <c r="H9385" s="24" t="str">
        <f>IFERROR(VLOOKUP(B9385,material!A:D,3,0),"")</f>
        <v/>
      </c>
    </row>
    <row r="9386" ht="11.25" customHeight="1">
      <c r="A9386" s="21"/>
      <c r="B9386" s="22"/>
      <c r="C9386" s="21"/>
      <c r="D9386" s="21"/>
      <c r="E9386" s="21"/>
      <c r="F9386" s="21"/>
      <c r="G9386" s="25"/>
      <c r="H9386" s="24" t="str">
        <f>IFERROR(VLOOKUP(B9386,material!A:D,3,0),"")</f>
        <v/>
      </c>
    </row>
    <row r="9387" ht="11.25" customHeight="1">
      <c r="A9387" s="21"/>
      <c r="B9387" s="22"/>
      <c r="C9387" s="21"/>
      <c r="D9387" s="21"/>
      <c r="E9387" s="21"/>
      <c r="F9387" s="21"/>
      <c r="G9387" s="25"/>
      <c r="H9387" s="24" t="str">
        <f>IFERROR(VLOOKUP(B9387,material!A:D,3,0),"")</f>
        <v/>
      </c>
    </row>
    <row r="9388" ht="11.25" customHeight="1">
      <c r="A9388" s="21"/>
      <c r="B9388" s="22"/>
      <c r="C9388" s="21"/>
      <c r="D9388" s="21"/>
      <c r="E9388" s="21"/>
      <c r="F9388" s="21"/>
      <c r="G9388" s="25"/>
      <c r="H9388" s="24" t="str">
        <f>IFERROR(VLOOKUP(B9388,material!A:D,3,0),"")</f>
        <v/>
      </c>
    </row>
    <row r="9389" ht="11.25" customHeight="1">
      <c r="A9389" s="21"/>
      <c r="B9389" s="22"/>
      <c r="C9389" s="21"/>
      <c r="D9389" s="21"/>
      <c r="E9389" s="21"/>
      <c r="F9389" s="21"/>
      <c r="G9389" s="25"/>
      <c r="H9389" s="24" t="str">
        <f>IFERROR(VLOOKUP(B9389,material!A:D,3,0),"")</f>
        <v/>
      </c>
    </row>
    <row r="9390" ht="11.25" customHeight="1">
      <c r="A9390" s="21"/>
      <c r="B9390" s="22"/>
      <c r="C9390" s="21"/>
      <c r="D9390" s="21"/>
      <c r="E9390" s="21"/>
      <c r="F9390" s="21"/>
      <c r="G9390" s="25"/>
      <c r="H9390" s="24" t="str">
        <f>IFERROR(VLOOKUP(B9390,material!A:D,3,0),"")</f>
        <v/>
      </c>
    </row>
    <row r="9391" ht="11.25" customHeight="1">
      <c r="A9391" s="21"/>
      <c r="B9391" s="22"/>
      <c r="C9391" s="21"/>
      <c r="D9391" s="21"/>
      <c r="E9391" s="21"/>
      <c r="F9391" s="21"/>
      <c r="G9391" s="25"/>
      <c r="H9391" s="24" t="str">
        <f>IFERROR(VLOOKUP(B9391,material!A:D,3,0),"")</f>
        <v/>
      </c>
    </row>
    <row r="9392" ht="11.25" customHeight="1">
      <c r="A9392" s="21"/>
      <c r="B9392" s="22"/>
      <c r="C9392" s="21"/>
      <c r="D9392" s="21"/>
      <c r="E9392" s="21"/>
      <c r="F9392" s="21"/>
      <c r="G9392" s="25"/>
      <c r="H9392" s="24" t="str">
        <f>IFERROR(VLOOKUP(B9392,material!A:D,3,0),"")</f>
        <v/>
      </c>
    </row>
    <row r="9393" ht="11.25" customHeight="1">
      <c r="A9393" s="21"/>
      <c r="B9393" s="22"/>
      <c r="C9393" s="21"/>
      <c r="D9393" s="21"/>
      <c r="E9393" s="21"/>
      <c r="F9393" s="21"/>
      <c r="G9393" s="25"/>
      <c r="H9393" s="24" t="str">
        <f>IFERROR(VLOOKUP(B9393,material!A:D,3,0),"")</f>
        <v/>
      </c>
    </row>
    <row r="9394" ht="11.25" customHeight="1">
      <c r="A9394" s="21"/>
      <c r="B9394" s="22"/>
      <c r="C9394" s="21"/>
      <c r="D9394" s="21"/>
      <c r="E9394" s="21"/>
      <c r="F9394" s="21"/>
      <c r="G9394" s="25"/>
      <c r="H9394" s="24" t="str">
        <f>IFERROR(VLOOKUP(B9394,material!A:D,3,0),"")</f>
        <v/>
      </c>
    </row>
    <row r="9395" ht="11.25" customHeight="1">
      <c r="A9395" s="21"/>
      <c r="B9395" s="22"/>
      <c r="C9395" s="21"/>
      <c r="D9395" s="21"/>
      <c r="E9395" s="21"/>
      <c r="F9395" s="21"/>
      <c r="G9395" s="25"/>
      <c r="H9395" s="24" t="str">
        <f>IFERROR(VLOOKUP(B9395,material!A:D,3,0),"")</f>
        <v/>
      </c>
    </row>
    <row r="9396" ht="11.25" customHeight="1">
      <c r="A9396" s="21"/>
      <c r="B9396" s="22"/>
      <c r="C9396" s="21"/>
      <c r="D9396" s="21"/>
      <c r="E9396" s="21"/>
      <c r="F9396" s="21"/>
      <c r="G9396" s="25"/>
      <c r="H9396" s="24" t="str">
        <f>IFERROR(VLOOKUP(B9396,material!A:D,3,0),"")</f>
        <v/>
      </c>
    </row>
    <row r="9397" ht="11.25" customHeight="1">
      <c r="A9397" s="21"/>
      <c r="B9397" s="22"/>
      <c r="C9397" s="21"/>
      <c r="D9397" s="21"/>
      <c r="E9397" s="21"/>
      <c r="F9397" s="21"/>
      <c r="G9397" s="25"/>
      <c r="H9397" s="24" t="str">
        <f>IFERROR(VLOOKUP(B9397,material!A:D,3,0),"")</f>
        <v/>
      </c>
    </row>
    <row r="9398" ht="11.25" customHeight="1">
      <c r="A9398" s="21"/>
      <c r="B9398" s="22"/>
      <c r="C9398" s="21"/>
      <c r="D9398" s="21"/>
      <c r="E9398" s="21"/>
      <c r="F9398" s="21"/>
      <c r="G9398" s="25"/>
      <c r="H9398" s="24" t="str">
        <f>IFERROR(VLOOKUP(B9398,material!A:D,3,0),"")</f>
        <v/>
      </c>
    </row>
    <row r="9399" ht="11.25" customHeight="1">
      <c r="A9399" s="21"/>
      <c r="B9399" s="22"/>
      <c r="C9399" s="21"/>
      <c r="D9399" s="21"/>
      <c r="E9399" s="21"/>
      <c r="F9399" s="21"/>
      <c r="G9399" s="25"/>
      <c r="H9399" s="24" t="str">
        <f>IFERROR(VLOOKUP(B9399,material!A:D,3,0),"")</f>
        <v/>
      </c>
    </row>
    <row r="9400" ht="11.25" customHeight="1">
      <c r="A9400" s="21"/>
      <c r="B9400" s="22"/>
      <c r="C9400" s="21"/>
      <c r="D9400" s="21"/>
      <c r="E9400" s="21"/>
      <c r="F9400" s="21"/>
      <c r="G9400" s="25"/>
      <c r="H9400" s="24" t="str">
        <f>IFERROR(VLOOKUP(B9400,material!A:D,3,0),"")</f>
        <v/>
      </c>
    </row>
    <row r="9401" ht="11.25" customHeight="1">
      <c r="A9401" s="21"/>
      <c r="B9401" s="22"/>
      <c r="C9401" s="21"/>
      <c r="D9401" s="21"/>
      <c r="E9401" s="21"/>
      <c r="F9401" s="21"/>
      <c r="G9401" s="25"/>
      <c r="H9401" s="24" t="str">
        <f>IFERROR(VLOOKUP(B9401,material!A:D,3,0),"")</f>
        <v/>
      </c>
    </row>
    <row r="9402" ht="11.25" customHeight="1">
      <c r="A9402" s="21"/>
      <c r="B9402" s="22"/>
      <c r="C9402" s="21"/>
      <c r="D9402" s="21"/>
      <c r="E9402" s="21"/>
      <c r="F9402" s="21"/>
      <c r="G9402" s="25"/>
      <c r="H9402" s="24" t="str">
        <f>IFERROR(VLOOKUP(B9402,material!A:D,3,0),"")</f>
        <v/>
      </c>
    </row>
    <row r="9403" ht="11.25" customHeight="1">
      <c r="A9403" s="21"/>
      <c r="B9403" s="22"/>
      <c r="C9403" s="21"/>
      <c r="D9403" s="21"/>
      <c r="E9403" s="21"/>
      <c r="F9403" s="21"/>
      <c r="G9403" s="25"/>
      <c r="H9403" s="24" t="str">
        <f>IFERROR(VLOOKUP(B9403,material!A:D,3,0),"")</f>
        <v/>
      </c>
    </row>
    <row r="9404" ht="11.25" customHeight="1">
      <c r="A9404" s="21"/>
      <c r="B9404" s="22"/>
      <c r="C9404" s="21"/>
      <c r="D9404" s="21"/>
      <c r="E9404" s="21"/>
      <c r="F9404" s="21"/>
      <c r="G9404" s="25"/>
      <c r="H9404" s="24" t="str">
        <f>IFERROR(VLOOKUP(B9404,material!A:D,3,0),"")</f>
        <v/>
      </c>
    </row>
    <row r="9405" ht="11.25" customHeight="1">
      <c r="A9405" s="21"/>
      <c r="B9405" s="22"/>
      <c r="C9405" s="21"/>
      <c r="D9405" s="21"/>
      <c r="E9405" s="21"/>
      <c r="F9405" s="21"/>
      <c r="G9405" s="25"/>
      <c r="H9405" s="24" t="str">
        <f>IFERROR(VLOOKUP(B9405,material!A:D,3,0),"")</f>
        <v/>
      </c>
    </row>
    <row r="9406" ht="11.25" customHeight="1">
      <c r="A9406" s="21"/>
      <c r="B9406" s="22"/>
      <c r="C9406" s="21"/>
      <c r="D9406" s="21"/>
      <c r="E9406" s="21"/>
      <c r="F9406" s="21"/>
      <c r="G9406" s="25"/>
      <c r="H9406" s="24" t="str">
        <f>IFERROR(VLOOKUP(B9406,material!A:D,3,0),"")</f>
        <v/>
      </c>
    </row>
    <row r="9407" ht="11.25" customHeight="1">
      <c r="A9407" s="21"/>
      <c r="B9407" s="22"/>
      <c r="C9407" s="21"/>
      <c r="D9407" s="21"/>
      <c r="E9407" s="21"/>
      <c r="F9407" s="21"/>
      <c r="G9407" s="25"/>
      <c r="H9407" s="24" t="str">
        <f>IFERROR(VLOOKUP(B9407,material!A:D,3,0),"")</f>
        <v/>
      </c>
    </row>
    <row r="9408" ht="11.25" customHeight="1">
      <c r="A9408" s="21"/>
      <c r="B9408" s="22"/>
      <c r="C9408" s="21"/>
      <c r="D9408" s="21"/>
      <c r="E9408" s="21"/>
      <c r="F9408" s="21"/>
      <c r="G9408" s="25"/>
      <c r="H9408" s="24" t="str">
        <f>IFERROR(VLOOKUP(B9408,material!A:D,3,0),"")</f>
        <v/>
      </c>
    </row>
    <row r="9409" ht="11.25" customHeight="1">
      <c r="A9409" s="21"/>
      <c r="B9409" s="22"/>
      <c r="C9409" s="21"/>
      <c r="D9409" s="21"/>
      <c r="E9409" s="21"/>
      <c r="F9409" s="21"/>
      <c r="G9409" s="25"/>
      <c r="H9409" s="24" t="str">
        <f>IFERROR(VLOOKUP(B9409,material!A:D,3,0),"")</f>
        <v/>
      </c>
    </row>
    <row r="9410" ht="11.25" customHeight="1">
      <c r="A9410" s="21"/>
      <c r="B9410" s="22"/>
      <c r="C9410" s="21"/>
      <c r="D9410" s="21"/>
      <c r="E9410" s="21"/>
      <c r="F9410" s="21"/>
      <c r="G9410" s="25"/>
      <c r="H9410" s="24" t="str">
        <f>IFERROR(VLOOKUP(B9410,material!A:D,3,0),"")</f>
        <v/>
      </c>
    </row>
    <row r="9411" ht="11.25" customHeight="1">
      <c r="A9411" s="21"/>
      <c r="B9411" s="22"/>
      <c r="C9411" s="21"/>
      <c r="D9411" s="21"/>
      <c r="E9411" s="21"/>
      <c r="F9411" s="21"/>
      <c r="G9411" s="25"/>
      <c r="H9411" s="24" t="str">
        <f>IFERROR(VLOOKUP(B9411,material!A:D,3,0),"")</f>
        <v/>
      </c>
    </row>
    <row r="9412" ht="11.25" customHeight="1">
      <c r="A9412" s="21"/>
      <c r="B9412" s="22"/>
      <c r="C9412" s="21"/>
      <c r="D9412" s="21"/>
      <c r="E9412" s="21"/>
      <c r="F9412" s="21"/>
      <c r="G9412" s="25"/>
      <c r="H9412" s="24" t="str">
        <f>IFERROR(VLOOKUP(B9412,material!A:D,3,0),"")</f>
        <v/>
      </c>
    </row>
    <row r="9413" ht="11.25" customHeight="1">
      <c r="A9413" s="21"/>
      <c r="B9413" s="22"/>
      <c r="C9413" s="21"/>
      <c r="D9413" s="21"/>
      <c r="E9413" s="21"/>
      <c r="F9413" s="21"/>
      <c r="G9413" s="25"/>
      <c r="H9413" s="24" t="str">
        <f>IFERROR(VLOOKUP(B9413,material!A:D,3,0),"")</f>
        <v/>
      </c>
    </row>
    <row r="9414" ht="11.25" customHeight="1">
      <c r="A9414" s="21"/>
      <c r="B9414" s="22"/>
      <c r="C9414" s="21"/>
      <c r="D9414" s="21"/>
      <c r="E9414" s="21"/>
      <c r="F9414" s="21"/>
      <c r="G9414" s="25"/>
      <c r="H9414" s="24" t="str">
        <f>IFERROR(VLOOKUP(B9414,material!A:D,3,0),"")</f>
        <v/>
      </c>
    </row>
    <row r="9415" ht="11.25" customHeight="1">
      <c r="A9415" s="21"/>
      <c r="B9415" s="22"/>
      <c r="C9415" s="21"/>
      <c r="D9415" s="21"/>
      <c r="E9415" s="21"/>
      <c r="F9415" s="21"/>
      <c r="G9415" s="25"/>
      <c r="H9415" s="24" t="str">
        <f>IFERROR(VLOOKUP(B9415,material!A:D,3,0),"")</f>
        <v/>
      </c>
    </row>
    <row r="9416" ht="11.25" customHeight="1">
      <c r="A9416" s="21"/>
      <c r="B9416" s="22"/>
      <c r="C9416" s="21"/>
      <c r="D9416" s="21"/>
      <c r="E9416" s="21"/>
      <c r="F9416" s="21"/>
      <c r="G9416" s="25"/>
      <c r="H9416" s="24" t="str">
        <f>IFERROR(VLOOKUP(B9416,material!A:D,3,0),"")</f>
        <v/>
      </c>
    </row>
    <row r="9417" ht="11.25" customHeight="1">
      <c r="A9417" s="21"/>
      <c r="B9417" s="22"/>
      <c r="C9417" s="21"/>
      <c r="D9417" s="21"/>
      <c r="E9417" s="21"/>
      <c r="F9417" s="21"/>
      <c r="G9417" s="25"/>
      <c r="H9417" s="24" t="str">
        <f>IFERROR(VLOOKUP(B9417,material!A:D,3,0),"")</f>
        <v/>
      </c>
    </row>
    <row r="9418" ht="11.25" customHeight="1">
      <c r="A9418" s="21"/>
      <c r="B9418" s="22"/>
      <c r="C9418" s="21"/>
      <c r="D9418" s="21"/>
      <c r="E9418" s="21"/>
      <c r="F9418" s="21"/>
      <c r="G9418" s="25"/>
      <c r="H9418" s="24" t="str">
        <f>IFERROR(VLOOKUP(B9418,material!A:D,3,0),"")</f>
        <v/>
      </c>
    </row>
    <row r="9419" ht="11.25" customHeight="1">
      <c r="A9419" s="21"/>
      <c r="B9419" s="22"/>
      <c r="C9419" s="21"/>
      <c r="D9419" s="21"/>
      <c r="E9419" s="21"/>
      <c r="F9419" s="21"/>
      <c r="G9419" s="25"/>
      <c r="H9419" s="24" t="str">
        <f>IFERROR(VLOOKUP(B9419,material!A:D,3,0),"")</f>
        <v/>
      </c>
    </row>
    <row r="9420" ht="11.25" customHeight="1">
      <c r="A9420" s="21"/>
      <c r="B9420" s="22"/>
      <c r="C9420" s="21"/>
      <c r="D9420" s="21"/>
      <c r="E9420" s="21"/>
      <c r="F9420" s="21"/>
      <c r="G9420" s="25"/>
      <c r="H9420" s="24" t="str">
        <f>IFERROR(VLOOKUP(B9420,material!A:D,3,0),"")</f>
        <v/>
      </c>
    </row>
    <row r="9421" ht="11.25" customHeight="1">
      <c r="A9421" s="21"/>
      <c r="B9421" s="22"/>
      <c r="C9421" s="21"/>
      <c r="D9421" s="21"/>
      <c r="E9421" s="21"/>
      <c r="F9421" s="21"/>
      <c r="G9421" s="25"/>
      <c r="H9421" s="24" t="str">
        <f>IFERROR(VLOOKUP(B9421,material!A:D,3,0),"")</f>
        <v/>
      </c>
    </row>
    <row r="9422" ht="11.25" customHeight="1">
      <c r="A9422" s="21"/>
      <c r="B9422" s="22"/>
      <c r="C9422" s="21"/>
      <c r="D9422" s="21"/>
      <c r="E9422" s="21"/>
      <c r="F9422" s="21"/>
      <c r="G9422" s="25"/>
      <c r="H9422" s="24" t="str">
        <f>IFERROR(VLOOKUP(B9422,material!A:D,3,0),"")</f>
        <v/>
      </c>
    </row>
    <row r="9423" ht="11.25" customHeight="1">
      <c r="A9423" s="21"/>
      <c r="B9423" s="22"/>
      <c r="C9423" s="21"/>
      <c r="D9423" s="21"/>
      <c r="E9423" s="21"/>
      <c r="F9423" s="21"/>
      <c r="G9423" s="25"/>
      <c r="H9423" s="24" t="str">
        <f>IFERROR(VLOOKUP(B9423,material!A:D,3,0),"")</f>
        <v/>
      </c>
    </row>
    <row r="9424" ht="11.25" customHeight="1">
      <c r="A9424" s="21"/>
      <c r="B9424" s="22"/>
      <c r="C9424" s="21"/>
      <c r="D9424" s="21"/>
      <c r="E9424" s="21"/>
      <c r="F9424" s="21"/>
      <c r="G9424" s="25"/>
      <c r="H9424" s="24" t="str">
        <f>IFERROR(VLOOKUP(B9424,material!A:D,3,0),"")</f>
        <v/>
      </c>
    </row>
    <row r="9425" ht="11.25" customHeight="1">
      <c r="A9425" s="21"/>
      <c r="B9425" s="22"/>
      <c r="C9425" s="21"/>
      <c r="D9425" s="21"/>
      <c r="E9425" s="21"/>
      <c r="F9425" s="21"/>
      <c r="G9425" s="25"/>
      <c r="H9425" s="24" t="str">
        <f>IFERROR(VLOOKUP(B9425,material!A:D,3,0),"")</f>
        <v/>
      </c>
    </row>
    <row r="9426" ht="11.25" customHeight="1">
      <c r="A9426" s="21"/>
      <c r="B9426" s="22"/>
      <c r="C9426" s="21"/>
      <c r="D9426" s="21"/>
      <c r="E9426" s="21"/>
      <c r="F9426" s="21"/>
      <c r="G9426" s="25"/>
      <c r="H9426" s="24" t="str">
        <f>IFERROR(VLOOKUP(B9426,material!A:D,3,0),"")</f>
        <v/>
      </c>
    </row>
    <row r="9427" ht="11.25" customHeight="1">
      <c r="A9427" s="21"/>
      <c r="B9427" s="22"/>
      <c r="C9427" s="21"/>
      <c r="D9427" s="21"/>
      <c r="E9427" s="21"/>
      <c r="F9427" s="21"/>
      <c r="G9427" s="25"/>
      <c r="H9427" s="24" t="str">
        <f>IFERROR(VLOOKUP(B9427,material!A:D,3,0),"")</f>
        <v/>
      </c>
    </row>
    <row r="9428" ht="11.25" customHeight="1">
      <c r="A9428" s="21"/>
      <c r="B9428" s="22"/>
      <c r="C9428" s="21"/>
      <c r="D9428" s="21"/>
      <c r="E9428" s="21"/>
      <c r="F9428" s="21"/>
      <c r="G9428" s="25"/>
      <c r="H9428" s="24" t="str">
        <f>IFERROR(VLOOKUP(B9428,material!A:D,3,0),"")</f>
        <v/>
      </c>
    </row>
    <row r="9429" ht="11.25" customHeight="1">
      <c r="A9429" s="21"/>
      <c r="B9429" s="22"/>
      <c r="C9429" s="21"/>
      <c r="D9429" s="21"/>
      <c r="E9429" s="21"/>
      <c r="F9429" s="21"/>
      <c r="G9429" s="25"/>
      <c r="H9429" s="24" t="str">
        <f>IFERROR(VLOOKUP(B9429,material!A:D,3,0),"")</f>
        <v/>
      </c>
    </row>
    <row r="9430" ht="11.25" customHeight="1">
      <c r="A9430" s="21"/>
      <c r="B9430" s="22"/>
      <c r="C9430" s="21"/>
      <c r="D9430" s="21"/>
      <c r="E9430" s="21"/>
      <c r="F9430" s="21"/>
      <c r="G9430" s="25"/>
      <c r="H9430" s="24" t="str">
        <f>IFERROR(VLOOKUP(B9430,material!A:D,3,0),"")</f>
        <v/>
      </c>
    </row>
    <row r="9431" ht="11.25" customHeight="1">
      <c r="A9431" s="21"/>
      <c r="B9431" s="22"/>
      <c r="C9431" s="21"/>
      <c r="D9431" s="21"/>
      <c r="E9431" s="21"/>
      <c r="F9431" s="21"/>
      <c r="G9431" s="25"/>
      <c r="H9431" s="24" t="str">
        <f>IFERROR(VLOOKUP(B9431,material!A:D,3,0),"")</f>
        <v/>
      </c>
    </row>
    <row r="9432" ht="11.25" customHeight="1">
      <c r="A9432" s="21"/>
      <c r="B9432" s="22"/>
      <c r="C9432" s="21"/>
      <c r="D9432" s="21"/>
      <c r="E9432" s="21"/>
      <c r="F9432" s="21"/>
      <c r="G9432" s="25"/>
      <c r="H9432" s="24" t="str">
        <f>IFERROR(VLOOKUP(B9432,material!A:D,3,0),"")</f>
        <v/>
      </c>
    </row>
    <row r="9433" ht="11.25" customHeight="1">
      <c r="A9433" s="21"/>
      <c r="B9433" s="22"/>
      <c r="C9433" s="21"/>
      <c r="D9433" s="21"/>
      <c r="E9433" s="21"/>
      <c r="F9433" s="21"/>
      <c r="G9433" s="25"/>
      <c r="H9433" s="24" t="str">
        <f>IFERROR(VLOOKUP(B9433,material!A:D,3,0),"")</f>
        <v/>
      </c>
    </row>
    <row r="9434" ht="11.25" customHeight="1">
      <c r="A9434" s="21"/>
      <c r="B9434" s="22"/>
      <c r="C9434" s="21"/>
      <c r="D9434" s="21"/>
      <c r="E9434" s="21"/>
      <c r="F9434" s="21"/>
      <c r="G9434" s="25"/>
      <c r="H9434" s="24" t="str">
        <f>IFERROR(VLOOKUP(B9434,material!A:D,3,0),"")</f>
        <v/>
      </c>
    </row>
    <row r="9435" ht="11.25" customHeight="1">
      <c r="A9435" s="21"/>
      <c r="B9435" s="22"/>
      <c r="C9435" s="21"/>
      <c r="D9435" s="21"/>
      <c r="E9435" s="21"/>
      <c r="F9435" s="21"/>
      <c r="G9435" s="25"/>
      <c r="H9435" s="24" t="str">
        <f>IFERROR(VLOOKUP(B9435,material!A:D,3,0),"")</f>
        <v/>
      </c>
    </row>
    <row r="9436" ht="11.25" customHeight="1">
      <c r="A9436" s="21"/>
      <c r="B9436" s="22"/>
      <c r="C9436" s="21"/>
      <c r="D9436" s="21"/>
      <c r="E9436" s="21"/>
      <c r="F9436" s="21"/>
      <c r="G9436" s="25"/>
      <c r="H9436" s="24" t="str">
        <f>IFERROR(VLOOKUP(B9436,material!A:D,3,0),"")</f>
        <v/>
      </c>
    </row>
    <row r="9437" ht="11.25" customHeight="1">
      <c r="A9437" s="21"/>
      <c r="B9437" s="22"/>
      <c r="C9437" s="21"/>
      <c r="D9437" s="21"/>
      <c r="E9437" s="21"/>
      <c r="F9437" s="21"/>
      <c r="G9437" s="25"/>
      <c r="H9437" s="24" t="str">
        <f>IFERROR(VLOOKUP(B9437,material!A:D,3,0),"")</f>
        <v/>
      </c>
    </row>
    <row r="9438" ht="11.25" customHeight="1">
      <c r="A9438" s="21"/>
      <c r="B9438" s="22"/>
      <c r="C9438" s="21"/>
      <c r="D9438" s="21"/>
      <c r="E9438" s="21"/>
      <c r="F9438" s="21"/>
      <c r="G9438" s="25"/>
      <c r="H9438" s="24" t="str">
        <f>IFERROR(VLOOKUP(B9438,material!A:D,3,0),"")</f>
        <v/>
      </c>
    </row>
    <row r="9439" ht="11.25" customHeight="1">
      <c r="A9439" s="21"/>
      <c r="B9439" s="22"/>
      <c r="C9439" s="21"/>
      <c r="D9439" s="21"/>
      <c r="E9439" s="21"/>
      <c r="F9439" s="21"/>
      <c r="G9439" s="25"/>
      <c r="H9439" s="24" t="str">
        <f>IFERROR(VLOOKUP(B9439,material!A:D,3,0),"")</f>
        <v/>
      </c>
    </row>
    <row r="9440" ht="11.25" customHeight="1">
      <c r="A9440" s="21"/>
      <c r="B9440" s="22"/>
      <c r="C9440" s="21"/>
      <c r="D9440" s="21"/>
      <c r="E9440" s="21"/>
      <c r="F9440" s="21"/>
      <c r="G9440" s="25"/>
      <c r="H9440" s="24" t="str">
        <f>IFERROR(VLOOKUP(B9440,material!A:D,3,0),"")</f>
        <v/>
      </c>
    </row>
    <row r="9441" ht="11.25" customHeight="1">
      <c r="A9441" s="21"/>
      <c r="B9441" s="22"/>
      <c r="C9441" s="21"/>
      <c r="D9441" s="21"/>
      <c r="E9441" s="21"/>
      <c r="F9441" s="21"/>
      <c r="G9441" s="25"/>
      <c r="H9441" s="24" t="str">
        <f>IFERROR(VLOOKUP(B9441,material!A:D,3,0),"")</f>
        <v/>
      </c>
    </row>
    <row r="9442" ht="11.25" customHeight="1">
      <c r="A9442" s="21"/>
      <c r="B9442" s="22"/>
      <c r="C9442" s="21"/>
      <c r="D9442" s="21"/>
      <c r="E9442" s="21"/>
      <c r="F9442" s="21"/>
      <c r="G9442" s="25"/>
      <c r="H9442" s="24" t="str">
        <f>IFERROR(VLOOKUP(B9442,material!A:D,3,0),"")</f>
        <v/>
      </c>
    </row>
    <row r="9443" ht="11.25" customHeight="1">
      <c r="A9443" s="21"/>
      <c r="B9443" s="22"/>
      <c r="C9443" s="21"/>
      <c r="D9443" s="21"/>
      <c r="E9443" s="21"/>
      <c r="F9443" s="21"/>
      <c r="G9443" s="25"/>
      <c r="H9443" s="24" t="str">
        <f>IFERROR(VLOOKUP(B9443,material!A:D,3,0),"")</f>
        <v/>
      </c>
    </row>
    <row r="9444" ht="11.25" customHeight="1">
      <c r="A9444" s="21"/>
      <c r="B9444" s="22"/>
      <c r="C9444" s="21"/>
      <c r="D9444" s="21"/>
      <c r="E9444" s="21"/>
      <c r="F9444" s="21"/>
      <c r="G9444" s="25"/>
      <c r="H9444" s="24" t="str">
        <f>IFERROR(VLOOKUP(B9444,material!A:D,3,0),"")</f>
        <v/>
      </c>
    </row>
    <row r="9445" ht="11.25" customHeight="1">
      <c r="A9445" s="21"/>
      <c r="B9445" s="22"/>
      <c r="C9445" s="21"/>
      <c r="D9445" s="21"/>
      <c r="E9445" s="21"/>
      <c r="F9445" s="21"/>
      <c r="G9445" s="25"/>
      <c r="H9445" s="24" t="str">
        <f>IFERROR(VLOOKUP(B9445,material!A:D,3,0),"")</f>
        <v/>
      </c>
    </row>
    <row r="9446" ht="11.25" customHeight="1">
      <c r="A9446" s="21"/>
      <c r="B9446" s="22"/>
      <c r="C9446" s="21"/>
      <c r="D9446" s="21"/>
      <c r="E9446" s="21"/>
      <c r="F9446" s="21"/>
      <c r="G9446" s="25"/>
      <c r="H9446" s="24" t="str">
        <f>IFERROR(VLOOKUP(B9446,material!A:D,3,0),"")</f>
        <v/>
      </c>
    </row>
    <row r="9447" ht="11.25" customHeight="1">
      <c r="A9447" s="21"/>
      <c r="B9447" s="22"/>
      <c r="C9447" s="21"/>
      <c r="D9447" s="21"/>
      <c r="E9447" s="21"/>
      <c r="F9447" s="21"/>
      <c r="G9447" s="25"/>
      <c r="H9447" s="24" t="str">
        <f>IFERROR(VLOOKUP(B9447,material!A:D,3,0),"")</f>
        <v/>
      </c>
    </row>
    <row r="9448" ht="11.25" customHeight="1">
      <c r="A9448" s="21"/>
      <c r="B9448" s="22"/>
      <c r="C9448" s="21"/>
      <c r="D9448" s="21"/>
      <c r="E9448" s="21"/>
      <c r="F9448" s="21"/>
      <c r="G9448" s="25"/>
      <c r="H9448" s="24" t="str">
        <f>IFERROR(VLOOKUP(B9448,material!A:D,3,0),"")</f>
        <v/>
      </c>
    </row>
    <row r="9449" ht="11.25" customHeight="1">
      <c r="A9449" s="21"/>
      <c r="B9449" s="22"/>
      <c r="C9449" s="21"/>
      <c r="D9449" s="21"/>
      <c r="E9449" s="21"/>
      <c r="F9449" s="21"/>
      <c r="G9449" s="25"/>
      <c r="H9449" s="24" t="str">
        <f>IFERROR(VLOOKUP(B9449,material!A:D,3,0),"")</f>
        <v/>
      </c>
    </row>
    <row r="9450" ht="11.25" customHeight="1">
      <c r="A9450" s="21"/>
      <c r="B9450" s="22"/>
      <c r="C9450" s="21"/>
      <c r="D9450" s="21"/>
      <c r="E9450" s="21"/>
      <c r="F9450" s="21"/>
      <c r="G9450" s="25"/>
      <c r="H9450" s="24" t="str">
        <f>IFERROR(VLOOKUP(B9450,material!A:D,3,0),"")</f>
        <v/>
      </c>
    </row>
    <row r="9451" ht="11.25" customHeight="1">
      <c r="A9451" s="21"/>
      <c r="B9451" s="22"/>
      <c r="C9451" s="21"/>
      <c r="D9451" s="21"/>
      <c r="E9451" s="21"/>
      <c r="F9451" s="21"/>
      <c r="G9451" s="25"/>
      <c r="H9451" s="24" t="str">
        <f>IFERROR(VLOOKUP(B9451,material!A:D,3,0),"")</f>
        <v/>
      </c>
    </row>
    <row r="9452" ht="11.25" customHeight="1">
      <c r="A9452" s="21"/>
      <c r="B9452" s="22"/>
      <c r="C9452" s="21"/>
      <c r="D9452" s="21"/>
      <c r="E9452" s="21"/>
      <c r="F9452" s="21"/>
      <c r="G9452" s="25"/>
      <c r="H9452" s="24" t="str">
        <f>IFERROR(VLOOKUP(B9452,material!A:D,3,0),"")</f>
        <v/>
      </c>
    </row>
    <row r="9453" ht="11.25" customHeight="1">
      <c r="A9453" s="21"/>
      <c r="B9453" s="22"/>
      <c r="C9453" s="21"/>
      <c r="D9453" s="21"/>
      <c r="E9453" s="21"/>
      <c r="F9453" s="21"/>
      <c r="G9453" s="25"/>
      <c r="H9453" s="24" t="str">
        <f>IFERROR(VLOOKUP(B9453,material!A:D,3,0),"")</f>
        <v/>
      </c>
    </row>
    <row r="9454" ht="11.25" customHeight="1">
      <c r="A9454" s="21"/>
      <c r="B9454" s="22"/>
      <c r="C9454" s="21"/>
      <c r="D9454" s="21"/>
      <c r="E9454" s="21"/>
      <c r="F9454" s="21"/>
      <c r="G9454" s="25"/>
      <c r="H9454" s="24" t="str">
        <f>IFERROR(VLOOKUP(B9454,material!A:D,3,0),"")</f>
        <v/>
      </c>
    </row>
    <row r="9455" ht="11.25" customHeight="1">
      <c r="A9455" s="21"/>
      <c r="B9455" s="22"/>
      <c r="C9455" s="21"/>
      <c r="D9455" s="21"/>
      <c r="E9455" s="21"/>
      <c r="F9455" s="21"/>
      <c r="G9455" s="25"/>
      <c r="H9455" s="24" t="str">
        <f>IFERROR(VLOOKUP(B9455,material!A:D,3,0),"")</f>
        <v/>
      </c>
    </row>
    <row r="9456" ht="11.25" customHeight="1">
      <c r="A9456" s="21"/>
      <c r="B9456" s="22"/>
      <c r="C9456" s="21"/>
      <c r="D9456" s="21"/>
      <c r="E9456" s="21"/>
      <c r="F9456" s="21"/>
      <c r="G9456" s="25"/>
      <c r="H9456" s="24" t="str">
        <f>IFERROR(VLOOKUP(B9456,material!A:D,3,0),"")</f>
        <v/>
      </c>
    </row>
    <row r="9457" ht="11.25" customHeight="1">
      <c r="A9457" s="21"/>
      <c r="B9457" s="22"/>
      <c r="C9457" s="21"/>
      <c r="D9457" s="21"/>
      <c r="E9457" s="21"/>
      <c r="F9457" s="21"/>
      <c r="G9457" s="25"/>
      <c r="H9457" s="24" t="str">
        <f>IFERROR(VLOOKUP(B9457,material!A:D,3,0),"")</f>
        <v/>
      </c>
    </row>
    <row r="9458" ht="11.25" customHeight="1">
      <c r="A9458" s="21"/>
      <c r="B9458" s="22"/>
      <c r="C9458" s="21"/>
      <c r="D9458" s="21"/>
      <c r="E9458" s="21"/>
      <c r="F9458" s="21"/>
      <c r="G9458" s="25"/>
      <c r="H9458" s="24" t="str">
        <f>IFERROR(VLOOKUP(B9458,material!A:D,3,0),"")</f>
        <v/>
      </c>
    </row>
    <row r="9459" ht="11.25" customHeight="1">
      <c r="A9459" s="21"/>
      <c r="B9459" s="22"/>
      <c r="C9459" s="21"/>
      <c r="D9459" s="21"/>
      <c r="E9459" s="21"/>
      <c r="F9459" s="21"/>
      <c r="G9459" s="25"/>
      <c r="H9459" s="24" t="str">
        <f>IFERROR(VLOOKUP(B9459,material!A:D,3,0),"")</f>
        <v/>
      </c>
    </row>
    <row r="9460" ht="11.25" customHeight="1">
      <c r="A9460" s="21"/>
      <c r="B9460" s="22"/>
      <c r="C9460" s="21"/>
      <c r="D9460" s="21"/>
      <c r="E9460" s="21"/>
      <c r="F9460" s="21"/>
      <c r="G9460" s="25"/>
      <c r="H9460" s="24" t="str">
        <f>IFERROR(VLOOKUP(B9460,material!A:D,3,0),"")</f>
        <v/>
      </c>
    </row>
    <row r="9461" ht="11.25" customHeight="1">
      <c r="A9461" s="21"/>
      <c r="B9461" s="22"/>
      <c r="C9461" s="21"/>
      <c r="D9461" s="21"/>
      <c r="E9461" s="21"/>
      <c r="F9461" s="21"/>
      <c r="G9461" s="25"/>
      <c r="H9461" s="24" t="str">
        <f>IFERROR(VLOOKUP(B9461,material!A:D,3,0),"")</f>
        <v/>
      </c>
    </row>
    <row r="9462" ht="11.25" customHeight="1">
      <c r="A9462" s="21"/>
      <c r="B9462" s="22"/>
      <c r="C9462" s="21"/>
      <c r="D9462" s="21"/>
      <c r="E9462" s="21"/>
      <c r="F9462" s="21"/>
      <c r="G9462" s="25"/>
      <c r="H9462" s="24" t="str">
        <f>IFERROR(VLOOKUP(B9462,material!A:D,3,0),"")</f>
        <v/>
      </c>
    </row>
    <row r="9463" ht="11.25" customHeight="1">
      <c r="A9463" s="21"/>
      <c r="B9463" s="22"/>
      <c r="C9463" s="21"/>
      <c r="D9463" s="21"/>
      <c r="E9463" s="21"/>
      <c r="F9463" s="21"/>
      <c r="G9463" s="25"/>
      <c r="H9463" s="24" t="str">
        <f>IFERROR(VLOOKUP(B9463,material!A:D,3,0),"")</f>
        <v/>
      </c>
    </row>
    <row r="9464" ht="11.25" customHeight="1">
      <c r="A9464" s="21"/>
      <c r="B9464" s="22"/>
      <c r="C9464" s="21"/>
      <c r="D9464" s="21"/>
      <c r="E9464" s="21"/>
      <c r="F9464" s="21"/>
      <c r="G9464" s="25"/>
      <c r="H9464" s="24" t="str">
        <f>IFERROR(VLOOKUP(B9464,material!A:D,3,0),"")</f>
        <v/>
      </c>
    </row>
    <row r="9465" ht="11.25" customHeight="1">
      <c r="A9465" s="21"/>
      <c r="B9465" s="22"/>
      <c r="C9465" s="21"/>
      <c r="D9465" s="21"/>
      <c r="E9465" s="21"/>
      <c r="F9465" s="21"/>
      <c r="G9465" s="25"/>
      <c r="H9465" s="24" t="str">
        <f>IFERROR(VLOOKUP(B9465,material!A:D,3,0),"")</f>
        <v/>
      </c>
    </row>
    <row r="9466" ht="11.25" customHeight="1">
      <c r="A9466" s="21"/>
      <c r="B9466" s="22"/>
      <c r="C9466" s="21"/>
      <c r="D9466" s="21"/>
      <c r="E9466" s="21"/>
      <c r="F9466" s="21"/>
      <c r="G9466" s="25"/>
      <c r="H9466" s="24" t="str">
        <f>IFERROR(VLOOKUP(B9466,material!A:D,3,0),"")</f>
        <v/>
      </c>
    </row>
    <row r="9467" ht="11.25" customHeight="1">
      <c r="A9467" s="21"/>
      <c r="B9467" s="22"/>
      <c r="C9467" s="21"/>
      <c r="D9467" s="21"/>
      <c r="E9467" s="21"/>
      <c r="F9467" s="21"/>
      <c r="G9467" s="25"/>
      <c r="H9467" s="24" t="str">
        <f>IFERROR(VLOOKUP(B9467,material!A:D,3,0),"")</f>
        <v/>
      </c>
    </row>
    <row r="9468" ht="11.25" customHeight="1">
      <c r="A9468" s="21"/>
      <c r="B9468" s="22"/>
      <c r="C9468" s="21"/>
      <c r="D9468" s="21"/>
      <c r="E9468" s="21"/>
      <c r="F9468" s="21"/>
      <c r="G9468" s="25"/>
      <c r="H9468" s="24" t="str">
        <f>IFERROR(VLOOKUP(B9468,material!A:D,3,0),"")</f>
        <v/>
      </c>
    </row>
    <row r="9469" ht="11.25" customHeight="1">
      <c r="A9469" s="21"/>
      <c r="B9469" s="22"/>
      <c r="C9469" s="21"/>
      <c r="D9469" s="21"/>
      <c r="E9469" s="21"/>
      <c r="F9469" s="21"/>
      <c r="G9469" s="25"/>
      <c r="H9469" s="24" t="str">
        <f>IFERROR(VLOOKUP(B9469,material!A:D,3,0),"")</f>
        <v/>
      </c>
    </row>
    <row r="9470" ht="11.25" customHeight="1">
      <c r="A9470" s="21"/>
      <c r="B9470" s="22"/>
      <c r="C9470" s="21"/>
      <c r="D9470" s="21"/>
      <c r="E9470" s="21"/>
      <c r="F9470" s="21"/>
      <c r="G9470" s="25"/>
      <c r="H9470" s="24" t="str">
        <f>IFERROR(VLOOKUP(B9470,material!A:D,3,0),"")</f>
        <v/>
      </c>
    </row>
    <row r="9471" ht="11.25" customHeight="1">
      <c r="A9471" s="21"/>
      <c r="B9471" s="22"/>
      <c r="C9471" s="21"/>
      <c r="D9471" s="21"/>
      <c r="E9471" s="21"/>
      <c r="F9471" s="21"/>
      <c r="G9471" s="25"/>
      <c r="H9471" s="24" t="str">
        <f>IFERROR(VLOOKUP(B9471,material!A:D,3,0),"")</f>
        <v/>
      </c>
    </row>
    <row r="9472" ht="11.25" customHeight="1">
      <c r="A9472" s="21"/>
      <c r="B9472" s="22"/>
      <c r="C9472" s="21"/>
      <c r="D9472" s="21"/>
      <c r="E9472" s="21"/>
      <c r="F9472" s="21"/>
      <c r="G9472" s="25"/>
      <c r="H9472" s="24" t="str">
        <f>IFERROR(VLOOKUP(B9472,material!A:D,3,0),"")</f>
        <v/>
      </c>
    </row>
    <row r="9473" ht="11.25" customHeight="1">
      <c r="A9473" s="21"/>
      <c r="B9473" s="22"/>
      <c r="C9473" s="21"/>
      <c r="D9473" s="21"/>
      <c r="E9473" s="21"/>
      <c r="F9473" s="21"/>
      <c r="G9473" s="25"/>
      <c r="H9473" s="24" t="str">
        <f>IFERROR(VLOOKUP(B9473,material!A:D,3,0),"")</f>
        <v/>
      </c>
    </row>
    <row r="9474" ht="11.25" customHeight="1">
      <c r="A9474" s="21"/>
      <c r="B9474" s="22"/>
      <c r="C9474" s="21"/>
      <c r="D9474" s="21"/>
      <c r="E9474" s="21"/>
      <c r="F9474" s="21"/>
      <c r="G9474" s="25"/>
      <c r="H9474" s="24" t="str">
        <f>IFERROR(VLOOKUP(B9474,material!A:D,3,0),"")</f>
        <v/>
      </c>
    </row>
    <row r="9475" ht="11.25" customHeight="1">
      <c r="A9475" s="21"/>
      <c r="B9475" s="22"/>
      <c r="C9475" s="21"/>
      <c r="D9475" s="21"/>
      <c r="E9475" s="21"/>
      <c r="F9475" s="21"/>
      <c r="G9475" s="25"/>
      <c r="H9475" s="24" t="str">
        <f>IFERROR(VLOOKUP(B9475,material!A:D,3,0),"")</f>
        <v/>
      </c>
    </row>
    <row r="9476" ht="11.25" customHeight="1">
      <c r="A9476" s="21"/>
      <c r="B9476" s="22"/>
      <c r="C9476" s="21"/>
      <c r="D9476" s="21"/>
      <c r="E9476" s="21"/>
      <c r="F9476" s="21"/>
      <c r="G9476" s="25"/>
      <c r="H9476" s="24" t="str">
        <f>IFERROR(VLOOKUP(B9476,material!A:D,3,0),"")</f>
        <v/>
      </c>
    </row>
    <row r="9477" ht="11.25" customHeight="1">
      <c r="A9477" s="21"/>
      <c r="B9477" s="22"/>
      <c r="C9477" s="21"/>
      <c r="D9477" s="21"/>
      <c r="E9477" s="21"/>
      <c r="F9477" s="21"/>
      <c r="G9477" s="25"/>
      <c r="H9477" s="24" t="str">
        <f>IFERROR(VLOOKUP(B9477,material!A:D,3,0),"")</f>
        <v/>
      </c>
    </row>
    <row r="9478" ht="11.25" customHeight="1">
      <c r="A9478" s="21"/>
      <c r="B9478" s="22"/>
      <c r="C9478" s="21"/>
      <c r="D9478" s="21"/>
      <c r="E9478" s="21"/>
      <c r="F9478" s="21"/>
      <c r="G9478" s="25"/>
      <c r="H9478" s="24" t="str">
        <f>IFERROR(VLOOKUP(B9478,material!A:D,3,0),"")</f>
        <v/>
      </c>
    </row>
    <row r="9479" ht="11.25" customHeight="1">
      <c r="A9479" s="21"/>
      <c r="B9479" s="22"/>
      <c r="C9479" s="21"/>
      <c r="D9479" s="21"/>
      <c r="E9479" s="21"/>
      <c r="F9479" s="21"/>
      <c r="G9479" s="25"/>
      <c r="H9479" s="24" t="str">
        <f>IFERROR(VLOOKUP(B9479,material!A:D,3,0),"")</f>
        <v/>
      </c>
    </row>
    <row r="9480" ht="11.25" customHeight="1">
      <c r="A9480" s="21"/>
      <c r="B9480" s="22"/>
      <c r="C9480" s="21"/>
      <c r="D9480" s="21"/>
      <c r="E9480" s="21"/>
      <c r="F9480" s="21"/>
      <c r="G9480" s="25"/>
      <c r="H9480" s="24" t="str">
        <f>IFERROR(VLOOKUP(B9480,material!A:D,3,0),"")</f>
        <v/>
      </c>
    </row>
    <row r="9481" ht="11.25" customHeight="1">
      <c r="A9481" s="21"/>
      <c r="B9481" s="22"/>
      <c r="C9481" s="21"/>
      <c r="D9481" s="21"/>
      <c r="E9481" s="21"/>
      <c r="F9481" s="21"/>
      <c r="G9481" s="25"/>
      <c r="H9481" s="24" t="str">
        <f>IFERROR(VLOOKUP(B9481,material!A:D,3,0),"")</f>
        <v/>
      </c>
    </row>
    <row r="9482" ht="11.25" customHeight="1">
      <c r="A9482" s="21"/>
      <c r="B9482" s="22"/>
      <c r="C9482" s="21"/>
      <c r="D9482" s="21"/>
      <c r="E9482" s="21"/>
      <c r="F9482" s="21"/>
      <c r="G9482" s="25"/>
      <c r="H9482" s="24" t="str">
        <f>IFERROR(VLOOKUP(B9482,material!A:D,3,0),"")</f>
        <v/>
      </c>
    </row>
    <row r="9483" ht="11.25" customHeight="1">
      <c r="A9483" s="21"/>
      <c r="B9483" s="22"/>
      <c r="C9483" s="21"/>
      <c r="D9483" s="21"/>
      <c r="E9483" s="21"/>
      <c r="F9483" s="21"/>
      <c r="G9483" s="25"/>
      <c r="H9483" s="24" t="str">
        <f>IFERROR(VLOOKUP(B9483,material!A:D,3,0),"")</f>
        <v/>
      </c>
    </row>
    <row r="9484" ht="11.25" customHeight="1">
      <c r="A9484" s="21"/>
      <c r="B9484" s="22"/>
      <c r="C9484" s="21"/>
      <c r="D9484" s="21"/>
      <c r="E9484" s="21"/>
      <c r="F9484" s="21"/>
      <c r="G9484" s="25"/>
      <c r="H9484" s="24" t="str">
        <f>IFERROR(VLOOKUP(B9484,material!A:D,3,0),"")</f>
        <v/>
      </c>
    </row>
    <row r="9485" ht="11.25" customHeight="1">
      <c r="A9485" s="21"/>
      <c r="B9485" s="22"/>
      <c r="C9485" s="21"/>
      <c r="D9485" s="21"/>
      <c r="E9485" s="21"/>
      <c r="F9485" s="21"/>
      <c r="G9485" s="25"/>
      <c r="H9485" s="24" t="str">
        <f>IFERROR(VLOOKUP(B9485,material!A:D,3,0),"")</f>
        <v/>
      </c>
    </row>
    <row r="9486" ht="11.25" customHeight="1">
      <c r="A9486" s="21"/>
      <c r="B9486" s="22"/>
      <c r="C9486" s="21"/>
      <c r="D9486" s="21"/>
      <c r="E9486" s="21"/>
      <c r="F9486" s="21"/>
      <c r="G9486" s="25"/>
      <c r="H9486" s="24" t="str">
        <f>IFERROR(VLOOKUP(B9486,material!A:D,3,0),"")</f>
        <v/>
      </c>
    </row>
    <row r="9487" ht="11.25" customHeight="1">
      <c r="A9487" s="21"/>
      <c r="B9487" s="22"/>
      <c r="C9487" s="21"/>
      <c r="D9487" s="21"/>
      <c r="E9487" s="21"/>
      <c r="F9487" s="21"/>
      <c r="G9487" s="25"/>
      <c r="H9487" s="24" t="str">
        <f>IFERROR(VLOOKUP(B9487,material!A:D,3,0),"")</f>
        <v/>
      </c>
    </row>
    <row r="9488" ht="11.25" customHeight="1">
      <c r="A9488" s="21"/>
      <c r="B9488" s="22"/>
      <c r="C9488" s="21"/>
      <c r="D9488" s="21"/>
      <c r="E9488" s="21"/>
      <c r="F9488" s="21"/>
      <c r="G9488" s="25"/>
      <c r="H9488" s="24" t="str">
        <f>IFERROR(VLOOKUP(B9488,material!A:D,3,0),"")</f>
        <v/>
      </c>
    </row>
    <row r="9489" ht="11.25" customHeight="1">
      <c r="A9489" s="21"/>
      <c r="B9489" s="22"/>
      <c r="C9489" s="21"/>
      <c r="D9489" s="21"/>
      <c r="E9489" s="21"/>
      <c r="F9489" s="21"/>
      <c r="G9489" s="25"/>
      <c r="H9489" s="24" t="str">
        <f>IFERROR(VLOOKUP(B9489,material!A:D,3,0),"")</f>
        <v/>
      </c>
    </row>
    <row r="9490" ht="11.25" customHeight="1">
      <c r="A9490" s="21"/>
      <c r="B9490" s="22"/>
      <c r="C9490" s="21"/>
      <c r="D9490" s="21"/>
      <c r="E9490" s="21"/>
      <c r="F9490" s="21"/>
      <c r="G9490" s="25"/>
      <c r="H9490" s="24" t="str">
        <f>IFERROR(VLOOKUP(B9490,material!A:D,3,0),"")</f>
        <v/>
      </c>
    </row>
    <row r="9491" ht="11.25" customHeight="1">
      <c r="A9491" s="21"/>
      <c r="B9491" s="22"/>
      <c r="C9491" s="21"/>
      <c r="D9491" s="21"/>
      <c r="E9491" s="21"/>
      <c r="F9491" s="21"/>
      <c r="G9491" s="25"/>
      <c r="H9491" s="24" t="str">
        <f>IFERROR(VLOOKUP(B9491,material!A:D,3,0),"")</f>
        <v/>
      </c>
    </row>
    <row r="9492" ht="11.25" customHeight="1">
      <c r="A9492" s="21"/>
      <c r="B9492" s="22"/>
      <c r="C9492" s="21"/>
      <c r="D9492" s="21"/>
      <c r="E9492" s="21"/>
      <c r="F9492" s="21"/>
      <c r="G9492" s="25"/>
      <c r="H9492" s="24" t="str">
        <f>IFERROR(VLOOKUP(B9492,material!A:D,3,0),"")</f>
        <v/>
      </c>
    </row>
    <row r="9493" ht="11.25" customHeight="1">
      <c r="A9493" s="21"/>
      <c r="B9493" s="22"/>
      <c r="C9493" s="21"/>
      <c r="D9493" s="21"/>
      <c r="E9493" s="21"/>
      <c r="F9493" s="21"/>
      <c r="G9493" s="25"/>
      <c r="H9493" s="24" t="str">
        <f>IFERROR(VLOOKUP(B9493,material!A:D,3,0),"")</f>
        <v/>
      </c>
    </row>
    <row r="9494" ht="11.25" customHeight="1">
      <c r="A9494" s="21"/>
      <c r="B9494" s="22"/>
      <c r="C9494" s="21"/>
      <c r="D9494" s="21"/>
      <c r="E9494" s="21"/>
      <c r="F9494" s="21"/>
      <c r="G9494" s="25"/>
      <c r="H9494" s="24" t="str">
        <f>IFERROR(VLOOKUP(B9494,material!A:D,3,0),"")</f>
        <v/>
      </c>
    </row>
    <row r="9495" ht="11.25" customHeight="1">
      <c r="A9495" s="21"/>
      <c r="B9495" s="22"/>
      <c r="C9495" s="21"/>
      <c r="D9495" s="21"/>
      <c r="E9495" s="21"/>
      <c r="F9495" s="21"/>
      <c r="G9495" s="25"/>
      <c r="H9495" s="24" t="str">
        <f>IFERROR(VLOOKUP(B9495,material!A:D,3,0),"")</f>
        <v/>
      </c>
    </row>
    <row r="9496" ht="11.25" customHeight="1">
      <c r="A9496" s="21"/>
      <c r="B9496" s="22"/>
      <c r="C9496" s="21"/>
      <c r="D9496" s="21"/>
      <c r="E9496" s="21"/>
      <c r="F9496" s="21"/>
      <c r="G9496" s="25"/>
      <c r="H9496" s="24" t="str">
        <f>IFERROR(VLOOKUP(B9496,material!A:D,3,0),"")</f>
        <v/>
      </c>
    </row>
    <row r="9497" ht="11.25" customHeight="1">
      <c r="A9497" s="21"/>
      <c r="B9497" s="22"/>
      <c r="C9497" s="21"/>
      <c r="D9497" s="21"/>
      <c r="E9497" s="21"/>
      <c r="F9497" s="21"/>
      <c r="G9497" s="25"/>
      <c r="H9497" s="24" t="str">
        <f>IFERROR(VLOOKUP(B9497,material!A:D,3,0),"")</f>
        <v/>
      </c>
    </row>
    <row r="9498" ht="11.25" customHeight="1">
      <c r="A9498" s="21"/>
      <c r="B9498" s="22"/>
      <c r="C9498" s="21"/>
      <c r="D9498" s="21"/>
      <c r="E9498" s="21"/>
      <c r="F9498" s="21"/>
      <c r="G9498" s="25"/>
      <c r="H9498" s="24" t="str">
        <f>IFERROR(VLOOKUP(B9498,material!A:D,3,0),"")</f>
        <v/>
      </c>
    </row>
    <row r="9499" ht="11.25" customHeight="1">
      <c r="A9499" s="21"/>
      <c r="B9499" s="22"/>
      <c r="C9499" s="21"/>
      <c r="D9499" s="21"/>
      <c r="E9499" s="21"/>
      <c r="F9499" s="21"/>
      <c r="G9499" s="25"/>
      <c r="H9499" s="24" t="str">
        <f>IFERROR(VLOOKUP(B9499,material!A:D,3,0),"")</f>
        <v/>
      </c>
    </row>
    <row r="9500" ht="11.25" customHeight="1">
      <c r="A9500" s="21"/>
      <c r="B9500" s="22"/>
      <c r="C9500" s="21"/>
      <c r="D9500" s="21"/>
      <c r="E9500" s="21"/>
      <c r="F9500" s="21"/>
      <c r="G9500" s="25"/>
      <c r="H9500" s="24" t="str">
        <f>IFERROR(VLOOKUP(B9500,material!A:D,3,0),"")</f>
        <v/>
      </c>
    </row>
    <row r="9501" ht="11.25" customHeight="1">
      <c r="A9501" s="21"/>
      <c r="B9501" s="22"/>
      <c r="C9501" s="21"/>
      <c r="D9501" s="21"/>
      <c r="E9501" s="21"/>
      <c r="F9501" s="21"/>
      <c r="G9501" s="25"/>
      <c r="H9501" s="24" t="str">
        <f>IFERROR(VLOOKUP(B9501,material!A:D,3,0),"")</f>
        <v/>
      </c>
    </row>
    <row r="9502" ht="11.25" customHeight="1">
      <c r="A9502" s="21"/>
      <c r="B9502" s="22"/>
      <c r="C9502" s="21"/>
      <c r="D9502" s="21"/>
      <c r="E9502" s="21"/>
      <c r="F9502" s="21"/>
      <c r="G9502" s="25"/>
      <c r="H9502" s="24" t="str">
        <f>IFERROR(VLOOKUP(B9502,material!A:D,3,0),"")</f>
        <v/>
      </c>
    </row>
    <row r="9503" ht="11.25" customHeight="1">
      <c r="A9503" s="21"/>
      <c r="B9503" s="22"/>
      <c r="C9503" s="21"/>
      <c r="D9503" s="21"/>
      <c r="E9503" s="21"/>
      <c r="F9503" s="21"/>
      <c r="G9503" s="25"/>
      <c r="H9503" s="24" t="str">
        <f>IFERROR(VLOOKUP(B9503,material!A:D,3,0),"")</f>
        <v/>
      </c>
    </row>
    <row r="9504" ht="11.25" customHeight="1">
      <c r="A9504" s="21"/>
      <c r="B9504" s="22"/>
      <c r="C9504" s="21"/>
      <c r="D9504" s="21"/>
      <c r="E9504" s="21"/>
      <c r="F9504" s="21"/>
      <c r="G9504" s="25"/>
      <c r="H9504" s="24" t="str">
        <f>IFERROR(VLOOKUP(B9504,material!A:D,3,0),"")</f>
        <v/>
      </c>
    </row>
    <row r="9505" ht="11.25" customHeight="1">
      <c r="A9505" s="21"/>
      <c r="B9505" s="22"/>
      <c r="C9505" s="21"/>
      <c r="D9505" s="21"/>
      <c r="E9505" s="21"/>
      <c r="F9505" s="21"/>
      <c r="G9505" s="25"/>
      <c r="H9505" s="24" t="str">
        <f>IFERROR(VLOOKUP(B9505,material!A:D,3,0),"")</f>
        <v/>
      </c>
    </row>
    <row r="9506" ht="11.25" customHeight="1">
      <c r="A9506" s="21"/>
      <c r="B9506" s="22"/>
      <c r="C9506" s="21"/>
      <c r="D9506" s="21"/>
      <c r="E9506" s="21"/>
      <c r="F9506" s="21"/>
      <c r="G9506" s="25"/>
      <c r="H9506" s="24" t="str">
        <f>IFERROR(VLOOKUP(B9506,material!A:D,3,0),"")</f>
        <v/>
      </c>
    </row>
    <row r="9507" ht="11.25" customHeight="1">
      <c r="A9507" s="21"/>
      <c r="B9507" s="22"/>
      <c r="C9507" s="21"/>
      <c r="D9507" s="21"/>
      <c r="E9507" s="21"/>
      <c r="F9507" s="21"/>
      <c r="G9507" s="25"/>
      <c r="H9507" s="24" t="str">
        <f>IFERROR(VLOOKUP(B9507,material!A:D,3,0),"")</f>
        <v/>
      </c>
    </row>
    <row r="9508" ht="11.25" customHeight="1">
      <c r="A9508" s="21"/>
      <c r="B9508" s="22"/>
      <c r="C9508" s="21"/>
      <c r="D9508" s="21"/>
      <c r="E9508" s="21"/>
      <c r="F9508" s="21"/>
      <c r="G9508" s="25"/>
      <c r="H9508" s="24" t="str">
        <f>IFERROR(VLOOKUP(B9508,material!A:D,3,0),"")</f>
        <v/>
      </c>
    </row>
    <row r="9509" ht="11.25" customHeight="1">
      <c r="A9509" s="21"/>
      <c r="B9509" s="22"/>
      <c r="C9509" s="21"/>
      <c r="D9509" s="21"/>
      <c r="E9509" s="21"/>
      <c r="F9509" s="21"/>
      <c r="G9509" s="25"/>
      <c r="H9509" s="24" t="str">
        <f>IFERROR(VLOOKUP(B9509,material!A:D,3,0),"")</f>
        <v/>
      </c>
    </row>
    <row r="9510" ht="11.25" customHeight="1">
      <c r="A9510" s="21"/>
      <c r="B9510" s="22"/>
      <c r="C9510" s="21"/>
      <c r="D9510" s="21"/>
      <c r="E9510" s="21"/>
      <c r="F9510" s="21"/>
      <c r="G9510" s="25"/>
      <c r="H9510" s="24" t="str">
        <f>IFERROR(VLOOKUP(B9510,material!A:D,3,0),"")</f>
        <v/>
      </c>
    </row>
    <row r="9511" ht="11.25" customHeight="1">
      <c r="A9511" s="21"/>
      <c r="B9511" s="22"/>
      <c r="C9511" s="21"/>
      <c r="D9511" s="21"/>
      <c r="E9511" s="21"/>
      <c r="F9511" s="21"/>
      <c r="G9511" s="25"/>
      <c r="H9511" s="24" t="str">
        <f>IFERROR(VLOOKUP(B9511,material!A:D,3,0),"")</f>
        <v/>
      </c>
    </row>
    <row r="9512" ht="11.25" customHeight="1">
      <c r="A9512" s="21"/>
      <c r="B9512" s="22"/>
      <c r="C9512" s="21"/>
      <c r="D9512" s="21"/>
      <c r="E9512" s="21"/>
      <c r="F9512" s="21"/>
      <c r="G9512" s="25"/>
      <c r="H9512" s="24" t="str">
        <f>IFERROR(VLOOKUP(B9512,material!A:D,3,0),"")</f>
        <v/>
      </c>
    </row>
    <row r="9513" ht="11.25" customHeight="1">
      <c r="A9513" s="21"/>
      <c r="B9513" s="22"/>
      <c r="C9513" s="21"/>
      <c r="D9513" s="21"/>
      <c r="E9513" s="21"/>
      <c r="F9513" s="21"/>
      <c r="G9513" s="25"/>
      <c r="H9513" s="24" t="str">
        <f>IFERROR(VLOOKUP(B9513,material!A:D,3,0),"")</f>
        <v/>
      </c>
    </row>
    <row r="9514" ht="11.25" customHeight="1">
      <c r="A9514" s="21"/>
      <c r="B9514" s="22"/>
      <c r="C9514" s="21"/>
      <c r="D9514" s="21"/>
      <c r="E9514" s="21"/>
      <c r="F9514" s="21"/>
      <c r="G9514" s="25"/>
      <c r="H9514" s="24" t="str">
        <f>IFERROR(VLOOKUP(B9514,material!A:D,3,0),"")</f>
        <v/>
      </c>
    </row>
    <row r="9515" ht="11.25" customHeight="1">
      <c r="A9515" s="21"/>
      <c r="B9515" s="22"/>
      <c r="C9515" s="21"/>
      <c r="D9515" s="21"/>
      <c r="E9515" s="21"/>
      <c r="F9515" s="21"/>
      <c r="G9515" s="25"/>
      <c r="H9515" s="24" t="str">
        <f>IFERROR(VLOOKUP(B9515,material!A:D,3,0),"")</f>
        <v/>
      </c>
    </row>
    <row r="9516" ht="11.25" customHeight="1">
      <c r="A9516" s="21"/>
      <c r="B9516" s="22"/>
      <c r="C9516" s="21"/>
      <c r="D9516" s="21"/>
      <c r="E9516" s="21"/>
      <c r="F9516" s="21"/>
      <c r="G9516" s="25"/>
      <c r="H9516" s="24" t="str">
        <f>IFERROR(VLOOKUP(B9516,material!A:D,3,0),"")</f>
        <v/>
      </c>
    </row>
    <row r="9517" ht="11.25" customHeight="1">
      <c r="A9517" s="21"/>
      <c r="B9517" s="22"/>
      <c r="C9517" s="21"/>
      <c r="D9517" s="21"/>
      <c r="E9517" s="21"/>
      <c r="F9517" s="21"/>
      <c r="G9517" s="25"/>
      <c r="H9517" s="24" t="str">
        <f>IFERROR(VLOOKUP(B9517,material!A:D,3,0),"")</f>
        <v/>
      </c>
    </row>
    <row r="9518" ht="11.25" customHeight="1">
      <c r="A9518" s="21"/>
      <c r="B9518" s="22"/>
      <c r="C9518" s="21"/>
      <c r="D9518" s="21"/>
      <c r="E9518" s="21"/>
      <c r="F9518" s="21"/>
      <c r="G9518" s="25"/>
      <c r="H9518" s="24" t="str">
        <f>IFERROR(VLOOKUP(B9518,material!A:D,3,0),"")</f>
        <v/>
      </c>
    </row>
    <row r="9519" ht="11.25" customHeight="1">
      <c r="A9519" s="21"/>
      <c r="B9519" s="22"/>
      <c r="C9519" s="21"/>
      <c r="D9519" s="21"/>
      <c r="E9519" s="21"/>
      <c r="F9519" s="21"/>
      <c r="G9519" s="25"/>
      <c r="H9519" s="24" t="str">
        <f>IFERROR(VLOOKUP(B9519,material!A:D,3,0),"")</f>
        <v/>
      </c>
    </row>
    <row r="9520" ht="11.25" customHeight="1">
      <c r="A9520" s="21"/>
      <c r="B9520" s="22"/>
      <c r="C9520" s="21"/>
      <c r="D9520" s="21"/>
      <c r="E9520" s="21"/>
      <c r="F9520" s="21"/>
      <c r="G9520" s="25"/>
      <c r="H9520" s="24" t="str">
        <f>IFERROR(VLOOKUP(B9520,material!A:D,3,0),"")</f>
        <v/>
      </c>
    </row>
    <row r="9521" ht="11.25" customHeight="1">
      <c r="A9521" s="21"/>
      <c r="B9521" s="22"/>
      <c r="C9521" s="21"/>
      <c r="D9521" s="21"/>
      <c r="E9521" s="21"/>
      <c r="F9521" s="21"/>
      <c r="G9521" s="25"/>
      <c r="H9521" s="24" t="str">
        <f>IFERROR(VLOOKUP(B9521,material!A:D,3,0),"")</f>
        <v/>
      </c>
    </row>
    <row r="9522" ht="11.25" customHeight="1">
      <c r="A9522" s="21"/>
      <c r="B9522" s="22"/>
      <c r="C9522" s="21"/>
      <c r="D9522" s="21"/>
      <c r="E9522" s="21"/>
      <c r="F9522" s="21"/>
      <c r="G9522" s="25"/>
      <c r="H9522" s="24" t="str">
        <f>IFERROR(VLOOKUP(B9522,material!A:D,3,0),"")</f>
        <v/>
      </c>
    </row>
    <row r="9523" ht="11.25" customHeight="1">
      <c r="A9523" s="21"/>
      <c r="B9523" s="22"/>
      <c r="C9523" s="21"/>
      <c r="D9523" s="21"/>
      <c r="E9523" s="21"/>
      <c r="F9523" s="21"/>
      <c r="G9523" s="25"/>
      <c r="H9523" s="24" t="str">
        <f>IFERROR(VLOOKUP(B9523,material!A:D,3,0),"")</f>
        <v/>
      </c>
    </row>
    <row r="9524" ht="11.25" customHeight="1">
      <c r="A9524" s="21"/>
      <c r="B9524" s="22"/>
      <c r="C9524" s="21"/>
      <c r="D9524" s="21"/>
      <c r="E9524" s="21"/>
      <c r="F9524" s="21"/>
      <c r="G9524" s="25"/>
      <c r="H9524" s="24" t="str">
        <f>IFERROR(VLOOKUP(B9524,material!A:D,3,0),"")</f>
        <v/>
      </c>
    </row>
    <row r="9525" ht="11.25" customHeight="1">
      <c r="A9525" s="21"/>
      <c r="B9525" s="22"/>
      <c r="C9525" s="21"/>
      <c r="D9525" s="21"/>
      <c r="E9525" s="21"/>
      <c r="F9525" s="21"/>
      <c r="G9525" s="25"/>
      <c r="H9525" s="24" t="str">
        <f>IFERROR(VLOOKUP(B9525,material!A:D,3,0),"")</f>
        <v/>
      </c>
    </row>
    <row r="9526" ht="11.25" customHeight="1">
      <c r="A9526" s="21"/>
      <c r="B9526" s="22"/>
      <c r="C9526" s="21"/>
      <c r="D9526" s="21"/>
      <c r="E9526" s="21"/>
      <c r="F9526" s="21"/>
      <c r="G9526" s="25"/>
      <c r="H9526" s="24" t="str">
        <f>IFERROR(VLOOKUP(B9526,material!A:D,3,0),"")</f>
        <v/>
      </c>
    </row>
    <row r="9527" ht="11.25" customHeight="1">
      <c r="A9527" s="21"/>
      <c r="B9527" s="22"/>
      <c r="C9527" s="21"/>
      <c r="D9527" s="21"/>
      <c r="E9527" s="21"/>
      <c r="F9527" s="21"/>
      <c r="G9527" s="25"/>
      <c r="H9527" s="24" t="str">
        <f>IFERROR(VLOOKUP(B9527,material!A:D,3,0),"")</f>
        <v/>
      </c>
    </row>
    <row r="9528" ht="11.25" customHeight="1">
      <c r="A9528" s="21"/>
      <c r="B9528" s="22"/>
      <c r="C9528" s="21"/>
      <c r="D9528" s="21"/>
      <c r="E9528" s="21"/>
      <c r="F9528" s="21"/>
      <c r="G9528" s="25"/>
      <c r="H9528" s="24" t="str">
        <f>IFERROR(VLOOKUP(B9528,material!A:D,3,0),"")</f>
        <v/>
      </c>
    </row>
    <row r="9529" ht="11.25" customHeight="1">
      <c r="A9529" s="21"/>
      <c r="B9529" s="22"/>
      <c r="C9529" s="21"/>
      <c r="D9529" s="21"/>
      <c r="E9529" s="21"/>
      <c r="F9529" s="21"/>
      <c r="G9529" s="25"/>
      <c r="H9529" s="24" t="str">
        <f>IFERROR(VLOOKUP(B9529,material!A:D,3,0),"")</f>
        <v/>
      </c>
    </row>
    <row r="9530" ht="11.25" customHeight="1">
      <c r="A9530" s="21"/>
      <c r="B9530" s="22"/>
      <c r="C9530" s="21"/>
      <c r="D9530" s="21"/>
      <c r="E9530" s="21"/>
      <c r="F9530" s="21"/>
      <c r="G9530" s="25"/>
      <c r="H9530" s="24" t="str">
        <f>IFERROR(VLOOKUP(B9530,material!A:D,3,0),"")</f>
        <v/>
      </c>
    </row>
    <row r="9531" ht="11.25" customHeight="1">
      <c r="A9531" s="21"/>
      <c r="B9531" s="22"/>
      <c r="C9531" s="21"/>
      <c r="D9531" s="21"/>
      <c r="E9531" s="21"/>
      <c r="F9531" s="21"/>
      <c r="G9531" s="25"/>
      <c r="H9531" s="24" t="str">
        <f>IFERROR(VLOOKUP(B9531,material!A:D,3,0),"")</f>
        <v/>
      </c>
    </row>
    <row r="9532" ht="11.25" customHeight="1">
      <c r="A9532" s="21"/>
      <c r="B9532" s="22"/>
      <c r="C9532" s="21"/>
      <c r="D9532" s="21"/>
      <c r="E9532" s="21"/>
      <c r="F9532" s="21"/>
      <c r="G9532" s="25"/>
      <c r="H9532" s="24" t="str">
        <f>IFERROR(VLOOKUP(B9532,material!A:D,3,0),"")</f>
        <v/>
      </c>
    </row>
    <row r="9533" ht="11.25" customHeight="1">
      <c r="A9533" s="21"/>
      <c r="B9533" s="22"/>
      <c r="C9533" s="21"/>
      <c r="D9533" s="21"/>
      <c r="E9533" s="21"/>
      <c r="F9533" s="21"/>
      <c r="G9533" s="25"/>
      <c r="H9533" s="24" t="str">
        <f>IFERROR(VLOOKUP(B9533,material!A:D,3,0),"")</f>
        <v/>
      </c>
    </row>
    <row r="9534" ht="11.25" customHeight="1">
      <c r="A9534" s="21"/>
      <c r="B9534" s="22"/>
      <c r="C9534" s="21"/>
      <c r="D9534" s="21"/>
      <c r="E9534" s="21"/>
      <c r="F9534" s="21"/>
      <c r="G9534" s="25"/>
      <c r="H9534" s="24" t="str">
        <f>IFERROR(VLOOKUP(B9534,material!A:D,3,0),"")</f>
        <v/>
      </c>
    </row>
    <row r="9535" ht="11.25" customHeight="1">
      <c r="A9535" s="21"/>
      <c r="B9535" s="22"/>
      <c r="C9535" s="21"/>
      <c r="D9535" s="21"/>
      <c r="E9535" s="21"/>
      <c r="F9535" s="21"/>
      <c r="G9535" s="25"/>
      <c r="H9535" s="24" t="str">
        <f>IFERROR(VLOOKUP(B9535,material!A:D,3,0),"")</f>
        <v/>
      </c>
    </row>
    <row r="9536" ht="11.25" customHeight="1">
      <c r="A9536" s="21"/>
      <c r="B9536" s="22"/>
      <c r="C9536" s="21"/>
      <c r="D9536" s="21"/>
      <c r="E9536" s="21"/>
      <c r="F9536" s="21"/>
      <c r="G9536" s="25"/>
      <c r="H9536" s="24" t="str">
        <f>IFERROR(VLOOKUP(B9536,material!A:D,3,0),"")</f>
        <v/>
      </c>
    </row>
    <row r="9537" ht="11.25" customHeight="1">
      <c r="A9537" s="21"/>
      <c r="B9537" s="22"/>
      <c r="C9537" s="21"/>
      <c r="D9537" s="21"/>
      <c r="E9537" s="21"/>
      <c r="F9537" s="21"/>
      <c r="G9537" s="25"/>
      <c r="H9537" s="24" t="str">
        <f>IFERROR(VLOOKUP(B9537,material!A:D,3,0),"")</f>
        <v/>
      </c>
    </row>
    <row r="9538" ht="11.25" customHeight="1">
      <c r="A9538" s="21"/>
      <c r="B9538" s="22"/>
      <c r="C9538" s="21"/>
      <c r="D9538" s="21"/>
      <c r="E9538" s="21"/>
      <c r="F9538" s="21"/>
      <c r="G9538" s="25"/>
      <c r="H9538" s="24" t="str">
        <f>IFERROR(VLOOKUP(B9538,material!A:D,3,0),"")</f>
        <v/>
      </c>
    </row>
    <row r="9539" ht="11.25" customHeight="1">
      <c r="A9539" s="21"/>
      <c r="B9539" s="22"/>
      <c r="C9539" s="21"/>
      <c r="D9539" s="21"/>
      <c r="E9539" s="21"/>
      <c r="F9539" s="21"/>
      <c r="G9539" s="25"/>
      <c r="H9539" s="24" t="str">
        <f>IFERROR(VLOOKUP(B9539,material!A:D,3,0),"")</f>
        <v/>
      </c>
    </row>
    <row r="9540" ht="11.25" customHeight="1">
      <c r="A9540" s="21"/>
      <c r="B9540" s="22"/>
      <c r="C9540" s="21"/>
      <c r="D9540" s="21"/>
      <c r="E9540" s="21"/>
      <c r="F9540" s="21"/>
      <c r="G9540" s="25"/>
      <c r="H9540" s="24" t="str">
        <f>IFERROR(VLOOKUP(B9540,material!A:D,3,0),"")</f>
        <v/>
      </c>
    </row>
    <row r="9541" ht="11.25" customHeight="1">
      <c r="A9541" s="21"/>
      <c r="B9541" s="22"/>
      <c r="C9541" s="21"/>
      <c r="D9541" s="21"/>
      <c r="E9541" s="21"/>
      <c r="F9541" s="21"/>
      <c r="G9541" s="25"/>
      <c r="H9541" s="24" t="str">
        <f>IFERROR(VLOOKUP(B9541,material!A:D,3,0),"")</f>
        <v/>
      </c>
    </row>
    <row r="9542" ht="11.25" customHeight="1">
      <c r="A9542" s="21"/>
      <c r="B9542" s="22"/>
      <c r="C9542" s="21"/>
      <c r="D9542" s="21"/>
      <c r="E9542" s="21"/>
      <c r="F9542" s="21"/>
      <c r="G9542" s="25"/>
      <c r="H9542" s="24" t="str">
        <f>IFERROR(VLOOKUP(B9542,material!A:D,3,0),"")</f>
        <v/>
      </c>
    </row>
    <row r="9543" ht="11.25" customHeight="1">
      <c r="A9543" s="21"/>
      <c r="B9543" s="22"/>
      <c r="C9543" s="21"/>
      <c r="D9543" s="21"/>
      <c r="E9543" s="21"/>
      <c r="F9543" s="21"/>
      <c r="G9543" s="25"/>
      <c r="H9543" s="24" t="str">
        <f>IFERROR(VLOOKUP(B9543,material!A:D,3,0),"")</f>
        <v/>
      </c>
    </row>
    <row r="9544" ht="11.25" customHeight="1">
      <c r="A9544" s="21"/>
      <c r="B9544" s="22"/>
      <c r="C9544" s="21"/>
      <c r="D9544" s="21"/>
      <c r="E9544" s="21"/>
      <c r="F9544" s="21"/>
      <c r="G9544" s="25"/>
      <c r="H9544" s="24" t="str">
        <f>IFERROR(VLOOKUP(B9544,material!A:D,3,0),"")</f>
        <v/>
      </c>
    </row>
    <row r="9545" ht="11.25" customHeight="1">
      <c r="A9545" s="21"/>
      <c r="B9545" s="22"/>
      <c r="C9545" s="21"/>
      <c r="D9545" s="21"/>
      <c r="E9545" s="21"/>
      <c r="F9545" s="21"/>
      <c r="G9545" s="25"/>
      <c r="H9545" s="24" t="str">
        <f>IFERROR(VLOOKUP(B9545,material!A:D,3,0),"")</f>
        <v/>
      </c>
    </row>
    <row r="9546" ht="11.25" customHeight="1">
      <c r="A9546" s="21"/>
      <c r="B9546" s="22"/>
      <c r="C9546" s="21"/>
      <c r="D9546" s="21"/>
      <c r="E9546" s="21"/>
      <c r="F9546" s="21"/>
      <c r="G9546" s="25"/>
      <c r="H9546" s="24" t="str">
        <f>IFERROR(VLOOKUP(B9546,material!A:D,3,0),"")</f>
        <v/>
      </c>
    </row>
    <row r="9547" ht="11.25" customHeight="1">
      <c r="A9547" s="21"/>
      <c r="B9547" s="22"/>
      <c r="C9547" s="21"/>
      <c r="D9547" s="21"/>
      <c r="E9547" s="21"/>
      <c r="F9547" s="21"/>
      <c r="G9547" s="25"/>
      <c r="H9547" s="24" t="str">
        <f>IFERROR(VLOOKUP(B9547,material!A:D,3,0),"")</f>
        <v/>
      </c>
    </row>
    <row r="9548" ht="11.25" customHeight="1">
      <c r="A9548" s="21"/>
      <c r="B9548" s="22"/>
      <c r="C9548" s="21"/>
      <c r="D9548" s="21"/>
      <c r="E9548" s="21"/>
      <c r="F9548" s="21"/>
      <c r="G9548" s="25"/>
      <c r="H9548" s="24" t="str">
        <f>IFERROR(VLOOKUP(B9548,material!A:D,3,0),"")</f>
        <v/>
      </c>
    </row>
    <row r="9549" ht="11.25" customHeight="1">
      <c r="A9549" s="21"/>
      <c r="B9549" s="22"/>
      <c r="C9549" s="21"/>
      <c r="D9549" s="21"/>
      <c r="E9549" s="21"/>
      <c r="F9549" s="21"/>
      <c r="G9549" s="25"/>
      <c r="H9549" s="24" t="str">
        <f>IFERROR(VLOOKUP(B9549,material!A:D,3,0),"")</f>
        <v/>
      </c>
    </row>
    <row r="9550" ht="11.25" customHeight="1">
      <c r="A9550" s="21"/>
      <c r="B9550" s="22"/>
      <c r="C9550" s="21"/>
      <c r="D9550" s="21"/>
      <c r="E9550" s="21"/>
      <c r="F9550" s="21"/>
      <c r="G9550" s="25"/>
      <c r="H9550" s="24" t="str">
        <f>IFERROR(VLOOKUP(B9550,material!A:D,3,0),"")</f>
        <v/>
      </c>
    </row>
    <row r="9551" ht="11.25" customHeight="1">
      <c r="A9551" s="21"/>
      <c r="B9551" s="22"/>
      <c r="C9551" s="21"/>
      <c r="D9551" s="21"/>
      <c r="E9551" s="21"/>
      <c r="F9551" s="21"/>
      <c r="G9551" s="25"/>
      <c r="H9551" s="24" t="str">
        <f>IFERROR(VLOOKUP(B9551,material!A:D,3,0),"")</f>
        <v/>
      </c>
    </row>
    <row r="9552" ht="11.25" customHeight="1">
      <c r="A9552" s="21"/>
      <c r="B9552" s="22"/>
      <c r="C9552" s="21"/>
      <c r="D9552" s="21"/>
      <c r="E9552" s="21"/>
      <c r="F9552" s="21"/>
      <c r="G9552" s="25"/>
      <c r="H9552" s="24" t="str">
        <f>IFERROR(VLOOKUP(B9552,material!A:D,3,0),"")</f>
        <v/>
      </c>
    </row>
    <row r="9553" ht="11.25" customHeight="1">
      <c r="A9553" s="21"/>
      <c r="B9553" s="22"/>
      <c r="C9553" s="21"/>
      <c r="D9553" s="21"/>
      <c r="E9553" s="21"/>
      <c r="F9553" s="21"/>
      <c r="G9553" s="25"/>
      <c r="H9553" s="24" t="str">
        <f>IFERROR(VLOOKUP(B9553,material!A:D,3,0),"")</f>
        <v/>
      </c>
    </row>
    <row r="9554" ht="11.25" customHeight="1">
      <c r="A9554" s="21"/>
      <c r="B9554" s="22"/>
      <c r="C9554" s="21"/>
      <c r="D9554" s="21"/>
      <c r="E9554" s="21"/>
      <c r="F9554" s="21"/>
      <c r="G9554" s="25"/>
      <c r="H9554" s="24" t="str">
        <f>IFERROR(VLOOKUP(B9554,material!A:D,3,0),"")</f>
        <v/>
      </c>
    </row>
    <row r="9555" ht="11.25" customHeight="1">
      <c r="A9555" s="21"/>
      <c r="B9555" s="22"/>
      <c r="C9555" s="21"/>
      <c r="D9555" s="21"/>
      <c r="E9555" s="21"/>
      <c r="F9555" s="21"/>
      <c r="G9555" s="25"/>
      <c r="H9555" s="24" t="str">
        <f>IFERROR(VLOOKUP(B9555,material!A:D,3,0),"")</f>
        <v/>
      </c>
    </row>
    <row r="9556" ht="11.25" customHeight="1">
      <c r="A9556" s="21"/>
      <c r="B9556" s="22"/>
      <c r="C9556" s="21"/>
      <c r="D9556" s="21"/>
      <c r="E9556" s="21"/>
      <c r="F9556" s="21"/>
      <c r="G9556" s="25"/>
      <c r="H9556" s="24" t="str">
        <f>IFERROR(VLOOKUP(B9556,material!A:D,3,0),"")</f>
        <v/>
      </c>
    </row>
    <row r="9557" ht="11.25" customHeight="1">
      <c r="A9557" s="21"/>
      <c r="B9557" s="22"/>
      <c r="C9557" s="21"/>
      <c r="D9557" s="21"/>
      <c r="E9557" s="21"/>
      <c r="F9557" s="21"/>
      <c r="G9557" s="25"/>
      <c r="H9557" s="24" t="str">
        <f>IFERROR(VLOOKUP(B9557,material!A:D,3,0),"")</f>
        <v/>
      </c>
    </row>
    <row r="9558" ht="11.25" customHeight="1">
      <c r="A9558" s="21"/>
      <c r="B9558" s="22"/>
      <c r="C9558" s="21"/>
      <c r="D9558" s="21"/>
      <c r="E9558" s="21"/>
      <c r="F9558" s="21"/>
      <c r="G9558" s="25"/>
      <c r="H9558" s="24" t="str">
        <f>IFERROR(VLOOKUP(B9558,material!A:D,3,0),"")</f>
        <v/>
      </c>
    </row>
    <row r="9559" ht="11.25" customHeight="1">
      <c r="A9559" s="21"/>
      <c r="B9559" s="22"/>
      <c r="C9559" s="21"/>
      <c r="D9559" s="21"/>
      <c r="E9559" s="21"/>
      <c r="F9559" s="21"/>
      <c r="G9559" s="25"/>
      <c r="H9559" s="24" t="str">
        <f>IFERROR(VLOOKUP(B9559,material!A:D,3,0),"")</f>
        <v/>
      </c>
    </row>
    <row r="9560" ht="11.25" customHeight="1">
      <c r="A9560" s="21"/>
      <c r="B9560" s="22"/>
      <c r="C9560" s="21"/>
      <c r="D9560" s="21"/>
      <c r="E9560" s="21"/>
      <c r="F9560" s="21"/>
      <c r="G9560" s="25"/>
      <c r="H9560" s="24" t="str">
        <f>IFERROR(VLOOKUP(B9560,material!A:D,3,0),"")</f>
        <v/>
      </c>
    </row>
    <row r="9561" ht="11.25" customHeight="1">
      <c r="A9561" s="21"/>
      <c r="B9561" s="22"/>
      <c r="C9561" s="21"/>
      <c r="D9561" s="21"/>
      <c r="E9561" s="21"/>
      <c r="F9561" s="21"/>
      <c r="G9561" s="25"/>
      <c r="H9561" s="24" t="str">
        <f>IFERROR(VLOOKUP(B9561,material!A:D,3,0),"")</f>
        <v/>
      </c>
    </row>
    <row r="9562" ht="11.25" customHeight="1">
      <c r="A9562" s="21"/>
      <c r="B9562" s="22"/>
      <c r="C9562" s="21"/>
      <c r="D9562" s="21"/>
      <c r="E9562" s="21"/>
      <c r="F9562" s="21"/>
      <c r="G9562" s="25"/>
      <c r="H9562" s="24" t="str">
        <f>IFERROR(VLOOKUP(B9562,material!A:D,3,0),"")</f>
        <v/>
      </c>
    </row>
    <row r="9563" ht="11.25" customHeight="1">
      <c r="A9563" s="21"/>
      <c r="B9563" s="22"/>
      <c r="C9563" s="21"/>
      <c r="D9563" s="21"/>
      <c r="E9563" s="21"/>
      <c r="F9563" s="21"/>
      <c r="G9563" s="25"/>
      <c r="H9563" s="24" t="str">
        <f>IFERROR(VLOOKUP(B9563,material!A:D,3,0),"")</f>
        <v/>
      </c>
    </row>
    <row r="9564" ht="11.25" customHeight="1">
      <c r="A9564" s="21"/>
      <c r="B9564" s="22"/>
      <c r="C9564" s="21"/>
      <c r="D9564" s="21"/>
      <c r="E9564" s="21"/>
      <c r="F9564" s="21"/>
      <c r="G9564" s="25"/>
      <c r="H9564" s="24" t="str">
        <f>IFERROR(VLOOKUP(B9564,material!A:D,3,0),"")</f>
        <v/>
      </c>
    </row>
    <row r="9565" ht="11.25" customHeight="1">
      <c r="A9565" s="21"/>
      <c r="B9565" s="22"/>
      <c r="C9565" s="21"/>
      <c r="D9565" s="21"/>
      <c r="E9565" s="21"/>
      <c r="F9565" s="21"/>
      <c r="G9565" s="25"/>
      <c r="H9565" s="24" t="str">
        <f>IFERROR(VLOOKUP(B9565,material!A:D,3,0),"")</f>
        <v/>
      </c>
    </row>
    <row r="9566" ht="11.25" customHeight="1">
      <c r="A9566" s="21"/>
      <c r="B9566" s="22"/>
      <c r="C9566" s="21"/>
      <c r="D9566" s="21"/>
      <c r="E9566" s="21"/>
      <c r="F9566" s="21"/>
      <c r="G9566" s="25"/>
      <c r="H9566" s="24" t="str">
        <f>IFERROR(VLOOKUP(B9566,material!A:D,3,0),"")</f>
        <v/>
      </c>
    </row>
    <row r="9567" ht="11.25" customHeight="1">
      <c r="A9567" s="21"/>
      <c r="B9567" s="22"/>
      <c r="C9567" s="21"/>
      <c r="D9567" s="21"/>
      <c r="E9567" s="21"/>
      <c r="F9567" s="21"/>
      <c r="G9567" s="25"/>
      <c r="H9567" s="24" t="str">
        <f>IFERROR(VLOOKUP(B9567,material!A:D,3,0),"")</f>
        <v/>
      </c>
    </row>
    <row r="9568" ht="11.25" customHeight="1">
      <c r="A9568" s="21"/>
      <c r="B9568" s="22"/>
      <c r="C9568" s="21"/>
      <c r="D9568" s="21"/>
      <c r="E9568" s="21"/>
      <c r="F9568" s="21"/>
      <c r="G9568" s="25"/>
      <c r="H9568" s="24" t="str">
        <f>IFERROR(VLOOKUP(B9568,material!A:D,3,0),"")</f>
        <v/>
      </c>
    </row>
    <row r="9569" ht="11.25" customHeight="1">
      <c r="A9569" s="21"/>
      <c r="B9569" s="22"/>
      <c r="C9569" s="21"/>
      <c r="D9569" s="21"/>
      <c r="E9569" s="21"/>
      <c r="F9569" s="21"/>
      <c r="G9569" s="25"/>
      <c r="H9569" s="24" t="str">
        <f>IFERROR(VLOOKUP(B9569,material!A:D,3,0),"")</f>
        <v/>
      </c>
    </row>
    <row r="9570" ht="11.25" customHeight="1">
      <c r="A9570" s="21"/>
      <c r="B9570" s="22"/>
      <c r="C9570" s="21"/>
      <c r="D9570" s="21"/>
      <c r="E9570" s="21"/>
      <c r="F9570" s="21"/>
      <c r="G9570" s="25"/>
      <c r="H9570" s="24" t="str">
        <f>IFERROR(VLOOKUP(B9570,material!A:D,3,0),"")</f>
        <v/>
      </c>
    </row>
    <row r="9571" ht="11.25" customHeight="1">
      <c r="A9571" s="21"/>
      <c r="B9571" s="22"/>
      <c r="C9571" s="21"/>
      <c r="D9571" s="21"/>
      <c r="E9571" s="21"/>
      <c r="F9571" s="21"/>
      <c r="G9571" s="25"/>
      <c r="H9571" s="24" t="str">
        <f>IFERROR(VLOOKUP(B9571,material!A:D,3,0),"")</f>
        <v/>
      </c>
    </row>
    <row r="9572" ht="11.25" customHeight="1">
      <c r="A9572" s="21"/>
      <c r="B9572" s="22"/>
      <c r="C9572" s="21"/>
      <c r="D9572" s="21"/>
      <c r="E9572" s="21"/>
      <c r="F9572" s="21"/>
      <c r="G9572" s="25"/>
      <c r="H9572" s="24" t="str">
        <f>IFERROR(VLOOKUP(B9572,material!A:D,3,0),"")</f>
        <v/>
      </c>
    </row>
    <row r="9573" ht="11.25" customHeight="1">
      <c r="A9573" s="21"/>
      <c r="B9573" s="22"/>
      <c r="C9573" s="21"/>
      <c r="D9573" s="21"/>
      <c r="E9573" s="21"/>
      <c r="F9573" s="21"/>
      <c r="G9573" s="25"/>
      <c r="H9573" s="24" t="str">
        <f>IFERROR(VLOOKUP(B9573,material!A:D,3,0),"")</f>
        <v/>
      </c>
    </row>
    <row r="9574" ht="11.25" customHeight="1">
      <c r="A9574" s="21"/>
      <c r="B9574" s="22"/>
      <c r="C9574" s="21"/>
      <c r="D9574" s="21"/>
      <c r="E9574" s="21"/>
      <c r="F9574" s="21"/>
      <c r="G9574" s="25"/>
      <c r="H9574" s="24" t="str">
        <f>IFERROR(VLOOKUP(B9574,material!A:D,3,0),"")</f>
        <v/>
      </c>
    </row>
    <row r="9575" ht="11.25" customHeight="1">
      <c r="A9575" s="21"/>
      <c r="B9575" s="22"/>
      <c r="C9575" s="21"/>
      <c r="D9575" s="21"/>
      <c r="E9575" s="21"/>
      <c r="F9575" s="21"/>
      <c r="G9575" s="25"/>
      <c r="H9575" s="24" t="str">
        <f>IFERROR(VLOOKUP(B9575,material!A:D,3,0),"")</f>
        <v/>
      </c>
    </row>
    <row r="9576" ht="11.25" customHeight="1">
      <c r="A9576" s="21"/>
      <c r="B9576" s="22"/>
      <c r="C9576" s="21"/>
      <c r="D9576" s="21"/>
      <c r="E9576" s="21"/>
      <c r="F9576" s="21"/>
      <c r="G9576" s="25"/>
      <c r="H9576" s="24" t="str">
        <f>IFERROR(VLOOKUP(B9576,material!A:D,3,0),"")</f>
        <v/>
      </c>
    </row>
    <row r="9577" ht="11.25" customHeight="1">
      <c r="A9577" s="21"/>
      <c r="B9577" s="22"/>
      <c r="C9577" s="21"/>
      <c r="D9577" s="21"/>
      <c r="E9577" s="21"/>
      <c r="F9577" s="21"/>
      <c r="G9577" s="25"/>
      <c r="H9577" s="24" t="str">
        <f>IFERROR(VLOOKUP(B9577,material!A:D,3,0),"")</f>
        <v/>
      </c>
    </row>
    <row r="9578" ht="11.25" customHeight="1">
      <c r="A9578" s="21"/>
      <c r="B9578" s="22"/>
      <c r="C9578" s="21"/>
      <c r="D9578" s="21"/>
      <c r="E9578" s="21"/>
      <c r="F9578" s="21"/>
      <c r="G9578" s="25"/>
      <c r="H9578" s="24" t="str">
        <f>IFERROR(VLOOKUP(B9578,material!A:D,3,0),"")</f>
        <v/>
      </c>
    </row>
    <row r="9579" ht="11.25" customHeight="1">
      <c r="A9579" s="21"/>
      <c r="B9579" s="22"/>
      <c r="C9579" s="21"/>
      <c r="D9579" s="21"/>
      <c r="E9579" s="21"/>
      <c r="F9579" s="21"/>
      <c r="G9579" s="25"/>
      <c r="H9579" s="24" t="str">
        <f>IFERROR(VLOOKUP(B9579,material!A:D,3,0),"")</f>
        <v/>
      </c>
    </row>
    <row r="9580" ht="11.25" customHeight="1">
      <c r="A9580" s="21"/>
      <c r="B9580" s="22"/>
      <c r="C9580" s="21"/>
      <c r="D9580" s="21"/>
      <c r="E9580" s="21"/>
      <c r="F9580" s="21"/>
      <c r="G9580" s="25"/>
      <c r="H9580" s="24" t="str">
        <f>IFERROR(VLOOKUP(B9580,material!A:D,3,0),"")</f>
        <v/>
      </c>
    </row>
    <row r="9581" ht="11.25" customHeight="1">
      <c r="A9581" s="21"/>
      <c r="B9581" s="22"/>
      <c r="C9581" s="21"/>
      <c r="D9581" s="21"/>
      <c r="E9581" s="21"/>
      <c r="F9581" s="21"/>
      <c r="G9581" s="25"/>
      <c r="H9581" s="24" t="str">
        <f>IFERROR(VLOOKUP(B9581,material!A:D,3,0),"")</f>
        <v/>
      </c>
    </row>
    <row r="9582" ht="11.25" customHeight="1">
      <c r="A9582" s="21"/>
      <c r="B9582" s="22"/>
      <c r="C9582" s="21"/>
      <c r="D9582" s="21"/>
      <c r="E9582" s="21"/>
      <c r="F9582" s="21"/>
      <c r="G9582" s="25"/>
      <c r="H9582" s="24" t="str">
        <f>IFERROR(VLOOKUP(B9582,material!A:D,3,0),"")</f>
        <v/>
      </c>
    </row>
    <row r="9583" ht="11.25" customHeight="1">
      <c r="A9583" s="21"/>
      <c r="B9583" s="22"/>
      <c r="C9583" s="21"/>
      <c r="D9583" s="21"/>
      <c r="E9583" s="21"/>
      <c r="F9583" s="21"/>
      <c r="G9583" s="25"/>
      <c r="H9583" s="24" t="str">
        <f>IFERROR(VLOOKUP(B9583,material!A:D,3,0),"")</f>
        <v/>
      </c>
    </row>
    <row r="9584" ht="11.25" customHeight="1">
      <c r="A9584" s="21"/>
      <c r="B9584" s="22"/>
      <c r="C9584" s="21"/>
      <c r="D9584" s="21"/>
      <c r="E9584" s="21"/>
      <c r="F9584" s="21"/>
      <c r="G9584" s="25"/>
      <c r="H9584" s="24" t="str">
        <f>IFERROR(VLOOKUP(B9584,material!A:D,3,0),"")</f>
        <v/>
      </c>
    </row>
    <row r="9585" ht="11.25" customHeight="1">
      <c r="A9585" s="21"/>
      <c r="B9585" s="22"/>
      <c r="C9585" s="21"/>
      <c r="D9585" s="21"/>
      <c r="E9585" s="21"/>
      <c r="F9585" s="21"/>
      <c r="G9585" s="25"/>
      <c r="H9585" s="24" t="str">
        <f>IFERROR(VLOOKUP(B9585,material!A:D,3,0),"")</f>
        <v/>
      </c>
    </row>
    <row r="9586" ht="11.25" customHeight="1">
      <c r="A9586" s="21"/>
      <c r="B9586" s="22"/>
      <c r="C9586" s="21"/>
      <c r="D9586" s="21"/>
      <c r="E9586" s="21"/>
      <c r="F9586" s="21"/>
      <c r="G9586" s="25"/>
      <c r="H9586" s="24" t="str">
        <f>IFERROR(VLOOKUP(B9586,material!A:D,3,0),"")</f>
        <v/>
      </c>
    </row>
    <row r="9587" ht="11.25" customHeight="1">
      <c r="A9587" s="21"/>
      <c r="B9587" s="22"/>
      <c r="C9587" s="21"/>
      <c r="D9587" s="21"/>
      <c r="E9587" s="21"/>
      <c r="F9587" s="21"/>
      <c r="G9587" s="25"/>
      <c r="H9587" s="24" t="str">
        <f>IFERROR(VLOOKUP(B9587,material!A:D,3,0),"")</f>
        <v/>
      </c>
    </row>
    <row r="9588" ht="11.25" customHeight="1">
      <c r="A9588" s="21"/>
      <c r="B9588" s="22"/>
      <c r="C9588" s="21"/>
      <c r="D9588" s="21"/>
      <c r="E9588" s="21"/>
      <c r="F9588" s="21"/>
      <c r="G9588" s="25"/>
      <c r="H9588" s="24" t="str">
        <f>IFERROR(VLOOKUP(B9588,material!A:D,3,0),"")</f>
        <v/>
      </c>
    </row>
    <row r="9589" ht="11.25" customHeight="1">
      <c r="A9589" s="21"/>
      <c r="B9589" s="22"/>
      <c r="C9589" s="21"/>
      <c r="D9589" s="21"/>
      <c r="E9589" s="21"/>
      <c r="F9589" s="21"/>
      <c r="G9589" s="25"/>
      <c r="H9589" s="24" t="str">
        <f>IFERROR(VLOOKUP(B9589,material!A:D,3,0),"")</f>
        <v/>
      </c>
    </row>
    <row r="9590" ht="11.25" customHeight="1">
      <c r="A9590" s="21"/>
      <c r="B9590" s="22"/>
      <c r="C9590" s="21"/>
      <c r="D9590" s="21"/>
      <c r="E9590" s="21"/>
      <c r="F9590" s="21"/>
      <c r="G9590" s="25"/>
      <c r="H9590" s="24" t="str">
        <f>IFERROR(VLOOKUP(B9590,material!A:D,3,0),"")</f>
        <v/>
      </c>
    </row>
    <row r="9591" ht="11.25" customHeight="1">
      <c r="A9591" s="21"/>
      <c r="B9591" s="22"/>
      <c r="C9591" s="21"/>
      <c r="D9591" s="21"/>
      <c r="E9591" s="21"/>
      <c r="F9591" s="21"/>
      <c r="G9591" s="25"/>
      <c r="H9591" s="24" t="str">
        <f>IFERROR(VLOOKUP(B9591,material!A:D,3,0),"")</f>
        <v/>
      </c>
    </row>
    <row r="9592" ht="11.25" customHeight="1">
      <c r="A9592" s="21"/>
      <c r="B9592" s="22"/>
      <c r="C9592" s="21"/>
      <c r="D9592" s="21"/>
      <c r="E9592" s="21"/>
      <c r="F9592" s="21"/>
      <c r="G9592" s="25"/>
      <c r="H9592" s="24" t="str">
        <f>IFERROR(VLOOKUP(B9592,material!A:D,3,0),"")</f>
        <v/>
      </c>
    </row>
    <row r="9593" ht="11.25" customHeight="1">
      <c r="A9593" s="21"/>
      <c r="B9593" s="22"/>
      <c r="C9593" s="21"/>
      <c r="D9593" s="21"/>
      <c r="E9593" s="21"/>
      <c r="F9593" s="21"/>
      <c r="G9593" s="25"/>
      <c r="H9593" s="24" t="str">
        <f>IFERROR(VLOOKUP(B9593,material!A:D,3,0),"")</f>
        <v/>
      </c>
    </row>
    <row r="9594" ht="11.25" customHeight="1">
      <c r="A9594" s="21"/>
      <c r="B9594" s="22"/>
      <c r="C9594" s="21"/>
      <c r="D9594" s="21"/>
      <c r="E9594" s="21"/>
      <c r="F9594" s="21"/>
      <c r="G9594" s="25"/>
      <c r="H9594" s="24" t="str">
        <f>IFERROR(VLOOKUP(B9594,material!A:D,3,0),"")</f>
        <v/>
      </c>
    </row>
    <row r="9595" ht="11.25" customHeight="1">
      <c r="A9595" s="21"/>
      <c r="B9595" s="22"/>
      <c r="C9595" s="21"/>
      <c r="D9595" s="21"/>
      <c r="E9595" s="21"/>
      <c r="F9595" s="21"/>
      <c r="G9595" s="25"/>
      <c r="H9595" s="24" t="str">
        <f>IFERROR(VLOOKUP(B9595,material!A:D,3,0),"")</f>
        <v/>
      </c>
    </row>
    <row r="9596" ht="11.25" customHeight="1">
      <c r="A9596" s="21"/>
      <c r="B9596" s="22"/>
      <c r="C9596" s="21"/>
      <c r="D9596" s="21"/>
      <c r="E9596" s="21"/>
      <c r="F9596" s="21"/>
      <c r="G9596" s="25"/>
      <c r="H9596" s="24" t="str">
        <f>IFERROR(VLOOKUP(B9596,material!A:D,3,0),"")</f>
        <v/>
      </c>
    </row>
    <row r="9597" ht="11.25" customHeight="1">
      <c r="A9597" s="21"/>
      <c r="B9597" s="22"/>
      <c r="C9597" s="21"/>
      <c r="D9597" s="21"/>
      <c r="E9597" s="21"/>
      <c r="F9597" s="21"/>
      <c r="G9597" s="25"/>
      <c r="H9597" s="24" t="str">
        <f>IFERROR(VLOOKUP(B9597,material!A:D,3,0),"")</f>
        <v/>
      </c>
    </row>
    <row r="9598" ht="11.25" customHeight="1">
      <c r="A9598" s="21"/>
      <c r="B9598" s="22"/>
      <c r="C9598" s="21"/>
      <c r="D9598" s="21"/>
      <c r="E9598" s="21"/>
      <c r="F9598" s="21"/>
      <c r="G9598" s="25"/>
      <c r="H9598" s="24" t="str">
        <f>IFERROR(VLOOKUP(B9598,material!A:D,3,0),"")</f>
        <v/>
      </c>
    </row>
    <row r="9599" ht="11.25" customHeight="1">
      <c r="A9599" s="21"/>
      <c r="B9599" s="22"/>
      <c r="C9599" s="21"/>
      <c r="D9599" s="21"/>
      <c r="E9599" s="21"/>
      <c r="F9599" s="21"/>
      <c r="G9599" s="25"/>
      <c r="H9599" s="24" t="str">
        <f>IFERROR(VLOOKUP(B9599,material!A:D,3,0),"")</f>
        <v/>
      </c>
    </row>
    <row r="9600" ht="11.25" customHeight="1">
      <c r="A9600" s="21"/>
      <c r="B9600" s="22"/>
      <c r="C9600" s="21"/>
      <c r="D9600" s="21"/>
      <c r="E9600" s="21"/>
      <c r="F9600" s="21"/>
      <c r="G9600" s="25"/>
      <c r="H9600" s="24" t="str">
        <f>IFERROR(VLOOKUP(B9600,material!A:D,3,0),"")</f>
        <v/>
      </c>
    </row>
    <row r="9601" ht="11.25" customHeight="1">
      <c r="A9601" s="21"/>
      <c r="B9601" s="22"/>
      <c r="C9601" s="21"/>
      <c r="D9601" s="21"/>
      <c r="E9601" s="21"/>
      <c r="F9601" s="21"/>
      <c r="G9601" s="25"/>
      <c r="H9601" s="24" t="str">
        <f>IFERROR(VLOOKUP(B9601,material!A:D,3,0),"")</f>
        <v/>
      </c>
    </row>
    <row r="9602" ht="11.25" customHeight="1">
      <c r="A9602" s="21"/>
      <c r="B9602" s="22"/>
      <c r="C9602" s="21"/>
      <c r="D9602" s="21"/>
      <c r="E9602" s="21"/>
      <c r="F9602" s="21"/>
      <c r="G9602" s="25"/>
      <c r="H9602" s="24" t="str">
        <f>IFERROR(VLOOKUP(B9602,material!A:D,3,0),"")</f>
        <v/>
      </c>
    </row>
    <row r="9603" ht="11.25" customHeight="1">
      <c r="A9603" s="21"/>
      <c r="B9603" s="22"/>
      <c r="C9603" s="21"/>
      <c r="D9603" s="21"/>
      <c r="E9603" s="21"/>
      <c r="F9603" s="21"/>
      <c r="G9603" s="25"/>
      <c r="H9603" s="24" t="str">
        <f>IFERROR(VLOOKUP(B9603,material!A:D,3,0),"")</f>
        <v/>
      </c>
    </row>
    <row r="9604" ht="11.25" customHeight="1">
      <c r="A9604" s="21"/>
      <c r="B9604" s="22"/>
      <c r="C9604" s="21"/>
      <c r="D9604" s="21"/>
      <c r="E9604" s="21"/>
      <c r="F9604" s="21"/>
      <c r="G9604" s="25"/>
      <c r="H9604" s="24" t="str">
        <f>IFERROR(VLOOKUP(B9604,material!A:D,3,0),"")</f>
        <v/>
      </c>
    </row>
    <row r="9605" ht="11.25" customHeight="1">
      <c r="A9605" s="21"/>
      <c r="B9605" s="22"/>
      <c r="C9605" s="21"/>
      <c r="D9605" s="21"/>
      <c r="E9605" s="21"/>
      <c r="F9605" s="21"/>
      <c r="G9605" s="25"/>
      <c r="H9605" s="24" t="str">
        <f>IFERROR(VLOOKUP(B9605,material!A:D,3,0),"")</f>
        <v/>
      </c>
    </row>
    <row r="9606" ht="11.25" customHeight="1">
      <c r="A9606" s="21"/>
      <c r="B9606" s="22"/>
      <c r="C9606" s="21"/>
      <c r="D9606" s="21"/>
      <c r="E9606" s="21"/>
      <c r="F9606" s="21"/>
      <c r="G9606" s="25"/>
      <c r="H9606" s="24" t="str">
        <f>IFERROR(VLOOKUP(B9606,material!A:D,3,0),"")</f>
        <v/>
      </c>
    </row>
    <row r="9607" ht="11.25" customHeight="1">
      <c r="A9607" s="21"/>
      <c r="B9607" s="22"/>
      <c r="C9607" s="21"/>
      <c r="D9607" s="21"/>
      <c r="E9607" s="21"/>
      <c r="F9607" s="21"/>
      <c r="G9607" s="25"/>
      <c r="H9607" s="24" t="str">
        <f>IFERROR(VLOOKUP(B9607,material!A:D,3,0),"")</f>
        <v/>
      </c>
    </row>
    <row r="9608" ht="11.25" customHeight="1">
      <c r="A9608" s="21"/>
      <c r="B9608" s="22"/>
      <c r="C9608" s="21"/>
      <c r="D9608" s="21"/>
      <c r="E9608" s="21"/>
      <c r="F9608" s="21"/>
      <c r="G9608" s="25"/>
      <c r="H9608" s="24" t="str">
        <f>IFERROR(VLOOKUP(B9608,material!A:D,3,0),"")</f>
        <v/>
      </c>
    </row>
    <row r="9609" ht="11.25" customHeight="1">
      <c r="A9609" s="21"/>
      <c r="B9609" s="22"/>
      <c r="C9609" s="21"/>
      <c r="D9609" s="21"/>
      <c r="E9609" s="21"/>
      <c r="F9609" s="21"/>
      <c r="G9609" s="25"/>
      <c r="H9609" s="24" t="str">
        <f>IFERROR(VLOOKUP(B9609,material!A:D,3,0),"")</f>
        <v/>
      </c>
    </row>
    <row r="9610" ht="11.25" customHeight="1">
      <c r="A9610" s="21"/>
      <c r="B9610" s="22"/>
      <c r="C9610" s="21"/>
      <c r="D9610" s="21"/>
      <c r="E9610" s="21"/>
      <c r="F9610" s="21"/>
      <c r="G9610" s="25"/>
      <c r="H9610" s="24" t="str">
        <f>IFERROR(VLOOKUP(B9610,material!A:D,3,0),"")</f>
        <v/>
      </c>
    </row>
    <row r="9611" ht="11.25" customHeight="1">
      <c r="A9611" s="21"/>
      <c r="B9611" s="22"/>
      <c r="C9611" s="21"/>
      <c r="D9611" s="21"/>
      <c r="E9611" s="21"/>
      <c r="F9611" s="21"/>
      <c r="G9611" s="25"/>
      <c r="H9611" s="24" t="str">
        <f>IFERROR(VLOOKUP(B9611,material!A:D,3,0),"")</f>
        <v/>
      </c>
    </row>
    <row r="9612" ht="11.25" customHeight="1">
      <c r="A9612" s="21"/>
      <c r="B9612" s="22"/>
      <c r="C9612" s="21"/>
      <c r="D9612" s="21"/>
      <c r="E9612" s="21"/>
      <c r="F9612" s="21"/>
      <c r="G9612" s="25"/>
      <c r="H9612" s="24" t="str">
        <f>IFERROR(VLOOKUP(B9612,material!A:D,3,0),"")</f>
        <v/>
      </c>
    </row>
    <row r="9613" ht="11.25" customHeight="1">
      <c r="A9613" s="21"/>
      <c r="B9613" s="22"/>
      <c r="C9613" s="21"/>
      <c r="D9613" s="21"/>
      <c r="E9613" s="21"/>
      <c r="F9613" s="21"/>
      <c r="G9613" s="25"/>
      <c r="H9613" s="24" t="str">
        <f>IFERROR(VLOOKUP(B9613,material!A:D,3,0),"")</f>
        <v/>
      </c>
    </row>
    <row r="9614" ht="11.25" customHeight="1">
      <c r="A9614" s="21"/>
      <c r="B9614" s="22"/>
      <c r="C9614" s="21"/>
      <c r="D9614" s="21"/>
      <c r="E9614" s="21"/>
      <c r="F9614" s="21"/>
      <c r="G9614" s="25"/>
      <c r="H9614" s="24" t="str">
        <f>IFERROR(VLOOKUP(B9614,material!A:D,3,0),"")</f>
        <v/>
      </c>
    </row>
    <row r="9615" ht="11.25" customHeight="1">
      <c r="A9615" s="21"/>
      <c r="B9615" s="22"/>
      <c r="C9615" s="21"/>
      <c r="D9615" s="21"/>
      <c r="E9615" s="21"/>
      <c r="F9615" s="21"/>
      <c r="G9615" s="25"/>
      <c r="H9615" s="24" t="str">
        <f>IFERROR(VLOOKUP(B9615,material!A:D,3,0),"")</f>
        <v/>
      </c>
    </row>
    <row r="9616" ht="11.25" customHeight="1">
      <c r="A9616" s="21"/>
      <c r="B9616" s="22"/>
      <c r="C9616" s="21"/>
      <c r="D9616" s="21"/>
      <c r="E9616" s="21"/>
      <c r="F9616" s="21"/>
      <c r="G9616" s="25"/>
      <c r="H9616" s="24" t="str">
        <f>IFERROR(VLOOKUP(B9616,material!A:D,3,0),"")</f>
        <v/>
      </c>
    </row>
    <row r="9617" ht="11.25" customHeight="1">
      <c r="A9617" s="21"/>
      <c r="B9617" s="22"/>
      <c r="C9617" s="21"/>
      <c r="D9617" s="21"/>
      <c r="E9617" s="21"/>
      <c r="F9617" s="21"/>
      <c r="G9617" s="25"/>
      <c r="H9617" s="24" t="str">
        <f>IFERROR(VLOOKUP(B9617,material!A:D,3,0),"")</f>
        <v/>
      </c>
    </row>
    <row r="9618" ht="11.25" customHeight="1">
      <c r="A9618" s="21"/>
      <c r="B9618" s="22"/>
      <c r="C9618" s="21"/>
      <c r="D9618" s="21"/>
      <c r="E9618" s="21"/>
      <c r="F9618" s="21"/>
      <c r="G9618" s="25"/>
      <c r="H9618" s="24" t="str">
        <f>IFERROR(VLOOKUP(B9618,material!A:D,3,0),"")</f>
        <v/>
      </c>
    </row>
    <row r="9619" ht="11.25" customHeight="1">
      <c r="A9619" s="21"/>
      <c r="B9619" s="22"/>
      <c r="C9619" s="21"/>
      <c r="D9619" s="21"/>
      <c r="E9619" s="21"/>
      <c r="F9619" s="21"/>
      <c r="G9619" s="25"/>
      <c r="H9619" s="24" t="str">
        <f>IFERROR(VLOOKUP(B9619,material!A:D,3,0),"")</f>
        <v/>
      </c>
    </row>
    <row r="9620" ht="11.25" customHeight="1">
      <c r="A9620" s="21"/>
      <c r="B9620" s="22"/>
      <c r="C9620" s="21"/>
      <c r="D9620" s="21"/>
      <c r="E9620" s="21"/>
      <c r="F9620" s="21"/>
      <c r="G9620" s="25"/>
      <c r="H9620" s="24" t="str">
        <f>IFERROR(VLOOKUP(B9620,material!A:D,3,0),"")</f>
        <v/>
      </c>
    </row>
    <row r="9621" ht="11.25" customHeight="1">
      <c r="A9621" s="21"/>
      <c r="B9621" s="22"/>
      <c r="C9621" s="21"/>
      <c r="D9621" s="21"/>
      <c r="E9621" s="21"/>
      <c r="F9621" s="21"/>
      <c r="G9621" s="25"/>
      <c r="H9621" s="24" t="str">
        <f>IFERROR(VLOOKUP(B9621,material!A:D,3,0),"")</f>
        <v/>
      </c>
    </row>
    <row r="9622" ht="11.25" customHeight="1">
      <c r="A9622" s="21"/>
      <c r="B9622" s="22"/>
      <c r="C9622" s="21"/>
      <c r="D9622" s="21"/>
      <c r="E9622" s="21"/>
      <c r="F9622" s="21"/>
      <c r="G9622" s="25"/>
      <c r="H9622" s="24" t="str">
        <f>IFERROR(VLOOKUP(B9622,material!A:D,3,0),"")</f>
        <v/>
      </c>
    </row>
    <row r="9623" ht="11.25" customHeight="1">
      <c r="A9623" s="21"/>
      <c r="B9623" s="22"/>
      <c r="C9623" s="21"/>
      <c r="D9623" s="21"/>
      <c r="E9623" s="21"/>
      <c r="F9623" s="21"/>
      <c r="G9623" s="25"/>
      <c r="H9623" s="24" t="str">
        <f>IFERROR(VLOOKUP(B9623,material!A:D,3,0),"")</f>
        <v/>
      </c>
    </row>
    <row r="9624" ht="11.25" customHeight="1">
      <c r="A9624" s="21"/>
      <c r="B9624" s="22"/>
      <c r="C9624" s="21"/>
      <c r="D9624" s="21"/>
      <c r="E9624" s="21"/>
      <c r="F9624" s="21"/>
      <c r="G9624" s="25"/>
      <c r="H9624" s="24" t="str">
        <f>IFERROR(VLOOKUP(B9624,material!A:D,3,0),"")</f>
        <v/>
      </c>
    </row>
    <row r="9625" ht="11.25" customHeight="1">
      <c r="A9625" s="21"/>
      <c r="B9625" s="22"/>
      <c r="C9625" s="21"/>
      <c r="D9625" s="21"/>
      <c r="E9625" s="21"/>
      <c r="F9625" s="21"/>
      <c r="G9625" s="25"/>
      <c r="H9625" s="24" t="str">
        <f>IFERROR(VLOOKUP(B9625,material!A:D,3,0),"")</f>
        <v/>
      </c>
    </row>
    <row r="9626" ht="11.25" customHeight="1">
      <c r="A9626" s="21"/>
      <c r="B9626" s="22"/>
      <c r="C9626" s="21"/>
      <c r="D9626" s="21"/>
      <c r="E9626" s="21"/>
      <c r="F9626" s="21"/>
      <c r="G9626" s="25"/>
      <c r="H9626" s="24" t="str">
        <f>IFERROR(VLOOKUP(B9626,material!A:D,3,0),"")</f>
        <v/>
      </c>
    </row>
    <row r="9627" ht="11.25" customHeight="1">
      <c r="A9627" s="21"/>
      <c r="B9627" s="22"/>
      <c r="C9627" s="21"/>
      <c r="D9627" s="21"/>
      <c r="E9627" s="21"/>
      <c r="F9627" s="21"/>
      <c r="G9627" s="25"/>
      <c r="H9627" s="24" t="str">
        <f>IFERROR(VLOOKUP(B9627,material!A:D,3,0),"")</f>
        <v/>
      </c>
    </row>
    <row r="9628" ht="11.25" customHeight="1">
      <c r="A9628" s="21"/>
      <c r="B9628" s="22"/>
      <c r="C9628" s="21"/>
      <c r="D9628" s="21"/>
      <c r="E9628" s="21"/>
      <c r="F9628" s="21"/>
      <c r="G9628" s="25"/>
      <c r="H9628" s="24" t="str">
        <f>IFERROR(VLOOKUP(B9628,material!A:D,3,0),"")</f>
        <v/>
      </c>
    </row>
    <row r="9629" ht="11.25" customHeight="1">
      <c r="A9629" s="21"/>
      <c r="B9629" s="22"/>
      <c r="C9629" s="21"/>
      <c r="D9629" s="21"/>
      <c r="E9629" s="21"/>
      <c r="F9629" s="21"/>
      <c r="G9629" s="25"/>
      <c r="H9629" s="24" t="str">
        <f>IFERROR(VLOOKUP(B9629,material!A:D,3,0),"")</f>
        <v/>
      </c>
    </row>
    <row r="9630" ht="11.25" customHeight="1">
      <c r="A9630" s="21"/>
      <c r="B9630" s="22"/>
      <c r="C9630" s="21"/>
      <c r="D9630" s="21"/>
      <c r="E9630" s="21"/>
      <c r="F9630" s="21"/>
      <c r="G9630" s="25"/>
      <c r="H9630" s="24" t="str">
        <f>IFERROR(VLOOKUP(B9630,material!A:D,3,0),"")</f>
        <v/>
      </c>
    </row>
    <row r="9631" ht="11.25" customHeight="1">
      <c r="A9631" s="21"/>
      <c r="B9631" s="22"/>
      <c r="C9631" s="21"/>
      <c r="D9631" s="21"/>
      <c r="E9631" s="21"/>
      <c r="F9631" s="21"/>
      <c r="G9631" s="25"/>
      <c r="H9631" s="24" t="str">
        <f>IFERROR(VLOOKUP(B9631,material!A:D,3,0),"")</f>
        <v/>
      </c>
    </row>
    <row r="9632" ht="11.25" customHeight="1">
      <c r="A9632" s="21"/>
      <c r="B9632" s="22"/>
      <c r="C9632" s="21"/>
      <c r="D9632" s="21"/>
      <c r="E9632" s="21"/>
      <c r="F9632" s="21"/>
      <c r="G9632" s="25"/>
      <c r="H9632" s="24" t="str">
        <f>IFERROR(VLOOKUP(B9632,material!A:D,3,0),"")</f>
        <v/>
      </c>
    </row>
    <row r="9633" ht="11.25" customHeight="1">
      <c r="A9633" s="21"/>
      <c r="B9633" s="22"/>
      <c r="C9633" s="21"/>
      <c r="D9633" s="21"/>
      <c r="E9633" s="21"/>
      <c r="F9633" s="21"/>
      <c r="G9633" s="25"/>
      <c r="H9633" s="24" t="str">
        <f>IFERROR(VLOOKUP(B9633,material!A:D,3,0),"")</f>
        <v/>
      </c>
    </row>
    <row r="9634" ht="11.25" customHeight="1">
      <c r="A9634" s="21"/>
      <c r="B9634" s="22"/>
      <c r="C9634" s="21"/>
      <c r="D9634" s="21"/>
      <c r="E9634" s="21"/>
      <c r="F9634" s="21"/>
      <c r="G9634" s="25"/>
      <c r="H9634" s="24" t="str">
        <f>IFERROR(VLOOKUP(B9634,material!A:D,3,0),"")</f>
        <v/>
      </c>
    </row>
    <row r="9635" ht="11.25" customHeight="1">
      <c r="A9635" s="21"/>
      <c r="B9635" s="22"/>
      <c r="C9635" s="21"/>
      <c r="D9635" s="21"/>
      <c r="E9635" s="21"/>
      <c r="F9635" s="21"/>
      <c r="G9635" s="25"/>
      <c r="H9635" s="24" t="str">
        <f>IFERROR(VLOOKUP(B9635,material!A:D,3,0),"")</f>
        <v/>
      </c>
    </row>
    <row r="9636" ht="11.25" customHeight="1">
      <c r="A9636" s="21"/>
      <c r="B9636" s="22"/>
      <c r="C9636" s="21"/>
      <c r="D9636" s="21"/>
      <c r="E9636" s="21"/>
      <c r="F9636" s="21"/>
      <c r="G9636" s="25"/>
      <c r="H9636" s="24" t="str">
        <f>IFERROR(VLOOKUP(B9636,material!A:D,3,0),"")</f>
        <v/>
      </c>
    </row>
    <row r="9637" ht="11.25" customHeight="1">
      <c r="A9637" s="21"/>
      <c r="B9637" s="22"/>
      <c r="C9637" s="21"/>
      <c r="D9637" s="21"/>
      <c r="E9637" s="21"/>
      <c r="F9637" s="21"/>
      <c r="G9637" s="25"/>
      <c r="H9637" s="24" t="str">
        <f>IFERROR(VLOOKUP(B9637,material!A:D,3,0),"")</f>
        <v/>
      </c>
    </row>
    <row r="9638" ht="11.25" customHeight="1">
      <c r="A9638" s="21"/>
      <c r="B9638" s="22"/>
      <c r="C9638" s="21"/>
      <c r="D9638" s="21"/>
      <c r="E9638" s="21"/>
      <c r="F9638" s="21"/>
      <c r="G9638" s="25"/>
      <c r="H9638" s="24" t="str">
        <f>IFERROR(VLOOKUP(B9638,material!A:D,3,0),"")</f>
        <v/>
      </c>
    </row>
    <row r="9639" ht="11.25" customHeight="1">
      <c r="A9639" s="21"/>
      <c r="B9639" s="22"/>
      <c r="C9639" s="21"/>
      <c r="D9639" s="21"/>
      <c r="E9639" s="21"/>
      <c r="F9639" s="21"/>
      <c r="G9639" s="25"/>
      <c r="H9639" s="24" t="str">
        <f>IFERROR(VLOOKUP(B9639,material!A:D,3,0),"")</f>
        <v/>
      </c>
    </row>
    <row r="9640" ht="11.25" customHeight="1">
      <c r="A9640" s="21"/>
      <c r="B9640" s="22"/>
      <c r="C9640" s="21"/>
      <c r="D9640" s="21"/>
      <c r="E9640" s="21"/>
      <c r="F9640" s="21"/>
      <c r="G9640" s="25"/>
      <c r="H9640" s="24" t="str">
        <f>IFERROR(VLOOKUP(B9640,material!A:D,3,0),"")</f>
        <v/>
      </c>
    </row>
    <row r="9641" ht="11.25" customHeight="1">
      <c r="A9641" s="21"/>
      <c r="B9641" s="22"/>
      <c r="C9641" s="21"/>
      <c r="D9641" s="21"/>
      <c r="E9641" s="21"/>
      <c r="F9641" s="21"/>
      <c r="G9641" s="25"/>
      <c r="H9641" s="24" t="str">
        <f>IFERROR(VLOOKUP(B9641,material!A:D,3,0),"")</f>
        <v/>
      </c>
    </row>
    <row r="9642" ht="11.25" customHeight="1">
      <c r="A9642" s="21"/>
      <c r="B9642" s="22"/>
      <c r="C9642" s="21"/>
      <c r="D9642" s="21"/>
      <c r="E9642" s="21"/>
      <c r="F9642" s="21"/>
      <c r="G9642" s="25"/>
      <c r="H9642" s="24" t="str">
        <f>IFERROR(VLOOKUP(B9642,material!A:D,3,0),"")</f>
        <v/>
      </c>
    </row>
    <row r="9643" ht="11.25" customHeight="1">
      <c r="A9643" s="21"/>
      <c r="B9643" s="22"/>
      <c r="C9643" s="21"/>
      <c r="D9643" s="21"/>
      <c r="E9643" s="21"/>
      <c r="F9643" s="21"/>
      <c r="G9643" s="25"/>
      <c r="H9643" s="24" t="str">
        <f>IFERROR(VLOOKUP(B9643,material!A:D,3,0),"")</f>
        <v/>
      </c>
    </row>
    <row r="9644" ht="11.25" customHeight="1">
      <c r="A9644" s="21"/>
      <c r="B9644" s="22"/>
      <c r="C9644" s="21"/>
      <c r="D9644" s="21"/>
      <c r="E9644" s="21"/>
      <c r="F9644" s="21"/>
      <c r="G9644" s="25"/>
      <c r="H9644" s="24" t="str">
        <f>IFERROR(VLOOKUP(B9644,material!A:D,3,0),"")</f>
        <v/>
      </c>
    </row>
    <row r="9645" ht="11.25" customHeight="1">
      <c r="A9645" s="21"/>
      <c r="B9645" s="22"/>
      <c r="C9645" s="21"/>
      <c r="D9645" s="21"/>
      <c r="E9645" s="21"/>
      <c r="F9645" s="21"/>
      <c r="G9645" s="25"/>
      <c r="H9645" s="24" t="str">
        <f>IFERROR(VLOOKUP(B9645,material!A:D,3,0),"")</f>
        <v/>
      </c>
    </row>
    <row r="9646" ht="11.25" customHeight="1">
      <c r="A9646" s="21"/>
      <c r="B9646" s="22"/>
      <c r="C9646" s="21"/>
      <c r="D9646" s="21"/>
      <c r="E9646" s="21"/>
      <c r="F9646" s="21"/>
      <c r="G9646" s="25"/>
      <c r="H9646" s="24" t="str">
        <f>IFERROR(VLOOKUP(B9646,material!A:D,3,0),"")</f>
        <v/>
      </c>
    </row>
    <row r="9647" ht="11.25" customHeight="1">
      <c r="A9647" s="21"/>
      <c r="B9647" s="22"/>
      <c r="C9647" s="21"/>
      <c r="D9647" s="21"/>
      <c r="E9647" s="21"/>
      <c r="F9647" s="21"/>
      <c r="G9647" s="25"/>
      <c r="H9647" s="24" t="str">
        <f>IFERROR(VLOOKUP(B9647,material!A:D,3,0),"")</f>
        <v/>
      </c>
    </row>
    <row r="9648" ht="11.25" customHeight="1">
      <c r="A9648" s="21"/>
      <c r="B9648" s="22"/>
      <c r="C9648" s="21"/>
      <c r="D9648" s="21"/>
      <c r="E9648" s="21"/>
      <c r="F9648" s="21"/>
      <c r="G9648" s="25"/>
      <c r="H9648" s="24" t="str">
        <f>IFERROR(VLOOKUP(B9648,material!A:D,3,0),"")</f>
        <v/>
      </c>
    </row>
    <row r="9649" ht="11.25" customHeight="1">
      <c r="A9649" s="21"/>
      <c r="B9649" s="22"/>
      <c r="C9649" s="21"/>
      <c r="D9649" s="21"/>
      <c r="E9649" s="21"/>
      <c r="F9649" s="21"/>
      <c r="G9649" s="25"/>
      <c r="H9649" s="24" t="str">
        <f>IFERROR(VLOOKUP(B9649,material!A:D,3,0),"")</f>
        <v/>
      </c>
    </row>
    <row r="9650" ht="11.25" customHeight="1">
      <c r="A9650" s="21"/>
      <c r="B9650" s="22"/>
      <c r="C9650" s="21"/>
      <c r="D9650" s="21"/>
      <c r="E9650" s="21"/>
      <c r="F9650" s="21"/>
      <c r="G9650" s="25"/>
      <c r="H9650" s="24" t="str">
        <f>IFERROR(VLOOKUP(B9650,material!A:D,3,0),"")</f>
        <v/>
      </c>
    </row>
    <row r="9651" ht="11.25" customHeight="1">
      <c r="A9651" s="21"/>
      <c r="B9651" s="22"/>
      <c r="C9651" s="21"/>
      <c r="D9651" s="21"/>
      <c r="E9651" s="21"/>
      <c r="F9651" s="21"/>
      <c r="G9651" s="25"/>
      <c r="H9651" s="24" t="str">
        <f>IFERROR(VLOOKUP(B9651,material!A:D,3,0),"")</f>
        <v/>
      </c>
    </row>
    <row r="9652" ht="11.25" customHeight="1">
      <c r="A9652" s="21"/>
      <c r="B9652" s="22"/>
      <c r="C9652" s="21"/>
      <c r="D9652" s="21"/>
      <c r="E9652" s="21"/>
      <c r="F9652" s="21"/>
      <c r="G9652" s="25"/>
      <c r="H9652" s="24" t="str">
        <f>IFERROR(VLOOKUP(B9652,material!A:D,3,0),"")</f>
        <v/>
      </c>
    </row>
    <row r="9653" ht="11.25" customHeight="1">
      <c r="A9653" s="21"/>
      <c r="B9653" s="22"/>
      <c r="C9653" s="21"/>
      <c r="D9653" s="21"/>
      <c r="E9653" s="21"/>
      <c r="F9653" s="21"/>
      <c r="G9653" s="25"/>
      <c r="H9653" s="24" t="str">
        <f>IFERROR(VLOOKUP(B9653,material!A:D,3,0),"")</f>
        <v/>
      </c>
    </row>
    <row r="9654" ht="11.25" customHeight="1">
      <c r="A9654" s="21"/>
      <c r="B9654" s="22"/>
      <c r="C9654" s="21"/>
      <c r="D9654" s="21"/>
      <c r="E9654" s="21"/>
      <c r="F9654" s="21"/>
      <c r="G9654" s="25"/>
      <c r="H9654" s="24" t="str">
        <f>IFERROR(VLOOKUP(B9654,material!A:D,3,0),"")</f>
        <v/>
      </c>
    </row>
    <row r="9655" ht="11.25" customHeight="1">
      <c r="A9655" s="21"/>
      <c r="B9655" s="22"/>
      <c r="C9655" s="21"/>
      <c r="D9655" s="21"/>
      <c r="E9655" s="21"/>
      <c r="F9655" s="21"/>
      <c r="G9655" s="25"/>
      <c r="H9655" s="24" t="str">
        <f>IFERROR(VLOOKUP(B9655,material!A:D,3,0),"")</f>
        <v/>
      </c>
    </row>
    <row r="9656" ht="11.25" customHeight="1">
      <c r="A9656" s="21"/>
      <c r="B9656" s="22"/>
      <c r="C9656" s="21"/>
      <c r="D9656" s="21"/>
      <c r="E9656" s="21"/>
      <c r="F9656" s="21"/>
      <c r="G9656" s="25"/>
      <c r="H9656" s="24" t="str">
        <f>IFERROR(VLOOKUP(B9656,material!A:D,3,0),"")</f>
        <v/>
      </c>
    </row>
    <row r="9657" ht="11.25" customHeight="1">
      <c r="A9657" s="21"/>
      <c r="B9657" s="22"/>
      <c r="C9657" s="21"/>
      <c r="D9657" s="21"/>
      <c r="E9657" s="21"/>
      <c r="F9657" s="21"/>
      <c r="G9657" s="25"/>
      <c r="H9657" s="24" t="str">
        <f>IFERROR(VLOOKUP(B9657,material!A:D,3,0),"")</f>
        <v/>
      </c>
    </row>
    <row r="9658" ht="11.25" customHeight="1">
      <c r="A9658" s="21"/>
      <c r="B9658" s="22"/>
      <c r="C9658" s="21"/>
      <c r="D9658" s="21"/>
      <c r="E9658" s="21"/>
      <c r="F9658" s="21"/>
      <c r="G9658" s="25"/>
      <c r="H9658" s="24" t="str">
        <f>IFERROR(VLOOKUP(B9658,material!A:D,3,0),"")</f>
        <v/>
      </c>
    </row>
    <row r="9659" ht="11.25" customHeight="1">
      <c r="A9659" s="21"/>
      <c r="B9659" s="22"/>
      <c r="C9659" s="21"/>
      <c r="D9659" s="21"/>
      <c r="E9659" s="21"/>
      <c r="F9659" s="21"/>
      <c r="G9659" s="25"/>
      <c r="H9659" s="24" t="str">
        <f>IFERROR(VLOOKUP(B9659,material!A:D,3,0),"")</f>
        <v/>
      </c>
    </row>
    <row r="9660" ht="11.25" customHeight="1">
      <c r="A9660" s="21"/>
      <c r="B9660" s="22"/>
      <c r="C9660" s="21"/>
      <c r="D9660" s="21"/>
      <c r="E9660" s="21"/>
      <c r="F9660" s="21"/>
      <c r="G9660" s="25"/>
      <c r="H9660" s="24" t="str">
        <f>IFERROR(VLOOKUP(B9660,material!A:D,3,0),"")</f>
        <v/>
      </c>
    </row>
    <row r="9661" ht="11.25" customHeight="1">
      <c r="A9661" s="21"/>
      <c r="B9661" s="22"/>
      <c r="C9661" s="21"/>
      <c r="D9661" s="21"/>
      <c r="E9661" s="21"/>
      <c r="F9661" s="21"/>
      <c r="G9661" s="25"/>
      <c r="H9661" s="24" t="str">
        <f>IFERROR(VLOOKUP(B9661,material!A:D,3,0),"")</f>
        <v/>
      </c>
    </row>
    <row r="9662" ht="11.25" customHeight="1">
      <c r="A9662" s="21"/>
      <c r="B9662" s="22"/>
      <c r="C9662" s="21"/>
      <c r="D9662" s="21"/>
      <c r="E9662" s="21"/>
      <c r="F9662" s="21"/>
      <c r="G9662" s="25"/>
      <c r="H9662" s="24" t="str">
        <f>IFERROR(VLOOKUP(B9662,material!A:D,3,0),"")</f>
        <v/>
      </c>
    </row>
    <row r="9663" ht="11.25" customHeight="1">
      <c r="A9663" s="21"/>
      <c r="B9663" s="22"/>
      <c r="C9663" s="21"/>
      <c r="D9663" s="21"/>
      <c r="E9663" s="21"/>
      <c r="F9663" s="21"/>
      <c r="G9663" s="25"/>
      <c r="H9663" s="24" t="str">
        <f>IFERROR(VLOOKUP(B9663,material!A:D,3,0),"")</f>
        <v/>
      </c>
    </row>
    <row r="9664" ht="11.25" customHeight="1">
      <c r="A9664" s="21"/>
      <c r="B9664" s="22"/>
      <c r="C9664" s="21"/>
      <c r="D9664" s="21"/>
      <c r="E9664" s="21"/>
      <c r="F9664" s="21"/>
      <c r="G9664" s="25"/>
      <c r="H9664" s="24" t="str">
        <f>IFERROR(VLOOKUP(B9664,material!A:D,3,0),"")</f>
        <v/>
      </c>
    </row>
    <row r="9665" ht="11.25" customHeight="1">
      <c r="A9665" s="21"/>
      <c r="B9665" s="22"/>
      <c r="C9665" s="21"/>
      <c r="D9665" s="21"/>
      <c r="E9665" s="21"/>
      <c r="F9665" s="21"/>
      <c r="G9665" s="25"/>
      <c r="H9665" s="24" t="str">
        <f>IFERROR(VLOOKUP(B9665,material!A:D,3,0),"")</f>
        <v/>
      </c>
    </row>
    <row r="9666" ht="11.25" customHeight="1">
      <c r="A9666" s="21"/>
      <c r="B9666" s="22"/>
      <c r="C9666" s="21"/>
      <c r="D9666" s="21"/>
      <c r="E9666" s="21"/>
      <c r="F9666" s="21"/>
      <c r="G9666" s="25"/>
      <c r="H9666" s="24" t="str">
        <f>IFERROR(VLOOKUP(B9666,material!A:D,3,0),"")</f>
        <v/>
      </c>
    </row>
    <row r="9667" ht="11.25" customHeight="1">
      <c r="A9667" s="21"/>
      <c r="B9667" s="22"/>
      <c r="C9667" s="21"/>
      <c r="D9667" s="21"/>
      <c r="E9667" s="21"/>
      <c r="F9667" s="21"/>
      <c r="G9667" s="25"/>
      <c r="H9667" s="24" t="str">
        <f>IFERROR(VLOOKUP(B9667,material!A:D,3,0),"")</f>
        <v/>
      </c>
    </row>
    <row r="9668" ht="11.25" customHeight="1">
      <c r="A9668" s="21"/>
      <c r="B9668" s="22"/>
      <c r="C9668" s="21"/>
      <c r="D9668" s="21"/>
      <c r="E9668" s="21"/>
      <c r="F9668" s="21"/>
      <c r="G9668" s="25"/>
      <c r="H9668" s="24" t="str">
        <f>IFERROR(VLOOKUP(B9668,material!A:D,3,0),"")</f>
        <v/>
      </c>
    </row>
    <row r="9669" ht="11.25" customHeight="1">
      <c r="A9669" s="21"/>
      <c r="B9669" s="22"/>
      <c r="C9669" s="21"/>
      <c r="D9669" s="21"/>
      <c r="E9669" s="21"/>
      <c r="F9669" s="21"/>
      <c r="G9669" s="25"/>
      <c r="H9669" s="24" t="str">
        <f>IFERROR(VLOOKUP(B9669,material!A:D,3,0),"")</f>
        <v/>
      </c>
    </row>
    <row r="9670" ht="11.25" customHeight="1">
      <c r="A9670" s="21"/>
      <c r="B9670" s="22"/>
      <c r="C9670" s="21"/>
      <c r="D9670" s="21"/>
      <c r="E9670" s="21"/>
      <c r="F9670" s="21"/>
      <c r="G9670" s="25"/>
      <c r="H9670" s="24" t="str">
        <f>IFERROR(VLOOKUP(B9670,material!A:D,3,0),"")</f>
        <v/>
      </c>
    </row>
    <row r="9671" ht="11.25" customHeight="1">
      <c r="A9671" s="21"/>
      <c r="B9671" s="22"/>
      <c r="C9671" s="21"/>
      <c r="D9671" s="21"/>
      <c r="E9671" s="21"/>
      <c r="F9671" s="21"/>
      <c r="G9671" s="25"/>
      <c r="H9671" s="24" t="str">
        <f>IFERROR(VLOOKUP(B9671,material!A:D,3,0),"")</f>
        <v/>
      </c>
    </row>
    <row r="9672" ht="11.25" customHeight="1">
      <c r="A9672" s="21"/>
      <c r="B9672" s="22"/>
      <c r="C9672" s="21"/>
      <c r="D9672" s="21"/>
      <c r="E9672" s="21"/>
      <c r="F9672" s="21"/>
      <c r="G9672" s="25"/>
      <c r="H9672" s="24" t="str">
        <f>IFERROR(VLOOKUP(B9672,material!A:D,3,0),"")</f>
        <v/>
      </c>
    </row>
    <row r="9673" ht="11.25" customHeight="1">
      <c r="A9673" s="21"/>
      <c r="B9673" s="22"/>
      <c r="C9673" s="21"/>
      <c r="D9673" s="21"/>
      <c r="E9673" s="21"/>
      <c r="F9673" s="21"/>
      <c r="G9673" s="25"/>
      <c r="H9673" s="24" t="str">
        <f>IFERROR(VLOOKUP(B9673,material!A:D,3,0),"")</f>
        <v/>
      </c>
    </row>
    <row r="9674" ht="11.25" customHeight="1">
      <c r="A9674" s="21"/>
      <c r="B9674" s="22"/>
      <c r="C9674" s="21"/>
      <c r="D9674" s="21"/>
      <c r="E9674" s="21"/>
      <c r="F9674" s="21"/>
      <c r="G9674" s="25"/>
      <c r="H9674" s="24" t="str">
        <f>IFERROR(VLOOKUP(B9674,material!A:D,3,0),"")</f>
        <v/>
      </c>
    </row>
    <row r="9675" ht="11.25" customHeight="1">
      <c r="A9675" s="21"/>
      <c r="B9675" s="22"/>
      <c r="C9675" s="21"/>
      <c r="D9675" s="21"/>
      <c r="E9675" s="21"/>
      <c r="F9675" s="21"/>
      <c r="G9675" s="25"/>
      <c r="H9675" s="24" t="str">
        <f>IFERROR(VLOOKUP(B9675,material!A:D,3,0),"")</f>
        <v/>
      </c>
    </row>
    <row r="9676" ht="11.25" customHeight="1">
      <c r="A9676" s="21"/>
      <c r="B9676" s="22"/>
      <c r="C9676" s="21"/>
      <c r="D9676" s="21"/>
      <c r="E9676" s="21"/>
      <c r="F9676" s="21"/>
      <c r="G9676" s="25"/>
      <c r="H9676" s="24" t="str">
        <f>IFERROR(VLOOKUP(B9676,material!A:D,3,0),"")</f>
        <v/>
      </c>
    </row>
    <row r="9677" ht="11.25" customHeight="1">
      <c r="A9677" s="21"/>
      <c r="B9677" s="22"/>
      <c r="C9677" s="21"/>
      <c r="D9677" s="21"/>
      <c r="E9677" s="21"/>
      <c r="F9677" s="21"/>
      <c r="G9677" s="25"/>
      <c r="H9677" s="24" t="str">
        <f>IFERROR(VLOOKUP(B9677,material!A:D,3,0),"")</f>
        <v/>
      </c>
    </row>
    <row r="9678" ht="11.25" customHeight="1">
      <c r="A9678" s="21"/>
      <c r="B9678" s="22"/>
      <c r="C9678" s="21"/>
      <c r="D9678" s="21"/>
      <c r="E9678" s="21"/>
      <c r="F9678" s="21"/>
      <c r="G9678" s="25"/>
      <c r="H9678" s="24" t="str">
        <f>IFERROR(VLOOKUP(B9678,material!A:D,3,0),"")</f>
        <v/>
      </c>
    </row>
    <row r="9679" ht="11.25" customHeight="1">
      <c r="A9679" s="21"/>
      <c r="B9679" s="22"/>
      <c r="C9679" s="21"/>
      <c r="D9679" s="21"/>
      <c r="E9679" s="21"/>
      <c r="F9679" s="21"/>
      <c r="G9679" s="25"/>
      <c r="H9679" s="24" t="str">
        <f>IFERROR(VLOOKUP(B9679,material!A:D,3,0),"")</f>
        <v/>
      </c>
    </row>
    <row r="9680" ht="11.25" customHeight="1">
      <c r="A9680" s="21"/>
      <c r="B9680" s="22"/>
      <c r="C9680" s="21"/>
      <c r="D9680" s="21"/>
      <c r="E9680" s="21"/>
      <c r="F9680" s="21"/>
      <c r="G9680" s="25"/>
      <c r="H9680" s="24" t="str">
        <f>IFERROR(VLOOKUP(B9680,material!A:D,3,0),"")</f>
        <v/>
      </c>
    </row>
    <row r="9681" ht="11.25" customHeight="1">
      <c r="A9681" s="21"/>
      <c r="B9681" s="22"/>
      <c r="C9681" s="21"/>
      <c r="D9681" s="21"/>
      <c r="E9681" s="21"/>
      <c r="F9681" s="21"/>
      <c r="G9681" s="25"/>
      <c r="H9681" s="24" t="str">
        <f>IFERROR(VLOOKUP(B9681,material!A:D,3,0),"")</f>
        <v/>
      </c>
    </row>
    <row r="9682" ht="11.25" customHeight="1">
      <c r="A9682" s="21"/>
      <c r="B9682" s="22"/>
      <c r="C9682" s="21"/>
      <c r="D9682" s="21"/>
      <c r="E9682" s="21"/>
      <c r="F9682" s="21"/>
      <c r="G9682" s="25"/>
      <c r="H9682" s="24" t="str">
        <f>IFERROR(VLOOKUP(B9682,material!A:D,3,0),"")</f>
        <v/>
      </c>
    </row>
    <row r="9683" ht="11.25" customHeight="1">
      <c r="A9683" s="21"/>
      <c r="B9683" s="22"/>
      <c r="C9683" s="21"/>
      <c r="D9683" s="21"/>
      <c r="E9683" s="21"/>
      <c r="F9683" s="21"/>
      <c r="G9683" s="25"/>
      <c r="H9683" s="24" t="str">
        <f>IFERROR(VLOOKUP(B9683,material!A:D,3,0),"")</f>
        <v/>
      </c>
    </row>
    <row r="9684" ht="11.25" customHeight="1">
      <c r="A9684" s="21"/>
      <c r="B9684" s="22"/>
      <c r="C9684" s="21"/>
      <c r="D9684" s="21"/>
      <c r="E9684" s="21"/>
      <c r="F9684" s="21"/>
      <c r="G9684" s="25"/>
      <c r="H9684" s="24" t="str">
        <f>IFERROR(VLOOKUP(B9684,material!A:D,3,0),"")</f>
        <v/>
      </c>
    </row>
    <row r="9685" ht="11.25" customHeight="1">
      <c r="A9685" s="21"/>
      <c r="B9685" s="22"/>
      <c r="C9685" s="21"/>
      <c r="D9685" s="21"/>
      <c r="E9685" s="21"/>
      <c r="F9685" s="21"/>
      <c r="G9685" s="25"/>
      <c r="H9685" s="24" t="str">
        <f>IFERROR(VLOOKUP(B9685,material!A:D,3,0),"")</f>
        <v/>
      </c>
    </row>
    <row r="9686" ht="11.25" customHeight="1">
      <c r="A9686" s="21"/>
      <c r="B9686" s="22"/>
      <c r="C9686" s="21"/>
      <c r="D9686" s="21"/>
      <c r="E9686" s="21"/>
      <c r="F9686" s="21"/>
      <c r="G9686" s="25"/>
      <c r="H9686" s="24" t="str">
        <f>IFERROR(VLOOKUP(B9686,material!A:D,3,0),"")</f>
        <v/>
      </c>
    </row>
    <row r="9687" ht="11.25" customHeight="1">
      <c r="A9687" s="21"/>
      <c r="B9687" s="22"/>
      <c r="C9687" s="21"/>
      <c r="D9687" s="21"/>
      <c r="E9687" s="21"/>
      <c r="F9687" s="21"/>
      <c r="G9687" s="25"/>
      <c r="H9687" s="24" t="str">
        <f>IFERROR(VLOOKUP(B9687,material!A:D,3,0),"")</f>
        <v/>
      </c>
    </row>
    <row r="9688" ht="11.25" customHeight="1">
      <c r="A9688" s="21"/>
      <c r="B9688" s="22"/>
      <c r="C9688" s="21"/>
      <c r="D9688" s="21"/>
      <c r="E9688" s="21"/>
      <c r="F9688" s="21"/>
      <c r="G9688" s="25"/>
      <c r="H9688" s="24" t="str">
        <f>IFERROR(VLOOKUP(B9688,material!A:D,3,0),"")</f>
        <v/>
      </c>
    </row>
    <row r="9689" ht="11.25" customHeight="1">
      <c r="A9689" s="21"/>
      <c r="B9689" s="22"/>
      <c r="C9689" s="21"/>
      <c r="D9689" s="21"/>
      <c r="E9689" s="21"/>
      <c r="F9689" s="21"/>
      <c r="G9689" s="25"/>
      <c r="H9689" s="24" t="str">
        <f>IFERROR(VLOOKUP(B9689,material!A:D,3,0),"")</f>
        <v/>
      </c>
    </row>
    <row r="9690" ht="11.25" customHeight="1">
      <c r="A9690" s="21"/>
      <c r="B9690" s="22"/>
      <c r="C9690" s="21"/>
      <c r="D9690" s="21"/>
      <c r="E9690" s="21"/>
      <c r="F9690" s="21"/>
      <c r="G9690" s="25"/>
      <c r="H9690" s="24" t="str">
        <f>IFERROR(VLOOKUP(B9690,material!A:D,3,0),"")</f>
        <v/>
      </c>
    </row>
    <row r="9691" ht="11.25" customHeight="1">
      <c r="A9691" s="21"/>
      <c r="B9691" s="22"/>
      <c r="C9691" s="21"/>
      <c r="D9691" s="21"/>
      <c r="E9691" s="21"/>
      <c r="F9691" s="21"/>
      <c r="G9691" s="25"/>
      <c r="H9691" s="24" t="str">
        <f>IFERROR(VLOOKUP(B9691,material!A:D,3,0),"")</f>
        <v/>
      </c>
    </row>
    <row r="9692" ht="11.25" customHeight="1">
      <c r="A9692" s="21"/>
      <c r="B9692" s="22"/>
      <c r="C9692" s="21"/>
      <c r="D9692" s="21"/>
      <c r="E9692" s="21"/>
      <c r="F9692" s="21"/>
      <c r="G9692" s="25"/>
      <c r="H9692" s="24" t="str">
        <f>IFERROR(VLOOKUP(B9692,material!A:D,3,0),"")</f>
        <v/>
      </c>
    </row>
    <row r="9693" ht="11.25" customHeight="1">
      <c r="A9693" s="21"/>
      <c r="B9693" s="22"/>
      <c r="C9693" s="21"/>
      <c r="D9693" s="21"/>
      <c r="E9693" s="21"/>
      <c r="F9693" s="21"/>
      <c r="G9693" s="25"/>
      <c r="H9693" s="24" t="str">
        <f>IFERROR(VLOOKUP(B9693,material!A:D,3,0),"")</f>
        <v/>
      </c>
    </row>
    <row r="9694" ht="11.25" customHeight="1">
      <c r="A9694" s="21"/>
      <c r="B9694" s="22"/>
      <c r="C9694" s="21"/>
      <c r="D9694" s="21"/>
      <c r="E9694" s="21"/>
      <c r="F9694" s="21"/>
      <c r="G9694" s="25"/>
      <c r="H9694" s="24" t="str">
        <f>IFERROR(VLOOKUP(B9694,material!A:D,3,0),"")</f>
        <v/>
      </c>
    </row>
    <row r="9695" ht="11.25" customHeight="1">
      <c r="A9695" s="21"/>
      <c r="B9695" s="22"/>
      <c r="C9695" s="21"/>
      <c r="D9695" s="21"/>
      <c r="E9695" s="21"/>
      <c r="F9695" s="21"/>
      <c r="G9695" s="25"/>
      <c r="H9695" s="24" t="str">
        <f>IFERROR(VLOOKUP(B9695,material!A:D,3,0),"")</f>
        <v/>
      </c>
    </row>
    <row r="9696" ht="11.25" customHeight="1">
      <c r="A9696" s="21"/>
      <c r="B9696" s="22"/>
      <c r="C9696" s="21"/>
      <c r="D9696" s="21"/>
      <c r="E9696" s="21"/>
      <c r="F9696" s="21"/>
      <c r="G9696" s="25"/>
      <c r="H9696" s="24" t="str">
        <f>IFERROR(VLOOKUP(B9696,material!A:D,3,0),"")</f>
        <v/>
      </c>
    </row>
    <row r="9697" ht="11.25" customHeight="1">
      <c r="A9697" s="21"/>
      <c r="B9697" s="22"/>
      <c r="C9697" s="21"/>
      <c r="D9697" s="21"/>
      <c r="E9697" s="21"/>
      <c r="F9697" s="21"/>
      <c r="G9697" s="25"/>
      <c r="H9697" s="24" t="str">
        <f>IFERROR(VLOOKUP(B9697,material!A:D,3,0),"")</f>
        <v/>
      </c>
    </row>
    <row r="9698" ht="11.25" customHeight="1">
      <c r="A9698" s="21"/>
      <c r="B9698" s="22"/>
      <c r="C9698" s="21"/>
      <c r="D9698" s="21"/>
      <c r="E9698" s="21"/>
      <c r="F9698" s="21"/>
      <c r="G9698" s="25"/>
      <c r="H9698" s="24" t="str">
        <f>IFERROR(VLOOKUP(B9698,material!A:D,3,0),"")</f>
        <v/>
      </c>
    </row>
    <row r="9699" ht="11.25" customHeight="1">
      <c r="A9699" s="21"/>
      <c r="B9699" s="22"/>
      <c r="C9699" s="21"/>
      <c r="D9699" s="21"/>
      <c r="E9699" s="21"/>
      <c r="F9699" s="21"/>
      <c r="G9699" s="25"/>
      <c r="H9699" s="24" t="str">
        <f>IFERROR(VLOOKUP(B9699,material!A:D,3,0),"")</f>
        <v/>
      </c>
    </row>
    <row r="9700" ht="11.25" customHeight="1">
      <c r="A9700" s="21"/>
      <c r="B9700" s="22"/>
      <c r="C9700" s="21"/>
      <c r="D9700" s="21"/>
      <c r="E9700" s="21"/>
      <c r="F9700" s="21"/>
      <c r="G9700" s="25"/>
      <c r="H9700" s="24" t="str">
        <f>IFERROR(VLOOKUP(B9700,material!A:D,3,0),"")</f>
        <v/>
      </c>
    </row>
    <row r="9701" ht="11.25" customHeight="1">
      <c r="A9701" s="21"/>
      <c r="B9701" s="22"/>
      <c r="C9701" s="21"/>
      <c r="D9701" s="21"/>
      <c r="E9701" s="21"/>
      <c r="F9701" s="21"/>
      <c r="G9701" s="25"/>
      <c r="H9701" s="24" t="str">
        <f>IFERROR(VLOOKUP(B9701,material!A:D,3,0),"")</f>
        <v/>
      </c>
    </row>
    <row r="9702" ht="11.25" customHeight="1">
      <c r="A9702" s="21"/>
      <c r="B9702" s="22"/>
      <c r="C9702" s="21"/>
      <c r="D9702" s="21"/>
      <c r="E9702" s="21"/>
      <c r="F9702" s="21"/>
      <c r="G9702" s="25"/>
      <c r="H9702" s="24" t="str">
        <f>IFERROR(VLOOKUP(B9702,material!A:D,3,0),"")</f>
        <v/>
      </c>
    </row>
    <row r="9703" ht="11.25" customHeight="1">
      <c r="A9703" s="21"/>
      <c r="B9703" s="22"/>
      <c r="C9703" s="21"/>
      <c r="D9703" s="21"/>
      <c r="E9703" s="21"/>
      <c r="F9703" s="21"/>
      <c r="G9703" s="25"/>
      <c r="H9703" s="24" t="str">
        <f>IFERROR(VLOOKUP(B9703,material!A:D,3,0),"")</f>
        <v/>
      </c>
    </row>
    <row r="9704" ht="11.25" customHeight="1">
      <c r="A9704" s="21"/>
      <c r="B9704" s="22"/>
      <c r="C9704" s="21"/>
      <c r="D9704" s="21"/>
      <c r="E9704" s="21"/>
      <c r="F9704" s="21"/>
      <c r="G9704" s="25"/>
      <c r="H9704" s="24" t="str">
        <f>IFERROR(VLOOKUP(B9704,material!A:D,3,0),"")</f>
        <v/>
      </c>
    </row>
    <row r="9705" ht="11.25" customHeight="1">
      <c r="A9705" s="21"/>
      <c r="B9705" s="22"/>
      <c r="C9705" s="21"/>
      <c r="D9705" s="21"/>
      <c r="E9705" s="21"/>
      <c r="F9705" s="21"/>
      <c r="G9705" s="25"/>
      <c r="H9705" s="24" t="str">
        <f>IFERROR(VLOOKUP(B9705,material!A:D,3,0),"")</f>
        <v/>
      </c>
    </row>
    <row r="9706" ht="11.25" customHeight="1">
      <c r="A9706" s="21"/>
      <c r="B9706" s="22"/>
      <c r="C9706" s="21"/>
      <c r="D9706" s="21"/>
      <c r="E9706" s="21"/>
      <c r="F9706" s="21"/>
      <c r="G9706" s="25"/>
      <c r="H9706" s="24" t="str">
        <f>IFERROR(VLOOKUP(B9706,material!A:D,3,0),"")</f>
        <v/>
      </c>
    </row>
    <row r="9707" ht="11.25" customHeight="1">
      <c r="A9707" s="21"/>
      <c r="B9707" s="22"/>
      <c r="C9707" s="21"/>
      <c r="D9707" s="21"/>
      <c r="E9707" s="21"/>
      <c r="F9707" s="21"/>
      <c r="G9707" s="25"/>
      <c r="H9707" s="24" t="str">
        <f>IFERROR(VLOOKUP(B9707,material!A:D,3,0),"")</f>
        <v/>
      </c>
    </row>
    <row r="9708" ht="11.25" customHeight="1">
      <c r="A9708" s="21"/>
      <c r="B9708" s="22"/>
      <c r="C9708" s="21"/>
      <c r="D9708" s="21"/>
      <c r="E9708" s="21"/>
      <c r="F9708" s="21"/>
      <c r="G9708" s="25"/>
      <c r="H9708" s="24" t="str">
        <f>IFERROR(VLOOKUP(B9708,material!A:D,3,0),"")</f>
        <v/>
      </c>
    </row>
    <row r="9709" ht="11.25" customHeight="1">
      <c r="A9709" s="21"/>
      <c r="B9709" s="22"/>
      <c r="C9709" s="21"/>
      <c r="D9709" s="21"/>
      <c r="E9709" s="21"/>
      <c r="F9709" s="21"/>
      <c r="G9709" s="25"/>
      <c r="H9709" s="24" t="str">
        <f>IFERROR(VLOOKUP(B9709,material!A:D,3,0),"")</f>
        <v/>
      </c>
    </row>
    <row r="9710" ht="11.25" customHeight="1">
      <c r="A9710" s="21"/>
      <c r="B9710" s="22"/>
      <c r="C9710" s="21"/>
      <c r="D9710" s="21"/>
      <c r="E9710" s="21"/>
      <c r="F9710" s="21"/>
      <c r="G9710" s="25"/>
      <c r="H9710" s="24" t="str">
        <f>IFERROR(VLOOKUP(B9710,material!A:D,3,0),"")</f>
        <v/>
      </c>
    </row>
    <row r="9711" ht="11.25" customHeight="1">
      <c r="A9711" s="21"/>
      <c r="B9711" s="22"/>
      <c r="C9711" s="21"/>
      <c r="D9711" s="21"/>
      <c r="E9711" s="21"/>
      <c r="F9711" s="21"/>
      <c r="G9711" s="25"/>
      <c r="H9711" s="24" t="str">
        <f>IFERROR(VLOOKUP(B9711,material!A:D,3,0),"")</f>
        <v/>
      </c>
    </row>
    <row r="9712" ht="11.25" customHeight="1">
      <c r="A9712" s="21"/>
      <c r="B9712" s="22"/>
      <c r="C9712" s="21"/>
      <c r="D9712" s="21"/>
      <c r="E9712" s="21"/>
      <c r="F9712" s="21"/>
      <c r="G9712" s="25"/>
      <c r="H9712" s="24" t="str">
        <f>IFERROR(VLOOKUP(B9712,material!A:D,3,0),"")</f>
        <v/>
      </c>
    </row>
    <row r="9713" ht="11.25" customHeight="1">
      <c r="A9713" s="21"/>
      <c r="B9713" s="22"/>
      <c r="C9713" s="21"/>
      <c r="D9713" s="21"/>
      <c r="E9713" s="21"/>
      <c r="F9713" s="21"/>
      <c r="G9713" s="25"/>
      <c r="H9713" s="24" t="str">
        <f>IFERROR(VLOOKUP(B9713,material!A:D,3,0),"")</f>
        <v/>
      </c>
    </row>
    <row r="9714" ht="11.25" customHeight="1">
      <c r="A9714" s="21"/>
      <c r="B9714" s="22"/>
      <c r="C9714" s="21"/>
      <c r="D9714" s="21"/>
      <c r="E9714" s="21"/>
      <c r="F9714" s="21"/>
      <c r="G9714" s="25"/>
      <c r="H9714" s="24" t="str">
        <f>IFERROR(VLOOKUP(B9714,material!A:D,3,0),"")</f>
        <v/>
      </c>
    </row>
    <row r="9715" ht="11.25" customHeight="1">
      <c r="A9715" s="21"/>
      <c r="B9715" s="22"/>
      <c r="C9715" s="21"/>
      <c r="D9715" s="21"/>
      <c r="E9715" s="21"/>
      <c r="F9715" s="21"/>
      <c r="G9715" s="25"/>
      <c r="H9715" s="24" t="str">
        <f>IFERROR(VLOOKUP(B9715,material!A:D,3,0),"")</f>
        <v/>
      </c>
    </row>
    <row r="9716" ht="11.25" customHeight="1">
      <c r="A9716" s="21"/>
      <c r="B9716" s="22"/>
      <c r="C9716" s="21"/>
      <c r="D9716" s="21"/>
      <c r="E9716" s="21"/>
      <c r="F9716" s="21"/>
      <c r="G9716" s="25"/>
      <c r="H9716" s="24" t="str">
        <f>IFERROR(VLOOKUP(B9716,material!A:D,3,0),"")</f>
        <v/>
      </c>
    </row>
    <row r="9717" ht="11.25" customHeight="1">
      <c r="A9717" s="21"/>
      <c r="B9717" s="22"/>
      <c r="C9717" s="21"/>
      <c r="D9717" s="21"/>
      <c r="E9717" s="21"/>
      <c r="F9717" s="21"/>
      <c r="G9717" s="25"/>
      <c r="H9717" s="24" t="str">
        <f>IFERROR(VLOOKUP(B9717,material!A:D,3,0),"")</f>
        <v/>
      </c>
    </row>
    <row r="9718" ht="11.25" customHeight="1">
      <c r="A9718" s="21"/>
      <c r="B9718" s="22"/>
      <c r="C9718" s="21"/>
      <c r="D9718" s="21"/>
      <c r="E9718" s="21"/>
      <c r="F9718" s="21"/>
      <c r="G9718" s="25"/>
      <c r="H9718" s="24" t="str">
        <f>IFERROR(VLOOKUP(B9718,material!A:D,3,0),"")</f>
        <v/>
      </c>
    </row>
    <row r="9719" ht="11.25" customHeight="1">
      <c r="A9719" s="21"/>
      <c r="B9719" s="22"/>
      <c r="C9719" s="21"/>
      <c r="D9719" s="21"/>
      <c r="E9719" s="21"/>
      <c r="F9719" s="21"/>
      <c r="G9719" s="25"/>
      <c r="H9719" s="24" t="str">
        <f>IFERROR(VLOOKUP(B9719,material!A:D,3,0),"")</f>
        <v/>
      </c>
    </row>
    <row r="9720" ht="11.25" customHeight="1">
      <c r="A9720" s="21"/>
      <c r="B9720" s="22"/>
      <c r="C9720" s="21"/>
      <c r="D9720" s="21"/>
      <c r="E9720" s="21"/>
      <c r="F9720" s="21"/>
      <c r="G9720" s="25"/>
      <c r="H9720" s="24" t="str">
        <f>IFERROR(VLOOKUP(B9720,material!A:D,3,0),"")</f>
        <v/>
      </c>
    </row>
    <row r="9721" ht="11.25" customHeight="1">
      <c r="A9721" s="21"/>
      <c r="B9721" s="22"/>
      <c r="C9721" s="21"/>
      <c r="D9721" s="21"/>
      <c r="E9721" s="21"/>
      <c r="F9721" s="21"/>
      <c r="G9721" s="25"/>
      <c r="H9721" s="24" t="str">
        <f>IFERROR(VLOOKUP(B9721,material!A:D,3,0),"")</f>
        <v/>
      </c>
    </row>
    <row r="9722" ht="11.25" customHeight="1">
      <c r="A9722" s="21"/>
      <c r="B9722" s="22"/>
      <c r="C9722" s="21"/>
      <c r="D9722" s="21"/>
      <c r="E9722" s="21"/>
      <c r="F9722" s="21"/>
      <c r="G9722" s="25"/>
      <c r="H9722" s="24" t="str">
        <f>IFERROR(VLOOKUP(B9722,material!A:D,3,0),"")</f>
        <v/>
      </c>
    </row>
    <row r="9723" ht="11.25" customHeight="1">
      <c r="A9723" s="21"/>
      <c r="B9723" s="22"/>
      <c r="C9723" s="21"/>
      <c r="D9723" s="21"/>
      <c r="E9723" s="21"/>
      <c r="F9723" s="21"/>
      <c r="G9723" s="25"/>
      <c r="H9723" s="24" t="str">
        <f>IFERROR(VLOOKUP(B9723,material!A:D,3,0),"")</f>
        <v/>
      </c>
    </row>
    <row r="9724" ht="11.25" customHeight="1">
      <c r="A9724" s="21"/>
      <c r="B9724" s="22"/>
      <c r="C9724" s="21"/>
      <c r="D9724" s="21"/>
      <c r="E9724" s="21"/>
      <c r="F9724" s="21"/>
      <c r="G9724" s="25"/>
      <c r="H9724" s="24" t="str">
        <f>IFERROR(VLOOKUP(B9724,material!A:D,3,0),"")</f>
        <v/>
      </c>
    </row>
    <row r="9725" ht="11.25" customHeight="1">
      <c r="A9725" s="21"/>
      <c r="B9725" s="22"/>
      <c r="C9725" s="21"/>
      <c r="D9725" s="21"/>
      <c r="E9725" s="21"/>
      <c r="F9725" s="21"/>
      <c r="G9725" s="25"/>
      <c r="H9725" s="24" t="str">
        <f>IFERROR(VLOOKUP(B9725,material!A:D,3,0),"")</f>
        <v/>
      </c>
    </row>
    <row r="9726" ht="11.25" customHeight="1">
      <c r="A9726" s="21"/>
      <c r="B9726" s="22"/>
      <c r="C9726" s="21"/>
      <c r="D9726" s="21"/>
      <c r="E9726" s="21"/>
      <c r="F9726" s="21"/>
      <c r="G9726" s="25"/>
      <c r="H9726" s="24" t="str">
        <f>IFERROR(VLOOKUP(B9726,material!A:D,3,0),"")</f>
        <v/>
      </c>
    </row>
    <row r="9727" ht="11.25" customHeight="1">
      <c r="A9727" s="21"/>
      <c r="B9727" s="22"/>
      <c r="C9727" s="21"/>
      <c r="D9727" s="21"/>
      <c r="E9727" s="21"/>
      <c r="F9727" s="21"/>
      <c r="G9727" s="25"/>
      <c r="H9727" s="24" t="str">
        <f>IFERROR(VLOOKUP(B9727,material!A:D,3,0),"")</f>
        <v/>
      </c>
    </row>
    <row r="9728" ht="11.25" customHeight="1">
      <c r="A9728" s="21"/>
      <c r="B9728" s="22"/>
      <c r="C9728" s="21"/>
      <c r="D9728" s="21"/>
      <c r="E9728" s="21"/>
      <c r="F9728" s="21"/>
      <c r="G9728" s="25"/>
      <c r="H9728" s="24" t="str">
        <f>IFERROR(VLOOKUP(B9728,material!A:D,3,0),"")</f>
        <v/>
      </c>
    </row>
    <row r="9729" ht="11.25" customHeight="1">
      <c r="A9729" s="21"/>
      <c r="B9729" s="22"/>
      <c r="C9729" s="21"/>
      <c r="D9729" s="21"/>
      <c r="E9729" s="21"/>
      <c r="F9729" s="21"/>
      <c r="G9729" s="25"/>
      <c r="H9729" s="24" t="str">
        <f>IFERROR(VLOOKUP(B9729,material!A:D,3,0),"")</f>
        <v/>
      </c>
    </row>
    <row r="9730" ht="11.25" customHeight="1">
      <c r="A9730" s="21"/>
      <c r="B9730" s="22"/>
      <c r="C9730" s="21"/>
      <c r="D9730" s="21"/>
      <c r="E9730" s="21"/>
      <c r="F9730" s="21"/>
      <c r="G9730" s="25"/>
      <c r="H9730" s="24" t="str">
        <f>IFERROR(VLOOKUP(B9730,material!A:D,3,0),"")</f>
        <v/>
      </c>
    </row>
    <row r="9731" ht="11.25" customHeight="1">
      <c r="A9731" s="21"/>
      <c r="B9731" s="22"/>
      <c r="C9731" s="21"/>
      <c r="D9731" s="21"/>
      <c r="E9731" s="21"/>
      <c r="F9731" s="21"/>
      <c r="G9731" s="25"/>
      <c r="H9731" s="24" t="str">
        <f>IFERROR(VLOOKUP(B9731,material!A:D,3,0),"")</f>
        <v/>
      </c>
    </row>
    <row r="9732" ht="11.25" customHeight="1">
      <c r="A9732" s="21"/>
      <c r="B9732" s="22"/>
      <c r="C9732" s="21"/>
      <c r="D9732" s="21"/>
      <c r="E9732" s="21"/>
      <c r="F9732" s="21"/>
      <c r="G9732" s="25"/>
      <c r="H9732" s="24" t="str">
        <f>IFERROR(VLOOKUP(B9732,material!A:D,3,0),"")</f>
        <v/>
      </c>
    </row>
    <row r="9733" ht="11.25" customHeight="1">
      <c r="A9733" s="21"/>
      <c r="B9733" s="22"/>
      <c r="C9733" s="21"/>
      <c r="D9733" s="21"/>
      <c r="E9733" s="21"/>
      <c r="F9733" s="21"/>
      <c r="G9733" s="25"/>
      <c r="H9733" s="24" t="str">
        <f>IFERROR(VLOOKUP(B9733,material!A:D,3,0),"")</f>
        <v/>
      </c>
    </row>
    <row r="9734" ht="11.25" customHeight="1">
      <c r="A9734" s="21"/>
      <c r="B9734" s="22"/>
      <c r="C9734" s="21"/>
      <c r="D9734" s="21"/>
      <c r="E9734" s="21"/>
      <c r="F9734" s="21"/>
      <c r="G9734" s="25"/>
      <c r="H9734" s="24" t="str">
        <f>IFERROR(VLOOKUP(B9734,material!A:D,3,0),"")</f>
        <v/>
      </c>
    </row>
    <row r="9735" ht="11.25" customHeight="1">
      <c r="A9735" s="21"/>
      <c r="B9735" s="22"/>
      <c r="C9735" s="21"/>
      <c r="D9735" s="21"/>
      <c r="E9735" s="21"/>
      <c r="F9735" s="21"/>
      <c r="G9735" s="25"/>
      <c r="H9735" s="24" t="str">
        <f>IFERROR(VLOOKUP(B9735,material!A:D,3,0),"")</f>
        <v/>
      </c>
    </row>
    <row r="9736" ht="11.25" customHeight="1">
      <c r="A9736" s="21"/>
      <c r="B9736" s="22"/>
      <c r="C9736" s="21"/>
      <c r="D9736" s="21"/>
      <c r="E9736" s="21"/>
      <c r="F9736" s="21"/>
      <c r="G9736" s="25"/>
      <c r="H9736" s="24" t="str">
        <f>IFERROR(VLOOKUP(B9736,material!A:D,3,0),"")</f>
        <v/>
      </c>
    </row>
    <row r="9737" ht="11.25" customHeight="1">
      <c r="A9737" s="21"/>
      <c r="B9737" s="22"/>
      <c r="C9737" s="21"/>
      <c r="D9737" s="21"/>
      <c r="E9737" s="21"/>
      <c r="F9737" s="21"/>
      <c r="G9737" s="25"/>
      <c r="H9737" s="24" t="str">
        <f>IFERROR(VLOOKUP(B9737,material!A:D,3,0),"")</f>
        <v/>
      </c>
    </row>
    <row r="9738" ht="11.25" customHeight="1">
      <c r="A9738" s="21"/>
      <c r="B9738" s="22"/>
      <c r="C9738" s="21"/>
      <c r="D9738" s="21"/>
      <c r="E9738" s="21"/>
      <c r="F9738" s="21"/>
      <c r="G9738" s="25"/>
      <c r="H9738" s="24" t="str">
        <f>IFERROR(VLOOKUP(B9738,material!A:D,3,0),"")</f>
        <v/>
      </c>
    </row>
    <row r="9739" ht="11.25" customHeight="1">
      <c r="A9739" s="21"/>
      <c r="B9739" s="22"/>
      <c r="C9739" s="21"/>
      <c r="D9739" s="21"/>
      <c r="E9739" s="21"/>
      <c r="F9739" s="21"/>
      <c r="G9739" s="25"/>
      <c r="H9739" s="24" t="str">
        <f>IFERROR(VLOOKUP(B9739,material!A:D,3,0),"")</f>
        <v/>
      </c>
    </row>
    <row r="9740" ht="11.25" customHeight="1">
      <c r="A9740" s="21"/>
      <c r="B9740" s="22"/>
      <c r="C9740" s="21"/>
      <c r="D9740" s="21"/>
      <c r="E9740" s="21"/>
      <c r="F9740" s="21"/>
      <c r="G9740" s="25"/>
      <c r="H9740" s="24" t="str">
        <f>IFERROR(VLOOKUP(B9740,material!A:D,3,0),"")</f>
        <v/>
      </c>
    </row>
    <row r="9741" ht="11.25" customHeight="1">
      <c r="A9741" s="21"/>
      <c r="B9741" s="22"/>
      <c r="C9741" s="21"/>
      <c r="D9741" s="21"/>
      <c r="E9741" s="21"/>
      <c r="F9741" s="21"/>
      <c r="G9741" s="25"/>
      <c r="H9741" s="24" t="str">
        <f>IFERROR(VLOOKUP(B9741,material!A:D,3,0),"")</f>
        <v/>
      </c>
    </row>
    <row r="9742" ht="11.25" customHeight="1">
      <c r="A9742" s="21"/>
      <c r="B9742" s="22"/>
      <c r="C9742" s="21"/>
      <c r="D9742" s="21"/>
      <c r="E9742" s="21"/>
      <c r="F9742" s="21"/>
      <c r="G9742" s="25"/>
      <c r="H9742" s="24" t="str">
        <f>IFERROR(VLOOKUP(B9742,material!A:D,3,0),"")</f>
        <v/>
      </c>
    </row>
    <row r="9743" ht="11.25" customHeight="1">
      <c r="A9743" s="21"/>
      <c r="B9743" s="22"/>
      <c r="C9743" s="21"/>
      <c r="D9743" s="21"/>
      <c r="E9743" s="21"/>
      <c r="F9743" s="21"/>
      <c r="G9743" s="25"/>
      <c r="H9743" s="24" t="str">
        <f>IFERROR(VLOOKUP(B9743,material!A:D,3,0),"")</f>
        <v/>
      </c>
    </row>
    <row r="9744" ht="11.25" customHeight="1">
      <c r="A9744" s="21"/>
      <c r="B9744" s="22"/>
      <c r="C9744" s="21"/>
      <c r="D9744" s="21"/>
      <c r="E9744" s="21"/>
      <c r="F9744" s="21"/>
      <c r="G9744" s="25"/>
      <c r="H9744" s="24" t="str">
        <f>IFERROR(VLOOKUP(B9744,material!A:D,3,0),"")</f>
        <v/>
      </c>
    </row>
    <row r="9745" ht="11.25" customHeight="1">
      <c r="A9745" s="21"/>
      <c r="B9745" s="22"/>
      <c r="C9745" s="21"/>
      <c r="D9745" s="21"/>
      <c r="E9745" s="21"/>
      <c r="F9745" s="21"/>
      <c r="G9745" s="25"/>
      <c r="H9745" s="24" t="str">
        <f>IFERROR(VLOOKUP(B9745,material!A:D,3,0),"")</f>
        <v/>
      </c>
    </row>
    <row r="9746" ht="11.25" customHeight="1">
      <c r="A9746" s="21"/>
      <c r="B9746" s="22"/>
      <c r="C9746" s="21"/>
      <c r="D9746" s="21"/>
      <c r="E9746" s="21"/>
      <c r="F9746" s="21"/>
      <c r="G9746" s="25"/>
      <c r="H9746" s="24" t="str">
        <f>IFERROR(VLOOKUP(B9746,material!A:D,3,0),"")</f>
        <v/>
      </c>
    </row>
    <row r="9747" ht="11.25" customHeight="1">
      <c r="A9747" s="21"/>
      <c r="B9747" s="22"/>
      <c r="C9747" s="21"/>
      <c r="D9747" s="21"/>
      <c r="E9747" s="21"/>
      <c r="F9747" s="21"/>
      <c r="G9747" s="25"/>
      <c r="H9747" s="24" t="str">
        <f>IFERROR(VLOOKUP(B9747,material!A:D,3,0),"")</f>
        <v/>
      </c>
    </row>
    <row r="9748" ht="11.25" customHeight="1">
      <c r="A9748" s="21"/>
      <c r="B9748" s="22"/>
      <c r="C9748" s="21"/>
      <c r="D9748" s="21"/>
      <c r="E9748" s="21"/>
      <c r="F9748" s="21"/>
      <c r="G9748" s="25"/>
      <c r="H9748" s="24" t="str">
        <f>IFERROR(VLOOKUP(B9748,material!A:D,3,0),"")</f>
        <v/>
      </c>
    </row>
    <row r="9749" ht="11.25" customHeight="1">
      <c r="A9749" s="21"/>
      <c r="B9749" s="22"/>
      <c r="C9749" s="21"/>
      <c r="D9749" s="21"/>
      <c r="E9749" s="21"/>
      <c r="F9749" s="21"/>
      <c r="G9749" s="25"/>
      <c r="H9749" s="24" t="str">
        <f>IFERROR(VLOOKUP(B9749,material!A:D,3,0),"")</f>
        <v/>
      </c>
    </row>
    <row r="9750" ht="11.25" customHeight="1">
      <c r="A9750" s="21"/>
      <c r="B9750" s="22"/>
      <c r="C9750" s="21"/>
      <c r="D9750" s="21"/>
      <c r="E9750" s="21"/>
      <c r="F9750" s="21"/>
      <c r="G9750" s="25"/>
      <c r="H9750" s="24" t="str">
        <f>IFERROR(VLOOKUP(B9750,material!A:D,3,0),"")</f>
        <v/>
      </c>
    </row>
    <row r="9751" ht="11.25" customHeight="1">
      <c r="A9751" s="21"/>
      <c r="B9751" s="22"/>
      <c r="C9751" s="21"/>
      <c r="D9751" s="21"/>
      <c r="E9751" s="21"/>
      <c r="F9751" s="21"/>
      <c r="G9751" s="25"/>
      <c r="H9751" s="24" t="str">
        <f>IFERROR(VLOOKUP(B9751,material!A:D,3,0),"")</f>
        <v/>
      </c>
    </row>
    <row r="9752" ht="11.25" customHeight="1">
      <c r="A9752" s="21"/>
      <c r="B9752" s="22"/>
      <c r="C9752" s="21"/>
      <c r="D9752" s="21"/>
      <c r="E9752" s="21"/>
      <c r="F9752" s="21"/>
      <c r="G9752" s="25"/>
      <c r="H9752" s="24" t="str">
        <f>IFERROR(VLOOKUP(B9752,material!A:D,3,0),"")</f>
        <v/>
      </c>
    </row>
    <row r="9753" ht="11.25" customHeight="1">
      <c r="A9753" s="21"/>
      <c r="B9753" s="22"/>
      <c r="C9753" s="21"/>
      <c r="D9753" s="21"/>
      <c r="E9753" s="21"/>
      <c r="F9753" s="21"/>
      <c r="G9753" s="25"/>
      <c r="H9753" s="24" t="str">
        <f>IFERROR(VLOOKUP(B9753,material!A:D,3,0),"")</f>
        <v/>
      </c>
    </row>
    <row r="9754" ht="11.25" customHeight="1">
      <c r="A9754" s="21"/>
      <c r="B9754" s="22"/>
      <c r="C9754" s="21"/>
      <c r="D9754" s="21"/>
      <c r="E9754" s="21"/>
      <c r="F9754" s="21"/>
      <c r="G9754" s="25"/>
      <c r="H9754" s="24" t="str">
        <f>IFERROR(VLOOKUP(B9754,material!A:D,3,0),"")</f>
        <v/>
      </c>
    </row>
    <row r="9755" ht="11.25" customHeight="1">
      <c r="A9755" s="21"/>
      <c r="B9755" s="22"/>
      <c r="C9755" s="21"/>
      <c r="D9755" s="21"/>
      <c r="E9755" s="21"/>
      <c r="F9755" s="21"/>
      <c r="G9755" s="25"/>
      <c r="H9755" s="24" t="str">
        <f>IFERROR(VLOOKUP(B9755,material!A:D,3,0),"")</f>
        <v/>
      </c>
    </row>
    <row r="9756" ht="11.25" customHeight="1">
      <c r="A9756" s="21"/>
      <c r="B9756" s="22"/>
      <c r="C9756" s="21"/>
      <c r="D9756" s="21"/>
      <c r="E9756" s="21"/>
      <c r="F9756" s="21"/>
      <c r="G9756" s="25"/>
      <c r="H9756" s="24" t="str">
        <f>IFERROR(VLOOKUP(B9756,material!A:D,3,0),"")</f>
        <v/>
      </c>
    </row>
    <row r="9757" ht="11.25" customHeight="1">
      <c r="A9757" s="21"/>
      <c r="B9757" s="22"/>
      <c r="C9757" s="21"/>
      <c r="D9757" s="21"/>
      <c r="E9757" s="21"/>
      <c r="F9757" s="21"/>
      <c r="G9757" s="25"/>
      <c r="H9757" s="24" t="str">
        <f>IFERROR(VLOOKUP(B9757,material!A:D,3,0),"")</f>
        <v/>
      </c>
    </row>
    <row r="9758" ht="11.25" customHeight="1">
      <c r="A9758" s="21"/>
      <c r="B9758" s="22"/>
      <c r="C9758" s="21"/>
      <c r="D9758" s="21"/>
      <c r="E9758" s="21"/>
      <c r="F9758" s="21"/>
      <c r="G9758" s="25"/>
      <c r="H9758" s="24" t="str">
        <f>IFERROR(VLOOKUP(B9758,material!A:D,3,0),"")</f>
        <v/>
      </c>
    </row>
    <row r="9759" ht="11.25" customHeight="1">
      <c r="A9759" s="21"/>
      <c r="B9759" s="22"/>
      <c r="C9759" s="21"/>
      <c r="D9759" s="21"/>
      <c r="E9759" s="21"/>
      <c r="F9759" s="21"/>
      <c r="G9759" s="25"/>
      <c r="H9759" s="24" t="str">
        <f>IFERROR(VLOOKUP(B9759,material!A:D,3,0),"")</f>
        <v/>
      </c>
    </row>
    <row r="9760" ht="11.25" customHeight="1">
      <c r="A9760" s="21"/>
      <c r="B9760" s="22"/>
      <c r="C9760" s="21"/>
      <c r="D9760" s="21"/>
      <c r="E9760" s="21"/>
      <c r="F9760" s="21"/>
      <c r="G9760" s="25"/>
      <c r="H9760" s="24" t="str">
        <f>IFERROR(VLOOKUP(B9760,material!A:D,3,0),"")</f>
        <v/>
      </c>
    </row>
    <row r="9761" ht="11.25" customHeight="1">
      <c r="A9761" s="21"/>
      <c r="B9761" s="22"/>
      <c r="C9761" s="21"/>
      <c r="D9761" s="21"/>
      <c r="E9761" s="21"/>
      <c r="F9761" s="21"/>
      <c r="G9761" s="25"/>
      <c r="H9761" s="24" t="str">
        <f>IFERROR(VLOOKUP(B9761,material!A:D,3,0),"")</f>
        <v/>
      </c>
    </row>
    <row r="9762" ht="11.25" customHeight="1">
      <c r="A9762" s="21"/>
      <c r="B9762" s="22"/>
      <c r="C9762" s="21"/>
      <c r="D9762" s="21"/>
      <c r="E9762" s="21"/>
      <c r="F9762" s="21"/>
      <c r="G9762" s="25"/>
      <c r="H9762" s="24" t="str">
        <f>IFERROR(VLOOKUP(B9762,material!A:D,3,0),"")</f>
        <v/>
      </c>
    </row>
    <row r="9763" ht="11.25" customHeight="1">
      <c r="A9763" s="21"/>
      <c r="B9763" s="22"/>
      <c r="C9763" s="21"/>
      <c r="D9763" s="21"/>
      <c r="E9763" s="21"/>
      <c r="F9763" s="21"/>
      <c r="G9763" s="25"/>
      <c r="H9763" s="24" t="str">
        <f>IFERROR(VLOOKUP(B9763,material!A:D,3,0),"")</f>
        <v/>
      </c>
    </row>
    <row r="9764" ht="11.25" customHeight="1">
      <c r="A9764" s="21"/>
      <c r="B9764" s="22"/>
      <c r="C9764" s="21"/>
      <c r="D9764" s="21"/>
      <c r="E9764" s="21"/>
      <c r="F9764" s="21"/>
      <c r="G9764" s="25"/>
      <c r="H9764" s="24" t="str">
        <f>IFERROR(VLOOKUP(B9764,material!A:D,3,0),"")</f>
        <v/>
      </c>
    </row>
    <row r="9765" ht="11.25" customHeight="1">
      <c r="A9765" s="21"/>
      <c r="B9765" s="22"/>
      <c r="C9765" s="21"/>
      <c r="D9765" s="21"/>
      <c r="E9765" s="21"/>
      <c r="F9765" s="21"/>
      <c r="G9765" s="25"/>
      <c r="H9765" s="24" t="str">
        <f>IFERROR(VLOOKUP(B9765,material!A:D,3,0),"")</f>
        <v/>
      </c>
    </row>
    <row r="9766" ht="11.25" customHeight="1">
      <c r="A9766" s="21"/>
      <c r="B9766" s="22"/>
      <c r="C9766" s="21"/>
      <c r="D9766" s="21"/>
      <c r="E9766" s="21"/>
      <c r="F9766" s="21"/>
      <c r="G9766" s="25"/>
      <c r="H9766" s="24" t="str">
        <f>IFERROR(VLOOKUP(B9766,material!A:D,3,0),"")</f>
        <v/>
      </c>
    </row>
    <row r="9767" ht="11.25" customHeight="1">
      <c r="A9767" s="21"/>
      <c r="B9767" s="22"/>
      <c r="C9767" s="21"/>
      <c r="D9767" s="21"/>
      <c r="E9767" s="21"/>
      <c r="F9767" s="21"/>
      <c r="G9767" s="25"/>
      <c r="H9767" s="24" t="str">
        <f>IFERROR(VLOOKUP(B9767,material!A:D,3,0),"")</f>
        <v/>
      </c>
    </row>
    <row r="9768" ht="11.25" customHeight="1">
      <c r="A9768" s="21"/>
      <c r="B9768" s="22"/>
      <c r="C9768" s="21"/>
      <c r="D9768" s="21"/>
      <c r="E9768" s="21"/>
      <c r="F9768" s="21"/>
      <c r="G9768" s="25"/>
      <c r="H9768" s="24" t="str">
        <f>IFERROR(VLOOKUP(B9768,material!A:D,3,0),"")</f>
        <v/>
      </c>
    </row>
    <row r="9769" ht="11.25" customHeight="1">
      <c r="A9769" s="21"/>
      <c r="B9769" s="22"/>
      <c r="C9769" s="21"/>
      <c r="D9769" s="21"/>
      <c r="E9769" s="21"/>
      <c r="F9769" s="21"/>
      <c r="G9769" s="25"/>
      <c r="H9769" s="24" t="str">
        <f>IFERROR(VLOOKUP(B9769,material!A:D,3,0),"")</f>
        <v/>
      </c>
    </row>
    <row r="9770" ht="11.25" customHeight="1">
      <c r="A9770" s="21"/>
      <c r="B9770" s="22"/>
      <c r="C9770" s="21"/>
      <c r="D9770" s="21"/>
      <c r="E9770" s="21"/>
      <c r="F9770" s="21"/>
      <c r="G9770" s="25"/>
      <c r="H9770" s="24" t="str">
        <f>IFERROR(VLOOKUP(B9770,material!A:D,3,0),"")</f>
        <v/>
      </c>
    </row>
    <row r="9771" ht="11.25" customHeight="1">
      <c r="A9771" s="21"/>
      <c r="B9771" s="22"/>
      <c r="C9771" s="21"/>
      <c r="D9771" s="21"/>
      <c r="E9771" s="21"/>
      <c r="F9771" s="21"/>
      <c r="G9771" s="25"/>
      <c r="H9771" s="24" t="str">
        <f>IFERROR(VLOOKUP(B9771,material!A:D,3,0),"")</f>
        <v/>
      </c>
    </row>
    <row r="9772" ht="11.25" customHeight="1">
      <c r="A9772" s="21"/>
      <c r="B9772" s="22"/>
      <c r="C9772" s="21"/>
      <c r="D9772" s="21"/>
      <c r="E9772" s="21"/>
      <c r="F9772" s="21"/>
      <c r="G9772" s="25"/>
      <c r="H9772" s="24" t="str">
        <f>IFERROR(VLOOKUP(B9772,material!A:D,3,0),"")</f>
        <v/>
      </c>
    </row>
    <row r="9773" ht="11.25" customHeight="1">
      <c r="A9773" s="21"/>
      <c r="B9773" s="22"/>
      <c r="C9773" s="21"/>
      <c r="D9773" s="21"/>
      <c r="E9773" s="21"/>
      <c r="F9773" s="21"/>
      <c r="G9773" s="25"/>
      <c r="H9773" s="24" t="str">
        <f>IFERROR(VLOOKUP(B9773,material!A:D,3,0),"")</f>
        <v/>
      </c>
    </row>
    <row r="9774" ht="11.25" customHeight="1">
      <c r="A9774" s="21"/>
      <c r="B9774" s="22"/>
      <c r="C9774" s="21"/>
      <c r="D9774" s="21"/>
      <c r="E9774" s="21"/>
      <c r="F9774" s="21"/>
      <c r="G9774" s="25"/>
      <c r="H9774" s="24" t="str">
        <f>IFERROR(VLOOKUP(B9774,material!A:D,3,0),"")</f>
        <v/>
      </c>
    </row>
    <row r="9775" ht="11.25" customHeight="1">
      <c r="A9775" s="21"/>
      <c r="B9775" s="22"/>
      <c r="C9775" s="21"/>
      <c r="D9775" s="21"/>
      <c r="E9775" s="21"/>
      <c r="F9775" s="21"/>
      <c r="G9775" s="25"/>
      <c r="H9775" s="24" t="str">
        <f>IFERROR(VLOOKUP(B9775,material!A:D,3,0),"")</f>
        <v/>
      </c>
    </row>
    <row r="9776" ht="11.25" customHeight="1">
      <c r="A9776" s="21"/>
      <c r="B9776" s="22"/>
      <c r="C9776" s="21"/>
      <c r="D9776" s="21"/>
      <c r="E9776" s="21"/>
      <c r="F9776" s="21"/>
      <c r="G9776" s="25"/>
      <c r="H9776" s="24" t="str">
        <f>IFERROR(VLOOKUP(B9776,material!A:D,3,0),"")</f>
        <v/>
      </c>
    </row>
    <row r="9777" ht="11.25" customHeight="1">
      <c r="A9777" s="21"/>
      <c r="B9777" s="22"/>
      <c r="C9777" s="21"/>
      <c r="D9777" s="21"/>
      <c r="E9777" s="21"/>
      <c r="F9777" s="21"/>
      <c r="G9777" s="25"/>
      <c r="H9777" s="24" t="str">
        <f>IFERROR(VLOOKUP(B9777,material!A:D,3,0),"")</f>
        <v/>
      </c>
    </row>
    <row r="9778" ht="11.25" customHeight="1">
      <c r="A9778" s="21"/>
      <c r="B9778" s="22"/>
      <c r="C9778" s="21"/>
      <c r="D9778" s="21"/>
      <c r="E9778" s="21"/>
      <c r="F9778" s="21"/>
      <c r="G9778" s="25"/>
      <c r="H9778" s="24" t="str">
        <f>IFERROR(VLOOKUP(B9778,material!A:D,3,0),"")</f>
        <v/>
      </c>
    </row>
    <row r="9779" ht="11.25" customHeight="1">
      <c r="A9779" s="21"/>
      <c r="B9779" s="22"/>
      <c r="C9779" s="21"/>
      <c r="D9779" s="21"/>
      <c r="E9779" s="21"/>
      <c r="F9779" s="21"/>
      <c r="G9779" s="25"/>
      <c r="H9779" s="24" t="str">
        <f>IFERROR(VLOOKUP(B9779,material!A:D,3,0),"")</f>
        <v/>
      </c>
    </row>
    <row r="9780" ht="11.25" customHeight="1">
      <c r="A9780" s="21"/>
      <c r="B9780" s="22"/>
      <c r="C9780" s="21"/>
      <c r="D9780" s="21"/>
      <c r="E9780" s="21"/>
      <c r="F9780" s="21"/>
      <c r="G9780" s="25"/>
      <c r="H9780" s="24" t="str">
        <f>IFERROR(VLOOKUP(B9780,material!A:D,3,0),"")</f>
        <v/>
      </c>
    </row>
    <row r="9781" ht="11.25" customHeight="1">
      <c r="A9781" s="21"/>
      <c r="B9781" s="22"/>
      <c r="C9781" s="21"/>
      <c r="D9781" s="21"/>
      <c r="E9781" s="21"/>
      <c r="F9781" s="21"/>
      <c r="G9781" s="25"/>
      <c r="H9781" s="24" t="str">
        <f>IFERROR(VLOOKUP(B9781,material!A:D,3,0),"")</f>
        <v/>
      </c>
    </row>
    <row r="9782" ht="11.25" customHeight="1">
      <c r="A9782" s="21"/>
      <c r="B9782" s="22"/>
      <c r="C9782" s="21"/>
      <c r="D9782" s="21"/>
      <c r="E9782" s="21"/>
      <c r="F9782" s="21"/>
      <c r="G9782" s="25"/>
      <c r="H9782" s="24" t="str">
        <f>IFERROR(VLOOKUP(B9782,material!A:D,3,0),"")</f>
        <v/>
      </c>
    </row>
    <row r="9783" ht="11.25" customHeight="1">
      <c r="A9783" s="21"/>
      <c r="B9783" s="22"/>
      <c r="C9783" s="21"/>
      <c r="D9783" s="21"/>
      <c r="E9783" s="21"/>
      <c r="F9783" s="21"/>
      <c r="G9783" s="25"/>
      <c r="H9783" s="24" t="str">
        <f>IFERROR(VLOOKUP(B9783,material!A:D,3,0),"")</f>
        <v/>
      </c>
    </row>
    <row r="9784" ht="11.25" customHeight="1">
      <c r="A9784" s="21"/>
      <c r="B9784" s="22"/>
      <c r="C9784" s="21"/>
      <c r="D9784" s="21"/>
      <c r="E9784" s="21"/>
      <c r="F9784" s="21"/>
      <c r="G9784" s="25"/>
      <c r="H9784" s="24" t="str">
        <f>IFERROR(VLOOKUP(B9784,material!A:D,3,0),"")</f>
        <v/>
      </c>
    </row>
    <row r="9785" ht="11.25" customHeight="1">
      <c r="A9785" s="21"/>
      <c r="B9785" s="22"/>
      <c r="C9785" s="21"/>
      <c r="D9785" s="21"/>
      <c r="E9785" s="21"/>
      <c r="F9785" s="21"/>
      <c r="G9785" s="25"/>
      <c r="H9785" s="24" t="str">
        <f>IFERROR(VLOOKUP(B9785,material!A:D,3,0),"")</f>
        <v/>
      </c>
    </row>
    <row r="9786" ht="11.25" customHeight="1">
      <c r="A9786" s="21"/>
      <c r="B9786" s="22"/>
      <c r="C9786" s="21"/>
      <c r="D9786" s="21"/>
      <c r="E9786" s="21"/>
      <c r="F9786" s="21"/>
      <c r="G9786" s="25"/>
      <c r="H9786" s="24" t="str">
        <f>IFERROR(VLOOKUP(B9786,material!A:D,3,0),"")</f>
        <v/>
      </c>
    </row>
    <row r="9787" ht="11.25" customHeight="1">
      <c r="A9787" s="21"/>
      <c r="B9787" s="22"/>
      <c r="C9787" s="21"/>
      <c r="D9787" s="21"/>
      <c r="E9787" s="21"/>
      <c r="F9787" s="21"/>
      <c r="G9787" s="25"/>
      <c r="H9787" s="24" t="str">
        <f>IFERROR(VLOOKUP(B9787,material!A:D,3,0),"")</f>
        <v/>
      </c>
    </row>
    <row r="9788" ht="11.25" customHeight="1">
      <c r="A9788" s="21"/>
      <c r="B9788" s="22"/>
      <c r="C9788" s="21"/>
      <c r="D9788" s="21"/>
      <c r="E9788" s="21"/>
      <c r="F9788" s="21"/>
      <c r="G9788" s="25"/>
      <c r="H9788" s="24" t="str">
        <f>IFERROR(VLOOKUP(B9788,material!A:D,3,0),"")</f>
        <v/>
      </c>
    </row>
    <row r="9789" ht="11.25" customHeight="1">
      <c r="A9789" s="21"/>
      <c r="B9789" s="22"/>
      <c r="C9789" s="21"/>
      <c r="D9789" s="21"/>
      <c r="E9789" s="21"/>
      <c r="F9789" s="21"/>
      <c r="G9789" s="25"/>
      <c r="H9789" s="24" t="str">
        <f>IFERROR(VLOOKUP(B9789,material!A:D,3,0),"")</f>
        <v/>
      </c>
    </row>
    <row r="9790" ht="11.25" customHeight="1">
      <c r="A9790" s="21"/>
      <c r="B9790" s="22"/>
      <c r="C9790" s="21"/>
      <c r="D9790" s="21"/>
      <c r="E9790" s="21"/>
      <c r="F9790" s="21"/>
      <c r="G9790" s="25"/>
      <c r="H9790" s="24" t="str">
        <f>IFERROR(VLOOKUP(B9790,material!A:D,3,0),"")</f>
        <v/>
      </c>
    </row>
    <row r="9791" ht="11.25" customHeight="1">
      <c r="A9791" s="21"/>
      <c r="B9791" s="22"/>
      <c r="C9791" s="21"/>
      <c r="D9791" s="21"/>
      <c r="E9791" s="21"/>
      <c r="F9791" s="21"/>
      <c r="G9791" s="25"/>
      <c r="H9791" s="24" t="str">
        <f>IFERROR(VLOOKUP(B9791,material!A:D,3,0),"")</f>
        <v/>
      </c>
    </row>
    <row r="9792" ht="11.25" customHeight="1">
      <c r="A9792" s="21"/>
      <c r="B9792" s="22"/>
      <c r="C9792" s="21"/>
      <c r="D9792" s="21"/>
      <c r="E9792" s="21"/>
      <c r="F9792" s="21"/>
      <c r="G9792" s="25"/>
      <c r="H9792" s="24" t="str">
        <f>IFERROR(VLOOKUP(B9792,material!A:D,3,0),"")</f>
        <v/>
      </c>
    </row>
    <row r="9793" ht="11.25" customHeight="1">
      <c r="A9793" s="21"/>
      <c r="B9793" s="22"/>
      <c r="C9793" s="21"/>
      <c r="D9793" s="21"/>
      <c r="E9793" s="21"/>
      <c r="F9793" s="21"/>
      <c r="G9793" s="25"/>
      <c r="H9793" s="24" t="str">
        <f>IFERROR(VLOOKUP(B9793,material!A:D,3,0),"")</f>
        <v/>
      </c>
    </row>
    <row r="9794" ht="11.25" customHeight="1">
      <c r="A9794" s="21"/>
      <c r="B9794" s="22"/>
      <c r="C9794" s="21"/>
      <c r="D9794" s="21"/>
      <c r="E9794" s="21"/>
      <c r="F9794" s="21"/>
      <c r="G9794" s="25"/>
      <c r="H9794" s="24" t="str">
        <f>IFERROR(VLOOKUP(B9794,material!A:D,3,0),"")</f>
        <v/>
      </c>
    </row>
    <row r="9795" ht="11.25" customHeight="1">
      <c r="A9795" s="21"/>
      <c r="B9795" s="22"/>
      <c r="C9795" s="21"/>
      <c r="D9795" s="21"/>
      <c r="E9795" s="21"/>
      <c r="F9795" s="21"/>
      <c r="G9795" s="25"/>
      <c r="H9795" s="24" t="str">
        <f>IFERROR(VLOOKUP(B9795,material!A:D,3,0),"")</f>
        <v/>
      </c>
    </row>
    <row r="9796" ht="11.25" customHeight="1">
      <c r="A9796" s="21"/>
      <c r="B9796" s="22"/>
      <c r="C9796" s="21"/>
      <c r="D9796" s="21"/>
      <c r="E9796" s="21"/>
      <c r="F9796" s="21"/>
      <c r="G9796" s="25"/>
      <c r="H9796" s="24" t="str">
        <f>IFERROR(VLOOKUP(B9796,material!A:D,3,0),"")</f>
        <v/>
      </c>
    </row>
    <row r="9797" ht="11.25" customHeight="1">
      <c r="A9797" s="21"/>
      <c r="B9797" s="22"/>
      <c r="C9797" s="21"/>
      <c r="D9797" s="21"/>
      <c r="E9797" s="21"/>
      <c r="F9797" s="21"/>
      <c r="G9797" s="25"/>
      <c r="H9797" s="24" t="str">
        <f>IFERROR(VLOOKUP(B9797,material!A:D,3,0),"")</f>
        <v/>
      </c>
    </row>
    <row r="9798" ht="11.25" customHeight="1">
      <c r="A9798" s="21"/>
      <c r="B9798" s="22"/>
      <c r="C9798" s="21"/>
      <c r="D9798" s="21"/>
      <c r="E9798" s="21"/>
      <c r="F9798" s="21"/>
      <c r="G9798" s="25"/>
      <c r="H9798" s="24" t="str">
        <f>IFERROR(VLOOKUP(B9798,material!A:D,3,0),"")</f>
        <v/>
      </c>
    </row>
    <row r="9799" ht="11.25" customHeight="1">
      <c r="A9799" s="21"/>
      <c r="B9799" s="22"/>
      <c r="C9799" s="21"/>
      <c r="D9799" s="21"/>
      <c r="E9799" s="21"/>
      <c r="F9799" s="21"/>
      <c r="G9799" s="25"/>
      <c r="H9799" s="24" t="str">
        <f>IFERROR(VLOOKUP(B9799,material!A:D,3,0),"")</f>
        <v/>
      </c>
    </row>
    <row r="9800" ht="11.25" customHeight="1">
      <c r="A9800" s="21"/>
      <c r="B9800" s="22"/>
      <c r="C9800" s="21"/>
      <c r="D9800" s="21"/>
      <c r="E9800" s="21"/>
      <c r="F9800" s="21"/>
      <c r="G9800" s="25"/>
      <c r="H9800" s="24" t="str">
        <f>IFERROR(VLOOKUP(B9800,material!A:D,3,0),"")</f>
        <v/>
      </c>
    </row>
    <row r="9801" ht="11.25" customHeight="1">
      <c r="A9801" s="21"/>
      <c r="B9801" s="22"/>
      <c r="C9801" s="21"/>
      <c r="D9801" s="21"/>
      <c r="E9801" s="21"/>
      <c r="F9801" s="21"/>
      <c r="G9801" s="25"/>
      <c r="H9801" s="24" t="str">
        <f>IFERROR(VLOOKUP(B9801,material!A:D,3,0),"")</f>
        <v/>
      </c>
    </row>
    <row r="9802" ht="11.25" customHeight="1">
      <c r="A9802" s="21"/>
      <c r="B9802" s="22"/>
      <c r="C9802" s="21"/>
      <c r="D9802" s="21"/>
      <c r="E9802" s="21"/>
      <c r="F9802" s="21"/>
      <c r="G9802" s="25"/>
      <c r="H9802" s="24" t="str">
        <f>IFERROR(VLOOKUP(B9802,material!A:D,3,0),"")</f>
        <v/>
      </c>
    </row>
    <row r="9803" ht="11.25" customHeight="1">
      <c r="A9803" s="21"/>
      <c r="B9803" s="22"/>
      <c r="C9803" s="21"/>
      <c r="D9803" s="21"/>
      <c r="E9803" s="21"/>
      <c r="F9803" s="21"/>
      <c r="G9803" s="25"/>
      <c r="H9803" s="24" t="str">
        <f>IFERROR(VLOOKUP(B9803,material!A:D,3,0),"")</f>
        <v/>
      </c>
    </row>
    <row r="9804" ht="11.25" customHeight="1">
      <c r="A9804" s="21"/>
      <c r="B9804" s="22"/>
      <c r="C9804" s="21"/>
      <c r="D9804" s="21"/>
      <c r="E9804" s="21"/>
      <c r="F9804" s="21"/>
      <c r="G9804" s="25"/>
      <c r="H9804" s="24" t="str">
        <f>IFERROR(VLOOKUP(B9804,material!A:D,3,0),"")</f>
        <v/>
      </c>
    </row>
    <row r="9805" ht="11.25" customHeight="1">
      <c r="A9805" s="21"/>
      <c r="B9805" s="22"/>
      <c r="C9805" s="21"/>
      <c r="D9805" s="21"/>
      <c r="E9805" s="21"/>
      <c r="F9805" s="21"/>
      <c r="G9805" s="25"/>
      <c r="H9805" s="24" t="str">
        <f>IFERROR(VLOOKUP(B9805,material!A:D,3,0),"")</f>
        <v/>
      </c>
    </row>
    <row r="9806" ht="11.25" customHeight="1">
      <c r="A9806" s="21"/>
      <c r="B9806" s="22"/>
      <c r="C9806" s="21"/>
      <c r="D9806" s="21"/>
      <c r="E9806" s="21"/>
      <c r="F9806" s="21"/>
      <c r="G9806" s="25"/>
      <c r="H9806" s="24" t="str">
        <f>IFERROR(VLOOKUP(B9806,material!A:D,3,0),"")</f>
        <v/>
      </c>
    </row>
    <row r="9807" ht="11.25" customHeight="1">
      <c r="A9807" s="21"/>
      <c r="B9807" s="22"/>
      <c r="C9807" s="21"/>
      <c r="D9807" s="21"/>
      <c r="E9807" s="21"/>
      <c r="F9807" s="21"/>
      <c r="G9807" s="25"/>
      <c r="H9807" s="24" t="str">
        <f>IFERROR(VLOOKUP(B9807,material!A:D,3,0),"")</f>
        <v/>
      </c>
    </row>
    <row r="9808" ht="11.25" customHeight="1">
      <c r="A9808" s="21"/>
      <c r="B9808" s="22"/>
      <c r="C9808" s="21"/>
      <c r="D9808" s="21"/>
      <c r="E9808" s="21"/>
      <c r="F9808" s="21"/>
      <c r="G9808" s="25"/>
      <c r="H9808" s="24" t="str">
        <f>IFERROR(VLOOKUP(B9808,material!A:D,3,0),"")</f>
        <v/>
      </c>
    </row>
    <row r="9809" ht="11.25" customHeight="1">
      <c r="A9809" s="21"/>
      <c r="B9809" s="22"/>
      <c r="C9809" s="21"/>
      <c r="D9809" s="21"/>
      <c r="E9809" s="21"/>
      <c r="F9809" s="21"/>
      <c r="G9809" s="25"/>
      <c r="H9809" s="24" t="str">
        <f>IFERROR(VLOOKUP(B9809,material!A:D,3,0),"")</f>
        <v/>
      </c>
    </row>
    <row r="9810" ht="11.25" customHeight="1">
      <c r="A9810" s="21"/>
      <c r="B9810" s="22"/>
      <c r="C9810" s="21"/>
      <c r="D9810" s="21"/>
      <c r="E9810" s="21"/>
      <c r="F9810" s="21"/>
      <c r="G9810" s="25"/>
      <c r="H9810" s="24" t="str">
        <f>IFERROR(VLOOKUP(B9810,material!A:D,3,0),"")</f>
        <v/>
      </c>
    </row>
    <row r="9811" ht="11.25" customHeight="1">
      <c r="A9811" s="21"/>
      <c r="B9811" s="22"/>
      <c r="C9811" s="21"/>
      <c r="D9811" s="21"/>
      <c r="E9811" s="21"/>
      <c r="F9811" s="21"/>
      <c r="G9811" s="25"/>
      <c r="H9811" s="24" t="str">
        <f>IFERROR(VLOOKUP(B9811,material!A:D,3,0),"")</f>
        <v/>
      </c>
    </row>
    <row r="9812" ht="11.25" customHeight="1">
      <c r="A9812" s="21"/>
      <c r="B9812" s="22"/>
      <c r="C9812" s="21"/>
      <c r="D9812" s="21"/>
      <c r="E9812" s="21"/>
      <c r="F9812" s="21"/>
      <c r="G9812" s="25"/>
      <c r="H9812" s="24" t="str">
        <f>IFERROR(VLOOKUP(B9812,material!A:D,3,0),"")</f>
        <v/>
      </c>
    </row>
    <row r="9813" ht="11.25" customHeight="1">
      <c r="A9813" s="21"/>
      <c r="B9813" s="22"/>
      <c r="C9813" s="21"/>
      <c r="D9813" s="21"/>
      <c r="E9813" s="21"/>
      <c r="F9813" s="21"/>
      <c r="G9813" s="25"/>
      <c r="H9813" s="24" t="str">
        <f>IFERROR(VLOOKUP(B9813,material!A:D,3,0),"")</f>
        <v/>
      </c>
    </row>
    <row r="9814" ht="11.25" customHeight="1">
      <c r="A9814" s="21"/>
      <c r="B9814" s="22"/>
      <c r="C9814" s="21"/>
      <c r="D9814" s="21"/>
      <c r="E9814" s="21"/>
      <c r="F9814" s="21"/>
      <c r="G9814" s="25"/>
      <c r="H9814" s="24" t="str">
        <f>IFERROR(VLOOKUP(B9814,material!A:D,3,0),"")</f>
        <v/>
      </c>
    </row>
    <row r="9815" ht="11.25" customHeight="1">
      <c r="A9815" s="21"/>
      <c r="B9815" s="22"/>
      <c r="C9815" s="21"/>
      <c r="D9815" s="21"/>
      <c r="E9815" s="21"/>
      <c r="F9815" s="21"/>
      <c r="G9815" s="25"/>
      <c r="H9815" s="24" t="str">
        <f>IFERROR(VLOOKUP(B9815,material!A:D,3,0),"")</f>
        <v/>
      </c>
    </row>
    <row r="9816" ht="11.25" customHeight="1">
      <c r="A9816" s="21"/>
      <c r="B9816" s="22"/>
      <c r="C9816" s="21"/>
      <c r="D9816" s="21"/>
      <c r="E9816" s="21"/>
      <c r="F9816" s="21"/>
      <c r="G9816" s="25"/>
      <c r="H9816" s="24" t="str">
        <f>IFERROR(VLOOKUP(B9816,material!A:D,3,0),"")</f>
        <v/>
      </c>
    </row>
    <row r="9817" ht="11.25" customHeight="1">
      <c r="A9817" s="21"/>
      <c r="B9817" s="22"/>
      <c r="C9817" s="21"/>
      <c r="D9817" s="21"/>
      <c r="E9817" s="21"/>
      <c r="F9817" s="21"/>
      <c r="G9817" s="25"/>
      <c r="H9817" s="24" t="str">
        <f>IFERROR(VLOOKUP(B9817,material!A:D,3,0),"")</f>
        <v/>
      </c>
    </row>
    <row r="9818" ht="11.25" customHeight="1">
      <c r="A9818" s="21"/>
      <c r="B9818" s="22"/>
      <c r="C9818" s="21"/>
      <c r="D9818" s="21"/>
      <c r="E9818" s="21"/>
      <c r="F9818" s="21"/>
      <c r="G9818" s="25"/>
      <c r="H9818" s="24" t="str">
        <f>IFERROR(VLOOKUP(B9818,material!A:D,3,0),"")</f>
        <v/>
      </c>
    </row>
    <row r="9819" ht="11.25" customHeight="1">
      <c r="A9819" s="21"/>
      <c r="B9819" s="22"/>
      <c r="C9819" s="21"/>
      <c r="D9819" s="21"/>
      <c r="E9819" s="21"/>
      <c r="F9819" s="21"/>
      <c r="G9819" s="25"/>
      <c r="H9819" s="24" t="str">
        <f>IFERROR(VLOOKUP(B9819,material!A:D,3,0),"")</f>
        <v/>
      </c>
    </row>
    <row r="9820" ht="11.25" customHeight="1">
      <c r="A9820" s="21"/>
      <c r="B9820" s="22"/>
      <c r="C9820" s="21"/>
      <c r="D9820" s="21"/>
      <c r="E9820" s="21"/>
      <c r="F9820" s="21"/>
      <c r="G9820" s="25"/>
      <c r="H9820" s="24" t="str">
        <f>IFERROR(VLOOKUP(B9820,material!A:D,3,0),"")</f>
        <v/>
      </c>
    </row>
    <row r="9821" ht="11.25" customHeight="1">
      <c r="A9821" s="21"/>
      <c r="B9821" s="22"/>
      <c r="C9821" s="21"/>
      <c r="D9821" s="21"/>
      <c r="E9821" s="21"/>
      <c r="F9821" s="21"/>
      <c r="G9821" s="25"/>
      <c r="H9821" s="24" t="str">
        <f>IFERROR(VLOOKUP(B9821,material!A:D,3,0),"")</f>
        <v/>
      </c>
    </row>
    <row r="9822" ht="11.25" customHeight="1">
      <c r="A9822" s="21"/>
      <c r="B9822" s="22"/>
      <c r="C9822" s="21"/>
      <c r="D9822" s="21"/>
      <c r="E9822" s="21"/>
      <c r="F9822" s="21"/>
      <c r="G9822" s="25"/>
      <c r="H9822" s="24" t="str">
        <f>IFERROR(VLOOKUP(B9822,material!A:D,3,0),"")</f>
        <v/>
      </c>
    </row>
    <row r="9823" ht="11.25" customHeight="1">
      <c r="A9823" s="21"/>
      <c r="B9823" s="22"/>
      <c r="C9823" s="21"/>
      <c r="D9823" s="21"/>
      <c r="E9823" s="21"/>
      <c r="F9823" s="21"/>
      <c r="G9823" s="25"/>
      <c r="H9823" s="24" t="str">
        <f>IFERROR(VLOOKUP(B9823,material!A:D,3,0),"")</f>
        <v/>
      </c>
    </row>
    <row r="9824" ht="11.25" customHeight="1">
      <c r="A9824" s="21"/>
      <c r="B9824" s="22"/>
      <c r="C9824" s="21"/>
      <c r="D9824" s="21"/>
      <c r="E9824" s="21"/>
      <c r="F9824" s="21"/>
      <c r="G9824" s="25"/>
      <c r="H9824" s="24" t="str">
        <f>IFERROR(VLOOKUP(B9824,material!A:D,3,0),"")</f>
        <v/>
      </c>
    </row>
    <row r="9825" ht="11.25" customHeight="1">
      <c r="A9825" s="21"/>
      <c r="B9825" s="22"/>
      <c r="C9825" s="21"/>
      <c r="D9825" s="21"/>
      <c r="E9825" s="21"/>
      <c r="F9825" s="21"/>
      <c r="G9825" s="25"/>
      <c r="H9825" s="24" t="str">
        <f>IFERROR(VLOOKUP(B9825,material!A:D,3,0),"")</f>
        <v/>
      </c>
    </row>
    <row r="9826" ht="11.25" customHeight="1">
      <c r="A9826" s="21"/>
      <c r="B9826" s="22"/>
      <c r="C9826" s="21"/>
      <c r="D9826" s="21"/>
      <c r="E9826" s="21"/>
      <c r="F9826" s="21"/>
      <c r="G9826" s="25"/>
      <c r="H9826" s="24" t="str">
        <f>IFERROR(VLOOKUP(B9826,material!A:D,3,0),"")</f>
        <v/>
      </c>
    </row>
    <row r="9827" ht="11.25" customHeight="1">
      <c r="A9827" s="21"/>
      <c r="B9827" s="22"/>
      <c r="C9827" s="21"/>
      <c r="D9827" s="21"/>
      <c r="E9827" s="21"/>
      <c r="F9827" s="21"/>
      <c r="G9827" s="25"/>
      <c r="H9827" s="24" t="str">
        <f>IFERROR(VLOOKUP(B9827,material!A:D,3,0),"")</f>
        <v/>
      </c>
    </row>
    <row r="9828" ht="11.25" customHeight="1">
      <c r="A9828" s="21"/>
      <c r="B9828" s="22"/>
      <c r="C9828" s="21"/>
      <c r="D9828" s="21"/>
      <c r="E9828" s="21"/>
      <c r="F9828" s="21"/>
      <c r="G9828" s="25"/>
      <c r="H9828" s="24" t="str">
        <f>IFERROR(VLOOKUP(B9828,material!A:D,3,0),"")</f>
        <v/>
      </c>
    </row>
    <row r="9829" ht="11.25" customHeight="1">
      <c r="A9829" s="21"/>
      <c r="B9829" s="22"/>
      <c r="C9829" s="21"/>
      <c r="D9829" s="21"/>
      <c r="E9829" s="21"/>
      <c r="F9829" s="21"/>
      <c r="G9829" s="25"/>
      <c r="H9829" s="24" t="str">
        <f>IFERROR(VLOOKUP(B9829,material!A:D,3,0),"")</f>
        <v/>
      </c>
    </row>
    <row r="9830" ht="11.25" customHeight="1">
      <c r="A9830" s="21"/>
      <c r="B9830" s="22"/>
      <c r="C9830" s="21"/>
      <c r="D9830" s="21"/>
      <c r="E9830" s="21"/>
      <c r="F9830" s="21"/>
      <c r="G9830" s="25"/>
      <c r="H9830" s="24" t="str">
        <f>IFERROR(VLOOKUP(B9830,material!A:D,3,0),"")</f>
        <v/>
      </c>
    </row>
    <row r="9831" ht="11.25" customHeight="1">
      <c r="A9831" s="21"/>
      <c r="B9831" s="22"/>
      <c r="C9831" s="21"/>
      <c r="D9831" s="21"/>
      <c r="E9831" s="21"/>
      <c r="F9831" s="21"/>
      <c r="G9831" s="25"/>
      <c r="H9831" s="24" t="str">
        <f>IFERROR(VLOOKUP(B9831,material!A:D,3,0),"")</f>
        <v/>
      </c>
    </row>
    <row r="9832" ht="11.25" customHeight="1">
      <c r="A9832" s="21"/>
      <c r="B9832" s="22"/>
      <c r="C9832" s="21"/>
      <c r="D9832" s="21"/>
      <c r="E9832" s="21"/>
      <c r="F9832" s="21"/>
      <c r="G9832" s="25"/>
      <c r="H9832" s="24" t="str">
        <f>IFERROR(VLOOKUP(B9832,material!A:D,3,0),"")</f>
        <v/>
      </c>
    </row>
    <row r="9833" ht="11.25" customHeight="1">
      <c r="A9833" s="21"/>
      <c r="B9833" s="22"/>
      <c r="C9833" s="21"/>
      <c r="D9833" s="21"/>
      <c r="E9833" s="21"/>
      <c r="F9833" s="21"/>
      <c r="G9833" s="25"/>
      <c r="H9833" s="24" t="str">
        <f>IFERROR(VLOOKUP(B9833,material!A:D,3,0),"")</f>
        <v/>
      </c>
    </row>
    <row r="9834" ht="11.25" customHeight="1">
      <c r="A9834" s="21"/>
      <c r="B9834" s="22"/>
      <c r="C9834" s="21"/>
      <c r="D9834" s="21"/>
      <c r="E9834" s="21"/>
      <c r="F9834" s="21"/>
      <c r="G9834" s="25"/>
      <c r="H9834" s="24" t="str">
        <f>IFERROR(VLOOKUP(B9834,material!A:D,3,0),"")</f>
        <v/>
      </c>
    </row>
    <row r="9835" ht="11.25" customHeight="1">
      <c r="A9835" s="21"/>
      <c r="B9835" s="22"/>
      <c r="C9835" s="21"/>
      <c r="D9835" s="21"/>
      <c r="E9835" s="21"/>
      <c r="F9835" s="21"/>
      <c r="G9835" s="25"/>
      <c r="H9835" s="24" t="str">
        <f>IFERROR(VLOOKUP(B9835,material!A:D,3,0),"")</f>
        <v/>
      </c>
    </row>
    <row r="9836" ht="11.25" customHeight="1">
      <c r="A9836" s="21"/>
      <c r="B9836" s="22"/>
      <c r="C9836" s="21"/>
      <c r="D9836" s="21"/>
      <c r="E9836" s="21"/>
      <c r="F9836" s="21"/>
      <c r="G9836" s="25"/>
      <c r="H9836" s="24" t="str">
        <f>IFERROR(VLOOKUP(B9836,material!A:D,3,0),"")</f>
        <v/>
      </c>
    </row>
    <row r="9837" ht="11.25" customHeight="1">
      <c r="A9837" s="21"/>
      <c r="B9837" s="22"/>
      <c r="C9837" s="21"/>
      <c r="D9837" s="21"/>
      <c r="E9837" s="21"/>
      <c r="F9837" s="21"/>
      <c r="G9837" s="25"/>
      <c r="H9837" s="24" t="str">
        <f>IFERROR(VLOOKUP(B9837,material!A:D,3,0),"")</f>
        <v/>
      </c>
    </row>
    <row r="9838" ht="11.25" customHeight="1">
      <c r="A9838" s="21"/>
      <c r="B9838" s="22"/>
      <c r="C9838" s="21"/>
      <c r="D9838" s="21"/>
      <c r="E9838" s="21"/>
      <c r="F9838" s="21"/>
      <c r="G9838" s="25"/>
      <c r="H9838" s="24" t="str">
        <f>IFERROR(VLOOKUP(B9838,material!A:D,3,0),"")</f>
        <v/>
      </c>
    </row>
    <row r="9839" ht="11.25" customHeight="1">
      <c r="A9839" s="21"/>
      <c r="B9839" s="22"/>
      <c r="C9839" s="21"/>
      <c r="D9839" s="21"/>
      <c r="E9839" s="21"/>
      <c r="F9839" s="21"/>
      <c r="G9839" s="25"/>
      <c r="H9839" s="24" t="str">
        <f>IFERROR(VLOOKUP(B9839,material!A:D,3,0),"")</f>
        <v/>
      </c>
    </row>
    <row r="9840" ht="11.25" customHeight="1">
      <c r="A9840" s="21"/>
      <c r="B9840" s="22"/>
      <c r="C9840" s="21"/>
      <c r="D9840" s="21"/>
      <c r="E9840" s="21"/>
      <c r="F9840" s="21"/>
      <c r="G9840" s="25"/>
      <c r="H9840" s="24" t="str">
        <f>IFERROR(VLOOKUP(B9840,material!A:D,3,0),"")</f>
        <v/>
      </c>
    </row>
    <row r="9841" ht="11.25" customHeight="1">
      <c r="A9841" s="21"/>
      <c r="B9841" s="22"/>
      <c r="C9841" s="21"/>
      <c r="D9841" s="21"/>
      <c r="E9841" s="21"/>
      <c r="F9841" s="21"/>
      <c r="G9841" s="25"/>
      <c r="H9841" s="24" t="str">
        <f>IFERROR(VLOOKUP(B9841,material!A:D,3,0),"")</f>
        <v/>
      </c>
    </row>
    <row r="9842" ht="11.25" customHeight="1">
      <c r="A9842" s="21"/>
      <c r="B9842" s="22"/>
      <c r="C9842" s="21"/>
      <c r="D9842" s="21"/>
      <c r="E9842" s="21"/>
      <c r="F9842" s="21"/>
      <c r="G9842" s="25"/>
      <c r="H9842" s="24" t="str">
        <f>IFERROR(VLOOKUP(B9842,material!A:D,3,0),"")</f>
        <v/>
      </c>
    </row>
    <row r="9843" ht="11.25" customHeight="1">
      <c r="A9843" s="21"/>
      <c r="B9843" s="22"/>
      <c r="C9843" s="21"/>
      <c r="D9843" s="21"/>
      <c r="E9843" s="21"/>
      <c r="F9843" s="21"/>
      <c r="G9843" s="25"/>
      <c r="H9843" s="24" t="str">
        <f>IFERROR(VLOOKUP(B9843,material!A:D,3,0),"")</f>
        <v/>
      </c>
    </row>
    <row r="9844" ht="11.25" customHeight="1">
      <c r="A9844" s="21"/>
      <c r="B9844" s="22"/>
      <c r="C9844" s="21"/>
      <c r="D9844" s="21"/>
      <c r="E9844" s="21"/>
      <c r="F9844" s="21"/>
      <c r="G9844" s="25"/>
      <c r="H9844" s="24" t="str">
        <f>IFERROR(VLOOKUP(B9844,material!A:D,3,0),"")</f>
        <v/>
      </c>
    </row>
    <row r="9845" ht="11.25" customHeight="1">
      <c r="A9845" s="21"/>
      <c r="B9845" s="22"/>
      <c r="C9845" s="21"/>
      <c r="D9845" s="21"/>
      <c r="E9845" s="21"/>
      <c r="F9845" s="21"/>
      <c r="G9845" s="25"/>
      <c r="H9845" s="24" t="str">
        <f>IFERROR(VLOOKUP(B9845,material!A:D,3,0),"")</f>
        <v/>
      </c>
    </row>
    <row r="9846" ht="11.25" customHeight="1">
      <c r="A9846" s="21"/>
      <c r="B9846" s="22"/>
      <c r="C9846" s="21"/>
      <c r="D9846" s="21"/>
      <c r="E9846" s="21"/>
      <c r="F9846" s="21"/>
      <c r="G9846" s="25"/>
      <c r="H9846" s="24" t="str">
        <f>IFERROR(VLOOKUP(B9846,material!A:D,3,0),"")</f>
        <v/>
      </c>
    </row>
    <row r="9847" ht="11.25" customHeight="1">
      <c r="A9847" s="21"/>
      <c r="B9847" s="22"/>
      <c r="C9847" s="21"/>
      <c r="D9847" s="21"/>
      <c r="E9847" s="21"/>
      <c r="F9847" s="21"/>
      <c r="G9847" s="25"/>
      <c r="H9847" s="24" t="str">
        <f>IFERROR(VLOOKUP(B9847,material!A:D,3,0),"")</f>
        <v/>
      </c>
    </row>
    <row r="9848" ht="11.25" customHeight="1">
      <c r="A9848" s="21"/>
      <c r="B9848" s="22"/>
      <c r="C9848" s="21"/>
      <c r="D9848" s="21"/>
      <c r="E9848" s="21"/>
      <c r="F9848" s="21"/>
      <c r="G9848" s="25"/>
      <c r="H9848" s="24" t="str">
        <f>IFERROR(VLOOKUP(B9848,material!A:D,3,0),"")</f>
        <v/>
      </c>
    </row>
    <row r="9849" ht="11.25" customHeight="1">
      <c r="A9849" s="21"/>
      <c r="B9849" s="22"/>
      <c r="C9849" s="21"/>
      <c r="D9849" s="21"/>
      <c r="E9849" s="21"/>
      <c r="F9849" s="21"/>
      <c r="G9849" s="25"/>
      <c r="H9849" s="24" t="str">
        <f>IFERROR(VLOOKUP(B9849,material!A:D,3,0),"")</f>
        <v/>
      </c>
    </row>
    <row r="9850" ht="11.25" customHeight="1">
      <c r="A9850" s="21"/>
      <c r="B9850" s="22"/>
      <c r="C9850" s="21"/>
      <c r="D9850" s="21"/>
      <c r="E9850" s="21"/>
      <c r="F9850" s="21"/>
      <c r="G9850" s="25"/>
      <c r="H9850" s="24" t="str">
        <f>IFERROR(VLOOKUP(B9850,material!A:D,3,0),"")</f>
        <v/>
      </c>
    </row>
    <row r="9851" ht="11.25" customHeight="1">
      <c r="A9851" s="21"/>
      <c r="B9851" s="22"/>
      <c r="C9851" s="21"/>
      <c r="D9851" s="21"/>
      <c r="E9851" s="21"/>
      <c r="F9851" s="21"/>
      <c r="G9851" s="25"/>
      <c r="H9851" s="24" t="str">
        <f>IFERROR(VLOOKUP(B9851,material!A:D,3,0),"")</f>
        <v/>
      </c>
    </row>
    <row r="9852" ht="11.25" customHeight="1">
      <c r="A9852" s="21"/>
      <c r="B9852" s="22"/>
      <c r="C9852" s="21"/>
      <c r="D9852" s="21"/>
      <c r="E9852" s="21"/>
      <c r="F9852" s="21"/>
      <c r="G9852" s="25"/>
      <c r="H9852" s="24" t="str">
        <f>IFERROR(VLOOKUP(B9852,material!A:D,3,0),"")</f>
        <v/>
      </c>
    </row>
    <row r="9853" ht="11.25" customHeight="1">
      <c r="A9853" s="21"/>
      <c r="B9853" s="22"/>
      <c r="C9853" s="21"/>
      <c r="D9853" s="21"/>
      <c r="E9853" s="21"/>
      <c r="F9853" s="21"/>
      <c r="G9853" s="25"/>
      <c r="H9853" s="24" t="str">
        <f>IFERROR(VLOOKUP(B9853,material!A:D,3,0),"")</f>
        <v/>
      </c>
    </row>
    <row r="9854" ht="11.25" customHeight="1">
      <c r="A9854" s="21"/>
      <c r="B9854" s="22"/>
      <c r="C9854" s="21"/>
      <c r="D9854" s="21"/>
      <c r="E9854" s="21"/>
      <c r="F9854" s="21"/>
      <c r="G9854" s="25"/>
      <c r="H9854" s="24" t="str">
        <f>IFERROR(VLOOKUP(B9854,material!A:D,3,0),"")</f>
        <v/>
      </c>
    </row>
    <row r="9855" ht="11.25" customHeight="1">
      <c r="A9855" s="21"/>
      <c r="B9855" s="22"/>
      <c r="C9855" s="21"/>
      <c r="D9855" s="21"/>
      <c r="E9855" s="21"/>
      <c r="F9855" s="21"/>
      <c r="G9855" s="25"/>
      <c r="H9855" s="24" t="str">
        <f>IFERROR(VLOOKUP(B9855,material!A:D,3,0),"")</f>
        <v/>
      </c>
    </row>
    <row r="9856" ht="11.25" customHeight="1">
      <c r="A9856" s="21"/>
      <c r="B9856" s="22"/>
      <c r="C9856" s="21"/>
      <c r="D9856" s="21"/>
      <c r="E9856" s="21"/>
      <c r="F9856" s="21"/>
      <c r="G9856" s="25"/>
      <c r="H9856" s="24" t="str">
        <f>IFERROR(VLOOKUP(B9856,material!A:D,3,0),"")</f>
        <v/>
      </c>
    </row>
    <row r="9857" ht="11.25" customHeight="1">
      <c r="A9857" s="21"/>
      <c r="B9857" s="22"/>
      <c r="C9857" s="21"/>
      <c r="D9857" s="21"/>
      <c r="E9857" s="21"/>
      <c r="F9857" s="21"/>
      <c r="G9857" s="25"/>
      <c r="H9857" s="24" t="str">
        <f>IFERROR(VLOOKUP(B9857,material!A:D,3,0),"")</f>
        <v/>
      </c>
    </row>
    <row r="9858" ht="11.25" customHeight="1">
      <c r="A9858" s="21"/>
      <c r="B9858" s="22"/>
      <c r="C9858" s="21"/>
      <c r="D9858" s="21"/>
      <c r="E9858" s="21"/>
      <c r="F9858" s="21"/>
      <c r="G9858" s="25"/>
      <c r="H9858" s="24" t="str">
        <f>IFERROR(VLOOKUP(B9858,material!A:D,3,0),"")</f>
        <v/>
      </c>
    </row>
    <row r="9859" ht="11.25" customHeight="1">
      <c r="A9859" s="21"/>
      <c r="B9859" s="22"/>
      <c r="C9859" s="21"/>
      <c r="D9859" s="21"/>
      <c r="E9859" s="21"/>
      <c r="F9859" s="21"/>
      <c r="G9859" s="25"/>
      <c r="H9859" s="24" t="str">
        <f>IFERROR(VLOOKUP(B9859,material!A:D,3,0),"")</f>
        <v/>
      </c>
    </row>
    <row r="9860" ht="11.25" customHeight="1">
      <c r="A9860" s="21"/>
      <c r="B9860" s="22"/>
      <c r="C9860" s="21"/>
      <c r="D9860" s="21"/>
      <c r="E9860" s="21"/>
      <c r="F9860" s="21"/>
      <c r="G9860" s="25"/>
      <c r="H9860" s="24" t="str">
        <f>IFERROR(VLOOKUP(B9860,material!A:D,3,0),"")</f>
        <v/>
      </c>
    </row>
    <row r="9861" ht="11.25" customHeight="1">
      <c r="A9861" s="21"/>
      <c r="B9861" s="22"/>
      <c r="C9861" s="21"/>
      <c r="D9861" s="21"/>
      <c r="E9861" s="21"/>
      <c r="F9861" s="21"/>
      <c r="G9861" s="25"/>
      <c r="H9861" s="24" t="str">
        <f>IFERROR(VLOOKUP(B9861,material!A:D,3,0),"")</f>
        <v/>
      </c>
    </row>
    <row r="9862" ht="11.25" customHeight="1">
      <c r="A9862" s="21"/>
      <c r="B9862" s="22"/>
      <c r="C9862" s="21"/>
      <c r="D9862" s="21"/>
      <c r="E9862" s="21"/>
      <c r="F9862" s="21"/>
      <c r="G9862" s="25"/>
      <c r="H9862" s="24" t="str">
        <f>IFERROR(VLOOKUP(B9862,material!A:D,3,0),"")</f>
        <v/>
      </c>
    </row>
    <row r="9863" ht="11.25" customHeight="1">
      <c r="A9863" s="21"/>
      <c r="B9863" s="22"/>
      <c r="C9863" s="21"/>
      <c r="D9863" s="21"/>
      <c r="E9863" s="21"/>
      <c r="F9863" s="21"/>
      <c r="G9863" s="25"/>
      <c r="H9863" s="24" t="str">
        <f>IFERROR(VLOOKUP(B9863,material!A:D,3,0),"")</f>
        <v/>
      </c>
    </row>
    <row r="9864" ht="11.25" customHeight="1">
      <c r="A9864" s="21"/>
      <c r="B9864" s="22"/>
      <c r="C9864" s="21"/>
      <c r="D9864" s="21"/>
      <c r="E9864" s="21"/>
      <c r="F9864" s="21"/>
      <c r="G9864" s="25"/>
      <c r="H9864" s="24" t="str">
        <f>IFERROR(VLOOKUP(B9864,material!A:D,3,0),"")</f>
        <v/>
      </c>
    </row>
    <row r="9865" ht="11.25" customHeight="1">
      <c r="A9865" s="21"/>
      <c r="B9865" s="22"/>
      <c r="C9865" s="21"/>
      <c r="D9865" s="21"/>
      <c r="E9865" s="21"/>
      <c r="F9865" s="21"/>
      <c r="G9865" s="25"/>
      <c r="H9865" s="24" t="str">
        <f>IFERROR(VLOOKUP(B9865,material!A:D,3,0),"")</f>
        <v/>
      </c>
    </row>
    <row r="9866" ht="11.25" customHeight="1">
      <c r="A9866" s="21"/>
      <c r="B9866" s="22"/>
      <c r="C9866" s="21"/>
      <c r="D9866" s="21"/>
      <c r="E9866" s="21"/>
      <c r="F9866" s="21"/>
      <c r="G9866" s="25"/>
      <c r="H9866" s="24" t="str">
        <f>IFERROR(VLOOKUP(B9866,material!A:D,3,0),"")</f>
        <v/>
      </c>
    </row>
    <row r="9867" ht="11.25" customHeight="1">
      <c r="A9867" s="21"/>
      <c r="B9867" s="22"/>
      <c r="C9867" s="21"/>
      <c r="D9867" s="21"/>
      <c r="E9867" s="21"/>
      <c r="F9867" s="21"/>
      <c r="G9867" s="25"/>
      <c r="H9867" s="24" t="str">
        <f>IFERROR(VLOOKUP(B9867,material!A:D,3,0),"")</f>
        <v/>
      </c>
    </row>
    <row r="9868" ht="11.25" customHeight="1">
      <c r="A9868" s="21"/>
      <c r="B9868" s="22"/>
      <c r="C9868" s="21"/>
      <c r="D9868" s="21"/>
      <c r="E9868" s="21"/>
      <c r="F9868" s="21"/>
      <c r="G9868" s="25"/>
      <c r="H9868" s="24" t="str">
        <f>IFERROR(VLOOKUP(B9868,material!A:D,3,0),"")</f>
        <v/>
      </c>
    </row>
    <row r="9869" ht="11.25" customHeight="1">
      <c r="A9869" s="21"/>
      <c r="B9869" s="22"/>
      <c r="C9869" s="21"/>
      <c r="D9869" s="21"/>
      <c r="E9869" s="21"/>
      <c r="F9869" s="21"/>
      <c r="G9869" s="25"/>
      <c r="H9869" s="24" t="str">
        <f>IFERROR(VLOOKUP(B9869,material!A:D,3,0),"")</f>
        <v/>
      </c>
    </row>
    <row r="9870" ht="11.25" customHeight="1">
      <c r="A9870" s="21"/>
      <c r="B9870" s="22"/>
      <c r="C9870" s="21"/>
      <c r="D9870" s="21"/>
      <c r="E9870" s="21"/>
      <c r="F9870" s="21"/>
      <c r="G9870" s="25"/>
      <c r="H9870" s="24" t="str">
        <f>IFERROR(VLOOKUP(B9870,material!A:D,3,0),"")</f>
        <v/>
      </c>
    </row>
    <row r="9871" ht="11.25" customHeight="1">
      <c r="A9871" s="21"/>
      <c r="B9871" s="22"/>
      <c r="C9871" s="21"/>
      <c r="D9871" s="21"/>
      <c r="E9871" s="21"/>
      <c r="F9871" s="21"/>
      <c r="G9871" s="25"/>
      <c r="H9871" s="24" t="str">
        <f>IFERROR(VLOOKUP(B9871,material!A:D,3,0),"")</f>
        <v/>
      </c>
    </row>
    <row r="9872" ht="11.25" customHeight="1">
      <c r="A9872" s="21"/>
      <c r="B9872" s="22"/>
      <c r="C9872" s="21"/>
      <c r="D9872" s="21"/>
      <c r="E9872" s="21"/>
      <c r="F9872" s="21"/>
      <c r="G9872" s="25"/>
      <c r="H9872" s="24" t="str">
        <f>IFERROR(VLOOKUP(B9872,material!A:D,3,0),"")</f>
        <v/>
      </c>
    </row>
    <row r="9873" ht="11.25" customHeight="1">
      <c r="A9873" s="21"/>
      <c r="B9873" s="22"/>
      <c r="C9873" s="21"/>
      <c r="D9873" s="21"/>
      <c r="E9873" s="21"/>
      <c r="F9873" s="21"/>
      <c r="G9873" s="25"/>
      <c r="H9873" s="24" t="str">
        <f>IFERROR(VLOOKUP(B9873,material!A:D,3,0),"")</f>
        <v/>
      </c>
    </row>
    <row r="9874" ht="11.25" customHeight="1">
      <c r="A9874" s="21"/>
      <c r="B9874" s="22"/>
      <c r="C9874" s="21"/>
      <c r="D9874" s="21"/>
      <c r="E9874" s="21"/>
      <c r="F9874" s="21"/>
      <c r="G9874" s="25"/>
      <c r="H9874" s="24" t="str">
        <f>IFERROR(VLOOKUP(B9874,material!A:D,3,0),"")</f>
        <v/>
      </c>
    </row>
    <row r="9875" ht="11.25" customHeight="1">
      <c r="A9875" s="21"/>
      <c r="B9875" s="22"/>
      <c r="C9875" s="21"/>
      <c r="D9875" s="21"/>
      <c r="E9875" s="21"/>
      <c r="F9875" s="21"/>
      <c r="G9875" s="25"/>
      <c r="H9875" s="24" t="str">
        <f>IFERROR(VLOOKUP(B9875,material!A:D,3,0),"")</f>
        <v/>
      </c>
    </row>
    <row r="9876" ht="11.25" customHeight="1">
      <c r="A9876" s="21"/>
      <c r="B9876" s="22"/>
      <c r="C9876" s="21"/>
      <c r="D9876" s="21"/>
      <c r="E9876" s="21"/>
      <c r="F9876" s="21"/>
      <c r="G9876" s="25"/>
      <c r="H9876" s="24" t="str">
        <f>IFERROR(VLOOKUP(B9876,material!A:D,3,0),"")</f>
        <v/>
      </c>
    </row>
    <row r="9877" ht="11.25" customHeight="1">
      <c r="A9877" s="21"/>
      <c r="B9877" s="22"/>
      <c r="C9877" s="21"/>
      <c r="D9877" s="21"/>
      <c r="E9877" s="21"/>
      <c r="F9877" s="21"/>
      <c r="G9877" s="25"/>
      <c r="H9877" s="24" t="str">
        <f>IFERROR(VLOOKUP(B9877,material!A:D,3,0),"")</f>
        <v/>
      </c>
    </row>
    <row r="9878" ht="11.25" customHeight="1">
      <c r="A9878" s="21"/>
      <c r="B9878" s="22"/>
      <c r="C9878" s="21"/>
      <c r="D9878" s="21"/>
      <c r="E9878" s="21"/>
      <c r="F9878" s="21"/>
      <c r="G9878" s="25"/>
      <c r="H9878" s="24" t="str">
        <f>IFERROR(VLOOKUP(B9878,material!A:D,3,0),"")</f>
        <v/>
      </c>
    </row>
    <row r="9879" ht="11.25" customHeight="1">
      <c r="A9879" s="21"/>
      <c r="B9879" s="22"/>
      <c r="C9879" s="21"/>
      <c r="D9879" s="21"/>
      <c r="E9879" s="21"/>
      <c r="F9879" s="21"/>
      <c r="G9879" s="25"/>
      <c r="H9879" s="24" t="str">
        <f>IFERROR(VLOOKUP(B9879,material!A:D,3,0),"")</f>
        <v/>
      </c>
    </row>
    <row r="9880" ht="11.25" customHeight="1">
      <c r="A9880" s="21"/>
      <c r="B9880" s="22"/>
      <c r="C9880" s="21"/>
      <c r="D9880" s="21"/>
      <c r="E9880" s="21"/>
      <c r="F9880" s="21"/>
      <c r="G9880" s="25"/>
      <c r="H9880" s="24" t="str">
        <f>IFERROR(VLOOKUP(B9880,material!A:D,3,0),"")</f>
        <v/>
      </c>
    </row>
    <row r="9881" ht="11.25" customHeight="1">
      <c r="A9881" s="21"/>
      <c r="B9881" s="22"/>
      <c r="C9881" s="21"/>
      <c r="D9881" s="21"/>
      <c r="E9881" s="21"/>
      <c r="F9881" s="21"/>
      <c r="G9881" s="25"/>
      <c r="H9881" s="24" t="str">
        <f>IFERROR(VLOOKUP(B9881,material!A:D,3,0),"")</f>
        <v/>
      </c>
    </row>
    <row r="9882" ht="11.25" customHeight="1">
      <c r="A9882" s="21"/>
      <c r="B9882" s="22"/>
      <c r="C9882" s="21"/>
      <c r="D9882" s="21"/>
      <c r="E9882" s="21"/>
      <c r="F9882" s="21"/>
      <c r="G9882" s="25"/>
      <c r="H9882" s="24" t="str">
        <f>IFERROR(VLOOKUP(B9882,material!A:D,3,0),"")</f>
        <v/>
      </c>
    </row>
    <row r="9883" ht="11.25" customHeight="1">
      <c r="A9883" s="21"/>
      <c r="B9883" s="22"/>
      <c r="C9883" s="21"/>
      <c r="D9883" s="21"/>
      <c r="E9883" s="21"/>
      <c r="F9883" s="21"/>
      <c r="G9883" s="25"/>
      <c r="H9883" s="24" t="str">
        <f>IFERROR(VLOOKUP(B9883,material!A:D,3,0),"")</f>
        <v/>
      </c>
    </row>
    <row r="9884" ht="11.25" customHeight="1">
      <c r="A9884" s="21"/>
      <c r="B9884" s="22"/>
      <c r="C9884" s="21"/>
      <c r="D9884" s="21"/>
      <c r="E9884" s="21"/>
      <c r="F9884" s="21"/>
      <c r="G9884" s="25"/>
      <c r="H9884" s="24" t="str">
        <f>IFERROR(VLOOKUP(B9884,material!A:D,3,0),"")</f>
        <v/>
      </c>
    </row>
    <row r="9885" ht="11.25" customHeight="1">
      <c r="A9885" s="21"/>
      <c r="B9885" s="22"/>
      <c r="C9885" s="21"/>
      <c r="D9885" s="21"/>
      <c r="E9885" s="21"/>
      <c r="F9885" s="21"/>
      <c r="G9885" s="25"/>
      <c r="H9885" s="24" t="str">
        <f>IFERROR(VLOOKUP(B9885,material!A:D,3,0),"")</f>
        <v/>
      </c>
    </row>
    <row r="9886" ht="11.25" customHeight="1">
      <c r="A9886" s="21"/>
      <c r="B9886" s="22"/>
      <c r="C9886" s="21"/>
      <c r="D9886" s="21"/>
      <c r="E9886" s="21"/>
      <c r="F9886" s="21"/>
      <c r="G9886" s="25"/>
      <c r="H9886" s="24" t="str">
        <f>IFERROR(VLOOKUP(B9886,material!A:D,3,0),"")</f>
        <v/>
      </c>
    </row>
    <row r="9887" ht="11.25" customHeight="1">
      <c r="A9887" s="21"/>
      <c r="B9887" s="22"/>
      <c r="C9887" s="21"/>
      <c r="D9887" s="21"/>
      <c r="E9887" s="21"/>
      <c r="F9887" s="21"/>
      <c r="G9887" s="25"/>
      <c r="H9887" s="24" t="str">
        <f>IFERROR(VLOOKUP(B9887,material!A:D,3,0),"")</f>
        <v/>
      </c>
    </row>
    <row r="9888" ht="11.25" customHeight="1">
      <c r="A9888" s="21"/>
      <c r="B9888" s="22"/>
      <c r="C9888" s="21"/>
      <c r="D9888" s="21"/>
      <c r="E9888" s="21"/>
      <c r="F9888" s="21"/>
      <c r="G9888" s="25"/>
      <c r="H9888" s="24" t="str">
        <f>IFERROR(VLOOKUP(B9888,material!A:D,3,0),"")</f>
        <v/>
      </c>
    </row>
    <row r="9889" ht="11.25" customHeight="1">
      <c r="A9889" s="21"/>
      <c r="B9889" s="22"/>
      <c r="C9889" s="21"/>
      <c r="D9889" s="21"/>
      <c r="E9889" s="21"/>
      <c r="F9889" s="21"/>
      <c r="G9889" s="25"/>
      <c r="H9889" s="24" t="str">
        <f>IFERROR(VLOOKUP(B9889,material!A:D,3,0),"")</f>
        <v/>
      </c>
    </row>
    <row r="9890" ht="11.25" customHeight="1">
      <c r="A9890" s="21"/>
      <c r="B9890" s="22"/>
      <c r="C9890" s="21"/>
      <c r="D9890" s="21"/>
      <c r="E9890" s="21"/>
      <c r="F9890" s="21"/>
      <c r="G9890" s="25"/>
      <c r="H9890" s="24" t="str">
        <f>IFERROR(VLOOKUP(B9890,material!A:D,3,0),"")</f>
        <v/>
      </c>
    </row>
    <row r="9891" ht="11.25" customHeight="1">
      <c r="A9891" s="21"/>
      <c r="B9891" s="22"/>
      <c r="C9891" s="21"/>
      <c r="D9891" s="21"/>
      <c r="E9891" s="21"/>
      <c r="F9891" s="21"/>
      <c r="G9891" s="25"/>
      <c r="H9891" s="24" t="str">
        <f>IFERROR(VLOOKUP(B9891,material!A:D,3,0),"")</f>
        <v/>
      </c>
    </row>
    <row r="9892" ht="11.25" customHeight="1">
      <c r="A9892" s="21"/>
      <c r="B9892" s="22"/>
      <c r="C9892" s="21"/>
      <c r="D9892" s="21"/>
      <c r="E9892" s="21"/>
      <c r="F9892" s="21"/>
      <c r="G9892" s="25"/>
      <c r="H9892" s="24" t="str">
        <f>IFERROR(VLOOKUP(B9892,material!A:D,3,0),"")</f>
        <v/>
      </c>
    </row>
    <row r="9893" ht="11.25" customHeight="1">
      <c r="A9893" s="21"/>
      <c r="B9893" s="22"/>
      <c r="C9893" s="21"/>
      <c r="D9893" s="21"/>
      <c r="E9893" s="21"/>
      <c r="F9893" s="21"/>
      <c r="G9893" s="25"/>
      <c r="H9893" s="24" t="str">
        <f>IFERROR(VLOOKUP(B9893,material!A:D,3,0),"")</f>
        <v/>
      </c>
    </row>
    <row r="9894" ht="11.25" customHeight="1">
      <c r="A9894" s="21"/>
      <c r="B9894" s="22"/>
      <c r="C9894" s="21"/>
      <c r="D9894" s="21"/>
      <c r="E9894" s="21"/>
      <c r="F9894" s="21"/>
      <c r="G9894" s="25"/>
      <c r="H9894" s="24" t="str">
        <f>IFERROR(VLOOKUP(B9894,material!A:D,3,0),"")</f>
        <v/>
      </c>
    </row>
    <row r="9895" ht="11.25" customHeight="1">
      <c r="A9895" s="21"/>
      <c r="B9895" s="22"/>
      <c r="C9895" s="21"/>
      <c r="D9895" s="21"/>
      <c r="E9895" s="21"/>
      <c r="F9895" s="21"/>
      <c r="G9895" s="25"/>
      <c r="H9895" s="24" t="str">
        <f>IFERROR(VLOOKUP(B9895,material!A:D,3,0),"")</f>
        <v/>
      </c>
    </row>
    <row r="9896" ht="11.25" customHeight="1">
      <c r="A9896" s="21"/>
      <c r="B9896" s="22"/>
      <c r="C9896" s="21"/>
      <c r="D9896" s="21"/>
      <c r="E9896" s="21"/>
      <c r="F9896" s="21"/>
      <c r="G9896" s="25"/>
      <c r="H9896" s="24" t="str">
        <f>IFERROR(VLOOKUP(B9896,material!A:D,3,0),"")</f>
        <v/>
      </c>
    </row>
    <row r="9897" ht="11.25" customHeight="1">
      <c r="A9897" s="21"/>
      <c r="B9897" s="22"/>
      <c r="C9897" s="21"/>
      <c r="D9897" s="21"/>
      <c r="E9897" s="21"/>
      <c r="F9897" s="21"/>
      <c r="G9897" s="25"/>
      <c r="H9897" s="24" t="str">
        <f>IFERROR(VLOOKUP(B9897,material!A:D,3,0),"")</f>
        <v/>
      </c>
    </row>
    <row r="9898" ht="11.25" customHeight="1">
      <c r="A9898" s="21"/>
      <c r="B9898" s="22"/>
      <c r="C9898" s="21"/>
      <c r="D9898" s="21"/>
      <c r="E9898" s="21"/>
      <c r="F9898" s="21"/>
      <c r="G9898" s="25"/>
      <c r="H9898" s="24" t="str">
        <f>IFERROR(VLOOKUP(B9898,material!A:D,3,0),"")</f>
        <v/>
      </c>
    </row>
    <row r="9899" ht="11.25" customHeight="1">
      <c r="A9899" s="21"/>
      <c r="B9899" s="22"/>
      <c r="C9899" s="21"/>
      <c r="D9899" s="21"/>
      <c r="E9899" s="21"/>
      <c r="F9899" s="21"/>
      <c r="G9899" s="25"/>
      <c r="H9899" s="24" t="str">
        <f>IFERROR(VLOOKUP(B9899,material!A:D,3,0),"")</f>
        <v/>
      </c>
    </row>
    <row r="9900" ht="11.25" customHeight="1">
      <c r="A9900" s="21"/>
      <c r="B9900" s="22"/>
      <c r="C9900" s="21"/>
      <c r="D9900" s="21"/>
      <c r="E9900" s="21"/>
      <c r="F9900" s="21"/>
      <c r="G9900" s="25"/>
      <c r="H9900" s="24" t="str">
        <f>IFERROR(VLOOKUP(B9900,material!A:D,3,0),"")</f>
        <v/>
      </c>
    </row>
    <row r="9901" ht="11.25" customHeight="1">
      <c r="A9901" s="21"/>
      <c r="B9901" s="22"/>
      <c r="C9901" s="21"/>
      <c r="D9901" s="21"/>
      <c r="E9901" s="21"/>
      <c r="F9901" s="21"/>
      <c r="G9901" s="25"/>
      <c r="H9901" s="24" t="str">
        <f>IFERROR(VLOOKUP(B9901,material!A:D,3,0),"")</f>
        <v/>
      </c>
    </row>
    <row r="9902" ht="11.25" customHeight="1">
      <c r="A9902" s="21"/>
      <c r="B9902" s="22"/>
      <c r="C9902" s="21"/>
      <c r="D9902" s="21"/>
      <c r="E9902" s="21"/>
      <c r="F9902" s="21"/>
      <c r="G9902" s="25"/>
      <c r="H9902" s="24" t="str">
        <f>IFERROR(VLOOKUP(B9902,material!A:D,3,0),"")</f>
        <v/>
      </c>
    </row>
    <row r="9903" ht="11.25" customHeight="1">
      <c r="A9903" s="21"/>
      <c r="B9903" s="22"/>
      <c r="C9903" s="21"/>
      <c r="D9903" s="21"/>
      <c r="E9903" s="21"/>
      <c r="F9903" s="21"/>
      <c r="G9903" s="25"/>
      <c r="H9903" s="24" t="str">
        <f>IFERROR(VLOOKUP(B9903,material!A:D,3,0),"")</f>
        <v/>
      </c>
    </row>
    <row r="9904" ht="11.25" customHeight="1">
      <c r="A9904" s="21"/>
      <c r="B9904" s="22"/>
      <c r="C9904" s="21"/>
      <c r="D9904" s="21"/>
      <c r="E9904" s="21"/>
      <c r="F9904" s="21"/>
      <c r="G9904" s="25"/>
      <c r="H9904" s="24" t="str">
        <f>IFERROR(VLOOKUP(B9904,material!A:D,3,0),"")</f>
        <v/>
      </c>
    </row>
    <row r="9905" ht="11.25" customHeight="1">
      <c r="A9905" s="21"/>
      <c r="B9905" s="22"/>
      <c r="C9905" s="21"/>
      <c r="D9905" s="21"/>
      <c r="E9905" s="21"/>
      <c r="F9905" s="21"/>
      <c r="G9905" s="25"/>
      <c r="H9905" s="24" t="str">
        <f>IFERROR(VLOOKUP(B9905,material!A:D,3,0),"")</f>
        <v/>
      </c>
    </row>
    <row r="9906" ht="11.25" customHeight="1">
      <c r="A9906" s="21"/>
      <c r="B9906" s="22"/>
      <c r="C9906" s="21"/>
      <c r="D9906" s="21"/>
      <c r="E9906" s="21"/>
      <c r="F9906" s="21"/>
      <c r="G9906" s="25"/>
      <c r="H9906" s="24" t="str">
        <f>IFERROR(VLOOKUP(B9906,material!A:D,3,0),"")</f>
        <v/>
      </c>
    </row>
    <row r="9907" ht="11.25" customHeight="1">
      <c r="A9907" s="21"/>
      <c r="B9907" s="22"/>
      <c r="C9907" s="21"/>
      <c r="D9907" s="21"/>
      <c r="E9907" s="21"/>
      <c r="F9907" s="21"/>
      <c r="G9907" s="25"/>
      <c r="H9907" s="24" t="str">
        <f>IFERROR(VLOOKUP(B9907,material!A:D,3,0),"")</f>
        <v/>
      </c>
    </row>
    <row r="9908" ht="11.25" customHeight="1">
      <c r="A9908" s="21"/>
      <c r="B9908" s="22"/>
      <c r="C9908" s="21"/>
      <c r="D9908" s="21"/>
      <c r="E9908" s="21"/>
      <c r="F9908" s="21"/>
      <c r="G9908" s="25"/>
      <c r="H9908" s="24" t="str">
        <f>IFERROR(VLOOKUP(B9908,material!A:D,3,0),"")</f>
        <v/>
      </c>
    </row>
    <row r="9909" ht="11.25" customHeight="1">
      <c r="A9909" s="21"/>
      <c r="B9909" s="22"/>
      <c r="C9909" s="21"/>
      <c r="D9909" s="21"/>
      <c r="E9909" s="21"/>
      <c r="F9909" s="21"/>
      <c r="G9909" s="25"/>
      <c r="H9909" s="24" t="str">
        <f>IFERROR(VLOOKUP(B9909,material!A:D,3,0),"")</f>
        <v/>
      </c>
    </row>
    <row r="9910" ht="11.25" customHeight="1">
      <c r="A9910" s="21"/>
      <c r="B9910" s="22"/>
      <c r="C9910" s="21"/>
      <c r="D9910" s="21"/>
      <c r="E9910" s="21"/>
      <c r="F9910" s="21"/>
      <c r="G9910" s="25"/>
      <c r="H9910" s="24" t="str">
        <f>IFERROR(VLOOKUP(B9910,material!A:D,3,0),"")</f>
        <v/>
      </c>
    </row>
    <row r="9911" ht="11.25" customHeight="1">
      <c r="A9911" s="21"/>
      <c r="B9911" s="22"/>
      <c r="C9911" s="21"/>
      <c r="D9911" s="21"/>
      <c r="E9911" s="21"/>
      <c r="F9911" s="21"/>
      <c r="G9911" s="25"/>
      <c r="H9911" s="24" t="str">
        <f>IFERROR(VLOOKUP(B9911,material!A:D,3,0),"")</f>
        <v/>
      </c>
    </row>
    <row r="9912" ht="11.25" customHeight="1">
      <c r="A9912" s="21"/>
      <c r="B9912" s="22"/>
      <c r="C9912" s="21"/>
      <c r="D9912" s="21"/>
      <c r="E9912" s="21"/>
      <c r="F9912" s="21"/>
      <c r="G9912" s="25"/>
      <c r="H9912" s="24" t="str">
        <f>IFERROR(VLOOKUP(B9912,material!A:D,3,0),"")</f>
        <v/>
      </c>
    </row>
    <row r="9913" ht="11.25" customHeight="1">
      <c r="A9913" s="21"/>
      <c r="B9913" s="22"/>
      <c r="C9913" s="21"/>
      <c r="D9913" s="21"/>
      <c r="E9913" s="21"/>
      <c r="F9913" s="21"/>
      <c r="G9913" s="25"/>
      <c r="H9913" s="24" t="str">
        <f>IFERROR(VLOOKUP(B9913,material!A:D,3,0),"")</f>
        <v/>
      </c>
    </row>
    <row r="9914" ht="11.25" customHeight="1">
      <c r="A9914" s="21"/>
      <c r="B9914" s="22"/>
      <c r="C9914" s="21"/>
      <c r="D9914" s="21"/>
      <c r="E9914" s="21"/>
      <c r="F9914" s="21"/>
      <c r="G9914" s="25"/>
      <c r="H9914" s="24" t="str">
        <f>IFERROR(VLOOKUP(B9914,material!A:D,3,0),"")</f>
        <v/>
      </c>
    </row>
    <row r="9915" ht="11.25" customHeight="1">
      <c r="A9915" s="21"/>
      <c r="B9915" s="22"/>
      <c r="C9915" s="21"/>
      <c r="D9915" s="21"/>
      <c r="E9915" s="21"/>
      <c r="F9915" s="21"/>
      <c r="G9915" s="25"/>
      <c r="H9915" s="24" t="str">
        <f>IFERROR(VLOOKUP(B9915,material!A:D,3,0),"")</f>
        <v/>
      </c>
    </row>
    <row r="9916" ht="11.25" customHeight="1">
      <c r="A9916" s="21"/>
      <c r="B9916" s="22"/>
      <c r="C9916" s="21"/>
      <c r="D9916" s="21"/>
      <c r="E9916" s="21"/>
      <c r="F9916" s="21"/>
      <c r="G9916" s="25"/>
      <c r="H9916" s="24" t="str">
        <f>IFERROR(VLOOKUP(B9916,material!A:D,3,0),"")</f>
        <v/>
      </c>
    </row>
    <row r="9917" ht="11.25" customHeight="1">
      <c r="A9917" s="21"/>
      <c r="B9917" s="22"/>
      <c r="C9917" s="21"/>
      <c r="D9917" s="21"/>
      <c r="E9917" s="21"/>
      <c r="F9917" s="21"/>
      <c r="G9917" s="25"/>
      <c r="H9917" s="24" t="str">
        <f>IFERROR(VLOOKUP(B9917,material!A:D,3,0),"")</f>
        <v/>
      </c>
    </row>
    <row r="9918" ht="11.25" customHeight="1">
      <c r="A9918" s="21"/>
      <c r="B9918" s="22"/>
      <c r="C9918" s="21"/>
      <c r="D9918" s="21"/>
      <c r="E9918" s="21"/>
      <c r="F9918" s="21"/>
      <c r="G9918" s="25"/>
      <c r="H9918" s="24" t="str">
        <f>IFERROR(VLOOKUP(B9918,material!A:D,3,0),"")</f>
        <v/>
      </c>
    </row>
    <row r="9919" ht="11.25" customHeight="1">
      <c r="A9919" s="21"/>
      <c r="B9919" s="22"/>
      <c r="C9919" s="21"/>
      <c r="D9919" s="21"/>
      <c r="E9919" s="21"/>
      <c r="F9919" s="21"/>
      <c r="G9919" s="25"/>
      <c r="H9919" s="24" t="str">
        <f>IFERROR(VLOOKUP(B9919,material!A:D,3,0),"")</f>
        <v/>
      </c>
    </row>
    <row r="9920" ht="11.25" customHeight="1">
      <c r="A9920" s="21"/>
      <c r="B9920" s="22"/>
      <c r="C9920" s="21"/>
      <c r="D9920" s="21"/>
      <c r="E9920" s="21"/>
      <c r="F9920" s="21"/>
      <c r="G9920" s="25"/>
      <c r="H9920" s="24" t="str">
        <f>IFERROR(VLOOKUP(B9920,material!A:D,3,0),"")</f>
        <v/>
      </c>
    </row>
    <row r="9921" ht="11.25" customHeight="1">
      <c r="A9921" s="21"/>
      <c r="B9921" s="22"/>
      <c r="C9921" s="21"/>
      <c r="D9921" s="21"/>
      <c r="E9921" s="21"/>
      <c r="F9921" s="21"/>
      <c r="G9921" s="25"/>
      <c r="H9921" s="24" t="str">
        <f>IFERROR(VLOOKUP(B9921,material!A:D,3,0),"")</f>
        <v/>
      </c>
    </row>
    <row r="9922" ht="11.25" customHeight="1">
      <c r="A9922" s="21"/>
      <c r="B9922" s="22"/>
      <c r="C9922" s="21"/>
      <c r="D9922" s="21"/>
      <c r="E9922" s="21"/>
      <c r="F9922" s="21"/>
      <c r="G9922" s="25"/>
      <c r="H9922" s="24" t="str">
        <f>IFERROR(VLOOKUP(B9922,material!A:D,3,0),"")</f>
        <v/>
      </c>
    </row>
    <row r="9923" ht="11.25" customHeight="1">
      <c r="A9923" s="21"/>
      <c r="B9923" s="22"/>
      <c r="C9923" s="21"/>
      <c r="D9923" s="21"/>
      <c r="E9923" s="21"/>
      <c r="F9923" s="21"/>
      <c r="G9923" s="25"/>
      <c r="H9923" s="24" t="str">
        <f>IFERROR(VLOOKUP(B9923,material!A:D,3,0),"")</f>
        <v/>
      </c>
    </row>
    <row r="9924" ht="11.25" customHeight="1">
      <c r="A9924" s="21"/>
      <c r="B9924" s="22"/>
      <c r="C9924" s="21"/>
      <c r="D9924" s="21"/>
      <c r="E9924" s="21"/>
      <c r="F9924" s="21"/>
      <c r="G9924" s="25"/>
      <c r="H9924" s="24" t="str">
        <f>IFERROR(VLOOKUP(B9924,material!A:D,3,0),"")</f>
        <v/>
      </c>
    </row>
    <row r="9925" ht="11.25" customHeight="1">
      <c r="A9925" s="21"/>
      <c r="B9925" s="22"/>
      <c r="C9925" s="21"/>
      <c r="D9925" s="21"/>
      <c r="E9925" s="21"/>
      <c r="F9925" s="21"/>
      <c r="G9925" s="25"/>
      <c r="H9925" s="24" t="str">
        <f>IFERROR(VLOOKUP(B9925,material!A:D,3,0),"")</f>
        <v/>
      </c>
    </row>
    <row r="9926" ht="11.25" customHeight="1">
      <c r="A9926" s="21"/>
      <c r="B9926" s="22"/>
      <c r="C9926" s="21"/>
      <c r="D9926" s="21"/>
      <c r="E9926" s="21"/>
      <c r="F9926" s="21"/>
      <c r="G9926" s="25"/>
      <c r="H9926" s="24" t="str">
        <f>IFERROR(VLOOKUP(B9926,material!A:D,3,0),"")</f>
        <v/>
      </c>
    </row>
    <row r="9927" ht="11.25" customHeight="1">
      <c r="A9927" s="21"/>
      <c r="B9927" s="22"/>
      <c r="C9927" s="21"/>
      <c r="D9927" s="21"/>
      <c r="E9927" s="21"/>
      <c r="F9927" s="21"/>
      <c r="G9927" s="25"/>
      <c r="H9927" s="24" t="str">
        <f>IFERROR(VLOOKUP(B9927,material!A:D,3,0),"")</f>
        <v/>
      </c>
    </row>
    <row r="9928" ht="11.25" customHeight="1">
      <c r="A9928" s="21"/>
      <c r="B9928" s="22"/>
      <c r="C9928" s="21"/>
      <c r="D9928" s="21"/>
      <c r="E9928" s="21"/>
      <c r="F9928" s="21"/>
      <c r="G9928" s="25"/>
      <c r="H9928" s="24" t="str">
        <f>IFERROR(VLOOKUP(B9928,material!A:D,3,0),"")</f>
        <v/>
      </c>
    </row>
    <row r="9929" ht="11.25" customHeight="1">
      <c r="A9929" s="21"/>
      <c r="B9929" s="22"/>
      <c r="C9929" s="21"/>
      <c r="D9929" s="21"/>
      <c r="E9929" s="21"/>
      <c r="F9929" s="21"/>
      <c r="G9929" s="25"/>
      <c r="H9929" s="24" t="str">
        <f>IFERROR(VLOOKUP(B9929,material!A:D,3,0),"")</f>
        <v/>
      </c>
    </row>
    <row r="9930" ht="11.25" customHeight="1">
      <c r="A9930" s="21"/>
      <c r="B9930" s="22"/>
      <c r="C9930" s="21"/>
      <c r="D9930" s="21"/>
      <c r="E9930" s="21"/>
      <c r="F9930" s="21"/>
      <c r="G9930" s="25"/>
      <c r="H9930" s="24" t="str">
        <f>IFERROR(VLOOKUP(B9930,material!A:D,3,0),"")</f>
        <v/>
      </c>
    </row>
    <row r="9931" ht="11.25" customHeight="1">
      <c r="A9931" s="21"/>
      <c r="B9931" s="22"/>
      <c r="C9931" s="21"/>
      <c r="D9931" s="21"/>
      <c r="E9931" s="21"/>
      <c r="F9931" s="21"/>
      <c r="G9931" s="25"/>
      <c r="H9931" s="24" t="str">
        <f>IFERROR(VLOOKUP(B9931,material!A:D,3,0),"")</f>
        <v/>
      </c>
    </row>
    <row r="9932" ht="11.25" customHeight="1">
      <c r="A9932" s="21"/>
      <c r="B9932" s="22"/>
      <c r="C9932" s="21"/>
      <c r="D9932" s="21"/>
      <c r="E9932" s="21"/>
      <c r="F9932" s="21"/>
      <c r="G9932" s="25"/>
      <c r="H9932" s="24" t="str">
        <f>IFERROR(VLOOKUP(B9932,material!A:D,3,0),"")</f>
        <v/>
      </c>
    </row>
    <row r="9933" ht="11.25" customHeight="1">
      <c r="A9933" s="21"/>
      <c r="B9933" s="22"/>
      <c r="C9933" s="21"/>
      <c r="D9933" s="21"/>
      <c r="E9933" s="21"/>
      <c r="F9933" s="21"/>
      <c r="G9933" s="25"/>
      <c r="H9933" s="24" t="str">
        <f>IFERROR(VLOOKUP(B9933,material!A:D,3,0),"")</f>
        <v/>
      </c>
    </row>
    <row r="9934" ht="11.25" customHeight="1">
      <c r="A9934" s="21"/>
      <c r="B9934" s="22"/>
      <c r="C9934" s="21"/>
      <c r="D9934" s="21"/>
      <c r="E9934" s="21"/>
      <c r="F9934" s="21"/>
      <c r="G9934" s="25"/>
      <c r="H9934" s="24" t="str">
        <f>IFERROR(VLOOKUP(B9934,material!A:D,3,0),"")</f>
        <v/>
      </c>
    </row>
    <row r="9935" ht="11.25" customHeight="1">
      <c r="A9935" s="21"/>
      <c r="B9935" s="22"/>
      <c r="C9935" s="21"/>
      <c r="D9935" s="21"/>
      <c r="E9935" s="21"/>
      <c r="F9935" s="21"/>
      <c r="G9935" s="25"/>
      <c r="H9935" s="24" t="str">
        <f>IFERROR(VLOOKUP(B9935,material!A:D,3,0),"")</f>
        <v/>
      </c>
    </row>
    <row r="9936" ht="11.25" customHeight="1">
      <c r="A9936" s="21"/>
      <c r="B9936" s="22"/>
      <c r="C9936" s="21"/>
      <c r="D9936" s="21"/>
      <c r="E9936" s="21"/>
      <c r="F9936" s="21"/>
      <c r="G9936" s="25"/>
      <c r="H9936" s="24" t="str">
        <f>IFERROR(VLOOKUP(B9936,material!A:D,3,0),"")</f>
        <v/>
      </c>
    </row>
    <row r="9937" ht="11.25" customHeight="1">
      <c r="A9937" s="21"/>
      <c r="B9937" s="22"/>
      <c r="C9937" s="21"/>
      <c r="D9937" s="21"/>
      <c r="E9937" s="21"/>
      <c r="F9937" s="21"/>
      <c r="G9937" s="25"/>
      <c r="H9937" s="24" t="str">
        <f>IFERROR(VLOOKUP(B9937,material!A:D,3,0),"")</f>
        <v/>
      </c>
    </row>
    <row r="9938" ht="11.25" customHeight="1">
      <c r="A9938" s="21"/>
      <c r="B9938" s="22"/>
      <c r="C9938" s="21"/>
      <c r="D9938" s="21"/>
      <c r="E9938" s="21"/>
      <c r="F9938" s="21"/>
      <c r="G9938" s="25"/>
      <c r="H9938" s="24" t="str">
        <f>IFERROR(VLOOKUP(B9938,material!A:D,3,0),"")</f>
        <v/>
      </c>
    </row>
    <row r="9939" ht="11.25" customHeight="1">
      <c r="A9939" s="21"/>
      <c r="B9939" s="22"/>
      <c r="C9939" s="21"/>
      <c r="D9939" s="21"/>
      <c r="E9939" s="21"/>
      <c r="F9939" s="21"/>
      <c r="G9939" s="25"/>
      <c r="H9939" s="24" t="str">
        <f>IFERROR(VLOOKUP(B9939,material!A:D,3,0),"")</f>
        <v/>
      </c>
    </row>
    <row r="9940" ht="11.25" customHeight="1">
      <c r="A9940" s="21"/>
      <c r="B9940" s="22"/>
      <c r="C9940" s="21"/>
      <c r="D9940" s="21"/>
      <c r="E9940" s="21"/>
      <c r="F9940" s="21"/>
      <c r="G9940" s="25"/>
      <c r="H9940" s="24" t="str">
        <f>IFERROR(VLOOKUP(B9940,material!A:D,3,0),"")</f>
        <v/>
      </c>
    </row>
    <row r="9941" ht="11.25" customHeight="1">
      <c r="A9941" s="21"/>
      <c r="B9941" s="22"/>
      <c r="C9941" s="21"/>
      <c r="D9941" s="21"/>
      <c r="E9941" s="21"/>
      <c r="F9941" s="21"/>
      <c r="G9941" s="25"/>
      <c r="H9941" s="24" t="str">
        <f>IFERROR(VLOOKUP(B9941,material!A:D,3,0),"")</f>
        <v/>
      </c>
    </row>
    <row r="9942" ht="11.25" customHeight="1">
      <c r="A9942" s="21"/>
      <c r="B9942" s="22"/>
      <c r="C9942" s="21"/>
      <c r="D9942" s="21"/>
      <c r="E9942" s="21"/>
      <c r="F9942" s="21"/>
      <c r="G9942" s="25"/>
      <c r="H9942" s="24" t="str">
        <f>IFERROR(VLOOKUP(B9942,material!A:D,3,0),"")</f>
        <v/>
      </c>
    </row>
    <row r="9943" ht="11.25" customHeight="1">
      <c r="A9943" s="21"/>
      <c r="B9943" s="22"/>
      <c r="C9943" s="21"/>
      <c r="D9943" s="21"/>
      <c r="E9943" s="21"/>
      <c r="F9943" s="21"/>
      <c r="G9943" s="25"/>
      <c r="H9943" s="24" t="str">
        <f>IFERROR(VLOOKUP(B9943,material!A:D,3,0),"")</f>
        <v/>
      </c>
    </row>
    <row r="9944" ht="11.25" customHeight="1">
      <c r="A9944" s="21"/>
      <c r="B9944" s="22"/>
      <c r="C9944" s="21"/>
      <c r="D9944" s="21"/>
      <c r="E9944" s="21"/>
      <c r="F9944" s="21"/>
      <c r="G9944" s="25"/>
      <c r="H9944" s="24" t="str">
        <f>IFERROR(VLOOKUP(B9944,material!A:D,3,0),"")</f>
        <v/>
      </c>
    </row>
    <row r="9945" ht="11.25" customHeight="1">
      <c r="A9945" s="21"/>
      <c r="B9945" s="22"/>
      <c r="C9945" s="21"/>
      <c r="D9945" s="21"/>
      <c r="E9945" s="21"/>
      <c r="F9945" s="21"/>
      <c r="G9945" s="25"/>
      <c r="H9945" s="24" t="str">
        <f>IFERROR(VLOOKUP(B9945,material!A:D,3,0),"")</f>
        <v/>
      </c>
    </row>
    <row r="9946" ht="11.25" customHeight="1">
      <c r="A9946" s="21"/>
      <c r="B9946" s="22"/>
      <c r="C9946" s="21"/>
      <c r="D9946" s="21"/>
      <c r="E9946" s="21"/>
      <c r="F9946" s="21"/>
      <c r="G9946" s="25"/>
      <c r="H9946" s="24" t="str">
        <f>IFERROR(VLOOKUP(B9946,material!A:D,3,0),"")</f>
        <v/>
      </c>
    </row>
    <row r="9947" ht="11.25" customHeight="1">
      <c r="A9947" s="21"/>
      <c r="B9947" s="22"/>
      <c r="C9947" s="21"/>
      <c r="D9947" s="21"/>
      <c r="E9947" s="21"/>
      <c r="F9947" s="21"/>
      <c r="G9947" s="25"/>
      <c r="H9947" s="24" t="str">
        <f>IFERROR(VLOOKUP(B9947,material!A:D,3,0),"")</f>
        <v/>
      </c>
    </row>
    <row r="9948" ht="11.25" customHeight="1">
      <c r="A9948" s="21"/>
      <c r="B9948" s="22"/>
      <c r="C9948" s="21"/>
      <c r="D9948" s="21"/>
      <c r="E9948" s="21"/>
      <c r="F9948" s="21"/>
      <c r="G9948" s="25"/>
      <c r="H9948" s="24" t="str">
        <f>IFERROR(VLOOKUP(B9948,material!A:D,3,0),"")</f>
        <v/>
      </c>
    </row>
    <row r="9949" ht="11.25" customHeight="1">
      <c r="A9949" s="21"/>
      <c r="B9949" s="22"/>
      <c r="C9949" s="21"/>
      <c r="D9949" s="21"/>
      <c r="E9949" s="21"/>
      <c r="F9949" s="21"/>
      <c r="G9949" s="25"/>
      <c r="H9949" s="24" t="str">
        <f>IFERROR(VLOOKUP(B9949,material!A:D,3,0),"")</f>
        <v/>
      </c>
    </row>
    <row r="9950" ht="11.25" customHeight="1">
      <c r="A9950" s="21"/>
      <c r="B9950" s="22"/>
      <c r="C9950" s="21"/>
      <c r="D9950" s="21"/>
      <c r="E9950" s="21"/>
      <c r="F9950" s="21"/>
      <c r="G9950" s="25"/>
      <c r="H9950" s="24" t="str">
        <f>IFERROR(VLOOKUP(B9950,material!A:D,3,0),"")</f>
        <v/>
      </c>
    </row>
    <row r="9951" ht="11.25" customHeight="1">
      <c r="A9951" s="21"/>
      <c r="B9951" s="22"/>
      <c r="C9951" s="21"/>
      <c r="D9951" s="21"/>
      <c r="E9951" s="21"/>
      <c r="F9951" s="21"/>
      <c r="G9951" s="25"/>
      <c r="H9951" s="24" t="str">
        <f>IFERROR(VLOOKUP(B9951,material!A:D,3,0),"")</f>
        <v/>
      </c>
    </row>
    <row r="9952" ht="11.25" customHeight="1">
      <c r="A9952" s="21"/>
      <c r="B9952" s="22"/>
      <c r="C9952" s="21"/>
      <c r="D9952" s="21"/>
      <c r="E9952" s="21"/>
      <c r="F9952" s="21"/>
      <c r="G9952" s="25"/>
      <c r="H9952" s="24" t="str">
        <f>IFERROR(VLOOKUP(B9952,material!A:D,3,0),"")</f>
        <v/>
      </c>
    </row>
    <row r="9953" ht="11.25" customHeight="1">
      <c r="A9953" s="21"/>
      <c r="B9953" s="22"/>
      <c r="C9953" s="21"/>
      <c r="D9953" s="21"/>
      <c r="E9953" s="21"/>
      <c r="F9953" s="21"/>
      <c r="G9953" s="25"/>
      <c r="H9953" s="24" t="str">
        <f>IFERROR(VLOOKUP(B9953,material!A:D,3,0),"")</f>
        <v/>
      </c>
    </row>
    <row r="9954" ht="11.25" customHeight="1">
      <c r="A9954" s="21"/>
      <c r="B9954" s="22"/>
      <c r="C9954" s="21"/>
      <c r="D9954" s="21"/>
      <c r="E9954" s="21"/>
      <c r="F9954" s="21"/>
      <c r="G9954" s="25"/>
      <c r="H9954" s="24" t="str">
        <f>IFERROR(VLOOKUP(B9954,material!A:D,3,0),"")</f>
        <v/>
      </c>
    </row>
    <row r="9955" ht="11.25" customHeight="1">
      <c r="A9955" s="21"/>
      <c r="B9955" s="22"/>
      <c r="C9955" s="21"/>
      <c r="D9955" s="21"/>
      <c r="E9955" s="21"/>
      <c r="F9955" s="21"/>
      <c r="G9955" s="25"/>
      <c r="H9955" s="24" t="str">
        <f>IFERROR(VLOOKUP(B9955,material!A:D,3,0),"")</f>
        <v/>
      </c>
    </row>
    <row r="9956" ht="11.25" customHeight="1">
      <c r="A9956" s="21"/>
      <c r="B9956" s="22"/>
      <c r="C9956" s="21"/>
      <c r="D9956" s="21"/>
      <c r="E9956" s="21"/>
      <c r="F9956" s="21"/>
      <c r="G9956" s="25"/>
      <c r="H9956" s="24" t="str">
        <f>IFERROR(VLOOKUP(B9956,material!A:D,3,0),"")</f>
        <v/>
      </c>
    </row>
    <row r="9957" ht="11.25" customHeight="1">
      <c r="A9957" s="21"/>
      <c r="B9957" s="22"/>
      <c r="C9957" s="21"/>
      <c r="D9957" s="21"/>
      <c r="E9957" s="21"/>
      <c r="F9957" s="21"/>
      <c r="G9957" s="25"/>
      <c r="H9957" s="24" t="str">
        <f>IFERROR(VLOOKUP(B9957,material!A:D,3,0),"")</f>
        <v/>
      </c>
    </row>
    <row r="9958" ht="11.25" customHeight="1">
      <c r="A9958" s="21"/>
      <c r="B9958" s="22"/>
      <c r="C9958" s="21"/>
      <c r="D9958" s="21"/>
      <c r="E9958" s="21"/>
      <c r="F9958" s="21"/>
      <c r="G9958" s="25"/>
      <c r="H9958" s="24" t="str">
        <f>IFERROR(VLOOKUP(B9958,material!A:D,3,0),"")</f>
        <v/>
      </c>
    </row>
    <row r="9959" ht="11.25" customHeight="1">
      <c r="A9959" s="21"/>
      <c r="B9959" s="22"/>
      <c r="C9959" s="21"/>
      <c r="D9959" s="21"/>
      <c r="E9959" s="21"/>
      <c r="F9959" s="21"/>
      <c r="G9959" s="25"/>
      <c r="H9959" s="24" t="str">
        <f>IFERROR(VLOOKUP(B9959,material!A:D,3,0),"")</f>
        <v/>
      </c>
    </row>
    <row r="9960" ht="11.25" customHeight="1">
      <c r="A9960" s="21"/>
      <c r="B9960" s="22"/>
      <c r="C9960" s="21"/>
      <c r="D9960" s="21"/>
      <c r="E9960" s="21"/>
      <c r="F9960" s="21"/>
      <c r="G9960" s="25"/>
      <c r="H9960" s="24" t="str">
        <f>IFERROR(VLOOKUP(B9960,material!A:D,3,0),"")</f>
        <v/>
      </c>
    </row>
    <row r="9961" ht="11.25" customHeight="1">
      <c r="A9961" s="21"/>
      <c r="B9961" s="22"/>
      <c r="C9961" s="21"/>
      <c r="D9961" s="21"/>
      <c r="E9961" s="21"/>
      <c r="F9961" s="21"/>
      <c r="G9961" s="25"/>
      <c r="H9961" s="24" t="str">
        <f>IFERROR(VLOOKUP(B9961,material!A:D,3,0),"")</f>
        <v/>
      </c>
    </row>
    <row r="9962" ht="11.25" customHeight="1">
      <c r="A9962" s="21"/>
      <c r="B9962" s="22"/>
      <c r="C9962" s="21"/>
      <c r="D9962" s="21"/>
      <c r="E9962" s="21"/>
      <c r="F9962" s="21"/>
      <c r="G9962" s="25"/>
      <c r="H9962" s="24" t="str">
        <f>IFERROR(VLOOKUP(B9962,material!A:D,3,0),"")</f>
        <v/>
      </c>
    </row>
    <row r="9963" ht="11.25" customHeight="1">
      <c r="A9963" s="21"/>
      <c r="B9963" s="22"/>
      <c r="C9963" s="21"/>
      <c r="D9963" s="21"/>
      <c r="E9963" s="21"/>
      <c r="F9963" s="21"/>
      <c r="G9963" s="25"/>
      <c r="H9963" s="24" t="str">
        <f>IFERROR(VLOOKUP(B9963,material!A:D,3,0),"")</f>
        <v/>
      </c>
    </row>
    <row r="9964" ht="11.25" customHeight="1">
      <c r="A9964" s="21"/>
      <c r="B9964" s="22"/>
      <c r="C9964" s="21"/>
      <c r="D9964" s="21"/>
      <c r="E9964" s="21"/>
      <c r="F9964" s="21"/>
      <c r="G9964" s="25"/>
      <c r="H9964" s="24" t="str">
        <f>IFERROR(VLOOKUP(B9964,material!A:D,3,0),"")</f>
        <v/>
      </c>
    </row>
    <row r="9965" ht="11.25" customHeight="1">
      <c r="A9965" s="21"/>
      <c r="B9965" s="22"/>
      <c r="C9965" s="21"/>
      <c r="D9965" s="21"/>
      <c r="E9965" s="21"/>
      <c r="F9965" s="21"/>
      <c r="G9965" s="25"/>
      <c r="H9965" s="24" t="str">
        <f>IFERROR(VLOOKUP(B9965,material!A:D,3,0),"")</f>
        <v/>
      </c>
    </row>
    <row r="9966" ht="11.25" customHeight="1">
      <c r="A9966" s="21"/>
      <c r="B9966" s="22"/>
      <c r="C9966" s="21"/>
      <c r="D9966" s="21"/>
      <c r="E9966" s="21"/>
      <c r="F9966" s="21"/>
      <c r="G9966" s="25"/>
      <c r="H9966" s="24" t="str">
        <f>IFERROR(VLOOKUP(B9966,material!A:D,3,0),"")</f>
        <v/>
      </c>
    </row>
    <row r="9967" ht="11.25" customHeight="1">
      <c r="A9967" s="21"/>
      <c r="B9967" s="22"/>
      <c r="C9967" s="21"/>
      <c r="D9967" s="21"/>
      <c r="E9967" s="21"/>
      <c r="F9967" s="21"/>
      <c r="G9967" s="25"/>
      <c r="H9967" s="24" t="str">
        <f>IFERROR(VLOOKUP(B9967,material!A:D,3,0),"")</f>
        <v/>
      </c>
    </row>
    <row r="9968" ht="11.25" customHeight="1">
      <c r="A9968" s="21"/>
      <c r="B9968" s="22"/>
      <c r="C9968" s="21"/>
      <c r="D9968" s="21"/>
      <c r="E9968" s="21"/>
      <c r="F9968" s="21"/>
      <c r="G9968" s="25"/>
      <c r="H9968" s="24" t="str">
        <f>IFERROR(VLOOKUP(B9968,material!A:D,3,0),"")</f>
        <v/>
      </c>
    </row>
    <row r="9969" ht="11.25" customHeight="1">
      <c r="A9969" s="21"/>
      <c r="B9969" s="22"/>
      <c r="C9969" s="21"/>
      <c r="D9969" s="21"/>
      <c r="E9969" s="21"/>
      <c r="F9969" s="21"/>
      <c r="G9969" s="25"/>
      <c r="H9969" s="24" t="str">
        <f>IFERROR(VLOOKUP(B9969,material!A:D,3,0),"")</f>
        <v/>
      </c>
    </row>
    <row r="9970" ht="11.25" customHeight="1">
      <c r="A9970" s="21"/>
      <c r="B9970" s="22"/>
      <c r="C9970" s="21"/>
      <c r="D9970" s="21"/>
      <c r="E9970" s="21"/>
      <c r="F9970" s="21"/>
      <c r="G9970" s="25"/>
      <c r="H9970" s="24" t="str">
        <f>IFERROR(VLOOKUP(B9970,material!A:D,3,0),"")</f>
        <v/>
      </c>
    </row>
    <row r="9971" ht="11.25" customHeight="1">
      <c r="A9971" s="21"/>
      <c r="B9971" s="22"/>
      <c r="C9971" s="21"/>
      <c r="D9971" s="21"/>
      <c r="E9971" s="21"/>
      <c r="F9971" s="21"/>
      <c r="G9971" s="25"/>
      <c r="H9971" s="24" t="str">
        <f>IFERROR(VLOOKUP(B9971,material!A:D,3,0),"")</f>
        <v/>
      </c>
    </row>
    <row r="9972" ht="11.25" customHeight="1">
      <c r="A9972" s="21"/>
      <c r="B9972" s="22"/>
      <c r="C9972" s="21"/>
      <c r="D9972" s="21"/>
      <c r="E9972" s="21"/>
      <c r="F9972" s="21"/>
      <c r="G9972" s="25"/>
      <c r="H9972" s="24" t="str">
        <f>IFERROR(VLOOKUP(B9972,material!A:D,3,0),"")</f>
        <v/>
      </c>
    </row>
    <row r="9973" ht="11.25" customHeight="1">
      <c r="A9973" s="21"/>
      <c r="B9973" s="22"/>
      <c r="C9973" s="21"/>
      <c r="D9973" s="21"/>
      <c r="E9973" s="21"/>
      <c r="F9973" s="21"/>
      <c r="G9973" s="25"/>
      <c r="H9973" s="24" t="str">
        <f>IFERROR(VLOOKUP(B9973,material!A:D,3,0),"")</f>
        <v/>
      </c>
    </row>
    <row r="9974" ht="11.25" customHeight="1">
      <c r="A9974" s="21"/>
      <c r="B9974" s="22"/>
      <c r="C9974" s="21"/>
      <c r="D9974" s="21"/>
      <c r="E9974" s="21"/>
      <c r="F9974" s="21"/>
      <c r="G9974" s="25"/>
      <c r="H9974" s="24" t="str">
        <f>IFERROR(VLOOKUP(B9974,material!A:D,3,0),"")</f>
        <v/>
      </c>
    </row>
    <row r="9975" ht="11.25" customHeight="1">
      <c r="A9975" s="21"/>
      <c r="B9975" s="22"/>
      <c r="C9975" s="21"/>
      <c r="D9975" s="21"/>
      <c r="E9975" s="21"/>
      <c r="F9975" s="21"/>
      <c r="G9975" s="25"/>
      <c r="H9975" s="24" t="str">
        <f>IFERROR(VLOOKUP(B9975,material!A:D,3,0),"")</f>
        <v/>
      </c>
    </row>
    <row r="9976" ht="11.25" customHeight="1">
      <c r="A9976" s="21"/>
      <c r="B9976" s="22"/>
      <c r="C9976" s="21"/>
      <c r="D9976" s="21"/>
      <c r="E9976" s="21"/>
      <c r="F9976" s="21"/>
      <c r="G9976" s="25"/>
      <c r="H9976" s="24" t="str">
        <f>IFERROR(VLOOKUP(B9976,material!A:D,3,0),"")</f>
        <v/>
      </c>
    </row>
    <row r="9977" ht="11.25" customHeight="1">
      <c r="A9977" s="21"/>
      <c r="B9977" s="22"/>
      <c r="C9977" s="21"/>
      <c r="D9977" s="21"/>
      <c r="E9977" s="21"/>
      <c r="F9977" s="21"/>
      <c r="G9977" s="25"/>
      <c r="H9977" s="24" t="str">
        <f>IFERROR(VLOOKUP(B9977,material!A:D,3,0),"")</f>
        <v/>
      </c>
    </row>
    <row r="9978" ht="11.25" customHeight="1">
      <c r="A9978" s="21"/>
      <c r="B9978" s="22"/>
      <c r="C9978" s="21"/>
      <c r="D9978" s="21"/>
      <c r="E9978" s="21"/>
      <c r="F9978" s="21"/>
      <c r="G9978" s="25"/>
      <c r="H9978" s="24" t="str">
        <f>IFERROR(VLOOKUP(B9978,material!A:D,3,0),"")</f>
        <v/>
      </c>
    </row>
    <row r="9979" ht="11.25" customHeight="1">
      <c r="A9979" s="21"/>
      <c r="B9979" s="22"/>
      <c r="C9979" s="21"/>
      <c r="D9979" s="21"/>
      <c r="E9979" s="21"/>
      <c r="F9979" s="21"/>
      <c r="G9979" s="25"/>
      <c r="H9979" s="24" t="str">
        <f>IFERROR(VLOOKUP(B9979,material!A:D,3,0),"")</f>
        <v/>
      </c>
    </row>
    <row r="9980" ht="11.25" customHeight="1">
      <c r="A9980" s="21"/>
      <c r="B9980" s="22"/>
      <c r="C9980" s="21"/>
      <c r="D9980" s="21"/>
      <c r="E9980" s="21"/>
      <c r="F9980" s="21"/>
      <c r="G9980" s="25"/>
      <c r="H9980" s="24" t="str">
        <f>IFERROR(VLOOKUP(B9980,material!A:D,3,0),"")</f>
        <v/>
      </c>
    </row>
    <row r="9981" ht="11.25" customHeight="1">
      <c r="A9981" s="21"/>
      <c r="B9981" s="22"/>
      <c r="C9981" s="21"/>
      <c r="D9981" s="21"/>
      <c r="E9981" s="21"/>
      <c r="F9981" s="21"/>
      <c r="G9981" s="25"/>
      <c r="H9981" s="24" t="str">
        <f>IFERROR(VLOOKUP(B9981,material!A:D,3,0),"")</f>
        <v/>
      </c>
    </row>
    <row r="9982" ht="11.25" customHeight="1">
      <c r="A9982" s="21"/>
      <c r="B9982" s="22"/>
      <c r="C9982" s="21"/>
      <c r="D9982" s="21"/>
      <c r="E9982" s="21"/>
      <c r="F9982" s="21"/>
      <c r="G9982" s="25"/>
      <c r="H9982" s="24" t="str">
        <f>IFERROR(VLOOKUP(B9982,material!A:D,3,0),"")</f>
        <v/>
      </c>
    </row>
    <row r="9983" ht="11.25" customHeight="1">
      <c r="A9983" s="21"/>
      <c r="B9983" s="22"/>
      <c r="C9983" s="21"/>
      <c r="D9983" s="21"/>
      <c r="E9983" s="21"/>
      <c r="F9983" s="21"/>
      <c r="G9983" s="25"/>
      <c r="H9983" s="24" t="str">
        <f>IFERROR(VLOOKUP(B9983,material!A:D,3,0),"")</f>
        <v/>
      </c>
    </row>
    <row r="9984" ht="11.25" customHeight="1">
      <c r="A9984" s="21"/>
      <c r="B9984" s="22"/>
      <c r="C9984" s="21"/>
      <c r="D9984" s="21"/>
      <c r="E9984" s="21"/>
      <c r="F9984" s="21"/>
      <c r="G9984" s="25"/>
      <c r="H9984" s="24" t="str">
        <f>IFERROR(VLOOKUP(B9984,material!A:D,3,0),"")</f>
        <v/>
      </c>
    </row>
    <row r="9985" ht="11.25" customHeight="1">
      <c r="A9985" s="21"/>
      <c r="B9985" s="22"/>
      <c r="C9985" s="21"/>
      <c r="D9985" s="21"/>
      <c r="E9985" s="21"/>
      <c r="F9985" s="21"/>
      <c r="G9985" s="25"/>
      <c r="H9985" s="24" t="str">
        <f>IFERROR(VLOOKUP(B9985,material!A:D,3,0),"")</f>
        <v/>
      </c>
    </row>
    <row r="9986" ht="11.25" customHeight="1">
      <c r="A9986" s="21"/>
      <c r="B9986" s="22"/>
      <c r="C9986" s="21"/>
      <c r="D9986" s="21"/>
      <c r="E9986" s="21"/>
      <c r="F9986" s="21"/>
      <c r="G9986" s="25"/>
      <c r="H9986" s="24" t="str">
        <f>IFERROR(VLOOKUP(B9986,material!A:D,3,0),"")</f>
        <v/>
      </c>
    </row>
    <row r="9987" ht="11.25" customHeight="1">
      <c r="A9987" s="21"/>
      <c r="B9987" s="22"/>
      <c r="C9987" s="21"/>
      <c r="D9987" s="21"/>
      <c r="E9987" s="21"/>
      <c r="F9987" s="21"/>
      <c r="G9987" s="25"/>
      <c r="H9987" s="24" t="str">
        <f>IFERROR(VLOOKUP(B9987,material!A:D,3,0),"")</f>
        <v/>
      </c>
    </row>
    <row r="9988" ht="11.25" customHeight="1">
      <c r="A9988" s="21"/>
      <c r="B9988" s="22"/>
      <c r="C9988" s="21"/>
      <c r="D9988" s="21"/>
      <c r="E9988" s="21"/>
      <c r="F9988" s="21"/>
      <c r="G9988" s="25"/>
      <c r="H9988" s="24" t="str">
        <f>IFERROR(VLOOKUP(B9988,material!A:D,3,0),"")</f>
        <v/>
      </c>
    </row>
    <row r="9989" ht="11.25" customHeight="1">
      <c r="A9989" s="21"/>
      <c r="B9989" s="22"/>
      <c r="C9989" s="21"/>
      <c r="D9989" s="21"/>
      <c r="E9989" s="21"/>
      <c r="F9989" s="21"/>
      <c r="G9989" s="25"/>
      <c r="H9989" s="24" t="str">
        <f>IFERROR(VLOOKUP(B9989,material!A:D,3,0),"")</f>
        <v/>
      </c>
    </row>
    <row r="9990" ht="11.25" customHeight="1">
      <c r="A9990" s="21"/>
      <c r="B9990" s="22"/>
      <c r="C9990" s="21"/>
      <c r="D9990" s="21"/>
      <c r="E9990" s="21"/>
      <c r="F9990" s="21"/>
      <c r="G9990" s="25"/>
      <c r="H9990" s="24" t="str">
        <f>IFERROR(VLOOKUP(B9990,material!A:D,3,0),"")</f>
        <v/>
      </c>
    </row>
    <row r="9991" ht="11.25" customHeight="1">
      <c r="A9991" s="21"/>
      <c r="B9991" s="22"/>
      <c r="C9991" s="21"/>
      <c r="D9991" s="21"/>
      <c r="E9991" s="21"/>
      <c r="F9991" s="21"/>
      <c r="G9991" s="25"/>
      <c r="H9991" s="24" t="str">
        <f>IFERROR(VLOOKUP(B9991,material!A:D,3,0),"")</f>
        <v/>
      </c>
    </row>
    <row r="9992" ht="11.25" customHeight="1">
      <c r="A9992" s="21"/>
      <c r="B9992" s="22"/>
      <c r="C9992" s="21"/>
      <c r="D9992" s="21"/>
      <c r="E9992" s="21"/>
      <c r="F9992" s="21"/>
      <c r="G9992" s="25"/>
      <c r="H9992" s="24" t="str">
        <f>IFERROR(VLOOKUP(B9992,material!A:D,3,0),"")</f>
        <v/>
      </c>
    </row>
    <row r="9993" ht="11.25" customHeight="1">
      <c r="A9993" s="21"/>
      <c r="B9993" s="22"/>
      <c r="C9993" s="21"/>
      <c r="D9993" s="21"/>
      <c r="E9993" s="21"/>
      <c r="F9993" s="21"/>
      <c r="G9993" s="25"/>
      <c r="H9993" s="24" t="str">
        <f>IFERROR(VLOOKUP(B9993,material!A:D,3,0),"")</f>
        <v/>
      </c>
    </row>
    <row r="9994" ht="11.25" customHeight="1">
      <c r="A9994" s="21"/>
      <c r="B9994" s="22"/>
      <c r="C9994" s="21"/>
      <c r="D9994" s="21"/>
      <c r="E9994" s="21"/>
      <c r="F9994" s="21"/>
      <c r="G9994" s="25"/>
      <c r="H9994" s="24" t="str">
        <f>IFERROR(VLOOKUP(B9994,material!A:D,3,0),"")</f>
        <v/>
      </c>
    </row>
    <row r="9995" ht="11.25" customHeight="1">
      <c r="A9995" s="21"/>
      <c r="B9995" s="22"/>
      <c r="C9995" s="21"/>
      <c r="D9995" s="21"/>
      <c r="E9995" s="21"/>
      <c r="F9995" s="21"/>
      <c r="G9995" s="25"/>
      <c r="H9995" s="24" t="str">
        <f>IFERROR(VLOOKUP(B9995,material!A:D,3,0),"")</f>
        <v/>
      </c>
    </row>
    <row r="9996" ht="11.25" customHeight="1">
      <c r="A9996" s="21"/>
      <c r="B9996" s="22"/>
      <c r="C9996" s="21"/>
      <c r="D9996" s="21"/>
      <c r="E9996" s="21"/>
      <c r="F9996" s="21"/>
      <c r="G9996" s="25"/>
      <c r="H9996" s="24" t="str">
        <f>IFERROR(VLOOKUP(B9996,material!A:D,3,0),"")</f>
        <v/>
      </c>
    </row>
    <row r="9997" ht="11.25" customHeight="1">
      <c r="A9997" s="21"/>
      <c r="B9997" s="22"/>
      <c r="C9997" s="21"/>
      <c r="D9997" s="21"/>
      <c r="E9997" s="21"/>
      <c r="F9997" s="21"/>
      <c r="G9997" s="25"/>
      <c r="H9997" s="24" t="str">
        <f>IFERROR(VLOOKUP(B9997,material!A:D,3,0),"")</f>
        <v/>
      </c>
    </row>
    <row r="9998" ht="11.25" customHeight="1">
      <c r="A9998" s="21"/>
      <c r="B9998" s="22"/>
      <c r="C9998" s="21"/>
      <c r="D9998" s="21"/>
      <c r="E9998" s="21"/>
      <c r="F9998" s="21"/>
      <c r="G9998" s="25"/>
      <c r="H9998" s="24" t="str">
        <f>IFERROR(VLOOKUP(B9998,material!A:D,3,0),"")</f>
        <v/>
      </c>
    </row>
    <row r="9999" ht="11.25" customHeight="1">
      <c r="A9999" s="21"/>
      <c r="B9999" s="22"/>
      <c r="C9999" s="21"/>
      <c r="D9999" s="21"/>
      <c r="E9999" s="21"/>
      <c r="F9999" s="21"/>
      <c r="G9999" s="25"/>
      <c r="H9999" s="24" t="str">
        <f>IFERROR(VLOOKUP(B9999,material!A:D,3,0),"")</f>
        <v/>
      </c>
    </row>
    <row r="10000" ht="11.25" customHeight="1">
      <c r="A10000" s="21"/>
      <c r="B10000" s="22"/>
      <c r="C10000" s="21"/>
      <c r="D10000" s="21"/>
      <c r="E10000" s="21"/>
      <c r="F10000" s="21"/>
      <c r="G10000" s="25"/>
      <c r="H10000" s="24" t="str">
        <f>IFERROR(VLOOKUP(B10000,material!A:D,3,0),"")</f>
        <v/>
      </c>
    </row>
    <row r="10001" ht="11.25" customHeight="1">
      <c r="A10001" s="21"/>
      <c r="B10001" s="22"/>
      <c r="C10001" s="21"/>
      <c r="D10001" s="21"/>
      <c r="E10001" s="21"/>
      <c r="F10001" s="21"/>
      <c r="G10001" s="25"/>
      <c r="H10001" s="24" t="str">
        <f>IFERROR(VLOOKUP(B10001,material!A:D,3,0),"")</f>
        <v/>
      </c>
    </row>
    <row r="10002" ht="11.25" customHeight="1">
      <c r="A10002" s="21"/>
      <c r="B10002" s="22"/>
      <c r="C10002" s="21"/>
      <c r="D10002" s="21"/>
      <c r="E10002" s="21"/>
      <c r="F10002" s="21"/>
      <c r="G10002" s="25"/>
      <c r="H10002" s="24" t="str">
        <f>IFERROR(VLOOKUP(B10002,material!A:D,3,0),"")</f>
        <v/>
      </c>
    </row>
    <row r="10003" ht="11.25" customHeight="1">
      <c r="A10003" s="21"/>
      <c r="B10003" s="22"/>
      <c r="C10003" s="21"/>
      <c r="D10003" s="21"/>
      <c r="E10003" s="21"/>
      <c r="F10003" s="21"/>
      <c r="G10003" s="25"/>
      <c r="H10003" s="24" t="str">
        <f>IFERROR(VLOOKUP(B10003,material!A:D,3,0),"")</f>
        <v/>
      </c>
    </row>
    <row r="10004" ht="11.25" customHeight="1">
      <c r="A10004" s="21"/>
      <c r="B10004" s="22"/>
      <c r="C10004" s="21"/>
      <c r="D10004" s="21"/>
      <c r="E10004" s="21"/>
      <c r="F10004" s="21"/>
      <c r="G10004" s="25"/>
      <c r="H10004" s="24" t="str">
        <f>IFERROR(VLOOKUP(B10004,material!A:D,3,0),"")</f>
        <v/>
      </c>
    </row>
    <row r="10005" ht="11.25" customHeight="1">
      <c r="A10005" s="21"/>
      <c r="B10005" s="22"/>
      <c r="C10005" s="21"/>
      <c r="D10005" s="21"/>
      <c r="E10005" s="21"/>
      <c r="F10005" s="21"/>
      <c r="G10005" s="25"/>
      <c r="H10005" s="24" t="str">
        <f>IFERROR(VLOOKUP(B10005,material!A:D,3,0),"")</f>
        <v/>
      </c>
    </row>
    <row r="10006" ht="11.25" customHeight="1">
      <c r="A10006" s="21"/>
      <c r="B10006" s="22"/>
      <c r="C10006" s="21"/>
      <c r="D10006" s="21"/>
      <c r="E10006" s="21"/>
      <c r="F10006" s="21"/>
      <c r="G10006" s="25"/>
      <c r="H10006" s="24" t="str">
        <f>IFERROR(VLOOKUP(B10006,material!A:D,3,0),"")</f>
        <v/>
      </c>
    </row>
    <row r="10007" ht="11.25" customHeight="1">
      <c r="A10007" s="21"/>
      <c r="B10007" s="22"/>
      <c r="C10007" s="21"/>
      <c r="D10007" s="21"/>
      <c r="E10007" s="21"/>
      <c r="F10007" s="21"/>
      <c r="G10007" s="25"/>
      <c r="H10007" s="24" t="str">
        <f>IFERROR(VLOOKUP(B10007,material!A:D,3,0),"")</f>
        <v/>
      </c>
    </row>
    <row r="10008" ht="11.25" customHeight="1">
      <c r="A10008" s="21"/>
      <c r="B10008" s="22"/>
      <c r="C10008" s="21"/>
      <c r="D10008" s="21"/>
      <c r="E10008" s="21"/>
      <c r="F10008" s="21"/>
      <c r="G10008" s="25"/>
      <c r="H10008" s="24" t="str">
        <f>IFERROR(VLOOKUP(B10008,material!A:D,3,0),"")</f>
        <v/>
      </c>
    </row>
    <row r="10009" ht="11.25" customHeight="1">
      <c r="A10009" s="21"/>
      <c r="B10009" s="22"/>
      <c r="C10009" s="21"/>
      <c r="D10009" s="21"/>
      <c r="E10009" s="21"/>
      <c r="F10009" s="21"/>
      <c r="G10009" s="25"/>
      <c r="H10009" s="24" t="str">
        <f>IFERROR(VLOOKUP(B10009,material!A:D,3,0),"")</f>
        <v/>
      </c>
    </row>
    <row r="10010" ht="11.25" customHeight="1">
      <c r="A10010" s="21"/>
      <c r="B10010" s="22"/>
      <c r="C10010" s="21"/>
      <c r="D10010" s="21"/>
      <c r="E10010" s="21"/>
      <c r="F10010" s="21"/>
      <c r="G10010" s="25"/>
      <c r="H10010" s="24" t="str">
        <f>IFERROR(VLOOKUP(B10010,material!A:D,3,0),"")</f>
        <v/>
      </c>
    </row>
    <row r="10011" ht="11.25" customHeight="1">
      <c r="A10011" s="21"/>
      <c r="B10011" s="22"/>
      <c r="C10011" s="21"/>
      <c r="D10011" s="21"/>
      <c r="E10011" s="21"/>
      <c r="F10011" s="21"/>
      <c r="G10011" s="25"/>
      <c r="H10011" s="24" t="str">
        <f>IFERROR(VLOOKUP(B10011,material!A:D,3,0),"")</f>
        <v/>
      </c>
    </row>
    <row r="10012" ht="11.25" customHeight="1">
      <c r="A10012" s="21"/>
      <c r="B10012" s="22"/>
      <c r="C10012" s="21"/>
      <c r="D10012" s="21"/>
      <c r="E10012" s="21"/>
      <c r="F10012" s="21"/>
      <c r="G10012" s="25"/>
      <c r="H10012" s="24" t="str">
        <f>IFERROR(VLOOKUP(B10012,material!A:D,3,0),"")</f>
        <v/>
      </c>
    </row>
    <row r="10013" ht="11.25" customHeight="1">
      <c r="A10013" s="21"/>
      <c r="B10013" s="22"/>
      <c r="C10013" s="21"/>
      <c r="D10013" s="21"/>
      <c r="E10013" s="21"/>
      <c r="F10013" s="21"/>
      <c r="G10013" s="25"/>
      <c r="H10013" s="24" t="str">
        <f>IFERROR(VLOOKUP(B10013,material!A:D,3,0),"")</f>
        <v/>
      </c>
    </row>
    <row r="10014" ht="11.25" customHeight="1">
      <c r="A10014" s="21"/>
      <c r="B10014" s="22"/>
      <c r="C10014" s="21"/>
      <c r="D10014" s="21"/>
      <c r="E10014" s="21"/>
      <c r="F10014" s="21"/>
      <c r="G10014" s="25"/>
      <c r="H10014" s="24" t="str">
        <f>IFERROR(VLOOKUP(B10014,material!A:D,3,0),"")</f>
        <v/>
      </c>
    </row>
    <row r="10015" ht="11.25" customHeight="1">
      <c r="A10015" s="21"/>
      <c r="B10015" s="22"/>
      <c r="C10015" s="21"/>
      <c r="D10015" s="21"/>
      <c r="E10015" s="21"/>
      <c r="F10015" s="21"/>
      <c r="G10015" s="25"/>
      <c r="H10015" s="24" t="str">
        <f>IFERROR(VLOOKUP(B10015,material!A:D,3,0),"")</f>
        <v/>
      </c>
    </row>
    <row r="10016" ht="11.25" customHeight="1">
      <c r="A10016" s="21"/>
      <c r="B10016" s="22"/>
      <c r="C10016" s="21"/>
      <c r="D10016" s="21"/>
      <c r="E10016" s="21"/>
      <c r="F10016" s="21"/>
      <c r="G10016" s="25"/>
      <c r="H10016" s="24" t="str">
        <f>IFERROR(VLOOKUP(B10016,material!A:D,3,0),"")</f>
        <v/>
      </c>
    </row>
    <row r="10017" ht="11.25" customHeight="1">
      <c r="A10017" s="21"/>
      <c r="B10017" s="22"/>
      <c r="C10017" s="21"/>
      <c r="D10017" s="21"/>
      <c r="E10017" s="21"/>
      <c r="F10017" s="21"/>
      <c r="G10017" s="25"/>
      <c r="H10017" s="24" t="str">
        <f>IFERROR(VLOOKUP(B10017,material!A:D,3,0),"")</f>
        <v/>
      </c>
    </row>
    <row r="10018" ht="11.25" customHeight="1">
      <c r="A10018" s="21"/>
      <c r="B10018" s="22"/>
      <c r="C10018" s="21"/>
      <c r="D10018" s="21"/>
      <c r="E10018" s="21"/>
      <c r="F10018" s="21"/>
      <c r="G10018" s="25"/>
      <c r="H10018" s="24" t="str">
        <f>IFERROR(VLOOKUP(B10018,material!A:D,3,0),"")</f>
        <v/>
      </c>
    </row>
    <row r="10019" ht="11.25" customHeight="1">
      <c r="A10019" s="21"/>
      <c r="B10019" s="22"/>
      <c r="C10019" s="21"/>
      <c r="D10019" s="21"/>
      <c r="E10019" s="21"/>
      <c r="F10019" s="21"/>
      <c r="G10019" s="25"/>
      <c r="H10019" s="24" t="str">
        <f>IFERROR(VLOOKUP(B10019,material!A:D,3,0),"")</f>
        <v/>
      </c>
    </row>
    <row r="10020" ht="11.25" customHeight="1">
      <c r="A10020" s="21"/>
      <c r="B10020" s="22"/>
      <c r="C10020" s="21"/>
      <c r="D10020" s="21"/>
      <c r="E10020" s="21"/>
      <c r="F10020" s="21"/>
      <c r="G10020" s="25"/>
      <c r="H10020" s="24" t="str">
        <f>IFERROR(VLOOKUP(B10020,material!A:D,3,0),"")</f>
        <v/>
      </c>
    </row>
    <row r="10021" ht="11.25" customHeight="1">
      <c r="A10021" s="21"/>
      <c r="B10021" s="22"/>
      <c r="C10021" s="21"/>
      <c r="D10021" s="21"/>
      <c r="E10021" s="21"/>
      <c r="F10021" s="21"/>
      <c r="G10021" s="25"/>
      <c r="H10021" s="24" t="str">
        <f>IFERROR(VLOOKUP(B10021,material!A:D,3,0),"")</f>
        <v/>
      </c>
    </row>
    <row r="10022" ht="11.25" customHeight="1">
      <c r="A10022" s="21"/>
      <c r="B10022" s="22"/>
      <c r="C10022" s="21"/>
      <c r="D10022" s="21"/>
      <c r="E10022" s="21"/>
      <c r="F10022" s="21"/>
      <c r="G10022" s="25"/>
      <c r="H10022" s="24" t="str">
        <f>IFERROR(VLOOKUP(B10022,material!A:D,3,0),"")</f>
        <v/>
      </c>
    </row>
    <row r="10023" ht="11.25" customHeight="1">
      <c r="A10023" s="21"/>
      <c r="B10023" s="22"/>
      <c r="C10023" s="21"/>
      <c r="D10023" s="21"/>
      <c r="E10023" s="21"/>
      <c r="F10023" s="21"/>
      <c r="G10023" s="25"/>
      <c r="H10023" s="24" t="str">
        <f>IFERROR(VLOOKUP(B10023,material!A:D,3,0),"")</f>
        <v/>
      </c>
    </row>
    <row r="10024" ht="11.25" customHeight="1">
      <c r="A10024" s="21"/>
      <c r="B10024" s="22"/>
      <c r="C10024" s="21"/>
      <c r="D10024" s="21"/>
      <c r="E10024" s="21"/>
      <c r="F10024" s="21"/>
      <c r="G10024" s="25"/>
      <c r="H10024" s="24" t="str">
        <f>IFERROR(VLOOKUP(B10024,material!A:D,3,0),"")</f>
        <v/>
      </c>
    </row>
    <row r="10025" ht="11.25" customHeight="1">
      <c r="A10025" s="21"/>
      <c r="B10025" s="22"/>
      <c r="C10025" s="21"/>
      <c r="D10025" s="21"/>
      <c r="E10025" s="21"/>
      <c r="F10025" s="21"/>
      <c r="G10025" s="25"/>
      <c r="H10025" s="24" t="str">
        <f>IFERROR(VLOOKUP(B10025,material!A:D,3,0),"")</f>
        <v/>
      </c>
    </row>
    <row r="10026" ht="11.25" customHeight="1">
      <c r="A10026" s="21"/>
      <c r="B10026" s="22"/>
      <c r="C10026" s="21"/>
      <c r="D10026" s="21"/>
      <c r="E10026" s="21"/>
      <c r="F10026" s="21"/>
      <c r="G10026" s="25"/>
      <c r="H10026" s="24" t="str">
        <f>IFERROR(VLOOKUP(B10026,material!A:D,3,0),"")</f>
        <v/>
      </c>
    </row>
    <row r="10027" ht="11.25" customHeight="1">
      <c r="A10027" s="21"/>
      <c r="B10027" s="22"/>
      <c r="C10027" s="21"/>
      <c r="D10027" s="21"/>
      <c r="E10027" s="21"/>
      <c r="F10027" s="21"/>
      <c r="G10027" s="25"/>
      <c r="H10027" s="24" t="str">
        <f>IFERROR(VLOOKUP(B10027,material!A:D,3,0),"")</f>
        <v/>
      </c>
    </row>
    <row r="10028" ht="11.25" customHeight="1">
      <c r="A10028" s="21"/>
      <c r="B10028" s="22"/>
      <c r="C10028" s="21"/>
      <c r="D10028" s="21"/>
      <c r="E10028" s="21"/>
      <c r="F10028" s="21"/>
      <c r="G10028" s="25"/>
      <c r="H10028" s="24" t="str">
        <f>IFERROR(VLOOKUP(B10028,material!A:D,3,0),"")</f>
        <v/>
      </c>
    </row>
    <row r="10029" ht="11.25" customHeight="1">
      <c r="A10029" s="21"/>
      <c r="B10029" s="22"/>
      <c r="C10029" s="21"/>
      <c r="D10029" s="21"/>
      <c r="E10029" s="21"/>
      <c r="F10029" s="21"/>
      <c r="G10029" s="25"/>
      <c r="H10029" s="24" t="str">
        <f>IFERROR(VLOOKUP(B10029,material!A:D,3,0),"")</f>
        <v/>
      </c>
    </row>
    <row r="10030" ht="11.25" customHeight="1">
      <c r="A10030" s="21"/>
      <c r="B10030" s="22"/>
      <c r="C10030" s="21"/>
      <c r="D10030" s="21"/>
      <c r="E10030" s="21"/>
      <c r="F10030" s="21"/>
      <c r="G10030" s="25"/>
      <c r="H10030" s="24" t="str">
        <f>IFERROR(VLOOKUP(B10030,material!A:D,3,0),"")</f>
        <v/>
      </c>
    </row>
    <row r="10031" ht="11.25" customHeight="1">
      <c r="A10031" s="21"/>
      <c r="B10031" s="22"/>
      <c r="C10031" s="21"/>
      <c r="D10031" s="21"/>
      <c r="E10031" s="21"/>
      <c r="F10031" s="21"/>
      <c r="G10031" s="25"/>
      <c r="H10031" s="24" t="str">
        <f>IFERROR(VLOOKUP(B10031,material!A:D,3,0),"")</f>
        <v/>
      </c>
    </row>
    <row r="10032" ht="11.25" customHeight="1">
      <c r="A10032" s="21"/>
      <c r="B10032" s="22"/>
      <c r="C10032" s="21"/>
      <c r="D10032" s="21"/>
      <c r="E10032" s="21"/>
      <c r="F10032" s="21"/>
      <c r="G10032" s="25"/>
      <c r="H10032" s="24" t="str">
        <f>IFERROR(VLOOKUP(B10032,material!A:D,3,0),"")</f>
        <v/>
      </c>
    </row>
    <row r="10033" ht="11.25" customHeight="1">
      <c r="A10033" s="21"/>
      <c r="B10033" s="22"/>
      <c r="C10033" s="21"/>
      <c r="D10033" s="21"/>
      <c r="E10033" s="21"/>
      <c r="F10033" s="21"/>
      <c r="G10033" s="25"/>
      <c r="H10033" s="24" t="str">
        <f>IFERROR(VLOOKUP(B10033,material!A:D,3,0),"")</f>
        <v/>
      </c>
    </row>
    <row r="10034" ht="11.25" customHeight="1">
      <c r="A10034" s="21"/>
      <c r="B10034" s="22"/>
      <c r="C10034" s="21"/>
      <c r="D10034" s="21"/>
      <c r="E10034" s="21"/>
      <c r="F10034" s="21"/>
      <c r="G10034" s="25"/>
      <c r="H10034" s="24" t="str">
        <f>IFERROR(VLOOKUP(B10034,material!A:D,3,0),"")</f>
        <v/>
      </c>
    </row>
    <row r="10035" ht="11.25" customHeight="1">
      <c r="A10035" s="21"/>
      <c r="B10035" s="22"/>
      <c r="C10035" s="21"/>
      <c r="D10035" s="21"/>
      <c r="E10035" s="21"/>
      <c r="F10035" s="21"/>
      <c r="G10035" s="25"/>
      <c r="H10035" s="24" t="str">
        <f>IFERROR(VLOOKUP(B10035,material!A:D,3,0),"")</f>
        <v/>
      </c>
    </row>
    <row r="10036" ht="11.25" customHeight="1">
      <c r="A10036" s="21"/>
      <c r="B10036" s="22"/>
      <c r="C10036" s="21"/>
      <c r="D10036" s="21"/>
      <c r="E10036" s="21"/>
      <c r="F10036" s="21"/>
      <c r="G10036" s="25"/>
      <c r="H10036" s="24" t="str">
        <f>IFERROR(VLOOKUP(B10036,material!A:D,3,0),"")</f>
        <v/>
      </c>
    </row>
    <row r="10037" ht="11.25" customHeight="1">
      <c r="A10037" s="21"/>
      <c r="B10037" s="22"/>
      <c r="C10037" s="21"/>
      <c r="D10037" s="21"/>
      <c r="E10037" s="21"/>
      <c r="F10037" s="21"/>
      <c r="G10037" s="25"/>
      <c r="H10037" s="24" t="str">
        <f>IFERROR(VLOOKUP(B10037,material!A:D,3,0),"")</f>
        <v/>
      </c>
    </row>
    <row r="10038" ht="11.25" customHeight="1">
      <c r="A10038" s="21"/>
      <c r="B10038" s="22"/>
      <c r="C10038" s="21"/>
      <c r="D10038" s="21"/>
      <c r="E10038" s="21"/>
      <c r="F10038" s="21"/>
      <c r="G10038" s="25"/>
      <c r="H10038" s="24" t="str">
        <f>IFERROR(VLOOKUP(B10038,material!A:D,3,0),"")</f>
        <v/>
      </c>
    </row>
    <row r="10039" ht="11.25" customHeight="1">
      <c r="A10039" s="21"/>
      <c r="B10039" s="22"/>
      <c r="C10039" s="21"/>
      <c r="D10039" s="21"/>
      <c r="E10039" s="21"/>
      <c r="F10039" s="21"/>
      <c r="G10039" s="25"/>
      <c r="H10039" s="24" t="str">
        <f>IFERROR(VLOOKUP(B10039,material!A:D,3,0),"")</f>
        <v/>
      </c>
    </row>
    <row r="10040" ht="11.25" customHeight="1">
      <c r="A10040" s="21"/>
      <c r="B10040" s="22"/>
      <c r="C10040" s="21"/>
      <c r="D10040" s="21"/>
      <c r="E10040" s="21"/>
      <c r="F10040" s="21"/>
      <c r="G10040" s="25"/>
      <c r="H10040" s="24" t="str">
        <f>IFERROR(VLOOKUP(B10040,material!A:D,3,0),"")</f>
        <v/>
      </c>
    </row>
    <row r="10041" ht="11.25" customHeight="1">
      <c r="A10041" s="21"/>
      <c r="B10041" s="22"/>
      <c r="C10041" s="21"/>
      <c r="D10041" s="21"/>
      <c r="E10041" s="21"/>
      <c r="F10041" s="21"/>
      <c r="G10041" s="25"/>
      <c r="H10041" s="24" t="str">
        <f>IFERROR(VLOOKUP(B10041,material!A:D,3,0),"")</f>
        <v/>
      </c>
    </row>
    <row r="10042" ht="11.25" customHeight="1">
      <c r="A10042" s="21"/>
      <c r="B10042" s="22"/>
      <c r="C10042" s="21"/>
      <c r="D10042" s="21"/>
      <c r="E10042" s="21"/>
      <c r="F10042" s="21"/>
      <c r="G10042" s="25"/>
      <c r="H10042" s="24" t="str">
        <f>IFERROR(VLOOKUP(B10042,material!A:D,3,0),"")</f>
        <v/>
      </c>
    </row>
    <row r="10043" ht="11.25" customHeight="1">
      <c r="A10043" s="21"/>
      <c r="B10043" s="22"/>
      <c r="C10043" s="21"/>
      <c r="D10043" s="21"/>
      <c r="E10043" s="21"/>
      <c r="F10043" s="21"/>
      <c r="G10043" s="25"/>
      <c r="H10043" s="24" t="str">
        <f>IFERROR(VLOOKUP(B10043,material!A:D,3,0),"")</f>
        <v/>
      </c>
    </row>
    <row r="10044" ht="11.25" customHeight="1">
      <c r="A10044" s="21"/>
      <c r="B10044" s="22"/>
      <c r="C10044" s="21"/>
      <c r="D10044" s="21"/>
      <c r="E10044" s="21"/>
      <c r="F10044" s="21"/>
      <c r="G10044" s="25"/>
      <c r="H10044" s="24" t="str">
        <f>IFERROR(VLOOKUP(B10044,material!A:D,3,0),"")</f>
        <v/>
      </c>
    </row>
    <row r="10045" ht="11.25" customHeight="1">
      <c r="A10045" s="21"/>
      <c r="B10045" s="22"/>
      <c r="C10045" s="21"/>
      <c r="D10045" s="21"/>
      <c r="E10045" s="21"/>
      <c r="F10045" s="21"/>
      <c r="G10045" s="25"/>
      <c r="H10045" s="24" t="str">
        <f>IFERROR(VLOOKUP(B10045,material!A:D,3,0),"")</f>
        <v/>
      </c>
    </row>
    <row r="10046" ht="11.25" customHeight="1">
      <c r="A10046" s="21"/>
      <c r="B10046" s="22"/>
      <c r="C10046" s="21"/>
      <c r="D10046" s="21"/>
      <c r="E10046" s="21"/>
      <c r="F10046" s="21"/>
      <c r="G10046" s="25"/>
      <c r="H10046" s="24" t="str">
        <f>IFERROR(VLOOKUP(B10046,material!A:D,3,0),"")</f>
        <v/>
      </c>
    </row>
    <row r="10047" ht="11.25" customHeight="1">
      <c r="A10047" s="21"/>
      <c r="B10047" s="22"/>
      <c r="C10047" s="21"/>
      <c r="D10047" s="21"/>
      <c r="E10047" s="21"/>
      <c r="F10047" s="21"/>
      <c r="G10047" s="25"/>
      <c r="H10047" s="24" t="str">
        <f>IFERROR(VLOOKUP(B10047,material!A:D,3,0),"")</f>
        <v/>
      </c>
    </row>
    <row r="10048" ht="11.25" customHeight="1">
      <c r="A10048" s="21"/>
      <c r="B10048" s="22"/>
      <c r="C10048" s="21"/>
      <c r="D10048" s="21"/>
      <c r="E10048" s="21"/>
      <c r="F10048" s="21"/>
      <c r="G10048" s="25"/>
      <c r="H10048" s="24" t="str">
        <f>IFERROR(VLOOKUP(B10048,material!A:D,3,0),"")</f>
        <v/>
      </c>
    </row>
    <row r="10049" ht="11.25" customHeight="1">
      <c r="A10049" s="21"/>
      <c r="B10049" s="22"/>
      <c r="C10049" s="21"/>
      <c r="D10049" s="21"/>
      <c r="E10049" s="21"/>
      <c r="F10049" s="21"/>
      <c r="G10049" s="25"/>
      <c r="H10049" s="24" t="str">
        <f>IFERROR(VLOOKUP(B10049,material!A:D,3,0),"")</f>
        <v/>
      </c>
    </row>
    <row r="10050" ht="11.25" customHeight="1">
      <c r="A10050" s="21"/>
      <c r="B10050" s="22"/>
      <c r="C10050" s="21"/>
      <c r="D10050" s="21"/>
      <c r="E10050" s="21"/>
      <c r="F10050" s="21"/>
      <c r="G10050" s="25"/>
      <c r="H10050" s="24" t="str">
        <f>IFERROR(VLOOKUP(B10050,material!A:D,3,0),"")</f>
        <v/>
      </c>
    </row>
    <row r="10051" ht="11.25" customHeight="1">
      <c r="A10051" s="21"/>
      <c r="B10051" s="22"/>
      <c r="C10051" s="21"/>
      <c r="D10051" s="21"/>
      <c r="E10051" s="21"/>
      <c r="F10051" s="21"/>
      <c r="G10051" s="25"/>
      <c r="H10051" s="24" t="str">
        <f>IFERROR(VLOOKUP(B10051,material!A:D,3,0),"")</f>
        <v/>
      </c>
    </row>
    <row r="10052" ht="11.25" customHeight="1">
      <c r="A10052" s="21"/>
      <c r="B10052" s="22"/>
      <c r="C10052" s="21"/>
      <c r="D10052" s="21"/>
      <c r="E10052" s="21"/>
      <c r="F10052" s="21"/>
      <c r="G10052" s="25"/>
      <c r="H10052" s="24" t="str">
        <f>IFERROR(VLOOKUP(B10052,material!A:D,3,0),"")</f>
        <v/>
      </c>
    </row>
    <row r="10053" ht="11.25" customHeight="1">
      <c r="A10053" s="21"/>
      <c r="B10053" s="22"/>
      <c r="C10053" s="21"/>
      <c r="D10053" s="21"/>
      <c r="E10053" s="21"/>
      <c r="F10053" s="21"/>
      <c r="G10053" s="25"/>
      <c r="H10053" s="24" t="str">
        <f>IFERROR(VLOOKUP(B10053,material!A:D,3,0),"")</f>
        <v/>
      </c>
    </row>
    <row r="10054" ht="11.25" customHeight="1">
      <c r="A10054" s="21"/>
      <c r="B10054" s="22"/>
      <c r="C10054" s="21"/>
      <c r="D10054" s="21"/>
      <c r="E10054" s="21"/>
      <c r="F10054" s="21"/>
      <c r="G10054" s="25"/>
      <c r="H10054" s="24" t="str">
        <f>IFERROR(VLOOKUP(B10054,material!A:D,3,0),"")</f>
        <v/>
      </c>
    </row>
    <row r="10055" ht="11.25" customHeight="1">
      <c r="A10055" s="21"/>
      <c r="B10055" s="22"/>
      <c r="C10055" s="21"/>
      <c r="D10055" s="21"/>
      <c r="E10055" s="21"/>
      <c r="F10055" s="21"/>
      <c r="G10055" s="25"/>
      <c r="H10055" s="24" t="str">
        <f>IFERROR(VLOOKUP(B10055,material!A:D,3,0),"")</f>
        <v/>
      </c>
    </row>
    <row r="10056" ht="11.25" customHeight="1">
      <c r="A10056" s="21"/>
      <c r="B10056" s="22"/>
      <c r="C10056" s="21"/>
      <c r="D10056" s="21"/>
      <c r="E10056" s="21"/>
      <c r="F10056" s="21"/>
      <c r="G10056" s="25"/>
      <c r="H10056" s="24" t="str">
        <f>IFERROR(VLOOKUP(B10056,material!A:D,3,0),"")</f>
        <v/>
      </c>
    </row>
    <row r="10057" ht="11.25" customHeight="1">
      <c r="A10057" s="21"/>
      <c r="B10057" s="22"/>
      <c r="C10057" s="21"/>
      <c r="D10057" s="21"/>
      <c r="E10057" s="21"/>
      <c r="F10057" s="21"/>
      <c r="G10057" s="25"/>
      <c r="H10057" s="24" t="str">
        <f>IFERROR(VLOOKUP(B10057,material!A:D,3,0),"")</f>
        <v/>
      </c>
    </row>
    <row r="10058" ht="11.25" customHeight="1">
      <c r="A10058" s="21"/>
      <c r="B10058" s="22"/>
      <c r="C10058" s="21"/>
      <c r="D10058" s="21"/>
      <c r="E10058" s="21"/>
      <c r="F10058" s="21"/>
      <c r="G10058" s="25"/>
      <c r="H10058" s="24" t="str">
        <f>IFERROR(VLOOKUP(B10058,material!A:D,3,0),"")</f>
        <v/>
      </c>
    </row>
    <row r="10059" ht="11.25" customHeight="1">
      <c r="A10059" s="21"/>
      <c r="B10059" s="22"/>
      <c r="C10059" s="21"/>
      <c r="D10059" s="21"/>
      <c r="E10059" s="21"/>
      <c r="F10059" s="21"/>
      <c r="G10059" s="25"/>
      <c r="H10059" s="24" t="str">
        <f>IFERROR(VLOOKUP(B10059,material!A:D,3,0),"")</f>
        <v/>
      </c>
    </row>
    <row r="10060" ht="11.25" customHeight="1">
      <c r="A10060" s="21"/>
      <c r="B10060" s="22"/>
      <c r="C10060" s="21"/>
      <c r="D10060" s="21"/>
      <c r="E10060" s="21"/>
      <c r="F10060" s="21"/>
      <c r="G10060" s="25"/>
      <c r="H10060" s="24" t="str">
        <f>IFERROR(VLOOKUP(B10060,material!A:D,3,0),"")</f>
        <v/>
      </c>
    </row>
    <row r="10061" ht="11.25" customHeight="1">
      <c r="A10061" s="21"/>
      <c r="B10061" s="22"/>
      <c r="C10061" s="21"/>
      <c r="D10061" s="21"/>
      <c r="E10061" s="21"/>
      <c r="F10061" s="21"/>
      <c r="G10061" s="25"/>
      <c r="H10061" s="24" t="str">
        <f>IFERROR(VLOOKUP(B10061,material!A:D,3,0),"")</f>
        <v/>
      </c>
    </row>
    <row r="10062" ht="11.25" customHeight="1">
      <c r="A10062" s="21"/>
      <c r="B10062" s="22"/>
      <c r="C10062" s="21"/>
      <c r="D10062" s="21"/>
      <c r="E10062" s="21"/>
      <c r="F10062" s="21"/>
      <c r="G10062" s="25"/>
      <c r="H10062" s="24" t="str">
        <f>IFERROR(VLOOKUP(B10062,material!A:D,3,0),"")</f>
        <v/>
      </c>
    </row>
    <row r="10063" ht="11.25" customHeight="1">
      <c r="A10063" s="21"/>
      <c r="B10063" s="22"/>
      <c r="C10063" s="21"/>
      <c r="D10063" s="21"/>
      <c r="E10063" s="21"/>
      <c r="F10063" s="21"/>
      <c r="G10063" s="25"/>
      <c r="H10063" s="24" t="str">
        <f>IFERROR(VLOOKUP(B10063,material!A:D,3,0),"")</f>
        <v/>
      </c>
    </row>
    <row r="10064" ht="11.25" customHeight="1">
      <c r="A10064" s="21"/>
      <c r="B10064" s="22"/>
      <c r="C10064" s="21"/>
      <c r="D10064" s="21"/>
      <c r="E10064" s="21"/>
      <c r="F10064" s="21"/>
      <c r="G10064" s="25"/>
      <c r="H10064" s="24" t="str">
        <f>IFERROR(VLOOKUP(B10064,material!A:D,3,0),"")</f>
        <v/>
      </c>
    </row>
    <row r="10065" ht="11.25" customHeight="1">
      <c r="A10065" s="21"/>
      <c r="B10065" s="22"/>
      <c r="C10065" s="21"/>
      <c r="D10065" s="21"/>
      <c r="E10065" s="21"/>
      <c r="F10065" s="21"/>
      <c r="G10065" s="25"/>
      <c r="H10065" s="24" t="str">
        <f>IFERROR(VLOOKUP(B10065,material!A:D,3,0),"")</f>
        <v/>
      </c>
    </row>
    <row r="10066" ht="11.25" customHeight="1">
      <c r="A10066" s="21"/>
      <c r="B10066" s="22"/>
      <c r="C10066" s="21"/>
      <c r="D10066" s="21"/>
      <c r="E10066" s="21"/>
      <c r="F10066" s="21"/>
      <c r="G10066" s="25"/>
      <c r="H10066" s="24" t="str">
        <f>IFERROR(VLOOKUP(B10066,material!A:D,3,0),"")</f>
        <v/>
      </c>
    </row>
    <row r="10067" ht="11.25" customHeight="1">
      <c r="A10067" s="21"/>
      <c r="B10067" s="22"/>
      <c r="C10067" s="21"/>
      <c r="D10067" s="21"/>
      <c r="E10067" s="21"/>
      <c r="F10067" s="21"/>
      <c r="G10067" s="25"/>
      <c r="H10067" s="24" t="str">
        <f>IFERROR(VLOOKUP(B10067,material!A:D,3,0),"")</f>
        <v/>
      </c>
    </row>
    <row r="10068" ht="11.25" customHeight="1">
      <c r="A10068" s="21"/>
      <c r="B10068" s="22"/>
      <c r="C10068" s="21"/>
      <c r="D10068" s="21"/>
      <c r="E10068" s="21"/>
      <c r="F10068" s="21"/>
      <c r="G10068" s="25"/>
      <c r="H10068" s="24" t="str">
        <f>IFERROR(VLOOKUP(B10068,material!A:D,3,0),"")</f>
        <v/>
      </c>
    </row>
    <row r="10069" ht="11.25" customHeight="1">
      <c r="A10069" s="21"/>
      <c r="B10069" s="22"/>
      <c r="C10069" s="21"/>
      <c r="D10069" s="21"/>
      <c r="E10069" s="21"/>
      <c r="F10069" s="21"/>
      <c r="G10069" s="25"/>
      <c r="H10069" s="24" t="str">
        <f>IFERROR(VLOOKUP(B10069,material!A:D,3,0),"")</f>
        <v/>
      </c>
    </row>
    <row r="10070" ht="11.25" customHeight="1">
      <c r="A10070" s="21"/>
      <c r="B10070" s="22"/>
      <c r="C10070" s="21"/>
      <c r="D10070" s="21"/>
      <c r="E10070" s="21"/>
      <c r="F10070" s="21"/>
      <c r="G10070" s="25"/>
      <c r="H10070" s="24" t="str">
        <f>IFERROR(VLOOKUP(B10070,material!A:D,3,0),"")</f>
        <v/>
      </c>
    </row>
    <row r="10071" ht="11.25" customHeight="1">
      <c r="A10071" s="21"/>
      <c r="B10071" s="22"/>
      <c r="C10071" s="21"/>
      <c r="D10071" s="21"/>
      <c r="E10071" s="21"/>
      <c r="F10071" s="21"/>
      <c r="G10071" s="25"/>
      <c r="H10071" s="24" t="str">
        <f>IFERROR(VLOOKUP(B10071,material!A:D,3,0),"")</f>
        <v/>
      </c>
    </row>
    <row r="10072" ht="11.25" customHeight="1">
      <c r="A10072" s="21"/>
      <c r="B10072" s="22"/>
      <c r="C10072" s="21"/>
      <c r="D10072" s="21"/>
      <c r="E10072" s="21"/>
      <c r="F10072" s="21"/>
      <c r="G10072" s="25"/>
      <c r="H10072" s="24" t="str">
        <f>IFERROR(VLOOKUP(B10072,material!A:D,3,0),"")</f>
        <v/>
      </c>
    </row>
    <row r="10073" ht="11.25" customHeight="1">
      <c r="A10073" s="21"/>
      <c r="B10073" s="22"/>
      <c r="C10073" s="21"/>
      <c r="D10073" s="21"/>
      <c r="E10073" s="21"/>
      <c r="F10073" s="21"/>
      <c r="G10073" s="25"/>
      <c r="H10073" s="24" t="str">
        <f>IFERROR(VLOOKUP(B10073,material!A:D,3,0),"")</f>
        <v/>
      </c>
    </row>
    <row r="10074" ht="11.25" customHeight="1">
      <c r="A10074" s="21"/>
      <c r="B10074" s="22"/>
      <c r="C10074" s="21"/>
      <c r="D10074" s="21"/>
      <c r="E10074" s="21"/>
      <c r="F10074" s="21"/>
      <c r="G10074" s="25"/>
      <c r="H10074" s="24" t="str">
        <f>IFERROR(VLOOKUP(B10074,material!A:D,3,0),"")</f>
        <v/>
      </c>
    </row>
    <row r="10075" ht="11.25" customHeight="1">
      <c r="A10075" s="21"/>
      <c r="B10075" s="22"/>
      <c r="C10075" s="21"/>
      <c r="D10075" s="21"/>
      <c r="E10075" s="21"/>
      <c r="F10075" s="21"/>
      <c r="G10075" s="25"/>
      <c r="H10075" s="24" t="str">
        <f>IFERROR(VLOOKUP(B10075,material!A:D,3,0),"")</f>
        <v/>
      </c>
    </row>
    <row r="10076" ht="11.25" customHeight="1">
      <c r="A10076" s="21"/>
      <c r="B10076" s="22"/>
      <c r="C10076" s="21"/>
      <c r="D10076" s="21"/>
      <c r="E10076" s="21"/>
      <c r="F10076" s="21"/>
      <c r="G10076" s="25"/>
      <c r="H10076" s="24" t="str">
        <f>IFERROR(VLOOKUP(B10076,material!A:D,3,0),"")</f>
        <v/>
      </c>
    </row>
    <row r="10077" ht="11.25" customHeight="1">
      <c r="A10077" s="21"/>
      <c r="B10077" s="22"/>
      <c r="C10077" s="21"/>
      <c r="D10077" s="21"/>
      <c r="E10077" s="21"/>
      <c r="F10077" s="21"/>
      <c r="G10077" s="25"/>
      <c r="H10077" s="24" t="str">
        <f>IFERROR(VLOOKUP(B10077,material!A:D,3,0),"")</f>
        <v/>
      </c>
    </row>
    <row r="10078" ht="11.25" customHeight="1">
      <c r="A10078" s="21"/>
      <c r="B10078" s="22"/>
      <c r="C10078" s="21"/>
      <c r="D10078" s="21"/>
      <c r="E10078" s="21"/>
      <c r="F10078" s="21"/>
      <c r="G10078" s="25"/>
      <c r="H10078" s="24" t="str">
        <f>IFERROR(VLOOKUP(B10078,material!A:D,3,0),"")</f>
        <v/>
      </c>
    </row>
    <row r="10079" ht="11.25" customHeight="1">
      <c r="A10079" s="21"/>
      <c r="B10079" s="22"/>
      <c r="C10079" s="21"/>
      <c r="D10079" s="21"/>
      <c r="E10079" s="21"/>
      <c r="F10079" s="21"/>
      <c r="G10079" s="25"/>
      <c r="H10079" s="24" t="str">
        <f>IFERROR(VLOOKUP(B10079,material!A:D,3,0),"")</f>
        <v/>
      </c>
    </row>
    <row r="10080" ht="11.25" customHeight="1">
      <c r="A10080" s="21"/>
      <c r="B10080" s="22"/>
      <c r="C10080" s="21"/>
      <c r="D10080" s="21"/>
      <c r="E10080" s="21"/>
      <c r="F10080" s="21"/>
      <c r="G10080" s="25"/>
      <c r="H10080" s="24" t="str">
        <f>IFERROR(VLOOKUP(B10080,material!A:D,3,0),"")</f>
        <v/>
      </c>
    </row>
    <row r="10081" ht="11.25" customHeight="1">
      <c r="A10081" s="21"/>
      <c r="B10081" s="22"/>
      <c r="C10081" s="21"/>
      <c r="D10081" s="21"/>
      <c r="E10081" s="21"/>
      <c r="F10081" s="21"/>
      <c r="G10081" s="25"/>
      <c r="H10081" s="24" t="str">
        <f>IFERROR(VLOOKUP(B10081,material!A:D,3,0),"")</f>
        <v/>
      </c>
    </row>
    <row r="10082" ht="11.25" customHeight="1">
      <c r="A10082" s="21"/>
      <c r="B10082" s="22"/>
      <c r="C10082" s="21"/>
      <c r="D10082" s="21"/>
      <c r="E10082" s="21"/>
      <c r="F10082" s="21"/>
      <c r="G10082" s="25"/>
      <c r="H10082" s="24" t="str">
        <f>IFERROR(VLOOKUP(B10082,material!A:D,3,0),"")</f>
        <v/>
      </c>
    </row>
    <row r="10083" ht="11.25" customHeight="1">
      <c r="A10083" s="21"/>
      <c r="B10083" s="22"/>
      <c r="C10083" s="21"/>
      <c r="D10083" s="21"/>
      <c r="E10083" s="21"/>
      <c r="F10083" s="21"/>
      <c r="G10083" s="25"/>
      <c r="H10083" s="24" t="str">
        <f>IFERROR(VLOOKUP(B10083,material!A:D,3,0),"")</f>
        <v/>
      </c>
    </row>
    <row r="10084" ht="11.25" customHeight="1">
      <c r="A10084" s="21"/>
      <c r="B10084" s="22"/>
      <c r="C10084" s="21"/>
      <c r="D10084" s="21"/>
      <c r="E10084" s="21"/>
      <c r="F10084" s="21"/>
      <c r="G10084" s="25"/>
      <c r="H10084" s="24" t="str">
        <f>IFERROR(VLOOKUP(B10084,material!A:D,3,0),"")</f>
        <v/>
      </c>
    </row>
    <row r="10085" ht="11.25" customHeight="1">
      <c r="A10085" s="21"/>
      <c r="B10085" s="22"/>
      <c r="C10085" s="21"/>
      <c r="D10085" s="21"/>
      <c r="E10085" s="21"/>
      <c r="F10085" s="21"/>
      <c r="G10085" s="25"/>
      <c r="H10085" s="24" t="str">
        <f>IFERROR(VLOOKUP(B10085,material!A:D,3,0),"")</f>
        <v/>
      </c>
    </row>
    <row r="10086" ht="11.25" customHeight="1">
      <c r="A10086" s="21"/>
      <c r="B10086" s="22"/>
      <c r="C10086" s="21"/>
      <c r="D10086" s="21"/>
      <c r="E10086" s="21"/>
      <c r="F10086" s="21"/>
      <c r="G10086" s="25"/>
      <c r="H10086" s="24" t="str">
        <f>IFERROR(VLOOKUP(B10086,material!A:D,3,0),"")</f>
        <v/>
      </c>
    </row>
    <row r="10087" ht="11.25" customHeight="1">
      <c r="A10087" s="21"/>
      <c r="B10087" s="22"/>
      <c r="C10087" s="21"/>
      <c r="D10087" s="21"/>
      <c r="E10087" s="21"/>
      <c r="F10087" s="21"/>
      <c r="G10087" s="25"/>
      <c r="H10087" s="24" t="str">
        <f>IFERROR(VLOOKUP(B10087,material!A:D,3,0),"")</f>
        <v/>
      </c>
    </row>
    <row r="10088" ht="11.25" customHeight="1">
      <c r="A10088" s="21"/>
      <c r="B10088" s="22"/>
      <c r="C10088" s="21"/>
      <c r="D10088" s="21"/>
      <c r="E10088" s="21"/>
      <c r="F10088" s="21"/>
      <c r="G10088" s="25"/>
      <c r="H10088" s="24" t="str">
        <f>IFERROR(VLOOKUP(B10088,material!A:D,3,0),"")</f>
        <v/>
      </c>
    </row>
    <row r="10089" ht="11.25" customHeight="1">
      <c r="A10089" s="21"/>
      <c r="B10089" s="22"/>
      <c r="C10089" s="21"/>
      <c r="D10089" s="21"/>
      <c r="E10089" s="21"/>
      <c r="F10089" s="21"/>
      <c r="G10089" s="25"/>
      <c r="H10089" s="24" t="str">
        <f>IFERROR(VLOOKUP(B10089,material!A:D,3,0),"")</f>
        <v/>
      </c>
    </row>
    <row r="10090" ht="11.25" customHeight="1">
      <c r="A10090" s="21"/>
      <c r="B10090" s="22"/>
      <c r="C10090" s="21"/>
      <c r="D10090" s="21"/>
      <c r="E10090" s="21"/>
      <c r="F10090" s="21"/>
      <c r="G10090" s="25"/>
      <c r="H10090" s="24" t="str">
        <f>IFERROR(VLOOKUP(B10090,material!A:D,3,0),"")</f>
        <v/>
      </c>
    </row>
    <row r="10091" ht="11.25" customHeight="1">
      <c r="A10091" s="21"/>
      <c r="B10091" s="22"/>
      <c r="C10091" s="21"/>
      <c r="D10091" s="21"/>
      <c r="E10091" s="21"/>
      <c r="F10091" s="21"/>
      <c r="G10091" s="25"/>
      <c r="H10091" s="24" t="str">
        <f>IFERROR(VLOOKUP(B10091,material!A:D,3,0),"")</f>
        <v/>
      </c>
    </row>
    <row r="10092" ht="11.25" customHeight="1">
      <c r="A10092" s="21"/>
      <c r="B10092" s="22"/>
      <c r="C10092" s="21"/>
      <c r="D10092" s="21"/>
      <c r="E10092" s="21"/>
      <c r="F10092" s="21"/>
      <c r="G10092" s="25"/>
      <c r="H10092" s="24" t="str">
        <f>IFERROR(VLOOKUP(B10092,material!A:D,3,0),"")</f>
        <v/>
      </c>
    </row>
    <row r="10093" ht="11.25" customHeight="1">
      <c r="A10093" s="21"/>
      <c r="B10093" s="22"/>
      <c r="C10093" s="21"/>
      <c r="D10093" s="21"/>
      <c r="E10093" s="21"/>
      <c r="F10093" s="21"/>
      <c r="G10093" s="25"/>
      <c r="H10093" s="24" t="str">
        <f>IFERROR(VLOOKUP(B10093,material!A:D,3,0),"")</f>
        <v/>
      </c>
    </row>
    <row r="10094" ht="11.25" customHeight="1">
      <c r="A10094" s="21"/>
      <c r="B10094" s="22"/>
      <c r="C10094" s="21"/>
      <c r="D10094" s="21"/>
      <c r="E10094" s="21"/>
      <c r="F10094" s="21"/>
      <c r="G10094" s="25"/>
      <c r="H10094" s="24" t="str">
        <f>IFERROR(VLOOKUP(B10094,material!A:D,3,0),"")</f>
        <v/>
      </c>
    </row>
    <row r="10095" ht="11.25" customHeight="1">
      <c r="A10095" s="21"/>
      <c r="B10095" s="22"/>
      <c r="C10095" s="21"/>
      <c r="D10095" s="21"/>
      <c r="E10095" s="21"/>
      <c r="F10095" s="21"/>
      <c r="G10095" s="25"/>
      <c r="H10095" s="24" t="str">
        <f>IFERROR(VLOOKUP(B10095,material!A:D,3,0),"")</f>
        <v/>
      </c>
    </row>
    <row r="10096" ht="11.25" customHeight="1">
      <c r="A10096" s="21"/>
      <c r="B10096" s="22"/>
      <c r="C10096" s="21"/>
      <c r="D10096" s="21"/>
      <c r="E10096" s="21"/>
      <c r="F10096" s="21"/>
      <c r="G10096" s="25"/>
      <c r="H10096" s="24" t="str">
        <f>IFERROR(VLOOKUP(B10096,material!A:D,3,0),"")</f>
        <v/>
      </c>
    </row>
    <row r="10097" ht="11.25" customHeight="1">
      <c r="A10097" s="21"/>
      <c r="B10097" s="22"/>
      <c r="C10097" s="21"/>
      <c r="D10097" s="21"/>
      <c r="E10097" s="21"/>
      <c r="F10097" s="21"/>
      <c r="G10097" s="25"/>
      <c r="H10097" s="24" t="str">
        <f>IFERROR(VLOOKUP(B10097,material!A:D,3,0),"")</f>
        <v/>
      </c>
    </row>
    <row r="10098" ht="11.25" customHeight="1">
      <c r="A10098" s="21"/>
      <c r="B10098" s="22"/>
      <c r="C10098" s="21"/>
      <c r="D10098" s="21"/>
      <c r="E10098" s="21"/>
      <c r="F10098" s="21"/>
      <c r="G10098" s="25"/>
      <c r="H10098" s="24" t="str">
        <f>IFERROR(VLOOKUP(B10098,material!A:D,3,0),"")</f>
        <v/>
      </c>
    </row>
    <row r="10099" ht="11.25" customHeight="1">
      <c r="A10099" s="21"/>
      <c r="B10099" s="22"/>
      <c r="C10099" s="21"/>
      <c r="D10099" s="21"/>
      <c r="E10099" s="21"/>
      <c r="F10099" s="21"/>
      <c r="G10099" s="25"/>
      <c r="H10099" s="24" t="str">
        <f>IFERROR(VLOOKUP(B10099,material!A:D,3,0),"")</f>
        <v/>
      </c>
    </row>
    <row r="10100" ht="11.25" customHeight="1">
      <c r="A10100" s="21"/>
      <c r="B10100" s="22"/>
      <c r="C10100" s="21"/>
      <c r="D10100" s="21"/>
      <c r="E10100" s="21"/>
      <c r="F10100" s="21"/>
      <c r="G10100" s="25"/>
      <c r="H10100" s="24" t="str">
        <f>IFERROR(VLOOKUP(B10100,material!A:D,3,0),"")</f>
        <v/>
      </c>
    </row>
    <row r="10101" ht="11.25" customHeight="1">
      <c r="A10101" s="21"/>
      <c r="B10101" s="22"/>
      <c r="C10101" s="21"/>
      <c r="D10101" s="21"/>
      <c r="E10101" s="21"/>
      <c r="F10101" s="21"/>
      <c r="G10101" s="25"/>
      <c r="H10101" s="24" t="str">
        <f>IFERROR(VLOOKUP(B10101,material!A:D,3,0),"")</f>
        <v/>
      </c>
    </row>
    <row r="10102" ht="11.25" customHeight="1">
      <c r="A10102" s="21"/>
      <c r="B10102" s="22"/>
      <c r="C10102" s="21"/>
      <c r="D10102" s="21"/>
      <c r="E10102" s="21"/>
      <c r="F10102" s="21"/>
      <c r="G10102" s="25"/>
      <c r="H10102" s="24" t="str">
        <f>IFERROR(VLOOKUP(B10102,material!A:D,3,0),"")</f>
        <v/>
      </c>
    </row>
    <row r="10103" ht="11.25" customHeight="1">
      <c r="A10103" s="21"/>
      <c r="B10103" s="22"/>
      <c r="C10103" s="21"/>
      <c r="D10103" s="21"/>
      <c r="E10103" s="21"/>
      <c r="F10103" s="21"/>
      <c r="G10103" s="25"/>
      <c r="H10103" s="24" t="str">
        <f>IFERROR(VLOOKUP(B10103,material!A:D,3,0),"")</f>
        <v/>
      </c>
    </row>
    <row r="10104" ht="11.25" customHeight="1">
      <c r="A10104" s="21"/>
      <c r="B10104" s="22"/>
      <c r="C10104" s="21"/>
      <c r="D10104" s="21"/>
      <c r="E10104" s="21"/>
      <c r="F10104" s="21"/>
      <c r="G10104" s="25"/>
      <c r="H10104" s="24" t="str">
        <f>IFERROR(VLOOKUP(B10104,material!A:D,3,0),"")</f>
        <v/>
      </c>
    </row>
    <row r="10105" ht="11.25" customHeight="1">
      <c r="A10105" s="21"/>
      <c r="B10105" s="22"/>
      <c r="C10105" s="21"/>
      <c r="D10105" s="21"/>
      <c r="E10105" s="21"/>
      <c r="F10105" s="21"/>
      <c r="G10105" s="25"/>
      <c r="H10105" s="24" t="str">
        <f>IFERROR(VLOOKUP(B10105,material!A:D,3,0),"")</f>
        <v/>
      </c>
    </row>
    <row r="10106" ht="11.25" customHeight="1">
      <c r="A10106" s="21"/>
      <c r="B10106" s="22"/>
      <c r="C10106" s="21"/>
      <c r="D10106" s="21"/>
      <c r="E10106" s="21"/>
      <c r="F10106" s="21"/>
      <c r="G10106" s="25"/>
      <c r="H10106" s="24" t="str">
        <f>IFERROR(VLOOKUP(B10106,material!A:D,3,0),"")</f>
        <v/>
      </c>
    </row>
    <row r="10107" ht="11.25" customHeight="1">
      <c r="A10107" s="21"/>
      <c r="B10107" s="22"/>
      <c r="C10107" s="21"/>
      <c r="D10107" s="21"/>
      <c r="E10107" s="21"/>
      <c r="F10107" s="21"/>
      <c r="G10107" s="25"/>
      <c r="H10107" s="24" t="str">
        <f>IFERROR(VLOOKUP(B10107,material!A:D,3,0),"")</f>
        <v/>
      </c>
    </row>
    <row r="10108" ht="11.25" customHeight="1">
      <c r="A10108" s="21"/>
      <c r="B10108" s="22"/>
      <c r="C10108" s="21"/>
      <c r="D10108" s="21"/>
      <c r="E10108" s="21"/>
      <c r="F10108" s="21"/>
      <c r="G10108" s="25"/>
      <c r="H10108" s="24" t="str">
        <f>IFERROR(VLOOKUP(B10108,material!A:D,3,0),"")</f>
        <v/>
      </c>
    </row>
    <row r="10109" ht="11.25" customHeight="1">
      <c r="A10109" s="21"/>
      <c r="B10109" s="22"/>
      <c r="C10109" s="21"/>
      <c r="D10109" s="21"/>
      <c r="E10109" s="21"/>
      <c r="F10109" s="21"/>
      <c r="G10109" s="25"/>
      <c r="H10109" s="24" t="str">
        <f>IFERROR(VLOOKUP(B10109,material!A:D,3,0),"")</f>
        <v/>
      </c>
    </row>
    <row r="10110" ht="11.25" customHeight="1">
      <c r="A10110" s="21"/>
      <c r="B10110" s="22"/>
      <c r="C10110" s="21"/>
      <c r="D10110" s="21"/>
      <c r="E10110" s="21"/>
      <c r="F10110" s="21"/>
      <c r="G10110" s="25"/>
      <c r="H10110" s="24" t="str">
        <f>IFERROR(VLOOKUP(B10110,material!A:D,3,0),"")</f>
        <v/>
      </c>
    </row>
    <row r="10111" ht="11.25" customHeight="1">
      <c r="A10111" s="21"/>
      <c r="B10111" s="22"/>
      <c r="C10111" s="21"/>
      <c r="D10111" s="21"/>
      <c r="E10111" s="21"/>
      <c r="F10111" s="21"/>
      <c r="G10111" s="25"/>
      <c r="H10111" s="24" t="str">
        <f>IFERROR(VLOOKUP(B10111,material!A:D,3,0),"")</f>
        <v/>
      </c>
    </row>
    <row r="10112" ht="11.25" customHeight="1">
      <c r="A10112" s="21"/>
      <c r="B10112" s="22"/>
      <c r="C10112" s="21"/>
      <c r="D10112" s="21"/>
      <c r="E10112" s="21"/>
      <c r="F10112" s="21"/>
      <c r="G10112" s="25"/>
      <c r="H10112" s="24" t="str">
        <f>IFERROR(VLOOKUP(B10112,material!A:D,3,0),"")</f>
        <v/>
      </c>
    </row>
    <row r="10113" ht="11.25" customHeight="1">
      <c r="A10113" s="21"/>
      <c r="B10113" s="22"/>
      <c r="C10113" s="21"/>
      <c r="D10113" s="21"/>
      <c r="E10113" s="21"/>
      <c r="F10113" s="21"/>
      <c r="G10113" s="25"/>
      <c r="H10113" s="24" t="str">
        <f>IFERROR(VLOOKUP(B10113,material!A:D,3,0),"")</f>
        <v/>
      </c>
    </row>
    <row r="10114" ht="11.25" customHeight="1">
      <c r="A10114" s="21"/>
      <c r="B10114" s="22"/>
      <c r="C10114" s="21"/>
      <c r="D10114" s="21"/>
      <c r="E10114" s="21"/>
      <c r="F10114" s="21"/>
      <c r="G10114" s="25"/>
      <c r="H10114" s="24" t="str">
        <f>IFERROR(VLOOKUP(B10114,material!A:D,3,0),"")</f>
        <v/>
      </c>
    </row>
    <row r="10115" ht="11.25" customHeight="1">
      <c r="A10115" s="21"/>
      <c r="B10115" s="22"/>
      <c r="C10115" s="21"/>
      <c r="D10115" s="21"/>
      <c r="E10115" s="21"/>
      <c r="F10115" s="21"/>
      <c r="G10115" s="25"/>
      <c r="H10115" s="24" t="str">
        <f>IFERROR(VLOOKUP(B10115,material!A:D,3,0),"")</f>
        <v/>
      </c>
    </row>
    <row r="10116" ht="11.25" customHeight="1">
      <c r="A10116" s="21"/>
      <c r="B10116" s="22"/>
      <c r="C10116" s="21"/>
      <c r="D10116" s="21"/>
      <c r="E10116" s="21"/>
      <c r="F10116" s="21"/>
      <c r="G10116" s="25"/>
      <c r="H10116" s="24" t="str">
        <f>IFERROR(VLOOKUP(B10116,material!A:D,3,0),"")</f>
        <v/>
      </c>
    </row>
    <row r="10117" ht="11.25" customHeight="1">
      <c r="A10117" s="21"/>
      <c r="B10117" s="22"/>
      <c r="C10117" s="21"/>
      <c r="D10117" s="21"/>
      <c r="E10117" s="21"/>
      <c r="F10117" s="21"/>
      <c r="G10117" s="25"/>
      <c r="H10117" s="24" t="str">
        <f>IFERROR(VLOOKUP(B10117,material!A:D,3,0),"")</f>
        <v/>
      </c>
    </row>
    <row r="10118" ht="11.25" customHeight="1">
      <c r="A10118" s="21"/>
      <c r="B10118" s="22"/>
      <c r="C10118" s="21"/>
      <c r="D10118" s="21"/>
      <c r="E10118" s="21"/>
      <c r="F10118" s="21"/>
      <c r="G10118" s="25"/>
      <c r="H10118" s="24" t="str">
        <f>IFERROR(VLOOKUP(B10118,material!A:D,3,0),"")</f>
        <v/>
      </c>
    </row>
    <row r="10119" ht="11.25" customHeight="1">
      <c r="A10119" s="21"/>
      <c r="B10119" s="22"/>
      <c r="C10119" s="21"/>
      <c r="D10119" s="21"/>
      <c r="E10119" s="21"/>
      <c r="F10119" s="21"/>
      <c r="G10119" s="25"/>
      <c r="H10119" s="24" t="str">
        <f>IFERROR(VLOOKUP(B10119,material!A:D,3,0),"")</f>
        <v/>
      </c>
    </row>
    <row r="10120" ht="11.25" customHeight="1">
      <c r="A10120" s="21"/>
      <c r="B10120" s="22"/>
      <c r="C10120" s="21"/>
      <c r="D10120" s="21"/>
      <c r="E10120" s="21"/>
      <c r="F10120" s="21"/>
      <c r="G10120" s="25"/>
      <c r="H10120" s="24" t="str">
        <f>IFERROR(VLOOKUP(B10120,material!A:D,3,0),"")</f>
        <v/>
      </c>
    </row>
    <row r="10121" ht="11.25" customHeight="1">
      <c r="A10121" s="21"/>
      <c r="B10121" s="22"/>
      <c r="C10121" s="21"/>
      <c r="D10121" s="21"/>
      <c r="E10121" s="21"/>
      <c r="F10121" s="21"/>
      <c r="G10121" s="25"/>
      <c r="H10121" s="24" t="str">
        <f>IFERROR(VLOOKUP(B10121,material!A:D,3,0),"")</f>
        <v/>
      </c>
    </row>
    <row r="10122" ht="11.25" customHeight="1">
      <c r="A10122" s="21"/>
      <c r="B10122" s="22"/>
      <c r="C10122" s="21"/>
      <c r="D10122" s="21"/>
      <c r="E10122" s="21"/>
      <c r="F10122" s="21"/>
      <c r="G10122" s="25"/>
      <c r="H10122" s="24" t="str">
        <f>IFERROR(VLOOKUP(B10122,material!A:D,3,0),"")</f>
        <v/>
      </c>
    </row>
    <row r="10123" ht="11.25" customHeight="1">
      <c r="A10123" s="21"/>
      <c r="B10123" s="22"/>
      <c r="C10123" s="21"/>
      <c r="D10123" s="21"/>
      <c r="E10123" s="21"/>
      <c r="F10123" s="21"/>
      <c r="G10123" s="25"/>
      <c r="H10123" s="24" t="str">
        <f>IFERROR(VLOOKUP(B10123,material!A:D,3,0),"")</f>
        <v/>
      </c>
    </row>
    <row r="10124" ht="11.25" customHeight="1">
      <c r="A10124" s="21"/>
      <c r="B10124" s="22"/>
      <c r="C10124" s="21"/>
      <c r="D10124" s="21"/>
      <c r="E10124" s="21"/>
      <c r="F10124" s="21"/>
      <c r="G10124" s="25"/>
      <c r="H10124" s="24" t="str">
        <f>IFERROR(VLOOKUP(B10124,material!A:D,3,0),"")</f>
        <v/>
      </c>
    </row>
    <row r="10125" ht="11.25" customHeight="1">
      <c r="A10125" s="21"/>
      <c r="B10125" s="22"/>
      <c r="C10125" s="21"/>
      <c r="D10125" s="21"/>
      <c r="E10125" s="21"/>
      <c r="F10125" s="21"/>
      <c r="G10125" s="25"/>
      <c r="H10125" s="24" t="str">
        <f>IFERROR(VLOOKUP(B10125,material!A:D,3,0),"")</f>
        <v/>
      </c>
    </row>
    <row r="10126" ht="11.25" customHeight="1">
      <c r="A10126" s="21"/>
      <c r="B10126" s="22"/>
      <c r="C10126" s="21"/>
      <c r="D10126" s="21"/>
      <c r="E10126" s="21"/>
      <c r="F10126" s="21"/>
      <c r="G10126" s="25"/>
      <c r="H10126" s="24" t="str">
        <f>IFERROR(VLOOKUP(B10126,material!A:D,3,0),"")</f>
        <v/>
      </c>
    </row>
    <row r="10127" ht="11.25" customHeight="1">
      <c r="A10127" s="21"/>
      <c r="B10127" s="22"/>
      <c r="C10127" s="21"/>
      <c r="D10127" s="21"/>
      <c r="E10127" s="21"/>
      <c r="F10127" s="21"/>
      <c r="G10127" s="25"/>
      <c r="H10127" s="24" t="str">
        <f>IFERROR(VLOOKUP(B10127,material!A:D,3,0),"")</f>
        <v/>
      </c>
    </row>
    <row r="10128" ht="11.25" customHeight="1">
      <c r="A10128" s="21"/>
      <c r="B10128" s="22"/>
      <c r="C10128" s="21"/>
      <c r="D10128" s="21"/>
      <c r="E10128" s="21"/>
      <c r="F10128" s="21"/>
      <c r="G10128" s="25"/>
      <c r="H10128" s="24" t="str">
        <f>IFERROR(VLOOKUP(B10128,material!A:D,3,0),"")</f>
        <v/>
      </c>
    </row>
    <row r="10129" ht="11.25" customHeight="1">
      <c r="A10129" s="21"/>
      <c r="B10129" s="22"/>
      <c r="C10129" s="21"/>
      <c r="D10129" s="21"/>
      <c r="E10129" s="21"/>
      <c r="F10129" s="21"/>
      <c r="G10129" s="25"/>
      <c r="H10129" s="24" t="str">
        <f>IFERROR(VLOOKUP(B10129,material!A:D,3,0),"")</f>
        <v/>
      </c>
    </row>
    <row r="10130" ht="11.25" customHeight="1">
      <c r="A10130" s="21"/>
      <c r="B10130" s="22"/>
      <c r="C10130" s="21"/>
      <c r="D10130" s="21"/>
      <c r="E10130" s="21"/>
      <c r="F10130" s="21"/>
      <c r="G10130" s="25"/>
      <c r="H10130" s="24" t="str">
        <f>IFERROR(VLOOKUP(B10130,material!A:D,3,0),"")</f>
        <v/>
      </c>
    </row>
    <row r="10131" ht="11.25" customHeight="1">
      <c r="A10131" s="21"/>
      <c r="B10131" s="22"/>
      <c r="C10131" s="21"/>
      <c r="D10131" s="21"/>
      <c r="E10131" s="21"/>
      <c r="F10131" s="21"/>
      <c r="G10131" s="25"/>
      <c r="H10131" s="24" t="str">
        <f>IFERROR(VLOOKUP(B10131,material!A:D,3,0),"")</f>
        <v/>
      </c>
    </row>
    <row r="10132" ht="11.25" customHeight="1">
      <c r="A10132" s="21"/>
      <c r="B10132" s="22"/>
      <c r="C10132" s="21"/>
      <c r="D10132" s="21"/>
      <c r="E10132" s="21"/>
      <c r="F10132" s="21"/>
      <c r="G10132" s="25"/>
      <c r="H10132" s="24" t="str">
        <f>IFERROR(VLOOKUP(B10132,material!A:D,3,0),"")</f>
        <v/>
      </c>
    </row>
    <row r="10133" ht="11.25" customHeight="1">
      <c r="A10133" s="21"/>
      <c r="B10133" s="22"/>
      <c r="C10133" s="21"/>
      <c r="D10133" s="21"/>
      <c r="E10133" s="21"/>
      <c r="F10133" s="21"/>
      <c r="G10133" s="25"/>
      <c r="H10133" s="24" t="str">
        <f>IFERROR(VLOOKUP(B10133,material!A:D,3,0),"")</f>
        <v/>
      </c>
    </row>
    <row r="10134" ht="11.25" customHeight="1">
      <c r="A10134" s="21"/>
      <c r="B10134" s="22"/>
      <c r="C10134" s="21"/>
      <c r="D10134" s="21"/>
      <c r="E10134" s="21"/>
      <c r="F10134" s="21"/>
      <c r="G10134" s="25"/>
      <c r="H10134" s="24" t="str">
        <f>IFERROR(VLOOKUP(B10134,material!A:D,3,0),"")</f>
        <v/>
      </c>
    </row>
    <row r="10135" ht="11.25" customHeight="1">
      <c r="A10135" s="21"/>
      <c r="B10135" s="22"/>
      <c r="C10135" s="21"/>
      <c r="D10135" s="21"/>
      <c r="E10135" s="21"/>
      <c r="F10135" s="21"/>
      <c r="G10135" s="25"/>
      <c r="H10135" s="24" t="str">
        <f>IFERROR(VLOOKUP(B10135,material!A:D,3,0),"")</f>
        <v/>
      </c>
    </row>
    <row r="10136" ht="11.25" customHeight="1">
      <c r="A10136" s="21"/>
      <c r="B10136" s="22"/>
      <c r="C10136" s="21"/>
      <c r="D10136" s="21"/>
      <c r="E10136" s="21"/>
      <c r="F10136" s="21"/>
      <c r="G10136" s="25"/>
      <c r="H10136" s="24" t="str">
        <f>IFERROR(VLOOKUP(B10136,material!A:D,3,0),"")</f>
        <v/>
      </c>
    </row>
    <row r="10137" ht="11.25" customHeight="1">
      <c r="A10137" s="21"/>
      <c r="B10137" s="22"/>
      <c r="C10137" s="21"/>
      <c r="D10137" s="21"/>
      <c r="E10137" s="21"/>
      <c r="F10137" s="21"/>
      <c r="G10137" s="25"/>
      <c r="H10137" s="24" t="str">
        <f>IFERROR(VLOOKUP(B10137,material!A:D,3,0),"")</f>
        <v/>
      </c>
    </row>
    <row r="10138" ht="11.25" customHeight="1">
      <c r="A10138" s="21"/>
      <c r="B10138" s="22"/>
      <c r="C10138" s="21"/>
      <c r="D10138" s="21"/>
      <c r="E10138" s="21"/>
      <c r="F10138" s="21"/>
      <c r="G10138" s="25"/>
      <c r="H10138" s="24" t="str">
        <f>IFERROR(VLOOKUP(B10138,material!A:D,3,0),"")</f>
        <v/>
      </c>
    </row>
    <row r="10139" ht="11.25" customHeight="1">
      <c r="A10139" s="21"/>
      <c r="B10139" s="22"/>
      <c r="C10139" s="21"/>
      <c r="D10139" s="21"/>
      <c r="E10139" s="21"/>
      <c r="F10139" s="21"/>
      <c r="G10139" s="25"/>
      <c r="H10139" s="24" t="str">
        <f>IFERROR(VLOOKUP(B10139,material!A:D,3,0),"")</f>
        <v/>
      </c>
    </row>
    <row r="10140" ht="11.25" customHeight="1">
      <c r="A10140" s="21"/>
      <c r="B10140" s="22"/>
      <c r="C10140" s="21"/>
      <c r="D10140" s="21"/>
      <c r="E10140" s="21"/>
      <c r="F10140" s="21"/>
      <c r="G10140" s="25"/>
      <c r="H10140" s="24" t="str">
        <f>IFERROR(VLOOKUP(B10140,material!A:D,3,0),"")</f>
        <v/>
      </c>
    </row>
    <row r="10141" ht="11.25" customHeight="1">
      <c r="A10141" s="21"/>
      <c r="B10141" s="22"/>
      <c r="C10141" s="21"/>
      <c r="D10141" s="21"/>
      <c r="E10141" s="21"/>
      <c r="F10141" s="21"/>
      <c r="G10141" s="25"/>
      <c r="H10141" s="24" t="str">
        <f>IFERROR(VLOOKUP(B10141,material!A:D,3,0),"")</f>
        <v/>
      </c>
    </row>
    <row r="10142" ht="11.25" customHeight="1">
      <c r="A10142" s="21"/>
      <c r="B10142" s="22"/>
      <c r="C10142" s="21"/>
      <c r="D10142" s="21"/>
      <c r="E10142" s="21"/>
      <c r="F10142" s="21"/>
      <c r="G10142" s="25"/>
      <c r="H10142" s="24" t="str">
        <f>IFERROR(VLOOKUP(B10142,material!A:D,3,0),"")</f>
        <v/>
      </c>
    </row>
    <row r="10143" ht="11.25" customHeight="1">
      <c r="A10143" s="21"/>
      <c r="B10143" s="22"/>
      <c r="C10143" s="21"/>
      <c r="D10143" s="21"/>
      <c r="E10143" s="21"/>
      <c r="F10143" s="21"/>
      <c r="G10143" s="25"/>
      <c r="H10143" s="24" t="str">
        <f>IFERROR(VLOOKUP(B10143,material!A:D,3,0),"")</f>
        <v/>
      </c>
    </row>
    <row r="10144" ht="11.25" customHeight="1">
      <c r="A10144" s="21"/>
      <c r="B10144" s="22"/>
      <c r="C10144" s="21"/>
      <c r="D10144" s="21"/>
      <c r="E10144" s="21"/>
      <c r="F10144" s="21"/>
      <c r="G10144" s="25"/>
      <c r="H10144" s="24" t="str">
        <f>IFERROR(VLOOKUP(B10144,material!A:D,3,0),"")</f>
        <v/>
      </c>
    </row>
    <row r="10145" ht="11.25" customHeight="1">
      <c r="A10145" s="21"/>
      <c r="B10145" s="22"/>
      <c r="C10145" s="21"/>
      <c r="D10145" s="21"/>
      <c r="E10145" s="21"/>
      <c r="F10145" s="21"/>
      <c r="G10145" s="25"/>
      <c r="H10145" s="24" t="str">
        <f>IFERROR(VLOOKUP(B10145,material!A:D,3,0),"")</f>
        <v/>
      </c>
    </row>
    <row r="10146" ht="11.25" customHeight="1">
      <c r="A10146" s="21"/>
      <c r="B10146" s="22"/>
      <c r="C10146" s="21"/>
      <c r="D10146" s="21"/>
      <c r="E10146" s="21"/>
      <c r="F10146" s="21"/>
      <c r="G10146" s="25"/>
      <c r="H10146" s="24" t="str">
        <f>IFERROR(VLOOKUP(B10146,material!A:D,3,0),"")</f>
        <v/>
      </c>
    </row>
    <row r="10147" ht="11.25" customHeight="1">
      <c r="A10147" s="21"/>
      <c r="B10147" s="22"/>
      <c r="C10147" s="21"/>
      <c r="D10147" s="21"/>
      <c r="E10147" s="21"/>
      <c r="F10147" s="21"/>
      <c r="G10147" s="25"/>
      <c r="H10147" s="24" t="str">
        <f>IFERROR(VLOOKUP(B10147,material!A:D,3,0),"")</f>
        <v/>
      </c>
    </row>
    <row r="10148" ht="11.25" customHeight="1">
      <c r="A10148" s="21"/>
      <c r="B10148" s="22"/>
      <c r="C10148" s="21"/>
      <c r="D10148" s="21"/>
      <c r="E10148" s="21"/>
      <c r="F10148" s="21"/>
      <c r="G10148" s="25"/>
      <c r="H10148" s="24" t="str">
        <f>IFERROR(VLOOKUP(B10148,material!A:D,3,0),"")</f>
        <v/>
      </c>
    </row>
    <row r="10149" ht="11.25" customHeight="1">
      <c r="A10149" s="21"/>
      <c r="B10149" s="22"/>
      <c r="C10149" s="21"/>
      <c r="D10149" s="21"/>
      <c r="E10149" s="21"/>
      <c r="F10149" s="21"/>
      <c r="G10149" s="25"/>
      <c r="H10149" s="24" t="str">
        <f>IFERROR(VLOOKUP(B10149,material!A:D,3,0),"")</f>
        <v/>
      </c>
    </row>
    <row r="10150" ht="11.25" customHeight="1">
      <c r="A10150" s="21"/>
      <c r="B10150" s="22"/>
      <c r="C10150" s="21"/>
      <c r="D10150" s="21"/>
      <c r="E10150" s="21"/>
      <c r="F10150" s="21"/>
      <c r="G10150" s="25"/>
      <c r="H10150" s="24" t="str">
        <f>IFERROR(VLOOKUP(B10150,material!A:D,3,0),"")</f>
        <v/>
      </c>
    </row>
    <row r="10151" ht="11.25" customHeight="1">
      <c r="A10151" s="21"/>
      <c r="B10151" s="22"/>
      <c r="C10151" s="21"/>
      <c r="D10151" s="21"/>
      <c r="E10151" s="21"/>
      <c r="F10151" s="21"/>
      <c r="G10151" s="25"/>
      <c r="H10151" s="24" t="str">
        <f>IFERROR(VLOOKUP(B10151,material!A:D,3,0),"")</f>
        <v/>
      </c>
    </row>
    <row r="10152" ht="11.25" customHeight="1">
      <c r="A10152" s="21"/>
      <c r="B10152" s="22"/>
      <c r="C10152" s="21"/>
      <c r="D10152" s="21"/>
      <c r="E10152" s="21"/>
      <c r="F10152" s="21"/>
      <c r="G10152" s="25"/>
      <c r="H10152" s="24" t="str">
        <f>IFERROR(VLOOKUP(B10152,material!A:D,3,0),"")</f>
        <v/>
      </c>
    </row>
    <row r="10153" ht="11.25" customHeight="1">
      <c r="A10153" s="21"/>
      <c r="B10153" s="22"/>
      <c r="C10153" s="21"/>
      <c r="D10153" s="21"/>
      <c r="E10153" s="21"/>
      <c r="F10153" s="21"/>
      <c r="G10153" s="25"/>
      <c r="H10153" s="24" t="str">
        <f>IFERROR(VLOOKUP(B10153,material!A:D,3,0),"")</f>
        <v/>
      </c>
    </row>
    <row r="10154" ht="11.25" customHeight="1">
      <c r="A10154" s="21"/>
      <c r="B10154" s="22"/>
      <c r="C10154" s="21"/>
      <c r="D10154" s="21"/>
      <c r="E10154" s="21"/>
      <c r="F10154" s="21"/>
      <c r="G10154" s="25"/>
      <c r="H10154" s="24" t="str">
        <f>IFERROR(VLOOKUP(B10154,material!A:D,3,0),"")</f>
        <v/>
      </c>
    </row>
    <row r="10155" ht="11.25" customHeight="1">
      <c r="A10155" s="21"/>
      <c r="B10155" s="22"/>
      <c r="C10155" s="21"/>
      <c r="D10155" s="21"/>
      <c r="E10155" s="21"/>
      <c r="F10155" s="21"/>
      <c r="G10155" s="25"/>
      <c r="H10155" s="24" t="str">
        <f>IFERROR(VLOOKUP(B10155,material!A:D,3,0),"")</f>
        <v/>
      </c>
    </row>
    <row r="10156" ht="11.25" customHeight="1">
      <c r="A10156" s="21"/>
      <c r="B10156" s="22"/>
      <c r="C10156" s="21"/>
      <c r="D10156" s="21"/>
      <c r="E10156" s="21"/>
      <c r="F10156" s="21"/>
      <c r="G10156" s="25"/>
      <c r="H10156" s="24" t="str">
        <f>IFERROR(VLOOKUP(B10156,material!A:D,3,0),"")</f>
        <v/>
      </c>
    </row>
    <row r="10157" ht="11.25" customHeight="1">
      <c r="A10157" s="21"/>
      <c r="B10157" s="22"/>
      <c r="C10157" s="21"/>
      <c r="D10157" s="21"/>
      <c r="E10157" s="21"/>
      <c r="F10157" s="21"/>
      <c r="G10157" s="25"/>
      <c r="H10157" s="24" t="str">
        <f>IFERROR(VLOOKUP(B10157,material!A:D,3,0),"")</f>
        <v/>
      </c>
    </row>
    <row r="10158" ht="11.25" customHeight="1">
      <c r="A10158" s="21"/>
      <c r="B10158" s="22"/>
      <c r="C10158" s="21"/>
      <c r="D10158" s="21"/>
      <c r="E10158" s="21"/>
      <c r="F10158" s="21"/>
      <c r="G10158" s="25"/>
      <c r="H10158" s="24" t="str">
        <f>IFERROR(VLOOKUP(B10158,material!A:D,3,0),"")</f>
        <v/>
      </c>
    </row>
    <row r="10159" ht="11.25" customHeight="1">
      <c r="A10159" s="21"/>
      <c r="B10159" s="22"/>
      <c r="C10159" s="21"/>
      <c r="D10159" s="21"/>
      <c r="E10159" s="21"/>
      <c r="F10159" s="21"/>
      <c r="G10159" s="25"/>
      <c r="H10159" s="24" t="str">
        <f>IFERROR(VLOOKUP(B10159,material!A:D,3,0),"")</f>
        <v/>
      </c>
    </row>
    <row r="10160" ht="11.25" customHeight="1">
      <c r="A10160" s="21"/>
      <c r="B10160" s="22"/>
      <c r="C10160" s="21"/>
      <c r="D10160" s="21"/>
      <c r="E10160" s="21"/>
      <c r="F10160" s="21"/>
      <c r="G10160" s="25"/>
      <c r="H10160" s="24" t="str">
        <f>IFERROR(VLOOKUP(B10160,material!A:D,3,0),"")</f>
        <v/>
      </c>
    </row>
    <row r="10161" ht="11.25" customHeight="1">
      <c r="A10161" s="21"/>
      <c r="B10161" s="22"/>
      <c r="C10161" s="21"/>
      <c r="D10161" s="21"/>
      <c r="E10161" s="21"/>
      <c r="F10161" s="21"/>
      <c r="G10161" s="25"/>
      <c r="H10161" s="24" t="str">
        <f>IFERROR(VLOOKUP(B10161,material!A:D,3,0),"")</f>
        <v/>
      </c>
    </row>
    <row r="10162" ht="11.25" customHeight="1">
      <c r="A10162" s="21"/>
      <c r="B10162" s="22"/>
      <c r="C10162" s="21"/>
      <c r="D10162" s="21"/>
      <c r="E10162" s="21"/>
      <c r="F10162" s="21"/>
      <c r="G10162" s="25"/>
      <c r="H10162" s="24" t="str">
        <f>IFERROR(VLOOKUP(B10162,material!A:D,3,0),"")</f>
        <v/>
      </c>
    </row>
    <row r="10163" ht="11.25" customHeight="1">
      <c r="A10163" s="21"/>
      <c r="B10163" s="22"/>
      <c r="C10163" s="21"/>
      <c r="D10163" s="21"/>
      <c r="E10163" s="21"/>
      <c r="F10163" s="21"/>
      <c r="G10163" s="25"/>
      <c r="H10163" s="24" t="str">
        <f>IFERROR(VLOOKUP(B10163,material!A:D,3,0),"")</f>
        <v/>
      </c>
    </row>
    <row r="10164" ht="11.25" customHeight="1">
      <c r="A10164" s="21"/>
      <c r="B10164" s="22"/>
      <c r="C10164" s="21"/>
      <c r="D10164" s="21"/>
      <c r="E10164" s="21"/>
      <c r="F10164" s="21"/>
      <c r="G10164" s="25"/>
      <c r="H10164" s="24" t="str">
        <f>IFERROR(VLOOKUP(B10164,material!A:D,3,0),"")</f>
        <v/>
      </c>
    </row>
    <row r="10165" ht="11.25" customHeight="1">
      <c r="A10165" s="21"/>
      <c r="B10165" s="22"/>
      <c r="C10165" s="21"/>
      <c r="D10165" s="21"/>
      <c r="E10165" s="21"/>
      <c r="F10165" s="21"/>
      <c r="G10165" s="25"/>
      <c r="H10165" s="24" t="str">
        <f>IFERROR(VLOOKUP(B10165,material!A:D,3,0),"")</f>
        <v/>
      </c>
    </row>
    <row r="10166" ht="11.25" customHeight="1">
      <c r="A10166" s="21"/>
      <c r="B10166" s="22"/>
      <c r="C10166" s="21"/>
      <c r="D10166" s="21"/>
      <c r="E10166" s="21"/>
      <c r="F10166" s="21"/>
      <c r="G10166" s="25"/>
      <c r="H10166" s="24" t="str">
        <f>IFERROR(VLOOKUP(B10166,material!A:D,3,0),"")</f>
        <v/>
      </c>
    </row>
    <row r="10167" ht="11.25" customHeight="1">
      <c r="A10167" s="21"/>
      <c r="B10167" s="22"/>
      <c r="C10167" s="21"/>
      <c r="D10167" s="21"/>
      <c r="E10167" s="21"/>
      <c r="F10167" s="21"/>
      <c r="G10167" s="25"/>
      <c r="H10167" s="24" t="str">
        <f>IFERROR(VLOOKUP(B10167,material!A:D,3,0),"")</f>
        <v/>
      </c>
    </row>
    <row r="10168" ht="11.25" customHeight="1">
      <c r="A10168" s="21"/>
      <c r="B10168" s="22"/>
      <c r="C10168" s="21"/>
      <c r="D10168" s="21"/>
      <c r="E10168" s="21"/>
      <c r="F10168" s="21"/>
      <c r="G10168" s="25"/>
      <c r="H10168" s="24" t="str">
        <f>IFERROR(VLOOKUP(B10168,material!A:D,3,0),"")</f>
        <v/>
      </c>
    </row>
    <row r="10169" ht="11.25" customHeight="1">
      <c r="A10169" s="21"/>
      <c r="B10169" s="22"/>
      <c r="C10169" s="21"/>
      <c r="D10169" s="21"/>
      <c r="E10169" s="21"/>
      <c r="F10169" s="21"/>
      <c r="G10169" s="25"/>
      <c r="H10169" s="24" t="str">
        <f>IFERROR(VLOOKUP(B10169,material!A:D,3,0),"")</f>
        <v/>
      </c>
    </row>
    <row r="10170" ht="11.25" customHeight="1">
      <c r="A10170" s="21"/>
      <c r="B10170" s="22"/>
      <c r="C10170" s="21"/>
      <c r="D10170" s="21"/>
      <c r="E10170" s="21"/>
      <c r="F10170" s="21"/>
      <c r="G10170" s="25"/>
      <c r="H10170" s="24" t="str">
        <f>IFERROR(VLOOKUP(B10170,material!A:D,3,0),"")</f>
        <v/>
      </c>
    </row>
    <row r="10171" ht="11.25" customHeight="1">
      <c r="A10171" s="21"/>
      <c r="B10171" s="22"/>
      <c r="C10171" s="21"/>
      <c r="D10171" s="21"/>
      <c r="E10171" s="21"/>
      <c r="F10171" s="21"/>
      <c r="G10171" s="25"/>
      <c r="H10171" s="24" t="str">
        <f>IFERROR(VLOOKUP(B10171,material!A:D,3,0),"")</f>
        <v/>
      </c>
    </row>
    <row r="10172" ht="11.25" customHeight="1">
      <c r="A10172" s="21"/>
      <c r="B10172" s="22"/>
      <c r="C10172" s="21"/>
      <c r="D10172" s="21"/>
      <c r="E10172" s="21"/>
      <c r="F10172" s="21"/>
      <c r="G10172" s="25"/>
      <c r="H10172" s="24" t="str">
        <f>IFERROR(VLOOKUP(B10172,material!A:D,3,0),"")</f>
        <v/>
      </c>
    </row>
    <row r="10173" ht="11.25" customHeight="1">
      <c r="A10173" s="21"/>
      <c r="B10173" s="22"/>
      <c r="C10173" s="21"/>
      <c r="D10173" s="21"/>
      <c r="E10173" s="21"/>
      <c r="F10173" s="21"/>
      <c r="G10173" s="25"/>
      <c r="H10173" s="24" t="str">
        <f>IFERROR(VLOOKUP(B10173,material!A:D,3,0),"")</f>
        <v/>
      </c>
    </row>
    <row r="10174" ht="11.25" customHeight="1">
      <c r="A10174" s="21"/>
      <c r="B10174" s="22"/>
      <c r="C10174" s="21"/>
      <c r="D10174" s="21"/>
      <c r="E10174" s="21"/>
      <c r="F10174" s="21"/>
      <c r="G10174" s="25"/>
      <c r="H10174" s="24" t="str">
        <f>IFERROR(VLOOKUP(B10174,material!A:D,3,0),"")</f>
        <v/>
      </c>
    </row>
    <row r="10175" ht="11.25" customHeight="1">
      <c r="A10175" s="21"/>
      <c r="B10175" s="22"/>
      <c r="C10175" s="21"/>
      <c r="D10175" s="21"/>
      <c r="E10175" s="21"/>
      <c r="F10175" s="21"/>
      <c r="G10175" s="25"/>
      <c r="H10175" s="24" t="str">
        <f>IFERROR(VLOOKUP(B10175,material!A:D,3,0),"")</f>
        <v/>
      </c>
    </row>
    <row r="10176" ht="11.25" customHeight="1">
      <c r="A10176" s="21"/>
      <c r="B10176" s="22"/>
      <c r="C10176" s="21"/>
      <c r="D10176" s="21"/>
      <c r="E10176" s="21"/>
      <c r="F10176" s="21"/>
      <c r="G10176" s="25"/>
      <c r="H10176" s="24" t="str">
        <f>IFERROR(VLOOKUP(B10176,material!A:D,3,0),"")</f>
        <v/>
      </c>
    </row>
    <row r="10177" ht="11.25" customHeight="1">
      <c r="A10177" s="21"/>
      <c r="B10177" s="22"/>
      <c r="C10177" s="21"/>
      <c r="D10177" s="21"/>
      <c r="E10177" s="21"/>
      <c r="F10177" s="21"/>
      <c r="G10177" s="25"/>
      <c r="H10177" s="24" t="str">
        <f>IFERROR(VLOOKUP(B10177,material!A:D,3,0),"")</f>
        <v/>
      </c>
    </row>
    <row r="10178" ht="11.25" customHeight="1">
      <c r="A10178" s="21"/>
      <c r="B10178" s="22"/>
      <c r="C10178" s="21"/>
      <c r="D10178" s="21"/>
      <c r="E10178" s="21"/>
      <c r="F10178" s="21"/>
      <c r="G10178" s="25"/>
      <c r="H10178" s="24" t="str">
        <f>IFERROR(VLOOKUP(B10178,material!A:D,3,0),"")</f>
        <v/>
      </c>
    </row>
    <row r="10179" ht="11.25" customHeight="1">
      <c r="A10179" s="21"/>
      <c r="B10179" s="22"/>
      <c r="C10179" s="21"/>
      <c r="D10179" s="21"/>
      <c r="E10179" s="21"/>
      <c r="F10179" s="21"/>
      <c r="G10179" s="25"/>
      <c r="H10179" s="24" t="str">
        <f>IFERROR(VLOOKUP(B10179,material!A:D,3,0),"")</f>
        <v/>
      </c>
    </row>
    <row r="10180" ht="11.25" customHeight="1">
      <c r="A10180" s="21"/>
      <c r="B10180" s="22"/>
      <c r="C10180" s="21"/>
      <c r="D10180" s="21"/>
      <c r="E10180" s="21"/>
      <c r="F10180" s="21"/>
      <c r="G10180" s="25"/>
      <c r="H10180" s="24" t="str">
        <f>IFERROR(VLOOKUP(B10180,material!A:D,3,0),"")</f>
        <v/>
      </c>
    </row>
    <row r="10181" ht="11.25" customHeight="1">
      <c r="A10181" s="21"/>
      <c r="B10181" s="22"/>
      <c r="C10181" s="21"/>
      <c r="D10181" s="21"/>
      <c r="E10181" s="21"/>
      <c r="F10181" s="21"/>
      <c r="G10181" s="25"/>
      <c r="H10181" s="24" t="str">
        <f>IFERROR(VLOOKUP(B10181,material!A:D,3,0),"")</f>
        <v/>
      </c>
    </row>
    <row r="10182" ht="11.25" customHeight="1">
      <c r="A10182" s="21"/>
      <c r="B10182" s="22"/>
      <c r="C10182" s="21"/>
      <c r="D10182" s="21"/>
      <c r="E10182" s="21"/>
      <c r="F10182" s="21"/>
      <c r="G10182" s="25"/>
      <c r="H10182" s="24" t="str">
        <f>IFERROR(VLOOKUP(B10182,material!A:D,3,0),"")</f>
        <v/>
      </c>
    </row>
    <row r="10183" ht="11.25" customHeight="1">
      <c r="A10183" s="21"/>
      <c r="B10183" s="22"/>
      <c r="C10183" s="21"/>
      <c r="D10183" s="21"/>
      <c r="E10183" s="21"/>
      <c r="F10183" s="21"/>
      <c r="G10183" s="25"/>
      <c r="H10183" s="24" t="str">
        <f>IFERROR(VLOOKUP(B10183,material!A:D,3,0),"")</f>
        <v/>
      </c>
    </row>
    <row r="10184" ht="11.25" customHeight="1">
      <c r="A10184" s="21"/>
      <c r="B10184" s="22"/>
      <c r="C10184" s="21"/>
      <c r="D10184" s="21"/>
      <c r="E10184" s="21"/>
      <c r="F10184" s="21"/>
      <c r="G10184" s="25"/>
      <c r="H10184" s="24" t="str">
        <f>IFERROR(VLOOKUP(B10184,material!A:D,3,0),"")</f>
        <v/>
      </c>
    </row>
    <row r="10185" ht="11.25" customHeight="1">
      <c r="A10185" s="21"/>
      <c r="B10185" s="22"/>
      <c r="C10185" s="21"/>
      <c r="D10185" s="21"/>
      <c r="E10185" s="21"/>
      <c r="F10185" s="21"/>
      <c r="G10185" s="25"/>
      <c r="H10185" s="24" t="str">
        <f>IFERROR(VLOOKUP(B10185,material!A:D,3,0),"")</f>
        <v/>
      </c>
    </row>
    <row r="10186" ht="11.25" customHeight="1">
      <c r="A10186" s="21"/>
      <c r="B10186" s="22"/>
      <c r="C10186" s="21"/>
      <c r="D10186" s="21"/>
      <c r="E10186" s="21"/>
      <c r="F10186" s="21"/>
      <c r="G10186" s="25"/>
      <c r="H10186" s="24" t="str">
        <f>IFERROR(VLOOKUP(B10186,material!A:D,3,0),"")</f>
        <v/>
      </c>
    </row>
    <row r="10187" ht="11.25" customHeight="1">
      <c r="A10187" s="21"/>
      <c r="B10187" s="22"/>
      <c r="C10187" s="21"/>
      <c r="D10187" s="21"/>
      <c r="E10187" s="21"/>
      <c r="F10187" s="21"/>
      <c r="G10187" s="25"/>
      <c r="H10187" s="24" t="str">
        <f>IFERROR(VLOOKUP(B10187,material!A:D,3,0),"")</f>
        <v/>
      </c>
    </row>
    <row r="10188" ht="11.25" customHeight="1">
      <c r="A10188" s="21"/>
      <c r="B10188" s="22"/>
      <c r="C10188" s="21"/>
      <c r="D10188" s="21"/>
      <c r="E10188" s="21"/>
      <c r="F10188" s="21"/>
      <c r="G10188" s="25"/>
      <c r="H10188" s="24" t="str">
        <f>IFERROR(VLOOKUP(B10188,material!A:D,3,0),"")</f>
        <v/>
      </c>
    </row>
    <row r="10189" ht="11.25" customHeight="1">
      <c r="A10189" s="21"/>
      <c r="B10189" s="22"/>
      <c r="C10189" s="21"/>
      <c r="D10189" s="21"/>
      <c r="E10189" s="21"/>
      <c r="F10189" s="21"/>
      <c r="G10189" s="25"/>
      <c r="H10189" s="24" t="str">
        <f>IFERROR(VLOOKUP(B10189,material!A:D,3,0),"")</f>
        <v/>
      </c>
    </row>
    <row r="10190" ht="11.25" customHeight="1">
      <c r="A10190" s="21"/>
      <c r="B10190" s="22"/>
      <c r="C10190" s="21"/>
      <c r="D10190" s="21"/>
      <c r="E10190" s="21"/>
      <c r="F10190" s="21"/>
      <c r="G10190" s="25"/>
      <c r="H10190" s="24" t="str">
        <f>IFERROR(VLOOKUP(B10190,material!A:D,3,0),"")</f>
        <v/>
      </c>
    </row>
    <row r="10191" ht="11.25" customHeight="1">
      <c r="A10191" s="21"/>
      <c r="B10191" s="22"/>
      <c r="C10191" s="21"/>
      <c r="D10191" s="21"/>
      <c r="E10191" s="21"/>
      <c r="F10191" s="21"/>
      <c r="G10191" s="25"/>
      <c r="H10191" s="24" t="str">
        <f>IFERROR(VLOOKUP(B10191,material!A:D,3,0),"")</f>
        <v/>
      </c>
    </row>
    <row r="10192" ht="11.25" customHeight="1">
      <c r="A10192" s="21"/>
      <c r="B10192" s="22"/>
      <c r="C10192" s="21"/>
      <c r="D10192" s="21"/>
      <c r="E10192" s="21"/>
      <c r="F10192" s="21"/>
      <c r="G10192" s="25"/>
      <c r="H10192" s="24" t="str">
        <f>IFERROR(VLOOKUP(B10192,material!A:D,3,0),"")</f>
        <v/>
      </c>
    </row>
    <row r="10193" ht="11.25" customHeight="1">
      <c r="A10193" s="21"/>
      <c r="B10193" s="22"/>
      <c r="C10193" s="21"/>
      <c r="D10193" s="21"/>
      <c r="E10193" s="21"/>
      <c r="F10193" s="21"/>
      <c r="G10193" s="25"/>
      <c r="H10193" s="24" t="str">
        <f>IFERROR(VLOOKUP(B10193,material!A:D,3,0),"")</f>
        <v/>
      </c>
    </row>
    <row r="10194" ht="11.25" customHeight="1">
      <c r="A10194" s="21"/>
      <c r="B10194" s="22"/>
      <c r="C10194" s="21"/>
      <c r="D10194" s="21"/>
      <c r="E10194" s="21"/>
      <c r="F10194" s="21"/>
      <c r="G10194" s="25"/>
      <c r="H10194" s="24" t="str">
        <f>IFERROR(VLOOKUP(B10194,material!A:D,3,0),"")</f>
        <v/>
      </c>
    </row>
    <row r="10195" ht="11.25" customHeight="1">
      <c r="A10195" s="21"/>
      <c r="B10195" s="22"/>
      <c r="C10195" s="21"/>
      <c r="D10195" s="21"/>
      <c r="E10195" s="21"/>
      <c r="F10195" s="21"/>
      <c r="G10195" s="25"/>
      <c r="H10195" s="24" t="str">
        <f>IFERROR(VLOOKUP(B10195,material!A:D,3,0),"")</f>
        <v/>
      </c>
    </row>
    <row r="10196" ht="11.25" customHeight="1">
      <c r="A10196" s="21"/>
      <c r="B10196" s="22"/>
      <c r="C10196" s="21"/>
      <c r="D10196" s="21"/>
      <c r="E10196" s="21"/>
      <c r="F10196" s="21"/>
      <c r="G10196" s="25"/>
      <c r="H10196" s="24" t="str">
        <f>IFERROR(VLOOKUP(B10196,material!A:D,3,0),"")</f>
        <v/>
      </c>
    </row>
    <row r="10197" ht="11.25" customHeight="1">
      <c r="A10197" s="21"/>
      <c r="B10197" s="22"/>
      <c r="C10197" s="21"/>
      <c r="D10197" s="21"/>
      <c r="E10197" s="21"/>
      <c r="F10197" s="21"/>
      <c r="G10197" s="25"/>
      <c r="H10197" s="24" t="str">
        <f>IFERROR(VLOOKUP(B10197,material!A:D,3,0),"")</f>
        <v/>
      </c>
    </row>
    <row r="10198" ht="11.25" customHeight="1">
      <c r="A10198" s="21"/>
      <c r="B10198" s="22"/>
      <c r="C10198" s="21"/>
      <c r="D10198" s="21"/>
      <c r="E10198" s="21"/>
      <c r="F10198" s="21"/>
      <c r="G10198" s="25"/>
      <c r="H10198" s="24" t="str">
        <f>IFERROR(VLOOKUP(B10198,material!A:D,3,0),"")</f>
        <v/>
      </c>
    </row>
    <row r="10199" ht="11.25" customHeight="1">
      <c r="A10199" s="21"/>
      <c r="B10199" s="22"/>
      <c r="C10199" s="21"/>
      <c r="D10199" s="21"/>
      <c r="E10199" s="21"/>
      <c r="F10199" s="21"/>
      <c r="G10199" s="25"/>
      <c r="H10199" s="24" t="str">
        <f>IFERROR(VLOOKUP(B10199,material!A:D,3,0),"")</f>
        <v/>
      </c>
    </row>
    <row r="10200" ht="11.25" customHeight="1">
      <c r="A10200" s="21"/>
      <c r="B10200" s="22"/>
      <c r="C10200" s="21"/>
      <c r="D10200" s="21"/>
      <c r="E10200" s="21"/>
      <c r="F10200" s="21"/>
      <c r="G10200" s="25"/>
      <c r="H10200" s="24" t="str">
        <f>IFERROR(VLOOKUP(B10200,material!A:D,3,0),"")</f>
        <v/>
      </c>
    </row>
    <row r="10201" ht="11.25" customHeight="1">
      <c r="A10201" s="21"/>
      <c r="B10201" s="22"/>
      <c r="C10201" s="21"/>
      <c r="D10201" s="21"/>
      <c r="E10201" s="21"/>
      <c r="F10201" s="21"/>
      <c r="G10201" s="25"/>
      <c r="H10201" s="24" t="str">
        <f>IFERROR(VLOOKUP(B10201,material!A:D,3,0),"")</f>
        <v/>
      </c>
    </row>
    <row r="10202" ht="11.25" customHeight="1">
      <c r="A10202" s="21"/>
      <c r="B10202" s="22"/>
      <c r="C10202" s="21"/>
      <c r="D10202" s="21"/>
      <c r="E10202" s="21"/>
      <c r="F10202" s="21"/>
      <c r="G10202" s="25"/>
      <c r="H10202" s="24" t="str">
        <f>IFERROR(VLOOKUP(B10202,material!A:D,3,0),"")</f>
        <v/>
      </c>
    </row>
    <row r="10203" ht="11.25" customHeight="1">
      <c r="A10203" s="21"/>
      <c r="B10203" s="22"/>
      <c r="C10203" s="21"/>
      <c r="D10203" s="21"/>
      <c r="E10203" s="21"/>
      <c r="F10203" s="21"/>
      <c r="G10203" s="25"/>
      <c r="H10203" s="24" t="str">
        <f>IFERROR(VLOOKUP(B10203,material!A:D,3,0),"")</f>
        <v/>
      </c>
    </row>
    <row r="10204" ht="11.25" customHeight="1">
      <c r="A10204" s="21"/>
      <c r="B10204" s="22"/>
      <c r="C10204" s="21"/>
      <c r="D10204" s="21"/>
      <c r="E10204" s="21"/>
      <c r="F10204" s="21"/>
      <c r="G10204" s="25"/>
      <c r="H10204" s="24" t="str">
        <f>IFERROR(VLOOKUP(B10204,material!A:D,3,0),"")</f>
        <v/>
      </c>
    </row>
    <row r="10205" ht="11.25" customHeight="1">
      <c r="A10205" s="21"/>
      <c r="B10205" s="22"/>
      <c r="C10205" s="21"/>
      <c r="D10205" s="21"/>
      <c r="E10205" s="21"/>
      <c r="F10205" s="21"/>
      <c r="G10205" s="25"/>
      <c r="H10205" s="24" t="str">
        <f>IFERROR(VLOOKUP(B10205,material!A:D,3,0),"")</f>
        <v/>
      </c>
    </row>
    <row r="10206" ht="11.25" customHeight="1">
      <c r="A10206" s="21"/>
      <c r="B10206" s="22"/>
      <c r="C10206" s="21"/>
      <c r="D10206" s="21"/>
      <c r="E10206" s="21"/>
      <c r="F10206" s="21"/>
      <c r="G10206" s="25"/>
      <c r="H10206" s="24" t="str">
        <f>IFERROR(VLOOKUP(B10206,material!A:D,3,0),"")</f>
        <v/>
      </c>
    </row>
    <row r="10207" ht="11.25" customHeight="1">
      <c r="A10207" s="21"/>
      <c r="B10207" s="22"/>
      <c r="C10207" s="21"/>
      <c r="D10207" s="21"/>
      <c r="E10207" s="21"/>
      <c r="F10207" s="21"/>
      <c r="G10207" s="25"/>
      <c r="H10207" s="24" t="str">
        <f>IFERROR(VLOOKUP(B10207,material!A:D,3,0),"")</f>
        <v/>
      </c>
    </row>
    <row r="10208" ht="11.25" customHeight="1">
      <c r="A10208" s="21"/>
      <c r="B10208" s="22"/>
      <c r="C10208" s="21"/>
      <c r="D10208" s="21"/>
      <c r="E10208" s="21"/>
      <c r="F10208" s="21"/>
      <c r="G10208" s="25"/>
      <c r="H10208" s="24" t="str">
        <f>IFERROR(VLOOKUP(B10208,material!A:D,3,0),"")</f>
        <v/>
      </c>
    </row>
    <row r="10209" ht="11.25" customHeight="1">
      <c r="A10209" s="21"/>
      <c r="B10209" s="22"/>
      <c r="C10209" s="21"/>
      <c r="D10209" s="21"/>
      <c r="E10209" s="21"/>
      <c r="F10209" s="21"/>
      <c r="G10209" s="25"/>
      <c r="H10209" s="24" t="str">
        <f>IFERROR(VLOOKUP(B10209,material!A:D,3,0),"")</f>
        <v/>
      </c>
    </row>
    <row r="10210" ht="11.25" customHeight="1">
      <c r="A10210" s="21"/>
      <c r="B10210" s="22"/>
      <c r="C10210" s="21"/>
      <c r="D10210" s="21"/>
      <c r="E10210" s="21"/>
      <c r="F10210" s="21"/>
      <c r="G10210" s="25"/>
      <c r="H10210" s="24" t="str">
        <f>IFERROR(VLOOKUP(B10210,material!A:D,3,0),"")</f>
        <v/>
      </c>
    </row>
    <row r="10211" ht="11.25" customHeight="1">
      <c r="A10211" s="21"/>
      <c r="B10211" s="22"/>
      <c r="C10211" s="21"/>
      <c r="D10211" s="21"/>
      <c r="E10211" s="21"/>
      <c r="F10211" s="21"/>
      <c r="G10211" s="25"/>
      <c r="H10211" s="24" t="str">
        <f>IFERROR(VLOOKUP(B10211,material!A:D,3,0),"")</f>
        <v/>
      </c>
    </row>
    <row r="10212" ht="11.25" customHeight="1">
      <c r="A10212" s="21"/>
      <c r="B10212" s="22"/>
      <c r="C10212" s="21"/>
      <c r="D10212" s="21"/>
      <c r="E10212" s="21"/>
      <c r="F10212" s="21"/>
      <c r="G10212" s="25"/>
      <c r="H10212" s="24" t="str">
        <f>IFERROR(VLOOKUP(B10212,material!A:D,3,0),"")</f>
        <v/>
      </c>
    </row>
    <row r="10213" ht="11.25" customHeight="1">
      <c r="A10213" s="21"/>
      <c r="B10213" s="22"/>
      <c r="C10213" s="21"/>
      <c r="D10213" s="21"/>
      <c r="E10213" s="21"/>
      <c r="F10213" s="21"/>
      <c r="G10213" s="25"/>
      <c r="H10213" s="24" t="str">
        <f>IFERROR(VLOOKUP(B10213,material!A:D,3,0),"")</f>
        <v/>
      </c>
    </row>
    <row r="10214" ht="11.25" customHeight="1">
      <c r="A10214" s="21"/>
      <c r="B10214" s="22"/>
      <c r="C10214" s="21"/>
      <c r="D10214" s="21"/>
      <c r="E10214" s="21"/>
      <c r="F10214" s="21"/>
      <c r="G10214" s="25"/>
      <c r="H10214" s="24" t="str">
        <f>IFERROR(VLOOKUP(B10214,material!A:D,3,0),"")</f>
        <v/>
      </c>
    </row>
    <row r="10215" ht="11.25" customHeight="1">
      <c r="A10215" s="21"/>
      <c r="B10215" s="22"/>
      <c r="C10215" s="21"/>
      <c r="D10215" s="21"/>
      <c r="E10215" s="21"/>
      <c r="F10215" s="21"/>
      <c r="G10215" s="25"/>
      <c r="H10215" s="24" t="str">
        <f>IFERROR(VLOOKUP(B10215,material!A:D,3,0),"")</f>
        <v/>
      </c>
    </row>
    <row r="10216" ht="11.25" customHeight="1">
      <c r="A10216" s="21"/>
      <c r="B10216" s="22"/>
      <c r="C10216" s="21"/>
      <c r="D10216" s="21"/>
      <c r="E10216" s="21"/>
      <c r="F10216" s="21"/>
      <c r="G10216" s="25"/>
      <c r="H10216" s="24" t="str">
        <f>IFERROR(VLOOKUP(B10216,material!A:D,3,0),"")</f>
        <v/>
      </c>
    </row>
    <row r="10217" ht="11.25" customHeight="1">
      <c r="A10217" s="21"/>
      <c r="B10217" s="22"/>
      <c r="C10217" s="21"/>
      <c r="D10217" s="21"/>
      <c r="E10217" s="21"/>
      <c r="F10217" s="21"/>
      <c r="G10217" s="25"/>
      <c r="H10217" s="24" t="str">
        <f>IFERROR(VLOOKUP(B10217,material!A:D,3,0),"")</f>
        <v/>
      </c>
    </row>
    <row r="10218" ht="11.25" customHeight="1">
      <c r="A10218" s="21"/>
      <c r="B10218" s="22"/>
      <c r="C10218" s="21"/>
      <c r="D10218" s="21"/>
      <c r="E10218" s="21"/>
      <c r="F10218" s="21"/>
      <c r="G10218" s="25"/>
      <c r="H10218" s="24" t="str">
        <f>IFERROR(VLOOKUP(B10218,material!A:D,3,0),"")</f>
        <v/>
      </c>
    </row>
    <row r="10219" ht="11.25" customHeight="1">
      <c r="A10219" s="21"/>
      <c r="B10219" s="22"/>
      <c r="C10219" s="21"/>
      <c r="D10219" s="21"/>
      <c r="E10219" s="21"/>
      <c r="F10219" s="21"/>
      <c r="G10219" s="25"/>
      <c r="H10219" s="24" t="str">
        <f>IFERROR(VLOOKUP(B10219,material!A:D,3,0),"")</f>
        <v/>
      </c>
    </row>
    <row r="10220" ht="11.25" customHeight="1">
      <c r="A10220" s="21"/>
      <c r="B10220" s="22"/>
      <c r="C10220" s="21"/>
      <c r="D10220" s="21"/>
      <c r="E10220" s="21"/>
      <c r="F10220" s="21"/>
      <c r="G10220" s="25"/>
      <c r="H10220" s="24" t="str">
        <f>IFERROR(VLOOKUP(B10220,material!A:D,3,0),"")</f>
        <v/>
      </c>
    </row>
    <row r="10221" ht="11.25" customHeight="1">
      <c r="A10221" s="21"/>
      <c r="B10221" s="22"/>
      <c r="C10221" s="21"/>
      <c r="D10221" s="21"/>
      <c r="E10221" s="21"/>
      <c r="F10221" s="21"/>
      <c r="G10221" s="25"/>
      <c r="H10221" s="24" t="str">
        <f>IFERROR(VLOOKUP(B10221,material!A:D,3,0),"")</f>
        <v/>
      </c>
    </row>
    <row r="10222" ht="11.25" customHeight="1">
      <c r="A10222" s="21"/>
      <c r="B10222" s="22"/>
      <c r="C10222" s="21"/>
      <c r="D10222" s="21"/>
      <c r="E10222" s="21"/>
      <c r="F10222" s="21"/>
      <c r="G10222" s="25"/>
      <c r="H10222" s="24" t="str">
        <f>IFERROR(VLOOKUP(B10222,material!A:D,3,0),"")</f>
        <v/>
      </c>
    </row>
    <row r="10223" ht="11.25" customHeight="1">
      <c r="A10223" s="21"/>
      <c r="B10223" s="22"/>
      <c r="C10223" s="21"/>
      <c r="D10223" s="21"/>
      <c r="E10223" s="21"/>
      <c r="F10223" s="21"/>
      <c r="G10223" s="25"/>
      <c r="H10223" s="24" t="str">
        <f>IFERROR(VLOOKUP(B10223,material!A:D,3,0),"")</f>
        <v/>
      </c>
    </row>
    <row r="10224" ht="11.25" customHeight="1">
      <c r="A10224" s="21"/>
      <c r="B10224" s="22"/>
      <c r="C10224" s="21"/>
      <c r="D10224" s="21"/>
      <c r="E10224" s="21"/>
      <c r="F10224" s="21"/>
      <c r="G10224" s="25"/>
      <c r="H10224" s="24" t="str">
        <f>IFERROR(VLOOKUP(B10224,material!A:D,3,0),"")</f>
        <v/>
      </c>
    </row>
    <row r="10225" ht="11.25" customHeight="1">
      <c r="A10225" s="21"/>
      <c r="B10225" s="22"/>
      <c r="C10225" s="21"/>
      <c r="D10225" s="21"/>
      <c r="E10225" s="21"/>
      <c r="F10225" s="21"/>
      <c r="G10225" s="25"/>
      <c r="H10225" s="24" t="str">
        <f>IFERROR(VLOOKUP(B10225,material!A:D,3,0),"")</f>
        <v/>
      </c>
    </row>
    <row r="10226" ht="11.25" customHeight="1">
      <c r="A10226" s="21"/>
      <c r="B10226" s="22"/>
      <c r="C10226" s="21"/>
      <c r="D10226" s="21"/>
      <c r="E10226" s="21"/>
      <c r="F10226" s="21"/>
      <c r="G10226" s="25"/>
      <c r="H10226" s="24" t="str">
        <f>IFERROR(VLOOKUP(B10226,material!A:D,3,0),"")</f>
        <v/>
      </c>
    </row>
    <row r="10227" ht="11.25" customHeight="1">
      <c r="A10227" s="21"/>
      <c r="B10227" s="22"/>
      <c r="C10227" s="21"/>
      <c r="D10227" s="21"/>
      <c r="E10227" s="21"/>
      <c r="F10227" s="21"/>
      <c r="G10227" s="25"/>
      <c r="H10227" s="24" t="str">
        <f>IFERROR(VLOOKUP(B10227,material!A:D,3,0),"")</f>
        <v/>
      </c>
    </row>
    <row r="10228" ht="11.25" customHeight="1">
      <c r="A10228" s="21"/>
      <c r="B10228" s="22"/>
      <c r="C10228" s="21"/>
      <c r="D10228" s="21"/>
      <c r="E10228" s="21"/>
      <c r="F10228" s="21"/>
      <c r="G10228" s="25"/>
      <c r="H10228" s="24" t="str">
        <f>IFERROR(VLOOKUP(B10228,material!A:D,3,0),"")</f>
        <v/>
      </c>
    </row>
    <row r="10229" ht="11.25" customHeight="1">
      <c r="A10229" s="21"/>
      <c r="B10229" s="22"/>
      <c r="C10229" s="21"/>
      <c r="D10229" s="21"/>
      <c r="E10229" s="21"/>
      <c r="F10229" s="21"/>
      <c r="G10229" s="25"/>
      <c r="H10229" s="24" t="str">
        <f>IFERROR(VLOOKUP(B10229,material!A:D,3,0),"")</f>
        <v/>
      </c>
    </row>
    <row r="10230" ht="11.25" customHeight="1">
      <c r="A10230" s="21"/>
      <c r="B10230" s="22"/>
      <c r="C10230" s="21"/>
      <c r="D10230" s="21"/>
      <c r="E10230" s="21"/>
      <c r="F10230" s="21"/>
      <c r="G10230" s="25"/>
      <c r="H10230" s="24" t="str">
        <f>IFERROR(VLOOKUP(B10230,material!A:D,3,0),"")</f>
        <v/>
      </c>
    </row>
    <row r="10231" ht="11.25" customHeight="1">
      <c r="A10231" s="21"/>
      <c r="B10231" s="22"/>
      <c r="C10231" s="21"/>
      <c r="D10231" s="21"/>
      <c r="E10231" s="21"/>
      <c r="F10231" s="21"/>
      <c r="G10231" s="25"/>
      <c r="H10231" s="24" t="str">
        <f>IFERROR(VLOOKUP(B10231,material!A:D,3,0),"")</f>
        <v/>
      </c>
    </row>
    <row r="10232" ht="11.25" customHeight="1">
      <c r="A10232" s="21"/>
      <c r="B10232" s="22"/>
      <c r="C10232" s="21"/>
      <c r="D10232" s="21"/>
      <c r="E10232" s="21"/>
      <c r="F10232" s="21"/>
      <c r="G10232" s="25"/>
      <c r="H10232" s="24" t="str">
        <f>IFERROR(VLOOKUP(B10232,material!A:D,3,0),"")</f>
        <v/>
      </c>
    </row>
    <row r="10233" ht="11.25" customHeight="1">
      <c r="A10233" s="21"/>
      <c r="B10233" s="22"/>
      <c r="C10233" s="21"/>
      <c r="D10233" s="21"/>
      <c r="E10233" s="21"/>
      <c r="F10233" s="21"/>
      <c r="G10233" s="25"/>
      <c r="H10233" s="24" t="str">
        <f>IFERROR(VLOOKUP(B10233,material!A:D,3,0),"")</f>
        <v/>
      </c>
    </row>
    <row r="10234" ht="11.25" customHeight="1">
      <c r="A10234" s="21"/>
      <c r="B10234" s="22"/>
      <c r="C10234" s="21"/>
      <c r="D10234" s="21"/>
      <c r="E10234" s="21"/>
      <c r="F10234" s="21"/>
      <c r="G10234" s="25"/>
      <c r="H10234" s="24" t="str">
        <f>IFERROR(VLOOKUP(B10234,material!A:D,3,0),"")</f>
        <v/>
      </c>
    </row>
    <row r="10235" ht="11.25" customHeight="1">
      <c r="A10235" s="21"/>
      <c r="B10235" s="22"/>
      <c r="C10235" s="21"/>
      <c r="D10235" s="21"/>
      <c r="E10235" s="21"/>
      <c r="F10235" s="21"/>
      <c r="G10235" s="25"/>
      <c r="H10235" s="24" t="str">
        <f>IFERROR(VLOOKUP(B10235,material!A:D,3,0),"")</f>
        <v/>
      </c>
    </row>
    <row r="10236" ht="11.25" customHeight="1">
      <c r="A10236" s="21"/>
      <c r="B10236" s="22"/>
      <c r="C10236" s="21"/>
      <c r="D10236" s="21"/>
      <c r="E10236" s="21"/>
      <c r="F10236" s="21"/>
      <c r="G10236" s="25"/>
      <c r="H10236" s="24" t="str">
        <f>IFERROR(VLOOKUP(B10236,material!A:D,3,0),"")</f>
        <v/>
      </c>
    </row>
    <row r="10237" ht="11.25" customHeight="1">
      <c r="A10237" s="21"/>
      <c r="B10237" s="22"/>
      <c r="C10237" s="21"/>
      <c r="D10237" s="21"/>
      <c r="E10237" s="21"/>
      <c r="F10237" s="21"/>
      <c r="G10237" s="25"/>
      <c r="H10237" s="24" t="str">
        <f>IFERROR(VLOOKUP(B10237,material!A:D,3,0),"")</f>
        <v/>
      </c>
    </row>
    <row r="10238" ht="11.25" customHeight="1">
      <c r="A10238" s="21"/>
      <c r="B10238" s="22"/>
      <c r="C10238" s="21"/>
      <c r="D10238" s="21"/>
      <c r="E10238" s="21"/>
      <c r="F10238" s="21"/>
      <c r="G10238" s="25"/>
      <c r="H10238" s="24" t="str">
        <f>IFERROR(VLOOKUP(B10238,material!A:D,3,0),"")</f>
        <v/>
      </c>
    </row>
    <row r="10239" ht="11.25" customHeight="1">
      <c r="A10239" s="21"/>
      <c r="B10239" s="22"/>
      <c r="C10239" s="21"/>
      <c r="D10239" s="21"/>
      <c r="E10239" s="21"/>
      <c r="F10239" s="21"/>
      <c r="G10239" s="25"/>
      <c r="H10239" s="24" t="str">
        <f>IFERROR(VLOOKUP(B10239,material!A:D,3,0),"")</f>
        <v/>
      </c>
    </row>
    <row r="10240" ht="11.25" customHeight="1">
      <c r="A10240" s="21"/>
      <c r="B10240" s="22"/>
      <c r="C10240" s="21"/>
      <c r="D10240" s="21"/>
      <c r="E10240" s="21"/>
      <c r="F10240" s="21"/>
      <c r="G10240" s="25"/>
      <c r="H10240" s="24" t="str">
        <f>IFERROR(VLOOKUP(B10240,material!A:D,3,0),"")</f>
        <v/>
      </c>
    </row>
    <row r="10241" ht="11.25" customHeight="1">
      <c r="A10241" s="21"/>
      <c r="B10241" s="22"/>
      <c r="C10241" s="21"/>
      <c r="D10241" s="21"/>
      <c r="E10241" s="21"/>
      <c r="F10241" s="21"/>
      <c r="G10241" s="25"/>
      <c r="H10241" s="24" t="str">
        <f>IFERROR(VLOOKUP(B10241,material!A:D,3,0),"")</f>
        <v/>
      </c>
    </row>
    <row r="10242" ht="11.25" customHeight="1">
      <c r="A10242" s="21"/>
      <c r="B10242" s="22"/>
      <c r="C10242" s="21"/>
      <c r="D10242" s="21"/>
      <c r="E10242" s="21"/>
      <c r="F10242" s="21"/>
      <c r="G10242" s="25"/>
      <c r="H10242" s="24" t="str">
        <f>IFERROR(VLOOKUP(B10242,material!A:D,3,0),"")</f>
        <v/>
      </c>
    </row>
    <row r="10243" ht="11.25" customHeight="1">
      <c r="A10243" s="21"/>
      <c r="B10243" s="22"/>
      <c r="C10243" s="21"/>
      <c r="D10243" s="21"/>
      <c r="E10243" s="21"/>
      <c r="F10243" s="21"/>
      <c r="G10243" s="25"/>
      <c r="H10243" s="24" t="str">
        <f>IFERROR(VLOOKUP(B10243,material!A:D,3,0),"")</f>
        <v/>
      </c>
    </row>
    <row r="10244" ht="11.25" customHeight="1">
      <c r="A10244" s="21"/>
      <c r="B10244" s="22"/>
      <c r="C10244" s="21"/>
      <c r="D10244" s="21"/>
      <c r="E10244" s="21"/>
      <c r="F10244" s="21"/>
      <c r="G10244" s="25"/>
      <c r="H10244" s="24" t="str">
        <f>IFERROR(VLOOKUP(B10244,material!A:D,3,0),"")</f>
        <v/>
      </c>
    </row>
    <row r="10245" ht="11.25" customHeight="1">
      <c r="A10245" s="21"/>
      <c r="B10245" s="22"/>
      <c r="C10245" s="21"/>
      <c r="D10245" s="21"/>
      <c r="E10245" s="21"/>
      <c r="F10245" s="21"/>
      <c r="G10245" s="25"/>
      <c r="H10245" s="24" t="str">
        <f>IFERROR(VLOOKUP(B10245,material!A:D,3,0),"")</f>
        <v/>
      </c>
    </row>
    <row r="10246" ht="11.25" customHeight="1">
      <c r="A10246" s="21"/>
      <c r="B10246" s="22"/>
      <c r="C10246" s="21"/>
      <c r="D10246" s="21"/>
      <c r="E10246" s="21"/>
      <c r="F10246" s="21"/>
      <c r="G10246" s="25"/>
      <c r="H10246" s="24" t="str">
        <f>IFERROR(VLOOKUP(B10246,material!A:D,3,0),"")</f>
        <v/>
      </c>
    </row>
    <row r="10247" ht="11.25" customHeight="1">
      <c r="A10247" s="21"/>
      <c r="B10247" s="22"/>
      <c r="C10247" s="21"/>
      <c r="D10247" s="21"/>
      <c r="E10247" s="21"/>
      <c r="F10247" s="21"/>
      <c r="G10247" s="25"/>
      <c r="H10247" s="24" t="str">
        <f>IFERROR(VLOOKUP(B10247,material!A:D,3,0),"")</f>
        <v/>
      </c>
    </row>
    <row r="10248" ht="11.25" customHeight="1">
      <c r="A10248" s="21"/>
      <c r="B10248" s="22"/>
      <c r="C10248" s="21"/>
      <c r="D10248" s="21"/>
      <c r="E10248" s="21"/>
      <c r="F10248" s="21"/>
      <c r="G10248" s="25"/>
      <c r="H10248" s="24" t="str">
        <f>IFERROR(VLOOKUP(B10248,material!A:D,3,0),"")</f>
        <v/>
      </c>
    </row>
    <row r="10249" ht="11.25" customHeight="1">
      <c r="A10249" s="21"/>
      <c r="B10249" s="22"/>
      <c r="C10249" s="21"/>
      <c r="D10249" s="21"/>
      <c r="E10249" s="21"/>
      <c r="F10249" s="21"/>
      <c r="G10249" s="25"/>
      <c r="H10249" s="24" t="str">
        <f>IFERROR(VLOOKUP(B10249,material!A:D,3,0),"")</f>
        <v/>
      </c>
    </row>
    <row r="10250" ht="11.25" customHeight="1">
      <c r="A10250" s="21"/>
      <c r="B10250" s="22"/>
      <c r="C10250" s="21"/>
      <c r="D10250" s="21"/>
      <c r="E10250" s="21"/>
      <c r="F10250" s="21"/>
      <c r="G10250" s="25"/>
      <c r="H10250" s="24" t="str">
        <f>IFERROR(VLOOKUP(B10250,material!A:D,3,0),"")</f>
        <v/>
      </c>
    </row>
    <row r="10251" ht="11.25" customHeight="1">
      <c r="A10251" s="21"/>
      <c r="B10251" s="22"/>
      <c r="C10251" s="21"/>
      <c r="D10251" s="21"/>
      <c r="E10251" s="21"/>
      <c r="F10251" s="21"/>
      <c r="G10251" s="25"/>
      <c r="H10251" s="24" t="str">
        <f>IFERROR(VLOOKUP(B10251,material!A:D,3,0),"")</f>
        <v/>
      </c>
    </row>
    <row r="10252" ht="11.25" customHeight="1">
      <c r="A10252" s="21"/>
      <c r="B10252" s="22"/>
      <c r="C10252" s="21"/>
      <c r="D10252" s="21"/>
      <c r="E10252" s="21"/>
      <c r="F10252" s="21"/>
      <c r="G10252" s="25"/>
      <c r="H10252" s="24" t="str">
        <f>IFERROR(VLOOKUP(B10252,material!A:D,3,0),"")</f>
        <v/>
      </c>
    </row>
    <row r="10253" ht="11.25" customHeight="1">
      <c r="A10253" s="21"/>
      <c r="B10253" s="22"/>
      <c r="C10253" s="21"/>
      <c r="D10253" s="21"/>
      <c r="E10253" s="21"/>
      <c r="F10253" s="21"/>
      <c r="G10253" s="25"/>
      <c r="H10253" s="24" t="str">
        <f>IFERROR(VLOOKUP(B10253,material!A:D,3,0),"")</f>
        <v/>
      </c>
    </row>
    <row r="10254" ht="11.25" customHeight="1">
      <c r="A10254" s="21"/>
      <c r="B10254" s="22"/>
      <c r="C10254" s="21"/>
      <c r="D10254" s="21"/>
      <c r="E10254" s="21"/>
      <c r="F10254" s="21"/>
      <c r="G10254" s="25"/>
      <c r="H10254" s="24" t="str">
        <f>IFERROR(VLOOKUP(B10254,material!A:D,3,0),"")</f>
        <v/>
      </c>
    </row>
    <row r="10255" ht="11.25" customHeight="1">
      <c r="A10255" s="21"/>
      <c r="B10255" s="22"/>
      <c r="C10255" s="21"/>
      <c r="D10255" s="21"/>
      <c r="E10255" s="21"/>
      <c r="F10255" s="21"/>
      <c r="G10255" s="25"/>
      <c r="H10255" s="24" t="str">
        <f>IFERROR(VLOOKUP(B10255,material!A:D,3,0),"")</f>
        <v/>
      </c>
    </row>
    <row r="10256" ht="11.25" customHeight="1">
      <c r="A10256" s="21"/>
      <c r="B10256" s="22"/>
      <c r="C10256" s="21"/>
      <c r="D10256" s="21"/>
      <c r="E10256" s="21"/>
      <c r="F10256" s="21"/>
      <c r="G10256" s="25"/>
      <c r="H10256" s="24" t="str">
        <f>IFERROR(VLOOKUP(B10256,material!A:D,3,0),"")</f>
        <v/>
      </c>
    </row>
    <row r="10257" ht="11.25" customHeight="1">
      <c r="A10257" s="21"/>
      <c r="B10257" s="22"/>
      <c r="C10257" s="21"/>
      <c r="D10257" s="21"/>
      <c r="E10257" s="21"/>
      <c r="F10257" s="21"/>
      <c r="G10257" s="25"/>
      <c r="H10257" s="24" t="str">
        <f>IFERROR(VLOOKUP(B10257,material!A:D,3,0),"")</f>
        <v/>
      </c>
    </row>
    <row r="10258" ht="11.25" customHeight="1">
      <c r="A10258" s="21"/>
      <c r="B10258" s="22"/>
      <c r="C10258" s="21"/>
      <c r="D10258" s="21"/>
      <c r="E10258" s="21"/>
      <c r="F10258" s="21"/>
      <c r="G10258" s="25"/>
      <c r="H10258" s="24" t="str">
        <f>IFERROR(VLOOKUP(B10258,material!A:D,3,0),"")</f>
        <v/>
      </c>
    </row>
    <row r="10259" ht="11.25" customHeight="1">
      <c r="A10259" s="21"/>
      <c r="B10259" s="22"/>
      <c r="C10259" s="21"/>
      <c r="D10259" s="21"/>
      <c r="E10259" s="21"/>
      <c r="F10259" s="21"/>
      <c r="G10259" s="25"/>
      <c r="H10259" s="24" t="str">
        <f>IFERROR(VLOOKUP(B10259,material!A:D,3,0),"")</f>
        <v/>
      </c>
    </row>
    <row r="10260" ht="11.25" customHeight="1">
      <c r="A10260" s="21"/>
      <c r="B10260" s="22"/>
      <c r="C10260" s="21"/>
      <c r="D10260" s="21"/>
      <c r="E10260" s="21"/>
      <c r="F10260" s="21"/>
      <c r="G10260" s="25"/>
      <c r="H10260" s="24" t="str">
        <f>IFERROR(VLOOKUP(B10260,material!A:D,3,0),"")</f>
        <v/>
      </c>
    </row>
    <row r="10261" ht="11.25" customHeight="1">
      <c r="A10261" s="21"/>
      <c r="B10261" s="22"/>
      <c r="C10261" s="21"/>
      <c r="D10261" s="21"/>
      <c r="E10261" s="21"/>
      <c r="F10261" s="21"/>
      <c r="G10261" s="25"/>
      <c r="H10261" s="24" t="str">
        <f>IFERROR(VLOOKUP(B10261,material!A:D,3,0),"")</f>
        <v/>
      </c>
    </row>
    <row r="10262" ht="11.25" customHeight="1">
      <c r="A10262" s="21"/>
      <c r="B10262" s="22"/>
      <c r="C10262" s="21"/>
      <c r="D10262" s="21"/>
      <c r="E10262" s="21"/>
      <c r="F10262" s="21"/>
      <c r="G10262" s="25"/>
      <c r="H10262" s="24" t="str">
        <f>IFERROR(VLOOKUP(B10262,material!A:D,3,0),"")</f>
        <v/>
      </c>
    </row>
    <row r="10263" ht="11.25" customHeight="1">
      <c r="A10263" s="21"/>
      <c r="B10263" s="22"/>
      <c r="C10263" s="21"/>
      <c r="D10263" s="21"/>
      <c r="E10263" s="21"/>
      <c r="F10263" s="21"/>
      <c r="G10263" s="25"/>
      <c r="H10263" s="24" t="str">
        <f>IFERROR(VLOOKUP(B10263,material!A:D,3,0),"")</f>
        <v/>
      </c>
    </row>
    <row r="10264" ht="11.25" customHeight="1">
      <c r="A10264" s="21"/>
      <c r="B10264" s="22"/>
      <c r="C10264" s="21"/>
      <c r="D10264" s="21"/>
      <c r="E10264" s="21"/>
      <c r="F10264" s="21"/>
      <c r="G10264" s="25"/>
      <c r="H10264" s="24" t="str">
        <f>IFERROR(VLOOKUP(B10264,material!A:D,3,0),"")</f>
        <v/>
      </c>
    </row>
    <row r="10265" ht="11.25" customHeight="1">
      <c r="A10265" s="21"/>
      <c r="B10265" s="22"/>
      <c r="C10265" s="21"/>
      <c r="D10265" s="21"/>
      <c r="E10265" s="21"/>
      <c r="F10265" s="21"/>
      <c r="G10265" s="25"/>
      <c r="H10265" s="24" t="str">
        <f>IFERROR(VLOOKUP(B10265,material!A:D,3,0),"")</f>
        <v/>
      </c>
    </row>
    <row r="10266" ht="11.25" customHeight="1">
      <c r="A10266" s="21"/>
      <c r="B10266" s="22"/>
      <c r="C10266" s="21"/>
      <c r="D10266" s="21"/>
      <c r="E10266" s="21"/>
      <c r="F10266" s="21"/>
      <c r="G10266" s="25"/>
      <c r="H10266" s="24" t="str">
        <f>IFERROR(VLOOKUP(B10266,material!A:D,3,0),"")</f>
        <v/>
      </c>
    </row>
    <row r="10267" ht="11.25" customHeight="1">
      <c r="A10267" s="21"/>
      <c r="B10267" s="22"/>
      <c r="C10267" s="21"/>
      <c r="D10267" s="21"/>
      <c r="E10267" s="21"/>
      <c r="F10267" s="21"/>
      <c r="G10267" s="25"/>
      <c r="H10267" s="24" t="str">
        <f>IFERROR(VLOOKUP(B10267,material!A:D,3,0),"")</f>
        <v/>
      </c>
    </row>
    <row r="10268" ht="11.25" customHeight="1">
      <c r="A10268" s="21"/>
      <c r="B10268" s="22"/>
      <c r="C10268" s="21"/>
      <c r="D10268" s="21"/>
      <c r="E10268" s="21"/>
      <c r="F10268" s="21"/>
      <c r="G10268" s="25"/>
      <c r="H10268" s="24" t="str">
        <f>IFERROR(VLOOKUP(B10268,material!A:D,3,0),"")</f>
        <v/>
      </c>
    </row>
    <row r="10269" ht="11.25" customHeight="1">
      <c r="A10269" s="21"/>
      <c r="B10269" s="22"/>
      <c r="C10269" s="21"/>
      <c r="D10269" s="21"/>
      <c r="E10269" s="21"/>
      <c r="F10269" s="21"/>
      <c r="G10269" s="25"/>
      <c r="H10269" s="24" t="str">
        <f>IFERROR(VLOOKUP(B10269,material!A:D,3,0),"")</f>
        <v/>
      </c>
    </row>
    <row r="10270" ht="11.25" customHeight="1">
      <c r="A10270" s="21"/>
      <c r="B10270" s="22"/>
      <c r="C10270" s="21"/>
      <c r="D10270" s="21"/>
      <c r="E10270" s="21"/>
      <c r="F10270" s="21"/>
      <c r="G10270" s="25"/>
      <c r="H10270" s="24" t="str">
        <f>IFERROR(VLOOKUP(B10270,material!A:D,3,0),"")</f>
        <v/>
      </c>
    </row>
    <row r="10271" ht="11.25" customHeight="1">
      <c r="A10271" s="21"/>
      <c r="B10271" s="22"/>
      <c r="C10271" s="21"/>
      <c r="D10271" s="21"/>
      <c r="E10271" s="21"/>
      <c r="F10271" s="21"/>
      <c r="G10271" s="25"/>
      <c r="H10271" s="24" t="str">
        <f>IFERROR(VLOOKUP(B10271,material!A:D,3,0),"")</f>
        <v/>
      </c>
    </row>
    <row r="10272" ht="11.25" customHeight="1">
      <c r="A10272" s="21"/>
      <c r="B10272" s="22"/>
      <c r="C10272" s="21"/>
      <c r="D10272" s="21"/>
      <c r="E10272" s="21"/>
      <c r="F10272" s="21"/>
      <c r="G10272" s="25"/>
      <c r="H10272" s="24" t="str">
        <f>IFERROR(VLOOKUP(B10272,material!A:D,3,0),"")</f>
        <v/>
      </c>
    </row>
    <row r="10273" ht="11.25" customHeight="1">
      <c r="A10273" s="21"/>
      <c r="B10273" s="22"/>
      <c r="C10273" s="21"/>
      <c r="D10273" s="21"/>
      <c r="E10273" s="21"/>
      <c r="F10273" s="21"/>
      <c r="G10273" s="25"/>
      <c r="H10273" s="24" t="str">
        <f>IFERROR(VLOOKUP(B10273,material!A:D,3,0),"")</f>
        <v/>
      </c>
    </row>
    <row r="10274" ht="11.25" customHeight="1">
      <c r="A10274" s="21"/>
      <c r="B10274" s="22"/>
      <c r="C10274" s="21"/>
      <c r="D10274" s="21"/>
      <c r="E10274" s="21"/>
      <c r="F10274" s="21"/>
      <c r="G10274" s="25"/>
      <c r="H10274" s="24" t="str">
        <f>IFERROR(VLOOKUP(B10274,material!A:D,3,0),"")</f>
        <v/>
      </c>
    </row>
    <row r="10275" ht="11.25" customHeight="1">
      <c r="A10275" s="21"/>
      <c r="B10275" s="22"/>
      <c r="C10275" s="21"/>
      <c r="D10275" s="21"/>
      <c r="E10275" s="21"/>
      <c r="F10275" s="21"/>
      <c r="G10275" s="25"/>
      <c r="H10275" s="24" t="str">
        <f>IFERROR(VLOOKUP(B10275,material!A:D,3,0),"")</f>
        <v/>
      </c>
    </row>
    <row r="10276" ht="11.25" customHeight="1">
      <c r="A10276" s="21"/>
      <c r="B10276" s="22"/>
      <c r="C10276" s="21"/>
      <c r="D10276" s="21"/>
      <c r="E10276" s="21"/>
      <c r="F10276" s="21"/>
      <c r="G10276" s="25"/>
      <c r="H10276" s="24" t="str">
        <f>IFERROR(VLOOKUP(B10276,material!A:D,3,0),"")</f>
        <v/>
      </c>
    </row>
    <row r="10277" ht="11.25" customHeight="1">
      <c r="A10277" s="21"/>
      <c r="B10277" s="22"/>
      <c r="C10277" s="21"/>
      <c r="D10277" s="21"/>
      <c r="E10277" s="21"/>
      <c r="F10277" s="21"/>
      <c r="G10277" s="25"/>
      <c r="H10277" s="24" t="str">
        <f>IFERROR(VLOOKUP(B10277,material!A:D,3,0),"")</f>
        <v/>
      </c>
    </row>
    <row r="10278" ht="11.25" customHeight="1">
      <c r="A10278" s="21"/>
      <c r="B10278" s="22"/>
      <c r="C10278" s="21"/>
      <c r="D10278" s="21"/>
      <c r="E10278" s="21"/>
      <c r="F10278" s="21"/>
      <c r="G10278" s="25"/>
      <c r="H10278" s="24" t="str">
        <f>IFERROR(VLOOKUP(B10278,material!A:D,3,0),"")</f>
        <v/>
      </c>
    </row>
    <row r="10279" ht="11.25" customHeight="1">
      <c r="A10279" s="21"/>
      <c r="B10279" s="22"/>
      <c r="C10279" s="21"/>
      <c r="D10279" s="21"/>
      <c r="E10279" s="21"/>
      <c r="F10279" s="21"/>
      <c r="G10279" s="25"/>
      <c r="H10279" s="24" t="str">
        <f>IFERROR(VLOOKUP(B10279,material!A:D,3,0),"")</f>
        <v/>
      </c>
    </row>
    <row r="10280" ht="11.25" customHeight="1">
      <c r="A10280" s="21"/>
      <c r="B10280" s="22"/>
      <c r="C10280" s="21"/>
      <c r="D10280" s="21"/>
      <c r="E10280" s="21"/>
      <c r="F10280" s="21"/>
      <c r="G10280" s="25"/>
      <c r="H10280" s="24" t="str">
        <f>IFERROR(VLOOKUP(B10280,material!A:D,3,0),"")</f>
        <v/>
      </c>
    </row>
    <row r="10281" ht="11.25" customHeight="1">
      <c r="A10281" s="21"/>
      <c r="B10281" s="22"/>
      <c r="C10281" s="21"/>
      <c r="D10281" s="21"/>
      <c r="E10281" s="21"/>
      <c r="F10281" s="21"/>
      <c r="G10281" s="25"/>
      <c r="H10281" s="24" t="str">
        <f>IFERROR(VLOOKUP(B10281,material!A:D,3,0),"")</f>
        <v/>
      </c>
    </row>
    <row r="10282" ht="11.25" customHeight="1">
      <c r="A10282" s="21"/>
      <c r="B10282" s="22"/>
      <c r="C10282" s="21"/>
      <c r="D10282" s="21"/>
      <c r="E10282" s="21"/>
      <c r="F10282" s="21"/>
      <c r="G10282" s="25"/>
      <c r="H10282" s="24" t="str">
        <f>IFERROR(VLOOKUP(B10282,material!A:D,3,0),"")</f>
        <v/>
      </c>
    </row>
    <row r="10283" ht="11.25" customHeight="1">
      <c r="A10283" s="21"/>
      <c r="B10283" s="22"/>
      <c r="C10283" s="21"/>
      <c r="D10283" s="21"/>
      <c r="E10283" s="21"/>
      <c r="F10283" s="21"/>
      <c r="G10283" s="25"/>
      <c r="H10283" s="24" t="str">
        <f>IFERROR(VLOOKUP(B10283,material!A:D,3,0),"")</f>
        <v/>
      </c>
    </row>
    <row r="10284" ht="11.25" customHeight="1">
      <c r="A10284" s="21"/>
      <c r="B10284" s="22"/>
      <c r="C10284" s="21"/>
      <c r="D10284" s="21"/>
      <c r="E10284" s="21"/>
      <c r="F10284" s="21"/>
      <c r="G10284" s="25"/>
      <c r="H10284" s="24" t="str">
        <f>IFERROR(VLOOKUP(B10284,material!A:D,3,0),"")</f>
        <v/>
      </c>
    </row>
    <row r="10285" ht="11.25" customHeight="1">
      <c r="A10285" s="21"/>
      <c r="B10285" s="22"/>
      <c r="C10285" s="21"/>
      <c r="D10285" s="21"/>
      <c r="E10285" s="21"/>
      <c r="F10285" s="21"/>
      <c r="G10285" s="25"/>
      <c r="H10285" s="24" t="str">
        <f>IFERROR(VLOOKUP(B10285,material!A:D,3,0),"")</f>
        <v/>
      </c>
    </row>
    <row r="10286" ht="11.25" customHeight="1">
      <c r="A10286" s="21"/>
      <c r="B10286" s="22"/>
      <c r="C10286" s="21"/>
      <c r="D10286" s="21"/>
      <c r="E10286" s="21"/>
      <c r="F10286" s="21"/>
      <c r="G10286" s="25"/>
      <c r="H10286" s="24" t="str">
        <f>IFERROR(VLOOKUP(B10286,material!A:D,3,0),"")</f>
        <v/>
      </c>
    </row>
    <row r="10287" ht="11.25" customHeight="1">
      <c r="A10287" s="21"/>
      <c r="B10287" s="22"/>
      <c r="C10287" s="21"/>
      <c r="D10287" s="21"/>
      <c r="E10287" s="21"/>
      <c r="F10287" s="21"/>
      <c r="G10287" s="25"/>
      <c r="H10287" s="24" t="str">
        <f>IFERROR(VLOOKUP(B10287,material!A:D,3,0),"")</f>
        <v/>
      </c>
    </row>
    <row r="10288" ht="11.25" customHeight="1">
      <c r="A10288" s="21"/>
      <c r="B10288" s="22"/>
      <c r="C10288" s="21"/>
      <c r="D10288" s="21"/>
      <c r="E10288" s="21"/>
      <c r="F10288" s="21"/>
      <c r="G10288" s="25"/>
      <c r="H10288" s="24" t="str">
        <f>IFERROR(VLOOKUP(B10288,material!A:D,3,0),"")</f>
        <v/>
      </c>
    </row>
    <row r="10289" ht="11.25" customHeight="1">
      <c r="A10289" s="21"/>
      <c r="B10289" s="22"/>
      <c r="C10289" s="21"/>
      <c r="D10289" s="21"/>
      <c r="E10289" s="21"/>
      <c r="F10289" s="21"/>
      <c r="G10289" s="25"/>
      <c r="H10289" s="24" t="str">
        <f>IFERROR(VLOOKUP(B10289,material!A:D,3,0),"")</f>
        <v/>
      </c>
    </row>
    <row r="10290" ht="11.25" customHeight="1">
      <c r="A10290" s="21"/>
      <c r="B10290" s="22"/>
      <c r="C10290" s="21"/>
      <c r="D10290" s="21"/>
      <c r="E10290" s="21"/>
      <c r="F10290" s="21"/>
      <c r="G10290" s="25"/>
      <c r="H10290" s="24" t="str">
        <f>IFERROR(VLOOKUP(B10290,material!A:D,3,0),"")</f>
        <v/>
      </c>
    </row>
    <row r="10291" ht="11.25" customHeight="1">
      <c r="A10291" s="21"/>
      <c r="B10291" s="22"/>
      <c r="C10291" s="21"/>
      <c r="D10291" s="21"/>
      <c r="E10291" s="21"/>
      <c r="F10291" s="21"/>
      <c r="G10291" s="25"/>
      <c r="H10291" s="24" t="str">
        <f>IFERROR(VLOOKUP(B10291,material!A:D,3,0),"")</f>
        <v/>
      </c>
    </row>
    <row r="10292" ht="11.25" customHeight="1">
      <c r="A10292" s="21"/>
      <c r="B10292" s="22"/>
      <c r="C10292" s="21"/>
      <c r="D10292" s="21"/>
      <c r="E10292" s="21"/>
      <c r="F10292" s="21"/>
      <c r="G10292" s="25"/>
      <c r="H10292" s="24" t="str">
        <f>IFERROR(VLOOKUP(B10292,material!A:D,3,0),"")</f>
        <v/>
      </c>
    </row>
    <row r="10293" ht="11.25" customHeight="1">
      <c r="A10293" s="21"/>
      <c r="B10293" s="22"/>
      <c r="C10293" s="21"/>
      <c r="D10293" s="21"/>
      <c r="E10293" s="21"/>
      <c r="F10293" s="21"/>
      <c r="G10293" s="25"/>
      <c r="H10293" s="24" t="str">
        <f>IFERROR(VLOOKUP(B10293,material!A:D,3,0),"")</f>
        <v/>
      </c>
    </row>
    <row r="10294" ht="11.25" customHeight="1">
      <c r="A10294" s="21"/>
      <c r="B10294" s="22"/>
      <c r="C10294" s="21"/>
      <c r="D10294" s="21"/>
      <c r="E10294" s="21"/>
      <c r="F10294" s="21"/>
      <c r="G10294" s="25"/>
      <c r="H10294" s="24" t="str">
        <f>IFERROR(VLOOKUP(B10294,material!A:D,3,0),"")</f>
        <v/>
      </c>
    </row>
    <row r="10295" ht="11.25" customHeight="1">
      <c r="A10295" s="21"/>
      <c r="B10295" s="22"/>
      <c r="C10295" s="21"/>
      <c r="D10295" s="21"/>
      <c r="E10295" s="21"/>
      <c r="F10295" s="21"/>
      <c r="G10295" s="25"/>
      <c r="H10295" s="24" t="str">
        <f>IFERROR(VLOOKUP(B10295,material!A:D,3,0),"")</f>
        <v/>
      </c>
    </row>
    <row r="10296" ht="11.25" customHeight="1">
      <c r="A10296" s="21"/>
      <c r="B10296" s="22"/>
      <c r="C10296" s="21"/>
      <c r="D10296" s="21"/>
      <c r="E10296" s="21"/>
      <c r="F10296" s="21"/>
      <c r="G10296" s="25"/>
      <c r="H10296" s="24" t="str">
        <f>IFERROR(VLOOKUP(B10296,material!A:D,3,0),"")</f>
        <v/>
      </c>
    </row>
    <row r="10297" ht="11.25" customHeight="1">
      <c r="A10297" s="21"/>
      <c r="B10297" s="22"/>
      <c r="C10297" s="21"/>
      <c r="D10297" s="21"/>
      <c r="E10297" s="21"/>
      <c r="F10297" s="21"/>
      <c r="G10297" s="25"/>
      <c r="H10297" s="24" t="str">
        <f>IFERROR(VLOOKUP(B10297,material!A:D,3,0),"")</f>
        <v/>
      </c>
    </row>
    <row r="10298" ht="11.25" customHeight="1">
      <c r="A10298" s="21"/>
      <c r="B10298" s="22"/>
      <c r="C10298" s="21"/>
      <c r="D10298" s="21"/>
      <c r="E10298" s="21"/>
      <c r="F10298" s="21"/>
      <c r="G10298" s="25"/>
      <c r="H10298" s="24" t="str">
        <f>IFERROR(VLOOKUP(B10298,material!A:D,3,0),"")</f>
        <v/>
      </c>
    </row>
    <row r="10299" ht="11.25" customHeight="1">
      <c r="A10299" s="21"/>
      <c r="B10299" s="22"/>
      <c r="C10299" s="21"/>
      <c r="D10299" s="21"/>
      <c r="E10299" s="21"/>
      <c r="F10299" s="21"/>
      <c r="G10299" s="25"/>
      <c r="H10299" s="24" t="str">
        <f>IFERROR(VLOOKUP(B10299,material!A:D,3,0),"")</f>
        <v/>
      </c>
    </row>
    <row r="10300" ht="11.25" customHeight="1">
      <c r="A10300" s="21"/>
      <c r="B10300" s="22"/>
      <c r="C10300" s="21"/>
      <c r="D10300" s="21"/>
      <c r="E10300" s="21"/>
      <c r="F10300" s="21"/>
      <c r="G10300" s="25"/>
      <c r="H10300" s="24" t="str">
        <f>IFERROR(VLOOKUP(B10300,material!A:D,3,0),"")</f>
        <v/>
      </c>
    </row>
    <row r="10301" ht="11.25" customHeight="1">
      <c r="A10301" s="21"/>
      <c r="B10301" s="22"/>
      <c r="C10301" s="21"/>
      <c r="D10301" s="21"/>
      <c r="E10301" s="21"/>
      <c r="F10301" s="21"/>
      <c r="G10301" s="25"/>
      <c r="H10301" s="24" t="str">
        <f>IFERROR(VLOOKUP(B10301,material!A:D,3,0),"")</f>
        <v/>
      </c>
    </row>
    <row r="10302" ht="11.25" customHeight="1">
      <c r="A10302" s="21"/>
      <c r="B10302" s="22"/>
      <c r="C10302" s="21"/>
      <c r="D10302" s="21"/>
      <c r="E10302" s="21"/>
      <c r="F10302" s="21"/>
      <c r="G10302" s="25"/>
      <c r="H10302" s="24" t="str">
        <f>IFERROR(VLOOKUP(B10302,material!A:D,3,0),"")</f>
        <v/>
      </c>
    </row>
    <row r="10303" ht="11.25" customHeight="1">
      <c r="A10303" s="21"/>
      <c r="B10303" s="22"/>
      <c r="C10303" s="21"/>
      <c r="D10303" s="21"/>
      <c r="E10303" s="21"/>
      <c r="F10303" s="21"/>
      <c r="G10303" s="25"/>
      <c r="H10303" s="24" t="str">
        <f>IFERROR(VLOOKUP(B10303,material!A:D,3,0),"")</f>
        <v/>
      </c>
    </row>
    <row r="10304" ht="11.25" customHeight="1">
      <c r="A10304" s="21"/>
      <c r="B10304" s="22"/>
      <c r="C10304" s="21"/>
      <c r="D10304" s="21"/>
      <c r="E10304" s="21"/>
      <c r="F10304" s="21"/>
      <c r="G10304" s="25"/>
      <c r="H10304" s="24" t="str">
        <f>IFERROR(VLOOKUP(B10304,material!A:D,3,0),"")</f>
        <v/>
      </c>
    </row>
    <row r="10305" ht="11.25" customHeight="1">
      <c r="A10305" s="21"/>
      <c r="B10305" s="22"/>
      <c r="C10305" s="21"/>
      <c r="D10305" s="21"/>
      <c r="E10305" s="21"/>
      <c r="F10305" s="21"/>
      <c r="G10305" s="25"/>
      <c r="H10305" s="24" t="str">
        <f>IFERROR(VLOOKUP(B10305,material!A:D,3,0),"")</f>
        <v/>
      </c>
    </row>
    <row r="10306" ht="11.25" customHeight="1">
      <c r="A10306" s="21"/>
      <c r="B10306" s="22"/>
      <c r="C10306" s="21"/>
      <c r="D10306" s="21"/>
      <c r="E10306" s="21"/>
      <c r="F10306" s="21"/>
      <c r="G10306" s="25"/>
      <c r="H10306" s="24" t="str">
        <f>IFERROR(VLOOKUP(B10306,material!A:D,3,0),"")</f>
        <v/>
      </c>
    </row>
    <row r="10307" ht="11.25" customHeight="1">
      <c r="A10307" s="21"/>
      <c r="B10307" s="22"/>
      <c r="C10307" s="21"/>
      <c r="D10307" s="21"/>
      <c r="E10307" s="21"/>
      <c r="F10307" s="21"/>
      <c r="G10307" s="25"/>
      <c r="H10307" s="24" t="str">
        <f>IFERROR(VLOOKUP(B10307,material!A:D,3,0),"")</f>
        <v/>
      </c>
    </row>
    <row r="10308" ht="11.25" customHeight="1">
      <c r="A10308" s="21"/>
      <c r="B10308" s="22"/>
      <c r="C10308" s="21"/>
      <c r="D10308" s="21"/>
      <c r="E10308" s="21"/>
      <c r="F10308" s="21"/>
      <c r="G10308" s="25"/>
      <c r="H10308" s="24" t="str">
        <f>IFERROR(VLOOKUP(B10308,material!A:D,3,0),"")</f>
        <v/>
      </c>
    </row>
    <row r="10309" ht="11.25" customHeight="1">
      <c r="A10309" s="21"/>
      <c r="B10309" s="22"/>
      <c r="C10309" s="21"/>
      <c r="D10309" s="21"/>
      <c r="E10309" s="21"/>
      <c r="F10309" s="21"/>
      <c r="G10309" s="25"/>
      <c r="H10309" s="24" t="str">
        <f>IFERROR(VLOOKUP(B10309,material!A:D,3,0),"")</f>
        <v/>
      </c>
    </row>
    <row r="10310" ht="11.25" customHeight="1">
      <c r="A10310" s="21"/>
      <c r="B10310" s="22"/>
      <c r="C10310" s="21"/>
      <c r="D10310" s="21"/>
      <c r="E10310" s="21"/>
      <c r="F10310" s="21"/>
      <c r="G10310" s="25"/>
      <c r="H10310" s="24" t="str">
        <f>IFERROR(VLOOKUP(B10310,material!A:D,3,0),"")</f>
        <v/>
      </c>
    </row>
    <row r="10311" ht="11.25" customHeight="1">
      <c r="A10311" s="21"/>
      <c r="B10311" s="22"/>
      <c r="C10311" s="21"/>
      <c r="D10311" s="21"/>
      <c r="E10311" s="21"/>
      <c r="F10311" s="21"/>
      <c r="G10311" s="25"/>
      <c r="H10311" s="24" t="str">
        <f>IFERROR(VLOOKUP(B10311,material!A:D,3,0),"")</f>
        <v/>
      </c>
    </row>
    <row r="10312" ht="11.25" customHeight="1">
      <c r="A10312" s="21"/>
      <c r="B10312" s="22"/>
      <c r="C10312" s="21"/>
      <c r="D10312" s="21"/>
      <c r="E10312" s="21"/>
      <c r="F10312" s="21"/>
      <c r="G10312" s="25"/>
      <c r="H10312" s="24" t="str">
        <f>IFERROR(VLOOKUP(B10312,material!A:D,3,0),"")</f>
        <v/>
      </c>
    </row>
    <row r="10313" ht="11.25" customHeight="1">
      <c r="A10313" s="21"/>
      <c r="B10313" s="22"/>
      <c r="C10313" s="21"/>
      <c r="D10313" s="21"/>
      <c r="E10313" s="21"/>
      <c r="F10313" s="21"/>
      <c r="G10313" s="25"/>
      <c r="H10313" s="24" t="str">
        <f>IFERROR(VLOOKUP(B10313,material!A:D,3,0),"")</f>
        <v/>
      </c>
    </row>
    <row r="10314" ht="11.25" customHeight="1">
      <c r="A10314" s="21"/>
      <c r="B10314" s="22"/>
      <c r="C10314" s="21"/>
      <c r="D10314" s="21"/>
      <c r="E10314" s="21"/>
      <c r="F10314" s="21"/>
      <c r="G10314" s="25"/>
      <c r="H10314" s="24" t="str">
        <f>IFERROR(VLOOKUP(B10314,material!A:D,3,0),"")</f>
        <v/>
      </c>
    </row>
    <row r="10315" ht="11.25" customHeight="1">
      <c r="A10315" s="21"/>
      <c r="B10315" s="22"/>
      <c r="C10315" s="21"/>
      <c r="D10315" s="21"/>
      <c r="E10315" s="21"/>
      <c r="F10315" s="21"/>
      <c r="G10315" s="25"/>
      <c r="H10315" s="24" t="str">
        <f>IFERROR(VLOOKUP(B10315,material!A:D,3,0),"")</f>
        <v/>
      </c>
    </row>
    <row r="10316" ht="11.25" customHeight="1">
      <c r="A10316" s="21"/>
      <c r="B10316" s="22"/>
      <c r="C10316" s="21"/>
      <c r="D10316" s="21"/>
      <c r="E10316" s="21"/>
      <c r="F10316" s="21"/>
      <c r="G10316" s="25"/>
      <c r="H10316" s="24" t="str">
        <f>IFERROR(VLOOKUP(B10316,material!A:D,3,0),"")</f>
        <v/>
      </c>
    </row>
    <row r="10317" ht="11.25" customHeight="1">
      <c r="A10317" s="21"/>
      <c r="B10317" s="22"/>
      <c r="C10317" s="21"/>
      <c r="D10317" s="21"/>
      <c r="E10317" s="21"/>
      <c r="F10317" s="21"/>
      <c r="G10317" s="25"/>
      <c r="H10317" s="24" t="str">
        <f>IFERROR(VLOOKUP(B10317,material!A:D,3,0),"")</f>
        <v/>
      </c>
    </row>
    <row r="10318" ht="11.25" customHeight="1">
      <c r="A10318" s="21"/>
      <c r="B10318" s="22"/>
      <c r="C10318" s="21"/>
      <c r="D10318" s="21"/>
      <c r="E10318" s="21"/>
      <c r="F10318" s="21"/>
      <c r="G10318" s="25"/>
      <c r="H10318" s="24" t="str">
        <f>IFERROR(VLOOKUP(B10318,material!A:D,3,0),"")</f>
        <v/>
      </c>
    </row>
    <row r="10319" ht="11.25" customHeight="1">
      <c r="A10319" s="21"/>
      <c r="B10319" s="22"/>
      <c r="C10319" s="21"/>
      <c r="D10319" s="21"/>
      <c r="E10319" s="21"/>
      <c r="F10319" s="21"/>
      <c r="G10319" s="25"/>
      <c r="H10319" s="24" t="str">
        <f>IFERROR(VLOOKUP(B10319,material!A:D,3,0),"")</f>
        <v/>
      </c>
    </row>
    <row r="10320" ht="11.25" customHeight="1">
      <c r="A10320" s="21"/>
      <c r="B10320" s="22"/>
      <c r="C10320" s="21"/>
      <c r="D10320" s="21"/>
      <c r="E10320" s="21"/>
      <c r="F10320" s="21"/>
      <c r="G10320" s="25"/>
      <c r="H10320" s="24" t="str">
        <f>IFERROR(VLOOKUP(B10320,material!A:D,3,0),"")</f>
        <v/>
      </c>
    </row>
    <row r="10321" ht="11.25" customHeight="1">
      <c r="A10321" s="21"/>
      <c r="B10321" s="22"/>
      <c r="C10321" s="21"/>
      <c r="D10321" s="21"/>
      <c r="E10321" s="21"/>
      <c r="F10321" s="21"/>
      <c r="G10321" s="25"/>
      <c r="H10321" s="24" t="str">
        <f>IFERROR(VLOOKUP(B10321,material!A:D,3,0),"")</f>
        <v/>
      </c>
    </row>
    <row r="10322" ht="11.25" customHeight="1">
      <c r="A10322" s="21"/>
      <c r="B10322" s="22"/>
      <c r="C10322" s="21"/>
      <c r="D10322" s="21"/>
      <c r="E10322" s="21"/>
      <c r="F10322" s="21"/>
      <c r="G10322" s="25"/>
      <c r="H10322" s="24" t="str">
        <f>IFERROR(VLOOKUP(B10322,material!A:D,3,0),"")</f>
        <v/>
      </c>
    </row>
    <row r="10323" ht="11.25" customHeight="1">
      <c r="A10323" s="21"/>
      <c r="B10323" s="22"/>
      <c r="C10323" s="21"/>
      <c r="D10323" s="21"/>
      <c r="E10323" s="21"/>
      <c r="F10323" s="21"/>
      <c r="G10323" s="25"/>
      <c r="H10323" s="24" t="str">
        <f>IFERROR(VLOOKUP(B10323,material!A:D,3,0),"")</f>
        <v/>
      </c>
    </row>
    <row r="10324" ht="11.25" customHeight="1">
      <c r="A10324" s="21"/>
      <c r="B10324" s="22"/>
      <c r="C10324" s="21"/>
      <c r="D10324" s="21"/>
      <c r="E10324" s="21"/>
      <c r="F10324" s="21"/>
      <c r="G10324" s="25"/>
      <c r="H10324" s="24" t="str">
        <f>IFERROR(VLOOKUP(B10324,material!A:D,3,0),"")</f>
        <v/>
      </c>
    </row>
    <row r="10325" ht="11.25" customHeight="1">
      <c r="A10325" s="21"/>
      <c r="B10325" s="22"/>
      <c r="C10325" s="21"/>
      <c r="D10325" s="21"/>
      <c r="E10325" s="21"/>
      <c r="F10325" s="21"/>
      <c r="G10325" s="25"/>
      <c r="H10325" s="24" t="str">
        <f>IFERROR(VLOOKUP(B10325,material!A:D,3,0),"")</f>
        <v/>
      </c>
    </row>
    <row r="10326" ht="11.25" customHeight="1">
      <c r="A10326" s="21"/>
      <c r="B10326" s="22"/>
      <c r="C10326" s="21"/>
      <c r="D10326" s="21"/>
      <c r="E10326" s="21"/>
      <c r="F10326" s="21"/>
      <c r="G10326" s="25"/>
      <c r="H10326" s="24" t="str">
        <f>IFERROR(VLOOKUP(B10326,material!A:D,3,0),"")</f>
        <v/>
      </c>
    </row>
    <row r="10327" ht="11.25" customHeight="1">
      <c r="A10327" s="21"/>
      <c r="B10327" s="22"/>
      <c r="C10327" s="21"/>
      <c r="D10327" s="21"/>
      <c r="E10327" s="21"/>
      <c r="F10327" s="21"/>
      <c r="G10327" s="25"/>
      <c r="H10327" s="24" t="str">
        <f>IFERROR(VLOOKUP(B10327,material!A:D,3,0),"")</f>
        <v/>
      </c>
    </row>
    <row r="10328" ht="11.25" customHeight="1">
      <c r="A10328" s="21"/>
      <c r="B10328" s="22"/>
      <c r="C10328" s="21"/>
      <c r="D10328" s="21"/>
      <c r="E10328" s="21"/>
      <c r="F10328" s="21"/>
      <c r="G10328" s="25"/>
      <c r="H10328" s="24" t="str">
        <f>IFERROR(VLOOKUP(B10328,material!A:D,3,0),"")</f>
        <v/>
      </c>
    </row>
    <row r="10329" ht="11.25" customHeight="1">
      <c r="A10329" s="21"/>
      <c r="B10329" s="22"/>
      <c r="C10329" s="21"/>
      <c r="D10329" s="21"/>
      <c r="E10329" s="21"/>
      <c r="F10329" s="21"/>
      <c r="G10329" s="25"/>
      <c r="H10329" s="24" t="str">
        <f>IFERROR(VLOOKUP(B10329,material!A:D,3,0),"")</f>
        <v/>
      </c>
    </row>
    <row r="10330" ht="11.25" customHeight="1">
      <c r="A10330" s="21"/>
      <c r="B10330" s="22"/>
      <c r="C10330" s="21"/>
      <c r="D10330" s="21"/>
      <c r="E10330" s="21"/>
      <c r="F10330" s="21"/>
      <c r="G10330" s="25"/>
      <c r="H10330" s="24" t="str">
        <f>IFERROR(VLOOKUP(B10330,material!A:D,3,0),"")</f>
        <v/>
      </c>
    </row>
    <row r="10331" ht="11.25" customHeight="1">
      <c r="A10331" s="21"/>
      <c r="B10331" s="22"/>
      <c r="C10331" s="21"/>
      <c r="D10331" s="21"/>
      <c r="E10331" s="21"/>
      <c r="F10331" s="21"/>
      <c r="G10331" s="25"/>
      <c r="H10331" s="24" t="str">
        <f>IFERROR(VLOOKUP(B10331,material!A:D,3,0),"")</f>
        <v/>
      </c>
    </row>
    <row r="10332" ht="11.25" customHeight="1">
      <c r="A10332" s="21"/>
      <c r="B10332" s="22"/>
      <c r="C10332" s="21"/>
      <c r="D10332" s="21"/>
      <c r="E10332" s="21"/>
      <c r="F10332" s="21"/>
      <c r="G10332" s="25"/>
      <c r="H10332" s="24" t="str">
        <f>IFERROR(VLOOKUP(B10332,material!A:D,3,0),"")</f>
        <v/>
      </c>
    </row>
    <row r="10333" ht="11.25" customHeight="1">
      <c r="A10333" s="21"/>
      <c r="B10333" s="22"/>
      <c r="C10333" s="21"/>
      <c r="D10333" s="21"/>
      <c r="E10333" s="21"/>
      <c r="F10333" s="21"/>
      <c r="G10333" s="25"/>
      <c r="H10333" s="24" t="str">
        <f>IFERROR(VLOOKUP(B10333,material!A:D,3,0),"")</f>
        <v/>
      </c>
    </row>
    <row r="10334" ht="11.25" customHeight="1">
      <c r="A10334" s="21"/>
      <c r="B10334" s="22"/>
      <c r="C10334" s="21"/>
      <c r="D10334" s="21"/>
      <c r="E10334" s="21"/>
      <c r="F10334" s="21"/>
      <c r="G10334" s="25"/>
      <c r="H10334" s="24" t="str">
        <f>IFERROR(VLOOKUP(B10334,material!A:D,3,0),"")</f>
        <v/>
      </c>
    </row>
    <row r="10335" ht="11.25" customHeight="1">
      <c r="A10335" s="21"/>
      <c r="B10335" s="22"/>
      <c r="C10335" s="21"/>
      <c r="D10335" s="21"/>
      <c r="E10335" s="21"/>
      <c r="F10335" s="21"/>
      <c r="G10335" s="25"/>
      <c r="H10335" s="24" t="str">
        <f>IFERROR(VLOOKUP(B10335,material!A:D,3,0),"")</f>
        <v/>
      </c>
    </row>
    <row r="10336" ht="11.25" customHeight="1">
      <c r="A10336" s="21"/>
      <c r="B10336" s="22"/>
      <c r="C10336" s="21"/>
      <c r="D10336" s="21"/>
      <c r="E10336" s="21"/>
      <c r="F10336" s="21"/>
      <c r="G10336" s="25"/>
      <c r="H10336" s="24" t="str">
        <f>IFERROR(VLOOKUP(B10336,material!A:D,3,0),"")</f>
        <v/>
      </c>
    </row>
    <row r="10337" ht="11.25" customHeight="1">
      <c r="A10337" s="21"/>
      <c r="B10337" s="22"/>
      <c r="C10337" s="21"/>
      <c r="D10337" s="21"/>
      <c r="E10337" s="21"/>
      <c r="F10337" s="21"/>
      <c r="G10337" s="25"/>
      <c r="H10337" s="24" t="str">
        <f>IFERROR(VLOOKUP(B10337,material!A:D,3,0),"")</f>
        <v/>
      </c>
    </row>
    <row r="10338" ht="11.25" customHeight="1">
      <c r="A10338" s="21"/>
      <c r="B10338" s="22"/>
      <c r="C10338" s="21"/>
      <c r="D10338" s="21"/>
      <c r="E10338" s="21"/>
      <c r="F10338" s="21"/>
      <c r="G10338" s="25"/>
      <c r="H10338" s="24" t="str">
        <f>IFERROR(VLOOKUP(B10338,material!A:D,3,0),"")</f>
        <v/>
      </c>
    </row>
    <row r="10339" ht="11.25" customHeight="1">
      <c r="A10339" s="21"/>
      <c r="B10339" s="22"/>
      <c r="C10339" s="21"/>
      <c r="D10339" s="21"/>
      <c r="E10339" s="21"/>
      <c r="F10339" s="21"/>
      <c r="G10339" s="25"/>
      <c r="H10339" s="24" t="str">
        <f>IFERROR(VLOOKUP(B10339,material!A:D,3,0),"")</f>
        <v/>
      </c>
    </row>
    <row r="10340" ht="11.25" customHeight="1">
      <c r="A10340" s="21"/>
      <c r="B10340" s="22"/>
      <c r="C10340" s="21"/>
      <c r="D10340" s="21"/>
      <c r="E10340" s="21"/>
      <c r="F10340" s="21"/>
      <c r="G10340" s="25"/>
      <c r="H10340" s="24" t="str">
        <f>IFERROR(VLOOKUP(B10340,material!A:D,3,0),"")</f>
        <v/>
      </c>
    </row>
    <row r="10341" ht="11.25" customHeight="1">
      <c r="A10341" s="21"/>
      <c r="B10341" s="22"/>
      <c r="C10341" s="21"/>
      <c r="D10341" s="21"/>
      <c r="E10341" s="21"/>
      <c r="F10341" s="21"/>
      <c r="G10341" s="25"/>
      <c r="H10341" s="24" t="str">
        <f>IFERROR(VLOOKUP(B10341,material!A:D,3,0),"")</f>
        <v/>
      </c>
    </row>
    <row r="10342" ht="11.25" customHeight="1">
      <c r="A10342" s="21"/>
      <c r="B10342" s="22"/>
      <c r="C10342" s="21"/>
      <c r="D10342" s="21"/>
      <c r="E10342" s="21"/>
      <c r="F10342" s="21"/>
      <c r="G10342" s="25"/>
      <c r="H10342" s="24" t="str">
        <f>IFERROR(VLOOKUP(B10342,material!A:D,3,0),"")</f>
        <v/>
      </c>
    </row>
    <row r="10343" ht="11.25" customHeight="1">
      <c r="A10343" s="21"/>
      <c r="B10343" s="22"/>
      <c r="C10343" s="21"/>
      <c r="D10343" s="21"/>
      <c r="E10343" s="21"/>
      <c r="F10343" s="21"/>
      <c r="G10343" s="25"/>
      <c r="H10343" s="24" t="str">
        <f>IFERROR(VLOOKUP(B10343,material!A:D,3,0),"")</f>
        <v/>
      </c>
    </row>
    <row r="10344" ht="11.25" customHeight="1">
      <c r="A10344" s="21"/>
      <c r="B10344" s="22"/>
      <c r="C10344" s="21"/>
      <c r="D10344" s="21"/>
      <c r="E10344" s="21"/>
      <c r="F10344" s="21"/>
      <c r="G10344" s="25"/>
      <c r="H10344" s="24" t="str">
        <f>IFERROR(VLOOKUP(B10344,material!A:D,3,0),"")</f>
        <v/>
      </c>
    </row>
    <row r="10345" ht="11.25" customHeight="1">
      <c r="A10345" s="21"/>
      <c r="B10345" s="22"/>
      <c r="C10345" s="21"/>
      <c r="D10345" s="21"/>
      <c r="E10345" s="21"/>
      <c r="F10345" s="21"/>
      <c r="G10345" s="25"/>
      <c r="H10345" s="24" t="str">
        <f>IFERROR(VLOOKUP(B10345,material!A:D,3,0),"")</f>
        <v/>
      </c>
    </row>
    <row r="10346" ht="11.25" customHeight="1">
      <c r="A10346" s="21"/>
      <c r="B10346" s="22"/>
      <c r="C10346" s="21"/>
      <c r="D10346" s="21"/>
      <c r="E10346" s="21"/>
      <c r="F10346" s="21"/>
      <c r="G10346" s="25"/>
      <c r="H10346" s="24" t="str">
        <f>IFERROR(VLOOKUP(B10346,material!A:D,3,0),"")</f>
        <v/>
      </c>
    </row>
    <row r="10347" ht="11.25" customHeight="1">
      <c r="A10347" s="21"/>
      <c r="B10347" s="22"/>
      <c r="C10347" s="21"/>
      <c r="D10347" s="21"/>
      <c r="E10347" s="21"/>
      <c r="F10347" s="21"/>
      <c r="G10347" s="25"/>
      <c r="H10347" s="24" t="str">
        <f>IFERROR(VLOOKUP(B10347,material!A:D,3,0),"")</f>
        <v/>
      </c>
    </row>
    <row r="10348" ht="11.25" customHeight="1">
      <c r="A10348" s="21"/>
      <c r="B10348" s="22"/>
      <c r="C10348" s="21"/>
      <c r="D10348" s="21"/>
      <c r="E10348" s="21"/>
      <c r="F10348" s="21"/>
      <c r="G10348" s="25"/>
      <c r="H10348" s="24" t="str">
        <f>IFERROR(VLOOKUP(B10348,material!A:D,3,0),"")</f>
        <v/>
      </c>
    </row>
    <row r="10349" ht="11.25" customHeight="1">
      <c r="A10349" s="21"/>
      <c r="B10349" s="22"/>
      <c r="C10349" s="21"/>
      <c r="D10349" s="21"/>
      <c r="E10349" s="21"/>
      <c r="F10349" s="21"/>
      <c r="G10349" s="25"/>
      <c r="H10349" s="24" t="str">
        <f>IFERROR(VLOOKUP(B10349,material!A:D,3,0),"")</f>
        <v/>
      </c>
    </row>
    <row r="10350" ht="11.25" customHeight="1">
      <c r="A10350" s="21"/>
      <c r="B10350" s="22"/>
      <c r="C10350" s="21"/>
      <c r="D10350" s="21"/>
      <c r="E10350" s="21"/>
      <c r="F10350" s="21"/>
      <c r="G10350" s="25"/>
      <c r="H10350" s="24" t="str">
        <f>IFERROR(VLOOKUP(B10350,material!A:D,3,0),"")</f>
        <v/>
      </c>
    </row>
    <row r="10351" ht="11.25" customHeight="1">
      <c r="A10351" s="21"/>
      <c r="B10351" s="22"/>
      <c r="C10351" s="21"/>
      <c r="D10351" s="21"/>
      <c r="E10351" s="21"/>
      <c r="F10351" s="21"/>
      <c r="G10351" s="25"/>
      <c r="H10351" s="24" t="str">
        <f>IFERROR(VLOOKUP(B10351,material!A:D,3,0),"")</f>
        <v/>
      </c>
    </row>
    <row r="10352" ht="11.25" customHeight="1">
      <c r="A10352" s="21"/>
      <c r="B10352" s="22"/>
      <c r="C10352" s="21"/>
      <c r="D10352" s="21"/>
      <c r="E10352" s="21"/>
      <c r="F10352" s="21"/>
      <c r="G10352" s="25"/>
      <c r="H10352" s="24" t="str">
        <f>IFERROR(VLOOKUP(B10352,material!A:D,3,0),"")</f>
        <v/>
      </c>
    </row>
    <row r="10353" ht="11.25" customHeight="1">
      <c r="A10353" s="21"/>
      <c r="B10353" s="22"/>
      <c r="C10353" s="21"/>
      <c r="D10353" s="21"/>
      <c r="E10353" s="21"/>
      <c r="F10353" s="21"/>
      <c r="G10353" s="25"/>
      <c r="H10353" s="24" t="str">
        <f>IFERROR(VLOOKUP(B10353,material!A:D,3,0),"")</f>
        <v/>
      </c>
    </row>
    <row r="10354" ht="11.25" customHeight="1">
      <c r="A10354" s="21"/>
      <c r="B10354" s="22"/>
      <c r="C10354" s="21"/>
      <c r="D10354" s="21"/>
      <c r="E10354" s="21"/>
      <c r="F10354" s="21"/>
      <c r="G10354" s="25"/>
      <c r="H10354" s="24" t="str">
        <f>IFERROR(VLOOKUP(B10354,material!A:D,3,0),"")</f>
        <v/>
      </c>
    </row>
    <row r="10355" ht="11.25" customHeight="1">
      <c r="A10355" s="21"/>
      <c r="B10355" s="22"/>
      <c r="C10355" s="21"/>
      <c r="D10355" s="21"/>
      <c r="E10355" s="21"/>
      <c r="F10355" s="21"/>
      <c r="G10355" s="25"/>
      <c r="H10355" s="24" t="str">
        <f>IFERROR(VLOOKUP(B10355,material!A:D,3,0),"")</f>
        <v/>
      </c>
    </row>
    <row r="10356" ht="11.25" customHeight="1">
      <c r="A10356" s="21"/>
      <c r="B10356" s="22"/>
      <c r="C10356" s="21"/>
      <c r="D10356" s="21"/>
      <c r="E10356" s="21"/>
      <c r="F10356" s="21"/>
      <c r="G10356" s="25"/>
      <c r="H10356" s="24" t="str">
        <f>IFERROR(VLOOKUP(B10356,material!A:D,3,0),"")</f>
        <v/>
      </c>
    </row>
    <row r="10357" ht="11.25" customHeight="1">
      <c r="A10357" s="21"/>
      <c r="B10357" s="22"/>
      <c r="C10357" s="21"/>
      <c r="D10357" s="21"/>
      <c r="E10357" s="21"/>
      <c r="F10357" s="21"/>
      <c r="G10357" s="25"/>
      <c r="H10357" s="24" t="str">
        <f>IFERROR(VLOOKUP(B10357,material!A:D,3,0),"")</f>
        <v/>
      </c>
    </row>
    <row r="10358" ht="11.25" customHeight="1">
      <c r="A10358" s="21"/>
      <c r="B10358" s="22"/>
      <c r="C10358" s="21"/>
      <c r="D10358" s="21"/>
      <c r="E10358" s="21"/>
      <c r="F10358" s="21"/>
      <c r="G10358" s="25"/>
      <c r="H10358" s="24" t="str">
        <f>IFERROR(VLOOKUP(B10358,material!A:D,3,0),"")</f>
        <v/>
      </c>
    </row>
    <row r="10359" ht="11.25" customHeight="1">
      <c r="A10359" s="21"/>
      <c r="B10359" s="22"/>
      <c r="C10359" s="21"/>
      <c r="D10359" s="21"/>
      <c r="E10359" s="21"/>
      <c r="F10359" s="21"/>
      <c r="G10359" s="25"/>
      <c r="H10359" s="24" t="str">
        <f>IFERROR(VLOOKUP(B10359,material!A:D,3,0),"")</f>
        <v/>
      </c>
    </row>
    <row r="10360" ht="11.25" customHeight="1">
      <c r="A10360" s="21"/>
      <c r="B10360" s="22"/>
      <c r="C10360" s="21"/>
      <c r="D10360" s="21"/>
      <c r="E10360" s="21"/>
      <c r="F10360" s="21"/>
      <c r="G10360" s="25"/>
      <c r="H10360" s="24" t="str">
        <f>IFERROR(VLOOKUP(B10360,material!A:D,3,0),"")</f>
        <v/>
      </c>
    </row>
    <row r="10361" ht="11.25" customHeight="1">
      <c r="A10361" s="21"/>
      <c r="B10361" s="22"/>
      <c r="C10361" s="21"/>
      <c r="D10361" s="21"/>
      <c r="E10361" s="21"/>
      <c r="F10361" s="21"/>
      <c r="G10361" s="25"/>
      <c r="H10361" s="24" t="str">
        <f>IFERROR(VLOOKUP(B10361,material!A:D,3,0),"")</f>
        <v/>
      </c>
    </row>
    <row r="10362" ht="11.25" customHeight="1">
      <c r="A10362" s="21"/>
      <c r="B10362" s="22"/>
      <c r="C10362" s="21"/>
      <c r="D10362" s="21"/>
      <c r="E10362" s="21"/>
      <c r="F10362" s="21"/>
      <c r="G10362" s="25"/>
      <c r="H10362" s="24" t="str">
        <f>IFERROR(VLOOKUP(B10362,material!A:D,3,0),"")</f>
        <v/>
      </c>
    </row>
    <row r="10363" ht="11.25" customHeight="1">
      <c r="A10363" s="21"/>
      <c r="B10363" s="22"/>
      <c r="C10363" s="21"/>
      <c r="D10363" s="21"/>
      <c r="E10363" s="21"/>
      <c r="F10363" s="21"/>
      <c r="G10363" s="25"/>
      <c r="H10363" s="24" t="str">
        <f>IFERROR(VLOOKUP(B10363,material!A:D,3,0),"")</f>
        <v/>
      </c>
    </row>
    <row r="10364" ht="11.25" customHeight="1">
      <c r="A10364" s="21"/>
      <c r="B10364" s="22"/>
      <c r="C10364" s="21"/>
      <c r="D10364" s="21"/>
      <c r="E10364" s="21"/>
      <c r="F10364" s="21"/>
      <c r="G10364" s="25"/>
      <c r="H10364" s="24" t="str">
        <f>IFERROR(VLOOKUP(B10364,material!A:D,3,0),"")</f>
        <v/>
      </c>
    </row>
    <row r="10365" ht="11.25" customHeight="1">
      <c r="A10365" s="21"/>
      <c r="B10365" s="22"/>
      <c r="C10365" s="21"/>
      <c r="D10365" s="21"/>
      <c r="E10365" s="21"/>
      <c r="F10365" s="21"/>
      <c r="G10365" s="25"/>
      <c r="H10365" s="24" t="str">
        <f>IFERROR(VLOOKUP(B10365,material!A:D,3,0),"")</f>
        <v/>
      </c>
    </row>
    <row r="10366" ht="11.25" customHeight="1">
      <c r="A10366" s="21"/>
      <c r="B10366" s="22"/>
      <c r="C10366" s="21"/>
      <c r="D10366" s="21"/>
      <c r="E10366" s="21"/>
      <c r="F10366" s="21"/>
      <c r="G10366" s="25"/>
      <c r="H10366" s="24" t="str">
        <f>IFERROR(VLOOKUP(B10366,material!A:D,3,0),"")</f>
        <v/>
      </c>
    </row>
    <row r="10367" ht="11.25" customHeight="1">
      <c r="A10367" s="21"/>
      <c r="B10367" s="22"/>
      <c r="C10367" s="21"/>
      <c r="D10367" s="21"/>
      <c r="E10367" s="21"/>
      <c r="F10367" s="21"/>
      <c r="G10367" s="25"/>
      <c r="H10367" s="24" t="str">
        <f>IFERROR(VLOOKUP(B10367,material!A:D,3,0),"")</f>
        <v/>
      </c>
    </row>
    <row r="10368" ht="11.25" customHeight="1">
      <c r="A10368" s="21"/>
      <c r="B10368" s="22"/>
      <c r="C10368" s="21"/>
      <c r="D10368" s="21"/>
      <c r="E10368" s="21"/>
      <c r="F10368" s="21"/>
      <c r="G10368" s="25"/>
      <c r="H10368" s="24" t="str">
        <f>IFERROR(VLOOKUP(B10368,material!A:D,3,0),"")</f>
        <v/>
      </c>
    </row>
    <row r="10369" ht="11.25" customHeight="1">
      <c r="A10369" s="21"/>
      <c r="B10369" s="22"/>
      <c r="C10369" s="21"/>
      <c r="D10369" s="21"/>
      <c r="E10369" s="21"/>
      <c r="F10369" s="21"/>
      <c r="G10369" s="25"/>
      <c r="H10369" s="24" t="str">
        <f>IFERROR(VLOOKUP(B10369,material!A:D,3,0),"")</f>
        <v/>
      </c>
    </row>
    <row r="10370" ht="11.25" customHeight="1">
      <c r="A10370" s="21"/>
      <c r="B10370" s="22"/>
      <c r="C10370" s="21"/>
      <c r="D10370" s="21"/>
      <c r="E10370" s="21"/>
      <c r="F10370" s="21"/>
      <c r="G10370" s="25"/>
      <c r="H10370" s="24" t="str">
        <f>IFERROR(VLOOKUP(B10370,material!A:D,3,0),"")</f>
        <v/>
      </c>
    </row>
    <row r="10371" ht="11.25" customHeight="1">
      <c r="A10371" s="21"/>
      <c r="B10371" s="22"/>
      <c r="C10371" s="21"/>
      <c r="D10371" s="21"/>
      <c r="E10371" s="21"/>
      <c r="F10371" s="21"/>
      <c r="G10371" s="25"/>
      <c r="H10371" s="24" t="str">
        <f>IFERROR(VLOOKUP(B10371,material!A:D,3,0),"")</f>
        <v/>
      </c>
    </row>
    <row r="10372" ht="11.25" customHeight="1">
      <c r="A10372" s="21"/>
      <c r="B10372" s="22"/>
      <c r="C10372" s="21"/>
      <c r="D10372" s="21"/>
      <c r="E10372" s="21"/>
      <c r="F10372" s="21"/>
      <c r="G10372" s="25"/>
      <c r="H10372" s="24" t="str">
        <f>IFERROR(VLOOKUP(B10372,material!A:D,3,0),"")</f>
        <v/>
      </c>
    </row>
    <row r="10373" ht="11.25" customHeight="1">
      <c r="A10373" s="21"/>
      <c r="B10373" s="22"/>
      <c r="C10373" s="21"/>
      <c r="D10373" s="21"/>
      <c r="E10373" s="21"/>
      <c r="F10373" s="21"/>
      <c r="G10373" s="25"/>
      <c r="H10373" s="24" t="str">
        <f>IFERROR(VLOOKUP(B10373,material!A:D,3,0),"")</f>
        <v/>
      </c>
    </row>
    <row r="10374" ht="11.25" customHeight="1">
      <c r="A10374" s="21"/>
      <c r="B10374" s="22"/>
      <c r="C10374" s="21"/>
      <c r="D10374" s="21"/>
      <c r="E10374" s="21"/>
      <c r="F10374" s="21"/>
      <c r="G10374" s="25"/>
      <c r="H10374" s="24" t="str">
        <f>IFERROR(VLOOKUP(B10374,material!A:D,3,0),"")</f>
        <v/>
      </c>
    </row>
    <row r="10375" ht="11.25" customHeight="1">
      <c r="A10375" s="21"/>
      <c r="B10375" s="22"/>
      <c r="C10375" s="21"/>
      <c r="D10375" s="21"/>
      <c r="E10375" s="21"/>
      <c r="F10375" s="21"/>
      <c r="G10375" s="25"/>
      <c r="H10375" s="24" t="str">
        <f>IFERROR(VLOOKUP(B10375,material!A:D,3,0),"")</f>
        <v/>
      </c>
    </row>
    <row r="10376" ht="11.25" customHeight="1">
      <c r="A10376" s="21"/>
      <c r="B10376" s="22"/>
      <c r="C10376" s="21"/>
      <c r="D10376" s="21"/>
      <c r="E10376" s="21"/>
      <c r="F10376" s="21"/>
      <c r="G10376" s="25"/>
      <c r="H10376" s="24" t="str">
        <f>IFERROR(VLOOKUP(B10376,material!A:D,3,0),"")</f>
        <v/>
      </c>
    </row>
    <row r="10377" ht="11.25" customHeight="1">
      <c r="A10377" s="21"/>
      <c r="B10377" s="22"/>
      <c r="C10377" s="21"/>
      <c r="D10377" s="21"/>
      <c r="E10377" s="21"/>
      <c r="F10377" s="21"/>
      <c r="G10377" s="25"/>
      <c r="H10377" s="24" t="str">
        <f>IFERROR(VLOOKUP(B10377,material!A:D,3,0),"")</f>
        <v/>
      </c>
    </row>
    <row r="10378" ht="11.25" customHeight="1">
      <c r="A10378" s="21"/>
      <c r="B10378" s="22"/>
      <c r="C10378" s="21"/>
      <c r="D10378" s="21"/>
      <c r="E10378" s="21"/>
      <c r="F10378" s="21"/>
      <c r="G10378" s="25"/>
      <c r="H10378" s="24" t="str">
        <f>IFERROR(VLOOKUP(B10378,material!A:D,3,0),"")</f>
        <v/>
      </c>
    </row>
    <row r="10379" ht="11.25" customHeight="1">
      <c r="A10379" s="21"/>
      <c r="B10379" s="22"/>
      <c r="C10379" s="21"/>
      <c r="D10379" s="21"/>
      <c r="E10379" s="21"/>
      <c r="F10379" s="21"/>
      <c r="G10379" s="25"/>
      <c r="H10379" s="24" t="str">
        <f>IFERROR(VLOOKUP(B10379,material!A:D,3,0),"")</f>
        <v/>
      </c>
    </row>
    <row r="10380" ht="11.25" customHeight="1">
      <c r="A10380" s="21"/>
      <c r="B10380" s="22"/>
      <c r="C10380" s="21"/>
      <c r="D10380" s="21"/>
      <c r="E10380" s="21"/>
      <c r="F10380" s="21"/>
      <c r="G10380" s="25"/>
      <c r="H10380" s="24" t="str">
        <f>IFERROR(VLOOKUP(B10380,material!A:D,3,0),"")</f>
        <v/>
      </c>
    </row>
    <row r="10381" ht="11.25" customHeight="1">
      <c r="A10381" s="21"/>
      <c r="B10381" s="22"/>
      <c r="C10381" s="21"/>
      <c r="D10381" s="21"/>
      <c r="E10381" s="21"/>
      <c r="F10381" s="21"/>
      <c r="G10381" s="25"/>
      <c r="H10381" s="24" t="str">
        <f>IFERROR(VLOOKUP(B10381,material!A:D,3,0),"")</f>
        <v/>
      </c>
    </row>
    <row r="10382" ht="11.25" customHeight="1">
      <c r="A10382" s="21"/>
      <c r="B10382" s="22"/>
      <c r="C10382" s="21"/>
      <c r="D10382" s="21"/>
      <c r="E10382" s="21"/>
      <c r="F10382" s="21"/>
      <c r="G10382" s="25"/>
      <c r="H10382" s="24" t="str">
        <f>IFERROR(VLOOKUP(B10382,material!A:D,3,0),"")</f>
        <v/>
      </c>
    </row>
    <row r="10383" ht="11.25" customHeight="1">
      <c r="A10383" s="21"/>
      <c r="B10383" s="22"/>
      <c r="C10383" s="21"/>
      <c r="D10383" s="21"/>
      <c r="E10383" s="21"/>
      <c r="F10383" s="21"/>
      <c r="G10383" s="25"/>
      <c r="H10383" s="24" t="str">
        <f>IFERROR(VLOOKUP(B10383,material!A:D,3,0),"")</f>
        <v/>
      </c>
    </row>
    <row r="10384" ht="11.25" customHeight="1">
      <c r="A10384" s="21"/>
      <c r="B10384" s="22"/>
      <c r="C10384" s="21"/>
      <c r="D10384" s="21"/>
      <c r="E10384" s="21"/>
      <c r="F10384" s="21"/>
      <c r="G10384" s="25"/>
      <c r="H10384" s="24" t="str">
        <f>IFERROR(VLOOKUP(B10384,material!A:D,3,0),"")</f>
        <v/>
      </c>
    </row>
    <row r="10385" ht="11.25" customHeight="1">
      <c r="A10385" s="21"/>
      <c r="B10385" s="22"/>
      <c r="C10385" s="21"/>
      <c r="D10385" s="21"/>
      <c r="E10385" s="21"/>
      <c r="F10385" s="21"/>
      <c r="G10385" s="25"/>
      <c r="H10385" s="24" t="str">
        <f>IFERROR(VLOOKUP(B10385,material!A:D,3,0),"")</f>
        <v/>
      </c>
    </row>
    <row r="10386" ht="11.25" customHeight="1">
      <c r="A10386" s="21"/>
      <c r="B10386" s="22"/>
      <c r="C10386" s="21"/>
      <c r="D10386" s="21"/>
      <c r="E10386" s="21"/>
      <c r="F10386" s="21"/>
      <c r="G10386" s="25"/>
      <c r="H10386" s="24" t="str">
        <f>IFERROR(VLOOKUP(B10386,material!A:D,3,0),"")</f>
        <v/>
      </c>
    </row>
    <row r="10387" ht="11.25" customHeight="1">
      <c r="A10387" s="21"/>
      <c r="B10387" s="22"/>
      <c r="C10387" s="21"/>
      <c r="D10387" s="21"/>
      <c r="E10387" s="21"/>
      <c r="F10387" s="21"/>
      <c r="G10387" s="25"/>
      <c r="H10387" s="24" t="str">
        <f>IFERROR(VLOOKUP(B10387,material!A:D,3,0),"")</f>
        <v/>
      </c>
    </row>
    <row r="10388" ht="11.25" customHeight="1">
      <c r="A10388" s="21"/>
      <c r="B10388" s="22"/>
      <c r="C10388" s="21"/>
      <c r="D10388" s="21"/>
      <c r="E10388" s="21"/>
      <c r="F10388" s="21"/>
      <c r="G10388" s="25"/>
      <c r="H10388" s="24" t="str">
        <f>IFERROR(VLOOKUP(B10388,material!A:D,3,0),"")</f>
        <v/>
      </c>
    </row>
    <row r="10389" ht="11.25" customHeight="1">
      <c r="A10389" s="21"/>
      <c r="B10389" s="22"/>
      <c r="C10389" s="21"/>
      <c r="D10389" s="21"/>
      <c r="E10389" s="21"/>
      <c r="F10389" s="21"/>
      <c r="G10389" s="25"/>
      <c r="H10389" s="24" t="str">
        <f>IFERROR(VLOOKUP(B10389,material!A:D,3,0),"")</f>
        <v/>
      </c>
    </row>
    <row r="10390" ht="11.25" customHeight="1">
      <c r="A10390" s="21"/>
      <c r="B10390" s="22"/>
      <c r="C10390" s="21"/>
      <c r="D10390" s="21"/>
      <c r="E10390" s="21"/>
      <c r="F10390" s="21"/>
      <c r="G10390" s="25"/>
      <c r="H10390" s="24" t="str">
        <f>IFERROR(VLOOKUP(B10390,material!A:D,3,0),"")</f>
        <v/>
      </c>
    </row>
    <row r="10391" ht="11.25" customHeight="1">
      <c r="A10391" s="21"/>
      <c r="B10391" s="22"/>
      <c r="C10391" s="21"/>
      <c r="D10391" s="21"/>
      <c r="E10391" s="21"/>
      <c r="F10391" s="21"/>
      <c r="G10391" s="25"/>
      <c r="H10391" s="24" t="str">
        <f>IFERROR(VLOOKUP(B10391,material!A:D,3,0),"")</f>
        <v/>
      </c>
    </row>
    <row r="10392" ht="11.25" customHeight="1">
      <c r="A10392" s="21"/>
      <c r="B10392" s="22"/>
      <c r="C10392" s="21"/>
      <c r="D10392" s="21"/>
      <c r="E10392" s="21"/>
      <c r="F10392" s="21"/>
      <c r="G10392" s="25"/>
      <c r="H10392" s="24" t="str">
        <f>IFERROR(VLOOKUP(B10392,material!A:D,3,0),"")</f>
        <v/>
      </c>
    </row>
    <row r="10393" ht="11.25" customHeight="1">
      <c r="A10393" s="21"/>
      <c r="B10393" s="22"/>
      <c r="C10393" s="21"/>
      <c r="D10393" s="21"/>
      <c r="E10393" s="21"/>
      <c r="F10393" s="21"/>
      <c r="G10393" s="25"/>
      <c r="H10393" s="24" t="str">
        <f>IFERROR(VLOOKUP(B10393,material!A:D,3,0),"")</f>
        <v/>
      </c>
    </row>
    <row r="10394" ht="11.25" customHeight="1">
      <c r="A10394" s="21"/>
      <c r="B10394" s="22"/>
      <c r="C10394" s="21"/>
      <c r="D10394" s="21"/>
      <c r="E10394" s="21"/>
      <c r="F10394" s="21"/>
      <c r="G10394" s="25"/>
      <c r="H10394" s="24" t="str">
        <f>IFERROR(VLOOKUP(B10394,material!A:D,3,0),"")</f>
        <v/>
      </c>
    </row>
    <row r="10395" ht="11.25" customHeight="1">
      <c r="A10395" s="21"/>
      <c r="B10395" s="22"/>
      <c r="C10395" s="21"/>
      <c r="D10395" s="21"/>
      <c r="E10395" s="21"/>
      <c r="F10395" s="21"/>
      <c r="G10395" s="25"/>
      <c r="H10395" s="24" t="str">
        <f>IFERROR(VLOOKUP(B10395,material!A:D,3,0),"")</f>
        <v/>
      </c>
    </row>
    <row r="10396" ht="11.25" customHeight="1">
      <c r="A10396" s="21"/>
      <c r="B10396" s="22"/>
      <c r="C10396" s="21"/>
      <c r="D10396" s="21"/>
      <c r="E10396" s="21"/>
      <c r="F10396" s="21"/>
      <c r="G10396" s="25"/>
      <c r="H10396" s="24" t="str">
        <f>IFERROR(VLOOKUP(B10396,material!A:D,3,0),"")</f>
        <v/>
      </c>
    </row>
    <row r="10397" ht="11.25" customHeight="1">
      <c r="A10397" s="21"/>
      <c r="B10397" s="22"/>
      <c r="C10397" s="21"/>
      <c r="D10397" s="21"/>
      <c r="E10397" s="21"/>
      <c r="F10397" s="21"/>
      <c r="G10397" s="25"/>
      <c r="H10397" s="24" t="str">
        <f>IFERROR(VLOOKUP(B10397,material!A:D,3,0),"")</f>
        <v/>
      </c>
    </row>
    <row r="10398" ht="11.25" customHeight="1">
      <c r="A10398" s="21"/>
      <c r="B10398" s="22"/>
      <c r="C10398" s="21"/>
      <c r="D10398" s="21"/>
      <c r="E10398" s="21"/>
      <c r="F10398" s="21"/>
      <c r="G10398" s="25"/>
      <c r="H10398" s="24" t="str">
        <f>IFERROR(VLOOKUP(B10398,material!A:D,3,0),"")</f>
        <v/>
      </c>
    </row>
    <row r="10399" ht="11.25" customHeight="1">
      <c r="A10399" s="21"/>
      <c r="B10399" s="22"/>
      <c r="C10399" s="21"/>
      <c r="D10399" s="21"/>
      <c r="E10399" s="21"/>
      <c r="F10399" s="21"/>
      <c r="G10399" s="25"/>
      <c r="H10399" s="24" t="str">
        <f>IFERROR(VLOOKUP(B10399,material!A:D,3,0),"")</f>
        <v/>
      </c>
    </row>
    <row r="10400" ht="11.25" customHeight="1">
      <c r="A10400" s="21"/>
      <c r="B10400" s="22"/>
      <c r="C10400" s="21"/>
      <c r="D10400" s="21"/>
      <c r="E10400" s="21"/>
      <c r="F10400" s="21"/>
      <c r="G10400" s="25"/>
      <c r="H10400" s="24" t="str">
        <f>IFERROR(VLOOKUP(B10400,material!A:D,3,0),"")</f>
        <v/>
      </c>
    </row>
    <row r="10401" ht="11.25" customHeight="1">
      <c r="A10401" s="21"/>
      <c r="B10401" s="22"/>
      <c r="C10401" s="21"/>
      <c r="D10401" s="21"/>
      <c r="E10401" s="21"/>
      <c r="F10401" s="21"/>
      <c r="G10401" s="25"/>
      <c r="H10401" s="24" t="str">
        <f>IFERROR(VLOOKUP(B10401,material!A:D,3,0),"")</f>
        <v/>
      </c>
    </row>
    <row r="10402" ht="11.25" customHeight="1">
      <c r="A10402" s="21"/>
      <c r="B10402" s="22"/>
      <c r="C10402" s="21"/>
      <c r="D10402" s="21"/>
      <c r="E10402" s="21"/>
      <c r="F10402" s="21"/>
      <c r="G10402" s="25"/>
      <c r="H10402" s="24" t="str">
        <f>IFERROR(VLOOKUP(B10402,material!A:D,3,0),"")</f>
        <v/>
      </c>
    </row>
    <row r="10403" ht="11.25" customHeight="1">
      <c r="A10403" s="21"/>
      <c r="B10403" s="22"/>
      <c r="C10403" s="21"/>
      <c r="D10403" s="21"/>
      <c r="E10403" s="21"/>
      <c r="F10403" s="21"/>
      <c r="G10403" s="25"/>
      <c r="H10403" s="24" t="str">
        <f>IFERROR(VLOOKUP(B10403,material!A:D,3,0),"")</f>
        <v/>
      </c>
    </row>
    <row r="10404" ht="11.25" customHeight="1">
      <c r="A10404" s="21"/>
      <c r="B10404" s="22"/>
      <c r="C10404" s="21"/>
      <c r="D10404" s="21"/>
      <c r="E10404" s="21"/>
      <c r="F10404" s="21"/>
      <c r="G10404" s="25"/>
      <c r="H10404" s="24" t="str">
        <f>IFERROR(VLOOKUP(B10404,material!A:D,3,0),"")</f>
        <v/>
      </c>
    </row>
    <row r="10405" ht="11.25" customHeight="1">
      <c r="A10405" s="21"/>
      <c r="B10405" s="22"/>
      <c r="C10405" s="21"/>
      <c r="D10405" s="21"/>
      <c r="E10405" s="21"/>
      <c r="F10405" s="21"/>
      <c r="G10405" s="25"/>
      <c r="H10405" s="24" t="str">
        <f>IFERROR(VLOOKUP(B10405,material!A:D,3,0),"")</f>
        <v/>
      </c>
    </row>
    <row r="10406" ht="11.25" customHeight="1">
      <c r="A10406" s="21"/>
      <c r="B10406" s="22"/>
      <c r="C10406" s="21"/>
      <c r="D10406" s="21"/>
      <c r="E10406" s="21"/>
      <c r="F10406" s="21"/>
      <c r="G10406" s="25"/>
      <c r="H10406" s="24" t="str">
        <f>IFERROR(VLOOKUP(B10406,material!A:D,3,0),"")</f>
        <v/>
      </c>
    </row>
    <row r="10407" ht="11.25" customHeight="1">
      <c r="A10407" s="21"/>
      <c r="B10407" s="22"/>
      <c r="C10407" s="21"/>
      <c r="D10407" s="21"/>
      <c r="E10407" s="21"/>
      <c r="F10407" s="21"/>
      <c r="G10407" s="25"/>
      <c r="H10407" s="24" t="str">
        <f>IFERROR(VLOOKUP(B10407,material!A:D,3,0),"")</f>
        <v/>
      </c>
    </row>
    <row r="10408" ht="11.25" customHeight="1">
      <c r="A10408" s="21"/>
      <c r="B10408" s="22"/>
      <c r="C10408" s="21"/>
      <c r="D10408" s="21"/>
      <c r="E10408" s="21"/>
      <c r="F10408" s="21"/>
      <c r="G10408" s="25"/>
      <c r="H10408" s="24" t="str">
        <f>IFERROR(VLOOKUP(B10408,material!A:D,3,0),"")</f>
        <v/>
      </c>
    </row>
    <row r="10409" ht="11.25" customHeight="1">
      <c r="A10409" s="21"/>
      <c r="B10409" s="22"/>
      <c r="C10409" s="21"/>
      <c r="D10409" s="21"/>
      <c r="E10409" s="21"/>
      <c r="F10409" s="21"/>
      <c r="G10409" s="25"/>
      <c r="H10409" s="24" t="str">
        <f>IFERROR(VLOOKUP(B10409,material!A:D,3,0),"")</f>
        <v/>
      </c>
    </row>
    <row r="10410" ht="11.25" customHeight="1">
      <c r="A10410" s="21"/>
      <c r="B10410" s="22"/>
      <c r="C10410" s="21"/>
      <c r="D10410" s="21"/>
      <c r="E10410" s="21"/>
      <c r="F10410" s="21"/>
      <c r="G10410" s="25"/>
      <c r="H10410" s="24" t="str">
        <f>IFERROR(VLOOKUP(B10410,material!A:D,3,0),"")</f>
        <v/>
      </c>
    </row>
    <row r="10411" ht="11.25" customHeight="1">
      <c r="A10411" s="21"/>
      <c r="B10411" s="22"/>
      <c r="C10411" s="21"/>
      <c r="D10411" s="21"/>
      <c r="E10411" s="21"/>
      <c r="F10411" s="21"/>
      <c r="G10411" s="25"/>
      <c r="H10411" s="24" t="str">
        <f>IFERROR(VLOOKUP(B10411,material!A:D,3,0),"")</f>
        <v/>
      </c>
    </row>
    <row r="10412" ht="11.25" customHeight="1">
      <c r="A10412" s="21"/>
      <c r="B10412" s="22"/>
      <c r="C10412" s="21"/>
      <c r="D10412" s="21"/>
      <c r="E10412" s="21"/>
      <c r="F10412" s="21"/>
      <c r="G10412" s="25"/>
      <c r="H10412" s="24" t="str">
        <f>IFERROR(VLOOKUP(B10412,material!A:D,3,0),"")</f>
        <v/>
      </c>
    </row>
    <row r="10413" ht="11.25" customHeight="1">
      <c r="A10413" s="21"/>
      <c r="B10413" s="22"/>
      <c r="C10413" s="21"/>
      <c r="D10413" s="21"/>
      <c r="E10413" s="21"/>
      <c r="F10413" s="21"/>
      <c r="G10413" s="25"/>
      <c r="H10413" s="24" t="str">
        <f>IFERROR(VLOOKUP(B10413,material!A:D,3,0),"")</f>
        <v/>
      </c>
    </row>
    <row r="10414" ht="11.25" customHeight="1">
      <c r="A10414" s="21"/>
      <c r="B10414" s="22"/>
      <c r="C10414" s="21"/>
      <c r="D10414" s="21"/>
      <c r="E10414" s="21"/>
      <c r="F10414" s="21"/>
      <c r="G10414" s="25"/>
      <c r="H10414" s="24" t="str">
        <f>IFERROR(VLOOKUP(B10414,material!A:D,3,0),"")</f>
        <v/>
      </c>
    </row>
    <row r="10415" ht="11.25" customHeight="1">
      <c r="A10415" s="21"/>
      <c r="B10415" s="22"/>
      <c r="C10415" s="21"/>
      <c r="D10415" s="21"/>
      <c r="E10415" s="21"/>
      <c r="F10415" s="21"/>
      <c r="G10415" s="25"/>
      <c r="H10415" s="24" t="str">
        <f>IFERROR(VLOOKUP(B10415,material!A:D,3,0),"")</f>
        <v/>
      </c>
    </row>
    <row r="10416" ht="11.25" customHeight="1">
      <c r="A10416" s="21"/>
      <c r="B10416" s="22"/>
      <c r="C10416" s="21"/>
      <c r="D10416" s="21"/>
      <c r="E10416" s="21"/>
      <c r="F10416" s="21"/>
      <c r="G10416" s="25"/>
      <c r="H10416" s="24" t="str">
        <f>IFERROR(VLOOKUP(B10416,material!A:D,3,0),"")</f>
        <v/>
      </c>
    </row>
    <row r="10417" ht="11.25" customHeight="1">
      <c r="A10417" s="21"/>
      <c r="B10417" s="22"/>
      <c r="C10417" s="21"/>
      <c r="D10417" s="21"/>
      <c r="E10417" s="21"/>
      <c r="F10417" s="21"/>
      <c r="G10417" s="25"/>
      <c r="H10417" s="24" t="str">
        <f>IFERROR(VLOOKUP(B10417,material!A:D,3,0),"")</f>
        <v/>
      </c>
    </row>
    <row r="10418" ht="11.25" customHeight="1">
      <c r="A10418" s="21"/>
      <c r="B10418" s="22"/>
      <c r="C10418" s="21"/>
      <c r="D10418" s="21"/>
      <c r="E10418" s="21"/>
      <c r="F10418" s="21"/>
      <c r="G10418" s="25"/>
      <c r="H10418" s="24" t="str">
        <f>IFERROR(VLOOKUP(B10418,material!A:D,3,0),"")</f>
        <v/>
      </c>
    </row>
    <row r="10419" ht="11.25" customHeight="1">
      <c r="A10419" s="21"/>
      <c r="B10419" s="22"/>
      <c r="C10419" s="21"/>
      <c r="D10419" s="21"/>
      <c r="E10419" s="21"/>
      <c r="F10419" s="21"/>
      <c r="G10419" s="25"/>
      <c r="H10419" s="24" t="str">
        <f>IFERROR(VLOOKUP(B10419,material!A:D,3,0),"")</f>
        <v/>
      </c>
    </row>
    <row r="10420" ht="11.25" customHeight="1">
      <c r="A10420" s="21"/>
      <c r="B10420" s="22"/>
      <c r="C10420" s="21"/>
      <c r="D10420" s="21"/>
      <c r="E10420" s="21"/>
      <c r="F10420" s="21"/>
      <c r="G10420" s="25"/>
      <c r="H10420" s="24" t="str">
        <f>IFERROR(VLOOKUP(B10420,material!A:D,3,0),"")</f>
        <v/>
      </c>
    </row>
    <row r="10421" ht="11.25" customHeight="1">
      <c r="A10421" s="21"/>
      <c r="B10421" s="22"/>
      <c r="C10421" s="21"/>
      <c r="D10421" s="21"/>
      <c r="E10421" s="21"/>
      <c r="F10421" s="21"/>
      <c r="G10421" s="25"/>
      <c r="H10421" s="24" t="str">
        <f>IFERROR(VLOOKUP(B10421,material!A:D,3,0),"")</f>
        <v/>
      </c>
    </row>
    <row r="10422" ht="11.25" customHeight="1">
      <c r="A10422" s="21"/>
      <c r="B10422" s="22"/>
      <c r="C10422" s="21"/>
      <c r="D10422" s="21"/>
      <c r="E10422" s="21"/>
      <c r="F10422" s="21"/>
      <c r="G10422" s="25"/>
      <c r="H10422" s="24" t="str">
        <f>IFERROR(VLOOKUP(B10422,material!A:D,3,0),"")</f>
        <v/>
      </c>
    </row>
    <row r="10423" ht="11.25" customHeight="1">
      <c r="A10423" s="21"/>
      <c r="B10423" s="22"/>
      <c r="C10423" s="21"/>
      <c r="D10423" s="21"/>
      <c r="E10423" s="21"/>
      <c r="F10423" s="21"/>
      <c r="G10423" s="25"/>
      <c r="H10423" s="24" t="str">
        <f>IFERROR(VLOOKUP(B10423,material!A:D,3,0),"")</f>
        <v/>
      </c>
    </row>
    <row r="10424" ht="11.25" customHeight="1">
      <c r="A10424" s="21"/>
      <c r="B10424" s="22"/>
      <c r="C10424" s="21"/>
      <c r="D10424" s="21"/>
      <c r="E10424" s="21"/>
      <c r="F10424" s="21"/>
      <c r="G10424" s="25"/>
      <c r="H10424" s="24" t="str">
        <f>IFERROR(VLOOKUP(B10424,material!A:D,3,0),"")</f>
        <v/>
      </c>
    </row>
    <row r="10425" ht="11.25" customHeight="1">
      <c r="A10425" s="21"/>
      <c r="B10425" s="22"/>
      <c r="C10425" s="21"/>
      <c r="D10425" s="21"/>
      <c r="E10425" s="21"/>
      <c r="F10425" s="21"/>
      <c r="G10425" s="25"/>
      <c r="H10425" s="24" t="str">
        <f>IFERROR(VLOOKUP(B10425,material!A:D,3,0),"")</f>
        <v/>
      </c>
    </row>
    <row r="10426" ht="11.25" customHeight="1">
      <c r="A10426" s="21"/>
      <c r="B10426" s="22"/>
      <c r="C10426" s="21"/>
      <c r="D10426" s="21"/>
      <c r="E10426" s="21"/>
      <c r="F10426" s="21"/>
      <c r="G10426" s="25"/>
      <c r="H10426" s="24" t="str">
        <f>IFERROR(VLOOKUP(B10426,material!A:D,3,0),"")</f>
        <v/>
      </c>
    </row>
    <row r="10427" ht="11.25" customHeight="1">
      <c r="A10427" s="21"/>
      <c r="B10427" s="22"/>
      <c r="C10427" s="21"/>
      <c r="D10427" s="21"/>
      <c r="E10427" s="21"/>
      <c r="F10427" s="21"/>
      <c r="G10427" s="25"/>
      <c r="H10427" s="24" t="str">
        <f>IFERROR(VLOOKUP(B10427,material!A:D,3,0),"")</f>
        <v/>
      </c>
    </row>
    <row r="10428" ht="11.25" customHeight="1">
      <c r="A10428" s="21"/>
      <c r="B10428" s="22"/>
      <c r="C10428" s="21"/>
      <c r="D10428" s="21"/>
      <c r="E10428" s="21"/>
      <c r="F10428" s="21"/>
      <c r="G10428" s="25"/>
      <c r="H10428" s="24" t="str">
        <f>IFERROR(VLOOKUP(B10428,material!A:D,3,0),"")</f>
        <v/>
      </c>
    </row>
    <row r="10429" ht="11.25" customHeight="1">
      <c r="A10429" s="21"/>
      <c r="B10429" s="22"/>
      <c r="C10429" s="21"/>
      <c r="D10429" s="21"/>
      <c r="E10429" s="21"/>
      <c r="F10429" s="21"/>
      <c r="G10429" s="25"/>
      <c r="H10429" s="24" t="str">
        <f>IFERROR(VLOOKUP(B10429,material!A:D,3,0),"")</f>
        <v/>
      </c>
    </row>
    <row r="10430" ht="11.25" customHeight="1">
      <c r="A10430" s="21"/>
      <c r="B10430" s="22"/>
      <c r="C10430" s="21"/>
      <c r="D10430" s="21"/>
      <c r="E10430" s="21"/>
      <c r="F10430" s="21"/>
      <c r="G10430" s="25"/>
      <c r="H10430" s="24" t="str">
        <f>IFERROR(VLOOKUP(B10430,material!A:D,3,0),"")</f>
        <v/>
      </c>
    </row>
    <row r="10431" ht="11.25" customHeight="1">
      <c r="A10431" s="21"/>
      <c r="B10431" s="22"/>
      <c r="C10431" s="21"/>
      <c r="D10431" s="21"/>
      <c r="E10431" s="21"/>
      <c r="F10431" s="21"/>
      <c r="G10431" s="25"/>
      <c r="H10431" s="24" t="str">
        <f>IFERROR(VLOOKUP(B10431,material!A:D,3,0),"")</f>
        <v/>
      </c>
    </row>
    <row r="10432" ht="11.25" customHeight="1">
      <c r="A10432" s="21"/>
      <c r="B10432" s="22"/>
      <c r="C10432" s="21"/>
      <c r="D10432" s="21"/>
      <c r="E10432" s="21"/>
      <c r="F10432" s="21"/>
      <c r="G10432" s="25"/>
      <c r="H10432" s="24" t="str">
        <f>IFERROR(VLOOKUP(B10432,material!A:D,3,0),"")</f>
        <v/>
      </c>
    </row>
    <row r="10433" ht="11.25" customHeight="1">
      <c r="A10433" s="21"/>
      <c r="B10433" s="22"/>
      <c r="C10433" s="21"/>
      <c r="D10433" s="21"/>
      <c r="E10433" s="21"/>
      <c r="F10433" s="21"/>
      <c r="G10433" s="25"/>
      <c r="H10433" s="24" t="str">
        <f>IFERROR(VLOOKUP(B10433,material!A:D,3,0),"")</f>
        <v/>
      </c>
    </row>
    <row r="10434" ht="11.25" customHeight="1">
      <c r="A10434" s="21"/>
      <c r="B10434" s="22"/>
      <c r="C10434" s="21"/>
      <c r="D10434" s="21"/>
      <c r="E10434" s="21"/>
      <c r="F10434" s="21"/>
      <c r="G10434" s="25"/>
      <c r="H10434" s="24" t="str">
        <f>IFERROR(VLOOKUP(B10434,material!A:D,3,0),"")</f>
        <v/>
      </c>
    </row>
    <row r="10435" ht="11.25" customHeight="1">
      <c r="A10435" s="21"/>
      <c r="B10435" s="22"/>
      <c r="C10435" s="21"/>
      <c r="D10435" s="21"/>
      <c r="E10435" s="21"/>
      <c r="F10435" s="21"/>
      <c r="G10435" s="25"/>
      <c r="H10435" s="24" t="str">
        <f>IFERROR(VLOOKUP(B10435,material!A:D,3,0),"")</f>
        <v/>
      </c>
    </row>
    <row r="10436" ht="11.25" customHeight="1">
      <c r="A10436" s="21"/>
      <c r="B10436" s="22"/>
      <c r="C10436" s="21"/>
      <c r="D10436" s="21"/>
      <c r="E10436" s="21"/>
      <c r="F10436" s="21"/>
      <c r="G10436" s="25"/>
      <c r="H10436" s="24" t="str">
        <f>IFERROR(VLOOKUP(B10436,material!A:D,3,0),"")</f>
        <v/>
      </c>
    </row>
    <row r="10437" ht="11.25" customHeight="1">
      <c r="A10437" s="21"/>
      <c r="B10437" s="22"/>
      <c r="C10437" s="21"/>
      <c r="D10437" s="21"/>
      <c r="E10437" s="21"/>
      <c r="F10437" s="21"/>
      <c r="G10437" s="25"/>
      <c r="H10437" s="24" t="str">
        <f>IFERROR(VLOOKUP(B10437,material!A:D,3,0),"")</f>
        <v/>
      </c>
    </row>
    <row r="10438" ht="11.25" customHeight="1">
      <c r="A10438" s="21"/>
      <c r="B10438" s="22"/>
      <c r="C10438" s="21"/>
      <c r="D10438" s="21"/>
      <c r="E10438" s="21"/>
      <c r="F10438" s="21"/>
      <c r="G10438" s="25"/>
      <c r="H10438" s="24" t="str">
        <f>IFERROR(VLOOKUP(B10438,material!A:D,3,0),"")</f>
        <v/>
      </c>
    </row>
    <row r="10439" ht="11.25" customHeight="1">
      <c r="A10439" s="21"/>
      <c r="B10439" s="22"/>
      <c r="C10439" s="21"/>
      <c r="D10439" s="21"/>
      <c r="E10439" s="21"/>
      <c r="F10439" s="21"/>
      <c r="G10439" s="25"/>
      <c r="H10439" s="24" t="str">
        <f>IFERROR(VLOOKUP(B10439,material!A:D,3,0),"")</f>
        <v/>
      </c>
    </row>
    <row r="10440" ht="11.25" customHeight="1">
      <c r="A10440" s="21"/>
      <c r="B10440" s="22"/>
      <c r="C10440" s="21"/>
      <c r="D10440" s="21"/>
      <c r="E10440" s="21"/>
      <c r="F10440" s="21"/>
      <c r="G10440" s="25"/>
      <c r="H10440" s="24" t="str">
        <f>IFERROR(VLOOKUP(B10440,material!A:D,3,0),"")</f>
        <v/>
      </c>
    </row>
    <row r="10441" ht="11.25" customHeight="1">
      <c r="A10441" s="21"/>
      <c r="B10441" s="22"/>
      <c r="C10441" s="21"/>
      <c r="D10441" s="21"/>
      <c r="E10441" s="21"/>
      <c r="F10441" s="21"/>
      <c r="G10441" s="25"/>
      <c r="H10441" s="24" t="str">
        <f>IFERROR(VLOOKUP(B10441,material!A:D,3,0),"")</f>
        <v/>
      </c>
    </row>
    <row r="10442" ht="11.25" customHeight="1">
      <c r="A10442" s="21"/>
      <c r="B10442" s="22"/>
      <c r="C10442" s="21"/>
      <c r="D10442" s="21"/>
      <c r="E10442" s="21"/>
      <c r="F10442" s="21"/>
      <c r="G10442" s="25"/>
      <c r="H10442" s="24" t="str">
        <f>IFERROR(VLOOKUP(B10442,material!A:D,3,0),"")</f>
        <v/>
      </c>
    </row>
    <row r="10443" ht="11.25" customHeight="1">
      <c r="A10443" s="21"/>
      <c r="B10443" s="22"/>
      <c r="C10443" s="21"/>
      <c r="D10443" s="21"/>
      <c r="E10443" s="21"/>
      <c r="F10443" s="21"/>
      <c r="G10443" s="25"/>
      <c r="H10443" s="24" t="str">
        <f>IFERROR(VLOOKUP(B10443,material!A:D,3,0),"")</f>
        <v/>
      </c>
    </row>
    <row r="10444" ht="11.25" customHeight="1">
      <c r="A10444" s="21"/>
      <c r="B10444" s="22"/>
      <c r="C10444" s="21"/>
      <c r="D10444" s="21"/>
      <c r="E10444" s="21"/>
      <c r="F10444" s="21"/>
      <c r="G10444" s="25"/>
      <c r="H10444" s="24" t="str">
        <f>IFERROR(VLOOKUP(B10444,material!A:D,3,0),"")</f>
        <v/>
      </c>
    </row>
    <row r="10445" ht="11.25" customHeight="1">
      <c r="A10445" s="21"/>
      <c r="B10445" s="22"/>
      <c r="C10445" s="21"/>
      <c r="D10445" s="21"/>
      <c r="E10445" s="21"/>
      <c r="F10445" s="21"/>
      <c r="G10445" s="25"/>
      <c r="H10445" s="24" t="str">
        <f>IFERROR(VLOOKUP(B10445,material!A:D,3,0),"")</f>
        <v/>
      </c>
    </row>
    <row r="10446" ht="11.25" customHeight="1">
      <c r="A10446" s="21"/>
      <c r="B10446" s="22"/>
      <c r="C10446" s="21"/>
      <c r="D10446" s="21"/>
      <c r="E10446" s="21"/>
      <c r="F10446" s="21"/>
      <c r="G10446" s="25"/>
      <c r="H10446" s="24" t="str">
        <f>IFERROR(VLOOKUP(B10446,material!A:D,3,0),"")</f>
        <v/>
      </c>
    </row>
    <row r="10447" ht="11.25" customHeight="1">
      <c r="A10447" s="21"/>
      <c r="B10447" s="22"/>
      <c r="C10447" s="21"/>
      <c r="D10447" s="21"/>
      <c r="E10447" s="21"/>
      <c r="F10447" s="21"/>
      <c r="G10447" s="25"/>
      <c r="H10447" s="24" t="str">
        <f>IFERROR(VLOOKUP(B10447,material!A:D,3,0),"")</f>
        <v/>
      </c>
    </row>
    <row r="10448" ht="11.25" customHeight="1">
      <c r="A10448" s="21"/>
      <c r="B10448" s="22"/>
      <c r="C10448" s="21"/>
      <c r="D10448" s="21"/>
      <c r="E10448" s="21"/>
      <c r="F10448" s="21"/>
      <c r="G10448" s="25"/>
      <c r="H10448" s="24" t="str">
        <f>IFERROR(VLOOKUP(B10448,material!A:D,3,0),"")</f>
        <v/>
      </c>
    </row>
    <row r="10449" ht="11.25" customHeight="1">
      <c r="A10449" s="21"/>
      <c r="B10449" s="22"/>
      <c r="C10449" s="21"/>
      <c r="D10449" s="21"/>
      <c r="E10449" s="21"/>
      <c r="F10449" s="21"/>
      <c r="G10449" s="25"/>
      <c r="H10449" s="24" t="str">
        <f>IFERROR(VLOOKUP(B10449,material!A:D,3,0),"")</f>
        <v/>
      </c>
    </row>
    <row r="10450" ht="11.25" customHeight="1">
      <c r="A10450" s="21"/>
      <c r="B10450" s="22"/>
      <c r="C10450" s="21"/>
      <c r="D10450" s="21"/>
      <c r="E10450" s="21"/>
      <c r="F10450" s="21"/>
      <c r="G10450" s="25"/>
      <c r="H10450" s="24" t="str">
        <f>IFERROR(VLOOKUP(B10450,material!A:D,3,0),"")</f>
        <v/>
      </c>
    </row>
    <row r="10451" ht="11.25" customHeight="1">
      <c r="A10451" s="21"/>
      <c r="B10451" s="22"/>
      <c r="C10451" s="21"/>
      <c r="D10451" s="21"/>
      <c r="E10451" s="21"/>
      <c r="F10451" s="21"/>
      <c r="G10451" s="25"/>
      <c r="H10451" s="24" t="str">
        <f>IFERROR(VLOOKUP(B10451,material!A:D,3,0),"")</f>
        <v/>
      </c>
    </row>
    <row r="10452" ht="11.25" customHeight="1">
      <c r="A10452" s="21"/>
      <c r="B10452" s="22"/>
      <c r="C10452" s="21"/>
      <c r="D10452" s="21"/>
      <c r="E10452" s="21"/>
      <c r="F10452" s="21"/>
      <c r="G10452" s="25"/>
      <c r="H10452" s="24" t="str">
        <f>IFERROR(VLOOKUP(B10452,material!A:D,3,0),"")</f>
        <v/>
      </c>
    </row>
    <row r="10453" ht="11.25" customHeight="1">
      <c r="A10453" s="21"/>
      <c r="B10453" s="22"/>
      <c r="C10453" s="21"/>
      <c r="D10453" s="21"/>
      <c r="E10453" s="21"/>
      <c r="F10453" s="21"/>
      <c r="G10453" s="25"/>
      <c r="H10453" s="24" t="str">
        <f>IFERROR(VLOOKUP(B10453,material!A:D,3,0),"")</f>
        <v/>
      </c>
    </row>
    <row r="10454" ht="11.25" customHeight="1">
      <c r="A10454" s="21"/>
      <c r="B10454" s="22"/>
      <c r="C10454" s="21"/>
      <c r="D10454" s="21"/>
      <c r="E10454" s="21"/>
      <c r="F10454" s="21"/>
      <c r="G10454" s="25"/>
      <c r="H10454" s="24" t="str">
        <f>IFERROR(VLOOKUP(B10454,material!A:D,3,0),"")</f>
        <v/>
      </c>
    </row>
    <row r="10455" ht="11.25" customHeight="1">
      <c r="A10455" s="21"/>
      <c r="B10455" s="22"/>
      <c r="C10455" s="21"/>
      <c r="D10455" s="21"/>
      <c r="E10455" s="21"/>
      <c r="F10455" s="21"/>
      <c r="G10455" s="25"/>
      <c r="H10455" s="24" t="str">
        <f>IFERROR(VLOOKUP(B10455,material!A:D,3,0),"")</f>
        <v/>
      </c>
    </row>
    <row r="10456" ht="11.25" customHeight="1">
      <c r="A10456" s="21"/>
      <c r="B10456" s="22"/>
      <c r="C10456" s="21"/>
      <c r="D10456" s="21"/>
      <c r="E10456" s="21"/>
      <c r="F10456" s="21"/>
      <c r="G10456" s="25"/>
      <c r="H10456" s="24" t="str">
        <f>IFERROR(VLOOKUP(B10456,material!A:D,3,0),"")</f>
        <v/>
      </c>
    </row>
    <row r="10457" ht="11.25" customHeight="1">
      <c r="A10457" s="21"/>
      <c r="B10457" s="22"/>
      <c r="C10457" s="21"/>
      <c r="D10457" s="21"/>
      <c r="E10457" s="21"/>
      <c r="F10457" s="21"/>
      <c r="G10457" s="25"/>
      <c r="H10457" s="24" t="str">
        <f>IFERROR(VLOOKUP(B10457,material!A:D,3,0),"")</f>
        <v/>
      </c>
    </row>
    <row r="10458" ht="11.25" customHeight="1">
      <c r="A10458" s="21"/>
      <c r="B10458" s="22"/>
      <c r="C10458" s="21"/>
      <c r="D10458" s="21"/>
      <c r="E10458" s="21"/>
      <c r="F10458" s="21"/>
      <c r="G10458" s="25"/>
      <c r="H10458" s="24" t="str">
        <f>IFERROR(VLOOKUP(B10458,material!A:D,3,0),"")</f>
        <v/>
      </c>
    </row>
    <row r="10459" ht="11.25" customHeight="1">
      <c r="A10459" s="21"/>
      <c r="B10459" s="22"/>
      <c r="C10459" s="21"/>
      <c r="D10459" s="21"/>
      <c r="E10459" s="21"/>
      <c r="F10459" s="21"/>
      <c r="G10459" s="25"/>
      <c r="H10459" s="24" t="str">
        <f>IFERROR(VLOOKUP(B10459,material!A:D,3,0),"")</f>
        <v/>
      </c>
    </row>
    <row r="10460" ht="11.25" customHeight="1">
      <c r="A10460" s="21"/>
      <c r="B10460" s="22"/>
      <c r="C10460" s="21"/>
      <c r="D10460" s="21"/>
      <c r="E10460" s="21"/>
      <c r="F10460" s="21"/>
      <c r="G10460" s="25"/>
      <c r="H10460" s="24" t="str">
        <f>IFERROR(VLOOKUP(B10460,material!A:D,3,0),"")</f>
        <v/>
      </c>
    </row>
    <row r="10461" ht="11.25" customHeight="1">
      <c r="A10461" s="21"/>
      <c r="B10461" s="22"/>
      <c r="C10461" s="21"/>
      <c r="D10461" s="21"/>
      <c r="E10461" s="21"/>
      <c r="F10461" s="21"/>
      <c r="G10461" s="25"/>
      <c r="H10461" s="24" t="str">
        <f>IFERROR(VLOOKUP(B10461,material!A:D,3,0),"")</f>
        <v/>
      </c>
    </row>
    <row r="10462" ht="11.25" customHeight="1">
      <c r="A10462" s="21"/>
      <c r="B10462" s="22"/>
      <c r="C10462" s="21"/>
      <c r="D10462" s="21"/>
      <c r="E10462" s="21"/>
      <c r="F10462" s="21"/>
      <c r="G10462" s="25"/>
      <c r="H10462" s="24" t="str">
        <f>IFERROR(VLOOKUP(B10462,material!A:D,3,0),"")</f>
        <v/>
      </c>
    </row>
    <row r="10463" ht="11.25" customHeight="1">
      <c r="A10463" s="21"/>
      <c r="B10463" s="22"/>
      <c r="C10463" s="21"/>
      <c r="D10463" s="21"/>
      <c r="E10463" s="21"/>
      <c r="F10463" s="21"/>
      <c r="G10463" s="25"/>
      <c r="H10463" s="24" t="str">
        <f>IFERROR(VLOOKUP(B10463,material!A:D,3,0),"")</f>
        <v/>
      </c>
    </row>
    <row r="10464" ht="11.25" customHeight="1">
      <c r="A10464" s="21"/>
      <c r="B10464" s="22"/>
      <c r="C10464" s="21"/>
      <c r="D10464" s="21"/>
      <c r="E10464" s="21"/>
      <c r="F10464" s="21"/>
      <c r="G10464" s="25"/>
      <c r="H10464" s="24" t="str">
        <f>IFERROR(VLOOKUP(B10464,material!A:D,3,0),"")</f>
        <v/>
      </c>
    </row>
    <row r="10465" ht="11.25" customHeight="1">
      <c r="A10465" s="21"/>
      <c r="B10465" s="22"/>
      <c r="C10465" s="21"/>
      <c r="D10465" s="21"/>
      <c r="E10465" s="21"/>
      <c r="F10465" s="21"/>
      <c r="G10465" s="25"/>
      <c r="H10465" s="24" t="str">
        <f>IFERROR(VLOOKUP(B10465,material!A:D,3,0),"")</f>
        <v/>
      </c>
    </row>
    <row r="10466" ht="11.25" customHeight="1">
      <c r="A10466" s="21"/>
      <c r="B10466" s="22"/>
      <c r="C10466" s="21"/>
      <c r="D10466" s="21"/>
      <c r="E10466" s="21"/>
      <c r="F10466" s="21"/>
      <c r="G10466" s="25"/>
      <c r="H10466" s="24" t="str">
        <f>IFERROR(VLOOKUP(B10466,material!A:D,3,0),"")</f>
        <v/>
      </c>
    </row>
    <row r="10467" ht="11.25" customHeight="1">
      <c r="A10467" s="21"/>
      <c r="B10467" s="22"/>
      <c r="C10467" s="21"/>
      <c r="D10467" s="21"/>
      <c r="E10467" s="21"/>
      <c r="F10467" s="21"/>
      <c r="G10467" s="25"/>
      <c r="H10467" s="24" t="str">
        <f>IFERROR(VLOOKUP(B10467,material!A:D,3,0),"")</f>
        <v/>
      </c>
    </row>
    <row r="10468" ht="11.25" customHeight="1">
      <c r="A10468" s="21"/>
      <c r="B10468" s="22"/>
      <c r="C10468" s="21"/>
      <c r="D10468" s="21"/>
      <c r="E10468" s="21"/>
      <c r="F10468" s="21"/>
      <c r="G10468" s="25"/>
      <c r="H10468" s="24" t="str">
        <f>IFERROR(VLOOKUP(B10468,material!A:D,3,0),"")</f>
        <v/>
      </c>
    </row>
    <row r="10469" ht="11.25" customHeight="1">
      <c r="A10469" s="21"/>
      <c r="B10469" s="22"/>
      <c r="C10469" s="21"/>
      <c r="D10469" s="21"/>
      <c r="E10469" s="21"/>
      <c r="F10469" s="21"/>
      <c r="G10469" s="25"/>
      <c r="H10469" s="24" t="str">
        <f>IFERROR(VLOOKUP(B10469,material!A:D,3,0),"")</f>
        <v/>
      </c>
    </row>
    <row r="10470" ht="11.25" customHeight="1">
      <c r="A10470" s="21"/>
      <c r="B10470" s="22"/>
      <c r="C10470" s="21"/>
      <c r="D10470" s="21"/>
      <c r="E10470" s="21"/>
      <c r="F10470" s="21"/>
      <c r="G10470" s="25"/>
      <c r="H10470" s="24" t="str">
        <f>IFERROR(VLOOKUP(B10470,material!A:D,3,0),"")</f>
        <v/>
      </c>
    </row>
    <row r="10471" ht="11.25" customHeight="1">
      <c r="A10471" s="21"/>
      <c r="B10471" s="22"/>
      <c r="C10471" s="21"/>
      <c r="D10471" s="21"/>
      <c r="E10471" s="21"/>
      <c r="F10471" s="21"/>
      <c r="G10471" s="25"/>
      <c r="H10471" s="24" t="str">
        <f>IFERROR(VLOOKUP(B10471,material!A:D,3,0),"")</f>
        <v/>
      </c>
    </row>
    <row r="10472" ht="11.25" customHeight="1">
      <c r="A10472" s="21"/>
      <c r="B10472" s="22"/>
      <c r="C10472" s="21"/>
      <c r="D10472" s="21"/>
      <c r="E10472" s="21"/>
      <c r="F10472" s="21"/>
      <c r="G10472" s="25"/>
      <c r="H10472" s="24" t="str">
        <f>IFERROR(VLOOKUP(B10472,material!A:D,3,0),"")</f>
        <v/>
      </c>
    </row>
    <row r="10473" ht="11.25" customHeight="1">
      <c r="A10473" s="21"/>
      <c r="B10473" s="22"/>
      <c r="C10473" s="21"/>
      <c r="D10473" s="21"/>
      <c r="E10473" s="21"/>
      <c r="F10473" s="21"/>
      <c r="G10473" s="25"/>
      <c r="H10473" s="24" t="str">
        <f>IFERROR(VLOOKUP(B10473,material!A:D,3,0),"")</f>
        <v/>
      </c>
    </row>
    <row r="10474" ht="11.25" customHeight="1">
      <c r="A10474" s="21"/>
      <c r="B10474" s="22"/>
      <c r="C10474" s="21"/>
      <c r="D10474" s="21"/>
      <c r="E10474" s="21"/>
      <c r="F10474" s="21"/>
      <c r="G10474" s="25"/>
      <c r="H10474" s="24" t="str">
        <f>IFERROR(VLOOKUP(B10474,material!A:D,3,0),"")</f>
        <v/>
      </c>
    </row>
    <row r="10475" ht="11.25" customHeight="1">
      <c r="A10475" s="21"/>
      <c r="B10475" s="22"/>
      <c r="C10475" s="21"/>
      <c r="D10475" s="21"/>
      <c r="E10475" s="21"/>
      <c r="F10475" s="21"/>
      <c r="G10475" s="25"/>
      <c r="H10475" s="24" t="str">
        <f>IFERROR(VLOOKUP(B10475,material!A:D,3,0),"")</f>
        <v/>
      </c>
    </row>
    <row r="10476" ht="11.25" customHeight="1">
      <c r="A10476" s="21"/>
      <c r="B10476" s="22"/>
      <c r="C10476" s="21"/>
      <c r="D10476" s="21"/>
      <c r="E10476" s="21"/>
      <c r="F10476" s="21"/>
      <c r="G10476" s="25"/>
      <c r="H10476" s="24" t="str">
        <f>IFERROR(VLOOKUP(B10476,material!A:D,3,0),"")</f>
        <v/>
      </c>
    </row>
    <row r="10477" ht="11.25" customHeight="1">
      <c r="A10477" s="21"/>
      <c r="B10477" s="22"/>
      <c r="C10477" s="21"/>
      <c r="D10477" s="21"/>
      <c r="E10477" s="21"/>
      <c r="F10477" s="21"/>
      <c r="G10477" s="25"/>
      <c r="H10477" s="24" t="str">
        <f>IFERROR(VLOOKUP(B10477,material!A:D,3,0),"")</f>
        <v/>
      </c>
    </row>
    <row r="10478" ht="11.25" customHeight="1">
      <c r="A10478" s="21"/>
      <c r="B10478" s="22"/>
      <c r="C10478" s="21"/>
      <c r="D10478" s="21"/>
      <c r="E10478" s="21"/>
      <c r="F10478" s="21"/>
      <c r="G10478" s="25"/>
      <c r="H10478" s="24" t="str">
        <f>IFERROR(VLOOKUP(B10478,material!A:D,3,0),"")</f>
        <v/>
      </c>
    </row>
    <row r="10479" ht="11.25" customHeight="1">
      <c r="A10479" s="21"/>
      <c r="B10479" s="22"/>
      <c r="C10479" s="21"/>
      <c r="D10479" s="21"/>
      <c r="E10479" s="21"/>
      <c r="F10479" s="21"/>
      <c r="G10479" s="25"/>
      <c r="H10479" s="24" t="str">
        <f>IFERROR(VLOOKUP(B10479,material!A:D,3,0),"")</f>
        <v/>
      </c>
    </row>
    <row r="10480" ht="11.25" customHeight="1">
      <c r="A10480" s="21"/>
      <c r="B10480" s="22"/>
      <c r="C10480" s="21"/>
      <c r="D10480" s="21"/>
      <c r="E10480" s="21"/>
      <c r="F10480" s="21"/>
      <c r="G10480" s="25"/>
      <c r="H10480" s="24" t="str">
        <f>IFERROR(VLOOKUP(B10480,material!A:D,3,0),"")</f>
        <v/>
      </c>
    </row>
    <row r="10481" ht="11.25" customHeight="1">
      <c r="A10481" s="21"/>
      <c r="B10481" s="22"/>
      <c r="C10481" s="21"/>
      <c r="D10481" s="21"/>
      <c r="E10481" s="21"/>
      <c r="F10481" s="21"/>
      <c r="G10481" s="25"/>
      <c r="H10481" s="24" t="str">
        <f>IFERROR(VLOOKUP(B10481,material!A:D,3,0),"")</f>
        <v/>
      </c>
    </row>
    <row r="10482" ht="11.25" customHeight="1">
      <c r="A10482" s="21"/>
      <c r="B10482" s="22"/>
      <c r="C10482" s="21"/>
      <c r="D10482" s="21"/>
      <c r="E10482" s="21"/>
      <c r="F10482" s="21"/>
      <c r="G10482" s="25"/>
      <c r="H10482" s="24" t="str">
        <f>IFERROR(VLOOKUP(B10482,material!A:D,3,0),"")</f>
        <v/>
      </c>
    </row>
    <row r="10483" ht="11.25" customHeight="1">
      <c r="A10483" s="21"/>
      <c r="B10483" s="22"/>
      <c r="C10483" s="21"/>
      <c r="D10483" s="21"/>
      <c r="E10483" s="21"/>
      <c r="F10483" s="21"/>
      <c r="G10483" s="25"/>
      <c r="H10483" s="24" t="str">
        <f>IFERROR(VLOOKUP(B10483,material!A:D,3,0),"")</f>
        <v/>
      </c>
    </row>
    <row r="10484" ht="11.25" customHeight="1">
      <c r="A10484" s="21"/>
      <c r="B10484" s="22"/>
      <c r="C10484" s="21"/>
      <c r="D10484" s="21"/>
      <c r="E10484" s="21"/>
      <c r="F10484" s="21"/>
      <c r="G10484" s="25"/>
      <c r="H10484" s="24" t="str">
        <f>IFERROR(VLOOKUP(B10484,material!A:D,3,0),"")</f>
        <v/>
      </c>
    </row>
    <row r="10485" ht="11.25" customHeight="1">
      <c r="A10485" s="21"/>
      <c r="B10485" s="22"/>
      <c r="C10485" s="21"/>
      <c r="D10485" s="21"/>
      <c r="E10485" s="21"/>
      <c r="F10485" s="21"/>
      <c r="G10485" s="25"/>
      <c r="H10485" s="24" t="str">
        <f>IFERROR(VLOOKUP(B10485,material!A:D,3,0),"")</f>
        <v/>
      </c>
    </row>
    <row r="10486" ht="11.25" customHeight="1">
      <c r="A10486" s="21"/>
      <c r="B10486" s="22"/>
      <c r="C10486" s="21"/>
      <c r="D10486" s="21"/>
      <c r="E10486" s="21"/>
      <c r="F10486" s="21"/>
      <c r="G10486" s="25"/>
      <c r="H10486" s="24" t="str">
        <f>IFERROR(VLOOKUP(B10486,material!A:D,3,0),"")</f>
        <v/>
      </c>
    </row>
    <row r="10487" ht="11.25" customHeight="1">
      <c r="A10487" s="21"/>
      <c r="B10487" s="22"/>
      <c r="C10487" s="21"/>
      <c r="D10487" s="21"/>
      <c r="E10487" s="21"/>
      <c r="F10487" s="21"/>
      <c r="G10487" s="25"/>
      <c r="H10487" s="24" t="str">
        <f>IFERROR(VLOOKUP(B10487,material!A:D,3,0),"")</f>
        <v/>
      </c>
    </row>
    <row r="10488" ht="11.25" customHeight="1">
      <c r="A10488" s="21"/>
      <c r="B10488" s="22"/>
      <c r="C10488" s="21"/>
      <c r="D10488" s="21"/>
      <c r="E10488" s="21"/>
      <c r="F10488" s="21"/>
      <c r="G10488" s="25"/>
      <c r="H10488" s="24" t="str">
        <f>IFERROR(VLOOKUP(B10488,material!A:D,3,0),"")</f>
        <v/>
      </c>
    </row>
    <row r="10489" ht="11.25" customHeight="1">
      <c r="A10489" s="21"/>
      <c r="B10489" s="22"/>
      <c r="C10489" s="21"/>
      <c r="D10489" s="21"/>
      <c r="E10489" s="21"/>
      <c r="F10489" s="21"/>
      <c r="G10489" s="25"/>
      <c r="H10489" s="24" t="str">
        <f>IFERROR(VLOOKUP(B10489,material!A:D,3,0),"")</f>
        <v/>
      </c>
    </row>
    <row r="10490" ht="11.25" customHeight="1">
      <c r="A10490" s="21"/>
      <c r="B10490" s="22"/>
      <c r="C10490" s="21"/>
      <c r="D10490" s="21"/>
      <c r="E10490" s="21"/>
      <c r="F10490" s="21"/>
      <c r="G10490" s="25"/>
      <c r="H10490" s="24" t="str">
        <f>IFERROR(VLOOKUP(B10490,material!A:D,3,0),"")</f>
        <v/>
      </c>
    </row>
    <row r="10491" ht="11.25" customHeight="1">
      <c r="A10491" s="21"/>
      <c r="B10491" s="22"/>
      <c r="C10491" s="21"/>
      <c r="D10491" s="21"/>
      <c r="E10491" s="21"/>
      <c r="F10491" s="21"/>
      <c r="G10491" s="25"/>
      <c r="H10491" s="24" t="str">
        <f>IFERROR(VLOOKUP(B10491,material!A:D,3,0),"")</f>
        <v/>
      </c>
    </row>
    <row r="10492" ht="11.25" customHeight="1">
      <c r="A10492" s="21"/>
      <c r="B10492" s="22"/>
      <c r="C10492" s="21"/>
      <c r="D10492" s="21"/>
      <c r="E10492" s="21"/>
      <c r="F10492" s="21"/>
      <c r="G10492" s="25"/>
      <c r="H10492" s="24" t="str">
        <f>IFERROR(VLOOKUP(B10492,material!A:D,3,0),"")</f>
        <v/>
      </c>
    </row>
    <row r="10493" ht="11.25" customHeight="1">
      <c r="A10493" s="21"/>
      <c r="B10493" s="22"/>
      <c r="C10493" s="21"/>
      <c r="D10493" s="21"/>
      <c r="E10493" s="21"/>
      <c r="F10493" s="21"/>
      <c r="G10493" s="25"/>
      <c r="H10493" s="24" t="str">
        <f>IFERROR(VLOOKUP(B10493,material!A:D,3,0),"")</f>
        <v/>
      </c>
    </row>
    <row r="10494" ht="11.25" customHeight="1">
      <c r="A10494" s="21"/>
      <c r="B10494" s="22"/>
      <c r="C10494" s="21"/>
      <c r="D10494" s="21"/>
      <c r="E10494" s="21"/>
      <c r="F10494" s="21"/>
      <c r="G10494" s="25"/>
      <c r="H10494" s="24" t="str">
        <f>IFERROR(VLOOKUP(B10494,material!A:D,3,0),"")</f>
        <v/>
      </c>
    </row>
    <row r="10495" ht="11.25" customHeight="1">
      <c r="A10495" s="21"/>
      <c r="B10495" s="22"/>
      <c r="C10495" s="21"/>
      <c r="D10495" s="21"/>
      <c r="E10495" s="21"/>
      <c r="F10495" s="21"/>
      <c r="G10495" s="25"/>
      <c r="H10495" s="24" t="str">
        <f>IFERROR(VLOOKUP(B10495,material!A:D,3,0),"")</f>
        <v/>
      </c>
    </row>
    <row r="10496" ht="11.25" customHeight="1">
      <c r="A10496" s="21"/>
      <c r="B10496" s="22"/>
      <c r="C10496" s="21"/>
      <c r="D10496" s="21"/>
      <c r="E10496" s="21"/>
      <c r="F10496" s="21"/>
      <c r="G10496" s="25"/>
      <c r="H10496" s="24" t="str">
        <f>IFERROR(VLOOKUP(B10496,material!A:D,3,0),"")</f>
        <v/>
      </c>
    </row>
    <row r="10497" ht="11.25" customHeight="1">
      <c r="A10497" s="21"/>
      <c r="B10497" s="22"/>
      <c r="C10497" s="21"/>
      <c r="D10497" s="21"/>
      <c r="E10497" s="21"/>
      <c r="F10497" s="21"/>
      <c r="G10497" s="25"/>
      <c r="H10497" s="24" t="str">
        <f>IFERROR(VLOOKUP(B10497,material!A:D,3,0),"")</f>
        <v/>
      </c>
    </row>
    <row r="10498" ht="11.25" customHeight="1">
      <c r="A10498" s="21"/>
      <c r="B10498" s="22"/>
      <c r="C10498" s="21"/>
      <c r="D10498" s="21"/>
      <c r="E10498" s="21"/>
      <c r="F10498" s="21"/>
      <c r="G10498" s="25"/>
      <c r="H10498" s="24" t="str">
        <f>IFERROR(VLOOKUP(B10498,material!A:D,3,0),"")</f>
        <v/>
      </c>
    </row>
    <row r="10499" ht="11.25" customHeight="1">
      <c r="A10499" s="21"/>
      <c r="B10499" s="22"/>
      <c r="C10499" s="21"/>
      <c r="D10499" s="21"/>
      <c r="E10499" s="21"/>
      <c r="F10499" s="21"/>
      <c r="G10499" s="25"/>
      <c r="H10499" s="24" t="str">
        <f>IFERROR(VLOOKUP(B10499,material!A:D,3,0),"")</f>
        <v/>
      </c>
    </row>
    <row r="10500" ht="11.25" customHeight="1">
      <c r="A10500" s="21"/>
      <c r="B10500" s="22"/>
      <c r="C10500" s="21"/>
      <c r="D10500" s="21"/>
      <c r="E10500" s="21"/>
      <c r="F10500" s="21"/>
      <c r="G10500" s="25"/>
      <c r="H10500" s="24" t="str">
        <f>IFERROR(VLOOKUP(B10500,material!A:D,3,0),"")</f>
        <v/>
      </c>
    </row>
    <row r="10501" ht="11.25" customHeight="1">
      <c r="A10501" s="21"/>
      <c r="B10501" s="22"/>
      <c r="C10501" s="21"/>
      <c r="D10501" s="21"/>
      <c r="E10501" s="21"/>
      <c r="F10501" s="21"/>
      <c r="G10501" s="25"/>
      <c r="H10501" s="24" t="str">
        <f>IFERROR(VLOOKUP(B10501,material!A:D,3,0),"")</f>
        <v/>
      </c>
    </row>
    <row r="10502" ht="11.25" customHeight="1">
      <c r="A10502" s="21"/>
      <c r="B10502" s="22"/>
      <c r="C10502" s="21"/>
      <c r="D10502" s="21"/>
      <c r="E10502" s="21"/>
      <c r="F10502" s="21"/>
      <c r="G10502" s="25"/>
      <c r="H10502" s="24" t="str">
        <f>IFERROR(VLOOKUP(B10502,material!A:D,3,0),"")</f>
        <v/>
      </c>
    </row>
    <row r="10503" ht="11.25" customHeight="1">
      <c r="A10503" s="21"/>
      <c r="B10503" s="22"/>
      <c r="C10503" s="21"/>
      <c r="D10503" s="21"/>
      <c r="E10503" s="21"/>
      <c r="F10503" s="21"/>
      <c r="G10503" s="25"/>
      <c r="H10503" s="24" t="str">
        <f>IFERROR(VLOOKUP(B10503,material!A:D,3,0),"")</f>
        <v/>
      </c>
    </row>
    <row r="10504" ht="11.25" customHeight="1">
      <c r="A10504" s="21"/>
      <c r="B10504" s="22"/>
      <c r="C10504" s="21"/>
      <c r="D10504" s="21"/>
      <c r="E10504" s="21"/>
      <c r="F10504" s="21"/>
      <c r="G10504" s="25"/>
      <c r="H10504" s="24" t="str">
        <f>IFERROR(VLOOKUP(B10504,material!A:D,3,0),"")</f>
        <v/>
      </c>
    </row>
    <row r="10505" ht="11.25" customHeight="1">
      <c r="A10505" s="21"/>
      <c r="B10505" s="22"/>
      <c r="C10505" s="21"/>
      <c r="D10505" s="21"/>
      <c r="E10505" s="21"/>
      <c r="F10505" s="21"/>
      <c r="G10505" s="25"/>
      <c r="H10505" s="24" t="str">
        <f>IFERROR(VLOOKUP(B10505,material!A:D,3,0),"")</f>
        <v/>
      </c>
    </row>
    <row r="10506" ht="11.25" customHeight="1">
      <c r="A10506" s="21"/>
      <c r="B10506" s="22"/>
      <c r="C10506" s="21"/>
      <c r="D10506" s="21"/>
      <c r="E10506" s="21"/>
      <c r="F10506" s="21"/>
      <c r="G10506" s="25"/>
      <c r="H10506" s="24" t="str">
        <f>IFERROR(VLOOKUP(B10506,material!A:D,3,0),"")</f>
        <v/>
      </c>
    </row>
    <row r="10507" ht="11.25" customHeight="1">
      <c r="A10507" s="21"/>
      <c r="B10507" s="22"/>
      <c r="C10507" s="21"/>
      <c r="D10507" s="21"/>
      <c r="E10507" s="21"/>
      <c r="F10507" s="21"/>
      <c r="G10507" s="25"/>
      <c r="H10507" s="24" t="str">
        <f>IFERROR(VLOOKUP(B10507,material!A:D,3,0),"")</f>
        <v/>
      </c>
    </row>
    <row r="10508" ht="11.25" customHeight="1">
      <c r="A10508" s="21"/>
      <c r="B10508" s="22"/>
      <c r="C10508" s="21"/>
      <c r="D10508" s="21"/>
      <c r="E10508" s="21"/>
      <c r="F10508" s="21"/>
      <c r="G10508" s="25"/>
      <c r="H10508" s="24" t="str">
        <f>IFERROR(VLOOKUP(B10508,material!A:D,3,0),"")</f>
        <v/>
      </c>
    </row>
    <row r="10509" ht="11.25" customHeight="1">
      <c r="A10509" s="21"/>
      <c r="B10509" s="22"/>
      <c r="C10509" s="21"/>
      <c r="D10509" s="21"/>
      <c r="E10509" s="21"/>
      <c r="F10509" s="21"/>
      <c r="G10509" s="25"/>
      <c r="H10509" s="24" t="str">
        <f>IFERROR(VLOOKUP(B10509,material!A:D,3,0),"")</f>
        <v/>
      </c>
    </row>
    <row r="10510" ht="11.25" customHeight="1">
      <c r="A10510" s="21"/>
      <c r="B10510" s="22"/>
      <c r="C10510" s="21"/>
      <c r="D10510" s="21"/>
      <c r="E10510" s="21"/>
      <c r="F10510" s="21"/>
      <c r="G10510" s="25"/>
      <c r="H10510" s="24" t="str">
        <f>IFERROR(VLOOKUP(B10510,material!A:D,3,0),"")</f>
        <v/>
      </c>
    </row>
    <row r="10511" ht="11.25" customHeight="1">
      <c r="A10511" s="21"/>
      <c r="B10511" s="22"/>
      <c r="C10511" s="21"/>
      <c r="D10511" s="21"/>
      <c r="E10511" s="21"/>
      <c r="F10511" s="21"/>
      <c r="G10511" s="25"/>
      <c r="H10511" s="24" t="str">
        <f>IFERROR(VLOOKUP(B10511,material!A:D,3,0),"")</f>
        <v/>
      </c>
    </row>
    <row r="10512" ht="11.25" customHeight="1">
      <c r="A10512" s="21"/>
      <c r="B10512" s="22"/>
      <c r="C10512" s="21"/>
      <c r="D10512" s="21"/>
      <c r="E10512" s="21"/>
      <c r="F10512" s="21"/>
      <c r="G10512" s="25"/>
      <c r="H10512" s="24" t="str">
        <f>IFERROR(VLOOKUP(B10512,material!A:D,3,0),"")</f>
        <v/>
      </c>
    </row>
    <row r="10513" ht="11.25" customHeight="1">
      <c r="A10513" s="21"/>
      <c r="B10513" s="22"/>
      <c r="C10513" s="21"/>
      <c r="D10513" s="21"/>
      <c r="E10513" s="21"/>
      <c r="F10513" s="21"/>
      <c r="G10513" s="25"/>
      <c r="H10513" s="24" t="str">
        <f>IFERROR(VLOOKUP(B10513,material!A:D,3,0),"")</f>
        <v/>
      </c>
    </row>
    <row r="10514" ht="11.25" customHeight="1">
      <c r="A10514" s="21"/>
      <c r="B10514" s="22"/>
      <c r="C10514" s="21"/>
      <c r="D10514" s="21"/>
      <c r="E10514" s="21"/>
      <c r="F10514" s="21"/>
      <c r="G10514" s="25"/>
      <c r="H10514" s="24" t="str">
        <f>IFERROR(VLOOKUP(B10514,material!A:D,3,0),"")</f>
        <v/>
      </c>
    </row>
    <row r="10515" ht="11.25" customHeight="1">
      <c r="A10515" s="21"/>
      <c r="B10515" s="22"/>
      <c r="C10515" s="21"/>
      <c r="D10515" s="21"/>
      <c r="E10515" s="21"/>
      <c r="F10515" s="21"/>
      <c r="G10515" s="25"/>
      <c r="H10515" s="24" t="str">
        <f>IFERROR(VLOOKUP(B10515,material!A:D,3,0),"")</f>
        <v/>
      </c>
    </row>
    <row r="10516" ht="11.25" customHeight="1">
      <c r="A10516" s="21"/>
      <c r="B10516" s="22"/>
      <c r="C10516" s="21"/>
      <c r="D10516" s="21"/>
      <c r="E10516" s="21"/>
      <c r="F10516" s="21"/>
      <c r="G10516" s="25"/>
      <c r="H10516" s="24" t="str">
        <f>IFERROR(VLOOKUP(B10516,material!A:D,3,0),"")</f>
        <v/>
      </c>
    </row>
    <row r="10517" ht="11.25" customHeight="1">
      <c r="A10517" s="21"/>
      <c r="B10517" s="22"/>
      <c r="C10517" s="21"/>
      <c r="D10517" s="21"/>
      <c r="E10517" s="21"/>
      <c r="F10517" s="21"/>
      <c r="G10517" s="25"/>
      <c r="H10517" s="24" t="str">
        <f>IFERROR(VLOOKUP(B10517,material!A:D,3,0),"")</f>
        <v/>
      </c>
    </row>
    <row r="10518" ht="11.25" customHeight="1">
      <c r="A10518" s="21"/>
      <c r="B10518" s="22"/>
      <c r="C10518" s="21"/>
      <c r="D10518" s="21"/>
      <c r="E10518" s="21"/>
      <c r="F10518" s="21"/>
      <c r="G10518" s="25"/>
      <c r="H10518" s="24" t="str">
        <f>IFERROR(VLOOKUP(B10518,material!A:D,3,0),"")</f>
        <v/>
      </c>
    </row>
    <row r="10519" ht="11.25" customHeight="1">
      <c r="A10519" s="21"/>
      <c r="B10519" s="22"/>
      <c r="C10519" s="21"/>
      <c r="D10519" s="21"/>
      <c r="E10519" s="21"/>
      <c r="F10519" s="21"/>
      <c r="G10519" s="25"/>
      <c r="H10519" s="24" t="str">
        <f>IFERROR(VLOOKUP(B10519,material!A:D,3,0),"")</f>
        <v/>
      </c>
    </row>
    <row r="10520" ht="11.25" customHeight="1">
      <c r="A10520" s="21"/>
      <c r="B10520" s="22"/>
      <c r="C10520" s="21"/>
      <c r="D10520" s="21"/>
      <c r="E10520" s="21"/>
      <c r="F10520" s="21"/>
      <c r="G10520" s="25"/>
      <c r="H10520" s="24" t="str">
        <f>IFERROR(VLOOKUP(B10520,material!A:D,3,0),"")</f>
        <v/>
      </c>
    </row>
    <row r="10521" ht="11.25" customHeight="1">
      <c r="A10521" s="21"/>
      <c r="B10521" s="22"/>
      <c r="C10521" s="21"/>
      <c r="D10521" s="21"/>
      <c r="E10521" s="21"/>
      <c r="F10521" s="21"/>
      <c r="G10521" s="25"/>
      <c r="H10521" s="24" t="str">
        <f>IFERROR(VLOOKUP(B10521,material!A:D,3,0),"")</f>
        <v/>
      </c>
    </row>
    <row r="10522" ht="11.25" customHeight="1">
      <c r="A10522" s="21"/>
      <c r="B10522" s="22"/>
      <c r="C10522" s="21"/>
      <c r="D10522" s="21"/>
      <c r="E10522" s="21"/>
      <c r="F10522" s="21"/>
      <c r="G10522" s="25"/>
      <c r="H10522" s="24" t="str">
        <f>IFERROR(VLOOKUP(B10522,material!A:D,3,0),"")</f>
        <v/>
      </c>
    </row>
    <row r="10523" ht="11.25" customHeight="1">
      <c r="A10523" s="21"/>
      <c r="B10523" s="22"/>
      <c r="C10523" s="21"/>
      <c r="D10523" s="21"/>
      <c r="E10523" s="21"/>
      <c r="F10523" s="21"/>
      <c r="G10523" s="25"/>
      <c r="H10523" s="24" t="str">
        <f>IFERROR(VLOOKUP(B10523,material!A:D,3,0),"")</f>
        <v/>
      </c>
    </row>
    <row r="10524" ht="11.25" customHeight="1">
      <c r="A10524" s="21"/>
      <c r="B10524" s="22"/>
      <c r="C10524" s="21"/>
      <c r="D10524" s="21"/>
      <c r="E10524" s="21"/>
      <c r="F10524" s="21"/>
      <c r="G10524" s="25"/>
      <c r="H10524" s="24" t="str">
        <f>IFERROR(VLOOKUP(B10524,material!A:D,3,0),"")</f>
        <v/>
      </c>
    </row>
    <row r="10525" ht="11.25" customHeight="1">
      <c r="A10525" s="21"/>
      <c r="B10525" s="22"/>
      <c r="C10525" s="21"/>
      <c r="D10525" s="21"/>
      <c r="E10525" s="21"/>
      <c r="F10525" s="21"/>
      <c r="G10525" s="25"/>
      <c r="H10525" s="24" t="str">
        <f>IFERROR(VLOOKUP(B10525,material!A:D,3,0),"")</f>
        <v/>
      </c>
    </row>
    <row r="10526" ht="11.25" customHeight="1">
      <c r="A10526" s="21"/>
      <c r="B10526" s="22"/>
      <c r="C10526" s="21"/>
      <c r="D10526" s="21"/>
      <c r="E10526" s="21"/>
      <c r="F10526" s="21"/>
      <c r="G10526" s="25"/>
      <c r="H10526" s="24" t="str">
        <f>IFERROR(VLOOKUP(B10526,material!A:D,3,0),"")</f>
        <v/>
      </c>
    </row>
    <row r="10527" ht="11.25" customHeight="1">
      <c r="A10527" s="21"/>
      <c r="B10527" s="22"/>
      <c r="C10527" s="21"/>
      <c r="D10527" s="21"/>
      <c r="E10527" s="21"/>
      <c r="F10527" s="21"/>
      <c r="G10527" s="25"/>
      <c r="H10527" s="24" t="str">
        <f>IFERROR(VLOOKUP(B10527,material!A:D,3,0),"")</f>
        <v/>
      </c>
    </row>
    <row r="10528" ht="11.25" customHeight="1">
      <c r="A10528" s="21"/>
      <c r="B10528" s="22"/>
      <c r="C10528" s="21"/>
      <c r="D10528" s="21"/>
      <c r="E10528" s="21"/>
      <c r="F10528" s="21"/>
      <c r="G10528" s="25"/>
      <c r="H10528" s="24" t="str">
        <f>IFERROR(VLOOKUP(B10528,material!A:D,3,0),"")</f>
        <v/>
      </c>
    </row>
    <row r="10529" ht="11.25" customHeight="1">
      <c r="A10529" s="21"/>
      <c r="B10529" s="22"/>
      <c r="C10529" s="21"/>
      <c r="D10529" s="21"/>
      <c r="E10529" s="21"/>
      <c r="F10529" s="21"/>
      <c r="G10529" s="25"/>
      <c r="H10529" s="24" t="str">
        <f>IFERROR(VLOOKUP(B10529,material!A:D,3,0),"")</f>
        <v/>
      </c>
    </row>
    <row r="10530" ht="11.25" customHeight="1">
      <c r="A10530" s="21"/>
      <c r="B10530" s="22"/>
      <c r="C10530" s="21"/>
      <c r="D10530" s="21"/>
      <c r="E10530" s="21"/>
      <c r="F10530" s="21"/>
      <c r="G10530" s="25"/>
      <c r="H10530" s="24" t="str">
        <f>IFERROR(VLOOKUP(B10530,material!A:D,3,0),"")</f>
        <v/>
      </c>
    </row>
    <row r="10531" ht="11.25" customHeight="1">
      <c r="A10531" s="21"/>
      <c r="B10531" s="22"/>
      <c r="C10531" s="21"/>
      <c r="D10531" s="21"/>
      <c r="E10531" s="21"/>
      <c r="F10531" s="21"/>
      <c r="G10531" s="25"/>
      <c r="H10531" s="24" t="str">
        <f>IFERROR(VLOOKUP(B10531,material!A:D,3,0),"")</f>
        <v/>
      </c>
    </row>
    <row r="10532" ht="11.25" customHeight="1">
      <c r="A10532" s="21"/>
      <c r="B10532" s="22"/>
      <c r="C10532" s="21"/>
      <c r="D10532" s="21"/>
      <c r="E10532" s="21"/>
      <c r="F10532" s="21"/>
      <c r="G10532" s="25"/>
      <c r="H10532" s="24" t="str">
        <f>IFERROR(VLOOKUP(B10532,material!A:D,3,0),"")</f>
        <v/>
      </c>
    </row>
    <row r="10533" ht="11.25" customHeight="1">
      <c r="A10533" s="21"/>
      <c r="B10533" s="22"/>
      <c r="C10533" s="21"/>
      <c r="D10533" s="21"/>
      <c r="E10533" s="21"/>
      <c r="F10533" s="21"/>
      <c r="G10533" s="25"/>
      <c r="H10533" s="24" t="str">
        <f>IFERROR(VLOOKUP(B10533,material!A:D,3,0),"")</f>
        <v/>
      </c>
    </row>
    <row r="10534" ht="11.25" customHeight="1">
      <c r="A10534" s="21"/>
      <c r="B10534" s="22"/>
      <c r="C10534" s="21"/>
      <c r="D10534" s="21"/>
      <c r="E10534" s="21"/>
      <c r="F10534" s="21"/>
      <c r="G10534" s="25"/>
      <c r="H10534" s="24" t="str">
        <f>IFERROR(VLOOKUP(B10534,material!A:D,3,0),"")</f>
        <v/>
      </c>
    </row>
    <row r="10535" ht="11.25" customHeight="1">
      <c r="A10535" s="21"/>
      <c r="B10535" s="22"/>
      <c r="C10535" s="21"/>
      <c r="D10535" s="21"/>
      <c r="E10535" s="21"/>
      <c r="F10535" s="21"/>
      <c r="G10535" s="25"/>
      <c r="H10535" s="24" t="str">
        <f>IFERROR(VLOOKUP(B10535,material!A:D,3,0),"")</f>
        <v/>
      </c>
    </row>
    <row r="10536" ht="11.25" customHeight="1">
      <c r="A10536" s="21"/>
      <c r="B10536" s="22"/>
      <c r="C10536" s="21"/>
      <c r="D10536" s="21"/>
      <c r="E10536" s="21"/>
      <c r="F10536" s="21"/>
      <c r="G10536" s="25"/>
      <c r="H10536" s="24" t="str">
        <f>IFERROR(VLOOKUP(B10536,material!A:D,3,0),"")</f>
        <v/>
      </c>
    </row>
    <row r="10537" ht="11.25" customHeight="1">
      <c r="A10537" s="21"/>
      <c r="B10537" s="22"/>
      <c r="C10537" s="21"/>
      <c r="D10537" s="21"/>
      <c r="E10537" s="21"/>
      <c r="F10537" s="21"/>
      <c r="G10537" s="25"/>
      <c r="H10537" s="24" t="str">
        <f>IFERROR(VLOOKUP(B10537,material!A:D,3,0),"")</f>
        <v/>
      </c>
    </row>
    <row r="10538" ht="11.25" customHeight="1">
      <c r="A10538" s="21"/>
      <c r="B10538" s="22"/>
      <c r="C10538" s="21"/>
      <c r="D10538" s="21"/>
      <c r="E10538" s="21"/>
      <c r="F10538" s="21"/>
      <c r="G10538" s="25"/>
      <c r="H10538" s="24" t="str">
        <f>IFERROR(VLOOKUP(B10538,material!A:D,3,0),"")</f>
        <v/>
      </c>
    </row>
    <row r="10539" ht="11.25" customHeight="1">
      <c r="A10539" s="21"/>
      <c r="B10539" s="22"/>
      <c r="C10539" s="21"/>
      <c r="D10539" s="21"/>
      <c r="E10539" s="21"/>
      <c r="F10539" s="21"/>
      <c r="G10539" s="25"/>
      <c r="H10539" s="24" t="str">
        <f>IFERROR(VLOOKUP(B10539,material!A:D,3,0),"")</f>
        <v/>
      </c>
    </row>
    <row r="10540" ht="11.25" customHeight="1">
      <c r="A10540" s="21"/>
      <c r="B10540" s="22"/>
      <c r="C10540" s="21"/>
      <c r="D10540" s="21"/>
      <c r="E10540" s="21"/>
      <c r="F10540" s="21"/>
      <c r="G10540" s="25"/>
      <c r="H10540" s="24" t="str">
        <f>IFERROR(VLOOKUP(B10540,material!A:D,3,0),"")</f>
        <v/>
      </c>
    </row>
    <row r="10541" ht="11.25" customHeight="1">
      <c r="A10541" s="21"/>
      <c r="B10541" s="22"/>
      <c r="C10541" s="21"/>
      <c r="D10541" s="21"/>
      <c r="E10541" s="21"/>
      <c r="F10541" s="21"/>
      <c r="G10541" s="25"/>
      <c r="H10541" s="24" t="str">
        <f>IFERROR(VLOOKUP(B10541,material!A:D,3,0),"")</f>
        <v/>
      </c>
    </row>
    <row r="10542" ht="11.25" customHeight="1">
      <c r="A10542" s="21"/>
      <c r="B10542" s="22"/>
      <c r="C10542" s="21"/>
      <c r="D10542" s="21"/>
      <c r="E10542" s="21"/>
      <c r="F10542" s="21"/>
      <c r="G10542" s="25"/>
      <c r="H10542" s="24" t="str">
        <f>IFERROR(VLOOKUP(B10542,material!A:D,3,0),"")</f>
        <v/>
      </c>
    </row>
    <row r="10543" ht="11.25" customHeight="1">
      <c r="A10543" s="21"/>
      <c r="B10543" s="22"/>
      <c r="C10543" s="21"/>
      <c r="D10543" s="21"/>
      <c r="E10543" s="21"/>
      <c r="F10543" s="21"/>
      <c r="G10543" s="25"/>
      <c r="H10543" s="24" t="str">
        <f>IFERROR(VLOOKUP(B10543,material!A:D,3,0),"")</f>
        <v/>
      </c>
    </row>
    <row r="10544" ht="11.25" customHeight="1">
      <c r="A10544" s="21"/>
      <c r="B10544" s="22"/>
      <c r="C10544" s="21"/>
      <c r="D10544" s="21"/>
      <c r="E10544" s="21"/>
      <c r="F10544" s="21"/>
      <c r="G10544" s="25"/>
      <c r="H10544" s="24" t="str">
        <f>IFERROR(VLOOKUP(B10544,material!A:D,3,0),"")</f>
        <v/>
      </c>
    </row>
    <row r="10545" ht="11.25" customHeight="1">
      <c r="A10545" s="21"/>
      <c r="B10545" s="22"/>
      <c r="C10545" s="21"/>
      <c r="D10545" s="21"/>
      <c r="E10545" s="21"/>
      <c r="F10545" s="21"/>
      <c r="G10545" s="25"/>
      <c r="H10545" s="24" t="str">
        <f>IFERROR(VLOOKUP(B10545,material!A:D,3,0),"")</f>
        <v/>
      </c>
    </row>
    <row r="10546" ht="11.25" customHeight="1">
      <c r="A10546" s="21"/>
      <c r="B10546" s="22"/>
      <c r="C10546" s="21"/>
      <c r="D10546" s="21"/>
      <c r="E10546" s="21"/>
      <c r="F10546" s="21"/>
      <c r="G10546" s="25"/>
      <c r="H10546" s="24" t="str">
        <f>IFERROR(VLOOKUP(B10546,material!A:D,3,0),"")</f>
        <v/>
      </c>
    </row>
    <row r="10547" ht="11.25" customHeight="1">
      <c r="A10547" s="21"/>
      <c r="B10547" s="22"/>
      <c r="C10547" s="21"/>
      <c r="D10547" s="21"/>
      <c r="E10547" s="21"/>
      <c r="F10547" s="21"/>
      <c r="G10547" s="25"/>
      <c r="H10547" s="24" t="str">
        <f>IFERROR(VLOOKUP(B10547,material!A:D,3,0),"")</f>
        <v/>
      </c>
    </row>
    <row r="10548" ht="11.25" customHeight="1">
      <c r="A10548" s="21"/>
      <c r="B10548" s="22"/>
      <c r="C10548" s="21"/>
      <c r="D10548" s="21"/>
      <c r="E10548" s="21"/>
      <c r="F10548" s="21"/>
      <c r="G10548" s="25"/>
      <c r="H10548" s="24" t="str">
        <f>IFERROR(VLOOKUP(B10548,material!A:D,3,0),"")</f>
        <v/>
      </c>
    </row>
    <row r="10549" ht="11.25" customHeight="1">
      <c r="A10549" s="21"/>
      <c r="B10549" s="22"/>
      <c r="C10549" s="21"/>
      <c r="D10549" s="21"/>
      <c r="E10549" s="21"/>
      <c r="F10549" s="21"/>
      <c r="G10549" s="25"/>
      <c r="H10549" s="24" t="str">
        <f>IFERROR(VLOOKUP(B10549,material!A:D,3,0),"")</f>
        <v/>
      </c>
    </row>
    <row r="10550" ht="11.25" customHeight="1">
      <c r="A10550" s="21"/>
      <c r="B10550" s="22"/>
      <c r="C10550" s="21"/>
      <c r="D10550" s="21"/>
      <c r="E10550" s="21"/>
      <c r="F10550" s="21"/>
      <c r="G10550" s="25"/>
      <c r="H10550" s="24" t="str">
        <f>IFERROR(VLOOKUP(B10550,material!A:D,3,0),"")</f>
        <v/>
      </c>
    </row>
    <row r="10551" ht="11.25" customHeight="1">
      <c r="A10551" s="21"/>
      <c r="B10551" s="22"/>
      <c r="C10551" s="21"/>
      <c r="D10551" s="21"/>
      <c r="E10551" s="21"/>
      <c r="F10551" s="21"/>
      <c r="G10551" s="25"/>
      <c r="H10551" s="24" t="str">
        <f>IFERROR(VLOOKUP(B10551,material!A:D,3,0),"")</f>
        <v/>
      </c>
    </row>
    <row r="10552" ht="11.25" customHeight="1">
      <c r="A10552" s="21"/>
      <c r="B10552" s="22"/>
      <c r="C10552" s="21"/>
      <c r="D10552" s="21"/>
      <c r="E10552" s="21"/>
      <c r="F10552" s="21"/>
      <c r="G10552" s="25"/>
      <c r="H10552" s="24" t="str">
        <f>IFERROR(VLOOKUP(B10552,material!A:D,3,0),"")</f>
        <v/>
      </c>
    </row>
    <row r="10553" ht="11.25" customHeight="1">
      <c r="A10553" s="21"/>
      <c r="B10553" s="22"/>
      <c r="C10553" s="21"/>
      <c r="D10553" s="21"/>
      <c r="E10553" s="21"/>
      <c r="F10553" s="21"/>
      <c r="G10553" s="25"/>
      <c r="H10553" s="24" t="str">
        <f>IFERROR(VLOOKUP(B10553,material!A:D,3,0),"")</f>
        <v/>
      </c>
    </row>
    <row r="10554" ht="11.25" customHeight="1">
      <c r="A10554" s="21"/>
      <c r="B10554" s="22"/>
      <c r="C10554" s="21"/>
      <c r="D10554" s="21"/>
      <c r="E10554" s="21"/>
      <c r="F10554" s="21"/>
      <c r="G10554" s="25"/>
      <c r="H10554" s="24" t="str">
        <f>IFERROR(VLOOKUP(B10554,material!A:D,3,0),"")</f>
        <v/>
      </c>
    </row>
    <row r="10555" ht="11.25" customHeight="1">
      <c r="A10555" s="21"/>
      <c r="B10555" s="22"/>
      <c r="C10555" s="21"/>
      <c r="D10555" s="21"/>
      <c r="E10555" s="21"/>
      <c r="F10555" s="21"/>
      <c r="G10555" s="25"/>
      <c r="H10555" s="24" t="str">
        <f>IFERROR(VLOOKUP(B10555,material!A:D,3,0),"")</f>
        <v/>
      </c>
    </row>
    <row r="10556" ht="11.25" customHeight="1">
      <c r="A10556" s="21"/>
      <c r="B10556" s="22"/>
      <c r="C10556" s="21"/>
      <c r="D10556" s="21"/>
      <c r="E10556" s="21"/>
      <c r="F10556" s="21"/>
      <c r="G10556" s="25"/>
      <c r="H10556" s="24" t="str">
        <f>IFERROR(VLOOKUP(B10556,material!A:D,3,0),"")</f>
        <v/>
      </c>
    </row>
    <row r="10557" ht="11.25" customHeight="1">
      <c r="A10557" s="21"/>
      <c r="B10557" s="22"/>
      <c r="C10557" s="21"/>
      <c r="D10557" s="21"/>
      <c r="E10557" s="21"/>
      <c r="F10557" s="21"/>
      <c r="G10557" s="25"/>
      <c r="H10557" s="24" t="str">
        <f>IFERROR(VLOOKUP(B10557,material!A:D,3,0),"")</f>
        <v/>
      </c>
    </row>
    <row r="10558" ht="11.25" customHeight="1">
      <c r="A10558" s="21"/>
      <c r="B10558" s="22"/>
      <c r="C10558" s="21"/>
      <c r="D10558" s="21"/>
      <c r="E10558" s="21"/>
      <c r="F10558" s="21"/>
      <c r="G10558" s="25"/>
      <c r="H10558" s="24" t="str">
        <f>IFERROR(VLOOKUP(B10558,material!A:D,3,0),"")</f>
        <v/>
      </c>
    </row>
    <row r="10559" ht="11.25" customHeight="1">
      <c r="A10559" s="21"/>
      <c r="B10559" s="22"/>
      <c r="C10559" s="21"/>
      <c r="D10559" s="21"/>
      <c r="E10559" s="21"/>
      <c r="F10559" s="21"/>
      <c r="G10559" s="25"/>
      <c r="H10559" s="24" t="str">
        <f>IFERROR(VLOOKUP(B10559,material!A:D,3,0),"")</f>
        <v/>
      </c>
    </row>
    <row r="10560" ht="11.25" customHeight="1">
      <c r="A10560" s="21"/>
      <c r="B10560" s="22"/>
      <c r="C10560" s="21"/>
      <c r="D10560" s="21"/>
      <c r="E10560" s="21"/>
      <c r="F10560" s="21"/>
      <c r="G10560" s="25"/>
      <c r="H10560" s="24" t="str">
        <f>IFERROR(VLOOKUP(B10560,material!A:D,3,0),"")</f>
        <v/>
      </c>
    </row>
    <row r="10561" ht="11.25" customHeight="1">
      <c r="A10561" s="21"/>
      <c r="B10561" s="22"/>
      <c r="C10561" s="21"/>
      <c r="D10561" s="21"/>
      <c r="E10561" s="21"/>
      <c r="F10561" s="21"/>
      <c r="G10561" s="25"/>
      <c r="H10561" s="24" t="str">
        <f>IFERROR(VLOOKUP(B10561,material!A:D,3,0),"")</f>
        <v/>
      </c>
    </row>
    <row r="10562" ht="11.25" customHeight="1">
      <c r="A10562" s="21"/>
      <c r="B10562" s="22"/>
      <c r="C10562" s="21"/>
      <c r="D10562" s="21"/>
      <c r="E10562" s="21"/>
      <c r="F10562" s="21"/>
      <c r="G10562" s="25"/>
      <c r="H10562" s="24" t="str">
        <f>IFERROR(VLOOKUP(B10562,material!A:D,3,0),"")</f>
        <v/>
      </c>
    </row>
    <row r="10563" ht="11.25" customHeight="1">
      <c r="A10563" s="21"/>
      <c r="B10563" s="22"/>
      <c r="C10563" s="21"/>
      <c r="D10563" s="21"/>
      <c r="E10563" s="21"/>
      <c r="F10563" s="21"/>
      <c r="G10563" s="25"/>
      <c r="H10563" s="24" t="str">
        <f>IFERROR(VLOOKUP(B10563,material!A:D,3,0),"")</f>
        <v/>
      </c>
    </row>
    <row r="10564" ht="11.25" customHeight="1">
      <c r="A10564" s="21"/>
      <c r="B10564" s="22"/>
      <c r="C10564" s="21"/>
      <c r="D10564" s="21"/>
      <c r="E10564" s="21"/>
      <c r="F10564" s="21"/>
      <c r="G10564" s="25"/>
      <c r="H10564" s="24" t="str">
        <f>IFERROR(VLOOKUP(B10564,material!A:D,3,0),"")</f>
        <v/>
      </c>
    </row>
    <row r="10565" ht="11.25" customHeight="1">
      <c r="A10565" s="21"/>
      <c r="B10565" s="22"/>
      <c r="C10565" s="21"/>
      <c r="D10565" s="21"/>
      <c r="E10565" s="21"/>
      <c r="F10565" s="21"/>
      <c r="G10565" s="25"/>
      <c r="H10565" s="24" t="str">
        <f>IFERROR(VLOOKUP(B10565,material!A:D,3,0),"")</f>
        <v/>
      </c>
    </row>
    <row r="10566" ht="11.25" customHeight="1">
      <c r="A10566" s="21"/>
      <c r="B10566" s="22"/>
      <c r="C10566" s="21"/>
      <c r="D10566" s="21"/>
      <c r="E10566" s="21"/>
      <c r="F10566" s="21"/>
      <c r="G10566" s="25"/>
      <c r="H10566" s="24" t="str">
        <f>IFERROR(VLOOKUP(B10566,material!A:D,3,0),"")</f>
        <v/>
      </c>
    </row>
    <row r="10567" ht="11.25" customHeight="1">
      <c r="A10567" s="21"/>
      <c r="B10567" s="22"/>
      <c r="C10567" s="21"/>
      <c r="D10567" s="21"/>
      <c r="E10567" s="21"/>
      <c r="F10567" s="21"/>
      <c r="G10567" s="25"/>
      <c r="H10567" s="24" t="str">
        <f>IFERROR(VLOOKUP(B10567,material!A:D,3,0),"")</f>
        <v/>
      </c>
    </row>
    <row r="10568" ht="11.25" customHeight="1">
      <c r="A10568" s="21"/>
      <c r="B10568" s="22"/>
      <c r="C10568" s="21"/>
      <c r="D10568" s="21"/>
      <c r="E10568" s="21"/>
      <c r="F10568" s="21"/>
      <c r="G10568" s="25"/>
      <c r="H10568" s="24" t="str">
        <f>IFERROR(VLOOKUP(B10568,material!A:D,3,0),"")</f>
        <v/>
      </c>
    </row>
    <row r="10569" ht="11.25" customHeight="1">
      <c r="A10569" s="21"/>
      <c r="B10569" s="22"/>
      <c r="C10569" s="21"/>
      <c r="D10569" s="21"/>
      <c r="E10569" s="21"/>
      <c r="F10569" s="21"/>
      <c r="G10569" s="25"/>
      <c r="H10569" s="24" t="str">
        <f>IFERROR(VLOOKUP(B10569,material!A:D,3,0),"")</f>
        <v/>
      </c>
    </row>
    <row r="10570" ht="11.25" customHeight="1">
      <c r="A10570" s="21"/>
      <c r="B10570" s="22"/>
      <c r="C10570" s="21"/>
      <c r="D10570" s="21"/>
      <c r="E10570" s="21"/>
      <c r="F10570" s="21"/>
      <c r="G10570" s="25"/>
      <c r="H10570" s="24" t="str">
        <f>IFERROR(VLOOKUP(B10570,material!A:D,3,0),"")</f>
        <v/>
      </c>
    </row>
    <row r="10571" ht="11.25" customHeight="1">
      <c r="A10571" s="21"/>
      <c r="B10571" s="22"/>
      <c r="C10571" s="21"/>
      <c r="D10571" s="21"/>
      <c r="E10571" s="21"/>
      <c r="F10571" s="21"/>
      <c r="G10571" s="25"/>
      <c r="H10571" s="24" t="str">
        <f>IFERROR(VLOOKUP(B10571,material!A:D,3,0),"")</f>
        <v/>
      </c>
    </row>
    <row r="10572" ht="11.25" customHeight="1">
      <c r="A10572" s="21"/>
      <c r="B10572" s="22"/>
      <c r="C10572" s="21"/>
      <c r="D10572" s="21"/>
      <c r="E10572" s="21"/>
      <c r="F10572" s="21"/>
      <c r="G10572" s="25"/>
      <c r="H10572" s="24" t="str">
        <f>IFERROR(VLOOKUP(B10572,material!A:D,3,0),"")</f>
        <v/>
      </c>
    </row>
    <row r="10573" ht="11.25" customHeight="1">
      <c r="A10573" s="21"/>
      <c r="B10573" s="22"/>
      <c r="C10573" s="21"/>
      <c r="D10573" s="21"/>
      <c r="E10573" s="21"/>
      <c r="F10573" s="21"/>
      <c r="G10573" s="25"/>
      <c r="H10573" s="24" t="str">
        <f>IFERROR(VLOOKUP(B10573,material!A:D,3,0),"")</f>
        <v/>
      </c>
    </row>
    <row r="10574" ht="11.25" customHeight="1">
      <c r="A10574" s="21"/>
      <c r="B10574" s="22"/>
      <c r="C10574" s="21"/>
      <c r="D10574" s="21"/>
      <c r="E10574" s="21"/>
      <c r="F10574" s="21"/>
      <c r="G10574" s="25"/>
      <c r="H10574" s="24" t="str">
        <f>IFERROR(VLOOKUP(B10574,material!A:D,3,0),"")</f>
        <v/>
      </c>
    </row>
    <row r="10575" ht="11.25" customHeight="1">
      <c r="A10575" s="21"/>
      <c r="B10575" s="22"/>
      <c r="C10575" s="21"/>
      <c r="D10575" s="21"/>
      <c r="E10575" s="21"/>
      <c r="F10575" s="21"/>
      <c r="G10575" s="25"/>
      <c r="H10575" s="24" t="str">
        <f>IFERROR(VLOOKUP(B10575,material!A:D,3,0),"")</f>
        <v/>
      </c>
    </row>
    <row r="10576" ht="11.25" customHeight="1">
      <c r="A10576" s="21"/>
      <c r="B10576" s="22"/>
      <c r="C10576" s="21"/>
      <c r="D10576" s="21"/>
      <c r="E10576" s="21"/>
      <c r="F10576" s="21"/>
      <c r="G10576" s="25"/>
      <c r="H10576" s="24" t="str">
        <f>IFERROR(VLOOKUP(B10576,material!A:D,3,0),"")</f>
        <v/>
      </c>
    </row>
    <row r="10577" ht="11.25" customHeight="1">
      <c r="A10577" s="21"/>
      <c r="B10577" s="22"/>
      <c r="C10577" s="21"/>
      <c r="D10577" s="21"/>
      <c r="E10577" s="21"/>
      <c r="F10577" s="21"/>
      <c r="G10577" s="25"/>
      <c r="H10577" s="24" t="str">
        <f>IFERROR(VLOOKUP(B10577,material!A:D,3,0),"")</f>
        <v/>
      </c>
    </row>
    <row r="10578" ht="11.25" customHeight="1">
      <c r="A10578" s="21"/>
      <c r="B10578" s="22"/>
      <c r="C10578" s="21"/>
      <c r="D10578" s="21"/>
      <c r="E10578" s="21"/>
      <c r="F10578" s="21"/>
      <c r="G10578" s="25"/>
      <c r="H10578" s="24" t="str">
        <f>IFERROR(VLOOKUP(B10578,material!A:D,3,0),"")</f>
        <v/>
      </c>
    </row>
    <row r="10579" ht="11.25" customHeight="1">
      <c r="A10579" s="21"/>
      <c r="B10579" s="22"/>
      <c r="C10579" s="21"/>
      <c r="D10579" s="21"/>
      <c r="E10579" s="21"/>
      <c r="F10579" s="21"/>
      <c r="G10579" s="25"/>
      <c r="H10579" s="24" t="str">
        <f>IFERROR(VLOOKUP(B10579,material!A:D,3,0),"")</f>
        <v/>
      </c>
    </row>
    <row r="10580" ht="11.25" customHeight="1">
      <c r="A10580" s="21"/>
      <c r="B10580" s="22"/>
      <c r="C10580" s="21"/>
      <c r="D10580" s="21"/>
      <c r="E10580" s="21"/>
      <c r="F10580" s="21"/>
      <c r="G10580" s="25"/>
      <c r="H10580" s="24" t="str">
        <f>IFERROR(VLOOKUP(B10580,material!A:D,3,0),"")</f>
        <v/>
      </c>
    </row>
    <row r="10581" ht="11.25" customHeight="1">
      <c r="A10581" s="21"/>
      <c r="B10581" s="22"/>
      <c r="C10581" s="21"/>
      <c r="D10581" s="21"/>
      <c r="E10581" s="21"/>
      <c r="F10581" s="21"/>
      <c r="G10581" s="25"/>
      <c r="H10581" s="24" t="str">
        <f>IFERROR(VLOOKUP(B10581,material!A:D,3,0),"")</f>
        <v/>
      </c>
    </row>
    <row r="10582" ht="11.25" customHeight="1">
      <c r="A10582" s="21"/>
      <c r="B10582" s="22"/>
      <c r="C10582" s="21"/>
      <c r="D10582" s="21"/>
      <c r="E10582" s="21"/>
      <c r="F10582" s="21"/>
      <c r="G10582" s="25"/>
      <c r="H10582" s="24" t="str">
        <f>IFERROR(VLOOKUP(B10582,material!A:D,3,0),"")</f>
        <v/>
      </c>
    </row>
    <row r="10583" ht="11.25" customHeight="1">
      <c r="A10583" s="21"/>
      <c r="B10583" s="22"/>
      <c r="C10583" s="21"/>
      <c r="D10583" s="21"/>
      <c r="E10583" s="21"/>
      <c r="F10583" s="21"/>
      <c r="G10583" s="25"/>
      <c r="H10583" s="24" t="str">
        <f>IFERROR(VLOOKUP(B10583,material!A:D,3,0),"")</f>
        <v/>
      </c>
    </row>
    <row r="10584" ht="11.25" customHeight="1">
      <c r="A10584" s="21"/>
      <c r="B10584" s="22"/>
      <c r="C10584" s="21"/>
      <c r="D10584" s="21"/>
      <c r="E10584" s="21"/>
      <c r="F10584" s="21"/>
      <c r="G10584" s="25"/>
      <c r="H10584" s="24" t="str">
        <f>IFERROR(VLOOKUP(B10584,material!A:D,3,0),"")</f>
        <v/>
      </c>
    </row>
    <row r="10585" ht="11.25" customHeight="1">
      <c r="A10585" s="21"/>
      <c r="B10585" s="22"/>
      <c r="C10585" s="21"/>
      <c r="D10585" s="21"/>
      <c r="E10585" s="21"/>
      <c r="F10585" s="21"/>
      <c r="G10585" s="25"/>
      <c r="H10585" s="24" t="str">
        <f>IFERROR(VLOOKUP(B10585,material!A:D,3,0),"")</f>
        <v/>
      </c>
    </row>
    <row r="10586" ht="11.25" customHeight="1">
      <c r="A10586" s="21"/>
      <c r="B10586" s="22"/>
      <c r="C10586" s="21"/>
      <c r="D10586" s="21"/>
      <c r="E10586" s="21"/>
      <c r="F10586" s="21"/>
      <c r="G10586" s="25"/>
      <c r="H10586" s="24" t="str">
        <f>IFERROR(VLOOKUP(B10586,material!A:D,3,0),"")</f>
        <v/>
      </c>
    </row>
    <row r="10587" ht="11.25" customHeight="1">
      <c r="A10587" s="21"/>
      <c r="B10587" s="22"/>
      <c r="C10587" s="21"/>
      <c r="D10587" s="21"/>
      <c r="E10587" s="21"/>
      <c r="F10587" s="21"/>
      <c r="G10587" s="25"/>
      <c r="H10587" s="24" t="str">
        <f>IFERROR(VLOOKUP(B10587,material!A:D,3,0),"")</f>
        <v/>
      </c>
    </row>
    <row r="10588" ht="11.25" customHeight="1">
      <c r="A10588" s="21"/>
      <c r="B10588" s="22"/>
      <c r="C10588" s="21"/>
      <c r="D10588" s="21"/>
      <c r="E10588" s="21"/>
      <c r="F10588" s="21"/>
      <c r="G10588" s="25"/>
      <c r="H10588" s="24" t="str">
        <f>IFERROR(VLOOKUP(B10588,material!A:D,3,0),"")</f>
        <v/>
      </c>
    </row>
    <row r="10589" ht="11.25" customHeight="1">
      <c r="A10589" s="21"/>
      <c r="B10589" s="22"/>
      <c r="C10589" s="21"/>
      <c r="D10589" s="21"/>
      <c r="E10589" s="21"/>
      <c r="F10589" s="21"/>
      <c r="G10589" s="25"/>
      <c r="H10589" s="24" t="str">
        <f>IFERROR(VLOOKUP(B10589,material!A:D,3,0),"")</f>
        <v/>
      </c>
    </row>
    <row r="10590" ht="11.25" customHeight="1">
      <c r="A10590" s="21"/>
      <c r="B10590" s="22"/>
      <c r="C10590" s="21"/>
      <c r="D10590" s="21"/>
      <c r="E10590" s="21"/>
      <c r="F10590" s="21"/>
      <c r="G10590" s="25"/>
      <c r="H10590" s="24" t="str">
        <f>IFERROR(VLOOKUP(B10590,material!A:D,3,0),"")</f>
        <v/>
      </c>
    </row>
    <row r="10591" ht="11.25" customHeight="1">
      <c r="A10591" s="21"/>
      <c r="B10591" s="22"/>
      <c r="C10591" s="21"/>
      <c r="D10591" s="21"/>
      <c r="E10591" s="21"/>
      <c r="F10591" s="21"/>
      <c r="G10591" s="25"/>
      <c r="H10591" s="24" t="str">
        <f>IFERROR(VLOOKUP(B10591,material!A:D,3,0),"")</f>
        <v/>
      </c>
    </row>
    <row r="10592" ht="11.25" customHeight="1">
      <c r="A10592" s="21"/>
      <c r="B10592" s="22"/>
      <c r="C10592" s="21"/>
      <c r="D10592" s="21"/>
      <c r="E10592" s="21"/>
      <c r="F10592" s="21"/>
      <c r="G10592" s="25"/>
      <c r="H10592" s="24" t="str">
        <f>IFERROR(VLOOKUP(B10592,material!A:D,3,0),"")</f>
        <v/>
      </c>
    </row>
    <row r="10593" ht="11.25" customHeight="1">
      <c r="A10593" s="21"/>
      <c r="B10593" s="22"/>
      <c r="C10593" s="21"/>
      <c r="D10593" s="21"/>
      <c r="E10593" s="21"/>
      <c r="F10593" s="21"/>
      <c r="G10593" s="25"/>
      <c r="H10593" s="24" t="str">
        <f>IFERROR(VLOOKUP(B10593,material!A:D,3,0),"")</f>
        <v/>
      </c>
    </row>
    <row r="10594" ht="11.25" customHeight="1">
      <c r="A10594" s="21"/>
      <c r="B10594" s="22"/>
      <c r="C10594" s="21"/>
      <c r="D10594" s="21"/>
      <c r="E10594" s="21"/>
      <c r="F10594" s="21"/>
      <c r="G10594" s="25"/>
      <c r="H10594" s="24" t="str">
        <f>IFERROR(VLOOKUP(B10594,material!A:D,3,0),"")</f>
        <v/>
      </c>
    </row>
    <row r="10595" ht="11.25" customHeight="1">
      <c r="A10595" s="21"/>
      <c r="B10595" s="22"/>
      <c r="C10595" s="21"/>
      <c r="D10595" s="21"/>
      <c r="E10595" s="21"/>
      <c r="F10595" s="21"/>
      <c r="G10595" s="25"/>
      <c r="H10595" s="24" t="str">
        <f>IFERROR(VLOOKUP(B10595,material!A:D,3,0),"")</f>
        <v/>
      </c>
    </row>
    <row r="10596" ht="11.25" customHeight="1">
      <c r="A10596" s="21"/>
      <c r="B10596" s="22"/>
      <c r="C10596" s="21"/>
      <c r="D10596" s="21"/>
      <c r="E10596" s="21"/>
      <c r="F10596" s="21"/>
      <c r="G10596" s="25"/>
      <c r="H10596" s="24" t="str">
        <f>IFERROR(VLOOKUP(B10596,material!A:D,3,0),"")</f>
        <v/>
      </c>
    </row>
    <row r="10597" ht="11.25" customHeight="1">
      <c r="A10597" s="21"/>
      <c r="B10597" s="22"/>
      <c r="C10597" s="21"/>
      <c r="D10597" s="21"/>
      <c r="E10597" s="21"/>
      <c r="F10597" s="21"/>
      <c r="G10597" s="25"/>
      <c r="H10597" s="24" t="str">
        <f>IFERROR(VLOOKUP(B10597,material!A:D,3,0),"")</f>
        <v/>
      </c>
    </row>
    <row r="10598" ht="11.25" customHeight="1">
      <c r="A10598" s="21"/>
      <c r="B10598" s="22"/>
      <c r="C10598" s="21"/>
      <c r="D10598" s="21"/>
      <c r="E10598" s="21"/>
      <c r="F10598" s="21"/>
      <c r="G10598" s="25"/>
      <c r="H10598" s="24" t="str">
        <f>IFERROR(VLOOKUP(B10598,material!A:D,3,0),"")</f>
        <v/>
      </c>
    </row>
    <row r="10599" ht="11.25" customHeight="1">
      <c r="A10599" s="21"/>
      <c r="B10599" s="22"/>
      <c r="C10599" s="21"/>
      <c r="D10599" s="21"/>
      <c r="E10599" s="21"/>
      <c r="F10599" s="21"/>
      <c r="G10599" s="25"/>
      <c r="H10599" s="24" t="str">
        <f>IFERROR(VLOOKUP(B10599,material!A:D,3,0),"")</f>
        <v/>
      </c>
    </row>
    <row r="10600" ht="11.25" customHeight="1">
      <c r="A10600" s="21"/>
      <c r="B10600" s="22"/>
      <c r="C10600" s="21"/>
      <c r="D10600" s="21"/>
      <c r="E10600" s="21"/>
      <c r="F10600" s="21"/>
      <c r="G10600" s="25"/>
      <c r="H10600" s="24" t="str">
        <f>IFERROR(VLOOKUP(B10600,material!A:D,3,0),"")</f>
        <v/>
      </c>
    </row>
    <row r="10601" ht="11.25" customHeight="1">
      <c r="A10601" s="21"/>
      <c r="B10601" s="22"/>
      <c r="C10601" s="21"/>
      <c r="D10601" s="21"/>
      <c r="E10601" s="21"/>
      <c r="F10601" s="21"/>
      <c r="G10601" s="25"/>
      <c r="H10601" s="24" t="str">
        <f>IFERROR(VLOOKUP(B10601,material!A:D,3,0),"")</f>
        <v/>
      </c>
    </row>
    <row r="10602" ht="11.25" customHeight="1">
      <c r="A10602" s="21"/>
      <c r="B10602" s="22"/>
      <c r="C10602" s="21"/>
      <c r="D10602" s="21"/>
      <c r="E10602" s="21"/>
      <c r="F10602" s="21"/>
      <c r="G10602" s="25"/>
      <c r="H10602" s="24" t="str">
        <f>IFERROR(VLOOKUP(B10602,material!A:D,3,0),"")</f>
        <v/>
      </c>
    </row>
    <row r="10603" ht="11.25" customHeight="1">
      <c r="A10603" s="21"/>
      <c r="B10603" s="22"/>
      <c r="C10603" s="21"/>
      <c r="D10603" s="21"/>
      <c r="E10603" s="21"/>
      <c r="F10603" s="21"/>
      <c r="G10603" s="25"/>
      <c r="H10603" s="24" t="str">
        <f>IFERROR(VLOOKUP(B10603,material!A:D,3,0),"")</f>
        <v/>
      </c>
    </row>
    <row r="10604" ht="11.25" customHeight="1">
      <c r="A10604" s="21"/>
      <c r="B10604" s="22"/>
      <c r="C10604" s="21"/>
      <c r="D10604" s="21"/>
      <c r="E10604" s="21"/>
      <c r="F10604" s="21"/>
      <c r="G10604" s="25"/>
      <c r="H10604" s="24" t="str">
        <f>IFERROR(VLOOKUP(B10604,material!A:D,3,0),"")</f>
        <v/>
      </c>
    </row>
    <row r="10605" ht="11.25" customHeight="1">
      <c r="A10605" s="21"/>
      <c r="B10605" s="22"/>
      <c r="C10605" s="21"/>
      <c r="D10605" s="21"/>
      <c r="E10605" s="21"/>
      <c r="F10605" s="21"/>
      <c r="G10605" s="25"/>
      <c r="H10605" s="24" t="str">
        <f>IFERROR(VLOOKUP(B10605,material!A:D,3,0),"")</f>
        <v/>
      </c>
    </row>
    <row r="10606" ht="11.25" customHeight="1">
      <c r="A10606" s="21"/>
      <c r="B10606" s="22"/>
      <c r="C10606" s="21"/>
      <c r="D10606" s="21"/>
      <c r="E10606" s="21"/>
      <c r="F10606" s="21"/>
      <c r="G10606" s="25"/>
      <c r="H10606" s="24" t="str">
        <f>IFERROR(VLOOKUP(B10606,material!A:D,3,0),"")</f>
        <v/>
      </c>
    </row>
    <row r="10607" ht="11.25" customHeight="1">
      <c r="A10607" s="21"/>
      <c r="B10607" s="22"/>
      <c r="C10607" s="21"/>
      <c r="D10607" s="21"/>
      <c r="E10607" s="21"/>
      <c r="F10607" s="21"/>
      <c r="G10607" s="25"/>
      <c r="H10607" s="24" t="str">
        <f>IFERROR(VLOOKUP(B10607,material!A:D,3,0),"")</f>
        <v/>
      </c>
    </row>
    <row r="10608" ht="11.25" customHeight="1">
      <c r="A10608" s="21"/>
      <c r="B10608" s="22"/>
      <c r="C10608" s="21"/>
      <c r="D10608" s="21"/>
      <c r="E10608" s="21"/>
      <c r="F10608" s="21"/>
      <c r="G10608" s="25"/>
      <c r="H10608" s="24" t="str">
        <f>IFERROR(VLOOKUP(B10608,material!A:D,3,0),"")</f>
        <v/>
      </c>
    </row>
    <row r="10609" ht="11.25" customHeight="1">
      <c r="A10609" s="21"/>
      <c r="B10609" s="22"/>
      <c r="C10609" s="21"/>
      <c r="D10609" s="21"/>
      <c r="E10609" s="21"/>
      <c r="F10609" s="21"/>
      <c r="G10609" s="25"/>
      <c r="H10609" s="24" t="str">
        <f>IFERROR(VLOOKUP(B10609,material!A:D,3,0),"")</f>
        <v/>
      </c>
    </row>
    <row r="10610" ht="11.25" customHeight="1">
      <c r="A10610" s="21"/>
      <c r="B10610" s="22"/>
      <c r="C10610" s="21"/>
      <c r="D10610" s="21"/>
      <c r="E10610" s="21"/>
      <c r="F10610" s="21"/>
      <c r="G10610" s="25"/>
      <c r="H10610" s="24" t="str">
        <f>IFERROR(VLOOKUP(B10610,material!A:D,3,0),"")</f>
        <v/>
      </c>
    </row>
    <row r="10611" ht="11.25" customHeight="1">
      <c r="A10611" s="21"/>
      <c r="B10611" s="22"/>
      <c r="C10611" s="21"/>
      <c r="D10611" s="21"/>
      <c r="E10611" s="21"/>
      <c r="F10611" s="21"/>
      <c r="G10611" s="25"/>
      <c r="H10611" s="24" t="str">
        <f>IFERROR(VLOOKUP(B10611,material!A:D,3,0),"")</f>
        <v/>
      </c>
    </row>
    <row r="10612" ht="11.25" customHeight="1">
      <c r="A10612" s="21"/>
      <c r="B10612" s="22"/>
      <c r="C10612" s="21"/>
      <c r="D10612" s="21"/>
      <c r="E10612" s="21"/>
      <c r="F10612" s="21"/>
      <c r="G10612" s="25"/>
      <c r="H10612" s="24" t="str">
        <f>IFERROR(VLOOKUP(B10612,material!A:D,3,0),"")</f>
        <v/>
      </c>
    </row>
    <row r="10613" ht="11.25" customHeight="1">
      <c r="A10613" s="21"/>
      <c r="B10613" s="22"/>
      <c r="C10613" s="21"/>
      <c r="D10613" s="21"/>
      <c r="E10613" s="21"/>
      <c r="F10613" s="21"/>
      <c r="G10613" s="25"/>
      <c r="H10613" s="24" t="str">
        <f>IFERROR(VLOOKUP(B10613,material!A:D,3,0),"")</f>
        <v/>
      </c>
    </row>
    <row r="10614" ht="11.25" customHeight="1">
      <c r="A10614" s="21"/>
      <c r="B10614" s="22"/>
      <c r="C10614" s="21"/>
      <c r="D10614" s="21"/>
      <c r="E10614" s="21"/>
      <c r="F10614" s="21"/>
      <c r="G10614" s="25"/>
      <c r="H10614" s="24" t="str">
        <f>IFERROR(VLOOKUP(B10614,material!A:D,3,0),"")</f>
        <v/>
      </c>
    </row>
    <row r="10615" ht="11.25" customHeight="1">
      <c r="A10615" s="21"/>
      <c r="B10615" s="22"/>
      <c r="C10615" s="21"/>
      <c r="D10615" s="21"/>
      <c r="E10615" s="21"/>
      <c r="F10615" s="21"/>
      <c r="G10615" s="25"/>
      <c r="H10615" s="24" t="str">
        <f>IFERROR(VLOOKUP(B10615,material!A:D,3,0),"")</f>
        <v/>
      </c>
    </row>
    <row r="10616" ht="11.25" customHeight="1">
      <c r="A10616" s="21"/>
      <c r="B10616" s="22"/>
      <c r="C10616" s="21"/>
      <c r="D10616" s="21"/>
      <c r="E10616" s="21"/>
      <c r="F10616" s="21"/>
      <c r="G10616" s="25"/>
      <c r="H10616" s="24" t="str">
        <f>IFERROR(VLOOKUP(B10616,material!A:D,3,0),"")</f>
        <v/>
      </c>
    </row>
    <row r="10617" ht="11.25" customHeight="1">
      <c r="A10617" s="21"/>
      <c r="B10617" s="22"/>
      <c r="C10617" s="21"/>
      <c r="D10617" s="21"/>
      <c r="E10617" s="21"/>
      <c r="F10617" s="21"/>
      <c r="G10617" s="25"/>
      <c r="H10617" s="24" t="str">
        <f>IFERROR(VLOOKUP(B10617,material!A:D,3,0),"")</f>
        <v/>
      </c>
    </row>
    <row r="10618" ht="11.25" customHeight="1">
      <c r="A10618" s="21"/>
      <c r="B10618" s="22"/>
      <c r="C10618" s="21"/>
      <c r="D10618" s="21"/>
      <c r="E10618" s="21"/>
      <c r="F10618" s="21"/>
      <c r="G10618" s="25"/>
      <c r="H10618" s="24" t="str">
        <f>IFERROR(VLOOKUP(B10618,material!A:D,3,0),"")</f>
        <v/>
      </c>
    </row>
    <row r="10619" ht="11.25" customHeight="1">
      <c r="A10619" s="21"/>
      <c r="B10619" s="22"/>
      <c r="C10619" s="21"/>
      <c r="D10619" s="21"/>
      <c r="E10619" s="21"/>
      <c r="F10619" s="21"/>
      <c r="G10619" s="25"/>
      <c r="H10619" s="24" t="str">
        <f>IFERROR(VLOOKUP(B10619,material!A:D,3,0),"")</f>
        <v/>
      </c>
    </row>
    <row r="10620" ht="11.25" customHeight="1">
      <c r="A10620" s="21"/>
      <c r="B10620" s="22"/>
      <c r="C10620" s="21"/>
      <c r="D10620" s="21"/>
      <c r="E10620" s="21"/>
      <c r="F10620" s="21"/>
      <c r="G10620" s="25"/>
      <c r="H10620" s="24" t="str">
        <f>IFERROR(VLOOKUP(B10620,material!A:D,3,0),"")</f>
        <v/>
      </c>
    </row>
    <row r="10621" ht="11.25" customHeight="1">
      <c r="A10621" s="21"/>
      <c r="B10621" s="22"/>
      <c r="C10621" s="21"/>
      <c r="D10621" s="21"/>
      <c r="E10621" s="21"/>
      <c r="F10621" s="21"/>
      <c r="G10621" s="25"/>
      <c r="H10621" s="24" t="str">
        <f>IFERROR(VLOOKUP(B10621,material!A:D,3,0),"")</f>
        <v/>
      </c>
    </row>
    <row r="10622" ht="11.25" customHeight="1">
      <c r="A10622" s="21"/>
      <c r="B10622" s="22"/>
      <c r="C10622" s="21"/>
      <c r="D10622" s="21"/>
      <c r="E10622" s="21"/>
      <c r="F10622" s="21"/>
      <c r="G10622" s="25"/>
      <c r="H10622" s="24" t="str">
        <f>IFERROR(VLOOKUP(B10622,material!A:D,3,0),"")</f>
        <v/>
      </c>
    </row>
    <row r="10623" ht="11.25" customHeight="1">
      <c r="A10623" s="21"/>
      <c r="B10623" s="22"/>
      <c r="C10623" s="21"/>
      <c r="D10623" s="21"/>
      <c r="E10623" s="21"/>
      <c r="F10623" s="21"/>
      <c r="G10623" s="25"/>
      <c r="H10623" s="24" t="str">
        <f>IFERROR(VLOOKUP(B10623,material!A:D,3,0),"")</f>
        <v/>
      </c>
    </row>
    <row r="10624" ht="11.25" customHeight="1">
      <c r="A10624" s="21"/>
      <c r="B10624" s="22"/>
      <c r="C10624" s="21"/>
      <c r="D10624" s="21"/>
      <c r="E10624" s="21"/>
      <c r="F10624" s="21"/>
      <c r="G10624" s="25"/>
      <c r="H10624" s="24" t="str">
        <f>IFERROR(VLOOKUP(B10624,material!A:D,3,0),"")</f>
        <v/>
      </c>
    </row>
    <row r="10625" ht="11.25" customHeight="1">
      <c r="A10625" s="21"/>
      <c r="B10625" s="22"/>
      <c r="C10625" s="21"/>
      <c r="D10625" s="21"/>
      <c r="E10625" s="21"/>
      <c r="F10625" s="21"/>
      <c r="G10625" s="25"/>
      <c r="H10625" s="24" t="str">
        <f>IFERROR(VLOOKUP(B10625,material!A:D,3,0),"")</f>
        <v/>
      </c>
    </row>
    <row r="10626" ht="11.25" customHeight="1">
      <c r="A10626" s="21"/>
      <c r="B10626" s="22"/>
      <c r="C10626" s="21"/>
      <c r="D10626" s="21"/>
      <c r="E10626" s="21"/>
      <c r="F10626" s="21"/>
      <c r="G10626" s="25"/>
      <c r="H10626" s="24" t="str">
        <f>IFERROR(VLOOKUP(B10626,material!A:D,3,0),"")</f>
        <v/>
      </c>
    </row>
    <row r="10627" ht="11.25" customHeight="1">
      <c r="A10627" s="21"/>
      <c r="B10627" s="22"/>
      <c r="C10627" s="21"/>
      <c r="D10627" s="21"/>
      <c r="E10627" s="21"/>
      <c r="F10627" s="21"/>
      <c r="G10627" s="25"/>
      <c r="H10627" s="24" t="str">
        <f>IFERROR(VLOOKUP(B10627,material!A:D,3,0),"")</f>
        <v/>
      </c>
    </row>
    <row r="10628" ht="11.25" customHeight="1">
      <c r="A10628" s="21"/>
      <c r="B10628" s="22"/>
      <c r="C10628" s="21"/>
      <c r="D10628" s="21"/>
      <c r="E10628" s="21"/>
      <c r="F10628" s="21"/>
      <c r="G10628" s="25"/>
      <c r="H10628" s="24" t="str">
        <f>IFERROR(VLOOKUP(B10628,material!A:D,3,0),"")</f>
        <v/>
      </c>
    </row>
    <row r="10629" ht="11.25" customHeight="1">
      <c r="A10629" s="21"/>
      <c r="B10629" s="22"/>
      <c r="C10629" s="21"/>
      <c r="D10629" s="21"/>
      <c r="E10629" s="21"/>
      <c r="F10629" s="21"/>
      <c r="G10629" s="25"/>
      <c r="H10629" s="24" t="str">
        <f>IFERROR(VLOOKUP(B10629,material!A:D,3,0),"")</f>
        <v/>
      </c>
    </row>
    <row r="10630" ht="11.25" customHeight="1">
      <c r="A10630" s="21"/>
      <c r="B10630" s="22"/>
      <c r="C10630" s="21"/>
      <c r="D10630" s="21"/>
      <c r="E10630" s="21"/>
      <c r="F10630" s="21"/>
      <c r="G10630" s="25"/>
      <c r="H10630" s="24" t="str">
        <f>IFERROR(VLOOKUP(B10630,material!A:D,3,0),"")</f>
        <v/>
      </c>
    </row>
    <row r="10631" ht="11.25" customHeight="1">
      <c r="A10631" s="21"/>
      <c r="B10631" s="22"/>
      <c r="C10631" s="21"/>
      <c r="D10631" s="21"/>
      <c r="E10631" s="21"/>
      <c r="F10631" s="21"/>
      <c r="G10631" s="25"/>
      <c r="H10631" s="24" t="str">
        <f>IFERROR(VLOOKUP(B10631,material!A:D,3,0),"")</f>
        <v/>
      </c>
    </row>
    <row r="10632" ht="11.25" customHeight="1">
      <c r="A10632" s="21"/>
      <c r="B10632" s="22"/>
      <c r="C10632" s="21"/>
      <c r="D10632" s="21"/>
      <c r="E10632" s="21"/>
      <c r="F10632" s="21"/>
      <c r="G10632" s="25"/>
      <c r="H10632" s="24" t="str">
        <f>IFERROR(VLOOKUP(B10632,material!A:D,3,0),"")</f>
        <v/>
      </c>
    </row>
    <row r="10633" ht="11.25" customHeight="1">
      <c r="A10633" s="21"/>
      <c r="B10633" s="22"/>
      <c r="C10633" s="21"/>
      <c r="D10633" s="21"/>
      <c r="E10633" s="21"/>
      <c r="F10633" s="21"/>
      <c r="G10633" s="25"/>
      <c r="H10633" s="24" t="str">
        <f>IFERROR(VLOOKUP(B10633,material!A:D,3,0),"")</f>
        <v/>
      </c>
    </row>
    <row r="10634" ht="11.25" customHeight="1">
      <c r="A10634" s="21"/>
      <c r="B10634" s="22"/>
      <c r="C10634" s="21"/>
      <c r="D10634" s="21"/>
      <c r="E10634" s="21"/>
      <c r="F10634" s="21"/>
      <c r="G10634" s="25"/>
      <c r="H10634" s="24" t="str">
        <f>IFERROR(VLOOKUP(B10634,material!A:D,3,0),"")</f>
        <v/>
      </c>
    </row>
    <row r="10635" ht="11.25" customHeight="1">
      <c r="A10635" s="21"/>
      <c r="B10635" s="22"/>
      <c r="C10635" s="21"/>
      <c r="D10635" s="21"/>
      <c r="E10635" s="21"/>
      <c r="F10635" s="21"/>
      <c r="G10635" s="25"/>
      <c r="H10635" s="24" t="str">
        <f>IFERROR(VLOOKUP(B10635,material!A:D,3,0),"")</f>
        <v/>
      </c>
    </row>
    <row r="10636" ht="11.25" customHeight="1">
      <c r="A10636" s="21"/>
      <c r="B10636" s="22"/>
      <c r="C10636" s="21"/>
      <c r="D10636" s="21"/>
      <c r="E10636" s="21"/>
      <c r="F10636" s="21"/>
      <c r="G10636" s="25"/>
      <c r="H10636" s="24" t="str">
        <f>IFERROR(VLOOKUP(B10636,material!A:D,3,0),"")</f>
        <v/>
      </c>
    </row>
    <row r="10637" ht="11.25" customHeight="1">
      <c r="A10637" s="21"/>
      <c r="B10637" s="22"/>
      <c r="C10637" s="21"/>
      <c r="D10637" s="21"/>
      <c r="E10637" s="21"/>
      <c r="F10637" s="21"/>
      <c r="G10637" s="25"/>
      <c r="H10637" s="24" t="str">
        <f>IFERROR(VLOOKUP(B10637,material!A:D,3,0),"")</f>
        <v/>
      </c>
    </row>
    <row r="10638" ht="11.25" customHeight="1">
      <c r="A10638" s="21"/>
      <c r="B10638" s="22"/>
      <c r="C10638" s="21"/>
      <c r="D10638" s="21"/>
      <c r="E10638" s="21"/>
      <c r="F10638" s="21"/>
      <c r="G10638" s="25"/>
      <c r="H10638" s="24" t="str">
        <f>IFERROR(VLOOKUP(B10638,material!A:D,3,0),"")</f>
        <v/>
      </c>
    </row>
    <row r="10639" ht="11.25" customHeight="1">
      <c r="A10639" s="21"/>
      <c r="B10639" s="22"/>
      <c r="C10639" s="21"/>
      <c r="D10639" s="21"/>
      <c r="E10639" s="21"/>
      <c r="F10639" s="21"/>
      <c r="G10639" s="25"/>
      <c r="H10639" s="24" t="str">
        <f>IFERROR(VLOOKUP(B10639,material!A:D,3,0),"")</f>
        <v/>
      </c>
    </row>
    <row r="10640" ht="11.25" customHeight="1">
      <c r="A10640" s="21"/>
      <c r="B10640" s="22"/>
      <c r="C10640" s="21"/>
      <c r="D10640" s="21"/>
      <c r="E10640" s="21"/>
      <c r="F10640" s="21"/>
      <c r="G10640" s="25"/>
      <c r="H10640" s="24" t="str">
        <f>IFERROR(VLOOKUP(B10640,material!A:D,3,0),"")</f>
        <v/>
      </c>
    </row>
    <row r="10641" ht="11.25" customHeight="1">
      <c r="A10641" s="21"/>
      <c r="B10641" s="22"/>
      <c r="C10641" s="21"/>
      <c r="D10641" s="21"/>
      <c r="E10641" s="21"/>
      <c r="F10641" s="21"/>
      <c r="G10641" s="25"/>
      <c r="H10641" s="24" t="str">
        <f>IFERROR(VLOOKUP(B10641,material!A:D,3,0),"")</f>
        <v/>
      </c>
    </row>
    <row r="10642" ht="11.25" customHeight="1">
      <c r="A10642" s="21"/>
      <c r="B10642" s="22"/>
      <c r="C10642" s="21"/>
      <c r="D10642" s="21"/>
      <c r="E10642" s="21"/>
      <c r="F10642" s="21"/>
      <c r="G10642" s="25"/>
      <c r="H10642" s="24" t="str">
        <f>IFERROR(VLOOKUP(B10642,material!A:D,3,0),"")</f>
        <v/>
      </c>
    </row>
    <row r="10643" ht="11.25" customHeight="1">
      <c r="A10643" s="21"/>
      <c r="B10643" s="22"/>
      <c r="C10643" s="21"/>
      <c r="D10643" s="21"/>
      <c r="E10643" s="21"/>
      <c r="F10643" s="21"/>
      <c r="G10643" s="25"/>
      <c r="H10643" s="24" t="str">
        <f>IFERROR(VLOOKUP(B10643,material!A:D,3,0),"")</f>
        <v/>
      </c>
    </row>
    <row r="10644" ht="11.25" customHeight="1">
      <c r="A10644" s="21"/>
      <c r="B10644" s="22"/>
      <c r="C10644" s="21"/>
      <c r="D10644" s="21"/>
      <c r="E10644" s="21"/>
      <c r="F10644" s="21"/>
      <c r="G10644" s="25"/>
      <c r="H10644" s="24" t="str">
        <f>IFERROR(VLOOKUP(B10644,material!A:D,3,0),"")</f>
        <v/>
      </c>
    </row>
    <row r="10645" ht="11.25" customHeight="1">
      <c r="A10645" s="21"/>
      <c r="B10645" s="22"/>
      <c r="C10645" s="21"/>
      <c r="D10645" s="21"/>
      <c r="E10645" s="21"/>
      <c r="F10645" s="21"/>
      <c r="G10645" s="25"/>
      <c r="H10645" s="24" t="str">
        <f>IFERROR(VLOOKUP(B10645,material!A:D,3,0),"")</f>
        <v/>
      </c>
    </row>
    <row r="10646" ht="11.25" customHeight="1">
      <c r="A10646" s="21"/>
      <c r="B10646" s="22"/>
      <c r="C10646" s="21"/>
      <c r="D10646" s="21"/>
      <c r="E10646" s="21"/>
      <c r="F10646" s="21"/>
      <c r="G10646" s="25"/>
      <c r="H10646" s="24" t="str">
        <f>IFERROR(VLOOKUP(B10646,material!A:D,3,0),"")</f>
        <v/>
      </c>
    </row>
    <row r="10647" ht="11.25" customHeight="1">
      <c r="A10647" s="21"/>
      <c r="B10647" s="22"/>
      <c r="C10647" s="21"/>
      <c r="D10647" s="21"/>
      <c r="E10647" s="21"/>
      <c r="F10647" s="21"/>
      <c r="G10647" s="25"/>
      <c r="H10647" s="24" t="str">
        <f>IFERROR(VLOOKUP(B10647,material!A:D,3,0),"")</f>
        <v/>
      </c>
    </row>
    <row r="10648" ht="11.25" customHeight="1">
      <c r="A10648" s="21"/>
      <c r="B10648" s="22"/>
      <c r="C10648" s="21"/>
      <c r="D10648" s="21"/>
      <c r="E10648" s="21"/>
      <c r="F10648" s="21"/>
      <c r="G10648" s="25"/>
      <c r="H10648" s="24" t="str">
        <f>IFERROR(VLOOKUP(B10648,material!A:D,3,0),"")</f>
        <v/>
      </c>
    </row>
    <row r="10649" ht="11.25" customHeight="1">
      <c r="A10649" s="21"/>
      <c r="B10649" s="22"/>
      <c r="C10649" s="21"/>
      <c r="D10649" s="21"/>
      <c r="E10649" s="21"/>
      <c r="F10649" s="21"/>
      <c r="G10649" s="25"/>
      <c r="H10649" s="24" t="str">
        <f>IFERROR(VLOOKUP(B10649,material!A:D,3,0),"")</f>
        <v/>
      </c>
    </row>
    <row r="10650" ht="11.25" customHeight="1">
      <c r="A10650" s="21"/>
      <c r="B10650" s="22"/>
      <c r="C10650" s="21"/>
      <c r="D10650" s="21"/>
      <c r="E10650" s="21"/>
      <c r="F10650" s="21"/>
      <c r="G10650" s="25"/>
      <c r="H10650" s="24" t="str">
        <f>IFERROR(VLOOKUP(B10650,material!A:D,3,0),"")</f>
        <v/>
      </c>
    </row>
    <row r="10651" ht="11.25" customHeight="1">
      <c r="A10651" s="21"/>
      <c r="B10651" s="22"/>
      <c r="C10651" s="21"/>
      <c r="D10651" s="21"/>
      <c r="E10651" s="21"/>
      <c r="F10651" s="21"/>
      <c r="G10651" s="25"/>
      <c r="H10651" s="24" t="str">
        <f>IFERROR(VLOOKUP(B10651,material!A:D,3,0),"")</f>
        <v/>
      </c>
    </row>
    <row r="10652" ht="11.25" customHeight="1">
      <c r="A10652" s="21"/>
      <c r="B10652" s="22"/>
      <c r="C10652" s="21"/>
      <c r="D10652" s="21"/>
      <c r="E10652" s="21"/>
      <c r="F10652" s="21"/>
      <c r="G10652" s="25"/>
      <c r="H10652" s="24" t="str">
        <f>IFERROR(VLOOKUP(B10652,material!A:D,3,0),"")</f>
        <v/>
      </c>
    </row>
    <row r="10653" ht="11.25" customHeight="1">
      <c r="A10653" s="21"/>
      <c r="B10653" s="22"/>
      <c r="C10653" s="21"/>
      <c r="D10653" s="21"/>
      <c r="E10653" s="21"/>
      <c r="F10653" s="21"/>
      <c r="G10653" s="25"/>
      <c r="H10653" s="24" t="str">
        <f>IFERROR(VLOOKUP(B10653,material!A:D,3,0),"")</f>
        <v/>
      </c>
    </row>
    <row r="10654" ht="11.25" customHeight="1">
      <c r="A10654" s="21"/>
      <c r="B10654" s="22"/>
      <c r="C10654" s="21"/>
      <c r="D10654" s="21"/>
      <c r="E10654" s="21"/>
      <c r="F10654" s="21"/>
      <c r="G10654" s="25"/>
      <c r="H10654" s="24" t="str">
        <f>IFERROR(VLOOKUP(B10654,material!A:D,3,0),"")</f>
        <v/>
      </c>
    </row>
    <row r="10655" ht="11.25" customHeight="1">
      <c r="A10655" s="21"/>
      <c r="B10655" s="22"/>
      <c r="C10655" s="21"/>
      <c r="D10655" s="21"/>
      <c r="E10655" s="21"/>
      <c r="F10655" s="21"/>
      <c r="G10655" s="25"/>
      <c r="H10655" s="24" t="str">
        <f>IFERROR(VLOOKUP(B10655,material!A:D,3,0),"")</f>
        <v/>
      </c>
    </row>
    <row r="10656" ht="11.25" customHeight="1">
      <c r="A10656" s="21"/>
      <c r="B10656" s="22"/>
      <c r="C10656" s="21"/>
      <c r="D10656" s="21"/>
      <c r="E10656" s="21"/>
      <c r="F10656" s="21"/>
      <c r="G10656" s="25"/>
      <c r="H10656" s="24" t="str">
        <f>IFERROR(VLOOKUP(B10656,material!A:D,3,0),"")</f>
        <v/>
      </c>
    </row>
    <row r="10657" ht="11.25" customHeight="1">
      <c r="A10657" s="21"/>
      <c r="B10657" s="22"/>
      <c r="C10657" s="21"/>
      <c r="D10657" s="21"/>
      <c r="E10657" s="21"/>
      <c r="F10657" s="21"/>
      <c r="G10657" s="25"/>
      <c r="H10657" s="24" t="str">
        <f>IFERROR(VLOOKUP(B10657,material!A:D,3,0),"")</f>
        <v/>
      </c>
    </row>
    <row r="10658" ht="11.25" customHeight="1">
      <c r="A10658" s="21"/>
      <c r="B10658" s="22"/>
      <c r="C10658" s="21"/>
      <c r="D10658" s="21"/>
      <c r="E10658" s="21"/>
      <c r="F10658" s="21"/>
      <c r="G10658" s="25"/>
      <c r="H10658" s="24" t="str">
        <f>IFERROR(VLOOKUP(B10658,material!A:D,3,0),"")</f>
        <v/>
      </c>
    </row>
    <row r="10659" ht="11.25" customHeight="1">
      <c r="A10659" s="21"/>
      <c r="B10659" s="22"/>
      <c r="C10659" s="21"/>
      <c r="D10659" s="21"/>
      <c r="E10659" s="21"/>
      <c r="F10659" s="21"/>
      <c r="G10659" s="25"/>
      <c r="H10659" s="24" t="str">
        <f>IFERROR(VLOOKUP(B10659,material!A:D,3,0),"")</f>
        <v/>
      </c>
    </row>
    <row r="10660" ht="11.25" customHeight="1">
      <c r="A10660" s="21"/>
      <c r="B10660" s="22"/>
      <c r="C10660" s="21"/>
      <c r="D10660" s="21"/>
      <c r="E10660" s="21"/>
      <c r="F10660" s="21"/>
      <c r="G10660" s="25"/>
      <c r="H10660" s="24" t="str">
        <f>IFERROR(VLOOKUP(B10660,material!A:D,3,0),"")</f>
        <v/>
      </c>
    </row>
    <row r="10661" ht="11.25" customHeight="1">
      <c r="A10661" s="21"/>
      <c r="B10661" s="22"/>
      <c r="C10661" s="21"/>
      <c r="D10661" s="21"/>
      <c r="E10661" s="21"/>
      <c r="F10661" s="21"/>
      <c r="G10661" s="25"/>
      <c r="H10661" s="24" t="str">
        <f>IFERROR(VLOOKUP(B10661,material!A:D,3,0),"")</f>
        <v/>
      </c>
    </row>
    <row r="10662" ht="11.25" customHeight="1">
      <c r="A10662" s="21"/>
      <c r="B10662" s="22"/>
      <c r="C10662" s="21"/>
      <c r="D10662" s="21"/>
      <c r="E10662" s="21"/>
      <c r="F10662" s="21"/>
      <c r="G10662" s="25"/>
      <c r="H10662" s="24" t="str">
        <f>IFERROR(VLOOKUP(B10662,material!A:D,3,0),"")</f>
        <v/>
      </c>
    </row>
    <row r="10663" ht="11.25" customHeight="1">
      <c r="A10663" s="21"/>
      <c r="B10663" s="22"/>
      <c r="C10663" s="21"/>
      <c r="D10663" s="21"/>
      <c r="E10663" s="21"/>
      <c r="F10663" s="21"/>
      <c r="G10663" s="25"/>
      <c r="H10663" s="24" t="str">
        <f>IFERROR(VLOOKUP(B10663,material!A:D,3,0),"")</f>
        <v/>
      </c>
    </row>
    <row r="10664" ht="11.25" customHeight="1">
      <c r="A10664" s="21"/>
      <c r="B10664" s="22"/>
      <c r="C10664" s="21"/>
      <c r="D10664" s="21"/>
      <c r="E10664" s="21"/>
      <c r="F10664" s="21"/>
      <c r="G10664" s="25"/>
      <c r="H10664" s="24" t="str">
        <f>IFERROR(VLOOKUP(B10664,material!A:D,3,0),"")</f>
        <v/>
      </c>
    </row>
    <row r="10665" ht="11.25" customHeight="1">
      <c r="A10665" s="21"/>
      <c r="B10665" s="22"/>
      <c r="C10665" s="21"/>
      <c r="D10665" s="21"/>
      <c r="E10665" s="21"/>
      <c r="F10665" s="21"/>
      <c r="G10665" s="25"/>
      <c r="H10665" s="24" t="str">
        <f>IFERROR(VLOOKUP(B10665,material!A:D,3,0),"")</f>
        <v/>
      </c>
    </row>
    <row r="10666" ht="11.25" customHeight="1">
      <c r="A10666" s="21"/>
      <c r="B10666" s="22"/>
      <c r="C10666" s="21"/>
      <c r="D10666" s="21"/>
      <c r="E10666" s="21"/>
      <c r="F10666" s="21"/>
      <c r="G10666" s="25"/>
      <c r="H10666" s="24" t="str">
        <f>IFERROR(VLOOKUP(B10666,material!A:D,3,0),"")</f>
        <v/>
      </c>
    </row>
    <row r="10667" ht="11.25" customHeight="1">
      <c r="A10667" s="21"/>
      <c r="B10667" s="22"/>
      <c r="C10667" s="21"/>
      <c r="D10667" s="21"/>
      <c r="E10667" s="21"/>
      <c r="F10667" s="21"/>
      <c r="G10667" s="25"/>
      <c r="H10667" s="24" t="str">
        <f>IFERROR(VLOOKUP(B10667,material!A:D,3,0),"")</f>
        <v/>
      </c>
    </row>
    <row r="10668" ht="11.25" customHeight="1">
      <c r="A10668" s="21"/>
      <c r="B10668" s="22"/>
      <c r="C10668" s="21"/>
      <c r="D10668" s="21"/>
      <c r="E10668" s="21"/>
      <c r="F10668" s="21"/>
      <c r="G10668" s="25"/>
      <c r="H10668" s="24" t="str">
        <f>IFERROR(VLOOKUP(B10668,material!A:D,3,0),"")</f>
        <v/>
      </c>
    </row>
    <row r="10669" ht="11.25" customHeight="1">
      <c r="A10669" s="21"/>
      <c r="B10669" s="22"/>
      <c r="C10669" s="21"/>
      <c r="D10669" s="21"/>
      <c r="E10669" s="21"/>
      <c r="F10669" s="21"/>
      <c r="G10669" s="25"/>
      <c r="H10669" s="24" t="str">
        <f>IFERROR(VLOOKUP(B10669,material!A:D,3,0),"")</f>
        <v/>
      </c>
    </row>
    <row r="10670" ht="11.25" customHeight="1">
      <c r="A10670" s="21"/>
      <c r="B10670" s="22"/>
      <c r="C10670" s="21"/>
      <c r="D10670" s="21"/>
      <c r="E10670" s="21"/>
      <c r="F10670" s="21"/>
      <c r="G10670" s="25"/>
      <c r="H10670" s="24" t="str">
        <f>IFERROR(VLOOKUP(B10670,material!A:D,3,0),"")</f>
        <v/>
      </c>
    </row>
    <row r="10671" ht="11.25" customHeight="1">
      <c r="A10671" s="21"/>
      <c r="B10671" s="22"/>
      <c r="C10671" s="21"/>
      <c r="D10671" s="21"/>
      <c r="E10671" s="21"/>
      <c r="F10671" s="21"/>
      <c r="G10671" s="25"/>
      <c r="H10671" s="24" t="str">
        <f>IFERROR(VLOOKUP(B10671,material!A:D,3,0),"")</f>
        <v/>
      </c>
    </row>
    <row r="10672" ht="11.25" customHeight="1">
      <c r="A10672" s="21"/>
      <c r="B10672" s="22"/>
      <c r="C10672" s="21"/>
      <c r="D10672" s="21"/>
      <c r="E10672" s="21"/>
      <c r="F10672" s="21"/>
      <c r="G10672" s="25"/>
      <c r="H10672" s="24" t="str">
        <f>IFERROR(VLOOKUP(B10672,material!A:D,3,0),"")</f>
        <v/>
      </c>
    </row>
    <row r="10673" ht="11.25" customHeight="1">
      <c r="A10673" s="21"/>
      <c r="B10673" s="22"/>
      <c r="C10673" s="21"/>
      <c r="D10673" s="21"/>
      <c r="E10673" s="21"/>
      <c r="F10673" s="21"/>
      <c r="G10673" s="25"/>
      <c r="H10673" s="24" t="str">
        <f>IFERROR(VLOOKUP(B10673,material!A:D,3,0),"")</f>
        <v/>
      </c>
    </row>
    <row r="10674" ht="11.25" customHeight="1">
      <c r="A10674" s="21"/>
      <c r="B10674" s="22"/>
      <c r="C10674" s="21"/>
      <c r="D10674" s="21"/>
      <c r="E10674" s="21"/>
      <c r="F10674" s="21"/>
      <c r="G10674" s="25"/>
      <c r="H10674" s="24" t="str">
        <f>IFERROR(VLOOKUP(B10674,material!A:D,3,0),"")</f>
        <v/>
      </c>
    </row>
    <row r="10675" ht="11.25" customHeight="1">
      <c r="A10675" s="21"/>
      <c r="B10675" s="22"/>
      <c r="C10675" s="21"/>
      <c r="D10675" s="21"/>
      <c r="E10675" s="21"/>
      <c r="F10675" s="21"/>
      <c r="G10675" s="25"/>
      <c r="H10675" s="24" t="str">
        <f>IFERROR(VLOOKUP(B10675,material!A:D,3,0),"")</f>
        <v/>
      </c>
    </row>
    <row r="10676" ht="11.25" customHeight="1">
      <c r="A10676" s="21"/>
      <c r="B10676" s="22"/>
      <c r="C10676" s="21"/>
      <c r="D10676" s="21"/>
      <c r="E10676" s="21"/>
      <c r="F10676" s="21"/>
      <c r="G10676" s="25"/>
      <c r="H10676" s="24" t="str">
        <f>IFERROR(VLOOKUP(B10676,material!A:D,3,0),"")</f>
        <v/>
      </c>
    </row>
    <row r="10677" ht="11.25" customHeight="1">
      <c r="A10677" s="21"/>
      <c r="B10677" s="22"/>
      <c r="C10677" s="21"/>
      <c r="D10677" s="21"/>
      <c r="E10677" s="21"/>
      <c r="F10677" s="21"/>
      <c r="G10677" s="25"/>
      <c r="H10677" s="24" t="str">
        <f>IFERROR(VLOOKUP(B10677,material!A:D,3,0),"")</f>
        <v/>
      </c>
    </row>
    <row r="10678" ht="11.25" customHeight="1">
      <c r="A10678" s="21"/>
      <c r="B10678" s="22"/>
      <c r="C10678" s="21"/>
      <c r="D10678" s="21"/>
      <c r="E10678" s="21"/>
      <c r="F10678" s="21"/>
      <c r="G10678" s="25"/>
      <c r="H10678" s="24" t="str">
        <f>IFERROR(VLOOKUP(B10678,material!A:D,3,0),"")</f>
        <v/>
      </c>
    </row>
    <row r="10679" ht="11.25" customHeight="1">
      <c r="A10679" s="21"/>
      <c r="B10679" s="22"/>
      <c r="C10679" s="21"/>
      <c r="D10679" s="21"/>
      <c r="E10679" s="21"/>
      <c r="F10679" s="21"/>
      <c r="G10679" s="25"/>
      <c r="H10679" s="24" t="str">
        <f>IFERROR(VLOOKUP(B10679,material!A:D,3,0),"")</f>
        <v/>
      </c>
    </row>
    <row r="10680" ht="11.25" customHeight="1">
      <c r="A10680" s="21"/>
      <c r="B10680" s="22"/>
      <c r="C10680" s="21"/>
      <c r="D10680" s="21"/>
      <c r="E10680" s="21"/>
      <c r="F10680" s="21"/>
      <c r="G10680" s="25"/>
      <c r="H10680" s="24" t="str">
        <f>IFERROR(VLOOKUP(B10680,material!A:D,3,0),"")</f>
        <v/>
      </c>
    </row>
    <row r="10681" ht="11.25" customHeight="1">
      <c r="A10681" s="21"/>
      <c r="B10681" s="22"/>
      <c r="C10681" s="21"/>
      <c r="D10681" s="21"/>
      <c r="E10681" s="21"/>
      <c r="F10681" s="21"/>
      <c r="G10681" s="25"/>
      <c r="H10681" s="24" t="str">
        <f>IFERROR(VLOOKUP(B10681,material!A:D,3,0),"")</f>
        <v/>
      </c>
    </row>
    <row r="10682" ht="11.25" customHeight="1">
      <c r="A10682" s="21"/>
      <c r="B10682" s="22"/>
      <c r="C10682" s="21"/>
      <c r="D10682" s="21"/>
      <c r="E10682" s="21"/>
      <c r="F10682" s="21"/>
      <c r="G10682" s="25"/>
      <c r="H10682" s="24" t="str">
        <f>IFERROR(VLOOKUP(B10682,material!A:D,3,0),"")</f>
        <v/>
      </c>
    </row>
    <row r="10683" ht="11.25" customHeight="1">
      <c r="A10683" s="21"/>
      <c r="B10683" s="22"/>
      <c r="C10683" s="21"/>
      <c r="D10683" s="21"/>
      <c r="E10683" s="21"/>
      <c r="F10683" s="21"/>
      <c r="G10683" s="25"/>
      <c r="H10683" s="24" t="str">
        <f>IFERROR(VLOOKUP(B10683,material!A:D,3,0),"")</f>
        <v/>
      </c>
    </row>
    <row r="10684" ht="11.25" customHeight="1">
      <c r="A10684" s="21"/>
      <c r="B10684" s="22"/>
      <c r="C10684" s="21"/>
      <c r="D10684" s="21"/>
      <c r="E10684" s="21"/>
      <c r="F10684" s="21"/>
      <c r="G10684" s="25"/>
      <c r="H10684" s="24" t="str">
        <f>IFERROR(VLOOKUP(B10684,material!A:D,3,0),"")</f>
        <v/>
      </c>
    </row>
    <row r="10685" ht="11.25" customHeight="1">
      <c r="A10685" s="21"/>
      <c r="B10685" s="22"/>
      <c r="C10685" s="21"/>
      <c r="D10685" s="21"/>
      <c r="E10685" s="21"/>
      <c r="F10685" s="21"/>
      <c r="G10685" s="25"/>
      <c r="H10685" s="24" t="str">
        <f>IFERROR(VLOOKUP(B10685,material!A:D,3,0),"")</f>
        <v/>
      </c>
    </row>
    <row r="10686" ht="11.25" customHeight="1">
      <c r="A10686" s="21"/>
      <c r="B10686" s="22"/>
      <c r="C10686" s="21"/>
      <c r="D10686" s="21"/>
      <c r="E10686" s="21"/>
      <c r="F10686" s="21"/>
      <c r="G10686" s="25"/>
      <c r="H10686" s="24" t="str">
        <f>IFERROR(VLOOKUP(B10686,material!A:D,3,0),"")</f>
        <v/>
      </c>
    </row>
    <row r="10687" ht="11.25" customHeight="1">
      <c r="A10687" s="21"/>
      <c r="B10687" s="22"/>
      <c r="C10687" s="21"/>
      <c r="D10687" s="21"/>
      <c r="E10687" s="21"/>
      <c r="F10687" s="21"/>
      <c r="G10687" s="25"/>
      <c r="H10687" s="24" t="str">
        <f>IFERROR(VLOOKUP(B10687,material!A:D,3,0),"")</f>
        <v/>
      </c>
    </row>
    <row r="10688" ht="11.25" customHeight="1">
      <c r="A10688" s="21"/>
      <c r="B10688" s="22"/>
      <c r="C10688" s="21"/>
      <c r="D10688" s="21"/>
      <c r="E10688" s="21"/>
      <c r="F10688" s="21"/>
      <c r="G10688" s="25"/>
      <c r="H10688" s="24" t="str">
        <f>IFERROR(VLOOKUP(B10688,material!A:D,3,0),"")</f>
        <v/>
      </c>
    </row>
    <row r="10689" ht="11.25" customHeight="1">
      <c r="A10689" s="21"/>
      <c r="B10689" s="22"/>
      <c r="C10689" s="21"/>
      <c r="D10689" s="21"/>
      <c r="E10689" s="21"/>
      <c r="F10689" s="21"/>
      <c r="G10689" s="25"/>
      <c r="H10689" s="24" t="str">
        <f>IFERROR(VLOOKUP(B10689,material!A:D,3,0),"")</f>
        <v/>
      </c>
    </row>
    <row r="10690" ht="11.25" customHeight="1">
      <c r="A10690" s="21"/>
      <c r="B10690" s="22"/>
      <c r="C10690" s="21"/>
      <c r="D10690" s="21"/>
      <c r="E10690" s="21"/>
      <c r="F10690" s="21"/>
      <c r="G10690" s="25"/>
      <c r="H10690" s="24" t="str">
        <f>IFERROR(VLOOKUP(B10690,material!A:D,3,0),"")</f>
        <v/>
      </c>
    </row>
    <row r="10691" ht="11.25" customHeight="1">
      <c r="A10691" s="21"/>
      <c r="B10691" s="22"/>
      <c r="C10691" s="21"/>
      <c r="D10691" s="21"/>
      <c r="E10691" s="21"/>
      <c r="F10691" s="21"/>
      <c r="G10691" s="25"/>
      <c r="H10691" s="24" t="str">
        <f>IFERROR(VLOOKUP(B10691,material!A:D,3,0),"")</f>
        <v/>
      </c>
    </row>
    <row r="10692" ht="11.25" customHeight="1">
      <c r="A10692" s="21"/>
      <c r="B10692" s="22"/>
      <c r="C10692" s="21"/>
      <c r="D10692" s="21"/>
      <c r="E10692" s="21"/>
      <c r="F10692" s="21"/>
      <c r="G10692" s="25"/>
      <c r="H10692" s="24" t="str">
        <f>IFERROR(VLOOKUP(B10692,material!A:D,3,0),"")</f>
        <v/>
      </c>
    </row>
    <row r="10693" ht="11.25" customHeight="1">
      <c r="A10693" s="21"/>
      <c r="B10693" s="22"/>
      <c r="C10693" s="21"/>
      <c r="D10693" s="21"/>
      <c r="E10693" s="21"/>
      <c r="F10693" s="21"/>
      <c r="G10693" s="25"/>
      <c r="H10693" s="24" t="str">
        <f>IFERROR(VLOOKUP(B10693,material!A:D,3,0),"")</f>
        <v/>
      </c>
    </row>
    <row r="10694" ht="11.25" customHeight="1">
      <c r="A10694" s="21"/>
      <c r="B10694" s="22"/>
      <c r="C10694" s="21"/>
      <c r="D10694" s="21"/>
      <c r="E10694" s="21"/>
      <c r="F10694" s="21"/>
      <c r="G10694" s="25"/>
      <c r="H10694" s="24" t="str">
        <f>IFERROR(VLOOKUP(B10694,material!A:D,3,0),"")</f>
        <v/>
      </c>
    </row>
    <row r="10695" ht="11.25" customHeight="1">
      <c r="A10695" s="21"/>
      <c r="B10695" s="22"/>
      <c r="C10695" s="21"/>
      <c r="D10695" s="21"/>
      <c r="E10695" s="21"/>
      <c r="F10695" s="21"/>
      <c r="G10695" s="25"/>
      <c r="H10695" s="24" t="str">
        <f>IFERROR(VLOOKUP(B10695,material!A:D,3,0),"")</f>
        <v/>
      </c>
    </row>
    <row r="10696" ht="11.25" customHeight="1">
      <c r="A10696" s="21"/>
      <c r="B10696" s="22"/>
      <c r="C10696" s="21"/>
      <c r="D10696" s="21"/>
      <c r="E10696" s="21"/>
      <c r="F10696" s="21"/>
      <c r="G10696" s="25"/>
      <c r="H10696" s="24" t="str">
        <f>IFERROR(VLOOKUP(B10696,material!A:D,3,0),"")</f>
        <v/>
      </c>
    </row>
    <row r="10697" ht="11.25" customHeight="1">
      <c r="A10697" s="21"/>
      <c r="B10697" s="22"/>
      <c r="C10697" s="21"/>
      <c r="D10697" s="21"/>
      <c r="E10697" s="21"/>
      <c r="F10697" s="21"/>
      <c r="G10697" s="25"/>
      <c r="H10697" s="24" t="str">
        <f>IFERROR(VLOOKUP(B10697,material!A:D,3,0),"")</f>
        <v/>
      </c>
    </row>
    <row r="10698" ht="11.25" customHeight="1">
      <c r="A10698" s="21"/>
      <c r="B10698" s="22"/>
      <c r="C10698" s="21"/>
      <c r="D10698" s="21"/>
      <c r="E10698" s="21"/>
      <c r="F10698" s="21"/>
      <c r="G10698" s="25"/>
      <c r="H10698" s="24" t="str">
        <f>IFERROR(VLOOKUP(B10698,material!A:D,3,0),"")</f>
        <v/>
      </c>
    </row>
    <row r="10699" ht="11.25" customHeight="1">
      <c r="A10699" s="21"/>
      <c r="B10699" s="22"/>
      <c r="C10699" s="21"/>
      <c r="D10699" s="21"/>
      <c r="E10699" s="21"/>
      <c r="F10699" s="21"/>
      <c r="G10699" s="25"/>
      <c r="H10699" s="24" t="str">
        <f>IFERROR(VLOOKUP(B10699,material!A:D,3,0),"")</f>
        <v/>
      </c>
    </row>
    <row r="10700" ht="11.25" customHeight="1">
      <c r="A10700" s="21"/>
      <c r="B10700" s="22"/>
      <c r="C10700" s="21"/>
      <c r="D10700" s="21"/>
      <c r="E10700" s="21"/>
      <c r="F10700" s="21"/>
      <c r="G10700" s="25"/>
      <c r="H10700" s="24" t="str">
        <f>IFERROR(VLOOKUP(B10700,material!A:D,3,0),"")</f>
        <v/>
      </c>
    </row>
    <row r="10701" ht="11.25" customHeight="1">
      <c r="A10701" s="21"/>
      <c r="B10701" s="22"/>
      <c r="C10701" s="21"/>
      <c r="D10701" s="21"/>
      <c r="E10701" s="21"/>
      <c r="F10701" s="21"/>
      <c r="G10701" s="25"/>
      <c r="H10701" s="24" t="str">
        <f>IFERROR(VLOOKUP(B10701,material!A:D,3,0),"")</f>
        <v/>
      </c>
    </row>
    <row r="10702" ht="11.25" customHeight="1">
      <c r="A10702" s="21"/>
      <c r="B10702" s="22"/>
      <c r="C10702" s="21"/>
      <c r="D10702" s="21"/>
      <c r="E10702" s="21"/>
      <c r="F10702" s="21"/>
      <c r="G10702" s="25"/>
      <c r="H10702" s="24" t="str">
        <f>IFERROR(VLOOKUP(B10702,material!A:D,3,0),"")</f>
        <v/>
      </c>
    </row>
    <row r="10703" ht="11.25" customHeight="1">
      <c r="A10703" s="21"/>
      <c r="B10703" s="22"/>
      <c r="C10703" s="21"/>
      <c r="D10703" s="21"/>
      <c r="E10703" s="21"/>
      <c r="F10703" s="21"/>
      <c r="G10703" s="25"/>
      <c r="H10703" s="24" t="str">
        <f>IFERROR(VLOOKUP(B10703,material!A:D,3,0),"")</f>
        <v/>
      </c>
    </row>
    <row r="10704" ht="11.25" customHeight="1">
      <c r="A10704" s="21"/>
      <c r="B10704" s="22"/>
      <c r="C10704" s="21"/>
      <c r="D10704" s="21"/>
      <c r="E10704" s="21"/>
      <c r="F10704" s="21"/>
      <c r="G10704" s="25"/>
      <c r="H10704" s="24" t="str">
        <f>IFERROR(VLOOKUP(B10704,material!A:D,3,0),"")</f>
        <v/>
      </c>
    </row>
    <row r="10705" ht="11.25" customHeight="1">
      <c r="A10705" s="21"/>
      <c r="B10705" s="22"/>
      <c r="C10705" s="21"/>
      <c r="D10705" s="21"/>
      <c r="E10705" s="21"/>
      <c r="F10705" s="21"/>
      <c r="G10705" s="25"/>
      <c r="H10705" s="24" t="str">
        <f>IFERROR(VLOOKUP(B10705,material!A:D,3,0),"")</f>
        <v/>
      </c>
    </row>
    <row r="10706" ht="11.25" customHeight="1">
      <c r="A10706" s="21"/>
      <c r="B10706" s="22"/>
      <c r="C10706" s="21"/>
      <c r="D10706" s="21"/>
      <c r="E10706" s="21"/>
      <c r="F10706" s="21"/>
      <c r="G10706" s="25"/>
      <c r="H10706" s="24" t="str">
        <f>IFERROR(VLOOKUP(B10706,material!A:D,3,0),"")</f>
        <v/>
      </c>
    </row>
    <row r="10707" ht="11.25" customHeight="1">
      <c r="A10707" s="21"/>
      <c r="B10707" s="22"/>
      <c r="C10707" s="21"/>
      <c r="D10707" s="21"/>
      <c r="E10707" s="21"/>
      <c r="F10707" s="21"/>
      <c r="G10707" s="25"/>
      <c r="H10707" s="24" t="str">
        <f>IFERROR(VLOOKUP(B10707,material!A:D,3,0),"")</f>
        <v/>
      </c>
    </row>
    <row r="10708" ht="11.25" customHeight="1">
      <c r="A10708" s="21"/>
      <c r="B10708" s="22"/>
      <c r="C10708" s="21"/>
      <c r="D10708" s="21"/>
      <c r="E10708" s="21"/>
      <c r="F10708" s="21"/>
      <c r="G10708" s="25"/>
      <c r="H10708" s="24" t="str">
        <f>IFERROR(VLOOKUP(B10708,material!A:D,3,0),"")</f>
        <v/>
      </c>
    </row>
    <row r="10709" ht="11.25" customHeight="1">
      <c r="A10709" s="21"/>
      <c r="B10709" s="22"/>
      <c r="C10709" s="21"/>
      <c r="D10709" s="21"/>
      <c r="E10709" s="21"/>
      <c r="F10709" s="21"/>
      <c r="G10709" s="25"/>
      <c r="H10709" s="24" t="str">
        <f>IFERROR(VLOOKUP(B10709,material!A:D,3,0),"")</f>
        <v/>
      </c>
    </row>
    <row r="10710" ht="11.25" customHeight="1">
      <c r="A10710" s="21"/>
      <c r="B10710" s="22"/>
      <c r="C10710" s="21"/>
      <c r="D10710" s="21"/>
      <c r="E10710" s="21"/>
      <c r="F10710" s="21"/>
      <c r="G10710" s="25"/>
      <c r="H10710" s="24" t="str">
        <f>IFERROR(VLOOKUP(B10710,material!A:D,3,0),"")</f>
        <v/>
      </c>
    </row>
    <row r="10711" ht="11.25" customHeight="1">
      <c r="A10711" s="21"/>
      <c r="B10711" s="22"/>
      <c r="C10711" s="21"/>
      <c r="D10711" s="21"/>
      <c r="E10711" s="21"/>
      <c r="F10711" s="21"/>
      <c r="G10711" s="25"/>
      <c r="H10711" s="24" t="str">
        <f>IFERROR(VLOOKUP(B10711,material!A:D,3,0),"")</f>
        <v/>
      </c>
    </row>
    <row r="10712" ht="11.25" customHeight="1">
      <c r="A10712" s="21"/>
      <c r="B10712" s="22"/>
      <c r="C10712" s="21"/>
      <c r="D10712" s="21"/>
      <c r="E10712" s="21"/>
      <c r="F10712" s="21"/>
      <c r="G10712" s="25"/>
      <c r="H10712" s="24" t="str">
        <f>IFERROR(VLOOKUP(B10712,material!A:D,3,0),"")</f>
        <v/>
      </c>
    </row>
    <row r="10713" ht="11.25" customHeight="1">
      <c r="A10713" s="21"/>
      <c r="B10713" s="22"/>
      <c r="C10713" s="21"/>
      <c r="D10713" s="21"/>
      <c r="E10713" s="21"/>
      <c r="F10713" s="21"/>
      <c r="G10713" s="25"/>
      <c r="H10713" s="24" t="str">
        <f>IFERROR(VLOOKUP(B10713,material!A:D,3,0),"")</f>
        <v/>
      </c>
    </row>
    <row r="10714" ht="11.25" customHeight="1">
      <c r="A10714" s="21"/>
      <c r="B10714" s="22"/>
      <c r="C10714" s="21"/>
      <c r="D10714" s="21"/>
      <c r="E10714" s="21"/>
      <c r="F10714" s="21"/>
      <c r="G10714" s="25"/>
      <c r="H10714" s="24" t="str">
        <f>IFERROR(VLOOKUP(B10714,material!A:D,3,0),"")</f>
        <v/>
      </c>
    </row>
    <row r="10715" ht="11.25" customHeight="1">
      <c r="A10715" s="21"/>
      <c r="B10715" s="22"/>
      <c r="C10715" s="21"/>
      <c r="D10715" s="21"/>
      <c r="E10715" s="21"/>
      <c r="F10715" s="21"/>
      <c r="G10715" s="25"/>
      <c r="H10715" s="24" t="str">
        <f>IFERROR(VLOOKUP(B10715,material!A:D,3,0),"")</f>
        <v/>
      </c>
    </row>
    <row r="10716" ht="11.25" customHeight="1">
      <c r="A10716" s="21"/>
      <c r="B10716" s="22"/>
      <c r="C10716" s="21"/>
      <c r="D10716" s="21"/>
      <c r="E10716" s="21"/>
      <c r="F10716" s="21"/>
      <c r="G10716" s="25"/>
      <c r="H10716" s="24" t="str">
        <f>IFERROR(VLOOKUP(B10716,material!A:D,3,0),"")</f>
        <v/>
      </c>
    </row>
    <row r="10717" ht="11.25" customHeight="1">
      <c r="A10717" s="21"/>
      <c r="B10717" s="22"/>
      <c r="C10717" s="21"/>
      <c r="D10717" s="21"/>
      <c r="E10717" s="21"/>
      <c r="F10717" s="21"/>
      <c r="G10717" s="25"/>
      <c r="H10717" s="24" t="str">
        <f>IFERROR(VLOOKUP(B10717,material!A:D,3,0),"")</f>
        <v/>
      </c>
    </row>
    <row r="10718" ht="11.25" customHeight="1">
      <c r="A10718" s="21"/>
      <c r="B10718" s="22"/>
      <c r="C10718" s="21"/>
      <c r="D10718" s="21"/>
      <c r="E10718" s="21"/>
      <c r="F10718" s="21"/>
      <c r="G10718" s="25"/>
      <c r="H10718" s="24" t="str">
        <f>IFERROR(VLOOKUP(B10718,material!A:D,3,0),"")</f>
        <v/>
      </c>
    </row>
    <row r="10719" ht="11.25" customHeight="1">
      <c r="A10719" s="21"/>
      <c r="B10719" s="22"/>
      <c r="C10719" s="21"/>
      <c r="D10719" s="21"/>
      <c r="E10719" s="21"/>
      <c r="F10719" s="21"/>
      <c r="G10719" s="25"/>
      <c r="H10719" s="24" t="str">
        <f>IFERROR(VLOOKUP(B10719,material!A:D,3,0),"")</f>
        <v/>
      </c>
    </row>
    <row r="10720" ht="11.25" customHeight="1">
      <c r="A10720" s="21"/>
      <c r="B10720" s="22"/>
      <c r="C10720" s="21"/>
      <c r="D10720" s="21"/>
      <c r="E10720" s="21"/>
      <c r="F10720" s="21"/>
      <c r="G10720" s="25"/>
      <c r="H10720" s="24" t="str">
        <f>IFERROR(VLOOKUP(B10720,material!A:D,3,0),"")</f>
        <v/>
      </c>
    </row>
    <row r="10721" ht="11.25" customHeight="1">
      <c r="A10721" s="21"/>
      <c r="B10721" s="22"/>
      <c r="C10721" s="21"/>
      <c r="D10721" s="21"/>
      <c r="E10721" s="21"/>
      <c r="F10721" s="21"/>
      <c r="G10721" s="25"/>
      <c r="H10721" s="24" t="str">
        <f>IFERROR(VLOOKUP(B10721,material!A:D,3,0),"")</f>
        <v/>
      </c>
    </row>
    <row r="10722" ht="11.25" customHeight="1">
      <c r="A10722" s="21"/>
      <c r="B10722" s="22"/>
      <c r="C10722" s="21"/>
      <c r="D10722" s="21"/>
      <c r="E10722" s="21"/>
      <c r="F10722" s="21"/>
      <c r="G10722" s="25"/>
      <c r="H10722" s="24" t="str">
        <f>IFERROR(VLOOKUP(B10722,material!A:D,3,0),"")</f>
        <v/>
      </c>
    </row>
    <row r="10723" ht="11.25" customHeight="1">
      <c r="A10723" s="21"/>
      <c r="B10723" s="22"/>
      <c r="C10723" s="21"/>
      <c r="D10723" s="21"/>
      <c r="E10723" s="21"/>
      <c r="F10723" s="21"/>
      <c r="G10723" s="25"/>
      <c r="H10723" s="24" t="str">
        <f>IFERROR(VLOOKUP(B10723,material!A:D,3,0),"")</f>
        <v/>
      </c>
    </row>
    <row r="10724" ht="11.25" customHeight="1">
      <c r="A10724" s="21"/>
      <c r="B10724" s="22"/>
      <c r="C10724" s="21"/>
      <c r="D10724" s="21"/>
      <c r="E10724" s="21"/>
      <c r="F10724" s="21"/>
      <c r="G10724" s="25"/>
      <c r="H10724" s="24" t="str">
        <f>IFERROR(VLOOKUP(B10724,material!A:D,3,0),"")</f>
        <v/>
      </c>
    </row>
    <row r="10725" ht="11.25" customHeight="1">
      <c r="A10725" s="21"/>
      <c r="B10725" s="22"/>
      <c r="C10725" s="21"/>
      <c r="D10725" s="21"/>
      <c r="E10725" s="21"/>
      <c r="F10725" s="21"/>
      <c r="G10725" s="25"/>
      <c r="H10725" s="24" t="str">
        <f>IFERROR(VLOOKUP(B10725,material!A:D,3,0),"")</f>
        <v/>
      </c>
    </row>
    <row r="10726" ht="11.25" customHeight="1">
      <c r="A10726" s="21"/>
      <c r="B10726" s="22"/>
      <c r="C10726" s="21"/>
      <c r="D10726" s="21"/>
      <c r="E10726" s="21"/>
      <c r="F10726" s="21"/>
      <c r="G10726" s="25"/>
      <c r="H10726" s="24" t="str">
        <f>IFERROR(VLOOKUP(B10726,material!A:D,3,0),"")</f>
        <v/>
      </c>
    </row>
    <row r="10727" ht="11.25" customHeight="1">
      <c r="A10727" s="21"/>
      <c r="B10727" s="22"/>
      <c r="C10727" s="21"/>
      <c r="D10727" s="21"/>
      <c r="E10727" s="21"/>
      <c r="F10727" s="21"/>
      <c r="G10727" s="25"/>
      <c r="H10727" s="24" t="str">
        <f>IFERROR(VLOOKUP(B10727,material!A:D,3,0),"")</f>
        <v/>
      </c>
    </row>
    <row r="10728" ht="11.25" customHeight="1">
      <c r="A10728" s="21"/>
      <c r="B10728" s="22"/>
      <c r="C10728" s="21"/>
      <c r="D10728" s="21"/>
      <c r="E10728" s="21"/>
      <c r="F10728" s="21"/>
      <c r="G10728" s="25"/>
      <c r="H10728" s="24" t="str">
        <f>IFERROR(VLOOKUP(B10728,material!A:D,3,0),"")</f>
        <v/>
      </c>
    </row>
    <row r="10729" ht="11.25" customHeight="1">
      <c r="A10729" s="21"/>
      <c r="B10729" s="22"/>
      <c r="C10729" s="21"/>
      <c r="D10729" s="21"/>
      <c r="E10729" s="21"/>
      <c r="F10729" s="21"/>
      <c r="G10729" s="25"/>
      <c r="H10729" s="24" t="str">
        <f>IFERROR(VLOOKUP(B10729,material!A:D,3,0),"")</f>
        <v/>
      </c>
    </row>
    <row r="10730" ht="11.25" customHeight="1">
      <c r="A10730" s="21"/>
      <c r="B10730" s="22"/>
      <c r="C10730" s="21"/>
      <c r="D10730" s="21"/>
      <c r="E10730" s="21"/>
      <c r="F10730" s="21"/>
      <c r="G10730" s="25"/>
      <c r="H10730" s="24" t="str">
        <f>IFERROR(VLOOKUP(B10730,material!A:D,3,0),"")</f>
        <v/>
      </c>
    </row>
    <row r="10731" ht="11.25" customHeight="1">
      <c r="A10731" s="21"/>
      <c r="B10731" s="22"/>
      <c r="C10731" s="21"/>
      <c r="D10731" s="21"/>
      <c r="E10731" s="21"/>
      <c r="F10731" s="21"/>
      <c r="G10731" s="25"/>
      <c r="H10731" s="24" t="str">
        <f>IFERROR(VLOOKUP(B10731,material!A:D,3,0),"")</f>
        <v/>
      </c>
    </row>
    <row r="10732" ht="11.25" customHeight="1">
      <c r="A10732" s="21"/>
      <c r="B10732" s="22"/>
      <c r="C10732" s="21"/>
      <c r="D10732" s="21"/>
      <c r="E10732" s="21"/>
      <c r="F10732" s="21"/>
      <c r="G10732" s="25"/>
      <c r="H10732" s="24" t="str">
        <f>IFERROR(VLOOKUP(B10732,material!A:D,3,0),"")</f>
        <v/>
      </c>
    </row>
    <row r="10733" ht="11.25" customHeight="1">
      <c r="A10733" s="21"/>
      <c r="B10733" s="22"/>
      <c r="C10733" s="21"/>
      <c r="D10733" s="21"/>
      <c r="E10733" s="21"/>
      <c r="F10733" s="21"/>
      <c r="G10733" s="25"/>
      <c r="H10733" s="24" t="str">
        <f>IFERROR(VLOOKUP(B10733,material!A:D,3,0),"")</f>
        <v/>
      </c>
    </row>
    <row r="10734" ht="11.25" customHeight="1">
      <c r="A10734" s="21"/>
      <c r="B10734" s="22"/>
      <c r="C10734" s="21"/>
      <c r="D10734" s="21"/>
      <c r="E10734" s="21"/>
      <c r="F10734" s="21"/>
      <c r="G10734" s="25"/>
      <c r="H10734" s="24" t="str">
        <f>IFERROR(VLOOKUP(B10734,material!A:D,3,0),"")</f>
        <v/>
      </c>
    </row>
    <row r="10735" ht="11.25" customHeight="1">
      <c r="A10735" s="21"/>
      <c r="B10735" s="22"/>
      <c r="C10735" s="21"/>
      <c r="D10735" s="21"/>
      <c r="E10735" s="21"/>
      <c r="F10735" s="21"/>
      <c r="G10735" s="25"/>
      <c r="H10735" s="24" t="str">
        <f>IFERROR(VLOOKUP(B10735,material!A:D,3,0),"")</f>
        <v/>
      </c>
    </row>
    <row r="10736" ht="11.25" customHeight="1">
      <c r="A10736" s="21"/>
      <c r="B10736" s="22"/>
      <c r="C10736" s="21"/>
      <c r="D10736" s="21"/>
      <c r="E10736" s="21"/>
      <c r="F10736" s="21"/>
      <c r="G10736" s="25"/>
      <c r="H10736" s="24" t="str">
        <f>IFERROR(VLOOKUP(B10736,material!A:D,3,0),"")</f>
        <v/>
      </c>
    </row>
    <row r="10737" ht="11.25" customHeight="1">
      <c r="A10737" s="21"/>
      <c r="B10737" s="22"/>
      <c r="C10737" s="21"/>
      <c r="D10737" s="21"/>
      <c r="E10737" s="21"/>
      <c r="F10737" s="21"/>
      <c r="G10737" s="25"/>
      <c r="H10737" s="24" t="str">
        <f>IFERROR(VLOOKUP(B10737,material!A:D,3,0),"")</f>
        <v/>
      </c>
    </row>
    <row r="10738" ht="11.25" customHeight="1">
      <c r="A10738" s="21"/>
      <c r="B10738" s="22"/>
      <c r="C10738" s="21"/>
      <c r="D10738" s="21"/>
      <c r="E10738" s="21"/>
      <c r="F10738" s="21"/>
      <c r="G10738" s="25"/>
      <c r="H10738" s="24" t="str">
        <f>IFERROR(VLOOKUP(B10738,material!A:D,3,0),"")</f>
        <v/>
      </c>
    </row>
    <row r="10739" ht="11.25" customHeight="1">
      <c r="A10739" s="21"/>
      <c r="B10739" s="22"/>
      <c r="C10739" s="21"/>
      <c r="D10739" s="21"/>
      <c r="E10739" s="21"/>
      <c r="F10739" s="21"/>
      <c r="G10739" s="25"/>
      <c r="H10739" s="24" t="str">
        <f>IFERROR(VLOOKUP(B10739,material!A:D,3,0),"")</f>
        <v/>
      </c>
    </row>
    <row r="10740" ht="11.25" customHeight="1">
      <c r="A10740" s="21"/>
      <c r="B10740" s="22"/>
      <c r="C10740" s="21"/>
      <c r="D10740" s="21"/>
      <c r="E10740" s="21"/>
      <c r="F10740" s="21"/>
      <c r="G10740" s="25"/>
      <c r="H10740" s="24" t="str">
        <f>IFERROR(VLOOKUP(B10740,material!A:D,3,0),"")</f>
        <v/>
      </c>
    </row>
    <row r="10741" ht="11.25" customHeight="1">
      <c r="A10741" s="21"/>
      <c r="B10741" s="22"/>
      <c r="C10741" s="21"/>
      <c r="D10741" s="21"/>
      <c r="E10741" s="21"/>
      <c r="F10741" s="21"/>
      <c r="G10741" s="25"/>
      <c r="H10741" s="24" t="str">
        <f>IFERROR(VLOOKUP(B10741,material!A:D,3,0),"")</f>
        <v/>
      </c>
    </row>
    <row r="10742" ht="11.25" customHeight="1">
      <c r="A10742" s="21"/>
      <c r="B10742" s="22"/>
      <c r="C10742" s="21"/>
      <c r="D10742" s="21"/>
      <c r="E10742" s="21"/>
      <c r="F10742" s="21"/>
      <c r="G10742" s="25"/>
      <c r="H10742" s="24" t="str">
        <f>IFERROR(VLOOKUP(B10742,material!A:D,3,0),"")</f>
        <v/>
      </c>
    </row>
    <row r="10743" ht="11.25" customHeight="1">
      <c r="A10743" s="21"/>
      <c r="B10743" s="22"/>
      <c r="C10743" s="21"/>
      <c r="D10743" s="21"/>
      <c r="E10743" s="21"/>
      <c r="F10743" s="21"/>
      <c r="G10743" s="25"/>
      <c r="H10743" s="24" t="str">
        <f>IFERROR(VLOOKUP(B10743,material!A:D,3,0),"")</f>
        <v/>
      </c>
    </row>
    <row r="10744" ht="11.25" customHeight="1">
      <c r="A10744" s="21"/>
      <c r="B10744" s="22"/>
      <c r="C10744" s="21"/>
      <c r="D10744" s="21"/>
      <c r="E10744" s="21"/>
      <c r="F10744" s="21"/>
      <c r="G10744" s="25"/>
      <c r="H10744" s="24" t="str">
        <f>IFERROR(VLOOKUP(B10744,material!A:D,3,0),"")</f>
        <v/>
      </c>
    </row>
    <row r="10745" ht="11.25" customHeight="1">
      <c r="A10745" s="21"/>
      <c r="B10745" s="22"/>
      <c r="C10745" s="21"/>
      <c r="D10745" s="21"/>
      <c r="E10745" s="21"/>
      <c r="F10745" s="21"/>
      <c r="G10745" s="25"/>
      <c r="H10745" s="24" t="str">
        <f>IFERROR(VLOOKUP(B10745,material!A:D,3,0),"")</f>
        <v/>
      </c>
    </row>
    <row r="10746" ht="11.25" customHeight="1">
      <c r="A10746" s="21"/>
      <c r="B10746" s="22"/>
      <c r="C10746" s="21"/>
      <c r="D10746" s="21"/>
      <c r="E10746" s="21"/>
      <c r="F10746" s="21"/>
      <c r="G10746" s="25"/>
      <c r="H10746" s="24" t="str">
        <f>IFERROR(VLOOKUP(B10746,material!A:D,3,0),"")</f>
        <v/>
      </c>
    </row>
    <row r="10747" ht="11.25" customHeight="1">
      <c r="A10747" s="21"/>
      <c r="B10747" s="22"/>
      <c r="C10747" s="21"/>
      <c r="D10747" s="21"/>
      <c r="E10747" s="21"/>
      <c r="F10747" s="21"/>
      <c r="G10747" s="25"/>
      <c r="H10747" s="24" t="str">
        <f>IFERROR(VLOOKUP(B10747,material!A:D,3,0),"")</f>
        <v/>
      </c>
    </row>
    <row r="10748" ht="11.25" customHeight="1">
      <c r="A10748" s="21"/>
      <c r="B10748" s="22"/>
      <c r="C10748" s="21"/>
      <c r="D10748" s="21"/>
      <c r="E10748" s="21"/>
      <c r="F10748" s="21"/>
      <c r="G10748" s="25"/>
      <c r="H10748" s="24" t="str">
        <f>IFERROR(VLOOKUP(B10748,material!A:D,3,0),"")</f>
        <v/>
      </c>
    </row>
    <row r="10749" ht="11.25" customHeight="1">
      <c r="A10749" s="21"/>
      <c r="B10749" s="22"/>
      <c r="C10749" s="21"/>
      <c r="D10749" s="21"/>
      <c r="E10749" s="21"/>
      <c r="F10749" s="21"/>
      <c r="G10749" s="25"/>
      <c r="H10749" s="24" t="str">
        <f>IFERROR(VLOOKUP(B10749,material!A:D,3,0),"")</f>
        <v/>
      </c>
    </row>
    <row r="10750" ht="11.25" customHeight="1">
      <c r="A10750" s="21"/>
      <c r="B10750" s="22"/>
      <c r="C10750" s="21"/>
      <c r="D10750" s="21"/>
      <c r="E10750" s="21"/>
      <c r="F10750" s="21"/>
      <c r="G10750" s="25"/>
      <c r="H10750" s="24" t="str">
        <f>IFERROR(VLOOKUP(B10750,material!A:D,3,0),"")</f>
        <v/>
      </c>
    </row>
    <row r="10751" ht="11.25" customHeight="1">
      <c r="A10751" s="21"/>
      <c r="B10751" s="22"/>
      <c r="C10751" s="21"/>
      <c r="D10751" s="21"/>
      <c r="E10751" s="21"/>
      <c r="F10751" s="21"/>
      <c r="G10751" s="25"/>
      <c r="H10751" s="24" t="str">
        <f>IFERROR(VLOOKUP(B10751,material!A:D,3,0),"")</f>
        <v/>
      </c>
    </row>
    <row r="10752" ht="11.25" customHeight="1">
      <c r="A10752" s="21"/>
      <c r="B10752" s="22"/>
      <c r="C10752" s="21"/>
      <c r="D10752" s="21"/>
      <c r="E10752" s="21"/>
      <c r="F10752" s="21"/>
      <c r="G10752" s="25"/>
      <c r="H10752" s="24" t="str">
        <f>IFERROR(VLOOKUP(B10752,material!A:D,3,0),"")</f>
        <v/>
      </c>
    </row>
    <row r="10753" ht="11.25" customHeight="1">
      <c r="A10753" s="21"/>
      <c r="B10753" s="22"/>
      <c r="C10753" s="21"/>
      <c r="D10753" s="21"/>
      <c r="E10753" s="21"/>
      <c r="F10753" s="21"/>
      <c r="G10753" s="25"/>
      <c r="H10753" s="24" t="str">
        <f>IFERROR(VLOOKUP(B10753,material!A:D,3,0),"")</f>
        <v/>
      </c>
    </row>
    <row r="10754" ht="11.25" customHeight="1">
      <c r="A10754" s="21"/>
      <c r="B10754" s="22"/>
      <c r="C10754" s="21"/>
      <c r="D10754" s="21"/>
      <c r="E10754" s="21"/>
      <c r="F10754" s="21"/>
      <c r="G10754" s="25"/>
      <c r="H10754" s="24" t="str">
        <f>IFERROR(VLOOKUP(B10754,material!A:D,3,0),"")</f>
        <v/>
      </c>
    </row>
    <row r="10755" ht="11.25" customHeight="1">
      <c r="A10755" s="21"/>
      <c r="B10755" s="22"/>
      <c r="C10755" s="21"/>
      <c r="D10755" s="21"/>
      <c r="E10755" s="21"/>
      <c r="F10755" s="21"/>
      <c r="G10755" s="25"/>
      <c r="H10755" s="24" t="str">
        <f>IFERROR(VLOOKUP(B10755,material!A:D,3,0),"")</f>
        <v/>
      </c>
    </row>
    <row r="10756" ht="11.25" customHeight="1">
      <c r="A10756" s="21"/>
      <c r="B10756" s="22"/>
      <c r="C10756" s="21"/>
      <c r="D10756" s="21"/>
      <c r="E10756" s="21"/>
      <c r="F10756" s="21"/>
      <c r="G10756" s="25"/>
      <c r="H10756" s="24" t="str">
        <f>IFERROR(VLOOKUP(B10756,material!A:D,3,0),"")</f>
        <v/>
      </c>
    </row>
    <row r="10757" ht="11.25" customHeight="1">
      <c r="A10757" s="21"/>
      <c r="B10757" s="22"/>
      <c r="C10757" s="21"/>
      <c r="D10757" s="21"/>
      <c r="E10757" s="21"/>
      <c r="F10757" s="21"/>
      <c r="G10757" s="25"/>
      <c r="H10757" s="24" t="str">
        <f>IFERROR(VLOOKUP(B10757,material!A:D,3,0),"")</f>
        <v/>
      </c>
    </row>
    <row r="10758" ht="11.25" customHeight="1">
      <c r="A10758" s="21"/>
      <c r="B10758" s="22"/>
      <c r="C10758" s="21"/>
      <c r="D10758" s="21"/>
      <c r="E10758" s="21"/>
      <c r="F10758" s="21"/>
      <c r="G10758" s="25"/>
      <c r="H10758" s="24" t="str">
        <f>IFERROR(VLOOKUP(B10758,material!A:D,3,0),"")</f>
        <v/>
      </c>
    </row>
    <row r="10759" ht="11.25" customHeight="1">
      <c r="A10759" s="21"/>
      <c r="B10759" s="22"/>
      <c r="C10759" s="21"/>
      <c r="D10759" s="21"/>
      <c r="E10759" s="21"/>
      <c r="F10759" s="21"/>
      <c r="G10759" s="25"/>
      <c r="H10759" s="24" t="str">
        <f>IFERROR(VLOOKUP(B10759,material!A:D,3,0),"")</f>
        <v/>
      </c>
    </row>
    <row r="10760" ht="11.25" customHeight="1">
      <c r="A10760" s="21"/>
      <c r="B10760" s="22"/>
      <c r="C10760" s="21"/>
      <c r="D10760" s="21"/>
      <c r="E10760" s="21"/>
      <c r="F10760" s="21"/>
      <c r="G10760" s="25"/>
      <c r="H10760" s="24" t="str">
        <f>IFERROR(VLOOKUP(B10760,material!A:D,3,0),"")</f>
        <v/>
      </c>
    </row>
    <row r="10761" ht="11.25" customHeight="1">
      <c r="A10761" s="21"/>
      <c r="B10761" s="22"/>
      <c r="C10761" s="21"/>
      <c r="D10761" s="21"/>
      <c r="E10761" s="21"/>
      <c r="F10761" s="21"/>
      <c r="G10761" s="25"/>
      <c r="H10761" s="24" t="str">
        <f>IFERROR(VLOOKUP(B10761,material!A:D,3,0),"")</f>
        <v/>
      </c>
    </row>
    <row r="10762" ht="11.25" customHeight="1">
      <c r="A10762" s="21"/>
      <c r="B10762" s="22"/>
      <c r="C10762" s="21"/>
      <c r="D10762" s="21"/>
      <c r="E10762" s="21"/>
      <c r="F10762" s="21"/>
      <c r="G10762" s="25"/>
      <c r="H10762" s="24" t="str">
        <f>IFERROR(VLOOKUP(B10762,material!A:D,3,0),"")</f>
        <v/>
      </c>
    </row>
    <row r="10763" ht="11.25" customHeight="1">
      <c r="A10763" s="21"/>
      <c r="B10763" s="22"/>
      <c r="C10763" s="21"/>
      <c r="D10763" s="21"/>
      <c r="E10763" s="21"/>
      <c r="F10763" s="21"/>
      <c r="G10763" s="25"/>
      <c r="H10763" s="24" t="str">
        <f>IFERROR(VLOOKUP(B10763,material!A:D,3,0),"")</f>
        <v/>
      </c>
    </row>
    <row r="10764" ht="11.25" customHeight="1">
      <c r="A10764" s="21"/>
      <c r="B10764" s="22"/>
      <c r="C10764" s="21"/>
      <c r="D10764" s="21"/>
      <c r="E10764" s="21"/>
      <c r="F10764" s="21"/>
      <c r="G10764" s="25"/>
      <c r="H10764" s="24" t="str">
        <f>IFERROR(VLOOKUP(B10764,material!A:D,3,0),"")</f>
        <v/>
      </c>
    </row>
    <row r="10765" ht="11.25" customHeight="1">
      <c r="A10765" s="21"/>
      <c r="B10765" s="22"/>
      <c r="C10765" s="21"/>
      <c r="D10765" s="21"/>
      <c r="E10765" s="21"/>
      <c r="F10765" s="21"/>
      <c r="G10765" s="25"/>
      <c r="H10765" s="24" t="str">
        <f>IFERROR(VLOOKUP(B10765,material!A:D,3,0),"")</f>
        <v/>
      </c>
    </row>
    <row r="10766" ht="11.25" customHeight="1">
      <c r="A10766" s="21"/>
      <c r="B10766" s="22"/>
      <c r="C10766" s="21"/>
      <c r="D10766" s="21"/>
      <c r="E10766" s="21"/>
      <c r="F10766" s="21"/>
      <c r="G10766" s="25"/>
      <c r="H10766" s="24" t="str">
        <f>IFERROR(VLOOKUP(B10766,material!A:D,3,0),"")</f>
        <v/>
      </c>
    </row>
    <row r="10767" ht="11.25" customHeight="1">
      <c r="A10767" s="21"/>
      <c r="B10767" s="22"/>
      <c r="C10767" s="21"/>
      <c r="D10767" s="21"/>
      <c r="E10767" s="21"/>
      <c r="F10767" s="21"/>
      <c r="G10767" s="25"/>
      <c r="H10767" s="24" t="str">
        <f>IFERROR(VLOOKUP(B10767,material!A:D,3,0),"")</f>
        <v/>
      </c>
    </row>
    <row r="10768" ht="11.25" customHeight="1">
      <c r="A10768" s="21"/>
      <c r="B10768" s="22"/>
      <c r="C10768" s="21"/>
      <c r="D10768" s="21"/>
      <c r="E10768" s="21"/>
      <c r="F10768" s="21"/>
      <c r="G10768" s="25"/>
      <c r="H10768" s="24" t="str">
        <f>IFERROR(VLOOKUP(B10768,material!A:D,3,0),"")</f>
        <v/>
      </c>
    </row>
    <row r="10769" ht="11.25" customHeight="1">
      <c r="A10769" s="21"/>
      <c r="B10769" s="22"/>
      <c r="C10769" s="21"/>
      <c r="D10769" s="21"/>
      <c r="E10769" s="21"/>
      <c r="F10769" s="21"/>
      <c r="G10769" s="25"/>
      <c r="H10769" s="24" t="str">
        <f>IFERROR(VLOOKUP(B10769,material!A:D,3,0),"")</f>
        <v/>
      </c>
    </row>
    <row r="10770" ht="11.25" customHeight="1">
      <c r="A10770" s="21"/>
      <c r="B10770" s="22"/>
      <c r="C10770" s="21"/>
      <c r="D10770" s="21"/>
      <c r="E10770" s="21"/>
      <c r="F10770" s="21"/>
      <c r="G10770" s="25"/>
      <c r="H10770" s="24" t="str">
        <f>IFERROR(VLOOKUP(B10770,material!A:D,3,0),"")</f>
        <v/>
      </c>
    </row>
    <row r="10771" ht="11.25" customHeight="1">
      <c r="A10771" s="21"/>
      <c r="B10771" s="22"/>
      <c r="C10771" s="21"/>
      <c r="D10771" s="21"/>
      <c r="E10771" s="21"/>
      <c r="F10771" s="21"/>
      <c r="G10771" s="25"/>
      <c r="H10771" s="24" t="str">
        <f>IFERROR(VLOOKUP(B10771,material!A:D,3,0),"")</f>
        <v/>
      </c>
    </row>
    <row r="10772" ht="11.25" customHeight="1">
      <c r="A10772" s="21"/>
      <c r="B10772" s="22"/>
      <c r="C10772" s="21"/>
      <c r="D10772" s="21"/>
      <c r="E10772" s="21"/>
      <c r="F10772" s="21"/>
      <c r="G10772" s="25"/>
      <c r="H10772" s="24" t="str">
        <f>IFERROR(VLOOKUP(B10772,material!A:D,3,0),"")</f>
        <v/>
      </c>
    </row>
    <row r="10773" ht="11.25" customHeight="1">
      <c r="A10773" s="21"/>
      <c r="B10773" s="22"/>
      <c r="C10773" s="21"/>
      <c r="D10773" s="21"/>
      <c r="E10773" s="21"/>
      <c r="F10773" s="21"/>
      <c r="G10773" s="25"/>
      <c r="H10773" s="24" t="str">
        <f>IFERROR(VLOOKUP(B10773,material!A:D,3,0),"")</f>
        <v/>
      </c>
    </row>
    <row r="10774" ht="11.25" customHeight="1">
      <c r="A10774" s="21"/>
      <c r="B10774" s="22"/>
      <c r="C10774" s="21"/>
      <c r="D10774" s="21"/>
      <c r="E10774" s="21"/>
      <c r="F10774" s="21"/>
      <c r="G10774" s="25"/>
      <c r="H10774" s="24" t="str">
        <f>IFERROR(VLOOKUP(B10774,material!A:D,3,0),"")</f>
        <v/>
      </c>
    </row>
    <row r="10775" ht="11.25" customHeight="1">
      <c r="A10775" s="21"/>
      <c r="B10775" s="22"/>
      <c r="C10775" s="21"/>
      <c r="D10775" s="21"/>
      <c r="E10775" s="21"/>
      <c r="F10775" s="21"/>
      <c r="G10775" s="25"/>
      <c r="H10775" s="24" t="str">
        <f>IFERROR(VLOOKUP(B10775,material!A:D,3,0),"")</f>
        <v/>
      </c>
    </row>
    <row r="10776" ht="11.25" customHeight="1">
      <c r="A10776" s="21"/>
      <c r="B10776" s="22"/>
      <c r="C10776" s="21"/>
      <c r="D10776" s="21"/>
      <c r="E10776" s="21"/>
      <c r="F10776" s="21"/>
      <c r="G10776" s="25"/>
      <c r="H10776" s="24" t="str">
        <f>IFERROR(VLOOKUP(B10776,material!A:D,3,0),"")</f>
        <v/>
      </c>
    </row>
    <row r="10777" ht="11.25" customHeight="1">
      <c r="A10777" s="21"/>
      <c r="B10777" s="22"/>
      <c r="C10777" s="21"/>
      <c r="D10777" s="21"/>
      <c r="E10777" s="21"/>
      <c r="F10777" s="21"/>
      <c r="G10777" s="25"/>
      <c r="H10777" s="24" t="str">
        <f>IFERROR(VLOOKUP(B10777,material!A:D,3,0),"")</f>
        <v/>
      </c>
    </row>
    <row r="10778" ht="11.25" customHeight="1">
      <c r="A10778" s="21"/>
      <c r="B10778" s="22"/>
      <c r="C10778" s="21"/>
      <c r="D10778" s="21"/>
      <c r="E10778" s="21"/>
      <c r="F10778" s="21"/>
      <c r="G10778" s="25"/>
      <c r="H10778" s="24" t="str">
        <f>IFERROR(VLOOKUP(B10778,material!A:D,3,0),"")</f>
        <v/>
      </c>
    </row>
    <row r="10779" ht="11.25" customHeight="1">
      <c r="A10779" s="21"/>
      <c r="B10779" s="22"/>
      <c r="C10779" s="21"/>
      <c r="D10779" s="21"/>
      <c r="E10779" s="21"/>
      <c r="F10779" s="21"/>
      <c r="G10779" s="25"/>
      <c r="H10779" s="24" t="str">
        <f>IFERROR(VLOOKUP(B10779,material!A:D,3,0),"")</f>
        <v/>
      </c>
    </row>
    <row r="10780" ht="11.25" customHeight="1">
      <c r="A10780" s="21"/>
      <c r="B10780" s="22"/>
      <c r="C10780" s="21"/>
      <c r="D10780" s="21"/>
      <c r="E10780" s="21"/>
      <c r="F10780" s="21"/>
      <c r="G10780" s="25"/>
      <c r="H10780" s="24" t="str">
        <f>IFERROR(VLOOKUP(B10780,material!A:D,3,0),"")</f>
        <v/>
      </c>
    </row>
    <row r="10781" ht="11.25" customHeight="1">
      <c r="A10781" s="21"/>
      <c r="B10781" s="22"/>
      <c r="C10781" s="21"/>
      <c r="D10781" s="21"/>
      <c r="E10781" s="21"/>
      <c r="F10781" s="21"/>
      <c r="G10781" s="25"/>
      <c r="H10781" s="24" t="str">
        <f>IFERROR(VLOOKUP(B10781,material!A:D,3,0),"")</f>
        <v/>
      </c>
    </row>
    <row r="10782" ht="11.25" customHeight="1">
      <c r="A10782" s="21"/>
      <c r="B10782" s="22"/>
      <c r="C10782" s="21"/>
      <c r="D10782" s="21"/>
      <c r="E10782" s="21"/>
      <c r="F10782" s="21"/>
      <c r="G10782" s="25"/>
      <c r="H10782" s="24" t="str">
        <f>IFERROR(VLOOKUP(B10782,material!A:D,3,0),"")</f>
        <v/>
      </c>
    </row>
    <row r="10783" ht="11.25" customHeight="1">
      <c r="A10783" s="21"/>
      <c r="B10783" s="22"/>
      <c r="C10783" s="21"/>
      <c r="D10783" s="21"/>
      <c r="E10783" s="21"/>
      <c r="F10783" s="21"/>
      <c r="G10783" s="25"/>
      <c r="H10783" s="24" t="str">
        <f>IFERROR(VLOOKUP(B10783,material!A:D,3,0),"")</f>
        <v/>
      </c>
    </row>
    <row r="10784" ht="11.25" customHeight="1">
      <c r="A10784" s="21"/>
      <c r="B10784" s="22"/>
      <c r="C10784" s="21"/>
      <c r="D10784" s="21"/>
      <c r="E10784" s="21"/>
      <c r="F10784" s="21"/>
      <c r="G10784" s="25"/>
      <c r="H10784" s="24" t="str">
        <f>IFERROR(VLOOKUP(B10784,material!A:D,3,0),"")</f>
        <v/>
      </c>
    </row>
    <row r="10785" ht="11.25" customHeight="1">
      <c r="A10785" s="21"/>
      <c r="B10785" s="22"/>
      <c r="C10785" s="21"/>
      <c r="D10785" s="21"/>
      <c r="E10785" s="21"/>
      <c r="F10785" s="21"/>
      <c r="G10785" s="25"/>
      <c r="H10785" s="24" t="str">
        <f>IFERROR(VLOOKUP(B10785,material!A:D,3,0),"")</f>
        <v/>
      </c>
    </row>
    <row r="10786" ht="11.25" customHeight="1">
      <c r="A10786" s="21"/>
      <c r="B10786" s="22"/>
      <c r="C10786" s="21"/>
      <c r="D10786" s="21"/>
      <c r="E10786" s="21"/>
      <c r="F10786" s="21"/>
      <c r="G10786" s="25"/>
      <c r="H10786" s="24" t="str">
        <f>IFERROR(VLOOKUP(B10786,material!A:D,3,0),"")</f>
        <v/>
      </c>
    </row>
    <row r="10787" ht="11.25" customHeight="1">
      <c r="A10787" s="21"/>
      <c r="B10787" s="22"/>
      <c r="C10787" s="21"/>
      <c r="D10787" s="21"/>
      <c r="E10787" s="21"/>
      <c r="F10787" s="21"/>
      <c r="G10787" s="25"/>
      <c r="H10787" s="24" t="str">
        <f>IFERROR(VLOOKUP(B10787,material!A:D,3,0),"")</f>
        <v/>
      </c>
    </row>
    <row r="10788" ht="11.25" customHeight="1">
      <c r="A10788" s="21"/>
      <c r="B10788" s="22"/>
      <c r="C10788" s="21"/>
      <c r="D10788" s="21"/>
      <c r="E10788" s="21"/>
      <c r="F10788" s="21"/>
      <c r="G10788" s="25"/>
      <c r="H10788" s="24" t="str">
        <f>IFERROR(VLOOKUP(B10788,material!A:D,3,0),"")</f>
        <v/>
      </c>
    </row>
    <row r="10789" ht="11.25" customHeight="1">
      <c r="A10789" s="21"/>
      <c r="B10789" s="22"/>
      <c r="C10789" s="21"/>
      <c r="D10789" s="21"/>
      <c r="E10789" s="21"/>
      <c r="F10789" s="21"/>
      <c r="G10789" s="25"/>
      <c r="H10789" s="24" t="str">
        <f>IFERROR(VLOOKUP(B10789,material!A:D,3,0),"")</f>
        <v/>
      </c>
    </row>
    <row r="10790" ht="11.25" customHeight="1">
      <c r="A10790" s="21"/>
      <c r="B10790" s="22"/>
      <c r="C10790" s="21"/>
      <c r="D10790" s="21"/>
      <c r="E10790" s="21"/>
      <c r="F10790" s="21"/>
      <c r="G10790" s="25"/>
      <c r="H10790" s="24" t="str">
        <f>IFERROR(VLOOKUP(B10790,material!A:D,3,0),"")</f>
        <v/>
      </c>
    </row>
    <row r="10791" ht="11.25" customHeight="1">
      <c r="A10791" s="21"/>
      <c r="B10791" s="22"/>
      <c r="C10791" s="21"/>
      <c r="D10791" s="21"/>
      <c r="E10791" s="21"/>
      <c r="F10791" s="21"/>
      <c r="G10791" s="25"/>
      <c r="H10791" s="24" t="str">
        <f>IFERROR(VLOOKUP(B10791,material!A:D,3,0),"")</f>
        <v/>
      </c>
    </row>
    <row r="10792" ht="11.25" customHeight="1">
      <c r="A10792" s="21"/>
      <c r="B10792" s="22"/>
      <c r="C10792" s="21"/>
      <c r="D10792" s="21"/>
      <c r="E10792" s="21"/>
      <c r="F10792" s="21"/>
      <c r="G10792" s="25"/>
      <c r="H10792" s="24" t="str">
        <f>IFERROR(VLOOKUP(B10792,material!A:D,3,0),"")</f>
        <v/>
      </c>
    </row>
    <row r="10793" ht="11.25" customHeight="1">
      <c r="A10793" s="21"/>
      <c r="B10793" s="22"/>
      <c r="C10793" s="21"/>
      <c r="D10793" s="21"/>
      <c r="E10793" s="21"/>
      <c r="F10793" s="21"/>
      <c r="G10793" s="25"/>
      <c r="H10793" s="24" t="str">
        <f>IFERROR(VLOOKUP(B10793,material!A:D,3,0),"")</f>
        <v/>
      </c>
    </row>
    <row r="10794" ht="11.25" customHeight="1">
      <c r="A10794" s="21"/>
      <c r="B10794" s="22"/>
      <c r="C10794" s="21"/>
      <c r="D10794" s="21"/>
      <c r="E10794" s="21"/>
      <c r="F10794" s="21"/>
      <c r="G10794" s="25"/>
      <c r="H10794" s="24" t="str">
        <f>IFERROR(VLOOKUP(B10794,material!A:D,3,0),"")</f>
        <v/>
      </c>
    </row>
    <row r="10795" ht="11.25" customHeight="1">
      <c r="A10795" s="21"/>
      <c r="B10795" s="22"/>
      <c r="C10795" s="21"/>
      <c r="D10795" s="21"/>
      <c r="E10795" s="21"/>
      <c r="F10795" s="21"/>
      <c r="G10795" s="25"/>
      <c r="H10795" s="24" t="str">
        <f>IFERROR(VLOOKUP(B10795,material!A:D,3,0),"")</f>
        <v/>
      </c>
    </row>
    <row r="10796" ht="11.25" customHeight="1">
      <c r="A10796" s="21"/>
      <c r="B10796" s="22"/>
      <c r="C10796" s="21"/>
      <c r="D10796" s="21"/>
      <c r="E10796" s="21"/>
      <c r="F10796" s="21"/>
      <c r="G10796" s="25"/>
      <c r="H10796" s="24" t="str">
        <f>IFERROR(VLOOKUP(B10796,material!A:D,3,0),"")</f>
        <v/>
      </c>
    </row>
    <row r="10797" ht="11.25" customHeight="1">
      <c r="A10797" s="21"/>
      <c r="B10797" s="22"/>
      <c r="C10797" s="21"/>
      <c r="D10797" s="21"/>
      <c r="E10797" s="21"/>
      <c r="F10797" s="21"/>
      <c r="G10797" s="25"/>
      <c r="H10797" s="24" t="str">
        <f>IFERROR(VLOOKUP(B10797,material!A:D,3,0),"")</f>
        <v/>
      </c>
    </row>
    <row r="10798" ht="11.25" customHeight="1">
      <c r="A10798" s="21"/>
      <c r="B10798" s="22"/>
      <c r="C10798" s="21"/>
      <c r="D10798" s="21"/>
      <c r="E10798" s="21"/>
      <c r="F10798" s="21"/>
      <c r="G10798" s="25"/>
      <c r="H10798" s="24" t="str">
        <f>IFERROR(VLOOKUP(B10798,material!A:D,3,0),"")</f>
        <v/>
      </c>
    </row>
    <row r="10799" ht="11.25" customHeight="1">
      <c r="A10799" s="21"/>
      <c r="B10799" s="22"/>
      <c r="C10799" s="21"/>
      <c r="D10799" s="21"/>
      <c r="E10799" s="21"/>
      <c r="F10799" s="21"/>
      <c r="G10799" s="25"/>
      <c r="H10799" s="24" t="str">
        <f>IFERROR(VLOOKUP(B10799,material!A:D,3,0),"")</f>
        <v/>
      </c>
    </row>
    <row r="10800" ht="11.25" customHeight="1">
      <c r="A10800" s="21"/>
      <c r="B10800" s="22"/>
      <c r="C10800" s="21"/>
      <c r="D10800" s="21"/>
      <c r="E10800" s="21"/>
      <c r="F10800" s="21"/>
      <c r="G10800" s="25"/>
      <c r="H10800" s="24" t="str">
        <f>IFERROR(VLOOKUP(B10800,material!A:D,3,0),"")</f>
        <v/>
      </c>
    </row>
    <row r="10801" ht="11.25" customHeight="1">
      <c r="A10801" s="21"/>
      <c r="B10801" s="22"/>
      <c r="C10801" s="21"/>
      <c r="D10801" s="21"/>
      <c r="E10801" s="21"/>
      <c r="F10801" s="21"/>
      <c r="G10801" s="25"/>
      <c r="H10801" s="24" t="str">
        <f>IFERROR(VLOOKUP(B10801,material!A:D,3,0),"")</f>
        <v/>
      </c>
    </row>
    <row r="10802" ht="11.25" customHeight="1">
      <c r="A10802" s="21"/>
      <c r="B10802" s="22"/>
      <c r="C10802" s="21"/>
      <c r="D10802" s="21"/>
      <c r="E10802" s="21"/>
      <c r="F10802" s="21"/>
      <c r="G10802" s="25"/>
      <c r="H10802" s="24" t="str">
        <f>IFERROR(VLOOKUP(B10802,material!A:D,3,0),"")</f>
        <v/>
      </c>
    </row>
    <row r="10803" ht="11.25" customHeight="1">
      <c r="A10803" s="21"/>
      <c r="B10803" s="22"/>
      <c r="C10803" s="21"/>
      <c r="D10803" s="21"/>
      <c r="E10803" s="21"/>
      <c r="F10803" s="21"/>
      <c r="G10803" s="25"/>
      <c r="H10803" s="24" t="str">
        <f>IFERROR(VLOOKUP(B10803,material!A:D,3,0),"")</f>
        <v/>
      </c>
    </row>
    <row r="10804" ht="11.25" customHeight="1">
      <c r="A10804" s="21"/>
      <c r="B10804" s="22"/>
      <c r="C10804" s="21"/>
      <c r="D10804" s="21"/>
      <c r="E10804" s="21"/>
      <c r="F10804" s="21"/>
      <c r="G10804" s="25"/>
      <c r="H10804" s="24" t="str">
        <f>IFERROR(VLOOKUP(B10804,material!A:D,3,0),"")</f>
        <v/>
      </c>
    </row>
    <row r="10805" ht="11.25" customHeight="1">
      <c r="A10805" s="21"/>
      <c r="B10805" s="22"/>
      <c r="C10805" s="21"/>
      <c r="D10805" s="21"/>
      <c r="E10805" s="21"/>
      <c r="F10805" s="21"/>
      <c r="G10805" s="25"/>
      <c r="H10805" s="24" t="str">
        <f>IFERROR(VLOOKUP(B10805,material!A:D,3,0),"")</f>
        <v/>
      </c>
    </row>
    <row r="10806" ht="11.25" customHeight="1">
      <c r="A10806" s="21"/>
      <c r="B10806" s="22"/>
      <c r="C10806" s="21"/>
      <c r="D10806" s="21"/>
      <c r="E10806" s="21"/>
      <c r="F10806" s="21"/>
      <c r="G10806" s="25"/>
      <c r="H10806" s="24" t="str">
        <f>IFERROR(VLOOKUP(B10806,material!A:D,3,0),"")</f>
        <v/>
      </c>
    </row>
    <row r="10807" ht="11.25" customHeight="1">
      <c r="A10807" s="21"/>
      <c r="B10807" s="22"/>
      <c r="C10807" s="21"/>
      <c r="D10807" s="21"/>
      <c r="E10807" s="21"/>
      <c r="F10807" s="21"/>
      <c r="G10807" s="25"/>
      <c r="H10807" s="24" t="str">
        <f>IFERROR(VLOOKUP(B10807,material!A:D,3,0),"")</f>
        <v/>
      </c>
    </row>
    <row r="10808" ht="11.25" customHeight="1">
      <c r="A10808" s="21"/>
      <c r="B10808" s="22"/>
      <c r="C10808" s="21"/>
      <c r="D10808" s="21"/>
      <c r="E10808" s="21"/>
      <c r="F10808" s="21"/>
      <c r="G10808" s="25"/>
      <c r="H10808" s="24" t="str">
        <f>IFERROR(VLOOKUP(B10808,material!A:D,3,0),"")</f>
        <v/>
      </c>
    </row>
    <row r="10809" ht="11.25" customHeight="1">
      <c r="A10809" s="21"/>
      <c r="B10809" s="22"/>
      <c r="C10809" s="21"/>
      <c r="D10809" s="21"/>
      <c r="E10809" s="21"/>
      <c r="F10809" s="21"/>
      <c r="G10809" s="25"/>
      <c r="H10809" s="24" t="str">
        <f>IFERROR(VLOOKUP(B10809,material!A:D,3,0),"")</f>
        <v/>
      </c>
    </row>
    <row r="10810" ht="11.25" customHeight="1">
      <c r="A10810" s="21"/>
      <c r="B10810" s="22"/>
      <c r="C10810" s="21"/>
      <c r="D10810" s="21"/>
      <c r="E10810" s="21"/>
      <c r="F10810" s="21"/>
      <c r="G10810" s="25"/>
      <c r="H10810" s="24" t="str">
        <f>IFERROR(VLOOKUP(B10810,material!A:D,3,0),"")</f>
        <v/>
      </c>
    </row>
    <row r="10811" ht="11.25" customHeight="1">
      <c r="A10811" s="21"/>
      <c r="B10811" s="22"/>
      <c r="C10811" s="21"/>
      <c r="D10811" s="21"/>
      <c r="E10811" s="21"/>
      <c r="F10811" s="21"/>
      <c r="G10811" s="25"/>
      <c r="H10811" s="24" t="str">
        <f>IFERROR(VLOOKUP(B10811,material!A:D,3,0),"")</f>
        <v/>
      </c>
    </row>
    <row r="10812" ht="11.25" customHeight="1">
      <c r="A10812" s="21"/>
      <c r="B10812" s="22"/>
      <c r="C10812" s="21"/>
      <c r="D10812" s="21"/>
      <c r="E10812" s="21"/>
      <c r="F10812" s="21"/>
      <c r="G10812" s="25"/>
      <c r="H10812" s="24" t="str">
        <f>IFERROR(VLOOKUP(B10812,material!A:D,3,0),"")</f>
        <v/>
      </c>
    </row>
    <row r="10813" ht="11.25" customHeight="1">
      <c r="A10813" s="21"/>
      <c r="B10813" s="22"/>
      <c r="C10813" s="21"/>
      <c r="D10813" s="21"/>
      <c r="E10813" s="21"/>
      <c r="F10813" s="21"/>
      <c r="G10813" s="25"/>
      <c r="H10813" s="24" t="str">
        <f>IFERROR(VLOOKUP(B10813,material!A:D,3,0),"")</f>
        <v/>
      </c>
    </row>
    <row r="10814" ht="11.25" customHeight="1">
      <c r="A10814" s="21"/>
      <c r="B10814" s="22"/>
      <c r="C10814" s="21"/>
      <c r="D10814" s="21"/>
      <c r="E10814" s="21"/>
      <c r="F10814" s="21"/>
      <c r="G10814" s="25"/>
      <c r="H10814" s="24" t="str">
        <f>IFERROR(VLOOKUP(B10814,material!A:D,3,0),"")</f>
        <v/>
      </c>
    </row>
    <row r="10815" ht="11.25" customHeight="1">
      <c r="A10815" s="21"/>
      <c r="B10815" s="22"/>
      <c r="C10815" s="21"/>
      <c r="D10815" s="21"/>
      <c r="E10815" s="21"/>
      <c r="F10815" s="21"/>
      <c r="G10815" s="25"/>
      <c r="H10815" s="24" t="str">
        <f>IFERROR(VLOOKUP(B10815,material!A:D,3,0),"")</f>
        <v/>
      </c>
    </row>
    <row r="10816" ht="11.25" customHeight="1">
      <c r="A10816" s="21"/>
      <c r="B10816" s="22"/>
      <c r="C10816" s="21"/>
      <c r="D10816" s="21"/>
      <c r="E10816" s="21"/>
      <c r="F10816" s="21"/>
      <c r="G10816" s="25"/>
      <c r="H10816" s="24" t="str">
        <f>IFERROR(VLOOKUP(B10816,material!A:D,3,0),"")</f>
        <v/>
      </c>
    </row>
    <row r="10817" ht="11.25" customHeight="1">
      <c r="A10817" s="21"/>
      <c r="B10817" s="22"/>
      <c r="C10817" s="21"/>
      <c r="D10817" s="21"/>
      <c r="E10817" s="21"/>
      <c r="F10817" s="21"/>
      <c r="G10817" s="25"/>
      <c r="H10817" s="24" t="str">
        <f>IFERROR(VLOOKUP(B10817,material!A:D,3,0),"")</f>
        <v/>
      </c>
    </row>
    <row r="10818" ht="11.25" customHeight="1">
      <c r="A10818" s="21"/>
      <c r="B10818" s="22"/>
      <c r="C10818" s="21"/>
      <c r="D10818" s="21"/>
      <c r="E10818" s="21"/>
      <c r="F10818" s="21"/>
      <c r="G10818" s="25"/>
      <c r="H10818" s="24" t="str">
        <f>IFERROR(VLOOKUP(B10818,material!A:D,3,0),"")</f>
        <v/>
      </c>
    </row>
    <row r="10819" ht="11.25" customHeight="1">
      <c r="A10819" s="21"/>
      <c r="B10819" s="22"/>
      <c r="C10819" s="21"/>
      <c r="D10819" s="21"/>
      <c r="E10819" s="21"/>
      <c r="F10819" s="21"/>
      <c r="G10819" s="25"/>
      <c r="H10819" s="24" t="str">
        <f>IFERROR(VLOOKUP(B10819,material!A:D,3,0),"")</f>
        <v/>
      </c>
    </row>
    <row r="10820" ht="11.25" customHeight="1">
      <c r="A10820" s="21"/>
      <c r="B10820" s="22"/>
      <c r="C10820" s="21"/>
      <c r="D10820" s="21"/>
      <c r="E10820" s="21"/>
      <c r="F10820" s="21"/>
      <c r="G10820" s="25"/>
      <c r="H10820" s="24" t="str">
        <f>IFERROR(VLOOKUP(B10820,material!A:D,3,0),"")</f>
        <v/>
      </c>
    </row>
    <row r="10821" ht="11.25" customHeight="1">
      <c r="A10821" s="21"/>
      <c r="B10821" s="22"/>
      <c r="C10821" s="21"/>
      <c r="D10821" s="21"/>
      <c r="E10821" s="21"/>
      <c r="F10821" s="21"/>
      <c r="G10821" s="25"/>
      <c r="H10821" s="24" t="str">
        <f>IFERROR(VLOOKUP(B10821,material!A:D,3,0),"")</f>
        <v/>
      </c>
    </row>
    <row r="10822" ht="11.25" customHeight="1">
      <c r="A10822" s="21"/>
      <c r="B10822" s="22"/>
      <c r="C10822" s="21"/>
      <c r="D10822" s="21"/>
      <c r="E10822" s="21"/>
      <c r="F10822" s="21"/>
      <c r="G10822" s="25"/>
      <c r="H10822" s="24" t="str">
        <f>IFERROR(VLOOKUP(B10822,material!A:D,3,0),"")</f>
        <v/>
      </c>
    </row>
    <row r="10823" ht="11.25" customHeight="1">
      <c r="A10823" s="21"/>
      <c r="B10823" s="22"/>
      <c r="C10823" s="21"/>
      <c r="D10823" s="21"/>
      <c r="E10823" s="21"/>
      <c r="F10823" s="21"/>
      <c r="G10823" s="25"/>
      <c r="H10823" s="24" t="str">
        <f>IFERROR(VLOOKUP(B10823,material!A:D,3,0),"")</f>
        <v/>
      </c>
    </row>
    <row r="10824" ht="11.25" customHeight="1">
      <c r="A10824" s="21"/>
      <c r="B10824" s="22"/>
      <c r="C10824" s="21"/>
      <c r="D10824" s="21"/>
      <c r="E10824" s="21"/>
      <c r="F10824" s="21"/>
      <c r="G10824" s="25"/>
      <c r="H10824" s="24" t="str">
        <f>IFERROR(VLOOKUP(B10824,material!A:D,3,0),"")</f>
        <v/>
      </c>
    </row>
    <row r="10825" ht="11.25" customHeight="1">
      <c r="A10825" s="21"/>
      <c r="B10825" s="22"/>
      <c r="C10825" s="21"/>
      <c r="D10825" s="21"/>
      <c r="E10825" s="21"/>
      <c r="F10825" s="21"/>
      <c r="G10825" s="25"/>
      <c r="H10825" s="24" t="str">
        <f>IFERROR(VLOOKUP(B10825,material!A:D,3,0),"")</f>
        <v/>
      </c>
    </row>
    <row r="10826" ht="11.25" customHeight="1">
      <c r="A10826" s="21"/>
      <c r="B10826" s="22"/>
      <c r="C10826" s="21"/>
      <c r="D10826" s="21"/>
      <c r="E10826" s="21"/>
      <c r="F10826" s="21"/>
      <c r="G10826" s="25"/>
      <c r="H10826" s="24" t="str">
        <f>IFERROR(VLOOKUP(B10826,material!A:D,3,0),"")</f>
        <v/>
      </c>
    </row>
    <row r="10827" ht="11.25" customHeight="1">
      <c r="A10827" s="21"/>
      <c r="B10827" s="22"/>
      <c r="C10827" s="21"/>
      <c r="D10827" s="21"/>
      <c r="E10827" s="21"/>
      <c r="F10827" s="21"/>
      <c r="G10827" s="25"/>
      <c r="H10827" s="24" t="str">
        <f>IFERROR(VLOOKUP(B10827,material!A:D,3,0),"")</f>
        <v/>
      </c>
    </row>
    <row r="10828" ht="11.25" customHeight="1">
      <c r="A10828" s="21"/>
      <c r="B10828" s="22"/>
      <c r="C10828" s="21"/>
      <c r="D10828" s="21"/>
      <c r="E10828" s="21"/>
      <c r="F10828" s="21"/>
      <c r="G10828" s="25"/>
      <c r="H10828" s="24" t="str">
        <f>IFERROR(VLOOKUP(B10828,material!A:D,3,0),"")</f>
        <v/>
      </c>
    </row>
    <row r="10829" ht="11.25" customHeight="1">
      <c r="A10829" s="21"/>
      <c r="B10829" s="22"/>
      <c r="C10829" s="21"/>
      <c r="D10829" s="21"/>
      <c r="E10829" s="21"/>
      <c r="F10829" s="21"/>
      <c r="G10829" s="25"/>
      <c r="H10829" s="24" t="str">
        <f>IFERROR(VLOOKUP(B10829,material!A:D,3,0),"")</f>
        <v/>
      </c>
    </row>
    <row r="10830" ht="11.25" customHeight="1">
      <c r="A10830" s="21"/>
      <c r="B10830" s="22"/>
      <c r="C10830" s="21"/>
      <c r="D10830" s="21"/>
      <c r="E10830" s="21"/>
      <c r="F10830" s="21"/>
      <c r="G10830" s="25"/>
      <c r="H10830" s="24" t="str">
        <f>IFERROR(VLOOKUP(B10830,material!A:D,3,0),"")</f>
        <v/>
      </c>
    </row>
    <row r="10831" ht="11.25" customHeight="1">
      <c r="A10831" s="21"/>
      <c r="B10831" s="22"/>
      <c r="C10831" s="21"/>
      <c r="D10831" s="21"/>
      <c r="E10831" s="21"/>
      <c r="F10831" s="21"/>
      <c r="G10831" s="25"/>
      <c r="H10831" s="24" t="str">
        <f>IFERROR(VLOOKUP(B10831,material!A:D,3,0),"")</f>
        <v/>
      </c>
    </row>
    <row r="10832" ht="11.25" customHeight="1">
      <c r="A10832" s="21"/>
      <c r="B10832" s="22"/>
      <c r="C10832" s="21"/>
      <c r="D10832" s="21"/>
      <c r="E10832" s="21"/>
      <c r="F10832" s="21"/>
      <c r="G10832" s="25"/>
      <c r="H10832" s="24" t="str">
        <f>IFERROR(VLOOKUP(B10832,material!A:D,3,0),"")</f>
        <v/>
      </c>
    </row>
    <row r="10833" ht="11.25" customHeight="1">
      <c r="A10833" s="21"/>
      <c r="B10833" s="22"/>
      <c r="C10833" s="21"/>
      <c r="D10833" s="21"/>
      <c r="E10833" s="21"/>
      <c r="F10833" s="21"/>
      <c r="G10833" s="25"/>
      <c r="H10833" s="24" t="str">
        <f>IFERROR(VLOOKUP(B10833,material!A:D,3,0),"")</f>
        <v/>
      </c>
    </row>
    <row r="10834" ht="11.25" customHeight="1">
      <c r="A10834" s="21"/>
      <c r="B10834" s="22"/>
      <c r="C10834" s="21"/>
      <c r="D10834" s="21"/>
      <c r="E10834" s="21"/>
      <c r="F10834" s="21"/>
      <c r="G10834" s="25"/>
      <c r="H10834" s="24" t="str">
        <f>IFERROR(VLOOKUP(B10834,material!A:D,3,0),"")</f>
        <v/>
      </c>
    </row>
    <row r="10835" ht="11.25" customHeight="1">
      <c r="A10835" s="21"/>
      <c r="B10835" s="22"/>
      <c r="C10835" s="21"/>
      <c r="D10835" s="21"/>
      <c r="E10835" s="21"/>
      <c r="F10835" s="21"/>
      <c r="G10835" s="25"/>
      <c r="H10835" s="24" t="str">
        <f>IFERROR(VLOOKUP(B10835,material!A:D,3,0),"")</f>
        <v/>
      </c>
    </row>
    <row r="10836" ht="11.25" customHeight="1">
      <c r="A10836" s="21"/>
      <c r="B10836" s="22"/>
      <c r="C10836" s="21"/>
      <c r="D10836" s="21"/>
      <c r="E10836" s="21"/>
      <c r="F10836" s="21"/>
      <c r="G10836" s="25"/>
      <c r="H10836" s="24" t="str">
        <f>IFERROR(VLOOKUP(B10836,material!A:D,3,0),"")</f>
        <v/>
      </c>
    </row>
    <row r="10837" ht="11.25" customHeight="1">
      <c r="A10837" s="21"/>
      <c r="B10837" s="22"/>
      <c r="C10837" s="21"/>
      <c r="D10837" s="21"/>
      <c r="E10837" s="21"/>
      <c r="F10837" s="21"/>
      <c r="G10837" s="25"/>
      <c r="H10837" s="24" t="str">
        <f>IFERROR(VLOOKUP(B10837,material!A:D,3,0),"")</f>
        <v/>
      </c>
    </row>
    <row r="10838" ht="11.25" customHeight="1">
      <c r="A10838" s="21"/>
      <c r="B10838" s="22"/>
      <c r="C10838" s="21"/>
      <c r="D10838" s="21"/>
      <c r="E10838" s="21"/>
      <c r="F10838" s="21"/>
      <c r="G10838" s="25"/>
      <c r="H10838" s="24" t="str">
        <f>IFERROR(VLOOKUP(B10838,material!A:D,3,0),"")</f>
        <v/>
      </c>
    </row>
    <row r="10839" ht="11.25" customHeight="1">
      <c r="A10839" s="21"/>
      <c r="B10839" s="22"/>
      <c r="C10839" s="21"/>
      <c r="D10839" s="21"/>
      <c r="E10839" s="21"/>
      <c r="F10839" s="21"/>
      <c r="G10839" s="25"/>
      <c r="H10839" s="24" t="str">
        <f>IFERROR(VLOOKUP(B10839,material!A:D,3,0),"")</f>
        <v/>
      </c>
    </row>
    <row r="10840" ht="11.25" customHeight="1">
      <c r="A10840" s="21"/>
      <c r="B10840" s="22"/>
      <c r="C10840" s="21"/>
      <c r="D10840" s="21"/>
      <c r="E10840" s="21"/>
      <c r="F10840" s="21"/>
      <c r="G10840" s="25"/>
      <c r="H10840" s="24" t="str">
        <f>IFERROR(VLOOKUP(B10840,material!A:D,3,0),"")</f>
        <v/>
      </c>
    </row>
    <row r="10841" ht="11.25" customHeight="1">
      <c r="A10841" s="21"/>
      <c r="B10841" s="22"/>
      <c r="C10841" s="21"/>
      <c r="D10841" s="21"/>
      <c r="E10841" s="21"/>
      <c r="F10841" s="21"/>
      <c r="G10841" s="25"/>
      <c r="H10841" s="24" t="str">
        <f>IFERROR(VLOOKUP(B10841,material!A:D,3,0),"")</f>
        <v/>
      </c>
    </row>
    <row r="10842" ht="11.25" customHeight="1">
      <c r="A10842" s="21"/>
      <c r="B10842" s="22"/>
      <c r="C10842" s="21"/>
      <c r="D10842" s="21"/>
      <c r="E10842" s="21"/>
      <c r="F10842" s="21"/>
      <c r="G10842" s="25"/>
      <c r="H10842" s="24" t="str">
        <f>IFERROR(VLOOKUP(B10842,material!A:D,3,0),"")</f>
        <v/>
      </c>
    </row>
    <row r="10843" ht="11.25" customHeight="1">
      <c r="A10843" s="21"/>
      <c r="B10843" s="22"/>
      <c r="C10843" s="21"/>
      <c r="D10843" s="21"/>
      <c r="E10843" s="21"/>
      <c r="F10843" s="21"/>
      <c r="G10843" s="25"/>
      <c r="H10843" s="24" t="str">
        <f>IFERROR(VLOOKUP(B10843,material!A:D,3,0),"")</f>
        <v/>
      </c>
    </row>
    <row r="10844" ht="11.25" customHeight="1">
      <c r="A10844" s="21"/>
      <c r="B10844" s="22"/>
      <c r="C10844" s="21"/>
      <c r="D10844" s="21"/>
      <c r="E10844" s="21"/>
      <c r="F10844" s="21"/>
      <c r="G10844" s="25"/>
      <c r="H10844" s="24" t="str">
        <f>IFERROR(VLOOKUP(B10844,material!A:D,3,0),"")</f>
        <v/>
      </c>
    </row>
    <row r="10845" ht="11.25" customHeight="1">
      <c r="A10845" s="21"/>
      <c r="B10845" s="22"/>
      <c r="C10845" s="21"/>
      <c r="D10845" s="21"/>
      <c r="E10845" s="21"/>
      <c r="F10845" s="21"/>
      <c r="G10845" s="25"/>
      <c r="H10845" s="24" t="str">
        <f>IFERROR(VLOOKUP(B10845,material!A:D,3,0),"")</f>
        <v/>
      </c>
    </row>
    <row r="10846" ht="11.25" customHeight="1">
      <c r="A10846" s="21"/>
      <c r="B10846" s="22"/>
      <c r="C10846" s="21"/>
      <c r="D10846" s="21"/>
      <c r="E10846" s="21"/>
      <c r="F10846" s="21"/>
      <c r="G10846" s="25"/>
      <c r="H10846" s="24" t="str">
        <f>IFERROR(VLOOKUP(B10846,material!A:D,3,0),"")</f>
        <v/>
      </c>
    </row>
    <row r="10847" ht="11.25" customHeight="1">
      <c r="A10847" s="21"/>
      <c r="B10847" s="22"/>
      <c r="C10847" s="21"/>
      <c r="D10847" s="21"/>
      <c r="E10847" s="21"/>
      <c r="F10847" s="21"/>
      <c r="G10847" s="25"/>
      <c r="H10847" s="24" t="str">
        <f>IFERROR(VLOOKUP(B10847,material!A:D,3,0),"")</f>
        <v/>
      </c>
    </row>
    <row r="10848" ht="11.25" customHeight="1">
      <c r="A10848" s="21"/>
      <c r="B10848" s="22"/>
      <c r="C10848" s="21"/>
      <c r="D10848" s="21"/>
      <c r="E10848" s="21"/>
      <c r="F10848" s="21"/>
      <c r="G10848" s="25"/>
      <c r="H10848" s="24" t="str">
        <f>IFERROR(VLOOKUP(B10848,material!A:D,3,0),"")</f>
        <v/>
      </c>
    </row>
    <row r="10849" ht="11.25" customHeight="1">
      <c r="A10849" s="21"/>
      <c r="B10849" s="22"/>
      <c r="C10849" s="21"/>
      <c r="D10849" s="21"/>
      <c r="E10849" s="21"/>
      <c r="F10849" s="21"/>
      <c r="G10849" s="25"/>
      <c r="H10849" s="24" t="str">
        <f>IFERROR(VLOOKUP(B10849,material!A:D,3,0),"")</f>
        <v/>
      </c>
    </row>
    <row r="10850" ht="11.25" customHeight="1">
      <c r="A10850" s="21"/>
      <c r="B10850" s="22"/>
      <c r="C10850" s="21"/>
      <c r="D10850" s="21"/>
      <c r="E10850" s="21"/>
      <c r="F10850" s="21"/>
      <c r="G10850" s="25"/>
      <c r="H10850" s="24" t="str">
        <f>IFERROR(VLOOKUP(B10850,material!A:D,3,0),"")</f>
        <v/>
      </c>
    </row>
    <row r="10851" ht="11.25" customHeight="1">
      <c r="A10851" s="21"/>
      <c r="B10851" s="22"/>
      <c r="C10851" s="21"/>
      <c r="D10851" s="21"/>
      <c r="E10851" s="21"/>
      <c r="F10851" s="21"/>
      <c r="G10851" s="25"/>
      <c r="H10851" s="24" t="str">
        <f>IFERROR(VLOOKUP(B10851,material!A:D,3,0),"")</f>
        <v/>
      </c>
    </row>
    <row r="10852" ht="11.25" customHeight="1">
      <c r="A10852" s="21"/>
      <c r="B10852" s="22"/>
      <c r="C10852" s="21"/>
      <c r="D10852" s="21"/>
      <c r="E10852" s="21"/>
      <c r="F10852" s="21"/>
      <c r="G10852" s="25"/>
      <c r="H10852" s="24" t="str">
        <f>IFERROR(VLOOKUP(B10852,material!A:D,3,0),"")</f>
        <v/>
      </c>
    </row>
    <row r="10853" ht="11.25" customHeight="1">
      <c r="A10853" s="21"/>
      <c r="B10853" s="22"/>
      <c r="C10853" s="21"/>
      <c r="D10853" s="21"/>
      <c r="E10853" s="21"/>
      <c r="F10853" s="21"/>
      <c r="G10853" s="25"/>
      <c r="H10853" s="24" t="str">
        <f>IFERROR(VLOOKUP(B10853,material!A:D,3,0),"")</f>
        <v/>
      </c>
    </row>
    <row r="10854" ht="11.25" customHeight="1">
      <c r="A10854" s="21"/>
      <c r="B10854" s="22"/>
      <c r="C10854" s="21"/>
      <c r="D10854" s="21"/>
      <c r="E10854" s="21"/>
      <c r="F10854" s="21"/>
      <c r="G10854" s="25"/>
      <c r="H10854" s="24" t="str">
        <f>IFERROR(VLOOKUP(B10854,material!A:D,3,0),"")</f>
        <v/>
      </c>
    </row>
    <row r="10855" ht="11.25" customHeight="1">
      <c r="A10855" s="21"/>
      <c r="B10855" s="22"/>
      <c r="C10855" s="21"/>
      <c r="D10855" s="21"/>
      <c r="E10855" s="21"/>
      <c r="F10855" s="21"/>
      <c r="G10855" s="25"/>
      <c r="H10855" s="24" t="str">
        <f>IFERROR(VLOOKUP(B10855,material!A:D,3,0),"")</f>
        <v/>
      </c>
    </row>
    <row r="10856" ht="11.25" customHeight="1">
      <c r="A10856" s="21"/>
      <c r="B10856" s="22"/>
      <c r="C10856" s="21"/>
      <c r="D10856" s="21"/>
      <c r="E10856" s="21"/>
      <c r="F10856" s="21"/>
      <c r="G10856" s="25"/>
      <c r="H10856" s="24" t="str">
        <f>IFERROR(VLOOKUP(B10856,material!A:D,3,0),"")</f>
        <v/>
      </c>
    </row>
    <row r="10857" ht="11.25" customHeight="1">
      <c r="A10857" s="21"/>
      <c r="B10857" s="22"/>
      <c r="C10857" s="21"/>
      <c r="D10857" s="21"/>
      <c r="E10857" s="21"/>
      <c r="F10857" s="21"/>
      <c r="G10857" s="25"/>
      <c r="H10857" s="24" t="str">
        <f>IFERROR(VLOOKUP(B10857,material!A:D,3,0),"")</f>
        <v/>
      </c>
    </row>
    <row r="10858" ht="11.25" customHeight="1">
      <c r="A10858" s="21"/>
      <c r="B10858" s="22"/>
      <c r="C10858" s="21"/>
      <c r="D10858" s="21"/>
      <c r="E10858" s="21"/>
      <c r="F10858" s="21"/>
      <c r="G10858" s="25"/>
      <c r="H10858" s="24" t="str">
        <f>IFERROR(VLOOKUP(B10858,material!A:D,3,0),"")</f>
        <v/>
      </c>
    </row>
    <row r="10859" ht="11.25" customHeight="1">
      <c r="A10859" s="21"/>
      <c r="B10859" s="22"/>
      <c r="C10859" s="21"/>
      <c r="D10859" s="21"/>
      <c r="E10859" s="21"/>
      <c r="F10859" s="21"/>
      <c r="G10859" s="25"/>
      <c r="H10859" s="24" t="str">
        <f>IFERROR(VLOOKUP(B10859,material!A:D,3,0),"")</f>
        <v/>
      </c>
    </row>
    <row r="10860" ht="11.25" customHeight="1">
      <c r="A10860" s="21"/>
      <c r="B10860" s="22"/>
      <c r="C10860" s="21"/>
      <c r="D10860" s="21"/>
      <c r="E10860" s="21"/>
      <c r="F10860" s="21"/>
      <c r="G10860" s="25"/>
      <c r="H10860" s="24" t="str">
        <f>IFERROR(VLOOKUP(B10860,material!A:D,3,0),"")</f>
        <v/>
      </c>
    </row>
    <row r="10861" ht="11.25" customHeight="1">
      <c r="A10861" s="21"/>
      <c r="B10861" s="22"/>
      <c r="C10861" s="21"/>
      <c r="D10861" s="21"/>
      <c r="E10861" s="21"/>
      <c r="F10861" s="21"/>
      <c r="G10861" s="25"/>
      <c r="H10861" s="24" t="str">
        <f>IFERROR(VLOOKUP(B10861,material!A:D,3,0),"")</f>
        <v/>
      </c>
    </row>
    <row r="10862" ht="11.25" customHeight="1">
      <c r="A10862" s="21"/>
      <c r="B10862" s="22"/>
      <c r="C10862" s="21"/>
      <c r="D10862" s="21"/>
      <c r="E10862" s="21"/>
      <c r="F10862" s="21"/>
      <c r="G10862" s="25"/>
      <c r="H10862" s="24" t="str">
        <f>IFERROR(VLOOKUP(B10862,material!A:D,3,0),"")</f>
        <v/>
      </c>
    </row>
    <row r="10863" ht="11.25" customHeight="1">
      <c r="A10863" s="21"/>
      <c r="B10863" s="22"/>
      <c r="C10863" s="21"/>
      <c r="D10863" s="21"/>
      <c r="E10863" s="21"/>
      <c r="F10863" s="21"/>
      <c r="G10863" s="25"/>
      <c r="H10863" s="24" t="str">
        <f>IFERROR(VLOOKUP(B10863,material!A:D,3,0),"")</f>
        <v/>
      </c>
    </row>
    <row r="10864" ht="11.25" customHeight="1">
      <c r="A10864" s="21"/>
      <c r="B10864" s="22"/>
      <c r="C10864" s="21"/>
      <c r="D10864" s="21"/>
      <c r="E10864" s="21"/>
      <c r="F10864" s="21"/>
      <c r="G10864" s="25"/>
      <c r="H10864" s="24" t="str">
        <f>IFERROR(VLOOKUP(B10864,material!A:D,3,0),"")</f>
        <v/>
      </c>
    </row>
    <row r="10865" ht="11.25" customHeight="1">
      <c r="A10865" s="21"/>
      <c r="B10865" s="22"/>
      <c r="C10865" s="21"/>
      <c r="D10865" s="21"/>
      <c r="E10865" s="21"/>
      <c r="F10865" s="21"/>
      <c r="G10865" s="25"/>
      <c r="H10865" s="24" t="str">
        <f>IFERROR(VLOOKUP(B10865,material!A:D,3,0),"")</f>
        <v/>
      </c>
    </row>
    <row r="10866" ht="11.25" customHeight="1">
      <c r="A10866" s="21"/>
      <c r="B10866" s="22"/>
      <c r="C10866" s="21"/>
      <c r="D10866" s="21"/>
      <c r="E10866" s="21"/>
      <c r="F10866" s="21"/>
      <c r="G10866" s="25"/>
      <c r="H10866" s="24" t="str">
        <f>IFERROR(VLOOKUP(B10866,material!A:D,3,0),"")</f>
        <v/>
      </c>
    </row>
    <row r="10867" ht="11.25" customHeight="1">
      <c r="A10867" s="21"/>
      <c r="B10867" s="22"/>
      <c r="C10867" s="21"/>
      <c r="D10867" s="21"/>
      <c r="E10867" s="21"/>
      <c r="F10867" s="21"/>
      <c r="G10867" s="25"/>
      <c r="H10867" s="24" t="str">
        <f>IFERROR(VLOOKUP(B10867,material!A:D,3,0),"")</f>
        <v/>
      </c>
    </row>
    <row r="10868" ht="11.25" customHeight="1">
      <c r="A10868" s="21"/>
      <c r="B10868" s="22"/>
      <c r="C10868" s="21"/>
      <c r="D10868" s="21"/>
      <c r="E10868" s="21"/>
      <c r="F10868" s="21"/>
      <c r="G10868" s="25"/>
      <c r="H10868" s="24" t="str">
        <f>IFERROR(VLOOKUP(B10868,material!A:D,3,0),"")</f>
        <v/>
      </c>
    </row>
    <row r="10869" ht="11.25" customHeight="1">
      <c r="A10869" s="21"/>
      <c r="B10869" s="22"/>
      <c r="C10869" s="21"/>
      <c r="D10869" s="21"/>
      <c r="E10869" s="21"/>
      <c r="F10869" s="21"/>
      <c r="G10869" s="25"/>
      <c r="H10869" s="24" t="str">
        <f>IFERROR(VLOOKUP(B10869,material!A:D,3,0),"")</f>
        <v/>
      </c>
    </row>
    <row r="10870" ht="11.25" customHeight="1">
      <c r="A10870" s="21"/>
      <c r="B10870" s="22"/>
      <c r="C10870" s="21"/>
      <c r="D10870" s="21"/>
      <c r="E10870" s="21"/>
      <c r="F10870" s="21"/>
      <c r="G10870" s="25"/>
      <c r="H10870" s="24" t="str">
        <f>IFERROR(VLOOKUP(B10870,material!A:D,3,0),"")</f>
        <v/>
      </c>
    </row>
    <row r="10871" ht="11.25" customHeight="1">
      <c r="A10871" s="21"/>
      <c r="B10871" s="22"/>
      <c r="C10871" s="21"/>
      <c r="D10871" s="21"/>
      <c r="E10871" s="21"/>
      <c r="F10871" s="21"/>
      <c r="G10871" s="25"/>
      <c r="H10871" s="24" t="str">
        <f>IFERROR(VLOOKUP(B10871,material!A:D,3,0),"")</f>
        <v/>
      </c>
    </row>
    <row r="10872" ht="11.25" customHeight="1">
      <c r="A10872" s="21"/>
      <c r="B10872" s="22"/>
      <c r="C10872" s="21"/>
      <c r="D10872" s="21"/>
      <c r="E10872" s="21"/>
      <c r="F10872" s="21"/>
      <c r="G10872" s="25"/>
      <c r="H10872" s="24" t="str">
        <f>IFERROR(VLOOKUP(B10872,material!A:D,3,0),"")</f>
        <v/>
      </c>
    </row>
    <row r="10873" ht="11.25" customHeight="1">
      <c r="A10873" s="21"/>
      <c r="B10873" s="22"/>
      <c r="C10873" s="21"/>
      <c r="D10873" s="21"/>
      <c r="E10873" s="21"/>
      <c r="F10873" s="21"/>
      <c r="G10873" s="25"/>
      <c r="H10873" s="24" t="str">
        <f>IFERROR(VLOOKUP(B10873,material!A:D,3,0),"")</f>
        <v/>
      </c>
    </row>
    <row r="10874" ht="11.25" customHeight="1">
      <c r="A10874" s="21"/>
      <c r="B10874" s="22"/>
      <c r="C10874" s="21"/>
      <c r="D10874" s="21"/>
      <c r="E10874" s="21"/>
      <c r="F10874" s="21"/>
      <c r="G10874" s="25"/>
      <c r="H10874" s="24" t="str">
        <f>IFERROR(VLOOKUP(B10874,material!A:D,3,0),"")</f>
        <v/>
      </c>
    </row>
    <row r="10875" ht="11.25" customHeight="1">
      <c r="A10875" s="21"/>
      <c r="B10875" s="22"/>
      <c r="C10875" s="21"/>
      <c r="D10875" s="21"/>
      <c r="E10875" s="21"/>
      <c r="F10875" s="21"/>
      <c r="G10875" s="25"/>
      <c r="H10875" s="24" t="str">
        <f>IFERROR(VLOOKUP(B10875,material!A:D,3,0),"")</f>
        <v/>
      </c>
    </row>
    <row r="10876" ht="11.25" customHeight="1">
      <c r="A10876" s="21"/>
      <c r="B10876" s="22"/>
      <c r="C10876" s="21"/>
      <c r="D10876" s="21"/>
      <c r="E10876" s="21"/>
      <c r="F10876" s="21"/>
      <c r="G10876" s="25"/>
      <c r="H10876" s="24" t="str">
        <f>IFERROR(VLOOKUP(B10876,material!A:D,3,0),"")</f>
        <v/>
      </c>
    </row>
    <row r="10877" ht="11.25" customHeight="1">
      <c r="A10877" s="21"/>
      <c r="B10877" s="22"/>
      <c r="C10877" s="21"/>
      <c r="D10877" s="21"/>
      <c r="E10877" s="21"/>
      <c r="F10877" s="21"/>
      <c r="G10877" s="25"/>
      <c r="H10877" s="24" t="str">
        <f>IFERROR(VLOOKUP(B10877,material!A:D,3,0),"")</f>
        <v/>
      </c>
    </row>
    <row r="10878" ht="11.25" customHeight="1">
      <c r="A10878" s="21"/>
      <c r="B10878" s="22"/>
      <c r="C10878" s="21"/>
      <c r="D10878" s="21"/>
      <c r="E10878" s="21"/>
      <c r="F10878" s="21"/>
      <c r="G10878" s="25"/>
      <c r="H10878" s="24" t="str">
        <f>IFERROR(VLOOKUP(B10878,material!A:D,3,0),"")</f>
        <v/>
      </c>
    </row>
    <row r="10879" ht="11.25" customHeight="1">
      <c r="A10879" s="21"/>
      <c r="B10879" s="22"/>
      <c r="C10879" s="21"/>
      <c r="D10879" s="21"/>
      <c r="E10879" s="21"/>
      <c r="F10879" s="21"/>
      <c r="G10879" s="25"/>
      <c r="H10879" s="24" t="str">
        <f>IFERROR(VLOOKUP(B10879,material!A:D,3,0),"")</f>
        <v/>
      </c>
    </row>
    <row r="10880" ht="11.25" customHeight="1">
      <c r="A10880" s="21"/>
      <c r="B10880" s="22"/>
      <c r="C10880" s="21"/>
      <c r="D10880" s="21"/>
      <c r="E10880" s="21"/>
      <c r="F10880" s="21"/>
      <c r="G10880" s="25"/>
      <c r="H10880" s="24" t="str">
        <f>IFERROR(VLOOKUP(B10880,material!A:D,3,0),"")</f>
        <v/>
      </c>
    </row>
    <row r="10881" ht="11.25" customHeight="1">
      <c r="A10881" s="21"/>
      <c r="B10881" s="22"/>
      <c r="C10881" s="21"/>
      <c r="D10881" s="21"/>
      <c r="E10881" s="21"/>
      <c r="F10881" s="21"/>
      <c r="G10881" s="25"/>
      <c r="H10881" s="24" t="str">
        <f>IFERROR(VLOOKUP(B10881,material!A:D,3,0),"")</f>
        <v/>
      </c>
    </row>
    <row r="10882" ht="11.25" customHeight="1">
      <c r="A10882" s="21"/>
      <c r="B10882" s="22"/>
      <c r="C10882" s="21"/>
      <c r="D10882" s="21"/>
      <c r="E10882" s="21"/>
      <c r="F10882" s="21"/>
      <c r="G10882" s="25"/>
      <c r="H10882" s="24" t="str">
        <f>IFERROR(VLOOKUP(B10882,material!A:D,3,0),"")</f>
        <v/>
      </c>
    </row>
    <row r="10883" ht="11.25" customHeight="1">
      <c r="A10883" s="21"/>
      <c r="B10883" s="22"/>
      <c r="C10883" s="21"/>
      <c r="D10883" s="21"/>
      <c r="E10883" s="21"/>
      <c r="F10883" s="21"/>
      <c r="G10883" s="25"/>
      <c r="H10883" s="24" t="str">
        <f>IFERROR(VLOOKUP(B10883,material!A:D,3,0),"")</f>
        <v/>
      </c>
    </row>
    <row r="10884" ht="11.25" customHeight="1">
      <c r="A10884" s="21"/>
      <c r="B10884" s="22"/>
      <c r="C10884" s="21"/>
      <c r="D10884" s="21"/>
      <c r="E10884" s="21"/>
      <c r="F10884" s="21"/>
      <c r="G10884" s="25"/>
      <c r="H10884" s="24" t="str">
        <f>IFERROR(VLOOKUP(B10884,material!A:D,3,0),"")</f>
        <v/>
      </c>
    </row>
    <row r="10885" ht="11.25" customHeight="1">
      <c r="A10885" s="21"/>
      <c r="B10885" s="22"/>
      <c r="C10885" s="21"/>
      <c r="D10885" s="21"/>
      <c r="E10885" s="21"/>
      <c r="F10885" s="21"/>
      <c r="G10885" s="25"/>
      <c r="H10885" s="24" t="str">
        <f>IFERROR(VLOOKUP(B10885,material!A:D,3,0),"")</f>
        <v/>
      </c>
    </row>
    <row r="10886" ht="11.25" customHeight="1">
      <c r="A10886" s="21"/>
      <c r="B10886" s="22"/>
      <c r="C10886" s="21"/>
      <c r="D10886" s="21"/>
      <c r="E10886" s="21"/>
      <c r="F10886" s="21"/>
      <c r="G10886" s="25"/>
      <c r="H10886" s="24" t="str">
        <f>IFERROR(VLOOKUP(B10886,material!A:D,3,0),"")</f>
        <v/>
      </c>
    </row>
    <row r="10887" ht="11.25" customHeight="1">
      <c r="A10887" s="21"/>
      <c r="B10887" s="22"/>
      <c r="C10887" s="21"/>
      <c r="D10887" s="21"/>
      <c r="E10887" s="21"/>
      <c r="F10887" s="21"/>
      <c r="G10887" s="25"/>
      <c r="H10887" s="24" t="str">
        <f>IFERROR(VLOOKUP(B10887,material!A:D,3,0),"")</f>
        <v/>
      </c>
    </row>
    <row r="10888" ht="11.25" customHeight="1">
      <c r="A10888" s="21"/>
      <c r="B10888" s="22"/>
      <c r="C10888" s="21"/>
      <c r="D10888" s="21"/>
      <c r="E10888" s="21"/>
      <c r="F10888" s="21"/>
      <c r="G10888" s="25"/>
      <c r="H10888" s="24" t="str">
        <f>IFERROR(VLOOKUP(B10888,material!A:D,3,0),"")</f>
        <v/>
      </c>
    </row>
    <row r="10889" ht="11.25" customHeight="1">
      <c r="A10889" s="21"/>
      <c r="B10889" s="22"/>
      <c r="C10889" s="21"/>
      <c r="D10889" s="21"/>
      <c r="E10889" s="21"/>
      <c r="F10889" s="21"/>
      <c r="G10889" s="25"/>
      <c r="H10889" s="24" t="str">
        <f>IFERROR(VLOOKUP(B10889,material!A:D,3,0),"")</f>
        <v/>
      </c>
    </row>
    <row r="10890" ht="11.25" customHeight="1">
      <c r="A10890" s="21"/>
      <c r="B10890" s="22"/>
      <c r="C10890" s="21"/>
      <c r="D10890" s="21"/>
      <c r="E10890" s="21"/>
      <c r="F10890" s="21"/>
      <c r="G10890" s="25"/>
      <c r="H10890" s="24" t="str">
        <f>IFERROR(VLOOKUP(B10890,material!A:D,3,0),"")</f>
        <v/>
      </c>
    </row>
    <row r="10891" ht="11.25" customHeight="1">
      <c r="A10891" s="21"/>
      <c r="B10891" s="22"/>
      <c r="C10891" s="21"/>
      <c r="D10891" s="21"/>
      <c r="E10891" s="21"/>
      <c r="F10891" s="21"/>
      <c r="G10891" s="25"/>
      <c r="H10891" s="24" t="str">
        <f>IFERROR(VLOOKUP(B10891,material!A:D,3,0),"")</f>
        <v/>
      </c>
    </row>
    <row r="10892" ht="11.25" customHeight="1">
      <c r="A10892" s="21"/>
      <c r="B10892" s="22"/>
      <c r="C10892" s="21"/>
      <c r="D10892" s="21"/>
      <c r="E10892" s="21"/>
      <c r="F10892" s="21"/>
      <c r="G10892" s="25"/>
      <c r="H10892" s="24" t="str">
        <f>IFERROR(VLOOKUP(B10892,material!A:D,3,0),"")</f>
        <v/>
      </c>
    </row>
    <row r="10893" ht="11.25" customHeight="1">
      <c r="A10893" s="21"/>
      <c r="B10893" s="22"/>
      <c r="C10893" s="21"/>
      <c r="D10893" s="21"/>
      <c r="E10893" s="21"/>
      <c r="F10893" s="21"/>
      <c r="G10893" s="25"/>
      <c r="H10893" s="24" t="str">
        <f>IFERROR(VLOOKUP(B10893,material!A:D,3,0),"")</f>
        <v/>
      </c>
    </row>
    <row r="10894" ht="11.25" customHeight="1">
      <c r="A10894" s="21"/>
      <c r="B10894" s="22"/>
      <c r="C10894" s="21"/>
      <c r="D10894" s="21"/>
      <c r="E10894" s="21"/>
      <c r="F10894" s="21"/>
      <c r="G10894" s="25"/>
      <c r="H10894" s="24" t="str">
        <f>IFERROR(VLOOKUP(B10894,material!A:D,3,0),"")</f>
        <v/>
      </c>
    </row>
    <row r="10895" ht="11.25" customHeight="1">
      <c r="A10895" s="21"/>
      <c r="B10895" s="22"/>
      <c r="C10895" s="21"/>
      <c r="D10895" s="21"/>
      <c r="E10895" s="21"/>
      <c r="F10895" s="21"/>
      <c r="G10895" s="25"/>
      <c r="H10895" s="24" t="str">
        <f>IFERROR(VLOOKUP(B10895,material!A:D,3,0),"")</f>
        <v/>
      </c>
    </row>
    <row r="10896" ht="11.25" customHeight="1">
      <c r="A10896" s="21"/>
      <c r="B10896" s="22"/>
      <c r="C10896" s="21"/>
      <c r="D10896" s="21"/>
      <c r="E10896" s="21"/>
      <c r="F10896" s="21"/>
      <c r="G10896" s="25"/>
      <c r="H10896" s="24" t="str">
        <f>IFERROR(VLOOKUP(B10896,material!A:D,3,0),"")</f>
        <v/>
      </c>
    </row>
    <row r="10897" ht="11.25" customHeight="1">
      <c r="A10897" s="21"/>
      <c r="B10897" s="22"/>
      <c r="C10897" s="21"/>
      <c r="D10897" s="21"/>
      <c r="E10897" s="21"/>
      <c r="F10897" s="21"/>
      <c r="G10897" s="25"/>
      <c r="H10897" s="24" t="str">
        <f>IFERROR(VLOOKUP(B10897,material!A:D,3,0),"")</f>
        <v/>
      </c>
    </row>
    <row r="10898" ht="11.25" customHeight="1">
      <c r="A10898" s="21"/>
      <c r="B10898" s="22"/>
      <c r="C10898" s="21"/>
      <c r="D10898" s="21"/>
      <c r="E10898" s="21"/>
      <c r="F10898" s="21"/>
      <c r="G10898" s="25"/>
      <c r="H10898" s="24" t="str">
        <f>IFERROR(VLOOKUP(B10898,material!A:D,3,0),"")</f>
        <v/>
      </c>
    </row>
    <row r="10899" ht="11.25" customHeight="1">
      <c r="A10899" s="21"/>
      <c r="B10899" s="22"/>
      <c r="C10899" s="21"/>
      <c r="D10899" s="21"/>
      <c r="E10899" s="21"/>
      <c r="F10899" s="21"/>
      <c r="G10899" s="25"/>
      <c r="H10899" s="24" t="str">
        <f>IFERROR(VLOOKUP(B10899,material!A:D,3,0),"")</f>
        <v/>
      </c>
    </row>
    <row r="10900" ht="11.25" customHeight="1">
      <c r="A10900" s="21"/>
      <c r="B10900" s="22"/>
      <c r="C10900" s="21"/>
      <c r="D10900" s="21"/>
      <c r="E10900" s="21"/>
      <c r="F10900" s="21"/>
      <c r="G10900" s="25"/>
      <c r="H10900" s="24" t="str">
        <f>IFERROR(VLOOKUP(B10900,material!A:D,3,0),"")</f>
        <v/>
      </c>
    </row>
    <row r="10901" ht="11.25" customHeight="1">
      <c r="A10901" s="21"/>
      <c r="B10901" s="22"/>
      <c r="C10901" s="21"/>
      <c r="D10901" s="21"/>
      <c r="E10901" s="21"/>
      <c r="F10901" s="21"/>
      <c r="G10901" s="25"/>
      <c r="H10901" s="24" t="str">
        <f>IFERROR(VLOOKUP(B10901,material!A:D,3,0),"")</f>
        <v/>
      </c>
    </row>
    <row r="10902" ht="11.25" customHeight="1">
      <c r="A10902" s="21"/>
      <c r="B10902" s="22"/>
      <c r="C10902" s="21"/>
      <c r="D10902" s="21"/>
      <c r="E10902" s="21"/>
      <c r="F10902" s="21"/>
      <c r="G10902" s="25"/>
      <c r="H10902" s="24" t="str">
        <f>IFERROR(VLOOKUP(B10902,material!A:D,3,0),"")</f>
        <v/>
      </c>
    </row>
    <row r="10903" ht="11.25" customHeight="1">
      <c r="A10903" s="21"/>
      <c r="B10903" s="22"/>
      <c r="C10903" s="21"/>
      <c r="D10903" s="21"/>
      <c r="E10903" s="21"/>
      <c r="F10903" s="21"/>
      <c r="G10903" s="25"/>
      <c r="H10903" s="24" t="str">
        <f>IFERROR(VLOOKUP(B10903,material!A:D,3,0),"")</f>
        <v/>
      </c>
    </row>
    <row r="10904" ht="11.25" customHeight="1">
      <c r="A10904" s="21"/>
      <c r="B10904" s="22"/>
      <c r="C10904" s="21"/>
      <c r="D10904" s="21"/>
      <c r="E10904" s="21"/>
      <c r="F10904" s="21"/>
      <c r="G10904" s="25"/>
      <c r="H10904" s="24" t="str">
        <f>IFERROR(VLOOKUP(B10904,material!A:D,3,0),"")</f>
        <v/>
      </c>
    </row>
    <row r="10905" ht="11.25" customHeight="1">
      <c r="A10905" s="21"/>
      <c r="B10905" s="22"/>
      <c r="C10905" s="21"/>
      <c r="D10905" s="21"/>
      <c r="E10905" s="21"/>
      <c r="F10905" s="21"/>
      <c r="G10905" s="25"/>
      <c r="H10905" s="24" t="str">
        <f>IFERROR(VLOOKUP(B10905,material!A:D,3,0),"")</f>
        <v/>
      </c>
    </row>
    <row r="10906" ht="11.25" customHeight="1">
      <c r="A10906" s="21"/>
      <c r="B10906" s="22"/>
      <c r="C10906" s="21"/>
      <c r="D10906" s="21"/>
      <c r="E10906" s="21"/>
      <c r="F10906" s="21"/>
      <c r="G10906" s="25"/>
      <c r="H10906" s="24" t="str">
        <f>IFERROR(VLOOKUP(B10906,material!A:D,3,0),"")</f>
        <v/>
      </c>
    </row>
    <row r="10907" ht="11.25" customHeight="1">
      <c r="A10907" s="21"/>
      <c r="B10907" s="22"/>
      <c r="C10907" s="21"/>
      <c r="D10907" s="21"/>
      <c r="E10907" s="21"/>
      <c r="F10907" s="21"/>
      <c r="G10907" s="25"/>
      <c r="H10907" s="24" t="str">
        <f>IFERROR(VLOOKUP(B10907,material!A:D,3,0),"")</f>
        <v/>
      </c>
    </row>
    <row r="10908" ht="11.25" customHeight="1">
      <c r="A10908" s="21"/>
      <c r="B10908" s="22"/>
      <c r="C10908" s="21"/>
      <c r="D10908" s="21"/>
      <c r="E10908" s="21"/>
      <c r="F10908" s="21"/>
      <c r="G10908" s="25"/>
      <c r="H10908" s="24" t="str">
        <f>IFERROR(VLOOKUP(B10908,material!A:D,3,0),"")</f>
        <v/>
      </c>
    </row>
    <row r="10909" ht="11.25" customHeight="1">
      <c r="A10909" s="21"/>
      <c r="B10909" s="22"/>
      <c r="C10909" s="21"/>
      <c r="D10909" s="21"/>
      <c r="E10909" s="21"/>
      <c r="F10909" s="21"/>
      <c r="G10909" s="25"/>
      <c r="H10909" s="24" t="str">
        <f>IFERROR(VLOOKUP(B10909,material!A:D,3,0),"")</f>
        <v/>
      </c>
    </row>
    <row r="10910" ht="11.25" customHeight="1">
      <c r="A10910" s="21"/>
      <c r="B10910" s="22"/>
      <c r="C10910" s="21"/>
      <c r="D10910" s="21"/>
      <c r="E10910" s="21"/>
      <c r="F10910" s="21"/>
      <c r="G10910" s="25"/>
      <c r="H10910" s="24" t="str">
        <f>IFERROR(VLOOKUP(B10910,material!A:D,3,0),"")</f>
        <v/>
      </c>
    </row>
    <row r="10911" ht="11.25" customHeight="1">
      <c r="A10911" s="21"/>
      <c r="B10911" s="22"/>
      <c r="C10911" s="21"/>
      <c r="D10911" s="21"/>
      <c r="E10911" s="21"/>
      <c r="F10911" s="21"/>
      <c r="G10911" s="25"/>
      <c r="H10911" s="24" t="str">
        <f>IFERROR(VLOOKUP(B10911,material!A:D,3,0),"")</f>
        <v/>
      </c>
    </row>
    <row r="10912" ht="11.25" customHeight="1">
      <c r="A10912" s="21"/>
      <c r="B10912" s="22"/>
      <c r="C10912" s="21"/>
      <c r="D10912" s="21"/>
      <c r="E10912" s="21"/>
      <c r="F10912" s="21"/>
      <c r="G10912" s="25"/>
      <c r="H10912" s="24" t="str">
        <f>IFERROR(VLOOKUP(B10912,material!A:D,3,0),"")</f>
        <v/>
      </c>
    </row>
    <row r="10913" ht="11.25" customHeight="1">
      <c r="A10913" s="21"/>
      <c r="B10913" s="22"/>
      <c r="C10913" s="21"/>
      <c r="D10913" s="21"/>
      <c r="E10913" s="21"/>
      <c r="F10913" s="21"/>
      <c r="G10913" s="25"/>
      <c r="H10913" s="24" t="str">
        <f>IFERROR(VLOOKUP(B10913,material!A:D,3,0),"")</f>
        <v/>
      </c>
    </row>
    <row r="10914" ht="11.25" customHeight="1">
      <c r="A10914" s="21"/>
      <c r="B10914" s="22"/>
      <c r="C10914" s="21"/>
      <c r="D10914" s="21"/>
      <c r="E10914" s="21"/>
      <c r="F10914" s="21"/>
      <c r="G10914" s="25"/>
      <c r="H10914" s="24" t="str">
        <f>IFERROR(VLOOKUP(B10914,material!A:D,3,0),"")</f>
        <v/>
      </c>
    </row>
    <row r="10915" ht="11.25" customHeight="1">
      <c r="A10915" s="21"/>
      <c r="B10915" s="22"/>
      <c r="C10915" s="21"/>
      <c r="D10915" s="21"/>
      <c r="E10915" s="21"/>
      <c r="F10915" s="21"/>
      <c r="G10915" s="25"/>
      <c r="H10915" s="24" t="str">
        <f>IFERROR(VLOOKUP(B10915,material!A:D,3,0),"")</f>
        <v/>
      </c>
    </row>
    <row r="10916" ht="11.25" customHeight="1">
      <c r="A10916" s="21"/>
      <c r="B10916" s="22"/>
      <c r="C10916" s="21"/>
      <c r="D10916" s="21"/>
      <c r="E10916" s="21"/>
      <c r="F10916" s="21"/>
      <c r="G10916" s="25"/>
      <c r="H10916" s="24" t="str">
        <f>IFERROR(VLOOKUP(B10916,material!A:D,3,0),"")</f>
        <v/>
      </c>
    </row>
    <row r="10917" ht="11.25" customHeight="1">
      <c r="A10917" s="21"/>
      <c r="B10917" s="22"/>
      <c r="C10917" s="21"/>
      <c r="D10917" s="21"/>
      <c r="E10917" s="21"/>
      <c r="F10917" s="21"/>
      <c r="G10917" s="25"/>
      <c r="H10917" s="24" t="str">
        <f>IFERROR(VLOOKUP(B10917,material!A:D,3,0),"")</f>
        <v/>
      </c>
    </row>
    <row r="10918" ht="11.25" customHeight="1">
      <c r="A10918" s="21"/>
      <c r="B10918" s="22"/>
      <c r="C10918" s="21"/>
      <c r="D10918" s="21"/>
      <c r="E10918" s="21"/>
      <c r="F10918" s="21"/>
      <c r="G10918" s="25"/>
      <c r="H10918" s="24" t="str">
        <f>IFERROR(VLOOKUP(B10918,material!A:D,3,0),"")</f>
        <v/>
      </c>
    </row>
    <row r="10919" ht="11.25" customHeight="1">
      <c r="A10919" s="21"/>
      <c r="B10919" s="22"/>
      <c r="C10919" s="21"/>
      <c r="D10919" s="21"/>
      <c r="E10919" s="21"/>
      <c r="F10919" s="21"/>
      <c r="G10919" s="25"/>
      <c r="H10919" s="24" t="str">
        <f>IFERROR(VLOOKUP(B10919,material!A:D,3,0),"")</f>
        <v/>
      </c>
    </row>
    <row r="10920" ht="11.25" customHeight="1">
      <c r="A10920" s="21"/>
      <c r="B10920" s="22"/>
      <c r="C10920" s="21"/>
      <c r="D10920" s="21"/>
      <c r="E10920" s="21"/>
      <c r="F10920" s="21"/>
      <c r="G10920" s="25"/>
      <c r="H10920" s="24" t="str">
        <f>IFERROR(VLOOKUP(B10920,material!A:D,3,0),"")</f>
        <v/>
      </c>
    </row>
    <row r="10921" ht="11.25" customHeight="1">
      <c r="A10921" s="21"/>
      <c r="B10921" s="22"/>
      <c r="C10921" s="21"/>
      <c r="D10921" s="21"/>
      <c r="E10921" s="21"/>
      <c r="F10921" s="21"/>
      <c r="G10921" s="25"/>
      <c r="H10921" s="24" t="str">
        <f>IFERROR(VLOOKUP(B10921,material!A:D,3,0),"")</f>
        <v/>
      </c>
    </row>
    <row r="10922" ht="11.25" customHeight="1">
      <c r="A10922" s="21"/>
      <c r="B10922" s="22"/>
      <c r="C10922" s="21"/>
      <c r="D10922" s="21"/>
      <c r="E10922" s="21"/>
      <c r="F10922" s="21"/>
      <c r="G10922" s="25"/>
      <c r="H10922" s="24" t="str">
        <f>IFERROR(VLOOKUP(B10922,material!A:D,3,0),"")</f>
        <v/>
      </c>
    </row>
    <row r="10923" ht="11.25" customHeight="1">
      <c r="A10923" s="21"/>
      <c r="B10923" s="22"/>
      <c r="C10923" s="21"/>
      <c r="D10923" s="21"/>
      <c r="E10923" s="21"/>
      <c r="F10923" s="21"/>
      <c r="G10923" s="25"/>
      <c r="H10923" s="24" t="str">
        <f>IFERROR(VLOOKUP(B10923,material!A:D,3,0),"")</f>
        <v/>
      </c>
    </row>
    <row r="10924" ht="11.25" customHeight="1">
      <c r="A10924" s="21"/>
      <c r="B10924" s="22"/>
      <c r="C10924" s="21"/>
      <c r="D10924" s="21"/>
      <c r="E10924" s="21"/>
      <c r="F10924" s="21"/>
      <c r="G10924" s="25"/>
      <c r="H10924" s="24" t="str">
        <f>IFERROR(VLOOKUP(B10924,material!A:D,3,0),"")</f>
        <v/>
      </c>
    </row>
    <row r="10925" ht="11.25" customHeight="1">
      <c r="A10925" s="21"/>
      <c r="B10925" s="22"/>
      <c r="C10925" s="21"/>
      <c r="D10925" s="21"/>
      <c r="E10925" s="21"/>
      <c r="F10925" s="21"/>
      <c r="G10925" s="25"/>
      <c r="H10925" s="24" t="str">
        <f>IFERROR(VLOOKUP(B10925,material!A:D,3,0),"")</f>
        <v/>
      </c>
    </row>
    <row r="10926" ht="11.25" customHeight="1">
      <c r="A10926" s="21"/>
      <c r="B10926" s="22"/>
      <c r="C10926" s="21"/>
      <c r="D10926" s="21"/>
      <c r="E10926" s="21"/>
      <c r="F10926" s="21"/>
      <c r="G10926" s="25"/>
      <c r="H10926" s="24" t="str">
        <f>IFERROR(VLOOKUP(B10926,material!A:D,3,0),"")</f>
        <v/>
      </c>
    </row>
    <row r="10927" ht="11.25" customHeight="1">
      <c r="A10927" s="21"/>
      <c r="B10927" s="22"/>
      <c r="C10927" s="21"/>
      <c r="D10927" s="21"/>
      <c r="E10927" s="21"/>
      <c r="F10927" s="21"/>
      <c r="G10927" s="25"/>
      <c r="H10927" s="24" t="str">
        <f>IFERROR(VLOOKUP(B10927,material!A:D,3,0),"")</f>
        <v/>
      </c>
    </row>
    <row r="10928" ht="11.25" customHeight="1">
      <c r="A10928" s="21"/>
      <c r="B10928" s="22"/>
      <c r="C10928" s="21"/>
      <c r="D10928" s="21"/>
      <c r="E10928" s="21"/>
      <c r="F10928" s="21"/>
      <c r="G10928" s="25"/>
      <c r="H10928" s="24" t="str">
        <f>IFERROR(VLOOKUP(B10928,material!A:D,3,0),"")</f>
        <v/>
      </c>
    </row>
    <row r="10929" ht="11.25" customHeight="1">
      <c r="A10929" s="21"/>
      <c r="B10929" s="22"/>
      <c r="C10929" s="21"/>
      <c r="D10929" s="21"/>
      <c r="E10929" s="21"/>
      <c r="F10929" s="21"/>
      <c r="G10929" s="25"/>
      <c r="H10929" s="24" t="str">
        <f>IFERROR(VLOOKUP(B10929,material!A:D,3,0),"")</f>
        <v/>
      </c>
    </row>
    <row r="10930" ht="11.25" customHeight="1">
      <c r="A10930" s="21"/>
      <c r="B10930" s="22"/>
      <c r="C10930" s="21"/>
      <c r="D10930" s="21"/>
      <c r="E10930" s="21"/>
      <c r="F10930" s="21"/>
      <c r="G10930" s="25"/>
      <c r="H10930" s="24" t="str">
        <f>IFERROR(VLOOKUP(B10930,material!A:D,3,0),"")</f>
        <v/>
      </c>
    </row>
    <row r="10931" ht="11.25" customHeight="1">
      <c r="A10931" s="21"/>
      <c r="B10931" s="22"/>
      <c r="C10931" s="21"/>
      <c r="D10931" s="21"/>
      <c r="E10931" s="21"/>
      <c r="F10931" s="21"/>
      <c r="G10931" s="25"/>
      <c r="H10931" s="24" t="str">
        <f>IFERROR(VLOOKUP(B10931,material!A:D,3,0),"")</f>
        <v/>
      </c>
    </row>
    <row r="10932" ht="11.25" customHeight="1">
      <c r="A10932" s="21"/>
      <c r="B10932" s="22"/>
      <c r="C10932" s="21"/>
      <c r="D10932" s="21"/>
      <c r="E10932" s="21"/>
      <c r="F10932" s="21"/>
      <c r="G10932" s="25"/>
      <c r="H10932" s="24" t="str">
        <f>IFERROR(VLOOKUP(B10932,material!A:D,3,0),"")</f>
        <v/>
      </c>
    </row>
    <row r="10933" ht="11.25" customHeight="1">
      <c r="A10933" s="21"/>
      <c r="B10933" s="22"/>
      <c r="C10933" s="21"/>
      <c r="D10933" s="21"/>
      <c r="E10933" s="21"/>
      <c r="F10933" s="21"/>
      <c r="G10933" s="25"/>
      <c r="H10933" s="24" t="str">
        <f>IFERROR(VLOOKUP(B10933,material!A:D,3,0),"")</f>
        <v/>
      </c>
    </row>
    <row r="10934" ht="11.25" customHeight="1">
      <c r="A10934" s="21"/>
      <c r="B10934" s="22"/>
      <c r="C10934" s="21"/>
      <c r="D10934" s="21"/>
      <c r="E10934" s="21"/>
      <c r="F10934" s="21"/>
      <c r="G10934" s="25"/>
      <c r="H10934" s="24" t="str">
        <f>IFERROR(VLOOKUP(B10934,material!A:D,3,0),"")</f>
        <v/>
      </c>
    </row>
    <row r="10935" ht="11.25" customHeight="1">
      <c r="A10935" s="21"/>
      <c r="B10935" s="22"/>
      <c r="C10935" s="21"/>
      <c r="D10935" s="21"/>
      <c r="E10935" s="21"/>
      <c r="F10935" s="21"/>
      <c r="G10935" s="25"/>
      <c r="H10935" s="24" t="str">
        <f>IFERROR(VLOOKUP(B10935,material!A:D,3,0),"")</f>
        <v/>
      </c>
    </row>
    <row r="10936" ht="11.25" customHeight="1">
      <c r="A10936" s="21"/>
      <c r="B10936" s="22"/>
      <c r="C10936" s="21"/>
      <c r="D10936" s="21"/>
      <c r="E10936" s="21"/>
      <c r="F10936" s="21"/>
      <c r="G10936" s="25"/>
      <c r="H10936" s="24" t="str">
        <f>IFERROR(VLOOKUP(B10936,material!A:D,3,0),"")</f>
        <v/>
      </c>
    </row>
    <row r="10937" ht="11.25" customHeight="1">
      <c r="A10937" s="21"/>
      <c r="B10937" s="22"/>
      <c r="C10937" s="21"/>
      <c r="D10937" s="21"/>
      <c r="E10937" s="21"/>
      <c r="F10937" s="21"/>
      <c r="G10937" s="25"/>
      <c r="H10937" s="24" t="str">
        <f>IFERROR(VLOOKUP(B10937,material!A:D,3,0),"")</f>
        <v/>
      </c>
    </row>
    <row r="10938" ht="11.25" customHeight="1">
      <c r="A10938" s="21"/>
      <c r="B10938" s="22"/>
      <c r="C10938" s="21"/>
      <c r="D10938" s="21"/>
      <c r="E10938" s="21"/>
      <c r="F10938" s="21"/>
      <c r="G10938" s="25"/>
      <c r="H10938" s="24" t="str">
        <f>IFERROR(VLOOKUP(B10938,material!A:D,3,0),"")</f>
        <v/>
      </c>
    </row>
    <row r="10939" ht="11.25" customHeight="1">
      <c r="A10939" s="21"/>
      <c r="B10939" s="22"/>
      <c r="C10939" s="21"/>
      <c r="D10939" s="21"/>
      <c r="E10939" s="21"/>
      <c r="F10939" s="21"/>
      <c r="G10939" s="25"/>
      <c r="H10939" s="24" t="str">
        <f>IFERROR(VLOOKUP(B10939,material!A:D,3,0),"")</f>
        <v/>
      </c>
    </row>
    <row r="10940" ht="11.25" customHeight="1">
      <c r="A10940" s="21"/>
      <c r="B10940" s="22"/>
      <c r="C10940" s="21"/>
      <c r="D10940" s="21"/>
      <c r="E10940" s="21"/>
      <c r="F10940" s="21"/>
      <c r="G10940" s="25"/>
      <c r="H10940" s="24" t="str">
        <f>IFERROR(VLOOKUP(B10940,material!A:D,3,0),"")</f>
        <v/>
      </c>
    </row>
    <row r="10941" ht="11.25" customHeight="1">
      <c r="A10941" s="21"/>
      <c r="B10941" s="22"/>
      <c r="C10941" s="21"/>
      <c r="D10941" s="21"/>
      <c r="E10941" s="21"/>
      <c r="F10941" s="21"/>
      <c r="G10941" s="25"/>
      <c r="H10941" s="24" t="str">
        <f>IFERROR(VLOOKUP(B10941,material!A:D,3,0),"")</f>
        <v/>
      </c>
    </row>
    <row r="10942" ht="11.25" customHeight="1">
      <c r="A10942" s="21"/>
      <c r="B10942" s="22"/>
      <c r="C10942" s="21"/>
      <c r="D10942" s="21"/>
      <c r="E10942" s="21"/>
      <c r="F10942" s="21"/>
      <c r="G10942" s="25"/>
      <c r="H10942" s="24" t="str">
        <f>IFERROR(VLOOKUP(B10942,material!A:D,3,0),"")</f>
        <v/>
      </c>
    </row>
    <row r="10943" ht="11.25" customHeight="1">
      <c r="A10943" s="21"/>
      <c r="B10943" s="22"/>
      <c r="C10943" s="21"/>
      <c r="D10943" s="21"/>
      <c r="E10943" s="21"/>
      <c r="F10943" s="21"/>
      <c r="G10943" s="25"/>
      <c r="H10943" s="24" t="str">
        <f>IFERROR(VLOOKUP(B10943,material!A:D,3,0),"")</f>
        <v/>
      </c>
    </row>
    <row r="10944" ht="11.25" customHeight="1">
      <c r="A10944" s="21"/>
      <c r="B10944" s="22"/>
      <c r="C10944" s="21"/>
      <c r="D10944" s="21"/>
      <c r="E10944" s="21"/>
      <c r="F10944" s="21"/>
      <c r="G10944" s="25"/>
      <c r="H10944" s="24" t="str">
        <f>IFERROR(VLOOKUP(B10944,material!A:D,3,0),"")</f>
        <v/>
      </c>
    </row>
    <row r="10945" ht="11.25" customHeight="1">
      <c r="A10945" s="21"/>
      <c r="B10945" s="22"/>
      <c r="C10945" s="21"/>
      <c r="D10945" s="21"/>
      <c r="E10945" s="21"/>
      <c r="F10945" s="21"/>
      <c r="G10945" s="25"/>
      <c r="H10945" s="24" t="str">
        <f>IFERROR(VLOOKUP(B10945,material!A:D,3,0),"")</f>
        <v/>
      </c>
    </row>
    <row r="10946" ht="11.25" customHeight="1">
      <c r="A10946" s="21"/>
      <c r="B10946" s="22"/>
      <c r="C10946" s="21"/>
      <c r="D10946" s="21"/>
      <c r="E10946" s="21"/>
      <c r="F10946" s="21"/>
      <c r="G10946" s="25"/>
      <c r="H10946" s="24" t="str">
        <f>IFERROR(VLOOKUP(B10946,material!A:D,3,0),"")</f>
        <v/>
      </c>
    </row>
    <row r="10947" ht="11.25" customHeight="1">
      <c r="A10947" s="21"/>
      <c r="B10947" s="22"/>
      <c r="C10947" s="21"/>
      <c r="D10947" s="21"/>
      <c r="E10947" s="21"/>
      <c r="F10947" s="21"/>
      <c r="G10947" s="25"/>
      <c r="H10947" s="24" t="str">
        <f>IFERROR(VLOOKUP(B10947,material!A:D,3,0),"")</f>
        <v/>
      </c>
    </row>
    <row r="10948" ht="11.25" customHeight="1">
      <c r="A10948" s="21"/>
      <c r="B10948" s="22"/>
      <c r="C10948" s="21"/>
      <c r="D10948" s="21"/>
      <c r="E10948" s="21"/>
      <c r="F10948" s="21"/>
      <c r="G10948" s="25"/>
      <c r="H10948" s="24" t="str">
        <f>IFERROR(VLOOKUP(B10948,material!A:D,3,0),"")</f>
        <v/>
      </c>
    </row>
    <row r="10949" ht="11.25" customHeight="1">
      <c r="A10949" s="21"/>
      <c r="B10949" s="22"/>
      <c r="C10949" s="21"/>
      <c r="D10949" s="21"/>
      <c r="E10949" s="21"/>
      <c r="F10949" s="21"/>
      <c r="G10949" s="25"/>
      <c r="H10949" s="24" t="str">
        <f>IFERROR(VLOOKUP(B10949,material!A:D,3,0),"")</f>
        <v/>
      </c>
    </row>
    <row r="10950" ht="11.25" customHeight="1">
      <c r="A10950" s="21"/>
      <c r="B10950" s="22"/>
      <c r="C10950" s="21"/>
      <c r="D10950" s="21"/>
      <c r="E10950" s="21"/>
      <c r="F10950" s="21"/>
      <c r="G10950" s="25"/>
      <c r="H10950" s="24" t="str">
        <f>IFERROR(VLOOKUP(B10950,material!A:D,3,0),"")</f>
        <v/>
      </c>
    </row>
    <row r="10951" ht="11.25" customHeight="1">
      <c r="A10951" s="21"/>
      <c r="B10951" s="22"/>
      <c r="C10951" s="21"/>
      <c r="D10951" s="21"/>
      <c r="E10951" s="21"/>
      <c r="F10951" s="21"/>
      <c r="G10951" s="25"/>
      <c r="H10951" s="24" t="str">
        <f>IFERROR(VLOOKUP(B10951,material!A:D,3,0),"")</f>
        <v/>
      </c>
    </row>
    <row r="10952" ht="11.25" customHeight="1">
      <c r="A10952" s="21"/>
      <c r="B10952" s="22"/>
      <c r="C10952" s="21"/>
      <c r="D10952" s="21"/>
      <c r="E10952" s="21"/>
      <c r="F10952" s="21"/>
      <c r="G10952" s="25"/>
      <c r="H10952" s="24" t="str">
        <f>IFERROR(VLOOKUP(B10952,material!A:D,3,0),"")</f>
        <v/>
      </c>
    </row>
    <row r="10953" ht="11.25" customHeight="1">
      <c r="A10953" s="21"/>
      <c r="B10953" s="22"/>
      <c r="C10953" s="21"/>
      <c r="D10953" s="21"/>
      <c r="E10953" s="21"/>
      <c r="F10953" s="21"/>
      <c r="G10953" s="25"/>
      <c r="H10953" s="24" t="str">
        <f>IFERROR(VLOOKUP(B10953,material!A:D,3,0),"")</f>
        <v/>
      </c>
    </row>
    <row r="10954" ht="11.25" customHeight="1">
      <c r="A10954" s="21"/>
      <c r="B10954" s="22"/>
      <c r="C10954" s="21"/>
      <c r="D10954" s="21"/>
      <c r="E10954" s="21"/>
      <c r="F10954" s="21"/>
      <c r="G10954" s="25"/>
      <c r="H10954" s="24" t="str">
        <f>IFERROR(VLOOKUP(B10954,material!A:D,3,0),"")</f>
        <v/>
      </c>
    </row>
    <row r="10955" ht="11.25" customHeight="1">
      <c r="A10955" s="21"/>
      <c r="B10955" s="22"/>
      <c r="C10955" s="21"/>
      <c r="D10955" s="21"/>
      <c r="E10955" s="21"/>
      <c r="F10955" s="21"/>
      <c r="G10955" s="25"/>
      <c r="H10955" s="24" t="str">
        <f>IFERROR(VLOOKUP(B10955,material!A:D,3,0),"")</f>
        <v/>
      </c>
    </row>
    <row r="10956" ht="11.25" customHeight="1">
      <c r="A10956" s="21"/>
      <c r="B10956" s="22"/>
      <c r="C10956" s="21"/>
      <c r="D10956" s="21"/>
      <c r="E10956" s="21"/>
      <c r="F10956" s="21"/>
      <c r="G10956" s="25"/>
      <c r="H10956" s="24" t="str">
        <f>IFERROR(VLOOKUP(B10956,material!A:D,3,0),"")</f>
        <v/>
      </c>
    </row>
    <row r="10957" ht="11.25" customHeight="1">
      <c r="A10957" s="21"/>
      <c r="B10957" s="22"/>
      <c r="C10957" s="21"/>
      <c r="D10957" s="21"/>
      <c r="E10957" s="21"/>
      <c r="F10957" s="21"/>
      <c r="G10957" s="25"/>
      <c r="H10957" s="24" t="str">
        <f>IFERROR(VLOOKUP(B10957,material!A:D,3,0),"")</f>
        <v/>
      </c>
    </row>
    <row r="10958" ht="11.25" customHeight="1">
      <c r="A10958" s="21"/>
      <c r="B10958" s="22"/>
      <c r="C10958" s="21"/>
      <c r="D10958" s="21"/>
      <c r="E10958" s="21"/>
      <c r="F10958" s="21"/>
      <c r="G10958" s="25"/>
      <c r="H10958" s="24" t="str">
        <f>IFERROR(VLOOKUP(B10958,material!A:D,3,0),"")</f>
        <v/>
      </c>
    </row>
    <row r="10959" ht="11.25" customHeight="1">
      <c r="A10959" s="21"/>
      <c r="B10959" s="22"/>
      <c r="C10959" s="21"/>
      <c r="D10959" s="21"/>
      <c r="E10959" s="21"/>
      <c r="F10959" s="21"/>
      <c r="G10959" s="25"/>
      <c r="H10959" s="24" t="str">
        <f>IFERROR(VLOOKUP(B10959,material!A:D,3,0),"")</f>
        <v/>
      </c>
    </row>
    <row r="10960" ht="11.25" customHeight="1">
      <c r="A10960" s="21"/>
      <c r="B10960" s="22"/>
      <c r="C10960" s="21"/>
      <c r="D10960" s="21"/>
      <c r="E10960" s="21"/>
      <c r="F10960" s="21"/>
      <c r="G10960" s="25"/>
      <c r="H10960" s="24" t="str">
        <f>IFERROR(VLOOKUP(B10960,material!A:D,3,0),"")</f>
        <v/>
      </c>
    </row>
    <row r="10961" ht="11.25" customHeight="1">
      <c r="A10961" s="21"/>
      <c r="B10961" s="22"/>
      <c r="C10961" s="21"/>
      <c r="D10961" s="21"/>
      <c r="E10961" s="21"/>
      <c r="F10961" s="21"/>
      <c r="G10961" s="25"/>
      <c r="H10961" s="24" t="str">
        <f>IFERROR(VLOOKUP(B10961,material!A:D,3,0),"")</f>
        <v/>
      </c>
    </row>
    <row r="10962" ht="11.25" customHeight="1">
      <c r="A10962" s="21"/>
      <c r="B10962" s="22"/>
      <c r="C10962" s="21"/>
      <c r="D10962" s="21"/>
      <c r="E10962" s="21"/>
      <c r="F10962" s="21"/>
      <c r="G10962" s="25"/>
      <c r="H10962" s="24" t="str">
        <f>IFERROR(VLOOKUP(B10962,material!A:D,3,0),"")</f>
        <v/>
      </c>
    </row>
    <row r="10963" ht="11.25" customHeight="1">
      <c r="A10963" s="21"/>
      <c r="B10963" s="22"/>
      <c r="C10963" s="21"/>
      <c r="D10963" s="21"/>
      <c r="E10963" s="21"/>
      <c r="F10963" s="21"/>
      <c r="G10963" s="25"/>
      <c r="H10963" s="24" t="str">
        <f>IFERROR(VLOOKUP(B10963,material!A:D,3,0),"")</f>
        <v/>
      </c>
    </row>
    <row r="10964" ht="11.25" customHeight="1">
      <c r="A10964" s="21"/>
      <c r="B10964" s="22"/>
      <c r="C10964" s="21"/>
      <c r="D10964" s="21"/>
      <c r="E10964" s="21"/>
      <c r="F10964" s="21"/>
      <c r="G10964" s="25"/>
      <c r="H10964" s="24" t="str">
        <f>IFERROR(VLOOKUP(B10964,material!A:D,3,0),"")</f>
        <v/>
      </c>
    </row>
    <row r="10965" ht="11.25" customHeight="1">
      <c r="A10965" s="21"/>
      <c r="B10965" s="22"/>
      <c r="C10965" s="21"/>
      <c r="D10965" s="21"/>
      <c r="E10965" s="21"/>
      <c r="F10965" s="21"/>
      <c r="G10965" s="25"/>
      <c r="H10965" s="24" t="str">
        <f>IFERROR(VLOOKUP(B10965,material!A:D,3,0),"")</f>
        <v/>
      </c>
    </row>
    <row r="10966" ht="11.25" customHeight="1">
      <c r="A10966" s="21"/>
      <c r="B10966" s="22"/>
      <c r="C10966" s="21"/>
      <c r="D10966" s="21"/>
      <c r="E10966" s="21"/>
      <c r="F10966" s="21"/>
      <c r="G10966" s="25"/>
      <c r="H10966" s="24" t="str">
        <f>IFERROR(VLOOKUP(B10966,material!A:D,3,0),"")</f>
        <v/>
      </c>
    </row>
    <row r="10967" ht="11.25" customHeight="1">
      <c r="A10967" s="21"/>
      <c r="B10967" s="22"/>
      <c r="C10967" s="21"/>
      <c r="D10967" s="21"/>
      <c r="E10967" s="21"/>
      <c r="F10967" s="21"/>
      <c r="G10967" s="25"/>
      <c r="H10967" s="24" t="str">
        <f>IFERROR(VLOOKUP(B10967,material!A:D,3,0),"")</f>
        <v/>
      </c>
    </row>
    <row r="10968" ht="11.25" customHeight="1">
      <c r="A10968" s="21"/>
      <c r="B10968" s="22"/>
      <c r="C10968" s="21"/>
      <c r="D10968" s="21"/>
      <c r="E10968" s="21"/>
      <c r="F10968" s="21"/>
      <c r="G10968" s="25"/>
      <c r="H10968" s="24" t="str">
        <f>IFERROR(VLOOKUP(B10968,material!A:D,3,0),"")</f>
        <v/>
      </c>
    </row>
    <row r="10969" ht="11.25" customHeight="1">
      <c r="A10969" s="21"/>
      <c r="B10969" s="22"/>
      <c r="C10969" s="21"/>
      <c r="D10969" s="21"/>
      <c r="E10969" s="21"/>
      <c r="F10969" s="21"/>
      <c r="G10969" s="25"/>
      <c r="H10969" s="24" t="str">
        <f>IFERROR(VLOOKUP(B10969,material!A:D,3,0),"")</f>
        <v/>
      </c>
    </row>
    <row r="10970" ht="11.25" customHeight="1">
      <c r="A10970" s="21"/>
      <c r="B10970" s="22"/>
      <c r="C10970" s="21"/>
      <c r="D10970" s="21"/>
      <c r="E10970" s="21"/>
      <c r="F10970" s="21"/>
      <c r="G10970" s="25"/>
      <c r="H10970" s="24" t="str">
        <f>IFERROR(VLOOKUP(B10970,material!A:D,3,0),"")</f>
        <v/>
      </c>
    </row>
    <row r="10971" ht="11.25" customHeight="1">
      <c r="A10971" s="21"/>
      <c r="B10971" s="22"/>
      <c r="C10971" s="21"/>
      <c r="D10971" s="21"/>
      <c r="E10971" s="21"/>
      <c r="F10971" s="21"/>
      <c r="G10971" s="25"/>
      <c r="H10971" s="24" t="str">
        <f>IFERROR(VLOOKUP(B10971,material!A:D,3,0),"")</f>
        <v/>
      </c>
    </row>
    <row r="10972" ht="11.25" customHeight="1">
      <c r="A10972" s="21"/>
      <c r="B10972" s="22"/>
      <c r="C10972" s="21"/>
      <c r="D10972" s="21"/>
      <c r="E10972" s="21"/>
      <c r="F10972" s="21"/>
      <c r="G10972" s="25"/>
      <c r="H10972" s="24" t="str">
        <f>IFERROR(VLOOKUP(B10972,material!A:D,3,0),"")</f>
        <v/>
      </c>
    </row>
    <row r="10973" ht="11.25" customHeight="1">
      <c r="A10973" s="21"/>
      <c r="B10973" s="22"/>
      <c r="C10973" s="21"/>
      <c r="D10973" s="21"/>
      <c r="E10973" s="21"/>
      <c r="F10973" s="21"/>
      <c r="G10973" s="25"/>
      <c r="H10973" s="24" t="str">
        <f>IFERROR(VLOOKUP(B10973,material!A:D,3,0),"")</f>
        <v/>
      </c>
    </row>
    <row r="10974" ht="11.25" customHeight="1">
      <c r="A10974" s="21"/>
      <c r="B10974" s="22"/>
      <c r="C10974" s="21"/>
      <c r="D10974" s="21"/>
      <c r="E10974" s="21"/>
      <c r="F10974" s="21"/>
      <c r="G10974" s="25"/>
      <c r="H10974" s="24" t="str">
        <f>IFERROR(VLOOKUP(B10974,material!A:D,3,0),"")</f>
        <v/>
      </c>
    </row>
    <row r="10975" ht="11.25" customHeight="1">
      <c r="A10975" s="21"/>
      <c r="B10975" s="22"/>
      <c r="C10975" s="21"/>
      <c r="D10975" s="21"/>
      <c r="E10975" s="21"/>
      <c r="F10975" s="21"/>
      <c r="G10975" s="25"/>
      <c r="H10975" s="24" t="str">
        <f>IFERROR(VLOOKUP(B10975,material!A:D,3,0),"")</f>
        <v/>
      </c>
    </row>
    <row r="10976" ht="11.25" customHeight="1">
      <c r="A10976" s="21"/>
      <c r="B10976" s="22"/>
      <c r="C10976" s="21"/>
      <c r="D10976" s="21"/>
      <c r="E10976" s="21"/>
      <c r="F10976" s="21"/>
      <c r="G10976" s="25"/>
      <c r="H10976" s="24" t="str">
        <f>IFERROR(VLOOKUP(B10976,material!A:D,3,0),"")</f>
        <v/>
      </c>
    </row>
    <row r="10977" ht="11.25" customHeight="1">
      <c r="A10977" s="21"/>
      <c r="B10977" s="22"/>
      <c r="C10977" s="21"/>
      <c r="D10977" s="21"/>
      <c r="E10977" s="21"/>
      <c r="F10977" s="21"/>
      <c r="G10977" s="25"/>
      <c r="H10977" s="24" t="str">
        <f>IFERROR(VLOOKUP(B10977,material!A:D,3,0),"")</f>
        <v/>
      </c>
    </row>
    <row r="10978" ht="11.25" customHeight="1">
      <c r="A10978" s="21"/>
      <c r="B10978" s="22"/>
      <c r="C10978" s="21"/>
      <c r="D10978" s="21"/>
      <c r="E10978" s="21"/>
      <c r="F10978" s="21"/>
      <c r="G10978" s="25"/>
      <c r="H10978" s="24" t="str">
        <f>IFERROR(VLOOKUP(B10978,material!A:D,3,0),"")</f>
        <v/>
      </c>
    </row>
    <row r="10979" ht="11.25" customHeight="1">
      <c r="A10979" s="21"/>
      <c r="B10979" s="22"/>
      <c r="C10979" s="21"/>
      <c r="D10979" s="21"/>
      <c r="E10979" s="21"/>
      <c r="F10979" s="21"/>
      <c r="G10979" s="25"/>
      <c r="H10979" s="24" t="str">
        <f>IFERROR(VLOOKUP(B10979,material!A:D,3,0),"")</f>
        <v/>
      </c>
    </row>
    <row r="10980" ht="11.25" customHeight="1">
      <c r="A10980" s="21"/>
      <c r="B10980" s="22"/>
      <c r="C10980" s="21"/>
      <c r="D10980" s="21"/>
      <c r="E10980" s="21"/>
      <c r="F10980" s="21"/>
      <c r="G10980" s="25"/>
      <c r="H10980" s="24" t="str">
        <f>IFERROR(VLOOKUP(B10980,material!A:D,3,0),"")</f>
        <v/>
      </c>
    </row>
    <row r="10981" ht="11.25" customHeight="1">
      <c r="A10981" s="21"/>
      <c r="B10981" s="22"/>
      <c r="C10981" s="21"/>
      <c r="D10981" s="21"/>
      <c r="E10981" s="21"/>
      <c r="F10981" s="21"/>
      <c r="G10981" s="25"/>
      <c r="H10981" s="24" t="str">
        <f>IFERROR(VLOOKUP(B10981,material!A:D,3,0),"")</f>
        <v/>
      </c>
    </row>
    <row r="10982" ht="11.25" customHeight="1">
      <c r="A10982" s="21"/>
      <c r="B10982" s="22"/>
      <c r="C10982" s="21"/>
      <c r="D10982" s="21"/>
      <c r="E10982" s="21"/>
      <c r="F10982" s="21"/>
      <c r="G10982" s="25"/>
      <c r="H10982" s="24" t="str">
        <f>IFERROR(VLOOKUP(B10982,material!A:D,3,0),"")</f>
        <v/>
      </c>
    </row>
    <row r="10983" ht="11.25" customHeight="1">
      <c r="A10983" s="21"/>
      <c r="B10983" s="22"/>
      <c r="C10983" s="21"/>
      <c r="D10983" s="21"/>
      <c r="E10983" s="21"/>
      <c r="F10983" s="21"/>
      <c r="G10983" s="25"/>
      <c r="H10983" s="24" t="str">
        <f>IFERROR(VLOOKUP(B10983,material!A:D,3,0),"")</f>
        <v/>
      </c>
    </row>
    <row r="10984" ht="11.25" customHeight="1">
      <c r="A10984" s="21"/>
      <c r="B10984" s="22"/>
      <c r="C10984" s="21"/>
      <c r="D10984" s="21"/>
      <c r="E10984" s="21"/>
      <c r="F10984" s="21"/>
      <c r="G10984" s="25"/>
      <c r="H10984" s="24" t="str">
        <f>IFERROR(VLOOKUP(B10984,material!A:D,3,0),"")</f>
        <v/>
      </c>
    </row>
    <row r="10985" ht="11.25" customHeight="1">
      <c r="A10985" s="21"/>
      <c r="B10985" s="22"/>
      <c r="C10985" s="21"/>
      <c r="D10985" s="21"/>
      <c r="E10985" s="21"/>
      <c r="F10985" s="21"/>
      <c r="G10985" s="25"/>
      <c r="H10985" s="24" t="str">
        <f>IFERROR(VLOOKUP(B10985,material!A:D,3,0),"")</f>
        <v/>
      </c>
    </row>
    <row r="10986" ht="11.25" customHeight="1">
      <c r="A10986" s="21"/>
      <c r="B10986" s="22"/>
      <c r="C10986" s="21"/>
      <c r="D10986" s="21"/>
      <c r="E10986" s="21"/>
      <c r="F10986" s="21"/>
      <c r="G10986" s="25"/>
      <c r="H10986" s="24" t="str">
        <f>IFERROR(VLOOKUP(B10986,material!A:D,3,0),"")</f>
        <v/>
      </c>
    </row>
    <row r="10987" ht="11.25" customHeight="1">
      <c r="A10987" s="21"/>
      <c r="B10987" s="22"/>
      <c r="C10987" s="21"/>
      <c r="D10987" s="21"/>
      <c r="E10987" s="21"/>
      <c r="F10987" s="21"/>
      <c r="G10987" s="25"/>
      <c r="H10987" s="24" t="str">
        <f>IFERROR(VLOOKUP(B10987,material!A:D,3,0),"")</f>
        <v/>
      </c>
    </row>
    <row r="10988" ht="11.25" customHeight="1">
      <c r="A10988" s="21"/>
      <c r="B10988" s="22"/>
      <c r="C10988" s="21"/>
      <c r="D10988" s="21"/>
      <c r="E10988" s="21"/>
      <c r="F10988" s="21"/>
      <c r="G10988" s="25"/>
      <c r="H10988" s="24" t="str">
        <f>IFERROR(VLOOKUP(B10988,material!A:D,3,0),"")</f>
        <v/>
      </c>
    </row>
    <row r="10989" ht="11.25" customHeight="1">
      <c r="A10989" s="21"/>
      <c r="B10989" s="22"/>
      <c r="C10989" s="21"/>
      <c r="D10989" s="21"/>
      <c r="E10989" s="21"/>
      <c r="F10989" s="21"/>
      <c r="G10989" s="25"/>
      <c r="H10989" s="24" t="str">
        <f>IFERROR(VLOOKUP(B10989,material!A:D,3,0),"")</f>
        <v/>
      </c>
    </row>
    <row r="10990" ht="11.25" customHeight="1">
      <c r="A10990" s="21"/>
      <c r="B10990" s="22"/>
      <c r="C10990" s="21"/>
      <c r="D10990" s="21"/>
      <c r="E10990" s="21"/>
      <c r="F10990" s="21"/>
      <c r="G10990" s="25"/>
      <c r="H10990" s="24" t="str">
        <f>IFERROR(VLOOKUP(B10990,material!A:D,3,0),"")</f>
        <v/>
      </c>
    </row>
    <row r="10991" ht="11.25" customHeight="1">
      <c r="A10991" s="21"/>
      <c r="B10991" s="22"/>
      <c r="C10991" s="21"/>
      <c r="D10991" s="21"/>
      <c r="E10991" s="21"/>
      <c r="F10991" s="21"/>
      <c r="G10991" s="25"/>
      <c r="H10991" s="24" t="str">
        <f>IFERROR(VLOOKUP(B10991,material!A:D,3,0),"")</f>
        <v/>
      </c>
    </row>
    <row r="10992" ht="11.25" customHeight="1">
      <c r="A10992" s="21"/>
      <c r="B10992" s="22"/>
      <c r="C10992" s="21"/>
      <c r="D10992" s="21"/>
      <c r="E10992" s="21"/>
      <c r="F10992" s="21"/>
      <c r="G10992" s="25"/>
      <c r="H10992" s="24" t="str">
        <f>IFERROR(VLOOKUP(B10992,material!A:D,3,0),"")</f>
        <v/>
      </c>
    </row>
    <row r="10993" ht="11.25" customHeight="1">
      <c r="A10993" s="21"/>
      <c r="B10993" s="22"/>
      <c r="C10993" s="21"/>
      <c r="D10993" s="21"/>
      <c r="E10993" s="21"/>
      <c r="F10993" s="21"/>
      <c r="G10993" s="25"/>
      <c r="H10993" s="24" t="str">
        <f>IFERROR(VLOOKUP(B10993,material!A:D,3,0),"")</f>
        <v/>
      </c>
    </row>
    <row r="10994" ht="11.25" customHeight="1">
      <c r="A10994" s="21"/>
      <c r="B10994" s="22"/>
      <c r="C10994" s="21"/>
      <c r="D10994" s="21"/>
      <c r="E10994" s="21"/>
      <c r="F10994" s="21"/>
      <c r="G10994" s="25"/>
      <c r="H10994" s="24" t="str">
        <f>IFERROR(VLOOKUP(B10994,material!A:D,3,0),"")</f>
        <v/>
      </c>
    </row>
    <row r="10995" ht="11.25" customHeight="1">
      <c r="A10995" s="21"/>
      <c r="B10995" s="22"/>
      <c r="C10995" s="21"/>
      <c r="D10995" s="21"/>
      <c r="E10995" s="21"/>
      <c r="F10995" s="21"/>
      <c r="G10995" s="25"/>
      <c r="H10995" s="24" t="str">
        <f>IFERROR(VLOOKUP(B10995,material!A:D,3,0),"")</f>
        <v/>
      </c>
    </row>
    <row r="10996" ht="11.25" customHeight="1">
      <c r="A10996" s="21"/>
      <c r="B10996" s="22"/>
      <c r="C10996" s="21"/>
      <c r="D10996" s="21"/>
      <c r="E10996" s="21"/>
      <c r="F10996" s="21"/>
      <c r="G10996" s="25"/>
      <c r="H10996" s="24" t="str">
        <f>IFERROR(VLOOKUP(B10996,material!A:D,3,0),"")</f>
        <v/>
      </c>
    </row>
    <row r="10997" ht="11.25" customHeight="1">
      <c r="A10997" s="21"/>
      <c r="B10997" s="22"/>
      <c r="C10997" s="21"/>
      <c r="D10997" s="21"/>
      <c r="E10997" s="21"/>
      <c r="F10997" s="21"/>
      <c r="G10997" s="25"/>
      <c r="H10997" s="24" t="str">
        <f>IFERROR(VLOOKUP(B10997,material!A:D,3,0),"")</f>
        <v/>
      </c>
    </row>
    <row r="10998" ht="11.25" customHeight="1">
      <c r="A10998" s="21"/>
      <c r="B10998" s="22"/>
      <c r="C10998" s="21"/>
      <c r="D10998" s="21"/>
      <c r="E10998" s="21"/>
      <c r="F10998" s="21"/>
      <c r="G10998" s="25"/>
      <c r="H10998" s="24" t="str">
        <f>IFERROR(VLOOKUP(B10998,material!A:D,3,0),"")</f>
        <v/>
      </c>
    </row>
    <row r="10999" ht="11.25" customHeight="1">
      <c r="A10999" s="21"/>
      <c r="B10999" s="22"/>
      <c r="C10999" s="21"/>
      <c r="D10999" s="21"/>
      <c r="E10999" s="21"/>
      <c r="F10999" s="21"/>
      <c r="G10999" s="25"/>
      <c r="H10999" s="24" t="str">
        <f>IFERROR(VLOOKUP(B10999,material!A:D,3,0),"")</f>
        <v/>
      </c>
    </row>
    <row r="11000" ht="11.25" customHeight="1">
      <c r="A11000" s="21"/>
      <c r="B11000" s="22"/>
      <c r="C11000" s="21"/>
      <c r="D11000" s="21"/>
      <c r="E11000" s="21"/>
      <c r="F11000" s="21"/>
      <c r="G11000" s="25"/>
      <c r="H11000" s="24" t="str">
        <f>IFERROR(VLOOKUP(B11000,material!A:D,3,0),"")</f>
        <v/>
      </c>
    </row>
    <row r="11001" ht="11.25" customHeight="1">
      <c r="A11001" s="21"/>
      <c r="B11001" s="22"/>
      <c r="C11001" s="21"/>
      <c r="D11001" s="21"/>
      <c r="E11001" s="21"/>
      <c r="F11001" s="21"/>
      <c r="G11001" s="25"/>
      <c r="H11001" s="24" t="str">
        <f>IFERROR(VLOOKUP(B11001,material!A:D,3,0),"")</f>
        <v/>
      </c>
    </row>
    <row r="11002" ht="11.25" customHeight="1">
      <c r="A11002" s="21"/>
      <c r="B11002" s="22"/>
      <c r="C11002" s="21"/>
      <c r="D11002" s="21"/>
      <c r="E11002" s="21"/>
      <c r="F11002" s="21"/>
      <c r="G11002" s="25"/>
      <c r="H11002" s="24" t="str">
        <f>IFERROR(VLOOKUP(B11002,material!A:D,3,0),"")</f>
        <v/>
      </c>
    </row>
    <row r="11003" ht="11.25" customHeight="1">
      <c r="A11003" s="21"/>
      <c r="B11003" s="22"/>
      <c r="C11003" s="21"/>
      <c r="D11003" s="21"/>
      <c r="E11003" s="21"/>
      <c r="F11003" s="21"/>
      <c r="G11003" s="25"/>
      <c r="H11003" s="24" t="str">
        <f>IFERROR(VLOOKUP(B11003,material!A:D,3,0),"")</f>
        <v/>
      </c>
    </row>
    <row r="11004" ht="11.25" customHeight="1">
      <c r="A11004" s="21"/>
      <c r="B11004" s="22"/>
      <c r="C11004" s="21"/>
      <c r="D11004" s="21"/>
      <c r="E11004" s="21"/>
      <c r="F11004" s="21"/>
      <c r="G11004" s="25"/>
      <c r="H11004" s="24" t="str">
        <f>IFERROR(VLOOKUP(B11004,material!A:D,3,0),"")</f>
        <v/>
      </c>
    </row>
    <row r="11005" ht="11.25" customHeight="1">
      <c r="A11005" s="21"/>
      <c r="B11005" s="22"/>
      <c r="C11005" s="21"/>
      <c r="D11005" s="21"/>
      <c r="E11005" s="21"/>
      <c r="F11005" s="21"/>
      <c r="G11005" s="25"/>
      <c r="H11005" s="24" t="str">
        <f>IFERROR(VLOOKUP(B11005,material!A:D,3,0),"")</f>
        <v/>
      </c>
    </row>
    <row r="11006" ht="11.25" customHeight="1">
      <c r="A11006" s="21"/>
      <c r="B11006" s="22"/>
      <c r="C11006" s="21"/>
      <c r="D11006" s="21"/>
      <c r="E11006" s="21"/>
      <c r="F11006" s="21"/>
      <c r="G11006" s="25"/>
      <c r="H11006" s="24" t="str">
        <f>IFERROR(VLOOKUP(B11006,material!A:D,3,0),"")</f>
        <v/>
      </c>
    </row>
    <row r="11007" ht="11.25" customHeight="1">
      <c r="A11007" s="21"/>
      <c r="B11007" s="22"/>
      <c r="C11007" s="21"/>
      <c r="D11007" s="21"/>
      <c r="E11007" s="21"/>
      <c r="F11007" s="21"/>
      <c r="G11007" s="25"/>
      <c r="H11007" s="24" t="str">
        <f>IFERROR(VLOOKUP(B11007,material!A:D,3,0),"")</f>
        <v/>
      </c>
    </row>
    <row r="11008" ht="11.25" customHeight="1">
      <c r="A11008" s="21"/>
      <c r="B11008" s="22"/>
      <c r="C11008" s="21"/>
      <c r="D11008" s="21"/>
      <c r="E11008" s="21"/>
      <c r="F11008" s="21"/>
      <c r="G11008" s="25"/>
      <c r="H11008" s="24" t="str">
        <f>IFERROR(VLOOKUP(B11008,material!A:D,3,0),"")</f>
        <v/>
      </c>
    </row>
    <row r="11009" ht="11.25" customHeight="1">
      <c r="A11009" s="21"/>
      <c r="B11009" s="22"/>
      <c r="C11009" s="21"/>
      <c r="D11009" s="21"/>
      <c r="E11009" s="21"/>
      <c r="F11009" s="21"/>
      <c r="G11009" s="25"/>
      <c r="H11009" s="24" t="str">
        <f>IFERROR(VLOOKUP(B11009,material!A:D,3,0),"")</f>
        <v/>
      </c>
    </row>
    <row r="11010" ht="11.25" customHeight="1">
      <c r="A11010" s="21"/>
      <c r="B11010" s="22"/>
      <c r="C11010" s="21"/>
      <c r="D11010" s="21"/>
      <c r="E11010" s="21"/>
      <c r="F11010" s="21"/>
      <c r="G11010" s="25"/>
      <c r="H11010" s="24" t="str">
        <f>IFERROR(VLOOKUP(B11010,material!A:D,3,0),"")</f>
        <v/>
      </c>
    </row>
    <row r="11011" ht="11.25" customHeight="1">
      <c r="A11011" s="21"/>
      <c r="B11011" s="22"/>
      <c r="C11011" s="21"/>
      <c r="D11011" s="21"/>
      <c r="E11011" s="21"/>
      <c r="F11011" s="21"/>
      <c r="G11011" s="25"/>
      <c r="H11011" s="24" t="str">
        <f>IFERROR(VLOOKUP(B11011,material!A:D,3,0),"")</f>
        <v/>
      </c>
    </row>
    <row r="11012" ht="11.25" customHeight="1">
      <c r="A11012" s="21"/>
      <c r="B11012" s="22"/>
      <c r="C11012" s="21"/>
      <c r="D11012" s="21"/>
      <c r="E11012" s="21"/>
      <c r="F11012" s="21"/>
      <c r="G11012" s="25"/>
      <c r="H11012" s="24" t="str">
        <f>IFERROR(VLOOKUP(B11012,material!A:D,3,0),"")</f>
        <v/>
      </c>
    </row>
    <row r="11013" ht="11.25" customHeight="1">
      <c r="A11013" s="21"/>
      <c r="B11013" s="22"/>
      <c r="C11013" s="21"/>
      <c r="D11013" s="21"/>
      <c r="E11013" s="21"/>
      <c r="F11013" s="21"/>
      <c r="G11013" s="25"/>
      <c r="H11013" s="24" t="str">
        <f>IFERROR(VLOOKUP(B11013,material!A:D,3,0),"")</f>
        <v/>
      </c>
    </row>
    <row r="11014" ht="11.25" customHeight="1">
      <c r="A11014" s="21"/>
      <c r="B11014" s="22"/>
      <c r="C11014" s="21"/>
      <c r="D11014" s="21"/>
      <c r="E11014" s="21"/>
      <c r="F11014" s="21"/>
      <c r="G11014" s="25"/>
      <c r="H11014" s="24" t="str">
        <f>IFERROR(VLOOKUP(B11014,material!A:D,3,0),"")</f>
        <v/>
      </c>
    </row>
    <row r="11015" ht="11.25" customHeight="1">
      <c r="A11015" s="21"/>
      <c r="B11015" s="22"/>
      <c r="C11015" s="21"/>
      <c r="D11015" s="21"/>
      <c r="E11015" s="21"/>
      <c r="F11015" s="21"/>
      <c r="G11015" s="25"/>
      <c r="H11015" s="24" t="str">
        <f>IFERROR(VLOOKUP(B11015,material!A:D,3,0),"")</f>
        <v/>
      </c>
    </row>
    <row r="11016" ht="11.25" customHeight="1">
      <c r="A11016" s="21"/>
      <c r="B11016" s="22"/>
      <c r="C11016" s="21"/>
      <c r="D11016" s="21"/>
      <c r="E11016" s="21"/>
      <c r="F11016" s="21"/>
      <c r="G11016" s="25"/>
      <c r="H11016" s="24" t="str">
        <f>IFERROR(VLOOKUP(B11016,material!A:D,3,0),"")</f>
        <v/>
      </c>
    </row>
    <row r="11017" ht="11.25" customHeight="1">
      <c r="A11017" s="21"/>
      <c r="B11017" s="22"/>
      <c r="C11017" s="21"/>
      <c r="D11017" s="21"/>
      <c r="E11017" s="21"/>
      <c r="F11017" s="21"/>
      <c r="G11017" s="25"/>
      <c r="H11017" s="24" t="str">
        <f>IFERROR(VLOOKUP(B11017,material!A:D,3,0),"")</f>
        <v/>
      </c>
    </row>
    <row r="11018" ht="11.25" customHeight="1">
      <c r="A11018" s="21"/>
      <c r="B11018" s="22"/>
      <c r="C11018" s="21"/>
      <c r="D11018" s="21"/>
      <c r="E11018" s="21"/>
      <c r="F11018" s="21"/>
      <c r="G11018" s="25"/>
      <c r="H11018" s="24" t="str">
        <f>IFERROR(VLOOKUP(B11018,material!A:D,3,0),"")</f>
        <v/>
      </c>
    </row>
    <row r="11019" ht="11.25" customHeight="1">
      <c r="A11019" s="21"/>
      <c r="B11019" s="22"/>
      <c r="C11019" s="21"/>
      <c r="D11019" s="21"/>
      <c r="E11019" s="21"/>
      <c r="F11019" s="21"/>
      <c r="G11019" s="25"/>
      <c r="H11019" s="24" t="str">
        <f>IFERROR(VLOOKUP(B11019,material!A:D,3,0),"")</f>
        <v/>
      </c>
    </row>
    <row r="11020" ht="11.25" customHeight="1">
      <c r="A11020" s="21"/>
      <c r="B11020" s="22"/>
      <c r="C11020" s="21"/>
      <c r="D11020" s="21"/>
      <c r="E11020" s="21"/>
      <c r="F11020" s="21"/>
      <c r="G11020" s="25"/>
      <c r="H11020" s="24" t="str">
        <f>IFERROR(VLOOKUP(B11020,material!A:D,3,0),"")</f>
        <v/>
      </c>
    </row>
    <row r="11021" ht="11.25" customHeight="1">
      <c r="A11021" s="21"/>
      <c r="B11021" s="22"/>
      <c r="C11021" s="21"/>
      <c r="D11021" s="21"/>
      <c r="E11021" s="21"/>
      <c r="F11021" s="21"/>
      <c r="G11021" s="25"/>
      <c r="H11021" s="24" t="str">
        <f>IFERROR(VLOOKUP(B11021,material!A:D,3,0),"")</f>
        <v/>
      </c>
    </row>
    <row r="11022" ht="11.25" customHeight="1">
      <c r="A11022" s="21"/>
      <c r="B11022" s="22"/>
      <c r="C11022" s="21"/>
      <c r="D11022" s="21"/>
      <c r="E11022" s="21"/>
      <c r="F11022" s="21"/>
      <c r="G11022" s="25"/>
      <c r="H11022" s="24" t="str">
        <f>IFERROR(VLOOKUP(B11022,material!A:D,3,0),"")</f>
        <v/>
      </c>
    </row>
    <row r="11023" ht="11.25" customHeight="1">
      <c r="A11023" s="21"/>
      <c r="B11023" s="22"/>
      <c r="C11023" s="21"/>
      <c r="D11023" s="21"/>
      <c r="E11023" s="21"/>
      <c r="F11023" s="21"/>
      <c r="G11023" s="25"/>
      <c r="H11023" s="24" t="str">
        <f>IFERROR(VLOOKUP(B11023,material!A:D,3,0),"")</f>
        <v/>
      </c>
    </row>
    <row r="11024" ht="11.25" customHeight="1">
      <c r="A11024" s="21"/>
      <c r="B11024" s="22"/>
      <c r="C11024" s="21"/>
      <c r="D11024" s="21"/>
      <c r="E11024" s="21"/>
      <c r="F11024" s="21"/>
      <c r="G11024" s="25"/>
      <c r="H11024" s="24" t="str">
        <f>IFERROR(VLOOKUP(B11024,material!A:D,3,0),"")</f>
        <v/>
      </c>
    </row>
    <row r="11025" ht="11.25" customHeight="1">
      <c r="A11025" s="21"/>
      <c r="B11025" s="22"/>
      <c r="C11025" s="21"/>
      <c r="D11025" s="21"/>
      <c r="E11025" s="21"/>
      <c r="F11025" s="21"/>
      <c r="G11025" s="25"/>
      <c r="H11025" s="24" t="str">
        <f>IFERROR(VLOOKUP(B11025,material!A:D,3,0),"")</f>
        <v/>
      </c>
    </row>
    <row r="11026" ht="11.25" customHeight="1">
      <c r="A11026" s="21"/>
      <c r="B11026" s="22"/>
      <c r="C11026" s="21"/>
      <c r="D11026" s="21"/>
      <c r="E11026" s="21"/>
      <c r="F11026" s="21"/>
      <c r="G11026" s="25"/>
      <c r="H11026" s="24" t="str">
        <f>IFERROR(VLOOKUP(B11026,material!A:D,3,0),"")</f>
        <v/>
      </c>
    </row>
    <row r="11027" ht="11.25" customHeight="1">
      <c r="A11027" s="21"/>
      <c r="B11027" s="22"/>
      <c r="C11027" s="21"/>
      <c r="D11027" s="21"/>
      <c r="E11027" s="21"/>
      <c r="F11027" s="21"/>
      <c r="G11027" s="25"/>
      <c r="H11027" s="24" t="str">
        <f>IFERROR(VLOOKUP(B11027,material!A:D,3,0),"")</f>
        <v/>
      </c>
    </row>
    <row r="11028" ht="11.25" customHeight="1">
      <c r="A11028" s="21"/>
      <c r="B11028" s="22"/>
      <c r="C11028" s="21"/>
      <c r="D11028" s="21"/>
      <c r="E11028" s="21"/>
      <c r="F11028" s="21"/>
      <c r="G11028" s="25"/>
      <c r="H11028" s="24" t="str">
        <f>IFERROR(VLOOKUP(B11028,material!A:D,3,0),"")</f>
        <v/>
      </c>
    </row>
    <row r="11029" ht="11.25" customHeight="1">
      <c r="A11029" s="21"/>
      <c r="B11029" s="22"/>
      <c r="C11029" s="21"/>
      <c r="D11029" s="21"/>
      <c r="E11029" s="21"/>
      <c r="F11029" s="21"/>
      <c r="G11029" s="25"/>
      <c r="H11029" s="24" t="str">
        <f>IFERROR(VLOOKUP(B11029,material!A:D,3,0),"")</f>
        <v/>
      </c>
    </row>
    <row r="11030" ht="11.25" customHeight="1">
      <c r="A11030" s="21"/>
      <c r="B11030" s="22"/>
      <c r="C11030" s="21"/>
      <c r="D11030" s="21"/>
      <c r="E11030" s="21"/>
      <c r="F11030" s="21"/>
      <c r="G11030" s="25"/>
      <c r="H11030" s="24" t="str">
        <f>IFERROR(VLOOKUP(B11030,material!A:D,3,0),"")</f>
        <v/>
      </c>
    </row>
    <row r="11031" ht="11.25" customHeight="1">
      <c r="A11031" s="21"/>
      <c r="B11031" s="22"/>
      <c r="C11031" s="21"/>
      <c r="D11031" s="21"/>
      <c r="E11031" s="21"/>
      <c r="F11031" s="21"/>
      <c r="G11031" s="25"/>
      <c r="H11031" s="24" t="str">
        <f>IFERROR(VLOOKUP(B11031,material!A:D,3,0),"")</f>
        <v/>
      </c>
    </row>
    <row r="11032" ht="11.25" customHeight="1">
      <c r="A11032" s="21"/>
      <c r="B11032" s="22"/>
      <c r="C11032" s="21"/>
      <c r="D11032" s="21"/>
      <c r="E11032" s="21"/>
      <c r="F11032" s="21"/>
      <c r="G11032" s="25"/>
      <c r="H11032" s="24" t="str">
        <f>IFERROR(VLOOKUP(B11032,material!A:D,3,0),"")</f>
        <v/>
      </c>
    </row>
    <row r="11033" ht="11.25" customHeight="1">
      <c r="A11033" s="21"/>
      <c r="B11033" s="22"/>
      <c r="C11033" s="21"/>
      <c r="D11033" s="21"/>
      <c r="E11033" s="21"/>
      <c r="F11033" s="21"/>
      <c r="G11033" s="25"/>
      <c r="H11033" s="24" t="str">
        <f>IFERROR(VLOOKUP(B11033,material!A:D,3,0),"")</f>
        <v/>
      </c>
    </row>
    <row r="11034" ht="11.25" customHeight="1">
      <c r="A11034" s="21"/>
      <c r="B11034" s="22"/>
      <c r="C11034" s="21"/>
      <c r="D11034" s="21"/>
      <c r="E11034" s="21"/>
      <c r="F11034" s="21"/>
      <c r="G11034" s="25"/>
      <c r="H11034" s="24" t="str">
        <f>IFERROR(VLOOKUP(B11034,material!A:D,3,0),"")</f>
        <v/>
      </c>
    </row>
    <row r="11035" ht="11.25" customHeight="1">
      <c r="A11035" s="21"/>
      <c r="B11035" s="22"/>
      <c r="C11035" s="21"/>
      <c r="D11035" s="21"/>
      <c r="E11035" s="21"/>
      <c r="F11035" s="21"/>
      <c r="G11035" s="25"/>
      <c r="H11035" s="24" t="str">
        <f>IFERROR(VLOOKUP(B11035,material!A:D,3,0),"")</f>
        <v/>
      </c>
    </row>
    <row r="11036" ht="11.25" customHeight="1">
      <c r="A11036" s="21"/>
      <c r="B11036" s="22"/>
      <c r="C11036" s="21"/>
      <c r="D11036" s="21"/>
      <c r="E11036" s="21"/>
      <c r="F11036" s="21"/>
      <c r="G11036" s="25"/>
      <c r="H11036" s="24" t="str">
        <f>IFERROR(VLOOKUP(B11036,material!A:D,3,0),"")</f>
        <v/>
      </c>
    </row>
    <row r="11037" ht="11.25" customHeight="1">
      <c r="A11037" s="21"/>
      <c r="B11037" s="22"/>
      <c r="C11037" s="21"/>
      <c r="D11037" s="21"/>
      <c r="E11037" s="21"/>
      <c r="F11037" s="21"/>
      <c r="G11037" s="25"/>
      <c r="H11037" s="24" t="str">
        <f>IFERROR(VLOOKUP(B11037,material!A:D,3,0),"")</f>
        <v/>
      </c>
    </row>
    <row r="11038" ht="11.25" customHeight="1">
      <c r="A11038" s="21"/>
      <c r="B11038" s="22"/>
      <c r="C11038" s="21"/>
      <c r="D11038" s="21"/>
      <c r="E11038" s="21"/>
      <c r="F11038" s="21"/>
      <c r="G11038" s="25"/>
      <c r="H11038" s="24" t="str">
        <f>IFERROR(VLOOKUP(B11038,material!A:D,3,0),"")</f>
        <v/>
      </c>
    </row>
    <row r="11039" ht="11.25" customHeight="1">
      <c r="A11039" s="21"/>
      <c r="B11039" s="22"/>
      <c r="C11039" s="21"/>
      <c r="D11039" s="21"/>
      <c r="E11039" s="21"/>
      <c r="F11039" s="21"/>
      <c r="G11039" s="25"/>
      <c r="H11039" s="24" t="str">
        <f>IFERROR(VLOOKUP(B11039,material!A:D,3,0),"")</f>
        <v/>
      </c>
    </row>
    <row r="11040" ht="11.25" customHeight="1">
      <c r="A11040" s="21"/>
      <c r="B11040" s="22"/>
      <c r="C11040" s="21"/>
      <c r="D11040" s="21"/>
      <c r="E11040" s="21"/>
      <c r="F11040" s="21"/>
      <c r="G11040" s="25"/>
      <c r="H11040" s="24" t="str">
        <f>IFERROR(VLOOKUP(B11040,material!A:D,3,0),"")</f>
        <v/>
      </c>
    </row>
    <row r="11041" ht="11.25" customHeight="1">
      <c r="A11041" s="21"/>
      <c r="B11041" s="22"/>
      <c r="C11041" s="21"/>
      <c r="D11041" s="21"/>
      <c r="E11041" s="21"/>
      <c r="F11041" s="21"/>
      <c r="G11041" s="25"/>
      <c r="H11041" s="24" t="str">
        <f>IFERROR(VLOOKUP(B11041,material!A:D,3,0),"")</f>
        <v/>
      </c>
    </row>
    <row r="11042" ht="11.25" customHeight="1">
      <c r="A11042" s="21"/>
      <c r="B11042" s="22"/>
      <c r="C11042" s="21"/>
      <c r="D11042" s="21"/>
      <c r="E11042" s="21"/>
      <c r="F11042" s="21"/>
      <c r="G11042" s="25"/>
      <c r="H11042" s="24" t="str">
        <f>IFERROR(VLOOKUP(B11042,material!A:D,3,0),"")</f>
        <v/>
      </c>
    </row>
    <row r="11043" ht="11.25" customHeight="1">
      <c r="A11043" s="21"/>
      <c r="B11043" s="22"/>
      <c r="C11043" s="21"/>
      <c r="D11043" s="21"/>
      <c r="E11043" s="21"/>
      <c r="F11043" s="21"/>
      <c r="G11043" s="25"/>
      <c r="H11043" s="24" t="str">
        <f>IFERROR(VLOOKUP(B11043,material!A:D,3,0),"")</f>
        <v/>
      </c>
    </row>
    <row r="11044" ht="11.25" customHeight="1">
      <c r="A11044" s="21"/>
      <c r="B11044" s="22"/>
      <c r="C11044" s="21"/>
      <c r="D11044" s="21"/>
      <c r="E11044" s="21"/>
      <c r="F11044" s="21"/>
      <c r="G11044" s="25"/>
      <c r="H11044" s="24" t="str">
        <f>IFERROR(VLOOKUP(B11044,material!A:D,3,0),"")</f>
        <v/>
      </c>
    </row>
    <row r="11045" ht="11.25" customHeight="1">
      <c r="A11045" s="21"/>
      <c r="B11045" s="22"/>
      <c r="C11045" s="21"/>
      <c r="D11045" s="21"/>
      <c r="E11045" s="21"/>
      <c r="F11045" s="21"/>
      <c r="G11045" s="25"/>
      <c r="H11045" s="24" t="str">
        <f>IFERROR(VLOOKUP(B11045,material!A:D,3,0),"")</f>
        <v/>
      </c>
    </row>
    <row r="11046" ht="11.25" customHeight="1">
      <c r="A11046" s="21"/>
      <c r="B11046" s="22"/>
      <c r="C11046" s="21"/>
      <c r="D11046" s="21"/>
      <c r="E11046" s="21"/>
      <c r="F11046" s="21"/>
      <c r="G11046" s="25"/>
      <c r="H11046" s="24" t="str">
        <f>IFERROR(VLOOKUP(B11046,material!A:D,3,0),"")</f>
        <v/>
      </c>
    </row>
    <row r="11047" ht="11.25" customHeight="1">
      <c r="A11047" s="21"/>
      <c r="B11047" s="22"/>
      <c r="C11047" s="21"/>
      <c r="D11047" s="21"/>
      <c r="E11047" s="21"/>
      <c r="F11047" s="21"/>
      <c r="G11047" s="25"/>
      <c r="H11047" s="24" t="str">
        <f>IFERROR(VLOOKUP(B11047,material!A:D,3,0),"")</f>
        <v/>
      </c>
    </row>
    <row r="11048" ht="11.25" customHeight="1">
      <c r="A11048" s="21"/>
      <c r="B11048" s="22"/>
      <c r="C11048" s="21"/>
      <c r="D11048" s="21"/>
      <c r="E11048" s="21"/>
      <c r="F11048" s="21"/>
      <c r="G11048" s="25"/>
      <c r="H11048" s="24" t="str">
        <f>IFERROR(VLOOKUP(B11048,material!A:D,3,0),"")</f>
        <v/>
      </c>
    </row>
    <row r="11049" ht="11.25" customHeight="1">
      <c r="A11049" s="21"/>
      <c r="B11049" s="22"/>
      <c r="C11049" s="21"/>
      <c r="D11049" s="21"/>
      <c r="E11049" s="21"/>
      <c r="F11049" s="21"/>
      <c r="G11049" s="25"/>
      <c r="H11049" s="24" t="str">
        <f>IFERROR(VLOOKUP(B11049,material!A:D,3,0),"")</f>
        <v/>
      </c>
    </row>
    <row r="11050" ht="11.25" customHeight="1">
      <c r="A11050" s="21"/>
      <c r="B11050" s="22"/>
      <c r="C11050" s="21"/>
      <c r="D11050" s="21"/>
      <c r="E11050" s="21"/>
      <c r="F11050" s="21"/>
      <c r="G11050" s="25"/>
      <c r="H11050" s="24" t="str">
        <f>IFERROR(VLOOKUP(B11050,material!A:D,3,0),"")</f>
        <v/>
      </c>
    </row>
    <row r="11051" ht="11.25" customHeight="1">
      <c r="A11051" s="21"/>
      <c r="B11051" s="22"/>
      <c r="C11051" s="21"/>
      <c r="D11051" s="21"/>
      <c r="E11051" s="21"/>
      <c r="F11051" s="21"/>
      <c r="G11051" s="25"/>
      <c r="H11051" s="24" t="str">
        <f>IFERROR(VLOOKUP(B11051,material!A:D,3,0),"")</f>
        <v/>
      </c>
    </row>
    <row r="11052" ht="11.25" customHeight="1">
      <c r="A11052" s="21"/>
      <c r="B11052" s="22"/>
      <c r="C11052" s="21"/>
      <c r="D11052" s="21"/>
      <c r="E11052" s="21"/>
      <c r="F11052" s="21"/>
      <c r="G11052" s="25"/>
      <c r="H11052" s="24" t="str">
        <f>IFERROR(VLOOKUP(B11052,material!A:D,3,0),"")</f>
        <v/>
      </c>
    </row>
    <row r="11053" ht="11.25" customHeight="1">
      <c r="A11053" s="21"/>
      <c r="B11053" s="22"/>
      <c r="C11053" s="21"/>
      <c r="D11053" s="21"/>
      <c r="E11053" s="21"/>
      <c r="F11053" s="21"/>
      <c r="G11053" s="25"/>
      <c r="H11053" s="24" t="str">
        <f>IFERROR(VLOOKUP(B11053,material!A:D,3,0),"")</f>
        <v/>
      </c>
    </row>
    <row r="11054" ht="11.25" customHeight="1">
      <c r="A11054" s="21"/>
      <c r="B11054" s="22"/>
      <c r="C11054" s="21"/>
      <c r="D11054" s="21"/>
      <c r="E11054" s="21"/>
      <c r="F11054" s="21"/>
      <c r="G11054" s="25"/>
      <c r="H11054" s="24" t="str">
        <f>IFERROR(VLOOKUP(B11054,material!A:D,3,0),"")</f>
        <v/>
      </c>
    </row>
    <row r="11055" ht="11.25" customHeight="1">
      <c r="A11055" s="21"/>
      <c r="B11055" s="22"/>
      <c r="C11055" s="21"/>
      <c r="D11055" s="21"/>
      <c r="E11055" s="21"/>
      <c r="F11055" s="21"/>
      <c r="G11055" s="25"/>
      <c r="H11055" s="24" t="str">
        <f>IFERROR(VLOOKUP(B11055,material!A:D,3,0),"")</f>
        <v/>
      </c>
    </row>
    <row r="11056" ht="11.25" customHeight="1">
      <c r="A11056" s="21"/>
      <c r="B11056" s="22"/>
      <c r="C11056" s="21"/>
      <c r="D11056" s="21"/>
      <c r="E11056" s="21"/>
      <c r="F11056" s="21"/>
      <c r="G11056" s="25"/>
      <c r="H11056" s="24" t="str">
        <f>IFERROR(VLOOKUP(B11056,material!A:D,3,0),"")</f>
        <v/>
      </c>
    </row>
    <row r="11057" ht="11.25" customHeight="1">
      <c r="A11057" s="21"/>
      <c r="B11057" s="22"/>
      <c r="C11057" s="21"/>
      <c r="D11057" s="21"/>
      <c r="E11057" s="21"/>
      <c r="F11057" s="21"/>
      <c r="G11057" s="25"/>
      <c r="H11057" s="24" t="str">
        <f>IFERROR(VLOOKUP(B11057,material!A:D,3,0),"")</f>
        <v/>
      </c>
    </row>
    <row r="11058" ht="11.25" customHeight="1">
      <c r="A11058" s="21"/>
      <c r="B11058" s="22"/>
      <c r="C11058" s="21"/>
      <c r="D11058" s="21"/>
      <c r="E11058" s="21"/>
      <c r="F11058" s="21"/>
      <c r="G11058" s="25"/>
      <c r="H11058" s="24" t="str">
        <f>IFERROR(VLOOKUP(B11058,material!A:D,3,0),"")</f>
        <v/>
      </c>
    </row>
    <row r="11059" ht="11.25" customHeight="1">
      <c r="A11059" s="21"/>
      <c r="B11059" s="22"/>
      <c r="C11059" s="21"/>
      <c r="D11059" s="21"/>
      <c r="E11059" s="21"/>
      <c r="F11059" s="21"/>
      <c r="G11059" s="25"/>
      <c r="H11059" s="24" t="str">
        <f>IFERROR(VLOOKUP(B11059,material!A:D,3,0),"")</f>
        <v/>
      </c>
    </row>
    <row r="11060" ht="11.25" customHeight="1">
      <c r="A11060" s="21"/>
      <c r="B11060" s="22"/>
      <c r="C11060" s="21"/>
      <c r="D11060" s="21"/>
      <c r="E11060" s="21"/>
      <c r="F11060" s="21"/>
      <c r="G11060" s="25"/>
      <c r="H11060" s="24" t="str">
        <f>IFERROR(VLOOKUP(B11060,material!A:D,3,0),"")</f>
        <v/>
      </c>
    </row>
    <row r="11061" ht="11.25" customHeight="1">
      <c r="A11061" s="21"/>
      <c r="B11061" s="22"/>
      <c r="C11061" s="21"/>
      <c r="D11061" s="21"/>
      <c r="E11061" s="21"/>
      <c r="F11061" s="21"/>
      <c r="G11061" s="25"/>
      <c r="H11061" s="24" t="str">
        <f>IFERROR(VLOOKUP(B11061,material!A:D,3,0),"")</f>
        <v/>
      </c>
    </row>
    <row r="11062" ht="11.25" customHeight="1">
      <c r="A11062" s="21"/>
      <c r="B11062" s="22"/>
      <c r="C11062" s="21"/>
      <c r="D11062" s="21"/>
      <c r="E11062" s="21"/>
      <c r="F11062" s="21"/>
      <c r="G11062" s="25"/>
      <c r="H11062" s="24" t="str">
        <f>IFERROR(VLOOKUP(B11062,material!A:D,3,0),"")</f>
        <v/>
      </c>
    </row>
    <row r="11063" ht="11.25" customHeight="1">
      <c r="A11063" s="21"/>
      <c r="B11063" s="22"/>
      <c r="C11063" s="21"/>
      <c r="D11063" s="21"/>
      <c r="E11063" s="21"/>
      <c r="F11063" s="21"/>
      <c r="G11063" s="25"/>
      <c r="H11063" s="24" t="str">
        <f>IFERROR(VLOOKUP(B11063,material!A:D,3,0),"")</f>
        <v/>
      </c>
    </row>
    <row r="11064" ht="11.25" customHeight="1">
      <c r="A11064" s="21"/>
      <c r="B11064" s="22"/>
      <c r="C11064" s="21"/>
      <c r="D11064" s="21"/>
      <c r="E11064" s="21"/>
      <c r="F11064" s="21"/>
      <c r="G11064" s="25"/>
      <c r="H11064" s="24" t="str">
        <f>IFERROR(VLOOKUP(B11064,material!A:D,3,0),"")</f>
        <v/>
      </c>
    </row>
    <row r="11065" ht="11.25" customHeight="1">
      <c r="A11065" s="21"/>
      <c r="B11065" s="22"/>
      <c r="C11065" s="21"/>
      <c r="D11065" s="21"/>
      <c r="E11065" s="21"/>
      <c r="F11065" s="21"/>
      <c r="G11065" s="25"/>
      <c r="H11065" s="24" t="str">
        <f>IFERROR(VLOOKUP(B11065,material!A:D,3,0),"")</f>
        <v/>
      </c>
    </row>
    <row r="11066" ht="11.25" customHeight="1">
      <c r="A11066" s="21"/>
      <c r="B11066" s="22"/>
      <c r="C11066" s="21"/>
      <c r="D11066" s="21"/>
      <c r="E11066" s="21"/>
      <c r="F11066" s="21"/>
      <c r="G11066" s="25"/>
      <c r="H11066" s="24" t="str">
        <f>IFERROR(VLOOKUP(B11066,material!A:D,3,0),"")</f>
        <v/>
      </c>
    </row>
    <row r="11067" ht="11.25" customHeight="1">
      <c r="A11067" s="21"/>
      <c r="B11067" s="22"/>
      <c r="C11067" s="21"/>
      <c r="D11067" s="21"/>
      <c r="E11067" s="21"/>
      <c r="F11067" s="21"/>
      <c r="G11067" s="25"/>
      <c r="H11067" s="24" t="str">
        <f>IFERROR(VLOOKUP(B11067,material!A:D,3,0),"")</f>
        <v/>
      </c>
    </row>
    <row r="11068" ht="11.25" customHeight="1">
      <c r="A11068" s="21"/>
      <c r="B11068" s="22"/>
      <c r="C11068" s="21"/>
      <c r="D11068" s="21"/>
      <c r="E11068" s="21"/>
      <c r="F11068" s="21"/>
      <c r="G11068" s="25"/>
      <c r="H11068" s="24" t="str">
        <f>IFERROR(VLOOKUP(B11068,material!A:D,3,0),"")</f>
        <v/>
      </c>
    </row>
    <row r="11069" ht="11.25" customHeight="1">
      <c r="A11069" s="21"/>
      <c r="B11069" s="22"/>
      <c r="C11069" s="21"/>
      <c r="D11069" s="21"/>
      <c r="E11069" s="21"/>
      <c r="F11069" s="21"/>
      <c r="G11069" s="25"/>
      <c r="H11069" s="24" t="str">
        <f>IFERROR(VLOOKUP(B11069,material!A:D,3,0),"")</f>
        <v/>
      </c>
    </row>
    <row r="11070" ht="11.25" customHeight="1">
      <c r="A11070" s="21"/>
      <c r="B11070" s="22"/>
      <c r="C11070" s="21"/>
      <c r="D11070" s="21"/>
      <c r="E11070" s="21"/>
      <c r="F11070" s="21"/>
      <c r="G11070" s="25"/>
      <c r="H11070" s="24" t="str">
        <f>IFERROR(VLOOKUP(B11070,material!A:D,3,0),"")</f>
        <v/>
      </c>
    </row>
    <row r="11071" ht="11.25" customHeight="1">
      <c r="A11071" s="21"/>
      <c r="B11071" s="22"/>
      <c r="C11071" s="21"/>
      <c r="D11071" s="21"/>
      <c r="E11071" s="21"/>
      <c r="F11071" s="21"/>
      <c r="G11071" s="25"/>
      <c r="H11071" s="24" t="str">
        <f>IFERROR(VLOOKUP(B11071,material!A:D,3,0),"")</f>
        <v/>
      </c>
    </row>
    <row r="11072" ht="11.25" customHeight="1">
      <c r="A11072" s="21"/>
      <c r="B11072" s="22"/>
      <c r="C11072" s="21"/>
      <c r="D11072" s="21"/>
      <c r="E11072" s="21"/>
      <c r="F11072" s="21"/>
      <c r="G11072" s="25"/>
      <c r="H11072" s="24" t="str">
        <f>IFERROR(VLOOKUP(B11072,material!A:D,3,0),"")</f>
        <v/>
      </c>
    </row>
    <row r="11073" ht="11.25" customHeight="1">
      <c r="A11073" s="21"/>
      <c r="B11073" s="22"/>
      <c r="C11073" s="21"/>
      <c r="D11073" s="21"/>
      <c r="E11073" s="21"/>
      <c r="F11073" s="21"/>
      <c r="G11073" s="25"/>
      <c r="H11073" s="24" t="str">
        <f>IFERROR(VLOOKUP(B11073,material!A:D,3,0),"")</f>
        <v/>
      </c>
    </row>
    <row r="11074" ht="11.25" customHeight="1">
      <c r="A11074" s="21"/>
      <c r="B11074" s="22"/>
      <c r="C11074" s="21"/>
      <c r="D11074" s="21"/>
      <c r="E11074" s="21"/>
      <c r="F11074" s="21"/>
      <c r="G11074" s="25"/>
      <c r="H11074" s="24" t="str">
        <f>IFERROR(VLOOKUP(B11074,material!A:D,3,0),"")</f>
        <v/>
      </c>
    </row>
    <row r="11075" ht="11.25" customHeight="1">
      <c r="A11075" s="21"/>
      <c r="B11075" s="22"/>
      <c r="C11075" s="21"/>
      <c r="D11075" s="21"/>
      <c r="E11075" s="21"/>
      <c r="F11075" s="21"/>
      <c r="G11075" s="25"/>
      <c r="H11075" s="24" t="str">
        <f>IFERROR(VLOOKUP(B11075,material!A:D,3,0),"")</f>
        <v/>
      </c>
    </row>
    <row r="11076" ht="11.25" customHeight="1">
      <c r="A11076" s="21"/>
      <c r="B11076" s="22"/>
      <c r="C11076" s="21"/>
      <c r="D11076" s="21"/>
      <c r="E11076" s="21"/>
      <c r="F11076" s="21"/>
      <c r="G11076" s="25"/>
      <c r="H11076" s="24" t="str">
        <f>IFERROR(VLOOKUP(B11076,material!A:D,3,0),"")</f>
        <v/>
      </c>
    </row>
    <row r="11077" ht="11.25" customHeight="1">
      <c r="A11077" s="21"/>
      <c r="B11077" s="22"/>
      <c r="C11077" s="21"/>
      <c r="D11077" s="21"/>
      <c r="E11077" s="21"/>
      <c r="F11077" s="21"/>
      <c r="G11077" s="25"/>
      <c r="H11077" s="24" t="str">
        <f>IFERROR(VLOOKUP(B11077,material!A:D,3,0),"")</f>
        <v/>
      </c>
    </row>
    <row r="11078" ht="11.25" customHeight="1">
      <c r="A11078" s="21"/>
      <c r="B11078" s="22"/>
      <c r="C11078" s="21"/>
      <c r="D11078" s="21"/>
      <c r="E11078" s="21"/>
      <c r="F11078" s="21"/>
      <c r="G11078" s="25"/>
      <c r="H11078" s="24" t="str">
        <f>IFERROR(VLOOKUP(B11078,material!A:D,3,0),"")</f>
        <v/>
      </c>
    </row>
    <row r="11079" ht="11.25" customHeight="1">
      <c r="A11079" s="21"/>
      <c r="B11079" s="22"/>
      <c r="C11079" s="21"/>
      <c r="D11079" s="21"/>
      <c r="E11079" s="21"/>
      <c r="F11079" s="21"/>
      <c r="G11079" s="25"/>
      <c r="H11079" s="24" t="str">
        <f>IFERROR(VLOOKUP(B11079,material!A:D,3,0),"")</f>
        <v/>
      </c>
    </row>
    <row r="11080" ht="11.25" customHeight="1">
      <c r="A11080" s="21"/>
      <c r="B11080" s="22"/>
      <c r="C11080" s="21"/>
      <c r="D11080" s="21"/>
      <c r="E11080" s="21"/>
      <c r="F11080" s="21"/>
      <c r="G11080" s="25"/>
      <c r="H11080" s="24" t="str">
        <f>IFERROR(VLOOKUP(B11080,material!A:D,3,0),"")</f>
        <v/>
      </c>
    </row>
    <row r="11081" ht="11.25" customHeight="1">
      <c r="A11081" s="21"/>
      <c r="B11081" s="22"/>
      <c r="C11081" s="21"/>
      <c r="D11081" s="21"/>
      <c r="E11081" s="21"/>
      <c r="F11081" s="21"/>
      <c r="G11081" s="25"/>
      <c r="H11081" s="24" t="str">
        <f>IFERROR(VLOOKUP(B11081,material!A:D,3,0),"")</f>
        <v/>
      </c>
    </row>
    <row r="11082" ht="11.25" customHeight="1">
      <c r="A11082" s="21"/>
      <c r="B11082" s="22"/>
      <c r="C11082" s="21"/>
      <c r="D11082" s="21"/>
      <c r="E11082" s="21"/>
      <c r="F11082" s="21"/>
      <c r="G11082" s="25"/>
      <c r="H11082" s="24" t="str">
        <f>IFERROR(VLOOKUP(B11082,material!A:D,3,0),"")</f>
        <v/>
      </c>
    </row>
    <row r="11083" ht="11.25" customHeight="1">
      <c r="A11083" s="21"/>
      <c r="B11083" s="22"/>
      <c r="C11083" s="21"/>
      <c r="D11083" s="21"/>
      <c r="E11083" s="21"/>
      <c r="F11083" s="21"/>
      <c r="G11083" s="25"/>
      <c r="H11083" s="24" t="str">
        <f>IFERROR(VLOOKUP(B11083,material!A:D,3,0),"")</f>
        <v/>
      </c>
    </row>
    <row r="11084" ht="11.25" customHeight="1">
      <c r="A11084" s="21"/>
      <c r="B11084" s="22"/>
      <c r="C11084" s="21"/>
      <c r="D11084" s="21"/>
      <c r="E11084" s="21"/>
      <c r="F11084" s="21"/>
      <c r="G11084" s="25"/>
      <c r="H11084" s="24" t="str">
        <f>IFERROR(VLOOKUP(B11084,material!A:D,3,0),"")</f>
        <v/>
      </c>
    </row>
    <row r="11085" ht="11.25" customHeight="1">
      <c r="A11085" s="21"/>
      <c r="B11085" s="22"/>
      <c r="C11085" s="21"/>
      <c r="D11085" s="21"/>
      <c r="E11085" s="21"/>
      <c r="F11085" s="21"/>
      <c r="G11085" s="25"/>
      <c r="H11085" s="24" t="str">
        <f>IFERROR(VLOOKUP(B11085,material!A:D,3,0),"")</f>
        <v/>
      </c>
    </row>
    <row r="11086" ht="11.25" customHeight="1">
      <c r="A11086" s="21"/>
      <c r="B11086" s="22"/>
      <c r="C11086" s="21"/>
      <c r="D11086" s="21"/>
      <c r="E11086" s="21"/>
      <c r="F11086" s="21"/>
      <c r="G11086" s="25"/>
      <c r="H11086" s="24" t="str">
        <f>IFERROR(VLOOKUP(B11086,material!A:D,3,0),"")</f>
        <v/>
      </c>
    </row>
    <row r="11087" ht="11.25" customHeight="1">
      <c r="A11087" s="21"/>
      <c r="B11087" s="22"/>
      <c r="C11087" s="21"/>
      <c r="D11087" s="21"/>
      <c r="E11087" s="21"/>
      <c r="F11087" s="21"/>
      <c r="G11087" s="25"/>
      <c r="H11087" s="24" t="str">
        <f>IFERROR(VLOOKUP(B11087,material!A:D,3,0),"")</f>
        <v/>
      </c>
    </row>
    <row r="11088" ht="11.25" customHeight="1">
      <c r="A11088" s="21"/>
      <c r="B11088" s="22"/>
      <c r="C11088" s="21"/>
      <c r="D11088" s="21"/>
      <c r="E11088" s="21"/>
      <c r="F11088" s="21"/>
      <c r="G11088" s="25"/>
      <c r="H11088" s="24" t="str">
        <f>IFERROR(VLOOKUP(B11088,material!A:D,3,0),"")</f>
        <v/>
      </c>
    </row>
    <row r="11089" ht="11.25" customHeight="1">
      <c r="A11089" s="21"/>
      <c r="B11089" s="22"/>
      <c r="C11089" s="21"/>
      <c r="D11089" s="21"/>
      <c r="E11089" s="21"/>
      <c r="F11089" s="21"/>
      <c r="G11089" s="25"/>
      <c r="H11089" s="24" t="str">
        <f>IFERROR(VLOOKUP(B11089,material!A:D,3,0),"")</f>
        <v/>
      </c>
    </row>
    <row r="11090" ht="11.25" customHeight="1">
      <c r="A11090" s="21"/>
      <c r="B11090" s="22"/>
      <c r="C11090" s="21"/>
      <c r="D11090" s="21"/>
      <c r="E11090" s="21"/>
      <c r="F11090" s="21"/>
      <c r="G11090" s="25"/>
      <c r="H11090" s="24" t="str">
        <f>IFERROR(VLOOKUP(B11090,material!A:D,3,0),"")</f>
        <v/>
      </c>
    </row>
    <row r="11091" ht="11.25" customHeight="1">
      <c r="A11091" s="21"/>
      <c r="B11091" s="22"/>
      <c r="C11091" s="21"/>
      <c r="D11091" s="21"/>
      <c r="E11091" s="21"/>
      <c r="F11091" s="21"/>
      <c r="G11091" s="25"/>
      <c r="H11091" s="24" t="str">
        <f>IFERROR(VLOOKUP(B11091,material!A:D,3,0),"")</f>
        <v/>
      </c>
    </row>
    <row r="11092" ht="11.25" customHeight="1">
      <c r="A11092" s="21"/>
      <c r="B11092" s="22"/>
      <c r="C11092" s="21"/>
      <c r="D11092" s="21"/>
      <c r="E11092" s="21"/>
      <c r="F11092" s="21"/>
      <c r="G11092" s="25"/>
      <c r="H11092" s="24" t="str">
        <f>IFERROR(VLOOKUP(B11092,material!A:D,3,0),"")</f>
        <v/>
      </c>
    </row>
    <row r="11093" ht="11.25" customHeight="1">
      <c r="A11093" s="21"/>
      <c r="B11093" s="22"/>
      <c r="C11093" s="21"/>
      <c r="D11093" s="21"/>
      <c r="E11093" s="21"/>
      <c r="F11093" s="21"/>
      <c r="G11093" s="25"/>
      <c r="H11093" s="24" t="str">
        <f>IFERROR(VLOOKUP(B11093,material!A:D,3,0),"")</f>
        <v/>
      </c>
    </row>
    <row r="11094" ht="11.25" customHeight="1">
      <c r="A11094" s="21"/>
      <c r="B11094" s="22"/>
      <c r="C11094" s="21"/>
      <c r="D11094" s="21"/>
      <c r="E11094" s="21"/>
      <c r="F11094" s="21"/>
      <c r="G11094" s="25"/>
      <c r="H11094" s="24" t="str">
        <f>IFERROR(VLOOKUP(B11094,material!A:D,3,0),"")</f>
        <v/>
      </c>
    </row>
    <row r="11095" ht="11.25" customHeight="1">
      <c r="A11095" s="21"/>
      <c r="B11095" s="22"/>
      <c r="C11095" s="21"/>
      <c r="D11095" s="21"/>
      <c r="E11095" s="21"/>
      <c r="F11095" s="21"/>
      <c r="G11095" s="25"/>
      <c r="H11095" s="24" t="str">
        <f>IFERROR(VLOOKUP(B11095,material!A:D,3,0),"")</f>
        <v/>
      </c>
    </row>
    <row r="11096" ht="11.25" customHeight="1">
      <c r="A11096" s="21"/>
      <c r="B11096" s="22"/>
      <c r="C11096" s="21"/>
      <c r="D11096" s="21"/>
      <c r="E11096" s="21"/>
      <c r="F11096" s="21"/>
      <c r="G11096" s="25"/>
      <c r="H11096" s="24" t="str">
        <f>IFERROR(VLOOKUP(B11096,material!A:D,3,0),"")</f>
        <v/>
      </c>
    </row>
    <row r="11097" ht="11.25" customHeight="1">
      <c r="A11097" s="21"/>
      <c r="B11097" s="22"/>
      <c r="C11097" s="21"/>
      <c r="D11097" s="21"/>
      <c r="E11097" s="21"/>
      <c r="F11097" s="21"/>
      <c r="G11097" s="25"/>
      <c r="H11097" s="24" t="str">
        <f>IFERROR(VLOOKUP(B11097,material!A:D,3,0),"")</f>
        <v/>
      </c>
    </row>
    <row r="11098" ht="11.25" customHeight="1">
      <c r="A11098" s="21"/>
      <c r="B11098" s="22"/>
      <c r="C11098" s="21"/>
      <c r="D11098" s="21"/>
      <c r="E11098" s="21"/>
      <c r="F11098" s="21"/>
      <c r="G11098" s="25"/>
      <c r="H11098" s="24" t="str">
        <f>IFERROR(VLOOKUP(B11098,material!A:D,3,0),"")</f>
        <v/>
      </c>
    </row>
    <row r="11099" ht="11.25" customHeight="1">
      <c r="A11099" s="21"/>
      <c r="B11099" s="22"/>
      <c r="C11099" s="21"/>
      <c r="D11099" s="21"/>
      <c r="E11099" s="21"/>
      <c r="F11099" s="21"/>
      <c r="G11099" s="25"/>
      <c r="H11099" s="24" t="str">
        <f>IFERROR(VLOOKUP(B11099,material!A:D,3,0),"")</f>
        <v/>
      </c>
    </row>
    <row r="11100" ht="11.25" customHeight="1">
      <c r="A11100" s="21"/>
      <c r="B11100" s="22"/>
      <c r="C11100" s="21"/>
      <c r="D11100" s="21"/>
      <c r="E11100" s="21"/>
      <c r="F11100" s="21"/>
      <c r="G11100" s="25"/>
      <c r="H11100" s="24" t="str">
        <f>IFERROR(VLOOKUP(B11100,material!A:D,3,0),"")</f>
        <v/>
      </c>
    </row>
    <row r="11101" ht="11.25" customHeight="1">
      <c r="A11101" s="21"/>
      <c r="B11101" s="22"/>
      <c r="C11101" s="21"/>
      <c r="D11101" s="21"/>
      <c r="E11101" s="21"/>
      <c r="F11101" s="21"/>
      <c r="G11101" s="25"/>
      <c r="H11101" s="24" t="str">
        <f>IFERROR(VLOOKUP(B11101,material!A:D,3,0),"")</f>
        <v/>
      </c>
    </row>
    <row r="11102" ht="11.25" customHeight="1">
      <c r="A11102" s="21"/>
      <c r="B11102" s="22"/>
      <c r="C11102" s="21"/>
      <c r="D11102" s="21"/>
      <c r="E11102" s="21"/>
      <c r="F11102" s="21"/>
      <c r="G11102" s="25"/>
      <c r="H11102" s="24" t="str">
        <f>IFERROR(VLOOKUP(B11102,material!A:D,3,0),"")</f>
        <v/>
      </c>
    </row>
    <row r="11103" ht="11.25" customHeight="1">
      <c r="A11103" s="21"/>
      <c r="B11103" s="22"/>
      <c r="C11103" s="21"/>
      <c r="D11103" s="21"/>
      <c r="E11103" s="21"/>
      <c r="F11103" s="21"/>
      <c r="G11103" s="25"/>
      <c r="H11103" s="24" t="str">
        <f>IFERROR(VLOOKUP(B11103,material!A:D,3,0),"")</f>
        <v/>
      </c>
    </row>
    <row r="11104" ht="11.25" customHeight="1">
      <c r="A11104" s="21"/>
      <c r="B11104" s="22"/>
      <c r="C11104" s="21"/>
      <c r="D11104" s="21"/>
      <c r="E11104" s="21"/>
      <c r="F11104" s="21"/>
      <c r="G11104" s="25"/>
      <c r="H11104" s="24" t="str">
        <f>IFERROR(VLOOKUP(B11104,material!A:D,3,0),"")</f>
        <v/>
      </c>
    </row>
    <row r="11105" ht="11.25" customHeight="1">
      <c r="A11105" s="21"/>
      <c r="B11105" s="22"/>
      <c r="C11105" s="21"/>
      <c r="D11105" s="21"/>
      <c r="E11105" s="21"/>
      <c r="F11105" s="21"/>
      <c r="G11105" s="25"/>
      <c r="H11105" s="24" t="str">
        <f>IFERROR(VLOOKUP(B11105,material!A:D,3,0),"")</f>
        <v/>
      </c>
    </row>
    <row r="11106" ht="11.25" customHeight="1">
      <c r="A11106" s="21"/>
      <c r="B11106" s="22"/>
      <c r="C11106" s="21"/>
      <c r="D11106" s="21"/>
      <c r="E11106" s="21"/>
      <c r="F11106" s="21"/>
      <c r="G11106" s="25"/>
      <c r="H11106" s="24" t="str">
        <f>IFERROR(VLOOKUP(B11106,material!A:D,3,0),"")</f>
        <v/>
      </c>
    </row>
    <row r="11107" ht="11.25" customHeight="1">
      <c r="A11107" s="21"/>
      <c r="B11107" s="22"/>
      <c r="C11107" s="21"/>
      <c r="D11107" s="21"/>
      <c r="E11107" s="21"/>
      <c r="F11107" s="21"/>
      <c r="G11107" s="25"/>
      <c r="H11107" s="24" t="str">
        <f>IFERROR(VLOOKUP(B11107,material!A:D,3,0),"")</f>
        <v/>
      </c>
    </row>
    <row r="11108" ht="11.25" customHeight="1">
      <c r="A11108" s="21"/>
      <c r="B11108" s="22"/>
      <c r="C11108" s="21"/>
      <c r="D11108" s="21"/>
      <c r="E11108" s="21"/>
      <c r="F11108" s="21"/>
      <c r="G11108" s="25"/>
      <c r="H11108" s="24" t="str">
        <f>IFERROR(VLOOKUP(B11108,material!A:D,3,0),"")</f>
        <v/>
      </c>
    </row>
    <row r="11109" ht="11.25" customHeight="1">
      <c r="A11109" s="21"/>
      <c r="B11109" s="22"/>
      <c r="C11109" s="21"/>
      <c r="D11109" s="21"/>
      <c r="E11109" s="21"/>
      <c r="F11109" s="21"/>
      <c r="G11109" s="25"/>
      <c r="H11109" s="24" t="str">
        <f>IFERROR(VLOOKUP(B11109,material!A:D,3,0),"")</f>
        <v/>
      </c>
    </row>
    <row r="11110" ht="11.25" customHeight="1">
      <c r="A11110" s="21"/>
      <c r="B11110" s="22"/>
      <c r="C11110" s="21"/>
      <c r="D11110" s="21"/>
      <c r="E11110" s="21"/>
      <c r="F11110" s="21"/>
      <c r="G11110" s="25"/>
      <c r="H11110" s="24" t="str">
        <f>IFERROR(VLOOKUP(B11110,material!A:D,3,0),"")</f>
        <v/>
      </c>
    </row>
    <row r="11111" ht="11.25" customHeight="1">
      <c r="A11111" s="21"/>
      <c r="B11111" s="22"/>
      <c r="C11111" s="21"/>
      <c r="D11111" s="21"/>
      <c r="E11111" s="21"/>
      <c r="F11111" s="21"/>
      <c r="G11111" s="25"/>
      <c r="H11111" s="24" t="str">
        <f>IFERROR(VLOOKUP(B11111,material!A:D,3,0),"")</f>
        <v/>
      </c>
    </row>
    <row r="11112" ht="11.25" customHeight="1">
      <c r="A11112" s="21"/>
      <c r="B11112" s="22"/>
      <c r="C11112" s="21"/>
      <c r="D11112" s="21"/>
      <c r="E11112" s="21"/>
      <c r="F11112" s="21"/>
      <c r="G11112" s="25"/>
      <c r="H11112" s="24" t="str">
        <f>IFERROR(VLOOKUP(B11112,material!A:D,3,0),"")</f>
        <v/>
      </c>
    </row>
    <row r="11113" ht="11.25" customHeight="1">
      <c r="A11113" s="21"/>
      <c r="B11113" s="22"/>
      <c r="C11113" s="21"/>
      <c r="D11113" s="21"/>
      <c r="E11113" s="21"/>
      <c r="F11113" s="21"/>
      <c r="G11113" s="25"/>
      <c r="H11113" s="24" t="str">
        <f>IFERROR(VLOOKUP(B11113,material!A:D,3,0),"")</f>
        <v/>
      </c>
    </row>
    <row r="11114" ht="11.25" customHeight="1">
      <c r="A11114" s="21"/>
      <c r="B11114" s="22"/>
      <c r="C11114" s="21"/>
      <c r="D11114" s="21"/>
      <c r="E11114" s="21"/>
      <c r="F11114" s="21"/>
      <c r="G11114" s="25"/>
      <c r="H11114" s="24" t="str">
        <f>IFERROR(VLOOKUP(B11114,material!A:D,3,0),"")</f>
        <v/>
      </c>
    </row>
    <row r="11115" ht="11.25" customHeight="1">
      <c r="A11115" s="21"/>
      <c r="B11115" s="22"/>
      <c r="C11115" s="21"/>
      <c r="D11115" s="21"/>
      <c r="E11115" s="21"/>
      <c r="F11115" s="21"/>
      <c r="G11115" s="25"/>
      <c r="H11115" s="24" t="str">
        <f>IFERROR(VLOOKUP(B11115,material!A:D,3,0),"")</f>
        <v/>
      </c>
    </row>
    <row r="11116" ht="11.25" customHeight="1">
      <c r="A11116" s="21"/>
      <c r="B11116" s="22"/>
      <c r="C11116" s="21"/>
      <c r="D11116" s="21"/>
      <c r="E11116" s="21"/>
      <c r="F11116" s="21"/>
      <c r="G11116" s="25"/>
      <c r="H11116" s="24" t="str">
        <f>IFERROR(VLOOKUP(B11116,material!A:D,3,0),"")</f>
        <v/>
      </c>
    </row>
    <row r="11117" ht="11.25" customHeight="1">
      <c r="A11117" s="21"/>
      <c r="B11117" s="22"/>
      <c r="C11117" s="21"/>
      <c r="D11117" s="21"/>
      <c r="E11117" s="21"/>
      <c r="F11117" s="21"/>
      <c r="G11117" s="25"/>
      <c r="H11117" s="24" t="str">
        <f>IFERROR(VLOOKUP(B11117,material!A:D,3,0),"")</f>
        <v/>
      </c>
    </row>
    <row r="11118" ht="11.25" customHeight="1">
      <c r="A11118" s="21"/>
      <c r="B11118" s="22"/>
      <c r="C11118" s="21"/>
      <c r="D11118" s="21"/>
      <c r="E11118" s="21"/>
      <c r="F11118" s="21"/>
      <c r="G11118" s="25"/>
      <c r="H11118" s="24" t="str">
        <f>IFERROR(VLOOKUP(B11118,material!A:D,3,0),"")</f>
        <v/>
      </c>
    </row>
    <row r="11119" ht="11.25" customHeight="1">
      <c r="A11119" s="21"/>
      <c r="B11119" s="22"/>
      <c r="C11119" s="21"/>
      <c r="D11119" s="21"/>
      <c r="E11119" s="21"/>
      <c r="F11119" s="21"/>
      <c r="G11119" s="25"/>
      <c r="H11119" s="24" t="str">
        <f>IFERROR(VLOOKUP(B11119,material!A:D,3,0),"")</f>
        <v/>
      </c>
    </row>
    <row r="11120" ht="11.25" customHeight="1">
      <c r="A11120" s="21"/>
      <c r="B11120" s="22"/>
      <c r="C11120" s="21"/>
      <c r="D11120" s="21"/>
      <c r="E11120" s="21"/>
      <c r="F11120" s="21"/>
      <c r="G11120" s="25"/>
      <c r="H11120" s="24" t="str">
        <f>IFERROR(VLOOKUP(B11120,material!A:D,3,0),"")</f>
        <v/>
      </c>
    </row>
    <row r="11121" ht="11.25" customHeight="1">
      <c r="A11121" s="21"/>
      <c r="B11121" s="22"/>
      <c r="C11121" s="21"/>
      <c r="D11121" s="21"/>
      <c r="E11121" s="21"/>
      <c r="F11121" s="21"/>
      <c r="G11121" s="25"/>
      <c r="H11121" s="24" t="str">
        <f>IFERROR(VLOOKUP(B11121,material!A:D,3,0),"")</f>
        <v/>
      </c>
    </row>
    <row r="11122" ht="11.25" customHeight="1">
      <c r="A11122" s="21"/>
      <c r="B11122" s="22"/>
      <c r="C11122" s="21"/>
      <c r="D11122" s="21"/>
      <c r="E11122" s="21"/>
      <c r="F11122" s="21"/>
      <c r="G11122" s="25"/>
      <c r="H11122" s="24" t="str">
        <f>IFERROR(VLOOKUP(B11122,material!A:D,3,0),"")</f>
        <v/>
      </c>
    </row>
    <row r="11123" ht="11.25" customHeight="1">
      <c r="A11123" s="21"/>
      <c r="B11123" s="22"/>
      <c r="C11123" s="21"/>
      <c r="D11123" s="21"/>
      <c r="E11123" s="21"/>
      <c r="F11123" s="21"/>
      <c r="G11123" s="25"/>
      <c r="H11123" s="24" t="str">
        <f>IFERROR(VLOOKUP(B11123,material!A:D,3,0),"")</f>
        <v/>
      </c>
    </row>
    <row r="11124" ht="11.25" customHeight="1">
      <c r="A11124" s="21"/>
      <c r="B11124" s="22"/>
      <c r="C11124" s="21"/>
      <c r="D11124" s="21"/>
      <c r="E11124" s="21"/>
      <c r="F11124" s="21"/>
      <c r="G11124" s="25"/>
      <c r="H11124" s="24" t="str">
        <f>IFERROR(VLOOKUP(B11124,material!A:D,3,0),"")</f>
        <v/>
      </c>
    </row>
    <row r="11125" ht="11.25" customHeight="1">
      <c r="A11125" s="21"/>
      <c r="B11125" s="22"/>
      <c r="C11125" s="21"/>
      <c r="D11125" s="21"/>
      <c r="E11125" s="21"/>
      <c r="F11125" s="21"/>
      <c r="G11125" s="25"/>
      <c r="H11125" s="24" t="str">
        <f>IFERROR(VLOOKUP(B11125,material!A:D,3,0),"")</f>
        <v/>
      </c>
    </row>
    <row r="11126" ht="11.25" customHeight="1">
      <c r="A11126" s="21"/>
      <c r="B11126" s="22"/>
      <c r="C11126" s="21"/>
      <c r="D11126" s="21"/>
      <c r="E11126" s="21"/>
      <c r="F11126" s="21"/>
      <c r="G11126" s="25"/>
      <c r="H11126" s="24" t="str">
        <f>IFERROR(VLOOKUP(B11126,material!A:D,3,0),"")</f>
        <v/>
      </c>
    </row>
    <row r="11127" ht="11.25" customHeight="1">
      <c r="A11127" s="21"/>
      <c r="B11127" s="22"/>
      <c r="C11127" s="21"/>
      <c r="D11127" s="21"/>
      <c r="E11127" s="21"/>
      <c r="F11127" s="21"/>
      <c r="G11127" s="25"/>
      <c r="H11127" s="24" t="str">
        <f>IFERROR(VLOOKUP(B11127,material!A:D,3,0),"")</f>
        <v/>
      </c>
    </row>
    <row r="11128" ht="11.25" customHeight="1">
      <c r="A11128" s="21"/>
      <c r="B11128" s="22"/>
      <c r="C11128" s="21"/>
      <c r="D11128" s="21"/>
      <c r="E11128" s="21"/>
      <c r="F11128" s="21"/>
      <c r="G11128" s="25"/>
      <c r="H11128" s="24" t="str">
        <f>IFERROR(VLOOKUP(B11128,material!A:D,3,0),"")</f>
        <v/>
      </c>
    </row>
    <row r="11129" ht="11.25" customHeight="1">
      <c r="A11129" s="21"/>
      <c r="B11129" s="22"/>
      <c r="C11129" s="21"/>
      <c r="D11129" s="21"/>
      <c r="E11129" s="21"/>
      <c r="F11129" s="21"/>
      <c r="G11129" s="25"/>
      <c r="H11129" s="24" t="str">
        <f>IFERROR(VLOOKUP(B11129,material!A:D,3,0),"")</f>
        <v/>
      </c>
    </row>
    <row r="11130" ht="11.25" customHeight="1">
      <c r="A11130" s="21"/>
      <c r="B11130" s="22"/>
      <c r="C11130" s="21"/>
      <c r="D11130" s="21"/>
      <c r="E11130" s="21"/>
      <c r="F11130" s="21"/>
      <c r="G11130" s="25"/>
      <c r="H11130" s="24" t="str">
        <f>IFERROR(VLOOKUP(B11130,material!A:D,3,0),"")</f>
        <v/>
      </c>
    </row>
    <row r="11131" ht="11.25" customHeight="1">
      <c r="A11131" s="21"/>
      <c r="B11131" s="22"/>
      <c r="C11131" s="21"/>
      <c r="D11131" s="21"/>
      <c r="E11131" s="21"/>
      <c r="F11131" s="21"/>
      <c r="G11131" s="25"/>
      <c r="H11131" s="24" t="str">
        <f>IFERROR(VLOOKUP(B11131,material!A:D,3,0),"")</f>
        <v/>
      </c>
    </row>
    <row r="11132" ht="11.25" customHeight="1">
      <c r="A11132" s="21"/>
      <c r="B11132" s="22"/>
      <c r="C11132" s="21"/>
      <c r="D11132" s="21"/>
      <c r="E11132" s="21"/>
      <c r="F11132" s="21"/>
      <c r="G11132" s="25"/>
      <c r="H11132" s="24" t="str">
        <f>IFERROR(VLOOKUP(B11132,material!A:D,3,0),"")</f>
        <v/>
      </c>
    </row>
    <row r="11133" ht="11.25" customHeight="1">
      <c r="A11133" s="21"/>
      <c r="B11133" s="22"/>
      <c r="C11133" s="21"/>
      <c r="D11133" s="21"/>
      <c r="E11133" s="21"/>
      <c r="F11133" s="21"/>
      <c r="G11133" s="25"/>
      <c r="H11133" s="24" t="str">
        <f>IFERROR(VLOOKUP(B11133,material!A:D,3,0),"")</f>
        <v/>
      </c>
    </row>
    <row r="11134" ht="11.25" customHeight="1">
      <c r="A11134" s="21"/>
      <c r="B11134" s="22"/>
      <c r="C11134" s="21"/>
      <c r="D11134" s="21"/>
      <c r="E11134" s="21"/>
      <c r="F11134" s="21"/>
      <c r="G11134" s="25"/>
      <c r="H11134" s="24" t="str">
        <f>IFERROR(VLOOKUP(B11134,material!A:D,3,0),"")</f>
        <v/>
      </c>
    </row>
    <row r="11135" ht="11.25" customHeight="1">
      <c r="A11135" s="21"/>
      <c r="B11135" s="22"/>
      <c r="C11135" s="21"/>
      <c r="D11135" s="21"/>
      <c r="E11135" s="21"/>
      <c r="F11135" s="21"/>
      <c r="G11135" s="25"/>
      <c r="H11135" s="24" t="str">
        <f>IFERROR(VLOOKUP(B11135,material!A:D,3,0),"")</f>
        <v/>
      </c>
    </row>
    <row r="11136" ht="11.25" customHeight="1">
      <c r="A11136" s="21"/>
      <c r="B11136" s="22"/>
      <c r="C11136" s="21"/>
      <c r="D11136" s="21"/>
      <c r="E11136" s="21"/>
      <c r="F11136" s="21"/>
      <c r="G11136" s="25"/>
      <c r="H11136" s="24" t="str">
        <f>IFERROR(VLOOKUP(B11136,material!A:D,3,0),"")</f>
        <v/>
      </c>
    </row>
    <row r="11137" ht="11.25" customHeight="1">
      <c r="A11137" s="21"/>
      <c r="B11137" s="22"/>
      <c r="C11137" s="21"/>
      <c r="D11137" s="21"/>
      <c r="E11137" s="21"/>
      <c r="F11137" s="21"/>
      <c r="G11137" s="25"/>
      <c r="H11137" s="24" t="str">
        <f>IFERROR(VLOOKUP(B11137,material!A:D,3,0),"")</f>
        <v/>
      </c>
    </row>
    <row r="11138" ht="11.25" customHeight="1">
      <c r="A11138" s="21"/>
      <c r="B11138" s="22"/>
      <c r="C11138" s="21"/>
      <c r="D11138" s="21"/>
      <c r="E11138" s="21"/>
      <c r="F11138" s="21"/>
      <c r="G11138" s="25"/>
      <c r="H11138" s="24" t="str">
        <f>IFERROR(VLOOKUP(B11138,material!A:D,3,0),"")</f>
        <v/>
      </c>
    </row>
    <row r="11139" ht="11.25" customHeight="1">
      <c r="A11139" s="21"/>
      <c r="B11139" s="22"/>
      <c r="C11139" s="21"/>
      <c r="D11139" s="21"/>
      <c r="E11139" s="21"/>
      <c r="F11139" s="21"/>
      <c r="G11139" s="25"/>
      <c r="H11139" s="24" t="str">
        <f>IFERROR(VLOOKUP(B11139,material!A:D,3,0),"")</f>
        <v/>
      </c>
    </row>
    <row r="11140" ht="11.25" customHeight="1">
      <c r="A11140" s="21"/>
      <c r="B11140" s="22"/>
      <c r="C11140" s="21"/>
      <c r="D11140" s="21"/>
      <c r="E11140" s="21"/>
      <c r="F11140" s="21"/>
      <c r="G11140" s="25"/>
      <c r="H11140" s="24" t="str">
        <f>IFERROR(VLOOKUP(B11140,material!A:D,3,0),"")</f>
        <v/>
      </c>
    </row>
    <row r="11141" ht="11.25" customHeight="1">
      <c r="A11141" s="21"/>
      <c r="B11141" s="22"/>
      <c r="C11141" s="21"/>
      <c r="D11141" s="21"/>
      <c r="E11141" s="21"/>
      <c r="F11141" s="21"/>
      <c r="G11141" s="25"/>
      <c r="H11141" s="24" t="str">
        <f>IFERROR(VLOOKUP(B11141,material!A:D,3,0),"")</f>
        <v/>
      </c>
    </row>
    <row r="11142" ht="11.25" customHeight="1">
      <c r="A11142" s="21"/>
      <c r="B11142" s="22"/>
      <c r="C11142" s="21"/>
      <c r="D11142" s="21"/>
      <c r="E11142" s="21"/>
      <c r="F11142" s="21"/>
      <c r="G11142" s="25"/>
      <c r="H11142" s="24" t="str">
        <f>IFERROR(VLOOKUP(B11142,material!A:D,3,0),"")</f>
        <v/>
      </c>
    </row>
    <row r="11143" ht="11.25" customHeight="1">
      <c r="A11143" s="21"/>
      <c r="B11143" s="22"/>
      <c r="C11143" s="21"/>
      <c r="D11143" s="21"/>
      <c r="E11143" s="21"/>
      <c r="F11143" s="21"/>
      <c r="G11143" s="25"/>
      <c r="H11143" s="24" t="str">
        <f>IFERROR(VLOOKUP(B11143,material!A:D,3,0),"")</f>
        <v/>
      </c>
    </row>
    <row r="11144" ht="11.25" customHeight="1">
      <c r="A11144" s="21"/>
      <c r="B11144" s="22"/>
      <c r="C11144" s="21"/>
      <c r="D11144" s="21"/>
      <c r="E11144" s="21"/>
      <c r="F11144" s="21"/>
      <c r="G11144" s="25"/>
      <c r="H11144" s="24" t="str">
        <f>IFERROR(VLOOKUP(B11144,material!A:D,3,0),"")</f>
        <v/>
      </c>
    </row>
    <row r="11145" ht="11.25" customHeight="1">
      <c r="A11145" s="21"/>
      <c r="B11145" s="22"/>
      <c r="C11145" s="21"/>
      <c r="D11145" s="21"/>
      <c r="E11145" s="21"/>
      <c r="F11145" s="21"/>
      <c r="G11145" s="25"/>
      <c r="H11145" s="24" t="str">
        <f>IFERROR(VLOOKUP(B11145,material!A:D,3,0),"")</f>
        <v/>
      </c>
    </row>
    <row r="11146" ht="11.25" customHeight="1">
      <c r="A11146" s="21"/>
      <c r="B11146" s="22"/>
      <c r="C11146" s="21"/>
      <c r="D11146" s="21"/>
      <c r="E11146" s="21"/>
      <c r="F11146" s="21"/>
      <c r="G11146" s="25"/>
      <c r="H11146" s="24" t="str">
        <f>IFERROR(VLOOKUP(B11146,material!A:D,3,0),"")</f>
        <v/>
      </c>
    </row>
    <row r="11147" ht="11.25" customHeight="1">
      <c r="A11147" s="21"/>
      <c r="B11147" s="22"/>
      <c r="C11147" s="21"/>
      <c r="D11147" s="21"/>
      <c r="E11147" s="21"/>
      <c r="F11147" s="21"/>
      <c r="G11147" s="25"/>
      <c r="H11147" s="24" t="str">
        <f>IFERROR(VLOOKUP(B11147,material!A:D,3,0),"")</f>
        <v/>
      </c>
    </row>
    <row r="11148" ht="11.25" customHeight="1">
      <c r="A11148" s="21"/>
      <c r="B11148" s="22"/>
      <c r="C11148" s="21"/>
      <c r="D11148" s="21"/>
      <c r="E11148" s="21"/>
      <c r="F11148" s="21"/>
      <c r="G11148" s="25"/>
      <c r="H11148" s="24" t="str">
        <f>IFERROR(VLOOKUP(B11148,material!A:D,3,0),"")</f>
        <v/>
      </c>
    </row>
    <row r="11149" ht="11.25" customHeight="1">
      <c r="A11149" s="21"/>
      <c r="B11149" s="22"/>
      <c r="C11149" s="21"/>
      <c r="D11149" s="21"/>
      <c r="E11149" s="21"/>
      <c r="F11149" s="21"/>
      <c r="G11149" s="25"/>
      <c r="H11149" s="24" t="str">
        <f>IFERROR(VLOOKUP(B11149,material!A:D,3,0),"")</f>
        <v/>
      </c>
    </row>
    <row r="11150" ht="11.25" customHeight="1">
      <c r="A11150" s="21"/>
      <c r="B11150" s="22"/>
      <c r="C11150" s="21"/>
      <c r="D11150" s="21"/>
      <c r="E11150" s="21"/>
      <c r="F11150" s="21"/>
      <c r="G11150" s="25"/>
      <c r="H11150" s="24" t="str">
        <f>IFERROR(VLOOKUP(B11150,material!A:D,3,0),"")</f>
        <v/>
      </c>
    </row>
    <row r="11151" ht="11.25" customHeight="1">
      <c r="A11151" s="21"/>
      <c r="B11151" s="22"/>
      <c r="C11151" s="21"/>
      <c r="D11151" s="21"/>
      <c r="E11151" s="21"/>
      <c r="F11151" s="21"/>
      <c r="G11151" s="25"/>
      <c r="H11151" s="24" t="str">
        <f>IFERROR(VLOOKUP(B11151,material!A:D,3,0),"")</f>
        <v/>
      </c>
    </row>
    <row r="11152" ht="11.25" customHeight="1">
      <c r="A11152" s="21"/>
      <c r="B11152" s="22"/>
      <c r="C11152" s="21"/>
      <c r="D11152" s="21"/>
      <c r="E11152" s="21"/>
      <c r="F11152" s="21"/>
      <c r="G11152" s="25"/>
      <c r="H11152" s="24" t="str">
        <f>IFERROR(VLOOKUP(B11152,material!A:D,3,0),"")</f>
        <v/>
      </c>
    </row>
    <row r="11153" ht="11.25" customHeight="1">
      <c r="A11153" s="21"/>
      <c r="B11153" s="22"/>
      <c r="C11153" s="21"/>
      <c r="D11153" s="21"/>
      <c r="E11153" s="21"/>
      <c r="F11153" s="21"/>
      <c r="G11153" s="25"/>
      <c r="H11153" s="24" t="str">
        <f>IFERROR(VLOOKUP(B11153,material!A:D,3,0),"")</f>
        <v/>
      </c>
    </row>
    <row r="11154" ht="11.25" customHeight="1">
      <c r="A11154" s="21"/>
      <c r="B11154" s="22"/>
      <c r="C11154" s="21"/>
      <c r="D11154" s="21"/>
      <c r="E11154" s="21"/>
      <c r="F11154" s="21"/>
      <c r="G11154" s="25"/>
      <c r="H11154" s="24" t="str">
        <f>IFERROR(VLOOKUP(B11154,material!A:D,3,0),"")</f>
        <v/>
      </c>
    </row>
    <row r="11155" ht="11.25" customHeight="1">
      <c r="A11155" s="21"/>
      <c r="B11155" s="22"/>
      <c r="C11155" s="21"/>
      <c r="D11155" s="21"/>
      <c r="E11155" s="21"/>
      <c r="F11155" s="21"/>
      <c r="G11155" s="25"/>
      <c r="H11155" s="24" t="str">
        <f>IFERROR(VLOOKUP(B11155,material!A:D,3,0),"")</f>
        <v/>
      </c>
    </row>
    <row r="11156" ht="11.25" customHeight="1">
      <c r="A11156" s="21"/>
      <c r="B11156" s="22"/>
      <c r="C11156" s="21"/>
      <c r="D11156" s="21"/>
      <c r="E11156" s="21"/>
      <c r="F11156" s="21"/>
      <c r="G11156" s="25"/>
      <c r="H11156" s="24" t="str">
        <f>IFERROR(VLOOKUP(B11156,material!A:D,3,0),"")</f>
        <v/>
      </c>
    </row>
    <row r="11157" ht="11.25" customHeight="1">
      <c r="A11157" s="21"/>
      <c r="B11157" s="22"/>
      <c r="C11157" s="21"/>
      <c r="D11157" s="21"/>
      <c r="E11157" s="21"/>
      <c r="F11157" s="21"/>
      <c r="G11157" s="25"/>
      <c r="H11157" s="24" t="str">
        <f>IFERROR(VLOOKUP(B11157,material!A:D,3,0),"")</f>
        <v/>
      </c>
    </row>
    <row r="11158" ht="11.25" customHeight="1">
      <c r="A11158" s="21"/>
      <c r="B11158" s="22"/>
      <c r="C11158" s="21"/>
      <c r="D11158" s="21"/>
      <c r="E11158" s="21"/>
      <c r="F11158" s="21"/>
      <c r="G11158" s="25"/>
      <c r="H11158" s="24" t="str">
        <f>IFERROR(VLOOKUP(B11158,material!A:D,3,0),"")</f>
        <v/>
      </c>
    </row>
    <row r="11159" ht="11.25" customHeight="1">
      <c r="A11159" s="21"/>
      <c r="B11159" s="22"/>
      <c r="C11159" s="21"/>
      <c r="D11159" s="21"/>
      <c r="E11159" s="21"/>
      <c r="F11159" s="21"/>
      <c r="G11159" s="25"/>
      <c r="H11159" s="24" t="str">
        <f>IFERROR(VLOOKUP(B11159,material!A:D,3,0),"")</f>
        <v/>
      </c>
    </row>
    <row r="11160" ht="11.25" customHeight="1">
      <c r="A11160" s="21"/>
      <c r="B11160" s="22"/>
      <c r="C11160" s="21"/>
      <c r="D11160" s="21"/>
      <c r="E11160" s="21"/>
      <c r="F11160" s="21"/>
      <c r="G11160" s="25"/>
      <c r="H11160" s="24" t="str">
        <f>IFERROR(VLOOKUP(B11160,material!A:D,3,0),"")</f>
        <v/>
      </c>
    </row>
    <row r="11161" ht="11.25" customHeight="1">
      <c r="A11161" s="21"/>
      <c r="B11161" s="22"/>
      <c r="C11161" s="21"/>
      <c r="D11161" s="21"/>
      <c r="E11161" s="21"/>
      <c r="F11161" s="21"/>
      <c r="G11161" s="25"/>
      <c r="H11161" s="24" t="str">
        <f>IFERROR(VLOOKUP(B11161,material!A:D,3,0),"")</f>
        <v/>
      </c>
    </row>
    <row r="11162" ht="11.25" customHeight="1">
      <c r="A11162" s="21"/>
      <c r="B11162" s="22"/>
      <c r="C11162" s="21"/>
      <c r="D11162" s="21"/>
      <c r="E11162" s="21"/>
      <c r="F11162" s="21"/>
      <c r="G11162" s="25"/>
      <c r="H11162" s="24" t="str">
        <f>IFERROR(VLOOKUP(B11162,material!A:D,3,0),"")</f>
        <v/>
      </c>
    </row>
    <row r="11163" ht="11.25" customHeight="1">
      <c r="A11163" s="21"/>
      <c r="B11163" s="22"/>
      <c r="C11163" s="21"/>
      <c r="D11163" s="21"/>
      <c r="E11163" s="21"/>
      <c r="F11163" s="21"/>
      <c r="G11163" s="25"/>
      <c r="H11163" s="24" t="str">
        <f>IFERROR(VLOOKUP(B11163,material!A:D,3,0),"")</f>
        <v/>
      </c>
    </row>
    <row r="11164" ht="11.25" customHeight="1">
      <c r="A11164" s="21"/>
      <c r="B11164" s="22"/>
      <c r="C11164" s="21"/>
      <c r="D11164" s="21"/>
      <c r="E11164" s="21"/>
      <c r="F11164" s="21"/>
      <c r="G11164" s="25"/>
      <c r="H11164" s="24" t="str">
        <f>IFERROR(VLOOKUP(B11164,material!A:D,3,0),"")</f>
        <v/>
      </c>
    </row>
    <row r="11165" ht="11.25" customHeight="1">
      <c r="A11165" s="21"/>
      <c r="B11165" s="22"/>
      <c r="C11165" s="21"/>
      <c r="D11165" s="21"/>
      <c r="E11165" s="21"/>
      <c r="F11165" s="21"/>
      <c r="G11165" s="25"/>
      <c r="H11165" s="24" t="str">
        <f>IFERROR(VLOOKUP(B11165,material!A:D,3,0),"")</f>
        <v/>
      </c>
    </row>
    <row r="11166" ht="11.25" customHeight="1">
      <c r="A11166" s="21"/>
      <c r="B11166" s="22"/>
      <c r="C11166" s="21"/>
      <c r="D11166" s="21"/>
      <c r="E11166" s="21"/>
      <c r="F11166" s="21"/>
      <c r="G11166" s="25"/>
      <c r="H11166" s="24" t="str">
        <f>IFERROR(VLOOKUP(B11166,material!A:D,3,0),"")</f>
        <v/>
      </c>
    </row>
    <row r="11167" ht="11.25" customHeight="1">
      <c r="A11167" s="21"/>
      <c r="B11167" s="22"/>
      <c r="C11167" s="21"/>
      <c r="D11167" s="21"/>
      <c r="E11167" s="21"/>
      <c r="F11167" s="21"/>
      <c r="G11167" s="25"/>
      <c r="H11167" s="24" t="str">
        <f>IFERROR(VLOOKUP(B11167,material!A:D,3,0),"")</f>
        <v/>
      </c>
    </row>
    <row r="11168" ht="11.25" customHeight="1">
      <c r="A11168" s="21"/>
      <c r="B11168" s="22"/>
      <c r="C11168" s="21"/>
      <c r="D11168" s="21"/>
      <c r="E11168" s="21"/>
      <c r="F11168" s="21"/>
      <c r="G11168" s="25"/>
      <c r="H11168" s="24" t="str">
        <f>IFERROR(VLOOKUP(B11168,material!A:D,3,0),"")</f>
        <v/>
      </c>
    </row>
    <row r="11169" ht="11.25" customHeight="1">
      <c r="A11169" s="21"/>
      <c r="B11169" s="22"/>
      <c r="C11169" s="21"/>
      <c r="D11169" s="21"/>
      <c r="E11169" s="21"/>
      <c r="F11169" s="21"/>
      <c r="G11169" s="25"/>
      <c r="H11169" s="24" t="str">
        <f>IFERROR(VLOOKUP(B11169,material!A:D,3,0),"")</f>
        <v/>
      </c>
    </row>
    <row r="11170" ht="11.25" customHeight="1">
      <c r="A11170" s="21"/>
      <c r="B11170" s="22"/>
      <c r="C11170" s="21"/>
      <c r="D11170" s="21"/>
      <c r="E11170" s="21"/>
      <c r="F11170" s="21"/>
      <c r="G11170" s="25"/>
      <c r="H11170" s="24" t="str">
        <f>IFERROR(VLOOKUP(B11170,material!A:D,3,0),"")</f>
        <v/>
      </c>
    </row>
    <row r="11171" ht="11.25" customHeight="1">
      <c r="A11171" s="21"/>
      <c r="B11171" s="22"/>
      <c r="C11171" s="21"/>
      <c r="D11171" s="21"/>
      <c r="E11171" s="21"/>
      <c r="F11171" s="21"/>
      <c r="G11171" s="25"/>
      <c r="H11171" s="24" t="str">
        <f>IFERROR(VLOOKUP(B11171,material!A:D,3,0),"")</f>
        <v/>
      </c>
    </row>
    <row r="11172" ht="11.25" customHeight="1">
      <c r="A11172" s="21"/>
      <c r="B11172" s="22"/>
      <c r="C11172" s="21"/>
      <c r="D11172" s="21"/>
      <c r="E11172" s="21"/>
      <c r="F11172" s="21"/>
      <c r="G11172" s="25"/>
      <c r="H11172" s="24" t="str">
        <f>IFERROR(VLOOKUP(B11172,material!A:D,3,0),"")</f>
        <v/>
      </c>
    </row>
    <row r="11173" ht="11.25" customHeight="1">
      <c r="A11173" s="21"/>
      <c r="B11173" s="22"/>
      <c r="C11173" s="21"/>
      <c r="D11173" s="21"/>
      <c r="E11173" s="21"/>
      <c r="F11173" s="21"/>
      <c r="G11173" s="25"/>
      <c r="H11173" s="24" t="str">
        <f>IFERROR(VLOOKUP(B11173,material!A:D,3,0),"")</f>
        <v/>
      </c>
    </row>
    <row r="11174" ht="11.25" customHeight="1">
      <c r="A11174" s="21"/>
      <c r="B11174" s="22"/>
      <c r="C11174" s="21"/>
      <c r="D11174" s="21"/>
      <c r="E11174" s="21"/>
      <c r="F11174" s="21"/>
      <c r="G11174" s="25"/>
      <c r="H11174" s="24" t="str">
        <f>IFERROR(VLOOKUP(B11174,material!A:D,3,0),"")</f>
        <v/>
      </c>
    </row>
    <row r="11175" ht="11.25" customHeight="1">
      <c r="A11175" s="21"/>
      <c r="B11175" s="22"/>
      <c r="C11175" s="21"/>
      <c r="D11175" s="21"/>
      <c r="E11175" s="21"/>
      <c r="F11175" s="21"/>
      <c r="G11175" s="25"/>
      <c r="H11175" s="24" t="str">
        <f>IFERROR(VLOOKUP(B11175,material!A:D,3,0),"")</f>
        <v/>
      </c>
    </row>
    <row r="11176" ht="11.25" customHeight="1">
      <c r="A11176" s="21"/>
      <c r="B11176" s="22"/>
      <c r="C11176" s="21"/>
      <c r="D11176" s="21"/>
      <c r="E11176" s="21"/>
      <c r="F11176" s="21"/>
      <c r="G11176" s="25"/>
      <c r="H11176" s="24" t="str">
        <f>IFERROR(VLOOKUP(B11176,material!A:D,3,0),"")</f>
        <v/>
      </c>
    </row>
    <row r="11177" ht="11.25" customHeight="1">
      <c r="A11177" s="21"/>
      <c r="B11177" s="22"/>
      <c r="C11177" s="21"/>
      <c r="D11177" s="21"/>
      <c r="E11177" s="21"/>
      <c r="F11177" s="21"/>
      <c r="G11177" s="25"/>
      <c r="H11177" s="24" t="str">
        <f>IFERROR(VLOOKUP(B11177,material!A:D,3,0),"")</f>
        <v/>
      </c>
    </row>
    <row r="11178" ht="11.25" customHeight="1">
      <c r="A11178" s="21"/>
      <c r="B11178" s="22"/>
      <c r="C11178" s="21"/>
      <c r="D11178" s="21"/>
      <c r="E11178" s="21"/>
      <c r="F11178" s="21"/>
      <c r="G11178" s="25"/>
      <c r="H11178" s="24" t="str">
        <f>IFERROR(VLOOKUP(B11178,material!A:D,3,0),"")</f>
        <v/>
      </c>
    </row>
    <row r="11179" ht="11.25" customHeight="1">
      <c r="A11179" s="21"/>
      <c r="B11179" s="22"/>
      <c r="C11179" s="21"/>
      <c r="D11179" s="21"/>
      <c r="E11179" s="21"/>
      <c r="F11179" s="21"/>
      <c r="G11179" s="25"/>
      <c r="H11179" s="24" t="str">
        <f>IFERROR(VLOOKUP(B11179,material!A:D,3,0),"")</f>
        <v/>
      </c>
    </row>
    <row r="11180" ht="11.25" customHeight="1">
      <c r="A11180" s="21"/>
      <c r="B11180" s="22"/>
      <c r="C11180" s="21"/>
      <c r="D11180" s="21"/>
      <c r="E11180" s="21"/>
      <c r="F11180" s="21"/>
      <c r="G11180" s="25"/>
      <c r="H11180" s="24" t="str">
        <f>IFERROR(VLOOKUP(B11180,material!A:D,3,0),"")</f>
        <v/>
      </c>
    </row>
    <row r="11181" ht="11.25" customHeight="1">
      <c r="A11181" s="21"/>
      <c r="B11181" s="22"/>
      <c r="C11181" s="21"/>
      <c r="D11181" s="21"/>
      <c r="E11181" s="21"/>
      <c r="F11181" s="21"/>
      <c r="G11181" s="25"/>
      <c r="H11181" s="24" t="str">
        <f>IFERROR(VLOOKUP(B11181,material!A:D,3,0),"")</f>
        <v/>
      </c>
    </row>
    <row r="11182" ht="11.25" customHeight="1">
      <c r="A11182" s="21"/>
      <c r="B11182" s="22"/>
      <c r="C11182" s="21"/>
      <c r="D11182" s="21"/>
      <c r="E11182" s="21"/>
      <c r="F11182" s="21"/>
      <c r="G11182" s="25"/>
      <c r="H11182" s="24" t="str">
        <f>IFERROR(VLOOKUP(B11182,material!A:D,3,0),"")</f>
        <v/>
      </c>
    </row>
    <row r="11183" ht="11.25" customHeight="1">
      <c r="A11183" s="21"/>
      <c r="B11183" s="22"/>
      <c r="C11183" s="21"/>
      <c r="D11183" s="21"/>
      <c r="E11183" s="21"/>
      <c r="F11183" s="21"/>
      <c r="G11183" s="25"/>
      <c r="H11183" s="24" t="str">
        <f>IFERROR(VLOOKUP(B11183,material!A:D,3,0),"")</f>
        <v/>
      </c>
    </row>
    <row r="11184" ht="11.25" customHeight="1">
      <c r="A11184" s="21"/>
      <c r="B11184" s="22"/>
      <c r="C11184" s="21"/>
      <c r="D11184" s="21"/>
      <c r="E11184" s="21"/>
      <c r="F11184" s="21"/>
      <c r="G11184" s="25"/>
      <c r="H11184" s="24" t="str">
        <f>IFERROR(VLOOKUP(B11184,material!A:D,3,0),"")</f>
        <v/>
      </c>
    </row>
    <row r="11185" ht="11.25" customHeight="1">
      <c r="A11185" s="21"/>
      <c r="B11185" s="22"/>
      <c r="C11185" s="21"/>
      <c r="D11185" s="21"/>
      <c r="E11185" s="21"/>
      <c r="F11185" s="21"/>
      <c r="G11185" s="25"/>
      <c r="H11185" s="24" t="str">
        <f>IFERROR(VLOOKUP(B11185,material!A:D,3,0),"")</f>
        <v/>
      </c>
    </row>
    <row r="11186" ht="11.25" customHeight="1">
      <c r="A11186" s="21"/>
      <c r="B11186" s="22"/>
      <c r="C11186" s="21"/>
      <c r="D11186" s="21"/>
      <c r="E11186" s="21"/>
      <c r="F11186" s="21"/>
      <c r="G11186" s="25"/>
      <c r="H11186" s="24" t="str">
        <f>IFERROR(VLOOKUP(B11186,material!A:D,3,0),"")</f>
        <v/>
      </c>
    </row>
    <row r="11187" ht="11.25" customHeight="1">
      <c r="A11187" s="21"/>
      <c r="B11187" s="22"/>
      <c r="C11187" s="21"/>
      <c r="D11187" s="21"/>
      <c r="E11187" s="21"/>
      <c r="F11187" s="21"/>
      <c r="G11187" s="25"/>
      <c r="H11187" s="24" t="str">
        <f>IFERROR(VLOOKUP(B11187,material!A:D,3,0),"")</f>
        <v/>
      </c>
    </row>
    <row r="11188" ht="11.25" customHeight="1">
      <c r="A11188" s="21"/>
      <c r="B11188" s="22"/>
      <c r="C11188" s="21"/>
      <c r="D11188" s="21"/>
      <c r="E11188" s="21"/>
      <c r="F11188" s="21"/>
      <c r="G11188" s="25"/>
      <c r="H11188" s="24" t="str">
        <f>IFERROR(VLOOKUP(B11188,material!A:D,3,0),"")</f>
        <v/>
      </c>
    </row>
    <row r="11189" ht="11.25" customHeight="1">
      <c r="A11189" s="21"/>
      <c r="B11189" s="22"/>
      <c r="C11189" s="21"/>
      <c r="D11189" s="21"/>
      <c r="E11189" s="21"/>
      <c r="F11189" s="21"/>
      <c r="G11189" s="25"/>
      <c r="H11189" s="24" t="str">
        <f>IFERROR(VLOOKUP(B11189,material!A:D,3,0),"")</f>
        <v/>
      </c>
    </row>
    <row r="11190" ht="11.25" customHeight="1">
      <c r="A11190" s="21"/>
      <c r="B11190" s="22"/>
      <c r="C11190" s="21"/>
      <c r="D11190" s="21"/>
      <c r="E11190" s="21"/>
      <c r="F11190" s="21"/>
      <c r="G11190" s="25"/>
      <c r="H11190" s="24" t="str">
        <f>IFERROR(VLOOKUP(B11190,material!A:D,3,0),"")</f>
        <v/>
      </c>
    </row>
    <row r="11191" ht="11.25" customHeight="1">
      <c r="A11191" s="21"/>
      <c r="B11191" s="22"/>
      <c r="C11191" s="21"/>
      <c r="D11191" s="21"/>
      <c r="E11191" s="21"/>
      <c r="F11191" s="21"/>
      <c r="G11191" s="25"/>
      <c r="H11191" s="24" t="str">
        <f>IFERROR(VLOOKUP(B11191,material!A:D,3,0),"")</f>
        <v/>
      </c>
    </row>
    <row r="11192" ht="11.25" customHeight="1">
      <c r="A11192" s="21"/>
      <c r="B11192" s="22"/>
      <c r="C11192" s="21"/>
      <c r="D11192" s="21"/>
      <c r="E11192" s="21"/>
      <c r="F11192" s="21"/>
      <c r="G11192" s="25"/>
      <c r="H11192" s="24" t="str">
        <f>IFERROR(VLOOKUP(B11192,material!A:D,3,0),"")</f>
        <v/>
      </c>
    </row>
    <row r="11193" ht="11.25" customHeight="1">
      <c r="A11193" s="21"/>
      <c r="B11193" s="22"/>
      <c r="C11193" s="21"/>
      <c r="D11193" s="21"/>
      <c r="E11193" s="21"/>
      <c r="F11193" s="21"/>
      <c r="G11193" s="25"/>
      <c r="H11193" s="24" t="str">
        <f>IFERROR(VLOOKUP(B11193,material!A:D,3,0),"")</f>
        <v/>
      </c>
    </row>
    <row r="11194" ht="11.25" customHeight="1">
      <c r="A11194" s="21"/>
      <c r="B11194" s="22"/>
      <c r="C11194" s="21"/>
      <c r="D11194" s="21"/>
      <c r="E11194" s="21"/>
      <c r="F11194" s="21"/>
      <c r="G11194" s="25"/>
      <c r="H11194" s="24" t="str">
        <f>IFERROR(VLOOKUP(B11194,material!A:D,3,0),"")</f>
        <v/>
      </c>
    </row>
    <row r="11195" ht="11.25" customHeight="1">
      <c r="A11195" s="21"/>
      <c r="B11195" s="22"/>
      <c r="C11195" s="21"/>
      <c r="D11195" s="21"/>
      <c r="E11195" s="21"/>
      <c r="F11195" s="21"/>
      <c r="G11195" s="25"/>
      <c r="H11195" s="24" t="str">
        <f>IFERROR(VLOOKUP(B11195,material!A:D,3,0),"")</f>
        <v/>
      </c>
    </row>
    <row r="11196" ht="11.25" customHeight="1">
      <c r="A11196" s="21"/>
      <c r="B11196" s="22"/>
      <c r="C11196" s="21"/>
      <c r="D11196" s="21"/>
      <c r="E11196" s="21"/>
      <c r="F11196" s="21"/>
      <c r="G11196" s="25"/>
      <c r="H11196" s="24" t="str">
        <f>IFERROR(VLOOKUP(B11196,material!A:D,3,0),"")</f>
        <v/>
      </c>
    </row>
    <row r="11197" ht="11.25" customHeight="1">
      <c r="A11197" s="21"/>
      <c r="B11197" s="22"/>
      <c r="C11197" s="21"/>
      <c r="D11197" s="21"/>
      <c r="E11197" s="21"/>
      <c r="F11197" s="21"/>
      <c r="G11197" s="25"/>
      <c r="H11197" s="24" t="str">
        <f>IFERROR(VLOOKUP(B11197,material!A:D,3,0),"")</f>
        <v/>
      </c>
    </row>
    <row r="11198" ht="11.25" customHeight="1">
      <c r="A11198" s="21"/>
      <c r="B11198" s="22"/>
      <c r="C11198" s="21"/>
      <c r="D11198" s="21"/>
      <c r="E11198" s="21"/>
      <c r="F11198" s="21"/>
      <c r="G11198" s="25"/>
      <c r="H11198" s="24" t="str">
        <f>IFERROR(VLOOKUP(B11198,material!A:D,3,0),"")</f>
        <v/>
      </c>
    </row>
    <row r="11199" ht="11.25" customHeight="1">
      <c r="A11199" s="21"/>
      <c r="B11199" s="22"/>
      <c r="C11199" s="21"/>
      <c r="D11199" s="21"/>
      <c r="E11199" s="21"/>
      <c r="F11199" s="21"/>
      <c r="G11199" s="25"/>
      <c r="H11199" s="24" t="str">
        <f>IFERROR(VLOOKUP(B11199,material!A:D,3,0),"")</f>
        <v/>
      </c>
    </row>
    <row r="11200" ht="11.25" customHeight="1">
      <c r="A11200" s="21"/>
      <c r="B11200" s="22"/>
      <c r="C11200" s="21"/>
      <c r="D11200" s="21"/>
      <c r="E11200" s="21"/>
      <c r="F11200" s="21"/>
      <c r="G11200" s="25"/>
      <c r="H11200" s="24" t="str">
        <f>IFERROR(VLOOKUP(B11200,material!A:D,3,0),"")</f>
        <v/>
      </c>
    </row>
    <row r="11201" ht="11.25" customHeight="1">
      <c r="A11201" s="21"/>
      <c r="B11201" s="22"/>
      <c r="C11201" s="21"/>
      <c r="D11201" s="21"/>
      <c r="E11201" s="21"/>
      <c r="F11201" s="21"/>
      <c r="G11201" s="25"/>
      <c r="H11201" s="24" t="str">
        <f>IFERROR(VLOOKUP(B11201,material!A:D,3,0),"")</f>
        <v/>
      </c>
    </row>
    <row r="11202" ht="11.25" customHeight="1">
      <c r="A11202" s="21"/>
      <c r="B11202" s="22"/>
      <c r="C11202" s="21"/>
      <c r="D11202" s="21"/>
      <c r="E11202" s="21"/>
      <c r="F11202" s="21"/>
      <c r="G11202" s="25"/>
      <c r="H11202" s="24" t="str">
        <f>IFERROR(VLOOKUP(B11202,material!A:D,3,0),"")</f>
        <v/>
      </c>
    </row>
    <row r="11203" ht="11.25" customHeight="1">
      <c r="A11203" s="21"/>
      <c r="B11203" s="22"/>
      <c r="C11203" s="21"/>
      <c r="D11203" s="21"/>
      <c r="E11203" s="21"/>
      <c r="F11203" s="21"/>
      <c r="G11203" s="25"/>
      <c r="H11203" s="24" t="str">
        <f>IFERROR(VLOOKUP(B11203,material!A:D,3,0),"")</f>
        <v/>
      </c>
    </row>
    <row r="11204" ht="11.25" customHeight="1">
      <c r="A11204" s="21"/>
      <c r="B11204" s="22"/>
      <c r="C11204" s="21"/>
      <c r="D11204" s="21"/>
      <c r="E11204" s="21"/>
      <c r="F11204" s="21"/>
      <c r="G11204" s="25"/>
      <c r="H11204" s="24" t="str">
        <f>IFERROR(VLOOKUP(B11204,material!A:D,3,0),"")</f>
        <v/>
      </c>
    </row>
    <row r="11205" ht="11.25" customHeight="1">
      <c r="A11205" s="21"/>
      <c r="B11205" s="22"/>
      <c r="C11205" s="21"/>
      <c r="D11205" s="21"/>
      <c r="E11205" s="21"/>
      <c r="F11205" s="21"/>
      <c r="G11205" s="25"/>
      <c r="H11205" s="24" t="str">
        <f>IFERROR(VLOOKUP(B11205,material!A:D,3,0),"")</f>
        <v/>
      </c>
    </row>
    <row r="11206" ht="11.25" customHeight="1">
      <c r="A11206" s="21"/>
      <c r="B11206" s="22"/>
      <c r="C11206" s="21"/>
      <c r="D11206" s="21"/>
      <c r="E11206" s="21"/>
      <c r="F11206" s="21"/>
      <c r="G11206" s="25"/>
      <c r="H11206" s="24" t="str">
        <f>IFERROR(VLOOKUP(B11206,material!A:D,3,0),"")</f>
        <v/>
      </c>
    </row>
    <row r="11207" ht="11.25" customHeight="1">
      <c r="A11207" s="21"/>
      <c r="B11207" s="22"/>
      <c r="C11207" s="21"/>
      <c r="D11207" s="21"/>
      <c r="E11207" s="21"/>
      <c r="F11207" s="21"/>
      <c r="G11207" s="25"/>
      <c r="H11207" s="24" t="str">
        <f>IFERROR(VLOOKUP(B11207,material!A:D,3,0),"")</f>
        <v/>
      </c>
    </row>
    <row r="11208" ht="11.25" customHeight="1">
      <c r="A11208" s="21"/>
      <c r="B11208" s="22"/>
      <c r="C11208" s="21"/>
      <c r="D11208" s="21"/>
      <c r="E11208" s="21"/>
      <c r="F11208" s="21"/>
      <c r="G11208" s="25"/>
      <c r="H11208" s="24" t="str">
        <f>IFERROR(VLOOKUP(B11208,material!A:D,3,0),"")</f>
        <v/>
      </c>
    </row>
    <row r="11209" ht="11.25" customHeight="1">
      <c r="A11209" s="21"/>
      <c r="B11209" s="22"/>
      <c r="C11209" s="21"/>
      <c r="D11209" s="21"/>
      <c r="E11209" s="21"/>
      <c r="F11209" s="21"/>
      <c r="G11209" s="25"/>
      <c r="H11209" s="24" t="str">
        <f>IFERROR(VLOOKUP(B11209,material!A:D,3,0),"")</f>
        <v/>
      </c>
    </row>
    <row r="11210" ht="11.25" customHeight="1">
      <c r="A11210" s="21"/>
      <c r="B11210" s="22"/>
      <c r="C11210" s="21"/>
      <c r="D11210" s="21"/>
      <c r="E11210" s="21"/>
      <c r="F11210" s="21"/>
      <c r="G11210" s="25"/>
      <c r="H11210" s="24" t="str">
        <f>IFERROR(VLOOKUP(B11210,material!A:D,3,0),"")</f>
        <v/>
      </c>
    </row>
    <row r="11211" ht="11.25" customHeight="1">
      <c r="A11211" s="21"/>
      <c r="B11211" s="22"/>
      <c r="C11211" s="21"/>
      <c r="D11211" s="21"/>
      <c r="E11211" s="21"/>
      <c r="F11211" s="21"/>
      <c r="G11211" s="25"/>
      <c r="H11211" s="24" t="str">
        <f>IFERROR(VLOOKUP(B11211,material!A:D,3,0),"")</f>
        <v/>
      </c>
    </row>
    <row r="11212" ht="11.25" customHeight="1">
      <c r="A11212" s="21"/>
      <c r="B11212" s="22"/>
      <c r="C11212" s="21"/>
      <c r="D11212" s="21"/>
      <c r="E11212" s="21"/>
      <c r="F11212" s="21"/>
      <c r="G11212" s="25"/>
      <c r="H11212" s="24" t="str">
        <f>IFERROR(VLOOKUP(B11212,material!A:D,3,0),"")</f>
        <v/>
      </c>
    </row>
    <row r="11213" ht="11.25" customHeight="1">
      <c r="A11213" s="21"/>
      <c r="B11213" s="22"/>
      <c r="C11213" s="21"/>
      <c r="D11213" s="21"/>
      <c r="E11213" s="21"/>
      <c r="F11213" s="21"/>
      <c r="G11213" s="25"/>
      <c r="H11213" s="24" t="str">
        <f>IFERROR(VLOOKUP(B11213,material!A:D,3,0),"")</f>
        <v/>
      </c>
    </row>
    <row r="11214" ht="11.25" customHeight="1">
      <c r="A11214" s="21"/>
      <c r="B11214" s="22"/>
      <c r="C11214" s="21"/>
      <c r="D11214" s="21"/>
      <c r="E11214" s="21"/>
      <c r="F11214" s="21"/>
      <c r="G11214" s="25"/>
      <c r="H11214" s="24" t="str">
        <f>IFERROR(VLOOKUP(B11214,material!A:D,3,0),"")</f>
        <v/>
      </c>
    </row>
    <row r="11215" ht="11.25" customHeight="1">
      <c r="A11215" s="21"/>
      <c r="B11215" s="22"/>
      <c r="C11215" s="21"/>
      <c r="D11215" s="21"/>
      <c r="E11215" s="21"/>
      <c r="F11215" s="21"/>
      <c r="G11215" s="25"/>
      <c r="H11215" s="24" t="str">
        <f>IFERROR(VLOOKUP(B11215,material!A:D,3,0),"")</f>
        <v/>
      </c>
    </row>
    <row r="11216" ht="11.25" customHeight="1">
      <c r="A11216" s="21"/>
      <c r="B11216" s="22"/>
      <c r="C11216" s="21"/>
      <c r="D11216" s="21"/>
      <c r="E11216" s="21"/>
      <c r="F11216" s="21"/>
      <c r="G11216" s="25"/>
      <c r="H11216" s="24" t="str">
        <f>IFERROR(VLOOKUP(B11216,material!A:D,3,0),"")</f>
        <v/>
      </c>
    </row>
    <row r="11217" ht="11.25" customHeight="1">
      <c r="A11217" s="21"/>
      <c r="B11217" s="22"/>
      <c r="C11217" s="21"/>
      <c r="D11217" s="21"/>
      <c r="E11217" s="21"/>
      <c r="F11217" s="21"/>
      <c r="G11217" s="25"/>
      <c r="H11217" s="24" t="str">
        <f>IFERROR(VLOOKUP(B11217,material!A:D,3,0),"")</f>
        <v/>
      </c>
    </row>
    <row r="11218" ht="11.25" customHeight="1">
      <c r="A11218" s="21"/>
      <c r="B11218" s="22"/>
      <c r="C11218" s="21"/>
      <c r="D11218" s="21"/>
      <c r="E11218" s="21"/>
      <c r="F11218" s="21"/>
      <c r="G11218" s="25"/>
      <c r="H11218" s="24" t="str">
        <f>IFERROR(VLOOKUP(B11218,material!A:D,3,0),"")</f>
        <v/>
      </c>
    </row>
    <row r="11219" ht="11.25" customHeight="1">
      <c r="A11219" s="21"/>
      <c r="B11219" s="22"/>
      <c r="C11219" s="21"/>
      <c r="D11219" s="21"/>
      <c r="E11219" s="21"/>
      <c r="F11219" s="21"/>
      <c r="G11219" s="25"/>
      <c r="H11219" s="24" t="str">
        <f>IFERROR(VLOOKUP(B11219,material!A:D,3,0),"")</f>
        <v/>
      </c>
    </row>
    <row r="11220" ht="11.25" customHeight="1">
      <c r="A11220" s="21"/>
      <c r="B11220" s="22"/>
      <c r="C11220" s="21"/>
      <c r="D11220" s="21"/>
      <c r="E11220" s="21"/>
      <c r="F11220" s="21"/>
      <c r="G11220" s="25"/>
      <c r="H11220" s="24" t="str">
        <f>IFERROR(VLOOKUP(B11220,material!A:D,3,0),"")</f>
        <v/>
      </c>
    </row>
    <row r="11221" ht="11.25" customHeight="1">
      <c r="A11221" s="21"/>
      <c r="B11221" s="22"/>
      <c r="C11221" s="21"/>
      <c r="D11221" s="21"/>
      <c r="E11221" s="21"/>
      <c r="F11221" s="21"/>
      <c r="G11221" s="25"/>
      <c r="H11221" s="24" t="str">
        <f>IFERROR(VLOOKUP(B11221,material!A:D,3,0),"")</f>
        <v/>
      </c>
    </row>
    <row r="11222" ht="11.25" customHeight="1">
      <c r="A11222" s="21"/>
      <c r="B11222" s="22"/>
      <c r="C11222" s="21"/>
      <c r="D11222" s="21"/>
      <c r="E11222" s="21"/>
      <c r="F11222" s="21"/>
      <c r="G11222" s="25"/>
      <c r="H11222" s="24" t="str">
        <f>IFERROR(VLOOKUP(B11222,material!A:D,3,0),"")</f>
        <v/>
      </c>
    </row>
    <row r="11223" ht="11.25" customHeight="1">
      <c r="A11223" s="21"/>
      <c r="B11223" s="22"/>
      <c r="C11223" s="21"/>
      <c r="D11223" s="21"/>
      <c r="E11223" s="21"/>
      <c r="F11223" s="21"/>
      <c r="G11223" s="25"/>
      <c r="H11223" s="24" t="str">
        <f>IFERROR(VLOOKUP(B11223,material!A:D,3,0),"")</f>
        <v/>
      </c>
    </row>
    <row r="11224" ht="11.25" customHeight="1">
      <c r="A11224" s="21"/>
      <c r="B11224" s="22"/>
      <c r="C11224" s="21"/>
      <c r="D11224" s="21"/>
      <c r="E11224" s="21"/>
      <c r="F11224" s="21"/>
      <c r="G11224" s="25"/>
      <c r="H11224" s="24" t="str">
        <f>IFERROR(VLOOKUP(B11224,material!A:D,3,0),"")</f>
        <v/>
      </c>
    </row>
    <row r="11225" ht="11.25" customHeight="1">
      <c r="A11225" s="21"/>
      <c r="B11225" s="22"/>
      <c r="C11225" s="21"/>
      <c r="D11225" s="21"/>
      <c r="E11225" s="21"/>
      <c r="F11225" s="21"/>
      <c r="G11225" s="25"/>
      <c r="H11225" s="24" t="str">
        <f>IFERROR(VLOOKUP(B11225,material!A:D,3,0),"")</f>
        <v/>
      </c>
    </row>
    <row r="11226" ht="11.25" customHeight="1">
      <c r="A11226" s="21"/>
      <c r="B11226" s="22"/>
      <c r="C11226" s="21"/>
      <c r="D11226" s="21"/>
      <c r="E11226" s="21"/>
      <c r="F11226" s="21"/>
      <c r="G11226" s="25"/>
      <c r="H11226" s="24" t="str">
        <f>IFERROR(VLOOKUP(B11226,material!A:D,3,0),"")</f>
        <v/>
      </c>
    </row>
    <row r="11227" ht="11.25" customHeight="1">
      <c r="A11227" s="21"/>
      <c r="B11227" s="22"/>
      <c r="C11227" s="21"/>
      <c r="D11227" s="21"/>
      <c r="E11227" s="21"/>
      <c r="F11227" s="21"/>
      <c r="G11227" s="25"/>
      <c r="H11227" s="24" t="str">
        <f>IFERROR(VLOOKUP(B11227,material!A:D,3,0),"")</f>
        <v/>
      </c>
    </row>
    <row r="11228" ht="11.25" customHeight="1">
      <c r="A11228" s="21"/>
      <c r="B11228" s="22"/>
      <c r="C11228" s="21"/>
      <c r="D11228" s="21"/>
      <c r="E11228" s="21"/>
      <c r="F11228" s="21"/>
      <c r="G11228" s="25"/>
      <c r="H11228" s="24" t="str">
        <f>IFERROR(VLOOKUP(B11228,material!A:D,3,0),"")</f>
        <v/>
      </c>
    </row>
    <row r="11229" ht="11.25" customHeight="1">
      <c r="A11229" s="21"/>
      <c r="B11229" s="22"/>
      <c r="C11229" s="21"/>
      <c r="D11229" s="21"/>
      <c r="E11229" s="21"/>
      <c r="F11229" s="21"/>
      <c r="G11229" s="25"/>
      <c r="H11229" s="24" t="str">
        <f>IFERROR(VLOOKUP(B11229,material!A:D,3,0),"")</f>
        <v/>
      </c>
    </row>
    <row r="11230" ht="11.25" customHeight="1">
      <c r="A11230" s="21"/>
      <c r="B11230" s="22"/>
      <c r="C11230" s="21"/>
      <c r="D11230" s="21"/>
      <c r="E11230" s="21"/>
      <c r="F11230" s="21"/>
      <c r="G11230" s="25"/>
      <c r="H11230" s="24" t="str">
        <f>IFERROR(VLOOKUP(B11230,material!A:D,3,0),"")</f>
        <v/>
      </c>
    </row>
    <row r="11231" ht="11.25" customHeight="1">
      <c r="A11231" s="21"/>
      <c r="B11231" s="22"/>
      <c r="C11231" s="21"/>
      <c r="D11231" s="21"/>
      <c r="E11231" s="21"/>
      <c r="F11231" s="21"/>
      <c r="G11231" s="25"/>
      <c r="H11231" s="24" t="str">
        <f>IFERROR(VLOOKUP(B11231,material!A:D,3,0),"")</f>
        <v/>
      </c>
    </row>
    <row r="11232" ht="11.25" customHeight="1">
      <c r="A11232" s="21"/>
      <c r="B11232" s="22"/>
      <c r="C11232" s="21"/>
      <c r="D11232" s="21"/>
      <c r="E11232" s="21"/>
      <c r="F11232" s="21"/>
      <c r="G11232" s="25"/>
      <c r="H11232" s="24" t="str">
        <f>IFERROR(VLOOKUP(B11232,material!A:D,3,0),"")</f>
        <v/>
      </c>
    </row>
    <row r="11233" ht="11.25" customHeight="1">
      <c r="A11233" s="21"/>
      <c r="B11233" s="22"/>
      <c r="C11233" s="21"/>
      <c r="D11233" s="21"/>
      <c r="E11233" s="21"/>
      <c r="F11233" s="21"/>
      <c r="G11233" s="25"/>
      <c r="H11233" s="24" t="str">
        <f>IFERROR(VLOOKUP(B11233,material!A:D,3,0),"")</f>
        <v/>
      </c>
    </row>
    <row r="11234" ht="11.25" customHeight="1">
      <c r="A11234" s="21"/>
      <c r="B11234" s="22"/>
      <c r="C11234" s="21"/>
      <c r="D11234" s="21"/>
      <c r="E11234" s="21"/>
      <c r="F11234" s="21"/>
      <c r="G11234" s="25"/>
      <c r="H11234" s="24" t="str">
        <f>IFERROR(VLOOKUP(B11234,material!A:D,3,0),"")</f>
        <v/>
      </c>
    </row>
    <row r="11235" ht="11.25" customHeight="1">
      <c r="A11235" s="21"/>
      <c r="B11235" s="22"/>
      <c r="C11235" s="21"/>
      <c r="D11235" s="21"/>
      <c r="E11235" s="21"/>
      <c r="F11235" s="21"/>
      <c r="G11235" s="25"/>
      <c r="H11235" s="24" t="str">
        <f>IFERROR(VLOOKUP(B11235,material!A:D,3,0),"")</f>
        <v/>
      </c>
    </row>
    <row r="11236" ht="11.25" customHeight="1">
      <c r="A11236" s="21"/>
      <c r="B11236" s="22"/>
      <c r="C11236" s="21"/>
      <c r="D11236" s="21"/>
      <c r="E11236" s="21"/>
      <c r="F11236" s="21"/>
      <c r="G11236" s="25"/>
      <c r="H11236" s="24" t="str">
        <f>IFERROR(VLOOKUP(B11236,material!A:D,3,0),"")</f>
        <v/>
      </c>
    </row>
    <row r="11237" ht="11.25" customHeight="1">
      <c r="A11237" s="21"/>
      <c r="B11237" s="22"/>
      <c r="C11237" s="21"/>
      <c r="D11237" s="21"/>
      <c r="E11237" s="21"/>
      <c r="F11237" s="21"/>
      <c r="G11237" s="25"/>
      <c r="H11237" s="24" t="str">
        <f>IFERROR(VLOOKUP(B11237,material!A:D,3,0),"")</f>
        <v/>
      </c>
    </row>
    <row r="11238" ht="11.25" customHeight="1">
      <c r="A11238" s="21"/>
      <c r="B11238" s="22"/>
      <c r="C11238" s="21"/>
      <c r="D11238" s="21"/>
      <c r="E11238" s="21"/>
      <c r="F11238" s="21"/>
      <c r="G11238" s="25"/>
      <c r="H11238" s="24" t="str">
        <f>IFERROR(VLOOKUP(B11238,material!A:D,3,0),"")</f>
        <v/>
      </c>
    </row>
    <row r="11239" ht="11.25" customHeight="1">
      <c r="A11239" s="21"/>
      <c r="B11239" s="22"/>
      <c r="C11239" s="21"/>
      <c r="D11239" s="21"/>
      <c r="E11239" s="21"/>
      <c r="F11239" s="21"/>
      <c r="G11239" s="25"/>
      <c r="H11239" s="24" t="str">
        <f>IFERROR(VLOOKUP(B11239,material!A:D,3,0),"")</f>
        <v/>
      </c>
    </row>
    <row r="11240" ht="11.25" customHeight="1">
      <c r="A11240" s="21"/>
      <c r="B11240" s="22"/>
      <c r="C11240" s="21"/>
      <c r="D11240" s="21"/>
      <c r="E11240" s="21"/>
      <c r="F11240" s="21"/>
      <c r="G11240" s="25"/>
      <c r="H11240" s="24" t="str">
        <f>IFERROR(VLOOKUP(B11240,material!A:D,3,0),"")</f>
        <v/>
      </c>
    </row>
    <row r="11241" ht="11.25" customHeight="1">
      <c r="A11241" s="21"/>
      <c r="B11241" s="22"/>
      <c r="C11241" s="21"/>
      <c r="D11241" s="21"/>
      <c r="E11241" s="21"/>
      <c r="F11241" s="21"/>
      <c r="G11241" s="25"/>
      <c r="H11241" s="24" t="str">
        <f>IFERROR(VLOOKUP(B11241,material!A:D,3,0),"")</f>
        <v/>
      </c>
    </row>
    <row r="11242" ht="11.25" customHeight="1">
      <c r="A11242" s="21"/>
      <c r="B11242" s="22"/>
      <c r="C11242" s="21"/>
      <c r="D11242" s="21"/>
      <c r="E11242" s="21"/>
      <c r="F11242" s="21"/>
      <c r="G11242" s="25"/>
      <c r="H11242" s="24" t="str">
        <f>IFERROR(VLOOKUP(B11242,material!A:D,3,0),"")</f>
        <v/>
      </c>
    </row>
    <row r="11243" ht="11.25" customHeight="1">
      <c r="A11243" s="21"/>
      <c r="B11243" s="22"/>
      <c r="C11243" s="21"/>
      <c r="D11243" s="21"/>
      <c r="E11243" s="21"/>
      <c r="F11243" s="21"/>
      <c r="G11243" s="25"/>
      <c r="H11243" s="24" t="str">
        <f>IFERROR(VLOOKUP(B11243,material!A:D,3,0),"")</f>
        <v/>
      </c>
    </row>
    <row r="11244" ht="11.25" customHeight="1">
      <c r="A11244" s="21"/>
      <c r="B11244" s="22"/>
      <c r="C11244" s="21"/>
      <c r="D11244" s="21"/>
      <c r="E11244" s="21"/>
      <c r="F11244" s="21"/>
      <c r="G11244" s="25"/>
      <c r="H11244" s="24" t="str">
        <f>IFERROR(VLOOKUP(B11244,material!A:D,3,0),"")</f>
        <v/>
      </c>
    </row>
    <row r="11245" ht="11.25" customHeight="1">
      <c r="A11245" s="21"/>
      <c r="B11245" s="22"/>
      <c r="C11245" s="21"/>
      <c r="D11245" s="21"/>
      <c r="E11245" s="21"/>
      <c r="F11245" s="21"/>
      <c r="G11245" s="25"/>
      <c r="H11245" s="24" t="str">
        <f>IFERROR(VLOOKUP(B11245,material!A:D,3,0),"")</f>
        <v/>
      </c>
    </row>
    <row r="11246" ht="11.25" customHeight="1">
      <c r="A11246" s="21"/>
      <c r="B11246" s="22"/>
      <c r="C11246" s="21"/>
      <c r="D11246" s="21"/>
      <c r="E11246" s="21"/>
      <c r="F11246" s="21"/>
      <c r="G11246" s="25"/>
      <c r="H11246" s="24" t="str">
        <f>IFERROR(VLOOKUP(B11246,material!A:D,3,0),"")</f>
        <v/>
      </c>
    </row>
    <row r="11247" ht="11.25" customHeight="1">
      <c r="A11247" s="21"/>
      <c r="B11247" s="22"/>
      <c r="C11247" s="21"/>
      <c r="D11247" s="21"/>
      <c r="E11247" s="21"/>
      <c r="F11247" s="21"/>
      <c r="G11247" s="25"/>
      <c r="H11247" s="24" t="str">
        <f>IFERROR(VLOOKUP(B11247,material!A:D,3,0),"")</f>
        <v/>
      </c>
    </row>
    <row r="11248" ht="11.25" customHeight="1">
      <c r="A11248" s="21"/>
      <c r="B11248" s="22"/>
      <c r="C11248" s="21"/>
      <c r="D11248" s="21"/>
      <c r="E11248" s="21"/>
      <c r="F11248" s="21"/>
      <c r="G11248" s="25"/>
      <c r="H11248" s="24" t="str">
        <f>IFERROR(VLOOKUP(B11248,material!A:D,3,0),"")</f>
        <v/>
      </c>
    </row>
    <row r="11249" ht="11.25" customHeight="1">
      <c r="A11249" s="21"/>
      <c r="B11249" s="22"/>
      <c r="C11249" s="21"/>
      <c r="D11249" s="21"/>
      <c r="E11249" s="21"/>
      <c r="F11249" s="21"/>
      <c r="G11249" s="25"/>
      <c r="H11249" s="24" t="str">
        <f>IFERROR(VLOOKUP(B11249,material!A:D,3,0),"")</f>
        <v/>
      </c>
    </row>
    <row r="11250" ht="11.25" customHeight="1">
      <c r="A11250" s="21"/>
      <c r="B11250" s="22"/>
      <c r="C11250" s="21"/>
      <c r="D11250" s="21"/>
      <c r="E11250" s="21"/>
      <c r="F11250" s="21"/>
      <c r="G11250" s="25"/>
      <c r="H11250" s="24" t="str">
        <f>IFERROR(VLOOKUP(B11250,material!A:D,3,0),"")</f>
        <v/>
      </c>
    </row>
    <row r="11251" ht="11.25" customHeight="1">
      <c r="A11251" s="21"/>
      <c r="B11251" s="22"/>
      <c r="C11251" s="21"/>
      <c r="D11251" s="21"/>
      <c r="E11251" s="21"/>
      <c r="F11251" s="21"/>
      <c r="G11251" s="25"/>
      <c r="H11251" s="24" t="str">
        <f>IFERROR(VLOOKUP(B11251,material!A:D,3,0),"")</f>
        <v/>
      </c>
    </row>
    <row r="11252" ht="11.25" customHeight="1">
      <c r="A11252" s="21"/>
      <c r="B11252" s="22"/>
      <c r="C11252" s="21"/>
      <c r="D11252" s="21"/>
      <c r="E11252" s="21"/>
      <c r="F11252" s="21"/>
      <c r="G11252" s="25"/>
      <c r="H11252" s="24" t="str">
        <f>IFERROR(VLOOKUP(B11252,material!A:D,3,0),"")</f>
        <v/>
      </c>
    </row>
    <row r="11253" ht="11.25" customHeight="1">
      <c r="A11253" s="21"/>
      <c r="B11253" s="22"/>
      <c r="C11253" s="21"/>
      <c r="D11253" s="21"/>
      <c r="E11253" s="21"/>
      <c r="F11253" s="21"/>
      <c r="G11253" s="25"/>
      <c r="H11253" s="24" t="str">
        <f>IFERROR(VLOOKUP(B11253,material!A:D,3,0),"")</f>
        <v/>
      </c>
    </row>
    <row r="11254" ht="11.25" customHeight="1">
      <c r="A11254" s="21"/>
      <c r="B11254" s="22"/>
      <c r="C11254" s="21"/>
      <c r="D11254" s="21"/>
      <c r="E11254" s="21"/>
      <c r="F11254" s="21"/>
      <c r="G11254" s="25"/>
      <c r="H11254" s="24" t="str">
        <f>IFERROR(VLOOKUP(B11254,material!A:D,3,0),"")</f>
        <v/>
      </c>
    </row>
    <row r="11255" ht="11.25" customHeight="1">
      <c r="A11255" s="21"/>
      <c r="B11255" s="22"/>
      <c r="C11255" s="21"/>
      <c r="D11255" s="21"/>
      <c r="E11255" s="21"/>
      <c r="F11255" s="21"/>
      <c r="G11255" s="25"/>
      <c r="H11255" s="24" t="str">
        <f>IFERROR(VLOOKUP(B11255,material!A:D,3,0),"")</f>
        <v/>
      </c>
    </row>
    <row r="11256" ht="11.25" customHeight="1">
      <c r="A11256" s="21"/>
      <c r="B11256" s="22"/>
      <c r="C11256" s="21"/>
      <c r="D11256" s="21"/>
      <c r="E11256" s="21"/>
      <c r="F11256" s="21"/>
      <c r="G11256" s="25"/>
      <c r="H11256" s="24" t="str">
        <f>IFERROR(VLOOKUP(B11256,material!A:D,3,0),"")</f>
        <v/>
      </c>
    </row>
    <row r="11257" ht="11.25" customHeight="1">
      <c r="A11257" s="21"/>
      <c r="B11257" s="22"/>
      <c r="C11257" s="21"/>
      <c r="D11257" s="21"/>
      <c r="E11257" s="21"/>
      <c r="F11257" s="21"/>
      <c r="G11257" s="25"/>
      <c r="H11257" s="24" t="str">
        <f>IFERROR(VLOOKUP(B11257,material!A:D,3,0),"")</f>
        <v/>
      </c>
    </row>
    <row r="11258" ht="11.25" customHeight="1">
      <c r="A11258" s="21"/>
      <c r="B11258" s="22"/>
      <c r="C11258" s="21"/>
      <c r="D11258" s="21"/>
      <c r="E11258" s="21"/>
      <c r="F11258" s="21"/>
      <c r="G11258" s="25"/>
      <c r="H11258" s="24" t="str">
        <f>IFERROR(VLOOKUP(B11258,material!A:D,3,0),"")</f>
        <v/>
      </c>
    </row>
    <row r="11259" ht="11.25" customHeight="1">
      <c r="A11259" s="21"/>
      <c r="B11259" s="22"/>
      <c r="C11259" s="21"/>
      <c r="D11259" s="21"/>
      <c r="E11259" s="21"/>
      <c r="F11259" s="21"/>
      <c r="G11259" s="25"/>
      <c r="H11259" s="24" t="str">
        <f>IFERROR(VLOOKUP(B11259,material!A:D,3,0),"")</f>
        <v/>
      </c>
    </row>
    <row r="11260" ht="11.25" customHeight="1">
      <c r="A11260" s="21"/>
      <c r="B11260" s="22"/>
      <c r="C11260" s="21"/>
      <c r="D11260" s="21"/>
      <c r="E11260" s="21"/>
      <c r="F11260" s="21"/>
      <c r="G11260" s="25"/>
      <c r="H11260" s="24" t="str">
        <f>IFERROR(VLOOKUP(B11260,material!A:D,3,0),"")</f>
        <v/>
      </c>
    </row>
    <row r="11261" ht="11.25" customHeight="1">
      <c r="A11261" s="21"/>
      <c r="B11261" s="22"/>
      <c r="C11261" s="21"/>
      <c r="D11261" s="21"/>
      <c r="E11261" s="21"/>
      <c r="F11261" s="21"/>
      <c r="G11261" s="25"/>
      <c r="H11261" s="24" t="str">
        <f>IFERROR(VLOOKUP(B11261,material!A:D,3,0),"")</f>
        <v/>
      </c>
    </row>
    <row r="11262" ht="11.25" customHeight="1">
      <c r="A11262" s="21"/>
      <c r="B11262" s="22"/>
      <c r="C11262" s="21"/>
      <c r="D11262" s="21"/>
      <c r="E11262" s="21"/>
      <c r="F11262" s="21"/>
      <c r="G11262" s="25"/>
      <c r="H11262" s="24" t="str">
        <f>IFERROR(VLOOKUP(B11262,material!A:D,3,0),"")</f>
        <v/>
      </c>
    </row>
    <row r="11263" ht="11.25" customHeight="1">
      <c r="A11263" s="21"/>
      <c r="B11263" s="22"/>
      <c r="C11263" s="21"/>
      <c r="D11263" s="21"/>
      <c r="E11263" s="21"/>
      <c r="F11263" s="21"/>
      <c r="G11263" s="25"/>
      <c r="H11263" s="24" t="str">
        <f>IFERROR(VLOOKUP(B11263,material!A:D,3,0),"")</f>
        <v/>
      </c>
    </row>
    <row r="11264" ht="11.25" customHeight="1">
      <c r="A11264" s="21"/>
      <c r="B11264" s="22"/>
      <c r="C11264" s="21"/>
      <c r="D11264" s="21"/>
      <c r="E11264" s="21"/>
      <c r="F11264" s="21"/>
      <c r="G11264" s="25"/>
      <c r="H11264" s="24" t="str">
        <f>IFERROR(VLOOKUP(B11264,material!A:D,3,0),"")</f>
        <v/>
      </c>
    </row>
    <row r="11265" ht="11.25" customHeight="1">
      <c r="A11265" s="21"/>
      <c r="B11265" s="22"/>
      <c r="C11265" s="21"/>
      <c r="D11265" s="21"/>
      <c r="E11265" s="21"/>
      <c r="F11265" s="21"/>
      <c r="G11265" s="25"/>
      <c r="H11265" s="24" t="str">
        <f>IFERROR(VLOOKUP(B11265,material!A:D,3,0),"")</f>
        <v/>
      </c>
    </row>
    <row r="11266" ht="11.25" customHeight="1">
      <c r="A11266" s="21"/>
      <c r="B11266" s="22"/>
      <c r="C11266" s="21"/>
      <c r="D11266" s="21"/>
      <c r="E11266" s="21"/>
      <c r="F11266" s="21"/>
      <c r="G11266" s="25"/>
      <c r="H11266" s="24" t="str">
        <f>IFERROR(VLOOKUP(B11266,material!A:D,3,0),"")</f>
        <v/>
      </c>
    </row>
    <row r="11267" ht="11.25" customHeight="1">
      <c r="A11267" s="21"/>
      <c r="B11267" s="22"/>
      <c r="C11267" s="21"/>
      <c r="D11267" s="21"/>
      <c r="E11267" s="21"/>
      <c r="F11267" s="21"/>
      <c r="G11267" s="25"/>
      <c r="H11267" s="24" t="str">
        <f>IFERROR(VLOOKUP(B11267,material!A:D,3,0),"")</f>
        <v/>
      </c>
    </row>
    <row r="11268" ht="11.25" customHeight="1">
      <c r="A11268" s="21"/>
      <c r="B11268" s="22"/>
      <c r="C11268" s="21"/>
      <c r="D11268" s="21"/>
      <c r="E11268" s="21"/>
      <c r="F11268" s="21"/>
      <c r="G11268" s="25"/>
      <c r="H11268" s="24" t="str">
        <f>IFERROR(VLOOKUP(B11268,material!A:D,3,0),"")</f>
        <v/>
      </c>
    </row>
    <row r="11269" ht="11.25" customHeight="1">
      <c r="A11269" s="21"/>
      <c r="B11269" s="22"/>
      <c r="C11269" s="21"/>
      <c r="D11269" s="21"/>
      <c r="E11269" s="21"/>
      <c r="F11269" s="21"/>
      <c r="G11269" s="25"/>
      <c r="H11269" s="24" t="str">
        <f>IFERROR(VLOOKUP(B11269,material!A:D,3,0),"")</f>
        <v/>
      </c>
    </row>
    <row r="11270" ht="11.25" customHeight="1">
      <c r="A11270" s="21"/>
      <c r="B11270" s="22"/>
      <c r="C11270" s="21"/>
      <c r="D11270" s="21"/>
      <c r="E11270" s="21"/>
      <c r="F11270" s="21"/>
      <c r="G11270" s="25"/>
      <c r="H11270" s="24" t="str">
        <f>IFERROR(VLOOKUP(B11270,material!A:D,3,0),"")</f>
        <v/>
      </c>
    </row>
    <row r="11271" ht="11.25" customHeight="1">
      <c r="A11271" s="21"/>
      <c r="B11271" s="22"/>
      <c r="C11271" s="21"/>
      <c r="D11271" s="21"/>
      <c r="E11271" s="21"/>
      <c r="F11271" s="21"/>
      <c r="G11271" s="25"/>
      <c r="H11271" s="24" t="str">
        <f>IFERROR(VLOOKUP(B11271,material!A:D,3,0),"")</f>
        <v/>
      </c>
    </row>
    <row r="11272" ht="11.25" customHeight="1">
      <c r="A11272" s="21"/>
      <c r="B11272" s="22"/>
      <c r="C11272" s="21"/>
      <c r="D11272" s="21"/>
      <c r="E11272" s="21"/>
      <c r="F11272" s="21"/>
      <c r="G11272" s="25"/>
      <c r="H11272" s="24" t="str">
        <f>IFERROR(VLOOKUP(B11272,material!A:D,3,0),"")</f>
        <v/>
      </c>
    </row>
    <row r="11273" ht="11.25" customHeight="1">
      <c r="A11273" s="21"/>
      <c r="B11273" s="22"/>
      <c r="C11273" s="21"/>
      <c r="D11273" s="21"/>
      <c r="E11273" s="21"/>
      <c r="F11273" s="21"/>
      <c r="G11273" s="25"/>
      <c r="H11273" s="24" t="str">
        <f>IFERROR(VLOOKUP(B11273,material!A:D,3,0),"")</f>
        <v/>
      </c>
    </row>
    <row r="11274" ht="11.25" customHeight="1">
      <c r="A11274" s="21"/>
      <c r="B11274" s="22"/>
      <c r="C11274" s="21"/>
      <c r="D11274" s="21"/>
      <c r="E11274" s="21"/>
      <c r="F11274" s="21"/>
      <c r="G11274" s="25"/>
      <c r="H11274" s="24" t="str">
        <f>IFERROR(VLOOKUP(B11274,material!A:D,3,0),"")</f>
        <v/>
      </c>
    </row>
    <row r="11275" ht="11.25" customHeight="1">
      <c r="A11275" s="21"/>
      <c r="B11275" s="22"/>
      <c r="C11275" s="21"/>
      <c r="D11275" s="21"/>
      <c r="E11275" s="21"/>
      <c r="F11275" s="21"/>
      <c r="G11275" s="25"/>
      <c r="H11275" s="24" t="str">
        <f>IFERROR(VLOOKUP(B11275,material!A:D,3,0),"")</f>
        <v/>
      </c>
    </row>
    <row r="11276" ht="11.25" customHeight="1">
      <c r="A11276" s="21"/>
      <c r="B11276" s="22"/>
      <c r="C11276" s="21"/>
      <c r="D11276" s="21"/>
      <c r="E11276" s="21"/>
      <c r="F11276" s="21"/>
      <c r="G11276" s="25"/>
      <c r="H11276" s="24" t="str">
        <f>IFERROR(VLOOKUP(B11276,material!A:D,3,0),"")</f>
        <v/>
      </c>
    </row>
    <row r="11277" ht="11.25" customHeight="1">
      <c r="A11277" s="21"/>
      <c r="B11277" s="22"/>
      <c r="C11277" s="21"/>
      <c r="D11277" s="21"/>
      <c r="E11277" s="21"/>
      <c r="F11277" s="21"/>
      <c r="G11277" s="25"/>
      <c r="H11277" s="24" t="str">
        <f>IFERROR(VLOOKUP(B11277,material!A:D,3,0),"")</f>
        <v/>
      </c>
    </row>
    <row r="11278" ht="11.25" customHeight="1">
      <c r="A11278" s="21"/>
      <c r="B11278" s="22"/>
      <c r="C11278" s="21"/>
      <c r="D11278" s="21"/>
      <c r="E11278" s="21"/>
      <c r="F11278" s="21"/>
      <c r="G11278" s="25"/>
      <c r="H11278" s="24" t="str">
        <f>IFERROR(VLOOKUP(B11278,material!A:D,3,0),"")</f>
        <v/>
      </c>
    </row>
    <row r="11279" ht="11.25" customHeight="1">
      <c r="A11279" s="21"/>
      <c r="B11279" s="22"/>
      <c r="C11279" s="21"/>
      <c r="D11279" s="21"/>
      <c r="E11279" s="21"/>
      <c r="F11279" s="21"/>
      <c r="G11279" s="25"/>
      <c r="H11279" s="24" t="str">
        <f>IFERROR(VLOOKUP(B11279,material!A:D,3,0),"")</f>
        <v/>
      </c>
    </row>
    <row r="11280" ht="11.25" customHeight="1">
      <c r="A11280" s="21"/>
      <c r="B11280" s="22"/>
      <c r="C11280" s="21"/>
      <c r="D11280" s="21"/>
      <c r="E11280" s="21"/>
      <c r="F11280" s="21"/>
      <c r="G11280" s="25"/>
      <c r="H11280" s="24" t="str">
        <f>IFERROR(VLOOKUP(B11280,material!A:D,3,0),"")</f>
        <v/>
      </c>
    </row>
    <row r="11281" ht="11.25" customHeight="1">
      <c r="A11281" s="21"/>
      <c r="B11281" s="22"/>
      <c r="C11281" s="21"/>
      <c r="D11281" s="21"/>
      <c r="E11281" s="21"/>
      <c r="F11281" s="21"/>
      <c r="G11281" s="25"/>
      <c r="H11281" s="24" t="str">
        <f>IFERROR(VLOOKUP(B11281,material!A:D,3,0),"")</f>
        <v/>
      </c>
    </row>
    <row r="11282" ht="11.25" customHeight="1">
      <c r="A11282" s="21"/>
      <c r="B11282" s="22"/>
      <c r="C11282" s="21"/>
      <c r="D11282" s="21"/>
      <c r="E11282" s="21"/>
      <c r="F11282" s="21"/>
      <c r="G11282" s="25"/>
      <c r="H11282" s="24" t="str">
        <f>IFERROR(VLOOKUP(B11282,material!A:D,3,0),"")</f>
        <v/>
      </c>
    </row>
    <row r="11283" ht="11.25" customHeight="1">
      <c r="A11283" s="21"/>
      <c r="B11283" s="22"/>
      <c r="C11283" s="21"/>
      <c r="D11283" s="21"/>
      <c r="E11283" s="21"/>
      <c r="F11283" s="21"/>
      <c r="G11283" s="25"/>
      <c r="H11283" s="24" t="str">
        <f>IFERROR(VLOOKUP(B11283,material!A:D,3,0),"")</f>
        <v/>
      </c>
    </row>
    <row r="11284" ht="11.25" customHeight="1">
      <c r="A11284" s="21"/>
      <c r="B11284" s="22"/>
      <c r="C11284" s="21"/>
      <c r="D11284" s="21"/>
      <c r="E11284" s="21"/>
      <c r="F11284" s="21"/>
      <c r="G11284" s="25"/>
      <c r="H11284" s="24" t="str">
        <f>IFERROR(VLOOKUP(B11284,material!A:D,3,0),"")</f>
        <v/>
      </c>
    </row>
    <row r="11285" ht="11.25" customHeight="1">
      <c r="A11285" s="21"/>
      <c r="B11285" s="22"/>
      <c r="C11285" s="21"/>
      <c r="D11285" s="21"/>
      <c r="E11285" s="21"/>
      <c r="F11285" s="21"/>
      <c r="G11285" s="25"/>
      <c r="H11285" s="24" t="str">
        <f>IFERROR(VLOOKUP(B11285,material!A:D,3,0),"")</f>
        <v/>
      </c>
    </row>
    <row r="11286" ht="11.25" customHeight="1">
      <c r="A11286" s="21"/>
      <c r="B11286" s="22"/>
      <c r="C11286" s="21"/>
      <c r="D11286" s="21"/>
      <c r="E11286" s="21"/>
      <c r="F11286" s="21"/>
      <c r="G11286" s="25"/>
      <c r="H11286" s="24" t="str">
        <f>IFERROR(VLOOKUP(B11286,material!A:D,3,0),"")</f>
        <v/>
      </c>
    </row>
    <row r="11287" ht="11.25" customHeight="1">
      <c r="A11287" s="21"/>
      <c r="B11287" s="22"/>
      <c r="C11287" s="21"/>
      <c r="D11287" s="21"/>
      <c r="E11287" s="21"/>
      <c r="F11287" s="21"/>
      <c r="G11287" s="25"/>
      <c r="H11287" s="24" t="str">
        <f>IFERROR(VLOOKUP(B11287,material!A:D,3,0),"")</f>
        <v/>
      </c>
    </row>
    <row r="11288" ht="11.25" customHeight="1">
      <c r="A11288" s="21"/>
      <c r="B11288" s="22"/>
      <c r="C11288" s="21"/>
      <c r="D11288" s="21"/>
      <c r="E11288" s="21"/>
      <c r="F11288" s="21"/>
      <c r="G11288" s="25"/>
      <c r="H11288" s="24" t="str">
        <f>IFERROR(VLOOKUP(B11288,material!A:D,3,0),"")</f>
        <v/>
      </c>
    </row>
    <row r="11289" ht="11.25" customHeight="1">
      <c r="A11289" s="21"/>
      <c r="B11289" s="22"/>
      <c r="C11289" s="21"/>
      <c r="D11289" s="21"/>
      <c r="E11289" s="21"/>
      <c r="F11289" s="21"/>
      <c r="G11289" s="25"/>
      <c r="H11289" s="24" t="str">
        <f>IFERROR(VLOOKUP(B11289,material!A:D,3,0),"")</f>
        <v/>
      </c>
    </row>
    <row r="11290" ht="11.25" customHeight="1">
      <c r="A11290" s="21"/>
      <c r="B11290" s="22"/>
      <c r="C11290" s="21"/>
      <c r="D11290" s="21"/>
      <c r="E11290" s="21"/>
      <c r="F11290" s="21"/>
      <c r="G11290" s="25"/>
      <c r="H11290" s="24" t="str">
        <f>IFERROR(VLOOKUP(B11290,material!A:D,3,0),"")</f>
        <v/>
      </c>
    </row>
    <row r="11291" ht="11.25" customHeight="1">
      <c r="A11291" s="21"/>
      <c r="B11291" s="22"/>
      <c r="C11291" s="21"/>
      <c r="D11291" s="21"/>
      <c r="E11291" s="21"/>
      <c r="F11291" s="21"/>
      <c r="G11291" s="25"/>
      <c r="H11291" s="24" t="str">
        <f>IFERROR(VLOOKUP(B11291,material!A:D,3,0),"")</f>
        <v/>
      </c>
    </row>
    <row r="11292" ht="11.25" customHeight="1">
      <c r="A11292" s="21"/>
      <c r="B11292" s="22"/>
      <c r="C11292" s="21"/>
      <c r="D11292" s="21"/>
      <c r="E11292" s="21"/>
      <c r="F11292" s="21"/>
      <c r="G11292" s="25"/>
      <c r="H11292" s="24" t="str">
        <f>IFERROR(VLOOKUP(B11292,material!A:D,3,0),"")</f>
        <v/>
      </c>
    </row>
    <row r="11293" ht="11.25" customHeight="1">
      <c r="A11293" s="21"/>
      <c r="B11293" s="22"/>
      <c r="C11293" s="21"/>
      <c r="D11293" s="21"/>
      <c r="E11293" s="21"/>
      <c r="F11293" s="21"/>
      <c r="G11293" s="25"/>
      <c r="H11293" s="24" t="str">
        <f>IFERROR(VLOOKUP(B11293,material!A:D,3,0),"")</f>
        <v/>
      </c>
    </row>
    <row r="11294" ht="11.25" customHeight="1">
      <c r="A11294" s="21"/>
      <c r="B11294" s="22"/>
      <c r="C11294" s="21"/>
      <c r="D11294" s="21"/>
      <c r="E11294" s="21"/>
      <c r="F11294" s="21"/>
      <c r="G11294" s="25"/>
      <c r="H11294" s="24" t="str">
        <f>IFERROR(VLOOKUP(B11294,material!A:D,3,0),"")</f>
        <v/>
      </c>
    </row>
    <row r="11295" ht="11.25" customHeight="1">
      <c r="A11295" s="21"/>
      <c r="B11295" s="22"/>
      <c r="C11295" s="21"/>
      <c r="D11295" s="21"/>
      <c r="E11295" s="21"/>
      <c r="F11295" s="21"/>
      <c r="G11295" s="25"/>
      <c r="H11295" s="24" t="str">
        <f>IFERROR(VLOOKUP(B11295,material!A:D,3,0),"")</f>
        <v/>
      </c>
    </row>
    <row r="11296" ht="11.25" customHeight="1">
      <c r="A11296" s="21"/>
      <c r="B11296" s="22"/>
      <c r="C11296" s="21"/>
      <c r="D11296" s="21"/>
      <c r="E11296" s="21"/>
      <c r="F11296" s="21"/>
      <c r="G11296" s="25"/>
      <c r="H11296" s="24" t="str">
        <f>IFERROR(VLOOKUP(B11296,material!A:D,3,0),"")</f>
        <v/>
      </c>
    </row>
    <row r="11297" ht="11.25" customHeight="1">
      <c r="A11297" s="21"/>
      <c r="B11297" s="22"/>
      <c r="C11297" s="21"/>
      <c r="D11297" s="21"/>
      <c r="E11297" s="21"/>
      <c r="F11297" s="21"/>
      <c r="G11297" s="25"/>
      <c r="H11297" s="24" t="str">
        <f>IFERROR(VLOOKUP(B11297,material!A:D,3,0),"")</f>
        <v/>
      </c>
    </row>
    <row r="11298" ht="11.25" customHeight="1">
      <c r="A11298" s="21"/>
      <c r="B11298" s="22"/>
      <c r="C11298" s="21"/>
      <c r="D11298" s="21"/>
      <c r="E11298" s="21"/>
      <c r="F11298" s="21"/>
      <c r="G11298" s="25"/>
      <c r="H11298" s="24" t="str">
        <f>IFERROR(VLOOKUP(B11298,material!A:D,3,0),"")</f>
        <v/>
      </c>
    </row>
    <row r="11299" ht="11.25" customHeight="1">
      <c r="A11299" s="21"/>
      <c r="B11299" s="22"/>
      <c r="C11299" s="21"/>
      <c r="D11299" s="21"/>
      <c r="E11299" s="21"/>
      <c r="F11299" s="21"/>
      <c r="G11299" s="25"/>
      <c r="H11299" s="24" t="str">
        <f>IFERROR(VLOOKUP(B11299,material!A:D,3,0),"")</f>
        <v/>
      </c>
    </row>
    <row r="11300" ht="11.25" customHeight="1">
      <c r="A11300" s="21"/>
      <c r="B11300" s="22"/>
      <c r="C11300" s="21"/>
      <c r="D11300" s="21"/>
      <c r="E11300" s="21"/>
      <c r="F11300" s="21"/>
      <c r="G11300" s="25"/>
      <c r="H11300" s="24" t="str">
        <f>IFERROR(VLOOKUP(B11300,material!A:D,3,0),"")</f>
        <v/>
      </c>
    </row>
    <row r="11301" ht="11.25" customHeight="1">
      <c r="A11301" s="21"/>
      <c r="B11301" s="22"/>
      <c r="C11301" s="21"/>
      <c r="D11301" s="21"/>
      <c r="E11301" s="21"/>
      <c r="F11301" s="21"/>
      <c r="G11301" s="25"/>
      <c r="H11301" s="24" t="str">
        <f>IFERROR(VLOOKUP(B11301,material!A:D,3,0),"")</f>
        <v/>
      </c>
    </row>
    <row r="11302" ht="11.25" customHeight="1">
      <c r="A11302" s="21"/>
      <c r="B11302" s="22"/>
      <c r="C11302" s="21"/>
      <c r="D11302" s="21"/>
      <c r="E11302" s="21"/>
      <c r="F11302" s="21"/>
      <c r="G11302" s="25"/>
      <c r="H11302" s="24" t="str">
        <f>IFERROR(VLOOKUP(B11302,material!A:D,3,0),"")</f>
        <v/>
      </c>
    </row>
    <row r="11303" ht="11.25" customHeight="1">
      <c r="A11303" s="21"/>
      <c r="B11303" s="22"/>
      <c r="C11303" s="21"/>
      <c r="D11303" s="21"/>
      <c r="E11303" s="21"/>
      <c r="F11303" s="21"/>
      <c r="G11303" s="25"/>
      <c r="H11303" s="24" t="str">
        <f>IFERROR(VLOOKUP(B11303,material!A:D,3,0),"")</f>
        <v/>
      </c>
    </row>
    <row r="11304" ht="11.25" customHeight="1">
      <c r="A11304" s="21"/>
      <c r="B11304" s="22"/>
      <c r="C11304" s="21"/>
      <c r="D11304" s="21"/>
      <c r="E11304" s="21"/>
      <c r="F11304" s="21"/>
      <c r="G11304" s="25"/>
      <c r="H11304" s="24" t="str">
        <f>IFERROR(VLOOKUP(B11304,material!A:D,3,0),"")</f>
        <v/>
      </c>
    </row>
    <row r="11305" ht="11.25" customHeight="1">
      <c r="A11305" s="21"/>
      <c r="B11305" s="22"/>
      <c r="C11305" s="21"/>
      <c r="D11305" s="21"/>
      <c r="E11305" s="21"/>
      <c r="F11305" s="21"/>
      <c r="G11305" s="25"/>
      <c r="H11305" s="24" t="str">
        <f>IFERROR(VLOOKUP(B11305,material!A:D,3,0),"")</f>
        <v/>
      </c>
    </row>
    <row r="11306" ht="11.25" customHeight="1">
      <c r="A11306" s="21"/>
      <c r="B11306" s="22"/>
      <c r="C11306" s="21"/>
      <c r="D11306" s="21"/>
      <c r="E11306" s="21"/>
      <c r="F11306" s="21"/>
      <c r="G11306" s="25"/>
      <c r="H11306" s="24" t="str">
        <f>IFERROR(VLOOKUP(B11306,material!A:D,3,0),"")</f>
        <v/>
      </c>
    </row>
    <row r="11307" ht="11.25" customHeight="1">
      <c r="A11307" s="21"/>
      <c r="B11307" s="22"/>
      <c r="C11307" s="21"/>
      <c r="D11307" s="21"/>
      <c r="E11307" s="21"/>
      <c r="F11307" s="21"/>
      <c r="G11307" s="25"/>
      <c r="H11307" s="24" t="str">
        <f>IFERROR(VLOOKUP(B11307,material!A:D,3,0),"")</f>
        <v/>
      </c>
    </row>
    <row r="11308" ht="11.25" customHeight="1">
      <c r="A11308" s="21"/>
      <c r="B11308" s="22"/>
      <c r="C11308" s="21"/>
      <c r="D11308" s="21"/>
      <c r="E11308" s="21"/>
      <c r="F11308" s="21"/>
      <c r="G11308" s="25"/>
      <c r="H11308" s="24" t="str">
        <f>IFERROR(VLOOKUP(B11308,material!A:D,3,0),"")</f>
        <v/>
      </c>
    </row>
    <row r="11309" ht="11.25" customHeight="1">
      <c r="A11309" s="21"/>
      <c r="B11309" s="22"/>
      <c r="C11309" s="21"/>
      <c r="D11309" s="21"/>
      <c r="E11309" s="21"/>
      <c r="F11309" s="21"/>
      <c r="G11309" s="25"/>
      <c r="H11309" s="24" t="str">
        <f>IFERROR(VLOOKUP(B11309,material!A:D,3,0),"")</f>
        <v/>
      </c>
    </row>
    <row r="11310" ht="11.25" customHeight="1">
      <c r="A11310" s="21"/>
      <c r="B11310" s="22"/>
      <c r="C11310" s="21"/>
      <c r="D11310" s="21"/>
      <c r="E11310" s="21"/>
      <c r="F11310" s="21"/>
      <c r="G11310" s="25"/>
      <c r="H11310" s="24" t="str">
        <f>IFERROR(VLOOKUP(B11310,material!A:D,3,0),"")</f>
        <v/>
      </c>
    </row>
    <row r="11311" ht="11.25" customHeight="1">
      <c r="A11311" s="21"/>
      <c r="B11311" s="22"/>
      <c r="C11311" s="21"/>
      <c r="D11311" s="21"/>
      <c r="E11311" s="21"/>
      <c r="F11311" s="21"/>
      <c r="G11311" s="25"/>
      <c r="H11311" s="24" t="str">
        <f>IFERROR(VLOOKUP(B11311,material!A:D,3,0),"")</f>
        <v/>
      </c>
    </row>
    <row r="11312" ht="11.25" customHeight="1">
      <c r="A11312" s="21"/>
      <c r="B11312" s="22"/>
      <c r="C11312" s="21"/>
      <c r="D11312" s="21"/>
      <c r="E11312" s="21"/>
      <c r="F11312" s="21"/>
      <c r="G11312" s="25"/>
      <c r="H11312" s="24" t="str">
        <f>IFERROR(VLOOKUP(B11312,material!A:D,3,0),"")</f>
        <v/>
      </c>
    </row>
    <row r="11313" ht="11.25" customHeight="1">
      <c r="A11313" s="21"/>
      <c r="B11313" s="22"/>
      <c r="C11313" s="21"/>
      <c r="D11313" s="21"/>
      <c r="E11313" s="21"/>
      <c r="F11313" s="21"/>
      <c r="G11313" s="25"/>
      <c r="H11313" s="24" t="str">
        <f>IFERROR(VLOOKUP(B11313,material!A:D,3,0),"")</f>
        <v/>
      </c>
    </row>
    <row r="11314" ht="11.25" customHeight="1">
      <c r="A11314" s="21"/>
      <c r="B11314" s="22"/>
      <c r="C11314" s="21"/>
      <c r="D11314" s="21"/>
      <c r="E11314" s="21"/>
      <c r="F11314" s="21"/>
      <c r="G11314" s="25"/>
      <c r="H11314" s="24" t="str">
        <f>IFERROR(VLOOKUP(B11314,material!A:D,3,0),"")</f>
        <v/>
      </c>
    </row>
    <row r="11315" ht="11.25" customHeight="1">
      <c r="A11315" s="21"/>
      <c r="B11315" s="22"/>
      <c r="C11315" s="21"/>
      <c r="D11315" s="21"/>
      <c r="E11315" s="21"/>
      <c r="F11315" s="21"/>
      <c r="G11315" s="25"/>
      <c r="H11315" s="24" t="str">
        <f>IFERROR(VLOOKUP(B11315,material!A:D,3,0),"")</f>
        <v/>
      </c>
    </row>
    <row r="11316" ht="11.25" customHeight="1">
      <c r="A11316" s="21"/>
      <c r="B11316" s="22"/>
      <c r="C11316" s="21"/>
      <c r="D11316" s="21"/>
      <c r="E11316" s="21"/>
      <c r="F11316" s="21"/>
      <c r="G11316" s="25"/>
      <c r="H11316" s="24" t="str">
        <f>IFERROR(VLOOKUP(B11316,material!A:D,3,0),"")</f>
        <v/>
      </c>
    </row>
    <row r="11317" ht="11.25" customHeight="1">
      <c r="A11317" s="21"/>
      <c r="B11317" s="22"/>
      <c r="C11317" s="21"/>
      <c r="D11317" s="21"/>
      <c r="E11317" s="21"/>
      <c r="F11317" s="21"/>
      <c r="G11317" s="25"/>
      <c r="H11317" s="24" t="str">
        <f>IFERROR(VLOOKUP(B11317,material!A:D,3,0),"")</f>
        <v/>
      </c>
    </row>
    <row r="11318" ht="11.25" customHeight="1">
      <c r="A11318" s="21"/>
      <c r="B11318" s="22"/>
      <c r="C11318" s="21"/>
      <c r="D11318" s="21"/>
      <c r="E11318" s="21"/>
      <c r="F11318" s="21"/>
      <c r="G11318" s="25"/>
      <c r="H11318" s="24" t="str">
        <f>IFERROR(VLOOKUP(B11318,material!A:D,3,0),"")</f>
        <v/>
      </c>
    </row>
    <row r="11319" ht="11.25" customHeight="1">
      <c r="A11319" s="21"/>
      <c r="B11319" s="22"/>
      <c r="C11319" s="21"/>
      <c r="D11319" s="21"/>
      <c r="E11319" s="21"/>
      <c r="F11319" s="21"/>
      <c r="G11319" s="25"/>
      <c r="H11319" s="24" t="str">
        <f>IFERROR(VLOOKUP(B11319,material!A:D,3,0),"")</f>
        <v/>
      </c>
    </row>
    <row r="11320" ht="11.25" customHeight="1">
      <c r="A11320" s="21"/>
      <c r="B11320" s="22"/>
      <c r="C11320" s="21"/>
      <c r="D11320" s="21"/>
      <c r="E11320" s="21"/>
      <c r="F11320" s="21"/>
      <c r="G11320" s="25"/>
      <c r="H11320" s="24" t="str">
        <f>IFERROR(VLOOKUP(B11320,material!A:D,3,0),"")</f>
        <v/>
      </c>
    </row>
    <row r="11321" ht="11.25" customHeight="1">
      <c r="A11321" s="21"/>
      <c r="B11321" s="22"/>
      <c r="C11321" s="21"/>
      <c r="D11321" s="21"/>
      <c r="E11321" s="21"/>
      <c r="F11321" s="21"/>
      <c r="G11321" s="25"/>
      <c r="H11321" s="24" t="str">
        <f>IFERROR(VLOOKUP(B11321,material!A:D,3,0),"")</f>
        <v/>
      </c>
    </row>
    <row r="11322" ht="11.25" customHeight="1">
      <c r="A11322" s="21"/>
      <c r="B11322" s="22"/>
      <c r="C11322" s="21"/>
      <c r="D11322" s="21"/>
      <c r="E11322" s="21"/>
      <c r="F11322" s="21"/>
      <c r="G11322" s="25"/>
      <c r="H11322" s="24" t="str">
        <f>IFERROR(VLOOKUP(B11322,material!A:D,3,0),"")</f>
        <v/>
      </c>
    </row>
    <row r="11323" ht="11.25" customHeight="1">
      <c r="A11323" s="21"/>
      <c r="B11323" s="22"/>
      <c r="C11323" s="21"/>
      <c r="D11323" s="21"/>
      <c r="E11323" s="21"/>
      <c r="F11323" s="21"/>
      <c r="G11323" s="25"/>
      <c r="H11323" s="24" t="str">
        <f>IFERROR(VLOOKUP(B11323,material!A:D,3,0),"")</f>
        <v/>
      </c>
    </row>
    <row r="11324" ht="11.25" customHeight="1">
      <c r="A11324" s="21"/>
      <c r="B11324" s="22"/>
      <c r="C11324" s="21"/>
      <c r="D11324" s="21"/>
      <c r="E11324" s="21"/>
      <c r="F11324" s="21"/>
      <c r="G11324" s="25"/>
      <c r="H11324" s="24" t="str">
        <f>IFERROR(VLOOKUP(B11324,material!A:D,3,0),"")</f>
        <v/>
      </c>
    </row>
    <row r="11325" ht="11.25" customHeight="1">
      <c r="A11325" s="21"/>
      <c r="B11325" s="22"/>
      <c r="C11325" s="21"/>
      <c r="D11325" s="21"/>
      <c r="E11325" s="21"/>
      <c r="F11325" s="21"/>
      <c r="G11325" s="25"/>
      <c r="H11325" s="24" t="str">
        <f>IFERROR(VLOOKUP(B11325,material!A:D,3,0),"")</f>
        <v/>
      </c>
    </row>
    <row r="11326" ht="11.25" customHeight="1">
      <c r="A11326" s="21"/>
      <c r="B11326" s="22"/>
      <c r="C11326" s="21"/>
      <c r="D11326" s="21"/>
      <c r="E11326" s="21"/>
      <c r="F11326" s="21"/>
      <c r="G11326" s="25"/>
      <c r="H11326" s="24" t="str">
        <f>IFERROR(VLOOKUP(B11326,material!A:D,3,0),"")</f>
        <v/>
      </c>
    </row>
    <row r="11327" ht="11.25" customHeight="1">
      <c r="A11327" s="21"/>
      <c r="B11327" s="22"/>
      <c r="C11327" s="21"/>
      <c r="D11327" s="21"/>
      <c r="E11327" s="21"/>
      <c r="F11327" s="21"/>
      <c r="G11327" s="25"/>
      <c r="H11327" s="24" t="str">
        <f>IFERROR(VLOOKUP(B11327,material!A:D,3,0),"")</f>
        <v/>
      </c>
    </row>
    <row r="11328" ht="11.25" customHeight="1">
      <c r="A11328" s="21"/>
      <c r="B11328" s="22"/>
      <c r="C11328" s="21"/>
      <c r="D11328" s="21"/>
      <c r="E11328" s="21"/>
      <c r="F11328" s="21"/>
      <c r="G11328" s="25"/>
      <c r="H11328" s="24" t="str">
        <f>IFERROR(VLOOKUP(B11328,material!A:D,3,0),"")</f>
        <v/>
      </c>
    </row>
    <row r="11329" ht="11.25" customHeight="1">
      <c r="A11329" s="21"/>
      <c r="B11329" s="22"/>
      <c r="C11329" s="21"/>
      <c r="D11329" s="21"/>
      <c r="E11329" s="21"/>
      <c r="F11329" s="21"/>
      <c r="G11329" s="25"/>
      <c r="H11329" s="24" t="str">
        <f>IFERROR(VLOOKUP(B11329,material!A:D,3,0),"")</f>
        <v/>
      </c>
    </row>
    <row r="11330" ht="11.25" customHeight="1">
      <c r="A11330" s="21"/>
      <c r="B11330" s="22"/>
      <c r="C11330" s="21"/>
      <c r="D11330" s="21"/>
      <c r="E11330" s="21"/>
      <c r="F11330" s="21"/>
      <c r="G11330" s="25"/>
      <c r="H11330" s="24" t="str">
        <f>IFERROR(VLOOKUP(B11330,material!A:D,3,0),"")</f>
        <v/>
      </c>
    </row>
    <row r="11331" ht="11.25" customHeight="1">
      <c r="A11331" s="21"/>
      <c r="B11331" s="22"/>
      <c r="C11331" s="21"/>
      <c r="D11331" s="21"/>
      <c r="E11331" s="21"/>
      <c r="F11331" s="21"/>
      <c r="G11331" s="25"/>
      <c r="H11331" s="24" t="str">
        <f>IFERROR(VLOOKUP(B11331,material!A:D,3,0),"")</f>
        <v/>
      </c>
    </row>
    <row r="11332" ht="11.25" customHeight="1">
      <c r="A11332" s="21"/>
      <c r="B11332" s="22"/>
      <c r="C11332" s="21"/>
      <c r="D11332" s="21"/>
      <c r="E11332" s="21"/>
      <c r="F11332" s="21"/>
      <c r="G11332" s="25"/>
      <c r="H11332" s="24" t="str">
        <f>IFERROR(VLOOKUP(B11332,material!A:D,3,0),"")</f>
        <v/>
      </c>
    </row>
    <row r="11333" ht="11.25" customHeight="1">
      <c r="A11333" s="21"/>
      <c r="B11333" s="22"/>
      <c r="C11333" s="21"/>
      <c r="D11333" s="21"/>
      <c r="E11333" s="21"/>
      <c r="F11333" s="21"/>
      <c r="G11333" s="25"/>
      <c r="H11333" s="24" t="str">
        <f>IFERROR(VLOOKUP(B11333,material!A:D,3,0),"")</f>
        <v/>
      </c>
    </row>
    <row r="11334" ht="11.25" customHeight="1">
      <c r="A11334" s="21"/>
      <c r="B11334" s="22"/>
      <c r="C11334" s="21"/>
      <c r="D11334" s="21"/>
      <c r="E11334" s="21"/>
      <c r="F11334" s="21"/>
      <c r="G11334" s="25"/>
      <c r="H11334" s="24" t="str">
        <f>IFERROR(VLOOKUP(B11334,material!A:D,3,0),"")</f>
        <v/>
      </c>
    </row>
    <row r="11335" ht="11.25" customHeight="1">
      <c r="A11335" s="21"/>
      <c r="B11335" s="22"/>
      <c r="C11335" s="21"/>
      <c r="D11335" s="21"/>
      <c r="E11335" s="21"/>
      <c r="F11335" s="21"/>
      <c r="G11335" s="25"/>
      <c r="H11335" s="24" t="str">
        <f>IFERROR(VLOOKUP(B11335,material!A:D,3,0),"")</f>
        <v/>
      </c>
    </row>
    <row r="11336" ht="11.25" customHeight="1">
      <c r="A11336" s="21"/>
      <c r="B11336" s="22"/>
      <c r="C11336" s="21"/>
      <c r="D11336" s="21"/>
      <c r="E11336" s="21"/>
      <c r="F11336" s="21"/>
      <c r="G11336" s="25"/>
      <c r="H11336" s="24" t="str">
        <f>IFERROR(VLOOKUP(B11336,material!A:D,3,0),"")</f>
        <v/>
      </c>
    </row>
    <row r="11337" ht="11.25" customHeight="1">
      <c r="A11337" s="21"/>
      <c r="B11337" s="22"/>
      <c r="C11337" s="21"/>
      <c r="D11337" s="21"/>
      <c r="E11337" s="21"/>
      <c r="F11337" s="21"/>
      <c r="G11337" s="25"/>
      <c r="H11337" s="24" t="str">
        <f>IFERROR(VLOOKUP(B11337,material!A:D,3,0),"")</f>
        <v/>
      </c>
    </row>
    <row r="11338" ht="11.25" customHeight="1">
      <c r="A11338" s="21"/>
      <c r="B11338" s="22"/>
      <c r="C11338" s="21"/>
      <c r="D11338" s="21"/>
      <c r="E11338" s="21"/>
      <c r="F11338" s="21"/>
      <c r="G11338" s="25"/>
      <c r="H11338" s="24" t="str">
        <f>IFERROR(VLOOKUP(B11338,material!A:D,3,0),"")</f>
        <v/>
      </c>
    </row>
    <row r="11339" ht="11.25" customHeight="1">
      <c r="A11339" s="21"/>
      <c r="B11339" s="22"/>
      <c r="C11339" s="21"/>
      <c r="D11339" s="21"/>
      <c r="E11339" s="21"/>
      <c r="F11339" s="21"/>
      <c r="G11339" s="25"/>
      <c r="H11339" s="24" t="str">
        <f>IFERROR(VLOOKUP(B11339,material!A:D,3,0),"")</f>
        <v/>
      </c>
    </row>
    <row r="11340" ht="11.25" customHeight="1">
      <c r="A11340" s="21"/>
      <c r="B11340" s="22"/>
      <c r="C11340" s="21"/>
      <c r="D11340" s="21"/>
      <c r="E11340" s="21"/>
      <c r="F11340" s="21"/>
      <c r="G11340" s="25"/>
      <c r="H11340" s="24" t="str">
        <f>IFERROR(VLOOKUP(B11340,material!A:D,3,0),"")</f>
        <v/>
      </c>
    </row>
    <row r="11341" ht="11.25" customHeight="1">
      <c r="A11341" s="21"/>
      <c r="B11341" s="22"/>
      <c r="C11341" s="21"/>
      <c r="D11341" s="21"/>
      <c r="E11341" s="21"/>
      <c r="F11341" s="21"/>
      <c r="G11341" s="25"/>
      <c r="H11341" s="24" t="str">
        <f>IFERROR(VLOOKUP(B11341,material!A:D,3,0),"")</f>
        <v/>
      </c>
    </row>
    <row r="11342" ht="11.25" customHeight="1">
      <c r="A11342" s="21"/>
      <c r="B11342" s="22"/>
      <c r="C11342" s="21"/>
      <c r="D11342" s="21"/>
      <c r="E11342" s="21"/>
      <c r="F11342" s="21"/>
      <c r="G11342" s="25"/>
      <c r="H11342" s="24" t="str">
        <f>IFERROR(VLOOKUP(B11342,material!A:D,3,0),"")</f>
        <v/>
      </c>
    </row>
    <row r="11343" ht="11.25" customHeight="1">
      <c r="A11343" s="21"/>
      <c r="B11343" s="22"/>
      <c r="C11343" s="21"/>
      <c r="D11343" s="21"/>
      <c r="E11343" s="21"/>
      <c r="F11343" s="21"/>
      <c r="G11343" s="25"/>
      <c r="H11343" s="24" t="str">
        <f>IFERROR(VLOOKUP(B11343,material!A:D,3,0),"")</f>
        <v/>
      </c>
    </row>
    <row r="11344" ht="11.25" customHeight="1">
      <c r="A11344" s="21"/>
      <c r="B11344" s="22"/>
      <c r="C11344" s="21"/>
      <c r="D11344" s="21"/>
      <c r="E11344" s="21"/>
      <c r="F11344" s="21"/>
      <c r="G11344" s="25"/>
      <c r="H11344" s="24" t="str">
        <f>IFERROR(VLOOKUP(B11344,material!A:D,3,0),"")</f>
        <v/>
      </c>
    </row>
    <row r="11345" ht="11.25" customHeight="1">
      <c r="A11345" s="21"/>
      <c r="B11345" s="22"/>
      <c r="C11345" s="21"/>
      <c r="D11345" s="21"/>
      <c r="E11345" s="21"/>
      <c r="F11345" s="21"/>
      <c r="G11345" s="25"/>
      <c r="H11345" s="24" t="str">
        <f>IFERROR(VLOOKUP(B11345,material!A:D,3,0),"")</f>
        <v/>
      </c>
    </row>
    <row r="11346" ht="11.25" customHeight="1">
      <c r="A11346" s="21"/>
      <c r="B11346" s="22"/>
      <c r="C11346" s="21"/>
      <c r="D11346" s="21"/>
      <c r="E11346" s="21"/>
      <c r="F11346" s="21"/>
      <c r="G11346" s="25"/>
      <c r="H11346" s="24" t="str">
        <f>IFERROR(VLOOKUP(B11346,material!A:D,3,0),"")</f>
        <v/>
      </c>
    </row>
    <row r="11347" ht="11.25" customHeight="1">
      <c r="A11347" s="21"/>
      <c r="B11347" s="22"/>
      <c r="C11347" s="21"/>
      <c r="D11347" s="21"/>
      <c r="E11347" s="21"/>
      <c r="F11347" s="21"/>
      <c r="G11347" s="25"/>
      <c r="H11347" s="24" t="str">
        <f>IFERROR(VLOOKUP(B11347,material!A:D,3,0),"")</f>
        <v/>
      </c>
    </row>
    <row r="11348" ht="11.25" customHeight="1">
      <c r="A11348" s="21"/>
      <c r="B11348" s="22"/>
      <c r="C11348" s="21"/>
      <c r="D11348" s="21"/>
      <c r="E11348" s="21"/>
      <c r="F11348" s="21"/>
      <c r="G11348" s="25"/>
      <c r="H11348" s="24" t="str">
        <f>IFERROR(VLOOKUP(B11348,material!A:D,3,0),"")</f>
        <v/>
      </c>
    </row>
    <row r="11349" ht="11.25" customHeight="1">
      <c r="A11349" s="21"/>
      <c r="B11349" s="22"/>
      <c r="C11349" s="21"/>
      <c r="D11349" s="21"/>
      <c r="E11349" s="21"/>
      <c r="F11349" s="21"/>
      <c r="G11349" s="25"/>
      <c r="H11349" s="24" t="str">
        <f>IFERROR(VLOOKUP(B11349,material!A:D,3,0),"")</f>
        <v/>
      </c>
    </row>
    <row r="11350" ht="11.25" customHeight="1">
      <c r="A11350" s="21"/>
      <c r="B11350" s="22"/>
      <c r="C11350" s="21"/>
      <c r="D11350" s="21"/>
      <c r="E11350" s="21"/>
      <c r="F11350" s="21"/>
      <c r="G11350" s="25"/>
      <c r="H11350" s="24" t="str">
        <f>IFERROR(VLOOKUP(B11350,material!A:D,3,0),"")</f>
        <v/>
      </c>
    </row>
    <row r="11351" ht="11.25" customHeight="1">
      <c r="A11351" s="21"/>
      <c r="B11351" s="22"/>
      <c r="C11351" s="21"/>
      <c r="D11351" s="21"/>
      <c r="E11351" s="21"/>
      <c r="F11351" s="21"/>
      <c r="G11351" s="25"/>
      <c r="H11351" s="24" t="str">
        <f>IFERROR(VLOOKUP(B11351,material!A:D,3,0),"")</f>
        <v/>
      </c>
    </row>
    <row r="11352" ht="11.25" customHeight="1">
      <c r="A11352" s="21"/>
      <c r="B11352" s="22"/>
      <c r="C11352" s="21"/>
      <c r="D11352" s="21"/>
      <c r="E11352" s="21"/>
      <c r="F11352" s="21"/>
      <c r="G11352" s="25"/>
      <c r="H11352" s="24" t="str">
        <f>IFERROR(VLOOKUP(B11352,material!A:D,3,0),"")</f>
        <v/>
      </c>
    </row>
    <row r="11353" ht="11.25" customHeight="1">
      <c r="A11353" s="21"/>
      <c r="B11353" s="22"/>
      <c r="C11353" s="21"/>
      <c r="D11353" s="21"/>
      <c r="E11353" s="21"/>
      <c r="F11353" s="21"/>
      <c r="G11353" s="25"/>
      <c r="H11353" s="24" t="str">
        <f>IFERROR(VLOOKUP(B11353,material!A:D,3,0),"")</f>
        <v/>
      </c>
    </row>
    <row r="11354" ht="11.25" customHeight="1">
      <c r="A11354" s="21"/>
      <c r="B11354" s="22"/>
      <c r="C11354" s="21"/>
      <c r="D11354" s="21"/>
      <c r="E11354" s="21"/>
      <c r="F11354" s="21"/>
      <c r="G11354" s="25"/>
      <c r="H11354" s="24" t="str">
        <f>IFERROR(VLOOKUP(B11354,material!A:D,3,0),"")</f>
        <v/>
      </c>
    </row>
    <row r="11355" ht="11.25" customHeight="1">
      <c r="A11355" s="21"/>
      <c r="B11355" s="22"/>
      <c r="C11355" s="21"/>
      <c r="D11355" s="21"/>
      <c r="E11355" s="21"/>
      <c r="F11355" s="21"/>
      <c r="G11355" s="25"/>
      <c r="H11355" s="24" t="str">
        <f>IFERROR(VLOOKUP(B11355,material!A:D,3,0),"")</f>
        <v/>
      </c>
    </row>
    <row r="11356" ht="11.25" customHeight="1">
      <c r="A11356" s="21"/>
      <c r="B11356" s="22"/>
      <c r="C11356" s="21"/>
      <c r="D11356" s="21"/>
      <c r="E11356" s="21"/>
      <c r="F11356" s="21"/>
      <c r="G11356" s="25"/>
      <c r="H11356" s="24" t="str">
        <f>IFERROR(VLOOKUP(B11356,material!A:D,3,0),"")</f>
        <v/>
      </c>
    </row>
    <row r="11357" ht="11.25" customHeight="1">
      <c r="A11357" s="21"/>
      <c r="B11357" s="22"/>
      <c r="C11357" s="21"/>
      <c r="D11357" s="21"/>
      <c r="E11357" s="21"/>
      <c r="F11357" s="21"/>
      <c r="G11357" s="25"/>
      <c r="H11357" s="24" t="str">
        <f>IFERROR(VLOOKUP(B11357,material!A:D,3,0),"")</f>
        <v/>
      </c>
    </row>
    <row r="11358" ht="11.25" customHeight="1">
      <c r="A11358" s="21"/>
      <c r="B11358" s="22"/>
      <c r="C11358" s="21"/>
      <c r="D11358" s="21"/>
      <c r="E11358" s="21"/>
      <c r="F11358" s="21"/>
      <c r="G11358" s="25"/>
      <c r="H11358" s="24" t="str">
        <f>IFERROR(VLOOKUP(B11358,material!A:D,3,0),"")</f>
        <v/>
      </c>
    </row>
    <row r="11359" ht="11.25" customHeight="1">
      <c r="A11359" s="21"/>
      <c r="B11359" s="22"/>
      <c r="C11359" s="21"/>
      <c r="D11359" s="21"/>
      <c r="E11359" s="21"/>
      <c r="F11359" s="21"/>
      <c r="G11359" s="25"/>
      <c r="H11359" s="24" t="str">
        <f>IFERROR(VLOOKUP(B11359,material!A:D,3,0),"")</f>
        <v/>
      </c>
    </row>
    <row r="11360" ht="11.25" customHeight="1">
      <c r="A11360" s="21"/>
      <c r="B11360" s="22"/>
      <c r="C11360" s="21"/>
      <c r="D11360" s="21"/>
      <c r="E11360" s="21"/>
      <c r="F11360" s="21"/>
      <c r="G11360" s="25"/>
      <c r="H11360" s="24" t="str">
        <f>IFERROR(VLOOKUP(B11360,material!A:D,3,0),"")</f>
        <v/>
      </c>
    </row>
    <row r="11361" ht="11.25" customHeight="1">
      <c r="A11361" s="21"/>
      <c r="B11361" s="22"/>
      <c r="C11361" s="21"/>
      <c r="D11361" s="21"/>
      <c r="E11361" s="21"/>
      <c r="F11361" s="21"/>
      <c r="G11361" s="25"/>
      <c r="H11361" s="24" t="str">
        <f>IFERROR(VLOOKUP(B11361,material!A:D,3,0),"")</f>
        <v/>
      </c>
    </row>
    <row r="11362" ht="11.25" customHeight="1">
      <c r="A11362" s="21"/>
      <c r="B11362" s="22"/>
      <c r="C11362" s="21"/>
      <c r="D11362" s="21"/>
      <c r="E11362" s="21"/>
      <c r="F11362" s="21"/>
      <c r="G11362" s="25"/>
      <c r="H11362" s="24" t="str">
        <f>IFERROR(VLOOKUP(B11362,material!A:D,3,0),"")</f>
        <v/>
      </c>
    </row>
    <row r="11363" ht="11.25" customHeight="1">
      <c r="A11363" s="21"/>
      <c r="B11363" s="22"/>
      <c r="C11363" s="21"/>
      <c r="D11363" s="21"/>
      <c r="E11363" s="21"/>
      <c r="F11363" s="21"/>
      <c r="G11363" s="25"/>
      <c r="H11363" s="24" t="str">
        <f>IFERROR(VLOOKUP(B11363,material!A:D,3,0),"")</f>
        <v/>
      </c>
    </row>
    <row r="11364" ht="11.25" customHeight="1">
      <c r="A11364" s="21"/>
      <c r="B11364" s="22"/>
      <c r="C11364" s="21"/>
      <c r="D11364" s="21"/>
      <c r="E11364" s="21"/>
      <c r="F11364" s="21"/>
      <c r="G11364" s="25"/>
      <c r="H11364" s="24" t="str">
        <f>IFERROR(VLOOKUP(B11364,material!A:D,3,0),"")</f>
        <v/>
      </c>
    </row>
    <row r="11365" ht="11.25" customHeight="1">
      <c r="A11365" s="21"/>
      <c r="B11365" s="22"/>
      <c r="C11365" s="21"/>
      <c r="D11365" s="21"/>
      <c r="E11365" s="21"/>
      <c r="F11365" s="21"/>
      <c r="G11365" s="25"/>
      <c r="H11365" s="24" t="str">
        <f>IFERROR(VLOOKUP(B11365,material!A:D,3,0),"")</f>
        <v/>
      </c>
    </row>
    <row r="11366" ht="11.25" customHeight="1">
      <c r="A11366" s="21"/>
      <c r="B11366" s="22"/>
      <c r="C11366" s="21"/>
      <c r="D11366" s="21"/>
      <c r="E11366" s="21"/>
      <c r="F11366" s="21"/>
      <c r="G11366" s="25"/>
      <c r="H11366" s="24" t="str">
        <f>IFERROR(VLOOKUP(B11366,material!A:D,3,0),"")</f>
        <v/>
      </c>
    </row>
    <row r="11367" ht="11.25" customHeight="1">
      <c r="A11367" s="21"/>
      <c r="B11367" s="22"/>
      <c r="C11367" s="21"/>
      <c r="D11367" s="21"/>
      <c r="E11367" s="21"/>
      <c r="F11367" s="21"/>
      <c r="G11367" s="25"/>
      <c r="H11367" s="24" t="str">
        <f>IFERROR(VLOOKUP(B11367,material!A:D,3,0),"")</f>
        <v/>
      </c>
    </row>
    <row r="11368" ht="11.25" customHeight="1">
      <c r="A11368" s="21"/>
      <c r="B11368" s="22"/>
      <c r="C11368" s="21"/>
      <c r="D11368" s="21"/>
      <c r="E11368" s="21"/>
      <c r="F11368" s="21"/>
      <c r="G11368" s="25"/>
      <c r="H11368" s="24" t="str">
        <f>IFERROR(VLOOKUP(B11368,material!A:D,3,0),"")</f>
        <v/>
      </c>
    </row>
    <row r="11369" ht="11.25" customHeight="1">
      <c r="A11369" s="21"/>
      <c r="B11369" s="22"/>
      <c r="C11369" s="21"/>
      <c r="D11369" s="21"/>
      <c r="E11369" s="21"/>
      <c r="F11369" s="21"/>
      <c r="G11369" s="25"/>
      <c r="H11369" s="24" t="str">
        <f>IFERROR(VLOOKUP(B11369,material!A:D,3,0),"")</f>
        <v/>
      </c>
    </row>
    <row r="11370" ht="11.25" customHeight="1">
      <c r="A11370" s="21"/>
      <c r="B11370" s="22"/>
      <c r="C11370" s="21"/>
      <c r="D11370" s="21"/>
      <c r="E11370" s="21"/>
      <c r="F11370" s="21"/>
      <c r="G11370" s="25"/>
      <c r="H11370" s="24" t="str">
        <f>IFERROR(VLOOKUP(B11370,material!A:D,3,0),"")</f>
        <v/>
      </c>
    </row>
    <row r="11371" ht="11.25" customHeight="1">
      <c r="A11371" s="21"/>
      <c r="B11371" s="22"/>
      <c r="C11371" s="21"/>
      <c r="D11371" s="21"/>
      <c r="E11371" s="21"/>
      <c r="F11371" s="21"/>
      <c r="G11371" s="25"/>
      <c r="H11371" s="24" t="str">
        <f>IFERROR(VLOOKUP(B11371,material!A:D,3,0),"")</f>
        <v/>
      </c>
    </row>
    <row r="11372" ht="11.25" customHeight="1">
      <c r="A11372" s="21"/>
      <c r="B11372" s="22"/>
      <c r="C11372" s="21"/>
      <c r="D11372" s="21"/>
      <c r="E11372" s="21"/>
      <c r="F11372" s="21"/>
      <c r="G11372" s="25"/>
      <c r="H11372" s="24" t="str">
        <f>IFERROR(VLOOKUP(B11372,material!A:D,3,0),"")</f>
        <v/>
      </c>
    </row>
    <row r="11373" ht="11.25" customHeight="1">
      <c r="A11373" s="21"/>
      <c r="B11373" s="22"/>
      <c r="C11373" s="21"/>
      <c r="D11373" s="21"/>
      <c r="E11373" s="21"/>
      <c r="F11373" s="21"/>
      <c r="G11373" s="25"/>
      <c r="H11373" s="24" t="str">
        <f>IFERROR(VLOOKUP(B11373,material!A:D,3,0),"")</f>
        <v/>
      </c>
    </row>
    <row r="11374" ht="11.25" customHeight="1">
      <c r="A11374" s="21"/>
      <c r="B11374" s="22"/>
      <c r="C11374" s="21"/>
      <c r="D11374" s="21"/>
      <c r="E11374" s="21"/>
      <c r="F11374" s="21"/>
      <c r="G11374" s="25"/>
      <c r="H11374" s="24" t="str">
        <f>IFERROR(VLOOKUP(B11374,material!A:D,3,0),"")</f>
        <v/>
      </c>
    </row>
    <row r="11375" ht="11.25" customHeight="1">
      <c r="A11375" s="21"/>
      <c r="B11375" s="22"/>
      <c r="C11375" s="21"/>
      <c r="D11375" s="21"/>
      <c r="E11375" s="21"/>
      <c r="F11375" s="21"/>
      <c r="G11375" s="25"/>
      <c r="H11375" s="24" t="str">
        <f>IFERROR(VLOOKUP(B11375,material!A:D,3,0),"")</f>
        <v/>
      </c>
    </row>
    <row r="11376" ht="11.25" customHeight="1">
      <c r="A11376" s="21"/>
      <c r="B11376" s="22"/>
      <c r="C11376" s="21"/>
      <c r="D11376" s="21"/>
      <c r="E11376" s="21"/>
      <c r="F11376" s="21"/>
      <c r="G11376" s="25"/>
      <c r="H11376" s="24" t="str">
        <f>IFERROR(VLOOKUP(B11376,material!A:D,3,0),"")</f>
        <v/>
      </c>
    </row>
    <row r="11377" ht="11.25" customHeight="1">
      <c r="A11377" s="21"/>
      <c r="B11377" s="22"/>
      <c r="C11377" s="21"/>
      <c r="D11377" s="21"/>
      <c r="E11377" s="21"/>
      <c r="F11377" s="21"/>
      <c r="G11377" s="25"/>
      <c r="H11377" s="24" t="str">
        <f>IFERROR(VLOOKUP(B11377,material!A:D,3,0),"")</f>
        <v/>
      </c>
    </row>
    <row r="11378" ht="11.25" customHeight="1">
      <c r="A11378" s="21"/>
      <c r="B11378" s="22"/>
      <c r="C11378" s="21"/>
      <c r="D11378" s="21"/>
      <c r="E11378" s="21"/>
      <c r="F11378" s="21"/>
      <c r="G11378" s="25"/>
      <c r="H11378" s="24" t="str">
        <f>IFERROR(VLOOKUP(B11378,material!A:D,3,0),"")</f>
        <v/>
      </c>
    </row>
    <row r="11379" ht="11.25" customHeight="1">
      <c r="A11379" s="21"/>
      <c r="B11379" s="22"/>
      <c r="C11379" s="21"/>
      <c r="D11379" s="21"/>
      <c r="E11379" s="21"/>
      <c r="F11379" s="21"/>
      <c r="G11379" s="25"/>
      <c r="H11379" s="24" t="str">
        <f>IFERROR(VLOOKUP(B11379,material!A:D,3,0),"")</f>
        <v/>
      </c>
    </row>
    <row r="11380" ht="11.25" customHeight="1">
      <c r="A11380" s="21"/>
      <c r="B11380" s="22"/>
      <c r="C11380" s="21"/>
      <c r="D11380" s="21"/>
      <c r="E11380" s="21"/>
      <c r="F11380" s="21"/>
      <c r="G11380" s="25"/>
      <c r="H11380" s="24" t="str">
        <f>IFERROR(VLOOKUP(B11380,material!A:D,3,0),"")</f>
        <v/>
      </c>
    </row>
    <row r="11381" ht="11.25" customHeight="1">
      <c r="A11381" s="21"/>
      <c r="B11381" s="22"/>
      <c r="C11381" s="21"/>
      <c r="D11381" s="21"/>
      <c r="E11381" s="21"/>
      <c r="F11381" s="21"/>
      <c r="G11381" s="25"/>
      <c r="H11381" s="24" t="str">
        <f>IFERROR(VLOOKUP(B11381,material!A:D,3,0),"")</f>
        <v/>
      </c>
    </row>
    <row r="11382" ht="11.25" customHeight="1">
      <c r="A11382" s="21"/>
      <c r="B11382" s="22"/>
      <c r="C11382" s="21"/>
      <c r="D11382" s="21"/>
      <c r="E11382" s="21"/>
      <c r="F11382" s="21"/>
      <c r="G11382" s="25"/>
      <c r="H11382" s="24" t="str">
        <f>IFERROR(VLOOKUP(B11382,material!A:D,3,0),"")</f>
        <v/>
      </c>
    </row>
    <row r="11383" ht="11.25" customHeight="1">
      <c r="A11383" s="21"/>
      <c r="B11383" s="22"/>
      <c r="C11383" s="21"/>
      <c r="D11383" s="21"/>
      <c r="E11383" s="21"/>
      <c r="F11383" s="21"/>
      <c r="G11383" s="25"/>
      <c r="H11383" s="24" t="str">
        <f>IFERROR(VLOOKUP(B11383,material!A:D,3,0),"")</f>
        <v/>
      </c>
    </row>
    <row r="11384" ht="11.25" customHeight="1">
      <c r="A11384" s="21"/>
      <c r="B11384" s="22"/>
      <c r="C11384" s="21"/>
      <c r="D11384" s="21"/>
      <c r="E11384" s="21"/>
      <c r="F11384" s="21"/>
      <c r="G11384" s="25"/>
      <c r="H11384" s="24" t="str">
        <f>IFERROR(VLOOKUP(B11384,material!A:D,3,0),"")</f>
        <v/>
      </c>
    </row>
    <row r="11385" ht="11.25" customHeight="1">
      <c r="A11385" s="21"/>
      <c r="B11385" s="22"/>
      <c r="C11385" s="21"/>
      <c r="D11385" s="21"/>
      <c r="E11385" s="21"/>
      <c r="F11385" s="21"/>
      <c r="G11385" s="25"/>
      <c r="H11385" s="24" t="str">
        <f>IFERROR(VLOOKUP(B11385,material!A:D,3,0),"")</f>
        <v/>
      </c>
    </row>
    <row r="11386" ht="11.25" customHeight="1">
      <c r="A11386" s="21"/>
      <c r="B11386" s="22"/>
      <c r="C11386" s="21"/>
      <c r="D11386" s="21"/>
      <c r="E11386" s="21"/>
      <c r="F11386" s="21"/>
      <c r="G11386" s="25"/>
      <c r="H11386" s="24" t="str">
        <f>IFERROR(VLOOKUP(B11386,material!A:D,3,0),"")</f>
        <v/>
      </c>
    </row>
    <row r="11387" ht="11.25" customHeight="1">
      <c r="A11387" s="21"/>
      <c r="B11387" s="22"/>
      <c r="C11387" s="21"/>
      <c r="D11387" s="21"/>
      <c r="E11387" s="21"/>
      <c r="F11387" s="21"/>
      <c r="G11387" s="25"/>
      <c r="H11387" s="24" t="str">
        <f>IFERROR(VLOOKUP(B11387,material!A:D,3,0),"")</f>
        <v/>
      </c>
    </row>
    <row r="11388" ht="11.25" customHeight="1">
      <c r="A11388" s="21"/>
      <c r="B11388" s="22"/>
      <c r="C11388" s="21"/>
      <c r="D11388" s="21"/>
      <c r="E11388" s="21"/>
      <c r="F11388" s="21"/>
      <c r="G11388" s="25"/>
      <c r="H11388" s="24" t="str">
        <f>IFERROR(VLOOKUP(B11388,material!A:D,3,0),"")</f>
        <v/>
      </c>
    </row>
    <row r="11389" ht="11.25" customHeight="1">
      <c r="A11389" s="21"/>
      <c r="B11389" s="22"/>
      <c r="C11389" s="21"/>
      <c r="D11389" s="21"/>
      <c r="E11389" s="21"/>
      <c r="F11389" s="21"/>
      <c r="G11389" s="25"/>
      <c r="H11389" s="24" t="str">
        <f>IFERROR(VLOOKUP(B11389,material!A:D,3,0),"")</f>
        <v/>
      </c>
    </row>
    <row r="11390" ht="11.25" customHeight="1">
      <c r="A11390" s="21"/>
      <c r="B11390" s="22"/>
      <c r="C11390" s="21"/>
      <c r="D11390" s="21"/>
      <c r="E11390" s="21"/>
      <c r="F11390" s="21"/>
      <c r="G11390" s="25"/>
      <c r="H11390" s="24" t="str">
        <f>IFERROR(VLOOKUP(B11390,material!A:D,3,0),"")</f>
        <v/>
      </c>
    </row>
    <row r="11391" ht="11.25" customHeight="1">
      <c r="A11391" s="21"/>
      <c r="B11391" s="22"/>
      <c r="C11391" s="21"/>
      <c r="D11391" s="21"/>
      <c r="E11391" s="21"/>
      <c r="F11391" s="21"/>
      <c r="G11391" s="25"/>
      <c r="H11391" s="24" t="str">
        <f>IFERROR(VLOOKUP(B11391,material!A:D,3,0),"")</f>
        <v/>
      </c>
    </row>
    <row r="11392" ht="11.25" customHeight="1">
      <c r="A11392" s="21"/>
      <c r="B11392" s="22"/>
      <c r="C11392" s="21"/>
      <c r="D11392" s="21"/>
      <c r="E11392" s="21"/>
      <c r="F11392" s="21"/>
      <c r="G11392" s="25"/>
      <c r="H11392" s="24" t="str">
        <f>IFERROR(VLOOKUP(B11392,material!A:D,3,0),"")</f>
        <v/>
      </c>
    </row>
    <row r="11393" ht="11.25" customHeight="1">
      <c r="A11393" s="21"/>
      <c r="B11393" s="22"/>
      <c r="C11393" s="21"/>
      <c r="D11393" s="21"/>
      <c r="E11393" s="21"/>
      <c r="F11393" s="21"/>
      <c r="G11393" s="25"/>
      <c r="H11393" s="24" t="str">
        <f>IFERROR(VLOOKUP(B11393,material!A:D,3,0),"")</f>
        <v/>
      </c>
    </row>
    <row r="11394" ht="11.25" customHeight="1">
      <c r="A11394" s="21"/>
      <c r="B11394" s="22"/>
      <c r="C11394" s="21"/>
      <c r="D11394" s="21"/>
      <c r="E11394" s="21"/>
      <c r="F11394" s="21"/>
      <c r="G11394" s="25"/>
      <c r="H11394" s="24" t="str">
        <f>IFERROR(VLOOKUP(B11394,material!A:D,3,0),"")</f>
        <v/>
      </c>
    </row>
    <row r="11395" ht="11.25" customHeight="1">
      <c r="A11395" s="21"/>
      <c r="B11395" s="22"/>
      <c r="C11395" s="21"/>
      <c r="D11395" s="21"/>
      <c r="E11395" s="21"/>
      <c r="F11395" s="21"/>
      <c r="G11395" s="25"/>
      <c r="H11395" s="24" t="str">
        <f>IFERROR(VLOOKUP(B11395,material!A:D,3,0),"")</f>
        <v/>
      </c>
    </row>
    <row r="11396" ht="11.25" customHeight="1">
      <c r="A11396" s="21"/>
      <c r="B11396" s="22"/>
      <c r="C11396" s="21"/>
      <c r="D11396" s="21"/>
      <c r="E11396" s="21"/>
      <c r="F11396" s="21"/>
      <c r="G11396" s="25"/>
      <c r="H11396" s="24" t="str">
        <f>IFERROR(VLOOKUP(B11396,material!A:D,3,0),"")</f>
        <v/>
      </c>
    </row>
    <row r="11397" ht="11.25" customHeight="1">
      <c r="A11397" s="21"/>
      <c r="B11397" s="22"/>
      <c r="C11397" s="21"/>
      <c r="D11397" s="21"/>
      <c r="E11397" s="21"/>
      <c r="F11397" s="21"/>
      <c r="G11397" s="25"/>
      <c r="H11397" s="24" t="str">
        <f>IFERROR(VLOOKUP(B11397,material!A:D,3,0),"")</f>
        <v/>
      </c>
    </row>
    <row r="11398" ht="11.25" customHeight="1">
      <c r="A11398" s="21"/>
      <c r="B11398" s="22"/>
      <c r="C11398" s="21"/>
      <c r="D11398" s="21"/>
      <c r="E11398" s="21"/>
      <c r="F11398" s="21"/>
      <c r="G11398" s="25"/>
      <c r="H11398" s="24" t="str">
        <f>IFERROR(VLOOKUP(B11398,material!A:D,3,0),"")</f>
        <v/>
      </c>
    </row>
    <row r="11399" ht="11.25" customHeight="1">
      <c r="A11399" s="21"/>
      <c r="B11399" s="22"/>
      <c r="C11399" s="21"/>
      <c r="D11399" s="21"/>
      <c r="E11399" s="21"/>
      <c r="F11399" s="21"/>
      <c r="G11399" s="25"/>
      <c r="H11399" s="24" t="str">
        <f>IFERROR(VLOOKUP(B11399,material!A:D,3,0),"")</f>
        <v/>
      </c>
    </row>
    <row r="11400" ht="11.25" customHeight="1">
      <c r="A11400" s="21"/>
      <c r="B11400" s="22"/>
      <c r="C11400" s="21"/>
      <c r="D11400" s="21"/>
      <c r="E11400" s="21"/>
      <c r="F11400" s="21"/>
      <c r="G11400" s="25"/>
      <c r="H11400" s="24" t="str">
        <f>IFERROR(VLOOKUP(B11400,material!A:D,3,0),"")</f>
        <v/>
      </c>
    </row>
    <row r="11401" ht="11.25" customHeight="1">
      <c r="A11401" s="21"/>
      <c r="B11401" s="22"/>
      <c r="C11401" s="21"/>
      <c r="D11401" s="21"/>
      <c r="E11401" s="21"/>
      <c r="F11401" s="21"/>
      <c r="G11401" s="25"/>
      <c r="H11401" s="24" t="str">
        <f>IFERROR(VLOOKUP(B11401,material!A:D,3,0),"")</f>
        <v/>
      </c>
    </row>
    <row r="11402" ht="11.25" customHeight="1">
      <c r="A11402" s="21"/>
      <c r="B11402" s="22"/>
      <c r="C11402" s="21"/>
      <c r="D11402" s="21"/>
      <c r="E11402" s="21"/>
      <c r="F11402" s="21"/>
      <c r="G11402" s="25"/>
      <c r="H11402" s="24" t="str">
        <f>IFERROR(VLOOKUP(B11402,material!A:D,3,0),"")</f>
        <v/>
      </c>
    </row>
    <row r="11403" ht="11.25" customHeight="1">
      <c r="A11403" s="21"/>
      <c r="B11403" s="22"/>
      <c r="C11403" s="21"/>
      <c r="D11403" s="21"/>
      <c r="E11403" s="21"/>
      <c r="F11403" s="21"/>
      <c r="G11403" s="25"/>
      <c r="H11403" s="24" t="str">
        <f>IFERROR(VLOOKUP(B11403,material!A:D,3,0),"")</f>
        <v/>
      </c>
    </row>
    <row r="11404" ht="11.25" customHeight="1">
      <c r="A11404" s="21"/>
      <c r="B11404" s="22"/>
      <c r="C11404" s="21"/>
      <c r="D11404" s="21"/>
      <c r="E11404" s="21"/>
      <c r="F11404" s="21"/>
      <c r="G11404" s="25"/>
      <c r="H11404" s="24" t="str">
        <f>IFERROR(VLOOKUP(B11404,material!A:D,3,0),"")</f>
        <v/>
      </c>
    </row>
    <row r="11405" ht="11.25" customHeight="1">
      <c r="A11405" s="21"/>
      <c r="B11405" s="22"/>
      <c r="C11405" s="21"/>
      <c r="D11405" s="21"/>
      <c r="E11405" s="21"/>
      <c r="F11405" s="21"/>
      <c r="G11405" s="25"/>
      <c r="H11405" s="24" t="str">
        <f>IFERROR(VLOOKUP(B11405,material!A:D,3,0),"")</f>
        <v/>
      </c>
    </row>
    <row r="11406" ht="11.25" customHeight="1">
      <c r="A11406" s="21"/>
      <c r="B11406" s="22"/>
      <c r="C11406" s="21"/>
      <c r="D11406" s="21"/>
      <c r="E11406" s="21"/>
      <c r="F11406" s="21"/>
      <c r="G11406" s="25"/>
      <c r="H11406" s="24" t="str">
        <f>IFERROR(VLOOKUP(B11406,material!A:D,3,0),"")</f>
        <v/>
      </c>
    </row>
    <row r="11407" ht="11.25" customHeight="1">
      <c r="A11407" s="21"/>
      <c r="B11407" s="22"/>
      <c r="C11407" s="21"/>
      <c r="D11407" s="21"/>
      <c r="E11407" s="21"/>
      <c r="F11407" s="21"/>
      <c r="G11407" s="25"/>
      <c r="H11407" s="24" t="str">
        <f>IFERROR(VLOOKUP(B11407,material!A:D,3,0),"")</f>
        <v/>
      </c>
    </row>
    <row r="11408" ht="11.25" customHeight="1">
      <c r="A11408" s="21"/>
      <c r="B11408" s="22"/>
      <c r="C11408" s="21"/>
      <c r="D11408" s="21"/>
      <c r="E11408" s="21"/>
      <c r="F11408" s="21"/>
      <c r="G11408" s="25"/>
      <c r="H11408" s="24" t="str">
        <f>IFERROR(VLOOKUP(B11408,material!A:D,3,0),"")</f>
        <v/>
      </c>
    </row>
    <row r="11409" ht="11.25" customHeight="1">
      <c r="A11409" s="21"/>
      <c r="B11409" s="22"/>
      <c r="C11409" s="21"/>
      <c r="D11409" s="21"/>
      <c r="E11409" s="21"/>
      <c r="F11409" s="21"/>
      <c r="G11409" s="25"/>
      <c r="H11409" s="24" t="str">
        <f>IFERROR(VLOOKUP(B11409,material!A:D,3,0),"")</f>
        <v/>
      </c>
    </row>
    <row r="11410" ht="11.25" customHeight="1">
      <c r="A11410" s="21"/>
      <c r="B11410" s="22"/>
      <c r="C11410" s="21"/>
      <c r="D11410" s="21"/>
      <c r="E11410" s="21"/>
      <c r="F11410" s="21"/>
      <c r="G11410" s="25"/>
      <c r="H11410" s="24" t="str">
        <f>IFERROR(VLOOKUP(B11410,material!A:D,3,0),"")</f>
        <v/>
      </c>
    </row>
    <row r="11411" ht="11.25" customHeight="1">
      <c r="A11411" s="21"/>
      <c r="B11411" s="22"/>
      <c r="C11411" s="21"/>
      <c r="D11411" s="21"/>
      <c r="E11411" s="21"/>
      <c r="F11411" s="21"/>
      <c r="G11411" s="25"/>
      <c r="H11411" s="24" t="str">
        <f>IFERROR(VLOOKUP(B11411,material!A:D,3,0),"")</f>
        <v/>
      </c>
    </row>
    <row r="11412" ht="11.25" customHeight="1">
      <c r="A11412" s="21"/>
      <c r="B11412" s="22"/>
      <c r="C11412" s="21"/>
      <c r="D11412" s="21"/>
      <c r="E11412" s="21"/>
      <c r="F11412" s="21"/>
      <c r="G11412" s="25"/>
      <c r="H11412" s="24" t="str">
        <f>IFERROR(VLOOKUP(B11412,material!A:D,3,0),"")</f>
        <v/>
      </c>
    </row>
    <row r="11413" ht="11.25" customHeight="1">
      <c r="A11413" s="21"/>
      <c r="B11413" s="22"/>
      <c r="C11413" s="21"/>
      <c r="D11413" s="21"/>
      <c r="E11413" s="21"/>
      <c r="F11413" s="21"/>
      <c r="G11413" s="25"/>
      <c r="H11413" s="24" t="str">
        <f>IFERROR(VLOOKUP(B11413,material!A:D,3,0),"")</f>
        <v/>
      </c>
    </row>
    <row r="11414" ht="11.25" customHeight="1">
      <c r="A11414" s="21"/>
      <c r="B11414" s="22"/>
      <c r="C11414" s="21"/>
      <c r="D11414" s="21"/>
      <c r="E11414" s="21"/>
      <c r="F11414" s="21"/>
      <c r="G11414" s="25"/>
      <c r="H11414" s="24" t="str">
        <f>IFERROR(VLOOKUP(B11414,material!A:D,3,0),"")</f>
        <v/>
      </c>
    </row>
    <row r="11415" ht="11.25" customHeight="1">
      <c r="A11415" s="21"/>
      <c r="B11415" s="22"/>
      <c r="C11415" s="21"/>
      <c r="D11415" s="21"/>
      <c r="E11415" s="21"/>
      <c r="F11415" s="21"/>
      <c r="G11415" s="25"/>
      <c r="H11415" s="24" t="str">
        <f>IFERROR(VLOOKUP(B11415,material!A:D,3,0),"")</f>
        <v/>
      </c>
    </row>
    <row r="11416" ht="11.25" customHeight="1">
      <c r="A11416" s="21"/>
      <c r="B11416" s="22"/>
      <c r="C11416" s="21"/>
      <c r="D11416" s="21"/>
      <c r="E11416" s="21"/>
      <c r="F11416" s="21"/>
      <c r="G11416" s="25"/>
      <c r="H11416" s="24" t="str">
        <f>IFERROR(VLOOKUP(B11416,material!A:D,3,0),"")</f>
        <v/>
      </c>
    </row>
    <row r="11417" ht="11.25" customHeight="1">
      <c r="A11417" s="21"/>
      <c r="B11417" s="22"/>
      <c r="C11417" s="21"/>
      <c r="D11417" s="21"/>
      <c r="E11417" s="21"/>
      <c r="F11417" s="21"/>
      <c r="G11417" s="25"/>
      <c r="H11417" s="24" t="str">
        <f>IFERROR(VLOOKUP(B11417,material!A:D,3,0),"")</f>
        <v/>
      </c>
    </row>
    <row r="11418" ht="11.25" customHeight="1">
      <c r="A11418" s="21"/>
      <c r="B11418" s="22"/>
      <c r="C11418" s="21"/>
      <c r="D11418" s="21"/>
      <c r="E11418" s="21"/>
      <c r="F11418" s="21"/>
      <c r="G11418" s="25"/>
      <c r="H11418" s="24" t="str">
        <f>IFERROR(VLOOKUP(B11418,material!A:D,3,0),"")</f>
        <v/>
      </c>
    </row>
    <row r="11419" ht="11.25" customHeight="1">
      <c r="A11419" s="21"/>
      <c r="B11419" s="22"/>
      <c r="C11419" s="21"/>
      <c r="D11419" s="21"/>
      <c r="E11419" s="21"/>
      <c r="F11419" s="21"/>
      <c r="G11419" s="25"/>
      <c r="H11419" s="24" t="str">
        <f>IFERROR(VLOOKUP(B11419,material!A:D,3,0),"")</f>
        <v/>
      </c>
    </row>
    <row r="11420" ht="11.25" customHeight="1">
      <c r="A11420" s="21"/>
      <c r="B11420" s="22"/>
      <c r="C11420" s="21"/>
      <c r="D11420" s="21"/>
      <c r="E11420" s="21"/>
      <c r="F11420" s="21"/>
      <c r="G11420" s="25"/>
      <c r="H11420" s="24" t="str">
        <f>IFERROR(VLOOKUP(B11420,material!A:D,3,0),"")</f>
        <v/>
      </c>
    </row>
    <row r="11421" ht="11.25" customHeight="1">
      <c r="A11421" s="21"/>
      <c r="B11421" s="22"/>
      <c r="C11421" s="21"/>
      <c r="D11421" s="21"/>
      <c r="E11421" s="21"/>
      <c r="F11421" s="21"/>
      <c r="G11421" s="25"/>
      <c r="H11421" s="24" t="str">
        <f>IFERROR(VLOOKUP(B11421,material!A:D,3,0),"")</f>
        <v/>
      </c>
    </row>
    <row r="11422" ht="11.25" customHeight="1">
      <c r="A11422" s="21"/>
      <c r="B11422" s="22"/>
      <c r="C11422" s="21"/>
      <c r="D11422" s="21"/>
      <c r="E11422" s="21"/>
      <c r="F11422" s="21"/>
      <c r="G11422" s="25"/>
      <c r="H11422" s="24" t="str">
        <f>IFERROR(VLOOKUP(B11422,material!A:D,3,0),"")</f>
        <v/>
      </c>
    </row>
    <row r="11423" ht="11.25" customHeight="1">
      <c r="A11423" s="21"/>
      <c r="B11423" s="22"/>
      <c r="C11423" s="21"/>
      <c r="D11423" s="21"/>
      <c r="E11423" s="21"/>
      <c r="F11423" s="21"/>
      <c r="G11423" s="25"/>
      <c r="H11423" s="24" t="str">
        <f>IFERROR(VLOOKUP(B11423,material!A:D,3,0),"")</f>
        <v/>
      </c>
    </row>
    <row r="11424" ht="11.25" customHeight="1">
      <c r="A11424" s="21"/>
      <c r="B11424" s="22"/>
      <c r="C11424" s="21"/>
      <c r="D11424" s="21"/>
      <c r="E11424" s="21"/>
      <c r="F11424" s="21"/>
      <c r="G11424" s="25"/>
      <c r="H11424" s="24" t="str">
        <f>IFERROR(VLOOKUP(B11424,material!A:D,3,0),"")</f>
        <v/>
      </c>
    </row>
    <row r="11425" ht="11.25" customHeight="1">
      <c r="A11425" s="21"/>
      <c r="B11425" s="22"/>
      <c r="C11425" s="21"/>
      <c r="D11425" s="21"/>
      <c r="E11425" s="21"/>
      <c r="F11425" s="21"/>
      <c r="G11425" s="25"/>
      <c r="H11425" s="24" t="str">
        <f>IFERROR(VLOOKUP(B11425,material!A:D,3,0),"")</f>
        <v/>
      </c>
    </row>
    <row r="11426" ht="11.25" customHeight="1">
      <c r="A11426" s="21"/>
      <c r="B11426" s="22"/>
      <c r="C11426" s="21"/>
      <c r="D11426" s="21"/>
      <c r="E11426" s="21"/>
      <c r="F11426" s="21"/>
      <c r="G11426" s="25"/>
      <c r="H11426" s="24" t="str">
        <f>IFERROR(VLOOKUP(B11426,material!A:D,3,0),"")</f>
        <v/>
      </c>
    </row>
    <row r="11427" ht="11.25" customHeight="1">
      <c r="A11427" s="21"/>
      <c r="B11427" s="22"/>
      <c r="C11427" s="21"/>
      <c r="D11427" s="21"/>
      <c r="E11427" s="21"/>
      <c r="F11427" s="21"/>
      <c r="G11427" s="25"/>
      <c r="H11427" s="24" t="str">
        <f>IFERROR(VLOOKUP(B11427,material!A:D,3,0),"")</f>
        <v/>
      </c>
    </row>
    <row r="11428" ht="11.25" customHeight="1">
      <c r="A11428" s="21"/>
      <c r="B11428" s="22"/>
      <c r="C11428" s="21"/>
      <c r="D11428" s="21"/>
      <c r="E11428" s="21"/>
      <c r="F11428" s="21"/>
      <c r="G11428" s="25"/>
      <c r="H11428" s="24" t="str">
        <f>IFERROR(VLOOKUP(B11428,material!A:D,3,0),"")</f>
        <v/>
      </c>
    </row>
    <row r="11429" ht="11.25" customHeight="1">
      <c r="A11429" s="21"/>
      <c r="B11429" s="22"/>
      <c r="C11429" s="21"/>
      <c r="D11429" s="21"/>
      <c r="E11429" s="21"/>
      <c r="F11429" s="21"/>
      <c r="G11429" s="25"/>
      <c r="H11429" s="24" t="str">
        <f>IFERROR(VLOOKUP(B11429,material!A:D,3,0),"")</f>
        <v/>
      </c>
    </row>
    <row r="11430" ht="11.25" customHeight="1">
      <c r="A11430" s="21"/>
      <c r="B11430" s="22"/>
      <c r="C11430" s="21"/>
      <c r="D11430" s="21"/>
      <c r="E11430" s="21"/>
      <c r="F11430" s="21"/>
      <c r="G11430" s="25"/>
      <c r="H11430" s="24" t="str">
        <f>IFERROR(VLOOKUP(B11430,material!A:D,3,0),"")</f>
        <v/>
      </c>
    </row>
    <row r="11431" ht="11.25" customHeight="1">
      <c r="A11431" s="21"/>
      <c r="B11431" s="22"/>
      <c r="C11431" s="21"/>
      <c r="D11431" s="21"/>
      <c r="E11431" s="21"/>
      <c r="F11431" s="21"/>
      <c r="G11431" s="25"/>
      <c r="H11431" s="24" t="str">
        <f>IFERROR(VLOOKUP(B11431,material!A:D,3,0),"")</f>
        <v/>
      </c>
    </row>
    <row r="11432" ht="11.25" customHeight="1">
      <c r="A11432" s="21"/>
      <c r="B11432" s="22"/>
      <c r="C11432" s="21"/>
      <c r="D11432" s="21"/>
      <c r="E11432" s="21"/>
      <c r="F11432" s="21"/>
      <c r="G11432" s="25"/>
      <c r="H11432" s="24" t="str">
        <f>IFERROR(VLOOKUP(B11432,material!A:D,3,0),"")</f>
        <v/>
      </c>
    </row>
    <row r="11433" ht="11.25" customHeight="1">
      <c r="A11433" s="21"/>
      <c r="B11433" s="22"/>
      <c r="C11433" s="21"/>
      <c r="D11433" s="21"/>
      <c r="E11433" s="21"/>
      <c r="F11433" s="21"/>
      <c r="G11433" s="25"/>
      <c r="H11433" s="24" t="str">
        <f>IFERROR(VLOOKUP(B11433,material!A:D,3,0),"")</f>
        <v/>
      </c>
    </row>
    <row r="11434" ht="11.25" customHeight="1">
      <c r="A11434" s="21"/>
      <c r="B11434" s="22"/>
      <c r="C11434" s="21"/>
      <c r="D11434" s="21"/>
      <c r="E11434" s="21"/>
      <c r="F11434" s="21"/>
      <c r="G11434" s="25"/>
      <c r="H11434" s="24" t="str">
        <f>IFERROR(VLOOKUP(B11434,material!A:D,3,0),"")</f>
        <v/>
      </c>
    </row>
    <row r="11435" ht="11.25" customHeight="1">
      <c r="A11435" s="21"/>
      <c r="B11435" s="22"/>
      <c r="C11435" s="21"/>
      <c r="D11435" s="21"/>
      <c r="E11435" s="21"/>
      <c r="F11435" s="21"/>
      <c r="G11435" s="25"/>
      <c r="H11435" s="24" t="str">
        <f>IFERROR(VLOOKUP(B11435,material!A:D,3,0),"")</f>
        <v/>
      </c>
    </row>
    <row r="11436" ht="11.25" customHeight="1">
      <c r="A11436" s="21"/>
      <c r="B11436" s="22"/>
      <c r="C11436" s="21"/>
      <c r="D11436" s="21"/>
      <c r="E11436" s="21"/>
      <c r="F11436" s="21"/>
      <c r="G11436" s="25"/>
      <c r="H11436" s="24" t="str">
        <f>IFERROR(VLOOKUP(B11436,material!A:D,3,0),"")</f>
        <v/>
      </c>
    </row>
    <row r="11437" ht="11.25" customHeight="1">
      <c r="A11437" s="21"/>
      <c r="B11437" s="22"/>
      <c r="C11437" s="21"/>
      <c r="D11437" s="21"/>
      <c r="E11437" s="21"/>
      <c r="F11437" s="21"/>
      <c r="G11437" s="25"/>
      <c r="H11437" s="24" t="str">
        <f>IFERROR(VLOOKUP(B11437,material!A:D,3,0),"")</f>
        <v/>
      </c>
    </row>
    <row r="11438" ht="11.25" customHeight="1">
      <c r="A11438" s="21"/>
      <c r="B11438" s="22"/>
      <c r="C11438" s="21"/>
      <c r="D11438" s="21"/>
      <c r="E11438" s="21"/>
      <c r="F11438" s="21"/>
      <c r="G11438" s="25"/>
      <c r="H11438" s="24" t="str">
        <f>IFERROR(VLOOKUP(B11438,material!A:D,3,0),"")</f>
        <v/>
      </c>
    </row>
    <row r="11439" ht="11.25" customHeight="1">
      <c r="A11439" s="21"/>
      <c r="B11439" s="22"/>
      <c r="C11439" s="21"/>
      <c r="D11439" s="21"/>
      <c r="E11439" s="21"/>
      <c r="F11439" s="21"/>
      <c r="G11439" s="25"/>
      <c r="H11439" s="24" t="str">
        <f>IFERROR(VLOOKUP(B11439,material!A:D,3,0),"")</f>
        <v/>
      </c>
    </row>
    <row r="11440" ht="11.25" customHeight="1">
      <c r="A11440" s="21"/>
      <c r="B11440" s="22"/>
      <c r="C11440" s="21"/>
      <c r="D11440" s="21"/>
      <c r="E11440" s="21"/>
      <c r="F11440" s="21"/>
      <c r="G11440" s="25"/>
      <c r="H11440" s="24" t="str">
        <f>IFERROR(VLOOKUP(B11440,material!A:D,3,0),"")</f>
        <v/>
      </c>
    </row>
    <row r="11441" ht="11.25" customHeight="1">
      <c r="A11441" s="21"/>
      <c r="B11441" s="22"/>
      <c r="C11441" s="21"/>
      <c r="D11441" s="21"/>
      <c r="E11441" s="21"/>
      <c r="F11441" s="21"/>
      <c r="G11441" s="25"/>
      <c r="H11441" s="24" t="str">
        <f>IFERROR(VLOOKUP(B11441,material!A:D,3,0),"")</f>
        <v/>
      </c>
    </row>
    <row r="11442" ht="11.25" customHeight="1">
      <c r="A11442" s="21"/>
      <c r="B11442" s="22"/>
      <c r="C11442" s="21"/>
      <c r="D11442" s="21"/>
      <c r="E11442" s="21"/>
      <c r="F11442" s="21"/>
      <c r="G11442" s="25"/>
      <c r="H11442" s="24" t="str">
        <f>IFERROR(VLOOKUP(B11442,material!A:D,3,0),"")</f>
        <v/>
      </c>
    </row>
    <row r="11443" ht="11.25" customHeight="1">
      <c r="A11443" s="21"/>
      <c r="B11443" s="22"/>
      <c r="C11443" s="21"/>
      <c r="D11443" s="21"/>
      <c r="E11443" s="21"/>
      <c r="F11443" s="21"/>
      <c r="G11443" s="25"/>
      <c r="H11443" s="24" t="str">
        <f>IFERROR(VLOOKUP(B11443,material!A:D,3,0),"")</f>
        <v/>
      </c>
    </row>
    <row r="11444" ht="11.25" customHeight="1">
      <c r="A11444" s="21"/>
      <c r="B11444" s="22"/>
      <c r="C11444" s="21"/>
      <c r="D11444" s="21"/>
      <c r="E11444" s="21"/>
      <c r="F11444" s="21"/>
      <c r="G11444" s="25"/>
      <c r="H11444" s="24" t="str">
        <f>IFERROR(VLOOKUP(B11444,material!A:D,3,0),"")</f>
        <v/>
      </c>
    </row>
    <row r="11445" ht="11.25" customHeight="1">
      <c r="A11445" s="21"/>
      <c r="B11445" s="22"/>
      <c r="C11445" s="21"/>
      <c r="D11445" s="21"/>
      <c r="E11445" s="21"/>
      <c r="F11445" s="21"/>
      <c r="G11445" s="25"/>
      <c r="H11445" s="24" t="str">
        <f>IFERROR(VLOOKUP(B11445,material!A:D,3,0),"")</f>
        <v/>
      </c>
    </row>
    <row r="11446" ht="11.25" customHeight="1">
      <c r="A11446" s="21"/>
      <c r="B11446" s="22"/>
      <c r="C11446" s="21"/>
      <c r="D11446" s="21"/>
      <c r="E11446" s="21"/>
      <c r="F11446" s="21"/>
      <c r="G11446" s="25"/>
      <c r="H11446" s="24" t="str">
        <f>IFERROR(VLOOKUP(B11446,material!A:D,3,0),"")</f>
        <v/>
      </c>
    </row>
    <row r="11447" ht="11.25" customHeight="1">
      <c r="A11447" s="21"/>
      <c r="B11447" s="22"/>
      <c r="C11447" s="21"/>
      <c r="D11447" s="21"/>
      <c r="E11447" s="21"/>
      <c r="F11447" s="21"/>
      <c r="G11447" s="25"/>
      <c r="H11447" s="24" t="str">
        <f>IFERROR(VLOOKUP(B11447,material!A:D,3,0),"")</f>
        <v/>
      </c>
    </row>
    <row r="11448" ht="11.25" customHeight="1">
      <c r="A11448" s="21"/>
      <c r="B11448" s="22"/>
      <c r="C11448" s="21"/>
      <c r="D11448" s="21"/>
      <c r="E11448" s="21"/>
      <c r="F11448" s="21"/>
      <c r="G11448" s="25"/>
      <c r="H11448" s="24" t="str">
        <f>IFERROR(VLOOKUP(B11448,material!A:D,3,0),"")</f>
        <v/>
      </c>
    </row>
    <row r="11449" ht="11.25" customHeight="1">
      <c r="A11449" s="21"/>
      <c r="B11449" s="22"/>
      <c r="C11449" s="21"/>
      <c r="D11449" s="21"/>
      <c r="E11449" s="21"/>
      <c r="F11449" s="21"/>
      <c r="G11449" s="25"/>
      <c r="H11449" s="24" t="str">
        <f>IFERROR(VLOOKUP(B11449,material!A:D,3,0),"")</f>
        <v/>
      </c>
    </row>
    <row r="11450" ht="11.25" customHeight="1">
      <c r="A11450" s="21"/>
      <c r="B11450" s="22"/>
      <c r="C11450" s="21"/>
      <c r="D11450" s="21"/>
      <c r="E11450" s="21"/>
      <c r="F11450" s="21"/>
      <c r="G11450" s="25"/>
      <c r="H11450" s="24" t="str">
        <f>IFERROR(VLOOKUP(B11450,material!A:D,3,0),"")</f>
        <v/>
      </c>
    </row>
    <row r="11451" ht="11.25" customHeight="1">
      <c r="A11451" s="21"/>
      <c r="B11451" s="22"/>
      <c r="C11451" s="21"/>
      <c r="D11451" s="21"/>
      <c r="E11451" s="21"/>
      <c r="F11451" s="21"/>
      <c r="G11451" s="25"/>
      <c r="H11451" s="24" t="str">
        <f>IFERROR(VLOOKUP(B11451,material!A:D,3,0),"")</f>
        <v/>
      </c>
    </row>
    <row r="11452" ht="11.25" customHeight="1">
      <c r="A11452" s="21"/>
      <c r="B11452" s="22"/>
      <c r="C11452" s="21"/>
      <c r="D11452" s="21"/>
      <c r="E11452" s="21"/>
      <c r="F11452" s="21"/>
      <c r="G11452" s="25"/>
      <c r="H11452" s="24" t="str">
        <f>IFERROR(VLOOKUP(B11452,material!A:D,3,0),"")</f>
        <v/>
      </c>
    </row>
    <row r="11453" ht="11.25" customHeight="1">
      <c r="A11453" s="21"/>
      <c r="B11453" s="22"/>
      <c r="C11453" s="21"/>
      <c r="D11453" s="21"/>
      <c r="E11453" s="21"/>
      <c r="F11453" s="21"/>
      <c r="G11453" s="25"/>
      <c r="H11453" s="24" t="str">
        <f>IFERROR(VLOOKUP(B11453,material!A:D,3,0),"")</f>
        <v/>
      </c>
    </row>
    <row r="11454" ht="11.25" customHeight="1">
      <c r="A11454" s="21"/>
      <c r="B11454" s="22"/>
      <c r="C11454" s="21"/>
      <c r="D11454" s="21"/>
      <c r="E11454" s="21"/>
      <c r="F11454" s="21"/>
      <c r="G11454" s="25"/>
      <c r="H11454" s="24" t="str">
        <f>IFERROR(VLOOKUP(B11454,material!A:D,3,0),"")</f>
        <v/>
      </c>
    </row>
    <row r="11455" ht="11.25" customHeight="1">
      <c r="A11455" s="21"/>
      <c r="B11455" s="22"/>
      <c r="C11455" s="21"/>
      <c r="D11455" s="21"/>
      <c r="E11455" s="21"/>
      <c r="F11455" s="21"/>
      <c r="G11455" s="25"/>
      <c r="H11455" s="24" t="str">
        <f>IFERROR(VLOOKUP(B11455,material!A:D,3,0),"")</f>
        <v/>
      </c>
    </row>
    <row r="11456" ht="11.25" customHeight="1">
      <c r="A11456" s="21"/>
      <c r="B11456" s="22"/>
      <c r="C11456" s="21"/>
      <c r="D11456" s="21"/>
      <c r="E11456" s="21"/>
      <c r="F11456" s="21"/>
      <c r="G11456" s="25"/>
      <c r="H11456" s="24" t="str">
        <f>IFERROR(VLOOKUP(B11456,material!A:D,3,0),"")</f>
        <v/>
      </c>
    </row>
    <row r="11457" ht="11.25" customHeight="1">
      <c r="A11457" s="21"/>
      <c r="B11457" s="22"/>
      <c r="C11457" s="21"/>
      <c r="D11457" s="21"/>
      <c r="E11457" s="21"/>
      <c r="F11457" s="21"/>
      <c r="G11457" s="25"/>
      <c r="H11457" s="24" t="str">
        <f>IFERROR(VLOOKUP(B11457,material!A:D,3,0),"")</f>
        <v/>
      </c>
    </row>
    <row r="11458" ht="11.25" customHeight="1">
      <c r="A11458" s="21"/>
      <c r="B11458" s="22"/>
      <c r="C11458" s="21"/>
      <c r="D11458" s="21"/>
      <c r="E11458" s="21"/>
      <c r="F11458" s="21"/>
      <c r="G11458" s="25"/>
      <c r="H11458" s="24" t="str">
        <f>IFERROR(VLOOKUP(B11458,material!A:D,3,0),"")</f>
        <v/>
      </c>
    </row>
    <row r="11459" ht="11.25" customHeight="1">
      <c r="A11459" s="21"/>
      <c r="B11459" s="22"/>
      <c r="C11459" s="21"/>
      <c r="D11459" s="21"/>
      <c r="E11459" s="21"/>
      <c r="F11459" s="21"/>
      <c r="G11459" s="25"/>
      <c r="H11459" s="24" t="str">
        <f>IFERROR(VLOOKUP(B11459,material!A:D,3,0),"")</f>
        <v/>
      </c>
    </row>
    <row r="11460" ht="11.25" customHeight="1">
      <c r="A11460" s="21"/>
      <c r="B11460" s="22"/>
      <c r="C11460" s="21"/>
      <c r="D11460" s="21"/>
      <c r="E11460" s="21"/>
      <c r="F11460" s="21"/>
      <c r="G11460" s="25"/>
      <c r="H11460" s="24" t="str">
        <f>IFERROR(VLOOKUP(B11460,material!A:D,3,0),"")</f>
        <v/>
      </c>
    </row>
    <row r="11461" ht="11.25" customHeight="1">
      <c r="A11461" s="21"/>
      <c r="B11461" s="22"/>
      <c r="C11461" s="21"/>
      <c r="D11461" s="21"/>
      <c r="E11461" s="21"/>
      <c r="F11461" s="21"/>
      <c r="G11461" s="25"/>
      <c r="H11461" s="24" t="str">
        <f>IFERROR(VLOOKUP(B11461,material!A:D,3,0),"")</f>
        <v/>
      </c>
    </row>
    <row r="11462" ht="11.25" customHeight="1">
      <c r="A11462" s="21"/>
      <c r="B11462" s="22"/>
      <c r="C11462" s="21"/>
      <c r="D11462" s="21"/>
      <c r="E11462" s="21"/>
      <c r="F11462" s="21"/>
      <c r="G11462" s="25"/>
      <c r="H11462" s="24" t="str">
        <f>IFERROR(VLOOKUP(B11462,material!A:D,3,0),"")</f>
        <v/>
      </c>
    </row>
    <row r="11463" ht="11.25" customHeight="1">
      <c r="A11463" s="21"/>
      <c r="B11463" s="22"/>
      <c r="C11463" s="21"/>
      <c r="D11463" s="21"/>
      <c r="E11463" s="21"/>
      <c r="F11463" s="21"/>
      <c r="G11463" s="25"/>
      <c r="H11463" s="24" t="str">
        <f>IFERROR(VLOOKUP(B11463,material!A:D,3,0),"")</f>
        <v/>
      </c>
    </row>
    <row r="11464" ht="11.25" customHeight="1">
      <c r="A11464" s="21"/>
      <c r="B11464" s="22"/>
      <c r="C11464" s="21"/>
      <c r="D11464" s="21"/>
      <c r="E11464" s="21"/>
      <c r="F11464" s="21"/>
      <c r="G11464" s="25"/>
      <c r="H11464" s="24" t="str">
        <f>IFERROR(VLOOKUP(B11464,material!A:D,3,0),"")</f>
        <v/>
      </c>
    </row>
    <row r="11465" ht="11.25" customHeight="1">
      <c r="A11465" s="21"/>
      <c r="B11465" s="22"/>
      <c r="C11465" s="21"/>
      <c r="D11465" s="21"/>
      <c r="E11465" s="21"/>
      <c r="F11465" s="21"/>
      <c r="G11465" s="25"/>
      <c r="H11465" s="24" t="str">
        <f>IFERROR(VLOOKUP(B11465,material!A:D,3,0),"")</f>
        <v/>
      </c>
    </row>
    <row r="11466" ht="11.25" customHeight="1">
      <c r="A11466" s="21"/>
      <c r="B11466" s="22"/>
      <c r="C11466" s="21"/>
      <c r="D11466" s="21"/>
      <c r="E11466" s="21"/>
      <c r="F11466" s="21"/>
      <c r="G11466" s="25"/>
      <c r="H11466" s="24" t="str">
        <f>IFERROR(VLOOKUP(B11466,material!A:D,3,0),"")</f>
        <v/>
      </c>
    </row>
    <row r="11467" ht="11.25" customHeight="1">
      <c r="A11467" s="21"/>
      <c r="B11467" s="22"/>
      <c r="C11467" s="21"/>
      <c r="D11467" s="21"/>
      <c r="E11467" s="21"/>
      <c r="F11467" s="21"/>
      <c r="G11467" s="25"/>
      <c r="H11467" s="24" t="str">
        <f>IFERROR(VLOOKUP(B11467,material!A:D,3,0),"")</f>
        <v/>
      </c>
    </row>
    <row r="11468" ht="11.25" customHeight="1">
      <c r="A11468" s="21"/>
      <c r="B11468" s="22"/>
      <c r="C11468" s="21"/>
      <c r="D11468" s="21"/>
      <c r="E11468" s="21"/>
      <c r="F11468" s="21"/>
      <c r="G11468" s="25"/>
      <c r="H11468" s="24" t="str">
        <f>IFERROR(VLOOKUP(B11468,material!A:D,3,0),"")</f>
        <v/>
      </c>
    </row>
    <row r="11469" ht="11.25" customHeight="1">
      <c r="A11469" s="21"/>
      <c r="B11469" s="22"/>
      <c r="C11469" s="21"/>
      <c r="D11469" s="21"/>
      <c r="E11469" s="21"/>
      <c r="F11469" s="21"/>
      <c r="G11469" s="25"/>
      <c r="H11469" s="24" t="str">
        <f>IFERROR(VLOOKUP(B11469,material!A:D,3,0),"")</f>
        <v/>
      </c>
    </row>
    <row r="11470" ht="11.25" customHeight="1">
      <c r="A11470" s="21"/>
      <c r="B11470" s="22"/>
      <c r="C11470" s="21"/>
      <c r="D11470" s="21"/>
      <c r="E11470" s="21"/>
      <c r="F11470" s="21"/>
      <c r="G11470" s="25"/>
      <c r="H11470" s="24" t="str">
        <f>IFERROR(VLOOKUP(B11470,material!A:D,3,0),"")</f>
        <v/>
      </c>
    </row>
    <row r="11471" ht="11.25" customHeight="1">
      <c r="A11471" s="21"/>
      <c r="B11471" s="22"/>
      <c r="C11471" s="21"/>
      <c r="D11471" s="21"/>
      <c r="E11471" s="21"/>
      <c r="F11471" s="21"/>
      <c r="G11471" s="25"/>
      <c r="H11471" s="24" t="str">
        <f>IFERROR(VLOOKUP(B11471,material!A:D,3,0),"")</f>
        <v/>
      </c>
    </row>
    <row r="11472" ht="11.25" customHeight="1">
      <c r="A11472" s="21"/>
      <c r="B11472" s="22"/>
      <c r="C11472" s="21"/>
      <c r="D11472" s="21"/>
      <c r="E11472" s="21"/>
      <c r="F11472" s="21"/>
      <c r="G11472" s="25"/>
      <c r="H11472" s="24" t="str">
        <f>IFERROR(VLOOKUP(B11472,material!A:D,3,0),"")</f>
        <v/>
      </c>
    </row>
    <row r="11473" ht="11.25" customHeight="1">
      <c r="A11473" s="21"/>
      <c r="B11473" s="22"/>
      <c r="C11473" s="21"/>
      <c r="D11473" s="21"/>
      <c r="E11473" s="21"/>
      <c r="F11473" s="21"/>
      <c r="G11473" s="25"/>
      <c r="H11473" s="24" t="str">
        <f>IFERROR(VLOOKUP(B11473,material!A:D,3,0),"")</f>
        <v/>
      </c>
    </row>
    <row r="11474" ht="11.25" customHeight="1">
      <c r="A11474" s="21"/>
      <c r="B11474" s="22"/>
      <c r="C11474" s="21"/>
      <c r="D11474" s="21"/>
      <c r="E11474" s="21"/>
      <c r="F11474" s="21"/>
      <c r="G11474" s="25"/>
      <c r="H11474" s="24" t="str">
        <f>IFERROR(VLOOKUP(B11474,material!A:D,3,0),"")</f>
        <v/>
      </c>
    </row>
    <row r="11475" ht="11.25" customHeight="1">
      <c r="A11475" s="21"/>
      <c r="B11475" s="22"/>
      <c r="C11475" s="21"/>
      <c r="D11475" s="21"/>
      <c r="E11475" s="21"/>
      <c r="F11475" s="21"/>
      <c r="G11475" s="25"/>
      <c r="H11475" s="24" t="str">
        <f>IFERROR(VLOOKUP(B11475,material!A:D,3,0),"")</f>
        <v/>
      </c>
    </row>
    <row r="11476" ht="11.25" customHeight="1">
      <c r="A11476" s="21"/>
      <c r="B11476" s="22"/>
      <c r="C11476" s="21"/>
      <c r="D11476" s="21"/>
      <c r="E11476" s="21"/>
      <c r="F11476" s="21"/>
      <c r="G11476" s="25"/>
      <c r="H11476" s="24" t="str">
        <f>IFERROR(VLOOKUP(B11476,material!A:D,3,0),"")</f>
        <v/>
      </c>
    </row>
    <row r="11477" ht="11.25" customHeight="1">
      <c r="A11477" s="21"/>
      <c r="B11477" s="22"/>
      <c r="C11477" s="21"/>
      <c r="D11477" s="21"/>
      <c r="E11477" s="21"/>
      <c r="F11477" s="21"/>
      <c r="G11477" s="25"/>
      <c r="H11477" s="24" t="str">
        <f>IFERROR(VLOOKUP(B11477,material!A:D,3,0),"")</f>
        <v/>
      </c>
    </row>
    <row r="11478" ht="11.25" customHeight="1">
      <c r="A11478" s="21"/>
      <c r="B11478" s="22"/>
      <c r="C11478" s="21"/>
      <c r="D11478" s="21"/>
      <c r="E11478" s="21"/>
      <c r="F11478" s="21"/>
      <c r="G11478" s="25"/>
      <c r="H11478" s="24" t="str">
        <f>IFERROR(VLOOKUP(B11478,material!A:D,3,0),"")</f>
        <v/>
      </c>
    </row>
    <row r="11479" ht="11.25" customHeight="1">
      <c r="A11479" s="21"/>
      <c r="B11479" s="22"/>
      <c r="C11479" s="21"/>
      <c r="D11479" s="21"/>
      <c r="E11479" s="21"/>
      <c r="F11479" s="21"/>
      <c r="G11479" s="25"/>
      <c r="H11479" s="24" t="str">
        <f>IFERROR(VLOOKUP(B11479,material!A:D,3,0),"")</f>
        <v/>
      </c>
    </row>
    <row r="11480" ht="11.25" customHeight="1">
      <c r="A11480" s="21"/>
      <c r="B11480" s="22"/>
      <c r="C11480" s="21"/>
      <c r="D11480" s="21"/>
      <c r="E11480" s="21"/>
      <c r="F11480" s="21"/>
      <c r="G11480" s="25"/>
      <c r="H11480" s="24" t="str">
        <f>IFERROR(VLOOKUP(B11480,material!A:D,3,0),"")</f>
        <v/>
      </c>
    </row>
    <row r="11481" ht="11.25" customHeight="1">
      <c r="A11481" s="21"/>
      <c r="B11481" s="22"/>
      <c r="C11481" s="21"/>
      <c r="D11481" s="21"/>
      <c r="E11481" s="21"/>
      <c r="F11481" s="21"/>
      <c r="G11481" s="25"/>
      <c r="H11481" s="24" t="str">
        <f>IFERROR(VLOOKUP(B11481,material!A:D,3,0),"")</f>
        <v/>
      </c>
    </row>
    <row r="11482" ht="11.25" customHeight="1">
      <c r="A11482" s="21"/>
      <c r="B11482" s="22"/>
      <c r="C11482" s="21"/>
      <c r="D11482" s="21"/>
      <c r="E11482" s="21"/>
      <c r="F11482" s="21"/>
      <c r="G11482" s="25"/>
      <c r="H11482" s="24" t="str">
        <f>IFERROR(VLOOKUP(B11482,material!A:D,3,0),"")</f>
        <v/>
      </c>
    </row>
    <row r="11483" ht="11.25" customHeight="1">
      <c r="A11483" s="21"/>
      <c r="B11483" s="22"/>
      <c r="C11483" s="21"/>
      <c r="D11483" s="21"/>
      <c r="E11483" s="21"/>
      <c r="F11483" s="21"/>
      <c r="G11483" s="25"/>
      <c r="H11483" s="24" t="str">
        <f>IFERROR(VLOOKUP(B11483,material!A:D,3,0),"")</f>
        <v/>
      </c>
    </row>
    <row r="11484" ht="11.25" customHeight="1">
      <c r="A11484" s="21"/>
      <c r="B11484" s="22"/>
      <c r="C11484" s="21"/>
      <c r="D11484" s="21"/>
      <c r="E11484" s="21"/>
      <c r="F11484" s="21"/>
      <c r="G11484" s="25"/>
      <c r="H11484" s="24" t="str">
        <f>IFERROR(VLOOKUP(B11484,material!A:D,3,0),"")</f>
        <v/>
      </c>
    </row>
    <row r="11485" ht="11.25" customHeight="1">
      <c r="A11485" s="21"/>
      <c r="B11485" s="22"/>
      <c r="C11485" s="21"/>
      <c r="D11485" s="21"/>
      <c r="E11485" s="21"/>
      <c r="F11485" s="21"/>
      <c r="G11485" s="25"/>
      <c r="H11485" s="24" t="str">
        <f>IFERROR(VLOOKUP(B11485,material!A:D,3,0),"")</f>
        <v/>
      </c>
    </row>
    <row r="11486" ht="11.25" customHeight="1">
      <c r="A11486" s="21"/>
      <c r="B11486" s="22"/>
      <c r="C11486" s="21"/>
      <c r="D11486" s="21"/>
      <c r="E11486" s="21"/>
      <c r="F11486" s="21"/>
      <c r="G11486" s="25"/>
      <c r="H11486" s="24" t="str">
        <f>IFERROR(VLOOKUP(B11486,material!A:D,3,0),"")</f>
        <v/>
      </c>
    </row>
    <row r="11487" ht="11.25" customHeight="1">
      <c r="A11487" s="21"/>
      <c r="B11487" s="22"/>
      <c r="C11487" s="21"/>
      <c r="D11487" s="21"/>
      <c r="E11487" s="21"/>
      <c r="F11487" s="21"/>
      <c r="G11487" s="25"/>
      <c r="H11487" s="24" t="str">
        <f>IFERROR(VLOOKUP(B11487,material!A:D,3,0),"")</f>
        <v/>
      </c>
    </row>
    <row r="11488" ht="11.25" customHeight="1">
      <c r="A11488" s="21"/>
      <c r="B11488" s="22"/>
      <c r="C11488" s="21"/>
      <c r="D11488" s="21"/>
      <c r="E11488" s="21"/>
      <c r="F11488" s="21"/>
      <c r="G11488" s="25"/>
      <c r="H11488" s="24" t="str">
        <f>IFERROR(VLOOKUP(B11488,material!A:D,3,0),"")</f>
        <v/>
      </c>
    </row>
    <row r="11489" ht="11.25" customHeight="1">
      <c r="A11489" s="21"/>
      <c r="B11489" s="22"/>
      <c r="C11489" s="21"/>
      <c r="D11489" s="21"/>
      <c r="E11489" s="21"/>
      <c r="F11489" s="21"/>
      <c r="G11489" s="25"/>
      <c r="H11489" s="24" t="str">
        <f>IFERROR(VLOOKUP(B11489,material!A:D,3,0),"")</f>
        <v/>
      </c>
    </row>
    <row r="11490" ht="11.25" customHeight="1">
      <c r="A11490" s="21"/>
      <c r="B11490" s="22"/>
      <c r="C11490" s="21"/>
      <c r="D11490" s="21"/>
      <c r="E11490" s="21"/>
      <c r="F11490" s="21"/>
      <c r="G11490" s="25"/>
      <c r="H11490" s="24" t="str">
        <f>IFERROR(VLOOKUP(B11490,material!A:D,3,0),"")</f>
        <v/>
      </c>
    </row>
    <row r="11491" ht="11.25" customHeight="1">
      <c r="A11491" s="21"/>
      <c r="B11491" s="22"/>
      <c r="C11491" s="21"/>
      <c r="D11491" s="21"/>
      <c r="E11491" s="21"/>
      <c r="F11491" s="21"/>
      <c r="G11491" s="25"/>
      <c r="H11491" s="24" t="str">
        <f>IFERROR(VLOOKUP(B11491,material!A:D,3,0),"")</f>
        <v/>
      </c>
    </row>
    <row r="11492" ht="11.25" customHeight="1">
      <c r="A11492" s="21"/>
      <c r="B11492" s="22"/>
      <c r="C11492" s="21"/>
      <c r="D11492" s="21"/>
      <c r="E11492" s="21"/>
      <c r="F11492" s="21"/>
      <c r="G11492" s="25"/>
      <c r="H11492" s="24" t="str">
        <f>IFERROR(VLOOKUP(B11492,material!A:D,3,0),"")</f>
        <v/>
      </c>
    </row>
    <row r="11493" ht="11.25" customHeight="1">
      <c r="A11493" s="21"/>
      <c r="B11493" s="22"/>
      <c r="C11493" s="21"/>
      <c r="D11493" s="21"/>
      <c r="E11493" s="21"/>
      <c r="F11493" s="21"/>
      <c r="G11493" s="25"/>
      <c r="H11493" s="24" t="str">
        <f>IFERROR(VLOOKUP(B11493,material!A:D,3,0),"")</f>
        <v/>
      </c>
    </row>
    <row r="11494" ht="11.25" customHeight="1">
      <c r="A11494" s="21"/>
      <c r="B11494" s="22"/>
      <c r="C11494" s="21"/>
      <c r="D11494" s="21"/>
      <c r="E11494" s="21"/>
      <c r="F11494" s="21"/>
      <c r="G11494" s="25"/>
      <c r="H11494" s="24" t="str">
        <f>IFERROR(VLOOKUP(B11494,material!A:D,3,0),"")</f>
        <v/>
      </c>
    </row>
    <row r="11495" ht="11.25" customHeight="1">
      <c r="A11495" s="21"/>
      <c r="B11495" s="22"/>
      <c r="C11495" s="21"/>
      <c r="D11495" s="21"/>
      <c r="E11495" s="21"/>
      <c r="F11495" s="21"/>
      <c r="G11495" s="25"/>
      <c r="H11495" s="24" t="str">
        <f>IFERROR(VLOOKUP(B11495,material!A:D,3,0),"")</f>
        <v/>
      </c>
    </row>
    <row r="11496" ht="11.25" customHeight="1">
      <c r="A11496" s="21"/>
      <c r="B11496" s="22"/>
      <c r="C11496" s="21"/>
      <c r="D11496" s="21"/>
      <c r="E11496" s="21"/>
      <c r="F11496" s="21"/>
      <c r="G11496" s="25"/>
      <c r="H11496" s="24" t="str">
        <f>IFERROR(VLOOKUP(B11496,material!A:D,3,0),"")</f>
        <v/>
      </c>
    </row>
    <row r="11497" ht="11.25" customHeight="1">
      <c r="A11497" s="21"/>
      <c r="B11497" s="22"/>
      <c r="C11497" s="21"/>
      <c r="D11497" s="21"/>
      <c r="E11497" s="21"/>
      <c r="F11497" s="21"/>
      <c r="G11497" s="25"/>
      <c r="H11497" s="24" t="str">
        <f>IFERROR(VLOOKUP(B11497,material!A:D,3,0),"")</f>
        <v/>
      </c>
    </row>
    <row r="11498" ht="11.25" customHeight="1">
      <c r="A11498" s="21"/>
      <c r="B11498" s="22"/>
      <c r="C11498" s="21"/>
      <c r="D11498" s="21"/>
      <c r="E11498" s="21"/>
      <c r="F11498" s="21"/>
      <c r="G11498" s="25"/>
      <c r="H11498" s="24" t="str">
        <f>IFERROR(VLOOKUP(B11498,material!A:D,3,0),"")</f>
        <v/>
      </c>
    </row>
    <row r="11499" ht="11.25" customHeight="1">
      <c r="A11499" s="21"/>
      <c r="B11499" s="22"/>
      <c r="C11499" s="21"/>
      <c r="D11499" s="21"/>
      <c r="E11499" s="21"/>
      <c r="F11499" s="21"/>
      <c r="G11499" s="25"/>
      <c r="H11499" s="24" t="str">
        <f>IFERROR(VLOOKUP(B11499,material!A:D,3,0),"")</f>
        <v/>
      </c>
    </row>
    <row r="11500" ht="11.25" customHeight="1">
      <c r="A11500" s="21"/>
      <c r="B11500" s="22"/>
      <c r="C11500" s="21"/>
      <c r="D11500" s="21"/>
      <c r="E11500" s="21"/>
      <c r="F11500" s="21"/>
      <c r="G11500" s="25"/>
      <c r="H11500" s="24" t="str">
        <f>IFERROR(VLOOKUP(B11500,material!A:D,3,0),"")</f>
        <v/>
      </c>
    </row>
    <row r="11501" ht="11.25" customHeight="1">
      <c r="A11501" s="21"/>
      <c r="B11501" s="22"/>
      <c r="C11501" s="21"/>
      <c r="D11501" s="21"/>
      <c r="E11501" s="21"/>
      <c r="F11501" s="21"/>
      <c r="G11501" s="25"/>
      <c r="H11501" s="24" t="str">
        <f>IFERROR(VLOOKUP(B11501,material!A:D,3,0),"")</f>
        <v/>
      </c>
    </row>
    <row r="11502" ht="11.25" customHeight="1">
      <c r="A11502" s="21"/>
      <c r="B11502" s="22"/>
      <c r="C11502" s="21"/>
      <c r="D11502" s="21"/>
      <c r="E11502" s="21"/>
      <c r="F11502" s="21"/>
      <c r="G11502" s="25"/>
      <c r="H11502" s="24" t="str">
        <f>IFERROR(VLOOKUP(B11502,material!A:D,3,0),"")</f>
        <v/>
      </c>
    </row>
    <row r="11503" ht="11.25" customHeight="1">
      <c r="A11503" s="21"/>
      <c r="B11503" s="22"/>
      <c r="C11503" s="21"/>
      <c r="D11503" s="21"/>
      <c r="E11503" s="21"/>
      <c r="F11503" s="21"/>
      <c r="G11503" s="25"/>
      <c r="H11503" s="24" t="str">
        <f>IFERROR(VLOOKUP(B11503,material!A:D,3,0),"")</f>
        <v/>
      </c>
    </row>
    <row r="11504" ht="11.25" customHeight="1">
      <c r="A11504" s="21"/>
      <c r="B11504" s="22"/>
      <c r="C11504" s="21"/>
      <c r="D11504" s="21"/>
      <c r="E11504" s="21"/>
      <c r="F11504" s="21"/>
      <c r="G11504" s="25"/>
      <c r="H11504" s="24" t="str">
        <f>IFERROR(VLOOKUP(B11504,material!A:D,3,0),"")</f>
        <v/>
      </c>
    </row>
    <row r="11505" ht="11.25" customHeight="1">
      <c r="A11505" s="21"/>
      <c r="B11505" s="22"/>
      <c r="C11505" s="21"/>
      <c r="D11505" s="21"/>
      <c r="E11505" s="21"/>
      <c r="F11505" s="21"/>
      <c r="G11505" s="25"/>
      <c r="H11505" s="24" t="str">
        <f>IFERROR(VLOOKUP(B11505,material!A:D,3,0),"")</f>
        <v/>
      </c>
    </row>
    <row r="11506" ht="11.25" customHeight="1">
      <c r="A11506" s="21"/>
      <c r="B11506" s="22"/>
      <c r="C11506" s="21"/>
      <c r="D11506" s="21"/>
      <c r="E11506" s="21"/>
      <c r="F11506" s="21"/>
      <c r="G11506" s="25"/>
      <c r="H11506" s="24" t="str">
        <f>IFERROR(VLOOKUP(B11506,material!A:D,3,0),"")</f>
        <v/>
      </c>
    </row>
    <row r="11507" ht="11.25" customHeight="1">
      <c r="A11507" s="21"/>
      <c r="B11507" s="22"/>
      <c r="C11507" s="21"/>
      <c r="D11507" s="21"/>
      <c r="E11507" s="21"/>
      <c r="F11507" s="21"/>
      <c r="G11507" s="25"/>
      <c r="H11507" s="24" t="str">
        <f>IFERROR(VLOOKUP(B11507,material!A:D,3,0),"")</f>
        <v/>
      </c>
    </row>
    <row r="11508" ht="11.25" customHeight="1">
      <c r="A11508" s="21"/>
      <c r="B11508" s="22"/>
      <c r="C11508" s="21"/>
      <c r="D11508" s="21"/>
      <c r="E11508" s="21"/>
      <c r="F11508" s="21"/>
      <c r="G11508" s="25"/>
      <c r="H11508" s="24" t="str">
        <f>IFERROR(VLOOKUP(B11508,material!A:D,3,0),"")</f>
        <v/>
      </c>
    </row>
    <row r="11509" ht="11.25" customHeight="1">
      <c r="A11509" s="21"/>
      <c r="B11509" s="22"/>
      <c r="C11509" s="21"/>
      <c r="D11509" s="21"/>
      <c r="E11509" s="21"/>
      <c r="F11509" s="21"/>
      <c r="G11509" s="25"/>
      <c r="H11509" s="24" t="str">
        <f>IFERROR(VLOOKUP(B11509,material!A:D,3,0),"")</f>
        <v/>
      </c>
    </row>
    <row r="11510" ht="11.25" customHeight="1">
      <c r="A11510" s="21"/>
      <c r="B11510" s="22"/>
      <c r="C11510" s="21"/>
      <c r="D11510" s="21"/>
      <c r="E11510" s="21"/>
      <c r="F11510" s="21"/>
      <c r="G11510" s="25"/>
      <c r="H11510" s="24" t="str">
        <f>IFERROR(VLOOKUP(B11510,material!A:D,3,0),"")</f>
        <v/>
      </c>
    </row>
    <row r="11511" ht="11.25" customHeight="1">
      <c r="A11511" s="21"/>
      <c r="B11511" s="22"/>
      <c r="C11511" s="21"/>
      <c r="D11511" s="21"/>
      <c r="E11511" s="21"/>
      <c r="F11511" s="21"/>
      <c r="G11511" s="25"/>
      <c r="H11511" s="24" t="str">
        <f>IFERROR(VLOOKUP(B11511,material!A:D,3,0),"")</f>
        <v/>
      </c>
    </row>
    <row r="11512" ht="11.25" customHeight="1">
      <c r="A11512" s="21"/>
      <c r="B11512" s="22"/>
      <c r="C11512" s="21"/>
      <c r="D11512" s="21"/>
      <c r="E11512" s="21"/>
      <c r="F11512" s="21"/>
      <c r="G11512" s="25"/>
      <c r="H11512" s="24" t="str">
        <f>IFERROR(VLOOKUP(B11512,material!A:D,3,0),"")</f>
        <v/>
      </c>
    </row>
    <row r="11513" ht="11.25" customHeight="1">
      <c r="A11513" s="21"/>
      <c r="B11513" s="22"/>
      <c r="C11513" s="21"/>
      <c r="D11513" s="21"/>
      <c r="E11513" s="21"/>
      <c r="F11513" s="21"/>
      <c r="G11513" s="25"/>
      <c r="H11513" s="24" t="str">
        <f>IFERROR(VLOOKUP(B11513,material!A:D,3,0),"")</f>
        <v/>
      </c>
    </row>
    <row r="11514" ht="11.25" customHeight="1">
      <c r="A11514" s="21"/>
      <c r="B11514" s="22"/>
      <c r="C11514" s="21"/>
      <c r="D11514" s="21"/>
      <c r="E11514" s="21"/>
      <c r="F11514" s="21"/>
      <c r="G11514" s="25"/>
      <c r="H11514" s="24" t="str">
        <f>IFERROR(VLOOKUP(B11514,material!A:D,3,0),"")</f>
        <v/>
      </c>
    </row>
    <row r="11515" ht="11.25" customHeight="1">
      <c r="A11515" s="21"/>
      <c r="B11515" s="22"/>
      <c r="C11515" s="21"/>
      <c r="D11515" s="21"/>
      <c r="E11515" s="21"/>
      <c r="F11515" s="21"/>
      <c r="G11515" s="25"/>
      <c r="H11515" s="24" t="str">
        <f>IFERROR(VLOOKUP(B11515,material!A:D,3,0),"")</f>
        <v/>
      </c>
    </row>
    <row r="11516" ht="11.25" customHeight="1">
      <c r="A11516" s="21"/>
      <c r="B11516" s="22"/>
      <c r="C11516" s="21"/>
      <c r="D11516" s="21"/>
      <c r="E11516" s="21"/>
      <c r="F11516" s="21"/>
      <c r="G11516" s="25"/>
      <c r="H11516" s="24" t="str">
        <f>IFERROR(VLOOKUP(B11516,material!A:D,3,0),"")</f>
        <v/>
      </c>
    </row>
    <row r="11517" ht="11.25" customHeight="1">
      <c r="A11517" s="21"/>
      <c r="B11517" s="22"/>
      <c r="C11517" s="21"/>
      <c r="D11517" s="21"/>
      <c r="E11517" s="21"/>
      <c r="F11517" s="21"/>
      <c r="G11517" s="25"/>
      <c r="H11517" s="24" t="str">
        <f>IFERROR(VLOOKUP(B11517,material!A:D,3,0),"")</f>
        <v/>
      </c>
    </row>
    <row r="11518" ht="11.25" customHeight="1">
      <c r="A11518" s="21"/>
      <c r="B11518" s="22"/>
      <c r="C11518" s="21"/>
      <c r="D11518" s="21"/>
      <c r="E11518" s="21"/>
      <c r="F11518" s="21"/>
      <c r="G11518" s="25"/>
      <c r="H11518" s="24" t="str">
        <f>IFERROR(VLOOKUP(B11518,material!A:D,3,0),"")</f>
        <v/>
      </c>
    </row>
    <row r="11519" ht="11.25" customHeight="1">
      <c r="A11519" s="21"/>
      <c r="B11519" s="22"/>
      <c r="C11519" s="21"/>
      <c r="D11519" s="21"/>
      <c r="E11519" s="21"/>
      <c r="F11519" s="21"/>
      <c r="G11519" s="25"/>
      <c r="H11519" s="24" t="str">
        <f>IFERROR(VLOOKUP(B11519,material!A:D,3,0),"")</f>
        <v/>
      </c>
    </row>
    <row r="11520" ht="11.25" customHeight="1">
      <c r="A11520" s="21"/>
      <c r="B11520" s="22"/>
      <c r="C11520" s="21"/>
      <c r="D11520" s="21"/>
      <c r="E11520" s="21"/>
      <c r="F11520" s="21"/>
      <c r="G11520" s="25"/>
      <c r="H11520" s="24" t="str">
        <f>IFERROR(VLOOKUP(B11520,material!A:D,3,0),"")</f>
        <v/>
      </c>
    </row>
    <row r="11521" ht="11.25" customHeight="1">
      <c r="A11521" s="21"/>
      <c r="B11521" s="22"/>
      <c r="C11521" s="21"/>
      <c r="D11521" s="21"/>
      <c r="E11521" s="21"/>
      <c r="F11521" s="21"/>
      <c r="G11521" s="25"/>
      <c r="H11521" s="24" t="str">
        <f>IFERROR(VLOOKUP(B11521,material!A:D,3,0),"")</f>
        <v/>
      </c>
    </row>
    <row r="11522" ht="11.25" customHeight="1">
      <c r="A11522" s="21"/>
      <c r="B11522" s="22"/>
      <c r="C11522" s="21"/>
      <c r="D11522" s="21"/>
      <c r="E11522" s="21"/>
      <c r="F11522" s="21"/>
      <c r="G11522" s="25"/>
      <c r="H11522" s="24" t="str">
        <f>IFERROR(VLOOKUP(B11522,material!A:D,3,0),"")</f>
        <v/>
      </c>
    </row>
    <row r="11523" ht="11.25" customHeight="1">
      <c r="A11523" s="21"/>
      <c r="B11523" s="22"/>
      <c r="C11523" s="21"/>
      <c r="D11523" s="21"/>
      <c r="E11523" s="21"/>
      <c r="F11523" s="21"/>
      <c r="G11523" s="25"/>
      <c r="H11523" s="24" t="str">
        <f>IFERROR(VLOOKUP(B11523,material!A:D,3,0),"")</f>
        <v/>
      </c>
    </row>
    <row r="11524" ht="11.25" customHeight="1">
      <c r="A11524" s="21"/>
      <c r="B11524" s="22"/>
      <c r="C11524" s="21"/>
      <c r="D11524" s="21"/>
      <c r="E11524" s="21"/>
      <c r="F11524" s="21"/>
      <c r="G11524" s="25"/>
      <c r="H11524" s="24" t="str">
        <f>IFERROR(VLOOKUP(B11524,material!A:D,3,0),"")</f>
        <v/>
      </c>
    </row>
    <row r="11525" ht="11.25" customHeight="1">
      <c r="A11525" s="21"/>
      <c r="B11525" s="22"/>
      <c r="C11525" s="21"/>
      <c r="D11525" s="21"/>
      <c r="E11525" s="21"/>
      <c r="F11525" s="21"/>
      <c r="G11525" s="25"/>
      <c r="H11525" s="24" t="str">
        <f>IFERROR(VLOOKUP(B11525,material!A:D,3,0),"")</f>
        <v/>
      </c>
    </row>
    <row r="11526" ht="11.25" customHeight="1">
      <c r="A11526" s="21"/>
      <c r="B11526" s="22"/>
      <c r="C11526" s="21"/>
      <c r="D11526" s="21"/>
      <c r="E11526" s="21"/>
      <c r="F11526" s="21"/>
      <c r="G11526" s="25"/>
      <c r="H11526" s="24" t="str">
        <f>IFERROR(VLOOKUP(B11526,material!A:D,3,0),"")</f>
        <v/>
      </c>
    </row>
    <row r="11527" ht="11.25" customHeight="1">
      <c r="A11527" s="21"/>
      <c r="B11527" s="22"/>
      <c r="C11527" s="21"/>
      <c r="D11527" s="21"/>
      <c r="E11527" s="21"/>
      <c r="F11527" s="21"/>
      <c r="G11527" s="25"/>
      <c r="H11527" s="24" t="str">
        <f>IFERROR(VLOOKUP(B11527,material!A:D,3,0),"")</f>
        <v/>
      </c>
    </row>
    <row r="11528" ht="11.25" customHeight="1">
      <c r="A11528" s="21"/>
      <c r="B11528" s="22"/>
      <c r="C11528" s="21"/>
      <c r="D11528" s="21"/>
      <c r="E11528" s="21"/>
      <c r="F11528" s="21"/>
      <c r="G11528" s="25"/>
      <c r="H11528" s="24" t="str">
        <f>IFERROR(VLOOKUP(B11528,material!A:D,3,0),"")</f>
        <v/>
      </c>
    </row>
    <row r="11529" ht="11.25" customHeight="1">
      <c r="A11529" s="21"/>
      <c r="B11529" s="22"/>
      <c r="C11529" s="21"/>
      <c r="D11529" s="21"/>
      <c r="E11529" s="21"/>
      <c r="F11529" s="21"/>
      <c r="G11529" s="25"/>
      <c r="H11529" s="24" t="str">
        <f>IFERROR(VLOOKUP(B11529,material!A:D,3,0),"")</f>
        <v/>
      </c>
    </row>
    <row r="11530" ht="11.25" customHeight="1">
      <c r="A11530" s="21"/>
      <c r="B11530" s="22"/>
      <c r="C11530" s="21"/>
      <c r="D11530" s="21"/>
      <c r="E11530" s="21"/>
      <c r="F11530" s="21"/>
      <c r="G11530" s="25"/>
      <c r="H11530" s="24" t="str">
        <f>IFERROR(VLOOKUP(B11530,material!A:D,3,0),"")</f>
        <v/>
      </c>
    </row>
    <row r="11531" ht="11.25" customHeight="1">
      <c r="A11531" s="21"/>
      <c r="B11531" s="22"/>
      <c r="C11531" s="21"/>
      <c r="D11531" s="21"/>
      <c r="E11531" s="21"/>
      <c r="F11531" s="21"/>
      <c r="G11531" s="25"/>
      <c r="H11531" s="24" t="str">
        <f>IFERROR(VLOOKUP(B11531,material!A:D,3,0),"")</f>
        <v/>
      </c>
    </row>
    <row r="11532" ht="11.25" customHeight="1">
      <c r="A11532" s="21"/>
      <c r="B11532" s="22"/>
      <c r="C11532" s="21"/>
      <c r="D11532" s="21"/>
      <c r="E11532" s="21"/>
      <c r="F11532" s="21"/>
      <c r="G11532" s="25"/>
      <c r="H11532" s="24" t="str">
        <f>IFERROR(VLOOKUP(B11532,material!A:D,3,0),"")</f>
        <v/>
      </c>
    </row>
    <row r="11533" ht="11.25" customHeight="1">
      <c r="A11533" s="21"/>
      <c r="B11533" s="22"/>
      <c r="C11533" s="21"/>
      <c r="D11533" s="21"/>
      <c r="E11533" s="21"/>
      <c r="F11533" s="21"/>
      <c r="G11533" s="25"/>
      <c r="H11533" s="24" t="str">
        <f>IFERROR(VLOOKUP(B11533,material!A:D,3,0),"")</f>
        <v/>
      </c>
    </row>
    <row r="11534" ht="11.25" customHeight="1">
      <c r="A11534" s="21"/>
      <c r="B11534" s="22"/>
      <c r="C11534" s="21"/>
      <c r="D11534" s="21"/>
      <c r="E11534" s="21"/>
      <c r="F11534" s="21"/>
      <c r="G11534" s="25"/>
      <c r="H11534" s="24" t="str">
        <f>IFERROR(VLOOKUP(B11534,material!A:D,3,0),"")</f>
        <v/>
      </c>
    </row>
    <row r="11535" ht="11.25" customHeight="1">
      <c r="A11535" s="21"/>
      <c r="B11535" s="22"/>
      <c r="C11535" s="21"/>
      <c r="D11535" s="21"/>
      <c r="E11535" s="21"/>
      <c r="F11535" s="21"/>
      <c r="G11535" s="25"/>
      <c r="H11535" s="24" t="str">
        <f>IFERROR(VLOOKUP(B11535,material!A:D,3,0),"")</f>
        <v/>
      </c>
    </row>
    <row r="11536" ht="11.25" customHeight="1">
      <c r="A11536" s="21"/>
      <c r="B11536" s="22"/>
      <c r="C11536" s="21"/>
      <c r="D11536" s="21"/>
      <c r="E11536" s="21"/>
      <c r="F11536" s="21"/>
      <c r="G11536" s="25"/>
      <c r="H11536" s="24" t="str">
        <f>IFERROR(VLOOKUP(B11536,material!A:D,3,0),"")</f>
        <v/>
      </c>
    </row>
    <row r="11537" ht="11.25" customHeight="1">
      <c r="A11537" s="21"/>
      <c r="B11537" s="22"/>
      <c r="C11537" s="21"/>
      <c r="D11537" s="21"/>
      <c r="E11537" s="21"/>
      <c r="F11537" s="21"/>
      <c r="G11537" s="25"/>
      <c r="H11537" s="24" t="str">
        <f>IFERROR(VLOOKUP(B11537,material!A:D,3,0),"")</f>
        <v/>
      </c>
    </row>
    <row r="11538" ht="11.25" customHeight="1">
      <c r="A11538" s="21"/>
      <c r="B11538" s="22"/>
      <c r="C11538" s="21"/>
      <c r="D11538" s="21"/>
      <c r="E11538" s="21"/>
      <c r="F11538" s="21"/>
      <c r="G11538" s="25"/>
      <c r="H11538" s="24" t="str">
        <f>IFERROR(VLOOKUP(B11538,material!A:D,3,0),"")</f>
        <v/>
      </c>
    </row>
    <row r="11539" ht="11.25" customHeight="1">
      <c r="A11539" s="21"/>
      <c r="B11539" s="22"/>
      <c r="C11539" s="21"/>
      <c r="D11539" s="21"/>
      <c r="E11539" s="21"/>
      <c r="F11539" s="21"/>
      <c r="G11539" s="25"/>
      <c r="H11539" s="24" t="str">
        <f>IFERROR(VLOOKUP(B11539,material!A:D,3,0),"")</f>
        <v/>
      </c>
    </row>
    <row r="11540" ht="11.25" customHeight="1">
      <c r="A11540" s="21"/>
      <c r="B11540" s="22"/>
      <c r="C11540" s="21"/>
      <c r="D11540" s="21"/>
      <c r="E11540" s="21"/>
      <c r="F11540" s="21"/>
      <c r="G11540" s="25"/>
      <c r="H11540" s="24" t="str">
        <f>IFERROR(VLOOKUP(B11540,material!A:D,3,0),"")</f>
        <v/>
      </c>
    </row>
    <row r="11541" ht="11.25" customHeight="1">
      <c r="A11541" s="21"/>
      <c r="B11541" s="22"/>
      <c r="C11541" s="21"/>
      <c r="D11541" s="21"/>
      <c r="E11541" s="21"/>
      <c r="F11541" s="21"/>
      <c r="G11541" s="25"/>
      <c r="H11541" s="24" t="str">
        <f>IFERROR(VLOOKUP(B11541,material!A:D,3,0),"")</f>
        <v/>
      </c>
    </row>
    <row r="11542" ht="11.25" customHeight="1">
      <c r="A11542" s="21"/>
      <c r="B11542" s="22"/>
      <c r="C11542" s="21"/>
      <c r="D11542" s="21"/>
      <c r="E11542" s="21"/>
      <c r="F11542" s="21"/>
      <c r="G11542" s="25"/>
      <c r="H11542" s="24" t="str">
        <f>IFERROR(VLOOKUP(B11542,material!A:D,3,0),"")</f>
        <v/>
      </c>
    </row>
    <row r="11543" ht="11.25" customHeight="1">
      <c r="A11543" s="21"/>
      <c r="B11543" s="22"/>
      <c r="C11543" s="21"/>
      <c r="D11543" s="21"/>
      <c r="E11543" s="21"/>
      <c r="F11543" s="21"/>
      <c r="G11543" s="25"/>
      <c r="H11543" s="24" t="str">
        <f>IFERROR(VLOOKUP(B11543,material!A:D,3,0),"")</f>
        <v/>
      </c>
    </row>
    <row r="11544" ht="11.25" customHeight="1">
      <c r="A11544" s="21"/>
      <c r="B11544" s="22"/>
      <c r="C11544" s="21"/>
      <c r="D11544" s="21"/>
      <c r="E11544" s="21"/>
      <c r="F11544" s="21"/>
      <c r="G11544" s="25"/>
      <c r="H11544" s="24" t="str">
        <f>IFERROR(VLOOKUP(B11544,material!A:D,3,0),"")</f>
        <v/>
      </c>
    </row>
    <row r="11545" ht="11.25" customHeight="1">
      <c r="A11545" s="21"/>
      <c r="B11545" s="22"/>
      <c r="C11545" s="21"/>
      <c r="D11545" s="21"/>
      <c r="E11545" s="21"/>
      <c r="F11545" s="21"/>
      <c r="G11545" s="25"/>
      <c r="H11545" s="24" t="str">
        <f>IFERROR(VLOOKUP(B11545,material!A:D,3,0),"")</f>
        <v/>
      </c>
    </row>
    <row r="11546" ht="11.25" customHeight="1">
      <c r="A11546" s="21"/>
      <c r="B11546" s="22"/>
      <c r="C11546" s="21"/>
      <c r="D11546" s="21"/>
      <c r="E11546" s="21"/>
      <c r="F11546" s="21"/>
      <c r="G11546" s="25"/>
      <c r="H11546" s="24" t="str">
        <f>IFERROR(VLOOKUP(B11546,material!A:D,3,0),"")</f>
        <v/>
      </c>
    </row>
    <row r="11547" ht="11.25" customHeight="1">
      <c r="A11547" s="21"/>
      <c r="B11547" s="22"/>
      <c r="C11547" s="21"/>
      <c r="D11547" s="21"/>
      <c r="E11547" s="21"/>
      <c r="F11547" s="21"/>
      <c r="G11547" s="25"/>
      <c r="H11547" s="24" t="str">
        <f>IFERROR(VLOOKUP(B11547,material!A:D,3,0),"")</f>
        <v/>
      </c>
    </row>
    <row r="11548" ht="11.25" customHeight="1">
      <c r="A11548" s="21"/>
      <c r="B11548" s="22"/>
      <c r="C11548" s="21"/>
      <c r="D11548" s="21"/>
      <c r="E11548" s="21"/>
      <c r="F11548" s="21"/>
      <c r="G11548" s="25"/>
      <c r="H11548" s="24" t="str">
        <f>IFERROR(VLOOKUP(B11548,material!A:D,3,0),"")</f>
        <v/>
      </c>
    </row>
    <row r="11549" ht="11.25" customHeight="1">
      <c r="A11549" s="21"/>
      <c r="B11549" s="22"/>
      <c r="C11549" s="21"/>
      <c r="D11549" s="21"/>
      <c r="E11549" s="21"/>
      <c r="F11549" s="21"/>
      <c r="G11549" s="25"/>
      <c r="H11549" s="24" t="str">
        <f>IFERROR(VLOOKUP(B11549,material!A:D,3,0),"")</f>
        <v/>
      </c>
    </row>
    <row r="11550" ht="11.25" customHeight="1">
      <c r="A11550" s="21"/>
      <c r="B11550" s="22"/>
      <c r="C11550" s="21"/>
      <c r="D11550" s="21"/>
      <c r="E11550" s="21"/>
      <c r="F11550" s="21"/>
      <c r="G11550" s="25"/>
      <c r="H11550" s="24" t="str">
        <f>IFERROR(VLOOKUP(B11550,material!A:D,3,0),"")</f>
        <v/>
      </c>
    </row>
    <row r="11551" ht="11.25" customHeight="1">
      <c r="A11551" s="21"/>
      <c r="B11551" s="22"/>
      <c r="C11551" s="21"/>
      <c r="D11551" s="21"/>
      <c r="E11551" s="21"/>
      <c r="F11551" s="21"/>
      <c r="G11551" s="25"/>
      <c r="H11551" s="24" t="str">
        <f>IFERROR(VLOOKUP(B11551,material!A:D,3,0),"")</f>
        <v/>
      </c>
    </row>
    <row r="11552" ht="11.25" customHeight="1">
      <c r="A11552" s="21"/>
      <c r="B11552" s="22"/>
      <c r="C11552" s="21"/>
      <c r="D11552" s="21"/>
      <c r="E11552" s="21"/>
      <c r="F11552" s="21"/>
      <c r="G11552" s="25"/>
      <c r="H11552" s="24" t="str">
        <f>IFERROR(VLOOKUP(B11552,material!A:D,3,0),"")</f>
        <v/>
      </c>
    </row>
    <row r="11553" ht="11.25" customHeight="1">
      <c r="A11553" s="21"/>
      <c r="B11553" s="22"/>
      <c r="C11553" s="21"/>
      <c r="D11553" s="21"/>
      <c r="E11553" s="21"/>
      <c r="F11553" s="21"/>
      <c r="G11553" s="25"/>
      <c r="H11553" s="24" t="str">
        <f>IFERROR(VLOOKUP(B11553,material!A:D,3,0),"")</f>
        <v/>
      </c>
    </row>
    <row r="11554" ht="11.25" customHeight="1">
      <c r="A11554" s="21"/>
      <c r="B11554" s="22"/>
      <c r="C11554" s="21"/>
      <c r="D11554" s="21"/>
      <c r="E11554" s="21"/>
      <c r="F11554" s="21"/>
      <c r="G11554" s="25"/>
      <c r="H11554" s="24" t="str">
        <f>IFERROR(VLOOKUP(B11554,material!A:D,3,0),"")</f>
        <v/>
      </c>
    </row>
    <row r="11555" ht="11.25" customHeight="1">
      <c r="A11555" s="21"/>
      <c r="B11555" s="22"/>
      <c r="C11555" s="21"/>
      <c r="D11555" s="21"/>
      <c r="E11555" s="21"/>
      <c r="F11555" s="21"/>
      <c r="G11555" s="25"/>
      <c r="H11555" s="24" t="str">
        <f>IFERROR(VLOOKUP(B11555,material!A:D,3,0),"")</f>
        <v/>
      </c>
    </row>
    <row r="11556" ht="11.25" customHeight="1">
      <c r="A11556" s="21"/>
      <c r="B11556" s="22"/>
      <c r="C11556" s="21"/>
      <c r="D11556" s="21"/>
      <c r="E11556" s="21"/>
      <c r="F11556" s="21"/>
      <c r="G11556" s="25"/>
      <c r="H11556" s="24" t="str">
        <f>IFERROR(VLOOKUP(B11556,material!A:D,3,0),"")</f>
        <v/>
      </c>
    </row>
    <row r="11557" ht="11.25" customHeight="1">
      <c r="A11557" s="21"/>
      <c r="B11557" s="22"/>
      <c r="C11557" s="21"/>
      <c r="D11557" s="21"/>
      <c r="E11557" s="21"/>
      <c r="F11557" s="21"/>
      <c r="G11557" s="25"/>
      <c r="H11557" s="24" t="str">
        <f>IFERROR(VLOOKUP(B11557,material!A:D,3,0),"")</f>
        <v/>
      </c>
    </row>
    <row r="11558" ht="11.25" customHeight="1">
      <c r="A11558" s="21"/>
      <c r="B11558" s="22"/>
      <c r="C11558" s="21"/>
      <c r="D11558" s="21"/>
      <c r="E11558" s="21"/>
      <c r="F11558" s="21"/>
      <c r="G11558" s="25"/>
      <c r="H11558" s="24" t="str">
        <f>IFERROR(VLOOKUP(B11558,material!A:D,3,0),"")</f>
        <v/>
      </c>
    </row>
    <row r="11559" ht="11.25" customHeight="1">
      <c r="A11559" s="21"/>
      <c r="B11559" s="22"/>
      <c r="C11559" s="21"/>
      <c r="D11559" s="21"/>
      <c r="E11559" s="21"/>
      <c r="F11559" s="21"/>
      <c r="G11559" s="25"/>
      <c r="H11559" s="24" t="str">
        <f>IFERROR(VLOOKUP(B11559,material!A:D,3,0),"")</f>
        <v/>
      </c>
    </row>
    <row r="11560" ht="11.25" customHeight="1">
      <c r="A11560" s="21"/>
      <c r="B11560" s="22"/>
      <c r="C11560" s="21"/>
      <c r="D11560" s="21"/>
      <c r="E11560" s="21"/>
      <c r="F11560" s="21"/>
      <c r="G11560" s="25"/>
      <c r="H11560" s="24" t="str">
        <f>IFERROR(VLOOKUP(B11560,material!A:D,3,0),"")</f>
        <v/>
      </c>
    </row>
    <row r="11561" ht="11.25" customHeight="1">
      <c r="A11561" s="21"/>
      <c r="B11561" s="22"/>
      <c r="C11561" s="21"/>
      <c r="D11561" s="21"/>
      <c r="E11561" s="21"/>
      <c r="F11561" s="21"/>
      <c r="G11561" s="25"/>
      <c r="H11561" s="24" t="str">
        <f>IFERROR(VLOOKUP(B11561,material!A:D,3,0),"")</f>
        <v/>
      </c>
    </row>
    <row r="11562" ht="11.25" customHeight="1">
      <c r="A11562" s="21"/>
      <c r="B11562" s="22"/>
      <c r="C11562" s="21"/>
      <c r="D11562" s="21"/>
      <c r="E11562" s="21"/>
      <c r="F11562" s="21"/>
      <c r="G11562" s="25"/>
      <c r="H11562" s="24" t="str">
        <f>IFERROR(VLOOKUP(B11562,material!A:D,3,0),"")</f>
        <v/>
      </c>
    </row>
    <row r="11563" ht="11.25" customHeight="1">
      <c r="A11563" s="21"/>
      <c r="B11563" s="22"/>
      <c r="C11563" s="21"/>
      <c r="D11563" s="21"/>
      <c r="E11563" s="21"/>
      <c r="F11563" s="21"/>
      <c r="G11563" s="25"/>
      <c r="H11563" s="24" t="str">
        <f>IFERROR(VLOOKUP(B11563,material!A:D,3,0),"")</f>
        <v/>
      </c>
    </row>
    <row r="11564" ht="11.25" customHeight="1">
      <c r="A11564" s="21"/>
      <c r="B11564" s="22"/>
      <c r="C11564" s="21"/>
      <c r="D11564" s="21"/>
      <c r="E11564" s="21"/>
      <c r="F11564" s="21"/>
      <c r="G11564" s="25"/>
      <c r="H11564" s="24" t="str">
        <f>IFERROR(VLOOKUP(B11564,material!A:D,3,0),"")</f>
        <v/>
      </c>
    </row>
    <row r="11565" ht="11.25" customHeight="1">
      <c r="A11565" s="21"/>
      <c r="B11565" s="22"/>
      <c r="C11565" s="21"/>
      <c r="D11565" s="21"/>
      <c r="E11565" s="21"/>
      <c r="F11565" s="21"/>
      <c r="G11565" s="25"/>
      <c r="H11565" s="24" t="str">
        <f>IFERROR(VLOOKUP(B11565,material!A:D,3,0),"")</f>
        <v/>
      </c>
    </row>
    <row r="11566" ht="11.25" customHeight="1">
      <c r="A11566" s="21"/>
      <c r="B11566" s="22"/>
      <c r="C11566" s="21"/>
      <c r="D11566" s="21"/>
      <c r="E11566" s="21"/>
      <c r="F11566" s="21"/>
      <c r="G11566" s="25"/>
      <c r="H11566" s="24" t="str">
        <f>IFERROR(VLOOKUP(B11566,material!A:D,3,0),"")</f>
        <v/>
      </c>
    </row>
    <row r="11567" ht="11.25" customHeight="1">
      <c r="A11567" s="21"/>
      <c r="B11567" s="22"/>
      <c r="C11567" s="21"/>
      <c r="D11567" s="21"/>
      <c r="E11567" s="21"/>
      <c r="F11567" s="21"/>
      <c r="G11567" s="25"/>
      <c r="H11567" s="24" t="str">
        <f>IFERROR(VLOOKUP(B11567,material!A:D,3,0),"")</f>
        <v/>
      </c>
    </row>
    <row r="11568" ht="11.25" customHeight="1">
      <c r="A11568" s="21"/>
      <c r="B11568" s="22"/>
      <c r="C11568" s="21"/>
      <c r="D11568" s="21"/>
      <c r="E11568" s="21"/>
      <c r="F11568" s="21"/>
      <c r="G11568" s="25"/>
      <c r="H11568" s="24" t="str">
        <f>IFERROR(VLOOKUP(B11568,material!A:D,3,0),"")</f>
        <v/>
      </c>
    </row>
    <row r="11569" ht="11.25" customHeight="1">
      <c r="A11569" s="21"/>
      <c r="B11569" s="22"/>
      <c r="C11569" s="21"/>
      <c r="D11569" s="21"/>
      <c r="E11569" s="21"/>
      <c r="F11569" s="21"/>
      <c r="G11569" s="25"/>
      <c r="H11569" s="24" t="str">
        <f>IFERROR(VLOOKUP(B11569,material!A:D,3,0),"")</f>
        <v/>
      </c>
    </row>
    <row r="11570" ht="11.25" customHeight="1">
      <c r="A11570" s="21"/>
      <c r="B11570" s="22"/>
      <c r="C11570" s="21"/>
      <c r="D11570" s="21"/>
      <c r="E11570" s="21"/>
      <c r="F11570" s="21"/>
      <c r="G11570" s="25"/>
      <c r="H11570" s="24" t="str">
        <f>IFERROR(VLOOKUP(B11570,material!A:D,3,0),"")</f>
        <v/>
      </c>
    </row>
    <row r="11571" ht="11.25" customHeight="1">
      <c r="A11571" s="21"/>
      <c r="B11571" s="22"/>
      <c r="C11571" s="21"/>
      <c r="D11571" s="21"/>
      <c r="E11571" s="21"/>
      <c r="F11571" s="21"/>
      <c r="G11571" s="25"/>
      <c r="H11571" s="24" t="str">
        <f>IFERROR(VLOOKUP(B11571,material!A:D,3,0),"")</f>
        <v/>
      </c>
    </row>
    <row r="11572" ht="11.25" customHeight="1">
      <c r="A11572" s="21"/>
      <c r="B11572" s="22"/>
      <c r="C11572" s="21"/>
      <c r="D11572" s="21"/>
      <c r="E11572" s="21"/>
      <c r="F11572" s="21"/>
      <c r="G11572" s="25"/>
      <c r="H11572" s="24" t="str">
        <f>IFERROR(VLOOKUP(B11572,material!A:D,3,0),"")</f>
        <v/>
      </c>
    </row>
    <row r="11573" ht="11.25" customHeight="1">
      <c r="A11573" s="21"/>
      <c r="B11573" s="22"/>
      <c r="C11573" s="21"/>
      <c r="D11573" s="21"/>
      <c r="E11573" s="21"/>
      <c r="F11573" s="21"/>
      <c r="G11573" s="25"/>
      <c r="H11573" s="24" t="str">
        <f>IFERROR(VLOOKUP(B11573,material!A:D,3,0),"")</f>
        <v/>
      </c>
    </row>
    <row r="11574" ht="11.25" customHeight="1">
      <c r="A11574" s="21"/>
      <c r="B11574" s="22"/>
      <c r="C11574" s="21"/>
      <c r="D11574" s="21"/>
      <c r="E11574" s="21"/>
      <c r="F11574" s="21"/>
      <c r="G11574" s="25"/>
      <c r="H11574" s="24" t="str">
        <f>IFERROR(VLOOKUP(B11574,material!A:D,3,0),"")</f>
        <v/>
      </c>
    </row>
    <row r="11575" ht="11.25" customHeight="1">
      <c r="A11575" s="21"/>
      <c r="B11575" s="22"/>
      <c r="C11575" s="21"/>
      <c r="D11575" s="21"/>
      <c r="E11575" s="21"/>
      <c r="F11575" s="21"/>
      <c r="G11575" s="25"/>
      <c r="H11575" s="24" t="str">
        <f>IFERROR(VLOOKUP(B11575,material!A:D,3,0),"")</f>
        <v/>
      </c>
    </row>
    <row r="11576" ht="11.25" customHeight="1">
      <c r="A11576" s="21"/>
      <c r="B11576" s="22"/>
      <c r="C11576" s="21"/>
      <c r="D11576" s="21"/>
      <c r="E11576" s="21"/>
      <c r="F11576" s="21"/>
      <c r="G11576" s="25"/>
      <c r="H11576" s="24" t="str">
        <f>IFERROR(VLOOKUP(B11576,material!A:D,3,0),"")</f>
        <v/>
      </c>
    </row>
    <row r="11577" ht="11.25" customHeight="1">
      <c r="A11577" s="21"/>
      <c r="B11577" s="22"/>
      <c r="C11577" s="21"/>
      <c r="D11577" s="21"/>
      <c r="E11577" s="21"/>
      <c r="F11577" s="21"/>
      <c r="G11577" s="25"/>
      <c r="H11577" s="24" t="str">
        <f>IFERROR(VLOOKUP(B11577,material!A:D,3,0),"")</f>
        <v/>
      </c>
    </row>
    <row r="11578" ht="11.25" customHeight="1">
      <c r="A11578" s="21"/>
      <c r="B11578" s="22"/>
      <c r="C11578" s="21"/>
      <c r="D11578" s="21"/>
      <c r="E11578" s="21"/>
      <c r="F11578" s="21"/>
      <c r="G11578" s="25"/>
      <c r="H11578" s="24" t="str">
        <f>IFERROR(VLOOKUP(B11578,material!A:D,3,0),"")</f>
        <v/>
      </c>
    </row>
    <row r="11579" ht="11.25" customHeight="1">
      <c r="A11579" s="21"/>
      <c r="B11579" s="22"/>
      <c r="C11579" s="21"/>
      <c r="D11579" s="21"/>
      <c r="E11579" s="21"/>
      <c r="F11579" s="21"/>
      <c r="G11579" s="25"/>
      <c r="H11579" s="24" t="str">
        <f>IFERROR(VLOOKUP(B11579,material!A:D,3,0),"")</f>
        <v/>
      </c>
    </row>
    <row r="11580" ht="11.25" customHeight="1">
      <c r="A11580" s="21"/>
      <c r="B11580" s="22"/>
      <c r="C11580" s="21"/>
      <c r="D11580" s="21"/>
      <c r="E11580" s="21"/>
      <c r="F11580" s="21"/>
      <c r="G11580" s="25"/>
      <c r="H11580" s="24" t="str">
        <f>IFERROR(VLOOKUP(B11580,material!A:D,3,0),"")</f>
        <v/>
      </c>
    </row>
    <row r="11581" ht="11.25" customHeight="1">
      <c r="A11581" s="21"/>
      <c r="B11581" s="22"/>
      <c r="C11581" s="21"/>
      <c r="D11581" s="21"/>
      <c r="E11581" s="21"/>
      <c r="F11581" s="21"/>
      <c r="G11581" s="25"/>
      <c r="H11581" s="24" t="str">
        <f>IFERROR(VLOOKUP(B11581,material!A:D,3,0),"")</f>
        <v/>
      </c>
    </row>
    <row r="11582" ht="11.25" customHeight="1">
      <c r="A11582" s="21"/>
      <c r="B11582" s="22"/>
      <c r="C11582" s="21"/>
      <c r="D11582" s="21"/>
      <c r="E11582" s="21"/>
      <c r="F11582" s="21"/>
      <c r="G11582" s="25"/>
      <c r="H11582" s="24" t="str">
        <f>IFERROR(VLOOKUP(B11582,material!A:D,3,0),"")</f>
        <v/>
      </c>
    </row>
    <row r="11583" ht="11.25" customHeight="1">
      <c r="A11583" s="21"/>
      <c r="B11583" s="22"/>
      <c r="C11583" s="21"/>
      <c r="D11583" s="21"/>
      <c r="E11583" s="21"/>
      <c r="F11583" s="21"/>
      <c r="G11583" s="25"/>
      <c r="H11583" s="24" t="str">
        <f>IFERROR(VLOOKUP(B11583,material!A:D,3,0),"")</f>
        <v/>
      </c>
    </row>
    <row r="11584" ht="11.25" customHeight="1">
      <c r="A11584" s="21"/>
      <c r="B11584" s="22"/>
      <c r="C11584" s="21"/>
      <c r="D11584" s="21"/>
      <c r="E11584" s="21"/>
      <c r="F11584" s="21"/>
      <c r="G11584" s="25"/>
      <c r="H11584" s="24" t="str">
        <f>IFERROR(VLOOKUP(B11584,material!A:D,3,0),"")</f>
        <v/>
      </c>
    </row>
    <row r="11585" ht="11.25" customHeight="1">
      <c r="A11585" s="21"/>
      <c r="B11585" s="22"/>
      <c r="C11585" s="21"/>
      <c r="D11585" s="21"/>
      <c r="E11585" s="21"/>
      <c r="F11585" s="21"/>
      <c r="G11585" s="25"/>
      <c r="H11585" s="24" t="str">
        <f>IFERROR(VLOOKUP(B11585,material!A:D,3,0),"")</f>
        <v/>
      </c>
    </row>
    <row r="11586" ht="11.25" customHeight="1">
      <c r="A11586" s="21"/>
      <c r="B11586" s="22"/>
      <c r="C11586" s="21"/>
      <c r="D11586" s="21"/>
      <c r="E11586" s="21"/>
      <c r="F11586" s="21"/>
      <c r="G11586" s="25"/>
      <c r="H11586" s="24" t="str">
        <f>IFERROR(VLOOKUP(B11586,material!A:D,3,0),"")</f>
        <v/>
      </c>
    </row>
    <row r="11587" ht="11.25" customHeight="1">
      <c r="A11587" s="21"/>
      <c r="B11587" s="22"/>
      <c r="C11587" s="21"/>
      <c r="D11587" s="21"/>
      <c r="E11587" s="21"/>
      <c r="F11587" s="21"/>
      <c r="G11587" s="25"/>
      <c r="H11587" s="24" t="str">
        <f>IFERROR(VLOOKUP(B11587,material!A:D,3,0),"")</f>
        <v/>
      </c>
    </row>
    <row r="11588" ht="11.25" customHeight="1">
      <c r="A11588" s="21"/>
      <c r="B11588" s="22"/>
      <c r="C11588" s="21"/>
      <c r="D11588" s="21"/>
      <c r="E11588" s="21"/>
      <c r="F11588" s="21"/>
      <c r="G11588" s="25"/>
      <c r="H11588" s="24" t="str">
        <f>IFERROR(VLOOKUP(B11588,material!A:D,3,0),"")</f>
        <v/>
      </c>
    </row>
    <row r="11589" ht="11.25" customHeight="1">
      <c r="A11589" s="21"/>
      <c r="B11589" s="22"/>
      <c r="C11589" s="21"/>
      <c r="D11589" s="21"/>
      <c r="E11589" s="21"/>
      <c r="F11589" s="21"/>
      <c r="G11589" s="25"/>
      <c r="H11589" s="24" t="str">
        <f>IFERROR(VLOOKUP(B11589,material!A:D,3,0),"")</f>
        <v/>
      </c>
    </row>
    <row r="11590" ht="11.25" customHeight="1">
      <c r="A11590" s="21"/>
      <c r="B11590" s="22"/>
      <c r="C11590" s="21"/>
      <c r="D11590" s="21"/>
      <c r="E11590" s="21"/>
      <c r="F11590" s="21"/>
      <c r="G11590" s="25"/>
      <c r="H11590" s="24" t="str">
        <f>IFERROR(VLOOKUP(B11590,material!A:D,3,0),"")</f>
        <v/>
      </c>
    </row>
    <row r="11591" ht="11.25" customHeight="1">
      <c r="A11591" s="21"/>
      <c r="B11591" s="22"/>
      <c r="C11591" s="21"/>
      <c r="D11591" s="21"/>
      <c r="E11591" s="21"/>
      <c r="F11591" s="21"/>
      <c r="G11591" s="25"/>
      <c r="H11591" s="24" t="str">
        <f>IFERROR(VLOOKUP(B11591,material!A:D,3,0),"")</f>
        <v/>
      </c>
    </row>
    <row r="11592" ht="11.25" customHeight="1">
      <c r="A11592" s="21"/>
      <c r="B11592" s="22"/>
      <c r="C11592" s="21"/>
      <c r="D11592" s="21"/>
      <c r="E11592" s="21"/>
      <c r="F11592" s="21"/>
      <c r="G11592" s="25"/>
      <c r="H11592" s="24" t="str">
        <f>IFERROR(VLOOKUP(B11592,material!A:D,3,0),"")</f>
        <v/>
      </c>
    </row>
    <row r="11593" ht="11.25" customHeight="1">
      <c r="A11593" s="21"/>
      <c r="B11593" s="22"/>
      <c r="C11593" s="21"/>
      <c r="D11593" s="21"/>
      <c r="E11593" s="21"/>
      <c r="F11593" s="21"/>
      <c r="G11593" s="25"/>
      <c r="H11593" s="24" t="str">
        <f>IFERROR(VLOOKUP(B11593,material!A:D,3,0),"")</f>
        <v/>
      </c>
    </row>
    <row r="11594" ht="11.25" customHeight="1">
      <c r="A11594" s="21"/>
      <c r="B11594" s="22"/>
      <c r="C11594" s="21"/>
      <c r="D11594" s="21"/>
      <c r="E11594" s="21"/>
      <c r="F11594" s="21"/>
      <c r="G11594" s="25"/>
      <c r="H11594" s="24" t="str">
        <f>IFERROR(VLOOKUP(B11594,material!A:D,3,0),"")</f>
        <v/>
      </c>
    </row>
    <row r="11595" ht="11.25" customHeight="1">
      <c r="A11595" s="21"/>
      <c r="B11595" s="22"/>
      <c r="C11595" s="21"/>
      <c r="D11595" s="21"/>
      <c r="E11595" s="21"/>
      <c r="F11595" s="21"/>
      <c r="G11595" s="25"/>
      <c r="H11595" s="24" t="str">
        <f>IFERROR(VLOOKUP(B11595,material!A:D,3,0),"")</f>
        <v/>
      </c>
    </row>
    <row r="11596" ht="11.25" customHeight="1">
      <c r="A11596" s="21"/>
      <c r="B11596" s="22"/>
      <c r="C11596" s="21"/>
      <c r="D11596" s="21"/>
      <c r="E11596" s="21"/>
      <c r="F11596" s="21"/>
      <c r="G11596" s="25"/>
      <c r="H11596" s="24" t="str">
        <f>IFERROR(VLOOKUP(B11596,material!A:D,3,0),"")</f>
        <v/>
      </c>
    </row>
    <row r="11597" ht="11.25" customHeight="1">
      <c r="A11597" s="21"/>
      <c r="B11597" s="22"/>
      <c r="C11597" s="21"/>
      <c r="D11597" s="21"/>
      <c r="E11597" s="21"/>
      <c r="F11597" s="21"/>
      <c r="G11597" s="25"/>
      <c r="H11597" s="24" t="str">
        <f>IFERROR(VLOOKUP(B11597,material!A:D,3,0),"")</f>
        <v/>
      </c>
    </row>
    <row r="11598" ht="11.25" customHeight="1">
      <c r="A11598" s="21"/>
      <c r="B11598" s="22"/>
      <c r="C11598" s="21"/>
      <c r="D11598" s="21"/>
      <c r="E11598" s="21"/>
      <c r="F11598" s="21"/>
      <c r="G11598" s="25"/>
      <c r="H11598" s="24" t="str">
        <f>IFERROR(VLOOKUP(B11598,material!A:D,3,0),"")</f>
        <v/>
      </c>
    </row>
    <row r="11599" ht="11.25" customHeight="1">
      <c r="A11599" s="21"/>
      <c r="B11599" s="22"/>
      <c r="C11599" s="21"/>
      <c r="D11599" s="21"/>
      <c r="E11599" s="21"/>
      <c r="F11599" s="21"/>
      <c r="G11599" s="25"/>
      <c r="H11599" s="24" t="str">
        <f>IFERROR(VLOOKUP(B11599,material!A:D,3,0),"")</f>
        <v/>
      </c>
    </row>
    <row r="11600" ht="11.25" customHeight="1">
      <c r="A11600" s="21"/>
      <c r="B11600" s="22"/>
      <c r="C11600" s="21"/>
      <c r="D11600" s="21"/>
      <c r="E11600" s="21"/>
      <c r="F11600" s="21"/>
      <c r="G11600" s="25"/>
      <c r="H11600" s="24" t="str">
        <f>IFERROR(VLOOKUP(B11600,material!A:D,3,0),"")</f>
        <v/>
      </c>
    </row>
    <row r="11601" ht="11.25" customHeight="1">
      <c r="A11601" s="21"/>
      <c r="B11601" s="22"/>
      <c r="C11601" s="21"/>
      <c r="D11601" s="21"/>
      <c r="E11601" s="21"/>
      <c r="F11601" s="21"/>
      <c r="G11601" s="25"/>
      <c r="H11601" s="24" t="str">
        <f>IFERROR(VLOOKUP(B11601,material!A:D,3,0),"")</f>
        <v/>
      </c>
    </row>
    <row r="11602" ht="11.25" customHeight="1">
      <c r="A11602" s="21"/>
      <c r="B11602" s="22"/>
      <c r="C11602" s="21"/>
      <c r="D11602" s="21"/>
      <c r="E11602" s="21"/>
      <c r="F11602" s="21"/>
      <c r="G11602" s="25"/>
      <c r="H11602" s="24" t="str">
        <f>IFERROR(VLOOKUP(B11602,material!A:D,3,0),"")</f>
        <v/>
      </c>
    </row>
    <row r="11603" ht="11.25" customHeight="1">
      <c r="A11603" s="21"/>
      <c r="B11603" s="22"/>
      <c r="C11603" s="21"/>
      <c r="D11603" s="21"/>
      <c r="E11603" s="21"/>
      <c r="F11603" s="21"/>
      <c r="G11603" s="25"/>
      <c r="H11603" s="24" t="str">
        <f>IFERROR(VLOOKUP(B11603,material!A:D,3,0),"")</f>
        <v/>
      </c>
    </row>
    <row r="11604" ht="11.25" customHeight="1">
      <c r="A11604" s="21"/>
      <c r="B11604" s="22"/>
      <c r="C11604" s="21"/>
      <c r="D11604" s="21"/>
      <c r="E11604" s="21"/>
      <c r="F11604" s="21"/>
      <c r="G11604" s="25"/>
      <c r="H11604" s="24" t="str">
        <f>IFERROR(VLOOKUP(B11604,material!A:D,3,0),"")</f>
        <v/>
      </c>
    </row>
    <row r="11605" ht="11.25" customHeight="1">
      <c r="A11605" s="21"/>
      <c r="B11605" s="22"/>
      <c r="C11605" s="21"/>
      <c r="D11605" s="21"/>
      <c r="E11605" s="21"/>
      <c r="F11605" s="21"/>
      <c r="G11605" s="25"/>
      <c r="H11605" s="24" t="str">
        <f>IFERROR(VLOOKUP(B11605,material!A:D,3,0),"")</f>
        <v/>
      </c>
    </row>
    <row r="11606" ht="11.25" customHeight="1">
      <c r="A11606" s="21"/>
      <c r="B11606" s="22"/>
      <c r="C11606" s="21"/>
      <c r="D11606" s="21"/>
      <c r="E11606" s="21"/>
      <c r="F11606" s="21"/>
      <c r="G11606" s="25"/>
      <c r="H11606" s="24" t="str">
        <f>IFERROR(VLOOKUP(B11606,material!A:D,3,0),"")</f>
        <v/>
      </c>
    </row>
    <row r="11607" ht="11.25" customHeight="1">
      <c r="A11607" s="21"/>
      <c r="B11607" s="22"/>
      <c r="C11607" s="21"/>
      <c r="D11607" s="21"/>
      <c r="E11607" s="21"/>
      <c r="F11607" s="21"/>
      <c r="G11607" s="25"/>
      <c r="H11607" s="24" t="str">
        <f>IFERROR(VLOOKUP(B11607,material!A:D,3,0),"")</f>
        <v/>
      </c>
    </row>
    <row r="11608" ht="11.25" customHeight="1">
      <c r="A11608" s="21"/>
      <c r="B11608" s="22"/>
      <c r="C11608" s="21"/>
      <c r="D11608" s="21"/>
      <c r="E11608" s="21"/>
      <c r="F11608" s="21"/>
      <c r="G11608" s="25"/>
      <c r="H11608" s="24" t="str">
        <f>IFERROR(VLOOKUP(B11608,material!A:D,3,0),"")</f>
        <v/>
      </c>
    </row>
    <row r="11609" ht="11.25" customHeight="1">
      <c r="A11609" s="21"/>
      <c r="B11609" s="22"/>
      <c r="C11609" s="21"/>
      <c r="D11609" s="21"/>
      <c r="E11609" s="21"/>
      <c r="F11609" s="21"/>
      <c r="G11609" s="25"/>
      <c r="H11609" s="24" t="str">
        <f>IFERROR(VLOOKUP(B11609,material!A:D,3,0),"")</f>
        <v/>
      </c>
    </row>
    <row r="11610" ht="11.25" customHeight="1">
      <c r="A11610" s="21"/>
      <c r="B11610" s="22"/>
      <c r="C11610" s="21"/>
      <c r="D11610" s="21"/>
      <c r="E11610" s="21"/>
      <c r="F11610" s="21"/>
      <c r="G11610" s="25"/>
      <c r="H11610" s="24" t="str">
        <f>IFERROR(VLOOKUP(B11610,material!A:D,3,0),"")</f>
        <v/>
      </c>
    </row>
    <row r="11611" ht="11.25" customHeight="1">
      <c r="A11611" s="21"/>
      <c r="B11611" s="22"/>
      <c r="C11611" s="21"/>
      <c r="D11611" s="21"/>
      <c r="E11611" s="21"/>
      <c r="F11611" s="21"/>
      <c r="G11611" s="25"/>
      <c r="H11611" s="24" t="str">
        <f>IFERROR(VLOOKUP(B11611,material!A:D,3,0),"")</f>
        <v/>
      </c>
    </row>
    <row r="11612" ht="11.25" customHeight="1">
      <c r="A11612" s="21"/>
      <c r="B11612" s="22"/>
      <c r="C11612" s="21"/>
      <c r="D11612" s="21"/>
      <c r="E11612" s="21"/>
      <c r="F11612" s="21"/>
      <c r="G11612" s="25"/>
      <c r="H11612" s="24" t="str">
        <f>IFERROR(VLOOKUP(B11612,material!A:D,3,0),"")</f>
        <v/>
      </c>
    </row>
    <row r="11613" ht="11.25" customHeight="1">
      <c r="A11613" s="21"/>
      <c r="B11613" s="22"/>
      <c r="C11613" s="21"/>
      <c r="D11613" s="21"/>
      <c r="E11613" s="21"/>
      <c r="F11613" s="21"/>
      <c r="G11613" s="25"/>
      <c r="H11613" s="24" t="str">
        <f>IFERROR(VLOOKUP(B11613,material!A:D,3,0),"")</f>
        <v/>
      </c>
    </row>
    <row r="11614" ht="11.25" customHeight="1">
      <c r="A11614" s="21"/>
      <c r="B11614" s="22"/>
      <c r="C11614" s="21"/>
      <c r="D11614" s="21"/>
      <c r="E11614" s="21"/>
      <c r="F11614" s="21"/>
      <c r="G11614" s="25"/>
      <c r="H11614" s="24" t="str">
        <f>IFERROR(VLOOKUP(B11614,material!A:D,3,0),"")</f>
        <v/>
      </c>
    </row>
    <row r="11615" ht="11.25" customHeight="1">
      <c r="A11615" s="21"/>
      <c r="B11615" s="22"/>
      <c r="C11615" s="21"/>
      <c r="D11615" s="21"/>
      <c r="E11615" s="21"/>
      <c r="F11615" s="21"/>
      <c r="G11615" s="25"/>
      <c r="H11615" s="24" t="str">
        <f>IFERROR(VLOOKUP(B11615,material!A:D,3,0),"")</f>
        <v/>
      </c>
    </row>
    <row r="11616" ht="11.25" customHeight="1">
      <c r="A11616" s="21"/>
      <c r="B11616" s="22"/>
      <c r="C11616" s="21"/>
      <c r="D11616" s="21"/>
      <c r="E11616" s="21"/>
      <c r="F11616" s="21"/>
      <c r="G11616" s="25"/>
      <c r="H11616" s="24" t="str">
        <f>IFERROR(VLOOKUP(B11616,material!A:D,3,0),"")</f>
        <v/>
      </c>
    </row>
    <row r="11617" ht="11.25" customHeight="1">
      <c r="A11617" s="21"/>
      <c r="B11617" s="22"/>
      <c r="C11617" s="21"/>
      <c r="D11617" s="21"/>
      <c r="E11617" s="21"/>
      <c r="F11617" s="21"/>
      <c r="G11617" s="25"/>
      <c r="H11617" s="24" t="str">
        <f>IFERROR(VLOOKUP(B11617,material!A:D,3,0),"")</f>
        <v/>
      </c>
    </row>
    <row r="11618" ht="11.25" customHeight="1">
      <c r="A11618" s="21"/>
      <c r="B11618" s="22"/>
      <c r="C11618" s="21"/>
      <c r="D11618" s="21"/>
      <c r="E11618" s="21"/>
      <c r="F11618" s="21"/>
      <c r="G11618" s="25"/>
      <c r="H11618" s="24" t="str">
        <f>IFERROR(VLOOKUP(B11618,material!A:D,3,0),"")</f>
        <v/>
      </c>
    </row>
    <row r="11619" ht="11.25" customHeight="1">
      <c r="A11619" s="21"/>
      <c r="B11619" s="22"/>
      <c r="C11619" s="21"/>
      <c r="D11619" s="21"/>
      <c r="E11619" s="21"/>
      <c r="F11619" s="21"/>
      <c r="G11619" s="25"/>
      <c r="H11619" s="24" t="str">
        <f>IFERROR(VLOOKUP(B11619,material!A:D,3,0),"")</f>
        <v/>
      </c>
    </row>
    <row r="11620" ht="11.25" customHeight="1">
      <c r="A11620" s="21"/>
      <c r="B11620" s="22"/>
      <c r="C11620" s="21"/>
      <c r="D11620" s="21"/>
      <c r="E11620" s="21"/>
      <c r="F11620" s="21"/>
      <c r="G11620" s="25"/>
      <c r="H11620" s="24" t="str">
        <f>IFERROR(VLOOKUP(B11620,material!A:D,3,0),"")</f>
        <v/>
      </c>
    </row>
    <row r="11621" ht="11.25" customHeight="1">
      <c r="A11621" s="21"/>
      <c r="B11621" s="22"/>
      <c r="C11621" s="21"/>
      <c r="D11621" s="21"/>
      <c r="E11621" s="21"/>
      <c r="F11621" s="21"/>
      <c r="G11621" s="25"/>
      <c r="H11621" s="24" t="str">
        <f>IFERROR(VLOOKUP(B11621,material!A:D,3,0),"")</f>
        <v/>
      </c>
    </row>
    <row r="11622" ht="11.25" customHeight="1">
      <c r="A11622" s="21"/>
      <c r="B11622" s="22"/>
      <c r="C11622" s="21"/>
      <c r="D11622" s="21"/>
      <c r="E11622" s="21"/>
      <c r="F11622" s="21"/>
      <c r="G11622" s="25"/>
      <c r="H11622" s="24" t="str">
        <f>IFERROR(VLOOKUP(B11622,material!A:D,3,0),"")</f>
        <v/>
      </c>
    </row>
    <row r="11623" ht="11.25" customHeight="1">
      <c r="A11623" s="21"/>
      <c r="B11623" s="22"/>
      <c r="C11623" s="21"/>
      <c r="D11623" s="21"/>
      <c r="E11623" s="21"/>
      <c r="F11623" s="21"/>
      <c r="G11623" s="25"/>
      <c r="H11623" s="24" t="str">
        <f>IFERROR(VLOOKUP(B11623,material!A:D,3,0),"")</f>
        <v/>
      </c>
    </row>
    <row r="11624" ht="11.25" customHeight="1">
      <c r="A11624" s="21"/>
      <c r="B11624" s="22"/>
      <c r="C11624" s="21"/>
      <c r="D11624" s="21"/>
      <c r="E11624" s="21"/>
      <c r="F11624" s="21"/>
      <c r="G11624" s="25"/>
      <c r="H11624" s="24" t="str">
        <f>IFERROR(VLOOKUP(B11624,material!A:D,3,0),"")</f>
        <v/>
      </c>
    </row>
    <row r="11625" ht="11.25" customHeight="1">
      <c r="A11625" s="21"/>
      <c r="B11625" s="22"/>
      <c r="C11625" s="21"/>
      <c r="D11625" s="21"/>
      <c r="E11625" s="21"/>
      <c r="F11625" s="21"/>
      <c r="G11625" s="25"/>
      <c r="H11625" s="24" t="str">
        <f>IFERROR(VLOOKUP(B11625,material!A:D,3,0),"")</f>
        <v/>
      </c>
    </row>
    <row r="11626" ht="11.25" customHeight="1">
      <c r="A11626" s="21"/>
      <c r="B11626" s="22"/>
      <c r="C11626" s="21"/>
      <c r="D11626" s="21"/>
      <c r="E11626" s="21"/>
      <c r="F11626" s="21"/>
      <c r="G11626" s="25"/>
      <c r="H11626" s="24" t="str">
        <f>IFERROR(VLOOKUP(B11626,material!A:D,3,0),"")</f>
        <v/>
      </c>
    </row>
    <row r="11627" ht="11.25" customHeight="1">
      <c r="A11627" s="21"/>
      <c r="B11627" s="22"/>
      <c r="C11627" s="21"/>
      <c r="D11627" s="21"/>
      <c r="E11627" s="21"/>
      <c r="F11627" s="21"/>
      <c r="G11627" s="25"/>
      <c r="H11627" s="24" t="str">
        <f>IFERROR(VLOOKUP(B11627,material!A:D,3,0),"")</f>
        <v/>
      </c>
    </row>
    <row r="11628" ht="11.25" customHeight="1">
      <c r="A11628" s="21"/>
      <c r="B11628" s="22"/>
      <c r="C11628" s="21"/>
      <c r="D11628" s="21"/>
      <c r="E11628" s="21"/>
      <c r="F11628" s="21"/>
      <c r="G11628" s="25"/>
      <c r="H11628" s="24" t="str">
        <f>IFERROR(VLOOKUP(B11628,material!A:D,3,0),"")</f>
        <v/>
      </c>
    </row>
    <row r="11629" ht="11.25" customHeight="1">
      <c r="A11629" s="21"/>
      <c r="B11629" s="22"/>
      <c r="C11629" s="21"/>
      <c r="D11629" s="21"/>
      <c r="E11629" s="21"/>
      <c r="F11629" s="21"/>
      <c r="G11629" s="25"/>
      <c r="H11629" s="24" t="str">
        <f>IFERROR(VLOOKUP(B11629,material!A:D,3,0),"")</f>
        <v/>
      </c>
    </row>
    <row r="11630" ht="11.25" customHeight="1">
      <c r="A11630" s="21"/>
      <c r="B11630" s="22"/>
      <c r="C11630" s="21"/>
      <c r="D11630" s="21"/>
      <c r="E11630" s="21"/>
      <c r="F11630" s="21"/>
      <c r="G11630" s="25"/>
      <c r="H11630" s="24" t="str">
        <f>IFERROR(VLOOKUP(B11630,material!A:D,3,0),"")</f>
        <v/>
      </c>
    </row>
    <row r="11631" ht="11.25" customHeight="1">
      <c r="A11631" s="21"/>
      <c r="B11631" s="22"/>
      <c r="C11631" s="21"/>
      <c r="D11631" s="21"/>
      <c r="E11631" s="21"/>
      <c r="F11631" s="21"/>
      <c r="G11631" s="25"/>
      <c r="H11631" s="24" t="str">
        <f>IFERROR(VLOOKUP(B11631,material!A:D,3,0),"")</f>
        <v/>
      </c>
    </row>
    <row r="11632" ht="11.25" customHeight="1">
      <c r="A11632" s="21"/>
      <c r="B11632" s="22"/>
      <c r="C11632" s="21"/>
      <c r="D11632" s="21"/>
      <c r="E11632" s="21"/>
      <c r="F11632" s="21"/>
      <c r="G11632" s="25"/>
      <c r="H11632" s="24" t="str">
        <f>IFERROR(VLOOKUP(B11632,material!A:D,3,0),"")</f>
        <v/>
      </c>
    </row>
    <row r="11633" ht="11.25" customHeight="1">
      <c r="A11633" s="21"/>
      <c r="B11633" s="22"/>
      <c r="C11633" s="21"/>
      <c r="D11633" s="21"/>
      <c r="E11633" s="21"/>
      <c r="F11633" s="21"/>
      <c r="G11633" s="25"/>
      <c r="H11633" s="24" t="str">
        <f>IFERROR(VLOOKUP(B11633,material!A:D,3,0),"")</f>
        <v/>
      </c>
    </row>
    <row r="11634" ht="11.25" customHeight="1">
      <c r="A11634" s="21"/>
      <c r="B11634" s="22"/>
      <c r="C11634" s="21"/>
      <c r="D11634" s="21"/>
      <c r="E11634" s="21"/>
      <c r="F11634" s="21"/>
      <c r="G11634" s="25"/>
      <c r="H11634" s="24" t="str">
        <f>IFERROR(VLOOKUP(B11634,material!A:D,3,0),"")</f>
        <v/>
      </c>
    </row>
    <row r="11635" ht="11.25" customHeight="1">
      <c r="A11635" s="21"/>
      <c r="B11635" s="22"/>
      <c r="C11635" s="21"/>
      <c r="D11635" s="21"/>
      <c r="E11635" s="21"/>
      <c r="F11635" s="21"/>
      <c r="G11635" s="25"/>
      <c r="H11635" s="24" t="str">
        <f>IFERROR(VLOOKUP(B11635,material!A:D,3,0),"")</f>
        <v/>
      </c>
    </row>
    <row r="11636" ht="11.25" customHeight="1">
      <c r="A11636" s="21"/>
      <c r="B11636" s="22"/>
      <c r="C11636" s="21"/>
      <c r="D11636" s="21"/>
      <c r="E11636" s="21"/>
      <c r="F11636" s="21"/>
      <c r="G11636" s="25"/>
      <c r="H11636" s="24" t="str">
        <f>IFERROR(VLOOKUP(B11636,material!A:D,3,0),"")</f>
        <v/>
      </c>
    </row>
    <row r="11637" ht="11.25" customHeight="1">
      <c r="A11637" s="21"/>
      <c r="B11637" s="22"/>
      <c r="C11637" s="21"/>
      <c r="D11637" s="21"/>
      <c r="E11637" s="21"/>
      <c r="F11637" s="21"/>
      <c r="G11637" s="25"/>
      <c r="H11637" s="24" t="str">
        <f>IFERROR(VLOOKUP(B11637,material!A:D,3,0),"")</f>
        <v/>
      </c>
    </row>
    <row r="11638" ht="11.25" customHeight="1">
      <c r="A11638" s="21"/>
      <c r="B11638" s="22"/>
      <c r="C11638" s="21"/>
      <c r="D11638" s="21"/>
      <c r="E11638" s="21"/>
      <c r="F11638" s="21"/>
      <c r="G11638" s="25"/>
      <c r="H11638" s="24" t="str">
        <f>IFERROR(VLOOKUP(B11638,material!A:D,3,0),"")</f>
        <v/>
      </c>
    </row>
    <row r="11639" ht="11.25" customHeight="1">
      <c r="A11639" s="21"/>
      <c r="B11639" s="22"/>
      <c r="C11639" s="21"/>
      <c r="D11639" s="21"/>
      <c r="E11639" s="21"/>
      <c r="F11639" s="21"/>
      <c r="G11639" s="25"/>
      <c r="H11639" s="24" t="str">
        <f>IFERROR(VLOOKUP(B11639,material!A:D,3,0),"")</f>
        <v/>
      </c>
    </row>
    <row r="11640" ht="11.25" customHeight="1">
      <c r="A11640" s="21"/>
      <c r="B11640" s="22"/>
      <c r="C11640" s="21"/>
      <c r="D11640" s="21"/>
      <c r="E11640" s="21"/>
      <c r="F11640" s="21"/>
      <c r="G11640" s="25"/>
      <c r="H11640" s="24" t="str">
        <f>IFERROR(VLOOKUP(B11640,material!A:D,3,0),"")</f>
        <v/>
      </c>
    </row>
    <row r="11641" ht="11.25" customHeight="1">
      <c r="A11641" s="21"/>
      <c r="B11641" s="22"/>
      <c r="C11641" s="21"/>
      <c r="D11641" s="21"/>
      <c r="E11641" s="21"/>
      <c r="F11641" s="21"/>
      <c r="G11641" s="25"/>
      <c r="H11641" s="24" t="str">
        <f>IFERROR(VLOOKUP(B11641,material!A:D,3,0),"")</f>
        <v/>
      </c>
    </row>
    <row r="11642" ht="11.25" customHeight="1">
      <c r="A11642" s="21"/>
      <c r="B11642" s="22"/>
      <c r="C11642" s="21"/>
      <c r="D11642" s="21"/>
      <c r="E11642" s="21"/>
      <c r="F11642" s="21"/>
      <c r="G11642" s="25"/>
      <c r="H11642" s="24" t="str">
        <f>IFERROR(VLOOKUP(B11642,material!A:D,3,0),"")</f>
        <v/>
      </c>
    </row>
    <row r="11643" ht="11.25" customHeight="1">
      <c r="A11643" s="21"/>
      <c r="B11643" s="22"/>
      <c r="C11643" s="21"/>
      <c r="D11643" s="21"/>
      <c r="E11643" s="21"/>
      <c r="F11643" s="21"/>
      <c r="G11643" s="25"/>
      <c r="H11643" s="24" t="str">
        <f>IFERROR(VLOOKUP(B11643,material!A:D,3,0),"")</f>
        <v/>
      </c>
    </row>
    <row r="11644" ht="11.25" customHeight="1">
      <c r="A11644" s="21"/>
      <c r="B11644" s="22"/>
      <c r="C11644" s="21"/>
      <c r="D11644" s="21"/>
      <c r="E11644" s="21"/>
      <c r="F11644" s="21"/>
      <c r="G11644" s="25"/>
      <c r="H11644" s="24" t="str">
        <f>IFERROR(VLOOKUP(B11644,material!A:D,3,0),"")</f>
        <v/>
      </c>
    </row>
    <row r="11645" ht="11.25" customHeight="1">
      <c r="A11645" s="21"/>
      <c r="B11645" s="22"/>
      <c r="C11645" s="21"/>
      <c r="D11645" s="21"/>
      <c r="E11645" s="21"/>
      <c r="F11645" s="21"/>
      <c r="G11645" s="25"/>
      <c r="H11645" s="24" t="str">
        <f>IFERROR(VLOOKUP(B11645,material!A:D,3,0),"")</f>
        <v/>
      </c>
    </row>
    <row r="11646" ht="11.25" customHeight="1">
      <c r="A11646" s="21"/>
      <c r="B11646" s="22"/>
      <c r="C11646" s="21"/>
      <c r="D11646" s="21"/>
      <c r="E11646" s="21"/>
      <c r="F11646" s="21"/>
      <c r="G11646" s="25"/>
      <c r="H11646" s="24" t="str">
        <f>IFERROR(VLOOKUP(B11646,material!A:D,3,0),"")</f>
        <v/>
      </c>
    </row>
    <row r="11647" ht="11.25" customHeight="1">
      <c r="A11647" s="21"/>
      <c r="B11647" s="22"/>
      <c r="C11647" s="21"/>
      <c r="D11647" s="21"/>
      <c r="E11647" s="21"/>
      <c r="F11647" s="21"/>
      <c r="G11647" s="25"/>
      <c r="H11647" s="24" t="str">
        <f>IFERROR(VLOOKUP(B11647,material!A:D,3,0),"")</f>
        <v/>
      </c>
    </row>
    <row r="11648" ht="11.25" customHeight="1">
      <c r="A11648" s="21"/>
      <c r="B11648" s="22"/>
      <c r="C11648" s="21"/>
      <c r="D11648" s="21"/>
      <c r="E11648" s="21"/>
      <c r="F11648" s="21"/>
      <c r="G11648" s="25"/>
      <c r="H11648" s="24" t="str">
        <f>IFERROR(VLOOKUP(B11648,material!A:D,3,0),"")</f>
        <v/>
      </c>
    </row>
    <row r="11649" ht="11.25" customHeight="1">
      <c r="A11649" s="21"/>
      <c r="B11649" s="22"/>
      <c r="C11649" s="21"/>
      <c r="D11649" s="21"/>
      <c r="E11649" s="21"/>
      <c r="F11649" s="21"/>
      <c r="G11649" s="25"/>
      <c r="H11649" s="24" t="str">
        <f>IFERROR(VLOOKUP(B11649,material!A:D,3,0),"")</f>
        <v/>
      </c>
    </row>
    <row r="11650" ht="11.25" customHeight="1">
      <c r="A11650" s="21"/>
      <c r="B11650" s="22"/>
      <c r="C11650" s="21"/>
      <c r="D11650" s="21"/>
      <c r="E11650" s="21"/>
      <c r="F11650" s="21"/>
      <c r="G11650" s="25"/>
      <c r="H11650" s="24" t="str">
        <f>IFERROR(VLOOKUP(B11650,material!A:D,3,0),"")</f>
        <v/>
      </c>
    </row>
    <row r="11651" ht="11.25" customHeight="1">
      <c r="A11651" s="21"/>
      <c r="B11651" s="22"/>
      <c r="C11651" s="21"/>
      <c r="D11651" s="21"/>
      <c r="E11651" s="21"/>
      <c r="F11651" s="21"/>
      <c r="G11651" s="25"/>
      <c r="H11651" s="24" t="str">
        <f>IFERROR(VLOOKUP(B11651,material!A:D,3,0),"")</f>
        <v/>
      </c>
    </row>
    <row r="11652" ht="11.25" customHeight="1">
      <c r="A11652" s="21"/>
      <c r="B11652" s="22"/>
      <c r="C11652" s="21"/>
      <c r="D11652" s="21"/>
      <c r="E11652" s="21"/>
      <c r="F11652" s="21"/>
      <c r="G11652" s="25"/>
      <c r="H11652" s="24" t="str">
        <f>IFERROR(VLOOKUP(B11652,material!A:D,3,0),"")</f>
        <v/>
      </c>
    </row>
    <row r="11653" ht="11.25" customHeight="1">
      <c r="A11653" s="21"/>
      <c r="B11653" s="22"/>
      <c r="C11653" s="21"/>
      <c r="D11653" s="21"/>
      <c r="E11653" s="21"/>
      <c r="F11653" s="21"/>
      <c r="G11653" s="25"/>
      <c r="H11653" s="24" t="str">
        <f>IFERROR(VLOOKUP(B11653,material!A:D,3,0),"")</f>
        <v/>
      </c>
    </row>
    <row r="11654" ht="11.25" customHeight="1">
      <c r="A11654" s="21"/>
      <c r="B11654" s="22"/>
      <c r="C11654" s="21"/>
      <c r="D11654" s="21"/>
      <c r="E11654" s="21"/>
      <c r="F11654" s="21"/>
      <c r="G11654" s="25"/>
      <c r="H11654" s="24" t="str">
        <f>IFERROR(VLOOKUP(B11654,material!A:D,3,0),"")</f>
        <v/>
      </c>
    </row>
    <row r="11655" ht="11.25" customHeight="1">
      <c r="A11655" s="21"/>
      <c r="B11655" s="22"/>
      <c r="C11655" s="21"/>
      <c r="D11655" s="21"/>
      <c r="E11655" s="21"/>
      <c r="F11655" s="21"/>
      <c r="G11655" s="25"/>
      <c r="H11655" s="24" t="str">
        <f>IFERROR(VLOOKUP(B11655,material!A:D,3,0),"")</f>
        <v/>
      </c>
    </row>
    <row r="11656" ht="11.25" customHeight="1">
      <c r="A11656" s="21"/>
      <c r="B11656" s="22"/>
      <c r="C11656" s="21"/>
      <c r="D11656" s="21"/>
      <c r="E11656" s="21"/>
      <c r="F11656" s="21"/>
      <c r="G11656" s="25"/>
      <c r="H11656" s="24" t="str">
        <f>IFERROR(VLOOKUP(B11656,material!A:D,3,0),"")</f>
        <v/>
      </c>
    </row>
    <row r="11657" ht="11.25" customHeight="1">
      <c r="A11657" s="21"/>
      <c r="B11657" s="22"/>
      <c r="C11657" s="21"/>
      <c r="D11657" s="21"/>
      <c r="E11657" s="21"/>
      <c r="F11657" s="21"/>
      <c r="G11657" s="25"/>
      <c r="H11657" s="24" t="str">
        <f>IFERROR(VLOOKUP(B11657,material!A:D,3,0),"")</f>
        <v/>
      </c>
    </row>
    <row r="11658" ht="11.25" customHeight="1">
      <c r="A11658" s="21"/>
      <c r="B11658" s="22"/>
      <c r="C11658" s="21"/>
      <c r="D11658" s="21"/>
      <c r="E11658" s="21"/>
      <c r="F11658" s="21"/>
      <c r="G11658" s="25"/>
      <c r="H11658" s="24" t="str">
        <f>IFERROR(VLOOKUP(B11658,material!A:D,3,0),"")</f>
        <v/>
      </c>
    </row>
    <row r="11659" ht="11.25" customHeight="1">
      <c r="A11659" s="21"/>
      <c r="B11659" s="22"/>
      <c r="C11659" s="21"/>
      <c r="D11659" s="21"/>
      <c r="E11659" s="21"/>
      <c r="F11659" s="21"/>
      <c r="G11659" s="25"/>
      <c r="H11659" s="24" t="str">
        <f>IFERROR(VLOOKUP(B11659,material!A:D,3,0),"")</f>
        <v/>
      </c>
    </row>
    <row r="11660" ht="11.25" customHeight="1">
      <c r="A11660" s="21"/>
      <c r="B11660" s="22"/>
      <c r="C11660" s="21"/>
      <c r="D11660" s="21"/>
      <c r="E11660" s="21"/>
      <c r="F11660" s="21"/>
      <c r="G11660" s="25"/>
      <c r="H11660" s="24" t="str">
        <f>IFERROR(VLOOKUP(B11660,material!A:D,3,0),"")</f>
        <v/>
      </c>
    </row>
    <row r="11661" ht="11.25" customHeight="1">
      <c r="A11661" s="21"/>
      <c r="B11661" s="22"/>
      <c r="C11661" s="21"/>
      <c r="D11661" s="21"/>
      <c r="E11661" s="21"/>
      <c r="F11661" s="21"/>
      <c r="G11661" s="25"/>
      <c r="H11661" s="24" t="str">
        <f>IFERROR(VLOOKUP(B11661,material!A:D,3,0),"")</f>
        <v/>
      </c>
    </row>
    <row r="11662" ht="11.25" customHeight="1">
      <c r="A11662" s="21"/>
      <c r="B11662" s="22"/>
      <c r="C11662" s="21"/>
      <c r="D11662" s="21"/>
      <c r="E11662" s="21"/>
      <c r="F11662" s="21"/>
      <c r="G11662" s="25"/>
      <c r="H11662" s="24" t="str">
        <f>IFERROR(VLOOKUP(B11662,material!A:D,3,0),"")</f>
        <v/>
      </c>
    </row>
    <row r="11663" ht="11.25" customHeight="1">
      <c r="A11663" s="21"/>
      <c r="B11663" s="22"/>
      <c r="C11663" s="21"/>
      <c r="D11663" s="21"/>
      <c r="E11663" s="21"/>
      <c r="F11663" s="21"/>
      <c r="G11663" s="25"/>
      <c r="H11663" s="24" t="str">
        <f>IFERROR(VLOOKUP(B11663,material!A:D,3,0),"")</f>
        <v/>
      </c>
    </row>
    <row r="11664" ht="11.25" customHeight="1">
      <c r="A11664" s="21"/>
      <c r="B11664" s="22"/>
      <c r="C11664" s="21"/>
      <c r="D11664" s="21"/>
      <c r="E11664" s="21"/>
      <c r="F11664" s="21"/>
      <c r="G11664" s="25"/>
      <c r="H11664" s="24" t="str">
        <f>IFERROR(VLOOKUP(B11664,material!A:D,3,0),"")</f>
        <v/>
      </c>
    </row>
    <row r="11665" ht="11.25" customHeight="1">
      <c r="A11665" s="21"/>
      <c r="B11665" s="22"/>
      <c r="C11665" s="21"/>
      <c r="D11665" s="21"/>
      <c r="E11665" s="21"/>
      <c r="F11665" s="21"/>
      <c r="G11665" s="25"/>
      <c r="H11665" s="24" t="str">
        <f>IFERROR(VLOOKUP(B11665,material!A:D,3,0),"")</f>
        <v/>
      </c>
    </row>
    <row r="11666" ht="11.25" customHeight="1">
      <c r="A11666" s="21"/>
      <c r="B11666" s="22"/>
      <c r="C11666" s="21"/>
      <c r="D11666" s="21"/>
      <c r="E11666" s="21"/>
      <c r="F11666" s="21"/>
      <c r="G11666" s="25"/>
      <c r="H11666" s="24" t="str">
        <f>IFERROR(VLOOKUP(B11666,material!A:D,3,0),"")</f>
        <v/>
      </c>
    </row>
    <row r="11667" ht="11.25" customHeight="1">
      <c r="A11667" s="21"/>
      <c r="B11667" s="22"/>
      <c r="C11667" s="21"/>
      <c r="D11667" s="21"/>
      <c r="E11667" s="21"/>
      <c r="F11667" s="21"/>
      <c r="G11667" s="25"/>
      <c r="H11667" s="24" t="str">
        <f>IFERROR(VLOOKUP(B11667,material!A:D,3,0),"")</f>
        <v/>
      </c>
    </row>
    <row r="11668" ht="11.25" customHeight="1">
      <c r="A11668" s="21"/>
      <c r="B11668" s="22"/>
      <c r="C11668" s="21"/>
      <c r="D11668" s="21"/>
      <c r="E11668" s="21"/>
      <c r="F11668" s="21"/>
      <c r="G11668" s="25"/>
      <c r="H11668" s="24" t="str">
        <f>IFERROR(VLOOKUP(B11668,material!A:D,3,0),"")</f>
        <v/>
      </c>
    </row>
    <row r="11669" ht="11.25" customHeight="1">
      <c r="A11669" s="21"/>
      <c r="B11669" s="22"/>
      <c r="C11669" s="21"/>
      <c r="D11669" s="21"/>
      <c r="E11669" s="21"/>
      <c r="F11669" s="21"/>
      <c r="G11669" s="25"/>
      <c r="H11669" s="24" t="str">
        <f>IFERROR(VLOOKUP(B11669,material!A:D,3,0),"")</f>
        <v/>
      </c>
    </row>
    <row r="11670" ht="11.25" customHeight="1">
      <c r="A11670" s="21"/>
      <c r="B11670" s="22"/>
      <c r="C11670" s="21"/>
      <c r="D11670" s="21"/>
      <c r="E11670" s="21"/>
      <c r="F11670" s="21"/>
      <c r="G11670" s="25"/>
      <c r="H11670" s="24" t="str">
        <f>IFERROR(VLOOKUP(B11670,material!A:D,3,0),"")</f>
        <v/>
      </c>
    </row>
    <row r="11671" ht="11.25" customHeight="1">
      <c r="A11671" s="21"/>
      <c r="B11671" s="22"/>
      <c r="C11671" s="21"/>
      <c r="D11671" s="21"/>
      <c r="E11671" s="21"/>
      <c r="F11671" s="21"/>
      <c r="G11671" s="25"/>
      <c r="H11671" s="24" t="str">
        <f>IFERROR(VLOOKUP(B11671,material!A:D,3,0),"")</f>
        <v/>
      </c>
    </row>
    <row r="11672" ht="11.25" customHeight="1">
      <c r="A11672" s="21"/>
      <c r="B11672" s="22"/>
      <c r="C11672" s="21"/>
      <c r="D11672" s="21"/>
      <c r="E11672" s="21"/>
      <c r="F11672" s="21"/>
      <c r="G11672" s="25"/>
      <c r="H11672" s="24" t="str">
        <f>IFERROR(VLOOKUP(B11672,material!A:D,3,0),"")</f>
        <v/>
      </c>
    </row>
    <row r="11673" ht="11.25" customHeight="1">
      <c r="A11673" s="21"/>
      <c r="B11673" s="22"/>
      <c r="C11673" s="21"/>
      <c r="D11673" s="21"/>
      <c r="E11673" s="21"/>
      <c r="F11673" s="21"/>
      <c r="G11673" s="25"/>
      <c r="H11673" s="24" t="str">
        <f>IFERROR(VLOOKUP(B11673,material!A:D,3,0),"")</f>
        <v/>
      </c>
    </row>
    <row r="11674" ht="11.25" customHeight="1">
      <c r="A11674" s="21"/>
      <c r="B11674" s="22"/>
      <c r="C11674" s="21"/>
      <c r="D11674" s="21"/>
      <c r="E11674" s="21"/>
      <c r="F11674" s="21"/>
      <c r="G11674" s="25"/>
      <c r="H11674" s="24" t="str">
        <f>IFERROR(VLOOKUP(B11674,material!A:D,3,0),"")</f>
        <v/>
      </c>
    </row>
    <row r="11675" ht="11.25" customHeight="1">
      <c r="A11675" s="21"/>
      <c r="B11675" s="22"/>
      <c r="C11675" s="21"/>
      <c r="D11675" s="21"/>
      <c r="E11675" s="21"/>
      <c r="F11675" s="21"/>
      <c r="G11675" s="25"/>
      <c r="H11675" s="24" t="str">
        <f>IFERROR(VLOOKUP(B11675,material!A:D,3,0),"")</f>
        <v/>
      </c>
    </row>
    <row r="11676" ht="11.25" customHeight="1">
      <c r="A11676" s="21"/>
      <c r="B11676" s="22"/>
      <c r="C11676" s="21"/>
      <c r="D11676" s="21"/>
      <c r="E11676" s="21"/>
      <c r="F11676" s="21"/>
      <c r="G11676" s="25"/>
      <c r="H11676" s="24" t="str">
        <f>IFERROR(VLOOKUP(B11676,material!A:D,3,0),"")</f>
        <v/>
      </c>
    </row>
    <row r="11677" ht="11.25" customHeight="1">
      <c r="A11677" s="21"/>
      <c r="B11677" s="22"/>
      <c r="C11677" s="21"/>
      <c r="D11677" s="21"/>
      <c r="E11677" s="21"/>
      <c r="F11677" s="21"/>
      <c r="G11677" s="25"/>
      <c r="H11677" s="24" t="str">
        <f>IFERROR(VLOOKUP(B11677,material!A:D,3,0),"")</f>
        <v/>
      </c>
    </row>
    <row r="11678" ht="11.25" customHeight="1">
      <c r="A11678" s="21"/>
      <c r="B11678" s="22"/>
      <c r="C11678" s="21"/>
      <c r="D11678" s="21"/>
      <c r="E11678" s="21"/>
      <c r="F11678" s="21"/>
      <c r="G11678" s="25"/>
      <c r="H11678" s="24" t="str">
        <f>IFERROR(VLOOKUP(B11678,material!A:D,3,0),"")</f>
        <v/>
      </c>
    </row>
    <row r="11679" ht="11.25" customHeight="1">
      <c r="A11679" s="21"/>
      <c r="B11679" s="22"/>
      <c r="C11679" s="21"/>
      <c r="D11679" s="21"/>
      <c r="E11679" s="21"/>
      <c r="F11679" s="21"/>
      <c r="G11679" s="25"/>
      <c r="H11679" s="24" t="str">
        <f>IFERROR(VLOOKUP(B11679,material!A:D,3,0),"")</f>
        <v/>
      </c>
    </row>
    <row r="11680" ht="11.25" customHeight="1">
      <c r="A11680" s="21"/>
      <c r="B11680" s="22"/>
      <c r="C11680" s="21"/>
      <c r="D11680" s="21"/>
      <c r="E11680" s="21"/>
      <c r="F11680" s="21"/>
      <c r="G11680" s="25"/>
      <c r="H11680" s="24" t="str">
        <f>IFERROR(VLOOKUP(B11680,material!A:D,3,0),"")</f>
        <v/>
      </c>
    </row>
    <row r="11681" ht="11.25" customHeight="1">
      <c r="A11681" s="21"/>
      <c r="B11681" s="22"/>
      <c r="C11681" s="21"/>
      <c r="D11681" s="21"/>
      <c r="E11681" s="21"/>
      <c r="F11681" s="21"/>
      <c r="G11681" s="25"/>
      <c r="H11681" s="24" t="str">
        <f>IFERROR(VLOOKUP(B11681,material!A:D,3,0),"")</f>
        <v/>
      </c>
    </row>
    <row r="11682" ht="11.25" customHeight="1">
      <c r="A11682" s="21"/>
      <c r="B11682" s="22"/>
      <c r="C11682" s="21"/>
      <c r="D11682" s="21"/>
      <c r="E11682" s="21"/>
      <c r="F11682" s="21"/>
      <c r="G11682" s="25"/>
      <c r="H11682" s="24" t="str">
        <f>IFERROR(VLOOKUP(B11682,material!A:D,3,0),"")</f>
        <v/>
      </c>
    </row>
    <row r="11683" ht="11.25" customHeight="1">
      <c r="A11683" s="21"/>
      <c r="B11683" s="22"/>
      <c r="C11683" s="21"/>
      <c r="D11683" s="21"/>
      <c r="E11683" s="21"/>
      <c r="F11683" s="21"/>
      <c r="G11683" s="25"/>
      <c r="H11683" s="24" t="str">
        <f>IFERROR(VLOOKUP(B11683,material!A:D,3,0),"")</f>
        <v/>
      </c>
    </row>
    <row r="11684" ht="11.25" customHeight="1">
      <c r="A11684" s="21"/>
      <c r="B11684" s="22"/>
      <c r="C11684" s="21"/>
      <c r="D11684" s="21"/>
      <c r="E11684" s="21"/>
      <c r="F11684" s="21"/>
      <c r="G11684" s="25"/>
      <c r="H11684" s="24" t="str">
        <f>IFERROR(VLOOKUP(B11684,material!A:D,3,0),"")</f>
        <v/>
      </c>
    </row>
    <row r="11685" ht="11.25" customHeight="1">
      <c r="A11685" s="21"/>
      <c r="B11685" s="22"/>
      <c r="C11685" s="21"/>
      <c r="D11685" s="21"/>
      <c r="E11685" s="21"/>
      <c r="F11685" s="21"/>
      <c r="G11685" s="25"/>
      <c r="H11685" s="24" t="str">
        <f>IFERROR(VLOOKUP(B11685,material!A:D,3,0),"")</f>
        <v/>
      </c>
    </row>
    <row r="11686" ht="11.25" customHeight="1">
      <c r="A11686" s="21"/>
      <c r="B11686" s="22"/>
      <c r="C11686" s="21"/>
      <c r="D11686" s="21"/>
      <c r="E11686" s="21"/>
      <c r="F11686" s="21"/>
      <c r="G11686" s="25"/>
      <c r="H11686" s="24" t="str">
        <f>IFERROR(VLOOKUP(B11686,material!A:D,3,0),"")</f>
        <v/>
      </c>
    </row>
    <row r="11687" ht="11.25" customHeight="1">
      <c r="A11687" s="21"/>
      <c r="B11687" s="22"/>
      <c r="C11687" s="21"/>
      <c r="D11687" s="21"/>
      <c r="E11687" s="21"/>
      <c r="F11687" s="21"/>
      <c r="G11687" s="25"/>
      <c r="H11687" s="24" t="str">
        <f>IFERROR(VLOOKUP(B11687,material!A:D,3,0),"")</f>
        <v/>
      </c>
    </row>
    <row r="11688" ht="11.25" customHeight="1">
      <c r="A11688" s="21"/>
      <c r="B11688" s="22"/>
      <c r="C11688" s="21"/>
      <c r="D11688" s="21"/>
      <c r="E11688" s="21"/>
      <c r="F11688" s="21"/>
      <c r="G11688" s="25"/>
      <c r="H11688" s="24" t="str">
        <f>IFERROR(VLOOKUP(B11688,material!A:D,3,0),"")</f>
        <v/>
      </c>
    </row>
    <row r="11689" ht="11.25" customHeight="1">
      <c r="A11689" s="21"/>
      <c r="B11689" s="22"/>
      <c r="C11689" s="21"/>
      <c r="D11689" s="21"/>
      <c r="E11689" s="21"/>
      <c r="F11689" s="21"/>
      <c r="G11689" s="25"/>
      <c r="H11689" s="24" t="str">
        <f>IFERROR(VLOOKUP(B11689,material!A:D,3,0),"")</f>
        <v/>
      </c>
    </row>
    <row r="11690" ht="11.25" customHeight="1">
      <c r="A11690" s="21"/>
      <c r="B11690" s="22"/>
      <c r="C11690" s="21"/>
      <c r="D11690" s="21"/>
      <c r="E11690" s="21"/>
      <c r="F11690" s="21"/>
      <c r="G11690" s="25"/>
      <c r="H11690" s="24" t="str">
        <f>IFERROR(VLOOKUP(B11690,material!A:D,3,0),"")</f>
        <v/>
      </c>
    </row>
    <row r="11691" ht="11.25" customHeight="1">
      <c r="A11691" s="21"/>
      <c r="B11691" s="22"/>
      <c r="C11691" s="21"/>
      <c r="D11691" s="21"/>
      <c r="E11691" s="21"/>
      <c r="F11691" s="21"/>
      <c r="G11691" s="25"/>
      <c r="H11691" s="24" t="str">
        <f>IFERROR(VLOOKUP(B11691,material!A:D,3,0),"")</f>
        <v/>
      </c>
    </row>
    <row r="11692" ht="11.25" customHeight="1">
      <c r="A11692" s="21"/>
      <c r="B11692" s="22"/>
      <c r="C11692" s="21"/>
      <c r="D11692" s="21"/>
      <c r="E11692" s="21"/>
      <c r="F11692" s="21"/>
      <c r="G11692" s="25"/>
      <c r="H11692" s="24" t="str">
        <f>IFERROR(VLOOKUP(B11692,material!A:D,3,0),"")</f>
        <v/>
      </c>
    </row>
    <row r="11693" ht="11.25" customHeight="1">
      <c r="A11693" s="21"/>
      <c r="B11693" s="22"/>
      <c r="C11693" s="21"/>
      <c r="D11693" s="21"/>
      <c r="E11693" s="21"/>
      <c r="F11693" s="21"/>
      <c r="G11693" s="25"/>
      <c r="H11693" s="24" t="str">
        <f>IFERROR(VLOOKUP(B11693,material!A:D,3,0),"")</f>
        <v/>
      </c>
    </row>
    <row r="11694" ht="11.25" customHeight="1">
      <c r="A11694" s="21"/>
      <c r="B11694" s="22"/>
      <c r="C11694" s="21"/>
      <c r="D11694" s="21"/>
      <c r="E11694" s="21"/>
      <c r="F11694" s="21"/>
      <c r="G11694" s="25"/>
      <c r="H11694" s="24" t="str">
        <f>IFERROR(VLOOKUP(B11694,material!A:D,3,0),"")</f>
        <v/>
      </c>
    </row>
    <row r="11695" ht="11.25" customHeight="1">
      <c r="A11695" s="21"/>
      <c r="B11695" s="22"/>
      <c r="C11695" s="21"/>
      <c r="D11695" s="21"/>
      <c r="E11695" s="21"/>
      <c r="F11695" s="21"/>
      <c r="G11695" s="25"/>
      <c r="H11695" s="24" t="str">
        <f>IFERROR(VLOOKUP(B11695,material!A:D,3,0),"")</f>
        <v/>
      </c>
    </row>
    <row r="11696" ht="11.25" customHeight="1">
      <c r="A11696" s="21"/>
      <c r="B11696" s="22"/>
      <c r="C11696" s="21"/>
      <c r="D11696" s="21"/>
      <c r="E11696" s="21"/>
      <c r="F11696" s="21"/>
      <c r="G11696" s="25"/>
      <c r="H11696" s="24" t="str">
        <f>IFERROR(VLOOKUP(B11696,material!A:D,3,0),"")</f>
        <v/>
      </c>
    </row>
    <row r="11697" ht="11.25" customHeight="1">
      <c r="A11697" s="21"/>
      <c r="B11697" s="22"/>
      <c r="C11697" s="21"/>
      <c r="D11697" s="21"/>
      <c r="E11697" s="21"/>
      <c r="F11697" s="21"/>
      <c r="G11697" s="25"/>
      <c r="H11697" s="24" t="str">
        <f>IFERROR(VLOOKUP(B11697,material!A:D,3,0),"")</f>
        <v/>
      </c>
    </row>
    <row r="11698" ht="11.25" customHeight="1">
      <c r="A11698" s="21"/>
      <c r="B11698" s="22"/>
      <c r="C11698" s="21"/>
      <c r="D11698" s="21"/>
      <c r="E11698" s="21"/>
      <c r="F11698" s="21"/>
      <c r="G11698" s="25"/>
      <c r="H11698" s="24" t="str">
        <f>IFERROR(VLOOKUP(B11698,material!A:D,3,0),"")</f>
        <v/>
      </c>
    </row>
    <row r="11699" ht="11.25" customHeight="1">
      <c r="A11699" s="21"/>
      <c r="B11699" s="22"/>
      <c r="C11699" s="21"/>
      <c r="D11699" s="21"/>
      <c r="E11699" s="21"/>
      <c r="F11699" s="21"/>
      <c r="G11699" s="25"/>
      <c r="H11699" s="24" t="str">
        <f>IFERROR(VLOOKUP(B11699,material!A:D,3,0),"")</f>
        <v/>
      </c>
    </row>
    <row r="11700" ht="11.25" customHeight="1">
      <c r="A11700" s="21"/>
      <c r="B11700" s="22"/>
      <c r="C11700" s="21"/>
      <c r="D11700" s="21"/>
      <c r="E11700" s="21"/>
      <c r="F11700" s="21"/>
      <c r="G11700" s="25"/>
      <c r="H11700" s="24" t="str">
        <f>IFERROR(VLOOKUP(B11700,material!A:D,3,0),"")</f>
        <v/>
      </c>
    </row>
    <row r="11701" ht="11.25" customHeight="1">
      <c r="A11701" s="21"/>
      <c r="B11701" s="22"/>
      <c r="C11701" s="21"/>
      <c r="D11701" s="21"/>
      <c r="E11701" s="21"/>
      <c r="F11701" s="21"/>
      <c r="G11701" s="25"/>
      <c r="H11701" s="24" t="str">
        <f>IFERROR(VLOOKUP(B11701,material!A:D,3,0),"")</f>
        <v/>
      </c>
    </row>
    <row r="11702" ht="11.25" customHeight="1">
      <c r="A11702" s="21"/>
      <c r="B11702" s="22"/>
      <c r="C11702" s="21"/>
      <c r="D11702" s="21"/>
      <c r="E11702" s="21"/>
      <c r="F11702" s="21"/>
      <c r="G11702" s="25"/>
      <c r="H11702" s="24" t="str">
        <f>IFERROR(VLOOKUP(B11702,material!A:D,3,0),"")</f>
        <v/>
      </c>
    </row>
    <row r="11703" ht="11.25" customHeight="1">
      <c r="A11703" s="21"/>
      <c r="B11703" s="22"/>
      <c r="C11703" s="21"/>
      <c r="D11703" s="21"/>
      <c r="E11703" s="21"/>
      <c r="F11703" s="21"/>
      <c r="G11703" s="25"/>
      <c r="H11703" s="24" t="str">
        <f>IFERROR(VLOOKUP(B11703,material!A:D,3,0),"")</f>
        <v/>
      </c>
    </row>
    <row r="11704" ht="11.25" customHeight="1">
      <c r="A11704" s="21"/>
      <c r="B11704" s="22"/>
      <c r="C11704" s="21"/>
      <c r="D11704" s="21"/>
      <c r="E11704" s="21"/>
      <c r="F11704" s="21"/>
      <c r="G11704" s="25"/>
      <c r="H11704" s="24" t="str">
        <f>IFERROR(VLOOKUP(B11704,material!A:D,3,0),"")</f>
        <v/>
      </c>
    </row>
    <row r="11705" ht="11.25" customHeight="1">
      <c r="A11705" s="21"/>
      <c r="B11705" s="22"/>
      <c r="C11705" s="21"/>
      <c r="D11705" s="21"/>
      <c r="E11705" s="21"/>
      <c r="F11705" s="21"/>
      <c r="G11705" s="25"/>
      <c r="H11705" s="24" t="str">
        <f>IFERROR(VLOOKUP(B11705,material!A:D,3,0),"")</f>
        <v/>
      </c>
    </row>
    <row r="11706" ht="11.25" customHeight="1">
      <c r="A11706" s="21"/>
      <c r="B11706" s="22"/>
      <c r="C11706" s="21"/>
      <c r="D11706" s="21"/>
      <c r="E11706" s="21"/>
      <c r="F11706" s="21"/>
      <c r="G11706" s="25"/>
      <c r="H11706" s="24" t="str">
        <f>IFERROR(VLOOKUP(B11706,material!A:D,3,0),"")</f>
        <v/>
      </c>
    </row>
    <row r="11707" ht="11.25" customHeight="1">
      <c r="A11707" s="21"/>
      <c r="B11707" s="22"/>
      <c r="C11707" s="21"/>
      <c r="D11707" s="21"/>
      <c r="E11707" s="21"/>
      <c r="F11707" s="21"/>
      <c r="G11707" s="25"/>
      <c r="H11707" s="24" t="str">
        <f>IFERROR(VLOOKUP(B11707,material!A:D,3,0),"")</f>
        <v/>
      </c>
    </row>
    <row r="11708" ht="11.25" customHeight="1">
      <c r="A11708" s="21"/>
      <c r="B11708" s="22"/>
      <c r="C11708" s="21"/>
      <c r="D11708" s="21"/>
      <c r="E11708" s="21"/>
      <c r="F11708" s="21"/>
      <c r="G11708" s="25"/>
      <c r="H11708" s="24" t="str">
        <f>IFERROR(VLOOKUP(B11708,material!A:D,3,0),"")</f>
        <v/>
      </c>
    </row>
    <row r="11709" ht="11.25" customHeight="1">
      <c r="A11709" s="21"/>
      <c r="B11709" s="22"/>
      <c r="C11709" s="21"/>
      <c r="D11709" s="21"/>
      <c r="E11709" s="21"/>
      <c r="F11709" s="21"/>
      <c r="G11709" s="25"/>
      <c r="H11709" s="24" t="str">
        <f>IFERROR(VLOOKUP(B11709,material!A:D,3,0),"")</f>
        <v/>
      </c>
    </row>
    <row r="11710" ht="11.25" customHeight="1">
      <c r="A11710" s="21"/>
      <c r="B11710" s="22"/>
      <c r="C11710" s="21"/>
      <c r="D11710" s="21"/>
      <c r="E11710" s="21"/>
      <c r="F11710" s="21"/>
      <c r="G11710" s="25"/>
      <c r="H11710" s="24" t="str">
        <f>IFERROR(VLOOKUP(B11710,material!A:D,3,0),"")</f>
        <v/>
      </c>
    </row>
    <row r="11711" ht="11.25" customHeight="1">
      <c r="A11711" s="21"/>
      <c r="B11711" s="22"/>
      <c r="C11711" s="21"/>
      <c r="D11711" s="21"/>
      <c r="E11711" s="21"/>
      <c r="F11711" s="21"/>
      <c r="G11711" s="25"/>
      <c r="H11711" s="24" t="str">
        <f>IFERROR(VLOOKUP(B11711,material!A:D,3,0),"")</f>
        <v/>
      </c>
    </row>
    <row r="11712" ht="11.25" customHeight="1">
      <c r="A11712" s="21"/>
      <c r="B11712" s="22"/>
      <c r="C11712" s="21"/>
      <c r="D11712" s="21"/>
      <c r="E11712" s="21"/>
      <c r="F11712" s="21"/>
      <c r="G11712" s="25"/>
      <c r="H11712" s="24" t="str">
        <f>IFERROR(VLOOKUP(B11712,material!A:D,3,0),"")</f>
        <v/>
      </c>
    </row>
    <row r="11713" ht="11.25" customHeight="1">
      <c r="A11713" s="21"/>
      <c r="B11713" s="22"/>
      <c r="C11713" s="21"/>
      <c r="D11713" s="21"/>
      <c r="E11713" s="21"/>
      <c r="F11713" s="21"/>
      <c r="G11713" s="25"/>
      <c r="H11713" s="24" t="str">
        <f>IFERROR(VLOOKUP(B11713,material!A:D,3,0),"")</f>
        <v/>
      </c>
    </row>
    <row r="11714" ht="11.25" customHeight="1">
      <c r="A11714" s="21"/>
      <c r="B11714" s="22"/>
      <c r="C11714" s="21"/>
      <c r="D11714" s="21"/>
      <c r="E11714" s="21"/>
      <c r="F11714" s="21"/>
      <c r="G11714" s="25"/>
      <c r="H11714" s="24" t="str">
        <f>IFERROR(VLOOKUP(B11714,material!A:D,3,0),"")</f>
        <v/>
      </c>
    </row>
    <row r="11715" ht="11.25" customHeight="1">
      <c r="A11715" s="21"/>
      <c r="B11715" s="22"/>
      <c r="C11715" s="21"/>
      <c r="D11715" s="21"/>
      <c r="E11715" s="21"/>
      <c r="F11715" s="21"/>
      <c r="G11715" s="25"/>
      <c r="H11715" s="24" t="str">
        <f>IFERROR(VLOOKUP(B11715,material!A:D,3,0),"")</f>
        <v/>
      </c>
    </row>
    <row r="11716" ht="11.25" customHeight="1">
      <c r="A11716" s="21"/>
      <c r="B11716" s="22"/>
      <c r="C11716" s="21"/>
      <c r="D11716" s="21"/>
      <c r="E11716" s="21"/>
      <c r="F11716" s="21"/>
      <c r="G11716" s="25"/>
      <c r="H11716" s="24" t="str">
        <f>IFERROR(VLOOKUP(B11716,material!A:D,3,0),"")</f>
        <v/>
      </c>
    </row>
    <row r="11717" ht="11.25" customHeight="1">
      <c r="A11717" s="21"/>
      <c r="B11717" s="22"/>
      <c r="C11717" s="21"/>
      <c r="D11717" s="21"/>
      <c r="E11717" s="21"/>
      <c r="F11717" s="21"/>
      <c r="G11717" s="25"/>
      <c r="H11717" s="24" t="str">
        <f>IFERROR(VLOOKUP(B11717,material!A:D,3,0),"")</f>
        <v/>
      </c>
    </row>
    <row r="11718" ht="11.25" customHeight="1">
      <c r="A11718" s="21"/>
      <c r="B11718" s="22"/>
      <c r="C11718" s="21"/>
      <c r="D11718" s="21"/>
      <c r="E11718" s="21"/>
      <c r="F11718" s="21"/>
      <c r="G11718" s="25"/>
      <c r="H11718" s="24" t="str">
        <f>IFERROR(VLOOKUP(B11718,material!A:D,3,0),"")</f>
        <v/>
      </c>
    </row>
    <row r="11719" ht="11.25" customHeight="1">
      <c r="A11719" s="21"/>
      <c r="B11719" s="22"/>
      <c r="C11719" s="21"/>
      <c r="D11719" s="21"/>
      <c r="E11719" s="21"/>
      <c r="F11719" s="21"/>
      <c r="G11719" s="25"/>
      <c r="H11719" s="24" t="str">
        <f>IFERROR(VLOOKUP(B11719,material!A:D,3,0),"")</f>
        <v/>
      </c>
    </row>
    <row r="11720" ht="11.25" customHeight="1">
      <c r="A11720" s="21"/>
      <c r="B11720" s="22"/>
      <c r="C11720" s="21"/>
      <c r="D11720" s="21"/>
      <c r="E11720" s="21"/>
      <c r="F11720" s="21"/>
      <c r="G11720" s="25"/>
      <c r="H11720" s="24" t="str">
        <f>IFERROR(VLOOKUP(B11720,material!A:D,3,0),"")</f>
        <v/>
      </c>
    </row>
    <row r="11721" ht="11.25" customHeight="1">
      <c r="A11721" s="21"/>
      <c r="B11721" s="22"/>
      <c r="C11721" s="21"/>
      <c r="D11721" s="21"/>
      <c r="E11721" s="21"/>
      <c r="F11721" s="21"/>
      <c r="G11721" s="25"/>
      <c r="H11721" s="24" t="str">
        <f>IFERROR(VLOOKUP(B11721,material!A:D,3,0),"")</f>
        <v/>
      </c>
    </row>
    <row r="11722" ht="11.25" customHeight="1">
      <c r="A11722" s="21"/>
      <c r="B11722" s="22"/>
      <c r="C11722" s="21"/>
      <c r="D11722" s="21"/>
      <c r="E11722" s="21"/>
      <c r="F11722" s="21"/>
      <c r="G11722" s="25"/>
      <c r="H11722" s="24" t="str">
        <f>IFERROR(VLOOKUP(B11722,material!A:D,3,0),"")</f>
        <v/>
      </c>
    </row>
    <row r="11723" ht="11.25" customHeight="1">
      <c r="A11723" s="21"/>
      <c r="B11723" s="22"/>
      <c r="C11723" s="21"/>
      <c r="D11723" s="21"/>
      <c r="E11723" s="21"/>
      <c r="F11723" s="21"/>
      <c r="G11723" s="25"/>
      <c r="H11723" s="24" t="str">
        <f>IFERROR(VLOOKUP(B11723,material!A:D,3,0),"")</f>
        <v/>
      </c>
    </row>
    <row r="11724" ht="11.25" customHeight="1">
      <c r="A11724" s="21"/>
      <c r="B11724" s="22"/>
      <c r="C11724" s="21"/>
      <c r="D11724" s="21"/>
      <c r="E11724" s="21"/>
      <c r="F11724" s="21"/>
      <c r="G11724" s="25"/>
      <c r="H11724" s="24" t="str">
        <f>IFERROR(VLOOKUP(B11724,material!A:D,3,0),"")</f>
        <v/>
      </c>
    </row>
    <row r="11725" ht="11.25" customHeight="1">
      <c r="A11725" s="21"/>
      <c r="B11725" s="22"/>
      <c r="C11725" s="21"/>
      <c r="D11725" s="21"/>
      <c r="E11725" s="21"/>
      <c r="F11725" s="21"/>
      <c r="G11725" s="25"/>
      <c r="H11725" s="24" t="str">
        <f>IFERROR(VLOOKUP(B11725,material!A:D,3,0),"")</f>
        <v/>
      </c>
    </row>
    <row r="11726" ht="11.25" customHeight="1">
      <c r="A11726" s="21"/>
      <c r="B11726" s="22"/>
      <c r="C11726" s="21"/>
      <c r="D11726" s="21"/>
      <c r="E11726" s="21"/>
      <c r="F11726" s="21"/>
      <c r="G11726" s="25"/>
      <c r="H11726" s="24" t="str">
        <f>IFERROR(VLOOKUP(B11726,material!A:D,3,0),"")</f>
        <v/>
      </c>
    </row>
    <row r="11727" ht="11.25" customHeight="1">
      <c r="A11727" s="21"/>
      <c r="B11727" s="22"/>
      <c r="C11727" s="21"/>
      <c r="D11727" s="21"/>
      <c r="E11727" s="21"/>
      <c r="F11727" s="21"/>
      <c r="G11727" s="25"/>
      <c r="H11727" s="24" t="str">
        <f>IFERROR(VLOOKUP(B11727,material!A:D,3,0),"")</f>
        <v/>
      </c>
    </row>
    <row r="11728" ht="11.25" customHeight="1">
      <c r="A11728" s="21"/>
      <c r="B11728" s="22"/>
      <c r="C11728" s="21"/>
      <c r="D11728" s="21"/>
      <c r="E11728" s="21"/>
      <c r="F11728" s="21"/>
      <c r="G11728" s="25"/>
      <c r="H11728" s="24" t="str">
        <f>IFERROR(VLOOKUP(B11728,material!A:D,3,0),"")</f>
        <v/>
      </c>
    </row>
    <row r="11729" ht="11.25" customHeight="1">
      <c r="A11729" s="21"/>
      <c r="B11729" s="22"/>
      <c r="C11729" s="21"/>
      <c r="D11729" s="21"/>
      <c r="E11729" s="21"/>
      <c r="F11729" s="21"/>
      <c r="G11729" s="25"/>
      <c r="H11729" s="24" t="str">
        <f>IFERROR(VLOOKUP(B11729,material!A:D,3,0),"")</f>
        <v/>
      </c>
    </row>
    <row r="11730" ht="11.25" customHeight="1">
      <c r="A11730" s="21"/>
      <c r="B11730" s="22"/>
      <c r="C11730" s="21"/>
      <c r="D11730" s="21"/>
      <c r="E11730" s="21"/>
      <c r="F11730" s="21"/>
      <c r="G11730" s="25"/>
      <c r="H11730" s="24" t="str">
        <f>IFERROR(VLOOKUP(B11730,material!A:D,3,0),"")</f>
        <v/>
      </c>
    </row>
    <row r="11731" ht="11.25" customHeight="1">
      <c r="A11731" s="21"/>
      <c r="B11731" s="22"/>
      <c r="C11731" s="21"/>
      <c r="D11731" s="21"/>
      <c r="E11731" s="21"/>
      <c r="F11731" s="21"/>
      <c r="G11731" s="25"/>
      <c r="H11731" s="24" t="str">
        <f>IFERROR(VLOOKUP(B11731,material!A:D,3,0),"")</f>
        <v/>
      </c>
    </row>
    <row r="11732" ht="11.25" customHeight="1">
      <c r="A11732" s="21"/>
      <c r="B11732" s="22"/>
      <c r="C11732" s="21"/>
      <c r="D11732" s="21"/>
      <c r="E11732" s="21"/>
      <c r="F11732" s="21"/>
      <c r="G11732" s="25"/>
      <c r="H11732" s="24" t="str">
        <f>IFERROR(VLOOKUP(B11732,material!A:D,3,0),"")</f>
        <v/>
      </c>
    </row>
    <row r="11733" ht="11.25" customHeight="1">
      <c r="A11733" s="21"/>
      <c r="B11733" s="22"/>
      <c r="C11733" s="21"/>
      <c r="D11733" s="21"/>
      <c r="E11733" s="21"/>
      <c r="F11733" s="21"/>
      <c r="G11733" s="25"/>
      <c r="H11733" s="24" t="str">
        <f>IFERROR(VLOOKUP(B11733,material!A:D,3,0),"")</f>
        <v/>
      </c>
    </row>
    <row r="11734" ht="11.25" customHeight="1">
      <c r="A11734" s="21"/>
      <c r="B11734" s="22"/>
      <c r="C11734" s="21"/>
      <c r="D11734" s="21"/>
      <c r="E11734" s="21"/>
      <c r="F11734" s="21"/>
      <c r="G11734" s="25"/>
      <c r="H11734" s="24" t="str">
        <f>IFERROR(VLOOKUP(B11734,material!A:D,3,0),"")</f>
        <v/>
      </c>
    </row>
    <row r="11735" ht="11.25" customHeight="1">
      <c r="A11735" s="21"/>
      <c r="B11735" s="22"/>
      <c r="C11735" s="21"/>
      <c r="D11735" s="21"/>
      <c r="E11735" s="21"/>
      <c r="F11735" s="21"/>
      <c r="G11735" s="25"/>
      <c r="H11735" s="24" t="str">
        <f>IFERROR(VLOOKUP(B11735,material!A:D,3,0),"")</f>
        <v/>
      </c>
    </row>
    <row r="11736" ht="11.25" customHeight="1">
      <c r="A11736" s="21"/>
      <c r="B11736" s="22"/>
      <c r="C11736" s="21"/>
      <c r="D11736" s="21"/>
      <c r="E11736" s="21"/>
      <c r="F11736" s="21"/>
      <c r="G11736" s="25"/>
      <c r="H11736" s="24" t="str">
        <f>IFERROR(VLOOKUP(B11736,material!A:D,3,0),"")</f>
        <v/>
      </c>
    </row>
    <row r="11737" ht="11.25" customHeight="1">
      <c r="A11737" s="21"/>
      <c r="B11737" s="22"/>
      <c r="C11737" s="21"/>
      <c r="D11737" s="21"/>
      <c r="E11737" s="21"/>
      <c r="F11737" s="21"/>
      <c r="G11737" s="25"/>
      <c r="H11737" s="24" t="str">
        <f>IFERROR(VLOOKUP(B11737,material!A:D,3,0),"")</f>
        <v/>
      </c>
    </row>
    <row r="11738" ht="11.25" customHeight="1">
      <c r="A11738" s="21"/>
      <c r="B11738" s="22"/>
      <c r="C11738" s="21"/>
      <c r="D11738" s="21"/>
      <c r="E11738" s="21"/>
      <c r="F11738" s="21"/>
      <c r="G11738" s="25"/>
      <c r="H11738" s="24" t="str">
        <f>IFERROR(VLOOKUP(B11738,material!A:D,3,0),"")</f>
        <v/>
      </c>
    </row>
    <row r="11739" ht="11.25" customHeight="1">
      <c r="A11739" s="21"/>
      <c r="B11739" s="22"/>
      <c r="C11739" s="21"/>
      <c r="D11739" s="21"/>
      <c r="E11739" s="21"/>
      <c r="F11739" s="21"/>
      <c r="G11739" s="25"/>
      <c r="H11739" s="24" t="str">
        <f>IFERROR(VLOOKUP(B11739,material!A:D,3,0),"")</f>
        <v/>
      </c>
    </row>
    <row r="11740" ht="11.25" customHeight="1">
      <c r="A11740" s="21"/>
      <c r="B11740" s="22"/>
      <c r="C11740" s="21"/>
      <c r="D11740" s="21"/>
      <c r="E11740" s="21"/>
      <c r="F11740" s="21"/>
      <c r="G11740" s="25"/>
      <c r="H11740" s="24" t="str">
        <f>IFERROR(VLOOKUP(B11740,material!A:D,3,0),"")</f>
        <v/>
      </c>
    </row>
    <row r="11741" ht="11.25" customHeight="1">
      <c r="A11741" s="21"/>
      <c r="B11741" s="22"/>
      <c r="C11741" s="21"/>
      <c r="D11741" s="21"/>
      <c r="E11741" s="21"/>
      <c r="F11741" s="21"/>
      <c r="G11741" s="25"/>
      <c r="H11741" s="24" t="str">
        <f>IFERROR(VLOOKUP(B11741,material!A:D,3,0),"")</f>
        <v/>
      </c>
    </row>
    <row r="11742" ht="11.25" customHeight="1">
      <c r="A11742" s="21"/>
      <c r="B11742" s="22"/>
      <c r="C11742" s="21"/>
      <c r="D11742" s="21"/>
      <c r="E11742" s="21"/>
      <c r="F11742" s="21"/>
      <c r="G11742" s="25"/>
      <c r="H11742" s="24" t="str">
        <f>IFERROR(VLOOKUP(B11742,material!A:D,3,0),"")</f>
        <v/>
      </c>
    </row>
    <row r="11743" ht="11.25" customHeight="1">
      <c r="A11743" s="21"/>
      <c r="B11743" s="22"/>
      <c r="C11743" s="21"/>
      <c r="D11743" s="21"/>
      <c r="E11743" s="21"/>
      <c r="F11743" s="21"/>
      <c r="G11743" s="25"/>
      <c r="H11743" s="24" t="str">
        <f>IFERROR(VLOOKUP(B11743,material!A:D,3,0),"")</f>
        <v/>
      </c>
    </row>
    <row r="11744" ht="11.25" customHeight="1">
      <c r="A11744" s="21"/>
      <c r="B11744" s="22"/>
      <c r="C11744" s="21"/>
      <c r="D11744" s="21"/>
      <c r="E11744" s="21"/>
      <c r="F11744" s="21"/>
      <c r="G11744" s="25"/>
      <c r="H11744" s="24" t="str">
        <f>IFERROR(VLOOKUP(B11744,material!A:D,3,0),"")</f>
        <v/>
      </c>
    </row>
    <row r="11745" ht="11.25" customHeight="1">
      <c r="A11745" s="21"/>
      <c r="B11745" s="22"/>
      <c r="C11745" s="21"/>
      <c r="D11745" s="21"/>
      <c r="E11745" s="21"/>
      <c r="F11745" s="21"/>
      <c r="G11745" s="25"/>
      <c r="H11745" s="24" t="str">
        <f>IFERROR(VLOOKUP(B11745,material!A:D,3,0),"")</f>
        <v/>
      </c>
    </row>
    <row r="11746" ht="11.25" customHeight="1">
      <c r="A11746" s="21"/>
      <c r="B11746" s="22"/>
      <c r="C11746" s="21"/>
      <c r="D11746" s="21"/>
      <c r="E11746" s="21"/>
      <c r="F11746" s="21"/>
      <c r="G11746" s="25"/>
      <c r="H11746" s="24" t="str">
        <f>IFERROR(VLOOKUP(B11746,material!A:D,3,0),"")</f>
        <v/>
      </c>
    </row>
    <row r="11747" ht="11.25" customHeight="1">
      <c r="A11747" s="21"/>
      <c r="B11747" s="22"/>
      <c r="C11747" s="21"/>
      <c r="D11747" s="21"/>
      <c r="E11747" s="21"/>
      <c r="F11747" s="21"/>
      <c r="G11747" s="25"/>
      <c r="H11747" s="24" t="str">
        <f>IFERROR(VLOOKUP(B11747,material!A:D,3,0),"")</f>
        <v/>
      </c>
    </row>
    <row r="11748" ht="11.25" customHeight="1">
      <c r="A11748" s="21"/>
      <c r="B11748" s="22"/>
      <c r="C11748" s="21"/>
      <c r="D11748" s="21"/>
      <c r="E11748" s="21"/>
      <c r="F11748" s="21"/>
      <c r="G11748" s="25"/>
      <c r="H11748" s="24" t="str">
        <f>IFERROR(VLOOKUP(B11748,material!A:D,3,0),"")</f>
        <v/>
      </c>
    </row>
    <row r="11749" ht="11.25" customHeight="1">
      <c r="A11749" s="21"/>
      <c r="B11749" s="22"/>
      <c r="C11749" s="21"/>
      <c r="D11749" s="21"/>
      <c r="E11749" s="21"/>
      <c r="F11749" s="21"/>
      <c r="G11749" s="25"/>
      <c r="H11749" s="24" t="str">
        <f>IFERROR(VLOOKUP(B11749,material!A:D,3,0),"")</f>
        <v/>
      </c>
    </row>
    <row r="11750" ht="11.25" customHeight="1">
      <c r="A11750" s="21"/>
      <c r="B11750" s="22"/>
      <c r="C11750" s="21"/>
      <c r="D11750" s="21"/>
      <c r="E11750" s="21"/>
      <c r="F11750" s="21"/>
      <c r="G11750" s="25"/>
      <c r="H11750" s="24" t="str">
        <f>IFERROR(VLOOKUP(B11750,material!A:D,3,0),"")</f>
        <v/>
      </c>
    </row>
    <row r="11751" ht="11.25" customHeight="1">
      <c r="A11751" s="21"/>
      <c r="B11751" s="22"/>
      <c r="C11751" s="21"/>
      <c r="D11751" s="21"/>
      <c r="E11751" s="21"/>
      <c r="F11751" s="21"/>
      <c r="G11751" s="25"/>
      <c r="H11751" s="24" t="str">
        <f>IFERROR(VLOOKUP(B11751,material!A:D,3,0),"")</f>
        <v/>
      </c>
    </row>
    <row r="11752" ht="11.25" customHeight="1">
      <c r="A11752" s="21"/>
      <c r="B11752" s="22"/>
      <c r="C11752" s="21"/>
      <c r="D11752" s="21"/>
      <c r="E11752" s="21"/>
      <c r="F11752" s="21"/>
      <c r="G11752" s="25"/>
      <c r="H11752" s="24" t="str">
        <f>IFERROR(VLOOKUP(B11752,material!A:D,3,0),"")</f>
        <v/>
      </c>
    </row>
    <row r="11753" ht="11.25" customHeight="1">
      <c r="A11753" s="21"/>
      <c r="B11753" s="22"/>
      <c r="C11753" s="21"/>
      <c r="D11753" s="21"/>
      <c r="E11753" s="21"/>
      <c r="F11753" s="21"/>
      <c r="G11753" s="25"/>
      <c r="H11753" s="24" t="str">
        <f>IFERROR(VLOOKUP(B11753,material!A:D,3,0),"")</f>
        <v/>
      </c>
    </row>
    <row r="11754" ht="11.25" customHeight="1">
      <c r="A11754" s="21"/>
      <c r="B11754" s="22"/>
      <c r="C11754" s="21"/>
      <c r="D11754" s="21"/>
      <c r="E11754" s="21"/>
      <c r="F11754" s="21"/>
      <c r="G11754" s="25"/>
      <c r="H11754" s="24" t="str">
        <f>IFERROR(VLOOKUP(B11754,material!A:D,3,0),"")</f>
        <v/>
      </c>
    </row>
    <row r="11755" ht="11.25" customHeight="1">
      <c r="A11755" s="21"/>
      <c r="B11755" s="22"/>
      <c r="C11755" s="21"/>
      <c r="D11755" s="21"/>
      <c r="E11755" s="21"/>
      <c r="F11755" s="21"/>
      <c r="G11755" s="25"/>
      <c r="H11755" s="24" t="str">
        <f>IFERROR(VLOOKUP(B11755,material!A:D,3,0),"")</f>
        <v/>
      </c>
    </row>
    <row r="11756" ht="11.25" customHeight="1">
      <c r="A11756" s="21"/>
      <c r="B11756" s="22"/>
      <c r="C11756" s="21"/>
      <c r="D11756" s="21"/>
      <c r="E11756" s="21"/>
      <c r="F11756" s="21"/>
      <c r="G11756" s="25"/>
      <c r="H11756" s="24" t="str">
        <f>IFERROR(VLOOKUP(B11756,material!A:D,3,0),"")</f>
        <v/>
      </c>
    </row>
    <row r="11757" ht="11.25" customHeight="1">
      <c r="A11757" s="21"/>
      <c r="B11757" s="22"/>
      <c r="C11757" s="21"/>
      <c r="D11757" s="21"/>
      <c r="E11757" s="21"/>
      <c r="F11757" s="21"/>
      <c r="G11757" s="25"/>
      <c r="H11757" s="24" t="str">
        <f>IFERROR(VLOOKUP(B11757,material!A:D,3,0),"")</f>
        <v/>
      </c>
    </row>
    <row r="11758" ht="11.25" customHeight="1">
      <c r="A11758" s="21"/>
      <c r="B11758" s="22"/>
      <c r="C11758" s="21"/>
      <c r="D11758" s="21"/>
      <c r="E11758" s="21"/>
      <c r="F11758" s="21"/>
      <c r="G11758" s="25"/>
      <c r="H11758" s="24" t="str">
        <f>IFERROR(VLOOKUP(B11758,material!A:D,3,0),"")</f>
        <v/>
      </c>
    </row>
    <row r="11759" ht="11.25" customHeight="1">
      <c r="A11759" s="21"/>
      <c r="B11759" s="22"/>
      <c r="C11759" s="21"/>
      <c r="D11759" s="21"/>
      <c r="E11759" s="21"/>
      <c r="F11759" s="21"/>
      <c r="G11759" s="25"/>
      <c r="H11759" s="24" t="str">
        <f>IFERROR(VLOOKUP(B11759,material!A:D,3,0),"")</f>
        <v/>
      </c>
    </row>
    <row r="11760" ht="11.25" customHeight="1">
      <c r="A11760" s="21"/>
      <c r="B11760" s="22"/>
      <c r="C11760" s="21"/>
      <c r="D11760" s="21"/>
      <c r="E11760" s="21"/>
      <c r="F11760" s="21"/>
      <c r="G11760" s="25"/>
      <c r="H11760" s="24" t="str">
        <f>IFERROR(VLOOKUP(B11760,material!A:D,3,0),"")</f>
        <v/>
      </c>
    </row>
    <row r="11761" ht="11.25" customHeight="1">
      <c r="A11761" s="21"/>
      <c r="B11761" s="22"/>
      <c r="C11761" s="21"/>
      <c r="D11761" s="21"/>
      <c r="E11761" s="21"/>
      <c r="F11761" s="21"/>
      <c r="G11761" s="25"/>
      <c r="H11761" s="24" t="str">
        <f>IFERROR(VLOOKUP(B11761,material!A:D,3,0),"")</f>
        <v/>
      </c>
    </row>
    <row r="11762" ht="11.25" customHeight="1">
      <c r="A11762" s="21"/>
      <c r="B11762" s="22"/>
      <c r="C11762" s="21"/>
      <c r="D11762" s="21"/>
      <c r="E11762" s="21"/>
      <c r="F11762" s="21"/>
      <c r="G11762" s="25"/>
      <c r="H11762" s="24" t="str">
        <f>IFERROR(VLOOKUP(B11762,material!A:D,3,0),"")</f>
        <v/>
      </c>
    </row>
    <row r="11763" ht="11.25" customHeight="1">
      <c r="A11763" s="21"/>
      <c r="B11763" s="22"/>
      <c r="C11763" s="21"/>
      <c r="D11763" s="21"/>
      <c r="E11763" s="21"/>
      <c r="F11763" s="21"/>
      <c r="G11763" s="25"/>
      <c r="H11763" s="24" t="str">
        <f>IFERROR(VLOOKUP(B11763,material!A:D,3,0),"")</f>
        <v/>
      </c>
    </row>
    <row r="11764" ht="11.25" customHeight="1">
      <c r="A11764" s="21"/>
      <c r="B11764" s="22"/>
      <c r="C11764" s="21"/>
      <c r="D11764" s="21"/>
      <c r="E11764" s="21"/>
      <c r="F11764" s="21"/>
      <c r="G11764" s="25"/>
      <c r="H11764" s="24" t="str">
        <f>IFERROR(VLOOKUP(B11764,material!A:D,3,0),"")</f>
        <v/>
      </c>
    </row>
    <row r="11765" ht="11.25" customHeight="1">
      <c r="A11765" s="21"/>
      <c r="B11765" s="22"/>
      <c r="C11765" s="21"/>
      <c r="D11765" s="21"/>
      <c r="E11765" s="21"/>
      <c r="F11765" s="21"/>
      <c r="G11765" s="25"/>
      <c r="H11765" s="24" t="str">
        <f>IFERROR(VLOOKUP(B11765,material!A:D,3,0),"")</f>
        <v/>
      </c>
    </row>
    <row r="11766" ht="11.25" customHeight="1">
      <c r="A11766" s="21"/>
      <c r="B11766" s="22"/>
      <c r="C11766" s="21"/>
      <c r="D11766" s="21"/>
      <c r="E11766" s="21"/>
      <c r="F11766" s="21"/>
      <c r="G11766" s="25"/>
      <c r="H11766" s="24" t="str">
        <f>IFERROR(VLOOKUP(B11766,material!A:D,3,0),"")</f>
        <v/>
      </c>
    </row>
    <row r="11767" ht="11.25" customHeight="1">
      <c r="A11767" s="21"/>
      <c r="B11767" s="22"/>
      <c r="C11767" s="21"/>
      <c r="D11767" s="21"/>
      <c r="E11767" s="21"/>
      <c r="F11767" s="21"/>
      <c r="G11767" s="25"/>
      <c r="H11767" s="24" t="str">
        <f>IFERROR(VLOOKUP(B11767,material!A:D,3,0),"")</f>
        <v/>
      </c>
    </row>
    <row r="11768" ht="11.25" customHeight="1">
      <c r="A11768" s="21"/>
      <c r="B11768" s="22"/>
      <c r="C11768" s="21"/>
      <c r="D11768" s="21"/>
      <c r="E11768" s="21"/>
      <c r="F11768" s="21"/>
      <c r="G11768" s="25"/>
      <c r="H11768" s="24" t="str">
        <f>IFERROR(VLOOKUP(B11768,material!A:D,3,0),"")</f>
        <v/>
      </c>
    </row>
    <row r="11769" ht="11.25" customHeight="1">
      <c r="A11769" s="21"/>
      <c r="B11769" s="22"/>
      <c r="C11769" s="21"/>
      <c r="D11769" s="21"/>
      <c r="E11769" s="21"/>
      <c r="F11769" s="21"/>
      <c r="G11769" s="25"/>
      <c r="H11769" s="24" t="str">
        <f>IFERROR(VLOOKUP(B11769,material!A:D,3,0),"")</f>
        <v/>
      </c>
    </row>
    <row r="11770" ht="11.25" customHeight="1">
      <c r="A11770" s="21"/>
      <c r="B11770" s="22"/>
      <c r="C11770" s="21"/>
      <c r="D11770" s="21"/>
      <c r="E11770" s="21"/>
      <c r="F11770" s="21"/>
      <c r="G11770" s="25"/>
      <c r="H11770" s="24" t="str">
        <f>IFERROR(VLOOKUP(B11770,material!A:D,3,0),"")</f>
        <v/>
      </c>
    </row>
    <row r="11771" ht="11.25" customHeight="1">
      <c r="A11771" s="21"/>
      <c r="B11771" s="22"/>
      <c r="C11771" s="21"/>
      <c r="D11771" s="21"/>
      <c r="E11771" s="21"/>
      <c r="F11771" s="21"/>
      <c r="G11771" s="25"/>
      <c r="H11771" s="24" t="str">
        <f>IFERROR(VLOOKUP(B11771,material!A:D,3,0),"")</f>
        <v/>
      </c>
    </row>
    <row r="11772" ht="11.25" customHeight="1">
      <c r="A11772" s="21"/>
      <c r="B11772" s="22"/>
      <c r="C11772" s="21"/>
      <c r="D11772" s="21"/>
      <c r="E11772" s="21"/>
      <c r="F11772" s="21"/>
      <c r="G11772" s="25"/>
      <c r="H11772" s="24" t="str">
        <f>IFERROR(VLOOKUP(B11772,material!A:D,3,0),"")</f>
        <v/>
      </c>
    </row>
    <row r="11773" ht="11.25" customHeight="1">
      <c r="A11773" s="21"/>
      <c r="B11773" s="22"/>
      <c r="C11773" s="21"/>
      <c r="D11773" s="21"/>
      <c r="E11773" s="21"/>
      <c r="F11773" s="21"/>
      <c r="G11773" s="25"/>
      <c r="H11773" s="24" t="str">
        <f>IFERROR(VLOOKUP(B11773,material!A:D,3,0),"")</f>
        <v/>
      </c>
    </row>
    <row r="11774" ht="11.25" customHeight="1">
      <c r="A11774" s="21"/>
      <c r="B11774" s="22"/>
      <c r="C11774" s="21"/>
      <c r="D11774" s="21"/>
      <c r="E11774" s="21"/>
      <c r="F11774" s="21"/>
      <c r="G11774" s="25"/>
      <c r="H11774" s="24" t="str">
        <f>IFERROR(VLOOKUP(B11774,material!A:D,3,0),"")</f>
        <v/>
      </c>
    </row>
    <row r="11775" ht="11.25" customHeight="1">
      <c r="A11775" s="21"/>
      <c r="B11775" s="22"/>
      <c r="C11775" s="21"/>
      <c r="D11775" s="21"/>
      <c r="E11775" s="21"/>
      <c r="F11775" s="21"/>
      <c r="G11775" s="25"/>
      <c r="H11775" s="24" t="str">
        <f>IFERROR(VLOOKUP(B11775,material!A:D,3,0),"")</f>
        <v/>
      </c>
    </row>
    <row r="11776" ht="11.25" customHeight="1">
      <c r="A11776" s="21"/>
      <c r="B11776" s="22"/>
      <c r="C11776" s="21"/>
      <c r="D11776" s="21"/>
      <c r="E11776" s="21"/>
      <c r="F11776" s="21"/>
      <c r="G11776" s="25"/>
      <c r="H11776" s="24" t="str">
        <f>IFERROR(VLOOKUP(B11776,material!A:D,3,0),"")</f>
        <v/>
      </c>
    </row>
    <row r="11777" ht="11.25" customHeight="1">
      <c r="A11777" s="21"/>
      <c r="B11777" s="22"/>
      <c r="C11777" s="21"/>
      <c r="D11777" s="21"/>
      <c r="E11777" s="21"/>
      <c r="F11777" s="21"/>
      <c r="G11777" s="25"/>
      <c r="H11777" s="24" t="str">
        <f>IFERROR(VLOOKUP(B11777,material!A:D,3,0),"")</f>
        <v/>
      </c>
    </row>
    <row r="11778" ht="11.25" customHeight="1">
      <c r="A11778" s="21"/>
      <c r="B11778" s="22"/>
      <c r="C11778" s="21"/>
      <c r="D11778" s="21"/>
      <c r="E11778" s="21"/>
      <c r="F11778" s="21"/>
      <c r="G11778" s="25"/>
      <c r="H11778" s="24" t="str">
        <f>IFERROR(VLOOKUP(B11778,material!A:D,3,0),"")</f>
        <v/>
      </c>
    </row>
    <row r="11779" ht="11.25" customHeight="1">
      <c r="A11779" s="21"/>
      <c r="B11779" s="22"/>
      <c r="C11779" s="21"/>
      <c r="D11779" s="21"/>
      <c r="E11779" s="21"/>
      <c r="F11779" s="21"/>
      <c r="G11779" s="25"/>
      <c r="H11779" s="24" t="str">
        <f>IFERROR(VLOOKUP(B11779,material!A:D,3,0),"")</f>
        <v/>
      </c>
    </row>
    <row r="11780" ht="11.25" customHeight="1">
      <c r="A11780" s="21"/>
      <c r="B11780" s="22"/>
      <c r="C11780" s="21"/>
      <c r="D11780" s="21"/>
      <c r="E11780" s="21"/>
      <c r="F11780" s="21"/>
      <c r="G11780" s="25"/>
      <c r="H11780" s="24" t="str">
        <f>IFERROR(VLOOKUP(B11780,material!A:D,3,0),"")</f>
        <v/>
      </c>
    </row>
    <row r="11781" ht="11.25" customHeight="1">
      <c r="A11781" s="21"/>
      <c r="B11781" s="22"/>
      <c r="C11781" s="21"/>
      <c r="D11781" s="21"/>
      <c r="E11781" s="21"/>
      <c r="F11781" s="21"/>
      <c r="G11781" s="25"/>
      <c r="H11781" s="24" t="str">
        <f>IFERROR(VLOOKUP(B11781,material!A:D,3,0),"")</f>
        <v/>
      </c>
    </row>
    <row r="11782" ht="11.25" customHeight="1">
      <c r="A11782" s="21"/>
      <c r="B11782" s="22"/>
      <c r="C11782" s="21"/>
      <c r="D11782" s="21"/>
      <c r="E11782" s="21"/>
      <c r="F11782" s="21"/>
      <c r="G11782" s="25"/>
      <c r="H11782" s="24" t="str">
        <f>IFERROR(VLOOKUP(B11782,material!A:D,3,0),"")</f>
        <v/>
      </c>
    </row>
    <row r="11783" ht="11.25" customHeight="1">
      <c r="A11783" s="21"/>
      <c r="B11783" s="22"/>
      <c r="C11783" s="21"/>
      <c r="D11783" s="21"/>
      <c r="E11783" s="21"/>
      <c r="F11783" s="21"/>
      <c r="G11783" s="25"/>
      <c r="H11783" s="24" t="str">
        <f>IFERROR(VLOOKUP(B11783,material!A:D,3,0),"")</f>
        <v/>
      </c>
    </row>
    <row r="11784" ht="11.25" customHeight="1">
      <c r="A11784" s="21"/>
      <c r="B11784" s="22"/>
      <c r="C11784" s="21"/>
      <c r="D11784" s="21"/>
      <c r="E11784" s="21"/>
      <c r="F11784" s="21"/>
      <c r="G11784" s="25"/>
      <c r="H11784" s="24" t="str">
        <f>IFERROR(VLOOKUP(B11784,material!A:D,3,0),"")</f>
        <v/>
      </c>
    </row>
    <row r="11785" ht="11.25" customHeight="1">
      <c r="A11785" s="21"/>
      <c r="B11785" s="22"/>
      <c r="C11785" s="21"/>
      <c r="D11785" s="21"/>
      <c r="E11785" s="21"/>
      <c r="F11785" s="21"/>
      <c r="G11785" s="25"/>
      <c r="H11785" s="24" t="str">
        <f>IFERROR(VLOOKUP(B11785,material!A:D,3,0),"")</f>
        <v/>
      </c>
    </row>
    <row r="11786" ht="11.25" customHeight="1">
      <c r="A11786" s="21"/>
      <c r="B11786" s="22"/>
      <c r="C11786" s="21"/>
      <c r="D11786" s="21"/>
      <c r="E11786" s="21"/>
      <c r="F11786" s="21"/>
      <c r="G11786" s="25"/>
      <c r="H11786" s="24" t="str">
        <f>IFERROR(VLOOKUP(B11786,material!A:D,3,0),"")</f>
        <v/>
      </c>
    </row>
    <row r="11787" ht="11.25" customHeight="1">
      <c r="A11787" s="21"/>
      <c r="B11787" s="22"/>
      <c r="C11787" s="21"/>
      <c r="D11787" s="21"/>
      <c r="E11787" s="21"/>
      <c r="F11787" s="21"/>
      <c r="G11787" s="25"/>
      <c r="H11787" s="24" t="str">
        <f>IFERROR(VLOOKUP(B11787,material!A:D,3,0),"")</f>
        <v/>
      </c>
    </row>
    <row r="11788" ht="11.25" customHeight="1">
      <c r="A11788" s="21"/>
      <c r="B11788" s="22"/>
      <c r="C11788" s="21"/>
      <c r="D11788" s="21"/>
      <c r="E11788" s="21"/>
      <c r="F11788" s="21"/>
      <c r="G11788" s="25"/>
      <c r="H11788" s="24" t="str">
        <f>IFERROR(VLOOKUP(B11788,material!A:D,3,0),"")</f>
        <v/>
      </c>
    </row>
    <row r="11789" ht="11.25" customHeight="1">
      <c r="A11789" s="21"/>
      <c r="B11789" s="22"/>
      <c r="C11789" s="21"/>
      <c r="D11789" s="21"/>
      <c r="E11789" s="21"/>
      <c r="F11789" s="21"/>
      <c r="G11789" s="25"/>
      <c r="H11789" s="24" t="str">
        <f>IFERROR(VLOOKUP(B11789,material!A:D,3,0),"")</f>
        <v/>
      </c>
    </row>
    <row r="11790" ht="11.25" customHeight="1">
      <c r="A11790" s="21"/>
      <c r="B11790" s="22"/>
      <c r="C11790" s="21"/>
      <c r="D11790" s="21"/>
      <c r="E11790" s="21"/>
      <c r="F11790" s="21"/>
      <c r="G11790" s="25"/>
      <c r="H11790" s="24" t="str">
        <f>IFERROR(VLOOKUP(B11790,material!A:D,3,0),"")</f>
        <v/>
      </c>
    </row>
    <row r="11791" ht="11.25" customHeight="1">
      <c r="A11791" s="21"/>
      <c r="B11791" s="22"/>
      <c r="C11791" s="21"/>
      <c r="D11791" s="21"/>
      <c r="E11791" s="21"/>
      <c r="F11791" s="21"/>
      <c r="G11791" s="25"/>
      <c r="H11791" s="24" t="str">
        <f>IFERROR(VLOOKUP(B11791,material!A:D,3,0),"")</f>
        <v/>
      </c>
    </row>
    <row r="11792" ht="11.25" customHeight="1">
      <c r="A11792" s="21"/>
      <c r="B11792" s="22"/>
      <c r="C11792" s="21"/>
      <c r="D11792" s="21"/>
      <c r="E11792" s="21"/>
      <c r="F11792" s="21"/>
      <c r="G11792" s="25"/>
      <c r="H11792" s="24" t="str">
        <f>IFERROR(VLOOKUP(B11792,material!A:D,3,0),"")</f>
        <v/>
      </c>
    </row>
    <row r="11793" ht="11.25" customHeight="1">
      <c r="A11793" s="21"/>
      <c r="B11793" s="22"/>
      <c r="C11793" s="21"/>
      <c r="D11793" s="21"/>
      <c r="E11793" s="21"/>
      <c r="F11793" s="21"/>
      <c r="G11793" s="25"/>
      <c r="H11793" s="24" t="str">
        <f>IFERROR(VLOOKUP(B11793,material!A:D,3,0),"")</f>
        <v/>
      </c>
    </row>
    <row r="11794" ht="11.25" customHeight="1">
      <c r="A11794" s="21"/>
      <c r="B11794" s="22"/>
      <c r="C11794" s="21"/>
      <c r="D11794" s="21"/>
      <c r="E11794" s="21"/>
      <c r="F11794" s="21"/>
      <c r="G11794" s="25"/>
      <c r="H11794" s="24" t="str">
        <f>IFERROR(VLOOKUP(B11794,material!A:D,3,0),"")</f>
        <v/>
      </c>
    </row>
    <row r="11795" ht="11.25" customHeight="1">
      <c r="A11795" s="21"/>
      <c r="B11795" s="22"/>
      <c r="C11795" s="21"/>
      <c r="D11795" s="21"/>
      <c r="E11795" s="21"/>
      <c r="F11795" s="21"/>
      <c r="G11795" s="25"/>
      <c r="H11795" s="24" t="str">
        <f>IFERROR(VLOOKUP(B11795,material!A:D,3,0),"")</f>
        <v/>
      </c>
    </row>
    <row r="11796" ht="11.25" customHeight="1">
      <c r="A11796" s="21"/>
      <c r="B11796" s="22"/>
      <c r="C11796" s="21"/>
      <c r="D11796" s="21"/>
      <c r="E11796" s="21"/>
      <c r="F11796" s="21"/>
      <c r="G11796" s="25"/>
      <c r="H11796" s="24" t="str">
        <f>IFERROR(VLOOKUP(B11796,material!A:D,3,0),"")</f>
        <v/>
      </c>
    </row>
    <row r="11797" ht="11.25" customHeight="1">
      <c r="A11797" s="21"/>
      <c r="B11797" s="22"/>
      <c r="C11797" s="21"/>
      <c r="D11797" s="21"/>
      <c r="E11797" s="21"/>
      <c r="F11797" s="21"/>
      <c r="G11797" s="25"/>
      <c r="H11797" s="24" t="str">
        <f>IFERROR(VLOOKUP(B11797,material!A:D,3,0),"")</f>
        <v/>
      </c>
    </row>
    <row r="11798" ht="11.25" customHeight="1">
      <c r="A11798" s="21"/>
      <c r="B11798" s="22"/>
      <c r="C11798" s="21"/>
      <c r="D11798" s="21"/>
      <c r="E11798" s="21"/>
      <c r="F11798" s="21"/>
      <c r="G11798" s="25"/>
      <c r="H11798" s="24" t="str">
        <f>IFERROR(VLOOKUP(B11798,material!A:D,3,0),"")</f>
        <v/>
      </c>
    </row>
    <row r="11799" ht="11.25" customHeight="1">
      <c r="A11799" s="21"/>
      <c r="B11799" s="22"/>
      <c r="C11799" s="21"/>
      <c r="D11799" s="21"/>
      <c r="E11799" s="21"/>
      <c r="F11799" s="21"/>
      <c r="G11799" s="25"/>
      <c r="H11799" s="24" t="str">
        <f>IFERROR(VLOOKUP(B11799,material!A:D,3,0),"")</f>
        <v/>
      </c>
    </row>
    <row r="11800" ht="11.25" customHeight="1">
      <c r="A11800" s="21"/>
      <c r="B11800" s="22"/>
      <c r="C11800" s="21"/>
      <c r="D11800" s="21"/>
      <c r="E11800" s="21"/>
      <c r="F11800" s="21"/>
      <c r="G11800" s="25"/>
      <c r="H11800" s="24" t="str">
        <f>IFERROR(VLOOKUP(B11800,material!A:D,3,0),"")</f>
        <v/>
      </c>
    </row>
    <row r="11801" ht="11.25" customHeight="1">
      <c r="A11801" s="21"/>
      <c r="B11801" s="22"/>
      <c r="C11801" s="21"/>
      <c r="D11801" s="21"/>
      <c r="E11801" s="21"/>
      <c r="F11801" s="21"/>
      <c r="G11801" s="25"/>
      <c r="H11801" s="24" t="str">
        <f>IFERROR(VLOOKUP(B11801,material!A:D,3,0),"")</f>
        <v/>
      </c>
    </row>
    <row r="11802" ht="11.25" customHeight="1">
      <c r="A11802" s="21"/>
      <c r="B11802" s="22"/>
      <c r="C11802" s="21"/>
      <c r="D11802" s="21"/>
      <c r="E11802" s="21"/>
      <c r="F11802" s="21"/>
      <c r="G11802" s="25"/>
      <c r="H11802" s="24" t="str">
        <f>IFERROR(VLOOKUP(B11802,material!A:D,3,0),"")</f>
        <v/>
      </c>
    </row>
    <row r="11803" ht="11.25" customHeight="1">
      <c r="A11803" s="21"/>
      <c r="B11803" s="22"/>
      <c r="C11803" s="21"/>
      <c r="D11803" s="21"/>
      <c r="E11803" s="21"/>
      <c r="F11803" s="21"/>
      <c r="G11803" s="25"/>
      <c r="H11803" s="24" t="str">
        <f>IFERROR(VLOOKUP(B11803,material!A:D,3,0),"")</f>
        <v/>
      </c>
    </row>
    <row r="11804" ht="11.25" customHeight="1">
      <c r="A11804" s="21"/>
      <c r="B11804" s="22"/>
      <c r="C11804" s="21"/>
      <c r="D11804" s="21"/>
      <c r="E11804" s="21"/>
      <c r="F11804" s="21"/>
      <c r="G11804" s="25"/>
      <c r="H11804" s="24" t="str">
        <f>IFERROR(VLOOKUP(B11804,material!A:D,3,0),"")</f>
        <v/>
      </c>
    </row>
    <row r="11805" ht="11.25" customHeight="1">
      <c r="A11805" s="21"/>
      <c r="B11805" s="22"/>
      <c r="C11805" s="21"/>
      <c r="D11805" s="21"/>
      <c r="E11805" s="21"/>
      <c r="F11805" s="21"/>
      <c r="G11805" s="25"/>
      <c r="H11805" s="24" t="str">
        <f>IFERROR(VLOOKUP(B11805,material!A:D,3,0),"")</f>
        <v/>
      </c>
    </row>
    <row r="11806" ht="11.25" customHeight="1">
      <c r="A11806" s="21"/>
      <c r="B11806" s="22"/>
      <c r="C11806" s="21"/>
      <c r="D11806" s="21"/>
      <c r="E11806" s="21"/>
      <c r="F11806" s="21"/>
      <c r="G11806" s="25"/>
      <c r="H11806" s="24" t="str">
        <f>IFERROR(VLOOKUP(B11806,material!A:D,3,0),"")</f>
        <v/>
      </c>
    </row>
    <row r="11807" ht="11.25" customHeight="1">
      <c r="A11807" s="21"/>
      <c r="B11807" s="22"/>
      <c r="C11807" s="21"/>
      <c r="D11807" s="21"/>
      <c r="E11807" s="21"/>
      <c r="F11807" s="21"/>
      <c r="G11807" s="25"/>
      <c r="H11807" s="24" t="str">
        <f>IFERROR(VLOOKUP(B11807,material!A:D,3,0),"")</f>
        <v/>
      </c>
    </row>
    <row r="11808" ht="11.25" customHeight="1">
      <c r="A11808" s="21"/>
      <c r="B11808" s="22"/>
      <c r="C11808" s="21"/>
      <c r="D11808" s="21"/>
      <c r="E11808" s="21"/>
      <c r="F11808" s="21"/>
      <c r="G11808" s="25"/>
      <c r="H11808" s="24" t="str">
        <f>IFERROR(VLOOKUP(B11808,material!A:D,3,0),"")</f>
        <v/>
      </c>
    </row>
    <row r="11809" ht="11.25" customHeight="1">
      <c r="A11809" s="21"/>
      <c r="B11809" s="22"/>
      <c r="C11809" s="21"/>
      <c r="D11809" s="21"/>
      <c r="E11809" s="21"/>
      <c r="F11809" s="21"/>
      <c r="G11809" s="25"/>
      <c r="H11809" s="24" t="str">
        <f>IFERROR(VLOOKUP(B11809,material!A:D,3,0),"")</f>
        <v/>
      </c>
    </row>
    <row r="11810" ht="11.25" customHeight="1">
      <c r="A11810" s="21"/>
      <c r="B11810" s="22"/>
      <c r="C11810" s="21"/>
      <c r="D11810" s="21"/>
      <c r="E11810" s="21"/>
      <c r="F11810" s="21"/>
      <c r="G11810" s="25"/>
      <c r="H11810" s="24" t="str">
        <f>IFERROR(VLOOKUP(B11810,material!A:D,3,0),"")</f>
        <v/>
      </c>
    </row>
    <row r="11811" ht="11.25" customHeight="1">
      <c r="A11811" s="21"/>
      <c r="B11811" s="22"/>
      <c r="C11811" s="21"/>
      <c r="D11811" s="21"/>
      <c r="E11811" s="21"/>
      <c r="F11811" s="21"/>
      <c r="G11811" s="25"/>
      <c r="H11811" s="24" t="str">
        <f>IFERROR(VLOOKUP(B11811,material!A:D,3,0),"")</f>
        <v/>
      </c>
    </row>
    <row r="11812" ht="11.25" customHeight="1">
      <c r="A11812" s="21"/>
      <c r="B11812" s="22"/>
      <c r="C11812" s="21"/>
      <c r="D11812" s="21"/>
      <c r="E11812" s="21"/>
      <c r="F11812" s="21"/>
      <c r="G11812" s="25"/>
      <c r="H11812" s="24" t="str">
        <f>IFERROR(VLOOKUP(B11812,material!A:D,3,0),"")</f>
        <v/>
      </c>
    </row>
    <row r="11813" ht="11.25" customHeight="1">
      <c r="A11813" s="21"/>
      <c r="B11813" s="22"/>
      <c r="C11813" s="21"/>
      <c r="D11813" s="21"/>
      <c r="E11813" s="21"/>
      <c r="F11813" s="21"/>
      <c r="G11813" s="25"/>
      <c r="H11813" s="24" t="str">
        <f>IFERROR(VLOOKUP(B11813,material!A:D,3,0),"")</f>
        <v/>
      </c>
    </row>
    <row r="11814" ht="11.25" customHeight="1">
      <c r="A11814" s="21"/>
      <c r="B11814" s="22"/>
      <c r="C11814" s="21"/>
      <c r="D11814" s="21"/>
      <c r="E11814" s="21"/>
      <c r="F11814" s="21"/>
      <c r="G11814" s="25"/>
      <c r="H11814" s="24" t="str">
        <f>IFERROR(VLOOKUP(B11814,material!A:D,3,0),"")</f>
        <v/>
      </c>
    </row>
    <row r="11815" ht="11.25" customHeight="1">
      <c r="A11815" s="21"/>
      <c r="B11815" s="22"/>
      <c r="C11815" s="21"/>
      <c r="D11815" s="21"/>
      <c r="E11815" s="21"/>
      <c r="F11815" s="21"/>
      <c r="G11815" s="25"/>
      <c r="H11815" s="24" t="str">
        <f>IFERROR(VLOOKUP(B11815,material!A:D,3,0),"")</f>
        <v/>
      </c>
    </row>
    <row r="11816" ht="11.25" customHeight="1">
      <c r="A11816" s="21"/>
      <c r="B11816" s="22"/>
      <c r="C11816" s="21"/>
      <c r="D11816" s="21"/>
      <c r="E11816" s="21"/>
      <c r="F11816" s="21"/>
      <c r="G11816" s="25"/>
      <c r="H11816" s="24" t="str">
        <f>IFERROR(VLOOKUP(B11816,material!A:D,3,0),"")</f>
        <v/>
      </c>
    </row>
    <row r="11817" ht="11.25" customHeight="1">
      <c r="A11817" s="21"/>
      <c r="B11817" s="22"/>
      <c r="C11817" s="21"/>
      <c r="D11817" s="21"/>
      <c r="E11817" s="21"/>
      <c r="F11817" s="21"/>
      <c r="G11817" s="25"/>
      <c r="H11817" s="24" t="str">
        <f>IFERROR(VLOOKUP(B11817,material!A:D,3,0),"")</f>
        <v/>
      </c>
    </row>
    <row r="11818" ht="11.25" customHeight="1">
      <c r="A11818" s="21"/>
      <c r="B11818" s="22"/>
      <c r="C11818" s="21"/>
      <c r="D11818" s="21"/>
      <c r="E11818" s="21"/>
      <c r="F11818" s="21"/>
      <c r="G11818" s="25"/>
      <c r="H11818" s="24" t="str">
        <f>IFERROR(VLOOKUP(B11818,material!A:D,3,0),"")</f>
        <v/>
      </c>
    </row>
    <row r="11819" ht="11.25" customHeight="1">
      <c r="A11819" s="21"/>
      <c r="B11819" s="22"/>
      <c r="C11819" s="21"/>
      <c r="D11819" s="21"/>
      <c r="E11819" s="21"/>
      <c r="F11819" s="21"/>
      <c r="G11819" s="25"/>
      <c r="H11819" s="24" t="str">
        <f>IFERROR(VLOOKUP(B11819,material!A:D,3,0),"")</f>
        <v/>
      </c>
    </row>
    <row r="11820" ht="11.25" customHeight="1">
      <c r="A11820" s="21"/>
      <c r="B11820" s="22"/>
      <c r="C11820" s="21"/>
      <c r="D11820" s="21"/>
      <c r="E11820" s="21"/>
      <c r="F11820" s="21"/>
      <c r="G11820" s="25"/>
      <c r="H11820" s="24" t="str">
        <f>IFERROR(VLOOKUP(B11820,material!A:D,3,0),"")</f>
        <v/>
      </c>
    </row>
    <row r="11821" ht="11.25" customHeight="1">
      <c r="A11821" s="21"/>
      <c r="B11821" s="22"/>
      <c r="C11821" s="21"/>
      <c r="D11821" s="21"/>
      <c r="E11821" s="21"/>
      <c r="F11821" s="21"/>
      <c r="G11821" s="25"/>
      <c r="H11821" s="24" t="str">
        <f>IFERROR(VLOOKUP(B11821,material!A:D,3,0),"")</f>
        <v/>
      </c>
    </row>
    <row r="11822" ht="11.25" customHeight="1">
      <c r="A11822" s="21"/>
      <c r="B11822" s="22"/>
      <c r="C11822" s="21"/>
      <c r="D11822" s="21"/>
      <c r="E11822" s="21"/>
      <c r="F11822" s="21"/>
      <c r="G11822" s="25"/>
      <c r="H11822" s="24" t="str">
        <f>IFERROR(VLOOKUP(B11822,material!A:D,3,0),"")</f>
        <v/>
      </c>
    </row>
    <row r="11823" ht="11.25" customHeight="1">
      <c r="A11823" s="21"/>
      <c r="B11823" s="22"/>
      <c r="C11823" s="21"/>
      <c r="D11823" s="21"/>
      <c r="E11823" s="21"/>
      <c r="F11823" s="21"/>
      <c r="G11823" s="25"/>
      <c r="H11823" s="24" t="str">
        <f>IFERROR(VLOOKUP(B11823,material!A:D,3,0),"")</f>
        <v/>
      </c>
    </row>
    <row r="11824" ht="11.25" customHeight="1">
      <c r="A11824" s="21"/>
      <c r="B11824" s="22"/>
      <c r="C11824" s="21"/>
      <c r="D11824" s="21"/>
      <c r="E11824" s="21"/>
      <c r="F11824" s="21"/>
      <c r="G11824" s="25"/>
      <c r="H11824" s="24" t="str">
        <f>IFERROR(VLOOKUP(B11824,material!A:D,3,0),"")</f>
        <v/>
      </c>
    </row>
    <row r="11825" ht="11.25" customHeight="1">
      <c r="A11825" s="21"/>
      <c r="B11825" s="22"/>
      <c r="C11825" s="21"/>
      <c r="D11825" s="21"/>
      <c r="E11825" s="21"/>
      <c r="F11825" s="21"/>
      <c r="G11825" s="25"/>
      <c r="H11825" s="24" t="str">
        <f>IFERROR(VLOOKUP(B11825,material!A:D,3,0),"")</f>
        <v/>
      </c>
    </row>
    <row r="11826" ht="11.25" customHeight="1">
      <c r="A11826" s="21"/>
      <c r="B11826" s="22"/>
      <c r="C11826" s="21"/>
      <c r="D11826" s="21"/>
      <c r="E11826" s="21"/>
      <c r="F11826" s="21"/>
      <c r="G11826" s="25"/>
      <c r="H11826" s="24" t="str">
        <f>IFERROR(VLOOKUP(B11826,material!A:D,3,0),"")</f>
        <v/>
      </c>
    </row>
    <row r="11827" ht="11.25" customHeight="1">
      <c r="A11827" s="21"/>
      <c r="B11827" s="22"/>
      <c r="C11827" s="21"/>
      <c r="D11827" s="21"/>
      <c r="E11827" s="21"/>
      <c r="F11827" s="21"/>
      <c r="G11827" s="25"/>
      <c r="H11827" s="24" t="str">
        <f>IFERROR(VLOOKUP(B11827,material!A:D,3,0),"")</f>
        <v/>
      </c>
    </row>
    <row r="11828" ht="11.25" customHeight="1">
      <c r="A11828" s="21"/>
      <c r="B11828" s="22"/>
      <c r="C11828" s="21"/>
      <c r="D11828" s="21"/>
      <c r="E11828" s="21"/>
      <c r="F11828" s="21"/>
      <c r="G11828" s="25"/>
      <c r="H11828" s="24" t="str">
        <f>IFERROR(VLOOKUP(B11828,material!A:D,3,0),"")</f>
        <v/>
      </c>
    </row>
    <row r="11829" ht="11.25" customHeight="1">
      <c r="A11829" s="21"/>
      <c r="B11829" s="22"/>
      <c r="C11829" s="21"/>
      <c r="D11829" s="21"/>
      <c r="E11829" s="21"/>
      <c r="F11829" s="21"/>
      <c r="G11829" s="25"/>
      <c r="H11829" s="24" t="str">
        <f>IFERROR(VLOOKUP(B11829,material!A:D,3,0),"")</f>
        <v/>
      </c>
    </row>
    <row r="11830" ht="11.25" customHeight="1">
      <c r="A11830" s="21"/>
      <c r="B11830" s="22"/>
      <c r="C11830" s="21"/>
      <c r="D11830" s="21"/>
      <c r="E11830" s="21"/>
      <c r="F11830" s="21"/>
      <c r="G11830" s="25"/>
      <c r="H11830" s="24" t="str">
        <f>IFERROR(VLOOKUP(B11830,material!A:D,3,0),"")</f>
        <v/>
      </c>
    </row>
    <row r="11831" ht="11.25" customHeight="1">
      <c r="A11831" s="21"/>
      <c r="B11831" s="22"/>
      <c r="C11831" s="21"/>
      <c r="D11831" s="21"/>
      <c r="E11831" s="21"/>
      <c r="F11831" s="21"/>
      <c r="G11831" s="25"/>
      <c r="H11831" s="24" t="str">
        <f>IFERROR(VLOOKUP(B11831,material!A:D,3,0),"")</f>
        <v/>
      </c>
    </row>
    <row r="11832" ht="11.25" customHeight="1">
      <c r="A11832" s="21"/>
      <c r="B11832" s="22"/>
      <c r="C11832" s="21"/>
      <c r="D11832" s="21"/>
      <c r="E11832" s="21"/>
      <c r="F11832" s="21"/>
      <c r="G11832" s="25"/>
      <c r="H11832" s="24" t="str">
        <f>IFERROR(VLOOKUP(B11832,material!A:D,3,0),"")</f>
        <v/>
      </c>
    </row>
    <row r="11833" ht="11.25" customHeight="1">
      <c r="A11833" s="21"/>
      <c r="B11833" s="22"/>
      <c r="C11833" s="21"/>
      <c r="D11833" s="21"/>
      <c r="E11833" s="21"/>
      <c r="F11833" s="21"/>
      <c r="G11833" s="25"/>
      <c r="H11833" s="24" t="str">
        <f>IFERROR(VLOOKUP(B11833,material!A:D,3,0),"")</f>
        <v/>
      </c>
    </row>
    <row r="11834" ht="11.25" customHeight="1">
      <c r="A11834" s="21"/>
      <c r="B11834" s="22"/>
      <c r="C11834" s="21"/>
      <c r="D11834" s="21"/>
      <c r="E11834" s="21"/>
      <c r="F11834" s="21"/>
      <c r="G11834" s="25"/>
      <c r="H11834" s="24" t="str">
        <f>IFERROR(VLOOKUP(B11834,material!A:D,3,0),"")</f>
        <v/>
      </c>
    </row>
    <row r="11835" ht="11.25" customHeight="1">
      <c r="A11835" s="21"/>
      <c r="B11835" s="22"/>
      <c r="C11835" s="21"/>
      <c r="D11835" s="21"/>
      <c r="E11835" s="21"/>
      <c r="F11835" s="21"/>
      <c r="G11835" s="25"/>
      <c r="H11835" s="24" t="str">
        <f>IFERROR(VLOOKUP(B11835,material!A:D,3,0),"")</f>
        <v/>
      </c>
    </row>
    <row r="11836" ht="11.25" customHeight="1">
      <c r="A11836" s="21"/>
      <c r="B11836" s="22"/>
      <c r="C11836" s="21"/>
      <c r="D11836" s="21"/>
      <c r="E11836" s="21"/>
      <c r="F11836" s="21"/>
      <c r="G11836" s="25"/>
      <c r="H11836" s="24" t="str">
        <f>IFERROR(VLOOKUP(B11836,material!A:D,3,0),"")</f>
        <v/>
      </c>
    </row>
    <row r="11837" ht="11.25" customHeight="1">
      <c r="A11837" s="21"/>
      <c r="B11837" s="22"/>
      <c r="C11837" s="21"/>
      <c r="D11837" s="21"/>
      <c r="E11837" s="21"/>
      <c r="F11837" s="21"/>
      <c r="G11837" s="25"/>
      <c r="H11837" s="24" t="str">
        <f>IFERROR(VLOOKUP(B11837,material!A:D,3,0),"")</f>
        <v/>
      </c>
    </row>
    <row r="11838" ht="11.25" customHeight="1">
      <c r="A11838" s="21"/>
      <c r="B11838" s="22"/>
      <c r="C11838" s="21"/>
      <c r="D11838" s="21"/>
      <c r="E11838" s="21"/>
      <c r="F11838" s="21"/>
      <c r="G11838" s="25"/>
      <c r="H11838" s="24" t="str">
        <f>IFERROR(VLOOKUP(B11838,material!A:D,3,0),"")</f>
        <v/>
      </c>
    </row>
    <row r="11839" ht="11.25" customHeight="1">
      <c r="A11839" s="21"/>
      <c r="B11839" s="22"/>
      <c r="C11839" s="21"/>
      <c r="D11839" s="21"/>
      <c r="E11839" s="21"/>
      <c r="F11839" s="21"/>
      <c r="G11839" s="25"/>
      <c r="H11839" s="24" t="str">
        <f>IFERROR(VLOOKUP(B11839,material!A:D,3,0),"")</f>
        <v/>
      </c>
    </row>
    <row r="11840" ht="11.25" customHeight="1">
      <c r="A11840" s="21"/>
      <c r="B11840" s="22"/>
      <c r="C11840" s="21"/>
      <c r="D11840" s="21"/>
      <c r="E11840" s="21"/>
      <c r="F11840" s="21"/>
      <c r="G11840" s="25"/>
      <c r="H11840" s="24" t="str">
        <f>IFERROR(VLOOKUP(B11840,material!A:D,3,0),"")</f>
        <v/>
      </c>
    </row>
    <row r="11841" ht="11.25" customHeight="1">
      <c r="A11841" s="21"/>
      <c r="B11841" s="22"/>
      <c r="C11841" s="21"/>
      <c r="D11841" s="21"/>
      <c r="E11841" s="21"/>
      <c r="F11841" s="21"/>
      <c r="G11841" s="25"/>
      <c r="H11841" s="24" t="str">
        <f>IFERROR(VLOOKUP(B11841,material!A:D,3,0),"")</f>
        <v/>
      </c>
    </row>
    <row r="11842" ht="11.25" customHeight="1">
      <c r="A11842" s="21"/>
      <c r="B11842" s="22"/>
      <c r="C11842" s="21"/>
      <c r="D11842" s="21"/>
      <c r="E11842" s="21"/>
      <c r="F11842" s="21"/>
      <c r="G11842" s="25"/>
      <c r="H11842" s="24" t="str">
        <f>IFERROR(VLOOKUP(B11842,material!A:D,3,0),"")</f>
        <v/>
      </c>
    </row>
    <row r="11843" ht="11.25" customHeight="1">
      <c r="A11843" s="21"/>
      <c r="B11843" s="22"/>
      <c r="C11843" s="21"/>
      <c r="D11843" s="21"/>
      <c r="E11843" s="21"/>
      <c r="F11843" s="21"/>
      <c r="G11843" s="25"/>
      <c r="H11843" s="24" t="str">
        <f>IFERROR(VLOOKUP(B11843,material!A:D,3,0),"")</f>
        <v/>
      </c>
    </row>
    <row r="11844" ht="11.25" customHeight="1">
      <c r="A11844" s="21"/>
      <c r="B11844" s="22"/>
      <c r="C11844" s="21"/>
      <c r="D11844" s="21"/>
      <c r="E11844" s="21"/>
      <c r="F11844" s="21"/>
      <c r="G11844" s="25"/>
      <c r="H11844" s="24" t="str">
        <f>IFERROR(VLOOKUP(B11844,material!A:D,3,0),"")</f>
        <v/>
      </c>
    </row>
    <row r="11845" ht="11.25" customHeight="1">
      <c r="A11845" s="21"/>
      <c r="B11845" s="22"/>
      <c r="C11845" s="21"/>
      <c r="D11845" s="21"/>
      <c r="E11845" s="21"/>
      <c r="F11845" s="21"/>
      <c r="G11845" s="25"/>
      <c r="H11845" s="24" t="str">
        <f>IFERROR(VLOOKUP(B11845,material!A:D,3,0),"")</f>
        <v/>
      </c>
    </row>
    <row r="11846" ht="11.25" customHeight="1">
      <c r="A11846" s="21"/>
      <c r="B11846" s="22"/>
      <c r="C11846" s="21"/>
      <c r="D11846" s="21"/>
      <c r="E11846" s="21"/>
      <c r="F11846" s="21"/>
      <c r="G11846" s="25"/>
      <c r="H11846" s="24" t="str">
        <f>IFERROR(VLOOKUP(B11846,material!A:D,3,0),"")</f>
        <v/>
      </c>
    </row>
    <row r="11847" ht="11.25" customHeight="1">
      <c r="A11847" s="21"/>
      <c r="B11847" s="22"/>
      <c r="C11847" s="21"/>
      <c r="D11847" s="21"/>
      <c r="E11847" s="21"/>
      <c r="F11847" s="21"/>
      <c r="G11847" s="25"/>
      <c r="H11847" s="24" t="str">
        <f>IFERROR(VLOOKUP(B11847,material!A:D,3,0),"")</f>
        <v/>
      </c>
    </row>
    <row r="11848" ht="11.25" customHeight="1">
      <c r="A11848" s="21"/>
      <c r="B11848" s="22"/>
      <c r="C11848" s="21"/>
      <c r="D11848" s="21"/>
      <c r="E11848" s="21"/>
      <c r="F11848" s="21"/>
      <c r="G11848" s="25"/>
      <c r="H11848" s="24" t="str">
        <f>IFERROR(VLOOKUP(B11848,material!A:D,3,0),"")</f>
        <v/>
      </c>
    </row>
    <row r="11849" ht="11.25" customHeight="1">
      <c r="A11849" s="21"/>
      <c r="B11849" s="22"/>
      <c r="C11849" s="21"/>
      <c r="D11849" s="21"/>
      <c r="E11849" s="21"/>
      <c r="F11849" s="21"/>
      <c r="G11849" s="25"/>
      <c r="H11849" s="24" t="str">
        <f>IFERROR(VLOOKUP(B11849,material!A:D,3,0),"")</f>
        <v/>
      </c>
    </row>
    <row r="11850" ht="11.25" customHeight="1">
      <c r="A11850" s="21"/>
      <c r="B11850" s="22"/>
      <c r="C11850" s="21"/>
      <c r="D11850" s="21"/>
      <c r="E11850" s="21"/>
      <c r="F11850" s="21"/>
      <c r="G11850" s="25"/>
      <c r="H11850" s="24" t="str">
        <f>IFERROR(VLOOKUP(B11850,material!A:D,3,0),"")</f>
        <v/>
      </c>
    </row>
    <row r="11851" ht="11.25" customHeight="1">
      <c r="A11851" s="21"/>
      <c r="B11851" s="22"/>
      <c r="C11851" s="21"/>
      <c r="D11851" s="21"/>
      <c r="E11851" s="21"/>
      <c r="F11851" s="21"/>
      <c r="G11851" s="25"/>
      <c r="H11851" s="24" t="str">
        <f>IFERROR(VLOOKUP(B11851,material!A:D,3,0),"")</f>
        <v/>
      </c>
    </row>
    <row r="11852" ht="11.25" customHeight="1">
      <c r="A11852" s="21"/>
      <c r="B11852" s="22"/>
      <c r="C11852" s="21"/>
      <c r="D11852" s="21"/>
      <c r="E11852" s="21"/>
      <c r="F11852" s="21"/>
      <c r="G11852" s="25"/>
      <c r="H11852" s="24" t="str">
        <f>IFERROR(VLOOKUP(B11852,material!A:D,3,0),"")</f>
        <v/>
      </c>
    </row>
    <row r="11853" ht="11.25" customHeight="1">
      <c r="A11853" s="21"/>
      <c r="B11853" s="22"/>
      <c r="C11853" s="21"/>
      <c r="D11853" s="21"/>
      <c r="E11853" s="21"/>
      <c r="F11853" s="21"/>
      <c r="G11853" s="25"/>
      <c r="H11853" s="24" t="str">
        <f>IFERROR(VLOOKUP(B11853,material!A:D,3,0),"")</f>
        <v/>
      </c>
    </row>
    <row r="11854" ht="11.25" customHeight="1">
      <c r="A11854" s="21"/>
      <c r="B11854" s="22"/>
      <c r="C11854" s="21"/>
      <c r="D11854" s="21"/>
      <c r="E11854" s="21"/>
      <c r="F11854" s="21"/>
      <c r="G11854" s="25"/>
      <c r="H11854" s="24" t="str">
        <f>IFERROR(VLOOKUP(B11854,material!A:D,3,0),"")</f>
        <v/>
      </c>
    </row>
    <row r="11855" ht="11.25" customHeight="1">
      <c r="A11855" s="21"/>
      <c r="B11855" s="22"/>
      <c r="C11855" s="21"/>
      <c r="D11855" s="21"/>
      <c r="E11855" s="21"/>
      <c r="F11855" s="21"/>
      <c r="G11855" s="25"/>
      <c r="H11855" s="24" t="str">
        <f>IFERROR(VLOOKUP(B11855,material!A:D,3,0),"")</f>
        <v/>
      </c>
    </row>
    <row r="11856" ht="11.25" customHeight="1">
      <c r="A11856" s="21"/>
      <c r="B11856" s="22"/>
      <c r="C11856" s="21"/>
      <c r="D11856" s="21"/>
      <c r="E11856" s="21"/>
      <c r="F11856" s="21"/>
      <c r="G11856" s="25"/>
      <c r="H11856" s="24" t="str">
        <f>IFERROR(VLOOKUP(B11856,material!A:D,3,0),"")</f>
        <v/>
      </c>
    </row>
    <row r="11857" ht="11.25" customHeight="1">
      <c r="A11857" s="21"/>
      <c r="B11857" s="22"/>
      <c r="C11857" s="21"/>
      <c r="D11857" s="21"/>
      <c r="E11857" s="21"/>
      <c r="F11857" s="21"/>
      <c r="G11857" s="25"/>
      <c r="H11857" s="24" t="str">
        <f>IFERROR(VLOOKUP(B11857,material!A:D,3,0),"")</f>
        <v/>
      </c>
    </row>
    <row r="11858" ht="11.25" customHeight="1">
      <c r="A11858" s="21"/>
      <c r="B11858" s="22"/>
      <c r="C11858" s="21"/>
      <c r="D11858" s="21"/>
      <c r="E11858" s="21"/>
      <c r="F11858" s="21"/>
      <c r="G11858" s="25"/>
      <c r="H11858" s="24" t="str">
        <f>IFERROR(VLOOKUP(B11858,material!A:D,3,0),"")</f>
        <v/>
      </c>
    </row>
    <row r="11859" ht="11.25" customHeight="1">
      <c r="A11859" s="21"/>
      <c r="B11859" s="22"/>
      <c r="C11859" s="21"/>
      <c r="D11859" s="21"/>
      <c r="E11859" s="21"/>
      <c r="F11859" s="21"/>
      <c r="G11859" s="25"/>
      <c r="H11859" s="24" t="str">
        <f>IFERROR(VLOOKUP(B11859,material!A:D,3,0),"")</f>
        <v/>
      </c>
    </row>
    <row r="11860" ht="11.25" customHeight="1">
      <c r="A11860" s="21"/>
      <c r="B11860" s="22"/>
      <c r="C11860" s="21"/>
      <c r="D11860" s="21"/>
      <c r="E11860" s="21"/>
      <c r="F11860" s="21"/>
      <c r="G11860" s="25"/>
      <c r="H11860" s="24" t="str">
        <f>IFERROR(VLOOKUP(B11860,material!A:D,3,0),"")</f>
        <v/>
      </c>
    </row>
    <row r="11861" ht="11.25" customHeight="1">
      <c r="A11861" s="21"/>
      <c r="B11861" s="22"/>
      <c r="C11861" s="21"/>
      <c r="D11861" s="21"/>
      <c r="E11861" s="21"/>
      <c r="F11861" s="21"/>
      <c r="G11861" s="25"/>
      <c r="H11861" s="24" t="str">
        <f>IFERROR(VLOOKUP(B11861,material!A:D,3,0),"")</f>
        <v/>
      </c>
    </row>
    <row r="11862" ht="11.25" customHeight="1">
      <c r="A11862" s="21"/>
      <c r="B11862" s="22"/>
      <c r="C11862" s="21"/>
      <c r="D11862" s="21"/>
      <c r="E11862" s="21"/>
      <c r="F11862" s="21"/>
      <c r="G11862" s="25"/>
      <c r="H11862" s="24" t="str">
        <f>IFERROR(VLOOKUP(B11862,material!A:D,3,0),"")</f>
        <v/>
      </c>
    </row>
    <row r="11863" ht="11.25" customHeight="1">
      <c r="A11863" s="21"/>
      <c r="B11863" s="22"/>
      <c r="C11863" s="21"/>
      <c r="D11863" s="21"/>
      <c r="E11863" s="21"/>
      <c r="F11863" s="21"/>
      <c r="G11863" s="25"/>
      <c r="H11863" s="24" t="str">
        <f>IFERROR(VLOOKUP(B11863,material!A:D,3,0),"")</f>
        <v/>
      </c>
    </row>
    <row r="11864" ht="11.25" customHeight="1">
      <c r="A11864" s="21"/>
      <c r="B11864" s="22"/>
      <c r="C11864" s="21"/>
      <c r="D11864" s="21"/>
      <c r="E11864" s="21"/>
      <c r="F11864" s="21"/>
      <c r="G11864" s="25"/>
      <c r="H11864" s="24" t="str">
        <f>IFERROR(VLOOKUP(B11864,material!A:D,3,0),"")</f>
        <v/>
      </c>
    </row>
    <row r="11865" ht="11.25" customHeight="1">
      <c r="A11865" s="21"/>
      <c r="B11865" s="22"/>
      <c r="C11865" s="21"/>
      <c r="D11865" s="21"/>
      <c r="E11865" s="21"/>
      <c r="F11865" s="21"/>
      <c r="G11865" s="25"/>
      <c r="H11865" s="24" t="str">
        <f>IFERROR(VLOOKUP(B11865,material!A:D,3,0),"")</f>
        <v/>
      </c>
    </row>
    <row r="11866" ht="11.25" customHeight="1">
      <c r="A11866" s="21"/>
      <c r="B11866" s="22"/>
      <c r="C11866" s="21"/>
      <c r="D11866" s="21"/>
      <c r="E11866" s="21"/>
      <c r="F11866" s="21"/>
      <c r="G11866" s="25"/>
      <c r="H11866" s="24" t="str">
        <f>IFERROR(VLOOKUP(B11866,material!A:D,3,0),"")</f>
        <v/>
      </c>
    </row>
    <row r="11867" ht="11.25" customHeight="1">
      <c r="A11867" s="21"/>
      <c r="B11867" s="22"/>
      <c r="C11867" s="21"/>
      <c r="D11867" s="21"/>
      <c r="E11867" s="21"/>
      <c r="F11867" s="21"/>
      <c r="G11867" s="25"/>
      <c r="H11867" s="24" t="str">
        <f>IFERROR(VLOOKUP(B11867,material!A:D,3,0),"")</f>
        <v/>
      </c>
    </row>
    <row r="11868" ht="11.25" customHeight="1">
      <c r="A11868" s="21"/>
      <c r="B11868" s="22"/>
      <c r="C11868" s="21"/>
      <c r="D11868" s="21"/>
      <c r="E11868" s="21"/>
      <c r="F11868" s="21"/>
      <c r="G11868" s="25"/>
      <c r="H11868" s="24" t="str">
        <f>IFERROR(VLOOKUP(B11868,material!A:D,3,0),"")</f>
        <v/>
      </c>
    </row>
    <row r="11869" ht="11.25" customHeight="1">
      <c r="A11869" s="21"/>
      <c r="B11869" s="22"/>
      <c r="C11869" s="21"/>
      <c r="D11869" s="21"/>
      <c r="E11869" s="21"/>
      <c r="F11869" s="21"/>
      <c r="G11869" s="25"/>
      <c r="H11869" s="24" t="str">
        <f>IFERROR(VLOOKUP(B11869,material!A:D,3,0),"")</f>
        <v/>
      </c>
    </row>
    <row r="11870" ht="11.25" customHeight="1">
      <c r="A11870" s="21"/>
      <c r="B11870" s="22"/>
      <c r="C11870" s="21"/>
      <c r="D11870" s="21"/>
      <c r="E11870" s="21"/>
      <c r="F11870" s="21"/>
      <c r="G11870" s="25"/>
      <c r="H11870" s="24" t="str">
        <f>IFERROR(VLOOKUP(B11870,material!A:D,3,0),"")</f>
        <v/>
      </c>
    </row>
    <row r="11871" ht="11.25" customHeight="1">
      <c r="A11871" s="21"/>
      <c r="B11871" s="22"/>
      <c r="C11871" s="21"/>
      <c r="D11871" s="21"/>
      <c r="E11871" s="21"/>
      <c r="F11871" s="21"/>
      <c r="G11871" s="25"/>
      <c r="H11871" s="24" t="str">
        <f>IFERROR(VLOOKUP(B11871,material!A:D,3,0),"")</f>
        <v/>
      </c>
    </row>
    <row r="11872" ht="11.25" customHeight="1">
      <c r="A11872" s="21"/>
      <c r="B11872" s="22"/>
      <c r="C11872" s="21"/>
      <c r="D11872" s="21"/>
      <c r="E11872" s="21"/>
      <c r="F11872" s="21"/>
      <c r="G11872" s="25"/>
      <c r="H11872" s="24" t="str">
        <f>IFERROR(VLOOKUP(B11872,material!A:D,3,0),"")</f>
        <v/>
      </c>
    </row>
    <row r="11873" ht="11.25" customHeight="1">
      <c r="A11873" s="21"/>
      <c r="B11873" s="22"/>
      <c r="C11873" s="21"/>
      <c r="D11873" s="21"/>
      <c r="E11873" s="21"/>
      <c r="F11873" s="21"/>
      <c r="G11873" s="25"/>
      <c r="H11873" s="24" t="str">
        <f>IFERROR(VLOOKUP(B11873,material!A:D,3,0),"")</f>
        <v/>
      </c>
    </row>
    <row r="11874" ht="11.25" customHeight="1">
      <c r="A11874" s="21"/>
      <c r="B11874" s="22"/>
      <c r="C11874" s="21"/>
      <c r="D11874" s="21"/>
      <c r="E11874" s="21"/>
      <c r="F11874" s="21"/>
      <c r="G11874" s="25"/>
      <c r="H11874" s="24" t="str">
        <f>IFERROR(VLOOKUP(B11874,material!A:D,3,0),"")</f>
        <v/>
      </c>
    </row>
    <row r="11875" ht="11.25" customHeight="1">
      <c r="A11875" s="21"/>
      <c r="B11875" s="22"/>
      <c r="C11875" s="21"/>
      <c r="D11875" s="21"/>
      <c r="E11875" s="21"/>
      <c r="F11875" s="21"/>
      <c r="G11875" s="25"/>
      <c r="H11875" s="24" t="str">
        <f>IFERROR(VLOOKUP(B11875,material!A:D,3,0),"")</f>
        <v/>
      </c>
    </row>
    <row r="11876" ht="11.25" customHeight="1">
      <c r="A11876" s="21"/>
      <c r="B11876" s="22"/>
      <c r="C11876" s="21"/>
      <c r="D11876" s="21"/>
      <c r="E11876" s="21"/>
      <c r="F11876" s="21"/>
      <c r="G11876" s="25"/>
      <c r="H11876" s="24" t="str">
        <f>IFERROR(VLOOKUP(B11876,material!A:D,3,0),"")</f>
        <v/>
      </c>
    </row>
    <row r="11877" ht="11.25" customHeight="1">
      <c r="A11877" s="21"/>
      <c r="B11877" s="22"/>
      <c r="C11877" s="21"/>
      <c r="D11877" s="21"/>
      <c r="E11877" s="21"/>
      <c r="F11877" s="21"/>
      <c r="G11877" s="25"/>
      <c r="H11877" s="24" t="str">
        <f>IFERROR(VLOOKUP(B11877,material!A:D,3,0),"")</f>
        <v/>
      </c>
    </row>
    <row r="11878" ht="11.25" customHeight="1">
      <c r="A11878" s="21"/>
      <c r="B11878" s="22"/>
      <c r="C11878" s="21"/>
      <c r="D11878" s="21"/>
      <c r="E11878" s="21"/>
      <c r="F11878" s="21"/>
      <c r="G11878" s="25"/>
      <c r="H11878" s="24" t="str">
        <f>IFERROR(VLOOKUP(B11878,material!A:D,3,0),"")</f>
        <v/>
      </c>
    </row>
    <row r="11879" ht="11.25" customHeight="1">
      <c r="A11879" s="21"/>
      <c r="B11879" s="22"/>
      <c r="C11879" s="21"/>
      <c r="D11879" s="21"/>
      <c r="E11879" s="21"/>
      <c r="F11879" s="21"/>
      <c r="G11879" s="25"/>
      <c r="H11879" s="24" t="str">
        <f>IFERROR(VLOOKUP(B11879,material!A:D,3,0),"")</f>
        <v/>
      </c>
    </row>
    <row r="11880" ht="11.25" customHeight="1">
      <c r="A11880" s="21"/>
      <c r="B11880" s="22"/>
      <c r="C11880" s="21"/>
      <c r="D11880" s="21"/>
      <c r="E11880" s="21"/>
      <c r="F11880" s="21"/>
      <c r="G11880" s="25"/>
      <c r="H11880" s="24" t="str">
        <f>IFERROR(VLOOKUP(B11880,material!A:D,3,0),"")</f>
        <v/>
      </c>
    </row>
    <row r="11881" ht="11.25" customHeight="1">
      <c r="A11881" s="21"/>
      <c r="B11881" s="22"/>
      <c r="C11881" s="21"/>
      <c r="D11881" s="21"/>
      <c r="E11881" s="21"/>
      <c r="F11881" s="21"/>
      <c r="G11881" s="25"/>
      <c r="H11881" s="24" t="str">
        <f>IFERROR(VLOOKUP(B11881,material!A:D,3,0),"")</f>
        <v/>
      </c>
    </row>
    <row r="11882" ht="11.25" customHeight="1">
      <c r="A11882" s="21"/>
      <c r="B11882" s="22"/>
      <c r="C11882" s="21"/>
      <c r="D11882" s="21"/>
      <c r="E11882" s="21"/>
      <c r="F11882" s="21"/>
      <c r="G11882" s="25"/>
      <c r="H11882" s="24" t="str">
        <f>IFERROR(VLOOKUP(B11882,material!A:D,3,0),"")</f>
        <v/>
      </c>
    </row>
    <row r="11883" ht="11.25" customHeight="1">
      <c r="A11883" s="21"/>
      <c r="B11883" s="22"/>
      <c r="C11883" s="21"/>
      <c r="D11883" s="21"/>
      <c r="E11883" s="21"/>
      <c r="F11883" s="21"/>
      <c r="G11883" s="25"/>
      <c r="H11883" s="24" t="str">
        <f>IFERROR(VLOOKUP(B11883,material!A:D,3,0),"")</f>
        <v/>
      </c>
    </row>
    <row r="11884" ht="11.25" customHeight="1">
      <c r="A11884" s="21"/>
      <c r="B11884" s="22"/>
      <c r="C11884" s="21"/>
      <c r="D11884" s="21"/>
      <c r="E11884" s="21"/>
      <c r="F11884" s="21"/>
      <c r="G11884" s="25"/>
      <c r="H11884" s="24" t="str">
        <f>IFERROR(VLOOKUP(B11884,material!A:D,3,0),"")</f>
        <v/>
      </c>
    </row>
    <row r="11885" ht="11.25" customHeight="1">
      <c r="A11885" s="21"/>
      <c r="B11885" s="22"/>
      <c r="C11885" s="21"/>
      <c r="D11885" s="21"/>
      <c r="E11885" s="21"/>
      <c r="F11885" s="21"/>
      <c r="G11885" s="25"/>
      <c r="H11885" s="24" t="str">
        <f>IFERROR(VLOOKUP(B11885,material!A:D,3,0),"")</f>
        <v/>
      </c>
    </row>
    <row r="11886" ht="11.25" customHeight="1">
      <c r="A11886" s="21"/>
      <c r="B11886" s="22"/>
      <c r="C11886" s="21"/>
      <c r="D11886" s="21"/>
      <c r="E11886" s="21"/>
      <c r="F11886" s="21"/>
      <c r="G11886" s="25"/>
      <c r="H11886" s="24" t="str">
        <f>IFERROR(VLOOKUP(B11886,material!A:D,3,0),"")</f>
        <v/>
      </c>
    </row>
    <row r="11887" ht="11.25" customHeight="1">
      <c r="A11887" s="21"/>
      <c r="B11887" s="22"/>
      <c r="C11887" s="21"/>
      <c r="D11887" s="21"/>
      <c r="E11887" s="21"/>
      <c r="F11887" s="21"/>
      <c r="G11887" s="25"/>
      <c r="H11887" s="24" t="str">
        <f>IFERROR(VLOOKUP(B11887,material!A:D,3,0),"")</f>
        <v/>
      </c>
    </row>
    <row r="11888" ht="11.25" customHeight="1">
      <c r="A11888" s="21"/>
      <c r="B11888" s="22"/>
      <c r="C11888" s="21"/>
      <c r="D11888" s="21"/>
      <c r="E11888" s="21"/>
      <c r="F11888" s="21"/>
      <c r="G11888" s="25"/>
      <c r="H11888" s="24" t="str">
        <f>IFERROR(VLOOKUP(B11888,material!A:D,3,0),"")</f>
        <v/>
      </c>
    </row>
    <row r="11889" ht="11.25" customHeight="1">
      <c r="A11889" s="21"/>
      <c r="B11889" s="22"/>
      <c r="C11889" s="21"/>
      <c r="D11889" s="21"/>
      <c r="E11889" s="21"/>
      <c r="F11889" s="21"/>
      <c r="G11889" s="25"/>
      <c r="H11889" s="24" t="str">
        <f>IFERROR(VLOOKUP(B11889,material!A:D,3,0),"")</f>
        <v/>
      </c>
    </row>
    <row r="11890" ht="11.25" customHeight="1">
      <c r="A11890" s="21"/>
      <c r="B11890" s="22"/>
      <c r="C11890" s="21"/>
      <c r="D11890" s="21"/>
      <c r="E11890" s="21"/>
      <c r="F11890" s="21"/>
      <c r="G11890" s="25"/>
      <c r="H11890" s="24" t="str">
        <f>IFERROR(VLOOKUP(B11890,material!A:D,3,0),"")</f>
        <v/>
      </c>
    </row>
    <row r="11891" ht="11.25" customHeight="1">
      <c r="A11891" s="21"/>
      <c r="B11891" s="22"/>
      <c r="C11891" s="21"/>
      <c r="D11891" s="21"/>
      <c r="E11891" s="21"/>
      <c r="F11891" s="21"/>
      <c r="G11891" s="25"/>
      <c r="H11891" s="24" t="str">
        <f>IFERROR(VLOOKUP(B11891,material!A:D,3,0),"")</f>
        <v/>
      </c>
    </row>
    <row r="11892" ht="11.25" customHeight="1">
      <c r="A11892" s="21"/>
      <c r="B11892" s="22"/>
      <c r="C11892" s="21"/>
      <c r="D11892" s="21"/>
      <c r="E11892" s="21"/>
      <c r="F11892" s="21"/>
      <c r="G11892" s="25"/>
      <c r="H11892" s="24" t="str">
        <f>IFERROR(VLOOKUP(B11892,material!A:D,3,0),"")</f>
        <v/>
      </c>
    </row>
    <row r="11893" ht="11.25" customHeight="1">
      <c r="A11893" s="21"/>
      <c r="B11893" s="22"/>
      <c r="C11893" s="21"/>
      <c r="D11893" s="21"/>
      <c r="E11893" s="21"/>
      <c r="F11893" s="21"/>
      <c r="G11893" s="25"/>
      <c r="H11893" s="24" t="str">
        <f>IFERROR(VLOOKUP(B11893,material!A:D,3,0),"")</f>
        <v/>
      </c>
    </row>
    <row r="11894" ht="11.25" customHeight="1">
      <c r="A11894" s="21"/>
      <c r="B11894" s="22"/>
      <c r="C11894" s="21"/>
      <c r="D11894" s="21"/>
      <c r="E11894" s="21"/>
      <c r="F11894" s="21"/>
      <c r="G11894" s="25"/>
      <c r="H11894" s="24" t="str">
        <f>IFERROR(VLOOKUP(B11894,material!A:D,3,0),"")</f>
        <v/>
      </c>
    </row>
    <row r="11895" ht="11.25" customHeight="1">
      <c r="A11895" s="21"/>
      <c r="B11895" s="22"/>
      <c r="C11895" s="21"/>
      <c r="D11895" s="21"/>
      <c r="E11895" s="21"/>
      <c r="F11895" s="21"/>
      <c r="G11895" s="25"/>
      <c r="H11895" s="24" t="str">
        <f>IFERROR(VLOOKUP(B11895,material!A:D,3,0),"")</f>
        <v/>
      </c>
    </row>
    <row r="11896" ht="11.25" customHeight="1">
      <c r="A11896" s="21"/>
      <c r="B11896" s="22"/>
      <c r="C11896" s="21"/>
      <c r="D11896" s="21"/>
      <c r="E11896" s="21"/>
      <c r="F11896" s="21"/>
      <c r="G11896" s="25"/>
      <c r="H11896" s="24" t="str">
        <f>IFERROR(VLOOKUP(B11896,material!A:D,3,0),"")</f>
        <v/>
      </c>
    </row>
    <row r="11897" ht="11.25" customHeight="1">
      <c r="A11897" s="21"/>
      <c r="B11897" s="22"/>
      <c r="C11897" s="21"/>
      <c r="D11897" s="21"/>
      <c r="E11897" s="21"/>
      <c r="F11897" s="21"/>
      <c r="G11897" s="25"/>
      <c r="H11897" s="24" t="str">
        <f>IFERROR(VLOOKUP(B11897,material!A:D,3,0),"")</f>
        <v/>
      </c>
    </row>
    <row r="11898" ht="11.25" customHeight="1">
      <c r="A11898" s="21"/>
      <c r="B11898" s="22"/>
      <c r="C11898" s="21"/>
      <c r="D11898" s="21"/>
      <c r="E11898" s="21"/>
      <c r="F11898" s="21"/>
      <c r="G11898" s="25"/>
      <c r="H11898" s="24" t="str">
        <f>IFERROR(VLOOKUP(B11898,material!A:D,3,0),"")</f>
        <v/>
      </c>
    </row>
    <row r="11899" ht="11.25" customHeight="1">
      <c r="A11899" s="21"/>
      <c r="B11899" s="22"/>
      <c r="C11899" s="21"/>
      <c r="D11899" s="21"/>
      <c r="E11899" s="21"/>
      <c r="F11899" s="21"/>
      <c r="G11899" s="25"/>
      <c r="H11899" s="24" t="str">
        <f>IFERROR(VLOOKUP(B11899,material!A:D,3,0),"")</f>
        <v/>
      </c>
    </row>
    <row r="11900" ht="11.25" customHeight="1">
      <c r="A11900" s="21"/>
      <c r="B11900" s="22"/>
      <c r="C11900" s="21"/>
      <c r="D11900" s="21"/>
      <c r="E11900" s="21"/>
      <c r="F11900" s="21"/>
      <c r="G11900" s="25"/>
      <c r="H11900" s="24" t="str">
        <f>IFERROR(VLOOKUP(B11900,material!A:D,3,0),"")</f>
        <v/>
      </c>
    </row>
    <row r="11901" ht="11.25" customHeight="1">
      <c r="A11901" s="21"/>
      <c r="B11901" s="22"/>
      <c r="C11901" s="21"/>
      <c r="D11901" s="21"/>
      <c r="E11901" s="21"/>
      <c r="F11901" s="21"/>
      <c r="G11901" s="25"/>
      <c r="H11901" s="24" t="str">
        <f>IFERROR(VLOOKUP(B11901,material!A:D,3,0),"")</f>
        <v/>
      </c>
    </row>
    <row r="11902" ht="11.25" customHeight="1">
      <c r="A11902" s="21"/>
      <c r="B11902" s="22"/>
      <c r="C11902" s="21"/>
      <c r="D11902" s="21"/>
      <c r="E11902" s="21"/>
      <c r="F11902" s="21"/>
      <c r="G11902" s="25"/>
      <c r="H11902" s="24" t="str">
        <f>IFERROR(VLOOKUP(B11902,material!A:D,3,0),"")</f>
        <v/>
      </c>
    </row>
    <row r="11903" ht="11.25" customHeight="1">
      <c r="A11903" s="21"/>
      <c r="B11903" s="22"/>
      <c r="C11903" s="21"/>
      <c r="D11903" s="21"/>
      <c r="E11903" s="21"/>
      <c r="F11903" s="21"/>
      <c r="G11903" s="25"/>
      <c r="H11903" s="24" t="str">
        <f>IFERROR(VLOOKUP(B11903,material!A:D,3,0),"")</f>
        <v/>
      </c>
    </row>
    <row r="11904" ht="11.25" customHeight="1">
      <c r="A11904" s="21"/>
      <c r="B11904" s="22"/>
      <c r="C11904" s="21"/>
      <c r="D11904" s="21"/>
      <c r="E11904" s="21"/>
      <c r="F11904" s="21"/>
      <c r="G11904" s="25"/>
      <c r="H11904" s="24" t="str">
        <f>IFERROR(VLOOKUP(B11904,material!A:D,3,0),"")</f>
        <v/>
      </c>
    </row>
    <row r="11905" ht="11.25" customHeight="1">
      <c r="A11905" s="21"/>
      <c r="B11905" s="22"/>
      <c r="C11905" s="21"/>
      <c r="D11905" s="21"/>
      <c r="E11905" s="21"/>
      <c r="F11905" s="21"/>
      <c r="G11905" s="25"/>
      <c r="H11905" s="24" t="str">
        <f>IFERROR(VLOOKUP(B11905,material!A:D,3,0),"")</f>
        <v/>
      </c>
    </row>
    <row r="11906" ht="11.25" customHeight="1">
      <c r="A11906" s="21"/>
      <c r="B11906" s="22"/>
      <c r="C11906" s="21"/>
      <c r="D11906" s="21"/>
      <c r="E11906" s="21"/>
      <c r="F11906" s="21"/>
      <c r="G11906" s="25"/>
      <c r="H11906" s="24" t="str">
        <f>IFERROR(VLOOKUP(B11906,material!A:D,3,0),"")</f>
        <v/>
      </c>
    </row>
    <row r="11907" ht="11.25" customHeight="1">
      <c r="A11907" s="21"/>
      <c r="B11907" s="22"/>
      <c r="C11907" s="21"/>
      <c r="D11907" s="21"/>
      <c r="E11907" s="21"/>
      <c r="F11907" s="21"/>
      <c r="G11907" s="25"/>
      <c r="H11907" s="24" t="str">
        <f>IFERROR(VLOOKUP(B11907,material!A:D,3,0),"")</f>
        <v/>
      </c>
    </row>
    <row r="11908" ht="11.25" customHeight="1">
      <c r="A11908" s="21"/>
      <c r="B11908" s="22"/>
      <c r="C11908" s="21"/>
      <c r="D11908" s="21"/>
      <c r="E11908" s="21"/>
      <c r="F11908" s="21"/>
      <c r="G11908" s="25"/>
      <c r="H11908" s="24" t="str">
        <f>IFERROR(VLOOKUP(B11908,material!A:D,3,0),"")</f>
        <v/>
      </c>
    </row>
    <row r="11909" ht="11.25" customHeight="1">
      <c r="A11909" s="21"/>
      <c r="B11909" s="22"/>
      <c r="C11909" s="21"/>
      <c r="D11909" s="21"/>
      <c r="E11909" s="21"/>
      <c r="F11909" s="21"/>
      <c r="G11909" s="25"/>
      <c r="H11909" s="24" t="str">
        <f>IFERROR(VLOOKUP(B11909,material!A:D,3,0),"")</f>
        <v/>
      </c>
    </row>
    <row r="11910" ht="11.25" customHeight="1">
      <c r="A11910" s="21"/>
      <c r="B11910" s="22"/>
      <c r="C11910" s="21"/>
      <c r="D11910" s="21"/>
      <c r="E11910" s="21"/>
      <c r="F11910" s="21"/>
      <c r="G11910" s="25"/>
      <c r="H11910" s="24" t="str">
        <f>IFERROR(VLOOKUP(B11910,material!A:D,3,0),"")</f>
        <v/>
      </c>
    </row>
    <row r="11911" ht="11.25" customHeight="1">
      <c r="A11911" s="21"/>
      <c r="B11911" s="22"/>
      <c r="C11911" s="21"/>
      <c r="D11911" s="21"/>
      <c r="E11911" s="21"/>
      <c r="F11911" s="21"/>
      <c r="G11911" s="25"/>
      <c r="H11911" s="24" t="str">
        <f>IFERROR(VLOOKUP(B11911,material!A:D,3,0),"")</f>
        <v/>
      </c>
    </row>
    <row r="11912" ht="11.25" customHeight="1">
      <c r="A11912" s="21"/>
      <c r="B11912" s="22"/>
      <c r="C11912" s="21"/>
      <c r="D11912" s="21"/>
      <c r="E11912" s="21"/>
      <c r="F11912" s="21"/>
      <c r="G11912" s="25"/>
      <c r="H11912" s="24" t="str">
        <f>IFERROR(VLOOKUP(B11912,material!A:D,3,0),"")</f>
        <v/>
      </c>
    </row>
    <row r="11913" ht="11.25" customHeight="1">
      <c r="A11913" s="21"/>
      <c r="B11913" s="22"/>
      <c r="C11913" s="21"/>
      <c r="D11913" s="21"/>
      <c r="E11913" s="21"/>
      <c r="F11913" s="21"/>
      <c r="G11913" s="25"/>
      <c r="H11913" s="24" t="str">
        <f>IFERROR(VLOOKUP(B11913,material!A:D,3,0),"")</f>
        <v/>
      </c>
    </row>
    <row r="11914" ht="11.25" customHeight="1">
      <c r="A11914" s="21"/>
      <c r="B11914" s="22"/>
      <c r="C11914" s="21"/>
      <c r="D11914" s="21"/>
      <c r="E11914" s="21"/>
      <c r="F11914" s="21"/>
      <c r="G11914" s="25"/>
      <c r="H11914" s="24" t="str">
        <f>IFERROR(VLOOKUP(B11914,material!A:D,3,0),"")</f>
        <v/>
      </c>
    </row>
    <row r="11915" ht="11.25" customHeight="1">
      <c r="A11915" s="21"/>
      <c r="B11915" s="22"/>
      <c r="C11915" s="21"/>
      <c r="D11915" s="21"/>
      <c r="E11915" s="21"/>
      <c r="F11915" s="21"/>
      <c r="G11915" s="25"/>
      <c r="H11915" s="24" t="str">
        <f>IFERROR(VLOOKUP(B11915,material!A:D,3,0),"")</f>
        <v/>
      </c>
    </row>
    <row r="11916" ht="11.25" customHeight="1">
      <c r="A11916" s="21"/>
      <c r="B11916" s="22"/>
      <c r="C11916" s="21"/>
      <c r="D11916" s="21"/>
      <c r="E11916" s="21"/>
      <c r="F11916" s="21"/>
      <c r="G11916" s="25"/>
      <c r="H11916" s="24" t="str">
        <f>IFERROR(VLOOKUP(B11916,material!A:D,3,0),"")</f>
        <v/>
      </c>
    </row>
    <row r="11917" ht="11.25" customHeight="1">
      <c r="A11917" s="21"/>
      <c r="B11917" s="22"/>
      <c r="C11917" s="21"/>
      <c r="D11917" s="21"/>
      <c r="E11917" s="21"/>
      <c r="F11917" s="21"/>
      <c r="G11917" s="25"/>
      <c r="H11917" s="24" t="str">
        <f>IFERROR(VLOOKUP(B11917,material!A:D,3,0),"")</f>
        <v/>
      </c>
    </row>
    <row r="11918" ht="11.25" customHeight="1">
      <c r="A11918" s="21"/>
      <c r="B11918" s="22"/>
      <c r="C11918" s="21"/>
      <c r="D11918" s="21"/>
      <c r="E11918" s="21"/>
      <c r="F11918" s="21"/>
      <c r="G11918" s="25"/>
      <c r="H11918" s="24" t="str">
        <f>IFERROR(VLOOKUP(B11918,material!A:D,3,0),"")</f>
        <v/>
      </c>
    </row>
    <row r="11919" ht="11.25" customHeight="1">
      <c r="A11919" s="21"/>
      <c r="B11919" s="22"/>
      <c r="C11919" s="21"/>
      <c r="D11919" s="21"/>
      <c r="E11919" s="21"/>
      <c r="F11919" s="21"/>
      <c r="G11919" s="25"/>
      <c r="H11919" s="24" t="str">
        <f>IFERROR(VLOOKUP(B11919,material!A:D,3,0),"")</f>
        <v/>
      </c>
    </row>
    <row r="11920" ht="11.25" customHeight="1">
      <c r="A11920" s="21"/>
      <c r="B11920" s="22"/>
      <c r="C11920" s="21"/>
      <c r="D11920" s="21"/>
      <c r="E11920" s="21"/>
      <c r="F11920" s="21"/>
      <c r="G11920" s="25"/>
      <c r="H11920" s="24" t="str">
        <f>IFERROR(VLOOKUP(B11920,material!A:D,3,0),"")</f>
        <v/>
      </c>
    </row>
    <row r="11921" ht="11.25" customHeight="1">
      <c r="A11921" s="21"/>
      <c r="B11921" s="22"/>
      <c r="C11921" s="21"/>
      <c r="D11921" s="21"/>
      <c r="E11921" s="21"/>
      <c r="F11921" s="21"/>
      <c r="G11921" s="25"/>
      <c r="H11921" s="24" t="str">
        <f>IFERROR(VLOOKUP(B11921,material!A:D,3,0),"")</f>
        <v/>
      </c>
    </row>
    <row r="11922" ht="11.25" customHeight="1">
      <c r="A11922" s="21"/>
      <c r="B11922" s="22"/>
      <c r="C11922" s="21"/>
      <c r="D11922" s="21"/>
      <c r="E11922" s="21"/>
      <c r="F11922" s="21"/>
      <c r="G11922" s="25"/>
      <c r="H11922" s="24" t="str">
        <f>IFERROR(VLOOKUP(B11922,material!A:D,3,0),"")</f>
        <v/>
      </c>
    </row>
    <row r="11923" ht="11.25" customHeight="1">
      <c r="A11923" s="21"/>
      <c r="B11923" s="22"/>
      <c r="C11923" s="21"/>
      <c r="D11923" s="21"/>
      <c r="E11923" s="21"/>
      <c r="F11923" s="21"/>
      <c r="G11923" s="25"/>
      <c r="H11923" s="24" t="str">
        <f>IFERROR(VLOOKUP(B11923,material!A:D,3,0),"")</f>
        <v/>
      </c>
    </row>
    <row r="11924" ht="11.25" customHeight="1">
      <c r="A11924" s="21"/>
      <c r="B11924" s="22"/>
      <c r="C11924" s="21"/>
      <c r="D11924" s="21"/>
      <c r="E11924" s="21"/>
      <c r="F11924" s="21"/>
      <c r="G11924" s="25"/>
      <c r="H11924" s="24" t="str">
        <f>IFERROR(VLOOKUP(B11924,material!A:D,3,0),"")</f>
        <v/>
      </c>
    </row>
    <row r="11925" ht="11.25" customHeight="1">
      <c r="A11925" s="21"/>
      <c r="B11925" s="22"/>
      <c r="C11925" s="21"/>
      <c r="D11925" s="21"/>
      <c r="E11925" s="21"/>
      <c r="F11925" s="21"/>
      <c r="G11925" s="25"/>
      <c r="H11925" s="24" t="str">
        <f>IFERROR(VLOOKUP(B11925,material!A:D,3,0),"")</f>
        <v/>
      </c>
    </row>
    <row r="11926" ht="11.25" customHeight="1">
      <c r="A11926" s="21"/>
      <c r="B11926" s="22"/>
      <c r="C11926" s="21"/>
      <c r="D11926" s="21"/>
      <c r="E11926" s="21"/>
      <c r="F11926" s="21"/>
      <c r="G11926" s="25"/>
      <c r="H11926" s="24" t="str">
        <f>IFERROR(VLOOKUP(B11926,material!A:D,3,0),"")</f>
        <v/>
      </c>
    </row>
    <row r="11927" ht="11.25" customHeight="1">
      <c r="A11927" s="21"/>
      <c r="B11927" s="22"/>
      <c r="C11927" s="21"/>
      <c r="D11927" s="21"/>
      <c r="E11927" s="21"/>
      <c r="F11927" s="21"/>
      <c r="G11927" s="25"/>
      <c r="H11927" s="24" t="str">
        <f>IFERROR(VLOOKUP(B11927,material!A:D,3,0),"")</f>
        <v/>
      </c>
    </row>
    <row r="11928" ht="11.25" customHeight="1">
      <c r="A11928" s="21"/>
      <c r="B11928" s="22"/>
      <c r="C11928" s="21"/>
      <c r="D11928" s="21"/>
      <c r="E11928" s="21"/>
      <c r="F11928" s="21"/>
      <c r="G11928" s="25"/>
      <c r="H11928" s="24" t="str">
        <f>IFERROR(VLOOKUP(B11928,material!A:D,3,0),"")</f>
        <v/>
      </c>
    </row>
    <row r="11929" ht="11.25" customHeight="1">
      <c r="A11929" s="21"/>
      <c r="B11929" s="22"/>
      <c r="C11929" s="21"/>
      <c r="D11929" s="21"/>
      <c r="E11929" s="21"/>
      <c r="F11929" s="21"/>
      <c r="G11929" s="25"/>
      <c r="H11929" s="24" t="str">
        <f>IFERROR(VLOOKUP(B11929,material!A:D,3,0),"")</f>
        <v/>
      </c>
    </row>
    <row r="11930" ht="11.25" customHeight="1">
      <c r="A11930" s="21"/>
      <c r="B11930" s="22"/>
      <c r="C11930" s="21"/>
      <c r="D11930" s="21"/>
      <c r="E11930" s="21"/>
      <c r="F11930" s="21"/>
      <c r="G11930" s="25"/>
      <c r="H11930" s="24" t="str">
        <f>IFERROR(VLOOKUP(B11930,material!A:D,3,0),"")</f>
        <v/>
      </c>
    </row>
    <row r="11931" ht="11.25" customHeight="1">
      <c r="A11931" s="21"/>
      <c r="B11931" s="22"/>
      <c r="C11931" s="21"/>
      <c r="D11931" s="21"/>
      <c r="E11931" s="21"/>
      <c r="F11931" s="21"/>
      <c r="G11931" s="25"/>
      <c r="H11931" s="24" t="str">
        <f>IFERROR(VLOOKUP(B11931,material!A:D,3,0),"")</f>
        <v/>
      </c>
    </row>
    <row r="11932" ht="11.25" customHeight="1">
      <c r="A11932" s="21"/>
      <c r="B11932" s="22"/>
      <c r="C11932" s="21"/>
      <c r="D11932" s="21"/>
      <c r="E11932" s="21"/>
      <c r="F11932" s="21"/>
      <c r="G11932" s="25"/>
      <c r="H11932" s="24" t="str">
        <f>IFERROR(VLOOKUP(B11932,material!A:D,3,0),"")</f>
        <v/>
      </c>
    </row>
    <row r="11933" ht="11.25" customHeight="1">
      <c r="A11933" s="21"/>
      <c r="B11933" s="22"/>
      <c r="C11933" s="21"/>
      <c r="D11933" s="21"/>
      <c r="E11933" s="21"/>
      <c r="F11933" s="21"/>
      <c r="G11933" s="25"/>
      <c r="H11933" s="24" t="str">
        <f>IFERROR(VLOOKUP(B11933,material!A:D,3,0),"")</f>
        <v/>
      </c>
    </row>
    <row r="11934" ht="11.25" customHeight="1">
      <c r="A11934" s="21"/>
      <c r="B11934" s="22"/>
      <c r="C11934" s="21"/>
      <c r="D11934" s="21"/>
      <c r="E11934" s="21"/>
      <c r="F11934" s="21"/>
      <c r="G11934" s="25"/>
      <c r="H11934" s="24" t="str">
        <f>IFERROR(VLOOKUP(B11934,material!A:D,3,0),"")</f>
        <v/>
      </c>
    </row>
    <row r="11935" ht="11.25" customHeight="1">
      <c r="A11935" s="21"/>
      <c r="B11935" s="22"/>
      <c r="C11935" s="21"/>
      <c r="D11935" s="21"/>
      <c r="E11935" s="21"/>
      <c r="F11935" s="21"/>
      <c r="G11935" s="25"/>
      <c r="H11935" s="24" t="str">
        <f>IFERROR(VLOOKUP(B11935,material!A:D,3,0),"")</f>
        <v/>
      </c>
    </row>
    <row r="11936" ht="11.25" customHeight="1">
      <c r="A11936" s="21"/>
      <c r="B11936" s="22"/>
      <c r="C11936" s="21"/>
      <c r="D11936" s="21"/>
      <c r="E11936" s="21"/>
      <c r="F11936" s="21"/>
      <c r="G11936" s="25"/>
      <c r="H11936" s="24" t="str">
        <f>IFERROR(VLOOKUP(B11936,material!A:D,3,0),"")</f>
        <v/>
      </c>
    </row>
    <row r="11937" ht="11.25" customHeight="1">
      <c r="A11937" s="21"/>
      <c r="B11937" s="22"/>
      <c r="C11937" s="21"/>
      <c r="D11937" s="21"/>
      <c r="E11937" s="21"/>
      <c r="F11937" s="21"/>
      <c r="G11937" s="25"/>
      <c r="H11937" s="24" t="str">
        <f>IFERROR(VLOOKUP(B11937,material!A:D,3,0),"")</f>
        <v/>
      </c>
    </row>
    <row r="11938" ht="11.25" customHeight="1">
      <c r="A11938" s="21"/>
      <c r="B11938" s="22"/>
      <c r="C11938" s="21"/>
      <c r="D11938" s="21"/>
      <c r="E11938" s="21"/>
      <c r="F11938" s="21"/>
      <c r="G11938" s="25"/>
      <c r="H11938" s="24" t="str">
        <f>IFERROR(VLOOKUP(B11938,material!A:D,3,0),"")</f>
        <v/>
      </c>
    </row>
    <row r="11939" ht="11.25" customHeight="1">
      <c r="A11939" s="21"/>
      <c r="B11939" s="22"/>
      <c r="C11939" s="21"/>
      <c r="D11939" s="21"/>
      <c r="E11939" s="21"/>
      <c r="F11939" s="21"/>
      <c r="G11939" s="25"/>
      <c r="H11939" s="24" t="str">
        <f>IFERROR(VLOOKUP(B11939,material!A:D,3,0),"")</f>
        <v/>
      </c>
    </row>
    <row r="11940" ht="11.25" customHeight="1">
      <c r="A11940" s="21"/>
      <c r="B11940" s="22"/>
      <c r="C11940" s="21"/>
      <c r="D11940" s="21"/>
      <c r="E11940" s="21"/>
      <c r="F11940" s="21"/>
      <c r="G11940" s="25"/>
      <c r="H11940" s="24" t="str">
        <f>IFERROR(VLOOKUP(B11940,material!A:D,3,0),"")</f>
        <v/>
      </c>
    </row>
    <row r="11941" ht="11.25" customHeight="1">
      <c r="A11941" s="21"/>
      <c r="B11941" s="22"/>
      <c r="C11941" s="21"/>
      <c r="D11941" s="21"/>
      <c r="E11941" s="21"/>
      <c r="F11941" s="21"/>
      <c r="G11941" s="25"/>
      <c r="H11941" s="24" t="str">
        <f>IFERROR(VLOOKUP(B11941,material!A:D,3,0),"")</f>
        <v/>
      </c>
    </row>
    <row r="11942" ht="11.25" customHeight="1">
      <c r="A11942" s="21"/>
      <c r="B11942" s="22"/>
      <c r="C11942" s="21"/>
      <c r="D11942" s="21"/>
      <c r="E11942" s="21"/>
      <c r="F11942" s="21"/>
      <c r="G11942" s="25"/>
      <c r="H11942" s="24" t="str">
        <f>IFERROR(VLOOKUP(B11942,material!A:D,3,0),"")</f>
        <v/>
      </c>
    </row>
    <row r="11943" ht="11.25" customHeight="1">
      <c r="A11943" s="21"/>
      <c r="B11943" s="22"/>
      <c r="C11943" s="21"/>
      <c r="D11943" s="21"/>
      <c r="E11943" s="21"/>
      <c r="F11943" s="21"/>
      <c r="G11943" s="25"/>
      <c r="H11943" s="24" t="str">
        <f>IFERROR(VLOOKUP(B11943,material!A:D,3,0),"")</f>
        <v/>
      </c>
    </row>
    <row r="11944" ht="11.25" customHeight="1">
      <c r="A11944" s="21"/>
      <c r="B11944" s="22"/>
      <c r="C11944" s="21"/>
      <c r="D11944" s="21"/>
      <c r="E11944" s="21"/>
      <c r="F11944" s="21"/>
      <c r="G11944" s="25"/>
      <c r="H11944" s="24" t="str">
        <f>IFERROR(VLOOKUP(B11944,material!A:D,3,0),"")</f>
        <v/>
      </c>
    </row>
    <row r="11945" ht="11.25" customHeight="1">
      <c r="A11945" s="21"/>
      <c r="B11945" s="22"/>
      <c r="C11945" s="21"/>
      <c r="D11945" s="21"/>
      <c r="E11945" s="21"/>
      <c r="F11945" s="21"/>
      <c r="G11945" s="25"/>
      <c r="H11945" s="24" t="str">
        <f>IFERROR(VLOOKUP(B11945,material!A:D,3,0),"")</f>
        <v/>
      </c>
    </row>
    <row r="11946" ht="11.25" customHeight="1">
      <c r="A11946" s="21"/>
      <c r="B11946" s="22"/>
      <c r="C11946" s="21"/>
      <c r="D11946" s="21"/>
      <c r="E11946" s="21"/>
      <c r="F11946" s="21"/>
      <c r="G11946" s="25"/>
      <c r="H11946" s="24" t="str">
        <f>IFERROR(VLOOKUP(B11946,material!A:D,3,0),"")</f>
        <v/>
      </c>
    </row>
    <row r="11947" ht="11.25" customHeight="1">
      <c r="A11947" s="21"/>
      <c r="B11947" s="22"/>
      <c r="C11947" s="21"/>
      <c r="D11947" s="21"/>
      <c r="E11947" s="21"/>
      <c r="F11947" s="21"/>
      <c r="G11947" s="25"/>
      <c r="H11947" s="24" t="str">
        <f>IFERROR(VLOOKUP(B11947,material!A:D,3,0),"")</f>
        <v/>
      </c>
    </row>
    <row r="11948" ht="11.25" customHeight="1">
      <c r="A11948" s="21"/>
      <c r="B11948" s="22"/>
      <c r="C11948" s="21"/>
      <c r="D11948" s="21"/>
      <c r="E11948" s="21"/>
      <c r="F11948" s="21"/>
      <c r="G11948" s="25"/>
      <c r="H11948" s="24" t="str">
        <f>IFERROR(VLOOKUP(B11948,material!A:D,3,0),"")</f>
        <v/>
      </c>
    </row>
    <row r="11949" ht="11.25" customHeight="1">
      <c r="A11949" s="21"/>
      <c r="B11949" s="22"/>
      <c r="C11949" s="21"/>
      <c r="D11949" s="21"/>
      <c r="E11949" s="21"/>
      <c r="F11949" s="21"/>
      <c r="G11949" s="25"/>
      <c r="H11949" s="24" t="str">
        <f>IFERROR(VLOOKUP(B11949,material!A:D,3,0),"")</f>
        <v/>
      </c>
    </row>
    <row r="11950" ht="11.25" customHeight="1">
      <c r="A11950" s="21"/>
      <c r="B11950" s="22"/>
      <c r="C11950" s="21"/>
      <c r="D11950" s="21"/>
      <c r="E11950" s="21"/>
      <c r="F11950" s="21"/>
      <c r="G11950" s="25"/>
      <c r="H11950" s="24" t="str">
        <f>IFERROR(VLOOKUP(B11950,material!A:D,3,0),"")</f>
        <v/>
      </c>
    </row>
    <row r="11951" ht="11.25" customHeight="1">
      <c r="A11951" s="21"/>
      <c r="B11951" s="22"/>
      <c r="C11951" s="21"/>
      <c r="D11951" s="21"/>
      <c r="E11951" s="21"/>
      <c r="F11951" s="21"/>
      <c r="G11951" s="25"/>
      <c r="H11951" s="24" t="str">
        <f>IFERROR(VLOOKUP(B11951,material!A:D,3,0),"")</f>
        <v/>
      </c>
    </row>
    <row r="11952" ht="11.25" customHeight="1">
      <c r="A11952" s="21"/>
      <c r="B11952" s="22"/>
      <c r="C11952" s="21"/>
      <c r="D11952" s="21"/>
      <c r="E11952" s="21"/>
      <c r="F11952" s="21"/>
      <c r="G11952" s="25"/>
      <c r="H11952" s="24" t="str">
        <f>IFERROR(VLOOKUP(B11952,material!A:D,3,0),"")</f>
        <v/>
      </c>
    </row>
    <row r="11953" ht="11.25" customHeight="1">
      <c r="A11953" s="21"/>
      <c r="B11953" s="22"/>
      <c r="C11953" s="21"/>
      <c r="D11953" s="21"/>
      <c r="E11953" s="21"/>
      <c r="F11953" s="21"/>
      <c r="G11953" s="25"/>
      <c r="H11953" s="24" t="str">
        <f>IFERROR(VLOOKUP(B11953,material!A:D,3,0),"")</f>
        <v/>
      </c>
    </row>
    <row r="11954" ht="11.25" customHeight="1">
      <c r="A11954" s="21"/>
      <c r="B11954" s="22"/>
      <c r="C11954" s="21"/>
      <c r="D11954" s="21"/>
      <c r="E11954" s="21"/>
      <c r="F11954" s="21"/>
      <c r="G11954" s="25"/>
      <c r="H11954" s="24" t="str">
        <f>IFERROR(VLOOKUP(B11954,material!A:D,3,0),"")</f>
        <v/>
      </c>
    </row>
    <row r="11955" ht="11.25" customHeight="1">
      <c r="A11955" s="21"/>
      <c r="B11955" s="22"/>
      <c r="C11955" s="21"/>
      <c r="D11955" s="21"/>
      <c r="E11955" s="21"/>
      <c r="F11955" s="21"/>
      <c r="G11955" s="25"/>
      <c r="H11955" s="24" t="str">
        <f>IFERROR(VLOOKUP(B11955,material!A:D,3,0),"")</f>
        <v/>
      </c>
    </row>
    <row r="11956" ht="11.25" customHeight="1">
      <c r="A11956" s="21"/>
      <c r="B11956" s="22"/>
      <c r="C11956" s="21"/>
      <c r="D11956" s="21"/>
      <c r="E11956" s="21"/>
      <c r="F11956" s="21"/>
      <c r="G11956" s="25"/>
      <c r="H11956" s="24" t="str">
        <f>IFERROR(VLOOKUP(B11956,material!A:D,3,0),"")</f>
        <v/>
      </c>
    </row>
    <row r="11957" ht="11.25" customHeight="1">
      <c r="A11957" s="21"/>
      <c r="B11957" s="22"/>
      <c r="C11957" s="21"/>
      <c r="D11957" s="21"/>
      <c r="E11957" s="21"/>
      <c r="F11957" s="21"/>
      <c r="G11957" s="25"/>
      <c r="H11957" s="24" t="str">
        <f>IFERROR(VLOOKUP(B11957,material!A:D,3,0),"")</f>
        <v/>
      </c>
    </row>
    <row r="11958" ht="11.25" customHeight="1">
      <c r="A11958" s="21"/>
      <c r="B11958" s="22"/>
      <c r="C11958" s="21"/>
      <c r="D11958" s="21"/>
      <c r="E11958" s="21"/>
      <c r="F11958" s="21"/>
      <c r="G11958" s="25"/>
      <c r="H11958" s="24" t="str">
        <f>IFERROR(VLOOKUP(B11958,material!A:D,3,0),"")</f>
        <v/>
      </c>
    </row>
    <row r="11959" ht="11.25" customHeight="1">
      <c r="A11959" s="21"/>
      <c r="B11959" s="22"/>
      <c r="C11959" s="21"/>
      <c r="D11959" s="21"/>
      <c r="E11959" s="21"/>
      <c r="F11959" s="21"/>
      <c r="G11959" s="25"/>
      <c r="H11959" s="24" t="str">
        <f>IFERROR(VLOOKUP(B11959,material!A:D,3,0),"")</f>
        <v/>
      </c>
    </row>
    <row r="11960" ht="11.25" customHeight="1">
      <c r="A11960" s="21"/>
      <c r="B11960" s="22"/>
      <c r="C11960" s="21"/>
      <c r="D11960" s="21"/>
      <c r="E11960" s="21"/>
      <c r="F11960" s="21"/>
      <c r="G11960" s="25"/>
      <c r="H11960" s="24" t="str">
        <f>IFERROR(VLOOKUP(B11960,material!A:D,3,0),"")</f>
        <v/>
      </c>
    </row>
    <row r="11961" ht="11.25" customHeight="1">
      <c r="A11961" s="21"/>
      <c r="B11961" s="22"/>
      <c r="C11961" s="21"/>
      <c r="D11961" s="21"/>
      <c r="E11961" s="21"/>
      <c r="F11961" s="21"/>
      <c r="G11961" s="25"/>
      <c r="H11961" s="24" t="str">
        <f>IFERROR(VLOOKUP(B11961,material!A:D,3,0),"")</f>
        <v/>
      </c>
    </row>
    <row r="11962" ht="11.25" customHeight="1">
      <c r="A11962" s="21"/>
      <c r="B11962" s="22"/>
      <c r="C11962" s="21"/>
      <c r="D11962" s="21"/>
      <c r="E11962" s="21"/>
      <c r="F11962" s="21"/>
      <c r="G11962" s="25"/>
      <c r="H11962" s="24" t="str">
        <f>IFERROR(VLOOKUP(B11962,material!A:D,3,0),"")</f>
        <v/>
      </c>
    </row>
    <row r="11963" ht="11.25" customHeight="1">
      <c r="A11963" s="21"/>
      <c r="B11963" s="22"/>
      <c r="C11963" s="21"/>
      <c r="D11963" s="21"/>
      <c r="E11963" s="21"/>
      <c r="F11963" s="21"/>
      <c r="G11963" s="25"/>
      <c r="H11963" s="24" t="str">
        <f>IFERROR(VLOOKUP(B11963,material!A:D,3,0),"")</f>
        <v/>
      </c>
    </row>
    <row r="11964" ht="11.25" customHeight="1">
      <c r="A11964" s="21"/>
      <c r="B11964" s="22"/>
      <c r="C11964" s="21"/>
      <c r="D11964" s="21"/>
      <c r="E11964" s="21"/>
      <c r="F11964" s="21"/>
      <c r="G11964" s="25"/>
      <c r="H11964" s="24" t="str">
        <f>IFERROR(VLOOKUP(B11964,material!A:D,3,0),"")</f>
        <v/>
      </c>
    </row>
    <row r="11965" ht="11.25" customHeight="1">
      <c r="A11965" s="21"/>
      <c r="B11965" s="22"/>
      <c r="C11965" s="21"/>
      <c r="D11965" s="21"/>
      <c r="E11965" s="21"/>
      <c r="F11965" s="21"/>
      <c r="G11965" s="25"/>
      <c r="H11965" s="24" t="str">
        <f>IFERROR(VLOOKUP(B11965,material!A:D,3,0),"")</f>
        <v/>
      </c>
    </row>
    <row r="11966" ht="11.25" customHeight="1">
      <c r="A11966" s="21"/>
      <c r="B11966" s="22"/>
      <c r="C11966" s="21"/>
      <c r="D11966" s="21"/>
      <c r="E11966" s="21"/>
      <c r="F11966" s="21"/>
      <c r="G11966" s="25"/>
      <c r="H11966" s="24" t="str">
        <f>IFERROR(VLOOKUP(B11966,material!A:D,3,0),"")</f>
        <v/>
      </c>
    </row>
    <row r="11967" ht="11.25" customHeight="1">
      <c r="A11967" s="21"/>
      <c r="B11967" s="22"/>
      <c r="C11967" s="21"/>
      <c r="D11967" s="21"/>
      <c r="E11967" s="21"/>
      <c r="F11967" s="21"/>
      <c r="G11967" s="25"/>
      <c r="H11967" s="24" t="str">
        <f>IFERROR(VLOOKUP(B11967,material!A:D,3,0),"")</f>
        <v/>
      </c>
    </row>
    <row r="11968" ht="11.25" customHeight="1">
      <c r="A11968" s="21"/>
      <c r="B11968" s="22"/>
      <c r="C11968" s="21"/>
      <c r="D11968" s="21"/>
      <c r="E11968" s="21"/>
      <c r="F11968" s="21"/>
      <c r="G11968" s="25"/>
      <c r="H11968" s="24" t="str">
        <f>IFERROR(VLOOKUP(B11968,material!A:D,3,0),"")</f>
        <v/>
      </c>
    </row>
    <row r="11969" ht="11.25" customHeight="1">
      <c r="A11969" s="21"/>
      <c r="B11969" s="22"/>
      <c r="C11969" s="21"/>
      <c r="D11969" s="21"/>
      <c r="E11969" s="21"/>
      <c r="F11969" s="21"/>
      <c r="G11969" s="25"/>
      <c r="H11969" s="24" t="str">
        <f>IFERROR(VLOOKUP(B11969,material!A:D,3,0),"")</f>
        <v/>
      </c>
    </row>
    <row r="11970" ht="11.25" customHeight="1">
      <c r="A11970" s="21"/>
      <c r="B11970" s="22"/>
      <c r="C11970" s="21"/>
      <c r="D11970" s="21"/>
      <c r="E11970" s="21"/>
      <c r="F11970" s="21"/>
      <c r="G11970" s="25"/>
      <c r="H11970" s="24" t="str">
        <f>IFERROR(VLOOKUP(B11970,material!A:D,3,0),"")</f>
        <v/>
      </c>
    </row>
    <row r="11971" ht="11.25" customHeight="1">
      <c r="A11971" s="21"/>
      <c r="B11971" s="22"/>
      <c r="C11971" s="21"/>
      <c r="D11971" s="21"/>
      <c r="E11971" s="21"/>
      <c r="F11971" s="21"/>
      <c r="G11971" s="25"/>
      <c r="H11971" s="24" t="str">
        <f>IFERROR(VLOOKUP(B11971,material!A:D,3,0),"")</f>
        <v/>
      </c>
    </row>
    <row r="11972" ht="11.25" customHeight="1">
      <c r="A11972" s="21"/>
      <c r="B11972" s="22"/>
      <c r="C11972" s="21"/>
      <c r="D11972" s="21"/>
      <c r="E11972" s="21"/>
      <c r="F11972" s="21"/>
      <c r="G11972" s="25"/>
      <c r="H11972" s="24" t="str">
        <f>IFERROR(VLOOKUP(B11972,material!A:D,3,0),"")</f>
        <v/>
      </c>
    </row>
    <row r="11973" ht="11.25" customHeight="1">
      <c r="A11973" s="21"/>
      <c r="B11973" s="22"/>
      <c r="C11973" s="21"/>
      <c r="D11973" s="21"/>
      <c r="E11973" s="21"/>
      <c r="F11973" s="21"/>
      <c r="G11973" s="25"/>
      <c r="H11973" s="24" t="str">
        <f>IFERROR(VLOOKUP(B11973,material!A:D,3,0),"")</f>
        <v/>
      </c>
    </row>
    <row r="11974" ht="11.25" customHeight="1">
      <c r="A11974" s="21"/>
      <c r="B11974" s="22"/>
      <c r="C11974" s="21"/>
      <c r="D11974" s="21"/>
      <c r="E11974" s="21"/>
      <c r="F11974" s="21"/>
      <c r="G11974" s="25"/>
      <c r="H11974" s="24" t="str">
        <f>IFERROR(VLOOKUP(B11974,material!A:D,3,0),"")</f>
        <v/>
      </c>
    </row>
    <row r="11975" ht="11.25" customHeight="1">
      <c r="A11975" s="21"/>
      <c r="B11975" s="22"/>
      <c r="C11975" s="21"/>
      <c r="D11975" s="21"/>
      <c r="E11975" s="21"/>
      <c r="F11975" s="21"/>
      <c r="G11975" s="25"/>
      <c r="H11975" s="24" t="str">
        <f>IFERROR(VLOOKUP(B11975,material!A:D,3,0),"")</f>
        <v/>
      </c>
    </row>
    <row r="11976" ht="11.25" customHeight="1">
      <c r="A11976" s="21"/>
      <c r="B11976" s="22"/>
      <c r="C11976" s="21"/>
      <c r="D11976" s="21"/>
      <c r="E11976" s="21"/>
      <c r="F11976" s="21"/>
      <c r="G11976" s="25"/>
      <c r="H11976" s="24" t="str">
        <f>IFERROR(VLOOKUP(B11976,material!A:D,3,0),"")</f>
        <v/>
      </c>
    </row>
    <row r="11977" ht="11.25" customHeight="1">
      <c r="A11977" s="21"/>
      <c r="B11977" s="22"/>
      <c r="C11977" s="21"/>
      <c r="D11977" s="21"/>
      <c r="E11977" s="21"/>
      <c r="F11977" s="21"/>
      <c r="G11977" s="25"/>
      <c r="H11977" s="24" t="str">
        <f>IFERROR(VLOOKUP(B11977,material!A:D,3,0),"")</f>
        <v/>
      </c>
    </row>
    <row r="11978" ht="11.25" customHeight="1">
      <c r="A11978" s="21"/>
      <c r="B11978" s="22"/>
      <c r="C11978" s="21"/>
      <c r="D11978" s="21"/>
      <c r="E11978" s="21"/>
      <c r="F11978" s="21"/>
      <c r="G11978" s="25"/>
      <c r="H11978" s="24" t="str">
        <f>IFERROR(VLOOKUP(B11978,material!A:D,3,0),"")</f>
        <v/>
      </c>
    </row>
    <row r="11979" ht="11.25" customHeight="1">
      <c r="A11979" s="21"/>
      <c r="B11979" s="22"/>
      <c r="C11979" s="21"/>
      <c r="D11979" s="21"/>
      <c r="E11979" s="21"/>
      <c r="F11979" s="21"/>
      <c r="G11979" s="25"/>
      <c r="H11979" s="24" t="str">
        <f>IFERROR(VLOOKUP(B11979,material!A:D,3,0),"")</f>
        <v/>
      </c>
    </row>
    <row r="11980" ht="11.25" customHeight="1">
      <c r="A11980" s="21"/>
      <c r="B11980" s="22"/>
      <c r="C11980" s="21"/>
      <c r="D11980" s="21"/>
      <c r="E11980" s="21"/>
      <c r="F11980" s="21"/>
      <c r="G11980" s="25"/>
      <c r="H11980" s="24" t="str">
        <f>IFERROR(VLOOKUP(B11980,material!A:D,3,0),"")</f>
        <v/>
      </c>
    </row>
    <row r="11981" ht="11.25" customHeight="1">
      <c r="A11981" s="21"/>
      <c r="B11981" s="22"/>
      <c r="C11981" s="21"/>
      <c r="D11981" s="21"/>
      <c r="E11981" s="21"/>
      <c r="F11981" s="21"/>
      <c r="G11981" s="25"/>
      <c r="H11981" s="24" t="str">
        <f>IFERROR(VLOOKUP(B11981,material!A:D,3,0),"")</f>
        <v/>
      </c>
    </row>
    <row r="11982" ht="11.25" customHeight="1">
      <c r="A11982" s="21"/>
      <c r="B11982" s="22"/>
      <c r="C11982" s="21"/>
      <c r="D11982" s="21"/>
      <c r="E11982" s="21"/>
      <c r="F11982" s="21"/>
      <c r="G11982" s="25"/>
      <c r="H11982" s="24" t="str">
        <f>IFERROR(VLOOKUP(B11982,material!A:D,3,0),"")</f>
        <v/>
      </c>
    </row>
    <row r="11983" ht="11.25" customHeight="1">
      <c r="A11983" s="21"/>
      <c r="B11983" s="22"/>
      <c r="C11983" s="21"/>
      <c r="D11983" s="21"/>
      <c r="E11983" s="21"/>
      <c r="F11983" s="21"/>
      <c r="G11983" s="25"/>
      <c r="H11983" s="24" t="str">
        <f>IFERROR(VLOOKUP(B11983,material!A:D,3,0),"")</f>
        <v/>
      </c>
    </row>
    <row r="11984" ht="11.25" customHeight="1">
      <c r="A11984" s="21"/>
      <c r="B11984" s="22"/>
      <c r="C11984" s="21"/>
      <c r="D11984" s="21"/>
      <c r="E11984" s="21"/>
      <c r="F11984" s="21"/>
      <c r="G11984" s="25"/>
      <c r="H11984" s="24" t="str">
        <f>IFERROR(VLOOKUP(B11984,material!A:D,3,0),"")</f>
        <v/>
      </c>
    </row>
    <row r="11985" ht="11.25" customHeight="1">
      <c r="A11985" s="21"/>
      <c r="B11985" s="22"/>
      <c r="C11985" s="21"/>
      <c r="D11985" s="21"/>
      <c r="E11985" s="21"/>
      <c r="F11985" s="21"/>
      <c r="G11985" s="25"/>
      <c r="H11985" s="24" t="str">
        <f>IFERROR(VLOOKUP(B11985,material!A:D,3,0),"")</f>
        <v/>
      </c>
    </row>
    <row r="11986" ht="11.25" customHeight="1">
      <c r="A11986" s="21"/>
      <c r="B11986" s="22"/>
      <c r="C11986" s="21"/>
      <c r="D11986" s="21"/>
      <c r="E11986" s="21"/>
      <c r="F11986" s="21"/>
      <c r="G11986" s="25"/>
      <c r="H11986" s="24" t="str">
        <f>IFERROR(VLOOKUP(B11986,material!A:D,3,0),"")</f>
        <v/>
      </c>
    </row>
    <row r="11987" ht="11.25" customHeight="1">
      <c r="A11987" s="21"/>
      <c r="B11987" s="22"/>
      <c r="C11987" s="21"/>
      <c r="D11987" s="21"/>
      <c r="E11987" s="21"/>
      <c r="F11987" s="21"/>
      <c r="G11987" s="25"/>
      <c r="H11987" s="24" t="str">
        <f>IFERROR(VLOOKUP(B11987,material!A:D,3,0),"")</f>
        <v/>
      </c>
    </row>
    <row r="11988" ht="11.25" customHeight="1">
      <c r="A11988" s="21"/>
      <c r="B11988" s="22"/>
      <c r="C11988" s="21"/>
      <c r="D11988" s="21"/>
      <c r="E11988" s="21"/>
      <c r="F11988" s="21"/>
      <c r="G11988" s="25"/>
      <c r="H11988" s="24" t="str">
        <f>IFERROR(VLOOKUP(B11988,material!A:D,3,0),"")</f>
        <v/>
      </c>
    </row>
    <row r="11989" ht="11.25" customHeight="1">
      <c r="A11989" s="21"/>
      <c r="B11989" s="22"/>
      <c r="C11989" s="21"/>
      <c r="D11989" s="21"/>
      <c r="E11989" s="21"/>
      <c r="F11989" s="21"/>
      <c r="G11989" s="25"/>
      <c r="H11989" s="24" t="str">
        <f>IFERROR(VLOOKUP(B11989,material!A:D,3,0),"")</f>
        <v/>
      </c>
    </row>
    <row r="11990" ht="11.25" customHeight="1">
      <c r="A11990" s="21"/>
      <c r="B11990" s="22"/>
      <c r="C11990" s="21"/>
      <c r="D11990" s="21"/>
      <c r="E11990" s="21"/>
      <c r="F11990" s="21"/>
      <c r="G11990" s="25"/>
      <c r="H11990" s="24" t="str">
        <f>IFERROR(VLOOKUP(B11990,material!A:D,3,0),"")</f>
        <v/>
      </c>
    </row>
    <row r="11991" ht="11.25" customHeight="1">
      <c r="A11991" s="21"/>
      <c r="B11991" s="22"/>
      <c r="C11991" s="21"/>
      <c r="D11991" s="21"/>
      <c r="E11991" s="21"/>
      <c r="F11991" s="21"/>
      <c r="G11991" s="25"/>
      <c r="H11991" s="24" t="str">
        <f>IFERROR(VLOOKUP(B11991,material!A:D,3,0),"")</f>
        <v/>
      </c>
    </row>
    <row r="11992" ht="11.25" customHeight="1">
      <c r="A11992" s="21"/>
      <c r="B11992" s="22"/>
      <c r="C11992" s="21"/>
      <c r="D11992" s="21"/>
      <c r="E11992" s="21"/>
      <c r="F11992" s="21"/>
      <c r="G11992" s="25"/>
      <c r="H11992" s="24" t="str">
        <f>IFERROR(VLOOKUP(B11992,material!A:D,3,0),"")</f>
        <v/>
      </c>
    </row>
    <row r="11993" ht="11.25" customHeight="1">
      <c r="A11993" s="21"/>
      <c r="B11993" s="22"/>
      <c r="C11993" s="21"/>
      <c r="D11993" s="21"/>
      <c r="E11993" s="21"/>
      <c r="F11993" s="21"/>
      <c r="G11993" s="25"/>
      <c r="H11993" s="24" t="str">
        <f>IFERROR(VLOOKUP(B11993,material!A:D,3,0),"")</f>
        <v/>
      </c>
    </row>
    <row r="11994" ht="11.25" customHeight="1">
      <c r="A11994" s="21"/>
      <c r="B11994" s="22"/>
      <c r="C11994" s="21"/>
      <c r="D11994" s="21"/>
      <c r="E11994" s="21"/>
      <c r="F11994" s="21"/>
      <c r="G11994" s="25"/>
      <c r="H11994" s="24" t="str">
        <f>IFERROR(VLOOKUP(B11994,material!A:D,3,0),"")</f>
        <v/>
      </c>
    </row>
    <row r="11995" ht="11.25" customHeight="1">
      <c r="A11995" s="21"/>
      <c r="B11995" s="22"/>
      <c r="C11995" s="21"/>
      <c r="D11995" s="21"/>
      <c r="E11995" s="21"/>
      <c r="F11995" s="21"/>
      <c r="G11995" s="25"/>
      <c r="H11995" s="24" t="str">
        <f>IFERROR(VLOOKUP(B11995,material!A:D,3,0),"")</f>
        <v/>
      </c>
    </row>
    <row r="11996" ht="11.25" customHeight="1">
      <c r="A11996" s="21"/>
      <c r="B11996" s="22"/>
      <c r="C11996" s="21"/>
      <c r="D11996" s="21"/>
      <c r="E11996" s="21"/>
      <c r="F11996" s="21"/>
      <c r="G11996" s="25"/>
      <c r="H11996" s="24" t="str">
        <f>IFERROR(VLOOKUP(B11996,material!A:D,3,0),"")</f>
        <v/>
      </c>
    </row>
    <row r="11997" ht="11.25" customHeight="1">
      <c r="A11997" s="21"/>
      <c r="B11997" s="22"/>
      <c r="C11997" s="21"/>
      <c r="D11997" s="21"/>
      <c r="E11997" s="21"/>
      <c r="F11997" s="21"/>
      <c r="G11997" s="25"/>
      <c r="H11997" s="24" t="str">
        <f>IFERROR(VLOOKUP(B11997,material!A:D,3,0),"")</f>
        <v/>
      </c>
    </row>
    <row r="11998" ht="11.25" customHeight="1">
      <c r="A11998" s="21"/>
      <c r="B11998" s="22"/>
      <c r="C11998" s="21"/>
      <c r="D11998" s="21"/>
      <c r="E11998" s="21"/>
      <c r="F11998" s="21"/>
      <c r="G11998" s="25"/>
      <c r="H11998" s="24" t="str">
        <f>IFERROR(VLOOKUP(B11998,material!A:D,3,0),"")</f>
        <v/>
      </c>
    </row>
    <row r="11999" ht="11.25" customHeight="1">
      <c r="A11999" s="21"/>
      <c r="B11999" s="22"/>
      <c r="C11999" s="21"/>
      <c r="D11999" s="21"/>
      <c r="E11999" s="21"/>
      <c r="F11999" s="21"/>
      <c r="G11999" s="25"/>
      <c r="H11999" s="24" t="str">
        <f>IFERROR(VLOOKUP(B11999,material!A:D,3,0),"")</f>
        <v/>
      </c>
    </row>
    <row r="12000" ht="11.25" customHeight="1">
      <c r="A12000" s="21"/>
      <c r="B12000" s="22"/>
      <c r="C12000" s="21"/>
      <c r="D12000" s="21"/>
      <c r="E12000" s="21"/>
      <c r="F12000" s="21"/>
      <c r="G12000" s="25"/>
      <c r="H12000" s="24" t="str">
        <f>IFERROR(VLOOKUP(B12000,material!A:D,3,0),"")</f>
        <v/>
      </c>
    </row>
    <row r="12001" ht="11.25" customHeight="1">
      <c r="A12001" s="21"/>
      <c r="B12001" s="22"/>
      <c r="C12001" s="21"/>
      <c r="D12001" s="21"/>
      <c r="E12001" s="21"/>
      <c r="F12001" s="21"/>
      <c r="G12001" s="25"/>
      <c r="H12001" s="24" t="str">
        <f>IFERROR(VLOOKUP(B12001,material!A:D,3,0),"")</f>
        <v/>
      </c>
    </row>
    <row r="12002" ht="11.25" customHeight="1">
      <c r="A12002" s="21"/>
      <c r="B12002" s="22"/>
      <c r="C12002" s="21"/>
      <c r="D12002" s="21"/>
      <c r="E12002" s="21"/>
      <c r="F12002" s="21"/>
      <c r="G12002" s="25"/>
      <c r="H12002" s="24" t="str">
        <f>IFERROR(VLOOKUP(B12002,material!A:D,3,0),"")</f>
        <v/>
      </c>
    </row>
    <row r="12003" ht="11.25" customHeight="1">
      <c r="A12003" s="21"/>
      <c r="B12003" s="22"/>
      <c r="C12003" s="21"/>
      <c r="D12003" s="21"/>
      <c r="E12003" s="21"/>
      <c r="F12003" s="21"/>
      <c r="G12003" s="25"/>
      <c r="H12003" s="24" t="str">
        <f>IFERROR(VLOOKUP(B12003,material!A:D,3,0),"")</f>
        <v/>
      </c>
    </row>
    <row r="12004" ht="11.25" customHeight="1">
      <c r="A12004" s="21"/>
      <c r="B12004" s="22"/>
      <c r="C12004" s="21"/>
      <c r="D12004" s="21"/>
      <c r="E12004" s="21"/>
      <c r="F12004" s="21"/>
      <c r="G12004" s="25"/>
      <c r="H12004" s="24" t="str">
        <f>IFERROR(VLOOKUP(B12004,material!A:D,3,0),"")</f>
        <v/>
      </c>
    </row>
    <row r="12005" ht="11.25" customHeight="1">
      <c r="A12005" s="21"/>
      <c r="B12005" s="22"/>
      <c r="C12005" s="21"/>
      <c r="D12005" s="21"/>
      <c r="E12005" s="21"/>
      <c r="F12005" s="21"/>
      <c r="G12005" s="25"/>
      <c r="H12005" s="24" t="str">
        <f>IFERROR(VLOOKUP(B12005,material!A:D,3,0),"")</f>
        <v/>
      </c>
    </row>
    <row r="12006" ht="11.25" customHeight="1">
      <c r="A12006" s="21"/>
      <c r="B12006" s="22"/>
      <c r="C12006" s="21"/>
      <c r="D12006" s="21"/>
      <c r="E12006" s="21"/>
      <c r="F12006" s="21"/>
      <c r="G12006" s="25"/>
      <c r="H12006" s="24" t="str">
        <f>IFERROR(VLOOKUP(B12006,material!A:D,3,0),"")</f>
        <v/>
      </c>
    </row>
    <row r="12007" ht="11.25" customHeight="1">
      <c r="A12007" s="21"/>
      <c r="B12007" s="22"/>
      <c r="C12007" s="21"/>
      <c r="D12007" s="21"/>
      <c r="E12007" s="21"/>
      <c r="F12007" s="21"/>
      <c r="G12007" s="25"/>
      <c r="H12007" s="24" t="str">
        <f>IFERROR(VLOOKUP(B12007,material!A:D,3,0),"")</f>
        <v/>
      </c>
    </row>
    <row r="12008" ht="11.25" customHeight="1">
      <c r="A12008" s="21"/>
      <c r="B12008" s="22"/>
      <c r="C12008" s="21"/>
      <c r="D12008" s="21"/>
      <c r="E12008" s="21"/>
      <c r="F12008" s="21"/>
      <c r="G12008" s="25"/>
      <c r="H12008" s="24" t="str">
        <f>IFERROR(VLOOKUP(B12008,material!A:D,3,0),"")</f>
        <v/>
      </c>
    </row>
    <row r="12009" ht="11.25" customHeight="1">
      <c r="A12009" s="21"/>
      <c r="B12009" s="22"/>
      <c r="C12009" s="21"/>
      <c r="D12009" s="21"/>
      <c r="E12009" s="21"/>
      <c r="F12009" s="21"/>
      <c r="G12009" s="25"/>
      <c r="H12009" s="24" t="str">
        <f>IFERROR(VLOOKUP(B12009,material!A:D,3,0),"")</f>
        <v/>
      </c>
    </row>
    <row r="12010" ht="11.25" customHeight="1">
      <c r="A12010" s="21"/>
      <c r="B12010" s="22"/>
      <c r="C12010" s="21"/>
      <c r="D12010" s="21"/>
      <c r="E12010" s="21"/>
      <c r="F12010" s="21"/>
      <c r="G12010" s="25"/>
      <c r="H12010" s="24" t="str">
        <f>IFERROR(VLOOKUP(B12010,material!A:D,3,0),"")</f>
        <v/>
      </c>
    </row>
    <row r="12011" ht="11.25" customHeight="1">
      <c r="A12011" s="21"/>
      <c r="B12011" s="22"/>
      <c r="C12011" s="21"/>
      <c r="D12011" s="21"/>
      <c r="E12011" s="21"/>
      <c r="F12011" s="21"/>
      <c r="G12011" s="25"/>
      <c r="H12011" s="24" t="str">
        <f>IFERROR(VLOOKUP(B12011,material!A:D,3,0),"")</f>
        <v/>
      </c>
    </row>
    <row r="12012" ht="11.25" customHeight="1">
      <c r="A12012" s="21"/>
      <c r="B12012" s="22"/>
      <c r="C12012" s="21"/>
      <c r="D12012" s="21"/>
      <c r="E12012" s="21"/>
      <c r="F12012" s="21"/>
      <c r="G12012" s="25"/>
      <c r="H12012" s="24" t="str">
        <f>IFERROR(VLOOKUP(B12012,material!A:D,3,0),"")</f>
        <v/>
      </c>
    </row>
    <row r="12013" ht="11.25" customHeight="1">
      <c r="A12013" s="21"/>
      <c r="B12013" s="22"/>
      <c r="C12013" s="21"/>
      <c r="D12013" s="21"/>
      <c r="E12013" s="21"/>
      <c r="F12013" s="21"/>
      <c r="G12013" s="25"/>
      <c r="H12013" s="24" t="str">
        <f>IFERROR(VLOOKUP(B12013,material!A:D,3,0),"")</f>
        <v/>
      </c>
    </row>
    <row r="12014" ht="11.25" customHeight="1">
      <c r="A12014" s="21"/>
      <c r="B12014" s="22"/>
      <c r="C12014" s="21"/>
      <c r="D12014" s="21"/>
      <c r="E12014" s="21"/>
      <c r="F12014" s="21"/>
      <c r="G12014" s="25"/>
      <c r="H12014" s="24" t="str">
        <f>IFERROR(VLOOKUP(B12014,material!A:D,3,0),"")</f>
        <v/>
      </c>
    </row>
    <row r="12015" ht="11.25" customHeight="1">
      <c r="A12015" s="21"/>
      <c r="B12015" s="22"/>
      <c r="C12015" s="21"/>
      <c r="D12015" s="21"/>
      <c r="E12015" s="21"/>
      <c r="F12015" s="21"/>
      <c r="G12015" s="25"/>
      <c r="H12015" s="24" t="str">
        <f>IFERROR(VLOOKUP(B12015,material!A:D,3,0),"")</f>
        <v/>
      </c>
    </row>
    <row r="12016" ht="11.25" customHeight="1">
      <c r="A12016" s="21"/>
      <c r="B12016" s="22"/>
      <c r="C12016" s="21"/>
      <c r="D12016" s="21"/>
      <c r="E12016" s="21"/>
      <c r="F12016" s="21"/>
      <c r="G12016" s="25"/>
      <c r="H12016" s="24" t="str">
        <f>IFERROR(VLOOKUP(B12016,material!A:D,3,0),"")</f>
        <v/>
      </c>
    </row>
    <row r="12017" ht="11.25" customHeight="1">
      <c r="A12017" s="21"/>
      <c r="B12017" s="22"/>
      <c r="C12017" s="21"/>
      <c r="D12017" s="21"/>
      <c r="E12017" s="21"/>
      <c r="F12017" s="21"/>
      <c r="G12017" s="25"/>
      <c r="H12017" s="24" t="str">
        <f>IFERROR(VLOOKUP(B12017,material!A:D,3,0),"")</f>
        <v/>
      </c>
    </row>
    <row r="12018" ht="11.25" customHeight="1">
      <c r="A12018" s="21"/>
      <c r="B12018" s="22"/>
      <c r="C12018" s="21"/>
      <c r="D12018" s="21"/>
      <c r="E12018" s="21"/>
      <c r="F12018" s="21"/>
      <c r="G12018" s="25"/>
      <c r="H12018" s="24" t="str">
        <f>IFERROR(VLOOKUP(B12018,material!A:D,3,0),"")</f>
        <v/>
      </c>
    </row>
    <row r="12019" ht="11.25" customHeight="1">
      <c r="A12019" s="21"/>
      <c r="B12019" s="22"/>
      <c r="C12019" s="21"/>
      <c r="D12019" s="21"/>
      <c r="E12019" s="21"/>
      <c r="F12019" s="21"/>
      <c r="G12019" s="25"/>
      <c r="H12019" s="24" t="str">
        <f>IFERROR(VLOOKUP(B12019,material!A:D,3,0),"")</f>
        <v/>
      </c>
    </row>
    <row r="12020" ht="11.25" customHeight="1">
      <c r="A12020" s="21"/>
      <c r="B12020" s="22"/>
      <c r="C12020" s="21"/>
      <c r="D12020" s="21"/>
      <c r="E12020" s="21"/>
      <c r="F12020" s="21"/>
      <c r="G12020" s="25"/>
      <c r="H12020" s="24" t="str">
        <f>IFERROR(VLOOKUP(B12020,material!A:D,3,0),"")</f>
        <v/>
      </c>
    </row>
    <row r="12021" ht="11.25" customHeight="1">
      <c r="A12021" s="21"/>
      <c r="B12021" s="22"/>
      <c r="C12021" s="21"/>
      <c r="D12021" s="21"/>
      <c r="E12021" s="21"/>
      <c r="F12021" s="21"/>
      <c r="G12021" s="25"/>
      <c r="H12021" s="24" t="str">
        <f>IFERROR(VLOOKUP(B12021,material!A:D,3,0),"")</f>
        <v/>
      </c>
    </row>
    <row r="12022" ht="11.25" customHeight="1">
      <c r="A12022" s="21"/>
      <c r="B12022" s="22"/>
      <c r="C12022" s="21"/>
      <c r="D12022" s="21"/>
      <c r="E12022" s="21"/>
      <c r="F12022" s="21"/>
      <c r="G12022" s="25"/>
      <c r="H12022" s="24" t="str">
        <f>IFERROR(VLOOKUP(B12022,material!A:D,3,0),"")</f>
        <v/>
      </c>
    </row>
    <row r="12023" ht="11.25" customHeight="1">
      <c r="A12023" s="21"/>
      <c r="B12023" s="22"/>
      <c r="C12023" s="21"/>
      <c r="D12023" s="21"/>
      <c r="E12023" s="21"/>
      <c r="F12023" s="21"/>
      <c r="G12023" s="25"/>
      <c r="H12023" s="24" t="str">
        <f>IFERROR(VLOOKUP(B12023,material!A:D,3,0),"")</f>
        <v/>
      </c>
    </row>
    <row r="12024" ht="11.25" customHeight="1">
      <c r="A12024" s="21"/>
      <c r="B12024" s="22"/>
      <c r="C12024" s="21"/>
      <c r="D12024" s="21"/>
      <c r="E12024" s="21"/>
      <c r="F12024" s="21"/>
      <c r="G12024" s="25"/>
      <c r="H12024" s="24" t="str">
        <f>IFERROR(VLOOKUP(B12024,material!A:D,3,0),"")</f>
        <v/>
      </c>
    </row>
    <row r="12025" ht="11.25" customHeight="1">
      <c r="A12025" s="21"/>
      <c r="B12025" s="22"/>
      <c r="C12025" s="21"/>
      <c r="D12025" s="21"/>
      <c r="E12025" s="21"/>
      <c r="F12025" s="21"/>
      <c r="G12025" s="25"/>
      <c r="H12025" s="24" t="str">
        <f>IFERROR(VLOOKUP(B12025,material!A:D,3,0),"")</f>
        <v/>
      </c>
    </row>
    <row r="12026" ht="11.25" customHeight="1">
      <c r="A12026" s="21"/>
      <c r="B12026" s="22"/>
      <c r="C12026" s="21"/>
      <c r="D12026" s="21"/>
      <c r="E12026" s="21"/>
      <c r="F12026" s="21"/>
      <c r="G12026" s="25"/>
      <c r="H12026" s="24" t="str">
        <f>IFERROR(VLOOKUP(B12026,material!A:D,3,0),"")</f>
        <v/>
      </c>
    </row>
    <row r="12027" ht="11.25" customHeight="1">
      <c r="A12027" s="21"/>
      <c r="B12027" s="22"/>
      <c r="C12027" s="21"/>
      <c r="D12027" s="21"/>
      <c r="E12027" s="21"/>
      <c r="F12027" s="21"/>
      <c r="G12027" s="25"/>
      <c r="H12027" s="24" t="str">
        <f>IFERROR(VLOOKUP(B12027,material!A:D,3,0),"")</f>
        <v/>
      </c>
    </row>
    <row r="12028" ht="11.25" customHeight="1">
      <c r="A12028" s="21"/>
      <c r="B12028" s="22"/>
      <c r="C12028" s="21"/>
      <c r="D12028" s="21"/>
      <c r="E12028" s="21"/>
      <c r="F12028" s="21"/>
      <c r="G12028" s="25"/>
      <c r="H12028" s="24" t="str">
        <f>IFERROR(VLOOKUP(B12028,material!A:D,3,0),"")</f>
        <v/>
      </c>
    </row>
    <row r="12029" ht="11.25" customHeight="1">
      <c r="A12029" s="21"/>
      <c r="B12029" s="22"/>
      <c r="C12029" s="21"/>
      <c r="D12029" s="21"/>
      <c r="E12029" s="21"/>
      <c r="F12029" s="21"/>
      <c r="G12029" s="25"/>
      <c r="H12029" s="24" t="str">
        <f>IFERROR(VLOOKUP(B12029,material!A:D,3,0),"")</f>
        <v/>
      </c>
    </row>
    <row r="12030" ht="11.25" customHeight="1">
      <c r="A12030" s="21"/>
      <c r="B12030" s="22"/>
      <c r="C12030" s="21"/>
      <c r="D12030" s="21"/>
      <c r="E12030" s="21"/>
      <c r="F12030" s="21"/>
      <c r="G12030" s="25"/>
      <c r="H12030" s="24" t="str">
        <f>IFERROR(VLOOKUP(B12030,material!A:D,3,0),"")</f>
        <v/>
      </c>
    </row>
    <row r="12031" ht="11.25" customHeight="1">
      <c r="A12031" s="21"/>
      <c r="B12031" s="22"/>
      <c r="C12031" s="21"/>
      <c r="D12031" s="21"/>
      <c r="E12031" s="21"/>
      <c r="F12031" s="21"/>
      <c r="G12031" s="25"/>
      <c r="H12031" s="24" t="str">
        <f>IFERROR(VLOOKUP(B12031,material!A:D,3,0),"")</f>
        <v/>
      </c>
    </row>
    <row r="12032" ht="11.25" customHeight="1">
      <c r="A12032" s="21"/>
      <c r="B12032" s="22"/>
      <c r="C12032" s="21"/>
      <c r="D12032" s="21"/>
      <c r="E12032" s="21"/>
      <c r="F12032" s="21"/>
      <c r="G12032" s="25"/>
      <c r="H12032" s="24" t="str">
        <f>IFERROR(VLOOKUP(B12032,material!A:D,3,0),"")</f>
        <v/>
      </c>
    </row>
    <row r="12033" ht="11.25" customHeight="1">
      <c r="A12033" s="21"/>
      <c r="B12033" s="22"/>
      <c r="C12033" s="21"/>
      <c r="D12033" s="21"/>
      <c r="E12033" s="21"/>
      <c r="F12033" s="21"/>
      <c r="G12033" s="25"/>
      <c r="H12033" s="24" t="str">
        <f>IFERROR(VLOOKUP(B12033,material!A:D,3,0),"")</f>
        <v/>
      </c>
    </row>
    <row r="12034" ht="11.25" customHeight="1">
      <c r="A12034" s="21"/>
      <c r="B12034" s="22"/>
      <c r="C12034" s="21"/>
      <c r="D12034" s="21"/>
      <c r="E12034" s="21"/>
      <c r="F12034" s="21"/>
      <c r="G12034" s="25"/>
      <c r="H12034" s="24" t="str">
        <f>IFERROR(VLOOKUP(B12034,material!A:D,3,0),"")</f>
        <v/>
      </c>
    </row>
    <row r="12035" ht="11.25" customHeight="1">
      <c r="A12035" s="21"/>
      <c r="B12035" s="22"/>
      <c r="C12035" s="21"/>
      <c r="D12035" s="21"/>
      <c r="E12035" s="21"/>
      <c r="F12035" s="21"/>
      <c r="G12035" s="25"/>
      <c r="H12035" s="24" t="str">
        <f>IFERROR(VLOOKUP(B12035,material!A:D,3,0),"")</f>
        <v/>
      </c>
    </row>
    <row r="12036" ht="11.25" customHeight="1">
      <c r="A12036" s="21"/>
      <c r="B12036" s="22"/>
      <c r="C12036" s="21"/>
      <c r="D12036" s="21"/>
      <c r="E12036" s="21"/>
      <c r="F12036" s="21"/>
      <c r="G12036" s="25"/>
      <c r="H12036" s="24" t="str">
        <f>IFERROR(VLOOKUP(B12036,material!A:D,3,0),"")</f>
        <v/>
      </c>
    </row>
    <row r="12037" ht="11.25" customHeight="1">
      <c r="A12037" s="21"/>
      <c r="B12037" s="22"/>
      <c r="C12037" s="21"/>
      <c r="D12037" s="21"/>
      <c r="E12037" s="21"/>
      <c r="F12037" s="21"/>
      <c r="G12037" s="25"/>
      <c r="H12037" s="24" t="str">
        <f>IFERROR(VLOOKUP(B12037,material!A:D,3,0),"")</f>
        <v/>
      </c>
    </row>
    <row r="12038" ht="11.25" customHeight="1">
      <c r="A12038" s="21"/>
      <c r="B12038" s="22"/>
      <c r="C12038" s="21"/>
      <c r="D12038" s="21"/>
      <c r="E12038" s="21"/>
      <c r="F12038" s="21"/>
      <c r="G12038" s="25"/>
      <c r="H12038" s="24" t="str">
        <f>IFERROR(VLOOKUP(B12038,material!A:D,3,0),"")</f>
        <v/>
      </c>
    </row>
    <row r="12039" ht="11.25" customHeight="1">
      <c r="A12039" s="21"/>
      <c r="B12039" s="22"/>
      <c r="C12039" s="21"/>
      <c r="D12039" s="21"/>
      <c r="E12039" s="21"/>
      <c r="F12039" s="21"/>
      <c r="G12039" s="25"/>
      <c r="H12039" s="24" t="str">
        <f>IFERROR(VLOOKUP(B12039,material!A:D,3,0),"")</f>
        <v/>
      </c>
    </row>
    <row r="12040" ht="11.25" customHeight="1">
      <c r="A12040" s="21"/>
      <c r="B12040" s="22"/>
      <c r="C12040" s="21"/>
      <c r="D12040" s="21"/>
      <c r="E12040" s="21"/>
      <c r="F12040" s="21"/>
      <c r="G12040" s="25"/>
      <c r="H12040" s="24" t="str">
        <f>IFERROR(VLOOKUP(B12040,material!A:D,3,0),"")</f>
        <v/>
      </c>
    </row>
    <row r="12041" ht="11.25" customHeight="1">
      <c r="A12041" s="21"/>
      <c r="B12041" s="22"/>
      <c r="C12041" s="21"/>
      <c r="D12041" s="21"/>
      <c r="E12041" s="21"/>
      <c r="F12041" s="21"/>
      <c r="G12041" s="25"/>
      <c r="H12041" s="24" t="str">
        <f>IFERROR(VLOOKUP(B12041,material!A:D,3,0),"")</f>
        <v/>
      </c>
    </row>
    <row r="12042" ht="11.25" customHeight="1">
      <c r="A12042" s="21"/>
      <c r="B12042" s="22"/>
      <c r="C12042" s="21"/>
      <c r="D12042" s="21"/>
      <c r="E12042" s="21"/>
      <c r="F12042" s="21"/>
      <c r="G12042" s="25"/>
      <c r="H12042" s="24" t="str">
        <f>IFERROR(VLOOKUP(B12042,material!A:D,3,0),"")</f>
        <v/>
      </c>
    </row>
    <row r="12043" ht="11.25" customHeight="1">
      <c r="A12043" s="21"/>
      <c r="B12043" s="22"/>
      <c r="C12043" s="21"/>
      <c r="D12043" s="21"/>
      <c r="E12043" s="21"/>
      <c r="F12043" s="21"/>
      <c r="G12043" s="25"/>
      <c r="H12043" s="24" t="str">
        <f>IFERROR(VLOOKUP(B12043,material!A:D,3,0),"")</f>
        <v/>
      </c>
    </row>
    <row r="12044" ht="11.25" customHeight="1">
      <c r="A12044" s="21"/>
      <c r="B12044" s="22"/>
      <c r="C12044" s="21"/>
      <c r="D12044" s="21"/>
      <c r="E12044" s="21"/>
      <c r="F12044" s="21"/>
      <c r="G12044" s="25"/>
      <c r="H12044" s="24" t="str">
        <f>IFERROR(VLOOKUP(B12044,material!A:D,3,0),"")</f>
        <v/>
      </c>
    </row>
    <row r="12045" ht="11.25" customHeight="1">
      <c r="A12045" s="21"/>
      <c r="B12045" s="22"/>
      <c r="C12045" s="21"/>
      <c r="D12045" s="21"/>
      <c r="E12045" s="21"/>
      <c r="F12045" s="21"/>
      <c r="G12045" s="25"/>
      <c r="H12045" s="24" t="str">
        <f>IFERROR(VLOOKUP(B12045,material!A:D,3,0),"")</f>
        <v/>
      </c>
    </row>
    <row r="12046" ht="11.25" customHeight="1">
      <c r="A12046" s="21"/>
      <c r="B12046" s="22"/>
      <c r="C12046" s="21"/>
      <c r="D12046" s="21"/>
      <c r="E12046" s="21"/>
      <c r="F12046" s="21"/>
      <c r="G12046" s="25"/>
      <c r="H12046" s="24" t="str">
        <f>IFERROR(VLOOKUP(B12046,material!A:D,3,0),"")</f>
        <v/>
      </c>
    </row>
    <row r="12047" ht="11.25" customHeight="1">
      <c r="A12047" s="21"/>
      <c r="B12047" s="22"/>
      <c r="C12047" s="21"/>
      <c r="D12047" s="21"/>
      <c r="E12047" s="21"/>
      <c r="F12047" s="21"/>
      <c r="G12047" s="25"/>
      <c r="H12047" s="24" t="str">
        <f>IFERROR(VLOOKUP(B12047,material!A:D,3,0),"")</f>
        <v/>
      </c>
    </row>
    <row r="12048" ht="11.25" customHeight="1">
      <c r="A12048" s="21"/>
      <c r="B12048" s="22"/>
      <c r="C12048" s="21"/>
      <c r="D12048" s="21"/>
      <c r="E12048" s="21"/>
      <c r="F12048" s="21"/>
      <c r="G12048" s="25"/>
      <c r="H12048" s="24" t="str">
        <f>IFERROR(VLOOKUP(B12048,material!A:D,3,0),"")</f>
        <v/>
      </c>
    </row>
    <row r="12049" ht="11.25" customHeight="1">
      <c r="A12049" s="21"/>
      <c r="B12049" s="22"/>
      <c r="C12049" s="21"/>
      <c r="D12049" s="21"/>
      <c r="E12049" s="21"/>
      <c r="F12049" s="21"/>
      <c r="G12049" s="25"/>
      <c r="H12049" s="24" t="str">
        <f>IFERROR(VLOOKUP(B12049,material!A:D,3,0),"")</f>
        <v/>
      </c>
    </row>
    <row r="12050" ht="11.25" customHeight="1">
      <c r="A12050" s="21"/>
      <c r="B12050" s="22"/>
      <c r="C12050" s="21"/>
      <c r="D12050" s="21"/>
      <c r="E12050" s="21"/>
      <c r="F12050" s="21"/>
      <c r="G12050" s="25"/>
      <c r="H12050" s="24" t="str">
        <f>IFERROR(VLOOKUP(B12050,material!A:D,3,0),"")</f>
        <v/>
      </c>
    </row>
    <row r="12051" ht="11.25" customHeight="1">
      <c r="A12051" s="21"/>
      <c r="B12051" s="22"/>
      <c r="C12051" s="21"/>
      <c r="D12051" s="21"/>
      <c r="E12051" s="21"/>
      <c r="F12051" s="21"/>
      <c r="G12051" s="25"/>
      <c r="H12051" s="24" t="str">
        <f>IFERROR(VLOOKUP(B12051,material!A:D,3,0),"")</f>
        <v/>
      </c>
    </row>
    <row r="12052" ht="11.25" customHeight="1">
      <c r="A12052" s="21"/>
      <c r="B12052" s="22"/>
      <c r="C12052" s="21"/>
      <c r="D12052" s="21"/>
      <c r="E12052" s="21"/>
      <c r="F12052" s="21"/>
      <c r="G12052" s="25"/>
      <c r="H12052" s="24" t="str">
        <f>IFERROR(VLOOKUP(B12052,material!A:D,3,0),"")</f>
        <v/>
      </c>
    </row>
    <row r="12053" ht="11.25" customHeight="1">
      <c r="A12053" s="21"/>
      <c r="B12053" s="22"/>
      <c r="C12053" s="21"/>
      <c r="D12053" s="21"/>
      <c r="E12053" s="21"/>
      <c r="F12053" s="21"/>
      <c r="G12053" s="25"/>
      <c r="H12053" s="24" t="str">
        <f>IFERROR(VLOOKUP(B12053,material!A:D,3,0),"")</f>
        <v/>
      </c>
    </row>
    <row r="12054" ht="11.25" customHeight="1">
      <c r="A12054" s="21"/>
      <c r="B12054" s="22"/>
      <c r="C12054" s="21"/>
      <c r="D12054" s="21"/>
      <c r="E12054" s="21"/>
      <c r="F12054" s="21"/>
      <c r="G12054" s="25"/>
      <c r="H12054" s="24" t="str">
        <f>IFERROR(VLOOKUP(B12054,material!A:D,3,0),"")</f>
        <v/>
      </c>
    </row>
    <row r="12055" ht="11.25" customHeight="1">
      <c r="A12055" s="21"/>
      <c r="B12055" s="22"/>
      <c r="C12055" s="21"/>
      <c r="D12055" s="21"/>
      <c r="E12055" s="21"/>
      <c r="F12055" s="21"/>
      <c r="G12055" s="25"/>
      <c r="H12055" s="24" t="str">
        <f>IFERROR(VLOOKUP(B12055,material!A:D,3,0),"")</f>
        <v/>
      </c>
    </row>
    <row r="12056" ht="11.25" customHeight="1">
      <c r="A12056" s="21"/>
      <c r="B12056" s="22"/>
      <c r="C12056" s="21"/>
      <c r="D12056" s="21"/>
      <c r="E12056" s="21"/>
      <c r="F12056" s="21"/>
      <c r="G12056" s="25"/>
      <c r="H12056" s="24" t="str">
        <f>IFERROR(VLOOKUP(B12056,material!A:D,3,0),"")</f>
        <v/>
      </c>
    </row>
    <row r="12057" ht="11.25" customHeight="1">
      <c r="A12057" s="21"/>
      <c r="B12057" s="22"/>
      <c r="C12057" s="21"/>
      <c r="D12057" s="21"/>
      <c r="E12057" s="21"/>
      <c r="F12057" s="21"/>
      <c r="G12057" s="25"/>
      <c r="H12057" s="24" t="str">
        <f>IFERROR(VLOOKUP(B12057,material!A:D,3,0),"")</f>
        <v/>
      </c>
    </row>
    <row r="12058" ht="11.25" customHeight="1">
      <c r="A12058" s="21"/>
      <c r="B12058" s="22"/>
      <c r="C12058" s="21"/>
      <c r="D12058" s="21"/>
      <c r="E12058" s="21"/>
      <c r="F12058" s="21"/>
      <c r="G12058" s="25"/>
      <c r="H12058" s="24" t="str">
        <f>IFERROR(VLOOKUP(B12058,material!A:D,3,0),"")</f>
        <v/>
      </c>
    </row>
    <row r="12059" ht="11.25" customHeight="1">
      <c r="A12059" s="21"/>
      <c r="B12059" s="22"/>
      <c r="C12059" s="21"/>
      <c r="D12059" s="21"/>
      <c r="E12059" s="21"/>
      <c r="F12059" s="21"/>
      <c r="G12059" s="25"/>
      <c r="H12059" s="24" t="str">
        <f>IFERROR(VLOOKUP(B12059,material!A:D,3,0),"")</f>
        <v/>
      </c>
    </row>
    <row r="12060" ht="11.25" customHeight="1">
      <c r="A12060" s="21"/>
      <c r="B12060" s="22"/>
      <c r="C12060" s="21"/>
      <c r="D12060" s="21"/>
      <c r="E12060" s="21"/>
      <c r="F12060" s="21"/>
      <c r="G12060" s="25"/>
      <c r="H12060" s="24" t="str">
        <f>IFERROR(VLOOKUP(B12060,material!A:D,3,0),"")</f>
        <v/>
      </c>
    </row>
    <row r="12061" ht="11.25" customHeight="1">
      <c r="A12061" s="21"/>
      <c r="B12061" s="22"/>
      <c r="C12061" s="21"/>
      <c r="D12061" s="21"/>
      <c r="E12061" s="21"/>
      <c r="F12061" s="21"/>
      <c r="G12061" s="25"/>
      <c r="H12061" s="24" t="str">
        <f>IFERROR(VLOOKUP(B12061,material!A:D,3,0),"")</f>
        <v/>
      </c>
    </row>
    <row r="12062" ht="11.25" customHeight="1">
      <c r="A12062" s="21"/>
      <c r="B12062" s="22"/>
      <c r="C12062" s="21"/>
      <c r="D12062" s="21"/>
      <c r="E12062" s="21"/>
      <c r="F12062" s="21"/>
      <c r="G12062" s="25"/>
      <c r="H12062" s="24" t="str">
        <f>IFERROR(VLOOKUP(B12062,material!A:D,3,0),"")</f>
        <v/>
      </c>
    </row>
    <row r="12063" ht="11.25" customHeight="1">
      <c r="A12063" s="21"/>
      <c r="B12063" s="22"/>
      <c r="C12063" s="21"/>
      <c r="D12063" s="21"/>
      <c r="E12063" s="21"/>
      <c r="F12063" s="21"/>
      <c r="G12063" s="25"/>
      <c r="H12063" s="24" t="str">
        <f>IFERROR(VLOOKUP(B12063,material!A:D,3,0),"")</f>
        <v/>
      </c>
    </row>
    <row r="12064" ht="11.25" customHeight="1">
      <c r="A12064" s="21"/>
      <c r="B12064" s="22"/>
      <c r="C12064" s="21"/>
      <c r="D12064" s="21"/>
      <c r="E12064" s="21"/>
      <c r="F12064" s="21"/>
      <c r="G12064" s="25"/>
      <c r="H12064" s="24" t="str">
        <f>IFERROR(VLOOKUP(B12064,material!A:D,3,0),"")</f>
        <v/>
      </c>
    </row>
    <row r="12065" ht="11.25" customHeight="1">
      <c r="A12065" s="21"/>
      <c r="B12065" s="22"/>
      <c r="C12065" s="21"/>
      <c r="D12065" s="21"/>
      <c r="E12065" s="21"/>
      <c r="F12065" s="21"/>
      <c r="G12065" s="25"/>
      <c r="H12065" s="24" t="str">
        <f>IFERROR(VLOOKUP(B12065,material!A:D,3,0),"")</f>
        <v/>
      </c>
    </row>
    <row r="12066" ht="11.25" customHeight="1">
      <c r="A12066" s="21"/>
      <c r="B12066" s="22"/>
      <c r="C12066" s="21"/>
      <c r="D12066" s="21"/>
      <c r="E12066" s="21"/>
      <c r="F12066" s="21"/>
      <c r="G12066" s="25"/>
      <c r="H12066" s="24" t="str">
        <f>IFERROR(VLOOKUP(B12066,material!A:D,3,0),"")</f>
        <v/>
      </c>
    </row>
    <row r="12067" ht="11.25" customHeight="1">
      <c r="A12067" s="21"/>
      <c r="B12067" s="22"/>
      <c r="C12067" s="21"/>
      <c r="D12067" s="21"/>
      <c r="E12067" s="21"/>
      <c r="F12067" s="21"/>
      <c r="G12067" s="25"/>
      <c r="H12067" s="24" t="str">
        <f>IFERROR(VLOOKUP(B12067,material!A:D,3,0),"")</f>
        <v/>
      </c>
    </row>
    <row r="12068" ht="11.25" customHeight="1">
      <c r="A12068" s="21"/>
      <c r="B12068" s="22"/>
      <c r="C12068" s="21"/>
      <c r="D12068" s="21"/>
      <c r="E12068" s="21"/>
      <c r="F12068" s="21"/>
      <c r="G12068" s="25"/>
      <c r="H12068" s="24" t="str">
        <f>IFERROR(VLOOKUP(B12068,material!A:D,3,0),"")</f>
        <v/>
      </c>
    </row>
    <row r="12069" ht="11.25" customHeight="1">
      <c r="A12069" s="21"/>
      <c r="B12069" s="22"/>
      <c r="C12069" s="21"/>
      <c r="D12069" s="21"/>
      <c r="E12069" s="21"/>
      <c r="F12069" s="21"/>
      <c r="G12069" s="25"/>
      <c r="H12069" s="24" t="str">
        <f>IFERROR(VLOOKUP(B12069,material!A:D,3,0),"")</f>
        <v/>
      </c>
    </row>
    <row r="12070" ht="11.25" customHeight="1">
      <c r="A12070" s="21"/>
      <c r="B12070" s="22"/>
      <c r="C12070" s="21"/>
      <c r="D12070" s="21"/>
      <c r="E12070" s="21"/>
      <c r="F12070" s="21"/>
      <c r="G12070" s="25"/>
      <c r="H12070" s="24" t="str">
        <f>IFERROR(VLOOKUP(B12070,material!A:D,3,0),"")</f>
        <v/>
      </c>
    </row>
    <row r="12071" ht="11.25" customHeight="1">
      <c r="A12071" s="21"/>
      <c r="B12071" s="22"/>
      <c r="C12071" s="21"/>
      <c r="D12071" s="21"/>
      <c r="E12071" s="21"/>
      <c r="F12071" s="21"/>
      <c r="G12071" s="25"/>
      <c r="H12071" s="24" t="str">
        <f>IFERROR(VLOOKUP(B12071,material!A:D,3,0),"")</f>
        <v/>
      </c>
    </row>
    <row r="12072" ht="11.25" customHeight="1">
      <c r="A12072" s="21"/>
      <c r="B12072" s="22"/>
      <c r="C12072" s="21"/>
      <c r="D12072" s="21"/>
      <c r="E12072" s="21"/>
      <c r="F12072" s="21"/>
      <c r="G12072" s="25"/>
      <c r="H12072" s="24" t="str">
        <f>IFERROR(VLOOKUP(B12072,material!A:D,3,0),"")</f>
        <v/>
      </c>
    </row>
    <row r="12073" ht="11.25" customHeight="1">
      <c r="A12073" s="21"/>
      <c r="B12073" s="22"/>
      <c r="C12073" s="21"/>
      <c r="D12073" s="21"/>
      <c r="E12073" s="21"/>
      <c r="F12073" s="21"/>
      <c r="G12073" s="25"/>
      <c r="H12073" s="24" t="str">
        <f>IFERROR(VLOOKUP(B12073,material!A:D,3,0),"")</f>
        <v/>
      </c>
    </row>
    <row r="12074" ht="11.25" customHeight="1">
      <c r="A12074" s="21"/>
      <c r="B12074" s="22"/>
      <c r="C12074" s="21"/>
      <c r="D12074" s="21"/>
      <c r="E12074" s="21"/>
      <c r="F12074" s="21"/>
      <c r="G12074" s="25"/>
      <c r="H12074" s="24" t="str">
        <f>IFERROR(VLOOKUP(B12074,material!A:D,3,0),"")</f>
        <v/>
      </c>
    </row>
    <row r="12075" ht="11.25" customHeight="1">
      <c r="A12075" s="21"/>
      <c r="B12075" s="22"/>
      <c r="C12075" s="21"/>
      <c r="D12075" s="21"/>
      <c r="E12075" s="21"/>
      <c r="F12075" s="21"/>
      <c r="G12075" s="25"/>
      <c r="H12075" s="24" t="str">
        <f>IFERROR(VLOOKUP(B12075,material!A:D,3,0),"")</f>
        <v/>
      </c>
    </row>
    <row r="12076" ht="11.25" customHeight="1">
      <c r="A12076" s="21"/>
      <c r="B12076" s="22"/>
      <c r="C12076" s="21"/>
      <c r="D12076" s="21"/>
      <c r="E12076" s="21"/>
      <c r="F12076" s="21"/>
      <c r="G12076" s="25"/>
      <c r="H12076" s="24" t="str">
        <f>IFERROR(VLOOKUP(B12076,material!A:D,3,0),"")</f>
        <v/>
      </c>
    </row>
    <row r="12077" ht="11.25" customHeight="1">
      <c r="A12077" s="21"/>
      <c r="B12077" s="22"/>
      <c r="C12077" s="21"/>
      <c r="D12077" s="21"/>
      <c r="E12077" s="21"/>
      <c r="F12077" s="21"/>
      <c r="G12077" s="25"/>
      <c r="H12077" s="24" t="str">
        <f>IFERROR(VLOOKUP(B12077,material!A:D,3,0),"")</f>
        <v/>
      </c>
    </row>
    <row r="12078" ht="11.25" customHeight="1">
      <c r="A12078" s="21"/>
      <c r="B12078" s="22"/>
      <c r="C12078" s="21"/>
      <c r="D12078" s="21"/>
      <c r="E12078" s="21"/>
      <c r="F12078" s="21"/>
      <c r="G12078" s="25"/>
      <c r="H12078" s="24" t="str">
        <f>IFERROR(VLOOKUP(B12078,material!A:D,3,0),"")</f>
        <v/>
      </c>
    </row>
    <row r="12079" ht="11.25" customHeight="1">
      <c r="A12079" s="21"/>
      <c r="B12079" s="22"/>
      <c r="C12079" s="21"/>
      <c r="D12079" s="21"/>
      <c r="E12079" s="21"/>
      <c r="F12079" s="21"/>
      <c r="G12079" s="25"/>
      <c r="H12079" s="24" t="str">
        <f>IFERROR(VLOOKUP(B12079,material!A:D,3,0),"")</f>
        <v/>
      </c>
    </row>
    <row r="12080" ht="11.25" customHeight="1">
      <c r="A12080" s="21"/>
      <c r="B12080" s="22"/>
      <c r="C12080" s="21"/>
      <c r="D12080" s="21"/>
      <c r="E12080" s="21"/>
      <c r="F12080" s="21"/>
      <c r="G12080" s="25"/>
      <c r="H12080" s="24" t="str">
        <f>IFERROR(VLOOKUP(B12080,material!A:D,3,0),"")</f>
        <v/>
      </c>
    </row>
    <row r="12081" ht="11.25" customHeight="1">
      <c r="A12081" s="21"/>
      <c r="B12081" s="22"/>
      <c r="C12081" s="21"/>
      <c r="D12081" s="21"/>
      <c r="E12081" s="21"/>
      <c r="F12081" s="21"/>
      <c r="G12081" s="25"/>
      <c r="H12081" s="24" t="str">
        <f>IFERROR(VLOOKUP(B12081,material!A:D,3,0),"")</f>
        <v/>
      </c>
    </row>
    <row r="12082" ht="11.25" customHeight="1">
      <c r="A12082" s="21"/>
      <c r="B12082" s="22"/>
      <c r="C12082" s="21"/>
      <c r="D12082" s="21"/>
      <c r="E12082" s="21"/>
      <c r="F12082" s="21"/>
      <c r="G12082" s="25"/>
      <c r="H12082" s="24" t="str">
        <f>IFERROR(VLOOKUP(B12082,material!A:D,3,0),"")</f>
        <v/>
      </c>
    </row>
    <row r="12083" ht="11.25" customHeight="1">
      <c r="A12083" s="21"/>
      <c r="B12083" s="22"/>
      <c r="C12083" s="21"/>
      <c r="D12083" s="21"/>
      <c r="E12083" s="21"/>
      <c r="F12083" s="21"/>
      <c r="G12083" s="25"/>
      <c r="H12083" s="24" t="str">
        <f>IFERROR(VLOOKUP(B12083,material!A:D,3,0),"")</f>
        <v/>
      </c>
    </row>
    <row r="12084" ht="11.25" customHeight="1">
      <c r="A12084" s="21"/>
      <c r="B12084" s="22"/>
      <c r="C12084" s="21"/>
      <c r="D12084" s="21"/>
      <c r="E12084" s="21"/>
      <c r="F12084" s="21"/>
      <c r="G12084" s="25"/>
      <c r="H12084" s="24" t="str">
        <f>IFERROR(VLOOKUP(B12084,material!A:D,3,0),"")</f>
        <v/>
      </c>
    </row>
    <row r="12085" ht="11.25" customHeight="1">
      <c r="A12085" s="21"/>
      <c r="B12085" s="22"/>
      <c r="C12085" s="21"/>
      <c r="D12085" s="21"/>
      <c r="E12085" s="21"/>
      <c r="F12085" s="21"/>
      <c r="G12085" s="25"/>
      <c r="H12085" s="24" t="str">
        <f>IFERROR(VLOOKUP(B12085,material!A:D,3,0),"")</f>
        <v/>
      </c>
    </row>
    <row r="12086" ht="11.25" customHeight="1">
      <c r="A12086" s="21"/>
      <c r="B12086" s="22"/>
      <c r="C12086" s="21"/>
      <c r="D12086" s="21"/>
      <c r="E12086" s="21"/>
      <c r="F12086" s="21"/>
      <c r="G12086" s="25"/>
      <c r="H12086" s="24" t="str">
        <f>IFERROR(VLOOKUP(B12086,material!A:D,3,0),"")</f>
        <v/>
      </c>
    </row>
    <row r="12087" ht="11.25" customHeight="1">
      <c r="A12087" s="21"/>
      <c r="B12087" s="22"/>
      <c r="C12087" s="21"/>
      <c r="D12087" s="21"/>
      <c r="E12087" s="21"/>
      <c r="F12087" s="21"/>
      <c r="G12087" s="25"/>
      <c r="H12087" s="24" t="str">
        <f>IFERROR(VLOOKUP(B12087,material!A:D,3,0),"")</f>
        <v/>
      </c>
    </row>
    <row r="12088" ht="11.25" customHeight="1">
      <c r="A12088" s="21"/>
      <c r="B12088" s="22"/>
      <c r="C12088" s="21"/>
      <c r="D12088" s="21"/>
      <c r="E12088" s="21"/>
      <c r="F12088" s="21"/>
      <c r="G12088" s="25"/>
      <c r="H12088" s="24" t="str">
        <f>IFERROR(VLOOKUP(B12088,material!A:D,3,0),"")</f>
        <v/>
      </c>
    </row>
    <row r="12089" ht="11.25" customHeight="1">
      <c r="A12089" s="21"/>
      <c r="B12089" s="22"/>
      <c r="C12089" s="21"/>
      <c r="D12089" s="21"/>
      <c r="E12089" s="21"/>
      <c r="F12089" s="21"/>
      <c r="G12089" s="25"/>
      <c r="H12089" s="24" t="str">
        <f>IFERROR(VLOOKUP(B12089,material!A:D,3,0),"")</f>
        <v/>
      </c>
    </row>
    <row r="12090" ht="11.25" customHeight="1">
      <c r="A12090" s="21"/>
      <c r="B12090" s="22"/>
      <c r="C12090" s="21"/>
      <c r="D12090" s="21"/>
      <c r="E12090" s="21"/>
      <c r="F12090" s="21"/>
      <c r="G12090" s="25"/>
      <c r="H12090" s="24" t="str">
        <f>IFERROR(VLOOKUP(B12090,material!A:D,3,0),"")</f>
        <v/>
      </c>
    </row>
    <row r="12091" ht="11.25" customHeight="1">
      <c r="A12091" s="21"/>
      <c r="B12091" s="22"/>
      <c r="C12091" s="21"/>
      <c r="D12091" s="21"/>
      <c r="E12091" s="21"/>
      <c r="F12091" s="21"/>
      <c r="G12091" s="25"/>
      <c r="H12091" s="24" t="str">
        <f>IFERROR(VLOOKUP(B12091,material!A:D,3,0),"")</f>
        <v/>
      </c>
    </row>
    <row r="12092" ht="11.25" customHeight="1">
      <c r="A12092" s="21"/>
      <c r="B12092" s="22"/>
      <c r="C12092" s="21"/>
      <c r="D12092" s="21"/>
      <c r="E12092" s="21"/>
      <c r="F12092" s="21"/>
      <c r="G12092" s="25"/>
      <c r="H12092" s="24" t="str">
        <f>IFERROR(VLOOKUP(B12092,material!A:D,3,0),"")</f>
        <v/>
      </c>
    </row>
    <row r="12093" ht="11.25" customHeight="1">
      <c r="A12093" s="21"/>
      <c r="B12093" s="22"/>
      <c r="C12093" s="21"/>
      <c r="D12093" s="21"/>
      <c r="E12093" s="21"/>
      <c r="F12093" s="21"/>
      <c r="G12093" s="25"/>
      <c r="H12093" s="24" t="str">
        <f>IFERROR(VLOOKUP(B12093,material!A:D,3,0),"")</f>
        <v/>
      </c>
    </row>
    <row r="12094" ht="11.25" customHeight="1">
      <c r="A12094" s="21"/>
      <c r="B12094" s="22"/>
      <c r="C12094" s="21"/>
      <c r="D12094" s="21"/>
      <c r="E12094" s="21"/>
      <c r="F12094" s="21"/>
      <c r="G12094" s="25"/>
      <c r="H12094" s="24" t="str">
        <f>IFERROR(VLOOKUP(B12094,material!A:D,3,0),"")</f>
        <v/>
      </c>
    </row>
    <row r="12095" ht="11.25" customHeight="1">
      <c r="A12095" s="21"/>
      <c r="B12095" s="22"/>
      <c r="C12095" s="21"/>
      <c r="D12095" s="21"/>
      <c r="E12095" s="21"/>
      <c r="F12095" s="21"/>
      <c r="G12095" s="25"/>
      <c r="H12095" s="24" t="str">
        <f>IFERROR(VLOOKUP(B12095,material!A:D,3,0),"")</f>
        <v/>
      </c>
    </row>
    <row r="12096" ht="11.25" customHeight="1">
      <c r="A12096" s="21"/>
      <c r="B12096" s="22"/>
      <c r="C12096" s="21"/>
      <c r="D12096" s="21"/>
      <c r="E12096" s="21"/>
      <c r="F12096" s="21"/>
      <c r="G12096" s="25"/>
      <c r="H12096" s="24" t="str">
        <f>IFERROR(VLOOKUP(B12096,material!A:D,3,0),"")</f>
        <v/>
      </c>
    </row>
    <row r="12097" ht="11.25" customHeight="1">
      <c r="A12097" s="21"/>
      <c r="B12097" s="22"/>
      <c r="C12097" s="21"/>
      <c r="D12097" s="21"/>
      <c r="E12097" s="21"/>
      <c r="F12097" s="21"/>
      <c r="G12097" s="25"/>
      <c r="H12097" s="24" t="str">
        <f>IFERROR(VLOOKUP(B12097,material!A:D,3,0),"")</f>
        <v/>
      </c>
    </row>
    <row r="12098" ht="11.25" customHeight="1">
      <c r="A12098" s="21"/>
      <c r="B12098" s="22"/>
      <c r="C12098" s="21"/>
      <c r="D12098" s="21"/>
      <c r="E12098" s="21"/>
      <c r="F12098" s="21"/>
      <c r="G12098" s="25"/>
      <c r="H12098" s="24" t="str">
        <f>IFERROR(VLOOKUP(B12098,material!A:D,3,0),"")</f>
        <v/>
      </c>
    </row>
    <row r="12099" ht="11.25" customHeight="1">
      <c r="A12099" s="21"/>
      <c r="B12099" s="22"/>
      <c r="C12099" s="21"/>
      <c r="D12099" s="21"/>
      <c r="E12099" s="21"/>
      <c r="F12099" s="21"/>
      <c r="G12099" s="25"/>
      <c r="H12099" s="24" t="str">
        <f>IFERROR(VLOOKUP(B12099,material!A:D,3,0),"")</f>
        <v/>
      </c>
    </row>
    <row r="12100" ht="11.25" customHeight="1">
      <c r="A12100" s="21"/>
      <c r="B12100" s="22"/>
      <c r="C12100" s="21"/>
      <c r="D12100" s="21"/>
      <c r="E12100" s="21"/>
      <c r="F12100" s="21"/>
      <c r="G12100" s="25"/>
      <c r="H12100" s="24" t="str">
        <f>IFERROR(VLOOKUP(B12100,material!A:D,3,0),"")</f>
        <v/>
      </c>
    </row>
    <row r="12101" ht="11.25" customHeight="1">
      <c r="A12101" s="21"/>
      <c r="B12101" s="22"/>
      <c r="C12101" s="21"/>
      <c r="D12101" s="21"/>
      <c r="E12101" s="21"/>
      <c r="F12101" s="21"/>
      <c r="G12101" s="25"/>
      <c r="H12101" s="24" t="str">
        <f>IFERROR(VLOOKUP(B12101,material!A:D,3,0),"")</f>
        <v/>
      </c>
    </row>
    <row r="12102" ht="11.25" customHeight="1">
      <c r="A12102" s="21"/>
      <c r="B12102" s="22"/>
      <c r="C12102" s="21"/>
      <c r="D12102" s="21"/>
      <c r="E12102" s="21"/>
      <c r="F12102" s="21"/>
      <c r="G12102" s="25"/>
      <c r="H12102" s="24" t="str">
        <f>IFERROR(VLOOKUP(B12102,material!A:D,3,0),"")</f>
        <v/>
      </c>
    </row>
    <row r="12103" ht="11.25" customHeight="1">
      <c r="A12103" s="21"/>
      <c r="B12103" s="22"/>
      <c r="C12103" s="21"/>
      <c r="D12103" s="21"/>
      <c r="E12103" s="21"/>
      <c r="F12103" s="21"/>
      <c r="G12103" s="25"/>
      <c r="H12103" s="24" t="str">
        <f>IFERROR(VLOOKUP(B12103,material!A:D,3,0),"")</f>
        <v/>
      </c>
    </row>
    <row r="12104" ht="11.25" customHeight="1">
      <c r="A12104" s="21"/>
      <c r="B12104" s="22"/>
      <c r="C12104" s="21"/>
      <c r="D12104" s="21"/>
      <c r="E12104" s="21"/>
      <c r="F12104" s="21"/>
      <c r="G12104" s="25"/>
      <c r="H12104" s="24" t="str">
        <f>IFERROR(VLOOKUP(B12104,material!A:D,3,0),"")</f>
        <v/>
      </c>
    </row>
    <row r="12105" ht="11.25" customHeight="1">
      <c r="A12105" s="21"/>
      <c r="B12105" s="22"/>
      <c r="C12105" s="21"/>
      <c r="D12105" s="21"/>
      <c r="E12105" s="21"/>
      <c r="F12105" s="21"/>
      <c r="G12105" s="25"/>
      <c r="H12105" s="24" t="str">
        <f>IFERROR(VLOOKUP(B12105,material!A:D,3,0),"")</f>
        <v/>
      </c>
    </row>
    <row r="12106" ht="11.25" customHeight="1">
      <c r="A12106" s="21"/>
      <c r="B12106" s="22"/>
      <c r="C12106" s="21"/>
      <c r="D12106" s="21"/>
      <c r="E12106" s="21"/>
      <c r="F12106" s="21"/>
      <c r="G12106" s="25"/>
      <c r="H12106" s="24" t="str">
        <f>IFERROR(VLOOKUP(B12106,material!A:D,3,0),"")</f>
        <v/>
      </c>
    </row>
    <row r="12107" ht="11.25" customHeight="1">
      <c r="A12107" s="21"/>
      <c r="B12107" s="22"/>
      <c r="C12107" s="21"/>
      <c r="D12107" s="21"/>
      <c r="E12107" s="21"/>
      <c r="F12107" s="21"/>
      <c r="G12107" s="25"/>
      <c r="H12107" s="24" t="str">
        <f>IFERROR(VLOOKUP(B12107,material!A:D,3,0),"")</f>
        <v/>
      </c>
    </row>
    <row r="12108" ht="11.25" customHeight="1">
      <c r="A12108" s="21"/>
      <c r="B12108" s="22"/>
      <c r="C12108" s="21"/>
      <c r="D12108" s="21"/>
      <c r="E12108" s="21"/>
      <c r="F12108" s="21"/>
      <c r="G12108" s="25"/>
      <c r="H12108" s="24" t="str">
        <f>IFERROR(VLOOKUP(B12108,material!A:D,3,0),"")</f>
        <v/>
      </c>
    </row>
    <row r="12109" ht="11.25" customHeight="1">
      <c r="A12109" s="21"/>
      <c r="B12109" s="22"/>
      <c r="C12109" s="21"/>
      <c r="D12109" s="21"/>
      <c r="E12109" s="21"/>
      <c r="F12109" s="21"/>
      <c r="G12109" s="25"/>
      <c r="H12109" s="24" t="str">
        <f>IFERROR(VLOOKUP(B12109,material!A:D,3,0),"")</f>
        <v/>
      </c>
    </row>
    <row r="12110" ht="11.25" customHeight="1">
      <c r="A12110" s="21"/>
      <c r="B12110" s="22"/>
      <c r="C12110" s="21"/>
      <c r="D12110" s="21"/>
      <c r="E12110" s="21"/>
      <c r="F12110" s="21"/>
      <c r="G12110" s="25"/>
      <c r="H12110" s="24" t="str">
        <f>IFERROR(VLOOKUP(B12110,material!A:D,3,0),"")</f>
        <v/>
      </c>
    </row>
    <row r="12111" ht="11.25" customHeight="1">
      <c r="A12111" s="21"/>
      <c r="B12111" s="22"/>
      <c r="C12111" s="21"/>
      <c r="D12111" s="21"/>
      <c r="E12111" s="21"/>
      <c r="F12111" s="21"/>
      <c r="G12111" s="25"/>
      <c r="H12111" s="24" t="str">
        <f>IFERROR(VLOOKUP(B12111,material!A:D,3,0),"")</f>
        <v/>
      </c>
    </row>
    <row r="12112" ht="11.25" customHeight="1">
      <c r="A12112" s="21"/>
      <c r="B12112" s="22"/>
      <c r="C12112" s="21"/>
      <c r="D12112" s="21"/>
      <c r="E12112" s="21"/>
      <c r="F12112" s="21"/>
      <c r="G12112" s="25"/>
      <c r="H12112" s="24" t="str">
        <f>IFERROR(VLOOKUP(B12112,material!A:D,3,0),"")</f>
        <v/>
      </c>
    </row>
    <row r="12113" ht="11.25" customHeight="1">
      <c r="A12113" s="21"/>
      <c r="B12113" s="22"/>
      <c r="C12113" s="21"/>
      <c r="D12113" s="21"/>
      <c r="E12113" s="21"/>
      <c r="F12113" s="21"/>
      <c r="G12113" s="25"/>
      <c r="H12113" s="24" t="str">
        <f>IFERROR(VLOOKUP(B12113,material!A:D,3,0),"")</f>
        <v/>
      </c>
    </row>
    <row r="12114" ht="11.25" customHeight="1">
      <c r="A12114" s="21"/>
      <c r="B12114" s="22"/>
      <c r="C12114" s="21"/>
      <c r="D12114" s="21"/>
      <c r="E12114" s="21"/>
      <c r="F12114" s="21"/>
      <c r="G12114" s="25"/>
      <c r="H12114" s="24" t="str">
        <f>IFERROR(VLOOKUP(B12114,material!A:D,3,0),"")</f>
        <v/>
      </c>
    </row>
    <row r="12115" ht="11.25" customHeight="1">
      <c r="A12115" s="21"/>
      <c r="B12115" s="22"/>
      <c r="C12115" s="21"/>
      <c r="D12115" s="21"/>
      <c r="E12115" s="21"/>
      <c r="F12115" s="21"/>
      <c r="G12115" s="25"/>
      <c r="H12115" s="24" t="str">
        <f>IFERROR(VLOOKUP(B12115,material!A:D,3,0),"")</f>
        <v/>
      </c>
    </row>
    <row r="12116" ht="11.25" customHeight="1">
      <c r="A12116" s="21"/>
      <c r="B12116" s="22"/>
      <c r="C12116" s="21"/>
      <c r="D12116" s="21"/>
      <c r="E12116" s="21"/>
      <c r="F12116" s="21"/>
      <c r="G12116" s="25"/>
      <c r="H12116" s="24" t="str">
        <f>IFERROR(VLOOKUP(B12116,material!A:D,3,0),"")</f>
        <v/>
      </c>
    </row>
    <row r="12117" ht="11.25" customHeight="1">
      <c r="A12117" s="21"/>
      <c r="B12117" s="22"/>
      <c r="C12117" s="21"/>
      <c r="D12117" s="21"/>
      <c r="E12117" s="21"/>
      <c r="F12117" s="21"/>
      <c r="G12117" s="25"/>
      <c r="H12117" s="24" t="str">
        <f>IFERROR(VLOOKUP(B12117,material!A:D,3,0),"")</f>
        <v/>
      </c>
    </row>
    <row r="12118" ht="11.25" customHeight="1">
      <c r="A12118" s="21"/>
      <c r="B12118" s="22"/>
      <c r="C12118" s="21"/>
      <c r="D12118" s="21"/>
      <c r="E12118" s="21"/>
      <c r="F12118" s="21"/>
      <c r="G12118" s="25"/>
      <c r="H12118" s="24" t="str">
        <f>IFERROR(VLOOKUP(B12118,material!A:D,3,0),"")</f>
        <v/>
      </c>
    </row>
    <row r="12119" ht="11.25" customHeight="1">
      <c r="A12119" s="21"/>
      <c r="B12119" s="22"/>
      <c r="C12119" s="21"/>
      <c r="D12119" s="21"/>
      <c r="E12119" s="21"/>
      <c r="F12119" s="21"/>
      <c r="G12119" s="25"/>
      <c r="H12119" s="24" t="str">
        <f>IFERROR(VLOOKUP(B12119,material!A:D,3,0),"")</f>
        <v/>
      </c>
    </row>
    <row r="12120" ht="11.25" customHeight="1">
      <c r="A12120" s="21"/>
      <c r="B12120" s="22"/>
      <c r="C12120" s="21"/>
      <c r="D12120" s="21"/>
      <c r="E12120" s="21"/>
      <c r="F12120" s="21"/>
      <c r="G12120" s="25"/>
      <c r="H12120" s="24" t="str">
        <f>IFERROR(VLOOKUP(B12120,material!A:D,3,0),"")</f>
        <v/>
      </c>
    </row>
    <row r="12121" ht="11.25" customHeight="1">
      <c r="A12121" s="21"/>
      <c r="B12121" s="22"/>
      <c r="C12121" s="21"/>
      <c r="D12121" s="21"/>
      <c r="E12121" s="21"/>
      <c r="F12121" s="21"/>
      <c r="G12121" s="25"/>
      <c r="H12121" s="24" t="str">
        <f>IFERROR(VLOOKUP(B12121,material!A:D,3,0),"")</f>
        <v/>
      </c>
    </row>
    <row r="12122" ht="11.25" customHeight="1">
      <c r="A12122" s="21"/>
      <c r="B12122" s="22"/>
      <c r="C12122" s="21"/>
      <c r="D12122" s="21"/>
      <c r="E12122" s="21"/>
      <c r="F12122" s="21"/>
      <c r="G12122" s="25"/>
      <c r="H12122" s="24" t="str">
        <f>IFERROR(VLOOKUP(B12122,material!A:D,3,0),"")</f>
        <v/>
      </c>
    </row>
    <row r="12123" ht="11.25" customHeight="1">
      <c r="A12123" s="21"/>
      <c r="B12123" s="22"/>
      <c r="C12123" s="21"/>
      <c r="D12123" s="21"/>
      <c r="E12123" s="21"/>
      <c r="F12123" s="21"/>
      <c r="G12123" s="25"/>
      <c r="H12123" s="24" t="str">
        <f>IFERROR(VLOOKUP(B12123,material!A:D,3,0),"")</f>
        <v/>
      </c>
    </row>
    <row r="12124" ht="11.25" customHeight="1">
      <c r="A12124" s="21"/>
      <c r="B12124" s="22"/>
      <c r="C12124" s="21"/>
      <c r="D12124" s="21"/>
      <c r="E12124" s="21"/>
      <c r="F12124" s="21"/>
      <c r="G12124" s="25"/>
      <c r="H12124" s="24" t="str">
        <f>IFERROR(VLOOKUP(B12124,material!A:D,3,0),"")</f>
        <v/>
      </c>
    </row>
    <row r="12125" ht="11.25" customHeight="1">
      <c r="A12125" s="21"/>
      <c r="B12125" s="22"/>
      <c r="C12125" s="21"/>
      <c r="D12125" s="21"/>
      <c r="E12125" s="21"/>
      <c r="F12125" s="21"/>
      <c r="G12125" s="25"/>
      <c r="H12125" s="24" t="str">
        <f>IFERROR(VLOOKUP(B12125,material!A:D,3,0),"")</f>
        <v/>
      </c>
    </row>
    <row r="12126" ht="11.25" customHeight="1">
      <c r="A12126" s="21"/>
      <c r="B12126" s="22"/>
      <c r="C12126" s="21"/>
      <c r="D12126" s="21"/>
      <c r="E12126" s="21"/>
      <c r="F12126" s="21"/>
      <c r="G12126" s="25"/>
      <c r="H12126" s="24" t="str">
        <f>IFERROR(VLOOKUP(B12126,material!A:D,3,0),"")</f>
        <v/>
      </c>
    </row>
    <row r="12127" ht="11.25" customHeight="1">
      <c r="A12127" s="21"/>
      <c r="B12127" s="22"/>
      <c r="C12127" s="21"/>
      <c r="D12127" s="21"/>
      <c r="E12127" s="21"/>
      <c r="F12127" s="21"/>
      <c r="G12127" s="25"/>
      <c r="H12127" s="24" t="str">
        <f>IFERROR(VLOOKUP(B12127,material!A:D,3,0),"")</f>
        <v/>
      </c>
    </row>
    <row r="12128" ht="11.25" customHeight="1">
      <c r="A12128" s="21"/>
      <c r="B12128" s="22"/>
      <c r="C12128" s="21"/>
      <c r="D12128" s="21"/>
      <c r="E12128" s="21"/>
      <c r="F12128" s="21"/>
      <c r="G12128" s="25"/>
      <c r="H12128" s="24" t="str">
        <f>IFERROR(VLOOKUP(B12128,material!A:D,3,0),"")</f>
        <v/>
      </c>
    </row>
    <row r="12129" ht="11.25" customHeight="1">
      <c r="A12129" s="21"/>
      <c r="B12129" s="22"/>
      <c r="C12129" s="21"/>
      <c r="D12129" s="21"/>
      <c r="E12129" s="21"/>
      <c r="F12129" s="21"/>
      <c r="G12129" s="25"/>
      <c r="H12129" s="24" t="str">
        <f>IFERROR(VLOOKUP(B12129,material!A:D,3,0),"")</f>
        <v/>
      </c>
    </row>
    <row r="12130" ht="11.25" customHeight="1">
      <c r="A12130" s="21"/>
      <c r="B12130" s="22"/>
      <c r="C12130" s="21"/>
      <c r="D12130" s="21"/>
      <c r="E12130" s="21"/>
      <c r="F12130" s="21"/>
      <c r="G12130" s="25"/>
      <c r="H12130" s="24" t="str">
        <f>IFERROR(VLOOKUP(B12130,material!A:D,3,0),"")</f>
        <v/>
      </c>
    </row>
    <row r="12131" ht="11.25" customHeight="1">
      <c r="A12131" s="21"/>
      <c r="B12131" s="22"/>
      <c r="C12131" s="21"/>
      <c r="D12131" s="21"/>
      <c r="E12131" s="21"/>
      <c r="F12131" s="21"/>
      <c r="G12131" s="25"/>
      <c r="H12131" s="24" t="str">
        <f>IFERROR(VLOOKUP(B12131,material!A:D,3,0),"")</f>
        <v/>
      </c>
    </row>
    <row r="12132" ht="11.25" customHeight="1">
      <c r="A12132" s="21"/>
      <c r="B12132" s="22"/>
      <c r="C12132" s="21"/>
      <c r="D12132" s="21"/>
      <c r="E12132" s="21"/>
      <c r="F12132" s="21"/>
      <c r="G12132" s="25"/>
      <c r="H12132" s="24" t="str">
        <f>IFERROR(VLOOKUP(B12132,material!A:D,3,0),"")</f>
        <v/>
      </c>
    </row>
    <row r="12133" ht="11.25" customHeight="1">
      <c r="A12133" s="21"/>
      <c r="B12133" s="22"/>
      <c r="C12133" s="21"/>
      <c r="D12133" s="21"/>
      <c r="E12133" s="21"/>
      <c r="F12133" s="21"/>
      <c r="G12133" s="25"/>
      <c r="H12133" s="24" t="str">
        <f>IFERROR(VLOOKUP(B12133,material!A:D,3,0),"")</f>
        <v/>
      </c>
    </row>
    <row r="12134" ht="11.25" customHeight="1">
      <c r="A12134" s="21"/>
      <c r="B12134" s="22"/>
      <c r="C12134" s="21"/>
      <c r="D12134" s="21"/>
      <c r="E12134" s="21"/>
      <c r="F12134" s="21"/>
      <c r="G12134" s="25"/>
      <c r="H12134" s="24" t="str">
        <f>IFERROR(VLOOKUP(B12134,material!A:D,3,0),"")</f>
        <v/>
      </c>
    </row>
    <row r="12135" ht="11.25" customHeight="1">
      <c r="A12135" s="21"/>
      <c r="B12135" s="22"/>
      <c r="C12135" s="21"/>
      <c r="D12135" s="21"/>
      <c r="E12135" s="21"/>
      <c r="F12135" s="21"/>
      <c r="G12135" s="25"/>
      <c r="H12135" s="24" t="str">
        <f>IFERROR(VLOOKUP(B12135,material!A:D,3,0),"")</f>
        <v/>
      </c>
    </row>
    <row r="12136" ht="11.25" customHeight="1">
      <c r="A12136" s="21"/>
      <c r="B12136" s="22"/>
      <c r="C12136" s="21"/>
      <c r="D12136" s="21"/>
      <c r="E12136" s="21"/>
      <c r="F12136" s="21"/>
      <c r="G12136" s="25"/>
      <c r="H12136" s="24" t="str">
        <f>IFERROR(VLOOKUP(B12136,material!A:D,3,0),"")</f>
        <v/>
      </c>
    </row>
    <row r="12137" ht="11.25" customHeight="1">
      <c r="A12137" s="21"/>
      <c r="B12137" s="22"/>
      <c r="C12137" s="21"/>
      <c r="D12137" s="21"/>
      <c r="E12137" s="21"/>
      <c r="F12137" s="21"/>
      <c r="G12137" s="25"/>
      <c r="H12137" s="24" t="str">
        <f>IFERROR(VLOOKUP(B12137,material!A:D,3,0),"")</f>
        <v/>
      </c>
    </row>
    <row r="12138" ht="11.25" customHeight="1">
      <c r="A12138" s="21"/>
      <c r="B12138" s="22"/>
      <c r="C12138" s="21"/>
      <c r="D12138" s="21"/>
      <c r="E12138" s="21"/>
      <c r="F12138" s="21"/>
      <c r="G12138" s="25"/>
      <c r="H12138" s="24" t="str">
        <f>IFERROR(VLOOKUP(B12138,material!A:D,3,0),"")</f>
        <v/>
      </c>
    </row>
    <row r="12139" ht="11.25" customHeight="1">
      <c r="A12139" s="21"/>
      <c r="B12139" s="22"/>
      <c r="C12139" s="21"/>
      <c r="D12139" s="21"/>
      <c r="E12139" s="21"/>
      <c r="F12139" s="21"/>
      <c r="G12139" s="25"/>
      <c r="H12139" s="24" t="str">
        <f>IFERROR(VLOOKUP(B12139,material!A:D,3,0),"")</f>
        <v/>
      </c>
    </row>
    <row r="12140" ht="11.25" customHeight="1">
      <c r="A12140" s="21"/>
      <c r="B12140" s="22"/>
      <c r="C12140" s="21"/>
      <c r="D12140" s="21"/>
      <c r="E12140" s="21"/>
      <c r="F12140" s="21"/>
      <c r="G12140" s="25"/>
      <c r="H12140" s="24" t="str">
        <f>IFERROR(VLOOKUP(B12140,material!A:D,3,0),"")</f>
        <v/>
      </c>
    </row>
    <row r="12141" ht="11.25" customHeight="1">
      <c r="A12141" s="21"/>
      <c r="B12141" s="22"/>
      <c r="C12141" s="21"/>
      <c r="D12141" s="21"/>
      <c r="E12141" s="21"/>
      <c r="F12141" s="21"/>
      <c r="G12141" s="25"/>
      <c r="H12141" s="24" t="str">
        <f>IFERROR(VLOOKUP(B12141,material!A:D,3,0),"")</f>
        <v/>
      </c>
    </row>
    <row r="12142" ht="11.25" customHeight="1">
      <c r="A12142" s="21"/>
      <c r="B12142" s="22"/>
      <c r="C12142" s="21"/>
      <c r="D12142" s="21"/>
      <c r="E12142" s="21"/>
      <c r="F12142" s="21"/>
      <c r="G12142" s="25"/>
      <c r="H12142" s="24" t="str">
        <f>IFERROR(VLOOKUP(B12142,material!A:D,3,0),"")</f>
        <v/>
      </c>
    </row>
    <row r="12143" ht="11.25" customHeight="1">
      <c r="A12143" s="21"/>
      <c r="B12143" s="22"/>
      <c r="C12143" s="21"/>
      <c r="D12143" s="21"/>
      <c r="E12143" s="21"/>
      <c r="F12143" s="21"/>
      <c r="G12143" s="25"/>
      <c r="H12143" s="24" t="str">
        <f>IFERROR(VLOOKUP(B12143,material!A:D,3,0),"")</f>
        <v/>
      </c>
    </row>
    <row r="12144" ht="11.25" customHeight="1">
      <c r="A12144" s="21"/>
      <c r="B12144" s="22"/>
      <c r="C12144" s="21"/>
      <c r="D12144" s="21"/>
      <c r="E12144" s="21"/>
      <c r="F12144" s="21"/>
      <c r="G12144" s="25"/>
      <c r="H12144" s="24" t="str">
        <f>IFERROR(VLOOKUP(B12144,material!A:D,3,0),"")</f>
        <v/>
      </c>
    </row>
    <row r="12145" ht="11.25" customHeight="1">
      <c r="A12145" s="21"/>
      <c r="B12145" s="22"/>
      <c r="C12145" s="21"/>
      <c r="D12145" s="21"/>
      <c r="E12145" s="21"/>
      <c r="F12145" s="21"/>
      <c r="G12145" s="25"/>
      <c r="H12145" s="24" t="str">
        <f>IFERROR(VLOOKUP(B12145,material!A:D,3,0),"")</f>
        <v/>
      </c>
    </row>
    <row r="12146" ht="11.25" customHeight="1">
      <c r="A12146" s="21"/>
      <c r="B12146" s="22"/>
      <c r="C12146" s="21"/>
      <c r="D12146" s="21"/>
      <c r="E12146" s="21"/>
      <c r="F12146" s="21"/>
      <c r="G12146" s="25"/>
      <c r="H12146" s="24" t="str">
        <f>IFERROR(VLOOKUP(B12146,material!A:D,3,0),"")</f>
        <v/>
      </c>
    </row>
    <row r="12147" ht="11.25" customHeight="1">
      <c r="A12147" s="21"/>
      <c r="B12147" s="22"/>
      <c r="C12147" s="21"/>
      <c r="D12147" s="21"/>
      <c r="E12147" s="21"/>
      <c r="F12147" s="21"/>
      <c r="G12147" s="25"/>
      <c r="H12147" s="24" t="str">
        <f>IFERROR(VLOOKUP(B12147,material!A:D,3,0),"")</f>
        <v/>
      </c>
    </row>
    <row r="12148" ht="11.25" customHeight="1">
      <c r="A12148" s="21"/>
      <c r="B12148" s="22"/>
      <c r="C12148" s="21"/>
      <c r="D12148" s="21"/>
      <c r="E12148" s="21"/>
      <c r="F12148" s="21"/>
      <c r="G12148" s="25"/>
      <c r="H12148" s="24" t="str">
        <f>IFERROR(VLOOKUP(B12148,material!A:D,3,0),"")</f>
        <v/>
      </c>
    </row>
    <row r="12149" ht="11.25" customHeight="1">
      <c r="A12149" s="21"/>
      <c r="B12149" s="22"/>
      <c r="C12149" s="21"/>
      <c r="D12149" s="21"/>
      <c r="E12149" s="21"/>
      <c r="F12149" s="21"/>
      <c r="G12149" s="25"/>
      <c r="H12149" s="24" t="str">
        <f>IFERROR(VLOOKUP(B12149,material!A:D,3,0),"")</f>
        <v/>
      </c>
    </row>
    <row r="12150" ht="11.25" customHeight="1">
      <c r="A12150" s="21"/>
      <c r="B12150" s="22"/>
      <c r="C12150" s="21"/>
      <c r="D12150" s="21"/>
      <c r="E12150" s="21"/>
      <c r="F12150" s="21"/>
      <c r="G12150" s="25"/>
      <c r="H12150" s="24" t="str">
        <f>IFERROR(VLOOKUP(B12150,material!A:D,3,0),"")</f>
        <v/>
      </c>
    </row>
    <row r="12151" ht="11.25" customHeight="1">
      <c r="A12151" s="21"/>
      <c r="B12151" s="22"/>
      <c r="C12151" s="21"/>
      <c r="D12151" s="21"/>
      <c r="E12151" s="21"/>
      <c r="F12151" s="21"/>
      <c r="G12151" s="25"/>
      <c r="H12151" s="24" t="str">
        <f>IFERROR(VLOOKUP(B12151,material!A:D,3,0),"")</f>
        <v/>
      </c>
    </row>
    <row r="12152" ht="11.25" customHeight="1">
      <c r="A12152" s="21"/>
      <c r="B12152" s="22"/>
      <c r="C12152" s="21"/>
      <c r="D12152" s="21"/>
      <c r="E12152" s="21"/>
      <c r="F12152" s="21"/>
      <c r="G12152" s="25"/>
      <c r="H12152" s="24" t="str">
        <f>IFERROR(VLOOKUP(B12152,material!A:D,3,0),"")</f>
        <v/>
      </c>
    </row>
    <row r="12153" ht="11.25" customHeight="1">
      <c r="A12153" s="21"/>
      <c r="B12153" s="22"/>
      <c r="C12153" s="21"/>
      <c r="D12153" s="21"/>
      <c r="E12153" s="21"/>
      <c r="F12153" s="21"/>
      <c r="G12153" s="25"/>
      <c r="H12153" s="24" t="str">
        <f>IFERROR(VLOOKUP(B12153,material!A:D,3,0),"")</f>
        <v/>
      </c>
    </row>
    <row r="12154" ht="11.25" customHeight="1">
      <c r="A12154" s="21"/>
      <c r="B12154" s="22"/>
      <c r="C12154" s="21"/>
      <c r="D12154" s="21"/>
      <c r="E12154" s="21"/>
      <c r="F12154" s="21"/>
      <c r="G12154" s="25"/>
      <c r="H12154" s="24" t="str">
        <f>IFERROR(VLOOKUP(B12154,material!A:D,3,0),"")</f>
        <v/>
      </c>
    </row>
    <row r="12155" ht="11.25" customHeight="1">
      <c r="A12155" s="21"/>
      <c r="B12155" s="22"/>
      <c r="C12155" s="21"/>
      <c r="D12155" s="21"/>
      <c r="E12155" s="21"/>
      <c r="F12155" s="21"/>
      <c r="G12155" s="25"/>
      <c r="H12155" s="24" t="str">
        <f>IFERROR(VLOOKUP(B12155,material!A:D,3,0),"")</f>
        <v/>
      </c>
    </row>
    <row r="12156" ht="11.25" customHeight="1">
      <c r="A12156" s="21"/>
      <c r="B12156" s="22"/>
      <c r="C12156" s="21"/>
      <c r="D12156" s="21"/>
      <c r="E12156" s="21"/>
      <c r="F12156" s="21"/>
      <c r="G12156" s="25"/>
      <c r="H12156" s="24" t="str">
        <f>IFERROR(VLOOKUP(B12156,material!A:D,3,0),"")</f>
        <v/>
      </c>
    </row>
    <row r="12157" ht="11.25" customHeight="1">
      <c r="A12157" s="21"/>
      <c r="B12157" s="22"/>
      <c r="C12157" s="21"/>
      <c r="D12157" s="21"/>
      <c r="E12157" s="21"/>
      <c r="F12157" s="21"/>
      <c r="G12157" s="25"/>
      <c r="H12157" s="24" t="str">
        <f>IFERROR(VLOOKUP(B12157,material!A:D,3,0),"")</f>
        <v/>
      </c>
    </row>
    <row r="12158" ht="11.25" customHeight="1">
      <c r="A12158" s="21"/>
      <c r="B12158" s="22"/>
      <c r="C12158" s="21"/>
      <c r="D12158" s="21"/>
      <c r="E12158" s="21"/>
      <c r="F12158" s="21"/>
      <c r="G12158" s="25"/>
      <c r="H12158" s="24" t="str">
        <f>IFERROR(VLOOKUP(B12158,material!A:D,3,0),"")</f>
        <v/>
      </c>
    </row>
    <row r="12159" ht="11.25" customHeight="1">
      <c r="A12159" s="21"/>
      <c r="B12159" s="22"/>
      <c r="C12159" s="21"/>
      <c r="D12159" s="21"/>
      <c r="E12159" s="21"/>
      <c r="F12159" s="21"/>
      <c r="G12159" s="25"/>
      <c r="H12159" s="24" t="str">
        <f>IFERROR(VLOOKUP(B12159,material!A:D,3,0),"")</f>
        <v/>
      </c>
    </row>
    <row r="12160" ht="11.25" customHeight="1">
      <c r="A12160" s="21"/>
      <c r="B12160" s="22"/>
      <c r="C12160" s="21"/>
      <c r="D12160" s="21"/>
      <c r="E12160" s="21"/>
      <c r="F12160" s="21"/>
      <c r="G12160" s="25"/>
      <c r="H12160" s="24" t="str">
        <f>IFERROR(VLOOKUP(B12160,material!A:D,3,0),"")</f>
        <v/>
      </c>
    </row>
    <row r="12161" ht="11.25" customHeight="1">
      <c r="A12161" s="21"/>
      <c r="B12161" s="22"/>
      <c r="C12161" s="21"/>
      <c r="D12161" s="21"/>
      <c r="E12161" s="21"/>
      <c r="F12161" s="21"/>
      <c r="G12161" s="25"/>
      <c r="H12161" s="24" t="str">
        <f>IFERROR(VLOOKUP(B12161,material!A:D,3,0),"")</f>
        <v/>
      </c>
    </row>
    <row r="12162" ht="11.25" customHeight="1">
      <c r="A12162" s="21"/>
      <c r="B12162" s="22"/>
      <c r="C12162" s="21"/>
      <c r="D12162" s="21"/>
      <c r="E12162" s="21"/>
      <c r="F12162" s="21"/>
      <c r="G12162" s="25"/>
      <c r="H12162" s="24" t="str">
        <f>IFERROR(VLOOKUP(B12162,material!A:D,3,0),"")</f>
        <v/>
      </c>
    </row>
    <row r="12163" ht="11.25" customHeight="1">
      <c r="A12163" s="21"/>
      <c r="B12163" s="22"/>
      <c r="C12163" s="21"/>
      <c r="D12163" s="21"/>
      <c r="E12163" s="21"/>
      <c r="F12163" s="21"/>
      <c r="G12163" s="25"/>
      <c r="H12163" s="24" t="str">
        <f>IFERROR(VLOOKUP(B12163,material!A:D,3,0),"")</f>
        <v/>
      </c>
    </row>
    <row r="12164" ht="11.25" customHeight="1">
      <c r="A12164" s="21"/>
      <c r="B12164" s="22"/>
      <c r="C12164" s="21"/>
      <c r="D12164" s="21"/>
      <c r="E12164" s="21"/>
      <c r="F12164" s="21"/>
      <c r="G12164" s="25"/>
      <c r="H12164" s="24" t="str">
        <f>IFERROR(VLOOKUP(B12164,material!A:D,3,0),"")</f>
        <v/>
      </c>
    </row>
    <row r="12165" ht="11.25" customHeight="1">
      <c r="A12165" s="21"/>
      <c r="B12165" s="22"/>
      <c r="C12165" s="21"/>
      <c r="D12165" s="21"/>
      <c r="E12165" s="21"/>
      <c r="F12165" s="21"/>
      <c r="G12165" s="25"/>
      <c r="H12165" s="24" t="str">
        <f>IFERROR(VLOOKUP(B12165,material!A:D,3,0),"")</f>
        <v/>
      </c>
    </row>
    <row r="12166" ht="11.25" customHeight="1">
      <c r="A12166" s="21"/>
      <c r="B12166" s="22"/>
      <c r="C12166" s="21"/>
      <c r="D12166" s="21"/>
      <c r="E12166" s="21"/>
      <c r="F12166" s="21"/>
      <c r="G12166" s="25"/>
      <c r="H12166" s="24" t="str">
        <f>IFERROR(VLOOKUP(B12166,material!A:D,3,0),"")</f>
        <v/>
      </c>
    </row>
    <row r="12167" ht="11.25" customHeight="1">
      <c r="A12167" s="21"/>
      <c r="B12167" s="22"/>
      <c r="C12167" s="21"/>
      <c r="D12167" s="21"/>
      <c r="E12167" s="21"/>
      <c r="F12167" s="21"/>
      <c r="G12167" s="25"/>
      <c r="H12167" s="24" t="str">
        <f>IFERROR(VLOOKUP(B12167,material!A:D,3,0),"")</f>
        <v/>
      </c>
    </row>
    <row r="12168" ht="11.25" customHeight="1">
      <c r="A12168" s="21"/>
      <c r="B12168" s="22"/>
      <c r="C12168" s="21"/>
      <c r="D12168" s="21"/>
      <c r="E12168" s="21"/>
      <c r="F12168" s="21"/>
      <c r="G12168" s="25"/>
      <c r="H12168" s="24" t="str">
        <f>IFERROR(VLOOKUP(B12168,material!A:D,3,0),"")</f>
        <v/>
      </c>
    </row>
    <row r="12169" ht="11.25" customHeight="1">
      <c r="A12169" s="21"/>
      <c r="B12169" s="22"/>
      <c r="C12169" s="21"/>
      <c r="D12169" s="21"/>
      <c r="E12169" s="21"/>
      <c r="F12169" s="21"/>
      <c r="G12169" s="25"/>
      <c r="H12169" s="24" t="str">
        <f>IFERROR(VLOOKUP(B12169,material!A:D,3,0),"")</f>
        <v/>
      </c>
    </row>
    <row r="12170" ht="11.25" customHeight="1">
      <c r="A12170" s="21"/>
      <c r="B12170" s="22"/>
      <c r="C12170" s="21"/>
      <c r="D12170" s="21"/>
      <c r="E12170" s="21"/>
      <c r="F12170" s="21"/>
      <c r="G12170" s="25"/>
      <c r="H12170" s="24" t="str">
        <f>IFERROR(VLOOKUP(B12170,material!A:D,3,0),"")</f>
        <v/>
      </c>
    </row>
    <row r="12171" ht="11.25" customHeight="1">
      <c r="A12171" s="21"/>
      <c r="B12171" s="22"/>
      <c r="C12171" s="21"/>
      <c r="D12171" s="21"/>
      <c r="E12171" s="21"/>
      <c r="F12171" s="21"/>
      <c r="G12171" s="25"/>
      <c r="H12171" s="24" t="str">
        <f>IFERROR(VLOOKUP(B12171,material!A:D,3,0),"")</f>
        <v/>
      </c>
    </row>
    <row r="12172" ht="11.25" customHeight="1">
      <c r="A12172" s="21"/>
      <c r="B12172" s="22"/>
      <c r="C12172" s="21"/>
      <c r="D12172" s="21"/>
      <c r="E12172" s="21"/>
      <c r="F12172" s="21"/>
      <c r="G12172" s="25"/>
      <c r="H12172" s="24" t="str">
        <f>IFERROR(VLOOKUP(B12172,material!A:D,3,0),"")</f>
        <v/>
      </c>
    </row>
    <row r="12173" ht="11.25" customHeight="1">
      <c r="A12173" s="21"/>
      <c r="B12173" s="22"/>
      <c r="C12173" s="21"/>
      <c r="D12173" s="21"/>
      <c r="E12173" s="21"/>
      <c r="F12173" s="21"/>
      <c r="G12173" s="25"/>
      <c r="H12173" s="24" t="str">
        <f>IFERROR(VLOOKUP(B12173,material!A:D,3,0),"")</f>
        <v/>
      </c>
    </row>
    <row r="12174" ht="11.25" customHeight="1">
      <c r="A12174" s="21"/>
      <c r="B12174" s="22"/>
      <c r="C12174" s="21"/>
      <c r="D12174" s="21"/>
      <c r="E12174" s="21"/>
      <c r="F12174" s="21"/>
      <c r="G12174" s="25"/>
      <c r="H12174" s="24" t="str">
        <f>IFERROR(VLOOKUP(B12174,material!A:D,3,0),"")</f>
        <v/>
      </c>
    </row>
    <row r="12175" ht="11.25" customHeight="1">
      <c r="A12175" s="21"/>
      <c r="B12175" s="22"/>
      <c r="C12175" s="21"/>
      <c r="D12175" s="21"/>
      <c r="E12175" s="21"/>
      <c r="F12175" s="21"/>
      <c r="G12175" s="25"/>
      <c r="H12175" s="24" t="str">
        <f>IFERROR(VLOOKUP(B12175,material!A:D,3,0),"")</f>
        <v/>
      </c>
    </row>
    <row r="12176" ht="11.25" customHeight="1">
      <c r="A12176" s="21"/>
      <c r="B12176" s="22"/>
      <c r="C12176" s="21"/>
      <c r="D12176" s="21"/>
      <c r="E12176" s="21"/>
      <c r="F12176" s="21"/>
      <c r="G12176" s="25"/>
      <c r="H12176" s="24" t="str">
        <f>IFERROR(VLOOKUP(B12176,material!A:D,3,0),"")</f>
        <v/>
      </c>
    </row>
    <row r="12177" ht="11.25" customHeight="1">
      <c r="A12177" s="21"/>
      <c r="B12177" s="22"/>
      <c r="C12177" s="21"/>
      <c r="D12177" s="21"/>
      <c r="E12177" s="21"/>
      <c r="F12177" s="21"/>
      <c r="G12177" s="25"/>
      <c r="H12177" s="24" t="str">
        <f>IFERROR(VLOOKUP(B12177,material!A:D,3,0),"")</f>
        <v/>
      </c>
    </row>
    <row r="12178" ht="11.25" customHeight="1">
      <c r="A12178" s="21"/>
      <c r="B12178" s="22"/>
      <c r="C12178" s="21"/>
      <c r="D12178" s="21"/>
      <c r="E12178" s="21"/>
      <c r="F12178" s="21"/>
      <c r="G12178" s="25"/>
      <c r="H12178" s="24" t="str">
        <f>IFERROR(VLOOKUP(B12178,material!A:D,3,0),"")</f>
        <v/>
      </c>
    </row>
    <row r="12179" ht="11.25" customHeight="1">
      <c r="A12179" s="21"/>
      <c r="B12179" s="22"/>
      <c r="C12179" s="21"/>
      <c r="D12179" s="21"/>
      <c r="E12179" s="21"/>
      <c r="F12179" s="21"/>
      <c r="G12179" s="25"/>
      <c r="H12179" s="24" t="str">
        <f>IFERROR(VLOOKUP(B12179,material!A:D,3,0),"")</f>
        <v/>
      </c>
    </row>
    <row r="12180" ht="11.25" customHeight="1">
      <c r="A12180" s="21"/>
      <c r="B12180" s="22"/>
      <c r="C12180" s="21"/>
      <c r="D12180" s="21"/>
      <c r="E12180" s="21"/>
      <c r="F12180" s="21"/>
      <c r="G12180" s="25"/>
      <c r="H12180" s="24" t="str">
        <f>IFERROR(VLOOKUP(B12180,material!A:D,3,0),"")</f>
        <v/>
      </c>
    </row>
    <row r="12181" ht="11.25" customHeight="1">
      <c r="A12181" s="21"/>
      <c r="B12181" s="22"/>
      <c r="C12181" s="21"/>
      <c r="D12181" s="21"/>
      <c r="E12181" s="21"/>
      <c r="F12181" s="21"/>
      <c r="G12181" s="25"/>
      <c r="H12181" s="24" t="str">
        <f>IFERROR(VLOOKUP(B12181,material!A:D,3,0),"")</f>
        <v/>
      </c>
    </row>
    <row r="12182" ht="11.25" customHeight="1">
      <c r="A12182" s="21"/>
      <c r="B12182" s="22"/>
      <c r="C12182" s="21"/>
      <c r="D12182" s="21"/>
      <c r="E12182" s="21"/>
      <c r="F12182" s="21"/>
      <c r="G12182" s="25"/>
      <c r="H12182" s="24" t="str">
        <f>IFERROR(VLOOKUP(B12182,material!A:D,3,0),"")</f>
        <v/>
      </c>
    </row>
    <row r="12183" ht="11.25" customHeight="1">
      <c r="A12183" s="21"/>
      <c r="B12183" s="22"/>
      <c r="C12183" s="21"/>
      <c r="D12183" s="21"/>
      <c r="E12183" s="21"/>
      <c r="F12183" s="21"/>
      <c r="G12183" s="25"/>
      <c r="H12183" s="24" t="str">
        <f>IFERROR(VLOOKUP(B12183,material!A:D,3,0),"")</f>
        <v/>
      </c>
    </row>
    <row r="12184" ht="11.25" customHeight="1">
      <c r="A12184" s="21"/>
      <c r="B12184" s="22"/>
      <c r="C12184" s="21"/>
      <c r="D12184" s="21"/>
      <c r="E12184" s="21"/>
      <c r="F12184" s="21"/>
      <c r="G12184" s="25"/>
      <c r="H12184" s="24" t="str">
        <f>IFERROR(VLOOKUP(B12184,material!A:D,3,0),"")</f>
        <v/>
      </c>
    </row>
    <row r="12185" ht="11.25" customHeight="1">
      <c r="A12185" s="21"/>
      <c r="B12185" s="22"/>
      <c r="C12185" s="21"/>
      <c r="D12185" s="21"/>
      <c r="E12185" s="21"/>
      <c r="F12185" s="21"/>
      <c r="G12185" s="25"/>
      <c r="H12185" s="24" t="str">
        <f>IFERROR(VLOOKUP(B12185,material!A:D,3,0),"")</f>
        <v/>
      </c>
    </row>
    <row r="12186" ht="11.25" customHeight="1">
      <c r="A12186" s="21"/>
      <c r="B12186" s="22"/>
      <c r="C12186" s="21"/>
      <c r="D12186" s="21"/>
      <c r="E12186" s="21"/>
      <c r="F12186" s="21"/>
      <c r="G12186" s="25"/>
      <c r="H12186" s="24" t="str">
        <f>IFERROR(VLOOKUP(B12186,material!A:D,3,0),"")</f>
        <v/>
      </c>
    </row>
    <row r="12187" ht="11.25" customHeight="1">
      <c r="A12187" s="21"/>
      <c r="B12187" s="22"/>
      <c r="C12187" s="21"/>
      <c r="D12187" s="21"/>
      <c r="E12187" s="21"/>
      <c r="F12187" s="21"/>
      <c r="G12187" s="25"/>
      <c r="H12187" s="24" t="str">
        <f>IFERROR(VLOOKUP(B12187,material!A:D,3,0),"")</f>
        <v/>
      </c>
    </row>
    <row r="12188" ht="11.25" customHeight="1">
      <c r="A12188" s="21"/>
      <c r="B12188" s="22"/>
      <c r="C12188" s="21"/>
      <c r="D12188" s="21"/>
      <c r="E12188" s="21"/>
      <c r="F12188" s="21"/>
      <c r="G12188" s="25"/>
      <c r="H12188" s="24" t="str">
        <f>IFERROR(VLOOKUP(B12188,material!A:D,3,0),"")</f>
        <v/>
      </c>
    </row>
    <row r="12189" ht="11.25" customHeight="1">
      <c r="A12189" s="21"/>
      <c r="B12189" s="22"/>
      <c r="C12189" s="21"/>
      <c r="D12189" s="21"/>
      <c r="E12189" s="21"/>
      <c r="F12189" s="21"/>
      <c r="G12189" s="25"/>
      <c r="H12189" s="24" t="str">
        <f>IFERROR(VLOOKUP(B12189,material!A:D,3,0),"")</f>
        <v/>
      </c>
    </row>
    <row r="12190" ht="11.25" customHeight="1">
      <c r="A12190" s="21"/>
      <c r="B12190" s="22"/>
      <c r="C12190" s="21"/>
      <c r="D12190" s="21"/>
      <c r="E12190" s="21"/>
      <c r="F12190" s="21"/>
      <c r="G12190" s="25"/>
      <c r="H12190" s="24" t="str">
        <f>IFERROR(VLOOKUP(B12190,material!A:D,3,0),"")</f>
        <v/>
      </c>
    </row>
    <row r="12191" ht="11.25" customHeight="1">
      <c r="A12191" s="21"/>
      <c r="B12191" s="22"/>
      <c r="C12191" s="21"/>
      <c r="D12191" s="21"/>
      <c r="E12191" s="21"/>
      <c r="F12191" s="21"/>
      <c r="G12191" s="25"/>
      <c r="H12191" s="24" t="str">
        <f>IFERROR(VLOOKUP(B12191,material!A:D,3,0),"")</f>
        <v/>
      </c>
    </row>
    <row r="12192" ht="11.25" customHeight="1">
      <c r="A12192" s="21"/>
      <c r="B12192" s="22"/>
      <c r="C12192" s="21"/>
      <c r="D12192" s="21"/>
      <c r="E12192" s="21"/>
      <c r="F12192" s="21"/>
      <c r="G12192" s="25"/>
      <c r="H12192" s="24" t="str">
        <f>IFERROR(VLOOKUP(B12192,material!A:D,3,0),"")</f>
        <v/>
      </c>
    </row>
    <row r="12193" ht="11.25" customHeight="1">
      <c r="A12193" s="21"/>
      <c r="B12193" s="22"/>
      <c r="C12193" s="21"/>
      <c r="D12193" s="21"/>
      <c r="E12193" s="21"/>
      <c r="F12193" s="21"/>
      <c r="G12193" s="25"/>
      <c r="H12193" s="24" t="str">
        <f>IFERROR(VLOOKUP(B12193,material!A:D,3,0),"")</f>
        <v/>
      </c>
    </row>
    <row r="12194" ht="11.25" customHeight="1">
      <c r="A12194" s="21"/>
      <c r="B12194" s="22"/>
      <c r="C12194" s="21"/>
      <c r="D12194" s="21"/>
      <c r="E12194" s="21"/>
      <c r="F12194" s="21"/>
      <c r="G12194" s="25"/>
      <c r="H12194" s="24" t="str">
        <f>IFERROR(VLOOKUP(B12194,material!A:D,3,0),"")</f>
        <v/>
      </c>
    </row>
    <row r="12195" ht="11.25" customHeight="1">
      <c r="A12195" s="21"/>
      <c r="B12195" s="22"/>
      <c r="C12195" s="21"/>
      <c r="D12195" s="21"/>
      <c r="E12195" s="21"/>
      <c r="F12195" s="21"/>
      <c r="G12195" s="25"/>
      <c r="H12195" s="24" t="str">
        <f>IFERROR(VLOOKUP(B12195,material!A:D,3,0),"")</f>
        <v/>
      </c>
    </row>
    <row r="12196" ht="11.25" customHeight="1">
      <c r="A12196" s="21"/>
      <c r="B12196" s="22"/>
      <c r="C12196" s="21"/>
      <c r="D12196" s="21"/>
      <c r="E12196" s="21"/>
      <c r="F12196" s="21"/>
      <c r="G12196" s="25"/>
      <c r="H12196" s="24" t="str">
        <f>IFERROR(VLOOKUP(B12196,material!A:D,3,0),"")</f>
        <v/>
      </c>
    </row>
    <row r="12197" ht="11.25" customHeight="1">
      <c r="A12197" s="21"/>
      <c r="B12197" s="22"/>
      <c r="C12197" s="21"/>
      <c r="D12197" s="21"/>
      <c r="E12197" s="21"/>
      <c r="F12197" s="21"/>
      <c r="G12197" s="25"/>
      <c r="H12197" s="24" t="str">
        <f>IFERROR(VLOOKUP(B12197,material!A:D,3,0),"")</f>
        <v/>
      </c>
    </row>
    <row r="12198" ht="11.25" customHeight="1">
      <c r="A12198" s="21"/>
      <c r="B12198" s="22"/>
      <c r="C12198" s="21"/>
      <c r="D12198" s="21"/>
      <c r="E12198" s="21"/>
      <c r="F12198" s="21"/>
      <c r="G12198" s="25"/>
      <c r="H12198" s="24" t="str">
        <f>IFERROR(VLOOKUP(B12198,material!A:D,3,0),"")</f>
        <v/>
      </c>
    </row>
    <row r="12199" ht="11.25" customHeight="1">
      <c r="A12199" s="21"/>
      <c r="B12199" s="22"/>
      <c r="C12199" s="21"/>
      <c r="D12199" s="21"/>
      <c r="E12199" s="21"/>
      <c r="F12199" s="21"/>
      <c r="G12199" s="25"/>
      <c r="H12199" s="24" t="str">
        <f>IFERROR(VLOOKUP(B12199,material!A:D,3,0),"")</f>
        <v/>
      </c>
    </row>
    <row r="12200" ht="11.25" customHeight="1">
      <c r="A12200" s="21"/>
      <c r="B12200" s="22"/>
      <c r="C12200" s="21"/>
      <c r="D12200" s="21"/>
      <c r="E12200" s="21"/>
      <c r="F12200" s="21"/>
      <c r="G12200" s="25"/>
      <c r="H12200" s="24" t="str">
        <f>IFERROR(VLOOKUP(B12200,material!A:D,3,0),"")</f>
        <v/>
      </c>
    </row>
    <row r="12201" ht="11.25" customHeight="1">
      <c r="A12201" s="21"/>
      <c r="B12201" s="22"/>
      <c r="C12201" s="21"/>
      <c r="D12201" s="21"/>
      <c r="E12201" s="21"/>
      <c r="F12201" s="21"/>
      <c r="G12201" s="25"/>
      <c r="H12201" s="24" t="str">
        <f>IFERROR(VLOOKUP(B12201,material!A:D,3,0),"")</f>
        <v/>
      </c>
    </row>
    <row r="12202" ht="11.25" customHeight="1">
      <c r="A12202" s="21"/>
      <c r="B12202" s="22"/>
      <c r="C12202" s="21"/>
      <c r="D12202" s="21"/>
      <c r="E12202" s="21"/>
      <c r="F12202" s="21"/>
      <c r="G12202" s="25"/>
      <c r="H12202" s="24" t="str">
        <f>IFERROR(VLOOKUP(B12202,material!A:D,3,0),"")</f>
        <v/>
      </c>
    </row>
    <row r="12203" ht="11.25" customHeight="1">
      <c r="A12203" s="21"/>
      <c r="B12203" s="22"/>
      <c r="C12203" s="21"/>
      <c r="D12203" s="21"/>
      <c r="E12203" s="21"/>
      <c r="F12203" s="21"/>
      <c r="G12203" s="25"/>
      <c r="H12203" s="24" t="str">
        <f>IFERROR(VLOOKUP(B12203,material!A:D,3,0),"")</f>
        <v/>
      </c>
    </row>
    <row r="12204" ht="11.25" customHeight="1">
      <c r="A12204" s="21"/>
      <c r="B12204" s="22"/>
      <c r="C12204" s="21"/>
      <c r="D12204" s="21"/>
      <c r="E12204" s="21"/>
      <c r="F12204" s="21"/>
      <c r="G12204" s="25"/>
      <c r="H12204" s="24" t="str">
        <f>IFERROR(VLOOKUP(B12204,material!A:D,3,0),"")</f>
        <v/>
      </c>
    </row>
    <row r="12205" ht="11.25" customHeight="1">
      <c r="A12205" s="21"/>
      <c r="B12205" s="22"/>
      <c r="C12205" s="21"/>
      <c r="D12205" s="21"/>
      <c r="E12205" s="21"/>
      <c r="F12205" s="21"/>
      <c r="G12205" s="25"/>
      <c r="H12205" s="24" t="str">
        <f>IFERROR(VLOOKUP(B12205,material!A:D,3,0),"")</f>
        <v/>
      </c>
    </row>
    <row r="12206" ht="11.25" customHeight="1">
      <c r="A12206" s="21"/>
      <c r="B12206" s="22"/>
      <c r="C12206" s="21"/>
      <c r="D12206" s="21"/>
      <c r="E12206" s="21"/>
      <c r="F12206" s="21"/>
      <c r="G12206" s="25"/>
      <c r="H12206" s="24" t="str">
        <f>IFERROR(VLOOKUP(B12206,material!A:D,3,0),"")</f>
        <v/>
      </c>
    </row>
    <row r="12207" ht="11.25" customHeight="1">
      <c r="A12207" s="21"/>
      <c r="B12207" s="22"/>
      <c r="C12207" s="21"/>
      <c r="D12207" s="21"/>
      <c r="E12207" s="21"/>
      <c r="F12207" s="21"/>
      <c r="G12207" s="25"/>
      <c r="H12207" s="24" t="str">
        <f>IFERROR(VLOOKUP(B12207,material!A:D,3,0),"")</f>
        <v/>
      </c>
    </row>
    <row r="12208" ht="11.25" customHeight="1">
      <c r="A12208" s="21"/>
      <c r="B12208" s="22"/>
      <c r="C12208" s="21"/>
      <c r="D12208" s="21"/>
      <c r="E12208" s="21"/>
      <c r="F12208" s="21"/>
      <c r="G12208" s="25"/>
      <c r="H12208" s="24" t="str">
        <f>IFERROR(VLOOKUP(B12208,material!A:D,3,0),"")</f>
        <v/>
      </c>
    </row>
    <row r="12209" ht="11.25" customHeight="1">
      <c r="A12209" s="21"/>
      <c r="B12209" s="22"/>
      <c r="C12209" s="21"/>
      <c r="D12209" s="21"/>
      <c r="E12209" s="21"/>
      <c r="F12209" s="21"/>
      <c r="G12209" s="25"/>
      <c r="H12209" s="24" t="str">
        <f>IFERROR(VLOOKUP(B12209,material!A:D,3,0),"")</f>
        <v/>
      </c>
    </row>
    <row r="12210" ht="11.25" customHeight="1">
      <c r="A12210" s="21"/>
      <c r="B12210" s="22"/>
      <c r="C12210" s="21"/>
      <c r="D12210" s="21"/>
      <c r="E12210" s="21"/>
      <c r="F12210" s="21"/>
      <c r="G12210" s="25"/>
      <c r="H12210" s="24" t="str">
        <f>IFERROR(VLOOKUP(B12210,material!A:D,3,0),"")</f>
        <v/>
      </c>
    </row>
    <row r="12211" ht="11.25" customHeight="1">
      <c r="A12211" s="21"/>
      <c r="B12211" s="22"/>
      <c r="C12211" s="21"/>
      <c r="D12211" s="21"/>
      <c r="E12211" s="21"/>
      <c r="F12211" s="21"/>
      <c r="G12211" s="25"/>
      <c r="H12211" s="24" t="str">
        <f>IFERROR(VLOOKUP(B12211,material!A:D,3,0),"")</f>
        <v/>
      </c>
    </row>
    <row r="12212" ht="11.25" customHeight="1">
      <c r="A12212" s="21"/>
      <c r="B12212" s="22"/>
      <c r="C12212" s="21"/>
      <c r="D12212" s="21"/>
      <c r="E12212" s="21"/>
      <c r="F12212" s="21"/>
      <c r="G12212" s="25"/>
      <c r="H12212" s="24" t="str">
        <f>IFERROR(VLOOKUP(B12212,material!A:D,3,0),"")</f>
        <v/>
      </c>
    </row>
    <row r="12213" ht="11.25" customHeight="1">
      <c r="A12213" s="21"/>
      <c r="B12213" s="22"/>
      <c r="C12213" s="21"/>
      <c r="D12213" s="21"/>
      <c r="E12213" s="21"/>
      <c r="F12213" s="21"/>
      <c r="G12213" s="25"/>
      <c r="H12213" s="24" t="str">
        <f>IFERROR(VLOOKUP(B12213,material!A:D,3,0),"")</f>
        <v/>
      </c>
    </row>
    <row r="12214" ht="11.25" customHeight="1">
      <c r="A12214" s="21"/>
      <c r="B12214" s="22"/>
      <c r="C12214" s="21"/>
      <c r="D12214" s="21"/>
      <c r="E12214" s="21"/>
      <c r="F12214" s="21"/>
      <c r="G12214" s="25"/>
      <c r="H12214" s="24" t="str">
        <f>IFERROR(VLOOKUP(B12214,material!A:D,3,0),"")</f>
        <v/>
      </c>
    </row>
    <row r="12215" ht="11.25" customHeight="1">
      <c r="A12215" s="21"/>
      <c r="B12215" s="22"/>
      <c r="C12215" s="21"/>
      <c r="D12215" s="21"/>
      <c r="E12215" s="21"/>
      <c r="F12215" s="21"/>
      <c r="G12215" s="25"/>
      <c r="H12215" s="24" t="str">
        <f>IFERROR(VLOOKUP(B12215,material!A:D,3,0),"")</f>
        <v/>
      </c>
    </row>
    <row r="12216" ht="11.25" customHeight="1">
      <c r="A12216" s="21"/>
      <c r="B12216" s="22"/>
      <c r="C12216" s="21"/>
      <c r="D12216" s="21"/>
      <c r="E12216" s="21"/>
      <c r="F12216" s="21"/>
      <c r="G12216" s="25"/>
      <c r="H12216" s="24" t="str">
        <f>IFERROR(VLOOKUP(B12216,material!A:D,3,0),"")</f>
        <v/>
      </c>
    </row>
    <row r="12217" ht="11.25" customHeight="1">
      <c r="A12217" s="21"/>
      <c r="B12217" s="22"/>
      <c r="C12217" s="21"/>
      <c r="D12217" s="21"/>
      <c r="E12217" s="21"/>
      <c r="F12217" s="21"/>
      <c r="G12217" s="25"/>
      <c r="H12217" s="24" t="str">
        <f>IFERROR(VLOOKUP(B12217,material!A:D,3,0),"")</f>
        <v/>
      </c>
    </row>
    <row r="12218" ht="11.25" customHeight="1">
      <c r="A12218" s="21"/>
      <c r="B12218" s="22"/>
      <c r="C12218" s="21"/>
      <c r="D12218" s="21"/>
      <c r="E12218" s="21"/>
      <c r="F12218" s="21"/>
      <c r="G12218" s="25"/>
      <c r="H12218" s="24" t="str">
        <f>IFERROR(VLOOKUP(B12218,material!A:D,3,0),"")</f>
        <v/>
      </c>
    </row>
    <row r="12219" ht="11.25" customHeight="1">
      <c r="A12219" s="21"/>
      <c r="B12219" s="22"/>
      <c r="C12219" s="21"/>
      <c r="D12219" s="21"/>
      <c r="E12219" s="21"/>
      <c r="F12219" s="21"/>
      <c r="G12219" s="25"/>
      <c r="H12219" s="24" t="str">
        <f>IFERROR(VLOOKUP(B12219,material!A:D,3,0),"")</f>
        <v/>
      </c>
    </row>
    <row r="12220" ht="11.25" customHeight="1">
      <c r="A12220" s="21"/>
      <c r="B12220" s="22"/>
      <c r="C12220" s="21"/>
      <c r="D12220" s="21"/>
      <c r="E12220" s="21"/>
      <c r="F12220" s="21"/>
      <c r="G12220" s="25"/>
      <c r="H12220" s="24" t="str">
        <f>IFERROR(VLOOKUP(B12220,material!A:D,3,0),"")</f>
        <v/>
      </c>
    </row>
    <row r="12221" ht="11.25" customHeight="1">
      <c r="A12221" s="21"/>
      <c r="B12221" s="22"/>
      <c r="C12221" s="21"/>
      <c r="D12221" s="21"/>
      <c r="E12221" s="21"/>
      <c r="F12221" s="21"/>
      <c r="G12221" s="25"/>
      <c r="H12221" s="24" t="str">
        <f>IFERROR(VLOOKUP(B12221,material!A:D,3,0),"")</f>
        <v/>
      </c>
    </row>
    <row r="12222" ht="11.25" customHeight="1">
      <c r="A12222" s="21"/>
      <c r="B12222" s="22"/>
      <c r="C12222" s="21"/>
      <c r="D12222" s="21"/>
      <c r="E12222" s="21"/>
      <c r="F12222" s="21"/>
      <c r="G12222" s="25"/>
      <c r="H12222" s="24" t="str">
        <f>IFERROR(VLOOKUP(B12222,material!A:D,3,0),"")</f>
        <v/>
      </c>
    </row>
    <row r="12223" ht="11.25" customHeight="1">
      <c r="A12223" s="21"/>
      <c r="B12223" s="22"/>
      <c r="C12223" s="21"/>
      <c r="D12223" s="21"/>
      <c r="E12223" s="21"/>
      <c r="F12223" s="21"/>
      <c r="G12223" s="25"/>
      <c r="H12223" s="24" t="str">
        <f>IFERROR(VLOOKUP(B12223,material!A:D,3,0),"")</f>
        <v/>
      </c>
    </row>
    <row r="12224" ht="11.25" customHeight="1">
      <c r="A12224" s="21"/>
      <c r="B12224" s="22"/>
      <c r="C12224" s="21"/>
      <c r="D12224" s="21"/>
      <c r="E12224" s="21"/>
      <c r="F12224" s="21"/>
      <c r="G12224" s="25"/>
      <c r="H12224" s="24" t="str">
        <f>IFERROR(VLOOKUP(B12224,material!A:D,3,0),"")</f>
        <v/>
      </c>
    </row>
    <row r="12225" ht="11.25" customHeight="1">
      <c r="A12225" s="21"/>
      <c r="B12225" s="22"/>
      <c r="C12225" s="21"/>
      <c r="D12225" s="21"/>
      <c r="E12225" s="21"/>
      <c r="F12225" s="21"/>
      <c r="G12225" s="25"/>
      <c r="H12225" s="24" t="str">
        <f>IFERROR(VLOOKUP(B12225,material!A:D,3,0),"")</f>
        <v/>
      </c>
    </row>
    <row r="12226" ht="11.25" customHeight="1">
      <c r="A12226" s="21"/>
      <c r="B12226" s="22"/>
      <c r="C12226" s="21"/>
      <c r="D12226" s="21"/>
      <c r="E12226" s="21"/>
      <c r="F12226" s="21"/>
      <c r="G12226" s="25"/>
      <c r="H12226" s="24" t="str">
        <f>IFERROR(VLOOKUP(B12226,material!A:D,3,0),"")</f>
        <v/>
      </c>
    </row>
    <row r="12227" ht="11.25" customHeight="1">
      <c r="A12227" s="21"/>
      <c r="B12227" s="22"/>
      <c r="C12227" s="21"/>
      <c r="D12227" s="21"/>
      <c r="E12227" s="21"/>
      <c r="F12227" s="21"/>
      <c r="G12227" s="25"/>
      <c r="H12227" s="24" t="str">
        <f>IFERROR(VLOOKUP(B12227,material!A:D,3,0),"")</f>
        <v/>
      </c>
    </row>
    <row r="12228" ht="11.25" customHeight="1">
      <c r="A12228" s="21"/>
      <c r="B12228" s="22"/>
      <c r="C12228" s="21"/>
      <c r="D12228" s="21"/>
      <c r="E12228" s="21"/>
      <c r="F12228" s="21"/>
      <c r="G12228" s="25"/>
      <c r="H12228" s="24" t="str">
        <f>IFERROR(VLOOKUP(B12228,material!A:D,3,0),"")</f>
        <v/>
      </c>
    </row>
    <row r="12229" ht="11.25" customHeight="1">
      <c r="A12229" s="21"/>
      <c r="B12229" s="22"/>
      <c r="C12229" s="21"/>
      <c r="D12229" s="21"/>
      <c r="E12229" s="21"/>
      <c r="F12229" s="21"/>
      <c r="G12229" s="25"/>
      <c r="H12229" s="24" t="str">
        <f>IFERROR(VLOOKUP(B12229,material!A:D,3,0),"")</f>
        <v/>
      </c>
    </row>
    <row r="12230" ht="11.25" customHeight="1">
      <c r="A12230" s="21"/>
      <c r="B12230" s="22"/>
      <c r="C12230" s="21"/>
      <c r="D12230" s="21"/>
      <c r="E12230" s="21"/>
      <c r="F12230" s="21"/>
      <c r="G12230" s="25"/>
      <c r="H12230" s="24" t="str">
        <f>IFERROR(VLOOKUP(B12230,material!A:D,3,0),"")</f>
        <v/>
      </c>
    </row>
    <row r="12231" ht="11.25" customHeight="1">
      <c r="A12231" s="21"/>
      <c r="B12231" s="22"/>
      <c r="C12231" s="21"/>
      <c r="D12231" s="21"/>
      <c r="E12231" s="21"/>
      <c r="F12231" s="21"/>
      <c r="G12231" s="25"/>
      <c r="H12231" s="24" t="str">
        <f>IFERROR(VLOOKUP(B12231,material!A:D,3,0),"")</f>
        <v/>
      </c>
    </row>
    <row r="12232" ht="11.25" customHeight="1">
      <c r="A12232" s="21"/>
      <c r="B12232" s="22"/>
      <c r="C12232" s="21"/>
      <c r="D12232" s="21"/>
      <c r="E12232" s="21"/>
      <c r="F12232" s="21"/>
      <c r="G12232" s="25"/>
      <c r="H12232" s="24" t="str">
        <f>IFERROR(VLOOKUP(B12232,material!A:D,3,0),"")</f>
        <v/>
      </c>
    </row>
    <row r="12233" ht="11.25" customHeight="1">
      <c r="A12233" s="21"/>
      <c r="B12233" s="22"/>
      <c r="C12233" s="21"/>
      <c r="D12233" s="21"/>
      <c r="E12233" s="21"/>
      <c r="F12233" s="21"/>
      <c r="G12233" s="25"/>
      <c r="H12233" s="24" t="str">
        <f>IFERROR(VLOOKUP(B12233,material!A:D,3,0),"")</f>
        <v/>
      </c>
    </row>
    <row r="12234" ht="11.25" customHeight="1">
      <c r="A12234" s="21"/>
      <c r="B12234" s="22"/>
      <c r="C12234" s="21"/>
      <c r="D12234" s="21"/>
      <c r="E12234" s="21"/>
      <c r="F12234" s="21"/>
      <c r="G12234" s="25"/>
      <c r="H12234" s="24" t="str">
        <f>IFERROR(VLOOKUP(B12234,material!A:D,3,0),"")</f>
        <v/>
      </c>
    </row>
    <row r="12235" ht="11.25" customHeight="1">
      <c r="A12235" s="21"/>
      <c r="B12235" s="22"/>
      <c r="C12235" s="21"/>
      <c r="D12235" s="21"/>
      <c r="E12235" s="21"/>
      <c r="F12235" s="21"/>
      <c r="G12235" s="25"/>
      <c r="H12235" s="24" t="str">
        <f>IFERROR(VLOOKUP(B12235,material!A:D,3,0),"")</f>
        <v/>
      </c>
    </row>
    <row r="12236" ht="11.25" customHeight="1">
      <c r="A12236" s="21"/>
      <c r="B12236" s="22"/>
      <c r="C12236" s="21"/>
      <c r="D12236" s="21"/>
      <c r="E12236" s="21"/>
      <c r="F12236" s="21"/>
      <c r="G12236" s="25"/>
      <c r="H12236" s="24" t="str">
        <f>IFERROR(VLOOKUP(B12236,material!A:D,3,0),"")</f>
        <v/>
      </c>
    </row>
    <row r="12237" ht="11.25" customHeight="1">
      <c r="A12237" s="21"/>
      <c r="B12237" s="22"/>
      <c r="C12237" s="21"/>
      <c r="D12237" s="21"/>
      <c r="E12237" s="21"/>
      <c r="F12237" s="21"/>
      <c r="G12237" s="25"/>
      <c r="H12237" s="24" t="str">
        <f>IFERROR(VLOOKUP(B12237,material!A:D,3,0),"")</f>
        <v/>
      </c>
    </row>
    <row r="12238" ht="11.25" customHeight="1">
      <c r="A12238" s="21"/>
      <c r="B12238" s="22"/>
      <c r="C12238" s="21"/>
      <c r="D12238" s="21"/>
      <c r="E12238" s="21"/>
      <c r="F12238" s="21"/>
      <c r="G12238" s="25"/>
      <c r="H12238" s="24" t="str">
        <f>IFERROR(VLOOKUP(B12238,material!A:D,3,0),"")</f>
        <v/>
      </c>
    </row>
    <row r="12239" ht="11.25" customHeight="1">
      <c r="A12239" s="21"/>
      <c r="B12239" s="22"/>
      <c r="C12239" s="21"/>
      <c r="D12239" s="21"/>
      <c r="E12239" s="21"/>
      <c r="F12239" s="21"/>
      <c r="G12239" s="25"/>
      <c r="H12239" s="24" t="str">
        <f>IFERROR(VLOOKUP(B12239,material!A:D,3,0),"")</f>
        <v/>
      </c>
    </row>
    <row r="12240" ht="11.25" customHeight="1">
      <c r="A12240" s="21"/>
      <c r="B12240" s="22"/>
      <c r="C12240" s="21"/>
      <c r="D12240" s="21"/>
      <c r="E12240" s="21"/>
      <c r="F12240" s="21"/>
      <c r="G12240" s="25"/>
      <c r="H12240" s="24" t="str">
        <f>IFERROR(VLOOKUP(B12240,material!A:D,3,0),"")</f>
        <v/>
      </c>
    </row>
    <row r="12241" ht="11.25" customHeight="1">
      <c r="A12241" s="21"/>
      <c r="B12241" s="22"/>
      <c r="C12241" s="21"/>
      <c r="D12241" s="21"/>
      <c r="E12241" s="21"/>
      <c r="F12241" s="21"/>
      <c r="G12241" s="25"/>
      <c r="H12241" s="24" t="str">
        <f>IFERROR(VLOOKUP(B12241,material!A:D,3,0),"")</f>
        <v/>
      </c>
    </row>
    <row r="12242" ht="11.25" customHeight="1">
      <c r="A12242" s="21"/>
      <c r="B12242" s="22"/>
      <c r="C12242" s="21"/>
      <c r="D12242" s="21"/>
      <c r="E12242" s="21"/>
      <c r="F12242" s="21"/>
      <c r="G12242" s="25"/>
      <c r="H12242" s="24" t="str">
        <f>IFERROR(VLOOKUP(B12242,material!A:D,3,0),"")</f>
        <v/>
      </c>
    </row>
    <row r="12243" ht="11.25" customHeight="1">
      <c r="A12243" s="21"/>
      <c r="B12243" s="22"/>
      <c r="C12243" s="21"/>
      <c r="D12243" s="21"/>
      <c r="E12243" s="21"/>
      <c r="F12243" s="21"/>
      <c r="G12243" s="25"/>
      <c r="H12243" s="24" t="str">
        <f>IFERROR(VLOOKUP(B12243,material!A:D,3,0),"")</f>
        <v/>
      </c>
    </row>
    <row r="12244" ht="11.25" customHeight="1">
      <c r="A12244" s="21"/>
      <c r="B12244" s="22"/>
      <c r="C12244" s="21"/>
      <c r="D12244" s="21"/>
      <c r="E12244" s="21"/>
      <c r="F12244" s="21"/>
      <c r="G12244" s="25"/>
      <c r="H12244" s="24" t="str">
        <f>IFERROR(VLOOKUP(B12244,material!A:D,3,0),"")</f>
        <v/>
      </c>
    </row>
    <row r="12245" ht="11.25" customHeight="1">
      <c r="A12245" s="21"/>
      <c r="B12245" s="22"/>
      <c r="C12245" s="21"/>
      <c r="D12245" s="21"/>
      <c r="E12245" s="21"/>
      <c r="F12245" s="21"/>
      <c r="G12245" s="25"/>
      <c r="H12245" s="24" t="str">
        <f>IFERROR(VLOOKUP(B12245,material!A:D,3,0),"")</f>
        <v/>
      </c>
    </row>
    <row r="12246" ht="11.25" customHeight="1">
      <c r="A12246" s="21"/>
      <c r="B12246" s="22"/>
      <c r="C12246" s="21"/>
      <c r="D12246" s="21"/>
      <c r="E12246" s="21"/>
      <c r="F12246" s="21"/>
      <c r="G12246" s="25"/>
      <c r="H12246" s="24" t="str">
        <f>IFERROR(VLOOKUP(B12246,material!A:D,3,0),"")</f>
        <v/>
      </c>
    </row>
    <row r="12247" ht="11.25" customHeight="1">
      <c r="A12247" s="21"/>
      <c r="B12247" s="22"/>
      <c r="C12247" s="21"/>
      <c r="D12247" s="21"/>
      <c r="E12247" s="21"/>
      <c r="F12247" s="21"/>
      <c r="G12247" s="25"/>
      <c r="H12247" s="24" t="str">
        <f>IFERROR(VLOOKUP(B12247,material!A:D,3,0),"")</f>
        <v/>
      </c>
    </row>
    <row r="12248" ht="11.25" customHeight="1">
      <c r="A12248" s="21"/>
      <c r="B12248" s="22"/>
      <c r="C12248" s="21"/>
      <c r="D12248" s="21"/>
      <c r="E12248" s="21"/>
      <c r="F12248" s="21"/>
      <c r="G12248" s="25"/>
      <c r="H12248" s="24" t="str">
        <f>IFERROR(VLOOKUP(B12248,material!A:D,3,0),"")</f>
        <v/>
      </c>
    </row>
    <row r="12249" ht="11.25" customHeight="1">
      <c r="A12249" s="21"/>
      <c r="B12249" s="22"/>
      <c r="C12249" s="21"/>
      <c r="D12249" s="21"/>
      <c r="E12249" s="21"/>
      <c r="F12249" s="21"/>
      <c r="G12249" s="25"/>
      <c r="H12249" s="24" t="str">
        <f>IFERROR(VLOOKUP(B12249,material!A:D,3,0),"")</f>
        <v/>
      </c>
    </row>
    <row r="12250" ht="11.25" customHeight="1">
      <c r="A12250" s="21"/>
      <c r="B12250" s="22"/>
      <c r="C12250" s="21"/>
      <c r="D12250" s="21"/>
      <c r="E12250" s="21"/>
      <c r="F12250" s="21"/>
      <c r="G12250" s="25"/>
      <c r="H12250" s="24" t="str">
        <f>IFERROR(VLOOKUP(B12250,material!A:D,3,0),"")</f>
        <v/>
      </c>
    </row>
    <row r="12251" ht="11.25" customHeight="1">
      <c r="A12251" s="21"/>
      <c r="B12251" s="22"/>
      <c r="C12251" s="21"/>
      <c r="D12251" s="21"/>
      <c r="E12251" s="21"/>
      <c r="F12251" s="21"/>
      <c r="G12251" s="25"/>
      <c r="H12251" s="24" t="str">
        <f>IFERROR(VLOOKUP(B12251,material!A:D,3,0),"")</f>
        <v/>
      </c>
    </row>
    <row r="12252" ht="11.25" customHeight="1">
      <c r="A12252" s="21"/>
      <c r="B12252" s="22"/>
      <c r="C12252" s="21"/>
      <c r="D12252" s="21"/>
      <c r="E12252" s="21"/>
      <c r="F12252" s="21"/>
      <c r="G12252" s="25"/>
      <c r="H12252" s="24" t="str">
        <f>IFERROR(VLOOKUP(B12252,material!A:D,3,0),"")</f>
        <v/>
      </c>
    </row>
    <row r="12253" ht="11.25" customHeight="1">
      <c r="A12253" s="21"/>
      <c r="B12253" s="22"/>
      <c r="C12253" s="21"/>
      <c r="D12253" s="21"/>
      <c r="E12253" s="21"/>
      <c r="F12253" s="21"/>
      <c r="G12253" s="25"/>
      <c r="H12253" s="24" t="str">
        <f>IFERROR(VLOOKUP(B12253,material!A:D,3,0),"")</f>
        <v/>
      </c>
    </row>
    <row r="12254" ht="11.25" customHeight="1">
      <c r="A12254" s="21"/>
      <c r="B12254" s="22"/>
      <c r="C12254" s="21"/>
      <c r="D12254" s="21"/>
      <c r="E12254" s="21"/>
      <c r="F12254" s="21"/>
      <c r="G12254" s="25"/>
      <c r="H12254" s="24" t="str">
        <f>IFERROR(VLOOKUP(B12254,material!A:D,3,0),"")</f>
        <v/>
      </c>
    </row>
    <row r="12255" ht="11.25" customHeight="1">
      <c r="A12255" s="21"/>
      <c r="B12255" s="22"/>
      <c r="C12255" s="21"/>
      <c r="D12255" s="21"/>
      <c r="E12255" s="21"/>
      <c r="F12255" s="21"/>
      <c r="G12255" s="25"/>
      <c r="H12255" s="24" t="str">
        <f>IFERROR(VLOOKUP(B12255,material!A:D,3,0),"")</f>
        <v/>
      </c>
    </row>
    <row r="12256" ht="11.25" customHeight="1">
      <c r="A12256" s="21"/>
      <c r="B12256" s="22"/>
      <c r="C12256" s="21"/>
      <c r="D12256" s="21"/>
      <c r="E12256" s="21"/>
      <c r="F12256" s="21"/>
      <c r="G12256" s="25"/>
      <c r="H12256" s="24" t="str">
        <f>IFERROR(VLOOKUP(B12256,material!A:D,3,0),"")</f>
        <v/>
      </c>
    </row>
    <row r="12257" ht="11.25" customHeight="1">
      <c r="A12257" s="21"/>
      <c r="B12257" s="22"/>
      <c r="C12257" s="21"/>
      <c r="D12257" s="21"/>
      <c r="E12257" s="21"/>
      <c r="F12257" s="21"/>
      <c r="G12257" s="25"/>
      <c r="H12257" s="24" t="str">
        <f>IFERROR(VLOOKUP(B12257,material!A:D,3,0),"")</f>
        <v/>
      </c>
    </row>
    <row r="12258" ht="11.25" customHeight="1">
      <c r="A12258" s="21"/>
      <c r="B12258" s="22"/>
      <c r="C12258" s="21"/>
      <c r="D12258" s="21"/>
      <c r="E12258" s="21"/>
      <c r="F12258" s="21"/>
      <c r="G12258" s="25"/>
      <c r="H12258" s="24" t="str">
        <f>IFERROR(VLOOKUP(B12258,material!A:D,3,0),"")</f>
        <v/>
      </c>
    </row>
    <row r="12259" ht="11.25" customHeight="1">
      <c r="A12259" s="21"/>
      <c r="B12259" s="22"/>
      <c r="C12259" s="21"/>
      <c r="D12259" s="21"/>
      <c r="E12259" s="21"/>
      <c r="F12259" s="21"/>
      <c r="G12259" s="25"/>
      <c r="H12259" s="24" t="str">
        <f>IFERROR(VLOOKUP(B12259,material!A:D,3,0),"")</f>
        <v/>
      </c>
    </row>
    <row r="12260" ht="11.25" customHeight="1">
      <c r="A12260" s="21"/>
      <c r="B12260" s="22"/>
      <c r="C12260" s="21"/>
      <c r="D12260" s="21"/>
      <c r="E12260" s="21"/>
      <c r="F12260" s="21"/>
      <c r="G12260" s="25"/>
      <c r="H12260" s="24" t="str">
        <f>IFERROR(VLOOKUP(B12260,material!A:D,3,0),"")</f>
        <v/>
      </c>
    </row>
    <row r="12261" ht="11.25" customHeight="1">
      <c r="A12261" s="21"/>
      <c r="B12261" s="22"/>
      <c r="C12261" s="21"/>
      <c r="D12261" s="21"/>
      <c r="E12261" s="21"/>
      <c r="F12261" s="21"/>
      <c r="G12261" s="25"/>
      <c r="H12261" s="24" t="str">
        <f>IFERROR(VLOOKUP(B12261,material!A:D,3,0),"")</f>
        <v/>
      </c>
    </row>
    <row r="12262" ht="11.25" customHeight="1">
      <c r="A12262" s="21"/>
      <c r="B12262" s="22"/>
      <c r="C12262" s="21"/>
      <c r="D12262" s="21"/>
      <c r="E12262" s="21"/>
      <c r="F12262" s="21"/>
      <c r="G12262" s="25"/>
      <c r="H12262" s="24" t="str">
        <f>IFERROR(VLOOKUP(B12262,material!A:D,3,0),"")</f>
        <v/>
      </c>
    </row>
    <row r="12263" ht="11.25" customHeight="1">
      <c r="A12263" s="21"/>
      <c r="B12263" s="22"/>
      <c r="C12263" s="21"/>
      <c r="D12263" s="21"/>
      <c r="E12263" s="21"/>
      <c r="F12263" s="21"/>
      <c r="G12263" s="25"/>
      <c r="H12263" s="24" t="str">
        <f>IFERROR(VLOOKUP(B12263,material!A:D,3,0),"")</f>
        <v/>
      </c>
    </row>
    <row r="12264" ht="11.25" customHeight="1">
      <c r="A12264" s="21"/>
      <c r="B12264" s="22"/>
      <c r="C12264" s="21"/>
      <c r="D12264" s="21"/>
      <c r="E12264" s="21"/>
      <c r="F12264" s="21"/>
      <c r="G12264" s="25"/>
      <c r="H12264" s="24" t="str">
        <f>IFERROR(VLOOKUP(B12264,material!A:D,3,0),"")</f>
        <v/>
      </c>
    </row>
    <row r="12265" ht="11.25" customHeight="1">
      <c r="A12265" s="21"/>
      <c r="B12265" s="22"/>
      <c r="C12265" s="21"/>
      <c r="D12265" s="21"/>
      <c r="E12265" s="21"/>
      <c r="F12265" s="21"/>
      <c r="G12265" s="25"/>
      <c r="H12265" s="24" t="str">
        <f>IFERROR(VLOOKUP(B12265,material!A:D,3,0),"")</f>
        <v/>
      </c>
    </row>
    <row r="12266" ht="11.25" customHeight="1">
      <c r="A12266" s="21"/>
      <c r="B12266" s="22"/>
      <c r="C12266" s="21"/>
      <c r="D12266" s="21"/>
      <c r="E12266" s="21"/>
      <c r="F12266" s="21"/>
      <c r="G12266" s="25"/>
      <c r="H12266" s="24" t="str">
        <f>IFERROR(VLOOKUP(B12266,material!A:D,3,0),"")</f>
        <v/>
      </c>
    </row>
    <row r="12267" ht="11.25" customHeight="1">
      <c r="A12267" s="21"/>
      <c r="B12267" s="22"/>
      <c r="C12267" s="21"/>
      <c r="D12267" s="21"/>
      <c r="E12267" s="21"/>
      <c r="F12267" s="21"/>
      <c r="G12267" s="25"/>
      <c r="H12267" s="24" t="str">
        <f>IFERROR(VLOOKUP(B12267,material!A:D,3,0),"")</f>
        <v/>
      </c>
    </row>
    <row r="12268" ht="11.25" customHeight="1">
      <c r="A12268" s="21"/>
      <c r="B12268" s="22"/>
      <c r="C12268" s="21"/>
      <c r="D12268" s="21"/>
      <c r="E12268" s="21"/>
      <c r="F12268" s="21"/>
      <c r="G12268" s="25"/>
      <c r="H12268" s="24" t="str">
        <f>IFERROR(VLOOKUP(B12268,material!A:D,3,0),"")</f>
        <v/>
      </c>
    </row>
    <row r="12269" ht="11.25" customHeight="1">
      <c r="A12269" s="21"/>
      <c r="B12269" s="22"/>
      <c r="C12269" s="21"/>
      <c r="D12269" s="21"/>
      <c r="E12269" s="21"/>
      <c r="F12269" s="21"/>
      <c r="G12269" s="25"/>
      <c r="H12269" s="24" t="str">
        <f>IFERROR(VLOOKUP(B12269,material!A:D,3,0),"")</f>
        <v/>
      </c>
    </row>
    <row r="12270" ht="11.25" customHeight="1">
      <c r="A12270" s="21"/>
      <c r="B12270" s="22"/>
      <c r="C12270" s="21"/>
      <c r="D12270" s="21"/>
      <c r="E12270" s="21"/>
      <c r="F12270" s="21"/>
      <c r="G12270" s="25"/>
      <c r="H12270" s="24" t="str">
        <f>IFERROR(VLOOKUP(B12270,material!A:D,3,0),"")</f>
        <v/>
      </c>
    </row>
    <row r="12271" ht="11.25" customHeight="1">
      <c r="A12271" s="21"/>
      <c r="B12271" s="22"/>
      <c r="C12271" s="21"/>
      <c r="D12271" s="21"/>
      <c r="E12271" s="21"/>
      <c r="F12271" s="21"/>
      <c r="G12271" s="25"/>
      <c r="H12271" s="24" t="str">
        <f>IFERROR(VLOOKUP(B12271,material!A:D,3,0),"")</f>
        <v/>
      </c>
    </row>
    <row r="12272" ht="11.25" customHeight="1">
      <c r="A12272" s="21"/>
      <c r="B12272" s="22"/>
      <c r="C12272" s="21"/>
      <c r="D12272" s="21"/>
      <c r="E12272" s="21"/>
      <c r="F12272" s="21"/>
      <c r="G12272" s="25"/>
      <c r="H12272" s="24" t="str">
        <f>IFERROR(VLOOKUP(B12272,material!A:D,3,0),"")</f>
        <v/>
      </c>
    </row>
    <row r="12273" ht="11.25" customHeight="1">
      <c r="A12273" s="21"/>
      <c r="B12273" s="22"/>
      <c r="C12273" s="21"/>
      <c r="D12273" s="21"/>
      <c r="E12273" s="21"/>
      <c r="F12273" s="21"/>
      <c r="G12273" s="25"/>
      <c r="H12273" s="24" t="str">
        <f>IFERROR(VLOOKUP(B12273,material!A:D,3,0),"")</f>
        <v/>
      </c>
    </row>
    <row r="12274" ht="11.25" customHeight="1">
      <c r="A12274" s="21"/>
      <c r="B12274" s="22"/>
      <c r="C12274" s="21"/>
      <c r="D12274" s="21"/>
      <c r="E12274" s="21"/>
      <c r="F12274" s="21"/>
      <c r="G12274" s="25"/>
      <c r="H12274" s="24" t="str">
        <f>IFERROR(VLOOKUP(B12274,material!A:D,3,0),"")</f>
        <v/>
      </c>
    </row>
    <row r="12275" ht="11.25" customHeight="1">
      <c r="A12275" s="21"/>
      <c r="B12275" s="22"/>
      <c r="C12275" s="21"/>
      <c r="D12275" s="21"/>
      <c r="E12275" s="21"/>
      <c r="F12275" s="21"/>
      <c r="G12275" s="25"/>
      <c r="H12275" s="24" t="str">
        <f>IFERROR(VLOOKUP(B12275,material!A:D,3,0),"")</f>
        <v/>
      </c>
    </row>
    <row r="12276" ht="11.25" customHeight="1">
      <c r="A12276" s="21"/>
      <c r="B12276" s="22"/>
      <c r="C12276" s="21"/>
      <c r="D12276" s="21"/>
      <c r="E12276" s="21"/>
      <c r="F12276" s="21"/>
      <c r="G12276" s="25"/>
      <c r="H12276" s="24" t="str">
        <f>IFERROR(VLOOKUP(B12276,material!A:D,3,0),"")</f>
        <v/>
      </c>
    </row>
    <row r="12277" ht="11.25" customHeight="1">
      <c r="A12277" s="21"/>
      <c r="B12277" s="22"/>
      <c r="C12277" s="21"/>
      <c r="D12277" s="21"/>
      <c r="E12277" s="21"/>
      <c r="F12277" s="21"/>
      <c r="G12277" s="25"/>
      <c r="H12277" s="24" t="str">
        <f>IFERROR(VLOOKUP(B12277,material!A:D,3,0),"")</f>
        <v/>
      </c>
    </row>
    <row r="12278" ht="11.25" customHeight="1">
      <c r="A12278" s="21"/>
      <c r="B12278" s="22"/>
      <c r="C12278" s="21"/>
      <c r="D12278" s="21"/>
      <c r="E12278" s="21"/>
      <c r="F12278" s="21"/>
      <c r="G12278" s="25"/>
      <c r="H12278" s="24" t="str">
        <f>IFERROR(VLOOKUP(B12278,material!A:D,3,0),"")</f>
        <v/>
      </c>
    </row>
    <row r="12279" ht="11.25" customHeight="1">
      <c r="A12279" s="21"/>
      <c r="B12279" s="22"/>
      <c r="C12279" s="21"/>
      <c r="D12279" s="21"/>
      <c r="E12279" s="21"/>
      <c r="F12279" s="21"/>
      <c r="G12279" s="25"/>
      <c r="H12279" s="24" t="str">
        <f>IFERROR(VLOOKUP(B12279,material!A:D,3,0),"")</f>
        <v/>
      </c>
    </row>
    <row r="12280" ht="11.25" customHeight="1">
      <c r="A12280" s="21"/>
      <c r="B12280" s="22"/>
      <c r="C12280" s="21"/>
      <c r="D12280" s="21"/>
      <c r="E12280" s="21"/>
      <c r="F12280" s="21"/>
      <c r="G12280" s="25"/>
      <c r="H12280" s="24" t="str">
        <f>IFERROR(VLOOKUP(B12280,material!A:D,3,0),"")</f>
        <v/>
      </c>
    </row>
    <row r="12281" ht="11.25" customHeight="1">
      <c r="A12281" s="21"/>
      <c r="B12281" s="22"/>
      <c r="C12281" s="21"/>
      <c r="D12281" s="21"/>
      <c r="E12281" s="21"/>
      <c r="F12281" s="21"/>
      <c r="G12281" s="25"/>
      <c r="H12281" s="24" t="str">
        <f>IFERROR(VLOOKUP(B12281,material!A:D,3,0),"")</f>
        <v/>
      </c>
    </row>
    <row r="12282" ht="11.25" customHeight="1">
      <c r="A12282" s="21"/>
      <c r="B12282" s="22"/>
      <c r="C12282" s="21"/>
      <c r="D12282" s="21"/>
      <c r="E12282" s="21"/>
      <c r="F12282" s="21"/>
      <c r="G12282" s="25"/>
      <c r="H12282" s="24" t="str">
        <f>IFERROR(VLOOKUP(B12282,material!A:D,3,0),"")</f>
        <v/>
      </c>
    </row>
    <row r="12283" ht="11.25" customHeight="1">
      <c r="A12283" s="21"/>
      <c r="B12283" s="22"/>
      <c r="C12283" s="21"/>
      <c r="D12283" s="21"/>
      <c r="E12283" s="21"/>
      <c r="F12283" s="21"/>
      <c r="G12283" s="25"/>
      <c r="H12283" s="24" t="str">
        <f>IFERROR(VLOOKUP(B12283,material!A:D,3,0),"")</f>
        <v/>
      </c>
    </row>
    <row r="12284" ht="11.25" customHeight="1">
      <c r="A12284" s="21"/>
      <c r="B12284" s="22"/>
      <c r="C12284" s="21"/>
      <c r="D12284" s="21"/>
      <c r="E12284" s="21"/>
      <c r="F12284" s="21"/>
      <c r="G12284" s="25"/>
      <c r="H12284" s="24" t="str">
        <f>IFERROR(VLOOKUP(B12284,material!A:D,3,0),"")</f>
        <v/>
      </c>
    </row>
    <row r="12285" ht="11.25" customHeight="1">
      <c r="A12285" s="21"/>
      <c r="B12285" s="22"/>
      <c r="C12285" s="21"/>
      <c r="D12285" s="21"/>
      <c r="E12285" s="21"/>
      <c r="F12285" s="21"/>
      <c r="G12285" s="25"/>
      <c r="H12285" s="24" t="str">
        <f>IFERROR(VLOOKUP(B12285,material!A:D,3,0),"")</f>
        <v/>
      </c>
    </row>
    <row r="12286" ht="11.25" customHeight="1">
      <c r="A12286" s="21"/>
      <c r="B12286" s="22"/>
      <c r="C12286" s="21"/>
      <c r="D12286" s="21"/>
      <c r="E12286" s="21"/>
      <c r="F12286" s="21"/>
      <c r="G12286" s="25"/>
      <c r="H12286" s="24" t="str">
        <f>IFERROR(VLOOKUP(B12286,material!A:D,3,0),"")</f>
        <v/>
      </c>
    </row>
    <row r="12287" ht="11.25" customHeight="1">
      <c r="A12287" s="21"/>
      <c r="B12287" s="22"/>
      <c r="C12287" s="21"/>
      <c r="D12287" s="21"/>
      <c r="E12287" s="21"/>
      <c r="F12287" s="21"/>
      <c r="G12287" s="25"/>
      <c r="H12287" s="24" t="str">
        <f>IFERROR(VLOOKUP(B12287,material!A:D,3,0),"")</f>
        <v/>
      </c>
    </row>
    <row r="12288" ht="11.25" customHeight="1">
      <c r="A12288" s="21"/>
      <c r="B12288" s="22"/>
      <c r="C12288" s="21"/>
      <c r="D12288" s="21"/>
      <c r="E12288" s="21"/>
      <c r="F12288" s="21"/>
      <c r="G12288" s="25"/>
      <c r="H12288" s="24" t="str">
        <f>IFERROR(VLOOKUP(B12288,material!A:D,3,0),"")</f>
        <v/>
      </c>
    </row>
    <row r="12289" ht="11.25" customHeight="1">
      <c r="A12289" s="21"/>
      <c r="B12289" s="22"/>
      <c r="C12289" s="21"/>
      <c r="D12289" s="21"/>
      <c r="E12289" s="21"/>
      <c r="F12289" s="21"/>
      <c r="G12289" s="25"/>
      <c r="H12289" s="24" t="str">
        <f>IFERROR(VLOOKUP(B12289,material!A:D,3,0),"")</f>
        <v/>
      </c>
    </row>
    <row r="12290" ht="11.25" customHeight="1">
      <c r="A12290" s="21"/>
      <c r="B12290" s="22"/>
      <c r="C12290" s="21"/>
      <c r="D12290" s="21"/>
      <c r="E12290" s="21"/>
      <c r="F12290" s="21"/>
      <c r="G12290" s="25"/>
      <c r="H12290" s="24" t="str">
        <f>IFERROR(VLOOKUP(B12290,material!A:D,3,0),"")</f>
        <v/>
      </c>
    </row>
    <row r="12291" ht="11.25" customHeight="1">
      <c r="A12291" s="21"/>
      <c r="B12291" s="22"/>
      <c r="C12291" s="21"/>
      <c r="D12291" s="21"/>
      <c r="E12291" s="21"/>
      <c r="F12291" s="21"/>
      <c r="G12291" s="25"/>
      <c r="H12291" s="24" t="str">
        <f>IFERROR(VLOOKUP(B12291,material!A:D,3,0),"")</f>
        <v/>
      </c>
    </row>
    <row r="12292" ht="11.25" customHeight="1">
      <c r="A12292" s="21"/>
      <c r="B12292" s="22"/>
      <c r="C12292" s="21"/>
      <c r="D12292" s="21"/>
      <c r="E12292" s="21"/>
      <c r="F12292" s="21"/>
      <c r="G12292" s="25"/>
      <c r="H12292" s="24" t="str">
        <f>IFERROR(VLOOKUP(B12292,material!A:D,3,0),"")</f>
        <v/>
      </c>
    </row>
    <row r="12293" ht="11.25" customHeight="1">
      <c r="A12293" s="21"/>
      <c r="B12293" s="22"/>
      <c r="C12293" s="21"/>
      <c r="D12293" s="21"/>
      <c r="E12293" s="21"/>
      <c r="F12293" s="21"/>
      <c r="G12293" s="25"/>
      <c r="H12293" s="24" t="str">
        <f>IFERROR(VLOOKUP(B12293,material!A:D,3,0),"")</f>
        <v/>
      </c>
    </row>
    <row r="12294" ht="11.25" customHeight="1">
      <c r="A12294" s="21"/>
      <c r="B12294" s="22"/>
      <c r="C12294" s="21"/>
      <c r="D12294" s="21"/>
      <c r="E12294" s="21"/>
      <c r="F12294" s="21"/>
      <c r="G12294" s="25"/>
      <c r="H12294" s="24" t="str">
        <f>IFERROR(VLOOKUP(B12294,material!A:D,3,0),"")</f>
        <v/>
      </c>
    </row>
    <row r="12295" ht="11.25" customHeight="1">
      <c r="A12295" s="21"/>
      <c r="B12295" s="22"/>
      <c r="C12295" s="21"/>
      <c r="D12295" s="21"/>
      <c r="E12295" s="21"/>
      <c r="F12295" s="21"/>
      <c r="G12295" s="25"/>
      <c r="H12295" s="24" t="str">
        <f>IFERROR(VLOOKUP(B12295,material!A:D,3,0),"")</f>
        <v/>
      </c>
    </row>
    <row r="12296" ht="11.25" customHeight="1">
      <c r="A12296" s="21"/>
      <c r="B12296" s="22"/>
      <c r="C12296" s="21"/>
      <c r="D12296" s="21"/>
      <c r="E12296" s="21"/>
      <c r="F12296" s="21"/>
      <c r="G12296" s="25"/>
      <c r="H12296" s="24" t="str">
        <f>IFERROR(VLOOKUP(B12296,material!A:D,3,0),"")</f>
        <v/>
      </c>
    </row>
    <row r="12297" ht="11.25" customHeight="1">
      <c r="A12297" s="21"/>
      <c r="B12297" s="22"/>
      <c r="C12297" s="21"/>
      <c r="D12297" s="21"/>
      <c r="E12297" s="21"/>
      <c r="F12297" s="21"/>
      <c r="G12297" s="25"/>
      <c r="H12297" s="24" t="str">
        <f>IFERROR(VLOOKUP(B12297,material!A:D,3,0),"")</f>
        <v/>
      </c>
    </row>
    <row r="12298" ht="11.25" customHeight="1">
      <c r="A12298" s="21"/>
      <c r="B12298" s="22"/>
      <c r="C12298" s="21"/>
      <c r="D12298" s="21"/>
      <c r="E12298" s="21"/>
      <c r="F12298" s="21"/>
      <c r="G12298" s="25"/>
      <c r="H12298" s="24" t="str">
        <f>IFERROR(VLOOKUP(B12298,material!A:D,3,0),"")</f>
        <v/>
      </c>
    </row>
    <row r="12299" ht="11.25" customHeight="1">
      <c r="A12299" s="21"/>
      <c r="B12299" s="22"/>
      <c r="C12299" s="21"/>
      <c r="D12299" s="21"/>
      <c r="E12299" s="21"/>
      <c r="F12299" s="21"/>
      <c r="G12299" s="25"/>
      <c r="H12299" s="24" t="str">
        <f>IFERROR(VLOOKUP(B12299,material!A:D,3,0),"")</f>
        <v/>
      </c>
    </row>
    <row r="12300" ht="11.25" customHeight="1">
      <c r="A12300" s="21"/>
      <c r="B12300" s="22"/>
      <c r="C12300" s="21"/>
      <c r="D12300" s="21"/>
      <c r="E12300" s="21"/>
      <c r="F12300" s="21"/>
      <c r="G12300" s="25"/>
      <c r="H12300" s="24" t="str">
        <f>IFERROR(VLOOKUP(B12300,material!A:D,3,0),"")</f>
        <v/>
      </c>
    </row>
    <row r="12301" ht="11.25" customHeight="1">
      <c r="A12301" s="21"/>
      <c r="B12301" s="22"/>
      <c r="C12301" s="21"/>
      <c r="D12301" s="21"/>
      <c r="E12301" s="21"/>
      <c r="F12301" s="21"/>
      <c r="G12301" s="25"/>
      <c r="H12301" s="24" t="str">
        <f>IFERROR(VLOOKUP(B12301,material!A:D,3,0),"")</f>
        <v/>
      </c>
    </row>
    <row r="12302" ht="11.25" customHeight="1">
      <c r="A12302" s="21"/>
      <c r="B12302" s="22"/>
      <c r="C12302" s="21"/>
      <c r="D12302" s="21"/>
      <c r="E12302" s="21"/>
      <c r="F12302" s="21"/>
      <c r="G12302" s="25"/>
      <c r="H12302" s="24" t="str">
        <f>IFERROR(VLOOKUP(B12302,material!A:D,3,0),"")</f>
        <v/>
      </c>
    </row>
    <row r="12303" ht="11.25" customHeight="1">
      <c r="A12303" s="21"/>
      <c r="B12303" s="22"/>
      <c r="C12303" s="21"/>
      <c r="D12303" s="21"/>
      <c r="E12303" s="21"/>
      <c r="F12303" s="21"/>
      <c r="G12303" s="25"/>
      <c r="H12303" s="24" t="str">
        <f>IFERROR(VLOOKUP(B12303,material!A:D,3,0),"")</f>
        <v/>
      </c>
    </row>
    <row r="12304" ht="11.25" customHeight="1">
      <c r="A12304" s="21"/>
      <c r="B12304" s="22"/>
      <c r="C12304" s="21"/>
      <c r="D12304" s="21"/>
      <c r="E12304" s="21"/>
      <c r="F12304" s="21"/>
      <c r="G12304" s="25"/>
      <c r="H12304" s="24" t="str">
        <f>IFERROR(VLOOKUP(B12304,material!A:D,3,0),"")</f>
        <v/>
      </c>
    </row>
    <row r="12305" ht="11.25" customHeight="1">
      <c r="A12305" s="21"/>
      <c r="B12305" s="22"/>
      <c r="C12305" s="21"/>
      <c r="D12305" s="21"/>
      <c r="E12305" s="21"/>
      <c r="F12305" s="21"/>
      <c r="G12305" s="25"/>
      <c r="H12305" s="24" t="str">
        <f>IFERROR(VLOOKUP(B12305,material!A:D,3,0),"")</f>
        <v/>
      </c>
    </row>
    <row r="12306" ht="11.25" customHeight="1">
      <c r="A12306" s="21"/>
      <c r="B12306" s="22"/>
      <c r="C12306" s="21"/>
      <c r="D12306" s="21"/>
      <c r="E12306" s="21"/>
      <c r="F12306" s="21"/>
      <c r="G12306" s="25"/>
      <c r="H12306" s="24" t="str">
        <f>IFERROR(VLOOKUP(B12306,material!A:D,3,0),"")</f>
        <v/>
      </c>
    </row>
    <row r="12307" ht="11.25" customHeight="1">
      <c r="A12307" s="21"/>
      <c r="B12307" s="22"/>
      <c r="C12307" s="21"/>
      <c r="D12307" s="21"/>
      <c r="E12307" s="21"/>
      <c r="F12307" s="21"/>
      <c r="G12307" s="25"/>
      <c r="H12307" s="24" t="str">
        <f>IFERROR(VLOOKUP(B12307,material!A:D,3,0),"")</f>
        <v/>
      </c>
    </row>
    <row r="12308" ht="11.25" customHeight="1">
      <c r="A12308" s="21"/>
      <c r="B12308" s="22"/>
      <c r="C12308" s="21"/>
      <c r="D12308" s="21"/>
      <c r="E12308" s="21"/>
      <c r="F12308" s="21"/>
      <c r="G12308" s="25"/>
      <c r="H12308" s="24" t="str">
        <f>IFERROR(VLOOKUP(B12308,material!A:D,3,0),"")</f>
        <v/>
      </c>
    </row>
    <row r="12309" ht="11.25" customHeight="1">
      <c r="A12309" s="21"/>
      <c r="B12309" s="22"/>
      <c r="C12309" s="21"/>
      <c r="D12309" s="21"/>
      <c r="E12309" s="21"/>
      <c r="F12309" s="21"/>
      <c r="G12309" s="25"/>
      <c r="H12309" s="24" t="str">
        <f>IFERROR(VLOOKUP(B12309,material!A:D,3,0),"")</f>
        <v/>
      </c>
    </row>
    <row r="12310" ht="11.25" customHeight="1">
      <c r="A12310" s="21"/>
      <c r="B12310" s="22"/>
      <c r="C12310" s="21"/>
      <c r="D12310" s="21"/>
      <c r="E12310" s="21"/>
      <c r="F12310" s="21"/>
      <c r="G12310" s="25"/>
      <c r="H12310" s="24" t="str">
        <f>IFERROR(VLOOKUP(B12310,material!A:D,3,0),"")</f>
        <v/>
      </c>
    </row>
    <row r="12311" ht="11.25" customHeight="1">
      <c r="A12311" s="21"/>
      <c r="B12311" s="22"/>
      <c r="C12311" s="21"/>
      <c r="D12311" s="21"/>
      <c r="E12311" s="21"/>
      <c r="F12311" s="21"/>
      <c r="G12311" s="25"/>
      <c r="H12311" s="24" t="str">
        <f>IFERROR(VLOOKUP(B12311,material!A:D,3,0),"")</f>
        <v/>
      </c>
    </row>
    <row r="12312" ht="11.25" customHeight="1">
      <c r="A12312" s="21"/>
      <c r="B12312" s="22"/>
      <c r="C12312" s="21"/>
      <c r="D12312" s="21"/>
      <c r="E12312" s="21"/>
      <c r="F12312" s="21"/>
      <c r="G12312" s="25"/>
      <c r="H12312" s="24" t="str">
        <f>IFERROR(VLOOKUP(B12312,material!A:D,3,0),"")</f>
        <v/>
      </c>
    </row>
    <row r="12313" ht="11.25" customHeight="1">
      <c r="A12313" s="21"/>
      <c r="B12313" s="22"/>
      <c r="C12313" s="21"/>
      <c r="D12313" s="21"/>
      <c r="E12313" s="21"/>
      <c r="F12313" s="21"/>
      <c r="G12313" s="25"/>
      <c r="H12313" s="24" t="str">
        <f>IFERROR(VLOOKUP(B12313,material!A:D,3,0),"")</f>
        <v/>
      </c>
    </row>
    <row r="12314" ht="11.25" customHeight="1">
      <c r="A12314" s="21"/>
      <c r="B12314" s="22"/>
      <c r="C12314" s="21"/>
      <c r="D12314" s="21"/>
      <c r="E12314" s="21"/>
      <c r="F12314" s="21"/>
      <c r="G12314" s="25"/>
      <c r="H12314" s="24" t="str">
        <f>IFERROR(VLOOKUP(B12314,material!A:D,3,0),"")</f>
        <v/>
      </c>
    </row>
    <row r="12315" ht="11.25" customHeight="1">
      <c r="A12315" s="21"/>
      <c r="B12315" s="22"/>
      <c r="C12315" s="21"/>
      <c r="D12315" s="21"/>
      <c r="E12315" s="21"/>
      <c r="F12315" s="21"/>
      <c r="G12315" s="25"/>
      <c r="H12315" s="24" t="str">
        <f>IFERROR(VLOOKUP(B12315,material!A:D,3,0),"")</f>
        <v/>
      </c>
    </row>
    <row r="12316" ht="11.25" customHeight="1">
      <c r="A12316" s="21"/>
      <c r="B12316" s="22"/>
      <c r="C12316" s="21"/>
      <c r="D12316" s="21"/>
      <c r="E12316" s="21"/>
      <c r="F12316" s="21"/>
      <c r="G12316" s="25"/>
      <c r="H12316" s="24" t="str">
        <f>IFERROR(VLOOKUP(B12316,material!A:D,3,0),"")</f>
        <v/>
      </c>
    </row>
    <row r="12317" ht="11.25" customHeight="1">
      <c r="A12317" s="21"/>
      <c r="B12317" s="22"/>
      <c r="C12317" s="21"/>
      <c r="D12317" s="21"/>
      <c r="E12317" s="21"/>
      <c r="F12317" s="21"/>
      <c r="G12317" s="25"/>
      <c r="H12317" s="24" t="str">
        <f>IFERROR(VLOOKUP(B12317,material!A:D,3,0),"")</f>
        <v/>
      </c>
    </row>
    <row r="12318" ht="11.25" customHeight="1">
      <c r="A12318" s="21"/>
      <c r="B12318" s="22"/>
      <c r="C12318" s="21"/>
      <c r="D12318" s="21"/>
      <c r="E12318" s="21"/>
      <c r="F12318" s="21"/>
      <c r="G12318" s="25"/>
      <c r="H12318" s="24" t="str">
        <f>IFERROR(VLOOKUP(B12318,material!A:D,3,0),"")</f>
        <v/>
      </c>
    </row>
    <row r="12319" ht="11.25" customHeight="1">
      <c r="A12319" s="21"/>
      <c r="B12319" s="22"/>
      <c r="C12319" s="21"/>
      <c r="D12319" s="21"/>
      <c r="E12319" s="21"/>
      <c r="F12319" s="21"/>
      <c r="G12319" s="25"/>
      <c r="H12319" s="24" t="str">
        <f>IFERROR(VLOOKUP(B12319,material!A:D,3,0),"")</f>
        <v/>
      </c>
    </row>
    <row r="12320" ht="11.25" customHeight="1">
      <c r="A12320" s="21"/>
      <c r="B12320" s="22"/>
      <c r="C12320" s="21"/>
      <c r="D12320" s="21"/>
      <c r="E12320" s="21"/>
      <c r="F12320" s="21"/>
      <c r="G12320" s="25"/>
      <c r="H12320" s="24" t="str">
        <f>IFERROR(VLOOKUP(B12320,material!A:D,3,0),"")</f>
        <v/>
      </c>
    </row>
    <row r="12321" ht="11.25" customHeight="1">
      <c r="A12321" s="21"/>
      <c r="B12321" s="22"/>
      <c r="C12321" s="21"/>
      <c r="D12321" s="21"/>
      <c r="E12321" s="21"/>
      <c r="F12321" s="21"/>
      <c r="G12321" s="25"/>
      <c r="H12321" s="24" t="str">
        <f>IFERROR(VLOOKUP(B12321,material!A:D,3,0),"")</f>
        <v/>
      </c>
    </row>
    <row r="12322" ht="11.25" customHeight="1">
      <c r="A12322" s="21"/>
      <c r="B12322" s="22"/>
      <c r="C12322" s="21"/>
      <c r="D12322" s="21"/>
      <c r="E12322" s="21"/>
      <c r="F12322" s="21"/>
      <c r="G12322" s="25"/>
      <c r="H12322" s="24" t="str">
        <f>IFERROR(VLOOKUP(B12322,material!A:D,3,0),"")</f>
        <v/>
      </c>
    </row>
    <row r="12323" ht="11.25" customHeight="1">
      <c r="A12323" s="21"/>
      <c r="B12323" s="22"/>
      <c r="C12323" s="21"/>
      <c r="D12323" s="21"/>
      <c r="E12323" s="21"/>
      <c r="F12323" s="21"/>
      <c r="G12323" s="25"/>
      <c r="H12323" s="24" t="str">
        <f>IFERROR(VLOOKUP(B12323,material!A:D,3,0),"")</f>
        <v/>
      </c>
    </row>
    <row r="12324" ht="11.25" customHeight="1">
      <c r="A12324" s="21"/>
      <c r="B12324" s="22"/>
      <c r="C12324" s="21"/>
      <c r="D12324" s="21"/>
      <c r="E12324" s="21"/>
      <c r="F12324" s="21"/>
      <c r="G12324" s="25"/>
      <c r="H12324" s="24" t="str">
        <f>IFERROR(VLOOKUP(B12324,material!A:D,3,0),"")</f>
        <v/>
      </c>
    </row>
    <row r="12325" ht="11.25" customHeight="1">
      <c r="A12325" s="21"/>
      <c r="B12325" s="22"/>
      <c r="C12325" s="21"/>
      <c r="D12325" s="21"/>
      <c r="E12325" s="21"/>
      <c r="F12325" s="21"/>
      <c r="G12325" s="25"/>
      <c r="H12325" s="24" t="str">
        <f>IFERROR(VLOOKUP(B12325,material!A:D,3,0),"")</f>
        <v/>
      </c>
    </row>
    <row r="12326" ht="11.25" customHeight="1">
      <c r="A12326" s="21"/>
      <c r="B12326" s="22"/>
      <c r="C12326" s="21"/>
      <c r="D12326" s="21"/>
      <c r="E12326" s="21"/>
      <c r="F12326" s="21"/>
      <c r="G12326" s="25"/>
      <c r="H12326" s="24" t="str">
        <f>IFERROR(VLOOKUP(B12326,material!A:D,3,0),"")</f>
        <v/>
      </c>
    </row>
    <row r="12327" ht="11.25" customHeight="1">
      <c r="A12327" s="21"/>
      <c r="B12327" s="22"/>
      <c r="C12327" s="21"/>
      <c r="D12327" s="21"/>
      <c r="E12327" s="21"/>
      <c r="F12327" s="21"/>
      <c r="G12327" s="25"/>
      <c r="H12327" s="24" t="str">
        <f>IFERROR(VLOOKUP(B12327,material!A:D,3,0),"")</f>
        <v/>
      </c>
    </row>
    <row r="12328" ht="11.25" customHeight="1">
      <c r="A12328" s="21"/>
      <c r="B12328" s="22"/>
      <c r="C12328" s="21"/>
      <c r="D12328" s="21"/>
      <c r="E12328" s="21"/>
      <c r="F12328" s="21"/>
      <c r="G12328" s="25"/>
      <c r="H12328" s="24" t="str">
        <f>IFERROR(VLOOKUP(B12328,material!A:D,3,0),"")</f>
        <v/>
      </c>
    </row>
    <row r="12329" ht="11.25" customHeight="1">
      <c r="A12329" s="21"/>
      <c r="B12329" s="22"/>
      <c r="C12329" s="21"/>
      <c r="D12329" s="21"/>
      <c r="E12329" s="21"/>
      <c r="F12329" s="21"/>
      <c r="G12329" s="25"/>
      <c r="H12329" s="24" t="str">
        <f>IFERROR(VLOOKUP(B12329,material!A:D,3,0),"")</f>
        <v/>
      </c>
    </row>
    <row r="12330" ht="11.25" customHeight="1">
      <c r="A12330" s="21"/>
      <c r="B12330" s="22"/>
      <c r="C12330" s="21"/>
      <c r="D12330" s="21"/>
      <c r="E12330" s="21"/>
      <c r="F12330" s="21"/>
      <c r="G12330" s="25"/>
      <c r="H12330" s="24" t="str">
        <f>IFERROR(VLOOKUP(B12330,material!A:D,3,0),"")</f>
        <v/>
      </c>
    </row>
    <row r="12331" ht="11.25" customHeight="1">
      <c r="A12331" s="21"/>
      <c r="B12331" s="22"/>
      <c r="C12331" s="21"/>
      <c r="D12331" s="21"/>
      <c r="E12331" s="21"/>
      <c r="F12331" s="21"/>
      <c r="G12331" s="25"/>
      <c r="H12331" s="24" t="str">
        <f>IFERROR(VLOOKUP(B12331,material!A:D,3,0),"")</f>
        <v/>
      </c>
    </row>
    <row r="12332" ht="11.25" customHeight="1">
      <c r="A12332" s="21"/>
      <c r="B12332" s="22"/>
      <c r="C12332" s="21"/>
      <c r="D12332" s="21"/>
      <c r="E12332" s="21"/>
      <c r="F12332" s="21"/>
      <c r="G12332" s="25"/>
      <c r="H12332" s="24" t="str">
        <f>IFERROR(VLOOKUP(B12332,material!A:D,3,0),"")</f>
        <v/>
      </c>
    </row>
    <row r="12333" ht="11.25" customHeight="1">
      <c r="A12333" s="21"/>
      <c r="B12333" s="22"/>
      <c r="C12333" s="21"/>
      <c r="D12333" s="21"/>
      <c r="E12333" s="21"/>
      <c r="F12333" s="21"/>
      <c r="G12333" s="25"/>
      <c r="H12333" s="24" t="str">
        <f>IFERROR(VLOOKUP(B12333,material!A:D,3,0),"")</f>
        <v/>
      </c>
    </row>
    <row r="12334" ht="11.25" customHeight="1">
      <c r="A12334" s="21"/>
      <c r="B12334" s="22"/>
      <c r="C12334" s="21"/>
      <c r="D12334" s="21"/>
      <c r="E12334" s="21"/>
      <c r="F12334" s="21"/>
      <c r="G12334" s="25"/>
      <c r="H12334" s="24" t="str">
        <f>IFERROR(VLOOKUP(B12334,material!A:D,3,0),"")</f>
        <v/>
      </c>
    </row>
    <row r="12335" ht="11.25" customHeight="1">
      <c r="A12335" s="21"/>
      <c r="B12335" s="22"/>
      <c r="C12335" s="21"/>
      <c r="D12335" s="21"/>
      <c r="E12335" s="21"/>
      <c r="F12335" s="21"/>
      <c r="G12335" s="25"/>
      <c r="H12335" s="24" t="str">
        <f>IFERROR(VLOOKUP(B12335,material!A:D,3,0),"")</f>
        <v/>
      </c>
    </row>
    <row r="12336" ht="11.25" customHeight="1">
      <c r="A12336" s="21"/>
      <c r="B12336" s="22"/>
      <c r="C12336" s="21"/>
      <c r="D12336" s="21"/>
      <c r="E12336" s="21"/>
      <c r="F12336" s="21"/>
      <c r="G12336" s="25"/>
      <c r="H12336" s="24" t="str">
        <f>IFERROR(VLOOKUP(B12336,material!A:D,3,0),"")</f>
        <v/>
      </c>
    </row>
    <row r="12337" ht="11.25" customHeight="1">
      <c r="A12337" s="21"/>
      <c r="B12337" s="22"/>
      <c r="C12337" s="21"/>
      <c r="D12337" s="21"/>
      <c r="E12337" s="21"/>
      <c r="F12337" s="21"/>
      <c r="G12337" s="25"/>
      <c r="H12337" s="24" t="str">
        <f>IFERROR(VLOOKUP(B12337,material!A:D,3,0),"")</f>
        <v/>
      </c>
    </row>
    <row r="12338" ht="11.25" customHeight="1">
      <c r="A12338" s="21"/>
      <c r="B12338" s="22"/>
      <c r="C12338" s="21"/>
      <c r="D12338" s="21"/>
      <c r="E12338" s="21"/>
      <c r="F12338" s="21"/>
      <c r="G12338" s="25"/>
      <c r="H12338" s="24" t="str">
        <f>IFERROR(VLOOKUP(B12338,material!A:D,3,0),"")</f>
        <v/>
      </c>
    </row>
    <row r="12339" ht="11.25" customHeight="1">
      <c r="A12339" s="21"/>
      <c r="B12339" s="22"/>
      <c r="C12339" s="21"/>
      <c r="D12339" s="21"/>
      <c r="E12339" s="21"/>
      <c r="F12339" s="21"/>
      <c r="G12339" s="25"/>
      <c r="H12339" s="24" t="str">
        <f>IFERROR(VLOOKUP(B12339,material!A:D,3,0),"")</f>
        <v/>
      </c>
    </row>
    <row r="12340" ht="11.25" customHeight="1">
      <c r="A12340" s="21"/>
      <c r="B12340" s="22"/>
      <c r="C12340" s="21"/>
      <c r="D12340" s="21"/>
      <c r="E12340" s="21"/>
      <c r="F12340" s="21"/>
      <c r="G12340" s="25"/>
      <c r="H12340" s="24" t="str">
        <f>IFERROR(VLOOKUP(B12340,material!A:D,3,0),"")</f>
        <v/>
      </c>
    </row>
    <row r="12341" ht="11.25" customHeight="1">
      <c r="A12341" s="21"/>
      <c r="B12341" s="22"/>
      <c r="C12341" s="21"/>
      <c r="D12341" s="21"/>
      <c r="E12341" s="21"/>
      <c r="F12341" s="21"/>
      <c r="G12341" s="25"/>
      <c r="H12341" s="24" t="str">
        <f>IFERROR(VLOOKUP(B12341,material!A:D,3,0),"")</f>
        <v/>
      </c>
    </row>
    <row r="12342" ht="11.25" customHeight="1">
      <c r="A12342" s="21"/>
      <c r="B12342" s="22"/>
      <c r="C12342" s="21"/>
      <c r="D12342" s="21"/>
      <c r="E12342" s="21"/>
      <c r="F12342" s="21"/>
      <c r="G12342" s="25"/>
      <c r="H12342" s="24" t="str">
        <f>IFERROR(VLOOKUP(B12342,material!A:D,3,0),"")</f>
        <v/>
      </c>
    </row>
    <row r="12343" ht="11.25" customHeight="1">
      <c r="A12343" s="21"/>
      <c r="B12343" s="22"/>
      <c r="C12343" s="21"/>
      <c r="D12343" s="21"/>
      <c r="E12343" s="21"/>
      <c r="F12343" s="21"/>
      <c r="G12343" s="25"/>
      <c r="H12343" s="24" t="str">
        <f>IFERROR(VLOOKUP(B12343,material!A:D,3,0),"")</f>
        <v/>
      </c>
    </row>
    <row r="12344" ht="11.25" customHeight="1">
      <c r="A12344" s="21"/>
      <c r="B12344" s="22"/>
      <c r="C12344" s="21"/>
      <c r="D12344" s="21"/>
      <c r="E12344" s="21"/>
      <c r="F12344" s="21"/>
      <c r="G12344" s="25"/>
      <c r="H12344" s="24" t="str">
        <f>IFERROR(VLOOKUP(B12344,material!A:D,3,0),"")</f>
        <v/>
      </c>
    </row>
    <row r="12345" ht="11.25" customHeight="1">
      <c r="A12345" s="21"/>
      <c r="B12345" s="22"/>
      <c r="C12345" s="21"/>
      <c r="D12345" s="21"/>
      <c r="E12345" s="21"/>
      <c r="F12345" s="21"/>
      <c r="G12345" s="25"/>
      <c r="H12345" s="24" t="str">
        <f>IFERROR(VLOOKUP(B12345,material!A:D,3,0),"")</f>
        <v/>
      </c>
    </row>
    <row r="12346" ht="11.25" customHeight="1">
      <c r="A12346" s="21"/>
      <c r="B12346" s="22"/>
      <c r="C12346" s="21"/>
      <c r="D12346" s="21"/>
      <c r="E12346" s="21"/>
      <c r="F12346" s="21"/>
      <c r="G12346" s="25"/>
      <c r="H12346" s="24" t="str">
        <f>IFERROR(VLOOKUP(B12346,material!A:D,3,0),"")</f>
        <v/>
      </c>
    </row>
    <row r="12347" ht="11.25" customHeight="1">
      <c r="A12347" s="21"/>
      <c r="B12347" s="22"/>
      <c r="C12347" s="21"/>
      <c r="D12347" s="21"/>
      <c r="E12347" s="21"/>
      <c r="F12347" s="21"/>
      <c r="G12347" s="25"/>
      <c r="H12347" s="24" t="str">
        <f>IFERROR(VLOOKUP(B12347,material!A:D,3,0),"")</f>
        <v/>
      </c>
    </row>
    <row r="12348" ht="11.25" customHeight="1">
      <c r="A12348" s="21"/>
      <c r="B12348" s="22"/>
      <c r="C12348" s="21"/>
      <c r="D12348" s="21"/>
      <c r="E12348" s="21"/>
      <c r="F12348" s="21"/>
      <c r="G12348" s="25"/>
      <c r="H12348" s="24" t="str">
        <f>IFERROR(VLOOKUP(B12348,material!A:D,3,0),"")</f>
        <v/>
      </c>
    </row>
    <row r="12349" ht="11.25" customHeight="1">
      <c r="A12349" s="21"/>
      <c r="B12349" s="22"/>
      <c r="C12349" s="21"/>
      <c r="D12349" s="21"/>
      <c r="E12349" s="21"/>
      <c r="F12349" s="21"/>
      <c r="G12349" s="25"/>
      <c r="H12349" s="24" t="str">
        <f>IFERROR(VLOOKUP(B12349,material!A:D,3,0),"")</f>
        <v/>
      </c>
    </row>
    <row r="12350" ht="11.25" customHeight="1">
      <c r="A12350" s="21"/>
      <c r="B12350" s="22"/>
      <c r="C12350" s="21"/>
      <c r="D12350" s="21"/>
      <c r="E12350" s="21"/>
      <c r="F12350" s="21"/>
      <c r="G12350" s="25"/>
      <c r="H12350" s="24" t="str">
        <f>IFERROR(VLOOKUP(B12350,material!A:D,3,0),"")</f>
        <v/>
      </c>
    </row>
    <row r="12351" ht="11.25" customHeight="1">
      <c r="A12351" s="21"/>
      <c r="B12351" s="22"/>
      <c r="C12351" s="21"/>
      <c r="D12351" s="21"/>
      <c r="E12351" s="21"/>
      <c r="F12351" s="21"/>
      <c r="G12351" s="25"/>
      <c r="H12351" s="24" t="str">
        <f>IFERROR(VLOOKUP(B12351,material!A:D,3,0),"")</f>
        <v/>
      </c>
    </row>
    <row r="12352" ht="11.25" customHeight="1">
      <c r="A12352" s="21"/>
      <c r="B12352" s="22"/>
      <c r="C12352" s="21"/>
      <c r="D12352" s="21"/>
      <c r="E12352" s="21"/>
      <c r="F12352" s="21"/>
      <c r="G12352" s="25"/>
      <c r="H12352" s="24" t="str">
        <f>IFERROR(VLOOKUP(B12352,material!A:D,3,0),"")</f>
        <v/>
      </c>
    </row>
    <row r="12353" ht="11.25" customHeight="1">
      <c r="A12353" s="21"/>
      <c r="B12353" s="22"/>
      <c r="C12353" s="21"/>
      <c r="D12353" s="21"/>
      <c r="E12353" s="21"/>
      <c r="F12353" s="21"/>
      <c r="G12353" s="25"/>
      <c r="H12353" s="24" t="str">
        <f>IFERROR(VLOOKUP(B12353,material!A:D,3,0),"")</f>
        <v/>
      </c>
    </row>
    <row r="12354" ht="11.25" customHeight="1">
      <c r="A12354" s="21"/>
      <c r="B12354" s="22"/>
      <c r="C12354" s="21"/>
      <c r="D12354" s="21"/>
      <c r="E12354" s="21"/>
      <c r="F12354" s="21"/>
      <c r="G12354" s="25"/>
      <c r="H12354" s="24" t="str">
        <f>IFERROR(VLOOKUP(B12354,material!A:D,3,0),"")</f>
        <v/>
      </c>
    </row>
    <row r="12355" ht="11.25" customHeight="1">
      <c r="A12355" s="21"/>
      <c r="B12355" s="22"/>
      <c r="C12355" s="21"/>
      <c r="D12355" s="21"/>
      <c r="E12355" s="21"/>
      <c r="F12355" s="21"/>
      <c r="G12355" s="25"/>
      <c r="H12355" s="24" t="str">
        <f>IFERROR(VLOOKUP(B12355,material!A:D,3,0),"")</f>
        <v/>
      </c>
    </row>
    <row r="12356" ht="11.25" customHeight="1">
      <c r="A12356" s="21"/>
      <c r="B12356" s="22"/>
      <c r="C12356" s="21"/>
      <c r="D12356" s="21"/>
      <c r="E12356" s="21"/>
      <c r="F12356" s="21"/>
      <c r="G12356" s="25"/>
      <c r="H12356" s="24" t="str">
        <f>IFERROR(VLOOKUP(B12356,material!A:D,3,0),"")</f>
        <v/>
      </c>
    </row>
    <row r="12357" ht="11.25" customHeight="1">
      <c r="A12357" s="21"/>
      <c r="B12357" s="22"/>
      <c r="C12357" s="21"/>
      <c r="D12357" s="21"/>
      <c r="E12357" s="21"/>
      <c r="F12357" s="21"/>
      <c r="G12357" s="25"/>
      <c r="H12357" s="24" t="str">
        <f>IFERROR(VLOOKUP(B12357,material!A:D,3,0),"")</f>
        <v/>
      </c>
    </row>
    <row r="12358" ht="11.25" customHeight="1">
      <c r="A12358" s="21"/>
      <c r="B12358" s="22"/>
      <c r="C12358" s="21"/>
      <c r="D12358" s="21"/>
      <c r="E12358" s="21"/>
      <c r="F12358" s="21"/>
      <c r="G12358" s="25"/>
      <c r="H12358" s="24" t="str">
        <f>IFERROR(VLOOKUP(B12358,material!A:D,3,0),"")</f>
        <v/>
      </c>
    </row>
    <row r="12359" ht="11.25" customHeight="1">
      <c r="A12359" s="21"/>
      <c r="B12359" s="22"/>
      <c r="C12359" s="21"/>
      <c r="D12359" s="21"/>
      <c r="E12359" s="21"/>
      <c r="F12359" s="21"/>
      <c r="G12359" s="25"/>
      <c r="H12359" s="24" t="str">
        <f>IFERROR(VLOOKUP(B12359,material!A:D,3,0),"")</f>
        <v/>
      </c>
    </row>
    <row r="12360" ht="11.25" customHeight="1">
      <c r="A12360" s="21"/>
      <c r="B12360" s="22"/>
      <c r="C12360" s="21"/>
      <c r="D12360" s="21"/>
      <c r="E12360" s="21"/>
      <c r="F12360" s="21"/>
      <c r="G12360" s="25"/>
      <c r="H12360" s="24" t="str">
        <f>IFERROR(VLOOKUP(B12360,material!A:D,3,0),"")</f>
        <v/>
      </c>
    </row>
    <row r="12361" ht="11.25" customHeight="1">
      <c r="A12361" s="21"/>
      <c r="B12361" s="22"/>
      <c r="C12361" s="21"/>
      <c r="D12361" s="21"/>
      <c r="E12361" s="21"/>
      <c r="F12361" s="21"/>
      <c r="G12361" s="25"/>
      <c r="H12361" s="24" t="str">
        <f>IFERROR(VLOOKUP(B12361,material!A:D,3,0),"")</f>
        <v/>
      </c>
    </row>
    <row r="12362" ht="11.25" customHeight="1">
      <c r="A12362" s="21"/>
      <c r="B12362" s="22"/>
      <c r="C12362" s="21"/>
      <c r="D12362" s="21"/>
      <c r="E12362" s="21"/>
      <c r="F12362" s="21"/>
      <c r="G12362" s="25"/>
      <c r="H12362" s="24" t="str">
        <f>IFERROR(VLOOKUP(B12362,material!A:D,3,0),"")</f>
        <v/>
      </c>
    </row>
    <row r="12363" ht="11.25" customHeight="1">
      <c r="A12363" s="21"/>
      <c r="B12363" s="22"/>
      <c r="C12363" s="21"/>
      <c r="D12363" s="21"/>
      <c r="E12363" s="21"/>
      <c r="F12363" s="21"/>
      <c r="G12363" s="25"/>
      <c r="H12363" s="24" t="str">
        <f>IFERROR(VLOOKUP(B12363,material!A:D,3,0),"")</f>
        <v/>
      </c>
    </row>
    <row r="12364" ht="11.25" customHeight="1">
      <c r="A12364" s="21"/>
      <c r="B12364" s="22"/>
      <c r="C12364" s="21"/>
      <c r="D12364" s="21"/>
      <c r="E12364" s="21"/>
      <c r="F12364" s="21"/>
      <c r="G12364" s="25"/>
      <c r="H12364" s="24" t="str">
        <f>IFERROR(VLOOKUP(B12364,material!A:D,3,0),"")</f>
        <v/>
      </c>
    </row>
    <row r="12365" ht="11.25" customHeight="1">
      <c r="A12365" s="21"/>
      <c r="B12365" s="22"/>
      <c r="C12365" s="21"/>
      <c r="D12365" s="21"/>
      <c r="E12365" s="21"/>
      <c r="F12365" s="21"/>
      <c r="G12365" s="25"/>
      <c r="H12365" s="24" t="str">
        <f>IFERROR(VLOOKUP(B12365,material!A:D,3,0),"")</f>
        <v/>
      </c>
    </row>
    <row r="12366" ht="11.25" customHeight="1">
      <c r="A12366" s="21"/>
      <c r="B12366" s="22"/>
      <c r="C12366" s="21"/>
      <c r="D12366" s="21"/>
      <c r="E12366" s="21"/>
      <c r="F12366" s="21"/>
      <c r="G12366" s="25"/>
      <c r="H12366" s="24" t="str">
        <f>IFERROR(VLOOKUP(B12366,material!A:D,3,0),"")</f>
        <v/>
      </c>
    </row>
    <row r="12367" ht="11.25" customHeight="1">
      <c r="A12367" s="21"/>
      <c r="B12367" s="22"/>
      <c r="C12367" s="21"/>
      <c r="D12367" s="21"/>
      <c r="E12367" s="21"/>
      <c r="F12367" s="21"/>
      <c r="G12367" s="25"/>
      <c r="H12367" s="24" t="str">
        <f>IFERROR(VLOOKUP(B12367,material!A:D,3,0),"")</f>
        <v/>
      </c>
    </row>
    <row r="12368" ht="11.25" customHeight="1">
      <c r="A12368" s="21"/>
      <c r="B12368" s="22"/>
      <c r="C12368" s="21"/>
      <c r="D12368" s="21"/>
      <c r="E12368" s="21"/>
      <c r="F12368" s="21"/>
      <c r="G12368" s="25"/>
      <c r="H12368" s="24" t="str">
        <f>IFERROR(VLOOKUP(B12368,material!A:D,3,0),"")</f>
        <v/>
      </c>
    </row>
    <row r="12369" ht="11.25" customHeight="1">
      <c r="A12369" s="21"/>
      <c r="B12369" s="22"/>
      <c r="C12369" s="21"/>
      <c r="D12369" s="21"/>
      <c r="E12369" s="21"/>
      <c r="F12369" s="21"/>
      <c r="G12369" s="25"/>
      <c r="H12369" s="24" t="str">
        <f>IFERROR(VLOOKUP(B12369,material!A:D,3,0),"")</f>
        <v/>
      </c>
    </row>
    <row r="12370" ht="11.25" customHeight="1">
      <c r="A12370" s="21"/>
      <c r="B12370" s="22"/>
      <c r="C12370" s="21"/>
      <c r="D12370" s="21"/>
      <c r="E12370" s="21"/>
      <c r="F12370" s="21"/>
      <c r="G12370" s="25"/>
      <c r="H12370" s="24" t="str">
        <f>IFERROR(VLOOKUP(B12370,material!A:D,3,0),"")</f>
        <v/>
      </c>
    </row>
    <row r="12371" ht="11.25" customHeight="1">
      <c r="A12371" s="21"/>
      <c r="B12371" s="22"/>
      <c r="C12371" s="21"/>
      <c r="D12371" s="21"/>
      <c r="E12371" s="21"/>
      <c r="F12371" s="21"/>
      <c r="G12371" s="25"/>
      <c r="H12371" s="24" t="str">
        <f>IFERROR(VLOOKUP(B12371,material!A:D,3,0),"")</f>
        <v/>
      </c>
    </row>
    <row r="12372" ht="11.25" customHeight="1">
      <c r="A12372" s="21"/>
      <c r="B12372" s="22"/>
      <c r="C12372" s="21"/>
      <c r="D12372" s="21"/>
      <c r="E12372" s="21"/>
      <c r="F12372" s="21"/>
      <c r="G12372" s="25"/>
      <c r="H12372" s="24" t="str">
        <f>IFERROR(VLOOKUP(B12372,material!A:D,3,0),"")</f>
        <v/>
      </c>
    </row>
    <row r="12373" ht="11.25" customHeight="1">
      <c r="A12373" s="21"/>
      <c r="B12373" s="22"/>
      <c r="C12373" s="21"/>
      <c r="D12373" s="21"/>
      <c r="E12373" s="21"/>
      <c r="F12373" s="21"/>
      <c r="G12373" s="25"/>
      <c r="H12373" s="24" t="str">
        <f>IFERROR(VLOOKUP(B12373,material!A:D,3,0),"")</f>
        <v/>
      </c>
    </row>
    <row r="12374" ht="11.25" customHeight="1">
      <c r="A12374" s="21"/>
      <c r="B12374" s="22"/>
      <c r="C12374" s="21"/>
      <c r="D12374" s="21"/>
      <c r="E12374" s="21"/>
      <c r="F12374" s="21"/>
      <c r="G12374" s="25"/>
      <c r="H12374" s="24" t="str">
        <f>IFERROR(VLOOKUP(B12374,material!A:D,3,0),"")</f>
        <v/>
      </c>
    </row>
    <row r="12375" ht="11.25" customHeight="1">
      <c r="A12375" s="21"/>
      <c r="B12375" s="22"/>
      <c r="C12375" s="21"/>
      <c r="D12375" s="21"/>
      <c r="E12375" s="21"/>
      <c r="F12375" s="21"/>
      <c r="G12375" s="25"/>
      <c r="H12375" s="24" t="str">
        <f>IFERROR(VLOOKUP(B12375,material!A:D,3,0),"")</f>
        <v/>
      </c>
    </row>
    <row r="12376" ht="11.25" customHeight="1">
      <c r="A12376" s="21"/>
      <c r="B12376" s="22"/>
      <c r="C12376" s="21"/>
      <c r="D12376" s="21"/>
      <c r="E12376" s="21"/>
      <c r="F12376" s="21"/>
      <c r="G12376" s="25"/>
      <c r="H12376" s="24" t="str">
        <f>IFERROR(VLOOKUP(B12376,material!A:D,3,0),"")</f>
        <v/>
      </c>
    </row>
    <row r="12377" ht="11.25" customHeight="1">
      <c r="A12377" s="21"/>
      <c r="B12377" s="22"/>
      <c r="C12377" s="21"/>
      <c r="D12377" s="21"/>
      <c r="E12377" s="21"/>
      <c r="F12377" s="21"/>
      <c r="G12377" s="25"/>
      <c r="H12377" s="24" t="str">
        <f>IFERROR(VLOOKUP(B12377,material!A:D,3,0),"")</f>
        <v/>
      </c>
    </row>
    <row r="12378" ht="11.25" customHeight="1">
      <c r="A12378" s="21"/>
      <c r="B12378" s="22"/>
      <c r="C12378" s="21"/>
      <c r="D12378" s="21"/>
      <c r="E12378" s="21"/>
      <c r="F12378" s="21"/>
      <c r="G12378" s="25"/>
      <c r="H12378" s="24" t="str">
        <f>IFERROR(VLOOKUP(B12378,material!A:D,3,0),"")</f>
        <v/>
      </c>
    </row>
    <row r="12379" ht="11.25" customHeight="1">
      <c r="A12379" s="21"/>
      <c r="B12379" s="22"/>
      <c r="C12379" s="21"/>
      <c r="D12379" s="21"/>
      <c r="E12379" s="21"/>
      <c r="F12379" s="21"/>
      <c r="G12379" s="25"/>
      <c r="H12379" s="24" t="str">
        <f>IFERROR(VLOOKUP(B12379,material!A:D,3,0),"")</f>
        <v/>
      </c>
    </row>
    <row r="12380" ht="11.25" customHeight="1">
      <c r="A12380" s="21"/>
      <c r="B12380" s="22"/>
      <c r="C12380" s="21"/>
      <c r="D12380" s="21"/>
      <c r="E12380" s="21"/>
      <c r="F12380" s="21"/>
      <c r="G12380" s="25"/>
      <c r="H12380" s="24" t="str">
        <f>IFERROR(VLOOKUP(B12380,material!A:D,3,0),"")</f>
        <v/>
      </c>
    </row>
    <row r="12381" ht="11.25" customHeight="1">
      <c r="A12381" s="21"/>
      <c r="B12381" s="22"/>
      <c r="C12381" s="21"/>
      <c r="D12381" s="21"/>
      <c r="E12381" s="21"/>
      <c r="F12381" s="21"/>
      <c r="G12381" s="25"/>
      <c r="H12381" s="24" t="str">
        <f>IFERROR(VLOOKUP(B12381,material!A:D,3,0),"")</f>
        <v/>
      </c>
    </row>
    <row r="12382" ht="11.25" customHeight="1">
      <c r="A12382" s="21"/>
      <c r="B12382" s="22"/>
      <c r="C12382" s="21"/>
      <c r="D12382" s="21"/>
      <c r="E12382" s="21"/>
      <c r="F12382" s="21"/>
      <c r="G12382" s="25"/>
      <c r="H12382" s="24" t="str">
        <f>IFERROR(VLOOKUP(B12382,material!A:D,3,0),"")</f>
        <v/>
      </c>
    </row>
    <row r="12383" ht="11.25" customHeight="1">
      <c r="A12383" s="21"/>
      <c r="B12383" s="22"/>
      <c r="C12383" s="21"/>
      <c r="D12383" s="21"/>
      <c r="E12383" s="21"/>
      <c r="F12383" s="21"/>
      <c r="G12383" s="25"/>
      <c r="H12383" s="24" t="str">
        <f>IFERROR(VLOOKUP(B12383,material!A:D,3,0),"")</f>
        <v/>
      </c>
    </row>
    <row r="12384" ht="11.25" customHeight="1">
      <c r="A12384" s="21"/>
      <c r="B12384" s="22"/>
      <c r="C12384" s="21"/>
      <c r="D12384" s="21"/>
      <c r="E12384" s="21"/>
      <c r="F12384" s="21"/>
      <c r="G12384" s="25"/>
      <c r="H12384" s="24" t="str">
        <f>IFERROR(VLOOKUP(B12384,material!A:D,3,0),"")</f>
        <v/>
      </c>
    </row>
    <row r="12385" ht="11.25" customHeight="1">
      <c r="A12385" s="21"/>
      <c r="B12385" s="22"/>
      <c r="C12385" s="21"/>
      <c r="D12385" s="21"/>
      <c r="E12385" s="21"/>
      <c r="F12385" s="21"/>
      <c r="G12385" s="25"/>
      <c r="H12385" s="24" t="str">
        <f>IFERROR(VLOOKUP(B12385,material!A:D,3,0),"")</f>
        <v/>
      </c>
    </row>
    <row r="12386" ht="11.25" customHeight="1">
      <c r="A12386" s="21"/>
      <c r="B12386" s="22"/>
      <c r="C12386" s="21"/>
      <c r="D12386" s="21"/>
      <c r="E12386" s="21"/>
      <c r="F12386" s="21"/>
      <c r="G12386" s="25"/>
      <c r="H12386" s="24" t="str">
        <f>IFERROR(VLOOKUP(B12386,material!A:D,3,0),"")</f>
        <v/>
      </c>
    </row>
    <row r="12387" ht="11.25" customHeight="1">
      <c r="A12387" s="21"/>
      <c r="B12387" s="22"/>
      <c r="C12387" s="21"/>
      <c r="D12387" s="21"/>
      <c r="E12387" s="21"/>
      <c r="F12387" s="21"/>
      <c r="G12387" s="25"/>
      <c r="H12387" s="24" t="str">
        <f>IFERROR(VLOOKUP(B12387,material!A:D,3,0),"")</f>
        <v/>
      </c>
    </row>
    <row r="12388" ht="11.25" customHeight="1">
      <c r="A12388" s="21"/>
      <c r="B12388" s="22"/>
      <c r="C12388" s="21"/>
      <c r="D12388" s="21"/>
      <c r="E12388" s="21"/>
      <c r="F12388" s="21"/>
      <c r="G12388" s="25"/>
      <c r="H12388" s="24" t="str">
        <f>IFERROR(VLOOKUP(B12388,material!A:D,3,0),"")</f>
        <v/>
      </c>
    </row>
    <row r="12389" ht="11.25" customHeight="1">
      <c r="A12389" s="21"/>
      <c r="B12389" s="22"/>
      <c r="C12389" s="21"/>
      <c r="D12389" s="21"/>
      <c r="E12389" s="21"/>
      <c r="F12389" s="21"/>
      <c r="G12389" s="25"/>
      <c r="H12389" s="24" t="str">
        <f>IFERROR(VLOOKUP(B12389,material!A:D,3,0),"")</f>
        <v/>
      </c>
    </row>
    <row r="12390" ht="11.25" customHeight="1">
      <c r="A12390" s="21"/>
      <c r="B12390" s="22"/>
      <c r="C12390" s="21"/>
      <c r="D12390" s="21"/>
      <c r="E12390" s="21"/>
      <c r="F12390" s="21"/>
      <c r="G12390" s="25"/>
      <c r="H12390" s="24" t="str">
        <f>IFERROR(VLOOKUP(B12390,material!A:D,3,0),"")</f>
        <v/>
      </c>
    </row>
    <row r="12391" ht="11.25" customHeight="1">
      <c r="A12391" s="21"/>
      <c r="B12391" s="22"/>
      <c r="C12391" s="21"/>
      <c r="D12391" s="21"/>
      <c r="E12391" s="21"/>
      <c r="F12391" s="21"/>
      <c r="G12391" s="25"/>
      <c r="H12391" s="24" t="str">
        <f>IFERROR(VLOOKUP(B12391,material!A:D,3,0),"")</f>
        <v/>
      </c>
    </row>
    <row r="12392" ht="11.25" customHeight="1">
      <c r="A12392" s="21"/>
      <c r="B12392" s="22"/>
      <c r="C12392" s="21"/>
      <c r="D12392" s="21"/>
      <c r="E12392" s="21"/>
      <c r="F12392" s="21"/>
      <c r="G12392" s="25"/>
      <c r="H12392" s="24" t="str">
        <f>IFERROR(VLOOKUP(B12392,material!A:D,3,0),"")</f>
        <v/>
      </c>
    </row>
    <row r="12393" ht="11.25" customHeight="1">
      <c r="A12393" s="21"/>
      <c r="B12393" s="22"/>
      <c r="C12393" s="21"/>
      <c r="D12393" s="21"/>
      <c r="E12393" s="21"/>
      <c r="F12393" s="21"/>
      <c r="G12393" s="25"/>
      <c r="H12393" s="24" t="str">
        <f>IFERROR(VLOOKUP(B12393,material!A:D,3,0),"")</f>
        <v/>
      </c>
    </row>
    <row r="12394" ht="11.25" customHeight="1">
      <c r="A12394" s="21"/>
      <c r="B12394" s="22"/>
      <c r="C12394" s="21"/>
      <c r="D12394" s="21"/>
      <c r="E12394" s="21"/>
      <c r="F12394" s="21"/>
      <c r="G12394" s="25"/>
      <c r="H12394" s="24" t="str">
        <f>IFERROR(VLOOKUP(B12394,material!A:D,3,0),"")</f>
        <v/>
      </c>
    </row>
    <row r="12395" ht="11.25" customHeight="1">
      <c r="A12395" s="21"/>
      <c r="B12395" s="22"/>
      <c r="C12395" s="21"/>
      <c r="D12395" s="21"/>
      <c r="E12395" s="21"/>
      <c r="F12395" s="21"/>
      <c r="G12395" s="25"/>
      <c r="H12395" s="24" t="str">
        <f>IFERROR(VLOOKUP(B12395,material!A:D,3,0),"")</f>
        <v/>
      </c>
    </row>
    <row r="12396" ht="11.25" customHeight="1">
      <c r="A12396" s="21"/>
      <c r="B12396" s="22"/>
      <c r="C12396" s="21"/>
      <c r="D12396" s="21"/>
      <c r="E12396" s="21"/>
      <c r="F12396" s="21"/>
      <c r="G12396" s="25"/>
      <c r="H12396" s="24" t="str">
        <f>IFERROR(VLOOKUP(B12396,material!A:D,3,0),"")</f>
        <v/>
      </c>
    </row>
    <row r="12397" ht="11.25" customHeight="1">
      <c r="A12397" s="21"/>
      <c r="B12397" s="22"/>
      <c r="C12397" s="21"/>
      <c r="D12397" s="21"/>
      <c r="E12397" s="21"/>
      <c r="F12397" s="21"/>
      <c r="G12397" s="25"/>
      <c r="H12397" s="24" t="str">
        <f>IFERROR(VLOOKUP(B12397,material!A:D,3,0),"")</f>
        <v/>
      </c>
    </row>
    <row r="12398" ht="11.25" customHeight="1">
      <c r="A12398" s="21"/>
      <c r="B12398" s="22"/>
      <c r="C12398" s="21"/>
      <c r="D12398" s="21"/>
      <c r="E12398" s="21"/>
      <c r="F12398" s="21"/>
      <c r="G12398" s="25"/>
      <c r="H12398" s="24" t="str">
        <f>IFERROR(VLOOKUP(B12398,material!A:D,3,0),"")</f>
        <v/>
      </c>
    </row>
    <row r="12399" ht="11.25" customHeight="1">
      <c r="A12399" s="21"/>
      <c r="B12399" s="22"/>
      <c r="C12399" s="21"/>
      <c r="D12399" s="21"/>
      <c r="E12399" s="21"/>
      <c r="F12399" s="21"/>
      <c r="G12399" s="25"/>
      <c r="H12399" s="24" t="str">
        <f>IFERROR(VLOOKUP(B12399,material!A:D,3,0),"")</f>
        <v/>
      </c>
    </row>
    <row r="12400" ht="11.25" customHeight="1">
      <c r="A12400" s="21"/>
      <c r="B12400" s="22"/>
      <c r="C12400" s="21"/>
      <c r="D12400" s="21"/>
      <c r="E12400" s="21"/>
      <c r="F12400" s="21"/>
      <c r="G12400" s="25"/>
      <c r="H12400" s="24" t="str">
        <f>IFERROR(VLOOKUP(B12400,material!A:D,3,0),"")</f>
        <v/>
      </c>
    </row>
    <row r="12401" ht="11.25" customHeight="1">
      <c r="A12401" s="21"/>
      <c r="B12401" s="22"/>
      <c r="C12401" s="21"/>
      <c r="D12401" s="21"/>
      <c r="E12401" s="21"/>
      <c r="F12401" s="21"/>
      <c r="G12401" s="25"/>
      <c r="H12401" s="24" t="str">
        <f>IFERROR(VLOOKUP(B12401,material!A:D,3,0),"")</f>
        <v/>
      </c>
    </row>
    <row r="12402" ht="11.25" customHeight="1">
      <c r="A12402" s="21"/>
      <c r="B12402" s="22"/>
      <c r="C12402" s="21"/>
      <c r="D12402" s="21"/>
      <c r="E12402" s="21"/>
      <c r="F12402" s="21"/>
      <c r="G12402" s="25"/>
      <c r="H12402" s="24" t="str">
        <f>IFERROR(VLOOKUP(B12402,material!A:D,3,0),"")</f>
        <v/>
      </c>
    </row>
    <row r="12403" ht="11.25" customHeight="1">
      <c r="A12403" s="21"/>
      <c r="B12403" s="22"/>
      <c r="C12403" s="21"/>
      <c r="D12403" s="21"/>
      <c r="E12403" s="21"/>
      <c r="F12403" s="21"/>
      <c r="G12403" s="25"/>
      <c r="H12403" s="24" t="str">
        <f>IFERROR(VLOOKUP(B12403,material!A:D,3,0),"")</f>
        <v/>
      </c>
    </row>
    <row r="12404" ht="11.25" customHeight="1">
      <c r="A12404" s="21"/>
      <c r="B12404" s="22"/>
      <c r="C12404" s="21"/>
      <c r="D12404" s="21"/>
      <c r="E12404" s="21"/>
      <c r="F12404" s="21"/>
      <c r="G12404" s="25"/>
      <c r="H12404" s="24" t="str">
        <f>IFERROR(VLOOKUP(B12404,material!A:D,3,0),"")</f>
        <v/>
      </c>
    </row>
    <row r="12405" ht="11.25" customHeight="1">
      <c r="A12405" s="21"/>
      <c r="B12405" s="22"/>
      <c r="C12405" s="21"/>
      <c r="D12405" s="21"/>
      <c r="E12405" s="21"/>
      <c r="F12405" s="21"/>
      <c r="G12405" s="25"/>
      <c r="H12405" s="24" t="str">
        <f>IFERROR(VLOOKUP(B12405,material!A:D,3,0),"")</f>
        <v/>
      </c>
    </row>
    <row r="12406" ht="11.25" customHeight="1">
      <c r="A12406" s="21"/>
      <c r="B12406" s="22"/>
      <c r="C12406" s="21"/>
      <c r="D12406" s="21"/>
      <c r="E12406" s="21"/>
      <c r="F12406" s="21"/>
      <c r="G12406" s="25"/>
      <c r="H12406" s="24" t="str">
        <f>IFERROR(VLOOKUP(B12406,material!A:D,3,0),"")</f>
        <v/>
      </c>
    </row>
    <row r="12407" ht="11.25" customHeight="1">
      <c r="A12407" s="21"/>
      <c r="B12407" s="22"/>
      <c r="C12407" s="21"/>
      <c r="D12407" s="21"/>
      <c r="E12407" s="21"/>
      <c r="F12407" s="21"/>
      <c r="G12407" s="25"/>
      <c r="H12407" s="24" t="str">
        <f>IFERROR(VLOOKUP(B12407,material!A:D,3,0),"")</f>
        <v/>
      </c>
    </row>
    <row r="12408" ht="11.25" customHeight="1">
      <c r="A12408" s="21"/>
      <c r="B12408" s="22"/>
      <c r="C12408" s="21"/>
      <c r="D12408" s="21"/>
      <c r="E12408" s="21"/>
      <c r="F12408" s="21"/>
      <c r="G12408" s="25"/>
      <c r="H12408" s="24" t="str">
        <f>IFERROR(VLOOKUP(B12408,material!A:D,3,0),"")</f>
        <v/>
      </c>
    </row>
    <row r="12409" ht="11.25" customHeight="1">
      <c r="A12409" s="21"/>
      <c r="B12409" s="22"/>
      <c r="C12409" s="21"/>
      <c r="D12409" s="21"/>
      <c r="E12409" s="21"/>
      <c r="F12409" s="21"/>
      <c r="G12409" s="25"/>
      <c r="H12409" s="24" t="str">
        <f>IFERROR(VLOOKUP(B12409,material!A:D,3,0),"")</f>
        <v/>
      </c>
    </row>
    <row r="12410" ht="11.25" customHeight="1">
      <c r="A12410" s="21"/>
      <c r="B12410" s="22"/>
      <c r="C12410" s="21"/>
      <c r="D12410" s="21"/>
      <c r="E12410" s="21"/>
      <c r="F12410" s="21"/>
      <c r="G12410" s="25"/>
      <c r="H12410" s="24" t="str">
        <f>IFERROR(VLOOKUP(B12410,material!A:D,3,0),"")</f>
        <v/>
      </c>
    </row>
    <row r="12411" ht="11.25" customHeight="1">
      <c r="A12411" s="21"/>
      <c r="B12411" s="22"/>
      <c r="C12411" s="21"/>
      <c r="D12411" s="21"/>
      <c r="E12411" s="21"/>
      <c r="F12411" s="21"/>
      <c r="G12411" s="25"/>
      <c r="H12411" s="24" t="str">
        <f>IFERROR(VLOOKUP(B12411,material!A:D,3,0),"")</f>
        <v/>
      </c>
    </row>
    <row r="12412" ht="11.25" customHeight="1">
      <c r="A12412" s="21"/>
      <c r="B12412" s="22"/>
      <c r="C12412" s="21"/>
      <c r="D12412" s="21"/>
      <c r="E12412" s="21"/>
      <c r="F12412" s="21"/>
      <c r="G12412" s="25"/>
      <c r="H12412" s="24" t="str">
        <f>IFERROR(VLOOKUP(B12412,material!A:D,3,0),"")</f>
        <v/>
      </c>
    </row>
    <row r="12413" ht="11.25" customHeight="1">
      <c r="A12413" s="21"/>
      <c r="B12413" s="22"/>
      <c r="C12413" s="21"/>
      <c r="D12413" s="21"/>
      <c r="E12413" s="21"/>
      <c r="F12413" s="21"/>
      <c r="G12413" s="25"/>
      <c r="H12413" s="24" t="str">
        <f>IFERROR(VLOOKUP(B12413,material!A:D,3,0),"")</f>
        <v/>
      </c>
    </row>
    <row r="12414" ht="11.25" customHeight="1">
      <c r="A12414" s="21"/>
      <c r="B12414" s="22"/>
      <c r="C12414" s="21"/>
      <c r="D12414" s="21"/>
      <c r="E12414" s="21"/>
      <c r="F12414" s="21"/>
      <c r="G12414" s="25"/>
      <c r="H12414" s="24" t="str">
        <f>IFERROR(VLOOKUP(B12414,material!A:D,3,0),"")</f>
        <v/>
      </c>
    </row>
    <row r="12415" ht="11.25" customHeight="1">
      <c r="A12415" s="21"/>
      <c r="B12415" s="22"/>
      <c r="C12415" s="21"/>
      <c r="D12415" s="21"/>
      <c r="E12415" s="21"/>
      <c r="F12415" s="21"/>
      <c r="G12415" s="25"/>
      <c r="H12415" s="24" t="str">
        <f>IFERROR(VLOOKUP(B12415,material!A:D,3,0),"")</f>
        <v/>
      </c>
    </row>
    <row r="12416" ht="11.25" customHeight="1">
      <c r="A12416" s="21"/>
      <c r="B12416" s="22"/>
      <c r="C12416" s="21"/>
      <c r="D12416" s="21"/>
      <c r="E12416" s="21"/>
      <c r="F12416" s="21"/>
      <c r="G12416" s="25"/>
      <c r="H12416" s="24" t="str">
        <f>IFERROR(VLOOKUP(B12416,material!A:D,3,0),"")</f>
        <v/>
      </c>
    </row>
    <row r="12417" ht="11.25" customHeight="1">
      <c r="A12417" s="21"/>
      <c r="B12417" s="22"/>
      <c r="C12417" s="21"/>
      <c r="D12417" s="21"/>
      <c r="E12417" s="21"/>
      <c r="F12417" s="21"/>
      <c r="G12417" s="25"/>
      <c r="H12417" s="24" t="str">
        <f>IFERROR(VLOOKUP(B12417,material!A:D,3,0),"")</f>
        <v/>
      </c>
    </row>
    <row r="12418" ht="11.25" customHeight="1">
      <c r="A12418" s="21"/>
      <c r="B12418" s="22"/>
      <c r="C12418" s="21"/>
      <c r="D12418" s="21"/>
      <c r="E12418" s="21"/>
      <c r="F12418" s="21"/>
      <c r="G12418" s="25"/>
      <c r="H12418" s="24" t="str">
        <f>IFERROR(VLOOKUP(B12418,material!A:D,3,0),"")</f>
        <v/>
      </c>
    </row>
    <row r="12419" ht="11.25" customHeight="1">
      <c r="A12419" s="21"/>
      <c r="B12419" s="22"/>
      <c r="C12419" s="21"/>
      <c r="D12419" s="21"/>
      <c r="E12419" s="21"/>
      <c r="F12419" s="21"/>
      <c r="G12419" s="25"/>
      <c r="H12419" s="24" t="str">
        <f>IFERROR(VLOOKUP(B12419,material!A:D,3,0),"")</f>
        <v/>
      </c>
    </row>
    <row r="12420" ht="11.25" customHeight="1">
      <c r="A12420" s="21"/>
      <c r="B12420" s="22"/>
      <c r="C12420" s="21"/>
      <c r="D12420" s="21"/>
      <c r="E12420" s="21"/>
      <c r="F12420" s="21"/>
      <c r="G12420" s="25"/>
      <c r="H12420" s="24" t="str">
        <f>IFERROR(VLOOKUP(B12420,material!A:D,3,0),"")</f>
        <v/>
      </c>
    </row>
    <row r="12421" ht="11.25" customHeight="1">
      <c r="A12421" s="21"/>
      <c r="B12421" s="22"/>
      <c r="C12421" s="21"/>
      <c r="D12421" s="21"/>
      <c r="E12421" s="21"/>
      <c r="F12421" s="21"/>
      <c r="G12421" s="25"/>
      <c r="H12421" s="24" t="str">
        <f>IFERROR(VLOOKUP(B12421,material!A:D,3,0),"")</f>
        <v/>
      </c>
    </row>
    <row r="12422" ht="11.25" customHeight="1">
      <c r="A12422" s="21"/>
      <c r="B12422" s="22"/>
      <c r="C12422" s="21"/>
      <c r="D12422" s="21"/>
      <c r="E12422" s="21"/>
      <c r="F12422" s="21"/>
      <c r="G12422" s="25"/>
      <c r="H12422" s="24" t="str">
        <f>IFERROR(VLOOKUP(B12422,material!A:D,3,0),"")</f>
        <v/>
      </c>
    </row>
    <row r="12423" ht="11.25" customHeight="1">
      <c r="A12423" s="21"/>
      <c r="B12423" s="22"/>
      <c r="C12423" s="21"/>
      <c r="D12423" s="21"/>
      <c r="E12423" s="21"/>
      <c r="F12423" s="21"/>
      <c r="G12423" s="25"/>
      <c r="H12423" s="24" t="str">
        <f>IFERROR(VLOOKUP(B12423,material!A:D,3,0),"")</f>
        <v/>
      </c>
    </row>
    <row r="12424" ht="11.25" customHeight="1">
      <c r="A12424" s="21"/>
      <c r="B12424" s="22"/>
      <c r="C12424" s="21"/>
      <c r="D12424" s="21"/>
      <c r="E12424" s="21"/>
      <c r="F12424" s="21"/>
      <c r="G12424" s="25"/>
      <c r="H12424" s="24" t="str">
        <f>IFERROR(VLOOKUP(B12424,material!A:D,3,0),"")</f>
        <v/>
      </c>
    </row>
    <row r="12425" ht="11.25" customHeight="1">
      <c r="A12425" s="21"/>
      <c r="B12425" s="22"/>
      <c r="C12425" s="21"/>
      <c r="D12425" s="21"/>
      <c r="E12425" s="21"/>
      <c r="F12425" s="21"/>
      <c r="G12425" s="25"/>
      <c r="H12425" s="24" t="str">
        <f>IFERROR(VLOOKUP(B12425,material!A:D,3,0),"")</f>
        <v/>
      </c>
    </row>
    <row r="12426" ht="11.25" customHeight="1">
      <c r="A12426" s="21"/>
      <c r="B12426" s="22"/>
      <c r="C12426" s="21"/>
      <c r="D12426" s="21"/>
      <c r="E12426" s="21"/>
      <c r="F12426" s="21"/>
      <c r="G12426" s="25"/>
      <c r="H12426" s="24" t="str">
        <f>IFERROR(VLOOKUP(B12426,material!A:D,3,0),"")</f>
        <v/>
      </c>
    </row>
    <row r="12427" ht="11.25" customHeight="1">
      <c r="A12427" s="21"/>
      <c r="B12427" s="22"/>
      <c r="C12427" s="21"/>
      <c r="D12427" s="21"/>
      <c r="E12427" s="21"/>
      <c r="F12427" s="21"/>
      <c r="G12427" s="25"/>
      <c r="H12427" s="24" t="str">
        <f>IFERROR(VLOOKUP(B12427,material!A:D,3,0),"")</f>
        <v/>
      </c>
    </row>
    <row r="12428" ht="11.25" customHeight="1">
      <c r="A12428" s="21"/>
      <c r="B12428" s="22"/>
      <c r="C12428" s="21"/>
      <c r="D12428" s="21"/>
      <c r="E12428" s="21"/>
      <c r="F12428" s="21"/>
      <c r="G12428" s="25"/>
      <c r="H12428" s="24" t="str">
        <f>IFERROR(VLOOKUP(B12428,material!A:D,3,0),"")</f>
        <v/>
      </c>
    </row>
    <row r="12429" ht="11.25" customHeight="1">
      <c r="A12429" s="21"/>
      <c r="B12429" s="22"/>
      <c r="C12429" s="21"/>
      <c r="D12429" s="21"/>
      <c r="E12429" s="21"/>
      <c r="F12429" s="21"/>
      <c r="G12429" s="25"/>
      <c r="H12429" s="24" t="str">
        <f>IFERROR(VLOOKUP(B12429,material!A:D,3,0),"")</f>
        <v/>
      </c>
    </row>
    <row r="12430" ht="11.25" customHeight="1">
      <c r="A12430" s="21"/>
      <c r="B12430" s="22"/>
      <c r="C12430" s="21"/>
      <c r="D12430" s="21"/>
      <c r="E12430" s="21"/>
      <c r="F12430" s="21"/>
      <c r="G12430" s="25"/>
      <c r="H12430" s="24" t="str">
        <f>IFERROR(VLOOKUP(B12430,material!A:D,3,0),"")</f>
        <v/>
      </c>
    </row>
    <row r="12431" ht="11.25" customHeight="1">
      <c r="A12431" s="21"/>
      <c r="B12431" s="22"/>
      <c r="C12431" s="21"/>
      <c r="D12431" s="21"/>
      <c r="E12431" s="21"/>
      <c r="F12431" s="21"/>
      <c r="G12431" s="25"/>
      <c r="H12431" s="24" t="str">
        <f>IFERROR(VLOOKUP(B12431,material!A:D,3,0),"")</f>
        <v/>
      </c>
    </row>
    <row r="12432" ht="11.25" customHeight="1">
      <c r="A12432" s="21"/>
      <c r="B12432" s="22"/>
      <c r="C12432" s="21"/>
      <c r="D12432" s="21"/>
      <c r="E12432" s="21"/>
      <c r="F12432" s="21"/>
      <c r="G12432" s="25"/>
      <c r="H12432" s="24" t="str">
        <f>IFERROR(VLOOKUP(B12432,material!A:D,3,0),"")</f>
        <v/>
      </c>
    </row>
    <row r="12433" ht="11.25" customHeight="1">
      <c r="A12433" s="21"/>
      <c r="B12433" s="22"/>
      <c r="C12433" s="21"/>
      <c r="D12433" s="21"/>
      <c r="E12433" s="21"/>
      <c r="F12433" s="21"/>
      <c r="G12433" s="25"/>
      <c r="H12433" s="24" t="str">
        <f>IFERROR(VLOOKUP(B12433,material!A:D,3,0),"")</f>
        <v/>
      </c>
    </row>
    <row r="12434" ht="11.25" customHeight="1">
      <c r="A12434" s="21"/>
      <c r="B12434" s="22"/>
      <c r="C12434" s="21"/>
      <c r="D12434" s="21"/>
      <c r="E12434" s="21"/>
      <c r="F12434" s="21"/>
      <c r="G12434" s="25"/>
      <c r="H12434" s="24" t="str">
        <f>IFERROR(VLOOKUP(B12434,material!A:D,3,0),"")</f>
        <v/>
      </c>
    </row>
    <row r="12435" ht="11.25" customHeight="1">
      <c r="A12435" s="21"/>
      <c r="B12435" s="22"/>
      <c r="C12435" s="21"/>
      <c r="D12435" s="21"/>
      <c r="E12435" s="21"/>
      <c r="F12435" s="21"/>
      <c r="G12435" s="25"/>
      <c r="H12435" s="24" t="str">
        <f>IFERROR(VLOOKUP(B12435,material!A:D,3,0),"")</f>
        <v/>
      </c>
    </row>
    <row r="12436" ht="11.25" customHeight="1">
      <c r="A12436" s="21"/>
      <c r="B12436" s="22"/>
      <c r="C12436" s="21"/>
      <c r="D12436" s="21"/>
      <c r="E12436" s="21"/>
      <c r="F12436" s="21"/>
      <c r="G12436" s="25"/>
      <c r="H12436" s="24" t="str">
        <f>IFERROR(VLOOKUP(B12436,material!A:D,3,0),"")</f>
        <v/>
      </c>
    </row>
    <row r="12437" ht="11.25" customHeight="1">
      <c r="A12437" s="21"/>
      <c r="B12437" s="22"/>
      <c r="C12437" s="21"/>
      <c r="D12437" s="21"/>
      <c r="E12437" s="21"/>
      <c r="F12437" s="21"/>
      <c r="G12437" s="25"/>
      <c r="H12437" s="24" t="str">
        <f>IFERROR(VLOOKUP(B12437,material!A:D,3,0),"")</f>
        <v/>
      </c>
    </row>
    <row r="12438" ht="11.25" customHeight="1">
      <c r="A12438" s="21"/>
      <c r="B12438" s="22"/>
      <c r="C12438" s="21"/>
      <c r="D12438" s="21"/>
      <c r="E12438" s="21"/>
      <c r="F12438" s="21"/>
      <c r="G12438" s="25"/>
      <c r="H12438" s="24" t="str">
        <f>IFERROR(VLOOKUP(B12438,material!A:D,3,0),"")</f>
        <v/>
      </c>
    </row>
    <row r="12439" ht="11.25" customHeight="1">
      <c r="A12439" s="21"/>
      <c r="B12439" s="22"/>
      <c r="C12439" s="21"/>
      <c r="D12439" s="21"/>
      <c r="E12439" s="21"/>
      <c r="F12439" s="21"/>
      <c r="G12439" s="25"/>
      <c r="H12439" s="24" t="str">
        <f>IFERROR(VLOOKUP(B12439,material!A:D,3,0),"")</f>
        <v/>
      </c>
    </row>
    <row r="12440" ht="11.25" customHeight="1">
      <c r="A12440" s="21"/>
      <c r="B12440" s="22"/>
      <c r="C12440" s="21"/>
      <c r="D12440" s="21"/>
      <c r="E12440" s="21"/>
      <c r="F12440" s="21"/>
      <c r="G12440" s="25"/>
      <c r="H12440" s="24" t="str">
        <f>IFERROR(VLOOKUP(B12440,material!A:D,3,0),"")</f>
        <v/>
      </c>
    </row>
    <row r="12441" ht="11.25" customHeight="1">
      <c r="A12441" s="21"/>
      <c r="B12441" s="22"/>
      <c r="C12441" s="21"/>
      <c r="D12441" s="21"/>
      <c r="E12441" s="21"/>
      <c r="F12441" s="21"/>
      <c r="G12441" s="25"/>
      <c r="H12441" s="24" t="str">
        <f>IFERROR(VLOOKUP(B12441,material!A:D,3,0),"")</f>
        <v/>
      </c>
    </row>
    <row r="12442" ht="11.25" customHeight="1">
      <c r="A12442" s="21"/>
      <c r="B12442" s="22"/>
      <c r="C12442" s="21"/>
      <c r="D12442" s="21"/>
      <c r="E12442" s="21"/>
      <c r="F12442" s="21"/>
      <c r="G12442" s="25"/>
      <c r="H12442" s="24" t="str">
        <f>IFERROR(VLOOKUP(B12442,material!A:D,3,0),"")</f>
        <v/>
      </c>
    </row>
    <row r="12443" ht="11.25" customHeight="1">
      <c r="A12443" s="21"/>
      <c r="B12443" s="22"/>
      <c r="C12443" s="21"/>
      <c r="D12443" s="21"/>
      <c r="E12443" s="21"/>
      <c r="F12443" s="21"/>
      <c r="G12443" s="25"/>
      <c r="H12443" s="24" t="str">
        <f>IFERROR(VLOOKUP(B12443,material!A:D,3,0),"")</f>
        <v/>
      </c>
    </row>
    <row r="12444" ht="11.25" customHeight="1">
      <c r="A12444" s="21"/>
      <c r="B12444" s="22"/>
      <c r="C12444" s="21"/>
      <c r="D12444" s="21"/>
      <c r="E12444" s="21"/>
      <c r="F12444" s="21"/>
      <c r="G12444" s="25"/>
      <c r="H12444" s="24" t="str">
        <f>IFERROR(VLOOKUP(B12444,material!A:D,3,0),"")</f>
        <v/>
      </c>
    </row>
    <row r="12445" ht="11.25" customHeight="1">
      <c r="A12445" s="21"/>
      <c r="B12445" s="22"/>
      <c r="C12445" s="21"/>
      <c r="D12445" s="21"/>
      <c r="E12445" s="21"/>
      <c r="F12445" s="21"/>
      <c r="G12445" s="25"/>
      <c r="H12445" s="24" t="str">
        <f>IFERROR(VLOOKUP(B12445,material!A:D,3,0),"")</f>
        <v/>
      </c>
    </row>
    <row r="12446" ht="11.25" customHeight="1">
      <c r="A12446" s="21"/>
      <c r="B12446" s="22"/>
      <c r="C12446" s="21"/>
      <c r="D12446" s="21"/>
      <c r="E12446" s="21"/>
      <c r="F12446" s="21"/>
      <c r="G12446" s="25"/>
      <c r="H12446" s="24" t="str">
        <f>IFERROR(VLOOKUP(B12446,material!A:D,3,0),"")</f>
        <v/>
      </c>
    </row>
    <row r="12447" ht="11.25" customHeight="1">
      <c r="A12447" s="21"/>
      <c r="B12447" s="22"/>
      <c r="C12447" s="21"/>
      <c r="D12447" s="21"/>
      <c r="E12447" s="21"/>
      <c r="F12447" s="21"/>
      <c r="G12447" s="25"/>
      <c r="H12447" s="24" t="str">
        <f>IFERROR(VLOOKUP(B12447,material!A:D,3,0),"")</f>
        <v/>
      </c>
    </row>
    <row r="12448" ht="11.25" customHeight="1">
      <c r="A12448" s="21"/>
      <c r="B12448" s="22"/>
      <c r="C12448" s="21"/>
      <c r="D12448" s="21"/>
      <c r="E12448" s="21"/>
      <c r="F12448" s="21"/>
      <c r="G12448" s="25"/>
      <c r="H12448" s="24" t="str">
        <f>IFERROR(VLOOKUP(B12448,material!A:D,3,0),"")</f>
        <v/>
      </c>
    </row>
    <row r="12449" ht="11.25" customHeight="1">
      <c r="A12449" s="21"/>
      <c r="B12449" s="22"/>
      <c r="C12449" s="21"/>
      <c r="D12449" s="21"/>
      <c r="E12449" s="21"/>
      <c r="F12449" s="21"/>
      <c r="G12449" s="25"/>
      <c r="H12449" s="24" t="str">
        <f>IFERROR(VLOOKUP(B12449,material!A:D,3,0),"")</f>
        <v/>
      </c>
    </row>
    <row r="12450" ht="11.25" customHeight="1">
      <c r="A12450" s="21"/>
      <c r="B12450" s="22"/>
      <c r="C12450" s="21"/>
      <c r="D12450" s="21"/>
      <c r="E12450" s="21"/>
      <c r="F12450" s="21"/>
      <c r="G12450" s="25"/>
      <c r="H12450" s="24" t="str">
        <f>IFERROR(VLOOKUP(B12450,material!A:D,3,0),"")</f>
        <v/>
      </c>
    </row>
    <row r="12451" ht="11.25" customHeight="1">
      <c r="A12451" s="21"/>
      <c r="B12451" s="22"/>
      <c r="C12451" s="21"/>
      <c r="D12451" s="21"/>
      <c r="E12451" s="21"/>
      <c r="F12451" s="21"/>
      <c r="G12451" s="25"/>
      <c r="H12451" s="24" t="str">
        <f>IFERROR(VLOOKUP(B12451,material!A:D,3,0),"")</f>
        <v/>
      </c>
    </row>
    <row r="12452" ht="11.25" customHeight="1">
      <c r="A12452" s="21"/>
      <c r="B12452" s="22"/>
      <c r="C12452" s="21"/>
      <c r="D12452" s="21"/>
      <c r="E12452" s="21"/>
      <c r="F12452" s="21"/>
      <c r="G12452" s="25"/>
      <c r="H12452" s="24" t="str">
        <f>IFERROR(VLOOKUP(B12452,material!A:D,3,0),"")</f>
        <v/>
      </c>
    </row>
    <row r="12453" ht="11.25" customHeight="1">
      <c r="A12453" s="21"/>
      <c r="B12453" s="22"/>
      <c r="C12453" s="21"/>
      <c r="D12453" s="21"/>
      <c r="E12453" s="21"/>
      <c r="F12453" s="21"/>
      <c r="G12453" s="25"/>
      <c r="H12453" s="24" t="str">
        <f>IFERROR(VLOOKUP(B12453,material!A:D,3,0),"")</f>
        <v/>
      </c>
    </row>
    <row r="12454" ht="11.25" customHeight="1">
      <c r="A12454" s="21"/>
      <c r="B12454" s="22"/>
      <c r="C12454" s="21"/>
      <c r="D12454" s="21"/>
      <c r="E12454" s="21"/>
      <c r="F12454" s="21"/>
      <c r="G12454" s="25"/>
      <c r="H12454" s="24" t="str">
        <f>IFERROR(VLOOKUP(B12454,material!A:D,3,0),"")</f>
        <v/>
      </c>
    </row>
    <row r="12455" ht="11.25" customHeight="1">
      <c r="A12455" s="21"/>
      <c r="B12455" s="22"/>
      <c r="C12455" s="21"/>
      <c r="D12455" s="21"/>
      <c r="E12455" s="21"/>
      <c r="F12455" s="21"/>
      <c r="G12455" s="25"/>
      <c r="H12455" s="24" t="str">
        <f>IFERROR(VLOOKUP(B12455,material!A:D,3,0),"")</f>
        <v/>
      </c>
    </row>
    <row r="12456" ht="11.25" customHeight="1">
      <c r="A12456" s="21"/>
      <c r="B12456" s="22"/>
      <c r="C12456" s="21"/>
      <c r="D12456" s="21"/>
      <c r="E12456" s="21"/>
      <c r="F12456" s="21"/>
      <c r="G12456" s="25"/>
      <c r="H12456" s="24" t="str">
        <f>IFERROR(VLOOKUP(B12456,material!A:D,3,0),"")</f>
        <v/>
      </c>
    </row>
    <row r="12457" ht="11.25" customHeight="1">
      <c r="A12457" s="21"/>
      <c r="B12457" s="22"/>
      <c r="C12457" s="21"/>
      <c r="D12457" s="21"/>
      <c r="E12457" s="21"/>
      <c r="F12457" s="21"/>
      <c r="G12457" s="25"/>
      <c r="H12457" s="24" t="str">
        <f>IFERROR(VLOOKUP(B12457,material!A:D,3,0),"")</f>
        <v/>
      </c>
    </row>
    <row r="12458" ht="11.25" customHeight="1">
      <c r="A12458" s="21"/>
      <c r="B12458" s="22"/>
      <c r="C12458" s="21"/>
      <c r="D12458" s="21"/>
      <c r="E12458" s="21"/>
      <c r="F12458" s="21"/>
      <c r="G12458" s="25"/>
      <c r="H12458" s="24" t="str">
        <f>IFERROR(VLOOKUP(B12458,material!A:D,3,0),"")</f>
        <v/>
      </c>
    </row>
    <row r="12459" ht="11.25" customHeight="1">
      <c r="A12459" s="21"/>
      <c r="B12459" s="22"/>
      <c r="C12459" s="21"/>
      <c r="D12459" s="21"/>
      <c r="E12459" s="21"/>
      <c r="F12459" s="21"/>
      <c r="G12459" s="25"/>
      <c r="H12459" s="24" t="str">
        <f>IFERROR(VLOOKUP(B12459,material!A:D,3,0),"")</f>
        <v/>
      </c>
    </row>
    <row r="12460" ht="11.25" customHeight="1">
      <c r="A12460" s="21"/>
      <c r="B12460" s="22"/>
      <c r="C12460" s="21"/>
      <c r="D12460" s="21"/>
      <c r="E12460" s="21"/>
      <c r="F12460" s="21"/>
      <c r="G12460" s="25"/>
      <c r="H12460" s="24" t="str">
        <f>IFERROR(VLOOKUP(B12460,material!A:D,3,0),"")</f>
        <v/>
      </c>
    </row>
    <row r="12461" ht="11.25" customHeight="1">
      <c r="A12461" s="21"/>
      <c r="B12461" s="22"/>
      <c r="C12461" s="21"/>
      <c r="D12461" s="21"/>
      <c r="E12461" s="21"/>
      <c r="F12461" s="21"/>
      <c r="G12461" s="25"/>
      <c r="H12461" s="24" t="str">
        <f>IFERROR(VLOOKUP(B12461,material!A:D,3,0),"")</f>
        <v/>
      </c>
    </row>
    <row r="12462" ht="11.25" customHeight="1">
      <c r="A12462" s="21"/>
      <c r="B12462" s="22"/>
      <c r="C12462" s="21"/>
      <c r="D12462" s="21"/>
      <c r="E12462" s="21"/>
      <c r="F12462" s="21"/>
      <c r="G12462" s="25"/>
      <c r="H12462" s="24" t="str">
        <f>IFERROR(VLOOKUP(B12462,material!A:D,3,0),"")</f>
        <v/>
      </c>
    </row>
    <row r="12463" ht="11.25" customHeight="1">
      <c r="A12463" s="21"/>
      <c r="B12463" s="22"/>
      <c r="C12463" s="21"/>
      <c r="D12463" s="21"/>
      <c r="E12463" s="21"/>
      <c r="F12463" s="21"/>
      <c r="G12463" s="25"/>
      <c r="H12463" s="24" t="str">
        <f>IFERROR(VLOOKUP(B12463,material!A:D,3,0),"")</f>
        <v/>
      </c>
    </row>
    <row r="12464" ht="11.25" customHeight="1">
      <c r="A12464" s="21"/>
      <c r="B12464" s="22"/>
      <c r="C12464" s="21"/>
      <c r="D12464" s="21"/>
      <c r="E12464" s="21"/>
      <c r="F12464" s="21"/>
      <c r="G12464" s="25"/>
      <c r="H12464" s="24" t="str">
        <f>IFERROR(VLOOKUP(B12464,material!A:D,3,0),"")</f>
        <v/>
      </c>
    </row>
    <row r="12465" ht="11.25" customHeight="1">
      <c r="A12465" s="21"/>
      <c r="B12465" s="22"/>
      <c r="C12465" s="21"/>
      <c r="D12465" s="21"/>
      <c r="E12465" s="21"/>
      <c r="F12465" s="21"/>
      <c r="G12465" s="25"/>
      <c r="H12465" s="24" t="str">
        <f>IFERROR(VLOOKUP(B12465,material!A:D,3,0),"")</f>
        <v/>
      </c>
    </row>
    <row r="12466" ht="11.25" customHeight="1">
      <c r="A12466" s="21"/>
      <c r="B12466" s="22"/>
      <c r="C12466" s="21"/>
      <c r="D12466" s="21"/>
      <c r="E12466" s="21"/>
      <c r="F12466" s="21"/>
      <c r="G12466" s="25"/>
      <c r="H12466" s="24" t="str">
        <f>IFERROR(VLOOKUP(B12466,material!A:D,3,0),"")</f>
        <v/>
      </c>
    </row>
    <row r="12467" ht="11.25" customHeight="1">
      <c r="A12467" s="21"/>
      <c r="B12467" s="22"/>
      <c r="C12467" s="21"/>
      <c r="D12467" s="21"/>
      <c r="E12467" s="21"/>
      <c r="F12467" s="21"/>
      <c r="G12467" s="25"/>
      <c r="H12467" s="24" t="str">
        <f>IFERROR(VLOOKUP(B12467,material!A:D,3,0),"")</f>
        <v/>
      </c>
    </row>
    <row r="12468" ht="11.25" customHeight="1">
      <c r="A12468" s="21"/>
      <c r="B12468" s="22"/>
      <c r="C12468" s="21"/>
      <c r="D12468" s="21"/>
      <c r="E12468" s="21"/>
      <c r="F12468" s="21"/>
      <c r="G12468" s="25"/>
      <c r="H12468" s="24" t="str">
        <f>IFERROR(VLOOKUP(B12468,material!A:D,3,0),"")</f>
        <v/>
      </c>
    </row>
    <row r="12469" ht="11.25" customHeight="1">
      <c r="A12469" s="21"/>
      <c r="B12469" s="22"/>
      <c r="C12469" s="21"/>
      <c r="D12469" s="21"/>
      <c r="E12469" s="21"/>
      <c r="F12469" s="21"/>
      <c r="G12469" s="25"/>
      <c r="H12469" s="24" t="str">
        <f>IFERROR(VLOOKUP(B12469,material!A:D,3,0),"")</f>
        <v/>
      </c>
    </row>
    <row r="12470" ht="11.25" customHeight="1">
      <c r="A12470" s="21"/>
      <c r="B12470" s="22"/>
      <c r="C12470" s="21"/>
      <c r="D12470" s="21"/>
      <c r="E12470" s="21"/>
      <c r="F12470" s="21"/>
      <c r="G12470" s="25"/>
      <c r="H12470" s="24" t="str">
        <f>IFERROR(VLOOKUP(B12470,material!A:D,3,0),"")</f>
        <v/>
      </c>
    </row>
    <row r="12471" ht="11.25" customHeight="1">
      <c r="A12471" s="21"/>
      <c r="B12471" s="22"/>
      <c r="C12471" s="21"/>
      <c r="D12471" s="21"/>
      <c r="E12471" s="21"/>
      <c r="F12471" s="21"/>
      <c r="G12471" s="25"/>
      <c r="H12471" s="24" t="str">
        <f>IFERROR(VLOOKUP(B12471,material!A:D,3,0),"")</f>
        <v/>
      </c>
    </row>
    <row r="12472" ht="11.25" customHeight="1">
      <c r="A12472" s="21"/>
      <c r="B12472" s="22"/>
      <c r="C12472" s="21"/>
      <c r="D12472" s="21"/>
      <c r="E12472" s="21"/>
      <c r="F12472" s="21"/>
      <c r="G12472" s="25"/>
      <c r="H12472" s="24" t="str">
        <f>IFERROR(VLOOKUP(B12472,material!A:D,3,0),"")</f>
        <v/>
      </c>
    </row>
    <row r="12473" ht="11.25" customHeight="1">
      <c r="A12473" s="21"/>
      <c r="B12473" s="22"/>
      <c r="C12473" s="21"/>
      <c r="D12473" s="21"/>
      <c r="E12473" s="21"/>
      <c r="F12473" s="21"/>
      <c r="G12473" s="25"/>
      <c r="H12473" s="24" t="str">
        <f>IFERROR(VLOOKUP(B12473,material!A:D,3,0),"")</f>
        <v/>
      </c>
    </row>
    <row r="12474" ht="11.25" customHeight="1">
      <c r="A12474" s="21"/>
      <c r="B12474" s="22"/>
      <c r="C12474" s="21"/>
      <c r="D12474" s="21"/>
      <c r="E12474" s="21"/>
      <c r="F12474" s="21"/>
      <c r="G12474" s="25"/>
      <c r="H12474" s="24" t="str">
        <f>IFERROR(VLOOKUP(B12474,material!A:D,3,0),"")</f>
        <v/>
      </c>
    </row>
    <row r="12475" ht="11.25" customHeight="1">
      <c r="A12475" s="21"/>
      <c r="B12475" s="22"/>
      <c r="C12475" s="21"/>
      <c r="D12475" s="21"/>
      <c r="E12475" s="21"/>
      <c r="F12475" s="21"/>
      <c r="G12475" s="25"/>
      <c r="H12475" s="24" t="str">
        <f>IFERROR(VLOOKUP(B12475,material!A:D,3,0),"")</f>
        <v/>
      </c>
    </row>
    <row r="12476" ht="11.25" customHeight="1">
      <c r="A12476" s="21"/>
      <c r="B12476" s="22"/>
      <c r="C12476" s="21"/>
      <c r="D12476" s="21"/>
      <c r="E12476" s="21"/>
      <c r="F12476" s="21"/>
      <c r="G12476" s="25"/>
      <c r="H12476" s="24" t="str">
        <f>IFERROR(VLOOKUP(B12476,material!A:D,3,0),"")</f>
        <v/>
      </c>
    </row>
    <row r="12477" ht="11.25" customHeight="1">
      <c r="A12477" s="21"/>
      <c r="B12477" s="22"/>
      <c r="C12477" s="21"/>
      <c r="D12477" s="21"/>
      <c r="E12477" s="21"/>
      <c r="F12477" s="21"/>
      <c r="G12477" s="25"/>
      <c r="H12477" s="24" t="str">
        <f>IFERROR(VLOOKUP(B12477,material!A:D,3,0),"")</f>
        <v/>
      </c>
    </row>
    <row r="12478" ht="11.25" customHeight="1">
      <c r="A12478" s="21"/>
      <c r="B12478" s="22"/>
      <c r="C12478" s="21"/>
      <c r="D12478" s="21"/>
      <c r="E12478" s="21"/>
      <c r="F12478" s="21"/>
      <c r="G12478" s="25"/>
      <c r="H12478" s="24" t="str">
        <f>IFERROR(VLOOKUP(B12478,material!A:D,3,0),"")</f>
        <v/>
      </c>
    </row>
    <row r="12479" ht="11.25" customHeight="1">
      <c r="A12479" s="21"/>
      <c r="B12479" s="22"/>
      <c r="C12479" s="21"/>
      <c r="D12479" s="21"/>
      <c r="E12479" s="21"/>
      <c r="F12479" s="21"/>
      <c r="G12479" s="25"/>
      <c r="H12479" s="24" t="str">
        <f>IFERROR(VLOOKUP(B12479,material!A:D,3,0),"")</f>
        <v/>
      </c>
    </row>
    <row r="12480" ht="11.25" customHeight="1">
      <c r="A12480" s="21"/>
      <c r="B12480" s="22"/>
      <c r="C12480" s="21"/>
      <c r="D12480" s="21"/>
      <c r="E12480" s="21"/>
      <c r="F12480" s="21"/>
      <c r="G12480" s="25"/>
      <c r="H12480" s="24" t="str">
        <f>IFERROR(VLOOKUP(B12480,material!A:D,3,0),"")</f>
        <v/>
      </c>
    </row>
    <row r="12481" ht="11.25" customHeight="1">
      <c r="A12481" s="21"/>
      <c r="B12481" s="22"/>
      <c r="C12481" s="21"/>
      <c r="D12481" s="21"/>
      <c r="E12481" s="21"/>
      <c r="F12481" s="21"/>
      <c r="G12481" s="25"/>
      <c r="H12481" s="24" t="str">
        <f>IFERROR(VLOOKUP(B12481,material!A:D,3,0),"")</f>
        <v/>
      </c>
    </row>
    <row r="12482" ht="11.25" customHeight="1">
      <c r="A12482" s="21"/>
      <c r="B12482" s="22"/>
      <c r="C12482" s="21"/>
      <c r="D12482" s="21"/>
      <c r="E12482" s="21"/>
      <c r="F12482" s="21"/>
      <c r="G12482" s="25"/>
      <c r="H12482" s="24" t="str">
        <f>IFERROR(VLOOKUP(B12482,material!A:D,3,0),"")</f>
        <v/>
      </c>
    </row>
    <row r="12483" ht="11.25" customHeight="1">
      <c r="A12483" s="21"/>
      <c r="B12483" s="22"/>
      <c r="C12483" s="21"/>
      <c r="D12483" s="21"/>
      <c r="E12483" s="21"/>
      <c r="F12483" s="21"/>
      <c r="G12483" s="25"/>
      <c r="H12483" s="24" t="str">
        <f>IFERROR(VLOOKUP(B12483,material!A:D,3,0),"")</f>
        <v/>
      </c>
    </row>
    <row r="12484" ht="11.25" customHeight="1">
      <c r="A12484" s="21"/>
      <c r="B12484" s="22"/>
      <c r="C12484" s="21"/>
      <c r="D12484" s="21"/>
      <c r="E12484" s="21"/>
      <c r="F12484" s="21"/>
      <c r="G12484" s="25"/>
      <c r="H12484" s="24" t="str">
        <f>IFERROR(VLOOKUP(B12484,material!A:D,3,0),"")</f>
        <v/>
      </c>
    </row>
    <row r="12485" ht="11.25" customHeight="1">
      <c r="A12485" s="21"/>
      <c r="B12485" s="22"/>
      <c r="C12485" s="21"/>
      <c r="D12485" s="21"/>
      <c r="E12485" s="21"/>
      <c r="F12485" s="21"/>
      <c r="G12485" s="25"/>
      <c r="H12485" s="24" t="str">
        <f>IFERROR(VLOOKUP(B12485,material!A:D,3,0),"")</f>
        <v/>
      </c>
    </row>
    <row r="12486" ht="11.25" customHeight="1">
      <c r="A12486" s="21"/>
      <c r="B12486" s="22"/>
      <c r="C12486" s="21"/>
      <c r="D12486" s="21"/>
      <c r="E12486" s="21"/>
      <c r="F12486" s="21"/>
      <c r="G12486" s="25"/>
      <c r="H12486" s="24" t="str">
        <f>IFERROR(VLOOKUP(B12486,material!A:D,3,0),"")</f>
        <v/>
      </c>
    </row>
    <row r="12487" ht="11.25" customHeight="1">
      <c r="A12487" s="21"/>
      <c r="B12487" s="22"/>
      <c r="C12487" s="21"/>
      <c r="D12487" s="21"/>
      <c r="E12487" s="21"/>
      <c r="F12487" s="21"/>
      <c r="G12487" s="25"/>
      <c r="H12487" s="24" t="str">
        <f>IFERROR(VLOOKUP(B12487,material!A:D,3,0),"")</f>
        <v/>
      </c>
    </row>
    <row r="12488" ht="11.25" customHeight="1">
      <c r="A12488" s="21"/>
      <c r="B12488" s="22"/>
      <c r="C12488" s="21"/>
      <c r="D12488" s="21"/>
      <c r="E12488" s="21"/>
      <c r="F12488" s="21"/>
      <c r="G12488" s="25"/>
      <c r="H12488" s="24" t="str">
        <f>IFERROR(VLOOKUP(B12488,material!A:D,3,0),"")</f>
        <v/>
      </c>
    </row>
    <row r="12489" ht="11.25" customHeight="1">
      <c r="A12489" s="21"/>
      <c r="B12489" s="22"/>
      <c r="C12489" s="21"/>
      <c r="D12489" s="21"/>
      <c r="E12489" s="21"/>
      <c r="F12489" s="21"/>
      <c r="G12489" s="25"/>
      <c r="H12489" s="24" t="str">
        <f>IFERROR(VLOOKUP(B12489,material!A:D,3,0),"")</f>
        <v/>
      </c>
    </row>
    <row r="12490" ht="11.25" customHeight="1">
      <c r="A12490" s="21"/>
      <c r="B12490" s="22"/>
      <c r="C12490" s="21"/>
      <c r="D12490" s="21"/>
      <c r="E12490" s="21"/>
      <c r="F12490" s="21"/>
      <c r="G12490" s="25"/>
      <c r="H12490" s="24" t="str">
        <f>IFERROR(VLOOKUP(B12490,material!A:D,3,0),"")</f>
        <v/>
      </c>
    </row>
    <row r="12491" ht="11.25" customHeight="1">
      <c r="A12491" s="21"/>
      <c r="B12491" s="22"/>
      <c r="C12491" s="21"/>
      <c r="D12491" s="21"/>
      <c r="E12491" s="21"/>
      <c r="F12491" s="21"/>
      <c r="G12491" s="25"/>
      <c r="H12491" s="24" t="str">
        <f>IFERROR(VLOOKUP(B12491,material!A:D,3,0),"")</f>
        <v/>
      </c>
    </row>
    <row r="12492" ht="11.25" customHeight="1">
      <c r="A12492" s="21"/>
      <c r="B12492" s="22"/>
      <c r="C12492" s="21"/>
      <c r="D12492" s="21"/>
      <c r="E12492" s="21"/>
      <c r="F12492" s="21"/>
      <c r="G12492" s="25"/>
      <c r="H12492" s="24" t="str">
        <f>IFERROR(VLOOKUP(B12492,material!A:D,3,0),"")</f>
        <v/>
      </c>
    </row>
    <row r="12493" ht="11.25" customHeight="1">
      <c r="A12493" s="21"/>
      <c r="B12493" s="22"/>
      <c r="C12493" s="21"/>
      <c r="D12493" s="21"/>
      <c r="E12493" s="21"/>
      <c r="F12493" s="21"/>
      <c r="G12493" s="25"/>
      <c r="H12493" s="24" t="str">
        <f>IFERROR(VLOOKUP(B12493,material!A:D,3,0),"")</f>
        <v/>
      </c>
    </row>
    <row r="12494" ht="11.25" customHeight="1">
      <c r="A12494" s="21"/>
      <c r="B12494" s="22"/>
      <c r="C12494" s="21"/>
      <c r="D12494" s="21"/>
      <c r="E12494" s="21"/>
      <c r="F12494" s="21"/>
      <c r="G12494" s="25"/>
      <c r="H12494" s="24" t="str">
        <f>IFERROR(VLOOKUP(B12494,material!A:D,3,0),"")</f>
        <v/>
      </c>
    </row>
    <row r="12495" ht="11.25" customHeight="1">
      <c r="A12495" s="21"/>
      <c r="B12495" s="22"/>
      <c r="C12495" s="21"/>
      <c r="D12495" s="21"/>
      <c r="E12495" s="21"/>
      <c r="F12495" s="21"/>
      <c r="G12495" s="25"/>
      <c r="H12495" s="24" t="str">
        <f>IFERROR(VLOOKUP(B12495,material!A:D,3,0),"")</f>
        <v/>
      </c>
    </row>
    <row r="12496" ht="11.25" customHeight="1">
      <c r="A12496" s="21"/>
      <c r="B12496" s="22"/>
      <c r="C12496" s="21"/>
      <c r="D12496" s="21"/>
      <c r="E12496" s="21"/>
      <c r="F12496" s="21"/>
      <c r="G12496" s="25"/>
      <c r="H12496" s="24" t="str">
        <f>IFERROR(VLOOKUP(B12496,material!A:D,3,0),"")</f>
        <v/>
      </c>
    </row>
    <row r="12497" ht="11.25" customHeight="1">
      <c r="A12497" s="21"/>
      <c r="B12497" s="22"/>
      <c r="C12497" s="21"/>
      <c r="D12497" s="21"/>
      <c r="E12497" s="21"/>
      <c r="F12497" s="21"/>
      <c r="G12497" s="25"/>
      <c r="H12497" s="24" t="str">
        <f>IFERROR(VLOOKUP(B12497,material!A:D,3,0),"")</f>
        <v/>
      </c>
    </row>
    <row r="12498" ht="11.25" customHeight="1">
      <c r="A12498" s="21"/>
      <c r="B12498" s="22"/>
      <c r="C12498" s="21"/>
      <c r="D12498" s="21"/>
      <c r="E12498" s="21"/>
      <c r="F12498" s="21"/>
      <c r="G12498" s="25"/>
      <c r="H12498" s="24" t="str">
        <f>IFERROR(VLOOKUP(B12498,material!A:D,3,0),"")</f>
        <v/>
      </c>
    </row>
    <row r="12499" ht="11.25" customHeight="1">
      <c r="A12499" s="21"/>
      <c r="B12499" s="22"/>
      <c r="C12499" s="21"/>
      <c r="D12499" s="21"/>
      <c r="E12499" s="21"/>
      <c r="F12499" s="21"/>
      <c r="G12499" s="25"/>
      <c r="H12499" s="24" t="str">
        <f>IFERROR(VLOOKUP(B12499,material!A:D,3,0),"")</f>
        <v/>
      </c>
    </row>
    <row r="12500" ht="11.25" customHeight="1">
      <c r="A12500" s="21"/>
      <c r="B12500" s="22"/>
      <c r="C12500" s="21"/>
      <c r="D12500" s="21"/>
      <c r="E12500" s="21"/>
      <c r="F12500" s="21"/>
      <c r="G12500" s="25"/>
      <c r="H12500" s="24" t="str">
        <f>IFERROR(VLOOKUP(B12500,material!A:D,3,0),"")</f>
        <v/>
      </c>
    </row>
    <row r="12501" ht="11.25" customHeight="1">
      <c r="A12501" s="21"/>
      <c r="B12501" s="22"/>
      <c r="C12501" s="21"/>
      <c r="D12501" s="21"/>
      <c r="E12501" s="21"/>
      <c r="F12501" s="21"/>
      <c r="G12501" s="25"/>
      <c r="H12501" s="24" t="str">
        <f>IFERROR(VLOOKUP(B12501,material!A:D,3,0),"")</f>
        <v/>
      </c>
    </row>
    <row r="12502" ht="11.25" customHeight="1">
      <c r="A12502" s="21"/>
      <c r="B12502" s="22"/>
      <c r="C12502" s="21"/>
      <c r="D12502" s="21"/>
      <c r="E12502" s="21"/>
      <c r="F12502" s="21"/>
      <c r="G12502" s="25"/>
      <c r="H12502" s="24" t="str">
        <f>IFERROR(VLOOKUP(B12502,material!A:D,3,0),"")</f>
        <v/>
      </c>
    </row>
    <row r="12503" ht="11.25" customHeight="1">
      <c r="A12503" s="21"/>
      <c r="B12503" s="22"/>
      <c r="C12503" s="21"/>
      <c r="D12503" s="21"/>
      <c r="E12503" s="21"/>
      <c r="F12503" s="21"/>
      <c r="G12503" s="25"/>
      <c r="H12503" s="24" t="str">
        <f>IFERROR(VLOOKUP(B12503,material!A:D,3,0),"")</f>
        <v/>
      </c>
    </row>
    <row r="12504" ht="11.25" customHeight="1">
      <c r="A12504" s="21"/>
      <c r="B12504" s="22"/>
      <c r="C12504" s="21"/>
      <c r="D12504" s="21"/>
      <c r="E12504" s="21"/>
      <c r="F12504" s="21"/>
      <c r="G12504" s="25"/>
      <c r="H12504" s="24" t="str">
        <f>IFERROR(VLOOKUP(B12504,material!A:D,3,0),"")</f>
        <v/>
      </c>
    </row>
    <row r="12505" ht="11.25" customHeight="1">
      <c r="A12505" s="21"/>
      <c r="B12505" s="22"/>
      <c r="C12505" s="21"/>
      <c r="D12505" s="21"/>
      <c r="E12505" s="21"/>
      <c r="F12505" s="21"/>
      <c r="G12505" s="25"/>
      <c r="H12505" s="24" t="str">
        <f>IFERROR(VLOOKUP(B12505,material!A:D,3,0),"")</f>
        <v/>
      </c>
    </row>
    <row r="12506" ht="11.25" customHeight="1">
      <c r="A12506" s="21"/>
      <c r="B12506" s="22"/>
      <c r="C12506" s="21"/>
      <c r="D12506" s="21"/>
      <c r="E12506" s="21"/>
      <c r="F12506" s="21"/>
      <c r="G12506" s="25"/>
      <c r="H12506" s="24" t="str">
        <f>IFERROR(VLOOKUP(B12506,material!A:D,3,0),"")</f>
        <v/>
      </c>
    </row>
    <row r="12507" ht="11.25" customHeight="1">
      <c r="A12507" s="21"/>
      <c r="B12507" s="22"/>
      <c r="C12507" s="21"/>
      <c r="D12507" s="21"/>
      <c r="E12507" s="21"/>
      <c r="F12507" s="21"/>
      <c r="G12507" s="25"/>
      <c r="H12507" s="24" t="str">
        <f>IFERROR(VLOOKUP(B12507,material!A:D,3,0),"")</f>
        <v/>
      </c>
    </row>
    <row r="12508" ht="11.25" customHeight="1">
      <c r="A12508" s="21"/>
      <c r="B12508" s="22"/>
      <c r="C12508" s="21"/>
      <c r="D12508" s="21"/>
      <c r="E12508" s="21"/>
      <c r="F12508" s="21"/>
      <c r="G12508" s="25"/>
      <c r="H12508" s="24" t="str">
        <f>IFERROR(VLOOKUP(B12508,material!A:D,3,0),"")</f>
        <v/>
      </c>
    </row>
    <row r="12509" ht="11.25" customHeight="1">
      <c r="A12509" s="21"/>
      <c r="B12509" s="22"/>
      <c r="C12509" s="21"/>
      <c r="D12509" s="21"/>
      <c r="E12509" s="21"/>
      <c r="F12509" s="21"/>
      <c r="G12509" s="25"/>
      <c r="H12509" s="24" t="str">
        <f>IFERROR(VLOOKUP(B12509,material!A:D,3,0),"")</f>
        <v/>
      </c>
    </row>
    <row r="12510" ht="11.25" customHeight="1">
      <c r="A12510" s="21"/>
      <c r="B12510" s="22"/>
      <c r="C12510" s="21"/>
      <c r="D12510" s="21"/>
      <c r="E12510" s="21"/>
      <c r="F12510" s="21"/>
      <c r="G12510" s="25"/>
      <c r="H12510" s="24" t="str">
        <f>IFERROR(VLOOKUP(B12510,material!A:D,3,0),"")</f>
        <v/>
      </c>
    </row>
    <row r="12511" ht="11.25" customHeight="1">
      <c r="A12511" s="21"/>
      <c r="B12511" s="22"/>
      <c r="C12511" s="21"/>
      <c r="D12511" s="21"/>
      <c r="E12511" s="21"/>
      <c r="F12511" s="21"/>
      <c r="G12511" s="25"/>
      <c r="H12511" s="24" t="str">
        <f>IFERROR(VLOOKUP(B12511,material!A:D,3,0),"")</f>
        <v/>
      </c>
    </row>
    <row r="12512" ht="11.25" customHeight="1">
      <c r="A12512" s="21"/>
      <c r="B12512" s="22"/>
      <c r="C12512" s="21"/>
      <c r="D12512" s="21"/>
      <c r="E12512" s="21"/>
      <c r="F12512" s="21"/>
      <c r="G12512" s="25"/>
      <c r="H12512" s="24" t="str">
        <f>IFERROR(VLOOKUP(B12512,material!A:D,3,0),"")</f>
        <v/>
      </c>
    </row>
    <row r="12513" ht="11.25" customHeight="1">
      <c r="A12513" s="21"/>
      <c r="B12513" s="22"/>
      <c r="C12513" s="21"/>
      <c r="D12513" s="21"/>
      <c r="E12513" s="21"/>
      <c r="F12513" s="21"/>
      <c r="G12513" s="25"/>
      <c r="H12513" s="24" t="str">
        <f>IFERROR(VLOOKUP(B12513,material!A:D,3,0),"")</f>
        <v/>
      </c>
    </row>
    <row r="12514" ht="11.25" customHeight="1">
      <c r="A12514" s="21"/>
      <c r="B12514" s="22"/>
      <c r="C12514" s="21"/>
      <c r="D12514" s="21"/>
      <c r="E12514" s="21"/>
      <c r="F12514" s="21"/>
      <c r="G12514" s="25"/>
      <c r="H12514" s="24" t="str">
        <f>IFERROR(VLOOKUP(B12514,material!A:D,3,0),"")</f>
        <v/>
      </c>
    </row>
    <row r="12515" ht="11.25" customHeight="1">
      <c r="A12515" s="21"/>
      <c r="B12515" s="22"/>
      <c r="C12515" s="21"/>
      <c r="D12515" s="21"/>
      <c r="E12515" s="21"/>
      <c r="F12515" s="21"/>
      <c r="G12515" s="25"/>
      <c r="H12515" s="24" t="str">
        <f>IFERROR(VLOOKUP(B12515,material!A:D,3,0),"")</f>
        <v/>
      </c>
    </row>
    <row r="12516" ht="11.25" customHeight="1">
      <c r="A12516" s="21"/>
      <c r="B12516" s="22"/>
      <c r="C12516" s="21"/>
      <c r="D12516" s="21"/>
      <c r="E12516" s="21"/>
      <c r="F12516" s="21"/>
      <c r="G12516" s="25"/>
      <c r="H12516" s="24" t="str">
        <f>IFERROR(VLOOKUP(B12516,material!A:D,3,0),"")</f>
        <v/>
      </c>
    </row>
    <row r="12517" ht="11.25" customHeight="1">
      <c r="A12517" s="21"/>
      <c r="B12517" s="22"/>
      <c r="C12517" s="21"/>
      <c r="D12517" s="21"/>
      <c r="E12517" s="21"/>
      <c r="F12517" s="21"/>
      <c r="G12517" s="25"/>
      <c r="H12517" s="24" t="str">
        <f>IFERROR(VLOOKUP(B12517,material!A:D,3,0),"")</f>
        <v/>
      </c>
    </row>
    <row r="12518" ht="11.25" customHeight="1">
      <c r="A12518" s="21"/>
      <c r="B12518" s="22"/>
      <c r="C12518" s="21"/>
      <c r="D12518" s="21"/>
      <c r="E12518" s="21"/>
      <c r="F12518" s="21"/>
      <c r="G12518" s="25"/>
      <c r="H12518" s="24" t="str">
        <f>IFERROR(VLOOKUP(B12518,material!A:D,3,0),"")</f>
        <v/>
      </c>
    </row>
    <row r="12519" ht="11.25" customHeight="1">
      <c r="A12519" s="21"/>
      <c r="B12519" s="22"/>
      <c r="C12519" s="21"/>
      <c r="D12519" s="21"/>
      <c r="E12519" s="21"/>
      <c r="F12519" s="21"/>
      <c r="G12519" s="25"/>
      <c r="H12519" s="24" t="str">
        <f>IFERROR(VLOOKUP(B12519,material!A:D,3,0),"")</f>
        <v/>
      </c>
    </row>
    <row r="12520" ht="11.25" customHeight="1">
      <c r="A12520" s="21"/>
      <c r="B12520" s="22"/>
      <c r="C12520" s="21"/>
      <c r="D12520" s="21"/>
      <c r="E12520" s="21"/>
      <c r="F12520" s="21"/>
      <c r="G12520" s="25"/>
      <c r="H12520" s="24" t="str">
        <f>IFERROR(VLOOKUP(B12520,material!A:D,3,0),"")</f>
        <v/>
      </c>
    </row>
    <row r="12521" ht="11.25" customHeight="1">
      <c r="A12521" s="21"/>
      <c r="B12521" s="22"/>
      <c r="C12521" s="21"/>
      <c r="D12521" s="21"/>
      <c r="E12521" s="21"/>
      <c r="F12521" s="21"/>
      <c r="G12521" s="25"/>
      <c r="H12521" s="24" t="str">
        <f>IFERROR(VLOOKUP(B12521,material!A:D,3,0),"")</f>
        <v/>
      </c>
    </row>
    <row r="12522" ht="11.25" customHeight="1">
      <c r="A12522" s="21"/>
      <c r="B12522" s="22"/>
      <c r="C12522" s="21"/>
      <c r="D12522" s="21"/>
      <c r="E12522" s="21"/>
      <c r="F12522" s="21"/>
      <c r="G12522" s="25"/>
      <c r="H12522" s="24" t="str">
        <f>IFERROR(VLOOKUP(B12522,material!A:D,3,0),"")</f>
        <v/>
      </c>
    </row>
    <row r="12523" ht="11.25" customHeight="1">
      <c r="A12523" s="21"/>
      <c r="B12523" s="22"/>
      <c r="C12523" s="21"/>
      <c r="D12523" s="21"/>
      <c r="E12523" s="21"/>
      <c r="F12523" s="21"/>
      <c r="G12523" s="25"/>
      <c r="H12523" s="24" t="str">
        <f>IFERROR(VLOOKUP(B12523,material!A:D,3,0),"")</f>
        <v/>
      </c>
    </row>
    <row r="12524" ht="11.25" customHeight="1">
      <c r="A12524" s="21"/>
      <c r="B12524" s="22"/>
      <c r="C12524" s="21"/>
      <c r="D12524" s="21"/>
      <c r="E12524" s="21"/>
      <c r="F12524" s="21"/>
      <c r="G12524" s="25"/>
      <c r="H12524" s="24" t="str">
        <f>IFERROR(VLOOKUP(B12524,material!A:D,3,0),"")</f>
        <v/>
      </c>
    </row>
    <row r="12525" ht="11.25" customHeight="1">
      <c r="A12525" s="21"/>
      <c r="B12525" s="22"/>
      <c r="C12525" s="21"/>
      <c r="D12525" s="21"/>
      <c r="E12525" s="21"/>
      <c r="F12525" s="21"/>
      <c r="G12525" s="25"/>
      <c r="H12525" s="24" t="str">
        <f>IFERROR(VLOOKUP(B12525,material!A:D,3,0),"")</f>
        <v/>
      </c>
    </row>
    <row r="12526" ht="11.25" customHeight="1">
      <c r="A12526" s="21"/>
      <c r="B12526" s="22"/>
      <c r="C12526" s="21"/>
      <c r="D12526" s="21"/>
      <c r="E12526" s="21"/>
      <c r="F12526" s="21"/>
      <c r="G12526" s="25"/>
      <c r="H12526" s="24" t="str">
        <f>IFERROR(VLOOKUP(B12526,material!A:D,3,0),"")</f>
        <v/>
      </c>
    </row>
    <row r="12527" ht="11.25" customHeight="1">
      <c r="A12527" s="21"/>
      <c r="B12527" s="22"/>
      <c r="C12527" s="21"/>
      <c r="D12527" s="21"/>
      <c r="E12527" s="21"/>
      <c r="F12527" s="21"/>
      <c r="G12527" s="25"/>
      <c r="H12527" s="24" t="str">
        <f>IFERROR(VLOOKUP(B12527,material!A:D,3,0),"")</f>
        <v/>
      </c>
    </row>
    <row r="12528" ht="11.25" customHeight="1">
      <c r="A12528" s="21"/>
      <c r="B12528" s="22"/>
      <c r="C12528" s="21"/>
      <c r="D12528" s="21"/>
      <c r="E12528" s="21"/>
      <c r="F12528" s="21"/>
      <c r="G12528" s="25"/>
      <c r="H12528" s="24" t="str">
        <f>IFERROR(VLOOKUP(B12528,material!A:D,3,0),"")</f>
        <v/>
      </c>
    </row>
    <row r="12529" ht="11.25" customHeight="1">
      <c r="A12529" s="21"/>
      <c r="B12529" s="22"/>
      <c r="C12529" s="21"/>
      <c r="D12529" s="21"/>
      <c r="E12529" s="21"/>
      <c r="F12529" s="21"/>
      <c r="G12529" s="25"/>
      <c r="H12529" s="24" t="str">
        <f>IFERROR(VLOOKUP(B12529,material!A:D,3,0),"")</f>
        <v/>
      </c>
    </row>
    <row r="12530" ht="11.25" customHeight="1">
      <c r="A12530" s="21"/>
      <c r="B12530" s="22"/>
      <c r="C12530" s="21"/>
      <c r="D12530" s="21"/>
      <c r="E12530" s="21"/>
      <c r="F12530" s="21"/>
      <c r="G12530" s="25"/>
      <c r="H12530" s="24" t="str">
        <f>IFERROR(VLOOKUP(B12530,material!A:D,3,0),"")</f>
        <v/>
      </c>
    </row>
    <row r="12531" ht="11.25" customHeight="1">
      <c r="A12531" s="21"/>
      <c r="B12531" s="22"/>
      <c r="C12531" s="21"/>
      <c r="D12531" s="21"/>
      <c r="E12531" s="21"/>
      <c r="F12531" s="21"/>
      <c r="G12531" s="25"/>
      <c r="H12531" s="24" t="str">
        <f>IFERROR(VLOOKUP(B12531,material!A:D,3,0),"")</f>
        <v/>
      </c>
    </row>
    <row r="12532" ht="11.25" customHeight="1">
      <c r="A12532" s="21"/>
      <c r="B12532" s="22"/>
      <c r="C12532" s="21"/>
      <c r="D12532" s="21"/>
      <c r="E12532" s="21"/>
      <c r="F12532" s="21"/>
      <c r="G12532" s="25"/>
      <c r="H12532" s="24" t="str">
        <f>IFERROR(VLOOKUP(B12532,material!A:D,3,0),"")</f>
        <v/>
      </c>
    </row>
    <row r="12533" ht="11.25" customHeight="1">
      <c r="A12533" s="21"/>
      <c r="B12533" s="22"/>
      <c r="C12533" s="21"/>
      <c r="D12533" s="21"/>
      <c r="E12533" s="21"/>
      <c r="F12533" s="21"/>
      <c r="G12533" s="25"/>
      <c r="H12533" s="24" t="str">
        <f>IFERROR(VLOOKUP(B12533,material!A:D,3,0),"")</f>
        <v/>
      </c>
    </row>
    <row r="12534" ht="11.25" customHeight="1">
      <c r="A12534" s="21"/>
      <c r="B12534" s="22"/>
      <c r="C12534" s="21"/>
      <c r="D12534" s="21"/>
      <c r="E12534" s="21"/>
      <c r="F12534" s="21"/>
      <c r="G12534" s="25"/>
      <c r="H12534" s="24" t="str">
        <f>IFERROR(VLOOKUP(B12534,material!A:D,3,0),"")</f>
        <v/>
      </c>
    </row>
    <row r="12535" ht="11.25" customHeight="1">
      <c r="A12535" s="21"/>
      <c r="B12535" s="22"/>
      <c r="C12535" s="21"/>
      <c r="D12535" s="21"/>
      <c r="E12535" s="21"/>
      <c r="F12535" s="21"/>
      <c r="G12535" s="25"/>
      <c r="H12535" s="24" t="str">
        <f>IFERROR(VLOOKUP(B12535,material!A:D,3,0),"")</f>
        <v/>
      </c>
    </row>
    <row r="12536" ht="11.25" customHeight="1">
      <c r="A12536" s="21"/>
      <c r="B12536" s="22"/>
      <c r="C12536" s="21"/>
      <c r="D12536" s="21"/>
      <c r="E12536" s="21"/>
      <c r="F12536" s="21"/>
      <c r="G12536" s="25"/>
      <c r="H12536" s="24" t="str">
        <f>IFERROR(VLOOKUP(B12536,material!A:D,3,0),"")</f>
        <v/>
      </c>
    </row>
    <row r="12537" ht="11.25" customHeight="1">
      <c r="A12537" s="21"/>
      <c r="B12537" s="22"/>
      <c r="C12537" s="21"/>
      <c r="D12537" s="21"/>
      <c r="E12537" s="21"/>
      <c r="F12537" s="21"/>
      <c r="G12537" s="25"/>
      <c r="H12537" s="24" t="str">
        <f>IFERROR(VLOOKUP(B12537,material!A:D,3,0),"")</f>
        <v/>
      </c>
    </row>
    <row r="12538" ht="11.25" customHeight="1">
      <c r="A12538" s="21"/>
      <c r="B12538" s="22"/>
      <c r="C12538" s="21"/>
      <c r="D12538" s="21"/>
      <c r="E12538" s="21"/>
      <c r="F12538" s="21"/>
      <c r="G12538" s="25"/>
      <c r="H12538" s="24" t="str">
        <f>IFERROR(VLOOKUP(B12538,material!A:D,3,0),"")</f>
        <v/>
      </c>
    </row>
    <row r="12539" ht="11.25" customHeight="1">
      <c r="A12539" s="21"/>
      <c r="B12539" s="22"/>
      <c r="C12539" s="21"/>
      <c r="D12539" s="21"/>
      <c r="E12539" s="21"/>
      <c r="F12539" s="21"/>
      <c r="G12539" s="25"/>
      <c r="H12539" s="24" t="str">
        <f>IFERROR(VLOOKUP(B12539,material!A:D,3,0),"")</f>
        <v/>
      </c>
    </row>
    <row r="12540" ht="11.25" customHeight="1">
      <c r="A12540" s="21"/>
      <c r="B12540" s="22"/>
      <c r="C12540" s="21"/>
      <c r="D12540" s="21"/>
      <c r="E12540" s="21"/>
      <c r="F12540" s="21"/>
      <c r="G12540" s="25"/>
      <c r="H12540" s="24" t="str">
        <f>IFERROR(VLOOKUP(B12540,material!A:D,3,0),"")</f>
        <v/>
      </c>
    </row>
    <row r="12541" ht="11.25" customHeight="1">
      <c r="A12541" s="21"/>
      <c r="B12541" s="22"/>
      <c r="C12541" s="21"/>
      <c r="D12541" s="21"/>
      <c r="E12541" s="21"/>
      <c r="F12541" s="21"/>
      <c r="G12541" s="25"/>
      <c r="H12541" s="24" t="str">
        <f>IFERROR(VLOOKUP(B12541,material!A:D,3,0),"")</f>
        <v/>
      </c>
    </row>
    <row r="12542" ht="11.25" customHeight="1">
      <c r="A12542" s="21"/>
      <c r="B12542" s="22"/>
      <c r="C12542" s="21"/>
      <c r="D12542" s="21"/>
      <c r="E12542" s="21"/>
      <c r="F12542" s="21"/>
      <c r="G12542" s="25"/>
      <c r="H12542" s="24" t="str">
        <f>IFERROR(VLOOKUP(B12542,material!A:D,3,0),"")</f>
        <v/>
      </c>
    </row>
    <row r="12543" ht="11.25" customHeight="1">
      <c r="A12543" s="21"/>
      <c r="B12543" s="22"/>
      <c r="C12543" s="21"/>
      <c r="D12543" s="21"/>
      <c r="E12543" s="21"/>
      <c r="F12543" s="21"/>
      <c r="G12543" s="25"/>
      <c r="H12543" s="24" t="str">
        <f>IFERROR(VLOOKUP(B12543,material!A:D,3,0),"")</f>
        <v/>
      </c>
    </row>
    <row r="12544" ht="11.25" customHeight="1">
      <c r="A12544" s="21"/>
      <c r="B12544" s="22"/>
      <c r="C12544" s="21"/>
      <c r="D12544" s="21"/>
      <c r="E12544" s="21"/>
      <c r="F12544" s="21"/>
      <c r="G12544" s="25"/>
      <c r="H12544" s="24" t="str">
        <f>IFERROR(VLOOKUP(B12544,material!A:D,3,0),"")</f>
        <v/>
      </c>
    </row>
    <row r="12545" ht="11.25" customHeight="1">
      <c r="A12545" s="21"/>
      <c r="B12545" s="22"/>
      <c r="C12545" s="21"/>
      <c r="D12545" s="21"/>
      <c r="E12545" s="21"/>
      <c r="F12545" s="21"/>
      <c r="G12545" s="25"/>
      <c r="H12545" s="24" t="str">
        <f>IFERROR(VLOOKUP(B12545,material!A:D,3,0),"")</f>
        <v/>
      </c>
    </row>
    <row r="12546" ht="11.25" customHeight="1">
      <c r="A12546" s="21"/>
      <c r="B12546" s="22"/>
      <c r="C12546" s="21"/>
      <c r="D12546" s="21"/>
      <c r="E12546" s="21"/>
      <c r="F12546" s="21"/>
      <c r="G12546" s="25"/>
      <c r="H12546" s="24" t="str">
        <f>IFERROR(VLOOKUP(B12546,material!A:D,3,0),"")</f>
        <v/>
      </c>
    </row>
    <row r="12547" ht="11.25" customHeight="1">
      <c r="A12547" s="21"/>
      <c r="B12547" s="22"/>
      <c r="C12547" s="21"/>
      <c r="D12547" s="21"/>
      <c r="E12547" s="21"/>
      <c r="F12547" s="21"/>
      <c r="G12547" s="25"/>
      <c r="H12547" s="24" t="str">
        <f>IFERROR(VLOOKUP(B12547,material!A:D,3,0),"")</f>
        <v/>
      </c>
    </row>
    <row r="12548" ht="11.25" customHeight="1">
      <c r="A12548" s="21"/>
      <c r="B12548" s="22"/>
      <c r="C12548" s="21"/>
      <c r="D12548" s="21"/>
      <c r="E12548" s="21"/>
      <c r="F12548" s="21"/>
      <c r="G12548" s="25"/>
      <c r="H12548" s="24" t="str">
        <f>IFERROR(VLOOKUP(B12548,material!A:D,3,0),"")</f>
        <v/>
      </c>
    </row>
    <row r="12549" ht="11.25" customHeight="1">
      <c r="A12549" s="21"/>
      <c r="B12549" s="22"/>
      <c r="C12549" s="21"/>
      <c r="D12549" s="21"/>
      <c r="E12549" s="21"/>
      <c r="F12549" s="21"/>
      <c r="G12549" s="25"/>
      <c r="H12549" s="24" t="str">
        <f>IFERROR(VLOOKUP(B12549,material!A:D,3,0),"")</f>
        <v/>
      </c>
    </row>
    <row r="12550" ht="11.25" customHeight="1">
      <c r="A12550" s="21"/>
      <c r="B12550" s="22"/>
      <c r="C12550" s="21"/>
      <c r="D12550" s="21"/>
      <c r="E12550" s="21"/>
      <c r="F12550" s="21"/>
      <c r="G12550" s="25"/>
      <c r="H12550" s="24" t="str">
        <f>IFERROR(VLOOKUP(B12550,material!A:D,3,0),"")</f>
        <v/>
      </c>
    </row>
    <row r="12551" ht="11.25" customHeight="1">
      <c r="A12551" s="21"/>
      <c r="B12551" s="22"/>
      <c r="C12551" s="21"/>
      <c r="D12551" s="21"/>
      <c r="E12551" s="21"/>
      <c r="F12551" s="21"/>
      <c r="G12551" s="25"/>
      <c r="H12551" s="24" t="str">
        <f>IFERROR(VLOOKUP(B12551,material!A:D,3,0),"")</f>
        <v/>
      </c>
    </row>
    <row r="12552" ht="11.25" customHeight="1">
      <c r="A12552" s="21"/>
      <c r="B12552" s="22"/>
      <c r="C12552" s="21"/>
      <c r="D12552" s="21"/>
      <c r="E12552" s="21"/>
      <c r="F12552" s="21"/>
      <c r="G12552" s="25"/>
      <c r="H12552" s="24" t="str">
        <f>IFERROR(VLOOKUP(B12552,material!A:D,3,0),"")</f>
        <v/>
      </c>
    </row>
    <row r="12553" ht="11.25" customHeight="1">
      <c r="A12553" s="21"/>
      <c r="B12553" s="22"/>
      <c r="C12553" s="21"/>
      <c r="D12553" s="21"/>
      <c r="E12553" s="21"/>
      <c r="F12553" s="21"/>
      <c r="G12553" s="25"/>
      <c r="H12553" s="24" t="str">
        <f>IFERROR(VLOOKUP(B12553,material!A:D,3,0),"")</f>
        <v/>
      </c>
    </row>
    <row r="12554" ht="11.25" customHeight="1">
      <c r="A12554" s="21"/>
      <c r="B12554" s="22"/>
      <c r="C12554" s="21"/>
      <c r="D12554" s="21"/>
      <c r="E12554" s="21"/>
      <c r="F12554" s="21"/>
      <c r="G12554" s="25"/>
      <c r="H12554" s="24" t="str">
        <f>IFERROR(VLOOKUP(B12554,material!A:D,3,0),"")</f>
        <v/>
      </c>
    </row>
    <row r="12555" ht="11.25" customHeight="1">
      <c r="A12555" s="21"/>
      <c r="B12555" s="22"/>
      <c r="C12555" s="21"/>
      <c r="D12555" s="21"/>
      <c r="E12555" s="21"/>
      <c r="F12555" s="21"/>
      <c r="G12555" s="25"/>
      <c r="H12555" s="24" t="str">
        <f>IFERROR(VLOOKUP(B12555,material!A:D,3,0),"")</f>
        <v/>
      </c>
    </row>
    <row r="12556" ht="11.25" customHeight="1">
      <c r="A12556" s="21"/>
      <c r="B12556" s="22"/>
      <c r="C12556" s="21"/>
      <c r="D12556" s="21"/>
      <c r="E12556" s="21"/>
      <c r="F12556" s="21"/>
      <c r="G12556" s="25"/>
      <c r="H12556" s="24" t="str">
        <f>IFERROR(VLOOKUP(B12556,material!A:D,3,0),"")</f>
        <v/>
      </c>
    </row>
    <row r="12557" ht="11.25" customHeight="1">
      <c r="A12557" s="21"/>
      <c r="B12557" s="22"/>
      <c r="C12557" s="21"/>
      <c r="D12557" s="21"/>
      <c r="E12557" s="21"/>
      <c r="F12557" s="21"/>
      <c r="G12557" s="25"/>
      <c r="H12557" s="24" t="str">
        <f>IFERROR(VLOOKUP(B12557,material!A:D,3,0),"")</f>
        <v/>
      </c>
    </row>
    <row r="12558" ht="11.25" customHeight="1">
      <c r="A12558" s="21"/>
      <c r="B12558" s="22"/>
      <c r="C12558" s="21"/>
      <c r="D12558" s="21"/>
      <c r="E12558" s="21"/>
      <c r="F12558" s="21"/>
      <c r="G12558" s="25"/>
      <c r="H12558" s="24" t="str">
        <f>IFERROR(VLOOKUP(B12558,material!A:D,3,0),"")</f>
        <v/>
      </c>
    </row>
    <row r="12559" ht="11.25" customHeight="1">
      <c r="A12559" s="21"/>
      <c r="B12559" s="22"/>
      <c r="C12559" s="21"/>
      <c r="D12559" s="21"/>
      <c r="E12559" s="21"/>
      <c r="F12559" s="21"/>
      <c r="G12559" s="25"/>
      <c r="H12559" s="24" t="str">
        <f>IFERROR(VLOOKUP(B12559,material!A:D,3,0),"")</f>
        <v/>
      </c>
    </row>
    <row r="12560" ht="11.25" customHeight="1">
      <c r="A12560" s="21"/>
      <c r="B12560" s="22"/>
      <c r="C12560" s="21"/>
      <c r="D12560" s="21"/>
      <c r="E12560" s="21"/>
      <c r="F12560" s="21"/>
      <c r="G12560" s="25"/>
      <c r="H12560" s="24" t="str">
        <f>IFERROR(VLOOKUP(B12560,material!A:D,3,0),"")</f>
        <v/>
      </c>
    </row>
    <row r="12561" ht="11.25" customHeight="1">
      <c r="A12561" s="21"/>
      <c r="B12561" s="22"/>
      <c r="C12561" s="21"/>
      <c r="D12561" s="21"/>
      <c r="E12561" s="21"/>
      <c r="F12561" s="21"/>
      <c r="G12561" s="25"/>
      <c r="H12561" s="24" t="str">
        <f>IFERROR(VLOOKUP(B12561,material!A:D,3,0),"")</f>
        <v/>
      </c>
    </row>
    <row r="12562" ht="11.25" customHeight="1">
      <c r="A12562" s="21"/>
      <c r="B12562" s="22"/>
      <c r="C12562" s="21"/>
      <c r="D12562" s="21"/>
      <c r="E12562" s="21"/>
      <c r="F12562" s="21"/>
      <c r="G12562" s="25"/>
      <c r="H12562" s="24" t="str">
        <f>IFERROR(VLOOKUP(B12562,material!A:D,3,0),"")</f>
        <v/>
      </c>
    </row>
    <row r="12563" ht="11.25" customHeight="1">
      <c r="A12563" s="21"/>
      <c r="B12563" s="22"/>
      <c r="C12563" s="21"/>
      <c r="D12563" s="21"/>
      <c r="E12563" s="21"/>
      <c r="F12563" s="21"/>
      <c r="G12563" s="25"/>
      <c r="H12563" s="24" t="str">
        <f>IFERROR(VLOOKUP(B12563,material!A:D,3,0),"")</f>
        <v/>
      </c>
    </row>
    <row r="12564" ht="11.25" customHeight="1">
      <c r="A12564" s="21"/>
      <c r="B12564" s="22"/>
      <c r="C12564" s="21"/>
      <c r="D12564" s="21"/>
      <c r="E12564" s="21"/>
      <c r="F12564" s="21"/>
      <c r="G12564" s="25"/>
      <c r="H12564" s="24" t="str">
        <f>IFERROR(VLOOKUP(B12564,material!A:D,3,0),"")</f>
        <v/>
      </c>
    </row>
    <row r="12565" ht="11.25" customHeight="1">
      <c r="A12565" s="21"/>
      <c r="B12565" s="22"/>
      <c r="C12565" s="21"/>
      <c r="D12565" s="21"/>
      <c r="E12565" s="21"/>
      <c r="F12565" s="21"/>
      <c r="G12565" s="25"/>
      <c r="H12565" s="24" t="str">
        <f>IFERROR(VLOOKUP(B12565,material!A:D,3,0),"")</f>
        <v/>
      </c>
    </row>
    <row r="12566" ht="11.25" customHeight="1">
      <c r="A12566" s="21"/>
      <c r="B12566" s="22"/>
      <c r="C12566" s="21"/>
      <c r="D12566" s="21"/>
      <c r="E12566" s="21"/>
      <c r="F12566" s="21"/>
      <c r="G12566" s="25"/>
      <c r="H12566" s="24" t="str">
        <f>IFERROR(VLOOKUP(B12566,material!A:D,3,0),"")</f>
        <v/>
      </c>
    </row>
    <row r="12567" ht="11.25" customHeight="1">
      <c r="A12567" s="21"/>
      <c r="B12567" s="22"/>
      <c r="C12567" s="21"/>
      <c r="D12567" s="21"/>
      <c r="E12567" s="21"/>
      <c r="F12567" s="21"/>
      <c r="G12567" s="25"/>
      <c r="H12567" s="24" t="str">
        <f>IFERROR(VLOOKUP(B12567,material!A:D,3,0),"")</f>
        <v/>
      </c>
    </row>
    <row r="12568" ht="11.25" customHeight="1">
      <c r="A12568" s="21"/>
      <c r="B12568" s="22"/>
      <c r="C12568" s="21"/>
      <c r="D12568" s="21"/>
      <c r="E12568" s="21"/>
      <c r="F12568" s="21"/>
      <c r="G12568" s="25"/>
      <c r="H12568" s="24" t="str">
        <f>IFERROR(VLOOKUP(B12568,material!A:D,3,0),"")</f>
        <v/>
      </c>
    </row>
    <row r="12569" ht="11.25" customHeight="1">
      <c r="A12569" s="21"/>
      <c r="B12569" s="22"/>
      <c r="C12569" s="21"/>
      <c r="D12569" s="21"/>
      <c r="E12569" s="21"/>
      <c r="F12569" s="21"/>
      <c r="G12569" s="25"/>
      <c r="H12569" s="24" t="str">
        <f>IFERROR(VLOOKUP(B12569,material!A:D,3,0),"")</f>
        <v/>
      </c>
    </row>
    <row r="12570" ht="11.25" customHeight="1">
      <c r="A12570" s="21"/>
      <c r="B12570" s="22"/>
      <c r="C12570" s="21"/>
      <c r="D12570" s="21"/>
      <c r="E12570" s="21"/>
      <c r="F12570" s="21"/>
      <c r="G12570" s="25"/>
      <c r="H12570" s="24" t="str">
        <f>IFERROR(VLOOKUP(B12570,material!A:D,3,0),"")</f>
        <v/>
      </c>
    </row>
    <row r="12571" ht="11.25" customHeight="1">
      <c r="A12571" s="21"/>
      <c r="B12571" s="22"/>
      <c r="C12571" s="21"/>
      <c r="D12571" s="21"/>
      <c r="E12571" s="21"/>
      <c r="F12571" s="21"/>
      <c r="G12571" s="25"/>
      <c r="H12571" s="24" t="str">
        <f>IFERROR(VLOOKUP(B12571,material!A:D,3,0),"")</f>
        <v/>
      </c>
    </row>
    <row r="12572" ht="11.25" customHeight="1">
      <c r="A12572" s="21"/>
      <c r="B12572" s="22"/>
      <c r="C12572" s="21"/>
      <c r="D12572" s="21"/>
      <c r="E12572" s="21"/>
      <c r="F12572" s="21"/>
      <c r="G12572" s="25"/>
      <c r="H12572" s="24" t="str">
        <f>IFERROR(VLOOKUP(B12572,material!A:D,3,0),"")</f>
        <v/>
      </c>
    </row>
    <row r="12573" ht="11.25" customHeight="1">
      <c r="A12573" s="21"/>
      <c r="B12573" s="22"/>
      <c r="C12573" s="21"/>
      <c r="D12573" s="21"/>
      <c r="E12573" s="21"/>
      <c r="F12573" s="21"/>
      <c r="G12573" s="25"/>
      <c r="H12573" s="24" t="str">
        <f>IFERROR(VLOOKUP(B12573,material!A:D,3,0),"")</f>
        <v/>
      </c>
    </row>
    <row r="12574" ht="11.25" customHeight="1">
      <c r="A12574" s="21"/>
      <c r="B12574" s="22"/>
      <c r="C12574" s="21"/>
      <c r="D12574" s="21"/>
      <c r="E12574" s="21"/>
      <c r="F12574" s="21"/>
      <c r="G12574" s="25"/>
      <c r="H12574" s="24" t="str">
        <f>IFERROR(VLOOKUP(B12574,material!A:D,3,0),"")</f>
        <v/>
      </c>
    </row>
    <row r="12575" ht="11.25" customHeight="1">
      <c r="A12575" s="21"/>
      <c r="B12575" s="22"/>
      <c r="C12575" s="21"/>
      <c r="D12575" s="21"/>
      <c r="E12575" s="21"/>
      <c r="F12575" s="21"/>
      <c r="G12575" s="25"/>
      <c r="H12575" s="24" t="str">
        <f>IFERROR(VLOOKUP(B12575,material!A:D,3,0),"")</f>
        <v/>
      </c>
    </row>
    <row r="12576" ht="11.25" customHeight="1">
      <c r="A12576" s="21"/>
      <c r="B12576" s="22"/>
      <c r="C12576" s="21"/>
      <c r="D12576" s="21"/>
      <c r="E12576" s="21"/>
      <c r="F12576" s="21"/>
      <c r="G12576" s="25"/>
      <c r="H12576" s="24" t="str">
        <f>IFERROR(VLOOKUP(B12576,material!A:D,3,0),"")</f>
        <v/>
      </c>
    </row>
    <row r="12577" ht="11.25" customHeight="1">
      <c r="A12577" s="21"/>
      <c r="B12577" s="22"/>
      <c r="C12577" s="21"/>
      <c r="D12577" s="21"/>
      <c r="E12577" s="21"/>
      <c r="F12577" s="21"/>
      <c r="G12577" s="25"/>
      <c r="H12577" s="24" t="str">
        <f>IFERROR(VLOOKUP(B12577,material!A:D,3,0),"")</f>
        <v/>
      </c>
    </row>
    <row r="12578" ht="11.25" customHeight="1">
      <c r="A12578" s="21"/>
      <c r="B12578" s="22"/>
      <c r="C12578" s="21"/>
      <c r="D12578" s="21"/>
      <c r="E12578" s="21"/>
      <c r="F12578" s="21"/>
      <c r="G12578" s="25"/>
      <c r="H12578" s="24" t="str">
        <f>IFERROR(VLOOKUP(B12578,material!A:D,3,0),"")</f>
        <v/>
      </c>
    </row>
    <row r="12579" ht="11.25" customHeight="1">
      <c r="A12579" s="21"/>
      <c r="B12579" s="22"/>
      <c r="C12579" s="21"/>
      <c r="D12579" s="21"/>
      <c r="E12579" s="21"/>
      <c r="F12579" s="21"/>
      <c r="G12579" s="25"/>
      <c r="H12579" s="24" t="str">
        <f>IFERROR(VLOOKUP(B12579,material!A:D,3,0),"")</f>
        <v/>
      </c>
    </row>
    <row r="12580" ht="11.25" customHeight="1">
      <c r="A12580" s="21"/>
      <c r="B12580" s="22"/>
      <c r="C12580" s="21"/>
      <c r="D12580" s="21"/>
      <c r="E12580" s="21"/>
      <c r="F12580" s="21"/>
      <c r="G12580" s="25"/>
      <c r="H12580" s="24" t="str">
        <f>IFERROR(VLOOKUP(B12580,material!A:D,3,0),"")</f>
        <v/>
      </c>
    </row>
    <row r="12581" ht="11.25" customHeight="1">
      <c r="A12581" s="21"/>
      <c r="B12581" s="22"/>
      <c r="C12581" s="21"/>
      <c r="D12581" s="21"/>
      <c r="E12581" s="21"/>
      <c r="F12581" s="21"/>
      <c r="G12581" s="25"/>
      <c r="H12581" s="24" t="str">
        <f>IFERROR(VLOOKUP(B12581,material!A:D,3,0),"")</f>
        <v/>
      </c>
    </row>
    <row r="12582" ht="11.25" customHeight="1">
      <c r="A12582" s="21"/>
      <c r="B12582" s="22"/>
      <c r="C12582" s="21"/>
      <c r="D12582" s="21"/>
      <c r="E12582" s="21"/>
      <c r="F12582" s="21"/>
      <c r="G12582" s="25"/>
      <c r="H12582" s="24" t="str">
        <f>IFERROR(VLOOKUP(B12582,material!A:D,3,0),"")</f>
        <v/>
      </c>
    </row>
    <row r="12583" ht="11.25" customHeight="1">
      <c r="A12583" s="21"/>
      <c r="B12583" s="22"/>
      <c r="C12583" s="21"/>
      <c r="D12583" s="21"/>
      <c r="E12583" s="21"/>
      <c r="F12583" s="21"/>
      <c r="G12583" s="25"/>
      <c r="H12583" s="24" t="str">
        <f>IFERROR(VLOOKUP(B12583,material!A:D,3,0),"")</f>
        <v/>
      </c>
    </row>
    <row r="12584" ht="11.25" customHeight="1">
      <c r="A12584" s="21"/>
      <c r="B12584" s="22"/>
      <c r="C12584" s="21"/>
      <c r="D12584" s="21"/>
      <c r="E12584" s="21"/>
      <c r="F12584" s="21"/>
      <c r="G12584" s="25"/>
      <c r="H12584" s="24" t="str">
        <f>IFERROR(VLOOKUP(B12584,material!A:D,3,0),"")</f>
        <v/>
      </c>
    </row>
    <row r="12585" ht="11.25" customHeight="1">
      <c r="A12585" s="21"/>
      <c r="B12585" s="22"/>
      <c r="C12585" s="21"/>
      <c r="D12585" s="21"/>
      <c r="E12585" s="21"/>
      <c r="F12585" s="21"/>
      <c r="G12585" s="25"/>
      <c r="H12585" s="24" t="str">
        <f>IFERROR(VLOOKUP(B12585,material!A:D,3,0),"")</f>
        <v/>
      </c>
    </row>
    <row r="12586" ht="11.25" customHeight="1">
      <c r="A12586" s="21"/>
      <c r="B12586" s="22"/>
      <c r="C12586" s="21"/>
      <c r="D12586" s="21"/>
      <c r="E12586" s="21"/>
      <c r="F12586" s="21"/>
      <c r="G12586" s="25"/>
      <c r="H12586" s="24" t="str">
        <f>IFERROR(VLOOKUP(B12586,material!A:D,3,0),"")</f>
        <v/>
      </c>
    </row>
    <row r="12587" ht="11.25" customHeight="1">
      <c r="A12587" s="21"/>
      <c r="B12587" s="22"/>
      <c r="C12587" s="21"/>
      <c r="D12587" s="21"/>
      <c r="E12587" s="21"/>
      <c r="F12587" s="21"/>
      <c r="G12587" s="25"/>
      <c r="H12587" s="24" t="str">
        <f>IFERROR(VLOOKUP(B12587,material!A:D,3,0),"")</f>
        <v/>
      </c>
    </row>
    <row r="12588" ht="11.25" customHeight="1">
      <c r="A12588" s="21"/>
      <c r="B12588" s="22"/>
      <c r="C12588" s="21"/>
      <c r="D12588" s="21"/>
      <c r="E12588" s="21"/>
      <c r="F12588" s="21"/>
      <c r="G12588" s="25"/>
      <c r="H12588" s="24" t="str">
        <f>IFERROR(VLOOKUP(B12588,material!A:D,3,0),"")</f>
        <v/>
      </c>
    </row>
    <row r="12589" ht="11.25" customHeight="1">
      <c r="A12589" s="21"/>
      <c r="B12589" s="22"/>
      <c r="C12589" s="21"/>
      <c r="D12589" s="21"/>
      <c r="E12589" s="21"/>
      <c r="F12589" s="21"/>
      <c r="G12589" s="25"/>
      <c r="H12589" s="24" t="str">
        <f>IFERROR(VLOOKUP(B12589,material!A:D,3,0),"")</f>
        <v/>
      </c>
    </row>
    <row r="12590" ht="11.25" customHeight="1">
      <c r="A12590" s="21"/>
      <c r="B12590" s="22"/>
      <c r="C12590" s="21"/>
      <c r="D12590" s="21"/>
      <c r="E12590" s="21"/>
      <c r="F12590" s="21"/>
      <c r="G12590" s="25"/>
      <c r="H12590" s="24" t="str">
        <f>IFERROR(VLOOKUP(B12590,material!A:D,3,0),"")</f>
        <v/>
      </c>
    </row>
    <row r="12591" ht="11.25" customHeight="1">
      <c r="A12591" s="21"/>
      <c r="B12591" s="22"/>
      <c r="C12591" s="21"/>
      <c r="D12591" s="21"/>
      <c r="E12591" s="21"/>
      <c r="F12591" s="21"/>
      <c r="G12591" s="25"/>
      <c r="H12591" s="24" t="str">
        <f>IFERROR(VLOOKUP(B12591,material!A:D,3,0),"")</f>
        <v/>
      </c>
    </row>
    <row r="12592" ht="11.25" customHeight="1">
      <c r="A12592" s="21"/>
      <c r="B12592" s="22"/>
      <c r="C12592" s="21"/>
      <c r="D12592" s="21"/>
      <c r="E12592" s="21"/>
      <c r="F12592" s="21"/>
      <c r="G12592" s="25"/>
      <c r="H12592" s="24" t="str">
        <f>IFERROR(VLOOKUP(B12592,material!A:D,3,0),"")</f>
        <v/>
      </c>
    </row>
    <row r="12593" ht="11.25" customHeight="1">
      <c r="A12593" s="21"/>
      <c r="B12593" s="22"/>
      <c r="C12593" s="21"/>
      <c r="D12593" s="21"/>
      <c r="E12593" s="21"/>
      <c r="F12593" s="21"/>
      <c r="G12593" s="25"/>
      <c r="H12593" s="24" t="str">
        <f>IFERROR(VLOOKUP(B12593,material!A:D,3,0),"")</f>
        <v/>
      </c>
    </row>
    <row r="12594" ht="11.25" customHeight="1">
      <c r="A12594" s="21"/>
      <c r="B12594" s="22"/>
      <c r="C12594" s="21"/>
      <c r="D12594" s="21"/>
      <c r="E12594" s="21"/>
      <c r="F12594" s="21"/>
      <c r="G12594" s="25"/>
      <c r="H12594" s="24" t="str">
        <f>IFERROR(VLOOKUP(B12594,material!A:D,3,0),"")</f>
        <v/>
      </c>
    </row>
    <row r="12595" ht="11.25" customHeight="1">
      <c r="A12595" s="21"/>
      <c r="B12595" s="22"/>
      <c r="C12595" s="21"/>
      <c r="D12595" s="21"/>
      <c r="E12595" s="21"/>
      <c r="F12595" s="21"/>
      <c r="G12595" s="25"/>
      <c r="H12595" s="24" t="str">
        <f>IFERROR(VLOOKUP(B12595,material!A:D,3,0),"")</f>
        <v/>
      </c>
    </row>
    <row r="12596" ht="11.25" customHeight="1">
      <c r="A12596" s="21"/>
      <c r="B12596" s="22"/>
      <c r="C12596" s="21"/>
      <c r="D12596" s="21"/>
      <c r="E12596" s="21"/>
      <c r="F12596" s="21"/>
      <c r="G12596" s="25"/>
      <c r="H12596" s="24" t="str">
        <f>IFERROR(VLOOKUP(B12596,material!A:D,3,0),"")</f>
        <v/>
      </c>
    </row>
    <row r="12597" ht="11.25" customHeight="1">
      <c r="A12597" s="21"/>
      <c r="B12597" s="22"/>
      <c r="C12597" s="21"/>
      <c r="D12597" s="21"/>
      <c r="E12597" s="21"/>
      <c r="F12597" s="21"/>
      <c r="G12597" s="25"/>
      <c r="H12597" s="24" t="str">
        <f>IFERROR(VLOOKUP(B12597,material!A:D,3,0),"")</f>
        <v/>
      </c>
    </row>
    <row r="12598" ht="11.25" customHeight="1">
      <c r="A12598" s="21"/>
      <c r="B12598" s="22"/>
      <c r="C12598" s="21"/>
      <c r="D12598" s="21"/>
      <c r="E12598" s="21"/>
      <c r="F12598" s="21"/>
      <c r="G12598" s="25"/>
      <c r="H12598" s="24" t="str">
        <f>IFERROR(VLOOKUP(B12598,material!A:D,3,0),"")</f>
        <v/>
      </c>
    </row>
    <row r="12599" ht="11.25" customHeight="1">
      <c r="A12599" s="21"/>
      <c r="B12599" s="22"/>
      <c r="C12599" s="21"/>
      <c r="D12599" s="21"/>
      <c r="E12599" s="21"/>
      <c r="F12599" s="21"/>
      <c r="G12599" s="25"/>
      <c r="H12599" s="24" t="str">
        <f>IFERROR(VLOOKUP(B12599,material!A:D,3,0),"")</f>
        <v/>
      </c>
    </row>
    <row r="12600" ht="11.25" customHeight="1">
      <c r="A12600" s="21"/>
      <c r="B12600" s="22"/>
      <c r="C12600" s="21"/>
      <c r="D12600" s="21"/>
      <c r="E12600" s="21"/>
      <c r="F12600" s="21"/>
      <c r="G12600" s="25"/>
      <c r="H12600" s="24" t="str">
        <f>IFERROR(VLOOKUP(B12600,material!A:D,3,0),"")</f>
        <v/>
      </c>
    </row>
    <row r="12601" ht="11.25" customHeight="1">
      <c r="A12601" s="21"/>
      <c r="B12601" s="22"/>
      <c r="C12601" s="21"/>
      <c r="D12601" s="21"/>
      <c r="E12601" s="21"/>
      <c r="F12601" s="21"/>
      <c r="G12601" s="25"/>
      <c r="H12601" s="24" t="str">
        <f>IFERROR(VLOOKUP(B12601,material!A:D,3,0),"")</f>
        <v/>
      </c>
    </row>
    <row r="12602" ht="11.25" customHeight="1">
      <c r="A12602" s="21"/>
      <c r="B12602" s="22"/>
      <c r="C12602" s="21"/>
      <c r="D12602" s="21"/>
      <c r="E12602" s="21"/>
      <c r="F12602" s="21"/>
      <c r="G12602" s="25"/>
      <c r="H12602" s="24" t="str">
        <f>IFERROR(VLOOKUP(B12602,material!A:D,3,0),"")</f>
        <v/>
      </c>
    </row>
    <row r="12603" ht="11.25" customHeight="1">
      <c r="A12603" s="21"/>
      <c r="B12603" s="22"/>
      <c r="C12603" s="21"/>
      <c r="D12603" s="21"/>
      <c r="E12603" s="21"/>
      <c r="F12603" s="21"/>
      <c r="G12603" s="25"/>
      <c r="H12603" s="24" t="str">
        <f>IFERROR(VLOOKUP(B12603,material!A:D,3,0),"")</f>
        <v/>
      </c>
    </row>
    <row r="12604" ht="11.25" customHeight="1">
      <c r="A12604" s="21"/>
      <c r="B12604" s="22"/>
      <c r="C12604" s="21"/>
      <c r="D12604" s="21"/>
      <c r="E12604" s="21"/>
      <c r="F12604" s="21"/>
      <c r="G12604" s="25"/>
      <c r="H12604" s="24" t="str">
        <f>IFERROR(VLOOKUP(B12604,material!A:D,3,0),"")</f>
        <v/>
      </c>
    </row>
    <row r="12605" ht="11.25" customHeight="1">
      <c r="A12605" s="21"/>
      <c r="B12605" s="22"/>
      <c r="C12605" s="21"/>
      <c r="D12605" s="21"/>
      <c r="E12605" s="21"/>
      <c r="F12605" s="21"/>
      <c r="G12605" s="25"/>
      <c r="H12605" s="24" t="str">
        <f>IFERROR(VLOOKUP(B12605,material!A:D,3,0),"")</f>
        <v/>
      </c>
    </row>
    <row r="12606" ht="11.25" customHeight="1">
      <c r="A12606" s="21"/>
      <c r="B12606" s="22"/>
      <c r="C12606" s="21"/>
      <c r="D12606" s="21"/>
      <c r="E12606" s="21"/>
      <c r="F12606" s="21"/>
      <c r="G12606" s="25"/>
      <c r="H12606" s="24" t="str">
        <f>IFERROR(VLOOKUP(B12606,material!A:D,3,0),"")</f>
        <v/>
      </c>
    </row>
    <row r="12607" ht="11.25" customHeight="1">
      <c r="A12607" s="21"/>
      <c r="B12607" s="22"/>
      <c r="C12607" s="21"/>
      <c r="D12607" s="21"/>
      <c r="E12607" s="21"/>
      <c r="F12607" s="21"/>
      <c r="G12607" s="25"/>
      <c r="H12607" s="24" t="str">
        <f>IFERROR(VLOOKUP(B12607,material!A:D,3,0),"")</f>
        <v/>
      </c>
    </row>
    <row r="12608" ht="11.25" customHeight="1">
      <c r="A12608" s="21"/>
      <c r="B12608" s="22"/>
      <c r="C12608" s="21"/>
      <c r="D12608" s="21"/>
      <c r="E12608" s="21"/>
      <c r="F12608" s="21"/>
      <c r="G12608" s="25"/>
      <c r="H12608" s="24" t="str">
        <f>IFERROR(VLOOKUP(B12608,material!A:D,3,0),"")</f>
        <v/>
      </c>
    </row>
    <row r="12609" ht="11.25" customHeight="1">
      <c r="A12609" s="21"/>
      <c r="B12609" s="22"/>
      <c r="C12609" s="21"/>
      <c r="D12609" s="21"/>
      <c r="E12609" s="21"/>
      <c r="F12609" s="21"/>
      <c r="G12609" s="25"/>
      <c r="H12609" s="24" t="str">
        <f>IFERROR(VLOOKUP(B12609,material!A:D,3,0),"")</f>
        <v/>
      </c>
    </row>
    <row r="12610" ht="11.25" customHeight="1">
      <c r="A12610" s="21"/>
      <c r="B12610" s="22"/>
      <c r="C12610" s="21"/>
      <c r="D12610" s="21"/>
      <c r="E12610" s="21"/>
      <c r="F12610" s="21"/>
      <c r="G12610" s="25"/>
      <c r="H12610" s="24" t="str">
        <f>IFERROR(VLOOKUP(B12610,material!A:D,3,0),"")</f>
        <v/>
      </c>
    </row>
    <row r="12611" ht="11.25" customHeight="1">
      <c r="A12611" s="21"/>
      <c r="B12611" s="22"/>
      <c r="C12611" s="21"/>
      <c r="D12611" s="21"/>
      <c r="E12611" s="21"/>
      <c r="F12611" s="21"/>
      <c r="G12611" s="25"/>
      <c r="H12611" s="24" t="str">
        <f>IFERROR(VLOOKUP(B12611,material!A:D,3,0),"")</f>
        <v/>
      </c>
    </row>
    <row r="12612" ht="11.25" customHeight="1">
      <c r="A12612" s="21"/>
      <c r="B12612" s="22"/>
      <c r="C12612" s="21"/>
      <c r="D12612" s="21"/>
      <c r="E12612" s="21"/>
      <c r="F12612" s="21"/>
      <c r="G12612" s="25"/>
      <c r="H12612" s="24" t="str">
        <f>IFERROR(VLOOKUP(B12612,material!A:D,3,0),"")</f>
        <v/>
      </c>
    </row>
    <row r="12613" ht="11.25" customHeight="1">
      <c r="A12613" s="21"/>
      <c r="B12613" s="22"/>
      <c r="C12613" s="21"/>
      <c r="D12613" s="21"/>
      <c r="E12613" s="21"/>
      <c r="F12613" s="21"/>
      <c r="G12613" s="25"/>
      <c r="H12613" s="24" t="str">
        <f>IFERROR(VLOOKUP(B12613,material!A:D,3,0),"")</f>
        <v/>
      </c>
    </row>
    <row r="12614" ht="11.25" customHeight="1">
      <c r="A12614" s="21"/>
      <c r="B12614" s="22"/>
      <c r="C12614" s="21"/>
      <c r="D12614" s="21"/>
      <c r="E12614" s="21"/>
      <c r="F12614" s="21"/>
      <c r="G12614" s="25"/>
      <c r="H12614" s="24" t="str">
        <f>IFERROR(VLOOKUP(B12614,material!A:D,3,0),"")</f>
        <v/>
      </c>
    </row>
    <row r="12615" ht="11.25" customHeight="1">
      <c r="A12615" s="21"/>
      <c r="B12615" s="22"/>
      <c r="C12615" s="21"/>
      <c r="D12615" s="21"/>
      <c r="E12615" s="21"/>
      <c r="F12615" s="21"/>
      <c r="G12615" s="25"/>
      <c r="H12615" s="24" t="str">
        <f>IFERROR(VLOOKUP(B12615,material!A:D,3,0),"")</f>
        <v/>
      </c>
    </row>
    <row r="12616" ht="11.25" customHeight="1">
      <c r="A12616" s="21"/>
      <c r="B12616" s="22"/>
      <c r="C12616" s="21"/>
      <c r="D12616" s="21"/>
      <c r="E12616" s="21"/>
      <c r="F12616" s="21"/>
      <c r="G12616" s="25"/>
      <c r="H12616" s="24" t="str">
        <f>IFERROR(VLOOKUP(B12616,material!A:D,3,0),"")</f>
        <v/>
      </c>
    </row>
    <row r="12617" ht="11.25" customHeight="1">
      <c r="A12617" s="21"/>
      <c r="B12617" s="22"/>
      <c r="C12617" s="21"/>
      <c r="D12617" s="21"/>
      <c r="E12617" s="21"/>
      <c r="F12617" s="21"/>
      <c r="G12617" s="25"/>
      <c r="H12617" s="24" t="str">
        <f>IFERROR(VLOOKUP(B12617,material!A:D,3,0),"")</f>
        <v/>
      </c>
    </row>
    <row r="12618" ht="11.25" customHeight="1">
      <c r="A12618" s="21"/>
      <c r="B12618" s="22"/>
      <c r="C12618" s="21"/>
      <c r="D12618" s="21"/>
      <c r="E12618" s="21"/>
      <c r="F12618" s="21"/>
      <c r="G12618" s="25"/>
      <c r="H12618" s="24" t="str">
        <f>IFERROR(VLOOKUP(B12618,material!A:D,3,0),"")</f>
        <v/>
      </c>
    </row>
    <row r="12619" ht="11.25" customHeight="1">
      <c r="A12619" s="21"/>
      <c r="B12619" s="22"/>
      <c r="C12619" s="21"/>
      <c r="D12619" s="21"/>
      <c r="E12619" s="21"/>
      <c r="F12619" s="21"/>
      <c r="G12619" s="25"/>
      <c r="H12619" s="24" t="str">
        <f>IFERROR(VLOOKUP(B12619,material!A:D,3,0),"")</f>
        <v/>
      </c>
    </row>
    <row r="12620" ht="11.25" customHeight="1">
      <c r="A12620" s="21"/>
      <c r="B12620" s="22"/>
      <c r="C12620" s="21"/>
      <c r="D12620" s="21"/>
      <c r="E12620" s="21"/>
      <c r="F12620" s="21"/>
      <c r="G12620" s="25"/>
      <c r="H12620" s="24" t="str">
        <f>IFERROR(VLOOKUP(B12620,material!A:D,3,0),"")</f>
        <v/>
      </c>
    </row>
    <row r="12621" ht="11.25" customHeight="1">
      <c r="A12621" s="21"/>
      <c r="B12621" s="22"/>
      <c r="C12621" s="21"/>
      <c r="D12621" s="21"/>
      <c r="E12621" s="21"/>
      <c r="F12621" s="21"/>
      <c r="G12621" s="25"/>
      <c r="H12621" s="24" t="str">
        <f>IFERROR(VLOOKUP(B12621,material!A:D,3,0),"")</f>
        <v/>
      </c>
    </row>
    <row r="12622" ht="11.25" customHeight="1">
      <c r="A12622" s="21"/>
      <c r="B12622" s="22"/>
      <c r="C12622" s="21"/>
      <c r="D12622" s="21"/>
      <c r="E12622" s="21"/>
      <c r="F12622" s="21"/>
      <c r="G12622" s="25"/>
      <c r="H12622" s="24" t="str">
        <f>IFERROR(VLOOKUP(B12622,material!A:D,3,0),"")</f>
        <v/>
      </c>
    </row>
    <row r="12623" ht="11.25" customHeight="1">
      <c r="A12623" s="21"/>
      <c r="B12623" s="22"/>
      <c r="C12623" s="21"/>
      <c r="D12623" s="21"/>
      <c r="E12623" s="21"/>
      <c r="F12623" s="21"/>
      <c r="G12623" s="25"/>
      <c r="H12623" s="24" t="str">
        <f>IFERROR(VLOOKUP(B12623,material!A:D,3,0),"")</f>
        <v/>
      </c>
    </row>
    <row r="12624" ht="11.25" customHeight="1">
      <c r="A12624" s="21"/>
      <c r="B12624" s="22"/>
      <c r="C12624" s="21"/>
      <c r="D12624" s="21"/>
      <c r="E12624" s="21"/>
      <c r="F12624" s="21"/>
      <c r="G12624" s="25"/>
      <c r="H12624" s="24" t="str">
        <f>IFERROR(VLOOKUP(B12624,material!A:D,3,0),"")</f>
        <v/>
      </c>
    </row>
    <row r="12625" ht="11.25" customHeight="1">
      <c r="A12625" s="21"/>
      <c r="B12625" s="22"/>
      <c r="C12625" s="21"/>
      <c r="D12625" s="21"/>
      <c r="E12625" s="21"/>
      <c r="F12625" s="21"/>
      <c r="G12625" s="25"/>
      <c r="H12625" s="24" t="str">
        <f>IFERROR(VLOOKUP(B12625,material!A:D,3,0),"")</f>
        <v/>
      </c>
    </row>
    <row r="12626" ht="11.25" customHeight="1">
      <c r="A12626" s="21"/>
      <c r="B12626" s="22"/>
      <c r="C12626" s="21"/>
      <c r="D12626" s="21"/>
      <c r="E12626" s="21"/>
      <c r="F12626" s="21"/>
      <c r="G12626" s="25"/>
      <c r="H12626" s="24" t="str">
        <f>IFERROR(VLOOKUP(B12626,material!A:D,3,0),"")</f>
        <v/>
      </c>
    </row>
    <row r="12627" ht="11.25" customHeight="1">
      <c r="A12627" s="21"/>
      <c r="B12627" s="22"/>
      <c r="C12627" s="21"/>
      <c r="D12627" s="21"/>
      <c r="E12627" s="21"/>
      <c r="F12627" s="21"/>
      <c r="G12627" s="25"/>
      <c r="H12627" s="24" t="str">
        <f>IFERROR(VLOOKUP(B12627,material!A:D,3,0),"")</f>
        <v/>
      </c>
    </row>
    <row r="12628" ht="11.25" customHeight="1">
      <c r="A12628" s="21"/>
      <c r="B12628" s="22"/>
      <c r="C12628" s="21"/>
      <c r="D12628" s="21"/>
      <c r="E12628" s="21"/>
      <c r="F12628" s="21"/>
      <c r="G12628" s="25"/>
      <c r="H12628" s="24" t="str">
        <f>IFERROR(VLOOKUP(B12628,material!A:D,3,0),"")</f>
        <v/>
      </c>
    </row>
    <row r="12629" ht="11.25" customHeight="1">
      <c r="A12629" s="21"/>
      <c r="B12629" s="22"/>
      <c r="C12629" s="21"/>
      <c r="D12629" s="21"/>
      <c r="E12629" s="21"/>
      <c r="F12629" s="21"/>
      <c r="G12629" s="25"/>
      <c r="H12629" s="24" t="str">
        <f>IFERROR(VLOOKUP(B12629,material!A:D,3,0),"")</f>
        <v/>
      </c>
    </row>
    <row r="12630" ht="11.25" customHeight="1">
      <c r="A12630" s="21"/>
      <c r="B12630" s="22"/>
      <c r="C12630" s="21"/>
      <c r="D12630" s="21"/>
      <c r="E12630" s="21"/>
      <c r="F12630" s="21"/>
      <c r="G12630" s="25"/>
      <c r="H12630" s="24" t="str">
        <f>IFERROR(VLOOKUP(B12630,material!A:D,3,0),"")</f>
        <v/>
      </c>
    </row>
    <row r="12631" ht="11.25" customHeight="1">
      <c r="A12631" s="21"/>
      <c r="B12631" s="22"/>
      <c r="C12631" s="21"/>
      <c r="D12631" s="21"/>
      <c r="E12631" s="21"/>
      <c r="F12631" s="21"/>
      <c r="G12631" s="25"/>
      <c r="H12631" s="24" t="str">
        <f>IFERROR(VLOOKUP(B12631,material!A:D,3,0),"")</f>
        <v/>
      </c>
    </row>
    <row r="12632" ht="11.25" customHeight="1">
      <c r="A12632" s="21"/>
      <c r="B12632" s="22"/>
      <c r="C12632" s="21"/>
      <c r="D12632" s="21"/>
      <c r="E12632" s="21"/>
      <c r="F12632" s="21"/>
      <c r="G12632" s="25"/>
      <c r="H12632" s="24" t="str">
        <f>IFERROR(VLOOKUP(B12632,material!A:D,3,0),"")</f>
        <v/>
      </c>
    </row>
    <row r="12633" ht="11.25" customHeight="1">
      <c r="A12633" s="21"/>
      <c r="B12633" s="22"/>
      <c r="C12633" s="21"/>
      <c r="D12633" s="21"/>
      <c r="E12633" s="21"/>
      <c r="F12633" s="21"/>
      <c r="G12633" s="25"/>
      <c r="H12633" s="24" t="str">
        <f>IFERROR(VLOOKUP(B12633,material!A:D,3,0),"")</f>
        <v/>
      </c>
    </row>
    <row r="12634" ht="11.25" customHeight="1">
      <c r="A12634" s="21"/>
      <c r="B12634" s="22"/>
      <c r="C12634" s="21"/>
      <c r="D12634" s="21"/>
      <c r="E12634" s="21"/>
      <c r="F12634" s="21"/>
      <c r="G12634" s="25"/>
      <c r="H12634" s="24" t="str">
        <f>IFERROR(VLOOKUP(B12634,material!A:D,3,0),"")</f>
        <v/>
      </c>
    </row>
    <row r="12635" ht="11.25" customHeight="1">
      <c r="A12635" s="21"/>
      <c r="B12635" s="22"/>
      <c r="C12635" s="21"/>
      <c r="D12635" s="21"/>
      <c r="E12635" s="21"/>
      <c r="F12635" s="21"/>
      <c r="G12635" s="25"/>
      <c r="H12635" s="24" t="str">
        <f>IFERROR(VLOOKUP(B12635,material!A:D,3,0),"")</f>
        <v/>
      </c>
    </row>
    <row r="12636" ht="11.25" customHeight="1">
      <c r="A12636" s="21"/>
      <c r="B12636" s="22"/>
      <c r="C12636" s="21"/>
      <c r="D12636" s="21"/>
      <c r="E12636" s="21"/>
      <c r="F12636" s="21"/>
      <c r="G12636" s="25"/>
      <c r="H12636" s="24" t="str">
        <f>IFERROR(VLOOKUP(B12636,material!A:D,3,0),"")</f>
        <v/>
      </c>
    </row>
    <row r="12637" ht="11.25" customHeight="1">
      <c r="A12637" s="21"/>
      <c r="B12637" s="22"/>
      <c r="C12637" s="21"/>
      <c r="D12637" s="21"/>
      <c r="E12637" s="21"/>
      <c r="F12637" s="21"/>
      <c r="G12637" s="25"/>
      <c r="H12637" s="24" t="str">
        <f>IFERROR(VLOOKUP(B12637,material!A:D,3,0),"")</f>
        <v/>
      </c>
    </row>
    <row r="12638" ht="11.25" customHeight="1">
      <c r="A12638" s="21"/>
      <c r="B12638" s="22"/>
      <c r="C12638" s="21"/>
      <c r="D12638" s="21"/>
      <c r="E12638" s="21"/>
      <c r="F12638" s="21"/>
      <c r="G12638" s="25"/>
      <c r="H12638" s="24" t="str">
        <f>IFERROR(VLOOKUP(B12638,material!A:D,3,0),"")</f>
        <v/>
      </c>
    </row>
    <row r="12639" ht="11.25" customHeight="1">
      <c r="A12639" s="21"/>
      <c r="B12639" s="22"/>
      <c r="C12639" s="21"/>
      <c r="D12639" s="21"/>
      <c r="E12639" s="21"/>
      <c r="F12639" s="21"/>
      <c r="G12639" s="25"/>
      <c r="H12639" s="24" t="str">
        <f>IFERROR(VLOOKUP(B12639,material!A:D,3,0),"")</f>
        <v/>
      </c>
    </row>
    <row r="12640" ht="11.25" customHeight="1">
      <c r="A12640" s="21"/>
      <c r="B12640" s="22"/>
      <c r="C12640" s="21"/>
      <c r="D12640" s="21"/>
      <c r="E12640" s="21"/>
      <c r="F12640" s="21"/>
      <c r="G12640" s="25"/>
      <c r="H12640" s="24" t="str">
        <f>IFERROR(VLOOKUP(B12640,material!A:D,3,0),"")</f>
        <v/>
      </c>
    </row>
    <row r="12641" ht="11.25" customHeight="1">
      <c r="A12641" s="21"/>
      <c r="B12641" s="22"/>
      <c r="C12641" s="21"/>
      <c r="D12641" s="21"/>
      <c r="E12641" s="21"/>
      <c r="F12641" s="21"/>
      <c r="G12641" s="25"/>
      <c r="H12641" s="24" t="str">
        <f>IFERROR(VLOOKUP(B12641,material!A:D,3,0),"")</f>
        <v/>
      </c>
    </row>
    <row r="12642" ht="11.25" customHeight="1">
      <c r="A12642" s="21"/>
      <c r="B12642" s="22"/>
      <c r="C12642" s="21"/>
      <c r="D12642" s="21"/>
      <c r="E12642" s="21"/>
      <c r="F12642" s="21"/>
      <c r="G12642" s="25"/>
      <c r="H12642" s="24" t="str">
        <f>IFERROR(VLOOKUP(B12642,material!A:D,3,0),"")</f>
        <v/>
      </c>
    </row>
    <row r="12643" ht="11.25" customHeight="1">
      <c r="A12643" s="21"/>
      <c r="B12643" s="22"/>
      <c r="C12643" s="21"/>
      <c r="D12643" s="21"/>
      <c r="E12643" s="21"/>
      <c r="F12643" s="21"/>
      <c r="G12643" s="25"/>
      <c r="H12643" s="24" t="str">
        <f>IFERROR(VLOOKUP(B12643,material!A:D,3,0),"")</f>
        <v/>
      </c>
    </row>
    <row r="12644" ht="11.25" customHeight="1">
      <c r="A12644" s="21"/>
      <c r="B12644" s="22"/>
      <c r="C12644" s="21"/>
      <c r="D12644" s="21"/>
      <c r="E12644" s="21"/>
      <c r="F12644" s="21"/>
      <c r="G12644" s="25"/>
      <c r="H12644" s="24" t="str">
        <f>IFERROR(VLOOKUP(B12644,material!A:D,3,0),"")</f>
        <v/>
      </c>
    </row>
    <row r="12645" ht="11.25" customHeight="1">
      <c r="A12645" s="21"/>
      <c r="B12645" s="22"/>
      <c r="C12645" s="21"/>
      <c r="D12645" s="21"/>
      <c r="E12645" s="21"/>
      <c r="F12645" s="21"/>
      <c r="G12645" s="25"/>
      <c r="H12645" s="24" t="str">
        <f>IFERROR(VLOOKUP(B12645,material!A:D,3,0),"")</f>
        <v/>
      </c>
    </row>
    <row r="12646" ht="11.25" customHeight="1">
      <c r="A12646" s="21"/>
      <c r="B12646" s="22"/>
      <c r="C12646" s="21"/>
      <c r="D12646" s="21"/>
      <c r="E12646" s="21"/>
      <c r="F12646" s="21"/>
      <c r="G12646" s="25"/>
      <c r="H12646" s="24" t="str">
        <f>IFERROR(VLOOKUP(B12646,material!A:D,3,0),"")</f>
        <v/>
      </c>
    </row>
    <row r="12647" ht="11.25" customHeight="1">
      <c r="A12647" s="21"/>
      <c r="B12647" s="22"/>
      <c r="C12647" s="21"/>
      <c r="D12647" s="21"/>
      <c r="E12647" s="21"/>
      <c r="F12647" s="21"/>
      <c r="G12647" s="25"/>
      <c r="H12647" s="24" t="str">
        <f>IFERROR(VLOOKUP(B12647,material!A:D,3,0),"")</f>
        <v/>
      </c>
    </row>
    <row r="12648" ht="11.25" customHeight="1">
      <c r="A12648" s="21"/>
      <c r="B12648" s="22"/>
      <c r="C12648" s="21"/>
      <c r="D12648" s="21"/>
      <c r="E12648" s="21"/>
      <c r="F12648" s="21"/>
      <c r="G12648" s="25"/>
      <c r="H12648" s="24" t="str">
        <f>IFERROR(VLOOKUP(B12648,material!A:D,3,0),"")</f>
        <v/>
      </c>
    </row>
    <row r="12649" ht="11.25" customHeight="1">
      <c r="A12649" s="21"/>
      <c r="B12649" s="22"/>
      <c r="C12649" s="21"/>
      <c r="D12649" s="21"/>
      <c r="E12649" s="21"/>
      <c r="F12649" s="21"/>
      <c r="G12649" s="25"/>
      <c r="H12649" s="24" t="str">
        <f>IFERROR(VLOOKUP(B12649,material!A:D,3,0),"")</f>
        <v/>
      </c>
    </row>
    <row r="12650" ht="11.25" customHeight="1">
      <c r="A12650" s="21"/>
      <c r="B12650" s="22"/>
      <c r="C12650" s="21"/>
      <c r="D12650" s="21"/>
      <c r="E12650" s="21"/>
      <c r="F12650" s="21"/>
      <c r="G12650" s="25"/>
      <c r="H12650" s="24" t="str">
        <f>IFERROR(VLOOKUP(B12650,material!A:D,3,0),"")</f>
        <v/>
      </c>
    </row>
    <row r="12651" ht="11.25" customHeight="1">
      <c r="A12651" s="21"/>
      <c r="B12651" s="22"/>
      <c r="C12651" s="21"/>
      <c r="D12651" s="21"/>
      <c r="E12651" s="21"/>
      <c r="F12651" s="21"/>
      <c r="G12651" s="25"/>
      <c r="H12651" s="24" t="str">
        <f>IFERROR(VLOOKUP(B12651,material!A:D,3,0),"")</f>
        <v/>
      </c>
    </row>
    <row r="12652" ht="11.25" customHeight="1">
      <c r="A12652" s="21"/>
      <c r="B12652" s="22"/>
      <c r="C12652" s="21"/>
      <c r="D12652" s="21"/>
      <c r="E12652" s="21"/>
      <c r="F12652" s="21"/>
      <c r="G12652" s="25"/>
      <c r="H12652" s="24" t="str">
        <f>IFERROR(VLOOKUP(B12652,material!A:D,3,0),"")</f>
        <v/>
      </c>
    </row>
    <row r="12653" ht="11.25" customHeight="1">
      <c r="A12653" s="21"/>
      <c r="B12653" s="22"/>
      <c r="C12653" s="21"/>
      <c r="D12653" s="21"/>
      <c r="E12653" s="21"/>
      <c r="F12653" s="21"/>
      <c r="G12653" s="25"/>
      <c r="H12653" s="24" t="str">
        <f>IFERROR(VLOOKUP(B12653,material!A:D,3,0),"")</f>
        <v/>
      </c>
    </row>
    <row r="12654" ht="11.25" customHeight="1">
      <c r="A12654" s="21"/>
      <c r="B12654" s="22"/>
      <c r="C12654" s="21"/>
      <c r="D12654" s="21"/>
      <c r="E12654" s="21"/>
      <c r="F12654" s="21"/>
      <c r="G12654" s="25"/>
      <c r="H12654" s="24" t="str">
        <f>IFERROR(VLOOKUP(B12654,material!A:D,3,0),"")</f>
        <v/>
      </c>
    </row>
    <row r="12655" ht="11.25" customHeight="1">
      <c r="A12655" s="21"/>
      <c r="B12655" s="22"/>
      <c r="C12655" s="21"/>
      <c r="D12655" s="21"/>
      <c r="E12655" s="21"/>
      <c r="F12655" s="21"/>
      <c r="G12655" s="25"/>
      <c r="H12655" s="24" t="str">
        <f>IFERROR(VLOOKUP(B12655,material!A:D,3,0),"")</f>
        <v/>
      </c>
    </row>
    <row r="12656" ht="11.25" customHeight="1">
      <c r="A12656" s="21"/>
      <c r="B12656" s="22"/>
      <c r="C12656" s="21"/>
      <c r="D12656" s="21"/>
      <c r="E12656" s="21"/>
      <c r="F12656" s="21"/>
      <c r="G12656" s="25"/>
      <c r="H12656" s="24" t="str">
        <f>IFERROR(VLOOKUP(B12656,material!A:D,3,0),"")</f>
        <v/>
      </c>
    </row>
    <row r="12657" ht="11.25" customHeight="1">
      <c r="A12657" s="21"/>
      <c r="B12657" s="22"/>
      <c r="C12657" s="21"/>
      <c r="D12657" s="21"/>
      <c r="E12657" s="21"/>
      <c r="F12657" s="21"/>
      <c r="G12657" s="25"/>
      <c r="H12657" s="24" t="str">
        <f>IFERROR(VLOOKUP(B12657,material!A:D,3,0),"")</f>
        <v/>
      </c>
    </row>
    <row r="12658" ht="11.25" customHeight="1">
      <c r="A12658" s="21"/>
      <c r="B12658" s="22"/>
      <c r="C12658" s="21"/>
      <c r="D12658" s="21"/>
      <c r="E12658" s="21"/>
      <c r="F12658" s="21"/>
      <c r="G12658" s="25"/>
      <c r="H12658" s="24" t="str">
        <f>IFERROR(VLOOKUP(B12658,material!A:D,3,0),"")</f>
        <v/>
      </c>
    </row>
    <row r="12659" ht="11.25" customHeight="1">
      <c r="A12659" s="21"/>
      <c r="B12659" s="22"/>
      <c r="C12659" s="21"/>
      <c r="D12659" s="21"/>
      <c r="E12659" s="21"/>
      <c r="F12659" s="21"/>
      <c r="G12659" s="25"/>
      <c r="H12659" s="24" t="str">
        <f>IFERROR(VLOOKUP(B12659,material!A:D,3,0),"")</f>
        <v/>
      </c>
    </row>
    <row r="12660" ht="11.25" customHeight="1">
      <c r="A12660" s="21"/>
      <c r="B12660" s="22"/>
      <c r="C12660" s="21"/>
      <c r="D12660" s="21"/>
      <c r="E12660" s="21"/>
      <c r="F12660" s="21"/>
      <c r="G12660" s="25"/>
      <c r="H12660" s="24" t="str">
        <f>IFERROR(VLOOKUP(B12660,material!A:D,3,0),"")</f>
        <v/>
      </c>
    </row>
    <row r="12661" ht="11.25" customHeight="1">
      <c r="A12661" s="21"/>
      <c r="B12661" s="22"/>
      <c r="C12661" s="21"/>
      <c r="D12661" s="21"/>
      <c r="E12661" s="21"/>
      <c r="F12661" s="21"/>
      <c r="G12661" s="25"/>
      <c r="H12661" s="24" t="str">
        <f>IFERROR(VLOOKUP(B12661,material!A:D,3,0),"")</f>
        <v/>
      </c>
    </row>
    <row r="12662" ht="11.25" customHeight="1">
      <c r="A12662" s="21"/>
      <c r="B12662" s="22"/>
      <c r="C12662" s="21"/>
      <c r="D12662" s="21"/>
      <c r="E12662" s="21"/>
      <c r="F12662" s="21"/>
      <c r="G12662" s="25"/>
      <c r="H12662" s="24" t="str">
        <f>IFERROR(VLOOKUP(B12662,material!A:D,3,0),"")</f>
        <v/>
      </c>
    </row>
    <row r="12663" ht="11.25" customHeight="1">
      <c r="A12663" s="21"/>
      <c r="B12663" s="22"/>
      <c r="C12663" s="21"/>
      <c r="D12663" s="21"/>
      <c r="E12663" s="21"/>
      <c r="F12663" s="21"/>
      <c r="G12663" s="25"/>
      <c r="H12663" s="24" t="str">
        <f>IFERROR(VLOOKUP(B12663,material!A:D,3,0),"")</f>
        <v/>
      </c>
    </row>
    <row r="12664" ht="11.25" customHeight="1">
      <c r="A12664" s="21"/>
      <c r="B12664" s="22"/>
      <c r="C12664" s="21"/>
      <c r="D12664" s="21"/>
      <c r="E12664" s="21"/>
      <c r="F12664" s="21"/>
      <c r="G12664" s="25"/>
      <c r="H12664" s="24" t="str">
        <f>IFERROR(VLOOKUP(B12664,material!A:D,3,0),"")</f>
        <v/>
      </c>
    </row>
    <row r="12665" ht="11.25" customHeight="1">
      <c r="A12665" s="21"/>
      <c r="B12665" s="22"/>
      <c r="C12665" s="21"/>
      <c r="D12665" s="21"/>
      <c r="E12665" s="21"/>
      <c r="F12665" s="21"/>
      <c r="G12665" s="25"/>
      <c r="H12665" s="24" t="str">
        <f>IFERROR(VLOOKUP(B12665,material!A:D,3,0),"")</f>
        <v/>
      </c>
    </row>
    <row r="12666" ht="11.25" customHeight="1">
      <c r="A12666" s="21"/>
      <c r="B12666" s="22"/>
      <c r="C12666" s="21"/>
      <c r="D12666" s="21"/>
      <c r="E12666" s="21"/>
      <c r="F12666" s="21"/>
      <c r="G12666" s="25"/>
      <c r="H12666" s="24" t="str">
        <f>IFERROR(VLOOKUP(B12666,material!A:D,3,0),"")</f>
        <v/>
      </c>
    </row>
    <row r="12667" ht="11.25" customHeight="1">
      <c r="A12667" s="21"/>
      <c r="B12667" s="22"/>
      <c r="C12667" s="21"/>
      <c r="D12667" s="21"/>
      <c r="E12667" s="21"/>
      <c r="F12667" s="21"/>
      <c r="G12667" s="25"/>
      <c r="H12667" s="24" t="str">
        <f>IFERROR(VLOOKUP(B12667,material!A:D,3,0),"")</f>
        <v/>
      </c>
    </row>
    <row r="12668" ht="11.25" customHeight="1">
      <c r="A12668" s="21"/>
      <c r="B12668" s="22"/>
      <c r="C12668" s="21"/>
      <c r="D12668" s="21"/>
      <c r="E12668" s="21"/>
      <c r="F12668" s="21"/>
      <c r="G12668" s="25"/>
      <c r="H12668" s="24" t="str">
        <f>IFERROR(VLOOKUP(B12668,material!A:D,3,0),"")</f>
        <v/>
      </c>
    </row>
    <row r="12669" ht="11.25" customHeight="1">
      <c r="A12669" s="21"/>
      <c r="B12669" s="22"/>
      <c r="C12669" s="21"/>
      <c r="D12669" s="21"/>
      <c r="E12669" s="21"/>
      <c r="F12669" s="21"/>
      <c r="G12669" s="25"/>
      <c r="H12669" s="24" t="str">
        <f>IFERROR(VLOOKUP(B12669,material!A:D,3,0),"")</f>
        <v/>
      </c>
    </row>
    <row r="12670" ht="11.25" customHeight="1">
      <c r="A12670" s="21"/>
      <c r="B12670" s="22"/>
      <c r="C12670" s="21"/>
      <c r="D12670" s="21"/>
      <c r="E12670" s="21"/>
      <c r="F12670" s="21"/>
      <c r="G12670" s="25"/>
      <c r="H12670" s="24" t="str">
        <f>IFERROR(VLOOKUP(B12670,material!A:D,3,0),"")</f>
        <v/>
      </c>
    </row>
    <row r="12671" ht="11.25" customHeight="1">
      <c r="A12671" s="21"/>
      <c r="B12671" s="22"/>
      <c r="C12671" s="21"/>
      <c r="D12671" s="21"/>
      <c r="E12671" s="21"/>
      <c r="F12671" s="21"/>
      <c r="G12671" s="25"/>
      <c r="H12671" s="24" t="str">
        <f>IFERROR(VLOOKUP(B12671,material!A:D,3,0),"")</f>
        <v/>
      </c>
    </row>
    <row r="12672" ht="11.25" customHeight="1">
      <c r="A12672" s="21"/>
      <c r="B12672" s="22"/>
      <c r="C12672" s="21"/>
      <c r="D12672" s="21"/>
      <c r="E12672" s="21"/>
      <c r="F12672" s="21"/>
      <c r="G12672" s="25"/>
      <c r="H12672" s="24" t="str">
        <f>IFERROR(VLOOKUP(B12672,material!A:D,3,0),"")</f>
        <v/>
      </c>
    </row>
    <row r="12673" ht="11.25" customHeight="1">
      <c r="A12673" s="21"/>
      <c r="B12673" s="22"/>
      <c r="C12673" s="21"/>
      <c r="D12673" s="21"/>
      <c r="E12673" s="21"/>
      <c r="F12673" s="21"/>
      <c r="G12673" s="25"/>
      <c r="H12673" s="24" t="str">
        <f>IFERROR(VLOOKUP(B12673,material!A:D,3,0),"")</f>
        <v/>
      </c>
    </row>
    <row r="12674" ht="11.25" customHeight="1">
      <c r="A12674" s="21"/>
      <c r="B12674" s="22"/>
      <c r="C12674" s="21"/>
      <c r="D12674" s="21"/>
      <c r="E12674" s="21"/>
      <c r="F12674" s="21"/>
      <c r="G12674" s="25"/>
      <c r="H12674" s="24" t="str">
        <f>IFERROR(VLOOKUP(B12674,material!A:D,3,0),"")</f>
        <v/>
      </c>
    </row>
    <row r="12675" ht="11.25" customHeight="1">
      <c r="A12675" s="21"/>
      <c r="B12675" s="22"/>
      <c r="C12675" s="21"/>
      <c r="D12675" s="21"/>
      <c r="E12675" s="21"/>
      <c r="F12675" s="21"/>
      <c r="G12675" s="25"/>
      <c r="H12675" s="24" t="str">
        <f>IFERROR(VLOOKUP(B12675,material!A:D,3,0),"")</f>
        <v/>
      </c>
    </row>
    <row r="12676" ht="11.25" customHeight="1">
      <c r="A12676" s="21"/>
      <c r="B12676" s="22"/>
      <c r="C12676" s="21"/>
      <c r="D12676" s="21"/>
      <c r="E12676" s="21"/>
      <c r="F12676" s="21"/>
      <c r="G12676" s="25"/>
      <c r="H12676" s="24" t="str">
        <f>IFERROR(VLOOKUP(B12676,material!A:D,3,0),"")</f>
        <v/>
      </c>
    </row>
    <row r="12677" ht="11.25" customHeight="1">
      <c r="A12677" s="21"/>
      <c r="B12677" s="22"/>
      <c r="C12677" s="21"/>
      <c r="D12677" s="21"/>
      <c r="E12677" s="21"/>
      <c r="F12677" s="21"/>
      <c r="G12677" s="25"/>
      <c r="H12677" s="24" t="str">
        <f>IFERROR(VLOOKUP(B12677,material!A:D,3,0),"")</f>
        <v/>
      </c>
    </row>
    <row r="12678" ht="11.25" customHeight="1">
      <c r="A12678" s="21"/>
      <c r="B12678" s="22"/>
      <c r="C12678" s="21"/>
      <c r="D12678" s="21"/>
      <c r="E12678" s="21"/>
      <c r="F12678" s="21"/>
      <c r="G12678" s="25"/>
      <c r="H12678" s="24" t="str">
        <f>IFERROR(VLOOKUP(B12678,material!A:D,3,0),"")</f>
        <v/>
      </c>
    </row>
    <row r="12679" ht="11.25" customHeight="1">
      <c r="A12679" s="21"/>
      <c r="B12679" s="22"/>
      <c r="C12679" s="21"/>
      <c r="D12679" s="21"/>
      <c r="E12679" s="21"/>
      <c r="F12679" s="21"/>
      <c r="G12679" s="25"/>
      <c r="H12679" s="24" t="str">
        <f>IFERROR(VLOOKUP(B12679,material!A:D,3,0),"")</f>
        <v/>
      </c>
    </row>
    <row r="12680" ht="11.25" customHeight="1">
      <c r="A12680" s="21"/>
      <c r="B12680" s="22"/>
      <c r="C12680" s="21"/>
      <c r="D12680" s="21"/>
      <c r="E12680" s="21"/>
      <c r="F12680" s="21"/>
      <c r="G12680" s="25"/>
      <c r="H12680" s="24" t="str">
        <f>IFERROR(VLOOKUP(B12680,material!A:D,3,0),"")</f>
        <v/>
      </c>
    </row>
    <row r="12681" ht="11.25" customHeight="1">
      <c r="A12681" s="21"/>
      <c r="B12681" s="22"/>
      <c r="C12681" s="21"/>
      <c r="D12681" s="21"/>
      <c r="E12681" s="21"/>
      <c r="F12681" s="21"/>
      <c r="G12681" s="25"/>
      <c r="H12681" s="24" t="str">
        <f>IFERROR(VLOOKUP(B12681,material!A:D,3,0),"")</f>
        <v/>
      </c>
    </row>
    <row r="12682" ht="11.25" customHeight="1">
      <c r="A12682" s="21"/>
      <c r="B12682" s="22"/>
      <c r="C12682" s="21"/>
      <c r="D12682" s="21"/>
      <c r="E12682" s="21"/>
      <c r="F12682" s="21"/>
      <c r="G12682" s="25"/>
      <c r="H12682" s="24" t="str">
        <f>IFERROR(VLOOKUP(B12682,material!A:D,3,0),"")</f>
        <v/>
      </c>
    </row>
    <row r="12683" ht="11.25" customHeight="1">
      <c r="A12683" s="21"/>
      <c r="B12683" s="22"/>
      <c r="C12683" s="21"/>
      <c r="D12683" s="21"/>
      <c r="E12683" s="21"/>
      <c r="F12683" s="21"/>
      <c r="G12683" s="25"/>
      <c r="H12683" s="24" t="str">
        <f>IFERROR(VLOOKUP(B12683,material!A:D,3,0),"")</f>
        <v/>
      </c>
    </row>
    <row r="12684" ht="11.25" customHeight="1">
      <c r="A12684" s="21"/>
      <c r="B12684" s="22"/>
      <c r="C12684" s="21"/>
      <c r="D12684" s="21"/>
      <c r="E12684" s="21"/>
      <c r="F12684" s="21"/>
      <c r="G12684" s="25"/>
      <c r="H12684" s="24" t="str">
        <f>IFERROR(VLOOKUP(B12684,material!A:D,3,0),"")</f>
        <v/>
      </c>
    </row>
    <row r="12685" ht="11.25" customHeight="1">
      <c r="A12685" s="21"/>
      <c r="B12685" s="22"/>
      <c r="C12685" s="21"/>
      <c r="D12685" s="21"/>
      <c r="E12685" s="21"/>
      <c r="F12685" s="21"/>
      <c r="G12685" s="25"/>
      <c r="H12685" s="24" t="str">
        <f>IFERROR(VLOOKUP(B12685,material!A:D,3,0),"")</f>
        <v/>
      </c>
    </row>
    <row r="12686" ht="11.25" customHeight="1">
      <c r="A12686" s="21"/>
      <c r="B12686" s="22"/>
      <c r="C12686" s="21"/>
      <c r="D12686" s="21"/>
      <c r="E12686" s="21"/>
      <c r="F12686" s="21"/>
      <c r="G12686" s="25"/>
      <c r="H12686" s="24" t="str">
        <f>IFERROR(VLOOKUP(B12686,material!A:D,3,0),"")</f>
        <v/>
      </c>
    </row>
    <row r="12687" ht="11.25" customHeight="1">
      <c r="A12687" s="21"/>
      <c r="B12687" s="22"/>
      <c r="C12687" s="21"/>
      <c r="D12687" s="21"/>
      <c r="E12687" s="21"/>
      <c r="F12687" s="21"/>
      <c r="G12687" s="25"/>
      <c r="H12687" s="24" t="str">
        <f>IFERROR(VLOOKUP(B12687,material!A:D,3,0),"")</f>
        <v/>
      </c>
    </row>
    <row r="12688" ht="11.25" customHeight="1">
      <c r="A12688" s="21"/>
      <c r="B12688" s="22"/>
      <c r="C12688" s="21"/>
      <c r="D12688" s="21"/>
      <c r="E12688" s="21"/>
      <c r="F12688" s="21"/>
      <c r="G12688" s="25"/>
      <c r="H12688" s="24" t="str">
        <f>IFERROR(VLOOKUP(B12688,material!A:D,3,0),"")</f>
        <v/>
      </c>
    </row>
    <row r="12689" ht="11.25" customHeight="1">
      <c r="A12689" s="21"/>
      <c r="B12689" s="22"/>
      <c r="C12689" s="21"/>
      <c r="D12689" s="21"/>
      <c r="E12689" s="21"/>
      <c r="F12689" s="21"/>
      <c r="G12689" s="25"/>
      <c r="H12689" s="24" t="str">
        <f>IFERROR(VLOOKUP(B12689,material!A:D,3,0),"")</f>
        <v/>
      </c>
    </row>
    <row r="12690" ht="11.25" customHeight="1">
      <c r="A12690" s="21"/>
      <c r="B12690" s="22"/>
      <c r="C12690" s="21"/>
      <c r="D12690" s="21"/>
      <c r="E12690" s="21"/>
      <c r="F12690" s="21"/>
      <c r="G12690" s="25"/>
      <c r="H12690" s="24" t="str">
        <f>IFERROR(VLOOKUP(B12690,material!A:D,3,0),"")</f>
        <v/>
      </c>
    </row>
    <row r="12691" ht="11.25" customHeight="1">
      <c r="A12691" s="21"/>
      <c r="B12691" s="22"/>
      <c r="C12691" s="21"/>
      <c r="D12691" s="21"/>
      <c r="E12691" s="21"/>
      <c r="F12691" s="21"/>
      <c r="G12691" s="25"/>
      <c r="H12691" s="24" t="str">
        <f>IFERROR(VLOOKUP(B12691,material!A:D,3,0),"")</f>
        <v/>
      </c>
    </row>
    <row r="12692" ht="11.25" customHeight="1">
      <c r="A12692" s="21"/>
      <c r="B12692" s="22"/>
      <c r="C12692" s="21"/>
      <c r="D12692" s="21"/>
      <c r="E12692" s="21"/>
      <c r="F12692" s="21"/>
      <c r="G12692" s="25"/>
      <c r="H12692" s="24" t="str">
        <f>IFERROR(VLOOKUP(B12692,material!A:D,3,0),"")</f>
        <v/>
      </c>
    </row>
    <row r="12693" ht="11.25" customHeight="1">
      <c r="A12693" s="21"/>
      <c r="B12693" s="22"/>
      <c r="C12693" s="21"/>
      <c r="D12693" s="21"/>
      <c r="E12693" s="21"/>
      <c r="F12693" s="21"/>
      <c r="G12693" s="25"/>
      <c r="H12693" s="24" t="str">
        <f>IFERROR(VLOOKUP(B12693,material!A:D,3,0),"")</f>
        <v/>
      </c>
    </row>
    <row r="12694" ht="11.25" customHeight="1">
      <c r="A12694" s="21"/>
      <c r="B12694" s="22"/>
      <c r="C12694" s="21"/>
      <c r="D12694" s="21"/>
      <c r="E12694" s="21"/>
      <c r="F12694" s="21"/>
      <c r="G12694" s="25"/>
      <c r="H12694" s="24" t="str">
        <f>IFERROR(VLOOKUP(B12694,material!A:D,3,0),"")</f>
        <v/>
      </c>
    </row>
    <row r="12695" ht="11.25" customHeight="1">
      <c r="A12695" s="21"/>
      <c r="B12695" s="22"/>
      <c r="C12695" s="21"/>
      <c r="D12695" s="21"/>
      <c r="E12695" s="21"/>
      <c r="F12695" s="21"/>
      <c r="G12695" s="25"/>
      <c r="H12695" s="24" t="str">
        <f>IFERROR(VLOOKUP(B12695,material!A:D,3,0),"")</f>
        <v/>
      </c>
    </row>
    <row r="12696" ht="11.25" customHeight="1">
      <c r="A12696" s="21"/>
      <c r="B12696" s="22"/>
      <c r="C12696" s="21"/>
      <c r="D12696" s="21"/>
      <c r="E12696" s="21"/>
      <c r="F12696" s="21"/>
      <c r="G12696" s="25"/>
      <c r="H12696" s="24" t="str">
        <f>IFERROR(VLOOKUP(B12696,material!A:D,3,0),"")</f>
        <v/>
      </c>
    </row>
    <row r="12697" ht="11.25" customHeight="1">
      <c r="A12697" s="21"/>
      <c r="B12697" s="22"/>
      <c r="C12697" s="21"/>
      <c r="D12697" s="21"/>
      <c r="E12697" s="21"/>
      <c r="F12697" s="21"/>
      <c r="G12697" s="25"/>
      <c r="H12697" s="24" t="str">
        <f>IFERROR(VLOOKUP(B12697,material!A:D,3,0),"")</f>
        <v/>
      </c>
    </row>
    <row r="12698" ht="11.25" customHeight="1">
      <c r="A12698" s="21"/>
      <c r="B12698" s="22"/>
      <c r="C12698" s="21"/>
      <c r="D12698" s="21"/>
      <c r="E12698" s="21"/>
      <c r="F12698" s="21"/>
      <c r="G12698" s="25"/>
      <c r="H12698" s="24" t="str">
        <f>IFERROR(VLOOKUP(B12698,material!A:D,3,0),"")</f>
        <v/>
      </c>
    </row>
    <row r="12699" ht="11.25" customHeight="1">
      <c r="A12699" s="21"/>
      <c r="B12699" s="22"/>
      <c r="C12699" s="21"/>
      <c r="D12699" s="21"/>
      <c r="E12699" s="21"/>
      <c r="F12699" s="21"/>
      <c r="G12699" s="25"/>
      <c r="H12699" s="24" t="str">
        <f>IFERROR(VLOOKUP(B12699,material!A:D,3,0),"")</f>
        <v/>
      </c>
    </row>
    <row r="12700" ht="11.25" customHeight="1">
      <c r="A12700" s="21"/>
      <c r="B12700" s="22"/>
      <c r="C12700" s="21"/>
      <c r="D12700" s="21"/>
      <c r="E12700" s="21"/>
      <c r="F12700" s="21"/>
      <c r="G12700" s="25"/>
      <c r="H12700" s="24" t="str">
        <f>IFERROR(VLOOKUP(B12700,material!A:D,3,0),"")</f>
        <v/>
      </c>
    </row>
    <row r="12701" ht="11.25" customHeight="1">
      <c r="A12701" s="21"/>
      <c r="B12701" s="22"/>
      <c r="C12701" s="21"/>
      <c r="D12701" s="21"/>
      <c r="E12701" s="21"/>
      <c r="F12701" s="21"/>
      <c r="G12701" s="25"/>
      <c r="H12701" s="24" t="str">
        <f>IFERROR(VLOOKUP(B12701,material!A:D,3,0),"")</f>
        <v/>
      </c>
    </row>
    <row r="12702" ht="11.25" customHeight="1">
      <c r="A12702" s="21"/>
      <c r="B12702" s="22"/>
      <c r="C12702" s="21"/>
      <c r="D12702" s="21"/>
      <c r="E12702" s="21"/>
      <c r="F12702" s="21"/>
      <c r="G12702" s="25"/>
      <c r="H12702" s="24" t="str">
        <f>IFERROR(VLOOKUP(B12702,material!A:D,3,0),"")</f>
        <v/>
      </c>
    </row>
    <row r="12703" ht="11.25" customHeight="1">
      <c r="A12703" s="21"/>
      <c r="B12703" s="22"/>
      <c r="C12703" s="21"/>
      <c r="D12703" s="21"/>
      <c r="E12703" s="21"/>
      <c r="F12703" s="21"/>
      <c r="G12703" s="25"/>
      <c r="H12703" s="24" t="str">
        <f>IFERROR(VLOOKUP(B12703,material!A:D,3,0),"")</f>
        <v/>
      </c>
    </row>
    <row r="12704" ht="11.25" customHeight="1">
      <c r="A12704" s="21"/>
      <c r="B12704" s="22"/>
      <c r="C12704" s="21"/>
      <c r="D12704" s="21"/>
      <c r="E12704" s="21"/>
      <c r="F12704" s="21"/>
      <c r="G12704" s="25"/>
      <c r="H12704" s="24" t="str">
        <f>IFERROR(VLOOKUP(B12704,material!A:D,3,0),"")</f>
        <v/>
      </c>
    </row>
    <row r="12705" ht="11.25" customHeight="1">
      <c r="A12705" s="21"/>
      <c r="B12705" s="22"/>
      <c r="C12705" s="21"/>
      <c r="D12705" s="21"/>
      <c r="E12705" s="21"/>
      <c r="F12705" s="21"/>
      <c r="G12705" s="25"/>
      <c r="H12705" s="24" t="str">
        <f>IFERROR(VLOOKUP(B12705,material!A:D,3,0),"")</f>
        <v/>
      </c>
    </row>
    <row r="12706" ht="11.25" customHeight="1">
      <c r="A12706" s="21"/>
      <c r="B12706" s="22"/>
      <c r="C12706" s="21"/>
      <c r="D12706" s="21"/>
      <c r="E12706" s="21"/>
      <c r="F12706" s="21"/>
      <c r="G12706" s="25"/>
      <c r="H12706" s="24" t="str">
        <f>IFERROR(VLOOKUP(B12706,material!A:D,3,0),"")</f>
        <v/>
      </c>
    </row>
    <row r="12707" ht="11.25" customHeight="1">
      <c r="A12707" s="21"/>
      <c r="B12707" s="22"/>
      <c r="C12707" s="21"/>
      <c r="D12707" s="21"/>
      <c r="E12707" s="21"/>
      <c r="F12707" s="21"/>
      <c r="G12707" s="25"/>
      <c r="H12707" s="24" t="str">
        <f>IFERROR(VLOOKUP(B12707,material!A:D,3,0),"")</f>
        <v/>
      </c>
    </row>
    <row r="12708" ht="11.25" customHeight="1">
      <c r="A12708" s="21"/>
      <c r="B12708" s="22"/>
      <c r="C12708" s="21"/>
      <c r="D12708" s="21"/>
      <c r="E12708" s="21"/>
      <c r="F12708" s="21"/>
      <c r="G12708" s="25"/>
      <c r="H12708" s="24" t="str">
        <f>IFERROR(VLOOKUP(B12708,material!A:D,3,0),"")</f>
        <v/>
      </c>
    </row>
    <row r="12709" ht="11.25" customHeight="1">
      <c r="A12709" s="21"/>
      <c r="B12709" s="22"/>
      <c r="C12709" s="21"/>
      <c r="D12709" s="21"/>
      <c r="E12709" s="21"/>
      <c r="F12709" s="21"/>
      <c r="G12709" s="25"/>
      <c r="H12709" s="24" t="str">
        <f>IFERROR(VLOOKUP(B12709,material!A:D,3,0),"")</f>
        <v/>
      </c>
    </row>
    <row r="12710" ht="11.25" customHeight="1">
      <c r="A12710" s="21"/>
      <c r="B12710" s="22"/>
      <c r="C12710" s="21"/>
      <c r="D12710" s="21"/>
      <c r="E12710" s="21"/>
      <c r="F12710" s="21"/>
      <c r="G12710" s="25"/>
      <c r="H12710" s="24" t="str">
        <f>IFERROR(VLOOKUP(B12710,material!A:D,3,0),"")</f>
        <v/>
      </c>
    </row>
    <row r="12711" ht="11.25" customHeight="1">
      <c r="A12711" s="21"/>
      <c r="B12711" s="22"/>
      <c r="C12711" s="21"/>
      <c r="D12711" s="21"/>
      <c r="E12711" s="21"/>
      <c r="F12711" s="21"/>
      <c r="G12711" s="25"/>
      <c r="H12711" s="24" t="str">
        <f>IFERROR(VLOOKUP(B12711,material!A:D,3,0),"")</f>
        <v/>
      </c>
    </row>
    <row r="12712" ht="11.25" customHeight="1">
      <c r="A12712" s="21"/>
      <c r="B12712" s="22"/>
      <c r="C12712" s="21"/>
      <c r="D12712" s="21"/>
      <c r="E12712" s="21"/>
      <c r="F12712" s="21"/>
      <c r="G12712" s="25"/>
      <c r="H12712" s="24" t="str">
        <f>IFERROR(VLOOKUP(B12712,material!A:D,3,0),"")</f>
        <v/>
      </c>
    </row>
    <row r="12713" ht="11.25" customHeight="1">
      <c r="A12713" s="21"/>
      <c r="B12713" s="22"/>
      <c r="C12713" s="21"/>
      <c r="D12713" s="21"/>
      <c r="E12713" s="21"/>
      <c r="F12713" s="21"/>
      <c r="G12713" s="25"/>
      <c r="H12713" s="24" t="str">
        <f>IFERROR(VLOOKUP(B12713,material!A:D,3,0),"")</f>
        <v/>
      </c>
    </row>
    <row r="12714" ht="11.25" customHeight="1">
      <c r="A12714" s="21"/>
      <c r="B12714" s="22"/>
      <c r="C12714" s="21"/>
      <c r="D12714" s="21"/>
      <c r="E12714" s="21"/>
      <c r="F12714" s="21"/>
      <c r="G12714" s="25"/>
      <c r="H12714" s="24" t="str">
        <f>IFERROR(VLOOKUP(B12714,material!A:D,3,0),"")</f>
        <v/>
      </c>
    </row>
    <row r="12715" ht="11.25" customHeight="1">
      <c r="A12715" s="21"/>
      <c r="B12715" s="22"/>
      <c r="C12715" s="21"/>
      <c r="D12715" s="21"/>
      <c r="E12715" s="21"/>
      <c r="F12715" s="21"/>
      <c r="G12715" s="25"/>
      <c r="H12715" s="24" t="str">
        <f>IFERROR(VLOOKUP(B12715,material!A:D,3,0),"")</f>
        <v/>
      </c>
    </row>
    <row r="12716" ht="11.25" customHeight="1">
      <c r="A12716" s="21"/>
      <c r="B12716" s="22"/>
      <c r="C12716" s="21"/>
      <c r="D12716" s="21"/>
      <c r="E12716" s="21"/>
      <c r="F12716" s="21"/>
      <c r="G12716" s="25"/>
      <c r="H12716" s="24" t="str">
        <f>IFERROR(VLOOKUP(B12716,material!A:D,3,0),"")</f>
        <v/>
      </c>
    </row>
    <row r="12717" ht="11.25" customHeight="1">
      <c r="A12717" s="21"/>
      <c r="B12717" s="22"/>
      <c r="C12717" s="21"/>
      <c r="D12717" s="21"/>
      <c r="E12717" s="21"/>
      <c r="F12717" s="21"/>
      <c r="G12717" s="25"/>
      <c r="H12717" s="24" t="str">
        <f>IFERROR(VLOOKUP(B12717,material!A:D,3,0),"")</f>
        <v/>
      </c>
    </row>
    <row r="12718" ht="11.25" customHeight="1">
      <c r="A12718" s="21"/>
      <c r="B12718" s="22"/>
      <c r="C12718" s="21"/>
      <c r="D12718" s="21"/>
      <c r="E12718" s="21"/>
      <c r="F12718" s="21"/>
      <c r="G12718" s="25"/>
      <c r="H12718" s="24" t="str">
        <f>IFERROR(VLOOKUP(B12718,material!A:D,3,0),"")</f>
        <v/>
      </c>
    </row>
    <row r="12719" ht="11.25" customHeight="1">
      <c r="A12719" s="21"/>
      <c r="B12719" s="22"/>
      <c r="C12719" s="21"/>
      <c r="D12719" s="21"/>
      <c r="E12719" s="21"/>
      <c r="F12719" s="21"/>
      <c r="G12719" s="25"/>
      <c r="H12719" s="24" t="str">
        <f>IFERROR(VLOOKUP(B12719,material!A:D,3,0),"")</f>
        <v/>
      </c>
    </row>
    <row r="12720" ht="11.25" customHeight="1">
      <c r="A12720" s="21"/>
      <c r="B12720" s="22"/>
      <c r="C12720" s="21"/>
      <c r="D12720" s="21"/>
      <c r="E12720" s="21"/>
      <c r="F12720" s="21"/>
      <c r="G12720" s="25"/>
      <c r="H12720" s="24" t="str">
        <f>IFERROR(VLOOKUP(B12720,material!A:D,3,0),"")</f>
        <v/>
      </c>
    </row>
    <row r="12721" ht="11.25" customHeight="1">
      <c r="A12721" s="21"/>
      <c r="B12721" s="22"/>
      <c r="C12721" s="21"/>
      <c r="D12721" s="21"/>
      <c r="E12721" s="21"/>
      <c r="F12721" s="21"/>
      <c r="G12721" s="25"/>
      <c r="H12721" s="24" t="str">
        <f>IFERROR(VLOOKUP(B12721,material!A:D,3,0),"")</f>
        <v/>
      </c>
    </row>
    <row r="12722" ht="11.25" customHeight="1">
      <c r="A12722" s="21"/>
      <c r="B12722" s="22"/>
      <c r="C12722" s="21"/>
      <c r="D12722" s="21"/>
      <c r="E12722" s="21"/>
      <c r="F12722" s="21"/>
      <c r="G12722" s="25"/>
      <c r="H12722" s="24" t="str">
        <f>IFERROR(VLOOKUP(B12722,material!A:D,3,0),"")</f>
        <v/>
      </c>
    </row>
    <row r="12723" ht="11.25" customHeight="1">
      <c r="A12723" s="21"/>
      <c r="B12723" s="22"/>
      <c r="C12723" s="21"/>
      <c r="D12723" s="21"/>
      <c r="E12723" s="21"/>
      <c r="F12723" s="21"/>
      <c r="G12723" s="25"/>
      <c r="H12723" s="24" t="str">
        <f>IFERROR(VLOOKUP(B12723,material!A:D,3,0),"")</f>
        <v/>
      </c>
    </row>
    <row r="12724" ht="11.25" customHeight="1">
      <c r="A12724" s="21"/>
      <c r="B12724" s="22"/>
      <c r="C12724" s="21"/>
      <c r="D12724" s="21"/>
      <c r="E12724" s="21"/>
      <c r="F12724" s="21"/>
      <c r="G12724" s="25"/>
      <c r="H12724" s="24" t="str">
        <f>IFERROR(VLOOKUP(B12724,material!A:D,3,0),"")</f>
        <v/>
      </c>
    </row>
    <row r="12725" ht="11.25" customHeight="1">
      <c r="A12725" s="21"/>
      <c r="B12725" s="22"/>
      <c r="C12725" s="21"/>
      <c r="D12725" s="21"/>
      <c r="E12725" s="21"/>
      <c r="F12725" s="21"/>
      <c r="G12725" s="25"/>
      <c r="H12725" s="24" t="str">
        <f>IFERROR(VLOOKUP(B12725,material!A:D,3,0),"")</f>
        <v/>
      </c>
    </row>
    <row r="12726" ht="11.25" customHeight="1">
      <c r="A12726" s="21"/>
      <c r="B12726" s="22"/>
      <c r="C12726" s="21"/>
      <c r="D12726" s="21"/>
      <c r="E12726" s="21"/>
      <c r="F12726" s="21"/>
      <c r="G12726" s="25"/>
      <c r="H12726" s="24" t="str">
        <f>IFERROR(VLOOKUP(B12726,material!A:D,3,0),"")</f>
        <v/>
      </c>
    </row>
    <row r="12727" ht="11.25" customHeight="1">
      <c r="A12727" s="21"/>
      <c r="B12727" s="22"/>
      <c r="C12727" s="21"/>
      <c r="D12727" s="21"/>
      <c r="E12727" s="21"/>
      <c r="F12727" s="21"/>
      <c r="G12727" s="25"/>
      <c r="H12727" s="24" t="str">
        <f>IFERROR(VLOOKUP(B12727,material!A:D,3,0),"")</f>
        <v/>
      </c>
    </row>
    <row r="12728" ht="11.25" customHeight="1">
      <c r="A12728" s="21"/>
      <c r="B12728" s="22"/>
      <c r="C12728" s="21"/>
      <c r="D12728" s="21"/>
      <c r="E12728" s="21"/>
      <c r="F12728" s="21"/>
      <c r="G12728" s="25"/>
      <c r="H12728" s="24" t="str">
        <f>IFERROR(VLOOKUP(B12728,material!A:D,3,0),"")</f>
        <v/>
      </c>
    </row>
    <row r="12729" ht="11.25" customHeight="1">
      <c r="A12729" s="21"/>
      <c r="B12729" s="22"/>
      <c r="C12729" s="21"/>
      <c r="D12729" s="21"/>
      <c r="E12729" s="21"/>
      <c r="F12729" s="21"/>
      <c r="G12729" s="25"/>
      <c r="H12729" s="24" t="str">
        <f>IFERROR(VLOOKUP(B12729,material!A:D,3,0),"")</f>
        <v/>
      </c>
    </row>
    <row r="12730" ht="11.25" customHeight="1">
      <c r="A12730" s="21"/>
      <c r="B12730" s="22"/>
      <c r="C12730" s="21"/>
      <c r="D12730" s="21"/>
      <c r="E12730" s="21"/>
      <c r="F12730" s="21"/>
      <c r="G12730" s="25"/>
      <c r="H12730" s="24" t="str">
        <f>IFERROR(VLOOKUP(B12730,material!A:D,3,0),"")</f>
        <v/>
      </c>
    </row>
    <row r="12731" ht="11.25" customHeight="1">
      <c r="A12731" s="21"/>
      <c r="B12731" s="22"/>
      <c r="C12731" s="21"/>
      <c r="D12731" s="21"/>
      <c r="E12731" s="21"/>
      <c r="F12731" s="21"/>
      <c r="G12731" s="25"/>
      <c r="H12731" s="24" t="str">
        <f>IFERROR(VLOOKUP(B12731,material!A:D,3,0),"")</f>
        <v/>
      </c>
    </row>
    <row r="12732" ht="11.25" customHeight="1">
      <c r="A12732" s="21"/>
      <c r="B12732" s="22"/>
      <c r="C12732" s="21"/>
      <c r="D12732" s="21"/>
      <c r="E12732" s="21"/>
      <c r="F12732" s="21"/>
      <c r="G12732" s="25"/>
      <c r="H12732" s="24" t="str">
        <f>IFERROR(VLOOKUP(B12732,material!A:D,3,0),"")</f>
        <v/>
      </c>
    </row>
    <row r="12733" ht="11.25" customHeight="1">
      <c r="A12733" s="21"/>
      <c r="B12733" s="22"/>
      <c r="C12733" s="21"/>
      <c r="D12733" s="21"/>
      <c r="E12733" s="21"/>
      <c r="F12733" s="21"/>
      <c r="G12733" s="25"/>
      <c r="H12733" s="24" t="str">
        <f>IFERROR(VLOOKUP(B12733,material!A:D,3,0),"")</f>
        <v/>
      </c>
    </row>
    <row r="12734" ht="11.25" customHeight="1">
      <c r="A12734" s="21"/>
      <c r="B12734" s="22"/>
      <c r="C12734" s="21"/>
      <c r="D12734" s="21"/>
      <c r="E12734" s="21"/>
      <c r="F12734" s="21"/>
      <c r="G12734" s="25"/>
      <c r="H12734" s="24" t="str">
        <f>IFERROR(VLOOKUP(B12734,material!A:D,3,0),"")</f>
        <v/>
      </c>
    </row>
    <row r="12735" ht="11.25" customHeight="1">
      <c r="A12735" s="21"/>
      <c r="B12735" s="22"/>
      <c r="C12735" s="21"/>
      <c r="D12735" s="21"/>
      <c r="E12735" s="21"/>
      <c r="F12735" s="21"/>
      <c r="G12735" s="25"/>
      <c r="H12735" s="24" t="str">
        <f>IFERROR(VLOOKUP(B12735,material!A:D,3,0),"")</f>
        <v/>
      </c>
    </row>
    <row r="12736" ht="11.25" customHeight="1">
      <c r="A12736" s="21"/>
      <c r="B12736" s="22"/>
      <c r="C12736" s="21"/>
      <c r="D12736" s="21"/>
      <c r="E12736" s="21"/>
      <c r="F12736" s="21"/>
      <c r="G12736" s="25"/>
      <c r="H12736" s="24" t="str">
        <f>IFERROR(VLOOKUP(B12736,material!A:D,3,0),"")</f>
        <v/>
      </c>
    </row>
    <row r="12737" ht="11.25" customHeight="1">
      <c r="A12737" s="21"/>
      <c r="B12737" s="22"/>
      <c r="C12737" s="21"/>
      <c r="D12737" s="21"/>
      <c r="E12737" s="21"/>
      <c r="F12737" s="21"/>
      <c r="G12737" s="25"/>
      <c r="H12737" s="24" t="str">
        <f>IFERROR(VLOOKUP(B12737,material!A:D,3,0),"")</f>
        <v/>
      </c>
    </row>
    <row r="12738" ht="11.25" customHeight="1">
      <c r="A12738" s="21"/>
      <c r="B12738" s="22"/>
      <c r="C12738" s="21"/>
      <c r="D12738" s="21"/>
      <c r="E12738" s="21"/>
      <c r="F12738" s="21"/>
      <c r="G12738" s="25"/>
      <c r="H12738" s="24" t="str">
        <f>IFERROR(VLOOKUP(B12738,material!A:D,3,0),"")</f>
        <v/>
      </c>
    </row>
    <row r="12739" ht="11.25" customHeight="1">
      <c r="A12739" s="21"/>
      <c r="B12739" s="22"/>
      <c r="C12739" s="21"/>
      <c r="D12739" s="21"/>
      <c r="E12739" s="21"/>
      <c r="F12739" s="21"/>
      <c r="G12739" s="25"/>
      <c r="H12739" s="24" t="str">
        <f>IFERROR(VLOOKUP(B12739,material!A:D,3,0),"")</f>
        <v/>
      </c>
    </row>
    <row r="12740" ht="11.25" customHeight="1">
      <c r="A12740" s="21"/>
      <c r="B12740" s="22"/>
      <c r="C12740" s="21"/>
      <c r="D12740" s="21"/>
      <c r="E12740" s="21"/>
      <c r="F12740" s="21"/>
      <c r="G12740" s="25"/>
      <c r="H12740" s="24" t="str">
        <f>IFERROR(VLOOKUP(B12740,material!A:D,3,0),"")</f>
        <v/>
      </c>
    </row>
    <row r="12741" ht="11.25" customHeight="1">
      <c r="A12741" s="21"/>
      <c r="B12741" s="22"/>
      <c r="C12741" s="21"/>
      <c r="D12741" s="21"/>
      <c r="E12741" s="21"/>
      <c r="F12741" s="21"/>
      <c r="G12741" s="25"/>
      <c r="H12741" s="24" t="str">
        <f>IFERROR(VLOOKUP(B12741,material!A:D,3,0),"")</f>
        <v/>
      </c>
    </row>
    <row r="12742" ht="11.25" customHeight="1">
      <c r="A12742" s="21"/>
      <c r="B12742" s="22"/>
      <c r="C12742" s="21"/>
      <c r="D12742" s="21"/>
      <c r="E12742" s="21"/>
      <c r="F12742" s="21"/>
      <c r="G12742" s="25"/>
      <c r="H12742" s="24" t="str">
        <f>IFERROR(VLOOKUP(B12742,material!A:D,3,0),"")</f>
        <v/>
      </c>
    </row>
    <row r="12743" ht="11.25" customHeight="1">
      <c r="A12743" s="21"/>
      <c r="B12743" s="22"/>
      <c r="C12743" s="21"/>
      <c r="D12743" s="21"/>
      <c r="E12743" s="21"/>
      <c r="F12743" s="21"/>
      <c r="G12743" s="25"/>
      <c r="H12743" s="24" t="str">
        <f>IFERROR(VLOOKUP(B12743,material!A:D,3,0),"")</f>
        <v/>
      </c>
    </row>
    <row r="12744" ht="11.25" customHeight="1">
      <c r="A12744" s="21"/>
      <c r="B12744" s="22"/>
      <c r="C12744" s="21"/>
      <c r="D12744" s="21"/>
      <c r="E12744" s="21"/>
      <c r="F12744" s="21"/>
      <c r="G12744" s="25"/>
      <c r="H12744" s="24" t="str">
        <f>IFERROR(VLOOKUP(B12744,material!A:D,3,0),"")</f>
        <v/>
      </c>
    </row>
    <row r="12745" ht="11.25" customHeight="1">
      <c r="A12745" s="21"/>
      <c r="B12745" s="22"/>
      <c r="C12745" s="21"/>
      <c r="D12745" s="21"/>
      <c r="E12745" s="21"/>
      <c r="F12745" s="21"/>
      <c r="G12745" s="25"/>
      <c r="H12745" s="24" t="str">
        <f>IFERROR(VLOOKUP(B12745,material!A:D,3,0),"")</f>
        <v/>
      </c>
    </row>
    <row r="12746" ht="11.25" customHeight="1">
      <c r="A12746" s="21"/>
      <c r="B12746" s="22"/>
      <c r="C12746" s="21"/>
      <c r="D12746" s="21"/>
      <c r="E12746" s="21"/>
      <c r="F12746" s="21"/>
      <c r="G12746" s="25"/>
      <c r="H12746" s="24" t="str">
        <f>IFERROR(VLOOKUP(B12746,material!A:D,3,0),"")</f>
        <v/>
      </c>
    </row>
    <row r="12747" ht="11.25" customHeight="1">
      <c r="A12747" s="21"/>
      <c r="B12747" s="22"/>
      <c r="C12747" s="21"/>
      <c r="D12747" s="21"/>
      <c r="E12747" s="21"/>
      <c r="F12747" s="21"/>
      <c r="G12747" s="25"/>
      <c r="H12747" s="24" t="str">
        <f>IFERROR(VLOOKUP(B12747,material!A:D,3,0),"")</f>
        <v/>
      </c>
    </row>
    <row r="12748" ht="11.25" customHeight="1">
      <c r="A12748" s="21"/>
      <c r="B12748" s="22"/>
      <c r="C12748" s="21"/>
      <c r="D12748" s="21"/>
      <c r="E12748" s="21"/>
      <c r="F12748" s="21"/>
      <c r="G12748" s="25"/>
      <c r="H12748" s="24" t="str">
        <f>IFERROR(VLOOKUP(B12748,material!A:D,3,0),"")</f>
        <v/>
      </c>
    </row>
    <row r="12749" ht="11.25" customHeight="1">
      <c r="A12749" s="21"/>
      <c r="B12749" s="22"/>
      <c r="C12749" s="21"/>
      <c r="D12749" s="21"/>
      <c r="E12749" s="21"/>
      <c r="F12749" s="21"/>
      <c r="G12749" s="25"/>
      <c r="H12749" s="24" t="str">
        <f>IFERROR(VLOOKUP(B12749,material!A:D,3,0),"")</f>
        <v/>
      </c>
    </row>
    <row r="12750" ht="11.25" customHeight="1">
      <c r="A12750" s="21"/>
      <c r="B12750" s="22"/>
      <c r="C12750" s="21"/>
      <c r="D12750" s="21"/>
      <c r="E12750" s="21"/>
      <c r="F12750" s="21"/>
      <c r="G12750" s="25"/>
      <c r="H12750" s="24" t="str">
        <f>IFERROR(VLOOKUP(B12750,material!A:D,3,0),"")</f>
        <v/>
      </c>
    </row>
    <row r="12751" ht="11.25" customHeight="1">
      <c r="A12751" s="21"/>
      <c r="B12751" s="22"/>
      <c r="C12751" s="21"/>
      <c r="D12751" s="21"/>
      <c r="E12751" s="21"/>
      <c r="F12751" s="21"/>
      <c r="G12751" s="25"/>
      <c r="H12751" s="24" t="str">
        <f>IFERROR(VLOOKUP(B12751,material!A:D,3,0),"")</f>
        <v/>
      </c>
    </row>
    <row r="12752" ht="11.25" customHeight="1">
      <c r="A12752" s="21"/>
      <c r="B12752" s="22"/>
      <c r="C12752" s="21"/>
      <c r="D12752" s="21"/>
      <c r="E12752" s="21"/>
      <c r="F12752" s="21"/>
      <c r="G12752" s="25"/>
      <c r="H12752" s="24" t="str">
        <f>IFERROR(VLOOKUP(B12752,material!A:D,3,0),"")</f>
        <v/>
      </c>
    </row>
    <row r="12753" ht="11.25" customHeight="1">
      <c r="A12753" s="21"/>
      <c r="B12753" s="22"/>
      <c r="C12753" s="21"/>
      <c r="D12753" s="21"/>
      <c r="E12753" s="21"/>
      <c r="F12753" s="21"/>
      <c r="G12753" s="25"/>
      <c r="H12753" s="24" t="str">
        <f>IFERROR(VLOOKUP(B12753,material!A:D,3,0),"")</f>
        <v/>
      </c>
    </row>
    <row r="12754" ht="11.25" customHeight="1">
      <c r="A12754" s="21"/>
      <c r="B12754" s="22"/>
      <c r="C12754" s="21"/>
      <c r="D12754" s="21"/>
      <c r="E12754" s="21"/>
      <c r="F12754" s="21"/>
      <c r="G12754" s="25"/>
      <c r="H12754" s="24" t="str">
        <f>IFERROR(VLOOKUP(B12754,material!A:D,3,0),"")</f>
        <v/>
      </c>
    </row>
    <row r="12755" ht="11.25" customHeight="1">
      <c r="A12755" s="21"/>
      <c r="B12755" s="22"/>
      <c r="C12755" s="21"/>
      <c r="D12755" s="21"/>
      <c r="E12755" s="21"/>
      <c r="F12755" s="21"/>
      <c r="G12755" s="25"/>
      <c r="H12755" s="24" t="str">
        <f>IFERROR(VLOOKUP(B12755,material!A:D,3,0),"")</f>
        <v/>
      </c>
    </row>
    <row r="12756" ht="11.25" customHeight="1">
      <c r="A12756" s="21"/>
      <c r="B12756" s="22"/>
      <c r="C12756" s="21"/>
      <c r="D12756" s="21"/>
      <c r="E12756" s="21"/>
      <c r="F12756" s="21"/>
      <c r="G12756" s="25"/>
      <c r="H12756" s="24" t="str">
        <f>IFERROR(VLOOKUP(B12756,material!A:D,3,0),"")</f>
        <v/>
      </c>
    </row>
    <row r="12757" ht="11.25" customHeight="1">
      <c r="A12757" s="21"/>
      <c r="B12757" s="22"/>
      <c r="C12757" s="21"/>
      <c r="D12757" s="21"/>
      <c r="E12757" s="21"/>
      <c r="F12757" s="21"/>
      <c r="G12757" s="25"/>
      <c r="H12757" s="24" t="str">
        <f>IFERROR(VLOOKUP(B12757,material!A:D,3,0),"")</f>
        <v/>
      </c>
    </row>
    <row r="12758" ht="11.25" customHeight="1">
      <c r="A12758" s="21"/>
      <c r="B12758" s="22"/>
      <c r="C12758" s="21"/>
      <c r="D12758" s="21"/>
      <c r="E12758" s="21"/>
      <c r="F12758" s="21"/>
      <c r="G12758" s="25"/>
      <c r="H12758" s="24" t="str">
        <f>IFERROR(VLOOKUP(B12758,material!A:D,3,0),"")</f>
        <v/>
      </c>
    </row>
    <row r="12759" ht="11.25" customHeight="1">
      <c r="A12759" s="21"/>
      <c r="B12759" s="22"/>
      <c r="C12759" s="21"/>
      <c r="D12759" s="21"/>
      <c r="E12759" s="21"/>
      <c r="F12759" s="21"/>
      <c r="G12759" s="25"/>
      <c r="H12759" s="24" t="str">
        <f>IFERROR(VLOOKUP(B12759,material!A:D,3,0),"")</f>
        <v/>
      </c>
    </row>
    <row r="12760" ht="11.25" customHeight="1">
      <c r="A12760" s="21"/>
      <c r="B12760" s="22"/>
      <c r="C12760" s="21"/>
      <c r="D12760" s="21"/>
      <c r="E12760" s="21"/>
      <c r="F12760" s="21"/>
      <c r="G12760" s="25"/>
      <c r="H12760" s="24" t="str">
        <f>IFERROR(VLOOKUP(B12760,material!A:D,3,0),"")</f>
        <v/>
      </c>
    </row>
    <row r="12761" ht="11.25" customHeight="1">
      <c r="A12761" s="21"/>
      <c r="B12761" s="22"/>
      <c r="C12761" s="21"/>
      <c r="D12761" s="21"/>
      <c r="E12761" s="21"/>
      <c r="F12761" s="21"/>
      <c r="G12761" s="25"/>
      <c r="H12761" s="24" t="str">
        <f>IFERROR(VLOOKUP(B12761,material!A:D,3,0),"")</f>
        <v/>
      </c>
    </row>
    <row r="12762" ht="11.25" customHeight="1">
      <c r="A12762" s="21"/>
      <c r="B12762" s="22"/>
      <c r="C12762" s="21"/>
      <c r="D12762" s="21"/>
      <c r="E12762" s="21"/>
      <c r="F12762" s="21"/>
      <c r="G12762" s="25"/>
      <c r="H12762" s="24" t="str">
        <f>IFERROR(VLOOKUP(B12762,material!A:D,3,0),"")</f>
        <v/>
      </c>
    </row>
    <row r="12763" ht="11.25" customHeight="1">
      <c r="A12763" s="21"/>
      <c r="B12763" s="22"/>
      <c r="C12763" s="21"/>
      <c r="D12763" s="21"/>
      <c r="E12763" s="21"/>
      <c r="F12763" s="21"/>
      <c r="G12763" s="25"/>
      <c r="H12763" s="24" t="str">
        <f>IFERROR(VLOOKUP(B12763,material!A:D,3,0),"")</f>
        <v/>
      </c>
    </row>
    <row r="12764" ht="11.25" customHeight="1">
      <c r="A12764" s="21"/>
      <c r="B12764" s="22"/>
      <c r="C12764" s="21"/>
      <c r="D12764" s="21"/>
      <c r="E12764" s="21"/>
      <c r="F12764" s="21"/>
      <c r="G12764" s="25"/>
      <c r="H12764" s="24" t="str">
        <f>IFERROR(VLOOKUP(B12764,material!A:D,3,0),"")</f>
        <v/>
      </c>
    </row>
    <row r="12765" ht="11.25" customHeight="1">
      <c r="A12765" s="21"/>
      <c r="B12765" s="22"/>
      <c r="C12765" s="21"/>
      <c r="D12765" s="21"/>
      <c r="E12765" s="21"/>
      <c r="F12765" s="21"/>
      <c r="G12765" s="25"/>
      <c r="H12765" s="24" t="str">
        <f>IFERROR(VLOOKUP(B12765,material!A:D,3,0),"")</f>
        <v/>
      </c>
    </row>
    <row r="12766" ht="11.25" customHeight="1">
      <c r="A12766" s="21"/>
      <c r="B12766" s="22"/>
      <c r="C12766" s="21"/>
      <c r="D12766" s="21"/>
      <c r="E12766" s="21"/>
      <c r="F12766" s="21"/>
      <c r="G12766" s="25"/>
      <c r="H12766" s="24" t="str">
        <f>IFERROR(VLOOKUP(B12766,material!A:D,3,0),"")</f>
        <v/>
      </c>
    </row>
    <row r="12767" ht="11.25" customHeight="1">
      <c r="A12767" s="21"/>
      <c r="B12767" s="22"/>
      <c r="C12767" s="21"/>
      <c r="D12767" s="21"/>
      <c r="E12767" s="21"/>
      <c r="F12767" s="21"/>
      <c r="G12767" s="25"/>
      <c r="H12767" s="24" t="str">
        <f>IFERROR(VLOOKUP(B12767,material!A:D,3,0),"")</f>
        <v/>
      </c>
    </row>
    <row r="12768" ht="11.25" customHeight="1">
      <c r="A12768" s="21"/>
      <c r="B12768" s="22"/>
      <c r="C12768" s="21"/>
      <c r="D12768" s="21"/>
      <c r="E12768" s="21"/>
      <c r="F12768" s="21"/>
      <c r="G12768" s="25"/>
      <c r="H12768" s="24" t="str">
        <f>IFERROR(VLOOKUP(B12768,material!A:D,3,0),"")</f>
        <v/>
      </c>
    </row>
    <row r="12769" ht="11.25" customHeight="1">
      <c r="A12769" s="21"/>
      <c r="B12769" s="22"/>
      <c r="C12769" s="21"/>
      <c r="D12769" s="21"/>
      <c r="E12769" s="21"/>
      <c r="F12769" s="21"/>
      <c r="G12769" s="25"/>
      <c r="H12769" s="24" t="str">
        <f>IFERROR(VLOOKUP(B12769,material!A:D,3,0),"")</f>
        <v/>
      </c>
    </row>
    <row r="12770" ht="11.25" customHeight="1">
      <c r="A12770" s="21"/>
      <c r="B12770" s="22"/>
      <c r="C12770" s="21"/>
      <c r="D12770" s="21"/>
      <c r="E12770" s="21"/>
      <c r="F12770" s="21"/>
      <c r="G12770" s="25"/>
      <c r="H12770" s="24" t="str">
        <f>IFERROR(VLOOKUP(B12770,material!A:D,3,0),"")</f>
        <v/>
      </c>
    </row>
    <row r="12771" ht="11.25" customHeight="1">
      <c r="A12771" s="21"/>
      <c r="B12771" s="22"/>
      <c r="C12771" s="21"/>
      <c r="D12771" s="21"/>
      <c r="E12771" s="21"/>
      <c r="F12771" s="21"/>
      <c r="G12771" s="25"/>
      <c r="H12771" s="24" t="str">
        <f>IFERROR(VLOOKUP(B12771,material!A:D,3,0),"")</f>
        <v/>
      </c>
    </row>
    <row r="12772" ht="11.25" customHeight="1">
      <c r="A12772" s="21"/>
      <c r="B12772" s="22"/>
      <c r="C12772" s="21"/>
      <c r="D12772" s="21"/>
      <c r="E12772" s="21"/>
      <c r="F12772" s="21"/>
      <c r="G12772" s="25"/>
      <c r="H12772" s="24" t="str">
        <f>IFERROR(VLOOKUP(B12772,material!A:D,3,0),"")</f>
        <v/>
      </c>
    </row>
    <row r="12773" ht="11.25" customHeight="1">
      <c r="A12773" s="21"/>
      <c r="B12773" s="22"/>
      <c r="C12773" s="21"/>
      <c r="D12773" s="21"/>
      <c r="E12773" s="21"/>
      <c r="F12773" s="21"/>
      <c r="G12773" s="25"/>
      <c r="H12773" s="24" t="str">
        <f>IFERROR(VLOOKUP(B12773,material!A:D,3,0),"")</f>
        <v/>
      </c>
    </row>
    <row r="12774" ht="11.25" customHeight="1">
      <c r="A12774" s="21"/>
      <c r="B12774" s="22"/>
      <c r="C12774" s="21"/>
      <c r="D12774" s="21"/>
      <c r="E12774" s="21"/>
      <c r="F12774" s="21"/>
      <c r="G12774" s="25"/>
      <c r="H12774" s="24" t="str">
        <f>IFERROR(VLOOKUP(B12774,material!A:D,3,0),"")</f>
        <v/>
      </c>
    </row>
    <row r="12775" ht="11.25" customHeight="1">
      <c r="A12775" s="21"/>
      <c r="B12775" s="22"/>
      <c r="C12775" s="21"/>
      <c r="D12775" s="21"/>
      <c r="E12775" s="21"/>
      <c r="F12775" s="21"/>
      <c r="G12775" s="25"/>
      <c r="H12775" s="24" t="str">
        <f>IFERROR(VLOOKUP(B12775,material!A:D,3,0),"")</f>
        <v/>
      </c>
    </row>
    <row r="12776" ht="11.25" customHeight="1">
      <c r="A12776" s="21"/>
      <c r="B12776" s="22"/>
      <c r="C12776" s="21"/>
      <c r="D12776" s="21"/>
      <c r="E12776" s="21"/>
      <c r="F12776" s="21"/>
      <c r="G12776" s="25"/>
      <c r="H12776" s="24" t="str">
        <f>IFERROR(VLOOKUP(B12776,material!A:D,3,0),"")</f>
        <v/>
      </c>
    </row>
    <row r="12777" ht="11.25" customHeight="1">
      <c r="A12777" s="21"/>
      <c r="B12777" s="22"/>
      <c r="C12777" s="21"/>
      <c r="D12777" s="21"/>
      <c r="E12777" s="21"/>
      <c r="F12777" s="21"/>
      <c r="G12777" s="25"/>
      <c r="H12777" s="24" t="str">
        <f>IFERROR(VLOOKUP(B12777,material!A:D,3,0),"")</f>
        <v/>
      </c>
    </row>
    <row r="12778" ht="11.25" customHeight="1">
      <c r="A12778" s="21"/>
      <c r="B12778" s="22"/>
      <c r="C12778" s="21"/>
      <c r="D12778" s="21"/>
      <c r="E12778" s="21"/>
      <c r="F12778" s="21"/>
      <c r="G12778" s="25"/>
      <c r="H12778" s="24" t="str">
        <f>IFERROR(VLOOKUP(B12778,material!A:D,3,0),"")</f>
        <v/>
      </c>
    </row>
    <row r="12779" ht="11.25" customHeight="1">
      <c r="A12779" s="21"/>
      <c r="B12779" s="22"/>
      <c r="C12779" s="21"/>
      <c r="D12779" s="21"/>
      <c r="E12779" s="21"/>
      <c r="F12779" s="21"/>
      <c r="G12779" s="25"/>
      <c r="H12779" s="24" t="str">
        <f>IFERROR(VLOOKUP(B12779,material!A:D,3,0),"")</f>
        <v/>
      </c>
    </row>
    <row r="12780" ht="11.25" customHeight="1">
      <c r="A12780" s="21"/>
      <c r="B12780" s="22"/>
      <c r="C12780" s="21"/>
      <c r="D12780" s="21"/>
      <c r="E12780" s="21"/>
      <c r="F12780" s="21"/>
      <c r="G12780" s="25"/>
      <c r="H12780" s="24" t="str">
        <f>IFERROR(VLOOKUP(B12780,material!A:D,3,0),"")</f>
        <v/>
      </c>
    </row>
    <row r="12781" ht="11.25" customHeight="1">
      <c r="A12781" s="21"/>
      <c r="B12781" s="22"/>
      <c r="C12781" s="21"/>
      <c r="D12781" s="21"/>
      <c r="E12781" s="21"/>
      <c r="F12781" s="21"/>
      <c r="G12781" s="25"/>
      <c r="H12781" s="24" t="str">
        <f>IFERROR(VLOOKUP(B12781,material!A:D,3,0),"")</f>
        <v/>
      </c>
    </row>
    <row r="12782" ht="11.25" customHeight="1">
      <c r="A12782" s="21"/>
      <c r="B12782" s="22"/>
      <c r="C12782" s="21"/>
      <c r="D12782" s="21"/>
      <c r="E12782" s="21"/>
      <c r="F12782" s="21"/>
      <c r="G12782" s="25"/>
      <c r="H12782" s="24" t="str">
        <f>IFERROR(VLOOKUP(B12782,material!A:D,3,0),"")</f>
        <v/>
      </c>
    </row>
    <row r="12783" ht="11.25" customHeight="1">
      <c r="A12783" s="21"/>
      <c r="B12783" s="22"/>
      <c r="C12783" s="21"/>
      <c r="D12783" s="21"/>
      <c r="E12783" s="21"/>
      <c r="F12783" s="21"/>
      <c r="G12783" s="25"/>
      <c r="H12783" s="24" t="str">
        <f>IFERROR(VLOOKUP(B12783,material!A:D,3,0),"")</f>
        <v/>
      </c>
    </row>
    <row r="12784" ht="11.25" customHeight="1">
      <c r="A12784" s="21"/>
      <c r="B12784" s="22"/>
      <c r="C12784" s="21"/>
      <c r="D12784" s="21"/>
      <c r="E12784" s="21"/>
      <c r="F12784" s="21"/>
      <c r="G12784" s="25"/>
      <c r="H12784" s="24" t="str">
        <f>IFERROR(VLOOKUP(B12784,material!A:D,3,0),"")</f>
        <v/>
      </c>
    </row>
    <row r="12785" ht="11.25" customHeight="1">
      <c r="A12785" s="21"/>
      <c r="B12785" s="22"/>
      <c r="C12785" s="21"/>
      <c r="D12785" s="21"/>
      <c r="E12785" s="21"/>
      <c r="F12785" s="21"/>
      <c r="G12785" s="25"/>
      <c r="H12785" s="24" t="str">
        <f>IFERROR(VLOOKUP(B12785,material!A:D,3,0),"")</f>
        <v/>
      </c>
    </row>
    <row r="12786" ht="11.25" customHeight="1">
      <c r="A12786" s="21"/>
      <c r="B12786" s="22"/>
      <c r="C12786" s="21"/>
      <c r="D12786" s="21"/>
      <c r="E12786" s="21"/>
      <c r="F12786" s="21"/>
      <c r="G12786" s="25"/>
      <c r="H12786" s="24" t="str">
        <f>IFERROR(VLOOKUP(B12786,material!A:D,3,0),"")</f>
        <v/>
      </c>
    </row>
    <row r="12787" ht="11.25" customHeight="1">
      <c r="A12787" s="21"/>
      <c r="B12787" s="22"/>
      <c r="C12787" s="21"/>
      <c r="D12787" s="21"/>
      <c r="E12787" s="21"/>
      <c r="F12787" s="21"/>
      <c r="G12787" s="25"/>
      <c r="H12787" s="24" t="str">
        <f>IFERROR(VLOOKUP(B12787,material!A:D,3,0),"")</f>
        <v/>
      </c>
    </row>
    <row r="12788" ht="11.25" customHeight="1">
      <c r="A12788" s="21"/>
      <c r="B12788" s="22"/>
      <c r="C12788" s="21"/>
      <c r="D12788" s="21"/>
      <c r="E12788" s="21"/>
      <c r="F12788" s="21"/>
      <c r="G12788" s="25"/>
      <c r="H12788" s="24" t="str">
        <f>IFERROR(VLOOKUP(B12788,material!A:D,3,0),"")</f>
        <v/>
      </c>
    </row>
    <row r="12789" ht="11.25" customHeight="1">
      <c r="A12789" s="21"/>
      <c r="B12789" s="22"/>
      <c r="C12789" s="21"/>
      <c r="D12789" s="21"/>
      <c r="E12789" s="21"/>
      <c r="F12789" s="21"/>
      <c r="G12789" s="25"/>
      <c r="H12789" s="24" t="str">
        <f>IFERROR(VLOOKUP(B12789,material!A:D,3,0),"")</f>
        <v/>
      </c>
    </row>
    <row r="12790" ht="11.25" customHeight="1">
      <c r="A12790" s="21"/>
      <c r="B12790" s="22"/>
      <c r="C12790" s="21"/>
      <c r="D12790" s="21"/>
      <c r="E12790" s="21"/>
      <c r="F12790" s="21"/>
      <c r="G12790" s="25"/>
      <c r="H12790" s="24" t="str">
        <f>IFERROR(VLOOKUP(B12790,material!A:D,3,0),"")</f>
        <v/>
      </c>
    </row>
    <row r="12791" ht="11.25" customHeight="1">
      <c r="A12791" s="21"/>
      <c r="B12791" s="22"/>
      <c r="C12791" s="21"/>
      <c r="D12791" s="21"/>
      <c r="E12791" s="21"/>
      <c r="F12791" s="21"/>
      <c r="G12791" s="25"/>
      <c r="H12791" s="24" t="str">
        <f>IFERROR(VLOOKUP(B12791,material!A:D,3,0),"")</f>
        <v/>
      </c>
    </row>
    <row r="12792" ht="11.25" customHeight="1">
      <c r="A12792" s="21"/>
      <c r="B12792" s="22"/>
      <c r="C12792" s="21"/>
      <c r="D12792" s="21"/>
      <c r="E12792" s="21"/>
      <c r="F12792" s="21"/>
      <c r="G12792" s="25"/>
      <c r="H12792" s="24" t="str">
        <f>IFERROR(VLOOKUP(B12792,material!A:D,3,0),"")</f>
        <v/>
      </c>
    </row>
    <row r="12793" ht="11.25" customHeight="1">
      <c r="A12793" s="21"/>
      <c r="B12793" s="22"/>
      <c r="C12793" s="21"/>
      <c r="D12793" s="21"/>
      <c r="E12793" s="21"/>
      <c r="F12793" s="21"/>
      <c r="G12793" s="25"/>
      <c r="H12793" s="24" t="str">
        <f>IFERROR(VLOOKUP(B12793,material!A:D,3,0),"")</f>
        <v/>
      </c>
    </row>
    <row r="12794" ht="11.25" customHeight="1">
      <c r="A12794" s="21"/>
      <c r="B12794" s="22"/>
      <c r="C12794" s="21"/>
      <c r="D12794" s="21"/>
      <c r="E12794" s="21"/>
      <c r="F12794" s="21"/>
      <c r="G12794" s="25"/>
      <c r="H12794" s="24" t="str">
        <f>IFERROR(VLOOKUP(B12794,material!A:D,3,0),"")</f>
        <v/>
      </c>
    </row>
    <row r="12795" ht="11.25" customHeight="1">
      <c r="A12795" s="21"/>
      <c r="B12795" s="22"/>
      <c r="C12795" s="21"/>
      <c r="D12795" s="21"/>
      <c r="E12795" s="21"/>
      <c r="F12795" s="21"/>
      <c r="G12795" s="25"/>
      <c r="H12795" s="24" t="str">
        <f>IFERROR(VLOOKUP(B12795,material!A:D,3,0),"")</f>
        <v/>
      </c>
    </row>
    <row r="12796" ht="11.25" customHeight="1">
      <c r="A12796" s="21"/>
      <c r="B12796" s="22"/>
      <c r="C12796" s="21"/>
      <c r="D12796" s="21"/>
      <c r="E12796" s="21"/>
      <c r="F12796" s="21"/>
      <c r="G12796" s="25"/>
      <c r="H12796" s="24" t="str">
        <f>IFERROR(VLOOKUP(B12796,material!A:D,3,0),"")</f>
        <v/>
      </c>
    </row>
    <row r="12797" ht="11.25" customHeight="1">
      <c r="A12797" s="21"/>
      <c r="B12797" s="22"/>
      <c r="C12797" s="21"/>
      <c r="D12797" s="21"/>
      <c r="E12797" s="21"/>
      <c r="F12797" s="21"/>
      <c r="G12797" s="25"/>
      <c r="H12797" s="24" t="str">
        <f>IFERROR(VLOOKUP(B12797,material!A:D,3,0),"")</f>
        <v/>
      </c>
    </row>
    <row r="12798" ht="11.25" customHeight="1">
      <c r="A12798" s="21"/>
      <c r="B12798" s="22"/>
      <c r="C12798" s="21"/>
      <c r="D12798" s="21"/>
      <c r="E12798" s="21"/>
      <c r="F12798" s="21"/>
      <c r="G12798" s="25"/>
      <c r="H12798" s="24" t="str">
        <f>IFERROR(VLOOKUP(B12798,material!A:D,3,0),"")</f>
        <v/>
      </c>
    </row>
    <row r="12799" ht="11.25" customHeight="1">
      <c r="A12799" s="21"/>
      <c r="B12799" s="22"/>
      <c r="C12799" s="21"/>
      <c r="D12799" s="21"/>
      <c r="E12799" s="21"/>
      <c r="F12799" s="21"/>
      <c r="G12799" s="25"/>
      <c r="H12799" s="24" t="str">
        <f>IFERROR(VLOOKUP(B12799,material!A:D,3,0),"")</f>
        <v/>
      </c>
    </row>
    <row r="12800" ht="11.25" customHeight="1">
      <c r="A12800" s="21"/>
      <c r="B12800" s="22"/>
      <c r="C12800" s="21"/>
      <c r="D12800" s="21"/>
      <c r="E12800" s="21"/>
      <c r="F12800" s="21"/>
      <c r="G12800" s="25"/>
      <c r="H12800" s="24" t="str">
        <f>IFERROR(VLOOKUP(B12800,material!A:D,3,0),"")</f>
        <v/>
      </c>
    </row>
    <row r="12801" ht="11.25" customHeight="1">
      <c r="A12801" s="21"/>
      <c r="B12801" s="22"/>
      <c r="C12801" s="21"/>
      <c r="D12801" s="21"/>
      <c r="E12801" s="21"/>
      <c r="F12801" s="21"/>
      <c r="G12801" s="25"/>
      <c r="H12801" s="24" t="str">
        <f>IFERROR(VLOOKUP(B12801,material!A:D,3,0),"")</f>
        <v/>
      </c>
    </row>
    <row r="12802" ht="11.25" customHeight="1">
      <c r="A12802" s="21"/>
      <c r="B12802" s="22"/>
      <c r="C12802" s="21"/>
      <c r="D12802" s="21"/>
      <c r="E12802" s="21"/>
      <c r="F12802" s="21"/>
      <c r="G12802" s="25"/>
      <c r="H12802" s="24" t="str">
        <f>IFERROR(VLOOKUP(B12802,material!A:D,3,0),"")</f>
        <v/>
      </c>
    </row>
    <row r="12803" ht="11.25" customHeight="1">
      <c r="A12803" s="21"/>
      <c r="B12803" s="22"/>
      <c r="C12803" s="21"/>
      <c r="D12803" s="21"/>
      <c r="E12803" s="21"/>
      <c r="F12803" s="21"/>
      <c r="G12803" s="25"/>
      <c r="H12803" s="24" t="str">
        <f>IFERROR(VLOOKUP(B12803,material!A:D,3,0),"")</f>
        <v/>
      </c>
    </row>
    <row r="12804" ht="11.25" customHeight="1">
      <c r="A12804" s="21"/>
      <c r="B12804" s="22"/>
      <c r="C12804" s="21"/>
      <c r="D12804" s="21"/>
      <c r="E12804" s="21"/>
      <c r="F12804" s="21"/>
      <c r="G12804" s="25"/>
      <c r="H12804" s="24" t="str">
        <f>IFERROR(VLOOKUP(B12804,material!A:D,3,0),"")</f>
        <v/>
      </c>
    </row>
    <row r="12805" ht="11.25" customHeight="1">
      <c r="A12805" s="21"/>
      <c r="B12805" s="22"/>
      <c r="C12805" s="21"/>
      <c r="D12805" s="21"/>
      <c r="E12805" s="21"/>
      <c r="F12805" s="21"/>
      <c r="G12805" s="25"/>
      <c r="H12805" s="24" t="str">
        <f>IFERROR(VLOOKUP(B12805,material!A:D,3,0),"")</f>
        <v/>
      </c>
    </row>
    <row r="12806" ht="11.25" customHeight="1">
      <c r="A12806" s="21"/>
      <c r="B12806" s="22"/>
      <c r="C12806" s="21"/>
      <c r="D12806" s="21"/>
      <c r="E12806" s="21"/>
      <c r="F12806" s="21"/>
      <c r="G12806" s="25"/>
      <c r="H12806" s="24" t="str">
        <f>IFERROR(VLOOKUP(B12806,material!A:D,3,0),"")</f>
        <v/>
      </c>
    </row>
    <row r="12807" ht="11.25" customHeight="1">
      <c r="A12807" s="21"/>
      <c r="B12807" s="22"/>
      <c r="C12807" s="21"/>
      <c r="D12807" s="21"/>
      <c r="E12807" s="21"/>
      <c r="F12807" s="21"/>
      <c r="G12807" s="25"/>
      <c r="H12807" s="24" t="str">
        <f>IFERROR(VLOOKUP(B12807,material!A:D,3,0),"")</f>
        <v/>
      </c>
    </row>
    <row r="12808" ht="11.25" customHeight="1">
      <c r="A12808" s="21"/>
      <c r="B12808" s="22"/>
      <c r="C12808" s="21"/>
      <c r="D12808" s="21"/>
      <c r="E12808" s="21"/>
      <c r="F12808" s="21"/>
      <c r="G12808" s="25"/>
      <c r="H12808" s="24" t="str">
        <f>IFERROR(VLOOKUP(B12808,material!A:D,3,0),"")</f>
        <v/>
      </c>
    </row>
    <row r="12809" ht="11.25" customHeight="1">
      <c r="A12809" s="21"/>
      <c r="B12809" s="22"/>
      <c r="C12809" s="21"/>
      <c r="D12809" s="21"/>
      <c r="E12809" s="21"/>
      <c r="F12809" s="21"/>
      <c r="G12809" s="25"/>
      <c r="H12809" s="24" t="str">
        <f>IFERROR(VLOOKUP(B12809,material!A:D,3,0),"")</f>
        <v/>
      </c>
    </row>
    <row r="12810" ht="11.25" customHeight="1">
      <c r="A12810" s="21"/>
      <c r="B12810" s="22"/>
      <c r="C12810" s="21"/>
      <c r="D12810" s="21"/>
      <c r="E12810" s="21"/>
      <c r="F12810" s="21"/>
      <c r="G12810" s="25"/>
      <c r="H12810" s="24" t="str">
        <f>IFERROR(VLOOKUP(B12810,material!A:D,3,0),"")</f>
        <v/>
      </c>
    </row>
    <row r="12811" ht="11.25" customHeight="1">
      <c r="A12811" s="21"/>
      <c r="B12811" s="22"/>
      <c r="C12811" s="21"/>
      <c r="D12811" s="21"/>
      <c r="E12811" s="21"/>
      <c r="F12811" s="21"/>
      <c r="G12811" s="25"/>
      <c r="H12811" s="24" t="str">
        <f>IFERROR(VLOOKUP(B12811,material!A:D,3,0),"")</f>
        <v/>
      </c>
    </row>
    <row r="12812" ht="11.25" customHeight="1">
      <c r="A12812" s="21"/>
      <c r="B12812" s="22"/>
      <c r="C12812" s="21"/>
      <c r="D12812" s="21"/>
      <c r="E12812" s="21"/>
      <c r="F12812" s="21"/>
      <c r="G12812" s="25"/>
      <c r="H12812" s="24" t="str">
        <f>IFERROR(VLOOKUP(B12812,material!A:D,3,0),"")</f>
        <v/>
      </c>
    </row>
    <row r="12813" ht="11.25" customHeight="1">
      <c r="A12813" s="21"/>
      <c r="B12813" s="22"/>
      <c r="C12813" s="21"/>
      <c r="D12813" s="21"/>
      <c r="E12813" s="21"/>
      <c r="F12813" s="21"/>
      <c r="G12813" s="25"/>
      <c r="H12813" s="24" t="str">
        <f>IFERROR(VLOOKUP(B12813,material!A:D,3,0),"")</f>
        <v/>
      </c>
    </row>
    <row r="12814" ht="11.25" customHeight="1">
      <c r="A12814" s="21"/>
      <c r="B12814" s="22"/>
      <c r="C12814" s="21"/>
      <c r="D12814" s="21"/>
      <c r="E12814" s="21"/>
      <c r="F12814" s="21"/>
      <c r="G12814" s="25"/>
      <c r="H12814" s="24" t="str">
        <f>IFERROR(VLOOKUP(B12814,material!A:D,3,0),"")</f>
        <v/>
      </c>
    </row>
    <row r="12815" ht="11.25" customHeight="1">
      <c r="A12815" s="21"/>
      <c r="B12815" s="22"/>
      <c r="C12815" s="21"/>
      <c r="D12815" s="21"/>
      <c r="E12815" s="21"/>
      <c r="F12815" s="21"/>
      <c r="G12815" s="25"/>
      <c r="H12815" s="24" t="str">
        <f>IFERROR(VLOOKUP(B12815,material!A:D,3,0),"")</f>
        <v/>
      </c>
    </row>
    <row r="12816" ht="11.25" customHeight="1">
      <c r="A12816" s="21"/>
      <c r="B12816" s="22"/>
      <c r="C12816" s="21"/>
      <c r="D12816" s="21"/>
      <c r="E12816" s="21"/>
      <c r="F12816" s="21"/>
      <c r="G12816" s="25"/>
      <c r="H12816" s="24" t="str">
        <f>IFERROR(VLOOKUP(B12816,material!A:D,3,0),"")</f>
        <v/>
      </c>
    </row>
    <row r="12817" ht="11.25" customHeight="1">
      <c r="A12817" s="21"/>
      <c r="B12817" s="22"/>
      <c r="C12817" s="21"/>
      <c r="D12817" s="21"/>
      <c r="E12817" s="21"/>
      <c r="F12817" s="21"/>
      <c r="G12817" s="25"/>
      <c r="H12817" s="24" t="str">
        <f>IFERROR(VLOOKUP(B12817,material!A:D,3,0),"")</f>
        <v/>
      </c>
    </row>
    <row r="12818" ht="11.25" customHeight="1">
      <c r="A12818" s="21"/>
      <c r="B12818" s="22"/>
      <c r="C12818" s="21"/>
      <c r="D12818" s="21"/>
      <c r="E12818" s="21"/>
      <c r="F12818" s="21"/>
      <c r="G12818" s="25"/>
      <c r="H12818" s="24" t="str">
        <f>IFERROR(VLOOKUP(B12818,material!A:D,3,0),"")</f>
        <v/>
      </c>
    </row>
    <row r="12819" ht="11.25" customHeight="1">
      <c r="A12819" s="21"/>
      <c r="B12819" s="22"/>
      <c r="C12819" s="21"/>
      <c r="D12819" s="21"/>
      <c r="E12819" s="21"/>
      <c r="F12819" s="21"/>
      <c r="G12819" s="25"/>
      <c r="H12819" s="24" t="str">
        <f>IFERROR(VLOOKUP(B12819,material!A:D,3,0),"")</f>
        <v/>
      </c>
    </row>
    <row r="12820" ht="11.25" customHeight="1">
      <c r="A12820" s="21"/>
      <c r="B12820" s="22"/>
      <c r="C12820" s="21"/>
      <c r="D12820" s="21"/>
      <c r="E12820" s="21"/>
      <c r="F12820" s="21"/>
      <c r="G12820" s="25"/>
      <c r="H12820" s="24" t="str">
        <f>IFERROR(VLOOKUP(B12820,material!A:D,3,0),"")</f>
        <v/>
      </c>
    </row>
    <row r="12821" ht="11.25" customHeight="1">
      <c r="A12821" s="21"/>
      <c r="B12821" s="22"/>
      <c r="C12821" s="21"/>
      <c r="D12821" s="21"/>
      <c r="E12821" s="21"/>
      <c r="F12821" s="21"/>
      <c r="G12821" s="25"/>
      <c r="H12821" s="24" t="str">
        <f>IFERROR(VLOOKUP(B12821,material!A:D,3,0),"")</f>
        <v/>
      </c>
    </row>
    <row r="12822" ht="11.25" customHeight="1">
      <c r="A12822" s="21"/>
      <c r="B12822" s="22"/>
      <c r="C12822" s="21"/>
      <c r="D12822" s="21"/>
      <c r="E12822" s="21"/>
      <c r="F12822" s="21"/>
      <c r="G12822" s="25"/>
      <c r="H12822" s="24" t="str">
        <f>IFERROR(VLOOKUP(B12822,material!A:D,3,0),"")</f>
        <v/>
      </c>
    </row>
    <row r="12823" ht="11.25" customHeight="1">
      <c r="A12823" s="21"/>
      <c r="B12823" s="22"/>
      <c r="C12823" s="21"/>
      <c r="D12823" s="21"/>
      <c r="E12823" s="21"/>
      <c r="F12823" s="21"/>
      <c r="G12823" s="25"/>
      <c r="H12823" s="24" t="str">
        <f>IFERROR(VLOOKUP(B12823,material!A:D,3,0),"")</f>
        <v/>
      </c>
    </row>
    <row r="12824" ht="11.25" customHeight="1">
      <c r="A12824" s="21"/>
      <c r="B12824" s="22"/>
      <c r="C12824" s="21"/>
      <c r="D12824" s="21"/>
      <c r="E12824" s="21"/>
      <c r="F12824" s="21"/>
      <c r="G12824" s="25"/>
      <c r="H12824" s="24" t="str">
        <f>IFERROR(VLOOKUP(B12824,material!A:D,3,0),"")</f>
        <v/>
      </c>
    </row>
    <row r="12825" ht="11.25" customHeight="1">
      <c r="A12825" s="21"/>
      <c r="B12825" s="22"/>
      <c r="C12825" s="21"/>
      <c r="D12825" s="21"/>
      <c r="E12825" s="21"/>
      <c r="F12825" s="21"/>
      <c r="G12825" s="25"/>
      <c r="H12825" s="24" t="str">
        <f>IFERROR(VLOOKUP(B12825,material!A:D,3,0),"")</f>
        <v/>
      </c>
    </row>
    <row r="12826" ht="11.25" customHeight="1">
      <c r="A12826" s="21"/>
      <c r="B12826" s="22"/>
      <c r="C12826" s="21"/>
      <c r="D12826" s="21"/>
      <c r="E12826" s="21"/>
      <c r="F12826" s="21"/>
      <c r="G12826" s="25"/>
      <c r="H12826" s="24" t="str">
        <f>IFERROR(VLOOKUP(B12826,material!A:D,3,0),"")</f>
        <v/>
      </c>
    </row>
    <row r="12827" ht="11.25" customHeight="1">
      <c r="A12827" s="21"/>
      <c r="B12827" s="22"/>
      <c r="C12827" s="21"/>
      <c r="D12827" s="21"/>
      <c r="E12827" s="21"/>
      <c r="F12827" s="21"/>
      <c r="G12827" s="25"/>
      <c r="H12827" s="24" t="str">
        <f>IFERROR(VLOOKUP(B12827,material!A:D,3,0),"")</f>
        <v/>
      </c>
    </row>
    <row r="12828" ht="11.25" customHeight="1">
      <c r="A12828" s="21"/>
      <c r="B12828" s="22"/>
      <c r="C12828" s="21"/>
      <c r="D12828" s="21"/>
      <c r="E12828" s="21"/>
      <c r="F12828" s="21"/>
      <c r="G12828" s="25"/>
      <c r="H12828" s="24" t="str">
        <f>IFERROR(VLOOKUP(B12828,material!A:D,3,0),"")</f>
        <v/>
      </c>
    </row>
    <row r="12829" ht="11.25" customHeight="1">
      <c r="A12829" s="21"/>
      <c r="B12829" s="22"/>
      <c r="C12829" s="21"/>
      <c r="D12829" s="21"/>
      <c r="E12829" s="21"/>
      <c r="F12829" s="21"/>
      <c r="G12829" s="25"/>
      <c r="H12829" s="24" t="str">
        <f>IFERROR(VLOOKUP(B12829,material!A:D,3,0),"")</f>
        <v/>
      </c>
    </row>
    <row r="12830" ht="11.25" customHeight="1">
      <c r="A12830" s="21"/>
      <c r="B12830" s="22"/>
      <c r="C12830" s="21"/>
      <c r="D12830" s="21"/>
      <c r="E12830" s="21"/>
      <c r="F12830" s="21"/>
      <c r="G12830" s="25"/>
      <c r="H12830" s="24" t="str">
        <f>IFERROR(VLOOKUP(B12830,material!A:D,3,0),"")</f>
        <v/>
      </c>
    </row>
    <row r="12831" ht="11.25" customHeight="1">
      <c r="A12831" s="21"/>
      <c r="B12831" s="22"/>
      <c r="C12831" s="21"/>
      <c r="D12831" s="21"/>
      <c r="E12831" s="21"/>
      <c r="F12831" s="21"/>
      <c r="G12831" s="25"/>
      <c r="H12831" s="24" t="str">
        <f>IFERROR(VLOOKUP(B12831,material!A:D,3,0),"")</f>
        <v/>
      </c>
    </row>
    <row r="12832" ht="11.25" customHeight="1">
      <c r="A12832" s="21"/>
      <c r="B12832" s="22"/>
      <c r="C12832" s="21"/>
      <c r="D12832" s="21"/>
      <c r="E12832" s="21"/>
      <c r="F12832" s="21"/>
      <c r="G12832" s="25"/>
      <c r="H12832" s="24" t="str">
        <f>IFERROR(VLOOKUP(B12832,material!A:D,3,0),"")</f>
        <v/>
      </c>
    </row>
    <row r="12833" ht="11.25" customHeight="1">
      <c r="A12833" s="21"/>
      <c r="B12833" s="22"/>
      <c r="C12833" s="21"/>
      <c r="D12833" s="21"/>
      <c r="E12833" s="21"/>
      <c r="F12833" s="21"/>
      <c r="G12833" s="25"/>
      <c r="H12833" s="24" t="str">
        <f>IFERROR(VLOOKUP(B12833,material!A:D,3,0),"")</f>
        <v/>
      </c>
    </row>
    <row r="12834" ht="11.25" customHeight="1">
      <c r="A12834" s="21"/>
      <c r="B12834" s="22"/>
      <c r="C12834" s="21"/>
      <c r="D12834" s="21"/>
      <c r="E12834" s="21"/>
      <c r="F12834" s="21"/>
      <c r="G12834" s="25"/>
      <c r="H12834" s="24" t="str">
        <f>IFERROR(VLOOKUP(B12834,material!A:D,3,0),"")</f>
        <v/>
      </c>
    </row>
    <row r="12835" ht="11.25" customHeight="1">
      <c r="A12835" s="21"/>
      <c r="B12835" s="22"/>
      <c r="C12835" s="21"/>
      <c r="D12835" s="21"/>
      <c r="E12835" s="21"/>
      <c r="F12835" s="21"/>
      <c r="G12835" s="25"/>
      <c r="H12835" s="24" t="str">
        <f>IFERROR(VLOOKUP(B12835,material!A:D,3,0),"")</f>
        <v/>
      </c>
    </row>
    <row r="12836" ht="11.25" customHeight="1">
      <c r="A12836" s="21"/>
      <c r="B12836" s="22"/>
      <c r="C12836" s="21"/>
      <c r="D12836" s="21"/>
      <c r="E12836" s="21"/>
      <c r="F12836" s="21"/>
      <c r="G12836" s="25"/>
      <c r="H12836" s="24" t="str">
        <f>IFERROR(VLOOKUP(B12836,material!A:D,3,0),"")</f>
        <v/>
      </c>
    </row>
    <row r="12837" ht="11.25" customHeight="1">
      <c r="A12837" s="21"/>
      <c r="B12837" s="22"/>
      <c r="C12837" s="21"/>
      <c r="D12837" s="21"/>
      <c r="E12837" s="21"/>
      <c r="F12837" s="21"/>
      <c r="G12837" s="25"/>
      <c r="H12837" s="24" t="str">
        <f>IFERROR(VLOOKUP(B12837,material!A:D,3,0),"")</f>
        <v/>
      </c>
    </row>
    <row r="12838" ht="11.25" customHeight="1">
      <c r="A12838" s="21"/>
      <c r="B12838" s="22"/>
      <c r="C12838" s="21"/>
      <c r="D12838" s="21"/>
      <c r="E12838" s="21"/>
      <c r="F12838" s="21"/>
      <c r="G12838" s="25"/>
      <c r="H12838" s="24" t="str">
        <f>IFERROR(VLOOKUP(B12838,material!A:D,3,0),"")</f>
        <v/>
      </c>
    </row>
    <row r="12839" ht="11.25" customHeight="1">
      <c r="A12839" s="21"/>
      <c r="B12839" s="22"/>
      <c r="C12839" s="21"/>
      <c r="D12839" s="21"/>
      <c r="E12839" s="21"/>
      <c r="F12839" s="21"/>
      <c r="G12839" s="25"/>
      <c r="H12839" s="24" t="str">
        <f>IFERROR(VLOOKUP(B12839,material!A:D,3,0),"")</f>
        <v/>
      </c>
    </row>
    <row r="12840" ht="11.25" customHeight="1">
      <c r="A12840" s="21"/>
      <c r="B12840" s="22"/>
      <c r="C12840" s="21"/>
      <c r="D12840" s="21"/>
      <c r="E12840" s="21"/>
      <c r="F12840" s="21"/>
      <c r="G12840" s="25"/>
      <c r="H12840" s="24" t="str">
        <f>IFERROR(VLOOKUP(B12840,material!A:D,3,0),"")</f>
        <v/>
      </c>
    </row>
    <row r="12841" ht="11.25" customHeight="1">
      <c r="A12841" s="21"/>
      <c r="B12841" s="22"/>
      <c r="C12841" s="21"/>
      <c r="D12841" s="21"/>
      <c r="E12841" s="21"/>
      <c r="F12841" s="21"/>
      <c r="G12841" s="25"/>
      <c r="H12841" s="24" t="str">
        <f>IFERROR(VLOOKUP(B12841,material!A:D,3,0),"")</f>
        <v/>
      </c>
    </row>
    <row r="12842" ht="11.25" customHeight="1">
      <c r="A12842" s="21"/>
      <c r="B12842" s="22"/>
      <c r="C12842" s="21"/>
      <c r="D12842" s="21"/>
      <c r="E12842" s="21"/>
      <c r="F12842" s="21"/>
      <c r="G12842" s="25"/>
      <c r="H12842" s="24" t="str">
        <f>IFERROR(VLOOKUP(B12842,material!A:D,3,0),"")</f>
        <v/>
      </c>
    </row>
    <row r="12843" ht="11.25" customHeight="1">
      <c r="A12843" s="21"/>
      <c r="B12843" s="22"/>
      <c r="C12843" s="21"/>
      <c r="D12843" s="21"/>
      <c r="E12843" s="21"/>
      <c r="F12843" s="21"/>
      <c r="G12843" s="25"/>
      <c r="H12843" s="24" t="str">
        <f>IFERROR(VLOOKUP(B12843,material!A:D,3,0),"")</f>
        <v/>
      </c>
    </row>
    <row r="12844" ht="11.25" customHeight="1">
      <c r="A12844" s="21"/>
      <c r="B12844" s="22"/>
      <c r="C12844" s="21"/>
      <c r="D12844" s="21"/>
      <c r="E12844" s="21"/>
      <c r="F12844" s="21"/>
      <c r="G12844" s="25"/>
      <c r="H12844" s="24" t="str">
        <f>IFERROR(VLOOKUP(B12844,material!A:D,3,0),"")</f>
        <v/>
      </c>
    </row>
    <row r="12845" ht="11.25" customHeight="1">
      <c r="A12845" s="21"/>
      <c r="B12845" s="22"/>
      <c r="C12845" s="21"/>
      <c r="D12845" s="21"/>
      <c r="E12845" s="21"/>
      <c r="F12845" s="21"/>
      <c r="G12845" s="25"/>
      <c r="H12845" s="24" t="str">
        <f>IFERROR(VLOOKUP(B12845,material!A:D,3,0),"")</f>
        <v/>
      </c>
    </row>
    <row r="12846" ht="11.25" customHeight="1">
      <c r="A12846" s="21"/>
      <c r="B12846" s="22"/>
      <c r="C12846" s="21"/>
      <c r="D12846" s="21"/>
      <c r="E12846" s="21"/>
      <c r="F12846" s="21"/>
      <c r="G12846" s="25"/>
      <c r="H12846" s="24" t="str">
        <f>IFERROR(VLOOKUP(B12846,material!A:D,3,0),"")</f>
        <v/>
      </c>
    </row>
    <row r="12847" ht="11.25" customHeight="1">
      <c r="A12847" s="21"/>
      <c r="B12847" s="22"/>
      <c r="C12847" s="21"/>
      <c r="D12847" s="21"/>
      <c r="E12847" s="21"/>
      <c r="F12847" s="21"/>
      <c r="G12847" s="25"/>
      <c r="H12847" s="24" t="str">
        <f>IFERROR(VLOOKUP(B12847,material!A:D,3,0),"")</f>
        <v/>
      </c>
    </row>
    <row r="12848" ht="11.25" customHeight="1">
      <c r="A12848" s="21"/>
      <c r="B12848" s="22"/>
      <c r="C12848" s="21"/>
      <c r="D12848" s="21"/>
      <c r="E12848" s="21"/>
      <c r="F12848" s="21"/>
      <c r="G12848" s="25"/>
      <c r="H12848" s="24" t="str">
        <f>IFERROR(VLOOKUP(B12848,material!A:D,3,0),"")</f>
        <v/>
      </c>
    </row>
    <row r="12849" ht="11.25" customHeight="1">
      <c r="A12849" s="21"/>
      <c r="B12849" s="22"/>
      <c r="C12849" s="21"/>
      <c r="D12849" s="21"/>
      <c r="E12849" s="21"/>
      <c r="F12849" s="21"/>
      <c r="G12849" s="25"/>
      <c r="H12849" s="24" t="str">
        <f>IFERROR(VLOOKUP(B12849,material!A:D,3,0),"")</f>
        <v/>
      </c>
    </row>
    <row r="12850" ht="11.25" customHeight="1">
      <c r="A12850" s="21"/>
      <c r="B12850" s="22"/>
      <c r="C12850" s="21"/>
      <c r="D12850" s="21"/>
      <c r="E12850" s="21"/>
      <c r="F12850" s="21"/>
      <c r="G12850" s="25"/>
      <c r="H12850" s="24" t="str">
        <f>IFERROR(VLOOKUP(B12850,material!A:D,3,0),"")</f>
        <v/>
      </c>
    </row>
    <row r="12851" ht="11.25" customHeight="1">
      <c r="A12851" s="21"/>
      <c r="B12851" s="22"/>
      <c r="C12851" s="21"/>
      <c r="D12851" s="21"/>
      <c r="E12851" s="21"/>
      <c r="F12851" s="21"/>
      <c r="G12851" s="25"/>
      <c r="H12851" s="24" t="str">
        <f>IFERROR(VLOOKUP(B12851,material!A:D,3,0),"")</f>
        <v/>
      </c>
    </row>
    <row r="12852" ht="11.25" customHeight="1">
      <c r="A12852" s="21"/>
      <c r="B12852" s="22"/>
      <c r="C12852" s="21"/>
      <c r="D12852" s="21"/>
      <c r="E12852" s="21"/>
      <c r="F12852" s="21"/>
      <c r="G12852" s="25"/>
      <c r="H12852" s="24" t="str">
        <f>IFERROR(VLOOKUP(B12852,material!A:D,3,0),"")</f>
        <v/>
      </c>
    </row>
    <row r="12853" ht="11.25" customHeight="1">
      <c r="A12853" s="21"/>
      <c r="B12853" s="22"/>
      <c r="C12853" s="21"/>
      <c r="D12853" s="21"/>
      <c r="E12853" s="21"/>
      <c r="F12853" s="21"/>
      <c r="G12853" s="25"/>
      <c r="H12853" s="24" t="str">
        <f>IFERROR(VLOOKUP(B12853,material!A:D,3,0),"")</f>
        <v/>
      </c>
    </row>
    <row r="12854" ht="11.25" customHeight="1">
      <c r="A12854" s="21"/>
      <c r="B12854" s="22"/>
      <c r="C12854" s="21"/>
      <c r="D12854" s="21"/>
      <c r="E12854" s="21"/>
      <c r="F12854" s="21"/>
      <c r="G12854" s="25"/>
      <c r="H12854" s="24" t="str">
        <f>IFERROR(VLOOKUP(B12854,material!A:D,3,0),"")</f>
        <v/>
      </c>
    </row>
    <row r="12855" ht="11.25" customHeight="1">
      <c r="A12855" s="21"/>
      <c r="B12855" s="22"/>
      <c r="C12855" s="21"/>
      <c r="D12855" s="21"/>
      <c r="E12855" s="21"/>
      <c r="F12855" s="21"/>
      <c r="G12855" s="25"/>
      <c r="H12855" s="24" t="str">
        <f>IFERROR(VLOOKUP(B12855,material!A:D,3,0),"")</f>
        <v/>
      </c>
    </row>
    <row r="12856" ht="11.25" customHeight="1">
      <c r="A12856" s="21"/>
      <c r="B12856" s="22"/>
      <c r="C12856" s="21"/>
      <c r="D12856" s="21"/>
      <c r="E12856" s="21"/>
      <c r="F12856" s="21"/>
      <c r="G12856" s="25"/>
      <c r="H12856" s="24" t="str">
        <f>IFERROR(VLOOKUP(B12856,material!A:D,3,0),"")</f>
        <v/>
      </c>
    </row>
    <row r="12857" ht="11.25" customHeight="1">
      <c r="A12857" s="21"/>
      <c r="B12857" s="22"/>
      <c r="C12857" s="21"/>
      <c r="D12857" s="21"/>
      <c r="E12857" s="21"/>
      <c r="F12857" s="21"/>
      <c r="G12857" s="25"/>
      <c r="H12857" s="24" t="str">
        <f>IFERROR(VLOOKUP(B12857,material!A:D,3,0),"")</f>
        <v/>
      </c>
    </row>
    <row r="12858" ht="11.25" customHeight="1">
      <c r="A12858" s="21"/>
      <c r="B12858" s="22"/>
      <c r="C12858" s="21"/>
      <c r="D12858" s="21"/>
      <c r="E12858" s="21"/>
      <c r="F12858" s="21"/>
      <c r="G12858" s="25"/>
      <c r="H12858" s="24" t="str">
        <f>IFERROR(VLOOKUP(B12858,material!A:D,3,0),"")</f>
        <v/>
      </c>
    </row>
    <row r="12859" ht="11.25" customHeight="1">
      <c r="A12859" s="21"/>
      <c r="B12859" s="22"/>
      <c r="C12859" s="21"/>
      <c r="D12859" s="21"/>
      <c r="E12859" s="21"/>
      <c r="F12859" s="21"/>
      <c r="G12859" s="25"/>
      <c r="H12859" s="24" t="str">
        <f>IFERROR(VLOOKUP(B12859,material!A:D,3,0),"")</f>
        <v/>
      </c>
    </row>
    <row r="12860" ht="11.25" customHeight="1">
      <c r="A12860" s="21"/>
      <c r="B12860" s="22"/>
      <c r="C12860" s="21"/>
      <c r="D12860" s="21"/>
      <c r="E12860" s="21"/>
      <c r="F12860" s="21"/>
      <c r="G12860" s="25"/>
      <c r="H12860" s="24" t="str">
        <f>IFERROR(VLOOKUP(B12860,material!A:D,3,0),"")</f>
        <v/>
      </c>
    </row>
    <row r="12861" ht="11.25" customHeight="1">
      <c r="A12861" s="21"/>
      <c r="B12861" s="22"/>
      <c r="C12861" s="21"/>
      <c r="D12861" s="21"/>
      <c r="E12861" s="21"/>
      <c r="F12861" s="21"/>
      <c r="G12861" s="25"/>
      <c r="H12861" s="24" t="str">
        <f>IFERROR(VLOOKUP(B12861,material!A:D,3,0),"")</f>
        <v/>
      </c>
    </row>
    <row r="12862" ht="11.25" customHeight="1">
      <c r="A12862" s="21"/>
      <c r="B12862" s="22"/>
      <c r="C12862" s="21"/>
      <c r="D12862" s="21"/>
      <c r="E12862" s="21"/>
      <c r="F12862" s="21"/>
      <c r="G12862" s="25"/>
      <c r="H12862" s="24" t="str">
        <f>IFERROR(VLOOKUP(B12862,material!A:D,3,0),"")</f>
        <v/>
      </c>
    </row>
    <row r="12863" ht="11.25" customHeight="1">
      <c r="A12863" s="21"/>
      <c r="B12863" s="22"/>
      <c r="C12863" s="21"/>
      <c r="D12863" s="21"/>
      <c r="E12863" s="21"/>
      <c r="F12863" s="21"/>
      <c r="G12863" s="25"/>
      <c r="H12863" s="24" t="str">
        <f>IFERROR(VLOOKUP(B12863,material!A:D,3,0),"")</f>
        <v/>
      </c>
    </row>
    <row r="12864" ht="11.25" customHeight="1">
      <c r="A12864" s="21"/>
      <c r="B12864" s="22"/>
      <c r="C12864" s="21"/>
      <c r="D12864" s="21"/>
      <c r="E12864" s="21"/>
      <c r="F12864" s="21"/>
      <c r="G12864" s="25"/>
      <c r="H12864" s="24" t="str">
        <f>IFERROR(VLOOKUP(B12864,material!A:D,3,0),"")</f>
        <v/>
      </c>
    </row>
    <row r="12865" ht="11.25" customHeight="1">
      <c r="A12865" s="21"/>
      <c r="B12865" s="22"/>
      <c r="C12865" s="21"/>
      <c r="D12865" s="21"/>
      <c r="E12865" s="21"/>
      <c r="F12865" s="21"/>
      <c r="G12865" s="25"/>
      <c r="H12865" s="24" t="str">
        <f>IFERROR(VLOOKUP(B12865,material!A:D,3,0),"")</f>
        <v/>
      </c>
    </row>
    <row r="12866" ht="11.25" customHeight="1">
      <c r="A12866" s="21"/>
      <c r="B12866" s="22"/>
      <c r="C12866" s="21"/>
      <c r="D12866" s="21"/>
      <c r="E12866" s="21"/>
      <c r="F12866" s="21"/>
      <c r="G12866" s="25"/>
      <c r="H12866" s="24" t="str">
        <f>IFERROR(VLOOKUP(B12866,material!A:D,3,0),"")</f>
        <v/>
      </c>
    </row>
    <row r="12867" ht="11.25" customHeight="1">
      <c r="A12867" s="21"/>
      <c r="B12867" s="22"/>
      <c r="C12867" s="21"/>
      <c r="D12867" s="21"/>
      <c r="E12867" s="21"/>
      <c r="F12867" s="21"/>
      <c r="G12867" s="25"/>
      <c r="H12867" s="24" t="str">
        <f>IFERROR(VLOOKUP(B12867,material!A:D,3,0),"")</f>
        <v/>
      </c>
    </row>
    <row r="12868" ht="11.25" customHeight="1">
      <c r="A12868" s="21"/>
      <c r="B12868" s="22"/>
      <c r="C12868" s="21"/>
      <c r="D12868" s="21"/>
      <c r="E12868" s="21"/>
      <c r="F12868" s="21"/>
      <c r="G12868" s="25"/>
      <c r="H12868" s="24" t="str">
        <f>IFERROR(VLOOKUP(B12868,material!A:D,3,0),"")</f>
        <v/>
      </c>
    </row>
    <row r="12869" ht="11.25" customHeight="1">
      <c r="A12869" s="21"/>
      <c r="B12869" s="22"/>
      <c r="C12869" s="21"/>
      <c r="D12869" s="21"/>
      <c r="E12869" s="21"/>
      <c r="F12869" s="21"/>
      <c r="G12869" s="25"/>
      <c r="H12869" s="24" t="str">
        <f>IFERROR(VLOOKUP(B12869,material!A:D,3,0),"")</f>
        <v/>
      </c>
    </row>
    <row r="12870" ht="11.25" customHeight="1">
      <c r="A12870" s="21"/>
      <c r="B12870" s="22"/>
      <c r="C12870" s="21"/>
      <c r="D12870" s="21"/>
      <c r="E12870" s="21"/>
      <c r="F12870" s="21"/>
      <c r="G12870" s="25"/>
      <c r="H12870" s="24" t="str">
        <f>IFERROR(VLOOKUP(B12870,material!A:D,3,0),"")</f>
        <v/>
      </c>
    </row>
    <row r="12871" ht="11.25" customHeight="1">
      <c r="A12871" s="21"/>
      <c r="B12871" s="22"/>
      <c r="C12871" s="21"/>
      <c r="D12871" s="21"/>
      <c r="E12871" s="21"/>
      <c r="F12871" s="21"/>
      <c r="G12871" s="25"/>
      <c r="H12871" s="24" t="str">
        <f>IFERROR(VLOOKUP(B12871,material!A:D,3,0),"")</f>
        <v/>
      </c>
    </row>
    <row r="12872" ht="11.25" customHeight="1">
      <c r="A12872" s="21"/>
      <c r="B12872" s="22"/>
      <c r="C12872" s="21"/>
      <c r="D12872" s="21"/>
      <c r="E12872" s="21"/>
      <c r="F12872" s="21"/>
      <c r="G12872" s="25"/>
      <c r="H12872" s="24" t="str">
        <f>IFERROR(VLOOKUP(B12872,material!A:D,3,0),"")</f>
        <v/>
      </c>
    </row>
    <row r="12873" ht="11.25" customHeight="1">
      <c r="A12873" s="21"/>
      <c r="B12873" s="22"/>
      <c r="C12873" s="21"/>
      <c r="D12873" s="21"/>
      <c r="E12873" s="21"/>
      <c r="F12873" s="21"/>
      <c r="G12873" s="25"/>
      <c r="H12873" s="24" t="str">
        <f>IFERROR(VLOOKUP(B12873,material!A:D,3,0),"")</f>
        <v/>
      </c>
    </row>
    <row r="12874" ht="11.25" customHeight="1">
      <c r="A12874" s="21"/>
      <c r="B12874" s="22"/>
      <c r="C12874" s="21"/>
      <c r="D12874" s="21"/>
      <c r="E12874" s="21"/>
      <c r="F12874" s="21"/>
      <c r="G12874" s="25"/>
      <c r="H12874" s="24" t="str">
        <f>IFERROR(VLOOKUP(B12874,material!A:D,3,0),"")</f>
        <v/>
      </c>
    </row>
    <row r="12875" ht="11.25" customHeight="1">
      <c r="A12875" s="21"/>
      <c r="B12875" s="22"/>
      <c r="C12875" s="21"/>
      <c r="D12875" s="21"/>
      <c r="E12875" s="21"/>
      <c r="F12875" s="21"/>
      <c r="G12875" s="25"/>
      <c r="H12875" s="24" t="str">
        <f>IFERROR(VLOOKUP(B12875,material!A:D,3,0),"")</f>
        <v/>
      </c>
    </row>
    <row r="12876" ht="11.25" customHeight="1">
      <c r="A12876" s="21"/>
      <c r="B12876" s="22"/>
      <c r="C12876" s="21"/>
      <c r="D12876" s="21"/>
      <c r="E12876" s="21"/>
      <c r="F12876" s="21"/>
      <c r="G12876" s="25"/>
      <c r="H12876" s="24" t="str">
        <f>IFERROR(VLOOKUP(B12876,material!A:D,3,0),"")</f>
        <v/>
      </c>
    </row>
    <row r="12877" ht="11.25" customHeight="1">
      <c r="A12877" s="21"/>
      <c r="B12877" s="22"/>
      <c r="C12877" s="21"/>
      <c r="D12877" s="21"/>
      <c r="E12877" s="21"/>
      <c r="F12877" s="21"/>
      <c r="G12877" s="25"/>
      <c r="H12877" s="24" t="str">
        <f>IFERROR(VLOOKUP(B12877,material!A:D,3,0),"")</f>
        <v/>
      </c>
    </row>
    <row r="12878" ht="11.25" customHeight="1">
      <c r="A12878" s="21"/>
      <c r="B12878" s="22"/>
      <c r="C12878" s="21"/>
      <c r="D12878" s="21"/>
      <c r="E12878" s="21"/>
      <c r="F12878" s="21"/>
      <c r="G12878" s="25"/>
      <c r="H12878" s="24" t="str">
        <f>IFERROR(VLOOKUP(B12878,material!A:D,3,0),"")</f>
        <v/>
      </c>
    </row>
    <row r="12879" ht="11.25" customHeight="1">
      <c r="A12879" s="21"/>
      <c r="B12879" s="22"/>
      <c r="C12879" s="21"/>
      <c r="D12879" s="21"/>
      <c r="E12879" s="21"/>
      <c r="F12879" s="21"/>
      <c r="G12879" s="25"/>
      <c r="H12879" s="24" t="str">
        <f>IFERROR(VLOOKUP(B12879,material!A:D,3,0),"")</f>
        <v/>
      </c>
    </row>
    <row r="12880" ht="11.25" customHeight="1">
      <c r="A12880" s="21"/>
      <c r="B12880" s="22"/>
      <c r="C12880" s="21"/>
      <c r="D12880" s="21"/>
      <c r="E12880" s="21"/>
      <c r="F12880" s="21"/>
      <c r="G12880" s="25"/>
      <c r="H12880" s="24" t="str">
        <f>IFERROR(VLOOKUP(B12880,material!A:D,3,0),"")</f>
        <v/>
      </c>
    </row>
    <row r="12881" ht="11.25" customHeight="1">
      <c r="A12881" s="21"/>
      <c r="B12881" s="22"/>
      <c r="C12881" s="21"/>
      <c r="D12881" s="21"/>
      <c r="E12881" s="21"/>
      <c r="F12881" s="21"/>
      <c r="G12881" s="25"/>
      <c r="H12881" s="24" t="str">
        <f>IFERROR(VLOOKUP(B12881,material!A:D,3,0),"")</f>
        <v/>
      </c>
    </row>
    <row r="12882" ht="11.25" customHeight="1">
      <c r="A12882" s="21"/>
      <c r="B12882" s="22"/>
      <c r="C12882" s="21"/>
      <c r="D12882" s="21"/>
      <c r="E12882" s="21"/>
      <c r="F12882" s="21"/>
      <c r="G12882" s="25"/>
      <c r="H12882" s="24" t="str">
        <f>IFERROR(VLOOKUP(B12882,material!A:D,3,0),"")</f>
        <v/>
      </c>
    </row>
    <row r="12883" ht="11.25" customHeight="1">
      <c r="A12883" s="21"/>
      <c r="B12883" s="22"/>
      <c r="C12883" s="21"/>
      <c r="D12883" s="21"/>
      <c r="E12883" s="21"/>
      <c r="F12883" s="21"/>
      <c r="G12883" s="25"/>
      <c r="H12883" s="24" t="str">
        <f>IFERROR(VLOOKUP(B12883,material!A:D,3,0),"")</f>
        <v/>
      </c>
    </row>
    <row r="12884" ht="11.25" customHeight="1">
      <c r="A12884" s="21"/>
      <c r="B12884" s="22"/>
      <c r="C12884" s="21"/>
      <c r="D12884" s="21"/>
      <c r="E12884" s="21"/>
      <c r="F12884" s="21"/>
      <c r="G12884" s="25"/>
      <c r="H12884" s="24" t="str">
        <f>IFERROR(VLOOKUP(B12884,material!A:D,3,0),"")</f>
        <v/>
      </c>
    </row>
    <row r="12885" ht="11.25" customHeight="1">
      <c r="A12885" s="21"/>
      <c r="B12885" s="22"/>
      <c r="C12885" s="21"/>
      <c r="D12885" s="21"/>
      <c r="E12885" s="21"/>
      <c r="F12885" s="21"/>
      <c r="G12885" s="25"/>
      <c r="H12885" s="24" t="str">
        <f>IFERROR(VLOOKUP(B12885,material!A:D,3,0),"")</f>
        <v/>
      </c>
    </row>
    <row r="12886" ht="11.25" customHeight="1">
      <c r="A12886" s="21"/>
      <c r="B12886" s="22"/>
      <c r="C12886" s="21"/>
      <c r="D12886" s="21"/>
      <c r="E12886" s="21"/>
      <c r="F12886" s="21"/>
      <c r="G12886" s="25"/>
      <c r="H12886" s="24" t="str">
        <f>IFERROR(VLOOKUP(B12886,material!A:D,3,0),"")</f>
        <v/>
      </c>
    </row>
    <row r="12887" ht="11.25" customHeight="1">
      <c r="A12887" s="21"/>
      <c r="B12887" s="22"/>
      <c r="C12887" s="21"/>
      <c r="D12887" s="21"/>
      <c r="E12887" s="21"/>
      <c r="F12887" s="21"/>
      <c r="G12887" s="25"/>
      <c r="H12887" s="24" t="str">
        <f>IFERROR(VLOOKUP(B12887,material!A:D,3,0),"")</f>
        <v/>
      </c>
    </row>
    <row r="12888" ht="11.25" customHeight="1">
      <c r="A12888" s="21"/>
      <c r="B12888" s="22"/>
      <c r="C12888" s="21"/>
      <c r="D12888" s="21"/>
      <c r="E12888" s="21"/>
      <c r="F12888" s="21"/>
      <c r="G12888" s="25"/>
      <c r="H12888" s="24" t="str">
        <f>IFERROR(VLOOKUP(B12888,material!A:D,3,0),"")</f>
        <v/>
      </c>
    </row>
    <row r="12889" ht="11.25" customHeight="1">
      <c r="A12889" s="21"/>
      <c r="B12889" s="22"/>
      <c r="C12889" s="21"/>
      <c r="D12889" s="21"/>
      <c r="E12889" s="21"/>
      <c r="F12889" s="21"/>
      <c r="G12889" s="25"/>
      <c r="H12889" s="24" t="str">
        <f>IFERROR(VLOOKUP(B12889,material!A:D,3,0),"")</f>
        <v/>
      </c>
    </row>
    <row r="12890" ht="11.25" customHeight="1">
      <c r="A12890" s="21"/>
      <c r="B12890" s="22"/>
      <c r="C12890" s="21"/>
      <c r="D12890" s="21"/>
      <c r="E12890" s="21"/>
      <c r="F12890" s="21"/>
      <c r="G12890" s="25"/>
      <c r="H12890" s="24" t="str">
        <f>IFERROR(VLOOKUP(B12890,material!A:D,3,0),"")</f>
        <v/>
      </c>
    </row>
    <row r="12891" ht="11.25" customHeight="1">
      <c r="A12891" s="21"/>
      <c r="B12891" s="22"/>
      <c r="C12891" s="21"/>
      <c r="D12891" s="21"/>
      <c r="E12891" s="21"/>
      <c r="F12891" s="21"/>
      <c r="G12891" s="25"/>
      <c r="H12891" s="24" t="str">
        <f>IFERROR(VLOOKUP(B12891,material!A:D,3,0),"")</f>
        <v/>
      </c>
    </row>
    <row r="12892" ht="11.25" customHeight="1">
      <c r="A12892" s="21"/>
      <c r="B12892" s="22"/>
      <c r="C12892" s="21"/>
      <c r="D12892" s="21"/>
      <c r="E12892" s="21"/>
      <c r="F12892" s="21"/>
      <c r="G12892" s="25"/>
      <c r="H12892" s="24" t="str">
        <f>IFERROR(VLOOKUP(B12892,material!A:D,3,0),"")</f>
        <v/>
      </c>
    </row>
    <row r="12893" ht="11.25" customHeight="1">
      <c r="A12893" s="21"/>
      <c r="B12893" s="22"/>
      <c r="C12893" s="21"/>
      <c r="D12893" s="21"/>
      <c r="E12893" s="21"/>
      <c r="F12893" s="21"/>
      <c r="G12893" s="25"/>
      <c r="H12893" s="24" t="str">
        <f>IFERROR(VLOOKUP(B12893,material!A:D,3,0),"")</f>
        <v/>
      </c>
    </row>
    <row r="12894" ht="11.25" customHeight="1">
      <c r="A12894" s="21"/>
      <c r="B12894" s="22"/>
      <c r="C12894" s="21"/>
      <c r="D12894" s="21"/>
      <c r="E12894" s="21"/>
      <c r="F12894" s="21"/>
      <c r="G12894" s="25"/>
      <c r="H12894" s="24" t="str">
        <f>IFERROR(VLOOKUP(B12894,material!A:D,3,0),"")</f>
        <v/>
      </c>
    </row>
    <row r="12895" ht="11.25" customHeight="1">
      <c r="A12895" s="21"/>
      <c r="B12895" s="22"/>
      <c r="C12895" s="21"/>
      <c r="D12895" s="21"/>
      <c r="E12895" s="21"/>
      <c r="F12895" s="21"/>
      <c r="G12895" s="25"/>
      <c r="H12895" s="24" t="str">
        <f>IFERROR(VLOOKUP(B12895,material!A:D,3,0),"")</f>
        <v/>
      </c>
    </row>
    <row r="12896" ht="11.25" customHeight="1">
      <c r="A12896" s="21"/>
      <c r="B12896" s="22"/>
      <c r="C12896" s="21"/>
      <c r="D12896" s="21"/>
      <c r="E12896" s="21"/>
      <c r="F12896" s="21"/>
      <c r="G12896" s="25"/>
      <c r="H12896" s="24" t="str">
        <f>IFERROR(VLOOKUP(B12896,material!A:D,3,0),"")</f>
        <v/>
      </c>
    </row>
    <row r="12897" ht="11.25" customHeight="1">
      <c r="A12897" s="21"/>
      <c r="B12897" s="22"/>
      <c r="C12897" s="21"/>
      <c r="D12897" s="21"/>
      <c r="E12897" s="21"/>
      <c r="F12897" s="21"/>
      <c r="G12897" s="25"/>
      <c r="H12897" s="24" t="str">
        <f>IFERROR(VLOOKUP(B12897,material!A:D,3,0),"")</f>
        <v/>
      </c>
    </row>
    <row r="12898" ht="11.25" customHeight="1">
      <c r="A12898" s="21"/>
      <c r="B12898" s="22"/>
      <c r="C12898" s="21"/>
      <c r="D12898" s="21"/>
      <c r="E12898" s="21"/>
      <c r="F12898" s="21"/>
      <c r="G12898" s="25"/>
      <c r="H12898" s="24" t="str">
        <f>IFERROR(VLOOKUP(B12898,material!A:D,3,0),"")</f>
        <v/>
      </c>
    </row>
    <row r="12899" ht="11.25" customHeight="1">
      <c r="A12899" s="21"/>
      <c r="B12899" s="22"/>
      <c r="C12899" s="21"/>
      <c r="D12899" s="21"/>
      <c r="E12899" s="21"/>
      <c r="F12899" s="21"/>
      <c r="G12899" s="25"/>
      <c r="H12899" s="24" t="str">
        <f>IFERROR(VLOOKUP(B12899,material!A:D,3,0),"")</f>
        <v/>
      </c>
    </row>
    <row r="12900" ht="11.25" customHeight="1">
      <c r="A12900" s="21"/>
      <c r="B12900" s="22"/>
      <c r="C12900" s="21"/>
      <c r="D12900" s="21"/>
      <c r="E12900" s="21"/>
      <c r="F12900" s="21"/>
      <c r="G12900" s="25"/>
      <c r="H12900" s="24" t="str">
        <f>IFERROR(VLOOKUP(B12900,material!A:D,3,0),"")</f>
        <v/>
      </c>
    </row>
    <row r="12901" ht="11.25" customHeight="1">
      <c r="A12901" s="21"/>
      <c r="B12901" s="22"/>
      <c r="C12901" s="21"/>
      <c r="D12901" s="21"/>
      <c r="E12901" s="21"/>
      <c r="F12901" s="21"/>
      <c r="G12901" s="25"/>
      <c r="H12901" s="24" t="str">
        <f>IFERROR(VLOOKUP(B12901,material!A:D,3,0),"")</f>
        <v/>
      </c>
    </row>
    <row r="12902" ht="11.25" customHeight="1">
      <c r="A12902" s="21"/>
      <c r="B12902" s="22"/>
      <c r="C12902" s="21"/>
      <c r="D12902" s="21"/>
      <c r="E12902" s="21"/>
      <c r="F12902" s="21"/>
      <c r="G12902" s="25"/>
      <c r="H12902" s="24" t="str">
        <f>IFERROR(VLOOKUP(B12902,material!A:D,3,0),"")</f>
        <v/>
      </c>
    </row>
    <row r="12903" ht="11.25" customHeight="1">
      <c r="A12903" s="21"/>
      <c r="B12903" s="22"/>
      <c r="C12903" s="21"/>
      <c r="D12903" s="21"/>
      <c r="E12903" s="21"/>
      <c r="F12903" s="21"/>
      <c r="G12903" s="25"/>
      <c r="H12903" s="24" t="str">
        <f>IFERROR(VLOOKUP(B12903,material!A:D,3,0),"")</f>
        <v/>
      </c>
    </row>
    <row r="12904" ht="11.25" customHeight="1">
      <c r="A12904" s="21"/>
      <c r="B12904" s="22"/>
      <c r="C12904" s="21"/>
      <c r="D12904" s="21"/>
      <c r="E12904" s="21"/>
      <c r="F12904" s="21"/>
      <c r="G12904" s="25"/>
      <c r="H12904" s="24" t="str">
        <f>IFERROR(VLOOKUP(B12904,material!A:D,3,0),"")</f>
        <v/>
      </c>
    </row>
    <row r="12905" ht="11.25" customHeight="1">
      <c r="A12905" s="21"/>
      <c r="B12905" s="22"/>
      <c r="C12905" s="21"/>
      <c r="D12905" s="21"/>
      <c r="E12905" s="21"/>
      <c r="F12905" s="21"/>
      <c r="G12905" s="25"/>
      <c r="H12905" s="24" t="str">
        <f>IFERROR(VLOOKUP(B12905,material!A:D,3,0),"")</f>
        <v/>
      </c>
    </row>
    <row r="12906" ht="11.25" customHeight="1">
      <c r="A12906" s="21"/>
      <c r="B12906" s="22"/>
      <c r="C12906" s="21"/>
      <c r="D12906" s="21"/>
      <c r="E12906" s="21"/>
      <c r="F12906" s="21"/>
      <c r="G12906" s="25"/>
      <c r="H12906" s="24" t="str">
        <f>IFERROR(VLOOKUP(B12906,material!A:D,3,0),"")</f>
        <v/>
      </c>
    </row>
    <row r="12907" ht="11.25" customHeight="1">
      <c r="A12907" s="21"/>
      <c r="B12907" s="22"/>
      <c r="C12907" s="21"/>
      <c r="D12907" s="21"/>
      <c r="E12907" s="21"/>
      <c r="F12907" s="21"/>
      <c r="G12907" s="25"/>
      <c r="H12907" s="24" t="str">
        <f>IFERROR(VLOOKUP(B12907,material!A:D,3,0),"")</f>
        <v/>
      </c>
    </row>
    <row r="12908" ht="11.25" customHeight="1">
      <c r="A12908" s="21"/>
      <c r="B12908" s="22"/>
      <c r="C12908" s="21"/>
      <c r="D12908" s="21"/>
      <c r="E12908" s="21"/>
      <c r="F12908" s="21"/>
      <c r="G12908" s="25"/>
      <c r="H12908" s="24" t="str">
        <f>IFERROR(VLOOKUP(B12908,material!A:D,3,0),"")</f>
        <v/>
      </c>
    </row>
    <row r="12909" ht="11.25" customHeight="1">
      <c r="A12909" s="21"/>
      <c r="B12909" s="22"/>
      <c r="C12909" s="21"/>
      <c r="D12909" s="21"/>
      <c r="E12909" s="21"/>
      <c r="F12909" s="21"/>
      <c r="G12909" s="25"/>
      <c r="H12909" s="24" t="str">
        <f>IFERROR(VLOOKUP(B12909,material!A:D,3,0),"")</f>
        <v/>
      </c>
    </row>
    <row r="12910" ht="11.25" customHeight="1">
      <c r="A12910" s="21"/>
      <c r="B12910" s="22"/>
      <c r="C12910" s="21"/>
      <c r="D12910" s="21"/>
      <c r="E12910" s="21"/>
      <c r="F12910" s="21"/>
      <c r="G12910" s="25"/>
      <c r="H12910" s="24" t="str">
        <f>IFERROR(VLOOKUP(B12910,material!A:D,3,0),"")</f>
        <v/>
      </c>
    </row>
    <row r="12911" ht="11.25" customHeight="1">
      <c r="A12911" s="21"/>
      <c r="B12911" s="22"/>
      <c r="C12911" s="21"/>
      <c r="D12911" s="21"/>
      <c r="E12911" s="21"/>
      <c r="F12911" s="21"/>
      <c r="G12911" s="25"/>
      <c r="H12911" s="24" t="str">
        <f>IFERROR(VLOOKUP(B12911,material!A:D,3,0),"")</f>
        <v/>
      </c>
    </row>
    <row r="12912" ht="11.25" customHeight="1">
      <c r="A12912" s="21"/>
      <c r="B12912" s="22"/>
      <c r="C12912" s="21"/>
      <c r="D12912" s="21"/>
      <c r="E12912" s="21"/>
      <c r="F12912" s="21"/>
      <c r="G12912" s="25"/>
      <c r="H12912" s="24" t="str">
        <f>IFERROR(VLOOKUP(B12912,material!A:D,3,0),"")</f>
        <v/>
      </c>
    </row>
    <row r="12913" ht="11.25" customHeight="1">
      <c r="A12913" s="21"/>
      <c r="B12913" s="22"/>
      <c r="C12913" s="21"/>
      <c r="D12913" s="21"/>
      <c r="E12913" s="21"/>
      <c r="F12913" s="21"/>
      <c r="G12913" s="25"/>
      <c r="H12913" s="24" t="str">
        <f>IFERROR(VLOOKUP(B12913,material!A:D,3,0),"")</f>
        <v/>
      </c>
    </row>
    <row r="12914" ht="11.25" customHeight="1">
      <c r="A12914" s="21"/>
      <c r="B12914" s="22"/>
      <c r="C12914" s="21"/>
      <c r="D12914" s="21"/>
      <c r="E12914" s="21"/>
      <c r="F12914" s="21"/>
      <c r="G12914" s="25"/>
      <c r="H12914" s="24" t="str">
        <f>IFERROR(VLOOKUP(B12914,material!A:D,3,0),"")</f>
        <v/>
      </c>
    </row>
    <row r="12915" ht="11.25" customHeight="1">
      <c r="A12915" s="21"/>
      <c r="B12915" s="22"/>
      <c r="C12915" s="21"/>
      <c r="D12915" s="21"/>
      <c r="E12915" s="21"/>
      <c r="F12915" s="21"/>
      <c r="G12915" s="25"/>
      <c r="H12915" s="24" t="str">
        <f>IFERROR(VLOOKUP(B12915,material!A:D,3,0),"")</f>
        <v/>
      </c>
    </row>
    <row r="12916" ht="11.25" customHeight="1">
      <c r="A12916" s="21"/>
      <c r="B12916" s="22"/>
      <c r="C12916" s="21"/>
      <c r="D12916" s="21"/>
      <c r="E12916" s="21"/>
      <c r="F12916" s="21"/>
      <c r="G12916" s="25"/>
      <c r="H12916" s="24" t="str">
        <f>IFERROR(VLOOKUP(B12916,material!A:D,3,0),"")</f>
        <v/>
      </c>
    </row>
    <row r="12917" ht="11.25" customHeight="1">
      <c r="A12917" s="21"/>
      <c r="B12917" s="22"/>
      <c r="C12917" s="21"/>
      <c r="D12917" s="21"/>
      <c r="E12917" s="21"/>
      <c r="F12917" s="21"/>
      <c r="G12917" s="25"/>
      <c r="H12917" s="24" t="str">
        <f>IFERROR(VLOOKUP(B12917,material!A:D,3,0),"")</f>
        <v/>
      </c>
    </row>
    <row r="12918" ht="11.25" customHeight="1">
      <c r="A12918" s="21"/>
      <c r="B12918" s="22"/>
      <c r="C12918" s="21"/>
      <c r="D12918" s="21"/>
      <c r="E12918" s="21"/>
      <c r="F12918" s="21"/>
      <c r="G12918" s="25"/>
      <c r="H12918" s="24" t="str">
        <f>IFERROR(VLOOKUP(B12918,material!A:D,3,0),"")</f>
        <v/>
      </c>
    </row>
    <row r="12919" ht="11.25" customHeight="1">
      <c r="A12919" s="21"/>
      <c r="B12919" s="22"/>
      <c r="C12919" s="21"/>
      <c r="D12919" s="21"/>
      <c r="E12919" s="21"/>
      <c r="F12919" s="21"/>
      <c r="G12919" s="25"/>
      <c r="H12919" s="24" t="str">
        <f>IFERROR(VLOOKUP(B12919,material!A:D,3,0),"")</f>
        <v/>
      </c>
    </row>
    <row r="12920" ht="11.25" customHeight="1">
      <c r="A12920" s="21"/>
      <c r="B12920" s="22"/>
      <c r="C12920" s="21"/>
      <c r="D12920" s="21"/>
      <c r="E12920" s="21"/>
      <c r="F12920" s="21"/>
      <c r="G12920" s="25"/>
      <c r="H12920" s="24" t="str">
        <f>IFERROR(VLOOKUP(B12920,material!A:D,3,0),"")</f>
        <v/>
      </c>
    </row>
    <row r="12921" ht="11.25" customHeight="1">
      <c r="A12921" s="21"/>
      <c r="B12921" s="22"/>
      <c r="C12921" s="21"/>
      <c r="D12921" s="21"/>
      <c r="E12921" s="21"/>
      <c r="F12921" s="21"/>
      <c r="G12921" s="25"/>
      <c r="H12921" s="24" t="str">
        <f>IFERROR(VLOOKUP(B12921,material!A:D,3,0),"")</f>
        <v/>
      </c>
    </row>
    <row r="12922" ht="11.25" customHeight="1">
      <c r="A12922" s="21"/>
      <c r="B12922" s="22"/>
      <c r="C12922" s="21"/>
      <c r="D12922" s="21"/>
      <c r="E12922" s="21"/>
      <c r="F12922" s="21"/>
      <c r="G12922" s="25"/>
      <c r="H12922" s="24" t="str">
        <f>IFERROR(VLOOKUP(B12922,material!A:D,3,0),"")</f>
        <v/>
      </c>
    </row>
    <row r="12923" ht="11.25" customHeight="1">
      <c r="A12923" s="21"/>
      <c r="B12923" s="22"/>
      <c r="C12923" s="21"/>
      <c r="D12923" s="21"/>
      <c r="E12923" s="21"/>
      <c r="F12923" s="21"/>
      <c r="G12923" s="25"/>
      <c r="H12923" s="24" t="str">
        <f>IFERROR(VLOOKUP(B12923,material!A:D,3,0),"")</f>
        <v/>
      </c>
    </row>
    <row r="12924" ht="11.25" customHeight="1">
      <c r="A12924" s="21"/>
      <c r="B12924" s="22"/>
      <c r="C12924" s="21"/>
      <c r="D12924" s="21"/>
      <c r="E12924" s="21"/>
      <c r="F12924" s="21"/>
      <c r="G12924" s="25"/>
      <c r="H12924" s="24" t="str">
        <f>IFERROR(VLOOKUP(B12924,material!A:D,3,0),"")</f>
        <v/>
      </c>
    </row>
    <row r="12925" ht="11.25" customHeight="1">
      <c r="A12925" s="21"/>
      <c r="B12925" s="22"/>
      <c r="C12925" s="21"/>
      <c r="D12925" s="21"/>
      <c r="E12925" s="21"/>
      <c r="F12925" s="21"/>
      <c r="G12925" s="25"/>
      <c r="H12925" s="24" t="str">
        <f>IFERROR(VLOOKUP(B12925,material!A:D,3,0),"")</f>
        <v/>
      </c>
    </row>
    <row r="12926" ht="11.25" customHeight="1">
      <c r="A12926" s="21"/>
      <c r="B12926" s="22"/>
      <c r="C12926" s="21"/>
      <c r="D12926" s="21"/>
      <c r="E12926" s="21"/>
      <c r="F12926" s="21"/>
      <c r="G12926" s="25"/>
      <c r="H12926" s="24" t="str">
        <f>IFERROR(VLOOKUP(B12926,material!A:D,3,0),"")</f>
        <v/>
      </c>
    </row>
    <row r="12927" ht="11.25" customHeight="1">
      <c r="A12927" s="21"/>
      <c r="B12927" s="22"/>
      <c r="C12927" s="21"/>
      <c r="D12927" s="21"/>
      <c r="E12927" s="21"/>
      <c r="F12927" s="21"/>
      <c r="G12927" s="25"/>
      <c r="H12927" s="24" t="str">
        <f>IFERROR(VLOOKUP(B12927,material!A:D,3,0),"")</f>
        <v/>
      </c>
    </row>
    <row r="12928" ht="11.25" customHeight="1">
      <c r="A12928" s="21"/>
      <c r="B12928" s="22"/>
      <c r="C12928" s="21"/>
      <c r="D12928" s="21"/>
      <c r="E12928" s="21"/>
      <c r="F12928" s="21"/>
      <c r="G12928" s="25"/>
      <c r="H12928" s="24" t="str">
        <f>IFERROR(VLOOKUP(B12928,material!A:D,3,0),"")</f>
        <v/>
      </c>
    </row>
    <row r="12929" ht="11.25" customHeight="1">
      <c r="A12929" s="21"/>
      <c r="B12929" s="22"/>
      <c r="C12929" s="21"/>
      <c r="D12929" s="21"/>
      <c r="E12929" s="21"/>
      <c r="F12929" s="21"/>
      <c r="G12929" s="25"/>
      <c r="H12929" s="24" t="str">
        <f>IFERROR(VLOOKUP(B12929,material!A:D,3,0),"")</f>
        <v/>
      </c>
    </row>
    <row r="12930" ht="11.25" customHeight="1">
      <c r="A12930" s="21"/>
      <c r="B12930" s="22"/>
      <c r="C12930" s="21"/>
      <c r="D12930" s="21"/>
      <c r="E12930" s="21"/>
      <c r="F12930" s="21"/>
      <c r="G12930" s="25"/>
      <c r="H12930" s="24" t="str">
        <f>IFERROR(VLOOKUP(B12930,material!A:D,3,0),"")</f>
        <v/>
      </c>
    </row>
    <row r="12931" ht="11.25" customHeight="1">
      <c r="A12931" s="21"/>
      <c r="B12931" s="22"/>
      <c r="C12931" s="21"/>
      <c r="D12931" s="21"/>
      <c r="E12931" s="21"/>
      <c r="F12931" s="21"/>
      <c r="G12931" s="25"/>
      <c r="H12931" s="24" t="str">
        <f>IFERROR(VLOOKUP(B12931,material!A:D,3,0),"")</f>
        <v/>
      </c>
    </row>
    <row r="12932" ht="11.25" customHeight="1">
      <c r="A12932" s="21"/>
      <c r="B12932" s="22"/>
      <c r="C12932" s="21"/>
      <c r="D12932" s="21"/>
      <c r="E12932" s="21"/>
      <c r="F12932" s="21"/>
      <c r="G12932" s="25"/>
      <c r="H12932" s="24" t="str">
        <f>IFERROR(VLOOKUP(B12932,material!A:D,3,0),"")</f>
        <v/>
      </c>
    </row>
    <row r="12933" ht="11.25" customHeight="1">
      <c r="A12933" s="21"/>
      <c r="B12933" s="22"/>
      <c r="C12933" s="21"/>
      <c r="D12933" s="21"/>
      <c r="E12933" s="21"/>
      <c r="F12933" s="21"/>
      <c r="G12933" s="25"/>
      <c r="H12933" s="24" t="str">
        <f>IFERROR(VLOOKUP(B12933,material!A:D,3,0),"")</f>
        <v/>
      </c>
    </row>
    <row r="12934" ht="11.25" customHeight="1">
      <c r="A12934" s="21"/>
      <c r="B12934" s="22"/>
      <c r="C12934" s="21"/>
      <c r="D12934" s="21"/>
      <c r="E12934" s="21"/>
      <c r="F12934" s="21"/>
      <c r="G12934" s="25"/>
      <c r="H12934" s="24" t="str">
        <f>IFERROR(VLOOKUP(B12934,material!A:D,3,0),"")</f>
        <v/>
      </c>
    </row>
    <row r="12935" ht="11.25" customHeight="1">
      <c r="A12935" s="21"/>
      <c r="B12935" s="22"/>
      <c r="C12935" s="21"/>
      <c r="D12935" s="21"/>
      <c r="E12935" s="21"/>
      <c r="F12935" s="21"/>
      <c r="G12935" s="25"/>
      <c r="H12935" s="24" t="str">
        <f>IFERROR(VLOOKUP(B12935,material!A:D,3,0),"")</f>
        <v/>
      </c>
    </row>
    <row r="12936" ht="11.25" customHeight="1">
      <c r="A12936" s="21"/>
      <c r="B12936" s="22"/>
      <c r="C12936" s="21"/>
      <c r="D12936" s="21"/>
      <c r="E12936" s="21"/>
      <c r="F12936" s="21"/>
      <c r="G12936" s="25"/>
      <c r="H12936" s="24" t="str">
        <f>IFERROR(VLOOKUP(B12936,material!A:D,3,0),"")</f>
        <v/>
      </c>
    </row>
    <row r="12937" ht="11.25" customHeight="1">
      <c r="A12937" s="21"/>
      <c r="B12937" s="22"/>
      <c r="C12937" s="21"/>
      <c r="D12937" s="21"/>
      <c r="E12937" s="21"/>
      <c r="F12937" s="21"/>
      <c r="G12937" s="25"/>
      <c r="H12937" s="24" t="str">
        <f>IFERROR(VLOOKUP(B12937,material!A:D,3,0),"")</f>
        <v/>
      </c>
    </row>
    <row r="12938" ht="11.25" customHeight="1">
      <c r="A12938" s="21"/>
      <c r="B12938" s="22"/>
      <c r="C12938" s="21"/>
      <c r="D12938" s="21"/>
      <c r="E12938" s="21"/>
      <c r="F12938" s="21"/>
      <c r="G12938" s="25"/>
      <c r="H12938" s="24" t="str">
        <f>IFERROR(VLOOKUP(B12938,material!A:D,3,0),"")</f>
        <v/>
      </c>
    </row>
    <row r="12939" ht="11.25" customHeight="1">
      <c r="A12939" s="21"/>
      <c r="B12939" s="22"/>
      <c r="C12939" s="21"/>
      <c r="D12939" s="21"/>
      <c r="E12939" s="21"/>
      <c r="F12939" s="21"/>
      <c r="G12939" s="25"/>
      <c r="H12939" s="24" t="str">
        <f>IFERROR(VLOOKUP(B12939,material!A:D,3,0),"")</f>
        <v/>
      </c>
    </row>
    <row r="12940" ht="11.25" customHeight="1">
      <c r="A12940" s="21"/>
      <c r="B12940" s="22"/>
      <c r="C12940" s="21"/>
      <c r="D12940" s="21"/>
      <c r="E12940" s="21"/>
      <c r="F12940" s="21"/>
      <c r="G12940" s="25"/>
      <c r="H12940" s="24" t="str">
        <f>IFERROR(VLOOKUP(B12940,material!A:D,3,0),"")</f>
        <v/>
      </c>
    </row>
    <row r="12941" ht="11.25" customHeight="1">
      <c r="A12941" s="21"/>
      <c r="B12941" s="22"/>
      <c r="C12941" s="21"/>
      <c r="D12941" s="21"/>
      <c r="E12941" s="21"/>
      <c r="F12941" s="21"/>
      <c r="G12941" s="25"/>
      <c r="H12941" s="24" t="str">
        <f>IFERROR(VLOOKUP(B12941,material!A:D,3,0),"")</f>
        <v/>
      </c>
    </row>
    <row r="12942" ht="11.25" customHeight="1">
      <c r="A12942" s="21"/>
      <c r="B12942" s="22"/>
      <c r="C12942" s="21"/>
      <c r="D12942" s="21"/>
      <c r="E12942" s="21"/>
      <c r="F12942" s="21"/>
      <c r="G12942" s="25"/>
      <c r="H12942" s="24" t="str">
        <f>IFERROR(VLOOKUP(B12942,material!A:D,3,0),"")</f>
        <v/>
      </c>
    </row>
    <row r="12943" ht="11.25" customHeight="1">
      <c r="A12943" s="21"/>
      <c r="B12943" s="22"/>
      <c r="C12943" s="21"/>
      <c r="D12943" s="21"/>
      <c r="E12943" s="21"/>
      <c r="F12943" s="21"/>
      <c r="G12943" s="25"/>
      <c r="H12943" s="24" t="str">
        <f>IFERROR(VLOOKUP(B12943,material!A:D,3,0),"")</f>
        <v/>
      </c>
    </row>
    <row r="12944" ht="11.25" customHeight="1">
      <c r="A12944" s="21"/>
      <c r="B12944" s="22"/>
      <c r="C12944" s="21"/>
      <c r="D12944" s="21"/>
      <c r="E12944" s="21"/>
      <c r="F12944" s="21"/>
      <c r="G12944" s="25"/>
      <c r="H12944" s="24" t="str">
        <f>IFERROR(VLOOKUP(B12944,material!A:D,3,0),"")</f>
        <v/>
      </c>
    </row>
    <row r="12945" ht="11.25" customHeight="1">
      <c r="A12945" s="21"/>
      <c r="B12945" s="22"/>
      <c r="C12945" s="21"/>
      <c r="D12945" s="21"/>
      <c r="E12945" s="21"/>
      <c r="F12945" s="21"/>
      <c r="G12945" s="25"/>
      <c r="H12945" s="24" t="str">
        <f>IFERROR(VLOOKUP(B12945,material!A:D,3,0),"")</f>
        <v/>
      </c>
    </row>
    <row r="12946" ht="11.25" customHeight="1">
      <c r="A12946" s="21"/>
      <c r="B12946" s="22"/>
      <c r="C12946" s="21"/>
      <c r="D12946" s="21"/>
      <c r="E12946" s="21"/>
      <c r="F12946" s="21"/>
      <c r="G12946" s="25"/>
      <c r="H12946" s="24" t="str">
        <f>IFERROR(VLOOKUP(B12946,material!A:D,3,0),"")</f>
        <v/>
      </c>
    </row>
    <row r="12947" ht="11.25" customHeight="1">
      <c r="A12947" s="21"/>
      <c r="B12947" s="22"/>
      <c r="C12947" s="21"/>
      <c r="D12947" s="21"/>
      <c r="E12947" s="21"/>
      <c r="F12947" s="21"/>
      <c r="G12947" s="25"/>
      <c r="H12947" s="24" t="str">
        <f>IFERROR(VLOOKUP(B12947,material!A:D,3,0),"")</f>
        <v/>
      </c>
    </row>
    <row r="12948" ht="11.25" customHeight="1">
      <c r="A12948" s="21"/>
      <c r="B12948" s="22"/>
      <c r="C12948" s="21"/>
      <c r="D12948" s="21"/>
      <c r="E12948" s="21"/>
      <c r="F12948" s="21"/>
      <c r="G12948" s="25"/>
      <c r="H12948" s="24" t="str">
        <f>IFERROR(VLOOKUP(B12948,material!A:D,3,0),"")</f>
        <v/>
      </c>
    </row>
    <row r="12949" ht="11.25" customHeight="1">
      <c r="A12949" s="21"/>
      <c r="B12949" s="22"/>
      <c r="C12949" s="21"/>
      <c r="D12949" s="21"/>
      <c r="E12949" s="21"/>
      <c r="F12949" s="21"/>
      <c r="G12949" s="25"/>
      <c r="H12949" s="24" t="str">
        <f>IFERROR(VLOOKUP(B12949,material!A:D,3,0),"")</f>
        <v/>
      </c>
    </row>
    <row r="12950" ht="11.25" customHeight="1">
      <c r="A12950" s="21"/>
      <c r="B12950" s="22"/>
      <c r="C12950" s="21"/>
      <c r="D12950" s="21"/>
      <c r="E12950" s="21"/>
      <c r="F12950" s="21"/>
      <c r="G12950" s="25"/>
      <c r="H12950" s="24" t="str">
        <f>IFERROR(VLOOKUP(B12950,material!A:D,3,0),"")</f>
        <v/>
      </c>
    </row>
    <row r="12951" ht="11.25" customHeight="1">
      <c r="A12951" s="21"/>
      <c r="B12951" s="22"/>
      <c r="C12951" s="21"/>
      <c r="D12951" s="21"/>
      <c r="E12951" s="21"/>
      <c r="F12951" s="21"/>
      <c r="G12951" s="25"/>
      <c r="H12951" s="24" t="str">
        <f>IFERROR(VLOOKUP(B12951,material!A:D,3,0),"")</f>
        <v/>
      </c>
    </row>
    <row r="12952" ht="11.25" customHeight="1">
      <c r="A12952" s="21"/>
      <c r="B12952" s="22"/>
      <c r="C12952" s="21"/>
      <c r="D12952" s="21"/>
      <c r="E12952" s="21"/>
      <c r="F12952" s="21"/>
      <c r="G12952" s="25"/>
      <c r="H12952" s="24" t="str">
        <f>IFERROR(VLOOKUP(B12952,material!A:D,3,0),"")</f>
        <v/>
      </c>
    </row>
    <row r="12953" ht="11.25" customHeight="1">
      <c r="A12953" s="21"/>
      <c r="B12953" s="22"/>
      <c r="C12953" s="21"/>
      <c r="D12953" s="21"/>
      <c r="E12953" s="21"/>
      <c r="F12953" s="21"/>
      <c r="G12953" s="25"/>
      <c r="H12953" s="24" t="str">
        <f>IFERROR(VLOOKUP(B12953,material!A:D,3,0),"")</f>
        <v/>
      </c>
    </row>
    <row r="12954" ht="11.25" customHeight="1">
      <c r="A12954" s="21"/>
      <c r="B12954" s="22"/>
      <c r="C12954" s="21"/>
      <c r="D12954" s="21"/>
      <c r="E12954" s="21"/>
      <c r="F12954" s="21"/>
      <c r="G12954" s="25"/>
      <c r="H12954" s="24" t="str">
        <f>IFERROR(VLOOKUP(B12954,material!A:D,3,0),"")</f>
        <v/>
      </c>
    </row>
    <row r="12955" ht="11.25" customHeight="1">
      <c r="A12955" s="21"/>
      <c r="B12955" s="22"/>
      <c r="C12955" s="21"/>
      <c r="D12955" s="21"/>
      <c r="E12955" s="21"/>
      <c r="F12955" s="21"/>
      <c r="G12955" s="25"/>
      <c r="H12955" s="24" t="str">
        <f>IFERROR(VLOOKUP(B12955,material!A:D,3,0),"")</f>
        <v/>
      </c>
    </row>
    <row r="12956" ht="11.25" customHeight="1">
      <c r="A12956" s="21"/>
      <c r="B12956" s="22"/>
      <c r="C12956" s="21"/>
      <c r="D12956" s="21"/>
      <c r="E12956" s="21"/>
      <c r="F12956" s="21"/>
      <c r="G12956" s="25"/>
      <c r="H12956" s="24" t="str">
        <f>IFERROR(VLOOKUP(B12956,material!A:D,3,0),"")</f>
        <v/>
      </c>
    </row>
    <row r="12957" ht="11.25" customHeight="1">
      <c r="A12957" s="21"/>
      <c r="B12957" s="22"/>
      <c r="C12957" s="21"/>
      <c r="D12957" s="21"/>
      <c r="E12957" s="21"/>
      <c r="F12957" s="21"/>
      <c r="G12957" s="25"/>
      <c r="H12957" s="24" t="str">
        <f>IFERROR(VLOOKUP(B12957,material!A:D,3,0),"")</f>
        <v/>
      </c>
    </row>
    <row r="12958" ht="11.25" customHeight="1">
      <c r="A12958" s="21"/>
      <c r="B12958" s="22"/>
      <c r="C12958" s="21"/>
      <c r="D12958" s="21"/>
      <c r="E12958" s="21"/>
      <c r="F12958" s="21"/>
      <c r="G12958" s="25"/>
      <c r="H12958" s="24" t="str">
        <f>IFERROR(VLOOKUP(B12958,material!A:D,3,0),"")</f>
        <v/>
      </c>
    </row>
    <row r="12959" ht="11.25" customHeight="1">
      <c r="A12959" s="21"/>
      <c r="B12959" s="22"/>
      <c r="C12959" s="21"/>
      <c r="D12959" s="21"/>
      <c r="E12959" s="21"/>
      <c r="F12959" s="21"/>
      <c r="G12959" s="25"/>
      <c r="H12959" s="24" t="str">
        <f>IFERROR(VLOOKUP(B12959,material!A:D,3,0),"")</f>
        <v/>
      </c>
    </row>
    <row r="12960" ht="11.25" customHeight="1">
      <c r="A12960" s="21"/>
      <c r="B12960" s="22"/>
      <c r="C12960" s="21"/>
      <c r="D12960" s="21"/>
      <c r="E12960" s="21"/>
      <c r="F12960" s="21"/>
      <c r="G12960" s="25"/>
      <c r="H12960" s="24" t="str">
        <f>IFERROR(VLOOKUP(B12960,material!A:D,3,0),"")</f>
        <v/>
      </c>
    </row>
    <row r="12961" ht="11.25" customHeight="1">
      <c r="A12961" s="21"/>
      <c r="B12961" s="22"/>
      <c r="C12961" s="21"/>
      <c r="D12961" s="21"/>
      <c r="E12961" s="21"/>
      <c r="F12961" s="21"/>
      <c r="G12961" s="25"/>
      <c r="H12961" s="24" t="str">
        <f>IFERROR(VLOOKUP(B12961,material!A:D,3,0),"")</f>
        <v/>
      </c>
    </row>
    <row r="12962" ht="11.25" customHeight="1">
      <c r="A12962" s="21"/>
      <c r="B12962" s="22"/>
      <c r="C12962" s="21"/>
      <c r="D12962" s="21"/>
      <c r="E12962" s="21"/>
      <c r="F12962" s="21"/>
      <c r="G12962" s="25"/>
      <c r="H12962" s="24" t="str">
        <f>IFERROR(VLOOKUP(B12962,material!A:D,3,0),"")</f>
        <v/>
      </c>
    </row>
    <row r="12963" ht="11.25" customHeight="1">
      <c r="A12963" s="21"/>
      <c r="B12963" s="22"/>
      <c r="C12963" s="21"/>
      <c r="D12963" s="21"/>
      <c r="E12963" s="21"/>
      <c r="F12963" s="21"/>
      <c r="G12963" s="25"/>
      <c r="H12963" s="24" t="str">
        <f>IFERROR(VLOOKUP(B12963,material!A:D,3,0),"")</f>
        <v/>
      </c>
    </row>
    <row r="12964" ht="11.25" customHeight="1">
      <c r="A12964" s="21"/>
      <c r="B12964" s="22"/>
      <c r="C12964" s="21"/>
      <c r="D12964" s="21"/>
      <c r="E12964" s="21"/>
      <c r="F12964" s="21"/>
      <c r="G12964" s="25"/>
      <c r="H12964" s="24" t="str">
        <f>IFERROR(VLOOKUP(B12964,material!A:D,3,0),"")</f>
        <v/>
      </c>
    </row>
    <row r="12965" ht="11.25" customHeight="1">
      <c r="A12965" s="21"/>
      <c r="B12965" s="22"/>
      <c r="C12965" s="21"/>
      <c r="D12965" s="21"/>
      <c r="E12965" s="21"/>
      <c r="F12965" s="21"/>
      <c r="G12965" s="25"/>
      <c r="H12965" s="24" t="str">
        <f>IFERROR(VLOOKUP(B12965,material!A:D,3,0),"")</f>
        <v/>
      </c>
    </row>
    <row r="12966" ht="11.25" customHeight="1">
      <c r="A12966" s="21"/>
      <c r="B12966" s="22"/>
      <c r="C12966" s="21"/>
      <c r="D12966" s="21"/>
      <c r="E12966" s="21"/>
      <c r="F12966" s="21"/>
      <c r="G12966" s="25"/>
      <c r="H12966" s="24" t="str">
        <f>IFERROR(VLOOKUP(B12966,material!A:D,3,0),"")</f>
        <v/>
      </c>
    </row>
    <row r="12967" ht="11.25" customHeight="1">
      <c r="A12967" s="21"/>
      <c r="B12967" s="22"/>
      <c r="C12967" s="21"/>
      <c r="D12967" s="21"/>
      <c r="E12967" s="21"/>
      <c r="F12967" s="21"/>
      <c r="G12967" s="25"/>
      <c r="H12967" s="24" t="str">
        <f>IFERROR(VLOOKUP(B12967,material!A:D,3,0),"")</f>
        <v/>
      </c>
    </row>
    <row r="12968" ht="11.25" customHeight="1">
      <c r="A12968" s="21"/>
      <c r="B12968" s="22"/>
      <c r="C12968" s="21"/>
      <c r="D12968" s="21"/>
      <c r="E12968" s="21"/>
      <c r="F12968" s="21"/>
      <c r="G12968" s="25"/>
      <c r="H12968" s="24" t="str">
        <f>IFERROR(VLOOKUP(B12968,material!A:D,3,0),"")</f>
        <v/>
      </c>
    </row>
    <row r="12969" ht="11.25" customHeight="1">
      <c r="A12969" s="21"/>
      <c r="B12969" s="22"/>
      <c r="C12969" s="21"/>
      <c r="D12969" s="21"/>
      <c r="E12969" s="21"/>
      <c r="F12969" s="21"/>
      <c r="G12969" s="25"/>
      <c r="H12969" s="24" t="str">
        <f>IFERROR(VLOOKUP(B12969,material!A:D,3,0),"")</f>
        <v/>
      </c>
    </row>
    <row r="12970" ht="11.25" customHeight="1">
      <c r="A12970" s="21"/>
      <c r="B12970" s="22"/>
      <c r="C12970" s="21"/>
      <c r="D12970" s="21"/>
      <c r="E12970" s="21"/>
      <c r="F12970" s="21"/>
      <c r="G12970" s="25"/>
      <c r="H12970" s="24" t="str">
        <f>IFERROR(VLOOKUP(B12970,material!A:D,3,0),"")</f>
        <v/>
      </c>
    </row>
    <row r="12971" ht="11.25" customHeight="1">
      <c r="A12971" s="21"/>
      <c r="B12971" s="22"/>
      <c r="C12971" s="21"/>
      <c r="D12971" s="21"/>
      <c r="E12971" s="21"/>
      <c r="F12971" s="21"/>
      <c r="G12971" s="25"/>
      <c r="H12971" s="24" t="str">
        <f>IFERROR(VLOOKUP(B12971,material!A:D,3,0),"")</f>
        <v/>
      </c>
    </row>
    <row r="12972" ht="11.25" customHeight="1">
      <c r="A12972" s="21"/>
      <c r="B12972" s="22"/>
      <c r="C12972" s="21"/>
      <c r="D12972" s="21"/>
      <c r="E12972" s="21"/>
      <c r="F12972" s="21"/>
      <c r="G12972" s="25"/>
      <c r="H12972" s="24" t="str">
        <f>IFERROR(VLOOKUP(B12972,material!A:D,3,0),"")</f>
        <v/>
      </c>
    </row>
    <row r="12973" ht="11.25" customHeight="1">
      <c r="A12973" s="21"/>
      <c r="B12973" s="22"/>
      <c r="C12973" s="21"/>
      <c r="D12973" s="21"/>
      <c r="E12973" s="21"/>
      <c r="F12973" s="21"/>
      <c r="G12973" s="25"/>
      <c r="H12973" s="24" t="str">
        <f>IFERROR(VLOOKUP(B12973,material!A:D,3,0),"")</f>
        <v/>
      </c>
    </row>
    <row r="12974" ht="11.25" customHeight="1">
      <c r="A12974" s="21"/>
      <c r="B12974" s="22"/>
      <c r="C12974" s="21"/>
      <c r="D12974" s="21"/>
      <c r="E12974" s="21"/>
      <c r="F12974" s="21"/>
      <c r="G12974" s="25"/>
      <c r="H12974" s="24" t="str">
        <f>IFERROR(VLOOKUP(B12974,material!A:D,3,0),"")</f>
        <v/>
      </c>
    </row>
    <row r="12975" ht="11.25" customHeight="1">
      <c r="A12975" s="21"/>
      <c r="B12975" s="22"/>
      <c r="C12975" s="21"/>
      <c r="D12975" s="21"/>
      <c r="E12975" s="21"/>
      <c r="F12975" s="21"/>
      <c r="G12975" s="25"/>
      <c r="H12975" s="24" t="str">
        <f>IFERROR(VLOOKUP(B12975,material!A:D,3,0),"")</f>
        <v/>
      </c>
    </row>
    <row r="12976" ht="11.25" customHeight="1">
      <c r="A12976" s="21"/>
      <c r="B12976" s="22"/>
      <c r="C12976" s="21"/>
      <c r="D12976" s="21"/>
      <c r="E12976" s="21"/>
      <c r="F12976" s="21"/>
      <c r="G12976" s="25"/>
      <c r="H12976" s="24" t="str">
        <f>IFERROR(VLOOKUP(B12976,material!A:D,3,0),"")</f>
        <v/>
      </c>
    </row>
    <row r="12977" ht="11.25" customHeight="1">
      <c r="A12977" s="21"/>
      <c r="B12977" s="22"/>
      <c r="C12977" s="21"/>
      <c r="D12977" s="21"/>
      <c r="E12977" s="21"/>
      <c r="F12977" s="21"/>
      <c r="G12977" s="25"/>
      <c r="H12977" s="24" t="str">
        <f>IFERROR(VLOOKUP(B12977,material!A:D,3,0),"")</f>
        <v/>
      </c>
    </row>
    <row r="12978" ht="11.25" customHeight="1">
      <c r="A12978" s="21"/>
      <c r="B12978" s="22"/>
      <c r="C12978" s="21"/>
      <c r="D12978" s="21"/>
      <c r="E12978" s="21"/>
      <c r="F12978" s="21"/>
      <c r="G12978" s="25"/>
      <c r="H12978" s="24" t="str">
        <f>IFERROR(VLOOKUP(B12978,material!A:D,3,0),"")</f>
        <v/>
      </c>
    </row>
    <row r="12979" ht="11.25" customHeight="1">
      <c r="A12979" s="21"/>
      <c r="B12979" s="22"/>
      <c r="C12979" s="21"/>
      <c r="D12979" s="21"/>
      <c r="E12979" s="21"/>
      <c r="F12979" s="21"/>
      <c r="G12979" s="25"/>
      <c r="H12979" s="24" t="str">
        <f>IFERROR(VLOOKUP(B12979,material!A:D,3,0),"")</f>
        <v/>
      </c>
    </row>
    <row r="12980" ht="11.25" customHeight="1">
      <c r="A12980" s="21"/>
      <c r="B12980" s="22"/>
      <c r="C12980" s="21"/>
      <c r="D12980" s="21"/>
      <c r="E12980" s="21"/>
      <c r="F12980" s="21"/>
      <c r="G12980" s="25"/>
      <c r="H12980" s="24" t="str">
        <f>IFERROR(VLOOKUP(B12980,material!A:D,3,0),"")</f>
        <v/>
      </c>
    </row>
    <row r="12981" ht="11.25" customHeight="1">
      <c r="A12981" s="21"/>
      <c r="B12981" s="22"/>
      <c r="C12981" s="21"/>
      <c r="D12981" s="21"/>
      <c r="E12981" s="21"/>
      <c r="F12981" s="21"/>
      <c r="G12981" s="25"/>
      <c r="H12981" s="24" t="str">
        <f>IFERROR(VLOOKUP(B12981,material!A:D,3,0),"")</f>
        <v/>
      </c>
    </row>
    <row r="12982" ht="11.25" customHeight="1">
      <c r="A12982" s="21"/>
      <c r="B12982" s="22"/>
      <c r="C12982" s="21"/>
      <c r="D12982" s="21"/>
      <c r="E12982" s="21"/>
      <c r="F12982" s="21"/>
      <c r="G12982" s="25"/>
      <c r="H12982" s="24" t="str">
        <f>IFERROR(VLOOKUP(B12982,material!A:D,3,0),"")</f>
        <v/>
      </c>
    </row>
    <row r="12983" ht="11.25" customHeight="1">
      <c r="A12983" s="21"/>
      <c r="B12983" s="22"/>
      <c r="C12983" s="21"/>
      <c r="D12983" s="21"/>
      <c r="E12983" s="21"/>
      <c r="F12983" s="21"/>
      <c r="G12983" s="25"/>
      <c r="H12983" s="24" t="str">
        <f>IFERROR(VLOOKUP(B12983,material!A:D,3,0),"")</f>
        <v/>
      </c>
    </row>
    <row r="12984" ht="11.25" customHeight="1">
      <c r="A12984" s="21"/>
      <c r="B12984" s="22"/>
      <c r="C12984" s="21"/>
      <c r="D12984" s="21"/>
      <c r="E12984" s="21"/>
      <c r="F12984" s="21"/>
      <c r="G12984" s="25"/>
      <c r="H12984" s="24" t="str">
        <f>IFERROR(VLOOKUP(B12984,material!A:D,3,0),"")</f>
        <v/>
      </c>
    </row>
    <row r="12985" ht="11.25" customHeight="1">
      <c r="A12985" s="21"/>
      <c r="B12985" s="22"/>
      <c r="C12985" s="21"/>
      <c r="D12985" s="21"/>
      <c r="E12985" s="21"/>
      <c r="F12985" s="21"/>
      <c r="G12985" s="25"/>
      <c r="H12985" s="24" t="str">
        <f>IFERROR(VLOOKUP(B12985,material!A:D,3,0),"")</f>
        <v/>
      </c>
    </row>
    <row r="12986" ht="11.25" customHeight="1">
      <c r="A12986" s="21"/>
      <c r="B12986" s="22"/>
      <c r="C12986" s="21"/>
      <c r="D12986" s="21"/>
      <c r="E12986" s="21"/>
      <c r="F12986" s="21"/>
      <c r="G12986" s="25"/>
      <c r="H12986" s="24" t="str">
        <f>IFERROR(VLOOKUP(B12986,material!A:D,3,0),"")</f>
        <v/>
      </c>
    </row>
    <row r="12987" ht="11.25" customHeight="1">
      <c r="A12987" s="21"/>
      <c r="B12987" s="22"/>
      <c r="C12987" s="21"/>
      <c r="D12987" s="21"/>
      <c r="E12987" s="21"/>
      <c r="F12987" s="21"/>
      <c r="G12987" s="25"/>
      <c r="H12987" s="24" t="str">
        <f>IFERROR(VLOOKUP(B12987,material!A:D,3,0),"")</f>
        <v/>
      </c>
    </row>
    <row r="12988" ht="11.25" customHeight="1">
      <c r="A12988" s="21"/>
      <c r="B12988" s="22"/>
      <c r="C12988" s="21"/>
      <c r="D12988" s="21"/>
      <c r="E12988" s="21"/>
      <c r="F12988" s="21"/>
      <c r="G12988" s="25"/>
      <c r="H12988" s="24" t="str">
        <f>IFERROR(VLOOKUP(B12988,material!A:D,3,0),"")</f>
        <v/>
      </c>
    </row>
    <row r="12989" ht="11.25" customHeight="1">
      <c r="A12989" s="21"/>
      <c r="B12989" s="22"/>
      <c r="C12989" s="21"/>
      <c r="D12989" s="21"/>
      <c r="E12989" s="21"/>
      <c r="F12989" s="21"/>
      <c r="G12989" s="25"/>
      <c r="H12989" s="24" t="str">
        <f>IFERROR(VLOOKUP(B12989,material!A:D,3,0),"")</f>
        <v/>
      </c>
    </row>
    <row r="12990" ht="11.25" customHeight="1">
      <c r="A12990" s="21"/>
      <c r="B12990" s="22"/>
      <c r="C12990" s="21"/>
      <c r="D12990" s="21"/>
      <c r="E12990" s="21"/>
      <c r="F12990" s="21"/>
      <c r="G12990" s="25"/>
      <c r="H12990" s="24" t="str">
        <f>IFERROR(VLOOKUP(B12990,material!A:D,3,0),"")</f>
        <v/>
      </c>
    </row>
    <row r="12991" ht="11.25" customHeight="1">
      <c r="A12991" s="21"/>
      <c r="B12991" s="22"/>
      <c r="C12991" s="21"/>
      <c r="D12991" s="21"/>
      <c r="E12991" s="21"/>
      <c r="F12991" s="21"/>
      <c r="G12991" s="25"/>
      <c r="H12991" s="24" t="str">
        <f>IFERROR(VLOOKUP(B12991,material!A:D,3,0),"")</f>
        <v/>
      </c>
    </row>
    <row r="12992" ht="11.25" customHeight="1">
      <c r="A12992" s="21"/>
      <c r="B12992" s="22"/>
      <c r="C12992" s="21"/>
      <c r="D12992" s="21"/>
      <c r="E12992" s="21"/>
      <c r="F12992" s="21"/>
      <c r="G12992" s="25"/>
      <c r="H12992" s="24" t="str">
        <f>IFERROR(VLOOKUP(B12992,material!A:D,3,0),"")</f>
        <v/>
      </c>
    </row>
    <row r="12993" ht="11.25" customHeight="1">
      <c r="A12993" s="21"/>
      <c r="B12993" s="22"/>
      <c r="C12993" s="21"/>
      <c r="D12993" s="21"/>
      <c r="E12993" s="21"/>
      <c r="F12993" s="21"/>
      <c r="G12993" s="25"/>
      <c r="H12993" s="24" t="str">
        <f>IFERROR(VLOOKUP(B12993,material!A:D,3,0),"")</f>
        <v/>
      </c>
    </row>
    <row r="12994" ht="11.25" customHeight="1">
      <c r="A12994" s="21"/>
      <c r="B12994" s="22"/>
      <c r="C12994" s="21"/>
      <c r="D12994" s="21"/>
      <c r="E12994" s="21"/>
      <c r="F12994" s="21"/>
      <c r="G12994" s="25"/>
      <c r="H12994" s="24" t="str">
        <f>IFERROR(VLOOKUP(B12994,material!A:D,3,0),"")</f>
        <v/>
      </c>
    </row>
    <row r="12995" ht="11.25" customHeight="1">
      <c r="A12995" s="21"/>
      <c r="B12995" s="22"/>
      <c r="C12995" s="21"/>
      <c r="D12995" s="21"/>
      <c r="E12995" s="21"/>
      <c r="F12995" s="21"/>
      <c r="G12995" s="25"/>
      <c r="H12995" s="24" t="str">
        <f>IFERROR(VLOOKUP(B12995,material!A:D,3,0),"")</f>
        <v/>
      </c>
    </row>
    <row r="12996" ht="11.25" customHeight="1">
      <c r="A12996" s="21"/>
      <c r="B12996" s="22"/>
      <c r="C12996" s="21"/>
      <c r="D12996" s="21"/>
      <c r="E12996" s="21"/>
      <c r="F12996" s="21"/>
      <c r="G12996" s="25"/>
      <c r="H12996" s="24" t="str">
        <f>IFERROR(VLOOKUP(B12996,material!A:D,3,0),"")</f>
        <v/>
      </c>
    </row>
    <row r="12997" ht="11.25" customHeight="1">
      <c r="A12997" s="21"/>
      <c r="B12997" s="22"/>
      <c r="C12997" s="21"/>
      <c r="D12997" s="21"/>
      <c r="E12997" s="21"/>
      <c r="F12997" s="21"/>
      <c r="G12997" s="25"/>
      <c r="H12997" s="24" t="str">
        <f>IFERROR(VLOOKUP(B12997,material!A:D,3,0),"")</f>
        <v/>
      </c>
    </row>
    <row r="12998" ht="11.25" customHeight="1">
      <c r="A12998" s="21"/>
      <c r="B12998" s="22"/>
      <c r="C12998" s="21"/>
      <c r="D12998" s="21"/>
      <c r="E12998" s="21"/>
      <c r="F12998" s="21"/>
      <c r="G12998" s="25"/>
      <c r="H12998" s="24" t="str">
        <f>IFERROR(VLOOKUP(B12998,material!A:D,3,0),"")</f>
        <v/>
      </c>
    </row>
    <row r="12999" ht="11.25" customHeight="1">
      <c r="A12999" s="21"/>
      <c r="B12999" s="22"/>
      <c r="C12999" s="21"/>
      <c r="D12999" s="21"/>
      <c r="E12999" s="21"/>
      <c r="F12999" s="21"/>
      <c r="G12999" s="25"/>
      <c r="H12999" s="24" t="str">
        <f>IFERROR(VLOOKUP(B12999,material!A:D,3,0),"")</f>
        <v/>
      </c>
    </row>
    <row r="13000" ht="11.25" customHeight="1">
      <c r="A13000" s="21"/>
      <c r="B13000" s="22"/>
      <c r="C13000" s="21"/>
      <c r="D13000" s="21"/>
      <c r="E13000" s="21"/>
      <c r="F13000" s="21"/>
      <c r="G13000" s="25"/>
      <c r="H13000" s="24" t="str">
        <f>IFERROR(VLOOKUP(B13000,material!A:D,3,0),"")</f>
        <v/>
      </c>
    </row>
    <row r="13001" ht="11.25" customHeight="1">
      <c r="A13001" s="21"/>
      <c r="B13001" s="22"/>
      <c r="C13001" s="21"/>
      <c r="D13001" s="21"/>
      <c r="E13001" s="21"/>
      <c r="F13001" s="21"/>
      <c r="G13001" s="25"/>
      <c r="H13001" s="24" t="str">
        <f>IFERROR(VLOOKUP(B13001,material!A:D,3,0),"")</f>
        <v/>
      </c>
    </row>
    <row r="13002" ht="11.25" customHeight="1">
      <c r="A13002" s="21"/>
      <c r="B13002" s="22"/>
      <c r="C13002" s="21"/>
      <c r="D13002" s="21"/>
      <c r="E13002" s="21"/>
      <c r="F13002" s="21"/>
      <c r="G13002" s="25"/>
      <c r="H13002" s="24" t="str">
        <f>IFERROR(VLOOKUP(B13002,material!A:D,3,0),"")</f>
        <v/>
      </c>
    </row>
    <row r="13003" ht="11.25" customHeight="1">
      <c r="A13003" s="21"/>
      <c r="B13003" s="22"/>
      <c r="C13003" s="21"/>
      <c r="D13003" s="21"/>
      <c r="E13003" s="21"/>
      <c r="F13003" s="21"/>
      <c r="G13003" s="25"/>
      <c r="H13003" s="24" t="str">
        <f>IFERROR(VLOOKUP(B13003,material!A:D,3,0),"")</f>
        <v/>
      </c>
    </row>
    <row r="13004" ht="11.25" customHeight="1">
      <c r="A13004" s="21"/>
      <c r="B13004" s="22"/>
      <c r="C13004" s="21"/>
      <c r="D13004" s="21"/>
      <c r="E13004" s="21"/>
      <c r="F13004" s="21"/>
      <c r="G13004" s="25"/>
      <c r="H13004" s="24" t="str">
        <f>IFERROR(VLOOKUP(B13004,material!A:D,3,0),"")</f>
        <v/>
      </c>
    </row>
    <row r="13005" ht="11.25" customHeight="1">
      <c r="A13005" s="21"/>
      <c r="B13005" s="22"/>
      <c r="C13005" s="21"/>
      <c r="D13005" s="21"/>
      <c r="E13005" s="21"/>
      <c r="F13005" s="21"/>
      <c r="G13005" s="25"/>
      <c r="H13005" s="24" t="str">
        <f>IFERROR(VLOOKUP(B13005,material!A:D,3,0),"")</f>
        <v/>
      </c>
    </row>
    <row r="13006" ht="11.25" customHeight="1">
      <c r="A13006" s="21"/>
      <c r="B13006" s="22"/>
      <c r="C13006" s="21"/>
      <c r="D13006" s="21"/>
      <c r="E13006" s="21"/>
      <c r="F13006" s="21"/>
      <c r="G13006" s="25"/>
      <c r="H13006" s="24" t="str">
        <f>IFERROR(VLOOKUP(B13006,material!A:D,3,0),"")</f>
        <v/>
      </c>
    </row>
    <row r="13007" ht="11.25" customHeight="1">
      <c r="A13007" s="21"/>
      <c r="B13007" s="22"/>
      <c r="C13007" s="21"/>
      <c r="D13007" s="21"/>
      <c r="E13007" s="21"/>
      <c r="F13007" s="21"/>
      <c r="G13007" s="25"/>
      <c r="H13007" s="24" t="str">
        <f>IFERROR(VLOOKUP(B13007,material!A:D,3,0),"")</f>
        <v/>
      </c>
    </row>
    <row r="13008" ht="11.25" customHeight="1">
      <c r="A13008" s="21"/>
      <c r="B13008" s="22"/>
      <c r="C13008" s="21"/>
      <c r="D13008" s="21"/>
      <c r="E13008" s="21"/>
      <c r="F13008" s="21"/>
      <c r="G13008" s="25"/>
      <c r="H13008" s="24" t="str">
        <f>IFERROR(VLOOKUP(B13008,material!A:D,3,0),"")</f>
        <v/>
      </c>
    </row>
    <row r="13009" ht="11.25" customHeight="1">
      <c r="A13009" s="21"/>
      <c r="B13009" s="22"/>
      <c r="C13009" s="21"/>
      <c r="D13009" s="21"/>
      <c r="E13009" s="21"/>
      <c r="F13009" s="21"/>
      <c r="G13009" s="25"/>
      <c r="H13009" s="24" t="str">
        <f>IFERROR(VLOOKUP(B13009,material!A:D,3,0),"")</f>
        <v/>
      </c>
    </row>
    <row r="13010" ht="11.25" customHeight="1">
      <c r="A13010" s="21"/>
      <c r="B13010" s="22"/>
      <c r="C13010" s="21"/>
      <c r="D13010" s="21"/>
      <c r="E13010" s="21"/>
      <c r="F13010" s="21"/>
      <c r="G13010" s="25"/>
      <c r="H13010" s="24" t="str">
        <f>IFERROR(VLOOKUP(B13010,material!A:D,3,0),"")</f>
        <v/>
      </c>
    </row>
    <row r="13011" ht="11.25" customHeight="1">
      <c r="A13011" s="21"/>
      <c r="B13011" s="22"/>
      <c r="C13011" s="21"/>
      <c r="D13011" s="21"/>
      <c r="E13011" s="21"/>
      <c r="F13011" s="21"/>
      <c r="G13011" s="25"/>
      <c r="H13011" s="24" t="str">
        <f>IFERROR(VLOOKUP(B13011,material!A:D,3,0),"")</f>
        <v/>
      </c>
    </row>
    <row r="13012" ht="11.25" customHeight="1">
      <c r="A13012" s="21"/>
      <c r="B13012" s="22"/>
      <c r="C13012" s="21"/>
      <c r="D13012" s="21"/>
      <c r="E13012" s="21"/>
      <c r="F13012" s="21"/>
      <c r="G13012" s="25"/>
      <c r="H13012" s="24" t="str">
        <f>IFERROR(VLOOKUP(B13012,material!A:D,3,0),"")</f>
        <v/>
      </c>
    </row>
    <row r="13013" ht="11.25" customHeight="1">
      <c r="A13013" s="21"/>
      <c r="B13013" s="22"/>
      <c r="C13013" s="21"/>
      <c r="D13013" s="21"/>
      <c r="E13013" s="21"/>
      <c r="F13013" s="21"/>
      <c r="G13013" s="25"/>
      <c r="H13013" s="24" t="str">
        <f>IFERROR(VLOOKUP(B13013,material!A:D,3,0),"")</f>
        <v/>
      </c>
    </row>
    <row r="13014" ht="11.25" customHeight="1">
      <c r="A13014" s="21"/>
      <c r="B13014" s="22"/>
      <c r="C13014" s="21"/>
      <c r="D13014" s="21"/>
      <c r="E13014" s="21"/>
      <c r="F13014" s="21"/>
      <c r="G13014" s="25"/>
      <c r="H13014" s="24" t="str">
        <f>IFERROR(VLOOKUP(B13014,material!A:D,3,0),"")</f>
        <v/>
      </c>
    </row>
    <row r="13015" ht="11.25" customHeight="1">
      <c r="A13015" s="21"/>
      <c r="B13015" s="22"/>
      <c r="C13015" s="21"/>
      <c r="D13015" s="21"/>
      <c r="E13015" s="21"/>
      <c r="F13015" s="21"/>
      <c r="G13015" s="25"/>
      <c r="H13015" s="24" t="str">
        <f>IFERROR(VLOOKUP(B13015,material!A:D,3,0),"")</f>
        <v/>
      </c>
    </row>
    <row r="13016" ht="11.25" customHeight="1">
      <c r="A13016" s="21"/>
      <c r="B13016" s="22"/>
      <c r="C13016" s="21"/>
      <c r="D13016" s="21"/>
      <c r="E13016" s="21"/>
      <c r="F13016" s="21"/>
      <c r="G13016" s="25"/>
      <c r="H13016" s="24" t="str">
        <f>IFERROR(VLOOKUP(B13016,material!A:D,3,0),"")</f>
        <v/>
      </c>
    </row>
    <row r="13017" ht="11.25" customHeight="1">
      <c r="A13017" s="21"/>
      <c r="B13017" s="22"/>
      <c r="C13017" s="21"/>
      <c r="D13017" s="21"/>
      <c r="E13017" s="21"/>
      <c r="F13017" s="21"/>
      <c r="G13017" s="25"/>
      <c r="H13017" s="24" t="str">
        <f>IFERROR(VLOOKUP(B13017,material!A:D,3,0),"")</f>
        <v/>
      </c>
    </row>
    <row r="13018" ht="11.25" customHeight="1">
      <c r="A13018" s="21"/>
      <c r="B13018" s="22"/>
      <c r="C13018" s="21"/>
      <c r="D13018" s="21"/>
      <c r="E13018" s="21"/>
      <c r="F13018" s="21"/>
      <c r="G13018" s="25"/>
      <c r="H13018" s="24" t="str">
        <f>IFERROR(VLOOKUP(B13018,material!A:D,3,0),"")</f>
        <v/>
      </c>
    </row>
    <row r="13019" ht="11.25" customHeight="1">
      <c r="A13019" s="21"/>
      <c r="B13019" s="22"/>
      <c r="C13019" s="21"/>
      <c r="D13019" s="21"/>
      <c r="E13019" s="21"/>
      <c r="F13019" s="21"/>
      <c r="G13019" s="25"/>
      <c r="H13019" s="24" t="str">
        <f>IFERROR(VLOOKUP(B13019,material!A:D,3,0),"")</f>
        <v/>
      </c>
    </row>
    <row r="13020" ht="11.25" customHeight="1">
      <c r="A13020" s="21"/>
      <c r="B13020" s="22"/>
      <c r="C13020" s="27"/>
      <c r="D13020" s="21"/>
      <c r="E13020" s="21"/>
      <c r="F13020" s="21"/>
      <c r="G13020" s="25"/>
      <c r="H13020" s="24" t="str">
        <f>IFERROR(VLOOKUP(B13020,material!A:D,3,0),"")</f>
        <v/>
      </c>
    </row>
    <row r="13021" ht="11.25" customHeight="1">
      <c r="A13021" s="21"/>
      <c r="B13021" s="22"/>
      <c r="C13021" s="27"/>
      <c r="D13021" s="21"/>
      <c r="E13021" s="21"/>
      <c r="F13021" s="21"/>
      <c r="G13021" s="25"/>
      <c r="H13021" s="24" t="str">
        <f>IFERROR(VLOOKUP(B13021,material!A:D,3,0),"")</f>
        <v/>
      </c>
    </row>
    <row r="13022" ht="11.25" customHeight="1">
      <c r="A13022" s="21"/>
      <c r="B13022" s="22"/>
      <c r="C13022" s="27"/>
      <c r="D13022" s="21"/>
      <c r="E13022" s="21"/>
      <c r="F13022" s="21"/>
      <c r="G13022" s="25"/>
      <c r="H13022" s="24" t="str">
        <f>IFERROR(VLOOKUP(B13022,material!A:D,3,0),"")</f>
        <v/>
      </c>
    </row>
    <row r="13023" ht="11.25" customHeight="1">
      <c r="A13023" s="21"/>
      <c r="B13023" s="22"/>
      <c r="C13023" s="27"/>
      <c r="D13023" s="21"/>
      <c r="E13023" s="21"/>
      <c r="F13023" s="21"/>
      <c r="G13023" s="25"/>
      <c r="H13023" s="24" t="str">
        <f>IFERROR(VLOOKUP(B13023,material!A:D,3,0),"")</f>
        <v/>
      </c>
    </row>
    <row r="13024" ht="11.25" customHeight="1">
      <c r="A13024" s="21"/>
      <c r="B13024" s="22"/>
      <c r="C13024" s="27"/>
      <c r="D13024" s="21"/>
      <c r="E13024" s="21"/>
      <c r="F13024" s="21"/>
      <c r="G13024" s="25"/>
      <c r="H13024" s="24" t="str">
        <f>IFERROR(VLOOKUP(B13024,material!A:D,3,0),"")</f>
        <v/>
      </c>
    </row>
    <row r="13025" ht="11.25" customHeight="1">
      <c r="A13025" s="21"/>
      <c r="B13025" s="22"/>
      <c r="C13025" s="27"/>
      <c r="D13025" s="21"/>
      <c r="E13025" s="21"/>
      <c r="F13025" s="21"/>
      <c r="G13025" s="25"/>
      <c r="H13025" s="24" t="str">
        <f>IFERROR(VLOOKUP(B13025,material!A:D,3,0),"")</f>
        <v/>
      </c>
    </row>
    <row r="13026" ht="11.25" customHeight="1">
      <c r="A13026" s="21"/>
      <c r="B13026" s="22"/>
      <c r="C13026" s="27"/>
      <c r="D13026" s="21"/>
      <c r="E13026" s="21"/>
      <c r="F13026" s="21"/>
      <c r="G13026" s="25"/>
      <c r="H13026" s="24" t="str">
        <f>IFERROR(VLOOKUP(B13026,material!A:D,3,0),"")</f>
        <v/>
      </c>
    </row>
    <row r="13027" ht="11.25" customHeight="1">
      <c r="A13027" s="21"/>
      <c r="B13027" s="22"/>
      <c r="C13027" s="27"/>
      <c r="D13027" s="21"/>
      <c r="E13027" s="21"/>
      <c r="F13027" s="21"/>
      <c r="G13027" s="25"/>
      <c r="H13027" s="24" t="str">
        <f>IFERROR(VLOOKUP(B13027,material!A:D,3,0),"")</f>
        <v/>
      </c>
    </row>
    <row r="13028" ht="11.25" customHeight="1">
      <c r="A13028" s="21"/>
      <c r="B13028" s="22"/>
      <c r="C13028" s="27"/>
      <c r="D13028" s="21"/>
      <c r="E13028" s="21"/>
      <c r="F13028" s="21"/>
      <c r="G13028" s="25"/>
      <c r="H13028" s="24" t="str">
        <f>IFERROR(VLOOKUP(B13028,material!A:D,3,0),"")</f>
        <v/>
      </c>
    </row>
    <row r="13029" ht="11.25" customHeight="1">
      <c r="A13029" s="21"/>
      <c r="B13029" s="22"/>
      <c r="C13029" s="27"/>
      <c r="D13029" s="21"/>
      <c r="E13029" s="21"/>
      <c r="F13029" s="21"/>
      <c r="G13029" s="25"/>
      <c r="H13029" s="24" t="str">
        <f>IFERROR(VLOOKUP(B13029,material!A:D,3,0),"")</f>
        <v/>
      </c>
    </row>
    <row r="13030" ht="11.25" customHeight="1">
      <c r="A13030" s="21"/>
      <c r="B13030" s="22"/>
      <c r="C13030" s="27"/>
      <c r="D13030" s="21"/>
      <c r="E13030" s="21"/>
      <c r="F13030" s="21"/>
      <c r="G13030" s="25"/>
      <c r="H13030" s="24" t="str">
        <f>IFERROR(VLOOKUP(B13030,material!A:D,3,0),"")</f>
        <v/>
      </c>
    </row>
    <row r="13031" ht="11.25" customHeight="1">
      <c r="A13031" s="21"/>
      <c r="B13031" s="22"/>
      <c r="C13031" s="27"/>
      <c r="D13031" s="21"/>
      <c r="E13031" s="21"/>
      <c r="F13031" s="21"/>
      <c r="G13031" s="25"/>
      <c r="H13031" s="24" t="str">
        <f>IFERROR(VLOOKUP(B13031,material!A:D,3,0),"")</f>
        <v/>
      </c>
    </row>
    <row r="13032" ht="11.25" customHeight="1">
      <c r="A13032" s="21"/>
      <c r="B13032" s="22"/>
      <c r="C13032" s="27"/>
      <c r="D13032" s="21"/>
      <c r="E13032" s="21"/>
      <c r="F13032" s="21"/>
      <c r="G13032" s="25"/>
      <c r="H13032" s="24" t="str">
        <f>IFERROR(VLOOKUP(B13032,material!A:D,3,0),"")</f>
        <v/>
      </c>
    </row>
    <row r="13033" ht="11.25" customHeight="1">
      <c r="A13033" s="21"/>
      <c r="B13033" s="22"/>
      <c r="C13033" s="27"/>
      <c r="D13033" s="21"/>
      <c r="E13033" s="21"/>
      <c r="F13033" s="21"/>
      <c r="G13033" s="25"/>
      <c r="H13033" s="24" t="str">
        <f>IFERROR(VLOOKUP(B13033,material!A:D,3,0),"")</f>
        <v/>
      </c>
    </row>
    <row r="13034" ht="11.25" customHeight="1">
      <c r="A13034" s="21"/>
      <c r="B13034" s="22"/>
      <c r="C13034" s="27"/>
      <c r="D13034" s="21"/>
      <c r="E13034" s="21"/>
      <c r="F13034" s="21"/>
      <c r="G13034" s="25"/>
      <c r="H13034" s="24" t="str">
        <f>IFERROR(VLOOKUP(B13034,material!A:D,3,0),"")</f>
        <v/>
      </c>
    </row>
    <row r="13035" ht="11.25" customHeight="1">
      <c r="A13035" s="21"/>
      <c r="B13035" s="22"/>
      <c r="C13035" s="27"/>
      <c r="D13035" s="21"/>
      <c r="E13035" s="21"/>
      <c r="F13035" s="21"/>
      <c r="G13035" s="25"/>
      <c r="H13035" s="24" t="str">
        <f>IFERROR(VLOOKUP(B13035,material!A:D,3,0),"")</f>
        <v/>
      </c>
    </row>
    <row r="13036" ht="11.25" customHeight="1">
      <c r="A13036" s="21"/>
      <c r="B13036" s="22"/>
      <c r="C13036" s="21"/>
      <c r="D13036" s="21"/>
      <c r="E13036" s="21"/>
      <c r="F13036" s="21"/>
      <c r="G13036" s="25"/>
      <c r="H13036" s="24" t="str">
        <f>IFERROR(VLOOKUP(B13036,material!A:D,3,0),"")</f>
        <v/>
      </c>
    </row>
    <row r="13037" ht="11.25" customHeight="1">
      <c r="A13037" s="21"/>
      <c r="B13037" s="22"/>
      <c r="C13037" s="21"/>
      <c r="D13037" s="21"/>
      <c r="E13037" s="21"/>
      <c r="F13037" s="21"/>
      <c r="G13037" s="25"/>
      <c r="H13037" s="24" t="str">
        <f>IFERROR(VLOOKUP(B13037,material!A:D,3,0),"")</f>
        <v/>
      </c>
    </row>
    <row r="13038" ht="11.25" customHeight="1">
      <c r="A13038" s="21"/>
      <c r="B13038" s="22"/>
      <c r="C13038" s="21"/>
      <c r="D13038" s="21"/>
      <c r="E13038" s="21"/>
      <c r="F13038" s="21"/>
      <c r="G13038" s="25"/>
      <c r="H13038" s="24" t="str">
        <f>IFERROR(VLOOKUP(B13038,material!A:D,3,0),"")</f>
        <v/>
      </c>
    </row>
    <row r="13039" ht="11.25" customHeight="1">
      <c r="A13039" s="21"/>
      <c r="B13039" s="22"/>
      <c r="C13039" s="21"/>
      <c r="D13039" s="21"/>
      <c r="E13039" s="21"/>
      <c r="F13039" s="21"/>
      <c r="G13039" s="25"/>
      <c r="H13039" s="24" t="str">
        <f>IFERROR(VLOOKUP(B13039,material!A:D,3,0),"")</f>
        <v/>
      </c>
    </row>
    <row r="13040" ht="11.25" customHeight="1">
      <c r="A13040" s="21"/>
      <c r="B13040" s="22"/>
      <c r="C13040" s="21"/>
      <c r="D13040" s="21"/>
      <c r="E13040" s="21"/>
      <c r="F13040" s="21"/>
      <c r="G13040" s="25"/>
      <c r="H13040" s="24" t="str">
        <f>IFERROR(VLOOKUP(B13040,material!A:D,3,0),"")</f>
        <v/>
      </c>
    </row>
    <row r="13041" ht="11.25" customHeight="1">
      <c r="A13041" s="21"/>
      <c r="B13041" s="22"/>
      <c r="C13041" s="21"/>
      <c r="D13041" s="21"/>
      <c r="E13041" s="21"/>
      <c r="F13041" s="21"/>
      <c r="G13041" s="25"/>
      <c r="H13041" s="24" t="str">
        <f>IFERROR(VLOOKUP(B13041,material!A:D,3,0),"")</f>
        <v/>
      </c>
    </row>
    <row r="13042" ht="11.25" customHeight="1">
      <c r="A13042" s="21"/>
      <c r="B13042" s="22"/>
      <c r="C13042" s="21"/>
      <c r="D13042" s="21"/>
      <c r="E13042" s="21"/>
      <c r="F13042" s="21"/>
      <c r="G13042" s="25"/>
      <c r="H13042" s="24" t="str">
        <f>IFERROR(VLOOKUP(B13042,material!A:D,3,0),"")</f>
        <v/>
      </c>
    </row>
    <row r="13043" ht="11.25" customHeight="1">
      <c r="A13043" s="21"/>
      <c r="B13043" s="22"/>
      <c r="C13043" s="21"/>
      <c r="D13043" s="21"/>
      <c r="E13043" s="21"/>
      <c r="F13043" s="21"/>
      <c r="G13043" s="25"/>
      <c r="H13043" s="24" t="str">
        <f>IFERROR(VLOOKUP(B13043,material!A:D,3,0),"")</f>
        <v/>
      </c>
    </row>
    <row r="13044" ht="11.25" customHeight="1">
      <c r="A13044" s="21"/>
      <c r="B13044" s="22"/>
      <c r="C13044" s="21"/>
      <c r="D13044" s="21"/>
      <c r="E13044" s="21"/>
      <c r="F13044" s="21"/>
      <c r="G13044" s="25"/>
      <c r="H13044" s="24" t="str">
        <f>IFERROR(VLOOKUP(B13044,material!A:D,3,0),"")</f>
        <v/>
      </c>
    </row>
    <row r="13045" ht="11.25" customHeight="1">
      <c r="A13045" s="21"/>
      <c r="B13045" s="22"/>
      <c r="C13045" s="21"/>
      <c r="D13045" s="21"/>
      <c r="E13045" s="21"/>
      <c r="F13045" s="21"/>
      <c r="G13045" s="25"/>
      <c r="H13045" s="24" t="str">
        <f>IFERROR(VLOOKUP(B13045,material!A:D,3,0),"")</f>
        <v/>
      </c>
    </row>
    <row r="13046" ht="11.25" customHeight="1">
      <c r="A13046" s="21"/>
      <c r="B13046" s="22"/>
      <c r="C13046" s="21"/>
      <c r="D13046" s="21"/>
      <c r="E13046" s="21"/>
      <c r="F13046" s="21"/>
      <c r="G13046" s="25"/>
      <c r="H13046" s="24" t="str">
        <f>IFERROR(VLOOKUP(B13046,material!A:D,3,0),"")</f>
        <v/>
      </c>
    </row>
    <row r="13047" ht="11.25" customHeight="1">
      <c r="A13047" s="21"/>
      <c r="B13047" s="22"/>
      <c r="C13047" s="21"/>
      <c r="D13047" s="21"/>
      <c r="E13047" s="21"/>
      <c r="F13047" s="21"/>
      <c r="G13047" s="25"/>
      <c r="H13047" s="24" t="str">
        <f>IFERROR(VLOOKUP(B13047,material!A:D,3,0),"")</f>
        <v/>
      </c>
    </row>
    <row r="13048" ht="11.25" customHeight="1">
      <c r="A13048" s="21"/>
      <c r="B13048" s="22"/>
      <c r="C13048" s="21"/>
      <c r="D13048" s="21"/>
      <c r="E13048" s="21"/>
      <c r="F13048" s="21"/>
      <c r="G13048" s="25"/>
      <c r="H13048" s="24" t="str">
        <f>IFERROR(VLOOKUP(B13048,material!A:D,3,0),"")</f>
        <v/>
      </c>
    </row>
    <row r="13049" ht="11.25" customHeight="1">
      <c r="A13049" s="21"/>
      <c r="B13049" s="22"/>
      <c r="C13049" s="21"/>
      <c r="D13049" s="21"/>
      <c r="E13049" s="21"/>
      <c r="F13049" s="21"/>
      <c r="G13049" s="25"/>
      <c r="H13049" s="24" t="str">
        <f>IFERROR(VLOOKUP(B13049,material!A:D,3,0),"")</f>
        <v/>
      </c>
    </row>
    <row r="13050" ht="11.25" customHeight="1">
      <c r="A13050" s="21"/>
      <c r="B13050" s="22"/>
      <c r="C13050" s="21"/>
      <c r="D13050" s="21"/>
      <c r="E13050" s="21"/>
      <c r="F13050" s="21"/>
      <c r="G13050" s="25"/>
      <c r="H13050" s="24" t="str">
        <f>IFERROR(VLOOKUP(B13050,material!A:D,3,0),"")</f>
        <v/>
      </c>
    </row>
    <row r="13051" ht="11.25" customHeight="1">
      <c r="A13051" s="21"/>
      <c r="B13051" s="22"/>
      <c r="C13051" s="21"/>
      <c r="D13051" s="21"/>
      <c r="E13051" s="21"/>
      <c r="F13051" s="21"/>
      <c r="G13051" s="25"/>
      <c r="H13051" s="24" t="str">
        <f>IFERROR(VLOOKUP(B13051,material!A:D,3,0),"")</f>
        <v/>
      </c>
    </row>
    <row r="13052" ht="11.25" customHeight="1">
      <c r="A13052" s="21"/>
      <c r="B13052" s="22"/>
      <c r="C13052" s="21"/>
      <c r="D13052" s="21"/>
      <c r="E13052" s="21"/>
      <c r="F13052" s="21"/>
      <c r="G13052" s="25"/>
      <c r="H13052" s="24" t="str">
        <f>IFERROR(VLOOKUP(B13052,material!A:D,3,0),"")</f>
        <v/>
      </c>
    </row>
    <row r="13053" ht="11.25" customHeight="1">
      <c r="A13053" s="21"/>
      <c r="B13053" s="22"/>
      <c r="C13053" s="21"/>
      <c r="D13053" s="21"/>
      <c r="E13053" s="21"/>
      <c r="F13053" s="21"/>
      <c r="G13053" s="25"/>
      <c r="H13053" s="24" t="str">
        <f>IFERROR(VLOOKUP(B13053,material!A:D,3,0),"")</f>
        <v/>
      </c>
    </row>
    <row r="13054" ht="11.25" customHeight="1">
      <c r="A13054" s="21"/>
      <c r="B13054" s="22"/>
      <c r="C13054" s="21"/>
      <c r="D13054" s="21"/>
      <c r="E13054" s="21"/>
      <c r="F13054" s="21"/>
      <c r="G13054" s="25"/>
      <c r="H13054" s="24" t="str">
        <f>IFERROR(VLOOKUP(B13054,material!A:D,3,0),"")</f>
        <v/>
      </c>
    </row>
    <row r="13055" ht="11.25" customHeight="1">
      <c r="A13055" s="21"/>
      <c r="B13055" s="22"/>
      <c r="C13055" s="21"/>
      <c r="D13055" s="21"/>
      <c r="E13055" s="21"/>
      <c r="F13055" s="21"/>
      <c r="G13055" s="25"/>
      <c r="H13055" s="24" t="str">
        <f>IFERROR(VLOOKUP(B13055,material!A:D,3,0),"")</f>
        <v/>
      </c>
    </row>
    <row r="13056" ht="11.25" customHeight="1">
      <c r="A13056" s="21"/>
      <c r="B13056" s="22"/>
      <c r="C13056" s="21"/>
      <c r="D13056" s="21"/>
      <c r="E13056" s="21"/>
      <c r="F13056" s="21"/>
      <c r="G13056" s="25"/>
      <c r="H13056" s="24" t="str">
        <f>IFERROR(VLOOKUP(B13056,material!A:D,3,0),"")</f>
        <v/>
      </c>
    </row>
    <row r="13057" ht="11.25" customHeight="1">
      <c r="A13057" s="21"/>
      <c r="B13057" s="22"/>
      <c r="C13057" s="21"/>
      <c r="D13057" s="21"/>
      <c r="E13057" s="21"/>
      <c r="F13057" s="21"/>
      <c r="G13057" s="25"/>
      <c r="H13057" s="24" t="str">
        <f>IFERROR(VLOOKUP(B13057,material!A:D,3,0),"")</f>
        <v/>
      </c>
    </row>
    <row r="13058" ht="11.25" customHeight="1">
      <c r="A13058" s="21"/>
      <c r="B13058" s="22"/>
      <c r="C13058" s="21"/>
      <c r="D13058" s="21"/>
      <c r="E13058" s="21"/>
      <c r="F13058" s="21"/>
      <c r="G13058" s="25"/>
      <c r="H13058" s="24" t="str">
        <f>IFERROR(VLOOKUP(B13058,material!A:D,3,0),"")</f>
        <v/>
      </c>
    </row>
    <row r="13059" ht="11.25" customHeight="1">
      <c r="A13059" s="21"/>
      <c r="B13059" s="22"/>
      <c r="C13059" s="21"/>
      <c r="D13059" s="21"/>
      <c r="E13059" s="21"/>
      <c r="F13059" s="21"/>
      <c r="G13059" s="25"/>
      <c r="H13059" s="24" t="str">
        <f>IFERROR(VLOOKUP(B13059,material!A:D,3,0),"")</f>
        <v/>
      </c>
    </row>
    <row r="13060" ht="11.25" customHeight="1">
      <c r="A13060" s="21"/>
      <c r="B13060" s="22"/>
      <c r="C13060" s="21"/>
      <c r="D13060" s="21"/>
      <c r="E13060" s="21"/>
      <c r="F13060" s="21"/>
      <c r="G13060" s="25"/>
      <c r="H13060" s="24" t="str">
        <f>IFERROR(VLOOKUP(B13060,material!A:D,3,0),"")</f>
        <v/>
      </c>
    </row>
    <row r="13061" ht="11.25" customHeight="1">
      <c r="A13061" s="21"/>
      <c r="B13061" s="22"/>
      <c r="C13061" s="21"/>
      <c r="D13061" s="21"/>
      <c r="E13061" s="21"/>
      <c r="F13061" s="21"/>
      <c r="G13061" s="25"/>
      <c r="H13061" s="24" t="str">
        <f>IFERROR(VLOOKUP(B13061,material!A:D,3,0),"")</f>
        <v/>
      </c>
    </row>
    <row r="13062" ht="11.25" customHeight="1">
      <c r="A13062" s="21"/>
      <c r="B13062" s="22"/>
      <c r="C13062" s="21"/>
      <c r="D13062" s="21"/>
      <c r="E13062" s="21"/>
      <c r="F13062" s="21"/>
      <c r="G13062" s="25"/>
      <c r="H13062" s="24" t="str">
        <f>IFERROR(VLOOKUP(B13062,material!A:D,3,0),"")</f>
        <v/>
      </c>
    </row>
    <row r="13063" ht="11.25" customHeight="1">
      <c r="A13063" s="21"/>
      <c r="B13063" s="22"/>
      <c r="C13063" s="21"/>
      <c r="D13063" s="21"/>
      <c r="E13063" s="21"/>
      <c r="F13063" s="21"/>
      <c r="G13063" s="25"/>
      <c r="H13063" s="24" t="str">
        <f>IFERROR(VLOOKUP(B13063,material!A:D,3,0),"")</f>
        <v/>
      </c>
    </row>
    <row r="13064" ht="11.25" customHeight="1">
      <c r="A13064" s="21"/>
      <c r="B13064" s="22"/>
      <c r="C13064" s="21"/>
      <c r="D13064" s="21"/>
      <c r="E13064" s="21"/>
      <c r="F13064" s="21"/>
      <c r="G13064" s="25"/>
      <c r="H13064" s="24" t="str">
        <f>IFERROR(VLOOKUP(B13064,material!A:D,3,0),"")</f>
        <v/>
      </c>
    </row>
    <row r="13065" ht="11.25" customHeight="1">
      <c r="A13065" s="21"/>
      <c r="B13065" s="22"/>
      <c r="C13065" s="21"/>
      <c r="D13065" s="21"/>
      <c r="E13065" s="21"/>
      <c r="F13065" s="21"/>
      <c r="G13065" s="25"/>
      <c r="H13065" s="24" t="str">
        <f>IFERROR(VLOOKUP(B13065,material!A:D,3,0),"")</f>
        <v/>
      </c>
    </row>
    <row r="13066" ht="11.25" customHeight="1">
      <c r="A13066" s="21"/>
      <c r="B13066" s="22"/>
      <c r="C13066" s="21"/>
      <c r="D13066" s="21"/>
      <c r="E13066" s="21"/>
      <c r="F13066" s="21"/>
      <c r="G13066" s="25"/>
      <c r="H13066" s="24" t="str">
        <f>IFERROR(VLOOKUP(B13066,material!A:D,3,0),"")</f>
        <v/>
      </c>
    </row>
    <row r="13067" ht="30.0" customHeight="1">
      <c r="A13067" s="28" t="s">
        <v>228</v>
      </c>
      <c r="B13067" s="29" t="s">
        <v>8</v>
      </c>
      <c r="C13067" s="29" t="s">
        <v>229</v>
      </c>
      <c r="D13067" s="28" t="s">
        <v>230</v>
      </c>
      <c r="E13067" s="28" t="s">
        <v>231</v>
      </c>
      <c r="F13067" s="28" t="s">
        <v>232</v>
      </c>
      <c r="G13067" s="29" t="s">
        <v>233</v>
      </c>
      <c r="H13067" s="30" t="str">
        <f>IFERROR(VLOOKUP(B13067,material!A:D,3,0),"")</f>
        <v>grupo</v>
      </c>
    </row>
    <row r="13068" ht="11.25" customHeight="1">
      <c r="A13068" s="27" t="s">
        <v>234</v>
      </c>
      <c r="B13068" s="26">
        <v>2.2025085E7</v>
      </c>
      <c r="C13068" s="26" t="s">
        <v>235</v>
      </c>
      <c r="D13068" s="21" t="s">
        <v>236</v>
      </c>
      <c r="E13068" s="21"/>
      <c r="F13068" s="21" t="s">
        <v>236</v>
      </c>
      <c r="G13068" s="21"/>
      <c r="H13068" s="24" t="str">
        <f>IFERROR(VLOOKUP(B13068,material!A:D,3,0),"")</f>
        <v>DIV TEL</v>
      </c>
    </row>
    <row r="13069" ht="11.25" customHeight="1">
      <c r="A13069" s="27" t="s">
        <v>237</v>
      </c>
      <c r="B13069" s="26">
        <v>2.2025321E7</v>
      </c>
      <c r="C13069" s="26" t="s">
        <v>71</v>
      </c>
      <c r="D13069" s="21" t="s">
        <v>236</v>
      </c>
      <c r="E13069" s="21"/>
      <c r="F13069" s="21" t="s">
        <v>236</v>
      </c>
      <c r="G13069" s="21"/>
      <c r="H13069" s="24" t="str">
        <f>IFERROR(VLOOKUP(B13069,material!A:D,3,0),"")</f>
        <v>ANEL</v>
      </c>
    </row>
    <row r="13070" ht="11.25" customHeight="1">
      <c r="A13070" s="27" t="s">
        <v>238</v>
      </c>
      <c r="B13070" s="26">
        <v>2.2025136E7</v>
      </c>
      <c r="C13070" s="26" t="s">
        <v>239</v>
      </c>
      <c r="D13070" s="21" t="s">
        <v>236</v>
      </c>
      <c r="E13070" s="21"/>
      <c r="F13070" s="21" t="s">
        <v>236</v>
      </c>
      <c r="G13070" s="21"/>
      <c r="H13070" s="24" t="str">
        <f>IFERROR(VLOOKUP(B13070,material!A:D,3,0),"")</f>
        <v>BUCHA</v>
      </c>
    </row>
    <row r="13071" ht="11.25" customHeight="1">
      <c r="A13071" s="27" t="s">
        <v>240</v>
      </c>
      <c r="B13071" s="26">
        <v>2.2026223E7</v>
      </c>
      <c r="C13071" s="26" t="s">
        <v>241</v>
      </c>
      <c r="D13071" s="21" t="s">
        <v>236</v>
      </c>
      <c r="E13071" s="21"/>
      <c r="F13071" s="21" t="s">
        <v>236</v>
      </c>
      <c r="G13071" s="21"/>
      <c r="H13071" s="24" t="str">
        <f>IFERROR(VLOOKUP(B13071,material!A:D,3,0),"")</f>
        <v>CABO PRETO</v>
      </c>
    </row>
    <row r="13072" ht="11.25" customHeight="1">
      <c r="A13072" s="27" t="s">
        <v>242</v>
      </c>
      <c r="B13072" s="26">
        <v>2.2026219E7</v>
      </c>
      <c r="C13072" s="26" t="s">
        <v>243</v>
      </c>
      <c r="D13072" s="21" t="s">
        <v>236</v>
      </c>
      <c r="E13072" s="21"/>
      <c r="F13072" s="21" t="s">
        <v>236</v>
      </c>
      <c r="G13072" s="21"/>
      <c r="H13072" s="24" t="str">
        <f>IFERROR(VLOOKUP(B13072,material!A:D,3,0),"")</f>
        <v>CABO BRANCO</v>
      </c>
    </row>
    <row r="13073" ht="11.25" customHeight="1">
      <c r="A13073" s="27" t="s">
        <v>244</v>
      </c>
      <c r="B13073" s="26">
        <v>2.2025084E7</v>
      </c>
      <c r="C13073" s="26" t="s">
        <v>245</v>
      </c>
      <c r="D13073" s="21" t="s">
        <v>236</v>
      </c>
      <c r="E13073" s="21"/>
      <c r="F13073" s="21" t="s">
        <v>236</v>
      </c>
      <c r="G13073" s="21"/>
      <c r="H13073" s="24" t="str">
        <f>IFERROR(VLOOKUP(B13073,material!A:D,3,0),"")</f>
        <v>CABO TEL</v>
      </c>
    </row>
    <row r="13074" ht="11.25" customHeight="1">
      <c r="A13074" s="27" t="s">
        <v>246</v>
      </c>
      <c r="B13074" s="26">
        <v>2.2056369E7</v>
      </c>
      <c r="C13074" s="26" t="s">
        <v>247</v>
      </c>
      <c r="D13074" s="21" t="s">
        <v>236</v>
      </c>
      <c r="E13074" s="21"/>
      <c r="F13074" s="21" t="s">
        <v>236</v>
      </c>
      <c r="G13074" s="21"/>
      <c r="H13074" s="24" t="str">
        <f>IFERROR(VLOOKUP(B13074,material!A:D,3,0),"")</f>
        <v>CABO DE REDE</v>
      </c>
    </row>
    <row r="13075" ht="11.25" customHeight="1">
      <c r="A13075" s="27" t="s">
        <v>248</v>
      </c>
      <c r="B13075" s="26">
        <v>2.2026189E7</v>
      </c>
      <c r="C13075" s="26" t="s">
        <v>219</v>
      </c>
      <c r="D13075" s="21" t="s">
        <v>236</v>
      </c>
      <c r="E13075" s="21"/>
      <c r="F13075" s="21" t="s">
        <v>236</v>
      </c>
      <c r="G13075" s="21"/>
      <c r="H13075" s="24" t="str">
        <f>IFERROR(VLOOKUP(B13075,material!A:D,3,0),"")</f>
        <v>F6</v>
      </c>
    </row>
    <row r="13076" ht="11.25" customHeight="1">
      <c r="A13076" s="27" t="s">
        <v>249</v>
      </c>
      <c r="B13076" s="26">
        <v>2.2026149E7</v>
      </c>
      <c r="C13076" s="26" t="s">
        <v>250</v>
      </c>
      <c r="D13076" s="21" t="s">
        <v>236</v>
      </c>
      <c r="E13076" s="21"/>
      <c r="F13076" s="21" t="s">
        <v>236</v>
      </c>
      <c r="G13076" s="21"/>
      <c r="H13076" s="24" t="str">
        <f>IFERROR(VLOOKUP(B13076,material!A:D,3,0),"")</f>
        <v>RJ 11</v>
      </c>
    </row>
    <row r="13077" ht="11.25" customHeight="1">
      <c r="A13077" s="27" t="s">
        <v>251</v>
      </c>
      <c r="B13077" s="26">
        <v>2.2026199E7</v>
      </c>
      <c r="C13077" s="26" t="s">
        <v>252</v>
      </c>
      <c r="D13077" s="21" t="s">
        <v>236</v>
      </c>
      <c r="E13077" s="21"/>
      <c r="F13077" s="21" t="s">
        <v>236</v>
      </c>
      <c r="G13077" s="21"/>
      <c r="H13077" s="24" t="str">
        <f>IFERROR(VLOOKUP(B13077,material!A:D,3,0),"")</f>
        <v>CARGA C</v>
      </c>
    </row>
    <row r="13078" ht="11.25" customHeight="1">
      <c r="A13078" s="27" t="s">
        <v>253</v>
      </c>
      <c r="B13078" s="26">
        <v>2.2061811E7</v>
      </c>
      <c r="C13078" s="26" t="s">
        <v>254</v>
      </c>
      <c r="D13078" s="21" t="s">
        <v>236</v>
      </c>
      <c r="E13078" s="21"/>
      <c r="F13078" s="21" t="s">
        <v>236</v>
      </c>
      <c r="G13078" s="21"/>
      <c r="H13078" s="24" t="str">
        <f>IFERROR(VLOOKUP(B13078,material!A:D,3,0),"")</f>
        <v>RJ 45</v>
      </c>
    </row>
    <row r="13079" ht="11.25" customHeight="1">
      <c r="A13079" s="27" t="s">
        <v>255</v>
      </c>
      <c r="B13079" s="26">
        <v>2.2026809E7</v>
      </c>
      <c r="C13079" s="26" t="s">
        <v>220</v>
      </c>
      <c r="D13079" s="21" t="s">
        <v>236</v>
      </c>
      <c r="E13079" s="21"/>
      <c r="F13079" s="21" t="s">
        <v>236</v>
      </c>
      <c r="G13079" s="21"/>
      <c r="H13079" s="24" t="str">
        <f>IFERROR(VLOOKUP(B13079,material!A:D,3,0),"")</f>
        <v>TAP 6</v>
      </c>
    </row>
    <row r="13080" ht="11.25" customHeight="1">
      <c r="A13080" s="27" t="s">
        <v>256</v>
      </c>
      <c r="B13080" s="26">
        <v>2.2026746E7</v>
      </c>
      <c r="C13080" s="26" t="s">
        <v>221</v>
      </c>
      <c r="D13080" s="21" t="s">
        <v>236</v>
      </c>
      <c r="E13080" s="21"/>
      <c r="F13080" s="21" t="s">
        <v>236</v>
      </c>
      <c r="G13080" s="21"/>
      <c r="H13080" s="24" t="str">
        <f>IFERROR(VLOOKUP(B13080,material!A:D,3,0),"")</f>
        <v>TAP 9</v>
      </c>
    </row>
    <row r="13081" ht="11.25" customHeight="1">
      <c r="A13081" s="27" t="s">
        <v>257</v>
      </c>
      <c r="B13081" s="26">
        <v>2.2026772E7</v>
      </c>
      <c r="C13081" s="26" t="s">
        <v>222</v>
      </c>
      <c r="D13081" s="21" t="s">
        <v>236</v>
      </c>
      <c r="E13081" s="21"/>
      <c r="F13081" s="21" t="s">
        <v>236</v>
      </c>
      <c r="G13081" s="21"/>
      <c r="H13081" s="24" t="str">
        <f>IFERROR(VLOOKUP(B13081,material!A:D,3,0),"")</f>
        <v>DIV 2</v>
      </c>
    </row>
    <row r="13082" ht="11.25" customHeight="1">
      <c r="A13082" s="27" t="s">
        <v>258</v>
      </c>
      <c r="B13082" s="26">
        <v>2.2026795E7</v>
      </c>
      <c r="C13082" s="26" t="s">
        <v>259</v>
      </c>
      <c r="D13082" s="21" t="s">
        <v>236</v>
      </c>
      <c r="E13082" s="21"/>
      <c r="F13082" s="21" t="s">
        <v>236</v>
      </c>
      <c r="G13082" s="21"/>
      <c r="H13082" s="24" t="str">
        <f>IFERROR(VLOOKUP(B13082,material!A:D,3,0),"")</f>
        <v>DIV B</v>
      </c>
    </row>
    <row r="13083" ht="11.25" customHeight="1">
      <c r="A13083" s="27" t="s">
        <v>260</v>
      </c>
      <c r="B13083" s="26">
        <v>2.2026792E7</v>
      </c>
      <c r="C13083" s="26" t="s">
        <v>223</v>
      </c>
      <c r="D13083" s="21" t="s">
        <v>236</v>
      </c>
      <c r="E13083" s="21"/>
      <c r="F13083" s="21" t="s">
        <v>236</v>
      </c>
      <c r="G13083" s="21"/>
      <c r="H13083" s="24" t="str">
        <f>IFERROR(VLOOKUP(B13083,material!A:D,3,0),"")</f>
        <v>DIV D</v>
      </c>
    </row>
    <row r="13084" ht="11.25" customHeight="1">
      <c r="A13084" s="27" t="s">
        <v>261</v>
      </c>
      <c r="B13084" s="26">
        <v>2.202532E7</v>
      </c>
      <c r="C13084" s="26" t="s">
        <v>262</v>
      </c>
      <c r="D13084" s="21" t="s">
        <v>236</v>
      </c>
      <c r="E13084" s="21"/>
      <c r="F13084" s="21" t="s">
        <v>236</v>
      </c>
      <c r="G13084" s="21"/>
      <c r="H13084" s="24" t="str">
        <f>IFERROR(VLOOKUP(B13084,material!A:D,3,0),"")</f>
        <v>EMENDA GEL</v>
      </c>
    </row>
    <row r="13085" ht="11.25" customHeight="1">
      <c r="A13085" s="27" t="s">
        <v>263</v>
      </c>
      <c r="B13085" s="26">
        <v>2.2025322E7</v>
      </c>
      <c r="C13085" s="26" t="s">
        <v>264</v>
      </c>
      <c r="D13085" s="21" t="s">
        <v>236</v>
      </c>
      <c r="E13085" s="21"/>
      <c r="F13085" s="21" t="s">
        <v>236</v>
      </c>
      <c r="G13085" s="21"/>
      <c r="H13085" s="24" t="str">
        <f>IFERROR(VLOOKUP(B13085,material!A:D,3,0),"")</f>
        <v>FECHO</v>
      </c>
    </row>
    <row r="13086" ht="11.25" customHeight="1">
      <c r="A13086" s="27" t="s">
        <v>265</v>
      </c>
      <c r="B13086" s="26">
        <v>2.2056332E7</v>
      </c>
      <c r="C13086" s="26" t="s">
        <v>266</v>
      </c>
      <c r="D13086" s="21" t="s">
        <v>236</v>
      </c>
      <c r="E13086" s="21"/>
      <c r="F13086" s="21" t="s">
        <v>236</v>
      </c>
      <c r="G13086" s="21"/>
      <c r="H13086" s="24" t="str">
        <f>IFERROR(VLOOKUP(B13086,material!A:D,3,0),"")</f>
        <v>ALTA FUSAO</v>
      </c>
    </row>
    <row r="13087" ht="11.25" customHeight="1">
      <c r="A13087" s="27" t="s">
        <v>267</v>
      </c>
      <c r="B13087" s="26">
        <v>2.2025072E7</v>
      </c>
      <c r="C13087" s="26" t="s">
        <v>268</v>
      </c>
      <c r="D13087" s="21" t="s">
        <v>236</v>
      </c>
      <c r="E13087" s="21"/>
      <c r="F13087" s="21" t="s">
        <v>236</v>
      </c>
      <c r="G13087" s="21"/>
      <c r="H13087" s="24" t="str">
        <f>IFERROR(VLOOKUP(B13087,material!A:D,3,0),"")</f>
        <v>ISOLANTE</v>
      </c>
    </row>
    <row r="13088" ht="11.25" customHeight="1">
      <c r="A13088" s="27" t="s">
        <v>269</v>
      </c>
      <c r="B13088" s="26">
        <v>2.2056338E7</v>
      </c>
      <c r="C13088" s="26" t="s">
        <v>270</v>
      </c>
      <c r="D13088" s="21" t="s">
        <v>236</v>
      </c>
      <c r="E13088" s="21"/>
      <c r="F13088" s="21" t="s">
        <v>236</v>
      </c>
      <c r="G13088" s="21"/>
      <c r="H13088" s="24" t="str">
        <f>IFERROR(VLOOKUP(B13088,material!A:D,3,0),"")</f>
        <v>FITA PLASTICA</v>
      </c>
    </row>
    <row r="13089" ht="11.25" customHeight="1">
      <c r="A13089" s="27" t="s">
        <v>271</v>
      </c>
      <c r="B13089" s="26">
        <v>2.2025139E7</v>
      </c>
      <c r="C13089" s="26" t="s">
        <v>272</v>
      </c>
      <c r="D13089" s="21" t="s">
        <v>236</v>
      </c>
      <c r="E13089" s="21"/>
      <c r="F13089" s="21" t="s">
        <v>236</v>
      </c>
      <c r="G13089" s="21"/>
      <c r="H13089" s="24" t="str">
        <f>IFERROR(VLOOKUP(B13089,material!A:D,3,0),"")</f>
        <v>FIXA BR</v>
      </c>
    </row>
    <row r="13090" ht="11.25" customHeight="1">
      <c r="A13090" s="27" t="s">
        <v>273</v>
      </c>
      <c r="B13090" s="26">
        <v>2.2057635E7</v>
      </c>
      <c r="C13090" s="26" t="s">
        <v>274</v>
      </c>
      <c r="D13090" s="21" t="s">
        <v>236</v>
      </c>
      <c r="E13090" s="21"/>
      <c r="F13090" s="21" t="s">
        <v>236</v>
      </c>
      <c r="G13090" s="21"/>
      <c r="H13090" s="24" t="str">
        <f>IFERROR(VLOOKUP(B13090,material!A:D,3,0),"")</f>
        <v>FIXA PT</v>
      </c>
    </row>
    <row r="13091" ht="11.25" customHeight="1">
      <c r="A13091" s="27" t="s">
        <v>275</v>
      </c>
      <c r="B13091" s="26">
        <v>2.2026544E7</v>
      </c>
      <c r="C13091" s="26" t="s">
        <v>276</v>
      </c>
      <c r="D13091" s="21" t="s">
        <v>236</v>
      </c>
      <c r="E13091" s="21"/>
      <c r="F13091" s="21" t="s">
        <v>236</v>
      </c>
      <c r="G13091" s="21"/>
      <c r="H13091" s="24" t="str">
        <f>IFERROR(VLOOKUP(B13091,material!A:D,3,0),"")</f>
        <v>GANCHO</v>
      </c>
    </row>
    <row r="13092" ht="11.25" customHeight="1">
      <c r="A13092" s="27" t="s">
        <v>277</v>
      </c>
      <c r="B13092" s="26">
        <v>2.2056366E7</v>
      </c>
      <c r="C13092" s="26" t="s">
        <v>68</v>
      </c>
      <c r="D13092" s="21" t="s">
        <v>236</v>
      </c>
      <c r="E13092" s="21"/>
      <c r="F13092" s="21" t="s">
        <v>236</v>
      </c>
      <c r="G13092" s="21"/>
      <c r="H13092" s="24" t="str">
        <f>IFERROR(VLOOKUP(B13092,material!A:D,3,0),"")</f>
        <v>ISOLADOR</v>
      </c>
    </row>
    <row r="13093" ht="11.25" customHeight="1">
      <c r="A13093" s="27" t="s">
        <v>278</v>
      </c>
      <c r="B13093" s="26">
        <v>2.2025181E7</v>
      </c>
      <c r="C13093" s="26" t="s">
        <v>279</v>
      </c>
      <c r="D13093" s="21" t="s">
        <v>236</v>
      </c>
      <c r="E13093" s="21"/>
      <c r="F13093" s="21" t="s">
        <v>236</v>
      </c>
      <c r="G13093" s="21"/>
      <c r="H13093" s="24" t="str">
        <f>IFERROR(VLOOKUP(B13093,material!A:D,3,0),"")</f>
        <v>AP A</v>
      </c>
    </row>
    <row r="13094" ht="11.25" customHeight="1">
      <c r="A13094" s="27" t="s">
        <v>280</v>
      </c>
      <c r="B13094" s="26">
        <v>2.2025182E7</v>
      </c>
      <c r="C13094" s="26" t="s">
        <v>281</v>
      </c>
      <c r="D13094" s="21" t="s">
        <v>236</v>
      </c>
      <c r="E13094" s="21"/>
      <c r="F13094" s="21" t="s">
        <v>236</v>
      </c>
      <c r="G13094" s="21"/>
      <c r="H13094" s="24" t="str">
        <f>IFERROR(VLOOKUP(B13094,material!A:D,3,0),"")</f>
        <v>AP B</v>
      </c>
    </row>
    <row r="13095" ht="11.25" customHeight="1">
      <c r="A13095" s="27" t="s">
        <v>282</v>
      </c>
      <c r="B13095" s="26">
        <v>2.2025183E7</v>
      </c>
      <c r="C13095" s="26" t="s">
        <v>283</v>
      </c>
      <c r="D13095" s="21" t="s">
        <v>236</v>
      </c>
      <c r="E13095" s="21"/>
      <c r="F13095" s="21" t="s">
        <v>236</v>
      </c>
      <c r="G13095" s="21"/>
      <c r="H13095" s="24" t="str">
        <f>IFERROR(VLOOKUP(B13095,material!A:D,3,0),"")</f>
        <v>AP C</v>
      </c>
    </row>
    <row r="13096" ht="11.25" customHeight="1">
      <c r="A13096" s="27" t="s">
        <v>284</v>
      </c>
      <c r="B13096" s="26">
        <v>2.2025162E7</v>
      </c>
      <c r="C13096" s="26" t="s">
        <v>285</v>
      </c>
      <c r="D13096" s="21" t="s">
        <v>236</v>
      </c>
      <c r="E13096" s="21"/>
      <c r="F13096" s="21" t="s">
        <v>236</v>
      </c>
      <c r="G13096" s="21"/>
      <c r="H13096" s="24" t="str">
        <f>IFERROR(VLOOKUP(B13096,material!A:D,3,0),"")</f>
        <v>AP 0</v>
      </c>
    </row>
    <row r="13097" ht="11.25" customHeight="1">
      <c r="A13097" s="27" t="s">
        <v>286</v>
      </c>
      <c r="B13097" s="26">
        <v>2.202525E7</v>
      </c>
      <c r="C13097" s="26" t="s">
        <v>287</v>
      </c>
      <c r="D13097" s="21" t="s">
        <v>236</v>
      </c>
      <c r="E13097" s="21"/>
      <c r="F13097" s="21" t="s">
        <v>236</v>
      </c>
      <c r="G13097" s="21"/>
      <c r="H13097" s="24" t="str">
        <f>IFERROR(VLOOKUP(B13097,material!A:D,3,0),"")</f>
        <v>AP 1</v>
      </c>
    </row>
    <row r="13098" ht="11.25" customHeight="1">
      <c r="A13098" s="27" t="s">
        <v>288</v>
      </c>
      <c r="B13098" s="26">
        <v>2.2025244E7</v>
      </c>
      <c r="C13098" s="26" t="s">
        <v>289</v>
      </c>
      <c r="D13098" s="21" t="s">
        <v>236</v>
      </c>
      <c r="E13098" s="21"/>
      <c r="F13098" s="21" t="s">
        <v>236</v>
      </c>
      <c r="G13098" s="21"/>
      <c r="H13098" s="24" t="str">
        <f>IFERROR(VLOOKUP(B13098,material!A:D,3,0),"")</f>
        <v>AP 2</v>
      </c>
    </row>
    <row r="13099" ht="11.25" customHeight="1">
      <c r="A13099" s="27" t="s">
        <v>290</v>
      </c>
      <c r="B13099" s="26">
        <v>2.2025241E7</v>
      </c>
      <c r="C13099" s="26" t="s">
        <v>291</v>
      </c>
      <c r="D13099" s="21" t="s">
        <v>236</v>
      </c>
      <c r="E13099" s="21"/>
      <c r="F13099" s="21" t="s">
        <v>236</v>
      </c>
      <c r="G13099" s="21"/>
      <c r="H13099" s="24" t="str">
        <f>IFERROR(VLOOKUP(B13099,material!A:D,3,0),"")</f>
        <v>AP 3</v>
      </c>
    </row>
    <row r="13100" ht="11.25" customHeight="1">
      <c r="A13100" s="27" t="s">
        <v>292</v>
      </c>
      <c r="B13100" s="26">
        <v>2.2025245E7</v>
      </c>
      <c r="C13100" s="26" t="s">
        <v>293</v>
      </c>
      <c r="D13100" s="21" t="s">
        <v>236</v>
      </c>
      <c r="E13100" s="21"/>
      <c r="F13100" s="21" t="s">
        <v>236</v>
      </c>
      <c r="G13100" s="21"/>
      <c r="H13100" s="24" t="str">
        <f>IFERROR(VLOOKUP(B13100,material!A:D,3,0),"")</f>
        <v>AP 4</v>
      </c>
    </row>
    <row r="13101" ht="11.25" customHeight="1">
      <c r="A13101" s="27" t="s">
        <v>294</v>
      </c>
      <c r="B13101" s="26">
        <v>2.2025237E7</v>
      </c>
      <c r="C13101" s="26" t="s">
        <v>295</v>
      </c>
      <c r="D13101" s="21" t="s">
        <v>236</v>
      </c>
      <c r="E13101" s="21"/>
      <c r="F13101" s="21" t="s">
        <v>236</v>
      </c>
      <c r="G13101" s="21"/>
      <c r="H13101" s="24" t="str">
        <f>IFERROR(VLOOKUP(B13101,material!A:D,3,0),"")</f>
        <v>AP 5</v>
      </c>
    </row>
    <row r="13102" ht="11.25" customHeight="1">
      <c r="A13102" s="27" t="s">
        <v>296</v>
      </c>
      <c r="B13102" s="26">
        <v>2.2025243E7</v>
      </c>
      <c r="C13102" s="26" t="s">
        <v>297</v>
      </c>
      <c r="D13102" s="21" t="s">
        <v>236</v>
      </c>
      <c r="E13102" s="21"/>
      <c r="F13102" s="21" t="s">
        <v>236</v>
      </c>
      <c r="G13102" s="21"/>
      <c r="H13102" s="24" t="str">
        <f>IFERROR(VLOOKUP(B13102,material!A:D,3,0),"")</f>
        <v>AP 6</v>
      </c>
    </row>
    <row r="13103" ht="11.25" customHeight="1">
      <c r="A13103" s="27" t="s">
        <v>298</v>
      </c>
      <c r="B13103" s="26">
        <v>2.2025238E7</v>
      </c>
      <c r="C13103" s="26" t="s">
        <v>299</v>
      </c>
      <c r="D13103" s="21" t="s">
        <v>236</v>
      </c>
      <c r="E13103" s="21"/>
      <c r="F13103" s="21" t="s">
        <v>236</v>
      </c>
      <c r="G13103" s="21"/>
      <c r="H13103" s="24" t="str">
        <f>IFERROR(VLOOKUP(B13103,material!A:D,3,0),"")</f>
        <v>AP 7</v>
      </c>
    </row>
    <row r="13104" ht="11.25" customHeight="1">
      <c r="A13104" s="27" t="s">
        <v>300</v>
      </c>
      <c r="B13104" s="26">
        <v>2.2025239E7</v>
      </c>
      <c r="C13104" s="26" t="s">
        <v>301</v>
      </c>
      <c r="D13104" s="21" t="s">
        <v>236</v>
      </c>
      <c r="E13104" s="21"/>
      <c r="F13104" s="21" t="s">
        <v>236</v>
      </c>
      <c r="G13104" s="21"/>
      <c r="H13104" s="24" t="str">
        <f>IFERROR(VLOOKUP(B13104,material!A:D,3,0),"")</f>
        <v>AP 8</v>
      </c>
    </row>
    <row r="13105" ht="11.25" customHeight="1">
      <c r="A13105" s="27" t="s">
        <v>302</v>
      </c>
      <c r="B13105" s="26">
        <v>2.202524E7</v>
      </c>
      <c r="C13105" s="26" t="s">
        <v>303</v>
      </c>
      <c r="D13105" s="21" t="s">
        <v>236</v>
      </c>
      <c r="E13105" s="21"/>
      <c r="F13105" s="21" t="s">
        <v>236</v>
      </c>
      <c r="G13105" s="21"/>
      <c r="H13105" s="24" t="str">
        <f>IFERROR(VLOOKUP(B13105,material!A:D,3,0),"")</f>
        <v>AP 9</v>
      </c>
    </row>
    <row r="13106" ht="11.25" customHeight="1">
      <c r="A13106" s="27" t="s">
        <v>304</v>
      </c>
      <c r="B13106" s="26">
        <v>2.2025114E7</v>
      </c>
      <c r="C13106" s="26" t="s">
        <v>305</v>
      </c>
      <c r="D13106" s="21" t="s">
        <v>236</v>
      </c>
      <c r="E13106" s="21"/>
      <c r="F13106" s="21" t="s">
        <v>236</v>
      </c>
      <c r="G13106" s="21"/>
      <c r="H13106" s="24" t="str">
        <f>IFERROR(VLOOKUP(B13106,material!A:D,3,0),"")</f>
        <v>CASA A</v>
      </c>
    </row>
    <row r="13107" ht="11.25" customHeight="1">
      <c r="A13107" s="27" t="s">
        <v>306</v>
      </c>
      <c r="B13107" s="26">
        <v>2.2025115E7</v>
      </c>
      <c r="C13107" s="26" t="s">
        <v>307</v>
      </c>
      <c r="D13107" s="21" t="s">
        <v>236</v>
      </c>
      <c r="E13107" s="21"/>
      <c r="F13107" s="21" t="s">
        <v>236</v>
      </c>
      <c r="G13107" s="21"/>
      <c r="H13107" s="24" t="str">
        <f>IFERROR(VLOOKUP(B13107,material!A:D,3,0),"")</f>
        <v>CASA B</v>
      </c>
    </row>
    <row r="13108" ht="11.25" customHeight="1">
      <c r="A13108" s="27" t="s">
        <v>308</v>
      </c>
      <c r="B13108" s="26">
        <v>2.2025116E7</v>
      </c>
      <c r="C13108" s="26" t="s">
        <v>309</v>
      </c>
      <c r="D13108" s="21" t="s">
        <v>236</v>
      </c>
      <c r="E13108" s="21"/>
      <c r="F13108" s="21" t="s">
        <v>236</v>
      </c>
      <c r="G13108" s="21"/>
      <c r="H13108" s="24" t="str">
        <f>IFERROR(VLOOKUP(B13108,material!A:D,3,0),"")</f>
        <v>CASA C</v>
      </c>
    </row>
    <row r="13109" ht="11.25" customHeight="1">
      <c r="A13109" s="27" t="s">
        <v>310</v>
      </c>
      <c r="B13109" s="26">
        <v>2.2025117E7</v>
      </c>
      <c r="C13109" s="26" t="s">
        <v>311</v>
      </c>
      <c r="D13109" s="21" t="s">
        <v>236</v>
      </c>
      <c r="E13109" s="21"/>
      <c r="F13109" s="21" t="s">
        <v>236</v>
      </c>
      <c r="G13109" s="21"/>
      <c r="H13109" s="24" t="str">
        <f>IFERROR(VLOOKUP(B13109,material!A:D,3,0),"")</f>
        <v>CASA D</v>
      </c>
    </row>
    <row r="13110" ht="11.25" customHeight="1">
      <c r="A13110" s="27" t="s">
        <v>312</v>
      </c>
      <c r="B13110" s="26">
        <v>2.2025119E7</v>
      </c>
      <c r="C13110" s="26" t="s">
        <v>313</v>
      </c>
      <c r="D13110" s="21" t="s">
        <v>236</v>
      </c>
      <c r="E13110" s="21"/>
      <c r="F13110" s="21" t="s">
        <v>236</v>
      </c>
      <c r="G13110" s="21"/>
      <c r="H13110" s="24" t="str">
        <f>IFERROR(VLOOKUP(B13110,material!A:D,3,0),"")</f>
        <v>CASA E</v>
      </c>
    </row>
    <row r="13111" ht="11.25" customHeight="1">
      <c r="A13111" s="27" t="s">
        <v>314</v>
      </c>
      <c r="B13111" s="26">
        <v>2.2056342E7</v>
      </c>
      <c r="C13111" s="26" t="s">
        <v>315</v>
      </c>
      <c r="D13111" s="21" t="s">
        <v>236</v>
      </c>
      <c r="E13111" s="21"/>
      <c r="F13111" s="21" t="s">
        <v>236</v>
      </c>
      <c r="G13111" s="21"/>
      <c r="H13111" s="24" t="str">
        <f>IFERROR(VLOOKUP(B13111,material!A:D,3,0),"")</f>
        <v>CASA 0</v>
      </c>
    </row>
    <row r="13112" ht="11.25" customHeight="1">
      <c r="A13112" s="27" t="s">
        <v>316</v>
      </c>
      <c r="B13112" s="26">
        <v>2.2056343E7</v>
      </c>
      <c r="C13112" s="26" t="s">
        <v>317</v>
      </c>
      <c r="D13112" s="21" t="s">
        <v>236</v>
      </c>
      <c r="E13112" s="21"/>
      <c r="F13112" s="21" t="s">
        <v>236</v>
      </c>
      <c r="G13112" s="21"/>
      <c r="H13112" s="24" t="str">
        <f>IFERROR(VLOOKUP(B13112,material!A:D,3,0),"")</f>
        <v>CASA 1</v>
      </c>
    </row>
    <row r="13113" ht="11.25" customHeight="1">
      <c r="A13113" s="27" t="s">
        <v>318</v>
      </c>
      <c r="B13113" s="26">
        <v>2.2056344E7</v>
      </c>
      <c r="C13113" s="26" t="s">
        <v>319</v>
      </c>
      <c r="D13113" s="21" t="s">
        <v>236</v>
      </c>
      <c r="E13113" s="21"/>
      <c r="F13113" s="21" t="s">
        <v>236</v>
      </c>
      <c r="G13113" s="21"/>
      <c r="H13113" s="24" t="str">
        <f>IFERROR(VLOOKUP(B13113,material!A:D,3,0),"")</f>
        <v>CASA 2</v>
      </c>
    </row>
    <row r="13114" ht="11.25" customHeight="1">
      <c r="A13114" s="27" t="s">
        <v>320</v>
      </c>
      <c r="B13114" s="26">
        <v>2.2056345E7</v>
      </c>
      <c r="C13114" s="26" t="s">
        <v>321</v>
      </c>
      <c r="D13114" s="21" t="s">
        <v>236</v>
      </c>
      <c r="E13114" s="21"/>
      <c r="F13114" s="21" t="s">
        <v>236</v>
      </c>
      <c r="G13114" s="21"/>
      <c r="H13114" s="24" t="str">
        <f>IFERROR(VLOOKUP(B13114,material!A:D,3,0),"")</f>
        <v>CASA 3</v>
      </c>
    </row>
    <row r="13115" ht="11.25" customHeight="1">
      <c r="A13115" s="27" t="s">
        <v>322</v>
      </c>
      <c r="B13115" s="26">
        <v>2.205634E7</v>
      </c>
      <c r="C13115" s="26" t="s">
        <v>323</v>
      </c>
      <c r="D13115" s="21" t="s">
        <v>236</v>
      </c>
      <c r="E13115" s="21"/>
      <c r="F13115" s="21" t="s">
        <v>236</v>
      </c>
      <c r="G13115" s="21"/>
      <c r="H13115" s="24" t="str">
        <f>IFERROR(VLOOKUP(B13115,material!A:D,3,0),"")</f>
        <v>CASA 4</v>
      </c>
    </row>
    <row r="13116" ht="11.25" customHeight="1">
      <c r="A13116" s="27" t="s">
        <v>324</v>
      </c>
      <c r="B13116" s="26">
        <v>2.2056331E7</v>
      </c>
      <c r="C13116" s="26" t="s">
        <v>325</v>
      </c>
      <c r="D13116" s="21" t="s">
        <v>236</v>
      </c>
      <c r="E13116" s="21"/>
      <c r="F13116" s="21" t="s">
        <v>236</v>
      </c>
      <c r="G13116" s="21"/>
      <c r="H13116" s="24" t="str">
        <f>IFERROR(VLOOKUP(B13116,material!A:D,3,0),"")</f>
        <v>CASA 5</v>
      </c>
    </row>
    <row r="13117" ht="11.25" customHeight="1">
      <c r="A13117" s="27" t="s">
        <v>326</v>
      </c>
      <c r="B13117" s="26">
        <v>2.2056336E7</v>
      </c>
      <c r="C13117" s="26" t="s">
        <v>327</v>
      </c>
      <c r="D13117" s="21" t="s">
        <v>236</v>
      </c>
      <c r="E13117" s="21"/>
      <c r="F13117" s="21" t="s">
        <v>236</v>
      </c>
      <c r="G13117" s="21"/>
      <c r="H13117" s="24" t="str">
        <f>IFERROR(VLOOKUP(B13117,material!A:D,3,0),"")</f>
        <v>CASA 6</v>
      </c>
    </row>
    <row r="13118" ht="11.25" customHeight="1">
      <c r="A13118" s="27" t="s">
        <v>328</v>
      </c>
      <c r="B13118" s="26">
        <v>2.2056341E7</v>
      </c>
      <c r="C13118" s="26" t="s">
        <v>329</v>
      </c>
      <c r="D13118" s="21" t="s">
        <v>236</v>
      </c>
      <c r="E13118" s="21"/>
      <c r="F13118" s="21" t="s">
        <v>236</v>
      </c>
      <c r="G13118" s="21"/>
      <c r="H13118" s="24" t="str">
        <f>IFERROR(VLOOKUP(B13118,material!A:D,3,0),"")</f>
        <v>CASA 7</v>
      </c>
    </row>
    <row r="13119" ht="11.25" customHeight="1">
      <c r="A13119" s="27" t="s">
        <v>330</v>
      </c>
      <c r="B13119" s="26">
        <v>2.2056337E7</v>
      </c>
      <c r="C13119" s="26" t="s">
        <v>331</v>
      </c>
      <c r="D13119" s="21" t="s">
        <v>236</v>
      </c>
      <c r="E13119" s="21"/>
      <c r="F13119" s="21" t="s">
        <v>236</v>
      </c>
      <c r="G13119" s="21"/>
      <c r="H13119" s="24" t="str">
        <f>IFERROR(VLOOKUP(B13119,material!A:D,3,0),"")</f>
        <v>CASA 8</v>
      </c>
    </row>
    <row r="13120" ht="11.25" customHeight="1">
      <c r="A13120" s="27" t="s">
        <v>332</v>
      </c>
      <c r="B13120" s="26">
        <v>2.2056339E7</v>
      </c>
      <c r="C13120" s="26" t="s">
        <v>333</v>
      </c>
      <c r="D13120" s="21" t="s">
        <v>236</v>
      </c>
      <c r="E13120" s="21"/>
      <c r="F13120" s="21" t="s">
        <v>236</v>
      </c>
      <c r="G13120" s="21"/>
      <c r="H13120" s="24" t="str">
        <f>IFERROR(VLOOKUP(B13120,material!A:D,3,0),"")</f>
        <v>CASA 9</v>
      </c>
    </row>
    <row r="13121" ht="11.25" customHeight="1">
      <c r="A13121" s="27" t="s">
        <v>334</v>
      </c>
      <c r="B13121" s="26">
        <v>2.2056364E7</v>
      </c>
      <c r="C13121" s="26" t="s">
        <v>69</v>
      </c>
      <c r="D13121" s="21" t="s">
        <v>236</v>
      </c>
      <c r="E13121" s="21"/>
      <c r="F13121" s="21" t="s">
        <v>236</v>
      </c>
      <c r="G13121" s="21"/>
      <c r="H13121" s="24" t="str">
        <f>IFERROR(VLOOKUP(B13121,material!A:D,3,0),"")</f>
        <v>MINI ISOLADOR</v>
      </c>
    </row>
    <row r="13122" ht="11.25" customHeight="1">
      <c r="A13122" s="27" t="s">
        <v>335</v>
      </c>
      <c r="B13122" s="26">
        <v>2.2026489E7</v>
      </c>
      <c r="C13122" s="26" t="s">
        <v>336</v>
      </c>
      <c r="D13122" s="21" t="s">
        <v>236</v>
      </c>
      <c r="E13122" s="21"/>
      <c r="F13122" s="21" t="s">
        <v>236</v>
      </c>
      <c r="G13122" s="21"/>
      <c r="H13122" s="24" t="str">
        <f>IFERROR(VLOOKUP(B13122,material!A:D,3,0),"")</f>
        <v>PITAO</v>
      </c>
    </row>
    <row r="13123" ht="11.25" customHeight="1">
      <c r="A13123" s="27" t="s">
        <v>337</v>
      </c>
      <c r="B13123" s="26">
        <v>2.2056365E7</v>
      </c>
      <c r="C13123" s="26" t="s">
        <v>70</v>
      </c>
      <c r="D13123" s="21" t="s">
        <v>236</v>
      </c>
      <c r="E13123" s="21"/>
      <c r="F13123" s="21" t="s">
        <v>236</v>
      </c>
      <c r="G13123" s="21"/>
      <c r="H13123" s="24" t="str">
        <f>IFERROR(VLOOKUP(B13123,material!A:D,3,0),"")</f>
        <v>MINI PROTETOR</v>
      </c>
    </row>
    <row r="13124" ht="11.25" customHeight="1">
      <c r="A13124" s="27" t="s">
        <v>338</v>
      </c>
      <c r="B13124" s="26">
        <v>2.2025334E7</v>
      </c>
      <c r="C13124" s="26" t="s">
        <v>339</v>
      </c>
      <c r="D13124" s="21" t="s">
        <v>236</v>
      </c>
      <c r="E13124" s="21"/>
      <c r="F13124" s="21" t="s">
        <v>236</v>
      </c>
      <c r="G13124" s="21"/>
      <c r="H13124" s="24" t="str">
        <f>IFERROR(VLOOKUP(B13124,material!A:D,3,0),"")</f>
        <v>PROPE</v>
      </c>
    </row>
    <row r="13125" ht="11.25" customHeight="1">
      <c r="A13125" s="27" t="s">
        <v>340</v>
      </c>
      <c r="B13125" s="26">
        <v>2.202509E7</v>
      </c>
      <c r="C13125" s="26" t="s">
        <v>341</v>
      </c>
      <c r="D13125" s="21" t="s">
        <v>236</v>
      </c>
      <c r="E13125" s="21"/>
      <c r="F13125" s="21" t="s">
        <v>236</v>
      </c>
      <c r="G13125" s="21"/>
      <c r="H13125" s="24" t="str">
        <f>IFERROR(VLOOKUP(B13125,material!A:D,3,0),"")</f>
        <v>TOMADA F</v>
      </c>
    </row>
    <row r="13126" ht="11.25" customHeight="1">
      <c r="A13126" s="27" t="s">
        <v>342</v>
      </c>
      <c r="B13126" s="26">
        <v>2.2025089E7</v>
      </c>
      <c r="C13126" s="26" t="s">
        <v>343</v>
      </c>
      <c r="D13126" s="21" t="s">
        <v>236</v>
      </c>
      <c r="E13126" s="21"/>
      <c r="F13126" s="21" t="s">
        <v>236</v>
      </c>
      <c r="G13126" s="21"/>
      <c r="H13126" s="24" t="str">
        <f>IFERROR(VLOOKUP(B13126,material!A:D,3,0),"")</f>
        <v>TOMADA M</v>
      </c>
    </row>
    <row r="13127" ht="11.25" customHeight="1">
      <c r="A13127" s="27" t="s">
        <v>344</v>
      </c>
      <c r="B13127" s="26">
        <v>2.2025049E7</v>
      </c>
      <c r="C13127" s="26" t="s">
        <v>345</v>
      </c>
      <c r="D13127" s="21" t="s">
        <v>236</v>
      </c>
      <c r="E13127" s="21"/>
      <c r="F13127" s="21" t="s">
        <v>236</v>
      </c>
      <c r="G13127" s="21"/>
      <c r="H13127" s="24" t="str">
        <f>IFERROR(VLOOKUP(B13127,material!A:D,3,0),"")</f>
        <v>VASELINA</v>
      </c>
    </row>
    <row r="13128" ht="11.25" customHeight="1">
      <c r="A13128" s="27" t="s">
        <v>346</v>
      </c>
      <c r="B13128" s="26">
        <v>2.2057657E7</v>
      </c>
      <c r="C13128" s="26" t="s">
        <v>66</v>
      </c>
      <c r="D13128" s="21" t="s">
        <v>236</v>
      </c>
      <c r="E13128" s="21"/>
      <c r="F13128" s="21" t="s">
        <v>236</v>
      </c>
      <c r="G13128" s="21"/>
      <c r="H13128" s="24" t="str">
        <f>IFERROR(VLOOKUP(B13128,material!A:D,3,0),"")</f>
        <v>CABO DROP</v>
      </c>
    </row>
    <row r="13129" ht="11.25" customHeight="1">
      <c r="A13129" s="27" t="s">
        <v>347</v>
      </c>
      <c r="B13129" s="26">
        <v>2.2061736E7</v>
      </c>
      <c r="C13129" s="26" t="s">
        <v>66</v>
      </c>
      <c r="D13129" s="21" t="s">
        <v>236</v>
      </c>
      <c r="E13129" s="21"/>
      <c r="F13129" s="21" t="s">
        <v>236</v>
      </c>
      <c r="G13129" s="21"/>
      <c r="H13129" s="24" t="str">
        <f>IFERROR(VLOOKUP(B13129,material!A:D,3,0),"")</f>
        <v>CABO DROP</v>
      </c>
    </row>
    <row r="13130" ht="11.25" customHeight="1">
      <c r="A13130" s="27" t="s">
        <v>348</v>
      </c>
      <c r="B13130" s="26">
        <v>2.205762E7</v>
      </c>
      <c r="C13130" s="26" t="s">
        <v>57</v>
      </c>
      <c r="D13130" s="21" t="s">
        <v>236</v>
      </c>
      <c r="E13130" s="21"/>
      <c r="F13130" s="21" t="s">
        <v>236</v>
      </c>
      <c r="G13130" s="21"/>
      <c r="H13130" s="24" t="str">
        <f>IFERROR(VLOOKUP(B13130,material!A:D,3,0),"")</f>
        <v>FO</v>
      </c>
    </row>
    <row r="13131" ht="11.25" customHeight="1">
      <c r="A13131" s="27" t="s">
        <v>349</v>
      </c>
      <c r="B13131" s="26">
        <v>2.2057659E7</v>
      </c>
      <c r="C13131" s="26" t="s">
        <v>350</v>
      </c>
      <c r="D13131" s="21" t="s">
        <v>236</v>
      </c>
      <c r="E13131" s="21"/>
      <c r="F13131" s="21" t="s">
        <v>236</v>
      </c>
      <c r="G13131" s="21"/>
      <c r="H13131" s="24" t="str">
        <f>IFERROR(VLOOKUP(B13131,material!A:D,3,0),"")</f>
        <v>ESTICADOR</v>
      </c>
    </row>
    <row r="13132" ht="11.25" customHeight="1">
      <c r="A13132" s="27" t="s">
        <v>351</v>
      </c>
      <c r="B13132" s="26">
        <v>2.2025349E7</v>
      </c>
      <c r="C13132" s="26" t="s">
        <v>352</v>
      </c>
      <c r="D13132" s="21" t="s">
        <v>236</v>
      </c>
      <c r="E13132" s="21"/>
      <c r="F13132" s="21" t="s">
        <v>236</v>
      </c>
      <c r="G13132" s="21"/>
      <c r="H13132" s="24" t="str">
        <f>IFERROR(VLOOKUP(B13132,material!A:D,3,0),"")</f>
        <v>FIXA DROP</v>
      </c>
    </row>
    <row r="13133" ht="11.25" customHeight="1">
      <c r="A13133" s="27" t="s">
        <v>353</v>
      </c>
      <c r="B13133" s="26">
        <v>2.2025348E7</v>
      </c>
      <c r="C13133" s="26" t="s">
        <v>354</v>
      </c>
      <c r="D13133" s="21" t="s">
        <v>236</v>
      </c>
      <c r="E13133" s="21"/>
      <c r="F13133" s="21" t="s">
        <v>236</v>
      </c>
      <c r="G13133" s="21"/>
      <c r="H13133" s="24" t="str">
        <f>IFERROR(VLOOKUP(B13133,material!A:D,3,0),"")</f>
        <v>FIXA DROP LOW</v>
      </c>
    </row>
    <row r="13134" ht="11.25" customHeight="1">
      <c r="A13134" s="27" t="s">
        <v>355</v>
      </c>
      <c r="B13134" s="26">
        <v>2.205766E7</v>
      </c>
      <c r="C13134" s="26" t="s">
        <v>356</v>
      </c>
      <c r="D13134" s="21" t="s">
        <v>236</v>
      </c>
      <c r="E13134" s="21"/>
      <c r="F13134" s="21" t="s">
        <v>236</v>
      </c>
      <c r="G13134" s="21"/>
      <c r="H13134" s="24" t="str">
        <f>IFERROR(VLOOKUP(B13134,material!A:D,3,0),"")</f>
        <v>ECAM</v>
      </c>
    </row>
    <row r="13135" ht="11.25" customHeight="1">
      <c r="A13135" s="27" t="s">
        <v>357</v>
      </c>
      <c r="B13135" s="26">
        <v>2.2026265E7</v>
      </c>
      <c r="C13135" s="26" t="s">
        <v>358</v>
      </c>
      <c r="D13135" s="21" t="s">
        <v>236</v>
      </c>
      <c r="E13135" s="21"/>
      <c r="F13135" s="21" t="s">
        <v>236</v>
      </c>
      <c r="G13135" s="21"/>
      <c r="H13135" s="24" t="str">
        <f>IFERROR(VLOOKUP(B13135,material!A:D,3,0),"")</f>
        <v>CABO LOW</v>
      </c>
    </row>
    <row r="13136" ht="11.25" customHeight="1">
      <c r="A13136" s="27" t="s">
        <v>359</v>
      </c>
      <c r="B13136" s="26">
        <v>2.2065513E7</v>
      </c>
      <c r="C13136" s="26" t="s">
        <v>57</v>
      </c>
      <c r="D13136" s="21" t="s">
        <v>236</v>
      </c>
      <c r="E13136" s="21"/>
      <c r="F13136" s="21" t="s">
        <v>236</v>
      </c>
      <c r="G13136" s="21"/>
      <c r="H13136" s="24" t="str">
        <f>IFERROR(VLOOKUP(B13136,material!A:D,3,0),"")</f>
        <v/>
      </c>
    </row>
    <row r="13137" ht="11.25" customHeight="1">
      <c r="A13137" s="31"/>
      <c r="B13137" s="32"/>
      <c r="C13137" s="31"/>
      <c r="D13137" s="33"/>
      <c r="E13137" s="33"/>
      <c r="F13137" s="33"/>
      <c r="G13137" s="33"/>
      <c r="H13137" s="24" t="str">
        <f>IFERROR(VLOOKUP(B13137,material!A:D,3,0),"")</f>
        <v/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14"/>
    <col customWidth="1" min="2" max="2" width="28.43"/>
    <col customWidth="1" min="3" max="3" width="20.43"/>
    <col customWidth="1" min="4" max="4" width="5.71"/>
    <col customWidth="1" min="5" max="7" width="21.14"/>
    <col customWidth="1" min="8" max="8" width="18.57"/>
    <col customWidth="1" min="9" max="9" width="17.86"/>
    <col customWidth="1" min="10" max="11" width="14.71"/>
    <col customWidth="1" min="12" max="23" width="5.57"/>
  </cols>
  <sheetData>
    <row r="1" ht="30.0" customHeight="1">
      <c r="A1" s="34" t="s">
        <v>19</v>
      </c>
      <c r="B1" s="35">
        <f>TODAY()</f>
        <v>45644</v>
      </c>
      <c r="C1" s="36"/>
      <c r="D1" s="37"/>
      <c r="E1" s="34" t="s">
        <v>25</v>
      </c>
      <c r="F1" s="35">
        <f>TODAY()</f>
        <v>45644</v>
      </c>
      <c r="G1" s="36"/>
      <c r="H1" s="37"/>
      <c r="I1" s="34" t="s">
        <v>236</v>
      </c>
      <c r="J1" s="35"/>
      <c r="K1" s="35">
        <f>TODAY()</f>
        <v>45644</v>
      </c>
      <c r="L1" s="37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</row>
    <row r="2" ht="12.7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</row>
    <row r="3" ht="12.75" customHeight="1">
      <c r="D3" s="39"/>
      <c r="H3" s="39"/>
      <c r="L3" s="39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</row>
    <row r="4" ht="12.75" customHeight="1">
      <c r="D4" s="39"/>
      <c r="H4" s="39"/>
      <c r="L4" s="39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</row>
    <row r="5" ht="12.75" customHeight="1">
      <c r="D5" s="39"/>
      <c r="H5" s="39"/>
      <c r="L5" s="3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</row>
    <row r="6" ht="12.75" customHeight="1">
      <c r="D6" s="39"/>
      <c r="H6" s="39"/>
      <c r="L6" s="3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</row>
    <row r="7" ht="12.75" customHeight="1">
      <c r="D7" s="39"/>
      <c r="H7" s="39"/>
      <c r="L7" s="3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</row>
    <row r="8" ht="12.75" customHeight="1">
      <c r="D8" s="39"/>
      <c r="H8" s="39"/>
      <c r="L8" s="3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</row>
    <row r="9" ht="12.75" customHeight="1">
      <c r="D9" s="39"/>
      <c r="H9" s="39"/>
      <c r="L9" s="3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</row>
    <row r="10" ht="12.75" customHeight="1">
      <c r="D10" s="39"/>
      <c r="H10" s="39"/>
      <c r="L10" s="3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</row>
    <row r="11" ht="12.75" customHeight="1">
      <c r="D11" s="39"/>
      <c r="H11" s="39"/>
      <c r="L11" s="3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2" ht="12.75" customHeight="1">
      <c r="D12" s="39"/>
      <c r="H12" s="39"/>
      <c r="L12" s="3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</row>
    <row r="13" ht="12.75" customHeight="1">
      <c r="D13" s="39"/>
      <c r="H13" s="39"/>
      <c r="L13" s="3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</row>
    <row r="14" ht="12.75" customHeight="1">
      <c r="D14" s="39"/>
      <c r="H14" s="39"/>
      <c r="L14" s="3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  <row r="15" ht="12.75" customHeight="1">
      <c r="D15" s="39"/>
      <c r="H15" s="39"/>
      <c r="I15" s="39"/>
      <c r="J15" s="39"/>
      <c r="K15" s="39"/>
      <c r="L15" s="3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</row>
    <row r="16" ht="12.75" customHeight="1">
      <c r="D16" s="39"/>
      <c r="H16" s="39"/>
      <c r="I16" s="39"/>
      <c r="J16" s="39"/>
      <c r="K16" s="39"/>
      <c r="L16" s="3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</row>
    <row r="17" ht="12.75" customHeight="1">
      <c r="D17" s="39"/>
      <c r="H17" s="39"/>
      <c r="I17" s="39"/>
      <c r="J17" s="39"/>
      <c r="K17" s="39"/>
      <c r="L17" s="3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</row>
    <row r="18" ht="12.75" customHeight="1">
      <c r="D18" s="39"/>
      <c r="H18" s="39"/>
      <c r="I18" s="39"/>
      <c r="J18" s="39"/>
      <c r="K18" s="39"/>
      <c r="L18" s="3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</row>
    <row r="19" ht="12.75" customHeight="1">
      <c r="D19" s="39"/>
      <c r="H19" s="39"/>
      <c r="I19" s="39"/>
      <c r="J19" s="39"/>
      <c r="K19" s="39"/>
      <c r="L19" s="3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</row>
    <row r="20" ht="12.75" customHeight="1">
      <c r="D20" s="39"/>
      <c r="H20" s="39"/>
      <c r="I20" s="39"/>
      <c r="J20" s="39"/>
      <c r="K20" s="39"/>
      <c r="L20" s="3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</row>
    <row r="21" ht="12.75" customHeight="1">
      <c r="D21" s="39"/>
      <c r="H21" s="39"/>
      <c r="I21" s="39"/>
      <c r="J21" s="39"/>
      <c r="K21" s="39"/>
      <c r="L21" s="3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</row>
    <row r="22" ht="12.75" customHeight="1">
      <c r="D22" s="39"/>
      <c r="H22" s="39"/>
      <c r="I22" s="39"/>
      <c r="J22" s="39"/>
      <c r="K22" s="39"/>
      <c r="L22" s="3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</row>
    <row r="23" ht="12.75" customHeight="1">
      <c r="D23" s="39"/>
      <c r="H23" s="39"/>
      <c r="I23" s="39"/>
      <c r="J23" s="39"/>
      <c r="K23" s="39"/>
      <c r="L23" s="3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 ht="12.75" customHeight="1">
      <c r="D24" s="39"/>
      <c r="H24" s="39"/>
      <c r="I24" s="39"/>
      <c r="J24" s="39"/>
      <c r="K24" s="39"/>
      <c r="L24" s="3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</row>
    <row r="25" ht="12.75" customHeight="1">
      <c r="D25" s="39"/>
      <c r="H25" s="39"/>
      <c r="I25" s="39"/>
      <c r="J25" s="39"/>
      <c r="K25" s="39"/>
      <c r="L25" s="3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</row>
    <row r="26" ht="12.75" customHeight="1">
      <c r="D26" s="39"/>
      <c r="H26" s="39"/>
      <c r="I26" s="39"/>
      <c r="J26" s="39"/>
      <c r="K26" s="39"/>
      <c r="L26" s="3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</row>
    <row r="27" ht="12.75" customHeight="1">
      <c r="D27" s="39"/>
      <c r="H27" s="39"/>
      <c r="I27" s="39"/>
      <c r="J27" s="39"/>
      <c r="K27" s="39"/>
      <c r="L27" s="3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</row>
    <row r="28" ht="12.75" customHeight="1">
      <c r="D28" s="39"/>
      <c r="H28" s="39"/>
      <c r="I28" s="39"/>
      <c r="J28" s="39"/>
      <c r="K28" s="39"/>
      <c r="L28" s="3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</row>
    <row r="29" ht="12.75" customHeight="1">
      <c r="D29" s="39"/>
      <c r="H29" s="39"/>
      <c r="I29" s="39"/>
      <c r="J29" s="39"/>
      <c r="K29" s="39"/>
      <c r="L29" s="3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</row>
    <row r="30" ht="12.75" customHeight="1">
      <c r="D30" s="39"/>
      <c r="H30" s="39"/>
      <c r="I30" s="39"/>
      <c r="J30" s="39"/>
      <c r="K30" s="39"/>
      <c r="L30" s="3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</row>
    <row r="31" ht="12.75" customHeight="1">
      <c r="D31" s="39"/>
      <c r="H31" s="39"/>
      <c r="I31" s="39"/>
      <c r="J31" s="39"/>
      <c r="K31" s="39"/>
      <c r="L31" s="3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</row>
    <row r="32" ht="12.75" customHeight="1">
      <c r="D32" s="39"/>
      <c r="H32" s="39"/>
      <c r="I32" s="39"/>
      <c r="J32" s="39"/>
      <c r="K32" s="39"/>
      <c r="L32" s="3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</row>
    <row r="33" ht="12.75" customHeight="1">
      <c r="D33" s="39"/>
      <c r="H33" s="39"/>
      <c r="I33" s="39"/>
      <c r="J33" s="39"/>
      <c r="K33" s="39"/>
      <c r="L33" s="3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</row>
    <row r="34" ht="12.75" customHeight="1">
      <c r="D34" s="39"/>
      <c r="H34" s="39"/>
      <c r="I34" s="39"/>
      <c r="J34" s="39"/>
      <c r="K34" s="39"/>
      <c r="L34" s="3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</row>
    <row r="35" ht="12.75" customHeight="1">
      <c r="D35" s="39"/>
      <c r="H35" s="39"/>
      <c r="I35" s="39"/>
      <c r="J35" s="39"/>
      <c r="K35" s="39"/>
      <c r="L35" s="3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</row>
    <row r="36" ht="12.75" customHeight="1">
      <c r="D36" s="39"/>
      <c r="H36" s="39"/>
      <c r="I36" s="39"/>
      <c r="J36" s="39"/>
      <c r="K36" s="39"/>
      <c r="L36" s="3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</row>
    <row r="37" ht="12.75" customHeight="1">
      <c r="D37" s="39"/>
      <c r="H37" s="39"/>
      <c r="I37" s="39"/>
      <c r="J37" s="39"/>
      <c r="K37" s="39"/>
      <c r="L37" s="3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</row>
    <row r="38" ht="12.75" customHeight="1">
      <c r="D38" s="39"/>
      <c r="H38" s="39"/>
      <c r="I38" s="39"/>
      <c r="J38" s="39"/>
      <c r="K38" s="39"/>
      <c r="L38" s="3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</row>
    <row r="39" ht="12.75" customHeight="1">
      <c r="D39" s="39"/>
      <c r="H39" s="39"/>
      <c r="I39" s="39"/>
      <c r="J39" s="39"/>
      <c r="K39" s="39"/>
      <c r="L39" s="3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</row>
    <row r="40" ht="12.75" customHeight="1">
      <c r="D40" s="39"/>
      <c r="H40" s="39"/>
      <c r="I40" s="39"/>
      <c r="J40" s="39"/>
      <c r="K40" s="39"/>
      <c r="L40" s="3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</row>
    <row r="41" ht="12.75" customHeight="1">
      <c r="D41" s="39"/>
      <c r="H41" s="39"/>
      <c r="I41" s="39"/>
      <c r="J41" s="39"/>
      <c r="K41" s="39"/>
      <c r="L41" s="3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</row>
    <row r="42" ht="12.75" customHeight="1">
      <c r="D42" s="39"/>
      <c r="H42" s="39"/>
      <c r="I42" s="39"/>
      <c r="J42" s="39"/>
      <c r="K42" s="39"/>
      <c r="L42" s="3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</row>
    <row r="43" ht="12.75" customHeight="1">
      <c r="D43" s="39"/>
      <c r="H43" s="39"/>
      <c r="I43" s="39"/>
      <c r="J43" s="39"/>
      <c r="K43" s="39"/>
      <c r="L43" s="3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</row>
    <row r="44" ht="12.75" customHeight="1">
      <c r="D44" s="39"/>
      <c r="H44" s="39"/>
      <c r="I44" s="39"/>
      <c r="J44" s="39"/>
      <c r="K44" s="39"/>
      <c r="L44" s="3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</row>
    <row r="45" ht="12.75" customHeight="1">
      <c r="D45" s="39"/>
      <c r="H45" s="39"/>
      <c r="I45" s="39"/>
      <c r="J45" s="39"/>
      <c r="K45" s="39"/>
      <c r="L45" s="3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</row>
    <row r="46" ht="12.75" customHeight="1">
      <c r="D46" s="39"/>
      <c r="H46" s="39"/>
      <c r="I46" s="39"/>
      <c r="J46" s="39"/>
      <c r="K46" s="39"/>
      <c r="L46" s="3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</row>
    <row r="47" ht="12.75" customHeight="1">
      <c r="D47" s="39"/>
      <c r="H47" s="39"/>
      <c r="I47" s="39"/>
      <c r="J47" s="39"/>
      <c r="K47" s="39"/>
      <c r="L47" s="3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</row>
    <row r="48" ht="12.75" customHeight="1">
      <c r="D48" s="39"/>
      <c r="H48" s="39"/>
      <c r="I48" s="39"/>
      <c r="J48" s="39"/>
      <c r="K48" s="39"/>
      <c r="L48" s="3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</row>
    <row r="49" ht="12.75" customHeight="1">
      <c r="D49" s="39"/>
      <c r="H49" s="39"/>
      <c r="I49" s="39"/>
      <c r="J49" s="39"/>
      <c r="K49" s="39"/>
      <c r="L49" s="3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</row>
    <row r="50" ht="12.75" customHeight="1">
      <c r="D50" s="39"/>
      <c r="H50" s="39"/>
      <c r="I50" s="39"/>
      <c r="J50" s="39"/>
      <c r="K50" s="39"/>
      <c r="L50" s="3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</row>
    <row r="51" ht="12.75" customHeight="1">
      <c r="D51" s="39"/>
      <c r="H51" s="39"/>
      <c r="I51" s="39"/>
      <c r="J51" s="39"/>
      <c r="K51" s="39"/>
      <c r="L51" s="3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</row>
    <row r="52" ht="12.75" customHeight="1">
      <c r="D52" s="39"/>
      <c r="H52" s="39"/>
      <c r="I52" s="39"/>
      <c r="J52" s="39"/>
      <c r="K52" s="39"/>
      <c r="L52" s="3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</row>
    <row r="53" ht="12.75" customHeight="1">
      <c r="D53" s="39"/>
      <c r="H53" s="39"/>
      <c r="I53" s="39"/>
      <c r="J53" s="39"/>
      <c r="K53" s="39"/>
      <c r="L53" s="3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</row>
    <row r="54" ht="12.75" customHeight="1">
      <c r="D54" s="39"/>
      <c r="H54" s="39"/>
      <c r="I54" s="39"/>
      <c r="J54" s="39"/>
      <c r="K54" s="39"/>
      <c r="L54" s="3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</row>
    <row r="55" ht="12.75" customHeight="1">
      <c r="D55" s="39"/>
      <c r="H55" s="39"/>
      <c r="I55" s="39"/>
      <c r="J55" s="39"/>
      <c r="K55" s="39"/>
      <c r="L55" s="3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</row>
    <row r="56" ht="12.75" customHeight="1">
      <c r="D56" s="39"/>
      <c r="H56" s="39"/>
      <c r="I56" s="39"/>
      <c r="J56" s="39"/>
      <c r="K56" s="39"/>
      <c r="L56" s="3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</row>
    <row r="57" ht="12.75" customHeight="1">
      <c r="D57" s="39"/>
      <c r="H57" s="39"/>
      <c r="I57" s="39"/>
      <c r="J57" s="39"/>
      <c r="K57" s="39"/>
      <c r="L57" s="3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</row>
    <row r="58" ht="12.75" customHeight="1">
      <c r="D58" s="39"/>
      <c r="H58" s="39"/>
      <c r="I58" s="39"/>
      <c r="J58" s="39"/>
      <c r="K58" s="39"/>
      <c r="L58" s="3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</row>
    <row r="59" ht="12.75" customHeight="1">
      <c r="D59" s="39"/>
      <c r="H59" s="39"/>
      <c r="I59" s="39"/>
      <c r="J59" s="39"/>
      <c r="K59" s="39"/>
      <c r="L59" s="3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</row>
    <row r="60" ht="12.75" customHeight="1">
      <c r="D60" s="39"/>
      <c r="H60" s="39"/>
      <c r="I60" s="39"/>
      <c r="J60" s="39"/>
      <c r="K60" s="39"/>
      <c r="L60" s="3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</row>
    <row r="61" ht="12.75" customHeight="1">
      <c r="D61" s="39"/>
      <c r="H61" s="39"/>
      <c r="I61" s="39"/>
      <c r="J61" s="39"/>
      <c r="K61" s="39"/>
      <c r="L61" s="3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</row>
    <row r="62" ht="12.75" customHeight="1">
      <c r="D62" s="39"/>
      <c r="H62" s="39"/>
      <c r="I62" s="39"/>
      <c r="J62" s="39"/>
      <c r="K62" s="39"/>
      <c r="L62" s="3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</row>
    <row r="63" ht="12.75" customHeight="1">
      <c r="D63" s="39"/>
      <c r="H63" s="39"/>
      <c r="I63" s="39"/>
      <c r="J63" s="39"/>
      <c r="K63" s="39"/>
      <c r="L63" s="3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</row>
    <row r="64" ht="12.75" customHeight="1">
      <c r="D64" s="39"/>
      <c r="H64" s="39"/>
      <c r="I64" s="39"/>
      <c r="J64" s="39"/>
      <c r="K64" s="39"/>
      <c r="L64" s="3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</row>
    <row r="65" ht="12.75" customHeight="1">
      <c r="D65" s="39"/>
      <c r="H65" s="39"/>
      <c r="I65" s="39"/>
      <c r="J65" s="39"/>
      <c r="K65" s="39"/>
      <c r="L65" s="3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</row>
    <row r="66" ht="12.75" customHeight="1">
      <c r="D66" s="39"/>
      <c r="H66" s="39"/>
      <c r="I66" s="39"/>
      <c r="J66" s="39"/>
      <c r="K66" s="39"/>
      <c r="L66" s="3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</row>
    <row r="67" ht="12.75" customHeight="1">
      <c r="D67" s="39"/>
      <c r="H67" s="39"/>
      <c r="I67" s="39"/>
      <c r="J67" s="39"/>
      <c r="K67" s="39"/>
      <c r="L67" s="3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</row>
    <row r="68" ht="12.75" customHeight="1">
      <c r="D68" s="39"/>
      <c r="H68" s="39"/>
      <c r="I68" s="39"/>
      <c r="J68" s="39"/>
      <c r="K68" s="39"/>
      <c r="L68" s="3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</row>
    <row r="69" ht="12.75" customHeight="1">
      <c r="D69" s="39"/>
      <c r="H69" s="39"/>
      <c r="I69" s="39"/>
      <c r="J69" s="39"/>
      <c r="K69" s="39"/>
      <c r="L69" s="3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</row>
    <row r="70" ht="12.75" customHeight="1">
      <c r="D70" s="39"/>
      <c r="H70" s="39"/>
      <c r="I70" s="39"/>
      <c r="J70" s="39"/>
      <c r="K70" s="39"/>
      <c r="L70" s="3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</row>
    <row r="71" ht="12.75" customHeight="1">
      <c r="D71" s="39"/>
      <c r="H71" s="39"/>
      <c r="I71" s="39"/>
      <c r="J71" s="39"/>
      <c r="K71" s="39"/>
      <c r="L71" s="3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</row>
    <row r="72" ht="12.75" customHeight="1">
      <c r="D72" s="39"/>
      <c r="H72" s="39"/>
      <c r="I72" s="39"/>
      <c r="J72" s="39"/>
      <c r="K72" s="39"/>
      <c r="L72" s="3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</row>
    <row r="73" ht="12.75" customHeight="1">
      <c r="D73" s="39"/>
      <c r="H73" s="39"/>
      <c r="I73" s="39"/>
      <c r="J73" s="39"/>
      <c r="K73" s="39"/>
      <c r="L73" s="3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</row>
    <row r="74" ht="12.75" customHeight="1">
      <c r="D74" s="39"/>
      <c r="H74" s="39"/>
      <c r="I74" s="39"/>
      <c r="J74" s="39"/>
      <c r="K74" s="39"/>
      <c r="L74" s="3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</row>
    <row r="75" ht="12.75" customHeight="1">
      <c r="D75" s="39"/>
      <c r="H75" s="39"/>
      <c r="I75" s="39"/>
      <c r="J75" s="39"/>
      <c r="K75" s="39"/>
      <c r="L75" s="3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</row>
    <row r="76" ht="12.75" customHeight="1">
      <c r="D76" s="39"/>
      <c r="H76" s="39"/>
      <c r="I76" s="39"/>
      <c r="J76" s="39"/>
      <c r="K76" s="39"/>
      <c r="L76" s="3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</row>
    <row r="77" ht="12.75" customHeight="1">
      <c r="D77" s="39"/>
      <c r="H77" s="39"/>
      <c r="I77" s="39"/>
      <c r="J77" s="39"/>
      <c r="K77" s="39"/>
      <c r="L77" s="3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</row>
    <row r="78" ht="12.75" customHeight="1">
      <c r="D78" s="39"/>
      <c r="H78" s="39"/>
      <c r="I78" s="39"/>
      <c r="J78" s="39"/>
      <c r="K78" s="39"/>
      <c r="L78" s="3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</row>
    <row r="79" ht="12.75" customHeight="1">
      <c r="D79" s="39"/>
      <c r="H79" s="39"/>
      <c r="I79" s="39"/>
      <c r="J79" s="39"/>
      <c r="K79" s="39"/>
      <c r="L79" s="3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</row>
    <row r="80" ht="12.75" customHeight="1">
      <c r="D80" s="39"/>
      <c r="H80" s="39"/>
      <c r="I80" s="39"/>
      <c r="J80" s="39"/>
      <c r="K80" s="39"/>
      <c r="L80" s="3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</row>
    <row r="81" ht="12.75" customHeight="1">
      <c r="D81" s="39"/>
      <c r="H81" s="39"/>
      <c r="I81" s="39"/>
      <c r="J81" s="39"/>
      <c r="K81" s="39"/>
      <c r="L81" s="3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</row>
    <row r="82" ht="12.75" customHeight="1">
      <c r="D82" s="39"/>
      <c r="H82" s="39"/>
      <c r="I82" s="39"/>
      <c r="J82" s="39"/>
      <c r="K82" s="39"/>
      <c r="L82" s="3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</row>
    <row r="83" ht="12.75" customHeight="1">
      <c r="D83" s="39"/>
      <c r="H83" s="39"/>
      <c r="I83" s="39"/>
      <c r="J83" s="39"/>
      <c r="K83" s="39"/>
      <c r="L83" s="3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</row>
    <row r="84" ht="12.75" customHeight="1">
      <c r="D84" s="39"/>
      <c r="H84" s="39"/>
      <c r="I84" s="39"/>
      <c r="J84" s="39"/>
      <c r="K84" s="39"/>
      <c r="L84" s="3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</row>
    <row r="85" ht="12.75" customHeight="1">
      <c r="D85" s="39"/>
      <c r="H85" s="39"/>
      <c r="I85" s="39"/>
      <c r="J85" s="39"/>
      <c r="K85" s="39"/>
      <c r="L85" s="3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</row>
    <row r="86" ht="12.75" customHeight="1">
      <c r="A86" s="39"/>
      <c r="B86" s="39"/>
      <c r="C86" s="39"/>
      <c r="D86" s="39"/>
      <c r="H86" s="39"/>
      <c r="I86" s="39"/>
      <c r="J86" s="39"/>
      <c r="K86" s="39"/>
      <c r="L86" s="3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</row>
    <row r="87" ht="12.75" customHeight="1">
      <c r="A87" s="39"/>
      <c r="B87" s="39"/>
      <c r="C87" s="39"/>
      <c r="D87" s="39"/>
      <c r="H87" s="39"/>
      <c r="I87" s="39"/>
      <c r="J87" s="39"/>
      <c r="K87" s="39"/>
      <c r="L87" s="3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</row>
    <row r="88" ht="12.75" customHeight="1">
      <c r="A88" s="39"/>
      <c r="B88" s="39"/>
      <c r="C88" s="39"/>
      <c r="D88" s="39"/>
      <c r="H88" s="39"/>
      <c r="I88" s="39"/>
      <c r="J88" s="39"/>
      <c r="K88" s="39"/>
      <c r="L88" s="3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</row>
    <row r="89" ht="12.75" customHeight="1">
      <c r="A89" s="39"/>
      <c r="B89" s="39"/>
      <c r="C89" s="39"/>
      <c r="D89" s="39"/>
      <c r="H89" s="39"/>
      <c r="I89" s="39"/>
      <c r="J89" s="39"/>
      <c r="K89" s="39"/>
      <c r="L89" s="3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</row>
    <row r="90" ht="12.75" customHeight="1">
      <c r="A90" s="39"/>
      <c r="B90" s="39"/>
      <c r="C90" s="39"/>
      <c r="D90" s="39"/>
      <c r="H90" s="45"/>
      <c r="I90" s="45"/>
      <c r="J90" s="45"/>
      <c r="K90" s="39"/>
      <c r="L90" s="3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</row>
    <row r="91" ht="12.75" customHeight="1">
      <c r="A91" s="39"/>
      <c r="B91" s="39"/>
      <c r="C91" s="39"/>
      <c r="D91" s="39"/>
      <c r="H91" s="45"/>
      <c r="I91" s="45"/>
      <c r="J91" s="45"/>
      <c r="K91" s="39"/>
      <c r="L91" s="3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</row>
    <row r="92" ht="12.75" customHeight="1">
      <c r="A92" s="39"/>
      <c r="B92" s="39"/>
      <c r="C92" s="39"/>
      <c r="D92" s="39"/>
      <c r="H92" s="45"/>
      <c r="I92" s="45"/>
      <c r="J92" s="45"/>
      <c r="K92" s="39"/>
      <c r="L92" s="3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</row>
    <row r="93" ht="12.75" customHeight="1">
      <c r="A93" s="39"/>
      <c r="B93" s="39"/>
      <c r="C93" s="39"/>
      <c r="D93" s="39"/>
      <c r="H93" s="45"/>
      <c r="I93" s="45"/>
      <c r="J93" s="45"/>
      <c r="K93" s="39"/>
      <c r="L93" s="3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</row>
    <row r="94" ht="12.75" customHeight="1">
      <c r="A94" s="39"/>
      <c r="B94" s="39"/>
      <c r="C94" s="39"/>
      <c r="D94" s="39"/>
      <c r="H94" s="45"/>
      <c r="I94" s="45"/>
      <c r="J94" s="45"/>
      <c r="K94" s="39"/>
      <c r="L94" s="3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</row>
    <row r="95" ht="12.75" customHeight="1">
      <c r="A95" s="39"/>
      <c r="B95" s="39"/>
      <c r="C95" s="39"/>
      <c r="D95" s="39"/>
      <c r="H95" s="45"/>
      <c r="I95" s="45"/>
      <c r="J95" s="45"/>
      <c r="K95" s="39"/>
      <c r="L95" s="3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</row>
    <row r="96" ht="12.75" customHeight="1">
      <c r="A96" s="39"/>
      <c r="B96" s="39"/>
      <c r="C96" s="39"/>
      <c r="D96" s="39"/>
      <c r="H96" s="45"/>
      <c r="I96" s="45"/>
      <c r="J96" s="45"/>
      <c r="K96" s="39"/>
      <c r="L96" s="3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</row>
    <row r="97" ht="12.75" customHeight="1">
      <c r="A97" s="39"/>
      <c r="B97" s="39"/>
      <c r="C97" s="39"/>
      <c r="D97" s="39"/>
      <c r="H97" s="45"/>
      <c r="I97" s="45"/>
      <c r="J97" s="45"/>
      <c r="K97" s="39"/>
      <c r="L97" s="3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</row>
    <row r="98" ht="12.75" customHeight="1">
      <c r="A98" s="39"/>
      <c r="B98" s="39"/>
      <c r="C98" s="39"/>
      <c r="D98" s="39"/>
      <c r="H98" s="45"/>
      <c r="I98" s="45"/>
      <c r="J98" s="45"/>
      <c r="K98" s="39"/>
      <c r="L98" s="3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</row>
    <row r="99" ht="12.75" customHeight="1">
      <c r="A99" s="39"/>
      <c r="B99" s="39"/>
      <c r="C99" s="39"/>
      <c r="D99" s="39"/>
      <c r="H99" s="45"/>
      <c r="I99" s="45"/>
      <c r="J99" s="45"/>
      <c r="K99" s="39"/>
      <c r="L99" s="3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</row>
    <row r="100" ht="12.75" customHeight="1">
      <c r="A100" s="39"/>
      <c r="B100" s="39"/>
      <c r="C100" s="39"/>
      <c r="D100" s="39"/>
      <c r="H100" s="45"/>
      <c r="I100" s="45"/>
      <c r="J100" s="45"/>
      <c r="K100" s="39"/>
      <c r="L100" s="3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</row>
    <row r="101" ht="12.75" customHeight="1">
      <c r="A101" s="39"/>
      <c r="B101" s="39"/>
      <c r="C101" s="39"/>
      <c r="D101" s="39"/>
      <c r="H101" s="45"/>
      <c r="I101" s="45"/>
      <c r="J101" s="45"/>
      <c r="K101" s="39"/>
      <c r="L101" s="3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</row>
    <row r="102" ht="12.75" customHeight="1">
      <c r="A102" s="39"/>
      <c r="B102" s="39"/>
      <c r="C102" s="39"/>
      <c r="D102" s="39"/>
      <c r="H102" s="45"/>
      <c r="I102" s="45"/>
      <c r="J102" s="45"/>
      <c r="K102" s="39"/>
      <c r="L102" s="3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</row>
    <row r="103" ht="12.75" customHeight="1">
      <c r="A103" s="39"/>
      <c r="B103" s="39"/>
      <c r="C103" s="39"/>
      <c r="D103" s="39"/>
      <c r="H103" s="45"/>
      <c r="I103" s="45"/>
      <c r="J103" s="45"/>
      <c r="K103" s="39"/>
      <c r="L103" s="3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</row>
    <row r="104" ht="12.75" customHeight="1">
      <c r="A104" s="39"/>
      <c r="B104" s="39"/>
      <c r="C104" s="39"/>
      <c r="D104" s="39"/>
      <c r="H104" s="45"/>
      <c r="I104" s="45"/>
      <c r="J104" s="45"/>
      <c r="K104" s="39"/>
      <c r="L104" s="3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</row>
    <row r="105" ht="12.75" customHeight="1">
      <c r="A105" s="39"/>
      <c r="B105" s="39"/>
      <c r="C105" s="39"/>
      <c r="D105" s="39"/>
      <c r="H105" s="45"/>
      <c r="I105" s="45"/>
      <c r="J105" s="45"/>
      <c r="K105" s="39"/>
      <c r="L105" s="3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</row>
    <row r="106" ht="12.75" customHeight="1">
      <c r="A106" s="39"/>
      <c r="B106" s="39"/>
      <c r="C106" s="39"/>
      <c r="D106" s="39"/>
      <c r="E106" s="39"/>
      <c r="F106" s="39"/>
      <c r="G106" s="39"/>
      <c r="H106" s="45"/>
      <c r="I106" s="45"/>
      <c r="J106" s="45"/>
      <c r="K106" s="39"/>
      <c r="L106" s="3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</row>
    <row r="107" ht="12.75" customHeight="1">
      <c r="A107" s="39"/>
      <c r="B107" s="39"/>
      <c r="C107" s="39"/>
      <c r="D107" s="39"/>
      <c r="E107" s="39"/>
      <c r="F107" s="39"/>
      <c r="G107" s="39"/>
      <c r="H107" s="45"/>
      <c r="I107" s="45"/>
      <c r="J107" s="45"/>
      <c r="K107" s="39"/>
      <c r="L107" s="3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</row>
    <row r="108" ht="12.75" customHeight="1">
      <c r="A108" s="39"/>
      <c r="B108" s="39"/>
      <c r="C108" s="39"/>
      <c r="D108" s="39"/>
      <c r="E108" s="39"/>
      <c r="F108" s="39"/>
      <c r="G108" s="39"/>
      <c r="H108" s="45"/>
      <c r="I108" s="45"/>
      <c r="J108" s="45"/>
      <c r="K108" s="39"/>
      <c r="L108" s="3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</row>
    <row r="109" ht="12.75" customHeight="1">
      <c r="A109" s="39"/>
      <c r="B109" s="39"/>
      <c r="C109" s="39"/>
      <c r="D109" s="39"/>
      <c r="E109" s="39"/>
      <c r="F109" s="39"/>
      <c r="G109" s="39"/>
      <c r="H109" s="45"/>
      <c r="I109" s="45"/>
      <c r="J109" s="45"/>
      <c r="K109" s="39"/>
      <c r="L109" s="3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</row>
    <row r="110" ht="12.75" customHeight="1">
      <c r="A110" s="39"/>
      <c r="B110" s="39"/>
      <c r="C110" s="39"/>
      <c r="D110" s="39"/>
      <c r="E110" s="39"/>
      <c r="F110" s="39"/>
      <c r="G110" s="39"/>
      <c r="H110" s="45"/>
      <c r="I110" s="45"/>
      <c r="J110" s="45"/>
      <c r="K110" s="39"/>
      <c r="L110" s="3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</row>
    <row r="111" ht="12.75" customHeight="1">
      <c r="A111" s="39"/>
      <c r="B111" s="39"/>
      <c r="C111" s="39"/>
      <c r="D111" s="39"/>
      <c r="E111" s="39"/>
      <c r="F111" s="39"/>
      <c r="G111" s="39"/>
      <c r="H111" s="45"/>
      <c r="I111" s="45"/>
      <c r="J111" s="45"/>
      <c r="K111" s="39"/>
      <c r="L111" s="3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</row>
    <row r="112" ht="12.75" customHeight="1">
      <c r="A112" s="39"/>
      <c r="B112" s="39"/>
      <c r="C112" s="39"/>
      <c r="D112" s="39"/>
      <c r="E112" s="39"/>
      <c r="F112" s="39"/>
      <c r="G112" s="39"/>
      <c r="H112" s="45"/>
      <c r="I112" s="45"/>
      <c r="J112" s="45"/>
      <c r="K112" s="39"/>
      <c r="L112" s="3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</row>
    <row r="113" ht="12.75" customHeight="1">
      <c r="A113" s="39"/>
      <c r="B113" s="39"/>
      <c r="C113" s="39"/>
      <c r="D113" s="39"/>
      <c r="E113" s="39"/>
      <c r="F113" s="39"/>
      <c r="G113" s="39"/>
      <c r="H113" s="45"/>
      <c r="I113" s="45"/>
      <c r="J113" s="45"/>
      <c r="K113" s="39"/>
      <c r="L113" s="3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</row>
    <row r="114" ht="12.75" customHeight="1">
      <c r="A114" s="39"/>
      <c r="B114" s="39"/>
      <c r="C114" s="39"/>
      <c r="D114" s="39"/>
      <c r="E114" s="39"/>
      <c r="F114" s="39"/>
      <c r="G114" s="39"/>
      <c r="H114" s="45"/>
      <c r="I114" s="45"/>
      <c r="J114" s="45"/>
      <c r="K114" s="39"/>
      <c r="L114" s="3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</row>
    <row r="115" ht="12.75" customHeight="1">
      <c r="A115" s="39"/>
      <c r="B115" s="39"/>
      <c r="C115" s="39"/>
      <c r="D115" s="39"/>
      <c r="E115" s="39"/>
      <c r="F115" s="39"/>
      <c r="G115" s="39"/>
      <c r="H115" s="45"/>
      <c r="I115" s="45"/>
      <c r="J115" s="45"/>
      <c r="K115" s="39"/>
      <c r="L115" s="3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</row>
    <row r="116" ht="12.75" customHeight="1">
      <c r="A116" s="39"/>
      <c r="B116" s="39"/>
      <c r="C116" s="39"/>
      <c r="D116" s="39"/>
      <c r="E116" s="39"/>
      <c r="F116" s="39"/>
      <c r="G116" s="39"/>
      <c r="H116" s="45"/>
      <c r="I116" s="45"/>
      <c r="J116" s="45"/>
      <c r="K116" s="39"/>
      <c r="L116" s="3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</row>
    <row r="117" ht="12.75" customHeight="1">
      <c r="A117" s="39"/>
      <c r="B117" s="39"/>
      <c r="C117" s="39"/>
      <c r="D117" s="39"/>
      <c r="E117" s="39"/>
      <c r="F117" s="39"/>
      <c r="G117" s="39"/>
      <c r="H117" s="45"/>
      <c r="I117" s="45"/>
      <c r="J117" s="45"/>
      <c r="K117" s="39"/>
      <c r="L117" s="3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</row>
    <row r="118" ht="12.75" customHeight="1">
      <c r="A118" s="39"/>
      <c r="B118" s="39"/>
      <c r="C118" s="39"/>
      <c r="D118" s="39"/>
      <c r="E118" s="39"/>
      <c r="F118" s="39"/>
      <c r="G118" s="39"/>
      <c r="H118" s="45"/>
      <c r="I118" s="45"/>
      <c r="J118" s="45"/>
      <c r="K118" s="39"/>
      <c r="L118" s="3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</row>
    <row r="119" ht="12.75" customHeight="1">
      <c r="A119" s="39"/>
      <c r="B119" s="39"/>
      <c r="C119" s="39"/>
      <c r="D119" s="39"/>
      <c r="E119" s="39"/>
      <c r="F119" s="39"/>
      <c r="G119" s="39"/>
      <c r="H119" s="45"/>
      <c r="I119" s="45"/>
      <c r="J119" s="45"/>
      <c r="K119" s="39"/>
      <c r="L119" s="3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</row>
    <row r="120" ht="12.75" customHeight="1">
      <c r="A120" s="39"/>
      <c r="B120" s="39"/>
      <c r="C120" s="39"/>
      <c r="D120" s="39"/>
      <c r="E120" s="39"/>
      <c r="F120" s="39"/>
      <c r="G120" s="39"/>
      <c r="H120" s="45"/>
      <c r="I120" s="45"/>
      <c r="J120" s="45"/>
      <c r="K120" s="39"/>
      <c r="L120" s="3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</row>
    <row r="121" ht="12.75" customHeight="1">
      <c r="A121" s="39"/>
      <c r="B121" s="39"/>
      <c r="C121" s="39"/>
      <c r="D121" s="39"/>
      <c r="E121" s="39"/>
      <c r="F121" s="39"/>
      <c r="G121" s="39"/>
      <c r="H121" s="45"/>
      <c r="I121" s="45"/>
      <c r="J121" s="45"/>
      <c r="K121" s="39"/>
      <c r="L121" s="3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</row>
    <row r="122" ht="12.75" customHeight="1">
      <c r="A122" s="39"/>
      <c r="B122" s="39"/>
      <c r="C122" s="39"/>
      <c r="D122" s="39"/>
      <c r="E122" s="39"/>
      <c r="F122" s="39"/>
      <c r="G122" s="39"/>
      <c r="H122" s="45"/>
      <c r="I122" s="45"/>
      <c r="J122" s="45"/>
      <c r="K122" s="39"/>
      <c r="L122" s="3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</row>
    <row r="123" ht="12.75" customHeight="1">
      <c r="A123" s="39"/>
      <c r="B123" s="39"/>
      <c r="C123" s="39"/>
      <c r="D123" s="39"/>
      <c r="E123" s="39"/>
      <c r="F123" s="39"/>
      <c r="G123" s="39"/>
      <c r="H123" s="45"/>
      <c r="I123" s="45"/>
      <c r="J123" s="45"/>
      <c r="K123" s="39"/>
      <c r="L123" s="3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</row>
    <row r="124" ht="12.75" customHeight="1">
      <c r="A124" s="39"/>
      <c r="B124" s="39"/>
      <c r="C124" s="39"/>
      <c r="D124" s="39"/>
      <c r="E124" s="39"/>
      <c r="F124" s="39"/>
      <c r="G124" s="39"/>
      <c r="H124" s="45"/>
      <c r="I124" s="45"/>
      <c r="J124" s="45"/>
      <c r="K124" s="39"/>
      <c r="L124" s="3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</row>
    <row r="125" ht="12.75" customHeight="1">
      <c r="A125" s="39"/>
      <c r="B125" s="39"/>
      <c r="C125" s="39"/>
      <c r="D125" s="39"/>
      <c r="E125" s="39"/>
      <c r="F125" s="39"/>
      <c r="G125" s="39"/>
      <c r="H125" s="45"/>
      <c r="I125" s="45"/>
      <c r="J125" s="45"/>
      <c r="K125" s="39"/>
      <c r="L125" s="3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</row>
    <row r="126" ht="12.75" customHeight="1">
      <c r="A126" s="39"/>
      <c r="B126" s="39"/>
      <c r="C126" s="39"/>
      <c r="D126" s="39"/>
      <c r="E126" s="39"/>
      <c r="F126" s="39"/>
      <c r="G126" s="39"/>
      <c r="H126" s="45"/>
      <c r="I126" s="45"/>
      <c r="J126" s="45"/>
      <c r="K126" s="39"/>
      <c r="L126" s="3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</row>
    <row r="127" ht="12.75" customHeight="1">
      <c r="A127" s="39"/>
      <c r="B127" s="39"/>
      <c r="C127" s="39"/>
      <c r="D127" s="39"/>
      <c r="E127" s="39"/>
      <c r="F127" s="39"/>
      <c r="G127" s="39"/>
      <c r="H127" s="45"/>
      <c r="I127" s="45"/>
      <c r="J127" s="45"/>
      <c r="K127" s="39"/>
      <c r="L127" s="3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</row>
    <row r="128" ht="12.75" customHeight="1">
      <c r="A128" s="39"/>
      <c r="B128" s="39"/>
      <c r="C128" s="39"/>
      <c r="D128" s="39"/>
      <c r="E128" s="45"/>
      <c r="F128" s="45"/>
      <c r="G128" s="39"/>
      <c r="H128" s="45"/>
      <c r="I128" s="45"/>
      <c r="J128" s="45"/>
      <c r="K128" s="39"/>
      <c r="L128" s="3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</row>
    <row r="129" ht="12.75" customHeight="1">
      <c r="A129" s="39"/>
      <c r="B129" s="39"/>
      <c r="C129" s="39"/>
      <c r="D129" s="39"/>
      <c r="E129" s="45"/>
      <c r="F129" s="45"/>
      <c r="G129" s="39"/>
      <c r="H129" s="45"/>
      <c r="I129" s="45"/>
      <c r="J129" s="45"/>
      <c r="K129" s="39"/>
      <c r="L129" s="3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</row>
    <row r="130" ht="12.75" customHeight="1">
      <c r="A130" s="39"/>
      <c r="B130" s="39"/>
      <c r="C130" s="39"/>
      <c r="D130" s="39"/>
      <c r="E130" s="45"/>
      <c r="F130" s="45"/>
      <c r="G130" s="39"/>
      <c r="H130" s="45"/>
      <c r="I130" s="45"/>
      <c r="J130" s="45"/>
      <c r="K130" s="39"/>
      <c r="L130" s="3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</row>
    <row r="131" ht="12.75" customHeight="1">
      <c r="A131" s="39"/>
      <c r="B131" s="39"/>
      <c r="C131" s="39"/>
      <c r="D131" s="39"/>
      <c r="E131" s="45"/>
      <c r="F131" s="45"/>
      <c r="G131" s="39"/>
      <c r="H131" s="45"/>
      <c r="I131" s="45"/>
      <c r="J131" s="45"/>
      <c r="K131" s="39"/>
      <c r="L131" s="3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</row>
    <row r="132" ht="12.75" customHeight="1">
      <c r="A132" s="39"/>
      <c r="B132" s="39"/>
      <c r="C132" s="39"/>
      <c r="D132" s="39"/>
      <c r="E132" s="45"/>
      <c r="F132" s="45"/>
      <c r="G132" s="39"/>
      <c r="H132" s="45"/>
      <c r="I132" s="45"/>
      <c r="J132" s="45"/>
      <c r="K132" s="39"/>
      <c r="L132" s="3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</row>
    <row r="133" ht="12.75" customHeight="1">
      <c r="A133" s="39"/>
      <c r="B133" s="39"/>
      <c r="C133" s="39"/>
      <c r="D133" s="39"/>
      <c r="E133" s="45"/>
      <c r="F133" s="45"/>
      <c r="G133" s="39"/>
      <c r="H133" s="45"/>
      <c r="I133" s="45"/>
      <c r="J133" s="45"/>
      <c r="K133" s="39"/>
      <c r="L133" s="3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</row>
    <row r="134" ht="12.75" customHeight="1">
      <c r="A134" s="39"/>
      <c r="B134" s="39"/>
      <c r="C134" s="39"/>
      <c r="D134" s="39"/>
      <c r="E134" s="45"/>
      <c r="F134" s="45"/>
      <c r="G134" s="39"/>
      <c r="H134" s="45"/>
      <c r="I134" s="45"/>
      <c r="J134" s="45"/>
      <c r="K134" s="39"/>
      <c r="L134" s="3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</row>
    <row r="135" ht="12.75" customHeight="1">
      <c r="A135" s="39"/>
      <c r="B135" s="39"/>
      <c r="C135" s="39"/>
      <c r="D135" s="39"/>
      <c r="E135" s="45"/>
      <c r="F135" s="45"/>
      <c r="G135" s="39"/>
      <c r="H135" s="45"/>
      <c r="I135" s="45"/>
      <c r="J135" s="45"/>
      <c r="K135" s="39"/>
      <c r="L135" s="3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</row>
    <row r="136" ht="12.75" customHeight="1">
      <c r="A136" s="39"/>
      <c r="B136" s="39"/>
      <c r="C136" s="39"/>
      <c r="D136" s="39"/>
      <c r="E136" s="45"/>
      <c r="F136" s="45"/>
      <c r="G136" s="39"/>
      <c r="H136" s="45"/>
      <c r="I136" s="45"/>
      <c r="J136" s="45"/>
      <c r="K136" s="39"/>
      <c r="L136" s="3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</row>
    <row r="137" ht="12.75" customHeight="1">
      <c r="A137" s="39"/>
      <c r="B137" s="39"/>
      <c r="C137" s="39"/>
      <c r="D137" s="39"/>
      <c r="E137" s="45"/>
      <c r="F137" s="45"/>
      <c r="G137" s="39"/>
      <c r="H137" s="45"/>
      <c r="I137" s="45"/>
      <c r="J137" s="45"/>
      <c r="K137" s="39"/>
      <c r="L137" s="3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</row>
    <row r="138" ht="12.75" customHeight="1">
      <c r="A138" s="39"/>
      <c r="B138" s="39"/>
      <c r="C138" s="39"/>
      <c r="D138" s="39"/>
      <c r="E138" s="45"/>
      <c r="F138" s="45"/>
      <c r="G138" s="39"/>
      <c r="H138" s="45"/>
      <c r="I138" s="45"/>
      <c r="J138" s="45"/>
      <c r="K138" s="39"/>
      <c r="L138" s="3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</row>
    <row r="139" ht="12.75" customHeight="1">
      <c r="A139" s="39"/>
      <c r="B139" s="39"/>
      <c r="C139" s="39"/>
      <c r="D139" s="39"/>
      <c r="E139" s="45"/>
      <c r="F139" s="45"/>
      <c r="G139" s="39"/>
      <c r="H139" s="45"/>
      <c r="I139" s="45"/>
      <c r="J139" s="45"/>
      <c r="K139" s="39"/>
      <c r="L139" s="3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</row>
    <row r="140" ht="12.75" customHeight="1">
      <c r="A140" s="39"/>
      <c r="B140" s="39"/>
      <c r="C140" s="39"/>
      <c r="D140" s="39"/>
      <c r="E140" s="45"/>
      <c r="F140" s="45"/>
      <c r="G140" s="39"/>
      <c r="H140" s="45"/>
      <c r="I140" s="45"/>
      <c r="J140" s="45"/>
      <c r="K140" s="39"/>
      <c r="L140" s="3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</row>
    <row r="141" ht="12.75" customHeight="1">
      <c r="A141" s="39"/>
      <c r="B141" s="39"/>
      <c r="C141" s="39"/>
      <c r="D141" s="39"/>
      <c r="E141" s="45"/>
      <c r="F141" s="45"/>
      <c r="G141" s="39"/>
      <c r="H141" s="45"/>
      <c r="I141" s="45"/>
      <c r="J141" s="45"/>
      <c r="K141" s="39"/>
      <c r="L141" s="3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</row>
    <row r="142" ht="12.75" customHeight="1">
      <c r="A142" s="39"/>
      <c r="B142" s="39"/>
      <c r="C142" s="39"/>
      <c r="D142" s="39"/>
      <c r="E142" s="45"/>
      <c r="F142" s="45"/>
      <c r="G142" s="39"/>
      <c r="H142" s="45"/>
      <c r="I142" s="45"/>
      <c r="J142" s="45"/>
      <c r="K142" s="39"/>
      <c r="L142" s="3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</row>
    <row r="143" ht="12.75" customHeight="1">
      <c r="A143" s="39"/>
      <c r="B143" s="39"/>
      <c r="C143" s="39"/>
      <c r="D143" s="39"/>
      <c r="E143" s="45"/>
      <c r="F143" s="45"/>
      <c r="G143" s="39"/>
      <c r="H143" s="45"/>
      <c r="I143" s="45"/>
      <c r="J143" s="45"/>
      <c r="K143" s="39"/>
      <c r="L143" s="3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</row>
    <row r="144" ht="12.75" customHeight="1">
      <c r="A144" s="39"/>
      <c r="B144" s="39"/>
      <c r="C144" s="39"/>
      <c r="D144" s="39"/>
      <c r="E144" s="45"/>
      <c r="F144" s="45"/>
      <c r="G144" s="39"/>
      <c r="H144" s="45"/>
      <c r="I144" s="45"/>
      <c r="J144" s="45"/>
      <c r="K144" s="39"/>
      <c r="L144" s="3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</row>
    <row r="145" ht="12.75" customHeight="1">
      <c r="A145" s="39"/>
      <c r="B145" s="39"/>
      <c r="C145" s="39"/>
      <c r="D145" s="39"/>
      <c r="E145" s="45"/>
      <c r="F145" s="45"/>
      <c r="G145" s="39"/>
      <c r="H145" s="45"/>
      <c r="I145" s="45"/>
      <c r="J145" s="45"/>
      <c r="K145" s="39"/>
      <c r="L145" s="3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</row>
    <row r="146" ht="12.75" customHeight="1">
      <c r="A146" s="39"/>
      <c r="B146" s="39"/>
      <c r="C146" s="39"/>
      <c r="D146" s="39"/>
      <c r="E146" s="45"/>
      <c r="F146" s="45"/>
      <c r="G146" s="39"/>
      <c r="H146" s="45"/>
      <c r="I146" s="45"/>
      <c r="J146" s="45"/>
      <c r="K146" s="39"/>
      <c r="L146" s="3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</row>
    <row r="147" ht="12.75" customHeight="1">
      <c r="A147" s="39"/>
      <c r="B147" s="39"/>
      <c r="C147" s="39"/>
      <c r="D147" s="39"/>
      <c r="E147" s="45"/>
      <c r="F147" s="45"/>
      <c r="G147" s="39"/>
      <c r="H147" s="45"/>
      <c r="I147" s="45"/>
      <c r="J147" s="45"/>
      <c r="K147" s="39"/>
      <c r="L147" s="3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</row>
    <row r="148" ht="12.75" customHeight="1">
      <c r="A148" s="39"/>
      <c r="B148" s="39"/>
      <c r="C148" s="39"/>
      <c r="D148" s="39"/>
      <c r="E148" s="45"/>
      <c r="F148" s="45"/>
      <c r="G148" s="39"/>
      <c r="H148" s="45"/>
      <c r="I148" s="45"/>
      <c r="J148" s="45"/>
      <c r="K148" s="39"/>
      <c r="L148" s="3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</row>
    <row r="149" ht="12.75" customHeight="1">
      <c r="A149" s="39"/>
      <c r="B149" s="39"/>
      <c r="C149" s="39"/>
      <c r="D149" s="39"/>
      <c r="E149" s="45"/>
      <c r="F149" s="45"/>
      <c r="G149" s="39"/>
      <c r="H149" s="45"/>
      <c r="I149" s="45"/>
      <c r="J149" s="45"/>
      <c r="K149" s="39"/>
      <c r="L149" s="3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</row>
    <row r="150" ht="12.75" customHeight="1">
      <c r="A150" s="39"/>
      <c r="B150" s="39"/>
      <c r="C150" s="39"/>
      <c r="D150" s="39"/>
      <c r="E150" s="45"/>
      <c r="F150" s="45"/>
      <c r="G150" s="39"/>
      <c r="H150" s="45"/>
      <c r="I150" s="45"/>
      <c r="J150" s="45"/>
      <c r="K150" s="39"/>
      <c r="L150" s="3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</row>
    <row r="151" ht="12.75" customHeight="1">
      <c r="A151" s="39"/>
      <c r="B151" s="39"/>
      <c r="C151" s="39"/>
      <c r="D151" s="39"/>
      <c r="E151" s="45"/>
      <c r="F151" s="45"/>
      <c r="G151" s="39"/>
      <c r="H151" s="45"/>
      <c r="I151" s="45"/>
      <c r="J151" s="45"/>
      <c r="K151" s="39"/>
      <c r="L151" s="3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</row>
    <row r="152" ht="12.75" customHeight="1">
      <c r="A152" s="39"/>
      <c r="B152" s="39"/>
      <c r="C152" s="39"/>
      <c r="D152" s="39"/>
      <c r="E152" s="45"/>
      <c r="F152" s="45"/>
      <c r="G152" s="39"/>
      <c r="H152" s="45"/>
      <c r="I152" s="45"/>
      <c r="J152" s="45"/>
      <c r="K152" s="39"/>
      <c r="L152" s="3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</row>
    <row r="153" ht="12.75" customHeight="1">
      <c r="A153" s="39"/>
      <c r="B153" s="39"/>
      <c r="C153" s="39"/>
      <c r="D153" s="39"/>
      <c r="E153" s="45"/>
      <c r="F153" s="45"/>
      <c r="G153" s="39"/>
      <c r="H153" s="45"/>
      <c r="I153" s="45"/>
      <c r="J153" s="45"/>
      <c r="K153" s="39"/>
      <c r="L153" s="3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</row>
    <row r="154" ht="12.75" customHeight="1">
      <c r="A154" s="39"/>
      <c r="B154" s="39"/>
      <c r="C154" s="39"/>
      <c r="D154" s="39"/>
      <c r="E154" s="45"/>
      <c r="F154" s="45"/>
      <c r="G154" s="39"/>
      <c r="H154" s="45"/>
      <c r="I154" s="45"/>
      <c r="J154" s="45"/>
      <c r="K154" s="39"/>
      <c r="L154" s="3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</row>
    <row r="155" ht="12.75" customHeight="1">
      <c r="A155" s="39"/>
      <c r="B155" s="39"/>
      <c r="C155" s="39"/>
      <c r="D155" s="39"/>
      <c r="E155" s="45"/>
      <c r="F155" s="45"/>
      <c r="G155" s="39"/>
      <c r="H155" s="45"/>
      <c r="I155" s="45"/>
      <c r="J155" s="45"/>
      <c r="K155" s="39"/>
      <c r="L155" s="3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</row>
    <row r="156" ht="12.75" customHeight="1">
      <c r="A156" s="39"/>
      <c r="B156" s="39"/>
      <c r="C156" s="39"/>
      <c r="D156" s="39"/>
      <c r="E156" s="45"/>
      <c r="F156" s="45"/>
      <c r="G156" s="39"/>
      <c r="H156" s="45"/>
      <c r="I156" s="45"/>
      <c r="J156" s="45"/>
      <c r="K156" s="39"/>
      <c r="L156" s="3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</row>
    <row r="157" ht="12.75" customHeight="1">
      <c r="A157" s="39"/>
      <c r="B157" s="39"/>
      <c r="C157" s="39"/>
      <c r="D157" s="39"/>
      <c r="E157" s="45"/>
      <c r="F157" s="45"/>
      <c r="G157" s="39"/>
      <c r="H157" s="45"/>
      <c r="I157" s="45"/>
      <c r="J157" s="45"/>
      <c r="K157" s="39"/>
      <c r="L157" s="3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</row>
    <row r="158" ht="12.75" customHeight="1">
      <c r="A158" s="39"/>
      <c r="B158" s="39"/>
      <c r="C158" s="39"/>
      <c r="D158" s="39"/>
      <c r="E158" s="45"/>
      <c r="F158" s="45"/>
      <c r="G158" s="39"/>
      <c r="H158" s="45"/>
      <c r="I158" s="45"/>
      <c r="J158" s="45"/>
      <c r="K158" s="39"/>
      <c r="L158" s="3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</row>
    <row r="159" ht="12.75" customHeight="1">
      <c r="A159" s="39"/>
      <c r="B159" s="39"/>
      <c r="C159" s="39"/>
      <c r="D159" s="39"/>
      <c r="E159" s="45"/>
      <c r="F159" s="45"/>
      <c r="G159" s="39"/>
      <c r="H159" s="45"/>
      <c r="I159" s="45"/>
      <c r="J159" s="45"/>
      <c r="K159" s="39"/>
      <c r="L159" s="3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</row>
    <row r="160" ht="12.75" customHeight="1">
      <c r="A160" s="39"/>
      <c r="B160" s="39"/>
      <c r="C160" s="39"/>
      <c r="D160" s="39"/>
      <c r="E160" s="45"/>
      <c r="F160" s="45"/>
      <c r="G160" s="39"/>
      <c r="H160" s="45"/>
      <c r="I160" s="45"/>
      <c r="J160" s="45"/>
      <c r="K160" s="39"/>
      <c r="L160" s="3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</row>
    <row r="161" ht="12.75" customHeight="1">
      <c r="A161" s="39"/>
      <c r="B161" s="39"/>
      <c r="C161" s="39"/>
      <c r="D161" s="39"/>
      <c r="E161" s="45"/>
      <c r="F161" s="45"/>
      <c r="G161" s="39"/>
      <c r="H161" s="45"/>
      <c r="I161" s="45"/>
      <c r="J161" s="45"/>
      <c r="K161" s="39"/>
      <c r="L161" s="3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</row>
    <row r="162" ht="12.75" customHeight="1">
      <c r="A162" s="39"/>
      <c r="B162" s="39"/>
      <c r="C162" s="39"/>
      <c r="D162" s="39"/>
      <c r="E162" s="45"/>
      <c r="F162" s="45"/>
      <c r="G162" s="39"/>
      <c r="H162" s="45"/>
      <c r="I162" s="45"/>
      <c r="J162" s="45"/>
      <c r="K162" s="39"/>
      <c r="L162" s="3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</row>
    <row r="163" ht="12.75" customHeight="1">
      <c r="A163" s="39"/>
      <c r="B163" s="39"/>
      <c r="C163" s="39"/>
      <c r="D163" s="39"/>
      <c r="E163" s="45"/>
      <c r="F163" s="45"/>
      <c r="G163" s="39"/>
      <c r="H163" s="45"/>
      <c r="I163" s="45"/>
      <c r="J163" s="45"/>
      <c r="K163" s="39"/>
      <c r="L163" s="3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</row>
    <row r="164" ht="12.75" customHeight="1">
      <c r="A164" s="39"/>
      <c r="B164" s="39"/>
      <c r="C164" s="39"/>
      <c r="D164" s="39"/>
      <c r="E164" s="45"/>
      <c r="F164" s="45"/>
      <c r="G164" s="39"/>
      <c r="H164" s="45"/>
      <c r="I164" s="45"/>
      <c r="J164" s="45"/>
      <c r="K164" s="39"/>
      <c r="L164" s="3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</row>
    <row r="165" ht="12.75" customHeight="1">
      <c r="A165" s="39"/>
      <c r="B165" s="39"/>
      <c r="C165" s="39"/>
      <c r="D165" s="39"/>
      <c r="E165" s="45"/>
      <c r="F165" s="45"/>
      <c r="G165" s="39"/>
      <c r="H165" s="45"/>
      <c r="I165" s="45"/>
      <c r="J165" s="45"/>
      <c r="K165" s="39"/>
      <c r="L165" s="3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</row>
    <row r="166" ht="12.75" customHeight="1">
      <c r="A166" s="39"/>
      <c r="B166" s="39"/>
      <c r="C166" s="39"/>
      <c r="D166" s="39"/>
      <c r="E166" s="45"/>
      <c r="F166" s="45"/>
      <c r="G166" s="39"/>
      <c r="H166" s="45"/>
      <c r="I166" s="45"/>
      <c r="J166" s="45"/>
      <c r="K166" s="39"/>
      <c r="L166" s="3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</row>
    <row r="167" ht="12.75" customHeight="1">
      <c r="A167" s="39"/>
      <c r="B167" s="39"/>
      <c r="C167" s="39"/>
      <c r="D167" s="39"/>
      <c r="E167" s="45"/>
      <c r="F167" s="45"/>
      <c r="G167" s="39"/>
      <c r="H167" s="45"/>
      <c r="I167" s="45"/>
      <c r="J167" s="45"/>
      <c r="K167" s="39"/>
      <c r="L167" s="3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</row>
    <row r="168" ht="12.75" customHeight="1">
      <c r="A168" s="39"/>
      <c r="B168" s="39"/>
      <c r="C168" s="39"/>
      <c r="D168" s="39"/>
      <c r="E168" s="45"/>
      <c r="F168" s="45"/>
      <c r="G168" s="39"/>
      <c r="H168" s="45"/>
      <c r="I168" s="45"/>
      <c r="J168" s="45"/>
      <c r="K168" s="39"/>
      <c r="L168" s="3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</row>
    <row r="169" ht="12.75" customHeight="1">
      <c r="A169" s="39"/>
      <c r="B169" s="39"/>
      <c r="C169" s="39"/>
      <c r="D169" s="39"/>
      <c r="E169" s="45"/>
      <c r="F169" s="45"/>
      <c r="G169" s="39"/>
      <c r="H169" s="45"/>
      <c r="I169" s="45"/>
      <c r="J169" s="45"/>
      <c r="K169" s="39"/>
      <c r="L169" s="3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</row>
    <row r="170" ht="12.75" customHeight="1">
      <c r="A170" s="39"/>
      <c r="B170" s="39"/>
      <c r="C170" s="39"/>
      <c r="D170" s="39"/>
      <c r="E170" s="45"/>
      <c r="F170" s="45"/>
      <c r="G170" s="39"/>
      <c r="H170" s="45"/>
      <c r="I170" s="45"/>
      <c r="J170" s="45"/>
      <c r="K170" s="39"/>
      <c r="L170" s="3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</row>
    <row r="171" ht="12.75" customHeight="1">
      <c r="A171" s="39"/>
      <c r="B171" s="39"/>
      <c r="C171" s="39"/>
      <c r="D171" s="39"/>
      <c r="E171" s="45"/>
      <c r="F171" s="45"/>
      <c r="G171" s="39"/>
      <c r="H171" s="45"/>
      <c r="I171" s="45"/>
      <c r="J171" s="45"/>
      <c r="K171" s="39"/>
      <c r="L171" s="3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</row>
    <row r="172" ht="12.75" customHeight="1">
      <c r="A172" s="39"/>
      <c r="B172" s="39"/>
      <c r="C172" s="39"/>
      <c r="D172" s="39"/>
      <c r="E172" s="45"/>
      <c r="F172" s="45"/>
      <c r="G172" s="39"/>
      <c r="H172" s="45"/>
      <c r="I172" s="45"/>
      <c r="J172" s="45"/>
      <c r="K172" s="39"/>
      <c r="L172" s="3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</row>
    <row r="173" ht="12.75" customHeight="1">
      <c r="A173" s="39"/>
      <c r="B173" s="39"/>
      <c r="C173" s="39"/>
      <c r="D173" s="39"/>
      <c r="E173" s="45"/>
      <c r="F173" s="45"/>
      <c r="G173" s="39"/>
      <c r="H173" s="45"/>
      <c r="I173" s="45"/>
      <c r="J173" s="45"/>
      <c r="K173" s="39"/>
      <c r="L173" s="3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</row>
    <row r="174" ht="12.75" customHeight="1">
      <c r="A174" s="39"/>
      <c r="B174" s="39"/>
      <c r="C174" s="39"/>
      <c r="D174" s="39"/>
      <c r="E174" s="45"/>
      <c r="F174" s="45"/>
      <c r="G174" s="39"/>
      <c r="H174" s="45"/>
      <c r="I174" s="45"/>
      <c r="J174" s="45"/>
      <c r="K174" s="39"/>
      <c r="L174" s="3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</row>
    <row r="175" ht="12.75" customHeight="1">
      <c r="A175" s="39"/>
      <c r="B175" s="39"/>
      <c r="C175" s="39"/>
      <c r="D175" s="39"/>
      <c r="E175" s="45"/>
      <c r="F175" s="45"/>
      <c r="G175" s="39"/>
      <c r="H175" s="45"/>
      <c r="I175" s="45"/>
      <c r="J175" s="45"/>
      <c r="K175" s="39"/>
      <c r="L175" s="3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</row>
    <row r="176" ht="12.75" customHeight="1">
      <c r="A176" s="39"/>
      <c r="B176" s="39"/>
      <c r="C176" s="39"/>
      <c r="D176" s="39"/>
      <c r="E176" s="45"/>
      <c r="F176" s="45"/>
      <c r="G176" s="39"/>
      <c r="H176" s="45"/>
      <c r="I176" s="45"/>
      <c r="J176" s="45"/>
      <c r="K176" s="39"/>
      <c r="L176" s="3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</row>
    <row r="177" ht="12.75" customHeight="1">
      <c r="A177" s="39"/>
      <c r="B177" s="39"/>
      <c r="C177" s="39"/>
      <c r="D177" s="39"/>
      <c r="E177" s="45"/>
      <c r="F177" s="45"/>
      <c r="G177" s="39"/>
      <c r="H177" s="45"/>
      <c r="I177" s="45"/>
      <c r="J177" s="45"/>
      <c r="K177" s="39"/>
      <c r="L177" s="3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</row>
    <row r="178" ht="12.75" customHeight="1">
      <c r="A178" s="39"/>
      <c r="B178" s="39"/>
      <c r="C178" s="39"/>
      <c r="D178" s="39"/>
      <c r="E178" s="45"/>
      <c r="F178" s="45"/>
      <c r="G178" s="39"/>
      <c r="H178" s="45"/>
      <c r="I178" s="45"/>
      <c r="J178" s="45"/>
      <c r="K178" s="39"/>
      <c r="L178" s="3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</row>
    <row r="179" ht="12.75" customHeight="1">
      <c r="A179" s="39"/>
      <c r="B179" s="39"/>
      <c r="C179" s="39"/>
      <c r="D179" s="39"/>
      <c r="E179" s="45"/>
      <c r="F179" s="45"/>
      <c r="G179" s="39"/>
      <c r="H179" s="45"/>
      <c r="I179" s="45"/>
      <c r="J179" s="45"/>
      <c r="K179" s="39"/>
      <c r="L179" s="3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</row>
    <row r="180" ht="12.75" customHeight="1">
      <c r="A180" s="39"/>
      <c r="B180" s="39"/>
      <c r="C180" s="39"/>
      <c r="D180" s="39"/>
      <c r="E180" s="45"/>
      <c r="F180" s="45"/>
      <c r="G180" s="39"/>
      <c r="H180" s="45"/>
      <c r="I180" s="45"/>
      <c r="J180" s="45"/>
      <c r="K180" s="39"/>
      <c r="L180" s="3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</row>
    <row r="181" ht="12.75" customHeight="1">
      <c r="A181" s="39"/>
      <c r="B181" s="39"/>
      <c r="C181" s="39"/>
      <c r="D181" s="39"/>
      <c r="E181" s="45"/>
      <c r="F181" s="45"/>
      <c r="G181" s="39"/>
      <c r="H181" s="45"/>
      <c r="I181" s="45"/>
      <c r="J181" s="45"/>
      <c r="K181" s="39"/>
      <c r="L181" s="3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</row>
    <row r="182" ht="12.75" customHeight="1">
      <c r="A182" s="39"/>
      <c r="B182" s="39"/>
      <c r="C182" s="39"/>
      <c r="D182" s="39"/>
      <c r="E182" s="45"/>
      <c r="F182" s="45"/>
      <c r="G182" s="39"/>
      <c r="H182" s="45"/>
      <c r="I182" s="45"/>
      <c r="J182" s="45"/>
      <c r="K182" s="39"/>
      <c r="L182" s="3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</row>
    <row r="183" ht="12.75" customHeight="1">
      <c r="A183" s="39"/>
      <c r="B183" s="39"/>
      <c r="C183" s="39"/>
      <c r="D183" s="39"/>
      <c r="E183" s="45"/>
      <c r="F183" s="45"/>
      <c r="G183" s="39"/>
      <c r="H183" s="45"/>
      <c r="I183" s="45"/>
      <c r="J183" s="45"/>
      <c r="K183" s="39"/>
      <c r="L183" s="3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</row>
    <row r="184" ht="12.75" customHeight="1">
      <c r="A184" s="39"/>
      <c r="B184" s="39"/>
      <c r="C184" s="39"/>
      <c r="D184" s="39"/>
      <c r="E184" s="45"/>
      <c r="F184" s="45"/>
      <c r="G184" s="39"/>
      <c r="H184" s="45"/>
      <c r="I184" s="45"/>
      <c r="J184" s="45"/>
      <c r="K184" s="39"/>
      <c r="L184" s="3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</row>
    <row r="185" ht="12.75" customHeight="1">
      <c r="A185" s="39"/>
      <c r="B185" s="39"/>
      <c r="C185" s="39"/>
      <c r="D185" s="39"/>
      <c r="E185" s="45"/>
      <c r="F185" s="45"/>
      <c r="G185" s="39"/>
      <c r="H185" s="45"/>
      <c r="I185" s="45"/>
      <c r="J185" s="45"/>
      <c r="K185" s="39"/>
      <c r="L185" s="3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</row>
    <row r="186" ht="12.75" customHeight="1">
      <c r="A186" s="39"/>
      <c r="B186" s="39"/>
      <c r="C186" s="39"/>
      <c r="D186" s="39"/>
      <c r="E186" s="45"/>
      <c r="F186" s="45"/>
      <c r="G186" s="39"/>
      <c r="H186" s="45"/>
      <c r="I186" s="45"/>
      <c r="J186" s="45"/>
      <c r="K186" s="39"/>
      <c r="L186" s="3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</row>
    <row r="187" ht="12.75" customHeight="1">
      <c r="A187" s="39"/>
      <c r="B187" s="39"/>
      <c r="C187" s="39"/>
      <c r="D187" s="39"/>
      <c r="E187" s="45"/>
      <c r="F187" s="45"/>
      <c r="G187" s="39"/>
      <c r="H187" s="45"/>
      <c r="I187" s="45"/>
      <c r="J187" s="45"/>
      <c r="K187" s="39"/>
      <c r="L187" s="3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</row>
    <row r="188" ht="12.75" customHeight="1">
      <c r="A188" s="39"/>
      <c r="B188" s="39"/>
      <c r="C188" s="39"/>
      <c r="D188" s="39"/>
      <c r="E188" s="45"/>
      <c r="F188" s="45"/>
      <c r="G188" s="39"/>
      <c r="H188" s="45"/>
      <c r="I188" s="45"/>
      <c r="J188" s="45"/>
      <c r="K188" s="39"/>
      <c r="L188" s="3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</row>
    <row r="189" ht="12.75" customHeight="1">
      <c r="A189" s="39"/>
      <c r="B189" s="39"/>
      <c r="C189" s="39"/>
      <c r="D189" s="39"/>
      <c r="E189" s="45"/>
      <c r="F189" s="45"/>
      <c r="G189" s="39"/>
      <c r="H189" s="45"/>
      <c r="I189" s="45"/>
      <c r="J189" s="45"/>
      <c r="K189" s="39"/>
      <c r="L189" s="3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</row>
    <row r="190" ht="12.75" customHeight="1">
      <c r="A190" s="39"/>
      <c r="B190" s="39"/>
      <c r="C190" s="39"/>
      <c r="D190" s="39"/>
      <c r="E190" s="45"/>
      <c r="F190" s="45"/>
      <c r="G190" s="39"/>
      <c r="H190" s="45"/>
      <c r="I190" s="45"/>
      <c r="J190" s="45"/>
      <c r="K190" s="39"/>
      <c r="L190" s="3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</row>
    <row r="191" ht="12.75" customHeight="1">
      <c r="A191" s="39"/>
      <c r="B191" s="39"/>
      <c r="C191" s="39"/>
      <c r="D191" s="39"/>
      <c r="E191" s="45"/>
      <c r="F191" s="45"/>
      <c r="G191" s="39"/>
      <c r="H191" s="45"/>
      <c r="I191" s="45"/>
      <c r="J191" s="45"/>
      <c r="K191" s="39"/>
      <c r="L191" s="3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</row>
    <row r="192" ht="12.75" customHeight="1">
      <c r="A192" s="39"/>
      <c r="B192" s="39"/>
      <c r="C192" s="39"/>
      <c r="D192" s="39"/>
      <c r="E192" s="45"/>
      <c r="F192" s="45"/>
      <c r="G192" s="39"/>
      <c r="H192" s="45"/>
      <c r="I192" s="45"/>
      <c r="J192" s="45"/>
      <c r="K192" s="39"/>
      <c r="L192" s="3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</row>
    <row r="193" ht="12.75" customHeight="1">
      <c r="A193" s="39"/>
      <c r="B193" s="39"/>
      <c r="C193" s="39"/>
      <c r="D193" s="39"/>
      <c r="E193" s="45"/>
      <c r="F193" s="45"/>
      <c r="G193" s="39"/>
      <c r="H193" s="45"/>
      <c r="I193" s="45"/>
      <c r="J193" s="45"/>
      <c r="K193" s="39"/>
      <c r="L193" s="3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</row>
    <row r="194" ht="12.75" customHeight="1">
      <c r="A194" s="39"/>
      <c r="B194" s="39"/>
      <c r="C194" s="39"/>
      <c r="D194" s="39"/>
      <c r="E194" s="45"/>
      <c r="F194" s="45"/>
      <c r="G194" s="39"/>
      <c r="H194" s="45"/>
      <c r="I194" s="45"/>
      <c r="J194" s="45"/>
      <c r="K194" s="39"/>
      <c r="L194" s="3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</row>
    <row r="195" ht="12.75" customHeight="1">
      <c r="A195" s="39"/>
      <c r="B195" s="39"/>
      <c r="C195" s="39"/>
      <c r="D195" s="39"/>
      <c r="E195" s="45"/>
      <c r="F195" s="45"/>
      <c r="G195" s="39"/>
      <c r="H195" s="45"/>
      <c r="I195" s="45"/>
      <c r="J195" s="45"/>
      <c r="K195" s="39"/>
      <c r="L195" s="3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</row>
    <row r="196" ht="12.75" customHeight="1">
      <c r="A196" s="39"/>
      <c r="B196" s="39"/>
      <c r="C196" s="39"/>
      <c r="D196" s="39"/>
      <c r="E196" s="45"/>
      <c r="F196" s="45"/>
      <c r="G196" s="39"/>
      <c r="H196" s="45"/>
      <c r="I196" s="45"/>
      <c r="J196" s="45"/>
      <c r="K196" s="39"/>
      <c r="L196" s="3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</row>
    <row r="197" ht="12.75" customHeight="1">
      <c r="A197" s="39"/>
      <c r="B197" s="39"/>
      <c r="C197" s="39"/>
      <c r="D197" s="39"/>
      <c r="E197" s="45"/>
      <c r="F197" s="45"/>
      <c r="G197" s="39"/>
      <c r="H197" s="45"/>
      <c r="I197" s="45"/>
      <c r="J197" s="45"/>
      <c r="K197" s="39"/>
      <c r="L197" s="3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</row>
    <row r="198" ht="12.75" customHeight="1">
      <c r="A198" s="39"/>
      <c r="B198" s="39"/>
      <c r="C198" s="39"/>
      <c r="D198" s="39"/>
      <c r="E198" s="45"/>
      <c r="F198" s="45"/>
      <c r="G198" s="39"/>
      <c r="H198" s="45"/>
      <c r="I198" s="45"/>
      <c r="J198" s="45"/>
      <c r="K198" s="39"/>
      <c r="L198" s="3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</row>
    <row r="199" ht="12.75" customHeight="1">
      <c r="A199" s="39"/>
      <c r="B199" s="39"/>
      <c r="C199" s="39"/>
      <c r="D199" s="39"/>
      <c r="E199" s="45"/>
      <c r="F199" s="45"/>
      <c r="G199" s="39"/>
      <c r="H199" s="45"/>
      <c r="I199" s="45"/>
      <c r="J199" s="45"/>
      <c r="K199" s="39"/>
      <c r="L199" s="3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</row>
    <row r="200" ht="12.75" customHeight="1">
      <c r="A200" s="39"/>
      <c r="B200" s="39"/>
      <c r="C200" s="39"/>
      <c r="D200" s="39"/>
      <c r="E200" s="45"/>
      <c r="F200" s="45"/>
      <c r="G200" s="39"/>
      <c r="H200" s="45"/>
      <c r="I200" s="45"/>
      <c r="J200" s="45"/>
      <c r="K200" s="39"/>
      <c r="L200" s="3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</row>
    <row r="201" ht="12.75" customHeight="1">
      <c r="A201" s="39"/>
      <c r="B201" s="39"/>
      <c r="C201" s="39"/>
      <c r="D201" s="39"/>
      <c r="E201" s="45"/>
      <c r="F201" s="45"/>
      <c r="G201" s="39"/>
      <c r="H201" s="45"/>
      <c r="I201" s="45"/>
      <c r="J201" s="45"/>
      <c r="K201" s="39"/>
      <c r="L201" s="3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</row>
    <row r="202" ht="12.75" customHeight="1">
      <c r="A202" s="39"/>
      <c r="B202" s="39"/>
      <c r="C202" s="39"/>
      <c r="D202" s="39"/>
      <c r="E202" s="45"/>
      <c r="F202" s="45"/>
      <c r="G202" s="39"/>
      <c r="H202" s="45"/>
      <c r="I202" s="45"/>
      <c r="J202" s="45"/>
      <c r="K202" s="39"/>
      <c r="L202" s="3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</row>
    <row r="203" ht="12.75" customHeight="1">
      <c r="A203" s="39"/>
      <c r="B203" s="39"/>
      <c r="C203" s="39"/>
      <c r="D203" s="39"/>
      <c r="E203" s="45"/>
      <c r="F203" s="45"/>
      <c r="G203" s="39"/>
      <c r="H203" s="45"/>
      <c r="I203" s="45"/>
      <c r="J203" s="45"/>
      <c r="K203" s="39"/>
      <c r="L203" s="3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</row>
    <row r="204" ht="12.75" customHeight="1">
      <c r="A204" s="39"/>
      <c r="B204" s="39"/>
      <c r="C204" s="39"/>
      <c r="D204" s="39"/>
      <c r="E204" s="45"/>
      <c r="F204" s="45"/>
      <c r="G204" s="39"/>
      <c r="H204" s="45"/>
      <c r="I204" s="45"/>
      <c r="J204" s="45"/>
      <c r="K204" s="39"/>
      <c r="L204" s="3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</row>
    <row r="205" ht="12.75" customHeight="1">
      <c r="A205" s="39"/>
      <c r="B205" s="39"/>
      <c r="C205" s="39"/>
      <c r="D205" s="39"/>
      <c r="E205" s="45"/>
      <c r="F205" s="45"/>
      <c r="G205" s="39"/>
      <c r="H205" s="45"/>
      <c r="I205" s="45"/>
      <c r="J205" s="45"/>
      <c r="K205" s="39"/>
      <c r="L205" s="3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</row>
    <row r="206" ht="12.75" customHeight="1">
      <c r="A206" s="39"/>
      <c r="B206" s="39"/>
      <c r="C206" s="39"/>
      <c r="D206" s="39"/>
      <c r="E206" s="45"/>
      <c r="F206" s="45"/>
      <c r="G206" s="39"/>
      <c r="H206" s="45"/>
      <c r="I206" s="45"/>
      <c r="J206" s="45"/>
      <c r="K206" s="39"/>
      <c r="L206" s="3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</row>
    <row r="207" ht="12.75" customHeight="1">
      <c r="A207" s="39"/>
      <c r="B207" s="39"/>
      <c r="C207" s="39"/>
      <c r="D207" s="39"/>
      <c r="E207" s="45"/>
      <c r="F207" s="45"/>
      <c r="G207" s="39"/>
      <c r="H207" s="45"/>
      <c r="I207" s="45"/>
      <c r="J207" s="45"/>
      <c r="K207" s="39"/>
      <c r="L207" s="3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</row>
    <row r="208" ht="12.75" customHeight="1">
      <c r="A208" s="39"/>
      <c r="B208" s="39"/>
      <c r="C208" s="39"/>
      <c r="D208" s="39"/>
      <c r="E208" s="45"/>
      <c r="F208" s="45"/>
      <c r="G208" s="39"/>
      <c r="H208" s="45"/>
      <c r="I208" s="45"/>
      <c r="J208" s="45"/>
      <c r="K208" s="39"/>
      <c r="L208" s="3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</row>
    <row r="209" ht="12.75" customHeight="1">
      <c r="A209" s="39"/>
      <c r="B209" s="39"/>
      <c r="C209" s="39"/>
      <c r="D209" s="39"/>
      <c r="E209" s="45"/>
      <c r="F209" s="45"/>
      <c r="G209" s="39"/>
      <c r="H209" s="45"/>
      <c r="I209" s="45"/>
      <c r="J209" s="45"/>
      <c r="K209" s="39"/>
      <c r="L209" s="3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</row>
    <row r="210" ht="12.75" customHeight="1">
      <c r="A210" s="39"/>
      <c r="B210" s="39"/>
      <c r="C210" s="39"/>
      <c r="D210" s="39"/>
      <c r="E210" s="45"/>
      <c r="F210" s="45"/>
      <c r="G210" s="39"/>
      <c r="H210" s="45"/>
      <c r="I210" s="45"/>
      <c r="J210" s="45"/>
      <c r="K210" s="39"/>
      <c r="L210" s="3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</row>
    <row r="211" ht="12.75" customHeight="1">
      <c r="A211" s="39"/>
      <c r="B211" s="39"/>
      <c r="C211" s="39"/>
      <c r="D211" s="39"/>
      <c r="E211" s="45"/>
      <c r="F211" s="45"/>
      <c r="G211" s="39"/>
      <c r="H211" s="45"/>
      <c r="I211" s="45"/>
      <c r="J211" s="45"/>
      <c r="K211" s="39"/>
      <c r="L211" s="3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</row>
    <row r="212" ht="12.75" customHeight="1">
      <c r="A212" s="39"/>
      <c r="B212" s="39"/>
      <c r="C212" s="39"/>
      <c r="D212" s="39"/>
      <c r="E212" s="45"/>
      <c r="F212" s="45"/>
      <c r="G212" s="39"/>
      <c r="H212" s="45"/>
      <c r="I212" s="45"/>
      <c r="J212" s="45"/>
      <c r="K212" s="39"/>
      <c r="L212" s="3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</row>
    <row r="213" ht="12.75" customHeight="1">
      <c r="A213" s="39"/>
      <c r="B213" s="39"/>
      <c r="C213" s="39"/>
      <c r="D213" s="39"/>
      <c r="E213" s="45"/>
      <c r="F213" s="45"/>
      <c r="G213" s="39"/>
      <c r="H213" s="45"/>
      <c r="I213" s="45"/>
      <c r="J213" s="45"/>
      <c r="K213" s="39"/>
      <c r="L213" s="3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</row>
    <row r="214" ht="12.75" customHeight="1">
      <c r="A214" s="39"/>
      <c r="B214" s="39"/>
      <c r="C214" s="39"/>
      <c r="D214" s="39"/>
      <c r="E214" s="45"/>
      <c r="F214" s="45"/>
      <c r="G214" s="39"/>
      <c r="H214" s="45"/>
      <c r="I214" s="45"/>
      <c r="J214" s="45"/>
      <c r="K214" s="39"/>
      <c r="L214" s="3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</row>
    <row r="215" ht="12.75" customHeight="1">
      <c r="A215" s="39"/>
      <c r="B215" s="39"/>
      <c r="C215" s="39"/>
      <c r="D215" s="39"/>
      <c r="E215" s="45"/>
      <c r="F215" s="45"/>
      <c r="G215" s="39"/>
      <c r="H215" s="45"/>
      <c r="I215" s="45"/>
      <c r="J215" s="45"/>
      <c r="K215" s="39"/>
      <c r="L215" s="3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</row>
    <row r="216" ht="12.75" customHeight="1">
      <c r="A216" s="39"/>
      <c r="B216" s="39"/>
      <c r="C216" s="39"/>
      <c r="D216" s="39"/>
      <c r="E216" s="45"/>
      <c r="F216" s="45"/>
      <c r="G216" s="39"/>
      <c r="H216" s="45"/>
      <c r="I216" s="45"/>
      <c r="J216" s="45"/>
      <c r="K216" s="39"/>
      <c r="L216" s="3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</row>
    <row r="217" ht="12.75" customHeight="1">
      <c r="A217" s="39"/>
      <c r="B217" s="39"/>
      <c r="C217" s="39"/>
      <c r="D217" s="39"/>
      <c r="E217" s="45"/>
      <c r="F217" s="45"/>
      <c r="G217" s="39"/>
      <c r="H217" s="45"/>
      <c r="I217" s="45"/>
      <c r="J217" s="45"/>
      <c r="K217" s="39"/>
      <c r="L217" s="39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</row>
    <row r="218" ht="12.75" customHeight="1">
      <c r="A218" s="39"/>
      <c r="B218" s="39"/>
      <c r="C218" s="39"/>
      <c r="D218" s="39"/>
      <c r="E218" s="45"/>
      <c r="F218" s="45"/>
      <c r="G218" s="39"/>
      <c r="H218" s="45"/>
      <c r="I218" s="45"/>
      <c r="J218" s="45"/>
      <c r="K218" s="39"/>
      <c r="L218" s="39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</row>
    <row r="219" ht="12.75" customHeight="1">
      <c r="A219" s="39"/>
      <c r="B219" s="39"/>
      <c r="C219" s="39"/>
      <c r="D219" s="39"/>
      <c r="E219" s="45"/>
      <c r="F219" s="45"/>
      <c r="G219" s="39"/>
      <c r="H219" s="45"/>
      <c r="I219" s="45"/>
      <c r="J219" s="45"/>
      <c r="K219" s="39"/>
      <c r="L219" s="39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</row>
    <row r="220" ht="12.75" customHeight="1">
      <c r="A220" s="39"/>
      <c r="B220" s="39"/>
      <c r="C220" s="39"/>
      <c r="D220" s="39"/>
      <c r="E220" s="45"/>
      <c r="F220" s="45"/>
      <c r="G220" s="39"/>
      <c r="H220" s="45"/>
      <c r="I220" s="45"/>
      <c r="J220" s="45"/>
      <c r="K220" s="39"/>
      <c r="L220" s="39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</row>
    <row r="221" ht="12.75" customHeight="1">
      <c r="A221" s="39"/>
      <c r="B221" s="39"/>
      <c r="C221" s="39"/>
      <c r="D221" s="39"/>
      <c r="E221" s="45"/>
      <c r="F221" s="45"/>
      <c r="G221" s="39"/>
      <c r="H221" s="45"/>
      <c r="I221" s="45"/>
      <c r="J221" s="45"/>
      <c r="K221" s="39"/>
      <c r="L221" s="39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</row>
    <row r="222" ht="12.75" customHeight="1">
      <c r="A222" s="39"/>
      <c r="B222" s="39"/>
      <c r="C222" s="39"/>
      <c r="D222" s="39"/>
      <c r="E222" s="45"/>
      <c r="F222" s="45"/>
      <c r="G222" s="39"/>
      <c r="H222" s="45"/>
      <c r="I222" s="45"/>
      <c r="J222" s="45"/>
      <c r="K222" s="39"/>
      <c r="L222" s="39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</row>
    <row r="223" ht="12.75" customHeight="1">
      <c r="A223" s="39"/>
      <c r="B223" s="39"/>
      <c r="C223" s="39"/>
      <c r="D223" s="39"/>
      <c r="E223" s="45"/>
      <c r="F223" s="45"/>
      <c r="G223" s="39"/>
      <c r="H223" s="45"/>
      <c r="I223" s="45"/>
      <c r="J223" s="45"/>
      <c r="K223" s="39"/>
      <c r="L223" s="39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</row>
    <row r="224" ht="12.75" customHeight="1">
      <c r="A224" s="39"/>
      <c r="B224" s="39"/>
      <c r="C224" s="39"/>
      <c r="D224" s="39"/>
      <c r="E224" s="45"/>
      <c r="F224" s="45"/>
      <c r="G224" s="39"/>
      <c r="H224" s="45"/>
      <c r="I224" s="45"/>
      <c r="J224" s="45"/>
      <c r="K224" s="39"/>
      <c r="L224" s="39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</row>
    <row r="225" ht="12.75" customHeight="1">
      <c r="A225" s="39"/>
      <c r="B225" s="39"/>
      <c r="C225" s="39"/>
      <c r="D225" s="39"/>
      <c r="E225" s="45"/>
      <c r="F225" s="45"/>
      <c r="G225" s="39"/>
      <c r="H225" s="45"/>
      <c r="I225" s="45"/>
      <c r="J225" s="45"/>
      <c r="K225" s="39"/>
      <c r="L225" s="39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</row>
    <row r="226" ht="12.75" customHeight="1">
      <c r="A226" s="39"/>
      <c r="B226" s="39"/>
      <c r="C226" s="39"/>
      <c r="D226" s="39"/>
      <c r="E226" s="45"/>
      <c r="F226" s="45"/>
      <c r="G226" s="39"/>
      <c r="H226" s="45"/>
      <c r="I226" s="45"/>
      <c r="J226" s="45"/>
      <c r="K226" s="39"/>
      <c r="L226" s="39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</row>
    <row r="227" ht="12.75" customHeight="1">
      <c r="A227" s="39"/>
      <c r="B227" s="39"/>
      <c r="C227" s="39"/>
      <c r="D227" s="39"/>
      <c r="E227" s="45"/>
      <c r="F227" s="45"/>
      <c r="G227" s="39"/>
      <c r="H227" s="45"/>
      <c r="I227" s="45"/>
      <c r="J227" s="45"/>
      <c r="K227" s="39"/>
      <c r="L227" s="39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</row>
    <row r="228" ht="12.75" customHeight="1">
      <c r="A228" s="39"/>
      <c r="B228" s="39"/>
      <c r="C228" s="39"/>
      <c r="D228" s="39"/>
      <c r="E228" s="45"/>
      <c r="F228" s="45"/>
      <c r="G228" s="39"/>
      <c r="H228" s="45"/>
      <c r="I228" s="45"/>
      <c r="J228" s="45"/>
      <c r="K228" s="39"/>
      <c r="L228" s="39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</row>
    <row r="229" ht="12.75" customHeight="1">
      <c r="A229" s="39"/>
      <c r="B229" s="39"/>
      <c r="C229" s="39"/>
      <c r="D229" s="39"/>
      <c r="E229" s="45"/>
      <c r="F229" s="45"/>
      <c r="G229" s="39"/>
      <c r="H229" s="45"/>
      <c r="I229" s="45"/>
      <c r="J229" s="45"/>
      <c r="K229" s="39"/>
      <c r="L229" s="39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</row>
    <row r="230" ht="12.75" customHeight="1">
      <c r="A230" s="39"/>
      <c r="B230" s="39"/>
      <c r="C230" s="39"/>
      <c r="D230" s="39"/>
      <c r="E230" s="45"/>
      <c r="F230" s="45"/>
      <c r="G230" s="39"/>
      <c r="H230" s="45"/>
      <c r="I230" s="45"/>
      <c r="J230" s="45"/>
      <c r="K230" s="39"/>
      <c r="L230" s="39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</row>
    <row r="231" ht="12.75" customHeight="1">
      <c r="A231" s="39"/>
      <c r="B231" s="39"/>
      <c r="C231" s="39"/>
      <c r="D231" s="39"/>
      <c r="E231" s="45"/>
      <c r="F231" s="45"/>
      <c r="G231" s="39"/>
      <c r="H231" s="45"/>
      <c r="I231" s="45"/>
      <c r="J231" s="45"/>
      <c r="K231" s="39"/>
      <c r="L231" s="39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</row>
    <row r="232" ht="12.75" customHeight="1">
      <c r="A232" s="39"/>
      <c r="B232" s="39"/>
      <c r="C232" s="39"/>
      <c r="D232" s="39"/>
      <c r="E232" s="45"/>
      <c r="F232" s="45"/>
      <c r="G232" s="39"/>
      <c r="H232" s="45"/>
      <c r="I232" s="45"/>
      <c r="J232" s="45"/>
      <c r="K232" s="39"/>
      <c r="L232" s="39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</row>
    <row r="233" ht="12.75" customHeight="1">
      <c r="A233" s="39"/>
      <c r="B233" s="39"/>
      <c r="C233" s="39"/>
      <c r="D233" s="39"/>
      <c r="E233" s="45"/>
      <c r="F233" s="45"/>
      <c r="G233" s="39"/>
      <c r="H233" s="45"/>
      <c r="I233" s="45"/>
      <c r="J233" s="45"/>
      <c r="K233" s="39"/>
      <c r="L233" s="39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</row>
    <row r="234" ht="12.75" customHeight="1">
      <c r="A234" s="39"/>
      <c r="B234" s="39"/>
      <c r="C234" s="39"/>
      <c r="D234" s="39"/>
      <c r="E234" s="45"/>
      <c r="F234" s="45"/>
      <c r="G234" s="39"/>
      <c r="H234" s="45"/>
      <c r="I234" s="45"/>
      <c r="J234" s="45"/>
      <c r="K234" s="39"/>
      <c r="L234" s="39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</row>
    <row r="235" ht="12.75" customHeight="1">
      <c r="A235" s="39"/>
      <c r="B235" s="39"/>
      <c r="C235" s="39"/>
      <c r="D235" s="39"/>
      <c r="E235" s="45"/>
      <c r="F235" s="45"/>
      <c r="G235" s="39"/>
      <c r="H235" s="45"/>
      <c r="I235" s="45"/>
      <c r="J235" s="45"/>
      <c r="K235" s="39"/>
      <c r="L235" s="39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</row>
    <row r="236" ht="12.75" customHeight="1">
      <c r="A236" s="39"/>
      <c r="B236" s="39"/>
      <c r="C236" s="39"/>
      <c r="D236" s="39"/>
      <c r="E236" s="45"/>
      <c r="F236" s="45"/>
      <c r="G236" s="39"/>
      <c r="H236" s="45"/>
      <c r="I236" s="45"/>
      <c r="J236" s="45"/>
      <c r="K236" s="39"/>
      <c r="L236" s="39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</row>
    <row r="237" ht="12.75" customHeight="1">
      <c r="A237" s="39"/>
      <c r="B237" s="39"/>
      <c r="C237" s="39"/>
      <c r="D237" s="39"/>
      <c r="E237" s="45"/>
      <c r="F237" s="45"/>
      <c r="G237" s="39"/>
      <c r="H237" s="45"/>
      <c r="I237" s="45"/>
      <c r="J237" s="45"/>
      <c r="K237" s="39"/>
      <c r="L237" s="39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</row>
    <row r="238" ht="12.75" customHeight="1">
      <c r="A238" s="39"/>
      <c r="B238" s="39"/>
      <c r="C238" s="39"/>
      <c r="D238" s="39"/>
      <c r="E238" s="45"/>
      <c r="F238" s="45"/>
      <c r="G238" s="39"/>
      <c r="H238" s="45"/>
      <c r="I238" s="45"/>
      <c r="J238" s="45"/>
      <c r="K238" s="39"/>
      <c r="L238" s="39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</row>
    <row r="239" ht="12.75" customHeight="1">
      <c r="A239" s="39"/>
      <c r="B239" s="39"/>
      <c r="C239" s="39"/>
      <c r="D239" s="39"/>
      <c r="E239" s="45"/>
      <c r="F239" s="45"/>
      <c r="G239" s="39"/>
      <c r="H239" s="45"/>
      <c r="I239" s="45"/>
      <c r="J239" s="45"/>
      <c r="K239" s="39"/>
      <c r="L239" s="39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</row>
    <row r="240" ht="12.75" customHeight="1">
      <c r="A240" s="39"/>
      <c r="B240" s="39"/>
      <c r="C240" s="39"/>
      <c r="D240" s="39"/>
      <c r="E240" s="45"/>
      <c r="F240" s="45"/>
      <c r="G240" s="39"/>
      <c r="H240" s="45"/>
      <c r="I240" s="45"/>
      <c r="J240" s="45"/>
      <c r="K240" s="39"/>
      <c r="L240" s="39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</row>
    <row r="241" ht="12.75" customHeight="1">
      <c r="A241" s="39"/>
      <c r="B241" s="39"/>
      <c r="C241" s="39"/>
      <c r="D241" s="39"/>
      <c r="E241" s="45"/>
      <c r="F241" s="45"/>
      <c r="G241" s="39"/>
      <c r="H241" s="45"/>
      <c r="I241" s="45"/>
      <c r="J241" s="45"/>
      <c r="K241" s="39"/>
      <c r="L241" s="39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</row>
    <row r="242" ht="12.75" customHeight="1">
      <c r="A242" s="39"/>
      <c r="B242" s="39"/>
      <c r="C242" s="39"/>
      <c r="D242" s="39"/>
      <c r="E242" s="45"/>
      <c r="F242" s="45"/>
      <c r="G242" s="39"/>
      <c r="H242" s="45"/>
      <c r="I242" s="45"/>
      <c r="J242" s="45"/>
      <c r="K242" s="39"/>
      <c r="L242" s="39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</row>
    <row r="243" ht="12.75" customHeight="1">
      <c r="A243" s="39"/>
      <c r="B243" s="39"/>
      <c r="C243" s="39"/>
      <c r="D243" s="39"/>
      <c r="E243" s="45"/>
      <c r="F243" s="45"/>
      <c r="G243" s="39"/>
      <c r="H243" s="45"/>
      <c r="I243" s="45"/>
      <c r="J243" s="45"/>
      <c r="K243" s="39"/>
      <c r="L243" s="39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</row>
    <row r="244" ht="12.75" customHeight="1">
      <c r="A244" s="39"/>
      <c r="B244" s="39"/>
      <c r="C244" s="39"/>
      <c r="D244" s="39"/>
      <c r="E244" s="45"/>
      <c r="F244" s="45"/>
      <c r="G244" s="39"/>
      <c r="H244" s="45"/>
      <c r="I244" s="45"/>
      <c r="J244" s="45"/>
      <c r="K244" s="39"/>
      <c r="L244" s="39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</row>
    <row r="245" ht="12.75" customHeight="1">
      <c r="A245" s="39"/>
      <c r="B245" s="39"/>
      <c r="C245" s="39"/>
      <c r="D245" s="39"/>
      <c r="E245" s="45"/>
      <c r="F245" s="45"/>
      <c r="G245" s="39"/>
      <c r="H245" s="45"/>
      <c r="I245" s="45"/>
      <c r="J245" s="45"/>
      <c r="K245" s="39"/>
      <c r="L245" s="39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</row>
    <row r="246" ht="12.75" customHeight="1">
      <c r="A246" s="39"/>
      <c r="B246" s="39"/>
      <c r="C246" s="39"/>
      <c r="D246" s="39"/>
      <c r="E246" s="45"/>
      <c r="F246" s="45"/>
      <c r="G246" s="39"/>
      <c r="H246" s="45"/>
      <c r="I246" s="45"/>
      <c r="J246" s="45"/>
      <c r="K246" s="39"/>
      <c r="L246" s="39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</row>
    <row r="247" ht="12.75" customHeight="1">
      <c r="A247" s="39"/>
      <c r="B247" s="39"/>
      <c r="C247" s="39"/>
      <c r="D247" s="39"/>
      <c r="E247" s="45"/>
      <c r="F247" s="45"/>
      <c r="G247" s="39"/>
      <c r="H247" s="45"/>
      <c r="I247" s="45"/>
      <c r="J247" s="45"/>
      <c r="K247" s="39"/>
      <c r="L247" s="39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</row>
    <row r="248" ht="12.75" customHeight="1">
      <c r="A248" s="39"/>
      <c r="B248" s="39"/>
      <c r="C248" s="39"/>
      <c r="D248" s="39"/>
      <c r="E248" s="45"/>
      <c r="F248" s="45"/>
      <c r="G248" s="39"/>
      <c r="H248" s="45"/>
      <c r="I248" s="45"/>
      <c r="J248" s="45"/>
      <c r="K248" s="39"/>
      <c r="L248" s="39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</row>
    <row r="249" ht="12.75" customHeight="1">
      <c r="A249" s="39"/>
      <c r="B249" s="39"/>
      <c r="C249" s="39"/>
      <c r="D249" s="39"/>
      <c r="E249" s="45"/>
      <c r="F249" s="45"/>
      <c r="G249" s="39"/>
      <c r="H249" s="45"/>
      <c r="I249" s="45"/>
      <c r="J249" s="45"/>
      <c r="K249" s="39"/>
      <c r="L249" s="39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</row>
    <row r="250" ht="12.75" customHeight="1">
      <c r="A250" s="39"/>
      <c r="B250" s="39"/>
      <c r="C250" s="39"/>
      <c r="D250" s="39"/>
      <c r="E250" s="45"/>
      <c r="F250" s="45"/>
      <c r="G250" s="39"/>
      <c r="H250" s="45"/>
      <c r="I250" s="45"/>
      <c r="J250" s="45"/>
      <c r="K250" s="39"/>
      <c r="L250" s="39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</row>
    <row r="251" ht="12.75" customHeight="1">
      <c r="A251" s="39"/>
      <c r="B251" s="39"/>
      <c r="C251" s="39"/>
      <c r="D251" s="39"/>
      <c r="E251" s="45"/>
      <c r="F251" s="45"/>
      <c r="G251" s="39"/>
      <c r="H251" s="45"/>
      <c r="I251" s="45"/>
      <c r="J251" s="45"/>
      <c r="K251" s="39"/>
      <c r="L251" s="39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</row>
    <row r="252" ht="12.75" customHeight="1">
      <c r="A252" s="39"/>
      <c r="B252" s="39"/>
      <c r="C252" s="39"/>
      <c r="D252" s="39"/>
      <c r="E252" s="45"/>
      <c r="F252" s="45"/>
      <c r="G252" s="39"/>
      <c r="H252" s="45"/>
      <c r="I252" s="45"/>
      <c r="J252" s="45"/>
      <c r="K252" s="39"/>
      <c r="L252" s="39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</row>
    <row r="253" ht="12.75" customHeight="1">
      <c r="A253" s="39"/>
      <c r="B253" s="39"/>
      <c r="C253" s="39"/>
      <c r="D253" s="39"/>
      <c r="E253" s="45"/>
      <c r="F253" s="45"/>
      <c r="G253" s="39"/>
      <c r="H253" s="45"/>
      <c r="I253" s="45"/>
      <c r="J253" s="45"/>
      <c r="K253" s="39"/>
      <c r="L253" s="39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</row>
    <row r="254" ht="12.75" customHeight="1">
      <c r="A254" s="39"/>
      <c r="B254" s="39"/>
      <c r="C254" s="39"/>
      <c r="D254" s="39"/>
      <c r="E254" s="45"/>
      <c r="F254" s="45"/>
      <c r="G254" s="39"/>
      <c r="H254" s="45"/>
      <c r="I254" s="45"/>
      <c r="J254" s="45"/>
      <c r="K254" s="39"/>
      <c r="L254" s="39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</row>
    <row r="255" ht="12.75" customHeight="1">
      <c r="A255" s="39"/>
      <c r="B255" s="39"/>
      <c r="C255" s="39"/>
      <c r="D255" s="39"/>
      <c r="E255" s="45"/>
      <c r="F255" s="45"/>
      <c r="G255" s="39"/>
      <c r="H255" s="45"/>
      <c r="I255" s="45"/>
      <c r="J255" s="45"/>
      <c r="K255" s="39"/>
      <c r="L255" s="39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</row>
    <row r="256" ht="12.75" customHeight="1">
      <c r="A256" s="39"/>
      <c r="B256" s="39"/>
      <c r="C256" s="39"/>
      <c r="D256" s="39"/>
      <c r="E256" s="45"/>
      <c r="F256" s="45"/>
      <c r="G256" s="39"/>
      <c r="H256" s="45"/>
      <c r="I256" s="45"/>
      <c r="J256" s="45"/>
      <c r="K256" s="39"/>
      <c r="L256" s="39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</row>
    <row r="257" ht="12.75" customHeight="1">
      <c r="A257" s="39"/>
      <c r="B257" s="39"/>
      <c r="C257" s="39"/>
      <c r="D257" s="39"/>
      <c r="E257" s="45"/>
      <c r="F257" s="45"/>
      <c r="G257" s="39"/>
      <c r="H257" s="45"/>
      <c r="I257" s="45"/>
      <c r="J257" s="45"/>
      <c r="K257" s="39"/>
      <c r="L257" s="39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</row>
    <row r="258" ht="12.75" customHeight="1">
      <c r="A258" s="39"/>
      <c r="B258" s="39"/>
      <c r="C258" s="39"/>
      <c r="D258" s="39"/>
      <c r="E258" s="45"/>
      <c r="F258" s="45"/>
      <c r="G258" s="39"/>
      <c r="H258" s="45"/>
      <c r="I258" s="45"/>
      <c r="J258" s="45"/>
      <c r="K258" s="39"/>
      <c r="L258" s="39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</row>
    <row r="259" ht="12.75" customHeight="1">
      <c r="A259" s="39"/>
      <c r="B259" s="39"/>
      <c r="C259" s="39"/>
      <c r="D259" s="39"/>
      <c r="E259" s="45"/>
      <c r="F259" s="45"/>
      <c r="G259" s="39"/>
      <c r="H259" s="45"/>
      <c r="I259" s="45"/>
      <c r="J259" s="45"/>
      <c r="K259" s="39"/>
      <c r="L259" s="39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</row>
    <row r="260" ht="12.75" customHeight="1">
      <c r="A260" s="39"/>
      <c r="B260" s="39"/>
      <c r="C260" s="39"/>
      <c r="D260" s="39"/>
      <c r="E260" s="45"/>
      <c r="F260" s="45"/>
      <c r="G260" s="39"/>
      <c r="H260" s="45"/>
      <c r="I260" s="45"/>
      <c r="J260" s="45"/>
      <c r="K260" s="39"/>
      <c r="L260" s="39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</row>
    <row r="261" ht="12.75" customHeight="1">
      <c r="A261" s="39"/>
      <c r="B261" s="39"/>
      <c r="C261" s="39"/>
      <c r="D261" s="39"/>
      <c r="E261" s="45"/>
      <c r="F261" s="45"/>
      <c r="G261" s="39"/>
      <c r="H261" s="45"/>
      <c r="I261" s="45"/>
      <c r="J261" s="45"/>
      <c r="K261" s="39"/>
      <c r="L261" s="39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</row>
    <row r="262" ht="12.75" customHeight="1">
      <c r="A262" s="39"/>
      <c r="B262" s="39"/>
      <c r="C262" s="39"/>
      <c r="D262" s="39"/>
      <c r="E262" s="45"/>
      <c r="F262" s="45"/>
      <c r="G262" s="39"/>
      <c r="H262" s="45"/>
      <c r="I262" s="45"/>
      <c r="J262" s="45"/>
      <c r="K262" s="39"/>
      <c r="L262" s="39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</row>
    <row r="263" ht="12.75" customHeight="1">
      <c r="A263" s="39"/>
      <c r="B263" s="39"/>
      <c r="C263" s="39"/>
      <c r="D263" s="39"/>
      <c r="E263" s="45"/>
      <c r="F263" s="45"/>
      <c r="G263" s="39"/>
      <c r="H263" s="45"/>
      <c r="I263" s="45"/>
      <c r="J263" s="45"/>
      <c r="K263" s="39"/>
      <c r="L263" s="39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</row>
    <row r="264" ht="12.75" customHeight="1">
      <c r="A264" s="39"/>
      <c r="B264" s="39"/>
      <c r="C264" s="39"/>
      <c r="D264" s="39"/>
      <c r="E264" s="45"/>
      <c r="F264" s="45"/>
      <c r="G264" s="39"/>
      <c r="H264" s="45"/>
      <c r="I264" s="45"/>
      <c r="J264" s="45"/>
      <c r="K264" s="39"/>
      <c r="L264" s="39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</row>
    <row r="265" ht="12.75" customHeight="1">
      <c r="A265" s="39"/>
      <c r="B265" s="39"/>
      <c r="C265" s="39"/>
      <c r="D265" s="39"/>
      <c r="E265" s="45"/>
      <c r="F265" s="45"/>
      <c r="G265" s="39"/>
      <c r="H265" s="45"/>
      <c r="I265" s="45"/>
      <c r="J265" s="45"/>
      <c r="K265" s="39"/>
      <c r="L265" s="39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</row>
    <row r="266" ht="12.75" customHeight="1">
      <c r="A266" s="39"/>
      <c r="B266" s="39"/>
      <c r="C266" s="39"/>
      <c r="D266" s="39"/>
      <c r="E266" s="45"/>
      <c r="F266" s="45"/>
      <c r="G266" s="39"/>
      <c r="H266" s="45"/>
      <c r="I266" s="45"/>
      <c r="J266" s="45"/>
      <c r="K266" s="39"/>
      <c r="L266" s="39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</row>
    <row r="267" ht="12.75" customHeight="1">
      <c r="A267" s="39"/>
      <c r="B267" s="39"/>
      <c r="C267" s="39"/>
      <c r="D267" s="39"/>
      <c r="E267" s="45"/>
      <c r="F267" s="45"/>
      <c r="G267" s="39"/>
      <c r="H267" s="45"/>
      <c r="I267" s="45"/>
      <c r="J267" s="45"/>
      <c r="K267" s="39"/>
      <c r="L267" s="39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</row>
    <row r="268" ht="12.75" customHeight="1">
      <c r="A268" s="39"/>
      <c r="B268" s="39"/>
      <c r="C268" s="39"/>
      <c r="D268" s="39"/>
      <c r="E268" s="45"/>
      <c r="F268" s="45"/>
      <c r="G268" s="39"/>
      <c r="H268" s="45"/>
      <c r="I268" s="45"/>
      <c r="J268" s="45"/>
      <c r="K268" s="39"/>
      <c r="L268" s="39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</row>
    <row r="269" ht="12.75" customHeight="1">
      <c r="A269" s="39"/>
      <c r="B269" s="39"/>
      <c r="C269" s="39"/>
      <c r="D269" s="39"/>
      <c r="E269" s="45"/>
      <c r="F269" s="45"/>
      <c r="G269" s="39"/>
      <c r="H269" s="45"/>
      <c r="I269" s="45"/>
      <c r="J269" s="45"/>
      <c r="K269" s="39"/>
      <c r="L269" s="39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</row>
    <row r="270" ht="12.75" customHeight="1">
      <c r="A270" s="39"/>
      <c r="B270" s="39"/>
      <c r="C270" s="39"/>
      <c r="D270" s="39"/>
      <c r="E270" s="45"/>
      <c r="F270" s="45"/>
      <c r="G270" s="39"/>
      <c r="H270" s="45"/>
      <c r="I270" s="45"/>
      <c r="J270" s="45"/>
      <c r="K270" s="39"/>
      <c r="L270" s="39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</row>
    <row r="271" ht="12.75" customHeight="1">
      <c r="A271" s="39"/>
      <c r="B271" s="39"/>
      <c r="C271" s="39"/>
      <c r="D271" s="39"/>
      <c r="E271" s="45"/>
      <c r="F271" s="45"/>
      <c r="G271" s="39"/>
      <c r="H271" s="45"/>
      <c r="I271" s="45"/>
      <c r="J271" s="45"/>
      <c r="K271" s="39"/>
      <c r="L271" s="39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</row>
    <row r="272" ht="12.75" customHeight="1">
      <c r="A272" s="39"/>
      <c r="B272" s="39"/>
      <c r="C272" s="39"/>
      <c r="D272" s="39"/>
      <c r="E272" s="45"/>
      <c r="F272" s="45"/>
      <c r="G272" s="39"/>
      <c r="H272" s="45"/>
      <c r="I272" s="45"/>
      <c r="J272" s="45"/>
      <c r="K272" s="39"/>
      <c r="L272" s="39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</row>
    <row r="273" ht="12.75" customHeight="1">
      <c r="A273" s="39"/>
      <c r="B273" s="39"/>
      <c r="C273" s="39"/>
      <c r="D273" s="39"/>
      <c r="E273" s="45"/>
      <c r="F273" s="45"/>
      <c r="G273" s="39"/>
      <c r="H273" s="45"/>
      <c r="I273" s="45"/>
      <c r="J273" s="45"/>
      <c r="K273" s="39"/>
      <c r="L273" s="39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</row>
    <row r="274" ht="12.75" customHeight="1">
      <c r="A274" s="39"/>
      <c r="B274" s="39"/>
      <c r="C274" s="39"/>
      <c r="D274" s="39"/>
      <c r="E274" s="45"/>
      <c r="F274" s="45"/>
      <c r="G274" s="39"/>
      <c r="H274" s="45"/>
      <c r="I274" s="45"/>
      <c r="J274" s="45"/>
      <c r="K274" s="39"/>
      <c r="L274" s="39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</row>
    <row r="275" ht="12.75" customHeight="1">
      <c r="A275" s="39"/>
      <c r="B275" s="39"/>
      <c r="C275" s="39"/>
      <c r="D275" s="39"/>
      <c r="E275" s="45"/>
      <c r="F275" s="45"/>
      <c r="G275" s="39"/>
      <c r="H275" s="45"/>
      <c r="I275" s="45"/>
      <c r="J275" s="45"/>
      <c r="K275" s="39"/>
      <c r="L275" s="39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</row>
    <row r="276" ht="12.75" customHeight="1">
      <c r="A276" s="39"/>
      <c r="B276" s="39"/>
      <c r="C276" s="39"/>
      <c r="D276" s="39"/>
      <c r="E276" s="45"/>
      <c r="F276" s="45"/>
      <c r="G276" s="39"/>
      <c r="H276" s="45"/>
      <c r="I276" s="45"/>
      <c r="J276" s="45"/>
      <c r="K276" s="39"/>
      <c r="L276" s="39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</row>
    <row r="277" ht="12.75" customHeight="1">
      <c r="A277" s="39"/>
      <c r="B277" s="39"/>
      <c r="C277" s="39"/>
      <c r="D277" s="39"/>
      <c r="E277" s="45"/>
      <c r="F277" s="45"/>
      <c r="G277" s="39"/>
      <c r="H277" s="45"/>
      <c r="I277" s="45"/>
      <c r="J277" s="45"/>
      <c r="K277" s="39"/>
      <c r="L277" s="39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</row>
    <row r="278" ht="12.75" customHeight="1">
      <c r="A278" s="39"/>
      <c r="B278" s="39"/>
      <c r="C278" s="39"/>
      <c r="D278" s="39"/>
      <c r="E278" s="45"/>
      <c r="F278" s="45"/>
      <c r="G278" s="39"/>
      <c r="H278" s="45"/>
      <c r="I278" s="45"/>
      <c r="J278" s="45"/>
      <c r="K278" s="39"/>
      <c r="L278" s="39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</row>
    <row r="279" ht="12.75" customHeight="1">
      <c r="A279" s="39"/>
      <c r="B279" s="39"/>
      <c r="C279" s="39"/>
      <c r="D279" s="39"/>
      <c r="E279" s="45"/>
      <c r="F279" s="45"/>
      <c r="G279" s="39"/>
      <c r="H279" s="45"/>
      <c r="I279" s="45"/>
      <c r="J279" s="45"/>
      <c r="K279" s="39"/>
      <c r="L279" s="39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</row>
    <row r="280" ht="12.75" customHeight="1">
      <c r="A280" s="39"/>
      <c r="B280" s="39"/>
      <c r="C280" s="39"/>
      <c r="D280" s="39"/>
      <c r="E280" s="45"/>
      <c r="F280" s="45"/>
      <c r="G280" s="39"/>
      <c r="H280" s="45"/>
      <c r="I280" s="45"/>
      <c r="J280" s="45"/>
      <c r="K280" s="39"/>
      <c r="L280" s="39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</row>
    <row r="281" ht="12.75" customHeight="1">
      <c r="A281" s="39"/>
      <c r="B281" s="39"/>
      <c r="C281" s="39"/>
      <c r="D281" s="39"/>
      <c r="E281" s="45"/>
      <c r="F281" s="45"/>
      <c r="G281" s="39"/>
      <c r="H281" s="45"/>
      <c r="I281" s="45"/>
      <c r="J281" s="45"/>
      <c r="K281" s="39"/>
      <c r="L281" s="39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</row>
    <row r="282" ht="12.75" customHeight="1">
      <c r="A282" s="39"/>
      <c r="B282" s="39"/>
      <c r="C282" s="39"/>
      <c r="D282" s="39"/>
      <c r="E282" s="45"/>
      <c r="F282" s="45"/>
      <c r="G282" s="39"/>
      <c r="H282" s="45"/>
      <c r="I282" s="45"/>
      <c r="J282" s="45"/>
      <c r="K282" s="39"/>
      <c r="L282" s="39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</row>
    <row r="283" ht="12.75" customHeight="1">
      <c r="A283" s="39"/>
      <c r="B283" s="39"/>
      <c r="C283" s="39"/>
      <c r="D283" s="39"/>
      <c r="E283" s="45"/>
      <c r="F283" s="45"/>
      <c r="G283" s="39"/>
      <c r="H283" s="45"/>
      <c r="I283" s="45"/>
      <c r="J283" s="45"/>
      <c r="K283" s="39"/>
      <c r="L283" s="39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</row>
    <row r="284" ht="12.75" customHeight="1">
      <c r="A284" s="39"/>
      <c r="B284" s="39"/>
      <c r="C284" s="39"/>
      <c r="D284" s="39"/>
      <c r="E284" s="45"/>
      <c r="F284" s="45"/>
      <c r="G284" s="39"/>
      <c r="H284" s="45"/>
      <c r="I284" s="45"/>
      <c r="J284" s="45"/>
      <c r="K284" s="39"/>
      <c r="L284" s="39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</row>
    <row r="285" ht="12.75" customHeight="1">
      <c r="A285" s="39"/>
      <c r="B285" s="39"/>
      <c r="C285" s="39"/>
      <c r="D285" s="39"/>
      <c r="E285" s="45"/>
      <c r="F285" s="45"/>
      <c r="G285" s="39"/>
      <c r="H285" s="45"/>
      <c r="I285" s="45"/>
      <c r="J285" s="45"/>
      <c r="K285" s="39"/>
      <c r="L285" s="39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</row>
    <row r="286" ht="12.75" customHeight="1">
      <c r="A286" s="39"/>
      <c r="B286" s="39"/>
      <c r="C286" s="39"/>
      <c r="D286" s="39"/>
      <c r="E286" s="45"/>
      <c r="F286" s="45"/>
      <c r="G286" s="39"/>
      <c r="H286" s="45"/>
      <c r="I286" s="45"/>
      <c r="J286" s="45"/>
      <c r="K286" s="39"/>
      <c r="L286" s="39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</row>
    <row r="287" ht="12.75" customHeight="1">
      <c r="A287" s="39"/>
      <c r="B287" s="39"/>
      <c r="C287" s="39"/>
      <c r="D287" s="39"/>
      <c r="E287" s="45"/>
      <c r="F287" s="45"/>
      <c r="G287" s="39"/>
      <c r="H287" s="45"/>
      <c r="I287" s="45"/>
      <c r="J287" s="45"/>
      <c r="K287" s="39"/>
      <c r="L287" s="39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</row>
    <row r="288" ht="12.75" customHeight="1">
      <c r="A288" s="39"/>
      <c r="B288" s="39"/>
      <c r="C288" s="39"/>
      <c r="D288" s="39"/>
      <c r="E288" s="45"/>
      <c r="F288" s="45"/>
      <c r="G288" s="39"/>
      <c r="H288" s="45"/>
      <c r="I288" s="45"/>
      <c r="J288" s="45"/>
      <c r="K288" s="39"/>
      <c r="L288" s="39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</row>
    <row r="289" ht="12.75" customHeight="1">
      <c r="A289" s="39"/>
      <c r="B289" s="39"/>
      <c r="C289" s="39"/>
      <c r="D289" s="39"/>
      <c r="E289" s="45"/>
      <c r="F289" s="45"/>
      <c r="G289" s="39"/>
      <c r="H289" s="45"/>
      <c r="I289" s="45"/>
      <c r="J289" s="45"/>
      <c r="K289" s="39"/>
      <c r="L289" s="39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</row>
    <row r="290" ht="12.75" customHeight="1">
      <c r="A290" s="39"/>
      <c r="B290" s="39"/>
      <c r="C290" s="39"/>
      <c r="D290" s="39"/>
      <c r="E290" s="45"/>
      <c r="F290" s="45"/>
      <c r="G290" s="39"/>
      <c r="H290" s="45"/>
      <c r="I290" s="45"/>
      <c r="J290" s="45"/>
      <c r="K290" s="39"/>
      <c r="L290" s="39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</row>
    <row r="291" ht="12.75" customHeight="1">
      <c r="A291" s="39"/>
      <c r="B291" s="39"/>
      <c r="C291" s="39"/>
      <c r="D291" s="39"/>
      <c r="E291" s="45"/>
      <c r="F291" s="45"/>
      <c r="G291" s="39"/>
      <c r="H291" s="45"/>
      <c r="I291" s="45"/>
      <c r="J291" s="45"/>
      <c r="K291" s="39"/>
      <c r="L291" s="39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</row>
    <row r="292" ht="12.75" customHeight="1">
      <c r="A292" s="39"/>
      <c r="B292" s="39"/>
      <c r="C292" s="39"/>
      <c r="D292" s="39"/>
      <c r="E292" s="45"/>
      <c r="F292" s="45"/>
      <c r="G292" s="39"/>
      <c r="H292" s="45"/>
      <c r="I292" s="45"/>
      <c r="J292" s="45"/>
      <c r="K292" s="39"/>
      <c r="L292" s="39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</row>
    <row r="293" ht="12.75" customHeight="1">
      <c r="A293" s="39"/>
      <c r="B293" s="39"/>
      <c r="C293" s="39"/>
      <c r="D293" s="39"/>
      <c r="E293" s="45"/>
      <c r="F293" s="45"/>
      <c r="G293" s="39"/>
      <c r="H293" s="45"/>
      <c r="I293" s="45"/>
      <c r="J293" s="45"/>
      <c r="K293" s="39"/>
      <c r="L293" s="39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</row>
    <row r="294" ht="12.75" customHeight="1">
      <c r="A294" s="39"/>
      <c r="B294" s="39"/>
      <c r="C294" s="39"/>
      <c r="D294" s="39"/>
      <c r="E294" s="45"/>
      <c r="F294" s="45"/>
      <c r="G294" s="39"/>
      <c r="H294" s="45"/>
      <c r="I294" s="45"/>
      <c r="J294" s="45"/>
      <c r="K294" s="39"/>
      <c r="L294" s="39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</row>
    <row r="295" ht="12.75" customHeight="1">
      <c r="A295" s="39"/>
      <c r="B295" s="39"/>
      <c r="C295" s="39"/>
      <c r="D295" s="39"/>
      <c r="E295" s="45"/>
      <c r="F295" s="45"/>
      <c r="G295" s="39"/>
      <c r="H295" s="45"/>
      <c r="I295" s="45"/>
      <c r="J295" s="45"/>
      <c r="K295" s="39"/>
      <c r="L295" s="39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</row>
    <row r="296" ht="12.75" customHeight="1">
      <c r="A296" s="39"/>
      <c r="B296" s="39"/>
      <c r="C296" s="39"/>
      <c r="D296" s="39"/>
      <c r="E296" s="45"/>
      <c r="F296" s="45"/>
      <c r="G296" s="39"/>
      <c r="H296" s="45"/>
      <c r="I296" s="45"/>
      <c r="J296" s="45"/>
      <c r="K296" s="39"/>
      <c r="L296" s="39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</row>
    <row r="297" ht="12.75" customHeight="1">
      <c r="A297" s="39"/>
      <c r="B297" s="39"/>
      <c r="C297" s="39"/>
      <c r="D297" s="39"/>
      <c r="E297" s="45"/>
      <c r="F297" s="45"/>
      <c r="G297" s="39"/>
      <c r="H297" s="45"/>
      <c r="I297" s="45"/>
      <c r="J297" s="45"/>
      <c r="K297" s="39"/>
      <c r="L297" s="39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</row>
    <row r="298" ht="12.75" customHeight="1">
      <c r="A298" s="39"/>
      <c r="B298" s="39"/>
      <c r="C298" s="39"/>
      <c r="D298" s="39"/>
      <c r="E298" s="45"/>
      <c r="F298" s="45"/>
      <c r="G298" s="39"/>
      <c r="H298" s="45"/>
      <c r="I298" s="45"/>
      <c r="J298" s="45"/>
      <c r="K298" s="39"/>
      <c r="L298" s="39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</row>
    <row r="299" ht="12.75" customHeight="1">
      <c r="A299" s="39"/>
      <c r="B299" s="39"/>
      <c r="C299" s="39"/>
      <c r="D299" s="39"/>
      <c r="E299" s="45"/>
      <c r="F299" s="45"/>
      <c r="G299" s="39"/>
      <c r="H299" s="45"/>
      <c r="I299" s="45"/>
      <c r="J299" s="45"/>
      <c r="K299" s="39"/>
      <c r="L299" s="39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</row>
    <row r="300" ht="12.75" customHeight="1">
      <c r="A300" s="39"/>
      <c r="B300" s="39"/>
      <c r="C300" s="39"/>
      <c r="D300" s="39"/>
      <c r="E300" s="45"/>
      <c r="F300" s="45"/>
      <c r="G300" s="39"/>
      <c r="H300" s="45"/>
      <c r="I300" s="45"/>
      <c r="J300" s="45"/>
      <c r="K300" s="39"/>
      <c r="L300" s="39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</row>
    <row r="301" ht="12.75" customHeight="1">
      <c r="A301" s="39"/>
      <c r="B301" s="39"/>
      <c r="C301" s="39"/>
      <c r="D301" s="39"/>
      <c r="E301" s="45"/>
      <c r="F301" s="45"/>
      <c r="G301" s="39"/>
      <c r="H301" s="45"/>
      <c r="I301" s="45"/>
      <c r="J301" s="45"/>
      <c r="K301" s="39"/>
      <c r="L301" s="39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</row>
    <row r="302" ht="12.75" customHeight="1">
      <c r="A302" s="39"/>
      <c r="B302" s="39"/>
      <c r="C302" s="39"/>
      <c r="D302" s="39"/>
      <c r="E302" s="45"/>
      <c r="F302" s="45"/>
      <c r="G302" s="39"/>
      <c r="H302" s="45"/>
      <c r="I302" s="45"/>
      <c r="J302" s="45"/>
      <c r="K302" s="39"/>
      <c r="L302" s="39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</row>
    <row r="303" ht="12.75" customHeight="1">
      <c r="A303" s="39"/>
      <c r="B303" s="39"/>
      <c r="C303" s="39"/>
      <c r="D303" s="39"/>
      <c r="E303" s="45"/>
      <c r="F303" s="45"/>
      <c r="G303" s="39"/>
      <c r="H303" s="45"/>
      <c r="I303" s="45"/>
      <c r="J303" s="45"/>
      <c r="K303" s="39"/>
      <c r="L303" s="39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</row>
    <row r="304" ht="12.75" customHeight="1">
      <c r="A304" s="39"/>
      <c r="B304" s="39"/>
      <c r="C304" s="39"/>
      <c r="D304" s="39"/>
      <c r="E304" s="39"/>
      <c r="F304" s="39"/>
      <c r="G304" s="39"/>
      <c r="H304" s="45"/>
      <c r="I304" s="45"/>
      <c r="J304" s="45"/>
      <c r="K304" s="39"/>
      <c r="L304" s="39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</row>
    <row r="305" ht="12.75" customHeight="1">
      <c r="A305" s="39"/>
      <c r="B305" s="39"/>
      <c r="C305" s="39"/>
      <c r="D305" s="39"/>
      <c r="E305" s="39"/>
      <c r="F305" s="39"/>
      <c r="G305" s="39"/>
      <c r="H305" s="45"/>
      <c r="I305" s="45"/>
      <c r="J305" s="45"/>
      <c r="K305" s="39"/>
      <c r="L305" s="39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</row>
    <row r="306" ht="12.75" customHeight="1">
      <c r="A306" s="39"/>
      <c r="B306" s="39"/>
      <c r="C306" s="39"/>
      <c r="D306" s="39"/>
      <c r="E306" s="39"/>
      <c r="F306" s="39"/>
      <c r="G306" s="39"/>
      <c r="H306" s="45"/>
      <c r="I306" s="45"/>
      <c r="J306" s="45"/>
      <c r="K306" s="39"/>
      <c r="L306" s="39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</row>
    <row r="307" ht="12.75" customHeight="1">
      <c r="A307" s="39"/>
      <c r="B307" s="39"/>
      <c r="C307" s="39"/>
      <c r="D307" s="39"/>
      <c r="E307" s="39"/>
      <c r="F307" s="39"/>
      <c r="G307" s="39"/>
      <c r="H307" s="45"/>
      <c r="I307" s="45"/>
      <c r="J307" s="45"/>
      <c r="K307" s="39"/>
      <c r="L307" s="39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</row>
    <row r="308" ht="12.75" customHeight="1">
      <c r="A308" s="39"/>
      <c r="B308" s="39"/>
      <c r="C308" s="39"/>
      <c r="D308" s="39"/>
      <c r="E308" s="39"/>
      <c r="F308" s="39"/>
      <c r="G308" s="39"/>
      <c r="H308" s="45"/>
      <c r="I308" s="45"/>
      <c r="J308" s="45"/>
      <c r="K308" s="39"/>
      <c r="L308" s="39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</row>
    <row r="309" ht="12.75" customHeight="1">
      <c r="A309" s="39"/>
      <c r="B309" s="39"/>
      <c r="C309" s="39"/>
      <c r="D309" s="39"/>
      <c r="E309" s="39"/>
      <c r="F309" s="39"/>
      <c r="G309" s="39"/>
      <c r="H309" s="45"/>
      <c r="I309" s="45"/>
      <c r="J309" s="45"/>
      <c r="K309" s="39"/>
      <c r="L309" s="39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</row>
    <row r="310" ht="12.75" customHeight="1">
      <c r="A310" s="39"/>
      <c r="B310" s="39"/>
      <c r="C310" s="39"/>
      <c r="D310" s="39"/>
      <c r="E310" s="39"/>
      <c r="F310" s="39"/>
      <c r="G310" s="39"/>
      <c r="H310" s="45"/>
      <c r="I310" s="45"/>
      <c r="J310" s="45"/>
      <c r="K310" s="39"/>
      <c r="L310" s="39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</row>
    <row r="311" ht="12.75" customHeight="1">
      <c r="A311" s="39"/>
      <c r="B311" s="39"/>
      <c r="C311" s="39"/>
      <c r="D311" s="39"/>
      <c r="E311" s="39"/>
      <c r="F311" s="39"/>
      <c r="G311" s="39"/>
      <c r="H311" s="45"/>
      <c r="I311" s="45"/>
      <c r="J311" s="45"/>
      <c r="K311" s="39"/>
      <c r="L311" s="39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</row>
    <row r="312" ht="12.75" customHeight="1">
      <c r="A312" s="39"/>
      <c r="B312" s="39"/>
      <c r="C312" s="39"/>
      <c r="D312" s="39"/>
      <c r="E312" s="39"/>
      <c r="F312" s="39"/>
      <c r="G312" s="39"/>
      <c r="H312" s="45"/>
      <c r="I312" s="45"/>
      <c r="J312" s="45"/>
      <c r="K312" s="39"/>
      <c r="L312" s="39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</row>
    <row r="313" ht="12.75" customHeight="1">
      <c r="A313" s="39"/>
      <c r="B313" s="39"/>
      <c r="C313" s="39"/>
      <c r="D313" s="39"/>
      <c r="E313" s="39"/>
      <c r="F313" s="39"/>
      <c r="G313" s="39"/>
      <c r="H313" s="45"/>
      <c r="I313" s="45"/>
      <c r="J313" s="45"/>
      <c r="K313" s="39"/>
      <c r="L313" s="39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</row>
    <row r="314" ht="12.75" customHeight="1">
      <c r="A314" s="39"/>
      <c r="B314" s="39"/>
      <c r="C314" s="39"/>
      <c r="D314" s="39"/>
      <c r="E314" s="39"/>
      <c r="F314" s="39"/>
      <c r="G314" s="39"/>
      <c r="H314" s="45"/>
      <c r="I314" s="45"/>
      <c r="J314" s="45"/>
      <c r="K314" s="39"/>
      <c r="L314" s="39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</row>
    <row r="315" ht="12.75" customHeight="1">
      <c r="A315" s="39"/>
      <c r="B315" s="39"/>
      <c r="C315" s="39"/>
      <c r="D315" s="39"/>
      <c r="E315" s="39"/>
      <c r="F315" s="39"/>
      <c r="G315" s="39"/>
      <c r="H315" s="45"/>
      <c r="I315" s="45"/>
      <c r="J315" s="45"/>
      <c r="K315" s="39"/>
      <c r="L315" s="39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</row>
    <row r="316" ht="12.75" customHeight="1">
      <c r="A316" s="39"/>
      <c r="B316" s="39"/>
      <c r="C316" s="39"/>
      <c r="D316" s="39"/>
      <c r="E316" s="39"/>
      <c r="F316" s="39"/>
      <c r="G316" s="39"/>
      <c r="H316" s="45"/>
      <c r="I316" s="45"/>
      <c r="J316" s="45"/>
      <c r="K316" s="39"/>
      <c r="L316" s="39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</row>
    <row r="317" ht="12.75" customHeight="1">
      <c r="A317" s="39"/>
      <c r="B317" s="39"/>
      <c r="C317" s="39"/>
      <c r="D317" s="39"/>
      <c r="E317" s="39"/>
      <c r="F317" s="39"/>
      <c r="G317" s="39"/>
      <c r="H317" s="45"/>
      <c r="I317" s="45"/>
      <c r="J317" s="45"/>
      <c r="K317" s="39"/>
      <c r="L317" s="39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</row>
    <row r="318" ht="12.75" customHeight="1">
      <c r="A318" s="39"/>
      <c r="B318" s="39"/>
      <c r="C318" s="39"/>
      <c r="D318" s="39"/>
      <c r="E318" s="39"/>
      <c r="F318" s="39"/>
      <c r="G318" s="39"/>
      <c r="H318" s="45"/>
      <c r="I318" s="45"/>
      <c r="J318" s="45"/>
      <c r="K318" s="39"/>
      <c r="L318" s="39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</row>
    <row r="319" ht="12.75" customHeight="1">
      <c r="A319" s="39"/>
      <c r="B319" s="39"/>
      <c r="C319" s="39"/>
      <c r="D319" s="39"/>
      <c r="E319" s="39"/>
      <c r="F319" s="39"/>
      <c r="G319" s="39"/>
      <c r="H319" s="45"/>
      <c r="I319" s="45"/>
      <c r="J319" s="45"/>
      <c r="K319" s="39"/>
      <c r="L319" s="39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</row>
    <row r="320" ht="12.75" customHeight="1">
      <c r="A320" s="39"/>
      <c r="B320" s="39"/>
      <c r="C320" s="39"/>
      <c r="D320" s="39"/>
      <c r="E320" s="39"/>
      <c r="F320" s="39"/>
      <c r="G320" s="39"/>
      <c r="H320" s="45"/>
      <c r="I320" s="45"/>
      <c r="J320" s="45"/>
      <c r="K320" s="39"/>
      <c r="L320" s="39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</row>
    <row r="321" ht="12.75" customHeight="1">
      <c r="A321" s="39"/>
      <c r="B321" s="39"/>
      <c r="C321" s="39"/>
      <c r="D321" s="39"/>
      <c r="E321" s="39"/>
      <c r="F321" s="39"/>
      <c r="G321" s="39"/>
      <c r="H321" s="45"/>
      <c r="I321" s="45"/>
      <c r="J321" s="45"/>
      <c r="K321" s="39"/>
      <c r="L321" s="39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</row>
    <row r="322" ht="12.75" customHeight="1">
      <c r="A322" s="39"/>
      <c r="B322" s="39"/>
      <c r="C322" s="39"/>
      <c r="D322" s="39"/>
      <c r="E322" s="39"/>
      <c r="F322" s="39"/>
      <c r="G322" s="39"/>
      <c r="H322" s="45"/>
      <c r="I322" s="45"/>
      <c r="J322" s="45"/>
      <c r="K322" s="39"/>
      <c r="L322" s="39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</row>
    <row r="323" ht="12.75" customHeight="1">
      <c r="A323" s="39"/>
      <c r="B323" s="39"/>
      <c r="C323" s="39"/>
      <c r="D323" s="39"/>
      <c r="E323" s="39"/>
      <c r="F323" s="39"/>
      <c r="G323" s="39"/>
      <c r="H323" s="45"/>
      <c r="I323" s="45"/>
      <c r="J323" s="45"/>
      <c r="K323" s="39"/>
      <c r="L323" s="39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</row>
    <row r="324" ht="12.75" customHeight="1">
      <c r="A324" s="39"/>
      <c r="B324" s="39"/>
      <c r="C324" s="39"/>
      <c r="D324" s="39"/>
      <c r="E324" s="39"/>
      <c r="F324" s="39"/>
      <c r="G324" s="39"/>
      <c r="H324" s="45"/>
      <c r="I324" s="45"/>
      <c r="J324" s="45"/>
      <c r="K324" s="39"/>
      <c r="L324" s="39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</row>
    <row r="325" ht="12.75" customHeight="1">
      <c r="A325" s="39"/>
      <c r="B325" s="39"/>
      <c r="C325" s="39"/>
      <c r="D325" s="39"/>
      <c r="E325" s="39"/>
      <c r="F325" s="39"/>
      <c r="G325" s="39"/>
      <c r="H325" s="45"/>
      <c r="I325" s="45"/>
      <c r="J325" s="45"/>
      <c r="K325" s="39"/>
      <c r="L325" s="39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</row>
    <row r="326" ht="12.75" customHeight="1">
      <c r="A326" s="39"/>
      <c r="B326" s="39"/>
      <c r="C326" s="39"/>
      <c r="D326" s="39"/>
      <c r="E326" s="39"/>
      <c r="F326" s="39"/>
      <c r="G326" s="39"/>
      <c r="H326" s="45"/>
      <c r="I326" s="45"/>
      <c r="J326" s="45"/>
      <c r="K326" s="39"/>
      <c r="L326" s="39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</row>
    <row r="327" ht="12.75" customHeight="1">
      <c r="A327" s="39"/>
      <c r="B327" s="39"/>
      <c r="C327" s="39"/>
      <c r="D327" s="39"/>
      <c r="E327" s="39"/>
      <c r="F327" s="39"/>
      <c r="G327" s="39"/>
      <c r="H327" s="45"/>
      <c r="I327" s="45"/>
      <c r="J327" s="45"/>
      <c r="K327" s="39"/>
      <c r="L327" s="39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</row>
    <row r="328" ht="12.75" customHeight="1">
      <c r="A328" s="39"/>
      <c r="B328" s="39"/>
      <c r="C328" s="39"/>
      <c r="D328" s="39"/>
      <c r="E328" s="39"/>
      <c r="F328" s="39"/>
      <c r="G328" s="39"/>
      <c r="H328" s="45"/>
      <c r="I328" s="45"/>
      <c r="J328" s="45"/>
      <c r="K328" s="39"/>
      <c r="L328" s="39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</row>
    <row r="329" ht="12.75" customHeight="1">
      <c r="A329" s="39"/>
      <c r="B329" s="39"/>
      <c r="C329" s="39"/>
      <c r="D329" s="39"/>
      <c r="E329" s="39"/>
      <c r="F329" s="39"/>
      <c r="G329" s="39"/>
      <c r="H329" s="45"/>
      <c r="I329" s="45"/>
      <c r="J329" s="45"/>
      <c r="K329" s="39"/>
      <c r="L329" s="39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</row>
    <row r="330" ht="12.75" customHeight="1">
      <c r="A330" s="39"/>
      <c r="B330" s="39"/>
      <c r="C330" s="39"/>
      <c r="D330" s="39"/>
      <c r="E330" s="39"/>
      <c r="F330" s="39"/>
      <c r="G330" s="39"/>
      <c r="H330" s="45"/>
      <c r="I330" s="45"/>
      <c r="J330" s="45"/>
      <c r="K330" s="39"/>
      <c r="L330" s="39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</row>
    <row r="331" ht="12.75" customHeight="1">
      <c r="A331" s="39"/>
      <c r="B331" s="39"/>
      <c r="C331" s="39"/>
      <c r="D331" s="39"/>
      <c r="E331" s="39"/>
      <c r="F331" s="39"/>
      <c r="G331" s="39"/>
      <c r="H331" s="45"/>
      <c r="I331" s="45"/>
      <c r="J331" s="45"/>
      <c r="K331" s="39"/>
      <c r="L331" s="39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</row>
    <row r="332" ht="12.75" customHeight="1">
      <c r="A332" s="39"/>
      <c r="B332" s="39"/>
      <c r="C332" s="39"/>
      <c r="D332" s="39"/>
      <c r="E332" s="39"/>
      <c r="F332" s="39"/>
      <c r="G332" s="39"/>
      <c r="H332" s="45"/>
      <c r="I332" s="45"/>
      <c r="J332" s="45"/>
      <c r="K332" s="39"/>
      <c r="L332" s="39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</row>
    <row r="333" ht="12.75" customHeight="1">
      <c r="A333" s="39"/>
      <c r="B333" s="39"/>
      <c r="C333" s="39"/>
      <c r="D333" s="39"/>
      <c r="E333" s="39"/>
      <c r="F333" s="39"/>
      <c r="G333" s="39"/>
      <c r="H333" s="45"/>
      <c r="I333" s="45"/>
      <c r="J333" s="45"/>
      <c r="K333" s="39"/>
      <c r="L333" s="39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</row>
    <row r="334" ht="12.75" customHeight="1">
      <c r="A334" s="39"/>
      <c r="B334" s="39"/>
      <c r="C334" s="39"/>
      <c r="D334" s="39"/>
      <c r="E334" s="39"/>
      <c r="F334" s="39"/>
      <c r="G334" s="39"/>
      <c r="H334" s="45"/>
      <c r="I334" s="45"/>
      <c r="J334" s="45"/>
      <c r="K334" s="39"/>
      <c r="L334" s="39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</row>
    <row r="335" ht="12.75" customHeight="1">
      <c r="A335" s="39"/>
      <c r="B335" s="39"/>
      <c r="C335" s="39"/>
      <c r="D335" s="39"/>
      <c r="E335" s="39"/>
      <c r="F335" s="39"/>
      <c r="G335" s="39"/>
      <c r="H335" s="45"/>
      <c r="I335" s="45"/>
      <c r="J335" s="45"/>
      <c r="K335" s="39"/>
      <c r="L335" s="39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</row>
    <row r="336" ht="12.75" customHeight="1">
      <c r="A336" s="39"/>
      <c r="B336" s="39"/>
      <c r="C336" s="39"/>
      <c r="D336" s="39"/>
      <c r="E336" s="39"/>
      <c r="F336" s="39"/>
      <c r="G336" s="39"/>
      <c r="H336" s="45"/>
      <c r="I336" s="45"/>
      <c r="J336" s="45"/>
      <c r="K336" s="39"/>
      <c r="L336" s="39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</row>
    <row r="337" ht="12.75" customHeight="1">
      <c r="A337" s="39"/>
      <c r="B337" s="39"/>
      <c r="C337" s="39"/>
      <c r="D337" s="39"/>
      <c r="E337" s="39"/>
      <c r="F337" s="39"/>
      <c r="G337" s="39"/>
      <c r="H337" s="45"/>
      <c r="I337" s="45"/>
      <c r="J337" s="45"/>
      <c r="K337" s="39"/>
      <c r="L337" s="39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</row>
    <row r="338" ht="12.75" customHeight="1">
      <c r="A338" s="39"/>
      <c r="B338" s="39"/>
      <c r="C338" s="39"/>
      <c r="D338" s="39"/>
      <c r="E338" s="39"/>
      <c r="F338" s="39"/>
      <c r="G338" s="39"/>
      <c r="H338" s="45"/>
      <c r="I338" s="45"/>
      <c r="J338" s="45"/>
      <c r="K338" s="39"/>
      <c r="L338" s="39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</row>
    <row r="339" ht="12.75" customHeight="1">
      <c r="A339" s="39"/>
      <c r="B339" s="39"/>
      <c r="C339" s="39"/>
      <c r="D339" s="39"/>
      <c r="E339" s="39"/>
      <c r="F339" s="39"/>
      <c r="G339" s="39"/>
      <c r="H339" s="45"/>
      <c r="I339" s="45"/>
      <c r="J339" s="45"/>
      <c r="K339" s="39"/>
      <c r="L339" s="39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</row>
    <row r="340" ht="12.75" customHeight="1">
      <c r="A340" s="45"/>
      <c r="B340" s="45"/>
      <c r="C340" s="45"/>
      <c r="D340" s="39"/>
      <c r="E340" s="39"/>
      <c r="F340" s="39"/>
      <c r="G340" s="39"/>
      <c r="H340" s="45"/>
      <c r="I340" s="45"/>
      <c r="J340" s="45"/>
      <c r="K340" s="39"/>
      <c r="L340" s="39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</row>
    <row r="341" ht="12.75" customHeight="1">
      <c r="A341" s="45"/>
      <c r="B341" s="45"/>
      <c r="C341" s="45"/>
      <c r="D341" s="39"/>
      <c r="E341" s="39"/>
      <c r="F341" s="39"/>
      <c r="G341" s="39"/>
      <c r="H341" s="45"/>
      <c r="I341" s="45"/>
      <c r="J341" s="45"/>
      <c r="K341" s="39"/>
      <c r="L341" s="39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</row>
    <row r="342" ht="12.75" customHeight="1">
      <c r="A342" s="45"/>
      <c r="B342" s="45"/>
      <c r="C342" s="45"/>
      <c r="D342" s="39"/>
      <c r="E342" s="39"/>
      <c r="F342" s="39"/>
      <c r="G342" s="39"/>
      <c r="H342" s="45"/>
      <c r="I342" s="45"/>
      <c r="J342" s="45"/>
      <c r="K342" s="39"/>
      <c r="L342" s="39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</row>
    <row r="343" ht="12.75" customHeight="1">
      <c r="A343" s="45"/>
      <c r="B343" s="45"/>
      <c r="C343" s="45"/>
      <c r="D343" s="39"/>
      <c r="E343" s="39"/>
      <c r="F343" s="39"/>
      <c r="G343" s="39"/>
      <c r="H343" s="45"/>
      <c r="I343" s="45"/>
      <c r="J343" s="45"/>
      <c r="K343" s="39"/>
      <c r="L343" s="39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</row>
    <row r="344" ht="12.75" customHeight="1">
      <c r="A344" s="45"/>
      <c r="B344" s="45"/>
      <c r="C344" s="45"/>
      <c r="D344" s="39"/>
      <c r="E344" s="39"/>
      <c r="F344" s="39"/>
      <c r="G344" s="39"/>
      <c r="H344" s="45"/>
      <c r="I344" s="45"/>
      <c r="J344" s="45"/>
      <c r="K344" s="39"/>
      <c r="L344" s="39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</row>
    <row r="345" ht="12.75" customHeight="1">
      <c r="A345" s="45"/>
      <c r="B345" s="45"/>
      <c r="C345" s="45"/>
      <c r="D345" s="39"/>
      <c r="E345" s="39"/>
      <c r="F345" s="39"/>
      <c r="G345" s="39"/>
      <c r="H345" s="45"/>
      <c r="I345" s="45"/>
      <c r="J345" s="45"/>
      <c r="K345" s="39"/>
      <c r="L345" s="39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</row>
    <row r="346" ht="12.75" customHeight="1">
      <c r="A346" s="45"/>
      <c r="B346" s="45"/>
      <c r="C346" s="45"/>
      <c r="D346" s="39"/>
      <c r="E346" s="39"/>
      <c r="F346" s="39"/>
      <c r="G346" s="39"/>
      <c r="H346" s="45"/>
      <c r="I346" s="45"/>
      <c r="J346" s="45"/>
      <c r="K346" s="39"/>
      <c r="L346" s="39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</row>
    <row r="347" ht="12.75" customHeight="1">
      <c r="A347" s="45"/>
      <c r="B347" s="45"/>
      <c r="C347" s="45"/>
      <c r="D347" s="39"/>
      <c r="E347" s="39"/>
      <c r="F347" s="39"/>
      <c r="G347" s="39"/>
      <c r="H347" s="45"/>
      <c r="I347" s="45"/>
      <c r="J347" s="45"/>
      <c r="K347" s="39"/>
      <c r="L347" s="39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</row>
    <row r="348" ht="12.75" customHeight="1">
      <c r="A348" s="45"/>
      <c r="B348" s="45"/>
      <c r="C348" s="45"/>
      <c r="D348" s="39"/>
      <c r="E348" s="39"/>
      <c r="F348" s="39"/>
      <c r="G348" s="39"/>
      <c r="H348" s="45"/>
      <c r="I348" s="45"/>
      <c r="J348" s="45"/>
      <c r="K348" s="39"/>
      <c r="L348" s="39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</row>
    <row r="349" ht="12.75" customHeight="1">
      <c r="A349" s="45"/>
      <c r="B349" s="45"/>
      <c r="C349" s="45"/>
      <c r="D349" s="39"/>
      <c r="E349" s="39"/>
      <c r="F349" s="39"/>
      <c r="G349" s="39"/>
      <c r="H349" s="45"/>
      <c r="I349" s="45"/>
      <c r="J349" s="45"/>
      <c r="K349" s="39"/>
      <c r="L349" s="39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</row>
    <row r="350" ht="12.75" customHeight="1">
      <c r="A350" s="45"/>
      <c r="B350" s="45"/>
      <c r="C350" s="45"/>
      <c r="D350" s="39"/>
      <c r="E350" s="39"/>
      <c r="F350" s="39"/>
      <c r="G350" s="39"/>
      <c r="H350" s="45"/>
      <c r="I350" s="45"/>
      <c r="J350" s="45"/>
      <c r="K350" s="39"/>
      <c r="L350" s="39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</row>
    <row r="351" ht="12.75" customHeight="1">
      <c r="A351" s="45"/>
      <c r="B351" s="45"/>
      <c r="C351" s="45"/>
      <c r="D351" s="39"/>
      <c r="E351" s="39"/>
      <c r="F351" s="39"/>
      <c r="G351" s="39"/>
      <c r="H351" s="45"/>
      <c r="I351" s="45"/>
      <c r="J351" s="45"/>
      <c r="K351" s="39"/>
      <c r="L351" s="39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</row>
    <row r="352" ht="12.75" customHeight="1">
      <c r="A352" s="45"/>
      <c r="B352" s="45"/>
      <c r="C352" s="45"/>
      <c r="D352" s="39"/>
      <c r="E352" s="39"/>
      <c r="F352" s="39"/>
      <c r="G352" s="39"/>
      <c r="H352" s="45"/>
      <c r="I352" s="45"/>
      <c r="J352" s="45"/>
      <c r="K352" s="39"/>
      <c r="L352" s="39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</row>
    <row r="353" ht="12.75" customHeight="1">
      <c r="A353" s="45"/>
      <c r="B353" s="45"/>
      <c r="C353" s="45"/>
      <c r="D353" s="39"/>
      <c r="E353" s="39"/>
      <c r="F353" s="39"/>
      <c r="G353" s="39"/>
      <c r="H353" s="39"/>
      <c r="I353" s="39"/>
      <c r="J353" s="39"/>
      <c r="K353" s="39"/>
      <c r="L353" s="39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</row>
    <row r="354" ht="12.75" customHeight="1">
      <c r="A354" s="45"/>
      <c r="B354" s="45"/>
      <c r="C354" s="45"/>
      <c r="D354" s="39"/>
      <c r="E354" s="39"/>
      <c r="F354" s="39"/>
      <c r="G354" s="39"/>
      <c r="H354" s="39"/>
      <c r="I354" s="39"/>
      <c r="J354" s="39"/>
      <c r="K354" s="39"/>
      <c r="L354" s="39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</row>
    <row r="355" ht="12.75" customHeight="1">
      <c r="A355" s="45"/>
      <c r="B355" s="45"/>
      <c r="C355" s="45"/>
      <c r="D355" s="39"/>
      <c r="E355" s="39"/>
      <c r="F355" s="39"/>
      <c r="G355" s="39"/>
      <c r="H355" s="39"/>
      <c r="I355" s="39"/>
      <c r="J355" s="39"/>
      <c r="K355" s="39"/>
      <c r="L355" s="39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</row>
    <row r="356" ht="12.75" customHeight="1">
      <c r="A356" s="45"/>
      <c r="B356" s="45"/>
      <c r="C356" s="45"/>
      <c r="D356" s="39"/>
      <c r="E356" s="39"/>
      <c r="F356" s="39"/>
      <c r="G356" s="39"/>
      <c r="H356" s="39"/>
      <c r="I356" s="39"/>
      <c r="J356" s="39"/>
      <c r="K356" s="39"/>
      <c r="L356" s="39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</row>
    <row r="357" ht="12.75" customHeight="1">
      <c r="A357" s="45"/>
      <c r="B357" s="45"/>
      <c r="C357" s="45"/>
      <c r="D357" s="39"/>
      <c r="E357" s="39"/>
      <c r="F357" s="39"/>
      <c r="G357" s="39"/>
      <c r="H357" s="39"/>
      <c r="I357" s="39"/>
      <c r="J357" s="39"/>
      <c r="K357" s="39"/>
      <c r="L357" s="39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</row>
    <row r="358" ht="12.75" customHeight="1">
      <c r="A358" s="45"/>
      <c r="B358" s="45"/>
      <c r="C358" s="45"/>
      <c r="D358" s="39"/>
      <c r="E358" s="39"/>
      <c r="F358" s="39"/>
      <c r="G358" s="39"/>
      <c r="H358" s="39"/>
      <c r="I358" s="39"/>
      <c r="J358" s="39"/>
      <c r="K358" s="39"/>
      <c r="L358" s="39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</row>
    <row r="359" ht="12.75" customHeight="1">
      <c r="A359" s="45"/>
      <c r="B359" s="45"/>
      <c r="C359" s="45"/>
      <c r="D359" s="39"/>
      <c r="E359" s="39"/>
      <c r="F359" s="39"/>
      <c r="G359" s="39"/>
      <c r="H359" s="39"/>
      <c r="I359" s="39"/>
      <c r="J359" s="39"/>
      <c r="K359" s="39"/>
      <c r="L359" s="39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</row>
    <row r="360" ht="12.75" customHeight="1">
      <c r="A360" s="45"/>
      <c r="B360" s="45"/>
      <c r="C360" s="45"/>
      <c r="D360" s="39"/>
      <c r="E360" s="39"/>
      <c r="F360" s="39"/>
      <c r="G360" s="39"/>
      <c r="H360" s="39"/>
      <c r="I360" s="39"/>
      <c r="J360" s="39"/>
      <c r="K360" s="39"/>
      <c r="L360" s="39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</row>
    <row r="361" ht="12.75" customHeight="1">
      <c r="A361" s="45"/>
      <c r="B361" s="45"/>
      <c r="C361" s="45"/>
      <c r="D361" s="39"/>
      <c r="E361" s="39"/>
      <c r="F361" s="39"/>
      <c r="G361" s="39"/>
      <c r="H361" s="39"/>
      <c r="I361" s="39"/>
      <c r="J361" s="39"/>
      <c r="K361" s="39"/>
      <c r="L361" s="39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</row>
    <row r="362" ht="12.75" customHeight="1">
      <c r="A362" s="45"/>
      <c r="B362" s="45"/>
      <c r="C362" s="45"/>
      <c r="D362" s="39"/>
      <c r="E362" s="39"/>
      <c r="F362" s="39"/>
      <c r="G362" s="39"/>
      <c r="H362" s="39"/>
      <c r="I362" s="39"/>
      <c r="J362" s="39"/>
      <c r="K362" s="39"/>
      <c r="L362" s="39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</row>
    <row r="363" ht="12.75" customHeight="1">
      <c r="A363" s="45"/>
      <c r="B363" s="45"/>
      <c r="C363" s="45"/>
      <c r="D363" s="39"/>
      <c r="E363" s="39"/>
      <c r="F363" s="39"/>
      <c r="G363" s="39"/>
      <c r="H363" s="39"/>
      <c r="I363" s="39"/>
      <c r="J363" s="39"/>
      <c r="K363" s="39"/>
      <c r="L363" s="39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</row>
    <row r="364" ht="12.75" customHeight="1">
      <c r="A364" s="45"/>
      <c r="B364" s="45"/>
      <c r="C364" s="45"/>
      <c r="D364" s="39"/>
      <c r="E364" s="39"/>
      <c r="F364" s="39"/>
      <c r="G364" s="39"/>
      <c r="H364" s="39"/>
      <c r="I364" s="39"/>
      <c r="J364" s="39"/>
      <c r="K364" s="39"/>
      <c r="L364" s="39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</row>
    <row r="365" ht="12.75" customHeight="1">
      <c r="A365" s="45"/>
      <c r="B365" s="45"/>
      <c r="C365" s="45"/>
      <c r="D365" s="39"/>
      <c r="E365" s="39"/>
      <c r="F365" s="39"/>
      <c r="G365" s="39"/>
      <c r="H365" s="39"/>
      <c r="I365" s="39"/>
      <c r="J365" s="39"/>
      <c r="K365" s="39"/>
      <c r="L365" s="39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</row>
    <row r="366" ht="12.75" customHeight="1">
      <c r="A366" s="45"/>
      <c r="B366" s="45"/>
      <c r="C366" s="45"/>
      <c r="D366" s="39"/>
      <c r="E366" s="39"/>
      <c r="F366" s="39"/>
      <c r="G366" s="39"/>
      <c r="H366" s="39"/>
      <c r="I366" s="39"/>
      <c r="J366" s="39"/>
      <c r="K366" s="39"/>
      <c r="L366" s="39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</row>
    <row r="367" ht="12.75" customHeight="1">
      <c r="A367" s="45"/>
      <c r="B367" s="45"/>
      <c r="C367" s="45"/>
      <c r="D367" s="39"/>
      <c r="E367" s="39"/>
      <c r="F367" s="39"/>
      <c r="G367" s="39"/>
      <c r="H367" s="39"/>
      <c r="I367" s="39"/>
      <c r="J367" s="39"/>
      <c r="K367" s="39"/>
      <c r="L367" s="39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</row>
    <row r="368" ht="12.75" customHeight="1">
      <c r="A368" s="45"/>
      <c r="B368" s="45"/>
      <c r="C368" s="45"/>
      <c r="D368" s="39"/>
      <c r="E368" s="39"/>
      <c r="F368" s="39"/>
      <c r="G368" s="39"/>
      <c r="H368" s="39"/>
      <c r="I368" s="39"/>
      <c r="J368" s="39"/>
      <c r="K368" s="39"/>
      <c r="L368" s="39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</row>
    <row r="369" ht="12.75" customHeight="1">
      <c r="A369" s="45"/>
      <c r="B369" s="45"/>
      <c r="C369" s="45"/>
      <c r="D369" s="39"/>
      <c r="E369" s="39"/>
      <c r="F369" s="39"/>
      <c r="G369" s="39"/>
      <c r="H369" s="39"/>
      <c r="I369" s="39"/>
      <c r="J369" s="39"/>
      <c r="K369" s="39"/>
      <c r="L369" s="39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</row>
    <row r="370" ht="12.75" customHeight="1">
      <c r="A370" s="45"/>
      <c r="B370" s="45"/>
      <c r="C370" s="45"/>
      <c r="D370" s="39"/>
      <c r="E370" s="39"/>
      <c r="F370" s="39"/>
      <c r="G370" s="39"/>
      <c r="H370" s="39"/>
      <c r="I370" s="39"/>
      <c r="J370" s="39"/>
      <c r="K370" s="39"/>
      <c r="L370" s="39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</row>
    <row r="371" ht="12.75" customHeight="1">
      <c r="A371" s="45"/>
      <c r="B371" s="45"/>
      <c r="C371" s="45"/>
      <c r="D371" s="39"/>
      <c r="E371" s="39"/>
      <c r="F371" s="39"/>
      <c r="G371" s="39"/>
      <c r="H371" s="39"/>
      <c r="I371" s="39"/>
      <c r="J371" s="39"/>
      <c r="K371" s="39"/>
      <c r="L371" s="39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</row>
    <row r="372" ht="12.75" customHeight="1">
      <c r="A372" s="45"/>
      <c r="B372" s="45"/>
      <c r="C372" s="45"/>
      <c r="D372" s="39"/>
      <c r="E372" s="39"/>
      <c r="F372" s="39"/>
      <c r="G372" s="39"/>
      <c r="H372" s="39"/>
      <c r="I372" s="39"/>
      <c r="J372" s="39"/>
      <c r="K372" s="39"/>
      <c r="L372" s="39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</row>
    <row r="373" ht="12.75" customHeight="1">
      <c r="A373" s="45"/>
      <c r="B373" s="45"/>
      <c r="C373" s="45"/>
      <c r="D373" s="39"/>
      <c r="E373" s="39"/>
      <c r="F373" s="39"/>
      <c r="G373" s="39"/>
      <c r="H373" s="39"/>
      <c r="I373" s="39"/>
      <c r="J373" s="39"/>
      <c r="K373" s="39"/>
      <c r="L373" s="39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</row>
    <row r="374" ht="12.75" customHeight="1">
      <c r="A374" s="45"/>
      <c r="B374" s="45"/>
      <c r="C374" s="45"/>
      <c r="D374" s="39"/>
      <c r="E374" s="39"/>
      <c r="F374" s="39"/>
      <c r="G374" s="39"/>
      <c r="H374" s="39"/>
      <c r="I374" s="39"/>
      <c r="J374" s="39"/>
      <c r="K374" s="39"/>
      <c r="L374" s="39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</row>
    <row r="375" ht="12.75" customHeight="1">
      <c r="A375" s="45"/>
      <c r="B375" s="45"/>
      <c r="C375" s="45"/>
      <c r="D375" s="39"/>
      <c r="E375" s="39"/>
      <c r="F375" s="39"/>
      <c r="G375" s="39"/>
      <c r="H375" s="39"/>
      <c r="I375" s="39"/>
      <c r="J375" s="39"/>
      <c r="K375" s="39"/>
      <c r="L375" s="39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</row>
    <row r="376" ht="12.75" customHeight="1">
      <c r="A376" s="45"/>
      <c r="B376" s="45"/>
      <c r="C376" s="45"/>
      <c r="D376" s="39"/>
      <c r="E376" s="39"/>
      <c r="F376" s="39"/>
      <c r="G376" s="39"/>
      <c r="H376" s="39"/>
      <c r="I376" s="39"/>
      <c r="J376" s="39"/>
      <c r="K376" s="39"/>
      <c r="L376" s="39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</row>
    <row r="377" ht="12.75" customHeight="1">
      <c r="A377" s="45"/>
      <c r="B377" s="45"/>
      <c r="C377" s="45"/>
      <c r="D377" s="39"/>
      <c r="E377" s="39"/>
      <c r="F377" s="39"/>
      <c r="G377" s="39"/>
      <c r="H377" s="39"/>
      <c r="I377" s="39"/>
      <c r="J377" s="39"/>
      <c r="K377" s="39"/>
      <c r="L377" s="39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</row>
    <row r="378" ht="12.75" customHeight="1">
      <c r="A378" s="45"/>
      <c r="B378" s="45"/>
      <c r="C378" s="45"/>
      <c r="D378" s="39"/>
      <c r="E378" s="39"/>
      <c r="F378" s="39"/>
      <c r="G378" s="39"/>
      <c r="H378" s="39"/>
      <c r="I378" s="39"/>
      <c r="J378" s="39"/>
      <c r="K378" s="39"/>
      <c r="L378" s="39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</row>
    <row r="379" ht="12.75" customHeight="1">
      <c r="A379" s="45"/>
      <c r="B379" s="45"/>
      <c r="C379" s="45"/>
      <c r="D379" s="39"/>
      <c r="E379" s="39"/>
      <c r="F379" s="39"/>
      <c r="G379" s="39"/>
      <c r="H379" s="39"/>
      <c r="I379" s="39"/>
      <c r="J379" s="39"/>
      <c r="K379" s="39"/>
      <c r="L379" s="39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</row>
    <row r="380" ht="12.75" customHeight="1">
      <c r="A380" s="45"/>
      <c r="B380" s="45"/>
      <c r="C380" s="45"/>
      <c r="D380" s="39"/>
      <c r="E380" s="39"/>
      <c r="F380" s="39"/>
      <c r="G380" s="39"/>
      <c r="H380" s="39"/>
      <c r="I380" s="39"/>
      <c r="J380" s="39"/>
      <c r="K380" s="39"/>
      <c r="L380" s="39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</row>
    <row r="381" ht="12.75" customHeight="1">
      <c r="A381" s="45"/>
      <c r="B381" s="45"/>
      <c r="C381" s="45"/>
      <c r="D381" s="39"/>
      <c r="E381" s="39"/>
      <c r="F381" s="39"/>
      <c r="G381" s="39"/>
      <c r="H381" s="39"/>
      <c r="I381" s="39"/>
      <c r="J381" s="39"/>
      <c r="K381" s="39"/>
      <c r="L381" s="39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</row>
    <row r="382" ht="12.75" customHeight="1">
      <c r="A382" s="45"/>
      <c r="B382" s="45"/>
      <c r="C382" s="45"/>
      <c r="D382" s="39"/>
      <c r="E382" s="39"/>
      <c r="F382" s="39"/>
      <c r="G382" s="39"/>
      <c r="H382" s="39"/>
      <c r="I382" s="39"/>
      <c r="J382" s="39"/>
      <c r="K382" s="39"/>
      <c r="L382" s="39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</row>
    <row r="383" ht="12.75" customHeight="1">
      <c r="A383" s="45"/>
      <c r="B383" s="45"/>
      <c r="C383" s="45"/>
      <c r="D383" s="39"/>
      <c r="E383" s="39"/>
      <c r="F383" s="39"/>
      <c r="G383" s="39"/>
      <c r="H383" s="39"/>
      <c r="I383" s="39"/>
      <c r="J383" s="39"/>
      <c r="K383" s="39"/>
      <c r="L383" s="39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</row>
    <row r="384" ht="12.75" customHeight="1">
      <c r="A384" s="45"/>
      <c r="B384" s="45"/>
      <c r="C384" s="45"/>
      <c r="D384" s="39"/>
      <c r="E384" s="39"/>
      <c r="F384" s="39"/>
      <c r="G384" s="39"/>
      <c r="H384" s="39"/>
      <c r="I384" s="39"/>
      <c r="J384" s="39"/>
      <c r="K384" s="39"/>
      <c r="L384" s="39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</row>
    <row r="385" ht="12.75" customHeight="1">
      <c r="A385" s="45"/>
      <c r="B385" s="45"/>
      <c r="C385" s="45"/>
      <c r="D385" s="39"/>
      <c r="E385" s="39"/>
      <c r="F385" s="39"/>
      <c r="G385" s="39"/>
      <c r="H385" s="39"/>
      <c r="I385" s="39"/>
      <c r="J385" s="39"/>
      <c r="K385" s="39"/>
      <c r="L385" s="39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</row>
    <row r="386" ht="12.75" customHeight="1">
      <c r="A386" s="45"/>
      <c r="B386" s="45"/>
      <c r="C386" s="45"/>
      <c r="D386" s="39"/>
      <c r="E386" s="39"/>
      <c r="F386" s="39"/>
      <c r="G386" s="39"/>
      <c r="H386" s="39"/>
      <c r="I386" s="39"/>
      <c r="J386" s="39"/>
      <c r="K386" s="39"/>
      <c r="L386" s="39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</row>
    <row r="387" ht="12.75" customHeight="1">
      <c r="A387" s="45"/>
      <c r="B387" s="45"/>
      <c r="C387" s="45"/>
      <c r="D387" s="39"/>
      <c r="E387" s="39"/>
      <c r="F387" s="39"/>
      <c r="G387" s="39"/>
      <c r="H387" s="39"/>
      <c r="I387" s="39"/>
      <c r="J387" s="39"/>
      <c r="K387" s="39"/>
      <c r="L387" s="39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</row>
    <row r="388" ht="12.75" customHeight="1">
      <c r="A388" s="45"/>
      <c r="B388" s="45"/>
      <c r="C388" s="45"/>
      <c r="D388" s="39"/>
      <c r="E388" s="39"/>
      <c r="F388" s="39"/>
      <c r="G388" s="39"/>
      <c r="H388" s="39"/>
      <c r="I388" s="39"/>
      <c r="J388" s="39"/>
      <c r="K388" s="39"/>
      <c r="L388" s="39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</row>
    <row r="389" ht="12.75" customHeight="1">
      <c r="A389" s="45"/>
      <c r="B389" s="45"/>
      <c r="C389" s="45"/>
      <c r="D389" s="39"/>
      <c r="E389" s="39"/>
      <c r="F389" s="39"/>
      <c r="G389" s="39"/>
      <c r="H389" s="39"/>
      <c r="I389" s="39"/>
      <c r="J389" s="39"/>
      <c r="K389" s="39"/>
      <c r="L389" s="39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</row>
    <row r="390" ht="12.75" customHeight="1">
      <c r="A390" s="45"/>
      <c r="B390" s="45"/>
      <c r="C390" s="45"/>
      <c r="D390" s="39"/>
      <c r="E390" s="39"/>
      <c r="F390" s="39"/>
      <c r="G390" s="39"/>
      <c r="H390" s="39"/>
      <c r="I390" s="39"/>
      <c r="J390" s="39"/>
      <c r="K390" s="39"/>
      <c r="L390" s="39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</row>
    <row r="391" ht="12.75" customHeight="1">
      <c r="A391" s="45"/>
      <c r="B391" s="45"/>
      <c r="C391" s="45"/>
      <c r="D391" s="39"/>
      <c r="E391" s="39"/>
      <c r="F391" s="39"/>
      <c r="G391" s="39"/>
      <c r="H391" s="39"/>
      <c r="I391" s="39"/>
      <c r="J391" s="39"/>
      <c r="K391" s="39"/>
      <c r="L391" s="39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</row>
    <row r="392" ht="12.75" customHeight="1">
      <c r="A392" s="45"/>
      <c r="B392" s="45"/>
      <c r="C392" s="45"/>
      <c r="D392" s="39"/>
      <c r="E392" s="39"/>
      <c r="F392" s="39"/>
      <c r="G392" s="39"/>
      <c r="H392" s="39"/>
      <c r="I392" s="39"/>
      <c r="J392" s="39"/>
      <c r="K392" s="39"/>
      <c r="L392" s="39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</row>
    <row r="393" ht="12.75" customHeight="1">
      <c r="A393" s="45"/>
      <c r="B393" s="45"/>
      <c r="C393" s="45"/>
      <c r="D393" s="39"/>
      <c r="E393" s="39"/>
      <c r="F393" s="39"/>
      <c r="G393" s="39"/>
      <c r="H393" s="39"/>
      <c r="I393" s="39"/>
      <c r="J393" s="39"/>
      <c r="K393" s="39"/>
      <c r="L393" s="39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</row>
    <row r="394" ht="12.75" customHeight="1">
      <c r="A394" s="45"/>
      <c r="B394" s="45"/>
      <c r="C394" s="45"/>
      <c r="D394" s="39"/>
      <c r="E394" s="39"/>
      <c r="F394" s="39"/>
      <c r="G394" s="39"/>
      <c r="H394" s="39"/>
      <c r="I394" s="39"/>
      <c r="J394" s="39"/>
      <c r="K394" s="39"/>
      <c r="L394" s="39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</row>
    <row r="395" ht="12.75" customHeight="1">
      <c r="A395" s="45"/>
      <c r="B395" s="45"/>
      <c r="C395" s="45"/>
      <c r="D395" s="39"/>
      <c r="E395" s="39"/>
      <c r="F395" s="39"/>
      <c r="G395" s="39"/>
      <c r="H395" s="39"/>
      <c r="I395" s="39"/>
      <c r="J395" s="39"/>
      <c r="K395" s="39"/>
      <c r="L395" s="39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</row>
    <row r="396" ht="12.75" customHeight="1">
      <c r="A396" s="45"/>
      <c r="B396" s="45"/>
      <c r="C396" s="45"/>
      <c r="D396" s="39"/>
      <c r="E396" s="39"/>
      <c r="F396" s="39"/>
      <c r="G396" s="39"/>
      <c r="H396" s="39"/>
      <c r="I396" s="39"/>
      <c r="J396" s="39"/>
      <c r="K396" s="39"/>
      <c r="L396" s="39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</row>
    <row r="397" ht="12.75" customHeight="1">
      <c r="A397" s="45"/>
      <c r="B397" s="45"/>
      <c r="C397" s="45"/>
      <c r="D397" s="39"/>
      <c r="E397" s="39"/>
      <c r="F397" s="39"/>
      <c r="G397" s="39"/>
      <c r="H397" s="39"/>
      <c r="I397" s="39"/>
      <c r="J397" s="39"/>
      <c r="K397" s="39"/>
      <c r="L397" s="39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</row>
    <row r="398" ht="12.75" customHeight="1">
      <c r="A398" s="45"/>
      <c r="B398" s="45"/>
      <c r="C398" s="45"/>
      <c r="D398" s="39"/>
      <c r="E398" s="39"/>
      <c r="F398" s="39"/>
      <c r="G398" s="39"/>
      <c r="H398" s="39"/>
      <c r="I398" s="39"/>
      <c r="J398" s="39"/>
      <c r="K398" s="39"/>
      <c r="L398" s="39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</row>
    <row r="399" ht="12.75" customHeight="1">
      <c r="A399" s="45"/>
      <c r="B399" s="45"/>
      <c r="C399" s="45"/>
      <c r="D399" s="39"/>
      <c r="E399" s="39"/>
      <c r="F399" s="39"/>
      <c r="G399" s="39"/>
      <c r="H399" s="39"/>
      <c r="I399" s="39"/>
      <c r="J399" s="39"/>
      <c r="K399" s="39"/>
      <c r="L399" s="39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</row>
    <row r="400" ht="12.75" customHeight="1">
      <c r="A400" s="45"/>
      <c r="B400" s="45"/>
      <c r="C400" s="45"/>
      <c r="D400" s="39"/>
      <c r="E400" s="39"/>
      <c r="F400" s="39"/>
      <c r="G400" s="39"/>
      <c r="H400" s="39"/>
      <c r="I400" s="39"/>
      <c r="J400" s="39"/>
      <c r="K400" s="39"/>
      <c r="L400" s="39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</row>
    <row r="401" ht="12.75" customHeight="1">
      <c r="A401" s="45"/>
      <c r="B401" s="45"/>
      <c r="C401" s="45"/>
      <c r="D401" s="39"/>
      <c r="E401" s="39"/>
      <c r="F401" s="39"/>
      <c r="G401" s="39"/>
      <c r="H401" s="39"/>
      <c r="I401" s="39"/>
      <c r="J401" s="39"/>
      <c r="K401" s="39"/>
      <c r="L401" s="39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</row>
    <row r="402" ht="12.75" customHeight="1">
      <c r="A402" s="45"/>
      <c r="B402" s="45"/>
      <c r="C402" s="45"/>
      <c r="D402" s="39"/>
      <c r="E402" s="39"/>
      <c r="F402" s="39"/>
      <c r="G402" s="39"/>
      <c r="H402" s="39"/>
      <c r="I402" s="39"/>
      <c r="J402" s="39"/>
      <c r="K402" s="39"/>
      <c r="L402" s="39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</row>
    <row r="403" ht="12.75" customHeight="1">
      <c r="A403" s="45"/>
      <c r="B403" s="45"/>
      <c r="C403" s="45"/>
      <c r="D403" s="39"/>
      <c r="E403" s="39"/>
      <c r="F403" s="39"/>
      <c r="G403" s="39"/>
      <c r="H403" s="39"/>
      <c r="I403" s="39"/>
      <c r="J403" s="39"/>
      <c r="K403" s="39"/>
      <c r="L403" s="39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</row>
    <row r="404" ht="12.75" customHeight="1">
      <c r="A404" s="45"/>
      <c r="B404" s="45"/>
      <c r="C404" s="45"/>
      <c r="D404" s="39"/>
      <c r="E404" s="39"/>
      <c r="F404" s="39"/>
      <c r="G404" s="39"/>
      <c r="H404" s="39"/>
      <c r="I404" s="39"/>
      <c r="J404" s="39"/>
      <c r="K404" s="39"/>
      <c r="L404" s="39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</row>
    <row r="405" ht="12.75" customHeight="1">
      <c r="A405" s="45"/>
      <c r="B405" s="45"/>
      <c r="C405" s="45"/>
      <c r="D405" s="39"/>
      <c r="E405" s="39"/>
      <c r="F405" s="39"/>
      <c r="G405" s="39"/>
      <c r="H405" s="39"/>
      <c r="I405" s="39"/>
      <c r="J405" s="39"/>
      <c r="K405" s="39"/>
      <c r="L405" s="39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</row>
    <row r="406" ht="12.75" customHeight="1">
      <c r="A406" s="45"/>
      <c r="B406" s="45"/>
      <c r="C406" s="45"/>
      <c r="D406" s="39"/>
      <c r="E406" s="39"/>
      <c r="F406" s="39"/>
      <c r="G406" s="39"/>
      <c r="H406" s="39"/>
      <c r="I406" s="39"/>
      <c r="J406" s="39"/>
      <c r="K406" s="39"/>
      <c r="L406" s="39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</row>
    <row r="407" ht="12.75" customHeight="1">
      <c r="A407" s="45"/>
      <c r="B407" s="45"/>
      <c r="C407" s="45"/>
      <c r="D407" s="39"/>
      <c r="E407" s="39"/>
      <c r="F407" s="39"/>
      <c r="G407" s="39"/>
      <c r="H407" s="39"/>
      <c r="I407" s="39"/>
      <c r="J407" s="39"/>
      <c r="K407" s="39"/>
      <c r="L407" s="39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</row>
    <row r="408" ht="12.75" customHeight="1">
      <c r="A408" s="45"/>
      <c r="B408" s="45"/>
      <c r="C408" s="45"/>
      <c r="D408" s="39"/>
      <c r="E408" s="39"/>
      <c r="F408" s="39"/>
      <c r="G408" s="39"/>
      <c r="H408" s="39"/>
      <c r="I408" s="39"/>
      <c r="J408" s="39"/>
      <c r="K408" s="39"/>
      <c r="L408" s="39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</row>
    <row r="409" ht="12.75" customHeight="1">
      <c r="A409" s="45"/>
      <c r="B409" s="45"/>
      <c r="C409" s="45"/>
      <c r="D409" s="39"/>
      <c r="E409" s="39"/>
      <c r="F409" s="39"/>
      <c r="G409" s="39"/>
      <c r="H409" s="39"/>
      <c r="I409" s="39"/>
      <c r="J409" s="39"/>
      <c r="K409" s="39"/>
      <c r="L409" s="39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</row>
    <row r="410" ht="12.75" customHeight="1">
      <c r="A410" s="45"/>
      <c r="B410" s="45"/>
      <c r="C410" s="45"/>
      <c r="D410" s="39"/>
      <c r="E410" s="39"/>
      <c r="F410" s="39"/>
      <c r="G410" s="39"/>
      <c r="H410" s="39"/>
      <c r="I410" s="39"/>
      <c r="J410" s="39"/>
      <c r="K410" s="39"/>
      <c r="L410" s="39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</row>
    <row r="411" ht="12.75" customHeight="1">
      <c r="A411" s="45"/>
      <c r="B411" s="45"/>
      <c r="C411" s="45"/>
      <c r="D411" s="39"/>
      <c r="E411" s="39"/>
      <c r="F411" s="39"/>
      <c r="G411" s="39"/>
      <c r="H411" s="39"/>
      <c r="I411" s="39"/>
      <c r="J411" s="39"/>
      <c r="K411" s="39"/>
      <c r="L411" s="39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</row>
    <row r="412" ht="12.75" customHeight="1">
      <c r="A412" s="45"/>
      <c r="B412" s="45"/>
      <c r="C412" s="45"/>
      <c r="D412" s="39"/>
      <c r="E412" s="39"/>
      <c r="F412" s="39"/>
      <c r="G412" s="39"/>
      <c r="H412" s="39"/>
      <c r="I412" s="39"/>
      <c r="J412" s="39"/>
      <c r="K412" s="39"/>
      <c r="L412" s="39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</row>
    <row r="413" ht="12.75" customHeight="1">
      <c r="A413" s="45"/>
      <c r="B413" s="45"/>
      <c r="C413" s="45"/>
      <c r="D413" s="39"/>
      <c r="E413" s="39"/>
      <c r="F413" s="39"/>
      <c r="G413" s="39"/>
      <c r="H413" s="39"/>
      <c r="I413" s="39"/>
      <c r="J413" s="39"/>
      <c r="K413" s="39"/>
      <c r="L413" s="39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</row>
    <row r="414" ht="12.75" customHeight="1">
      <c r="A414" s="45"/>
      <c r="B414" s="45"/>
      <c r="C414" s="45"/>
      <c r="D414" s="39"/>
      <c r="E414" s="39"/>
      <c r="F414" s="39"/>
      <c r="G414" s="39"/>
      <c r="H414" s="39"/>
      <c r="I414" s="39"/>
      <c r="J414" s="39"/>
      <c r="K414" s="39"/>
      <c r="L414" s="39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</row>
    <row r="415" ht="12.75" customHeight="1">
      <c r="A415" s="45"/>
      <c r="B415" s="45"/>
      <c r="C415" s="45"/>
      <c r="D415" s="39"/>
      <c r="E415" s="39"/>
      <c r="F415" s="39"/>
      <c r="G415" s="39"/>
      <c r="H415" s="39"/>
      <c r="I415" s="39"/>
      <c r="J415" s="39"/>
      <c r="K415" s="39"/>
      <c r="L415" s="39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</row>
    <row r="416" ht="12.75" customHeight="1">
      <c r="A416" s="45"/>
      <c r="B416" s="45"/>
      <c r="C416" s="45"/>
      <c r="D416" s="39"/>
      <c r="E416" s="39"/>
      <c r="F416" s="39"/>
      <c r="G416" s="39"/>
      <c r="H416" s="39"/>
      <c r="I416" s="39"/>
      <c r="J416" s="39"/>
      <c r="K416" s="39"/>
      <c r="L416" s="39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</row>
    <row r="417" ht="12.75" customHeight="1">
      <c r="A417" s="45"/>
      <c r="B417" s="45"/>
      <c r="C417" s="45"/>
      <c r="D417" s="39"/>
      <c r="E417" s="39"/>
      <c r="F417" s="39"/>
      <c r="G417" s="39"/>
      <c r="H417" s="39"/>
      <c r="I417" s="39"/>
      <c r="J417" s="39"/>
      <c r="K417" s="39"/>
      <c r="L417" s="39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</row>
    <row r="418" ht="12.75" customHeight="1">
      <c r="A418" s="45"/>
      <c r="B418" s="45"/>
      <c r="C418" s="45"/>
      <c r="D418" s="39"/>
      <c r="E418" s="39"/>
      <c r="F418" s="39"/>
      <c r="G418" s="39"/>
      <c r="H418" s="39"/>
      <c r="I418" s="39"/>
      <c r="J418" s="39"/>
      <c r="K418" s="39"/>
      <c r="L418" s="39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</row>
    <row r="419" ht="12.75" customHeight="1">
      <c r="A419" s="45"/>
      <c r="B419" s="45"/>
      <c r="C419" s="45"/>
      <c r="D419" s="39"/>
      <c r="E419" s="39"/>
      <c r="F419" s="39"/>
      <c r="G419" s="39"/>
      <c r="H419" s="39"/>
      <c r="I419" s="39"/>
      <c r="J419" s="39"/>
      <c r="K419" s="39"/>
      <c r="L419" s="39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</row>
    <row r="420" ht="12.75" customHeight="1">
      <c r="A420" s="45"/>
      <c r="B420" s="45"/>
      <c r="C420" s="45"/>
      <c r="D420" s="39"/>
      <c r="E420" s="39"/>
      <c r="F420" s="39"/>
      <c r="G420" s="39"/>
      <c r="H420" s="39"/>
      <c r="I420" s="39"/>
      <c r="J420" s="39"/>
      <c r="K420" s="39"/>
      <c r="L420" s="39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</row>
    <row r="421" ht="12.75" customHeight="1">
      <c r="A421" s="45"/>
      <c r="B421" s="45"/>
      <c r="C421" s="45"/>
      <c r="D421" s="39"/>
      <c r="E421" s="39"/>
      <c r="F421" s="39"/>
      <c r="G421" s="39"/>
      <c r="H421" s="39"/>
      <c r="I421" s="39"/>
      <c r="J421" s="39"/>
      <c r="K421" s="39"/>
      <c r="L421" s="39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</row>
    <row r="422" ht="12.75" customHeight="1">
      <c r="A422" s="45"/>
      <c r="B422" s="45"/>
      <c r="C422" s="45"/>
      <c r="D422" s="39"/>
      <c r="E422" s="39"/>
      <c r="F422" s="39"/>
      <c r="G422" s="39"/>
      <c r="H422" s="39"/>
      <c r="I422" s="39"/>
      <c r="J422" s="39"/>
      <c r="K422" s="39"/>
      <c r="L422" s="39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</row>
    <row r="423" ht="12.75" customHeight="1">
      <c r="A423" s="45"/>
      <c r="B423" s="45"/>
      <c r="C423" s="45"/>
      <c r="D423" s="39"/>
      <c r="E423" s="39"/>
      <c r="F423" s="39"/>
      <c r="G423" s="39"/>
      <c r="H423" s="39"/>
      <c r="I423" s="39"/>
      <c r="J423" s="39"/>
      <c r="K423" s="39"/>
      <c r="L423" s="39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</row>
    <row r="424" ht="12.75" customHeight="1">
      <c r="A424" s="45"/>
      <c r="B424" s="45"/>
      <c r="C424" s="45"/>
      <c r="D424" s="39"/>
      <c r="E424" s="39"/>
      <c r="F424" s="39"/>
      <c r="G424" s="39"/>
      <c r="H424" s="39"/>
      <c r="I424" s="39"/>
      <c r="J424" s="39"/>
      <c r="K424" s="39"/>
      <c r="L424" s="39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</row>
    <row r="425" ht="12.75" customHeight="1">
      <c r="A425" s="45"/>
      <c r="B425" s="45"/>
      <c r="C425" s="45"/>
      <c r="D425" s="39"/>
      <c r="E425" s="39"/>
      <c r="F425" s="39"/>
      <c r="G425" s="39"/>
      <c r="H425" s="39"/>
      <c r="I425" s="39"/>
      <c r="J425" s="39"/>
      <c r="K425" s="39"/>
      <c r="L425" s="39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</row>
    <row r="426" ht="12.75" customHeight="1">
      <c r="A426" s="45"/>
      <c r="B426" s="45"/>
      <c r="C426" s="45"/>
      <c r="D426" s="39"/>
      <c r="E426" s="39"/>
      <c r="F426" s="39"/>
      <c r="G426" s="39"/>
      <c r="H426" s="39"/>
      <c r="I426" s="39"/>
      <c r="J426" s="39"/>
      <c r="K426" s="39"/>
      <c r="L426" s="39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</row>
    <row r="427" ht="12.75" customHeight="1">
      <c r="A427" s="45"/>
      <c r="B427" s="45"/>
      <c r="C427" s="45"/>
      <c r="D427" s="39"/>
      <c r="E427" s="39"/>
      <c r="F427" s="39"/>
      <c r="G427" s="39"/>
      <c r="H427" s="39"/>
      <c r="I427" s="39"/>
      <c r="J427" s="39"/>
      <c r="K427" s="39"/>
      <c r="L427" s="39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</row>
    <row r="428" ht="12.75" customHeight="1">
      <c r="A428" s="45"/>
      <c r="B428" s="45"/>
      <c r="C428" s="45"/>
      <c r="D428" s="39"/>
      <c r="E428" s="39"/>
      <c r="F428" s="39"/>
      <c r="G428" s="39"/>
      <c r="H428" s="39"/>
      <c r="I428" s="39"/>
      <c r="J428" s="39"/>
      <c r="K428" s="39"/>
      <c r="L428" s="39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</row>
    <row r="429" ht="12.75" customHeight="1">
      <c r="A429" s="45"/>
      <c r="B429" s="45"/>
      <c r="C429" s="45"/>
      <c r="D429" s="39"/>
      <c r="E429" s="39"/>
      <c r="F429" s="39"/>
      <c r="G429" s="39"/>
      <c r="H429" s="39"/>
      <c r="I429" s="39"/>
      <c r="J429" s="39"/>
      <c r="K429" s="39"/>
      <c r="L429" s="39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</row>
    <row r="430" ht="12.75" customHeight="1">
      <c r="A430" s="45"/>
      <c r="B430" s="45"/>
      <c r="C430" s="45"/>
      <c r="D430" s="39"/>
      <c r="E430" s="39"/>
      <c r="F430" s="39"/>
      <c r="G430" s="39"/>
      <c r="H430" s="39"/>
      <c r="I430" s="39"/>
      <c r="J430" s="39"/>
      <c r="K430" s="39"/>
      <c r="L430" s="39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</row>
    <row r="431" ht="12.75" customHeight="1">
      <c r="A431" s="45"/>
      <c r="B431" s="45"/>
      <c r="C431" s="45"/>
      <c r="D431" s="39"/>
      <c r="E431" s="39"/>
      <c r="F431" s="39"/>
      <c r="G431" s="39"/>
      <c r="H431" s="39"/>
      <c r="I431" s="39"/>
      <c r="J431" s="39"/>
      <c r="K431" s="39"/>
      <c r="L431" s="39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</row>
    <row r="432" ht="12.75" customHeight="1">
      <c r="A432" s="45"/>
      <c r="B432" s="45"/>
      <c r="C432" s="45"/>
      <c r="D432" s="39"/>
      <c r="E432" s="39"/>
      <c r="F432" s="39"/>
      <c r="G432" s="39"/>
      <c r="H432" s="39"/>
      <c r="I432" s="39"/>
      <c r="J432" s="39"/>
      <c r="K432" s="39"/>
      <c r="L432" s="39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</row>
    <row r="433" ht="12.75" customHeight="1">
      <c r="A433" s="45"/>
      <c r="B433" s="45"/>
      <c r="C433" s="45"/>
      <c r="D433" s="39"/>
      <c r="E433" s="39"/>
      <c r="F433" s="39"/>
      <c r="G433" s="39"/>
      <c r="H433" s="39"/>
      <c r="I433" s="39"/>
      <c r="J433" s="39"/>
      <c r="K433" s="39"/>
      <c r="L433" s="39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</row>
    <row r="434" ht="12.75" customHeight="1">
      <c r="A434" s="45"/>
      <c r="B434" s="45"/>
      <c r="C434" s="45"/>
      <c r="D434" s="39"/>
      <c r="E434" s="39"/>
      <c r="F434" s="39"/>
      <c r="G434" s="39"/>
      <c r="H434" s="39"/>
      <c r="I434" s="39"/>
      <c r="J434" s="39"/>
      <c r="K434" s="39"/>
      <c r="L434" s="39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</row>
    <row r="435" ht="12.75" customHeight="1">
      <c r="A435" s="45"/>
      <c r="B435" s="45"/>
      <c r="C435" s="45"/>
      <c r="D435" s="39"/>
      <c r="E435" s="39"/>
      <c r="F435" s="39"/>
      <c r="G435" s="39"/>
      <c r="H435" s="39"/>
      <c r="I435" s="39"/>
      <c r="J435" s="39"/>
      <c r="K435" s="39"/>
      <c r="L435" s="39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</row>
    <row r="436" ht="12.75" customHeight="1">
      <c r="A436" s="45"/>
      <c r="B436" s="45"/>
      <c r="C436" s="45"/>
      <c r="D436" s="39"/>
      <c r="E436" s="39"/>
      <c r="F436" s="39"/>
      <c r="G436" s="39"/>
      <c r="H436" s="39"/>
      <c r="I436" s="39"/>
      <c r="J436" s="39"/>
      <c r="K436" s="39"/>
      <c r="L436" s="39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</row>
    <row r="437" ht="12.75" customHeight="1">
      <c r="A437" s="45"/>
      <c r="B437" s="45"/>
      <c r="C437" s="45"/>
      <c r="D437" s="39"/>
      <c r="E437" s="39"/>
      <c r="F437" s="39"/>
      <c r="G437" s="39"/>
      <c r="H437" s="39"/>
      <c r="I437" s="39"/>
      <c r="J437" s="39"/>
      <c r="K437" s="39"/>
      <c r="L437" s="39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</row>
    <row r="438" ht="12.75" customHeight="1">
      <c r="A438" s="45"/>
      <c r="B438" s="45"/>
      <c r="C438" s="45"/>
      <c r="D438" s="39"/>
      <c r="E438" s="39"/>
      <c r="F438" s="39"/>
      <c r="G438" s="39"/>
      <c r="H438" s="39"/>
      <c r="I438" s="39"/>
      <c r="J438" s="39"/>
      <c r="K438" s="39"/>
      <c r="L438" s="39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</row>
    <row r="439" ht="12.75" customHeight="1">
      <c r="A439" s="45"/>
      <c r="B439" s="45"/>
      <c r="C439" s="45"/>
      <c r="D439" s="39"/>
      <c r="E439" s="39"/>
      <c r="F439" s="39"/>
      <c r="G439" s="39"/>
      <c r="H439" s="39"/>
      <c r="I439" s="39"/>
      <c r="J439" s="39"/>
      <c r="K439" s="39"/>
      <c r="L439" s="39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</row>
    <row r="440" ht="12.75" customHeight="1">
      <c r="A440" s="45"/>
      <c r="B440" s="45"/>
      <c r="C440" s="45"/>
      <c r="D440" s="39"/>
      <c r="E440" s="39"/>
      <c r="F440" s="39"/>
      <c r="G440" s="39"/>
      <c r="H440" s="39"/>
      <c r="I440" s="39"/>
      <c r="J440" s="39"/>
      <c r="K440" s="39"/>
      <c r="L440" s="39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</row>
    <row r="441" ht="12.75" customHeight="1">
      <c r="A441" s="45"/>
      <c r="B441" s="45"/>
      <c r="C441" s="45"/>
      <c r="D441" s="39"/>
      <c r="E441" s="39"/>
      <c r="F441" s="39"/>
      <c r="G441" s="39"/>
      <c r="H441" s="39"/>
      <c r="I441" s="39"/>
      <c r="J441" s="39"/>
      <c r="K441" s="39"/>
      <c r="L441" s="39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</row>
    <row r="442" ht="12.75" customHeight="1">
      <c r="A442" s="45"/>
      <c r="B442" s="45"/>
      <c r="C442" s="45"/>
      <c r="D442" s="39"/>
      <c r="E442" s="39"/>
      <c r="F442" s="39"/>
      <c r="G442" s="39"/>
      <c r="H442" s="39"/>
      <c r="I442" s="39"/>
      <c r="J442" s="39"/>
      <c r="K442" s="39"/>
      <c r="L442" s="39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</row>
    <row r="443" ht="12.75" customHeight="1">
      <c r="A443" s="45"/>
      <c r="B443" s="45"/>
      <c r="C443" s="45"/>
      <c r="D443" s="39"/>
      <c r="E443" s="39"/>
      <c r="F443" s="39"/>
      <c r="G443" s="39"/>
      <c r="H443" s="39"/>
      <c r="I443" s="39"/>
      <c r="J443" s="39"/>
      <c r="K443" s="39"/>
      <c r="L443" s="39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</row>
    <row r="444" ht="12.75" customHeight="1">
      <c r="A444" s="45"/>
      <c r="B444" s="45"/>
      <c r="C444" s="45"/>
      <c r="D444" s="39"/>
      <c r="E444" s="39"/>
      <c r="F444" s="39"/>
      <c r="G444" s="39"/>
      <c r="H444" s="39"/>
      <c r="I444" s="39"/>
      <c r="J444" s="39"/>
      <c r="K444" s="39"/>
      <c r="L444" s="39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</row>
    <row r="445" ht="12.75" customHeight="1">
      <c r="A445" s="45"/>
      <c r="B445" s="45"/>
      <c r="C445" s="45"/>
      <c r="D445" s="39"/>
      <c r="E445" s="39"/>
      <c r="F445" s="39"/>
      <c r="G445" s="39"/>
      <c r="H445" s="39"/>
      <c r="I445" s="39"/>
      <c r="J445" s="39"/>
      <c r="K445" s="39"/>
      <c r="L445" s="39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</row>
    <row r="446" ht="12.75" customHeight="1">
      <c r="A446" s="45"/>
      <c r="B446" s="45"/>
      <c r="C446" s="45"/>
      <c r="D446" s="39"/>
      <c r="E446" s="39"/>
      <c r="F446" s="39"/>
      <c r="G446" s="39"/>
      <c r="H446" s="39"/>
      <c r="I446" s="39"/>
      <c r="J446" s="39"/>
      <c r="K446" s="39"/>
      <c r="L446" s="39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</row>
    <row r="447" ht="12.75" customHeight="1">
      <c r="A447" s="45"/>
      <c r="B447" s="45"/>
      <c r="C447" s="45"/>
      <c r="D447" s="39"/>
      <c r="E447" s="39"/>
      <c r="F447" s="39"/>
      <c r="G447" s="39"/>
      <c r="H447" s="39"/>
      <c r="I447" s="39"/>
      <c r="J447" s="39"/>
      <c r="K447" s="39"/>
      <c r="L447" s="39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</row>
    <row r="448" ht="12.75" customHeight="1">
      <c r="A448" s="45"/>
      <c r="B448" s="45"/>
      <c r="C448" s="45"/>
      <c r="D448" s="39"/>
      <c r="E448" s="39"/>
      <c r="F448" s="39"/>
      <c r="G448" s="39"/>
      <c r="H448" s="39"/>
      <c r="I448" s="39"/>
      <c r="J448" s="39"/>
      <c r="K448" s="39"/>
      <c r="L448" s="39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</row>
    <row r="449" ht="12.75" customHeight="1">
      <c r="A449" s="45"/>
      <c r="B449" s="45"/>
      <c r="C449" s="45"/>
      <c r="D449" s="39"/>
      <c r="E449" s="39"/>
      <c r="F449" s="39"/>
      <c r="G449" s="39"/>
      <c r="H449" s="39"/>
      <c r="I449" s="39"/>
      <c r="J449" s="39"/>
      <c r="K449" s="39"/>
      <c r="L449" s="39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</row>
    <row r="450" ht="12.75" customHeight="1">
      <c r="A450" s="45"/>
      <c r="B450" s="45"/>
      <c r="C450" s="45"/>
      <c r="D450" s="39"/>
      <c r="E450" s="39"/>
      <c r="F450" s="39"/>
      <c r="G450" s="39"/>
      <c r="H450" s="39"/>
      <c r="I450" s="39"/>
      <c r="J450" s="39"/>
      <c r="K450" s="39"/>
      <c r="L450" s="39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</row>
    <row r="451" ht="12.75" customHeight="1">
      <c r="A451" s="45"/>
      <c r="B451" s="45"/>
      <c r="C451" s="45"/>
      <c r="D451" s="39"/>
      <c r="E451" s="39"/>
      <c r="F451" s="39"/>
      <c r="G451" s="39"/>
      <c r="H451" s="39"/>
      <c r="I451" s="39"/>
      <c r="J451" s="39"/>
      <c r="K451" s="39"/>
      <c r="L451" s="39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</row>
    <row r="452" ht="12.75" customHeight="1">
      <c r="A452" s="45"/>
      <c r="B452" s="45"/>
      <c r="C452" s="45"/>
      <c r="D452" s="39"/>
      <c r="E452" s="39"/>
      <c r="F452" s="39"/>
      <c r="G452" s="39"/>
      <c r="H452" s="39"/>
      <c r="I452" s="39"/>
      <c r="J452" s="39"/>
      <c r="K452" s="39"/>
      <c r="L452" s="39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</row>
    <row r="453" ht="12.75" customHeight="1">
      <c r="A453" s="45"/>
      <c r="B453" s="45"/>
      <c r="C453" s="45"/>
      <c r="D453" s="39"/>
      <c r="E453" s="39"/>
      <c r="F453" s="39"/>
      <c r="G453" s="39"/>
      <c r="H453" s="39"/>
      <c r="I453" s="39"/>
      <c r="J453" s="39"/>
      <c r="K453" s="39"/>
      <c r="L453" s="39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</row>
    <row r="454" ht="12.75" customHeight="1">
      <c r="A454" s="45"/>
      <c r="B454" s="45"/>
      <c r="C454" s="45"/>
      <c r="D454" s="39"/>
      <c r="E454" s="39"/>
      <c r="F454" s="39"/>
      <c r="G454" s="39"/>
      <c r="H454" s="39"/>
      <c r="I454" s="39"/>
      <c r="J454" s="39"/>
      <c r="K454" s="39"/>
      <c r="L454" s="39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</row>
    <row r="455" ht="12.75" customHeight="1">
      <c r="A455" s="45"/>
      <c r="B455" s="45"/>
      <c r="C455" s="45"/>
      <c r="D455" s="39"/>
      <c r="E455" s="39"/>
      <c r="F455" s="39"/>
      <c r="G455" s="39"/>
      <c r="H455" s="39"/>
      <c r="I455" s="39"/>
      <c r="J455" s="39"/>
      <c r="K455" s="39"/>
      <c r="L455" s="39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</row>
    <row r="456" ht="12.75" customHeight="1">
      <c r="A456" s="45"/>
      <c r="B456" s="45"/>
      <c r="C456" s="45"/>
      <c r="D456" s="39"/>
      <c r="E456" s="39"/>
      <c r="F456" s="39"/>
      <c r="G456" s="39"/>
      <c r="H456" s="39"/>
      <c r="I456" s="39"/>
      <c r="J456" s="39"/>
      <c r="K456" s="39"/>
      <c r="L456" s="39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</row>
    <row r="457" ht="12.75" customHeight="1">
      <c r="A457" s="45"/>
      <c r="B457" s="45"/>
      <c r="C457" s="45"/>
      <c r="D457" s="39"/>
      <c r="E457" s="39"/>
      <c r="F457" s="39"/>
      <c r="G457" s="39"/>
      <c r="H457" s="39"/>
      <c r="I457" s="39"/>
      <c r="J457" s="39"/>
      <c r="K457" s="39"/>
      <c r="L457" s="39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</row>
    <row r="458" ht="12.75" customHeight="1">
      <c r="A458" s="45"/>
      <c r="B458" s="45"/>
      <c r="C458" s="45"/>
      <c r="D458" s="39"/>
      <c r="E458" s="39"/>
      <c r="F458" s="39"/>
      <c r="G458" s="39"/>
      <c r="H458" s="39"/>
      <c r="I458" s="39"/>
      <c r="J458" s="39"/>
      <c r="K458" s="39"/>
      <c r="L458" s="39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</row>
    <row r="459" ht="12.75" customHeight="1">
      <c r="A459" s="45"/>
      <c r="B459" s="45"/>
      <c r="C459" s="45"/>
      <c r="D459" s="39"/>
      <c r="E459" s="39"/>
      <c r="F459" s="39"/>
      <c r="G459" s="39"/>
      <c r="H459" s="39"/>
      <c r="I459" s="39"/>
      <c r="J459" s="39"/>
      <c r="K459" s="39"/>
      <c r="L459" s="39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</row>
    <row r="460" ht="12.75" customHeight="1">
      <c r="A460" s="45"/>
      <c r="B460" s="45"/>
      <c r="C460" s="45"/>
      <c r="D460" s="39"/>
      <c r="E460" s="39"/>
      <c r="F460" s="39"/>
      <c r="G460" s="39"/>
      <c r="H460" s="39"/>
      <c r="I460" s="39"/>
      <c r="J460" s="39"/>
      <c r="K460" s="39"/>
      <c r="L460" s="39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</row>
    <row r="461" ht="12.75" customHeight="1">
      <c r="A461" s="45"/>
      <c r="B461" s="45"/>
      <c r="C461" s="45"/>
      <c r="D461" s="39"/>
      <c r="E461" s="39"/>
      <c r="F461" s="39"/>
      <c r="G461" s="39"/>
      <c r="H461" s="39"/>
      <c r="I461" s="39"/>
      <c r="J461" s="39"/>
      <c r="K461" s="39"/>
      <c r="L461" s="39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</row>
    <row r="462" ht="12.75" customHeight="1">
      <c r="A462" s="45"/>
      <c r="B462" s="45"/>
      <c r="C462" s="45"/>
      <c r="D462" s="39"/>
      <c r="E462" s="39"/>
      <c r="F462" s="39"/>
      <c r="G462" s="39"/>
      <c r="H462" s="39"/>
      <c r="I462" s="39"/>
      <c r="J462" s="39"/>
      <c r="K462" s="39"/>
      <c r="L462" s="39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</row>
    <row r="463" ht="12.75" customHeight="1">
      <c r="A463" s="45"/>
      <c r="B463" s="45"/>
      <c r="C463" s="45"/>
      <c r="D463" s="39"/>
      <c r="E463" s="39"/>
      <c r="F463" s="39"/>
      <c r="G463" s="39"/>
      <c r="H463" s="39"/>
      <c r="I463" s="39"/>
      <c r="J463" s="39"/>
      <c r="K463" s="39"/>
      <c r="L463" s="39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</row>
    <row r="464" ht="12.75" customHeight="1">
      <c r="A464" s="45"/>
      <c r="B464" s="45"/>
      <c r="C464" s="45"/>
      <c r="D464" s="39"/>
      <c r="E464" s="39"/>
      <c r="F464" s="39"/>
      <c r="G464" s="39"/>
      <c r="H464" s="39"/>
      <c r="I464" s="39"/>
      <c r="J464" s="39"/>
      <c r="K464" s="39"/>
      <c r="L464" s="39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</row>
    <row r="465" ht="12.75" customHeight="1">
      <c r="A465" s="45"/>
      <c r="B465" s="45"/>
      <c r="C465" s="45"/>
      <c r="D465" s="39"/>
      <c r="E465" s="39"/>
      <c r="F465" s="39"/>
      <c r="G465" s="39"/>
      <c r="H465" s="39"/>
      <c r="I465" s="39"/>
      <c r="J465" s="39"/>
      <c r="K465" s="39"/>
      <c r="L465" s="39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</row>
    <row r="466" ht="12.75" customHeight="1">
      <c r="A466" s="45"/>
      <c r="B466" s="45"/>
      <c r="C466" s="45"/>
      <c r="D466" s="39"/>
      <c r="E466" s="39"/>
      <c r="F466" s="39"/>
      <c r="G466" s="39"/>
      <c r="H466" s="39"/>
      <c r="I466" s="39"/>
      <c r="J466" s="39"/>
      <c r="K466" s="39"/>
      <c r="L466" s="39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</row>
    <row r="467" ht="12.75" customHeight="1">
      <c r="A467" s="45"/>
      <c r="B467" s="45"/>
      <c r="C467" s="45"/>
      <c r="D467" s="39"/>
      <c r="E467" s="39"/>
      <c r="F467" s="39"/>
      <c r="G467" s="39"/>
      <c r="H467" s="39"/>
      <c r="I467" s="39"/>
      <c r="J467" s="39"/>
      <c r="K467" s="39"/>
      <c r="L467" s="39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</row>
    <row r="468" ht="12.75" customHeight="1">
      <c r="A468" s="45"/>
      <c r="B468" s="45"/>
      <c r="C468" s="45"/>
      <c r="D468" s="39"/>
      <c r="E468" s="39"/>
      <c r="F468" s="39"/>
      <c r="G468" s="39"/>
      <c r="H468" s="39"/>
      <c r="I468" s="39"/>
      <c r="J468" s="39"/>
      <c r="K468" s="39"/>
      <c r="L468" s="39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</row>
    <row r="469" ht="12.75" customHeight="1">
      <c r="A469" s="45"/>
      <c r="B469" s="45"/>
      <c r="C469" s="45"/>
      <c r="D469" s="39"/>
      <c r="E469" s="39"/>
      <c r="F469" s="39"/>
      <c r="G469" s="39"/>
      <c r="H469" s="39"/>
      <c r="I469" s="39"/>
      <c r="J469" s="39"/>
      <c r="K469" s="39"/>
      <c r="L469" s="39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</row>
    <row r="470" ht="12.75" customHeight="1">
      <c r="A470" s="45"/>
      <c r="B470" s="45"/>
      <c r="C470" s="45"/>
      <c r="D470" s="39"/>
      <c r="E470" s="39"/>
      <c r="F470" s="39"/>
      <c r="G470" s="39"/>
      <c r="H470" s="39"/>
      <c r="I470" s="39"/>
      <c r="J470" s="39"/>
      <c r="K470" s="39"/>
      <c r="L470" s="39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</row>
    <row r="471" ht="12.75" customHeight="1">
      <c r="A471" s="45"/>
      <c r="B471" s="45"/>
      <c r="C471" s="45"/>
      <c r="D471" s="39"/>
      <c r="E471" s="39"/>
      <c r="F471" s="39"/>
      <c r="G471" s="39"/>
      <c r="H471" s="39"/>
      <c r="I471" s="39"/>
      <c r="J471" s="39"/>
      <c r="K471" s="39"/>
      <c r="L471" s="39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</row>
    <row r="472" ht="12.75" customHeight="1">
      <c r="A472" s="45"/>
      <c r="B472" s="45"/>
      <c r="C472" s="45"/>
      <c r="D472" s="39"/>
      <c r="E472" s="39"/>
      <c r="F472" s="39"/>
      <c r="G472" s="39"/>
      <c r="H472" s="39"/>
      <c r="I472" s="39"/>
      <c r="J472" s="39"/>
      <c r="K472" s="39"/>
      <c r="L472" s="39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</row>
    <row r="473" ht="12.75" customHeight="1">
      <c r="A473" s="45"/>
      <c r="B473" s="45"/>
      <c r="C473" s="45"/>
      <c r="D473" s="39"/>
      <c r="E473" s="39"/>
      <c r="F473" s="39"/>
      <c r="G473" s="39"/>
      <c r="H473" s="39"/>
      <c r="I473" s="39"/>
      <c r="J473" s="39"/>
      <c r="K473" s="39"/>
      <c r="L473" s="39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</row>
    <row r="474" ht="12.75" customHeight="1">
      <c r="A474" s="45"/>
      <c r="B474" s="45"/>
      <c r="C474" s="45"/>
      <c r="D474" s="39"/>
      <c r="E474" s="39"/>
      <c r="F474" s="39"/>
      <c r="G474" s="39"/>
      <c r="H474" s="39"/>
      <c r="I474" s="39"/>
      <c r="J474" s="39"/>
      <c r="K474" s="39"/>
      <c r="L474" s="39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</row>
    <row r="475" ht="12.75" customHeight="1">
      <c r="A475" s="45"/>
      <c r="B475" s="45"/>
      <c r="C475" s="45"/>
      <c r="D475" s="39"/>
      <c r="E475" s="39"/>
      <c r="F475" s="39"/>
      <c r="G475" s="39"/>
      <c r="H475" s="39"/>
      <c r="I475" s="39"/>
      <c r="J475" s="39"/>
      <c r="K475" s="39"/>
      <c r="L475" s="39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</row>
    <row r="476" ht="12.75" customHeight="1">
      <c r="A476" s="45"/>
      <c r="B476" s="45"/>
      <c r="C476" s="45"/>
      <c r="D476" s="39"/>
      <c r="E476" s="39"/>
      <c r="F476" s="39"/>
      <c r="G476" s="39"/>
      <c r="H476" s="39"/>
      <c r="I476" s="39"/>
      <c r="J476" s="39"/>
      <c r="K476" s="39"/>
      <c r="L476" s="39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</row>
    <row r="477" ht="12.75" customHeight="1">
      <c r="A477" s="45"/>
      <c r="B477" s="45"/>
      <c r="C477" s="45"/>
      <c r="D477" s="39"/>
      <c r="E477" s="39"/>
      <c r="F477" s="39"/>
      <c r="G477" s="39"/>
      <c r="H477" s="39"/>
      <c r="I477" s="39"/>
      <c r="J477" s="39"/>
      <c r="K477" s="39"/>
      <c r="L477" s="39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</row>
    <row r="478" ht="12.75" customHeight="1">
      <c r="A478" s="45"/>
      <c r="B478" s="45"/>
      <c r="C478" s="45"/>
      <c r="D478" s="39"/>
      <c r="E478" s="39"/>
      <c r="F478" s="39"/>
      <c r="G478" s="39"/>
      <c r="H478" s="39"/>
      <c r="I478" s="39"/>
      <c r="J478" s="39"/>
      <c r="K478" s="39"/>
      <c r="L478" s="39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</row>
    <row r="479" ht="12.75" customHeight="1">
      <c r="A479" s="45"/>
      <c r="B479" s="45"/>
      <c r="C479" s="45"/>
      <c r="D479" s="39"/>
      <c r="E479" s="39"/>
      <c r="F479" s="39"/>
      <c r="G479" s="39"/>
      <c r="H479" s="39"/>
      <c r="I479" s="39"/>
      <c r="J479" s="39"/>
      <c r="K479" s="39"/>
      <c r="L479" s="39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</row>
    <row r="480" ht="12.75" customHeight="1">
      <c r="A480" s="45"/>
      <c r="B480" s="45"/>
      <c r="C480" s="45"/>
      <c r="D480" s="39"/>
      <c r="E480" s="39"/>
      <c r="F480" s="39"/>
      <c r="G480" s="39"/>
      <c r="H480" s="39"/>
      <c r="I480" s="39"/>
      <c r="J480" s="39"/>
      <c r="K480" s="39"/>
      <c r="L480" s="39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</row>
    <row r="481" ht="12.75" customHeight="1">
      <c r="A481" s="45"/>
      <c r="B481" s="45"/>
      <c r="C481" s="45"/>
      <c r="D481" s="39"/>
      <c r="E481" s="39"/>
      <c r="F481" s="39"/>
      <c r="G481" s="39"/>
      <c r="H481" s="39"/>
      <c r="I481" s="39"/>
      <c r="J481" s="39"/>
      <c r="K481" s="39"/>
      <c r="L481" s="39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</row>
    <row r="482" ht="12.75" customHeight="1">
      <c r="A482" s="45"/>
      <c r="B482" s="45"/>
      <c r="C482" s="45"/>
      <c r="D482" s="39"/>
      <c r="E482" s="39"/>
      <c r="F482" s="39"/>
      <c r="G482" s="39"/>
      <c r="H482" s="39"/>
      <c r="I482" s="39"/>
      <c r="J482" s="39"/>
      <c r="K482" s="39"/>
      <c r="L482" s="39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</row>
    <row r="483" ht="12.75" customHeight="1">
      <c r="A483" s="45"/>
      <c r="B483" s="45"/>
      <c r="C483" s="45"/>
      <c r="D483" s="39"/>
      <c r="E483" s="39"/>
      <c r="F483" s="39"/>
      <c r="G483" s="39"/>
      <c r="H483" s="39"/>
      <c r="I483" s="39"/>
      <c r="J483" s="39"/>
      <c r="K483" s="39"/>
      <c r="L483" s="39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</row>
    <row r="484" ht="12.75" customHeight="1">
      <c r="A484" s="45"/>
      <c r="B484" s="45"/>
      <c r="C484" s="45"/>
      <c r="D484" s="39"/>
      <c r="E484" s="39"/>
      <c r="F484" s="39"/>
      <c r="G484" s="39"/>
      <c r="H484" s="39"/>
      <c r="I484" s="39"/>
      <c r="J484" s="39"/>
      <c r="K484" s="39"/>
      <c r="L484" s="39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</row>
    <row r="485" ht="12.75" customHeight="1">
      <c r="A485" s="45"/>
      <c r="B485" s="45"/>
      <c r="C485" s="45"/>
      <c r="D485" s="39"/>
      <c r="E485" s="39"/>
      <c r="F485" s="39"/>
      <c r="G485" s="39"/>
      <c r="H485" s="39"/>
      <c r="I485" s="39"/>
      <c r="J485" s="39"/>
      <c r="K485" s="39"/>
      <c r="L485" s="39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</row>
    <row r="486" ht="12.75" customHeight="1">
      <c r="A486" s="45"/>
      <c r="B486" s="45"/>
      <c r="C486" s="45"/>
      <c r="D486" s="39"/>
      <c r="E486" s="39"/>
      <c r="F486" s="39"/>
      <c r="G486" s="39"/>
      <c r="H486" s="39"/>
      <c r="I486" s="39"/>
      <c r="J486" s="39"/>
      <c r="K486" s="39"/>
      <c r="L486" s="39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</row>
    <row r="487" ht="12.75" customHeight="1">
      <c r="A487" s="45"/>
      <c r="B487" s="45"/>
      <c r="C487" s="45"/>
      <c r="D487" s="39"/>
      <c r="E487" s="39"/>
      <c r="F487" s="39"/>
      <c r="G487" s="39"/>
      <c r="H487" s="39"/>
      <c r="I487" s="39"/>
      <c r="J487" s="39"/>
      <c r="K487" s="39"/>
      <c r="L487" s="39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</row>
    <row r="488" ht="12.75" customHeight="1">
      <c r="A488" s="45"/>
      <c r="B488" s="45"/>
      <c r="C488" s="45"/>
      <c r="D488" s="39"/>
      <c r="E488" s="39"/>
      <c r="F488" s="39"/>
      <c r="G488" s="39"/>
      <c r="H488" s="39"/>
      <c r="I488" s="39"/>
      <c r="J488" s="39"/>
      <c r="K488" s="39"/>
      <c r="L488" s="39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</row>
    <row r="489" ht="12.75" customHeight="1">
      <c r="A489" s="45"/>
      <c r="B489" s="45"/>
      <c r="C489" s="45"/>
      <c r="D489" s="39"/>
      <c r="E489" s="39"/>
      <c r="F489" s="39"/>
      <c r="G489" s="39"/>
      <c r="H489" s="39"/>
      <c r="I489" s="39"/>
      <c r="J489" s="39"/>
      <c r="K489" s="39"/>
      <c r="L489" s="39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</row>
    <row r="490" ht="12.75" customHeight="1">
      <c r="A490" s="45"/>
      <c r="B490" s="45"/>
      <c r="C490" s="45"/>
      <c r="D490" s="39"/>
      <c r="E490" s="39"/>
      <c r="F490" s="39"/>
      <c r="G490" s="39"/>
      <c r="H490" s="39"/>
      <c r="I490" s="39"/>
      <c r="J490" s="39"/>
      <c r="K490" s="39"/>
      <c r="L490" s="39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</row>
    <row r="491" ht="12.75" customHeight="1">
      <c r="A491" s="45"/>
      <c r="B491" s="45"/>
      <c r="C491" s="45"/>
      <c r="D491" s="39"/>
      <c r="E491" s="39"/>
      <c r="F491" s="39"/>
      <c r="G491" s="39"/>
      <c r="H491" s="39"/>
      <c r="I491" s="39"/>
      <c r="J491" s="39"/>
      <c r="K491" s="39"/>
      <c r="L491" s="39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</row>
    <row r="492" ht="12.75" customHeight="1">
      <c r="A492" s="45"/>
      <c r="B492" s="45"/>
      <c r="C492" s="45"/>
      <c r="D492" s="39"/>
      <c r="E492" s="39"/>
      <c r="F492" s="39"/>
      <c r="G492" s="39"/>
      <c r="H492" s="39"/>
      <c r="I492" s="39"/>
      <c r="J492" s="39"/>
      <c r="K492" s="39"/>
      <c r="L492" s="39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</row>
    <row r="493" ht="12.75" customHeight="1">
      <c r="A493" s="45"/>
      <c r="B493" s="45"/>
      <c r="C493" s="45"/>
      <c r="D493" s="39"/>
      <c r="E493" s="39"/>
      <c r="F493" s="39"/>
      <c r="G493" s="39"/>
      <c r="H493" s="39"/>
      <c r="I493" s="39"/>
      <c r="J493" s="39"/>
      <c r="K493" s="39"/>
      <c r="L493" s="39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</row>
    <row r="494" ht="12.75" customHeight="1">
      <c r="A494" s="45"/>
      <c r="B494" s="45"/>
      <c r="C494" s="45"/>
      <c r="D494" s="39"/>
      <c r="E494" s="39"/>
      <c r="F494" s="39"/>
      <c r="G494" s="39"/>
      <c r="H494" s="39"/>
      <c r="I494" s="39"/>
      <c r="J494" s="39"/>
      <c r="K494" s="39"/>
      <c r="L494" s="39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</row>
    <row r="495" ht="12.75" customHeight="1">
      <c r="A495" s="45"/>
      <c r="B495" s="45"/>
      <c r="C495" s="45"/>
      <c r="D495" s="39"/>
      <c r="E495" s="39"/>
      <c r="F495" s="39"/>
      <c r="G495" s="39"/>
      <c r="H495" s="39"/>
      <c r="I495" s="39"/>
      <c r="J495" s="39"/>
      <c r="K495" s="39"/>
      <c r="L495" s="39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</row>
    <row r="496" ht="12.75" customHeight="1">
      <c r="A496" s="45"/>
      <c r="B496" s="45"/>
      <c r="C496" s="45"/>
      <c r="D496" s="39"/>
      <c r="E496" s="39"/>
      <c r="F496" s="39"/>
      <c r="G496" s="39"/>
      <c r="H496" s="39"/>
      <c r="I496" s="39"/>
      <c r="J496" s="39"/>
      <c r="K496" s="39"/>
      <c r="L496" s="39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</row>
    <row r="497" ht="12.75" customHeight="1">
      <c r="A497" s="45"/>
      <c r="B497" s="45"/>
      <c r="C497" s="45"/>
      <c r="D497" s="39"/>
      <c r="E497" s="39"/>
      <c r="F497" s="39"/>
      <c r="G497" s="39"/>
      <c r="H497" s="39"/>
      <c r="I497" s="39"/>
      <c r="J497" s="39"/>
      <c r="K497" s="39"/>
      <c r="L497" s="39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</row>
    <row r="498" ht="12.75" customHeight="1">
      <c r="A498" s="45"/>
      <c r="B498" s="45"/>
      <c r="C498" s="45"/>
      <c r="D498" s="39"/>
      <c r="E498" s="39"/>
      <c r="F498" s="39"/>
      <c r="G498" s="39"/>
      <c r="H498" s="39"/>
      <c r="I498" s="39"/>
      <c r="J498" s="39"/>
      <c r="K498" s="39"/>
      <c r="L498" s="39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</row>
    <row r="499" ht="12.75" customHeight="1">
      <c r="A499" s="45"/>
      <c r="B499" s="45"/>
      <c r="C499" s="45"/>
      <c r="D499" s="39"/>
      <c r="E499" s="39"/>
      <c r="F499" s="39"/>
      <c r="G499" s="39"/>
      <c r="H499" s="39"/>
      <c r="I499" s="39"/>
      <c r="J499" s="39"/>
      <c r="K499" s="39"/>
      <c r="L499" s="39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</row>
    <row r="500" ht="12.75" customHeight="1">
      <c r="A500" s="45"/>
      <c r="B500" s="45"/>
      <c r="C500" s="45"/>
      <c r="D500" s="39"/>
      <c r="E500" s="39"/>
      <c r="F500" s="39"/>
      <c r="G500" s="39"/>
      <c r="H500" s="39"/>
      <c r="I500" s="39"/>
      <c r="J500" s="39"/>
      <c r="K500" s="39"/>
      <c r="L500" s="39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</row>
    <row r="501" ht="12.75" customHeight="1">
      <c r="A501" s="45"/>
      <c r="B501" s="45"/>
      <c r="C501" s="45"/>
      <c r="D501" s="39"/>
      <c r="E501" s="39"/>
      <c r="F501" s="39"/>
      <c r="G501" s="39"/>
      <c r="H501" s="39"/>
      <c r="I501" s="39"/>
      <c r="J501" s="39"/>
      <c r="K501" s="39"/>
      <c r="L501" s="39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</row>
    <row r="502" ht="12.75" customHeight="1">
      <c r="A502" s="45"/>
      <c r="B502" s="45"/>
      <c r="C502" s="45"/>
      <c r="D502" s="39"/>
      <c r="E502" s="39"/>
      <c r="F502" s="39"/>
      <c r="G502" s="39"/>
      <c r="H502" s="39"/>
      <c r="I502" s="39"/>
      <c r="J502" s="39"/>
      <c r="K502" s="39"/>
      <c r="L502" s="39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</row>
    <row r="503" ht="12.75" customHeight="1">
      <c r="A503" s="45"/>
      <c r="B503" s="45"/>
      <c r="C503" s="45"/>
      <c r="D503" s="39"/>
      <c r="E503" s="39"/>
      <c r="F503" s="39"/>
      <c r="G503" s="39"/>
      <c r="H503" s="39"/>
      <c r="I503" s="39"/>
      <c r="J503" s="39"/>
      <c r="K503" s="39"/>
      <c r="L503" s="39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</row>
    <row r="504" ht="12.75" customHeight="1">
      <c r="A504" s="45"/>
      <c r="B504" s="45"/>
      <c r="C504" s="45"/>
      <c r="D504" s="39"/>
      <c r="E504" s="39"/>
      <c r="F504" s="39"/>
      <c r="G504" s="39"/>
      <c r="H504" s="39"/>
      <c r="I504" s="39"/>
      <c r="J504" s="39"/>
      <c r="K504" s="39"/>
      <c r="L504" s="39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</row>
    <row r="505" ht="12.75" customHeight="1">
      <c r="A505" s="45"/>
      <c r="B505" s="45"/>
      <c r="C505" s="45"/>
      <c r="D505" s="39"/>
      <c r="E505" s="39"/>
      <c r="F505" s="39"/>
      <c r="G505" s="39"/>
      <c r="H505" s="39"/>
      <c r="I505" s="39"/>
      <c r="J505" s="39"/>
      <c r="K505" s="39"/>
      <c r="L505" s="39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</row>
    <row r="506" ht="12.75" customHeight="1">
      <c r="A506" s="45"/>
      <c r="B506" s="45"/>
      <c r="C506" s="45"/>
      <c r="D506" s="39"/>
      <c r="E506" s="39"/>
      <c r="F506" s="39"/>
      <c r="G506" s="39"/>
      <c r="H506" s="39"/>
      <c r="I506" s="39"/>
      <c r="J506" s="39"/>
      <c r="K506" s="39"/>
      <c r="L506" s="39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</row>
    <row r="507" ht="12.75" customHeight="1">
      <c r="A507" s="45"/>
      <c r="B507" s="45"/>
      <c r="C507" s="45"/>
      <c r="D507" s="39"/>
      <c r="E507" s="39"/>
      <c r="F507" s="39"/>
      <c r="G507" s="39"/>
      <c r="H507" s="39"/>
      <c r="I507" s="39"/>
      <c r="J507" s="39"/>
      <c r="K507" s="39"/>
      <c r="L507" s="39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</row>
    <row r="508" ht="12.75" customHeight="1">
      <c r="A508" s="45"/>
      <c r="B508" s="45"/>
      <c r="C508" s="45"/>
      <c r="D508" s="39"/>
      <c r="E508" s="39"/>
      <c r="F508" s="39"/>
      <c r="G508" s="39"/>
      <c r="H508" s="39"/>
      <c r="I508" s="39"/>
      <c r="J508" s="39"/>
      <c r="K508" s="39"/>
      <c r="L508" s="39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</row>
    <row r="509" ht="12.75" customHeight="1">
      <c r="A509" s="45"/>
      <c r="B509" s="45"/>
      <c r="C509" s="45"/>
      <c r="D509" s="39"/>
      <c r="E509" s="39"/>
      <c r="F509" s="39"/>
      <c r="G509" s="39"/>
      <c r="H509" s="39"/>
      <c r="I509" s="39"/>
      <c r="J509" s="39"/>
      <c r="K509" s="39"/>
      <c r="L509" s="39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</row>
    <row r="510" ht="12.75" customHeight="1">
      <c r="A510" s="45"/>
      <c r="B510" s="45"/>
      <c r="C510" s="45"/>
      <c r="D510" s="39"/>
      <c r="E510" s="39"/>
      <c r="F510" s="39"/>
      <c r="G510" s="39"/>
      <c r="H510" s="39"/>
      <c r="I510" s="39"/>
      <c r="J510" s="39"/>
      <c r="K510" s="39"/>
      <c r="L510" s="39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</row>
    <row r="511" ht="12.75" customHeight="1">
      <c r="A511" s="45"/>
      <c r="B511" s="45"/>
      <c r="C511" s="45"/>
      <c r="D511" s="39"/>
      <c r="E511" s="39"/>
      <c r="F511" s="39"/>
      <c r="G511" s="39"/>
      <c r="H511" s="39"/>
      <c r="I511" s="39"/>
      <c r="J511" s="39"/>
      <c r="K511" s="39"/>
      <c r="L511" s="39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</row>
    <row r="512" ht="12.75" customHeight="1">
      <c r="A512" s="45"/>
      <c r="B512" s="45"/>
      <c r="C512" s="45"/>
      <c r="D512" s="39"/>
      <c r="E512" s="39"/>
      <c r="F512" s="39"/>
      <c r="G512" s="39"/>
      <c r="H512" s="39"/>
      <c r="I512" s="39"/>
      <c r="J512" s="39"/>
      <c r="K512" s="39"/>
      <c r="L512" s="39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</row>
    <row r="513" ht="12.75" customHeight="1">
      <c r="A513" s="45"/>
      <c r="B513" s="45"/>
      <c r="C513" s="45"/>
      <c r="D513" s="39"/>
      <c r="E513" s="39"/>
      <c r="F513" s="39"/>
      <c r="G513" s="39"/>
      <c r="H513" s="39"/>
      <c r="I513" s="39"/>
      <c r="J513" s="39"/>
      <c r="K513" s="39"/>
      <c r="L513" s="39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</row>
    <row r="514" ht="12.75" customHeight="1">
      <c r="A514" s="45"/>
      <c r="B514" s="45"/>
      <c r="C514" s="45"/>
      <c r="D514" s="39"/>
      <c r="E514" s="39"/>
      <c r="F514" s="39"/>
      <c r="G514" s="39"/>
      <c r="H514" s="39"/>
      <c r="I514" s="39"/>
      <c r="J514" s="39"/>
      <c r="K514" s="39"/>
      <c r="L514" s="39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</row>
    <row r="515" ht="12.75" customHeight="1">
      <c r="A515" s="45"/>
      <c r="B515" s="45"/>
      <c r="C515" s="45"/>
      <c r="D515" s="39"/>
      <c r="E515" s="39"/>
      <c r="F515" s="39"/>
      <c r="G515" s="39"/>
      <c r="H515" s="39"/>
      <c r="I515" s="39"/>
      <c r="J515" s="39"/>
      <c r="K515" s="39"/>
      <c r="L515" s="39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</row>
    <row r="516" ht="12.75" customHeight="1">
      <c r="A516" s="45"/>
      <c r="B516" s="45"/>
      <c r="C516" s="45"/>
      <c r="D516" s="39"/>
      <c r="E516" s="39"/>
      <c r="F516" s="39"/>
      <c r="G516" s="39"/>
      <c r="H516" s="39"/>
      <c r="I516" s="39"/>
      <c r="J516" s="39"/>
      <c r="K516" s="39"/>
      <c r="L516" s="39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</row>
    <row r="517" ht="12.75" customHeight="1">
      <c r="A517" s="45"/>
      <c r="B517" s="45"/>
      <c r="C517" s="45"/>
      <c r="D517" s="39"/>
      <c r="E517" s="39"/>
      <c r="F517" s="39"/>
      <c r="G517" s="39"/>
      <c r="H517" s="39"/>
      <c r="I517" s="39"/>
      <c r="J517" s="39"/>
      <c r="K517" s="39"/>
      <c r="L517" s="39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</row>
    <row r="518" ht="12.75" customHeight="1">
      <c r="A518" s="45"/>
      <c r="B518" s="45"/>
      <c r="C518" s="45"/>
      <c r="D518" s="39"/>
      <c r="E518" s="39"/>
      <c r="F518" s="39"/>
      <c r="G518" s="39"/>
      <c r="H518" s="39"/>
      <c r="I518" s="39"/>
      <c r="J518" s="39"/>
      <c r="K518" s="39"/>
      <c r="L518" s="39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</row>
    <row r="519" ht="12.75" customHeight="1">
      <c r="A519" s="45"/>
      <c r="B519" s="45"/>
      <c r="C519" s="45"/>
      <c r="D519" s="39"/>
      <c r="E519" s="39"/>
      <c r="F519" s="39"/>
      <c r="G519" s="39"/>
      <c r="H519" s="39"/>
      <c r="I519" s="39"/>
      <c r="J519" s="39"/>
      <c r="K519" s="39"/>
      <c r="L519" s="39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</row>
    <row r="520" ht="12.75" customHeight="1">
      <c r="A520" s="45"/>
      <c r="B520" s="45"/>
      <c r="C520" s="45"/>
      <c r="D520" s="39"/>
      <c r="E520" s="39"/>
      <c r="F520" s="39"/>
      <c r="G520" s="39"/>
      <c r="H520" s="39"/>
      <c r="I520" s="39"/>
      <c r="J520" s="39"/>
      <c r="K520" s="39"/>
      <c r="L520" s="39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</row>
    <row r="521" ht="12.75" customHeight="1">
      <c r="A521" s="45"/>
      <c r="B521" s="45"/>
      <c r="C521" s="45"/>
      <c r="D521" s="39"/>
      <c r="E521" s="39"/>
      <c r="F521" s="39"/>
      <c r="G521" s="39"/>
      <c r="H521" s="39"/>
      <c r="I521" s="39"/>
      <c r="J521" s="39"/>
      <c r="K521" s="39"/>
      <c r="L521" s="39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</row>
    <row r="522" ht="12.75" customHeight="1">
      <c r="A522" s="45"/>
      <c r="B522" s="45"/>
      <c r="C522" s="45"/>
      <c r="D522" s="39"/>
      <c r="E522" s="39"/>
      <c r="F522" s="39"/>
      <c r="G522" s="39"/>
      <c r="H522" s="39"/>
      <c r="I522" s="39"/>
      <c r="J522" s="39"/>
      <c r="K522" s="39"/>
      <c r="L522" s="39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</row>
    <row r="523" ht="12.75" customHeight="1">
      <c r="A523" s="45"/>
      <c r="B523" s="45"/>
      <c r="C523" s="45"/>
      <c r="D523" s="39"/>
      <c r="E523" s="39"/>
      <c r="F523" s="39"/>
      <c r="G523" s="39"/>
      <c r="H523" s="39"/>
      <c r="I523" s="39"/>
      <c r="J523" s="39"/>
      <c r="K523" s="39"/>
      <c r="L523" s="39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</row>
    <row r="524" ht="12.75" customHeight="1">
      <c r="A524" s="45"/>
      <c r="B524" s="45"/>
      <c r="C524" s="45"/>
      <c r="D524" s="39"/>
      <c r="E524" s="39"/>
      <c r="F524" s="39"/>
      <c r="G524" s="39"/>
      <c r="H524" s="39"/>
      <c r="I524" s="39"/>
      <c r="J524" s="39"/>
      <c r="K524" s="39"/>
      <c r="L524" s="39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</row>
    <row r="525" ht="12.75" customHeight="1">
      <c r="A525" s="45"/>
      <c r="B525" s="45"/>
      <c r="C525" s="45"/>
      <c r="D525" s="39"/>
      <c r="E525" s="39"/>
      <c r="F525" s="39"/>
      <c r="G525" s="39"/>
      <c r="H525" s="39"/>
      <c r="I525" s="39"/>
      <c r="J525" s="39"/>
      <c r="K525" s="39"/>
      <c r="L525" s="39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</row>
    <row r="526" ht="12.75" customHeight="1">
      <c r="A526" s="45"/>
      <c r="B526" s="45"/>
      <c r="C526" s="45"/>
      <c r="D526" s="39"/>
      <c r="E526" s="39"/>
      <c r="F526" s="39"/>
      <c r="G526" s="39"/>
      <c r="H526" s="39"/>
      <c r="I526" s="39"/>
      <c r="J526" s="39"/>
      <c r="K526" s="39"/>
      <c r="L526" s="39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</row>
    <row r="527" ht="12.75" customHeight="1">
      <c r="A527" s="45"/>
      <c r="B527" s="45"/>
      <c r="C527" s="45"/>
      <c r="D527" s="39"/>
      <c r="E527" s="39"/>
      <c r="F527" s="39"/>
      <c r="G527" s="39"/>
      <c r="H527" s="39"/>
      <c r="I527" s="39"/>
      <c r="J527" s="39"/>
      <c r="K527" s="39"/>
      <c r="L527" s="39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</row>
    <row r="528" ht="12.75" customHeight="1">
      <c r="A528" s="45"/>
      <c r="B528" s="45"/>
      <c r="C528" s="45"/>
      <c r="D528" s="39"/>
      <c r="E528" s="39"/>
      <c r="F528" s="39"/>
      <c r="G528" s="39"/>
      <c r="H528" s="39"/>
      <c r="I528" s="39"/>
      <c r="J528" s="39"/>
      <c r="K528" s="39"/>
      <c r="L528" s="39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</row>
    <row r="529" ht="12.75" customHeight="1">
      <c r="A529" s="45"/>
      <c r="B529" s="45"/>
      <c r="C529" s="45"/>
      <c r="D529" s="39"/>
      <c r="E529" s="39"/>
      <c r="F529" s="39"/>
      <c r="G529" s="39"/>
      <c r="H529" s="39"/>
      <c r="I529" s="39"/>
      <c r="J529" s="39"/>
      <c r="K529" s="39"/>
      <c r="L529" s="39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</row>
    <row r="530" ht="12.75" customHeight="1">
      <c r="A530" s="45"/>
      <c r="B530" s="45"/>
      <c r="C530" s="45"/>
      <c r="D530" s="39"/>
      <c r="E530" s="39"/>
      <c r="F530" s="39"/>
      <c r="G530" s="39"/>
      <c r="H530" s="39"/>
      <c r="I530" s="39"/>
      <c r="J530" s="39"/>
      <c r="K530" s="39"/>
      <c r="L530" s="39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</row>
    <row r="531" ht="12.75" customHeight="1">
      <c r="A531" s="45"/>
      <c r="B531" s="45"/>
      <c r="C531" s="45"/>
      <c r="D531" s="39"/>
      <c r="E531" s="39"/>
      <c r="F531" s="39"/>
      <c r="G531" s="39"/>
      <c r="H531" s="39"/>
      <c r="I531" s="39"/>
      <c r="J531" s="39"/>
      <c r="K531" s="39"/>
      <c r="L531" s="39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</row>
    <row r="532" ht="12.75" customHeight="1">
      <c r="A532" s="45"/>
      <c r="B532" s="45"/>
      <c r="C532" s="45"/>
      <c r="D532" s="39"/>
      <c r="E532" s="39"/>
      <c r="F532" s="39"/>
      <c r="G532" s="39"/>
      <c r="H532" s="39"/>
      <c r="I532" s="39"/>
      <c r="J532" s="39"/>
      <c r="K532" s="39"/>
      <c r="L532" s="39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</row>
    <row r="533" ht="12.75" customHeight="1">
      <c r="A533" s="45"/>
      <c r="B533" s="45"/>
      <c r="C533" s="45"/>
      <c r="D533" s="39"/>
      <c r="E533" s="39"/>
      <c r="F533" s="39"/>
      <c r="G533" s="39"/>
      <c r="H533" s="39"/>
      <c r="I533" s="39"/>
      <c r="J533" s="39"/>
      <c r="K533" s="39"/>
      <c r="L533" s="39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</row>
    <row r="534" ht="12.75" customHeight="1">
      <c r="A534" s="45"/>
      <c r="B534" s="45"/>
      <c r="C534" s="45"/>
      <c r="D534" s="39"/>
      <c r="E534" s="39"/>
      <c r="F534" s="39"/>
      <c r="G534" s="39"/>
      <c r="H534" s="39"/>
      <c r="I534" s="39"/>
      <c r="J534" s="39"/>
      <c r="K534" s="39"/>
      <c r="L534" s="39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</row>
    <row r="535" ht="12.75" customHeight="1">
      <c r="A535" s="45"/>
      <c r="B535" s="45"/>
      <c r="C535" s="45"/>
      <c r="D535" s="39"/>
      <c r="E535" s="39"/>
      <c r="F535" s="39"/>
      <c r="G535" s="39"/>
      <c r="H535" s="39"/>
      <c r="I535" s="39"/>
      <c r="J535" s="39"/>
      <c r="K535" s="39"/>
      <c r="L535" s="39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</row>
    <row r="536" ht="12.75" customHeight="1">
      <c r="A536" s="45"/>
      <c r="B536" s="45"/>
      <c r="C536" s="45"/>
      <c r="D536" s="39"/>
      <c r="E536" s="39"/>
      <c r="F536" s="39"/>
      <c r="G536" s="39"/>
      <c r="H536" s="39"/>
      <c r="I536" s="39"/>
      <c r="J536" s="39"/>
      <c r="K536" s="39"/>
      <c r="L536" s="39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</row>
    <row r="537" ht="12.75" customHeight="1">
      <c r="A537" s="45"/>
      <c r="B537" s="45"/>
      <c r="C537" s="45"/>
      <c r="D537" s="39"/>
      <c r="E537" s="39"/>
      <c r="F537" s="39"/>
      <c r="G537" s="39"/>
      <c r="H537" s="39"/>
      <c r="I537" s="39"/>
      <c r="J537" s="39"/>
      <c r="K537" s="39"/>
      <c r="L537" s="39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</row>
    <row r="538" ht="12.75" customHeight="1">
      <c r="A538" s="45"/>
      <c r="B538" s="45"/>
      <c r="C538" s="45"/>
      <c r="D538" s="39"/>
      <c r="E538" s="39"/>
      <c r="F538" s="39"/>
      <c r="G538" s="39"/>
      <c r="H538" s="39"/>
      <c r="I538" s="39"/>
      <c r="J538" s="39"/>
      <c r="K538" s="39"/>
      <c r="L538" s="39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</row>
    <row r="539" ht="12.75" customHeight="1">
      <c r="A539" s="45"/>
      <c r="B539" s="45"/>
      <c r="C539" s="45"/>
      <c r="D539" s="39"/>
      <c r="E539" s="39"/>
      <c r="F539" s="39"/>
      <c r="G539" s="39"/>
      <c r="H539" s="39"/>
      <c r="I539" s="39"/>
      <c r="J539" s="39"/>
      <c r="K539" s="39"/>
      <c r="L539" s="39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</row>
    <row r="540" ht="12.75" customHeight="1">
      <c r="A540" s="44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</row>
    <row r="541" ht="12.75" customHeight="1">
      <c r="A541" s="44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</row>
    <row r="542" ht="12.75" customHeight="1">
      <c r="A542" s="44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</row>
    <row r="543" ht="12.75" customHeight="1">
      <c r="A543" s="44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</row>
    <row r="544" ht="12.75" customHeight="1">
      <c r="A544" s="44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</row>
    <row r="545" ht="12.75" customHeight="1">
      <c r="A545" s="44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</row>
    <row r="546" ht="12.75" customHeight="1">
      <c r="A546" s="44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</row>
    <row r="547" ht="12.75" customHeight="1">
      <c r="A547" s="44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</row>
    <row r="548" ht="12.75" customHeight="1">
      <c r="A548" s="44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</row>
    <row r="549" ht="12.75" customHeight="1">
      <c r="A549" s="44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</row>
    <row r="550" ht="12.75" customHeight="1">
      <c r="A550" s="44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</row>
    <row r="551" ht="12.75" customHeight="1">
      <c r="A551" s="44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</row>
    <row r="552" ht="12.75" customHeight="1">
      <c r="A552" s="44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</row>
    <row r="553" ht="12.75" customHeight="1">
      <c r="A553" s="44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</row>
    <row r="554" ht="12.75" customHeight="1">
      <c r="A554" s="44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</row>
    <row r="555" ht="12.75" customHeight="1">
      <c r="A555" s="44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</row>
    <row r="556" ht="12.75" customHeight="1">
      <c r="A556" s="44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</row>
    <row r="557" ht="12.75" customHeight="1">
      <c r="A557" s="44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</row>
    <row r="558" ht="12.75" customHeight="1">
      <c r="A558" s="44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</row>
    <row r="559" ht="12.75" customHeight="1">
      <c r="A559" s="44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</row>
    <row r="560" ht="12.75" customHeight="1">
      <c r="A560" s="44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</row>
    <row r="561" ht="12.75" customHeight="1">
      <c r="A561" s="44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</row>
    <row r="562" ht="12.75" customHeight="1">
      <c r="A562" s="44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</row>
    <row r="563" ht="12.75" customHeight="1">
      <c r="A563" s="44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</row>
    <row r="564" ht="12.75" customHeight="1">
      <c r="A564" s="44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</row>
    <row r="565" ht="12.75" customHeight="1">
      <c r="A565" s="44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</row>
    <row r="566" ht="12.75" customHeight="1">
      <c r="A566" s="44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</row>
    <row r="567" ht="12.75" customHeight="1">
      <c r="A567" s="44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</row>
    <row r="568" ht="12.75" customHeight="1">
      <c r="A568" s="44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</row>
    <row r="569" ht="12.75" customHeight="1">
      <c r="A569" s="44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</row>
    <row r="570" ht="12.75" customHeight="1">
      <c r="A570" s="44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</row>
    <row r="571" ht="12.75" customHeight="1">
      <c r="A571" s="44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</row>
    <row r="572" ht="12.75" customHeight="1">
      <c r="A572" s="44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</row>
    <row r="573" ht="12.75" customHeight="1">
      <c r="A573" s="44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</row>
    <row r="574" ht="12.75" customHeight="1">
      <c r="A574" s="44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</row>
    <row r="575" ht="12.75" customHeight="1">
      <c r="A575" s="44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</row>
    <row r="576" ht="12.75" customHeight="1">
      <c r="A576" s="44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</row>
    <row r="577" ht="12.75" customHeight="1">
      <c r="A577" s="44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</row>
    <row r="578" ht="12.75" customHeight="1">
      <c r="A578" s="44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</row>
    <row r="579" ht="12.75" customHeight="1">
      <c r="A579" s="44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</row>
    <row r="580" ht="12.75" customHeight="1">
      <c r="A580" s="44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</row>
    <row r="581" ht="12.75" customHeight="1">
      <c r="A581" s="44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</row>
    <row r="582" ht="12.75" customHeight="1">
      <c r="A582" s="44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</row>
    <row r="583" ht="12.75" customHeight="1">
      <c r="A583" s="44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</row>
    <row r="584" ht="12.75" customHeight="1">
      <c r="A584" s="44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</row>
    <row r="585" ht="12.75" customHeight="1">
      <c r="A585" s="44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</row>
    <row r="586" ht="12.75" customHeight="1">
      <c r="A586" s="44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</row>
    <row r="587" ht="12.75" customHeight="1">
      <c r="A587" s="44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</row>
    <row r="588" ht="12.75" customHeight="1">
      <c r="A588" s="44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</row>
    <row r="589" ht="12.75" customHeight="1">
      <c r="A589" s="44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</row>
    <row r="590" ht="12.75" customHeight="1">
      <c r="A590" s="44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</row>
    <row r="591" ht="12.75" customHeight="1">
      <c r="A591" s="44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</row>
    <row r="592" ht="12.75" customHeight="1">
      <c r="A592" s="44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</row>
    <row r="593" ht="12.75" customHeight="1">
      <c r="A593" s="44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</row>
    <row r="594" ht="12.75" customHeight="1">
      <c r="A594" s="44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</row>
    <row r="595" ht="12.75" customHeight="1">
      <c r="A595" s="44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</row>
    <row r="596" ht="12.75" customHeight="1">
      <c r="A596" s="44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</row>
    <row r="597" ht="12.75" customHeight="1">
      <c r="A597" s="44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</row>
    <row r="598" ht="12.75" customHeight="1">
      <c r="A598" s="44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</row>
    <row r="599" ht="12.75" customHeight="1">
      <c r="A599" s="44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</row>
    <row r="600" ht="12.75" customHeight="1">
      <c r="A600" s="44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</row>
    <row r="601" ht="12.75" customHeight="1">
      <c r="A601" s="44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</row>
    <row r="602" ht="12.75" customHeight="1">
      <c r="A602" s="44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</row>
    <row r="603" ht="12.75" customHeight="1">
      <c r="A603" s="44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</row>
    <row r="604" ht="12.75" customHeight="1">
      <c r="A604" s="44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</row>
    <row r="605" ht="12.75" customHeight="1">
      <c r="A605" s="44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</row>
    <row r="606" ht="12.75" customHeight="1">
      <c r="A606" s="44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</row>
    <row r="607" ht="12.75" customHeight="1">
      <c r="A607" s="44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</row>
    <row r="608" ht="12.75" customHeight="1">
      <c r="A608" s="44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</row>
    <row r="609" ht="12.75" customHeight="1">
      <c r="A609" s="44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</row>
    <row r="610" ht="12.75" customHeight="1">
      <c r="A610" s="44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</row>
    <row r="611" ht="12.75" customHeight="1">
      <c r="A611" s="44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</row>
    <row r="612" ht="12.75" customHeight="1">
      <c r="A612" s="44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</row>
    <row r="613" ht="12.75" customHeight="1">
      <c r="A613" s="44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</row>
    <row r="614" ht="12.75" customHeight="1">
      <c r="A614" s="44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</row>
    <row r="615" ht="12.75" customHeight="1">
      <c r="A615" s="44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</row>
    <row r="616" ht="12.75" customHeight="1">
      <c r="A616" s="44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</row>
    <row r="617" ht="12.75" customHeight="1">
      <c r="A617" s="44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</row>
    <row r="618" ht="12.75" customHeight="1">
      <c r="A618" s="44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</row>
    <row r="619" ht="12.75" customHeight="1">
      <c r="A619" s="44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</row>
    <row r="620" ht="12.75" customHeight="1">
      <c r="A620" s="44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</row>
    <row r="621" ht="12.75" customHeight="1">
      <c r="A621" s="44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</row>
    <row r="622" ht="12.75" customHeight="1">
      <c r="A622" s="44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</row>
    <row r="623" ht="12.75" customHeight="1">
      <c r="A623" s="44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</row>
    <row r="624" ht="12.75" customHeight="1">
      <c r="A624" s="44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</row>
    <row r="625" ht="12.75" customHeight="1">
      <c r="A625" s="44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</row>
    <row r="626" ht="12.75" customHeight="1">
      <c r="A626" s="44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</row>
    <row r="627" ht="12.75" customHeight="1">
      <c r="A627" s="44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</row>
    <row r="628" ht="12.75" customHeight="1">
      <c r="A628" s="44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</row>
    <row r="629" ht="12.75" customHeight="1">
      <c r="A629" s="44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</row>
    <row r="630" ht="12.75" customHeight="1">
      <c r="A630" s="44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</row>
    <row r="631" ht="12.75" customHeight="1">
      <c r="A631" s="44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</row>
    <row r="632" ht="12.75" customHeight="1">
      <c r="A632" s="44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</row>
    <row r="633" ht="12.75" customHeight="1">
      <c r="A633" s="44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</row>
    <row r="634" ht="12.75" customHeight="1">
      <c r="A634" s="44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</row>
    <row r="635" ht="12.75" customHeight="1">
      <c r="A635" s="44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</row>
    <row r="636" ht="12.75" customHeight="1">
      <c r="A636" s="44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</row>
    <row r="637" ht="12.75" customHeight="1">
      <c r="A637" s="44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</row>
    <row r="638" ht="12.75" customHeight="1">
      <c r="A638" s="44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</row>
    <row r="639" ht="12.75" customHeight="1">
      <c r="A639" s="44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</row>
    <row r="640" ht="12.75" customHeight="1">
      <c r="A640" s="44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</row>
    <row r="641" ht="12.75" customHeight="1">
      <c r="A641" s="44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</row>
    <row r="642" ht="12.75" customHeight="1">
      <c r="A642" s="44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</row>
    <row r="643" ht="12.75" customHeight="1">
      <c r="A643" s="44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</row>
    <row r="644" ht="12.75" customHeight="1">
      <c r="A644" s="44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</row>
    <row r="645" ht="12.75" customHeight="1">
      <c r="A645" s="44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</row>
    <row r="646" ht="12.75" customHeight="1">
      <c r="A646" s="44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</row>
    <row r="647" ht="12.75" customHeight="1">
      <c r="A647" s="44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</row>
    <row r="648" ht="12.75" customHeight="1">
      <c r="A648" s="44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</row>
    <row r="649" ht="12.75" customHeight="1">
      <c r="A649" s="44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</row>
    <row r="650" ht="12.75" customHeight="1">
      <c r="A650" s="44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</row>
    <row r="651" ht="12.75" customHeight="1">
      <c r="A651" s="44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</row>
    <row r="652" ht="12.75" customHeight="1">
      <c r="A652" s="44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</row>
    <row r="653" ht="12.75" customHeight="1">
      <c r="A653" s="44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</row>
    <row r="654" ht="12.75" customHeight="1">
      <c r="A654" s="44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</row>
    <row r="655" ht="12.75" customHeight="1">
      <c r="A655" s="44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</row>
    <row r="656" ht="12.75" customHeight="1">
      <c r="A656" s="44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</row>
    <row r="657" ht="12.75" customHeight="1">
      <c r="A657" s="44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</row>
    <row r="658" ht="12.75" customHeight="1">
      <c r="A658" s="44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</row>
    <row r="659" ht="12.75" customHeight="1">
      <c r="A659" s="44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</row>
    <row r="660" ht="12.75" customHeight="1">
      <c r="A660" s="44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</row>
    <row r="661" ht="12.75" customHeight="1">
      <c r="A661" s="44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</row>
    <row r="662" ht="12.75" customHeight="1">
      <c r="A662" s="44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</row>
    <row r="663" ht="12.75" customHeight="1">
      <c r="A663" s="44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</row>
    <row r="664" ht="12.75" customHeight="1">
      <c r="A664" s="44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</row>
    <row r="665" ht="12.75" customHeight="1">
      <c r="A665" s="44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</row>
    <row r="666" ht="12.75" customHeight="1">
      <c r="A666" s="44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</row>
    <row r="667" ht="12.75" customHeight="1">
      <c r="A667" s="44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</row>
    <row r="668" ht="12.75" customHeight="1">
      <c r="A668" s="44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</row>
    <row r="669" ht="12.75" customHeight="1">
      <c r="A669" s="44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</row>
    <row r="670" ht="12.75" customHeight="1">
      <c r="A670" s="44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</row>
    <row r="671" ht="12.75" customHeight="1">
      <c r="A671" s="44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</row>
    <row r="672" ht="12.75" customHeight="1">
      <c r="A672" s="44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</row>
    <row r="673" ht="12.75" customHeight="1">
      <c r="A673" s="44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</row>
    <row r="674" ht="12.75" customHeight="1">
      <c r="A674" s="44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</row>
    <row r="675" ht="12.75" customHeight="1">
      <c r="A675" s="44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</row>
    <row r="676" ht="12.75" customHeight="1">
      <c r="A676" s="44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</row>
    <row r="677" ht="12.75" customHeight="1">
      <c r="A677" s="44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</row>
    <row r="678" ht="12.75" customHeight="1">
      <c r="A678" s="44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</row>
    <row r="679" ht="12.75" customHeight="1">
      <c r="A679" s="44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</row>
    <row r="680" ht="12.75" customHeight="1">
      <c r="A680" s="44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</row>
    <row r="681" ht="12.75" customHeight="1">
      <c r="A681" s="44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</row>
    <row r="682" ht="12.75" customHeight="1">
      <c r="A682" s="44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</row>
    <row r="683" ht="12.75" customHeight="1">
      <c r="A683" s="44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</row>
    <row r="684" ht="12.75" customHeight="1">
      <c r="A684" s="44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</row>
    <row r="685" ht="12.75" customHeight="1">
      <c r="A685" s="44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</row>
    <row r="686" ht="12.75" customHeight="1">
      <c r="A686" s="44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</row>
    <row r="687" ht="12.75" customHeight="1">
      <c r="A687" s="44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</row>
    <row r="688" ht="12.75" customHeight="1">
      <c r="A688" s="44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</row>
    <row r="689" ht="12.75" customHeight="1">
      <c r="A689" s="44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</row>
    <row r="690" ht="12.75" customHeight="1">
      <c r="A690" s="44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</row>
    <row r="691" ht="12.75" customHeight="1">
      <c r="A691" s="44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</row>
    <row r="692" ht="12.75" customHeight="1">
      <c r="A692" s="44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</row>
    <row r="693" ht="12.75" customHeight="1">
      <c r="A693" s="44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</row>
    <row r="694" ht="12.75" customHeight="1">
      <c r="A694" s="44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</row>
    <row r="695" ht="12.75" customHeight="1">
      <c r="A695" s="44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</row>
    <row r="696" ht="12.75" customHeight="1">
      <c r="A696" s="44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</row>
    <row r="697" ht="12.75" customHeight="1">
      <c r="A697" s="44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</row>
    <row r="698" ht="12.75" customHeight="1">
      <c r="A698" s="44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</row>
    <row r="699" ht="12.75" customHeight="1">
      <c r="A699" s="44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</row>
    <row r="700" ht="12.75" customHeight="1">
      <c r="A700" s="44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</row>
    <row r="701" ht="12.75" customHeight="1">
      <c r="A701" s="44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</row>
    <row r="702" ht="12.75" customHeight="1">
      <c r="A702" s="44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</row>
    <row r="703" ht="12.75" customHeight="1">
      <c r="A703" s="44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</row>
    <row r="704" ht="12.75" customHeight="1">
      <c r="A704" s="44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</row>
    <row r="705" ht="12.75" customHeight="1">
      <c r="A705" s="44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</row>
    <row r="706" ht="12.75" customHeight="1">
      <c r="A706" s="44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</row>
    <row r="707" ht="12.75" customHeight="1">
      <c r="A707" s="44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</row>
    <row r="708" ht="12.75" customHeight="1">
      <c r="A708" s="44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</row>
    <row r="709" ht="12.75" customHeight="1">
      <c r="A709" s="44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</row>
    <row r="710" ht="12.75" customHeight="1">
      <c r="A710" s="44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</row>
    <row r="711" ht="12.75" customHeight="1">
      <c r="A711" s="44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</row>
    <row r="712" ht="12.75" customHeight="1">
      <c r="A712" s="44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</row>
    <row r="713" ht="12.75" customHeight="1">
      <c r="A713" s="44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</row>
    <row r="714" ht="12.75" customHeight="1">
      <c r="A714" s="44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</row>
    <row r="715" ht="12.75" customHeight="1">
      <c r="A715" s="44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</row>
    <row r="716" ht="12.75" customHeight="1">
      <c r="A716" s="44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</row>
    <row r="717" ht="12.75" customHeight="1">
      <c r="A717" s="44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</row>
    <row r="718" ht="12.75" customHeight="1">
      <c r="A718" s="44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</row>
    <row r="719" ht="12.75" customHeight="1">
      <c r="A719" s="44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</row>
    <row r="720" ht="12.75" customHeight="1">
      <c r="A720" s="44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</row>
    <row r="721" ht="12.75" customHeight="1">
      <c r="A721" s="44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</row>
    <row r="722" ht="12.75" customHeight="1">
      <c r="A722" s="44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</row>
    <row r="723" ht="12.75" customHeight="1">
      <c r="A723" s="44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</row>
    <row r="724" ht="12.75" customHeight="1">
      <c r="A724" s="44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</row>
    <row r="725" ht="12.75" customHeight="1">
      <c r="A725" s="44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</row>
    <row r="726" ht="12.75" customHeight="1">
      <c r="A726" s="44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</row>
    <row r="727" ht="12.75" customHeight="1">
      <c r="A727" s="44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</row>
    <row r="728" ht="12.75" customHeight="1">
      <c r="A728" s="44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</row>
    <row r="729" ht="12.75" customHeight="1">
      <c r="A729" s="44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</row>
    <row r="730" ht="12.75" customHeight="1">
      <c r="A730" s="44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</row>
    <row r="731" ht="12.75" customHeight="1">
      <c r="A731" s="44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</row>
    <row r="732" ht="12.75" customHeight="1">
      <c r="A732" s="44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</row>
    <row r="733" ht="12.75" customHeight="1">
      <c r="A733" s="44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</row>
    <row r="734" ht="12.75" customHeight="1">
      <c r="A734" s="44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</row>
    <row r="735" ht="12.75" customHeight="1">
      <c r="A735" s="44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</row>
    <row r="736" ht="12.75" customHeight="1">
      <c r="A736" s="44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</row>
    <row r="737" ht="12.75" customHeight="1">
      <c r="A737" s="44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</row>
    <row r="738" ht="12.75" customHeight="1">
      <c r="A738" s="44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</row>
    <row r="739" ht="12.75" customHeight="1">
      <c r="A739" s="44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</row>
    <row r="740" ht="12.75" customHeight="1">
      <c r="A740" s="44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</row>
    <row r="741" ht="12.75" customHeight="1">
      <c r="A741" s="44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</row>
    <row r="742" ht="12.75" customHeight="1">
      <c r="A742" s="44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</row>
    <row r="743" ht="12.75" customHeight="1">
      <c r="A743" s="44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</row>
    <row r="744" ht="12.75" customHeight="1">
      <c r="A744" s="44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</row>
    <row r="745" ht="12.75" customHeight="1">
      <c r="A745" s="44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</row>
    <row r="746" ht="12.75" customHeight="1">
      <c r="A746" s="44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</row>
    <row r="747" ht="12.75" customHeight="1">
      <c r="A747" s="44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</row>
    <row r="748" ht="12.75" customHeight="1">
      <c r="A748" s="44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</row>
    <row r="749" ht="12.75" customHeight="1">
      <c r="A749" s="44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</row>
    <row r="750" ht="12.75" customHeight="1">
      <c r="A750" s="44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</row>
    <row r="751" ht="12.75" customHeight="1">
      <c r="A751" s="44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</row>
    <row r="752" ht="12.75" customHeight="1">
      <c r="A752" s="44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</row>
    <row r="753" ht="12.75" customHeight="1">
      <c r="A753" s="44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</row>
    <row r="754" ht="12.75" customHeight="1">
      <c r="A754" s="44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</row>
    <row r="755" ht="12.75" customHeight="1">
      <c r="A755" s="44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</row>
    <row r="756" ht="12.75" customHeight="1">
      <c r="A756" s="44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</row>
    <row r="757" ht="12.75" customHeight="1">
      <c r="A757" s="44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</row>
    <row r="758" ht="12.75" customHeight="1">
      <c r="A758" s="44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</row>
    <row r="759" ht="12.75" customHeight="1">
      <c r="A759" s="44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</row>
    <row r="760" ht="12.75" customHeight="1">
      <c r="A760" s="44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</row>
    <row r="761" ht="12.75" customHeight="1">
      <c r="A761" s="44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</row>
    <row r="762" ht="12.75" customHeight="1">
      <c r="A762" s="44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</row>
    <row r="763" ht="12.75" customHeight="1">
      <c r="A763" s="44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</row>
    <row r="764" ht="12.75" customHeight="1">
      <c r="A764" s="44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</row>
    <row r="765" ht="12.75" customHeight="1">
      <c r="A765" s="44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</row>
    <row r="766" ht="12.75" customHeight="1">
      <c r="A766" s="44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</row>
    <row r="767" ht="12.75" customHeight="1">
      <c r="A767" s="44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</row>
    <row r="768" ht="12.75" customHeight="1">
      <c r="A768" s="44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</row>
    <row r="769" ht="12.75" customHeight="1">
      <c r="A769" s="44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</row>
    <row r="770" ht="12.75" customHeight="1">
      <c r="A770" s="44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</row>
    <row r="771" ht="12.75" customHeight="1">
      <c r="A771" s="44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</row>
    <row r="772" ht="12.75" customHeight="1">
      <c r="A772" s="44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</row>
    <row r="773" ht="12.75" customHeight="1">
      <c r="A773" s="44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</row>
    <row r="774" ht="12.75" customHeight="1">
      <c r="A774" s="44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</row>
    <row r="775" ht="12.75" customHeight="1">
      <c r="A775" s="44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</row>
    <row r="776" ht="12.75" customHeight="1">
      <c r="A776" s="44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</row>
    <row r="777" ht="12.75" customHeight="1">
      <c r="A777" s="44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</row>
    <row r="778" ht="12.75" customHeight="1">
      <c r="A778" s="44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</row>
    <row r="779" ht="12.75" customHeight="1">
      <c r="A779" s="44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</row>
    <row r="780" ht="12.75" customHeight="1">
      <c r="A780" s="44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</row>
    <row r="781" ht="12.75" customHeight="1">
      <c r="A781" s="44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</row>
    <row r="782" ht="12.75" customHeight="1">
      <c r="A782" s="44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</row>
    <row r="783" ht="12.75" customHeight="1">
      <c r="A783" s="44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</row>
    <row r="784" ht="12.75" customHeight="1">
      <c r="A784" s="44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</row>
    <row r="785" ht="12.75" customHeight="1">
      <c r="A785" s="44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</row>
    <row r="786" ht="12.75" customHeight="1">
      <c r="A786" s="44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</row>
    <row r="787" ht="12.75" customHeight="1">
      <c r="A787" s="44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</row>
    <row r="788" ht="12.75" customHeight="1">
      <c r="A788" s="44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</row>
    <row r="789" ht="12.75" customHeight="1">
      <c r="A789" s="44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</row>
    <row r="790" ht="12.75" customHeight="1">
      <c r="A790" s="44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</row>
    <row r="791" ht="12.75" customHeight="1">
      <c r="A791" s="44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</row>
    <row r="792" ht="12.75" customHeight="1">
      <c r="A792" s="44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</row>
    <row r="793" ht="12.75" customHeight="1">
      <c r="A793" s="44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</row>
    <row r="794" ht="12.75" customHeight="1">
      <c r="A794" s="44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</row>
    <row r="795" ht="12.75" customHeight="1">
      <c r="A795" s="44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</row>
    <row r="796" ht="12.75" customHeight="1">
      <c r="A796" s="44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</row>
    <row r="797" ht="12.75" customHeight="1">
      <c r="A797" s="44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</row>
    <row r="798" ht="12.75" customHeight="1">
      <c r="A798" s="44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</row>
    <row r="799" ht="12.75" customHeight="1">
      <c r="A799" s="44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</row>
    <row r="800" ht="12.75" customHeight="1">
      <c r="A800" s="44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</row>
    <row r="801" ht="12.75" customHeight="1">
      <c r="A801" s="44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</row>
    <row r="802" ht="12.75" customHeight="1">
      <c r="A802" s="44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</row>
    <row r="803" ht="12.75" customHeight="1">
      <c r="A803" s="44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</row>
    <row r="804" ht="12.75" customHeight="1">
      <c r="A804" s="44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</row>
    <row r="805" ht="12.75" customHeight="1">
      <c r="A805" s="44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</row>
    <row r="806" ht="12.75" customHeight="1">
      <c r="A806" s="44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</row>
    <row r="807" ht="12.75" customHeight="1">
      <c r="A807" s="44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</row>
    <row r="808" ht="12.75" customHeight="1">
      <c r="A808" s="44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</row>
    <row r="809" ht="12.75" customHeight="1">
      <c r="A809" s="44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</row>
    <row r="810" ht="12.75" customHeight="1">
      <c r="A810" s="44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</row>
    <row r="811" ht="12.75" customHeight="1">
      <c r="A811" s="44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</row>
    <row r="812" ht="12.75" customHeight="1">
      <c r="A812" s="44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</row>
    <row r="813" ht="12.75" customHeight="1">
      <c r="A813" s="44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</row>
    <row r="814" ht="12.75" customHeight="1">
      <c r="A814" s="44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</row>
    <row r="815" ht="12.75" customHeight="1">
      <c r="A815" s="44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</row>
    <row r="816" ht="12.75" customHeight="1">
      <c r="A816" s="44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</row>
    <row r="817" ht="12.75" customHeight="1">
      <c r="A817" s="44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</row>
    <row r="818" ht="12.75" customHeight="1">
      <c r="A818" s="44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</row>
    <row r="819" ht="12.75" customHeight="1">
      <c r="A819" s="44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</row>
    <row r="820" ht="12.75" customHeight="1">
      <c r="A820" s="44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</row>
    <row r="821" ht="12.75" customHeight="1">
      <c r="A821" s="44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</row>
    <row r="822" ht="12.75" customHeight="1">
      <c r="A822" s="44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</row>
    <row r="823" ht="12.75" customHeight="1">
      <c r="A823" s="44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</row>
    <row r="824" ht="12.75" customHeight="1">
      <c r="A824" s="44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</row>
    <row r="825" ht="12.75" customHeight="1">
      <c r="A825" s="44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</row>
    <row r="826" ht="12.75" customHeight="1">
      <c r="A826" s="44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</row>
    <row r="827" ht="12.75" customHeight="1">
      <c r="A827" s="44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</row>
    <row r="828" ht="12.75" customHeight="1">
      <c r="A828" s="44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</row>
    <row r="829" ht="12.75" customHeight="1">
      <c r="A829" s="44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</row>
    <row r="830" ht="12.75" customHeight="1">
      <c r="A830" s="44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</row>
    <row r="831" ht="12.75" customHeight="1">
      <c r="A831" s="44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</row>
    <row r="832" ht="12.75" customHeight="1">
      <c r="A832" s="44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</row>
    <row r="833" ht="12.75" customHeight="1">
      <c r="A833" s="44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</row>
    <row r="834" ht="12.75" customHeight="1">
      <c r="A834" s="44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</row>
    <row r="835" ht="12.75" customHeight="1">
      <c r="A835" s="44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</row>
    <row r="836" ht="12.75" customHeight="1">
      <c r="A836" s="44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</row>
    <row r="837" ht="12.75" customHeight="1">
      <c r="A837" s="44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</row>
    <row r="838" ht="12.75" customHeight="1">
      <c r="A838" s="44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</row>
    <row r="839" ht="12.75" customHeight="1">
      <c r="A839" s="44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</row>
    <row r="840" ht="12.75" customHeight="1">
      <c r="A840" s="44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</row>
    <row r="841" ht="12.75" customHeight="1">
      <c r="A841" s="44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</row>
    <row r="842" ht="12.75" customHeight="1">
      <c r="A842" s="44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</row>
    <row r="843" ht="12.75" customHeight="1">
      <c r="A843" s="44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</row>
    <row r="844" ht="12.75" customHeight="1">
      <c r="A844" s="44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</row>
    <row r="845" ht="12.75" customHeight="1">
      <c r="A845" s="44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</row>
    <row r="846" ht="12.75" customHeight="1">
      <c r="A846" s="44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</row>
    <row r="847" ht="12.75" customHeight="1">
      <c r="A847" s="44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</row>
    <row r="848" ht="12.75" customHeight="1">
      <c r="A848" s="44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</row>
    <row r="849" ht="12.75" customHeight="1">
      <c r="A849" s="44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</row>
    <row r="850" ht="12.75" customHeight="1">
      <c r="A850" s="44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</row>
    <row r="851" ht="12.75" customHeight="1">
      <c r="A851" s="44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</row>
    <row r="852" ht="12.75" customHeight="1">
      <c r="A852" s="44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</row>
    <row r="853" ht="12.75" customHeight="1">
      <c r="A853" s="44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</row>
    <row r="854" ht="12.75" customHeight="1">
      <c r="A854" s="44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</row>
    <row r="855" ht="12.75" customHeight="1">
      <c r="A855" s="44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</row>
    <row r="856" ht="12.75" customHeight="1">
      <c r="A856" s="44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</row>
    <row r="857" ht="12.75" customHeight="1">
      <c r="A857" s="44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</row>
    <row r="858" ht="12.75" customHeight="1">
      <c r="A858" s="44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</row>
    <row r="859" ht="12.75" customHeight="1">
      <c r="A859" s="44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</row>
    <row r="860" ht="12.75" customHeight="1">
      <c r="A860" s="44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</row>
    <row r="861" ht="12.75" customHeight="1">
      <c r="A861" s="44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</row>
    <row r="862" ht="12.75" customHeight="1">
      <c r="A862" s="44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</row>
    <row r="863" ht="12.75" customHeight="1">
      <c r="A863" s="44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</row>
    <row r="864" ht="12.75" customHeight="1">
      <c r="A864" s="44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</row>
    <row r="865" ht="12.75" customHeight="1">
      <c r="A865" s="44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</row>
    <row r="866" ht="12.75" customHeight="1">
      <c r="A866" s="44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</row>
    <row r="867" ht="12.75" customHeight="1">
      <c r="A867" s="44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</row>
    <row r="868" ht="12.75" customHeight="1">
      <c r="A868" s="44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</row>
    <row r="869" ht="12.75" customHeight="1">
      <c r="A869" s="44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</row>
    <row r="870" ht="12.75" customHeight="1">
      <c r="A870" s="44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</row>
    <row r="871" ht="12.75" customHeight="1">
      <c r="A871" s="44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</row>
    <row r="872" ht="12.75" customHeight="1">
      <c r="A872" s="44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</row>
    <row r="873" ht="12.75" customHeight="1">
      <c r="A873" s="44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</row>
    <row r="874" ht="12.75" customHeight="1">
      <c r="A874" s="44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</row>
    <row r="875" ht="12.75" customHeight="1">
      <c r="A875" s="44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</row>
    <row r="876" ht="12.75" customHeight="1">
      <c r="A876" s="44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</row>
    <row r="877" ht="12.75" customHeight="1">
      <c r="A877" s="44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</row>
    <row r="878" ht="12.75" customHeight="1">
      <c r="A878" s="44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</row>
    <row r="879" ht="12.75" customHeight="1">
      <c r="A879" s="44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</row>
    <row r="880" ht="12.75" customHeight="1">
      <c r="A880" s="44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</row>
    <row r="881" ht="12.75" customHeight="1">
      <c r="A881" s="44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</row>
    <row r="882" ht="12.75" customHeight="1">
      <c r="A882" s="44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</row>
    <row r="883" ht="12.75" customHeight="1">
      <c r="A883" s="44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</row>
    <row r="884" ht="12.75" customHeight="1">
      <c r="A884" s="44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</row>
    <row r="885" ht="12.75" customHeight="1">
      <c r="A885" s="44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</row>
    <row r="886" ht="12.75" customHeight="1">
      <c r="A886" s="44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</row>
    <row r="887" ht="12.75" customHeight="1">
      <c r="A887" s="44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</row>
    <row r="888" ht="12.75" customHeight="1">
      <c r="A888" s="44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</row>
    <row r="889" ht="12.75" customHeight="1">
      <c r="A889" s="44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</row>
    <row r="890" ht="12.75" customHeight="1">
      <c r="A890" s="44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</row>
    <row r="891" ht="12.75" customHeight="1">
      <c r="A891" s="44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</row>
    <row r="892" ht="12.75" customHeight="1">
      <c r="A892" s="44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</row>
    <row r="893" ht="12.75" customHeight="1">
      <c r="A893" s="44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</row>
    <row r="894" ht="12.75" customHeight="1">
      <c r="A894" s="44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</row>
    <row r="895" ht="12.75" customHeight="1">
      <c r="A895" s="44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</row>
    <row r="896" ht="12.75" customHeight="1">
      <c r="A896" s="44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</row>
    <row r="897" ht="12.75" customHeight="1">
      <c r="A897" s="44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</row>
    <row r="898" ht="12.75" customHeight="1">
      <c r="A898" s="44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</row>
    <row r="899" ht="12.75" customHeight="1">
      <c r="A899" s="44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</row>
    <row r="900" ht="12.75" customHeight="1">
      <c r="A900" s="44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</row>
    <row r="901" ht="12.75" customHeight="1">
      <c r="A901" s="44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</row>
    <row r="902" ht="12.75" customHeight="1">
      <c r="A902" s="44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</row>
    <row r="903" ht="12.75" customHeight="1">
      <c r="A903" s="44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</row>
    <row r="904" ht="12.75" customHeight="1">
      <c r="A904" s="44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</row>
    <row r="905" ht="12.75" customHeight="1">
      <c r="A905" s="44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</row>
    <row r="906" ht="12.75" customHeight="1">
      <c r="A906" s="44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</row>
    <row r="907" ht="12.75" customHeight="1">
      <c r="A907" s="44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</row>
    <row r="908" ht="12.75" customHeight="1">
      <c r="A908" s="44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</row>
    <row r="909" ht="12.75" customHeight="1">
      <c r="A909" s="44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</row>
    <row r="910" ht="12.75" customHeight="1">
      <c r="A910" s="44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</row>
    <row r="911" ht="12.75" customHeight="1">
      <c r="A911" s="44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</row>
    <row r="912" ht="12.75" customHeight="1">
      <c r="A912" s="44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</row>
    <row r="913" ht="12.75" customHeight="1">
      <c r="A913" s="44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</row>
    <row r="914" ht="12.75" customHeight="1">
      <c r="A914" s="44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</row>
    <row r="915" ht="12.75" customHeight="1">
      <c r="A915" s="44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</row>
    <row r="916" ht="12.75" customHeight="1">
      <c r="A916" s="44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</row>
    <row r="917" ht="12.75" customHeight="1">
      <c r="A917" s="44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</row>
    <row r="918" ht="12.75" customHeight="1">
      <c r="A918" s="44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</row>
    <row r="919" ht="12.75" customHeight="1">
      <c r="A919" s="44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</row>
    <row r="920" ht="12.75" customHeight="1">
      <c r="A920" s="44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</row>
    <row r="921" ht="12.75" customHeight="1">
      <c r="A921" s="44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</row>
    <row r="922" ht="12.75" customHeight="1">
      <c r="A922" s="44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</row>
    <row r="923" ht="12.75" customHeight="1">
      <c r="A923" s="44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</row>
    <row r="924" ht="12.75" customHeight="1">
      <c r="A924" s="44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</row>
    <row r="925" ht="12.75" customHeight="1">
      <c r="A925" s="44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</row>
    <row r="926" ht="12.75" customHeight="1">
      <c r="A926" s="44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</row>
    <row r="927" ht="12.75" customHeight="1">
      <c r="A927" s="44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</row>
    <row r="928" ht="12.75" customHeight="1">
      <c r="A928" s="44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</row>
    <row r="929" ht="12.75" customHeight="1">
      <c r="A929" s="44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</row>
    <row r="930" ht="12.75" customHeight="1">
      <c r="A930" s="44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</row>
    <row r="931" ht="12.75" customHeight="1">
      <c r="A931" s="44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</row>
    <row r="932" ht="12.75" customHeight="1">
      <c r="A932" s="44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</row>
    <row r="933" ht="12.75" customHeight="1">
      <c r="A933" s="44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</row>
    <row r="934" ht="12.75" customHeight="1">
      <c r="A934" s="44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</row>
    <row r="935" ht="12.75" customHeight="1">
      <c r="A935" s="44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</row>
    <row r="936" ht="12.75" customHeight="1">
      <c r="A936" s="44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</row>
    <row r="937" ht="12.75" customHeight="1">
      <c r="A937" s="44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</row>
    <row r="938" ht="12.75" customHeight="1">
      <c r="A938" s="44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</row>
    <row r="939" ht="12.75" customHeight="1">
      <c r="A939" s="44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</row>
    <row r="940" ht="12.75" customHeight="1">
      <c r="A940" s="44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</row>
    <row r="941" ht="12.75" customHeight="1">
      <c r="A941" s="44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</row>
    <row r="942" ht="12.75" customHeight="1">
      <c r="A942" s="44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</row>
    <row r="943" ht="12.75" customHeight="1">
      <c r="A943" s="44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</row>
    <row r="944" ht="12.75" customHeight="1">
      <c r="A944" s="44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</row>
    <row r="945" ht="12.75" customHeight="1">
      <c r="A945" s="44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</row>
    <row r="946" ht="12.75" customHeight="1">
      <c r="A946" s="44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</row>
    <row r="947" ht="12.75" customHeight="1">
      <c r="A947" s="44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</row>
    <row r="948" ht="12.75" customHeight="1">
      <c r="A948" s="44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</row>
    <row r="949" ht="12.75" customHeight="1">
      <c r="A949" s="44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</row>
    <row r="950" ht="12.75" customHeight="1">
      <c r="A950" s="44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</row>
    <row r="951" ht="12.75" customHeight="1">
      <c r="A951" s="44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</row>
    <row r="952" ht="12.75" customHeight="1">
      <c r="A952" s="44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</row>
    <row r="953" ht="12.75" customHeight="1">
      <c r="A953" s="44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</row>
    <row r="954" ht="12.75" customHeight="1">
      <c r="A954" s="44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</row>
    <row r="955" ht="12.75" customHeight="1">
      <c r="A955" s="44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</row>
    <row r="956" ht="12.75" customHeight="1">
      <c r="A956" s="44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</row>
    <row r="957" ht="12.75" customHeight="1">
      <c r="A957" s="44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</row>
    <row r="958" ht="12.75" customHeight="1">
      <c r="A958" s="44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</row>
    <row r="959" ht="12.75" customHeight="1">
      <c r="A959" s="44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</row>
    <row r="960" ht="12.75" customHeight="1">
      <c r="A960" s="44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</row>
    <row r="961" ht="12.75" customHeight="1">
      <c r="A961" s="44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</row>
    <row r="962" ht="12.75" customHeight="1">
      <c r="A962" s="44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</row>
    <row r="963" ht="12.75" customHeight="1">
      <c r="A963" s="44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</row>
    <row r="964" ht="12.75" customHeight="1">
      <c r="A964" s="44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</row>
    <row r="965" ht="12.75" customHeight="1">
      <c r="A965" s="44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</row>
    <row r="966" ht="12.75" customHeight="1">
      <c r="A966" s="44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</row>
    <row r="967" ht="12.75" customHeight="1">
      <c r="A967" s="44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</row>
    <row r="968" ht="12.75" customHeight="1">
      <c r="A968" s="44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</row>
    <row r="969" ht="12.75" customHeight="1">
      <c r="A969" s="44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</row>
    <row r="970" ht="12.75" customHeight="1">
      <c r="A970" s="44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</row>
    <row r="971" ht="12.75" customHeight="1">
      <c r="A971" s="44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</row>
    <row r="972" ht="12.75" customHeight="1">
      <c r="A972" s="44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</row>
    <row r="973" ht="12.75" customHeight="1">
      <c r="A973" s="44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</row>
    <row r="974" ht="12.75" customHeight="1">
      <c r="A974" s="44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</row>
    <row r="975" ht="12.75" customHeight="1">
      <c r="A975" s="44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</row>
    <row r="976" ht="12.75" customHeight="1">
      <c r="A976" s="44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</row>
    <row r="977" ht="12.75" customHeight="1">
      <c r="A977" s="44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</row>
    <row r="978" ht="12.75" customHeight="1">
      <c r="A978" s="44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</row>
    <row r="979" ht="12.75" customHeight="1">
      <c r="A979" s="44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</row>
    <row r="980" ht="12.75" customHeight="1">
      <c r="A980" s="44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</row>
    <row r="981" ht="12.75" customHeight="1">
      <c r="A981" s="44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</row>
    <row r="982" ht="12.75" customHeight="1">
      <c r="A982" s="44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</row>
    <row r="983" ht="12.75" customHeight="1">
      <c r="A983" s="44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</row>
    <row r="984" ht="12.75" customHeight="1">
      <c r="A984" s="44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</row>
    <row r="985" ht="12.75" customHeight="1">
      <c r="A985" s="44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</row>
    <row r="986" ht="12.75" customHeight="1">
      <c r="A986" s="44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</row>
    <row r="987" ht="12.75" customHeight="1">
      <c r="A987" s="44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</row>
    <row r="988" ht="12.75" customHeight="1">
      <c r="A988" s="44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</row>
    <row r="989" ht="12.75" customHeight="1">
      <c r="A989" s="44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</row>
    <row r="990" ht="12.75" customHeight="1">
      <c r="A990" s="44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</row>
    <row r="991" ht="12.75" customHeight="1">
      <c r="A991" s="44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</row>
    <row r="992" ht="12.75" customHeight="1">
      <c r="A992" s="44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</row>
    <row r="993" ht="12.75" customHeight="1">
      <c r="A993" s="44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</row>
    <row r="994" ht="12.75" customHeight="1">
      <c r="A994" s="44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</row>
    <row r="995" ht="12.75" customHeight="1">
      <c r="A995" s="44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</row>
    <row r="996" ht="12.75" customHeight="1">
      <c r="A996" s="44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</row>
    <row r="997" ht="12.75" customHeight="1">
      <c r="A997" s="44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</row>
    <row r="998" ht="12.75" customHeight="1">
      <c r="A998" s="44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</row>
    <row r="999" ht="12.75" customHeight="1">
      <c r="A999" s="44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</row>
    <row r="1000" ht="12.75" customHeight="1">
      <c r="A1000" s="44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</row>
    <row r="1001" ht="12.75" customHeight="1">
      <c r="A1001" s="44"/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</row>
    <row r="1002" ht="12.75" customHeight="1">
      <c r="A1002" s="44"/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</row>
    <row r="1003" ht="12.75" customHeight="1">
      <c r="A1003" s="46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</row>
    <row r="1004" ht="12.75" customHeight="1">
      <c r="A1004" s="46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</row>
    <row r="1005" ht="12.75" customHeight="1">
      <c r="A1005" s="46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</row>
    <row r="1006" ht="12.75" customHeight="1">
      <c r="A1006" s="46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</row>
    <row r="1007" ht="12.75" customHeight="1">
      <c r="A1007" s="46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</row>
    <row r="1008" ht="12.75" customHeight="1">
      <c r="A1008" s="46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</row>
    <row r="1009" ht="12.75" customHeight="1">
      <c r="A1009" s="46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</row>
    <row r="1010" ht="12.75" customHeight="1">
      <c r="A1010" s="46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</row>
    <row r="1011" ht="12.75" customHeight="1">
      <c r="A1011" s="46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</row>
    <row r="1012" ht="12.75" customHeight="1">
      <c r="A1012" s="46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</row>
    <row r="1013" ht="12.75" customHeight="1">
      <c r="A1013" s="46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</row>
    <row r="1014" ht="12.75" customHeight="1">
      <c r="A1014" s="46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</row>
    <row r="1015" ht="12.75" customHeight="1">
      <c r="A1015" s="46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</row>
    <row r="1016" ht="12.75" customHeight="1">
      <c r="A1016" s="46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</row>
    <row r="1017" ht="12.75" customHeight="1">
      <c r="A1017" s="46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</row>
    <row r="1018" ht="12.75" customHeight="1">
      <c r="A1018" s="46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</row>
    <row r="1019" ht="12.75" customHeight="1">
      <c r="A1019" s="46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</row>
    <row r="1020" ht="12.75" customHeight="1">
      <c r="A1020" s="46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</row>
    <row r="1021" ht="12.75" customHeight="1">
      <c r="A1021" s="46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</row>
    <row r="1022" ht="12.75" customHeight="1">
      <c r="A1022" s="46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</row>
    <row r="1023" ht="12.75" customHeight="1">
      <c r="A1023" s="46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</row>
    <row r="1024" ht="12.75" customHeight="1">
      <c r="A1024" s="46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</row>
    <row r="1025" ht="12.75" customHeight="1">
      <c r="A1025" s="46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</row>
    <row r="1026" ht="12.75" customHeight="1">
      <c r="A1026" s="46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</row>
    <row r="1027" ht="12.75" customHeight="1">
      <c r="A1027" s="46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</row>
    <row r="1028" ht="12.75" customHeight="1">
      <c r="A1028" s="46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</row>
    <row r="1029" ht="12.75" customHeight="1">
      <c r="A1029" s="46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</row>
    <row r="1030" ht="12.75" customHeight="1">
      <c r="A1030" s="46"/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</row>
    <row r="1031" ht="12.75" customHeight="1">
      <c r="A1031" s="46"/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</row>
    <row r="1032" ht="12.75" customHeight="1">
      <c r="A1032" s="46"/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</row>
    <row r="1033" ht="12.75" customHeight="1">
      <c r="A1033" s="46"/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</row>
    <row r="1034" ht="12.75" customHeight="1">
      <c r="A1034" s="46"/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</row>
    <row r="1035" ht="12.75" customHeight="1">
      <c r="A1035" s="46"/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</row>
    <row r="1036" ht="12.75" customHeight="1">
      <c r="A1036" s="46"/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</row>
    <row r="1037" ht="12.75" customHeight="1">
      <c r="A1037" s="46"/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</row>
    <row r="1038" ht="12.75" customHeight="1">
      <c r="A1038" s="46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</row>
    <row r="1039" ht="12.75" customHeight="1">
      <c r="A1039" s="46"/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</row>
    <row r="1040" ht="12.75" customHeight="1">
      <c r="A1040" s="46"/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</row>
    <row r="1041" ht="12.75" customHeight="1">
      <c r="A1041" s="46"/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</row>
    <row r="1042" ht="12.75" customHeight="1">
      <c r="A1042" s="46"/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</row>
    <row r="1043" ht="12.75" customHeight="1">
      <c r="A1043" s="46"/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</row>
    <row r="1044" ht="12.75" customHeight="1">
      <c r="A1044" s="46"/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</row>
    <row r="1045" ht="12.75" customHeight="1">
      <c r="A1045" s="46"/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</row>
    <row r="1046" ht="12.75" customHeight="1">
      <c r="A1046" s="46"/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</row>
    <row r="1047" ht="12.75" customHeight="1">
      <c r="A1047" s="46"/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</row>
    <row r="1048" ht="12.75" customHeight="1">
      <c r="A1048" s="46"/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</row>
    <row r="1049" ht="12.75" customHeight="1">
      <c r="A1049" s="46"/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</row>
    <row r="1050" ht="12.75" customHeight="1">
      <c r="A1050" s="46"/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</row>
    <row r="1051" ht="12.75" customHeight="1">
      <c r="A1051" s="46"/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</row>
    <row r="1052" ht="12.75" customHeight="1">
      <c r="A1052" s="46"/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</row>
    <row r="1053" ht="12.75" customHeight="1">
      <c r="A1053" s="46"/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</row>
    <row r="1054" ht="12.75" customHeight="1">
      <c r="A1054" s="46"/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</row>
    <row r="1055" ht="12.75" customHeight="1">
      <c r="A1055" s="46"/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</row>
    <row r="1056" ht="12.75" customHeight="1">
      <c r="A1056" s="46"/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</row>
    <row r="1057" ht="12.75" customHeight="1">
      <c r="A1057" s="46"/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</row>
    <row r="1058" ht="12.75" customHeight="1">
      <c r="A1058" s="46"/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</row>
    <row r="1059" ht="12.75" customHeight="1">
      <c r="A1059" s="46"/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</row>
    <row r="1060" ht="12.75" customHeight="1">
      <c r="A1060" s="46"/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</row>
    <row r="1061" ht="12.75" customHeight="1">
      <c r="A1061" s="46"/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</row>
    <row r="1062" ht="12.75" customHeight="1">
      <c r="A1062" s="46"/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</row>
    <row r="1063" ht="12.75" customHeight="1">
      <c r="A1063" s="46"/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</row>
    <row r="1064" ht="12.75" customHeight="1">
      <c r="A1064" s="46"/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</row>
    <row r="1065" ht="12.75" customHeight="1">
      <c r="A1065" s="46"/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</row>
    <row r="1066" ht="12.75" customHeight="1">
      <c r="A1066" s="46"/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</row>
    <row r="1067" ht="12.75" customHeight="1">
      <c r="A1067" s="46"/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</row>
    <row r="1068" ht="12.75" customHeight="1">
      <c r="A1068" s="46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</row>
    <row r="1069" ht="12.75" customHeight="1">
      <c r="A1069" s="46"/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</row>
    <row r="1070" ht="12.75" customHeight="1">
      <c r="A1070" s="46"/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</row>
    <row r="1071" ht="12.75" customHeight="1">
      <c r="A1071" s="46"/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</row>
    <row r="1072" ht="12.75" customHeight="1">
      <c r="A1072" s="46"/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</row>
    <row r="1073" ht="12.75" customHeight="1">
      <c r="A1073" s="46"/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</row>
    <row r="1074" ht="12.75" customHeight="1">
      <c r="A1074" s="46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</row>
    <row r="1075" ht="12.75" customHeight="1">
      <c r="A1075" s="46"/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</row>
    <row r="1076" ht="12.75" customHeight="1">
      <c r="A1076" s="46"/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</row>
    <row r="1077" ht="12.75" customHeight="1">
      <c r="A1077" s="46"/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</row>
    <row r="1078" ht="12.75" customHeight="1">
      <c r="A1078" s="46"/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</row>
    <row r="1079" ht="12.75" customHeight="1">
      <c r="A1079" s="46"/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</row>
    <row r="1080" ht="12.75" customHeight="1">
      <c r="A1080" s="46"/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</row>
    <row r="1081" ht="12.75" customHeight="1">
      <c r="A1081" s="46"/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</row>
    <row r="1082" ht="12.75" customHeight="1">
      <c r="A1082" s="46"/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</row>
    <row r="1083" ht="12.75" customHeight="1">
      <c r="A1083" s="46"/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</row>
    <row r="1084" ht="12.75" customHeight="1">
      <c r="A1084" s="46"/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</row>
    <row r="1085" ht="12.75" customHeight="1">
      <c r="A1085" s="46"/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</row>
    <row r="1086" ht="12.75" customHeight="1">
      <c r="A1086" s="46"/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</row>
    <row r="1087" ht="12.75" customHeight="1">
      <c r="A1087" s="46"/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</row>
    <row r="1088" ht="12.75" customHeight="1">
      <c r="A1088" s="46"/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</row>
    <row r="1089" ht="12.75" customHeight="1">
      <c r="A1089" s="46"/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</row>
    <row r="1090" ht="12.75" customHeight="1">
      <c r="A1090" s="46"/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</row>
    <row r="1091" ht="12.75" customHeight="1">
      <c r="A1091" s="46"/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</row>
    <row r="1092" ht="12.75" customHeight="1">
      <c r="A1092" s="46"/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</row>
    <row r="1093" ht="12.75" customHeight="1">
      <c r="A1093" s="46"/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</row>
    <row r="1094" ht="12.75" customHeight="1">
      <c r="A1094" s="46"/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</row>
    <row r="1095" ht="12.75" customHeight="1">
      <c r="A1095" s="46"/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</row>
    <row r="1096" ht="12.75" customHeight="1">
      <c r="A1096" s="46"/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</row>
    <row r="1097" ht="12.75" customHeight="1">
      <c r="A1097" s="46"/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</row>
    <row r="1098" ht="12.75" customHeight="1">
      <c r="A1098" s="46"/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</row>
    <row r="1099" ht="12.75" customHeight="1">
      <c r="A1099" s="46"/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</row>
    <row r="1100" ht="12.75" customHeight="1">
      <c r="A1100" s="46"/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</row>
    <row r="1101" ht="12.75" customHeight="1">
      <c r="A1101" s="46"/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</row>
    <row r="1102" ht="12.75" customHeight="1">
      <c r="A1102" s="46"/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</row>
    <row r="1103" ht="12.75" customHeight="1">
      <c r="A1103" s="46"/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</row>
    <row r="1104" ht="12.75" customHeight="1">
      <c r="A1104" s="46"/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</row>
    <row r="1105" ht="12.75" customHeight="1">
      <c r="A1105" s="46"/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</row>
    <row r="1106" ht="12.75" customHeight="1">
      <c r="A1106" s="46"/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</row>
    <row r="1107" ht="12.75" customHeight="1">
      <c r="A1107" s="46"/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</row>
    <row r="1108" ht="12.75" customHeight="1">
      <c r="A1108" s="46"/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</row>
    <row r="1109" ht="12.75" customHeight="1">
      <c r="A1109" s="46"/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</row>
    <row r="1110" ht="12.75" customHeight="1">
      <c r="A1110" s="46"/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</row>
    <row r="1111" ht="12.75" customHeight="1">
      <c r="A1111" s="46"/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</row>
    <row r="1112" ht="12.75" customHeight="1">
      <c r="A1112" s="46"/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</row>
    <row r="1113" ht="12.75" customHeight="1">
      <c r="A1113" s="46"/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</row>
    <row r="1114" ht="12.75" customHeight="1">
      <c r="A1114" s="46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</row>
    <row r="1115" ht="12.75" customHeight="1">
      <c r="A1115" s="46"/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</row>
    <row r="1116" ht="12.75" customHeight="1">
      <c r="A1116" s="46"/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</row>
    <row r="1117" ht="12.75" customHeight="1">
      <c r="A1117" s="46"/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</row>
    <row r="1118" ht="12.75" customHeight="1">
      <c r="A1118" s="46"/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</row>
    <row r="1119" ht="12.75" customHeight="1">
      <c r="A1119" s="46"/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</row>
    <row r="1120" ht="12.75" customHeight="1">
      <c r="A1120" s="46"/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</row>
    <row r="1121" ht="12.75" customHeight="1">
      <c r="A1121" s="46"/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</row>
    <row r="1122" ht="12.75" customHeight="1">
      <c r="A1122" s="46"/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</row>
    <row r="1123" ht="12.75" customHeight="1">
      <c r="A1123" s="46"/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</row>
    <row r="1124" ht="12.75" customHeight="1">
      <c r="A1124" s="46"/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</row>
    <row r="1125" ht="12.75" customHeight="1">
      <c r="A1125" s="46"/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</row>
    <row r="1126" ht="12.75" customHeight="1">
      <c r="A1126" s="46"/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</row>
    <row r="1127" ht="12.75" customHeight="1">
      <c r="A1127" s="46"/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</row>
    <row r="1128" ht="12.75" customHeight="1">
      <c r="A1128" s="46"/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</row>
    <row r="1129" ht="12.75" customHeight="1">
      <c r="A1129" s="46"/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</row>
    <row r="1130" ht="12.75" customHeight="1">
      <c r="A1130" s="46"/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</row>
    <row r="1131" ht="12.75" customHeight="1">
      <c r="A1131" s="46"/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</row>
    <row r="1132" ht="12.75" customHeight="1">
      <c r="A1132" s="46"/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</row>
    <row r="1133" ht="12.75" customHeight="1">
      <c r="A1133" s="46"/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</row>
    <row r="1134" ht="12.75" customHeight="1">
      <c r="A1134" s="46"/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</row>
    <row r="1135" ht="12.75" customHeight="1">
      <c r="A1135" s="46"/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</row>
    <row r="1136" ht="12.75" customHeight="1">
      <c r="A1136" s="46"/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</row>
    <row r="1137" ht="12.75" customHeight="1">
      <c r="A1137" s="46"/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</row>
    <row r="1138" ht="12.75" customHeight="1">
      <c r="A1138" s="46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</row>
    <row r="1139" ht="12.75" customHeight="1">
      <c r="A1139" s="46"/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</row>
    <row r="1140" ht="12.75" customHeight="1">
      <c r="A1140" s="46"/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</row>
    <row r="1141" ht="12.75" customHeight="1">
      <c r="A1141" s="46"/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</row>
    <row r="1142" ht="12.75" customHeight="1">
      <c r="A1142" s="46"/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</row>
    <row r="1143" ht="12.75" customHeight="1">
      <c r="A1143" s="46"/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</row>
    <row r="1144" ht="12.75" customHeight="1">
      <c r="A1144" s="46"/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</row>
    <row r="1145" ht="12.75" customHeight="1">
      <c r="A1145" s="46"/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</row>
    <row r="1146" ht="12.75" customHeight="1">
      <c r="A1146" s="46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</row>
    <row r="1147" ht="12.75" customHeight="1">
      <c r="A1147" s="46"/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</row>
    <row r="1148" ht="12.75" customHeight="1">
      <c r="A1148" s="46"/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</row>
    <row r="1149" ht="12.75" customHeight="1">
      <c r="A1149" s="46"/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</row>
    <row r="1150" ht="12.75" customHeight="1">
      <c r="A1150" s="46"/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</row>
    <row r="1151" ht="12.75" customHeight="1">
      <c r="A1151" s="46"/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</row>
    <row r="1152" ht="12.75" customHeight="1">
      <c r="A1152" s="46"/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</row>
    <row r="1153" ht="12.75" customHeight="1">
      <c r="A1153" s="46"/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</row>
    <row r="1154" ht="12.75" customHeight="1">
      <c r="A1154" s="46"/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</row>
    <row r="1155" ht="12.75" customHeight="1">
      <c r="A1155" s="46"/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</row>
    <row r="1156" ht="12.75" customHeight="1">
      <c r="A1156" s="46"/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</row>
    <row r="1157" ht="12.75" customHeight="1">
      <c r="A1157" s="46"/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</row>
    <row r="1158" ht="12.75" customHeight="1">
      <c r="A1158" s="46"/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</row>
    <row r="1159" ht="12.75" customHeight="1">
      <c r="A1159" s="46"/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</row>
    <row r="1160" ht="12.75" customHeight="1">
      <c r="A1160" s="46"/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</row>
    <row r="1161" ht="12.75" customHeight="1">
      <c r="A1161" s="46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</row>
    <row r="1162" ht="12.75" customHeight="1">
      <c r="A1162" s="46"/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</row>
    <row r="1163" ht="12.75" customHeight="1">
      <c r="A1163" s="46"/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</row>
    <row r="1164" ht="12.75" customHeight="1">
      <c r="A1164" s="46"/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</row>
    <row r="1165" ht="12.75" customHeight="1">
      <c r="A1165" s="46"/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</row>
    <row r="1166" ht="12.75" customHeight="1">
      <c r="A1166" s="46"/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</row>
    <row r="1167" ht="12.75" customHeight="1">
      <c r="A1167" s="46"/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</row>
    <row r="1168" ht="12.75" customHeight="1">
      <c r="A1168" s="46"/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</row>
    <row r="1169" ht="12.75" customHeight="1">
      <c r="A1169" s="46"/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</row>
    <row r="1170" ht="12.75" customHeight="1">
      <c r="A1170" s="46"/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</row>
    <row r="1171" ht="12.75" customHeight="1">
      <c r="A1171" s="46"/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</row>
    <row r="1172" ht="12.75" customHeight="1">
      <c r="A1172" s="46"/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</row>
    <row r="1173" ht="12.75" customHeight="1">
      <c r="A1173" s="46"/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</row>
    <row r="1174" ht="12.75" customHeight="1">
      <c r="A1174" s="46"/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</row>
    <row r="1175" ht="12.75" customHeight="1">
      <c r="A1175" s="46"/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</row>
    <row r="1176" ht="12.75" customHeight="1">
      <c r="A1176" s="46"/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</row>
    <row r="1177" ht="12.75" customHeight="1">
      <c r="A1177" s="46"/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</row>
    <row r="1178" ht="12.75" customHeight="1">
      <c r="A1178" s="46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</row>
    <row r="1179" ht="12.75" customHeight="1">
      <c r="A1179" s="46"/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</row>
    <row r="1180" ht="12.75" customHeight="1">
      <c r="A1180" s="46"/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</row>
    <row r="1181" ht="12.75" customHeight="1">
      <c r="A1181" s="46"/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</row>
    <row r="1182" ht="12.75" customHeight="1">
      <c r="A1182" s="46"/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</row>
    <row r="1183" ht="12.75" customHeight="1">
      <c r="A1183" s="46"/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</row>
    <row r="1184" ht="12.75" customHeight="1">
      <c r="A1184" s="46"/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</row>
    <row r="1185" ht="12.75" customHeight="1">
      <c r="A1185" s="46"/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</row>
    <row r="1186" ht="12.75" customHeight="1">
      <c r="A1186" s="46"/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</row>
    <row r="1187" ht="12.75" customHeight="1">
      <c r="A1187" s="46"/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</row>
    <row r="1188" ht="12.75" customHeight="1">
      <c r="A1188" s="46"/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</row>
    <row r="1189" ht="12.75" customHeight="1">
      <c r="A1189" s="46"/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</row>
    <row r="1190" ht="12.75" customHeight="1">
      <c r="A1190" s="46"/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</row>
    <row r="1191" ht="12.75" customHeight="1">
      <c r="A1191" s="46"/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</row>
    <row r="1192" ht="12.75" customHeight="1">
      <c r="A1192" s="46"/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</row>
    <row r="1193" ht="12.75" customHeight="1">
      <c r="A1193" s="46"/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</row>
    <row r="1194" ht="12.75" customHeight="1">
      <c r="A1194" s="46"/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</row>
    <row r="1195" ht="12.75" customHeight="1">
      <c r="A1195" s="46"/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</row>
    <row r="1196" ht="12.75" customHeight="1">
      <c r="A1196" s="46"/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</row>
    <row r="1197" ht="12.75" customHeight="1">
      <c r="A1197" s="46"/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</row>
    <row r="1198" ht="12.75" customHeight="1">
      <c r="A1198" s="46"/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</row>
    <row r="1199" ht="12.75" customHeight="1">
      <c r="A1199" s="46"/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</row>
    <row r="1200" ht="12.75" customHeight="1">
      <c r="A1200" s="46"/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</row>
    <row r="1201" ht="12.75" customHeight="1">
      <c r="A1201" s="46"/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</row>
    <row r="1202" ht="12.75" customHeight="1">
      <c r="A1202" s="46"/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</row>
    <row r="1203" ht="12.75" customHeight="1">
      <c r="A1203" s="46"/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</row>
    <row r="1204" ht="12.75" customHeight="1">
      <c r="A1204" s="46"/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</row>
    <row r="1205" ht="12.75" customHeight="1">
      <c r="A1205" s="46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</row>
    <row r="1206" ht="12.75" customHeight="1">
      <c r="A1206" s="46"/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</row>
    <row r="1207" ht="12.75" customHeight="1">
      <c r="A1207" s="46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</row>
    <row r="1208" ht="12.75" customHeight="1">
      <c r="A1208" s="46"/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</row>
    <row r="1209" ht="12.75" customHeight="1">
      <c r="A1209" s="46"/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</row>
    <row r="1210" ht="12.75" customHeight="1">
      <c r="A1210" s="46"/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</row>
    <row r="1211" ht="12.75" customHeight="1">
      <c r="A1211" s="46"/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</row>
    <row r="1212" ht="12.75" customHeight="1">
      <c r="A1212" s="46"/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</row>
    <row r="1213" ht="12.75" customHeight="1">
      <c r="A1213" s="46"/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</row>
    <row r="1214" ht="12.75" customHeight="1">
      <c r="A1214" s="46"/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</row>
    <row r="1215" ht="12.75" customHeight="1">
      <c r="A1215" s="46"/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</row>
    <row r="1216" ht="12.75" customHeight="1">
      <c r="A1216" s="46"/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</row>
    <row r="1217" ht="12.75" customHeight="1">
      <c r="A1217" s="46"/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</row>
    <row r="1218" ht="12.75" customHeight="1">
      <c r="A1218" s="46"/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</row>
    <row r="1219" ht="12.75" customHeight="1">
      <c r="A1219" s="46"/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</row>
    <row r="1220" ht="12.75" customHeight="1">
      <c r="A1220" s="46"/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</row>
    <row r="1221" ht="12.75" customHeight="1">
      <c r="A1221" s="46"/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</row>
    <row r="1222" ht="12.75" customHeight="1">
      <c r="A1222" s="46"/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</row>
    <row r="1223" ht="12.75" customHeight="1">
      <c r="A1223" s="46"/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</row>
    <row r="1224" ht="12.75" customHeight="1">
      <c r="A1224" s="46"/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</row>
    <row r="1225" ht="12.75" customHeight="1">
      <c r="A1225" s="46"/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</row>
    <row r="1226" ht="12.75" customHeight="1">
      <c r="A1226" s="46"/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</row>
    <row r="1227" ht="12.75" customHeight="1">
      <c r="A1227" s="46"/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</row>
    <row r="1228" ht="12.75" customHeight="1">
      <c r="A1228" s="46"/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</row>
    <row r="1229" ht="12.75" customHeight="1">
      <c r="A1229" s="46"/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</row>
    <row r="1230" ht="12.75" customHeight="1">
      <c r="A1230" s="46"/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</row>
    <row r="1231" ht="12.75" customHeight="1">
      <c r="A1231" s="46"/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</row>
    <row r="1232" ht="12.75" customHeight="1">
      <c r="A1232" s="46"/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</row>
    <row r="1233" ht="12.75" customHeight="1">
      <c r="A1233" s="46"/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</row>
    <row r="1234" ht="12.75" customHeight="1">
      <c r="A1234" s="46"/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</row>
    <row r="1235" ht="12.75" customHeight="1">
      <c r="A1235" s="46"/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</row>
    <row r="1236" ht="12.75" customHeight="1">
      <c r="A1236" s="46"/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</row>
    <row r="1237" ht="12.75" customHeight="1">
      <c r="A1237" s="46"/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</row>
    <row r="1238" ht="12.75" customHeight="1">
      <c r="A1238" s="46"/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</row>
    <row r="1239" ht="12.75" customHeight="1">
      <c r="A1239" s="46"/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</row>
    <row r="1240" ht="12.75" customHeight="1">
      <c r="A1240" s="46"/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</row>
    <row r="1241" ht="12.75" customHeight="1">
      <c r="A1241" s="46"/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</row>
    <row r="1242" ht="12.75" customHeight="1">
      <c r="A1242" s="46"/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</row>
    <row r="1243" ht="12.75" customHeight="1">
      <c r="A1243" s="46"/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</row>
    <row r="1244" ht="12.75" customHeight="1">
      <c r="A1244" s="46"/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</row>
    <row r="1245" ht="12.75" customHeight="1">
      <c r="A1245" s="46"/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</row>
    <row r="1246" ht="12.75" customHeight="1">
      <c r="A1246" s="46"/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</row>
    <row r="1247" ht="12.75" customHeight="1">
      <c r="A1247" s="46"/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</row>
    <row r="1248" ht="12.75" customHeight="1">
      <c r="A1248" s="46"/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</row>
    <row r="1249" ht="12.75" customHeight="1">
      <c r="A1249" s="46"/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</row>
    <row r="1250" ht="12.75" customHeight="1">
      <c r="A1250" s="46"/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</row>
    <row r="1251" ht="12.75" customHeight="1">
      <c r="A1251" s="46"/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</row>
    <row r="1252" ht="12.75" customHeight="1">
      <c r="A1252" s="46"/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</row>
    <row r="1253" ht="12.75" customHeight="1">
      <c r="A1253" s="46"/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</row>
    <row r="1254" ht="12.75" customHeight="1">
      <c r="A1254" s="46"/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</row>
    <row r="1255" ht="12.75" customHeight="1">
      <c r="A1255" s="46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</row>
    <row r="1256" ht="12.75" customHeight="1">
      <c r="A1256" s="46"/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</row>
    <row r="1257" ht="12.75" customHeight="1">
      <c r="A1257" s="46"/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</row>
    <row r="1258" ht="12.75" customHeight="1">
      <c r="A1258" s="46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</row>
    <row r="1259" ht="12.75" customHeight="1">
      <c r="A1259" s="46"/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</row>
    <row r="1260" ht="12.75" customHeight="1">
      <c r="A1260" s="46"/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</row>
    <row r="1261" ht="12.75" customHeight="1">
      <c r="A1261" s="46"/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</row>
    <row r="1262" ht="12.75" customHeight="1">
      <c r="A1262" s="46"/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</row>
    <row r="1263" ht="12.75" customHeight="1">
      <c r="A1263" s="46"/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</row>
    <row r="1264" ht="12.75" customHeight="1">
      <c r="A1264" s="46"/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</row>
    <row r="1265" ht="12.75" customHeight="1">
      <c r="A1265" s="46"/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</row>
    <row r="1266" ht="12.75" customHeight="1">
      <c r="A1266" s="46"/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</row>
    <row r="1267" ht="12.75" customHeight="1">
      <c r="A1267" s="46"/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</row>
    <row r="1268" ht="12.75" customHeight="1">
      <c r="A1268" s="46"/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</row>
    <row r="1269" ht="12.75" customHeight="1">
      <c r="A1269" s="46"/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</row>
    <row r="1270" ht="12.75" customHeight="1">
      <c r="A1270" s="46"/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</row>
    <row r="1271" ht="12.75" customHeight="1">
      <c r="A1271" s="46"/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</row>
    <row r="1272" ht="12.75" customHeight="1">
      <c r="A1272" s="46"/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</row>
    <row r="1273" ht="12.75" customHeight="1">
      <c r="A1273" s="46"/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</row>
    <row r="1274" ht="12.75" customHeight="1">
      <c r="A1274" s="46"/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</row>
    <row r="1275" ht="12.75" customHeight="1">
      <c r="A1275" s="46"/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</row>
    <row r="1276" ht="12.75" customHeight="1">
      <c r="A1276" s="46"/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</row>
    <row r="1277" ht="12.75" customHeight="1">
      <c r="A1277" s="46"/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</row>
    <row r="1278" ht="12.75" customHeight="1">
      <c r="A1278" s="46"/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</row>
    <row r="1279" ht="12.75" customHeight="1">
      <c r="A1279" s="46"/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</row>
    <row r="1280" ht="12.75" customHeight="1">
      <c r="A1280" s="46"/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</row>
    <row r="1281" ht="12.75" customHeight="1">
      <c r="A1281" s="46"/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</row>
    <row r="1282" ht="12.75" customHeight="1">
      <c r="A1282" s="46"/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</row>
    <row r="1283" ht="12.75" customHeight="1">
      <c r="A1283" s="46"/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</row>
    <row r="1284" ht="12.75" customHeight="1">
      <c r="A1284" s="46"/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</row>
    <row r="1285" ht="12.75" customHeight="1">
      <c r="A1285" s="46"/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</row>
    <row r="1286" ht="12.75" customHeight="1">
      <c r="A1286" s="46"/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</row>
    <row r="1287" ht="12.75" customHeight="1">
      <c r="A1287" s="46"/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</row>
    <row r="1288" ht="12.75" customHeight="1">
      <c r="A1288" s="46"/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</row>
    <row r="1289" ht="12.75" customHeight="1">
      <c r="A1289" s="46"/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</row>
    <row r="1290" ht="12.75" customHeight="1">
      <c r="A1290" s="46"/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</row>
    <row r="1291" ht="12.75" customHeight="1">
      <c r="A1291" s="46"/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</row>
    <row r="1292" ht="12.75" customHeight="1">
      <c r="A1292" s="46"/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</row>
    <row r="1293" ht="12.75" customHeight="1">
      <c r="A1293" s="46"/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</row>
    <row r="1294" ht="12.75" customHeight="1">
      <c r="A1294" s="46"/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</row>
    <row r="1295" ht="12.75" customHeight="1">
      <c r="A1295" s="46"/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</row>
    <row r="1296" ht="12.75" customHeight="1">
      <c r="A1296" s="46"/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</row>
    <row r="1297" ht="12.75" customHeight="1">
      <c r="A1297" s="46"/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</row>
    <row r="1298" ht="12.75" customHeight="1">
      <c r="A1298" s="46"/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</row>
    <row r="1299" ht="12.75" customHeight="1">
      <c r="A1299" s="46"/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</row>
    <row r="1300" ht="12.75" customHeight="1">
      <c r="A1300" s="46"/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</row>
    <row r="1301" ht="12.75" customHeight="1">
      <c r="A1301" s="46"/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</row>
    <row r="1302" ht="12.75" customHeight="1">
      <c r="A1302" s="46"/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</row>
    <row r="1303" ht="12.75" customHeight="1">
      <c r="A1303" s="46"/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</row>
    <row r="1304" ht="12.75" customHeight="1">
      <c r="A1304" s="46"/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</row>
    <row r="1305" ht="12.75" customHeight="1">
      <c r="A1305" s="46"/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</row>
    <row r="1306" ht="12.75" customHeight="1">
      <c r="A1306" s="46"/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</row>
    <row r="1307" ht="12.75" customHeight="1">
      <c r="A1307" s="46"/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</row>
    <row r="1308" ht="12.75" customHeight="1">
      <c r="A1308" s="46"/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</row>
    <row r="1309" ht="12.75" customHeight="1">
      <c r="A1309" s="46"/>
      <c r="B1309" s="40"/>
      <c r="C1309" s="40"/>
      <c r="D1309" s="40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</row>
    <row r="1310" ht="12.75" customHeight="1">
      <c r="A1310" s="46"/>
      <c r="B1310" s="40"/>
      <c r="C1310" s="40"/>
      <c r="D1310" s="40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</row>
    <row r="1311" ht="12.75" customHeight="1">
      <c r="A1311" s="46"/>
      <c r="B1311" s="40"/>
      <c r="C1311" s="40"/>
      <c r="D1311" s="40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</row>
    <row r="1312" ht="12.75" customHeight="1">
      <c r="A1312" s="46"/>
      <c r="B1312" s="40"/>
      <c r="C1312" s="40"/>
      <c r="D1312" s="40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</row>
    <row r="1313" ht="12.75" customHeight="1">
      <c r="A1313" s="46"/>
      <c r="B1313" s="40"/>
      <c r="C1313" s="40"/>
      <c r="D1313" s="40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</row>
    <row r="1314" ht="12.75" customHeight="1">
      <c r="A1314" s="46"/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</row>
    <row r="1315" ht="12.75" customHeight="1">
      <c r="A1315" s="46"/>
      <c r="B1315" s="40"/>
      <c r="C1315" s="40"/>
      <c r="D1315" s="40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</row>
    <row r="1316" ht="12.75" customHeight="1">
      <c r="A1316" s="46"/>
      <c r="B1316" s="40"/>
      <c r="C1316" s="40"/>
      <c r="D1316" s="40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</row>
    <row r="1317" ht="12.75" customHeight="1">
      <c r="A1317" s="46"/>
      <c r="B1317" s="40"/>
      <c r="C1317" s="40"/>
      <c r="D1317" s="40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</row>
    <row r="1318" ht="12.75" customHeight="1">
      <c r="A1318" s="46"/>
      <c r="B1318" s="40"/>
      <c r="C1318" s="40"/>
      <c r="D1318" s="40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</row>
    <row r="1319" ht="12.75" customHeight="1">
      <c r="A1319" s="46"/>
      <c r="B1319" s="40"/>
      <c r="C1319" s="40"/>
      <c r="D1319" s="40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</row>
    <row r="1320" ht="12.75" customHeight="1">
      <c r="A1320" s="46"/>
      <c r="B1320" s="40"/>
      <c r="C1320" s="40"/>
      <c r="D1320" s="40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</row>
    <row r="1321" ht="12.75" customHeight="1">
      <c r="A1321" s="46"/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</row>
    <row r="1322" ht="12.75" customHeight="1">
      <c r="A1322" s="46"/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</row>
    <row r="1323" ht="12.75" customHeight="1">
      <c r="A1323" s="46"/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</row>
    <row r="1324" ht="12.75" customHeight="1">
      <c r="A1324" s="46"/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</row>
    <row r="1325" ht="12.75" customHeight="1">
      <c r="A1325" s="46"/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</row>
    <row r="1326" ht="12.75" customHeight="1">
      <c r="A1326" s="46"/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</row>
    <row r="1327" ht="12.75" customHeight="1">
      <c r="A1327" s="46"/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</row>
    <row r="1328" ht="12.75" customHeight="1">
      <c r="A1328" s="46"/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</row>
    <row r="1329" ht="12.75" customHeight="1">
      <c r="A1329" s="46"/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</row>
    <row r="1330" ht="12.75" customHeight="1">
      <c r="A1330" s="46"/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</row>
    <row r="1331" ht="12.75" customHeight="1">
      <c r="A1331" s="46"/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</row>
    <row r="1332" ht="12.75" customHeight="1">
      <c r="A1332" s="46"/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</row>
    <row r="1333" ht="12.75" customHeight="1">
      <c r="A1333" s="46"/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</row>
    <row r="1334" ht="12.75" customHeight="1">
      <c r="A1334" s="46"/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</row>
    <row r="1335" ht="12.75" customHeight="1">
      <c r="A1335" s="46"/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</row>
    <row r="1336" ht="12.75" customHeight="1">
      <c r="A1336" s="46"/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</row>
    <row r="1337" ht="12.75" customHeight="1">
      <c r="A1337" s="46"/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</row>
    <row r="1338" ht="12.75" customHeight="1">
      <c r="A1338" s="46"/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</row>
    <row r="1339" ht="12.75" customHeight="1">
      <c r="A1339" s="46"/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</row>
    <row r="1340" ht="12.75" customHeight="1">
      <c r="A1340" s="46"/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</row>
    <row r="1341" ht="12.75" customHeight="1">
      <c r="A1341" s="46"/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</row>
    <row r="1342" ht="12.75" customHeight="1">
      <c r="A1342" s="46"/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</row>
    <row r="1343" ht="12.75" customHeight="1">
      <c r="A1343" s="46"/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</row>
    <row r="1344" ht="12.75" customHeight="1">
      <c r="A1344" s="46"/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</row>
    <row r="1345" ht="12.75" customHeight="1">
      <c r="A1345" s="46"/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</row>
    <row r="1346" ht="12.75" customHeight="1">
      <c r="A1346" s="46"/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</row>
    <row r="1347" ht="12.75" customHeight="1">
      <c r="A1347" s="46"/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</row>
    <row r="1348" ht="12.75" customHeight="1">
      <c r="A1348" s="46"/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</row>
    <row r="1349" ht="12.75" customHeight="1">
      <c r="A1349" s="46"/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</row>
    <row r="1350" ht="12.75" customHeight="1">
      <c r="A1350" s="46"/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</row>
    <row r="1351" ht="12.75" customHeight="1">
      <c r="A1351" s="46"/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</row>
    <row r="1352" ht="12.75" customHeight="1">
      <c r="A1352" s="46"/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</row>
    <row r="1353" ht="12.75" customHeight="1">
      <c r="A1353" s="46"/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</row>
    <row r="1354" ht="12.75" customHeight="1">
      <c r="A1354" s="46"/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</row>
    <row r="1355" ht="12.75" customHeight="1">
      <c r="A1355" s="46"/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</row>
    <row r="1356" ht="12.75" customHeight="1">
      <c r="A1356" s="46"/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</row>
    <row r="1357" ht="12.75" customHeight="1">
      <c r="A1357" s="46"/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</row>
    <row r="1358" ht="12.75" customHeight="1">
      <c r="A1358" s="46"/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</row>
    <row r="1359" ht="12.75" customHeight="1">
      <c r="A1359" s="46"/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</row>
    <row r="1360" ht="12.75" customHeight="1">
      <c r="A1360" s="46"/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</row>
    <row r="1361" ht="12.75" customHeight="1">
      <c r="A1361" s="46"/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</row>
    <row r="1362" ht="12.75" customHeight="1">
      <c r="A1362" s="46"/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</row>
    <row r="1363" ht="12.75" customHeight="1">
      <c r="A1363" s="46"/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</row>
    <row r="1364" ht="12.75" customHeight="1">
      <c r="A1364" s="46"/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</row>
    <row r="1365" ht="12.75" customHeight="1">
      <c r="A1365" s="46"/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</row>
    <row r="1366" ht="12.75" customHeight="1">
      <c r="A1366" s="46"/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</row>
    <row r="1367" ht="12.75" customHeight="1">
      <c r="A1367" s="46"/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</row>
    <row r="1368" ht="12.75" customHeight="1">
      <c r="A1368" s="46"/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</row>
    <row r="1369" ht="12.75" customHeight="1">
      <c r="A1369" s="46"/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</row>
    <row r="1370" ht="12.75" customHeight="1">
      <c r="A1370" s="46"/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</row>
    <row r="1371" ht="12.75" customHeight="1">
      <c r="A1371" s="46"/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</row>
    <row r="1372" ht="12.75" customHeight="1">
      <c r="A1372" s="46"/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</row>
    <row r="1373" ht="12.75" customHeight="1">
      <c r="A1373" s="46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</row>
    <row r="1374" ht="12.75" customHeight="1">
      <c r="A1374" s="46"/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</row>
    <row r="1375" ht="12.75" customHeight="1">
      <c r="A1375" s="46"/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</row>
    <row r="1376" ht="12.75" customHeight="1">
      <c r="A1376" s="46"/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</row>
    <row r="1377" ht="12.75" customHeight="1">
      <c r="A1377" s="46"/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</row>
    <row r="1378" ht="12.75" customHeight="1">
      <c r="A1378" s="46"/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</row>
    <row r="1379" ht="12.75" customHeight="1">
      <c r="A1379" s="46"/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</row>
    <row r="1380" ht="12.75" customHeight="1">
      <c r="A1380" s="46"/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</row>
    <row r="1381" ht="12.75" customHeight="1">
      <c r="A1381" s="46"/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</row>
    <row r="1382" ht="12.75" customHeight="1">
      <c r="A1382" s="46"/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</row>
    <row r="1383" ht="12.75" customHeight="1">
      <c r="A1383" s="46"/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</row>
    <row r="1384" ht="12.75" customHeight="1">
      <c r="A1384" s="46"/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</row>
    <row r="1385" ht="12.75" customHeight="1">
      <c r="A1385" s="46"/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</row>
    <row r="1386" ht="12.75" customHeight="1">
      <c r="A1386" s="46"/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</row>
    <row r="1387" ht="12.75" customHeight="1">
      <c r="A1387" s="46"/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</row>
    <row r="1388" ht="12.75" customHeight="1">
      <c r="A1388" s="46"/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</row>
    <row r="1389" ht="12.75" customHeight="1">
      <c r="A1389" s="46"/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</row>
    <row r="1390" ht="12.75" customHeight="1">
      <c r="A1390" s="46"/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</row>
    <row r="1391" ht="12.75" customHeight="1">
      <c r="A1391" s="46"/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</row>
    <row r="1392" ht="12.75" customHeight="1">
      <c r="A1392" s="46"/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</row>
    <row r="1393" ht="12.75" customHeight="1">
      <c r="A1393" s="46"/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</row>
    <row r="1394" ht="12.75" customHeight="1">
      <c r="A1394" s="46"/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</row>
    <row r="1395" ht="12.75" customHeight="1">
      <c r="A1395" s="46"/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</row>
    <row r="1396" ht="12.75" customHeight="1">
      <c r="A1396" s="46"/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</row>
    <row r="1397" ht="12.75" customHeight="1">
      <c r="A1397" s="46"/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</row>
    <row r="1398" ht="12.75" customHeight="1">
      <c r="A1398" s="46"/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</row>
    <row r="1399" ht="12.75" customHeight="1">
      <c r="A1399" s="46"/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</row>
    <row r="1400" ht="12.75" customHeight="1">
      <c r="A1400" s="46"/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</row>
    <row r="1401" ht="12.75" customHeight="1">
      <c r="A1401" s="46"/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</row>
    <row r="1402" ht="12.75" customHeight="1">
      <c r="A1402" s="46"/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</row>
    <row r="1403" ht="12.75" customHeight="1">
      <c r="A1403" s="46"/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</row>
    <row r="1404" ht="12.75" customHeight="1">
      <c r="A1404" s="46"/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</row>
    <row r="1405" ht="12.75" customHeight="1">
      <c r="A1405" s="46"/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</row>
    <row r="1406" ht="12.75" customHeight="1">
      <c r="A1406" s="46"/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</row>
    <row r="1407" ht="12.75" customHeight="1">
      <c r="A1407" s="46"/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</row>
    <row r="1408" ht="12.75" customHeight="1">
      <c r="A1408" s="46"/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</row>
    <row r="1409" ht="12.75" customHeight="1">
      <c r="A1409" s="46"/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</row>
    <row r="1410" ht="12.75" customHeight="1">
      <c r="A1410" s="46"/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</row>
    <row r="1411" ht="12.75" customHeight="1">
      <c r="A1411" s="46"/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</row>
    <row r="1412" ht="12.75" customHeight="1">
      <c r="A1412" s="46"/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</row>
    <row r="1413" ht="12.75" customHeight="1">
      <c r="A1413" s="46"/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</row>
    <row r="1414" ht="12.75" customHeight="1">
      <c r="A1414" s="46"/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</row>
    <row r="1415" ht="12.75" customHeight="1">
      <c r="A1415" s="46"/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</row>
    <row r="1416" ht="12.75" customHeight="1">
      <c r="A1416" s="46"/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</row>
    <row r="1417" ht="12.75" customHeight="1">
      <c r="A1417" s="46"/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</row>
    <row r="1418" ht="12.75" customHeight="1">
      <c r="A1418" s="46"/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</row>
    <row r="1419" ht="12.75" customHeight="1">
      <c r="A1419" s="46"/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</row>
    <row r="1420" ht="12.75" customHeight="1">
      <c r="A1420" s="46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</row>
    <row r="1421" ht="12.75" customHeight="1">
      <c r="A1421" s="46"/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</row>
    <row r="1422" ht="12.75" customHeight="1">
      <c r="A1422" s="46"/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</row>
    <row r="1423" ht="12.75" customHeight="1">
      <c r="A1423" s="46"/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</row>
    <row r="1424" ht="12.75" customHeight="1">
      <c r="A1424" s="46"/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</row>
    <row r="1425" ht="12.75" customHeight="1">
      <c r="A1425" s="46"/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</row>
    <row r="1426" ht="12.75" customHeight="1">
      <c r="A1426" s="46"/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</row>
    <row r="1427" ht="12.75" customHeight="1">
      <c r="A1427" s="46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</row>
    <row r="1428" ht="12.75" customHeight="1">
      <c r="A1428" s="46"/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</row>
    <row r="1429" ht="12.75" customHeight="1">
      <c r="A1429" s="46"/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</row>
    <row r="1430" ht="12.75" customHeight="1">
      <c r="A1430" s="46"/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</row>
    <row r="1431" ht="12.75" customHeight="1">
      <c r="A1431" s="46"/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</row>
    <row r="1432" ht="12.75" customHeight="1">
      <c r="A1432" s="46"/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</row>
    <row r="1433" ht="12.75" customHeight="1">
      <c r="A1433" s="46"/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</row>
    <row r="1434" ht="12.75" customHeight="1">
      <c r="A1434" s="46"/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</row>
    <row r="1435" ht="12.75" customHeight="1">
      <c r="A1435" s="46"/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</row>
    <row r="1436" ht="12.75" customHeight="1">
      <c r="A1436" s="46"/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</row>
    <row r="1437" ht="12.75" customHeight="1">
      <c r="A1437" s="46"/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</row>
    <row r="1438" ht="12.75" customHeight="1">
      <c r="A1438" s="46"/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</row>
    <row r="1439" ht="12.75" customHeight="1">
      <c r="A1439" s="46"/>
      <c r="B1439" s="40"/>
      <c r="C1439" s="40"/>
      <c r="D1439" s="40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</row>
    <row r="1440" ht="12.75" customHeight="1">
      <c r="A1440" s="46"/>
      <c r="B1440" s="40"/>
      <c r="C1440" s="40"/>
      <c r="D1440" s="40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</row>
    <row r="1441" ht="12.75" customHeight="1">
      <c r="A1441" s="46"/>
      <c r="B1441" s="40"/>
      <c r="C1441" s="40"/>
      <c r="D1441" s="40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</row>
    <row r="1442" ht="12.75" customHeight="1">
      <c r="A1442" s="46"/>
      <c r="B1442" s="40"/>
      <c r="C1442" s="40"/>
      <c r="D1442" s="40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</row>
    <row r="1443" ht="12.75" customHeight="1">
      <c r="A1443" s="46"/>
      <c r="B1443" s="40"/>
      <c r="C1443" s="40"/>
      <c r="D1443" s="40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</row>
    <row r="1444" ht="12.75" customHeight="1">
      <c r="A1444" s="46"/>
      <c r="B1444" s="40"/>
      <c r="C1444" s="40"/>
      <c r="D1444" s="40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</row>
    <row r="1445" ht="12.75" customHeight="1">
      <c r="A1445" s="46"/>
      <c r="B1445" s="40"/>
      <c r="C1445" s="40"/>
      <c r="D1445" s="40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</row>
    <row r="1446" ht="12.75" customHeight="1">
      <c r="A1446" s="46"/>
      <c r="B1446" s="40"/>
      <c r="C1446" s="40"/>
      <c r="D1446" s="40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</row>
    <row r="1447" ht="12.75" customHeight="1">
      <c r="A1447" s="46"/>
      <c r="B1447" s="40"/>
      <c r="C1447" s="40"/>
      <c r="D1447" s="40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</row>
    <row r="1448" ht="12.75" customHeight="1">
      <c r="A1448" s="46"/>
      <c r="B1448" s="40"/>
      <c r="C1448" s="40"/>
      <c r="D1448" s="40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</row>
    <row r="1449" ht="12.75" customHeight="1">
      <c r="A1449" s="46"/>
      <c r="B1449" s="40"/>
      <c r="C1449" s="40"/>
      <c r="D1449" s="40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</row>
    <row r="1450" ht="12.75" customHeight="1">
      <c r="A1450" s="46"/>
      <c r="B1450" s="40"/>
      <c r="C1450" s="40"/>
      <c r="D1450" s="40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</row>
    <row r="1451" ht="12.75" customHeight="1">
      <c r="A1451" s="46"/>
      <c r="B1451" s="40"/>
      <c r="C1451" s="40"/>
      <c r="D1451" s="40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</row>
    <row r="1452" ht="12.75" customHeight="1">
      <c r="A1452" s="46"/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</row>
    <row r="1453" ht="12.75" customHeight="1">
      <c r="A1453" s="46"/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</row>
    <row r="1454" ht="12.75" customHeight="1">
      <c r="A1454" s="46"/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</row>
    <row r="1455" ht="12.75" customHeight="1">
      <c r="A1455" s="46"/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</row>
    <row r="1456" ht="12.75" customHeight="1">
      <c r="A1456" s="46"/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</row>
    <row r="1457" ht="12.75" customHeight="1">
      <c r="A1457" s="46"/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</row>
    <row r="1458" ht="12.75" customHeight="1">
      <c r="A1458" s="46"/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</row>
    <row r="1459" ht="12.75" customHeight="1">
      <c r="A1459" s="46"/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</row>
    <row r="1460" ht="12.75" customHeight="1">
      <c r="A1460" s="46"/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</row>
    <row r="1461" ht="12.75" customHeight="1">
      <c r="A1461" s="46"/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</row>
    <row r="1462" ht="12.75" customHeight="1">
      <c r="A1462" s="46"/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</row>
    <row r="1463" ht="12.75" customHeight="1">
      <c r="A1463" s="46"/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</row>
    <row r="1464" ht="12.75" customHeight="1">
      <c r="A1464" s="46"/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</row>
    <row r="1465" ht="12.75" customHeight="1">
      <c r="A1465" s="46"/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</row>
    <row r="1466" ht="12.75" customHeight="1">
      <c r="A1466" s="46"/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</row>
    <row r="1467" ht="12.75" customHeight="1">
      <c r="A1467" s="46"/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</row>
    <row r="1468" ht="12.75" customHeight="1">
      <c r="A1468" s="46"/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</row>
    <row r="1469" ht="12.75" customHeight="1">
      <c r="A1469" s="46"/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</row>
    <row r="1470" ht="12.75" customHeight="1">
      <c r="A1470" s="46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</row>
    <row r="1471" ht="12.75" customHeight="1">
      <c r="A1471" s="46"/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</row>
    <row r="1472" ht="12.75" customHeight="1">
      <c r="A1472" s="46"/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</row>
    <row r="1473" ht="12.75" customHeight="1">
      <c r="A1473" s="46"/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</row>
    <row r="1474" ht="12.75" customHeight="1">
      <c r="A1474" s="46"/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</row>
    <row r="1475" ht="12.75" customHeight="1">
      <c r="A1475" s="46"/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</row>
    <row r="1476" ht="12.75" customHeight="1">
      <c r="A1476" s="46"/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</row>
    <row r="1477" ht="12.75" customHeight="1">
      <c r="A1477" s="46"/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</row>
    <row r="1478" ht="12.75" customHeight="1">
      <c r="A1478" s="46"/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</row>
    <row r="1479" ht="12.75" customHeight="1">
      <c r="A1479" s="46"/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</row>
    <row r="1480" ht="12.75" customHeight="1">
      <c r="A1480" s="46"/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</row>
    <row r="1481" ht="12.75" customHeight="1">
      <c r="A1481" s="46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</row>
    <row r="1482" ht="12.75" customHeight="1">
      <c r="A1482" s="46"/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</row>
    <row r="1483" ht="12.75" customHeight="1">
      <c r="A1483" s="46"/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</row>
    <row r="1484" ht="12.75" customHeight="1">
      <c r="A1484" s="46"/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</row>
    <row r="1485" ht="12.75" customHeight="1">
      <c r="A1485" s="46"/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</row>
    <row r="1486" ht="12.75" customHeight="1">
      <c r="A1486" s="46"/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</row>
    <row r="1487" ht="12.75" customHeight="1">
      <c r="A1487" s="46"/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</row>
    <row r="1488" ht="12.75" customHeight="1">
      <c r="A1488" s="46"/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</row>
    <row r="1489" ht="12.75" customHeight="1">
      <c r="A1489" s="46"/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</row>
    <row r="1490" ht="12.75" customHeight="1">
      <c r="A1490" s="46"/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</row>
    <row r="1491" ht="12.75" customHeight="1">
      <c r="A1491" s="46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</row>
    <row r="1492" ht="12.75" customHeight="1">
      <c r="A1492" s="46"/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</row>
    <row r="1493" ht="12.75" customHeight="1">
      <c r="A1493" s="46"/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</row>
    <row r="1494" ht="12.75" customHeight="1">
      <c r="A1494" s="46"/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</row>
    <row r="1495" ht="12.75" customHeight="1">
      <c r="A1495" s="46"/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</row>
    <row r="1496" ht="12.75" customHeight="1">
      <c r="A1496" s="46"/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</row>
    <row r="1497" ht="12.75" customHeight="1">
      <c r="A1497" s="46"/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</row>
    <row r="1498" ht="12.75" customHeight="1">
      <c r="A1498" s="46"/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</row>
    <row r="1499" ht="12.75" customHeight="1">
      <c r="A1499" s="46"/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</row>
    <row r="1500" ht="12.75" customHeight="1">
      <c r="A1500" s="46"/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</row>
    <row r="1501" ht="12.75" customHeight="1">
      <c r="A1501" s="46"/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</row>
    <row r="1502" ht="12.75" customHeight="1">
      <c r="A1502" s="46"/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</row>
    <row r="1503" ht="12.75" customHeight="1">
      <c r="A1503" s="46"/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</row>
    <row r="1504" ht="12.75" customHeight="1">
      <c r="A1504" s="46"/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</row>
    <row r="1505" ht="12.75" customHeight="1">
      <c r="A1505" s="46"/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</row>
    <row r="1506" ht="12.75" customHeight="1">
      <c r="A1506" s="46"/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</row>
    <row r="1507" ht="12.75" customHeight="1">
      <c r="A1507" s="46"/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</row>
    <row r="1508" ht="12.75" customHeight="1">
      <c r="A1508" s="46"/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</row>
    <row r="1509" ht="12.75" customHeight="1">
      <c r="A1509" s="46"/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</row>
    <row r="1510" ht="12.75" customHeight="1">
      <c r="A1510" s="46"/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</row>
    <row r="1511" ht="12.75" customHeight="1">
      <c r="A1511" s="46"/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</row>
    <row r="1512" ht="12.75" customHeight="1">
      <c r="A1512" s="46"/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</row>
    <row r="1513" ht="12.75" customHeight="1">
      <c r="A1513" s="46"/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</row>
    <row r="1514" ht="12.75" customHeight="1">
      <c r="A1514" s="46"/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</row>
    <row r="1515" ht="12.75" customHeight="1">
      <c r="A1515" s="46"/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</row>
    <row r="1516" ht="12.75" customHeight="1">
      <c r="A1516" s="46"/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</row>
    <row r="1517" ht="12.75" customHeight="1">
      <c r="A1517" s="46"/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</row>
    <row r="1518" ht="12.75" customHeight="1">
      <c r="A1518" s="46"/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</row>
    <row r="1519" ht="12.75" customHeight="1">
      <c r="A1519" s="46"/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</row>
    <row r="1520" ht="12.75" customHeight="1">
      <c r="A1520" s="46"/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</row>
    <row r="1521" ht="12.75" customHeight="1">
      <c r="A1521" s="46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</row>
    <row r="1522" ht="12.75" customHeight="1">
      <c r="A1522" s="46"/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</row>
    <row r="1523" ht="12.75" customHeight="1">
      <c r="A1523" s="46"/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</row>
    <row r="1524" ht="12.75" customHeight="1">
      <c r="A1524" s="46"/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</row>
    <row r="1525" ht="12.75" customHeight="1">
      <c r="A1525" s="46"/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</row>
    <row r="1526" ht="12.75" customHeight="1">
      <c r="A1526" s="46"/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</row>
    <row r="1527" ht="12.75" customHeight="1">
      <c r="A1527" s="46"/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</row>
    <row r="1528" ht="12.75" customHeight="1">
      <c r="A1528" s="46"/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</row>
    <row r="1529" ht="12.75" customHeight="1">
      <c r="A1529" s="46"/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</row>
    <row r="1530" ht="12.75" customHeight="1">
      <c r="A1530" s="46"/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</row>
    <row r="1531" ht="12.75" customHeight="1">
      <c r="A1531" s="46"/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</row>
    <row r="1532" ht="12.75" customHeight="1">
      <c r="A1532" s="46"/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</row>
    <row r="1533" ht="12.75" customHeight="1">
      <c r="A1533" s="46"/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</row>
    <row r="1534" ht="12.75" customHeight="1">
      <c r="A1534" s="46"/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</row>
    <row r="1535" ht="12.75" customHeight="1">
      <c r="A1535" s="46"/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</row>
    <row r="1536" ht="12.75" customHeight="1">
      <c r="A1536" s="46"/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</row>
    <row r="1537" ht="12.75" customHeight="1">
      <c r="A1537" s="46"/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</row>
    <row r="1538" ht="12.75" customHeight="1">
      <c r="A1538" s="46"/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</row>
    <row r="1539" ht="12.75" customHeight="1">
      <c r="A1539" s="46"/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</row>
    <row r="1540" ht="12.75" customHeight="1">
      <c r="A1540" s="46"/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</row>
    <row r="1541" ht="12.75" customHeight="1">
      <c r="A1541" s="46"/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</row>
    <row r="1542" ht="12.75" customHeight="1">
      <c r="A1542" s="46"/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</row>
    <row r="1543" ht="12.75" customHeight="1">
      <c r="A1543" s="46"/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</row>
    <row r="1544" ht="12.75" customHeight="1">
      <c r="A1544" s="46"/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</row>
    <row r="1545" ht="12.75" customHeight="1">
      <c r="A1545" s="46"/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</row>
    <row r="1546" ht="12.75" customHeight="1">
      <c r="A1546" s="46"/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</row>
    <row r="1547" ht="12.75" customHeight="1">
      <c r="A1547" s="46"/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</row>
    <row r="1548" ht="12.75" customHeight="1">
      <c r="A1548" s="46"/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</row>
    <row r="1549" ht="12.75" customHeight="1">
      <c r="A1549" s="46"/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</row>
    <row r="1550" ht="12.75" customHeight="1">
      <c r="A1550" s="46"/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</row>
    <row r="1551" ht="12.75" customHeight="1">
      <c r="A1551" s="46"/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</row>
    <row r="1552" ht="12.75" customHeight="1">
      <c r="A1552" s="46"/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</row>
    <row r="1553" ht="12.75" customHeight="1">
      <c r="A1553" s="46"/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</row>
    <row r="1554" ht="12.75" customHeight="1">
      <c r="A1554" s="46"/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</row>
    <row r="1555" ht="12.75" customHeight="1">
      <c r="A1555" s="46"/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</row>
    <row r="1556" ht="12.75" customHeight="1">
      <c r="A1556" s="46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</row>
    <row r="1557" ht="12.75" customHeight="1">
      <c r="A1557" s="46"/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</row>
    <row r="1558" ht="12.75" customHeight="1">
      <c r="A1558" s="46"/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</row>
    <row r="1559" ht="12.75" customHeight="1">
      <c r="A1559" s="46"/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</row>
    <row r="1560" ht="12.75" customHeight="1">
      <c r="A1560" s="46"/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</row>
    <row r="1561" ht="12.75" customHeight="1">
      <c r="A1561" s="46"/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</row>
    <row r="1562" ht="12.75" customHeight="1">
      <c r="A1562" s="46"/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</row>
    <row r="1563" ht="12.75" customHeight="1">
      <c r="A1563" s="46"/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</row>
    <row r="1564" ht="12.75" customHeight="1">
      <c r="A1564" s="46"/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</row>
    <row r="1565" ht="12.75" customHeight="1">
      <c r="A1565" s="46"/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</row>
    <row r="1566" ht="12.75" customHeight="1">
      <c r="A1566" s="46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</row>
    <row r="1567" ht="12.75" customHeight="1">
      <c r="A1567" s="46"/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</row>
    <row r="1568" ht="12.75" customHeight="1">
      <c r="A1568" s="46"/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</row>
    <row r="1569" ht="12.75" customHeight="1">
      <c r="A1569" s="46"/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</row>
    <row r="1570" ht="12.75" customHeight="1">
      <c r="A1570" s="46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</row>
    <row r="1571" ht="12.75" customHeight="1">
      <c r="A1571" s="46"/>
      <c r="B1571" s="40"/>
      <c r="C1571" s="40"/>
      <c r="D1571" s="40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</row>
    <row r="1572" ht="12.75" customHeight="1">
      <c r="A1572" s="46"/>
      <c r="B1572" s="40"/>
      <c r="C1572" s="40"/>
      <c r="D1572" s="40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</row>
    <row r="1573" ht="12.75" customHeight="1">
      <c r="A1573" s="46"/>
      <c r="B1573" s="40"/>
      <c r="C1573" s="40"/>
      <c r="D1573" s="40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</row>
    <row r="1574" ht="12.75" customHeight="1">
      <c r="A1574" s="46"/>
      <c r="B1574" s="40"/>
      <c r="C1574" s="40"/>
      <c r="D1574" s="40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</row>
    <row r="1575" ht="12.75" customHeight="1">
      <c r="A1575" s="46"/>
      <c r="B1575" s="40"/>
      <c r="C1575" s="40"/>
      <c r="D1575" s="40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</row>
    <row r="1576" ht="12.75" customHeight="1">
      <c r="A1576" s="46"/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</row>
    <row r="1577" ht="12.75" customHeight="1">
      <c r="A1577" s="46"/>
      <c r="B1577" s="40"/>
      <c r="C1577" s="40"/>
      <c r="D1577" s="40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</row>
    <row r="1578" ht="12.75" customHeight="1">
      <c r="A1578" s="46"/>
      <c r="B1578" s="40"/>
      <c r="C1578" s="40"/>
      <c r="D1578" s="40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</row>
    <row r="1579" ht="12.75" customHeight="1">
      <c r="A1579" s="46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</row>
    <row r="1580" ht="12.75" customHeight="1">
      <c r="A1580" s="46"/>
      <c r="B1580" s="40"/>
      <c r="C1580" s="40"/>
      <c r="D1580" s="40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</row>
    <row r="1581" ht="12.75" customHeight="1">
      <c r="A1581" s="46"/>
      <c r="B1581" s="40"/>
      <c r="C1581" s="40"/>
      <c r="D1581" s="40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</row>
    <row r="1582" ht="12.75" customHeight="1">
      <c r="A1582" s="46"/>
      <c r="B1582" s="40"/>
      <c r="C1582" s="40"/>
      <c r="D1582" s="40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</row>
    <row r="1583" ht="12.75" customHeight="1">
      <c r="A1583" s="46"/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</row>
    <row r="1584" ht="12.75" customHeight="1">
      <c r="A1584" s="46"/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</row>
    <row r="1585" ht="12.75" customHeight="1">
      <c r="A1585" s="46"/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</row>
    <row r="1586" ht="12.75" customHeight="1">
      <c r="A1586" s="46"/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</row>
    <row r="1587" ht="12.75" customHeight="1">
      <c r="A1587" s="46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</row>
    <row r="1588" ht="12.75" customHeight="1">
      <c r="A1588" s="46"/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</row>
    <row r="1589" ht="12.75" customHeight="1">
      <c r="A1589" s="46"/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</row>
    <row r="1590" ht="12.75" customHeight="1">
      <c r="A1590" s="46"/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</row>
    <row r="1591" ht="12.75" customHeight="1">
      <c r="A1591" s="46"/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</row>
    <row r="1592" ht="12.75" customHeight="1">
      <c r="A1592" s="46"/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</row>
    <row r="1593" ht="12.75" customHeight="1">
      <c r="A1593" s="46"/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</row>
    <row r="1594" ht="12.75" customHeight="1">
      <c r="A1594" s="46"/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</row>
    <row r="1595" ht="12.75" customHeight="1">
      <c r="A1595" s="46"/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</row>
    <row r="1596" ht="12.75" customHeight="1">
      <c r="A1596" s="46"/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</row>
    <row r="1597" ht="12.75" customHeight="1">
      <c r="A1597" s="46"/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</row>
    <row r="1598" ht="12.75" customHeight="1">
      <c r="A1598" s="46"/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</row>
    <row r="1599" ht="12.75" customHeight="1">
      <c r="A1599" s="46"/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</row>
    <row r="1600" ht="12.75" customHeight="1">
      <c r="A1600" s="46"/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</row>
    <row r="1601" ht="12.75" customHeight="1">
      <c r="A1601" s="46"/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</row>
    <row r="1602" ht="12.75" customHeight="1">
      <c r="A1602" s="46"/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</row>
    <row r="1603" ht="12.75" customHeight="1">
      <c r="A1603" s="46"/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</row>
    <row r="1604" ht="12.75" customHeight="1">
      <c r="A1604" s="46"/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</row>
    <row r="1605" ht="12.75" customHeight="1">
      <c r="A1605" s="46"/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</row>
    <row r="1606" ht="12.75" customHeight="1">
      <c r="A1606" s="46"/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</row>
    <row r="1607" ht="12.75" customHeight="1">
      <c r="A1607" s="46"/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</row>
    <row r="1608" ht="12.75" customHeight="1">
      <c r="A1608" s="46"/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</row>
    <row r="1609" ht="12.75" customHeight="1">
      <c r="A1609" s="46"/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</row>
    <row r="1610" ht="12.75" customHeight="1">
      <c r="A1610" s="46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</row>
    <row r="1611" ht="12.75" customHeight="1">
      <c r="A1611" s="46"/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</row>
    <row r="1612" ht="12.75" customHeight="1">
      <c r="A1612" s="46"/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</row>
    <row r="1613" ht="12.75" customHeight="1">
      <c r="A1613" s="46"/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</row>
    <row r="1614" ht="12.75" customHeight="1">
      <c r="A1614" s="46"/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</row>
    <row r="1615" ht="12.75" customHeight="1">
      <c r="A1615" s="46"/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</row>
    <row r="1616" ht="12.75" customHeight="1">
      <c r="A1616" s="46"/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</row>
    <row r="1617" ht="12.75" customHeight="1">
      <c r="A1617" s="46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</row>
    <row r="1618" ht="12.75" customHeight="1">
      <c r="A1618" s="46"/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</row>
    <row r="1619" ht="12.75" customHeight="1">
      <c r="A1619" s="46"/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</row>
    <row r="1620" ht="12.75" customHeight="1">
      <c r="A1620" s="46"/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</row>
    <row r="1621" ht="12.75" customHeight="1">
      <c r="A1621" s="46"/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</row>
    <row r="1622" ht="12.75" customHeight="1">
      <c r="A1622" s="46"/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</row>
    <row r="1623" ht="12.75" customHeight="1">
      <c r="A1623" s="46"/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</row>
    <row r="1624" ht="12.75" customHeight="1">
      <c r="A1624" s="46"/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</row>
    <row r="1625" ht="12.75" customHeight="1">
      <c r="A1625" s="46"/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</row>
    <row r="1626" ht="12.75" customHeight="1">
      <c r="A1626" s="46"/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</row>
    <row r="1627" ht="12.75" customHeight="1">
      <c r="A1627" s="46"/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</row>
    <row r="1628" ht="12.75" customHeight="1">
      <c r="A1628" s="46"/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</row>
    <row r="1629" ht="12.75" customHeight="1">
      <c r="A1629" s="46"/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</row>
    <row r="1630" ht="12.75" customHeight="1">
      <c r="A1630" s="46"/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</row>
    <row r="1631" ht="12.75" customHeight="1">
      <c r="A1631" s="46"/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</row>
    <row r="1632" ht="12.75" customHeight="1">
      <c r="A1632" s="46"/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</row>
    <row r="1633" ht="12.75" customHeight="1">
      <c r="A1633" s="46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</row>
    <row r="1634" ht="12.75" customHeight="1">
      <c r="A1634" s="46"/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</row>
    <row r="1635" ht="12.75" customHeight="1">
      <c r="A1635" s="46"/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</row>
    <row r="1636" ht="12.75" customHeight="1">
      <c r="A1636" s="46"/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</row>
    <row r="1637" ht="12.75" customHeight="1">
      <c r="A1637" s="46"/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</row>
    <row r="1638" ht="12.75" customHeight="1">
      <c r="A1638" s="46"/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</row>
    <row r="1639" ht="12.75" customHeight="1">
      <c r="A1639" s="46"/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</row>
    <row r="1640" ht="12.75" customHeight="1">
      <c r="A1640" s="46"/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</row>
    <row r="1641" ht="12.75" customHeight="1">
      <c r="A1641" s="46"/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</row>
    <row r="1642" ht="12.75" customHeight="1">
      <c r="A1642" s="46"/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</row>
    <row r="1643" ht="12.75" customHeight="1">
      <c r="A1643" s="46"/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</row>
    <row r="1644" ht="12.75" customHeight="1">
      <c r="A1644" s="46"/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</row>
    <row r="1645" ht="12.75" customHeight="1">
      <c r="A1645" s="46"/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</row>
    <row r="1646" ht="12.75" customHeight="1">
      <c r="A1646" s="46"/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</row>
    <row r="1647" ht="12.75" customHeight="1">
      <c r="A1647" s="46"/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</row>
    <row r="1648" ht="12.75" customHeight="1">
      <c r="A1648" s="46"/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</row>
    <row r="1649" ht="12.75" customHeight="1">
      <c r="A1649" s="46"/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</row>
    <row r="1650" ht="12.75" customHeight="1">
      <c r="A1650" s="46"/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</row>
    <row r="1651" ht="12.75" customHeight="1">
      <c r="A1651" s="46"/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</row>
    <row r="1652" ht="12.75" customHeight="1">
      <c r="A1652" s="46"/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</row>
    <row r="1653" ht="12.75" customHeight="1">
      <c r="A1653" s="46"/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</row>
    <row r="1654" ht="12.75" customHeight="1">
      <c r="A1654" s="46"/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</row>
    <row r="1655" ht="12.75" customHeight="1">
      <c r="A1655" s="46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</row>
    <row r="1656" ht="12.75" customHeight="1">
      <c r="A1656" s="46"/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</row>
    <row r="1657" ht="12.75" customHeight="1">
      <c r="A1657" s="46"/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</row>
    <row r="1658" ht="12.75" customHeight="1">
      <c r="A1658" s="46"/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</row>
    <row r="1659" ht="12.75" customHeight="1">
      <c r="A1659" s="46"/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</row>
    <row r="1660" ht="12.75" customHeight="1">
      <c r="A1660" s="46"/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</row>
    <row r="1661" ht="12.75" customHeight="1">
      <c r="A1661" s="46"/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</row>
    <row r="1662" ht="12.75" customHeight="1">
      <c r="A1662" s="46"/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</row>
    <row r="1663" ht="12.75" customHeight="1">
      <c r="A1663" s="46"/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</row>
    <row r="1664" ht="12.75" customHeight="1">
      <c r="A1664" s="46"/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</row>
    <row r="1665" ht="12.75" customHeight="1">
      <c r="A1665" s="46"/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</row>
    <row r="1666" ht="12.75" customHeight="1">
      <c r="A1666" s="46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</row>
    <row r="1667" ht="12.75" customHeight="1">
      <c r="A1667" s="46"/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</row>
    <row r="1668" ht="12.75" customHeight="1">
      <c r="A1668" s="46"/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</row>
    <row r="1669" ht="12.75" customHeight="1">
      <c r="A1669" s="46"/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</row>
    <row r="1670" ht="12.75" customHeight="1">
      <c r="A1670" s="46"/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</row>
    <row r="1671" ht="12.75" customHeight="1">
      <c r="A1671" s="46"/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</row>
    <row r="1672" ht="12.75" customHeight="1">
      <c r="A1672" s="46"/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</row>
    <row r="1673" ht="12.75" customHeight="1">
      <c r="A1673" s="46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</row>
    <row r="1674" ht="12.75" customHeight="1">
      <c r="A1674" s="46"/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</row>
    <row r="1675" ht="12.75" customHeight="1">
      <c r="A1675" s="46"/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</row>
    <row r="1676" ht="12.75" customHeight="1">
      <c r="A1676" s="46"/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</row>
    <row r="1677" ht="12.75" customHeight="1">
      <c r="A1677" s="46"/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</row>
    <row r="1678" ht="12.75" customHeight="1">
      <c r="A1678" s="46"/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</row>
    <row r="1679" ht="12.75" customHeight="1">
      <c r="A1679" s="46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</row>
    <row r="1680" ht="12.75" customHeight="1">
      <c r="A1680" s="46"/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</row>
    <row r="1681" ht="12.75" customHeight="1">
      <c r="A1681" s="46"/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</row>
    <row r="1682" ht="12.75" customHeight="1">
      <c r="A1682" s="46"/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</row>
    <row r="1683" ht="12.75" customHeight="1">
      <c r="A1683" s="46"/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</row>
    <row r="1684" ht="12.75" customHeight="1">
      <c r="A1684" s="46"/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</row>
    <row r="1685" ht="12.75" customHeight="1">
      <c r="A1685" s="46"/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</row>
    <row r="1686" ht="12.75" customHeight="1">
      <c r="A1686" s="46"/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</row>
    <row r="1687" ht="12.75" customHeight="1">
      <c r="A1687" s="46"/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</row>
    <row r="1688" ht="12.75" customHeight="1">
      <c r="A1688" s="46"/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</row>
    <row r="1689" ht="12.75" customHeight="1">
      <c r="A1689" s="46"/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</row>
    <row r="1690" ht="12.75" customHeight="1">
      <c r="A1690" s="46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</row>
    <row r="1691" ht="12.75" customHeight="1">
      <c r="A1691" s="46"/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</row>
    <row r="1692" ht="12.75" customHeight="1">
      <c r="A1692" s="46"/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</row>
    <row r="1693" ht="12.75" customHeight="1">
      <c r="A1693" s="46"/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</row>
    <row r="1694" ht="12.75" customHeight="1">
      <c r="A1694" s="46"/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</row>
    <row r="1695" ht="12.75" customHeight="1">
      <c r="A1695" s="46"/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</row>
    <row r="1696" ht="12.75" customHeight="1">
      <c r="A1696" s="46"/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</row>
    <row r="1697" ht="12.75" customHeight="1">
      <c r="A1697" s="46"/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</row>
    <row r="1698" ht="12.75" customHeight="1">
      <c r="A1698" s="46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</row>
    <row r="1699" ht="12.75" customHeight="1">
      <c r="A1699" s="46"/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</row>
    <row r="1700" ht="12.75" customHeight="1">
      <c r="A1700" s="46"/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</row>
    <row r="1701" ht="12.75" customHeight="1">
      <c r="A1701" s="46"/>
      <c r="B1701" s="40"/>
      <c r="C1701" s="40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</row>
    <row r="1702" ht="12.75" customHeight="1">
      <c r="A1702" s="46"/>
      <c r="B1702" s="40"/>
      <c r="C1702" s="40"/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</row>
    <row r="1703" ht="12.75" customHeight="1">
      <c r="A1703" s="46"/>
      <c r="B1703" s="40"/>
      <c r="C1703" s="40"/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</row>
    <row r="1704" ht="12.75" customHeight="1">
      <c r="A1704" s="46"/>
      <c r="B1704" s="40"/>
      <c r="C1704" s="40"/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</row>
    <row r="1705" ht="12.75" customHeight="1">
      <c r="A1705" s="46"/>
      <c r="B1705" s="40"/>
      <c r="C1705" s="40"/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</row>
    <row r="1706" ht="12.75" customHeight="1">
      <c r="A1706" s="46"/>
      <c r="B1706" s="40"/>
      <c r="C1706" s="40"/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</row>
    <row r="1707" ht="12.75" customHeight="1">
      <c r="A1707" s="46"/>
      <c r="B1707" s="40"/>
      <c r="C1707" s="40"/>
      <c r="D1707" s="40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</row>
    <row r="1708" ht="12.75" customHeight="1">
      <c r="A1708" s="46"/>
      <c r="B1708" s="40"/>
      <c r="C1708" s="40"/>
      <c r="D1708" s="40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</row>
    <row r="1709" ht="12.75" customHeight="1">
      <c r="A1709" s="46"/>
      <c r="B1709" s="40"/>
      <c r="C1709" s="40"/>
      <c r="D1709" s="40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</row>
    <row r="1710" ht="12.75" customHeight="1">
      <c r="A1710" s="46"/>
      <c r="B1710" s="40"/>
      <c r="C1710" s="40"/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</row>
    <row r="1711" ht="12.75" customHeight="1">
      <c r="A1711" s="46"/>
      <c r="B1711" s="40"/>
      <c r="C1711" s="40"/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</row>
    <row r="1712" ht="12.75" customHeight="1">
      <c r="A1712" s="46"/>
      <c r="B1712" s="40"/>
      <c r="C1712" s="40"/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</row>
    <row r="1713" ht="12.75" customHeight="1">
      <c r="A1713" s="46"/>
      <c r="B1713" s="40"/>
      <c r="C1713" s="40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</row>
    <row r="1714" ht="12.75" customHeight="1">
      <c r="A1714" s="46"/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</row>
    <row r="1715" ht="12.75" customHeight="1">
      <c r="A1715" s="46"/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</row>
    <row r="1716" ht="12.75" customHeight="1">
      <c r="A1716" s="46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</row>
    <row r="1717" ht="12.75" customHeight="1">
      <c r="A1717" s="46"/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</row>
    <row r="1718" ht="12.75" customHeight="1">
      <c r="A1718" s="46"/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</row>
    <row r="1719" ht="12.75" customHeight="1">
      <c r="A1719" s="46"/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</row>
    <row r="1720" ht="12.75" customHeight="1">
      <c r="A1720" s="46"/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</row>
    <row r="1721" ht="12.75" customHeight="1">
      <c r="A1721" s="46"/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</row>
    <row r="1722" ht="12.75" customHeight="1">
      <c r="A1722" s="46"/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</row>
    <row r="1723" ht="12.75" customHeight="1">
      <c r="A1723" s="46"/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</row>
    <row r="1724" ht="12.75" customHeight="1">
      <c r="A1724" s="46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</row>
    <row r="1725" ht="12.75" customHeight="1">
      <c r="A1725" s="46"/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</row>
    <row r="1726" ht="12.75" customHeight="1">
      <c r="A1726" s="46"/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</row>
    <row r="1727" ht="12.75" customHeight="1">
      <c r="A1727" s="46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</row>
    <row r="1728" ht="12.75" customHeight="1">
      <c r="A1728" s="46"/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</row>
    <row r="1729" ht="12.75" customHeight="1">
      <c r="A1729" s="46"/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</row>
    <row r="1730" ht="12.75" customHeight="1">
      <c r="A1730" s="46"/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</row>
    <row r="1731" ht="12.75" customHeight="1">
      <c r="A1731" s="46"/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</row>
    <row r="1732" ht="12.75" customHeight="1">
      <c r="A1732" s="46"/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</row>
    <row r="1733" ht="12.75" customHeight="1">
      <c r="A1733" s="46"/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</row>
    <row r="1734" ht="12.75" customHeight="1">
      <c r="A1734" s="46"/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</row>
    <row r="1735" ht="12.75" customHeight="1">
      <c r="A1735" s="46"/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</row>
    <row r="1736" ht="12.75" customHeight="1">
      <c r="A1736" s="46"/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</row>
    <row r="1737" ht="12.75" customHeight="1">
      <c r="A1737" s="46"/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</row>
    <row r="1738" ht="12.75" customHeight="1">
      <c r="A1738" s="46"/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</row>
    <row r="1739" ht="12.75" customHeight="1">
      <c r="A1739" s="46"/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</row>
    <row r="1740" ht="12.75" customHeight="1">
      <c r="A1740" s="46"/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</row>
    <row r="1741" ht="12.75" customHeight="1">
      <c r="A1741" s="46"/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</row>
    <row r="1742" ht="12.75" customHeight="1">
      <c r="A1742" s="46"/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</row>
    <row r="1743" ht="12.75" customHeight="1">
      <c r="A1743" s="46"/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</row>
    <row r="1744" ht="12.75" customHeight="1">
      <c r="A1744" s="46"/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</row>
    <row r="1745" ht="12.75" customHeight="1">
      <c r="A1745" s="46"/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</row>
    <row r="1746" ht="12.75" customHeight="1">
      <c r="A1746" s="46"/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</row>
    <row r="1747" ht="12.75" customHeight="1">
      <c r="A1747" s="46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</row>
    <row r="1748" ht="12.75" customHeight="1">
      <c r="A1748" s="46"/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</row>
    <row r="1749" ht="12.75" customHeight="1">
      <c r="A1749" s="46"/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</row>
    <row r="1750" ht="12.75" customHeight="1">
      <c r="A1750" s="46"/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</row>
    <row r="1751" ht="12.75" customHeight="1">
      <c r="A1751" s="46"/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</row>
    <row r="1752" ht="12.75" customHeight="1">
      <c r="A1752" s="46"/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</row>
    <row r="1753" ht="12.75" customHeight="1">
      <c r="A1753" s="46"/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</row>
    <row r="1754" ht="12.75" customHeight="1">
      <c r="A1754" s="46"/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</row>
    <row r="1755" ht="12.75" customHeight="1">
      <c r="A1755" s="46"/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</row>
    <row r="1756" ht="12.75" customHeight="1">
      <c r="A1756" s="46"/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</row>
    <row r="1757" ht="12.75" customHeight="1">
      <c r="A1757" s="46"/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</row>
    <row r="1758" ht="12.75" customHeight="1">
      <c r="A1758" s="46"/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</row>
    <row r="1759" ht="12.75" customHeight="1">
      <c r="A1759" s="46"/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</row>
    <row r="1760" ht="12.75" customHeight="1">
      <c r="A1760" s="46"/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</row>
    <row r="1761" ht="12.75" customHeight="1">
      <c r="A1761" s="46"/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</row>
    <row r="1762" ht="12.75" customHeight="1">
      <c r="A1762" s="46"/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</row>
    <row r="1763" ht="12.75" customHeight="1">
      <c r="A1763" s="46"/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</row>
    <row r="1764" ht="12.75" customHeight="1">
      <c r="A1764" s="46"/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</row>
    <row r="1765" ht="12.75" customHeight="1">
      <c r="A1765" s="46"/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</row>
    <row r="1766" ht="12.75" customHeight="1">
      <c r="A1766" s="46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</row>
    <row r="1767" ht="12.75" customHeight="1">
      <c r="A1767" s="46"/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</row>
    <row r="1768" ht="12.75" customHeight="1">
      <c r="A1768" s="46"/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</row>
    <row r="1769" ht="12.75" customHeight="1">
      <c r="A1769" s="46"/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</row>
    <row r="1770" ht="12.75" customHeight="1">
      <c r="A1770" s="46"/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</row>
    <row r="1771" ht="12.75" customHeight="1">
      <c r="A1771" s="46"/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</row>
    <row r="1772" ht="12.75" customHeight="1">
      <c r="A1772" s="46"/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</row>
    <row r="1773" ht="12.75" customHeight="1">
      <c r="A1773" s="46"/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</row>
    <row r="1774" ht="12.75" customHeight="1">
      <c r="A1774" s="46"/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</row>
    <row r="1775" ht="12.75" customHeight="1">
      <c r="A1775" s="46"/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</row>
    <row r="1776" ht="12.75" customHeight="1">
      <c r="A1776" s="46"/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</row>
    <row r="1777" ht="12.75" customHeight="1">
      <c r="A1777" s="46"/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</row>
    <row r="1778" ht="12.75" customHeight="1">
      <c r="A1778" s="46"/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</row>
    <row r="1779" ht="12.75" customHeight="1">
      <c r="A1779" s="46"/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</row>
    <row r="1780" ht="12.75" customHeight="1">
      <c r="A1780" s="46"/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</row>
    <row r="1781" ht="12.75" customHeight="1">
      <c r="A1781" s="46"/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</row>
    <row r="1782" ht="12.75" customHeight="1">
      <c r="A1782" s="46"/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</row>
    <row r="1783" ht="12.75" customHeight="1">
      <c r="A1783" s="46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</row>
    <row r="1784" ht="12.75" customHeight="1">
      <c r="A1784" s="46"/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</row>
    <row r="1785" ht="12.75" customHeight="1">
      <c r="A1785" s="46"/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</row>
    <row r="1786" ht="12.75" customHeight="1">
      <c r="A1786" s="46"/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</row>
    <row r="1787" ht="12.75" customHeight="1">
      <c r="A1787" s="46"/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</row>
    <row r="1788" ht="12.75" customHeight="1">
      <c r="A1788" s="46"/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</row>
    <row r="1789" ht="12.75" customHeight="1">
      <c r="A1789" s="46"/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</row>
    <row r="1790" ht="12.75" customHeight="1">
      <c r="A1790" s="46"/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</row>
    <row r="1791" ht="12.75" customHeight="1">
      <c r="A1791" s="46"/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</row>
    <row r="1792" ht="12.75" customHeight="1">
      <c r="A1792" s="46"/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</row>
    <row r="1793" ht="12.75" customHeight="1">
      <c r="A1793" s="46"/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</row>
    <row r="1794" ht="12.75" customHeight="1">
      <c r="A1794" s="46"/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</row>
    <row r="1795" ht="12.75" customHeight="1">
      <c r="A1795" s="46"/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</row>
    <row r="1796" ht="12.75" customHeight="1">
      <c r="A1796" s="46"/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</row>
    <row r="1797" ht="12.75" customHeight="1">
      <c r="A1797" s="46"/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</row>
    <row r="1798" ht="12.75" customHeight="1">
      <c r="A1798" s="46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</row>
    <row r="1799" ht="12.75" customHeight="1">
      <c r="A1799" s="46"/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</row>
    <row r="1800" ht="12.75" customHeight="1">
      <c r="A1800" s="46"/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</row>
    <row r="1801" ht="12.75" customHeight="1">
      <c r="A1801" s="46"/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</row>
    <row r="1802" ht="12.75" customHeight="1">
      <c r="A1802" s="46"/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</row>
    <row r="1803" ht="12.75" customHeight="1">
      <c r="A1803" s="46"/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</row>
    <row r="1804" ht="12.75" customHeight="1">
      <c r="A1804" s="46"/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</row>
    <row r="1805" ht="12.75" customHeight="1">
      <c r="A1805" s="46"/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</row>
    <row r="1806" ht="12.75" customHeight="1">
      <c r="A1806" s="46"/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</row>
    <row r="1807" ht="12.75" customHeight="1">
      <c r="A1807" s="46"/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</row>
    <row r="1808" ht="12.75" customHeight="1">
      <c r="A1808" s="46"/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</row>
    <row r="1809" ht="12.75" customHeight="1">
      <c r="A1809" s="46"/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</row>
    <row r="1810" ht="12.75" customHeight="1">
      <c r="A1810" s="46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</row>
    <row r="1811" ht="12.75" customHeight="1">
      <c r="A1811" s="46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</row>
    <row r="1812" ht="12.75" customHeight="1">
      <c r="A1812" s="46"/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</row>
    <row r="1813" ht="12.75" customHeight="1">
      <c r="A1813" s="46"/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</row>
    <row r="1814" ht="12.75" customHeight="1">
      <c r="A1814" s="46"/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</row>
    <row r="1815" ht="12.75" customHeight="1">
      <c r="A1815" s="46"/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</row>
    <row r="1816" ht="12.75" customHeight="1">
      <c r="A1816" s="46"/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</row>
    <row r="1817" ht="12.75" customHeight="1">
      <c r="A1817" s="46"/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</row>
    <row r="1818" ht="12.75" customHeight="1">
      <c r="A1818" s="46"/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</row>
    <row r="1819" ht="12.75" customHeight="1">
      <c r="A1819" s="46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</row>
    <row r="1820" ht="12.75" customHeight="1">
      <c r="A1820" s="46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</row>
    <row r="1821" ht="12.75" customHeight="1">
      <c r="A1821" s="46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</row>
    <row r="1822" ht="12.75" customHeight="1">
      <c r="A1822" s="46"/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</row>
    <row r="1823" ht="12.75" customHeight="1">
      <c r="A1823" s="46"/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</row>
    <row r="1824" ht="12.75" customHeight="1">
      <c r="A1824" s="46"/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</row>
    <row r="1825" ht="12.75" customHeight="1">
      <c r="A1825" s="46"/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</row>
    <row r="1826" ht="12.75" customHeight="1">
      <c r="A1826" s="46"/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</row>
    <row r="1827" ht="12.75" customHeight="1">
      <c r="A1827" s="46"/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</row>
    <row r="1828" ht="12.75" customHeight="1">
      <c r="A1828" s="46"/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</row>
    <row r="1829" ht="12.75" customHeight="1">
      <c r="A1829" s="46"/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</row>
    <row r="1830" ht="12.75" customHeight="1">
      <c r="A1830" s="46"/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</row>
    <row r="1831" ht="12.75" customHeight="1">
      <c r="A1831" s="46"/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</row>
    <row r="1832" ht="12.75" customHeight="1">
      <c r="A1832" s="46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</row>
    <row r="1833" ht="12.75" customHeight="1">
      <c r="A1833" s="46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</row>
    <row r="1834" ht="12.75" customHeight="1">
      <c r="A1834" s="46"/>
      <c r="B1834" s="40"/>
      <c r="C1834" s="40"/>
      <c r="D1834" s="40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</row>
    <row r="1835" ht="12.75" customHeight="1">
      <c r="A1835" s="46"/>
      <c r="B1835" s="40"/>
      <c r="C1835" s="40"/>
      <c r="D1835" s="40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</row>
    <row r="1836" ht="12.75" customHeight="1">
      <c r="A1836" s="46"/>
      <c r="B1836" s="40"/>
      <c r="C1836" s="40"/>
      <c r="D1836" s="40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</row>
    <row r="1837" ht="12.75" customHeight="1">
      <c r="A1837" s="46"/>
      <c r="B1837" s="40"/>
      <c r="C1837" s="40"/>
      <c r="D1837" s="40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</row>
    <row r="1838" ht="12.75" customHeight="1">
      <c r="A1838" s="46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</row>
    <row r="1839" ht="12.75" customHeight="1">
      <c r="A1839" s="46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</row>
    <row r="1840" ht="12.75" customHeight="1">
      <c r="A1840" s="46"/>
      <c r="B1840" s="40"/>
      <c r="C1840" s="40"/>
      <c r="D1840" s="40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</row>
    <row r="1841" ht="12.75" customHeight="1">
      <c r="A1841" s="46"/>
      <c r="B1841" s="40"/>
      <c r="C1841" s="40"/>
      <c r="D1841" s="40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</row>
    <row r="1842" ht="12.75" customHeight="1">
      <c r="A1842" s="46"/>
      <c r="B1842" s="40"/>
      <c r="C1842" s="40"/>
      <c r="D1842" s="40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</row>
    <row r="1843" ht="12.75" customHeight="1">
      <c r="A1843" s="46"/>
      <c r="B1843" s="40"/>
      <c r="C1843" s="40"/>
      <c r="D1843" s="40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</row>
    <row r="1844" ht="12.75" customHeight="1">
      <c r="A1844" s="46"/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</row>
    <row r="1845" ht="12.75" customHeight="1">
      <c r="A1845" s="46"/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</row>
    <row r="1846" ht="12.75" customHeight="1">
      <c r="A1846" s="46"/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</row>
    <row r="1847" ht="12.75" customHeight="1">
      <c r="A1847" s="46"/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</row>
    <row r="1848" ht="12.75" customHeight="1">
      <c r="A1848" s="46"/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</row>
    <row r="1849" ht="12.75" customHeight="1">
      <c r="A1849" s="46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</row>
    <row r="1850" ht="12.75" customHeight="1">
      <c r="A1850" s="46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</row>
    <row r="1851" ht="12.75" customHeight="1">
      <c r="A1851" s="46"/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</row>
    <row r="1852" ht="12.75" customHeight="1">
      <c r="A1852" s="46"/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</row>
    <row r="1853" ht="12.75" customHeight="1">
      <c r="A1853" s="46"/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</row>
    <row r="1854" ht="12.75" customHeight="1">
      <c r="A1854" s="46"/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</row>
    <row r="1855" ht="12.75" customHeight="1">
      <c r="A1855" s="46"/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</row>
    <row r="1856" ht="12.75" customHeight="1">
      <c r="A1856" s="46"/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</row>
    <row r="1857" ht="12.75" customHeight="1">
      <c r="A1857" s="46"/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</row>
    <row r="1858" ht="12.75" customHeight="1">
      <c r="A1858" s="46"/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</row>
    <row r="1859" ht="12.75" customHeight="1">
      <c r="A1859" s="46"/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</row>
    <row r="1860" ht="12.75" customHeight="1">
      <c r="A1860" s="46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</row>
    <row r="1861" ht="12.75" customHeight="1">
      <c r="A1861" s="46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</row>
    <row r="1862" ht="12.75" customHeight="1">
      <c r="A1862" s="46"/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</row>
    <row r="1863" ht="12.75" customHeight="1">
      <c r="A1863" s="46"/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</row>
    <row r="1864" ht="12.75" customHeight="1">
      <c r="A1864" s="46"/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</row>
    <row r="1865" ht="12.75" customHeight="1">
      <c r="A1865" s="46"/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</row>
    <row r="1866" ht="12.75" customHeight="1">
      <c r="A1866" s="46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</row>
    <row r="1867" ht="12.75" customHeight="1">
      <c r="A1867" s="46"/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</row>
    <row r="1868" ht="12.75" customHeight="1">
      <c r="A1868" s="46"/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</row>
    <row r="1869" ht="12.75" customHeight="1">
      <c r="A1869" s="46"/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</row>
    <row r="1870" ht="12.75" customHeight="1">
      <c r="A1870" s="46"/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</row>
    <row r="1871" ht="12.75" customHeight="1">
      <c r="A1871" s="46"/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</row>
    <row r="1872" ht="12.75" customHeight="1">
      <c r="A1872" s="46"/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</row>
    <row r="1873" ht="12.75" customHeight="1">
      <c r="A1873" s="46"/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</row>
    <row r="1874" ht="12.75" customHeight="1">
      <c r="A1874" s="46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</row>
    <row r="1875" ht="12.75" customHeight="1">
      <c r="A1875" s="46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</row>
    <row r="1876" ht="12.75" customHeight="1">
      <c r="A1876" s="46"/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</row>
    <row r="1877" ht="12.75" customHeight="1">
      <c r="A1877" s="46"/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</row>
    <row r="1878" ht="12.75" customHeight="1">
      <c r="A1878" s="46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</row>
    <row r="1879" ht="12.75" customHeight="1">
      <c r="A1879" s="46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</row>
    <row r="1880" ht="12.75" customHeight="1">
      <c r="A1880" s="46"/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</row>
    <row r="1881" ht="12.75" customHeight="1">
      <c r="A1881" s="46"/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</row>
    <row r="1882" ht="12.75" customHeight="1">
      <c r="A1882" s="46"/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</row>
    <row r="1883" ht="12.75" customHeight="1">
      <c r="A1883" s="46"/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</row>
    <row r="1884" ht="12.75" customHeight="1">
      <c r="A1884" s="46"/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</row>
    <row r="1885" ht="12.75" customHeight="1">
      <c r="A1885" s="46"/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</row>
    <row r="1886" ht="12.75" customHeight="1">
      <c r="A1886" s="46"/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</row>
    <row r="1887" ht="12.75" customHeight="1">
      <c r="A1887" s="46"/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</row>
    <row r="1888" ht="12.75" customHeight="1">
      <c r="A1888" s="46"/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</row>
    <row r="1889" ht="12.75" customHeight="1">
      <c r="A1889" s="46"/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</row>
    <row r="1890" ht="12.75" customHeight="1">
      <c r="A1890" s="46"/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</row>
    <row r="1891" ht="12.75" customHeight="1">
      <c r="A1891" s="46"/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</row>
    <row r="1892" ht="12.75" customHeight="1">
      <c r="A1892" s="46"/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</row>
    <row r="1893" ht="12.75" customHeight="1">
      <c r="A1893" s="46"/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</row>
    <row r="1894" ht="12.75" customHeight="1">
      <c r="A1894" s="46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</row>
    <row r="1895" ht="12.75" customHeight="1">
      <c r="A1895" s="46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</row>
    <row r="1896" ht="12.75" customHeight="1">
      <c r="A1896" s="46"/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</row>
    <row r="1897" ht="12.75" customHeight="1">
      <c r="A1897" s="46"/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</row>
    <row r="1898" ht="12.75" customHeight="1">
      <c r="A1898" s="46"/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</row>
    <row r="1899" ht="12.75" customHeight="1">
      <c r="A1899" s="46"/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</row>
    <row r="1900" ht="12.75" customHeight="1">
      <c r="A1900" s="46"/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</row>
    <row r="1901" ht="12.75" customHeight="1">
      <c r="A1901" s="46"/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</row>
    <row r="1902" ht="12.75" customHeight="1">
      <c r="A1902" s="46"/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</row>
    <row r="1903" ht="12.75" customHeight="1">
      <c r="A1903" s="46"/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</row>
    <row r="1904" ht="12.75" customHeight="1">
      <c r="A1904" s="46"/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</row>
    <row r="1905" ht="12.75" customHeight="1">
      <c r="A1905" s="46"/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</row>
    <row r="1906" ht="12.75" customHeight="1">
      <c r="A1906" s="46"/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</row>
    <row r="1907" ht="12.75" customHeight="1">
      <c r="A1907" s="46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</row>
    <row r="1908" ht="12.75" customHeight="1">
      <c r="A1908" s="46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</row>
    <row r="1909" ht="12.75" customHeight="1">
      <c r="A1909" s="46"/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</row>
    <row r="1910" ht="12.75" customHeight="1">
      <c r="A1910" s="46"/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</row>
    <row r="1911" ht="12.75" customHeight="1">
      <c r="A1911" s="46"/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</row>
    <row r="1912" ht="12.75" customHeight="1">
      <c r="A1912" s="46"/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</row>
    <row r="1913" ht="12.75" customHeight="1">
      <c r="A1913" s="46"/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</row>
    <row r="1914" ht="12.75" customHeight="1">
      <c r="A1914" s="46"/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</row>
    <row r="1915" ht="12.75" customHeight="1">
      <c r="A1915" s="46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</row>
    <row r="1916" ht="12.75" customHeight="1">
      <c r="A1916" s="46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</row>
    <row r="1917" ht="12.75" customHeight="1">
      <c r="A1917" s="46"/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</row>
    <row r="1918" ht="12.75" customHeight="1">
      <c r="A1918" s="46"/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</row>
    <row r="1919" ht="12.75" customHeight="1">
      <c r="A1919" s="46"/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</row>
    <row r="1920" ht="12.75" customHeight="1">
      <c r="A1920" s="46"/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</row>
    <row r="1921" ht="12.75" customHeight="1">
      <c r="A1921" s="46"/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</row>
    <row r="1922" ht="12.75" customHeight="1">
      <c r="A1922" s="46"/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</row>
    <row r="1923" ht="12.75" customHeight="1">
      <c r="A1923" s="46"/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</row>
    <row r="1924" ht="12.75" customHeight="1">
      <c r="A1924" s="46"/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</row>
    <row r="1925" ht="12.75" customHeight="1">
      <c r="A1925" s="46"/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</row>
    <row r="1926" ht="12.75" customHeight="1">
      <c r="A1926" s="46"/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</row>
    <row r="1927" ht="12.75" customHeight="1">
      <c r="A1927" s="46"/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</row>
    <row r="1928" ht="12.75" customHeight="1">
      <c r="A1928" s="46"/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</row>
    <row r="1929" ht="12.75" customHeight="1">
      <c r="A1929" s="46"/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</row>
    <row r="1930" ht="12.75" customHeight="1">
      <c r="A1930" s="46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</row>
    <row r="1931" ht="12.75" customHeight="1">
      <c r="A1931" s="46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</row>
    <row r="1932" ht="12.75" customHeight="1">
      <c r="A1932" s="46"/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</row>
    <row r="1933" ht="12.75" customHeight="1">
      <c r="A1933" s="46"/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</row>
    <row r="1934" ht="12.75" customHeight="1">
      <c r="A1934" s="46"/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</row>
    <row r="1935" ht="12.75" customHeight="1">
      <c r="A1935" s="46"/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</row>
    <row r="1936" ht="12.75" customHeight="1">
      <c r="A1936" s="46"/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</row>
    <row r="1937" ht="12.75" customHeight="1">
      <c r="A1937" s="46"/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</row>
    <row r="1938" ht="12.75" customHeight="1">
      <c r="A1938" s="46"/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</row>
    <row r="1939" ht="12.75" customHeight="1">
      <c r="A1939" s="46"/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</row>
    <row r="1940" ht="12.75" customHeight="1">
      <c r="A1940" s="46"/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</row>
    <row r="1941" ht="12.75" customHeight="1">
      <c r="A1941" s="46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</row>
    <row r="1942" ht="12.75" customHeight="1">
      <c r="A1942" s="46"/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</row>
    <row r="1943" ht="12.75" customHeight="1">
      <c r="A1943" s="46"/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</row>
    <row r="1944" ht="12.75" customHeight="1">
      <c r="A1944" s="46"/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</row>
    <row r="1945" ht="12.75" customHeight="1">
      <c r="A1945" s="46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</row>
    <row r="1946" ht="12.75" customHeight="1">
      <c r="A1946" s="46"/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</row>
    <row r="1947" ht="12.75" customHeight="1">
      <c r="A1947" s="46"/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</row>
    <row r="1948" ht="12.75" customHeight="1">
      <c r="A1948" s="46"/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</row>
    <row r="1949" ht="12.75" customHeight="1">
      <c r="A1949" s="46"/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</row>
    <row r="1950" ht="12.75" customHeight="1">
      <c r="A1950" s="46"/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</row>
    <row r="1951" ht="12.75" customHeight="1">
      <c r="A1951" s="46"/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</row>
    <row r="1952" ht="12.75" customHeight="1">
      <c r="A1952" s="46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</row>
    <row r="1953" ht="12.75" customHeight="1">
      <c r="A1953" s="46"/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</row>
    <row r="1954" ht="12.75" customHeight="1">
      <c r="A1954" s="46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</row>
    <row r="1955" ht="12.75" customHeight="1">
      <c r="A1955" s="46"/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</row>
    <row r="1956" ht="12.75" customHeight="1">
      <c r="A1956" s="46"/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</row>
    <row r="1957" ht="12.75" customHeight="1">
      <c r="A1957" s="46"/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</row>
    <row r="1958" ht="12.75" customHeight="1">
      <c r="A1958" s="46"/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</row>
    <row r="1959" ht="12.75" customHeight="1">
      <c r="A1959" s="46"/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</row>
    <row r="1960" ht="12.75" customHeight="1">
      <c r="A1960" s="46"/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</row>
    <row r="1961" ht="12.75" customHeight="1">
      <c r="A1961" s="46"/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</row>
    <row r="1962" ht="12.75" customHeight="1">
      <c r="A1962" s="46"/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</row>
    <row r="1963" ht="12.75" customHeight="1">
      <c r="A1963" s="46"/>
      <c r="B1963" s="40"/>
      <c r="C1963" s="40"/>
      <c r="D1963" s="40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</row>
    <row r="1964" ht="12.75" customHeight="1">
      <c r="A1964" s="46"/>
      <c r="B1964" s="40"/>
      <c r="C1964" s="40"/>
      <c r="D1964" s="40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</row>
    <row r="1965" ht="12.75" customHeight="1">
      <c r="A1965" s="46"/>
      <c r="B1965" s="40"/>
      <c r="C1965" s="40"/>
      <c r="D1965" s="40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</row>
    <row r="1966" ht="12.75" customHeight="1">
      <c r="A1966" s="46"/>
      <c r="B1966" s="40"/>
      <c r="C1966" s="40"/>
      <c r="D1966" s="40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</row>
    <row r="1967" ht="12.75" customHeight="1">
      <c r="A1967" s="46"/>
      <c r="B1967" s="40"/>
      <c r="C1967" s="40"/>
      <c r="D1967" s="40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</row>
    <row r="1968" ht="12.75" customHeight="1">
      <c r="A1968" s="46"/>
      <c r="B1968" s="40"/>
      <c r="C1968" s="40"/>
      <c r="D1968" s="40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</row>
    <row r="1969" ht="12.75" customHeight="1">
      <c r="A1969" s="46"/>
      <c r="B1969" s="40"/>
      <c r="C1969" s="40"/>
      <c r="D1969" s="40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</row>
    <row r="1970" ht="12.75" customHeight="1">
      <c r="A1970" s="46"/>
      <c r="B1970" s="40"/>
      <c r="C1970" s="40"/>
      <c r="D1970" s="40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</row>
    <row r="1971" ht="12.75" customHeight="1">
      <c r="A1971" s="46"/>
      <c r="B1971" s="40"/>
      <c r="C1971" s="40"/>
      <c r="D1971" s="40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</row>
    <row r="1972" ht="12.75" customHeight="1">
      <c r="A1972" s="46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</row>
    <row r="1973" ht="12.75" customHeight="1">
      <c r="A1973" s="46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</row>
    <row r="1974" ht="12.75" customHeight="1">
      <c r="A1974" s="46"/>
      <c r="B1974" s="40"/>
      <c r="C1974" s="40"/>
      <c r="D1974" s="40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</row>
    <row r="1975" ht="12.75" customHeight="1">
      <c r="A1975" s="46"/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</row>
    <row r="1976" ht="12.75" customHeight="1">
      <c r="A1976" s="46"/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</row>
    <row r="1977" ht="12.75" customHeight="1">
      <c r="A1977" s="46"/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</row>
    <row r="1978" ht="12.75" customHeight="1">
      <c r="A1978" s="46"/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</row>
    <row r="1979" ht="12.75" customHeight="1">
      <c r="A1979" s="46"/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</row>
    <row r="1980" ht="12.75" customHeight="1">
      <c r="A1980" s="46"/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</row>
    <row r="1981" ht="12.75" customHeight="1">
      <c r="A1981" s="46"/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</row>
    <row r="1982" ht="12.75" customHeight="1">
      <c r="A1982" s="46"/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</row>
    <row r="1983" ht="12.75" customHeight="1">
      <c r="A1983" s="46"/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</row>
    <row r="1984" ht="12.75" customHeight="1">
      <c r="A1984" s="46"/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</row>
    <row r="1985" ht="12.75" customHeight="1">
      <c r="A1985" s="46"/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</row>
    <row r="1986" ht="12.75" customHeight="1">
      <c r="A1986" s="46"/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</row>
    <row r="1987" ht="12.75" customHeight="1">
      <c r="A1987" s="46"/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</row>
    <row r="1988" ht="12.75" customHeight="1">
      <c r="A1988" s="46"/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</row>
    <row r="1989" ht="12.75" customHeight="1">
      <c r="A1989" s="46"/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</row>
    <row r="1990" ht="12.75" customHeight="1">
      <c r="A1990" s="46"/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</row>
    <row r="1991" ht="12.75" customHeight="1">
      <c r="A1991" s="46"/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</row>
    <row r="1992" ht="12.75" customHeight="1">
      <c r="A1992" s="46"/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</row>
    <row r="1993" ht="12.75" customHeight="1">
      <c r="A1993" s="46"/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</row>
    <row r="1994" ht="12.75" customHeight="1">
      <c r="A1994" s="46"/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</row>
    <row r="1995" ht="12.75" customHeight="1">
      <c r="A1995" s="46"/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</row>
    <row r="1996" ht="12.75" customHeight="1">
      <c r="A1996" s="46"/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</row>
    <row r="1997" ht="12.75" customHeight="1">
      <c r="A1997" s="46"/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</row>
    <row r="1998" ht="12.75" customHeight="1">
      <c r="A1998" s="46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</row>
    <row r="1999" ht="12.75" customHeight="1">
      <c r="A1999" s="46"/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</row>
    <row r="2000" ht="12.75" customHeight="1">
      <c r="A2000" s="46"/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</row>
    <row r="2001" ht="12.75" customHeight="1">
      <c r="A2001" s="46"/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</row>
    <row r="2002" ht="12.75" customHeight="1">
      <c r="A2002" s="46"/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</row>
    <row r="2003" ht="12.75" customHeight="1">
      <c r="A2003" s="46"/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</row>
    <row r="2004" ht="12.75" customHeight="1">
      <c r="A2004" s="46"/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</row>
    <row r="2005" ht="12.75" customHeight="1">
      <c r="A2005" s="46"/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</row>
    <row r="2006" ht="12.75" customHeight="1">
      <c r="A2006" s="46"/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</row>
    <row r="2007" ht="12.75" customHeight="1">
      <c r="A2007" s="46"/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</row>
    <row r="2008" ht="12.75" customHeight="1">
      <c r="A2008" s="46"/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</row>
    <row r="2009" ht="12.75" customHeight="1">
      <c r="A2009" s="46"/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</row>
    <row r="2010" ht="12.75" customHeight="1">
      <c r="A2010" s="46"/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</row>
    <row r="2011" ht="12.75" customHeight="1">
      <c r="A2011" s="46"/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</row>
    <row r="2012" ht="12.75" customHeight="1">
      <c r="A2012" s="46"/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</row>
    <row r="2013" ht="12.75" customHeight="1">
      <c r="A2013" s="46"/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</row>
    <row r="2014" ht="12.75" customHeight="1">
      <c r="A2014" s="46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</row>
    <row r="2015" ht="12.75" customHeight="1">
      <c r="A2015" s="46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</row>
    <row r="2016" ht="12.75" customHeight="1">
      <c r="A2016" s="46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</row>
    <row r="2017" ht="12.75" customHeight="1">
      <c r="A2017" s="46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</row>
    <row r="2018" ht="12.75" customHeight="1">
      <c r="A2018" s="46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</row>
    <row r="2019" ht="12.75" customHeight="1">
      <c r="A2019" s="46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</row>
    <row r="2020" ht="12.75" customHeight="1">
      <c r="A2020" s="46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</row>
    <row r="2021" ht="12.75" customHeight="1">
      <c r="A2021" s="46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</row>
    <row r="2022" ht="12.75" customHeight="1">
      <c r="A2022" s="46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</row>
    <row r="2023" ht="12.75" customHeight="1">
      <c r="A2023" s="46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</row>
    <row r="2024" ht="12.75" customHeight="1">
      <c r="A2024" s="46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</row>
    <row r="2025" ht="12.75" customHeight="1">
      <c r="A2025" s="46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</row>
    <row r="2026" ht="12.75" customHeight="1">
      <c r="A2026" s="46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</row>
    <row r="2027" ht="12.75" customHeight="1">
      <c r="A2027" s="46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</row>
    <row r="2028" ht="12.75" customHeight="1">
      <c r="A2028" s="46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</row>
    <row r="2029" ht="12.75" customHeight="1">
      <c r="A2029" s="46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</row>
    <row r="2030" ht="12.75" customHeight="1">
      <c r="A2030" s="46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</row>
    <row r="2031" ht="12.75" customHeight="1">
      <c r="A2031" s="46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</row>
    <row r="2032" ht="12.75" customHeight="1">
      <c r="A2032" s="46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</row>
    <row r="2033" ht="12.75" customHeight="1">
      <c r="A2033" s="46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</row>
    <row r="2034" ht="12.75" customHeight="1">
      <c r="A2034" s="46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</row>
    <row r="2035" ht="12.75" customHeight="1">
      <c r="A2035" s="46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</row>
    <row r="2036" ht="12.75" customHeight="1">
      <c r="A2036" s="46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</row>
    <row r="2037" ht="12.75" customHeight="1">
      <c r="A2037" s="46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</row>
    <row r="2038" ht="12.75" customHeight="1">
      <c r="A2038" s="46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</row>
    <row r="2039" ht="12.75" customHeight="1">
      <c r="A2039" s="46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</row>
    <row r="2040" ht="12.75" customHeight="1">
      <c r="A2040" s="46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</row>
    <row r="2041" ht="12.75" customHeight="1">
      <c r="A2041" s="46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</row>
    <row r="2042" ht="12.75" customHeight="1">
      <c r="A2042" s="46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</row>
    <row r="2043" ht="12.75" customHeight="1">
      <c r="A2043" s="46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</row>
    <row r="2044" ht="12.75" customHeight="1">
      <c r="A2044" s="46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</row>
    <row r="2045" ht="12.75" customHeight="1">
      <c r="A2045" s="46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</row>
    <row r="2046" ht="12.75" customHeight="1">
      <c r="A2046" s="46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</row>
    <row r="2047" ht="12.75" customHeight="1">
      <c r="A2047" s="46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</row>
    <row r="2048" ht="12.75" customHeight="1">
      <c r="A2048" s="46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</row>
    <row r="2049" ht="12.75" customHeight="1">
      <c r="A2049" s="46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</row>
    <row r="2050" ht="12.75" customHeight="1">
      <c r="A2050" s="46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</row>
    <row r="2051" ht="12.75" customHeight="1">
      <c r="A2051" s="46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</row>
    <row r="2052" ht="12.75" customHeight="1">
      <c r="A2052" s="46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</row>
    <row r="2053" ht="12.75" customHeight="1">
      <c r="A2053" s="46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</row>
    <row r="2054" ht="12.75" customHeight="1">
      <c r="A2054" s="46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</row>
    <row r="2055" ht="12.75" customHeight="1">
      <c r="A2055" s="46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</row>
    <row r="2056" ht="12.75" customHeight="1">
      <c r="A2056" s="46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</row>
    <row r="2057" ht="12.75" customHeight="1">
      <c r="A2057" s="46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</row>
    <row r="2058" ht="12.75" customHeight="1">
      <c r="A2058" s="46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</row>
    <row r="2059" ht="12.75" customHeight="1">
      <c r="A2059" s="46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</row>
    <row r="2060" ht="12.75" customHeight="1">
      <c r="A2060" s="46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</row>
    <row r="2061" ht="12.75" customHeight="1">
      <c r="A2061" s="46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</row>
    <row r="2062" ht="12.75" customHeight="1">
      <c r="A2062" s="46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</row>
    <row r="2063" ht="12.75" customHeight="1">
      <c r="A2063" s="46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</row>
    <row r="2064" ht="12.75" customHeight="1">
      <c r="A2064" s="46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</row>
    <row r="2065" ht="12.75" customHeight="1">
      <c r="A2065" s="46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</row>
    <row r="2066" ht="12.75" customHeight="1">
      <c r="A2066" s="46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</row>
    <row r="2067" ht="12.75" customHeight="1">
      <c r="A2067" s="46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</row>
    <row r="2068" ht="12.75" customHeight="1">
      <c r="A2068" s="46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</row>
    <row r="2069" ht="12.75" customHeight="1">
      <c r="A2069" s="46"/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</row>
    <row r="2070" ht="12.75" customHeight="1">
      <c r="A2070" s="46"/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</row>
    <row r="2071" ht="12.75" customHeight="1">
      <c r="A2071" s="46"/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</row>
    <row r="2072" ht="12.75" customHeight="1">
      <c r="A2072" s="46"/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</row>
    <row r="2073" ht="12.75" customHeight="1">
      <c r="A2073" s="46"/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</row>
    <row r="2074" ht="12.75" customHeight="1">
      <c r="A2074" s="46"/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</row>
    <row r="2075" ht="12.75" customHeight="1">
      <c r="A2075" s="46"/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</row>
    <row r="2076" ht="12.75" customHeight="1">
      <c r="A2076" s="46"/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</row>
    <row r="2077" ht="12.75" customHeight="1">
      <c r="A2077" s="46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</row>
    <row r="2078" ht="12.75" customHeight="1">
      <c r="A2078" s="46"/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</row>
    <row r="2079" ht="12.75" customHeight="1">
      <c r="A2079" s="46"/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</row>
    <row r="2080" ht="12.75" customHeight="1">
      <c r="A2080" s="46"/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</row>
    <row r="2081" ht="12.75" customHeight="1">
      <c r="A2081" s="46"/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</row>
    <row r="2082" ht="12.75" customHeight="1">
      <c r="A2082" s="46"/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</row>
    <row r="2083" ht="12.75" customHeight="1">
      <c r="A2083" s="46"/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</row>
    <row r="2084" ht="12.75" customHeight="1">
      <c r="A2084" s="46"/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</row>
    <row r="2085" ht="12.75" customHeight="1">
      <c r="A2085" s="46"/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</row>
    <row r="2086" ht="12.75" customHeight="1">
      <c r="A2086" s="46"/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</row>
    <row r="2087" ht="12.75" customHeight="1">
      <c r="A2087" s="46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</row>
    <row r="2088" ht="12.75" customHeight="1">
      <c r="A2088" s="46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</row>
    <row r="2089" ht="12.75" customHeight="1">
      <c r="A2089" s="46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</row>
    <row r="2090" ht="12.75" customHeight="1">
      <c r="A2090" s="46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</row>
    <row r="2091" ht="12.75" customHeight="1">
      <c r="A2091" s="46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</row>
    <row r="2092" ht="12.75" customHeight="1">
      <c r="A2092" s="46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</row>
    <row r="2093" ht="12.75" customHeight="1">
      <c r="A2093" s="46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</row>
    <row r="2094" ht="12.75" customHeight="1">
      <c r="A2094" s="46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</row>
    <row r="2095" ht="12.75" customHeight="1">
      <c r="A2095" s="46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</row>
    <row r="2096" ht="12.75" customHeight="1">
      <c r="A2096" s="46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</row>
    <row r="2097" ht="12.75" customHeight="1">
      <c r="A2097" s="46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</row>
    <row r="2098" ht="12.75" customHeight="1">
      <c r="A2098" s="46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</row>
    <row r="2099" ht="12.75" customHeight="1">
      <c r="A2099" s="46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</row>
    <row r="2100" ht="12.75" customHeight="1">
      <c r="A2100" s="46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</row>
    <row r="2101" ht="12.75" customHeight="1">
      <c r="A2101" s="46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</row>
    <row r="2102" ht="12.75" customHeight="1">
      <c r="A2102" s="46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</row>
    <row r="2103" ht="12.75" customHeight="1">
      <c r="A2103" s="46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</row>
    <row r="2104" ht="12.75" customHeight="1">
      <c r="A2104" s="46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</row>
    <row r="2105" ht="12.75" customHeight="1">
      <c r="A2105" s="46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</row>
    <row r="2106" ht="12.75" customHeight="1">
      <c r="A2106" s="46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</row>
    <row r="2107" ht="12.75" customHeight="1">
      <c r="A2107" s="46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</row>
    <row r="2108" ht="12.75" customHeight="1">
      <c r="A2108" s="46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</row>
    <row r="2109" ht="12.75" customHeight="1">
      <c r="A2109" s="46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</row>
    <row r="2110" ht="12.75" customHeight="1">
      <c r="A2110" s="46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</row>
    <row r="2111" ht="12.75" customHeight="1">
      <c r="A2111" s="46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</row>
    <row r="2112" ht="12.75" customHeight="1">
      <c r="A2112" s="46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</row>
    <row r="2113" ht="12.75" customHeight="1">
      <c r="A2113" s="46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</row>
    <row r="2114" ht="12.75" customHeight="1">
      <c r="A2114" s="46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</row>
    <row r="2115" ht="12.75" customHeight="1">
      <c r="A2115" s="46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</row>
    <row r="2116" ht="12.75" customHeight="1">
      <c r="A2116" s="46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</row>
    <row r="2117" ht="12.75" customHeight="1">
      <c r="A2117" s="46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</row>
    <row r="2118" ht="12.75" customHeight="1">
      <c r="A2118" s="46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</row>
    <row r="2119" ht="12.75" customHeight="1">
      <c r="A2119" s="46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</row>
    <row r="2120" ht="12.75" customHeight="1">
      <c r="A2120" s="46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</row>
    <row r="2121" ht="12.75" customHeight="1">
      <c r="A2121" s="46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</row>
    <row r="2122" ht="12.75" customHeight="1">
      <c r="A2122" s="46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</row>
    <row r="2123" ht="12.75" customHeight="1">
      <c r="A2123" s="46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</row>
    <row r="2124" ht="12.75" customHeight="1">
      <c r="A2124" s="46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</row>
    <row r="2125" ht="12.75" customHeight="1">
      <c r="A2125" s="46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</row>
    <row r="2126" ht="12.75" customHeight="1">
      <c r="A2126" s="46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</row>
    <row r="2127" ht="12.75" customHeight="1">
      <c r="A2127" s="46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</row>
    <row r="2128" ht="12.75" customHeight="1">
      <c r="A2128" s="46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</row>
    <row r="2129" ht="12.75" customHeight="1">
      <c r="A2129" s="46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</row>
    <row r="2130" ht="12.75" customHeight="1">
      <c r="A2130" s="46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</row>
    <row r="2131" ht="12.75" customHeight="1">
      <c r="A2131" s="46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</row>
    <row r="2132" ht="12.75" customHeight="1">
      <c r="A2132" s="46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</row>
    <row r="2133" ht="12.75" customHeight="1">
      <c r="A2133" s="46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</row>
    <row r="2134" ht="12.75" customHeight="1">
      <c r="A2134" s="46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</row>
    <row r="2135" ht="12.75" customHeight="1">
      <c r="A2135" s="46"/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</row>
    <row r="2136" ht="12.75" customHeight="1">
      <c r="A2136" s="46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</row>
    <row r="2137" ht="12.75" customHeight="1">
      <c r="A2137" s="46"/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</row>
    <row r="2138" ht="12.75" customHeight="1">
      <c r="A2138" s="46"/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</row>
    <row r="2139" ht="12.75" customHeight="1">
      <c r="A2139" s="46"/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</row>
    <row r="2140" ht="12.75" customHeight="1">
      <c r="A2140" s="46"/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</row>
    <row r="2141" ht="12.75" customHeight="1">
      <c r="A2141" s="46"/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</row>
    <row r="2142" ht="12.75" customHeight="1">
      <c r="A2142" s="46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</row>
    <row r="2143" ht="12.75" customHeight="1">
      <c r="A2143" s="46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</row>
    <row r="2144" ht="12.75" customHeight="1">
      <c r="A2144" s="46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</row>
    <row r="2145" ht="12.75" customHeight="1">
      <c r="A2145" s="46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</row>
    <row r="2146" ht="12.75" customHeight="1">
      <c r="A2146" s="46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</row>
    <row r="2147" ht="12.75" customHeight="1">
      <c r="A2147" s="46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</row>
    <row r="2148" ht="12.75" customHeight="1">
      <c r="A2148" s="46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</row>
    <row r="2149" ht="12.75" customHeight="1">
      <c r="A2149" s="46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</row>
    <row r="2150" ht="12.75" customHeight="1">
      <c r="A2150" s="46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</row>
    <row r="2151" ht="12.75" customHeight="1">
      <c r="A2151" s="46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</row>
    <row r="2152" ht="12.75" customHeight="1">
      <c r="A2152" s="46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</row>
    <row r="2153" ht="12.75" customHeight="1">
      <c r="A2153" s="46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</row>
    <row r="2154" ht="12.75" customHeight="1">
      <c r="A2154" s="46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</row>
    <row r="2155" ht="12.75" customHeight="1">
      <c r="A2155" s="46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</row>
    <row r="2156" ht="12.75" customHeight="1">
      <c r="A2156" s="46"/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</row>
    <row r="2157" ht="12.75" customHeight="1">
      <c r="A2157" s="46"/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</row>
    <row r="2158" ht="12.75" customHeight="1">
      <c r="A2158" s="46"/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</row>
    <row r="2159" ht="12.75" customHeight="1">
      <c r="A2159" s="46"/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</row>
    <row r="2160" ht="12.75" customHeight="1">
      <c r="A2160" s="46"/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</row>
    <row r="2161" ht="12.75" customHeight="1">
      <c r="A2161" s="46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</row>
    <row r="2162" ht="12.75" customHeight="1">
      <c r="A2162" s="46"/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</row>
    <row r="2163" ht="12.75" customHeight="1">
      <c r="A2163" s="46"/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</row>
    <row r="2164" ht="12.75" customHeight="1">
      <c r="A2164" s="46"/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</row>
    <row r="2165" ht="12.75" customHeight="1">
      <c r="A2165" s="46"/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</row>
    <row r="2166" ht="12.75" customHeight="1">
      <c r="A2166" s="46"/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</row>
    <row r="2167" ht="12.75" customHeight="1">
      <c r="A2167" s="46"/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</row>
    <row r="2168" ht="12.75" customHeight="1">
      <c r="A2168" s="46"/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</row>
    <row r="2169" ht="12.75" customHeight="1">
      <c r="A2169" s="46"/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</row>
    <row r="2170" ht="12.75" customHeight="1">
      <c r="A2170" s="46"/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</row>
    <row r="2171" ht="12.75" customHeight="1">
      <c r="A2171" s="46"/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</row>
    <row r="2172" ht="12.75" customHeight="1">
      <c r="A2172" s="46"/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</row>
    <row r="2173" ht="12.75" customHeight="1">
      <c r="A2173" s="46"/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</row>
    <row r="2174" ht="12.75" customHeight="1">
      <c r="A2174" s="46"/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</row>
    <row r="2175" ht="12.75" customHeight="1">
      <c r="A2175" s="46"/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</row>
    <row r="2176" ht="12.75" customHeight="1">
      <c r="A2176" s="46"/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</row>
    <row r="2177" ht="12.75" customHeight="1">
      <c r="A2177" s="46"/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</row>
    <row r="2178" ht="12.75" customHeight="1">
      <c r="A2178" s="46"/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</row>
    <row r="2179" ht="12.75" customHeight="1">
      <c r="A2179" s="46"/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</row>
    <row r="2180" ht="12.75" customHeight="1">
      <c r="A2180" s="46"/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</row>
    <row r="2181" ht="12.75" customHeight="1">
      <c r="A2181" s="46"/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</row>
    <row r="2182" ht="12.75" customHeight="1">
      <c r="A2182" s="46"/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</row>
    <row r="2183" ht="12.75" customHeight="1">
      <c r="A2183" s="46"/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</row>
    <row r="2184" ht="12.75" customHeight="1">
      <c r="A2184" s="46"/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</row>
    <row r="2185" ht="12.75" customHeight="1">
      <c r="A2185" s="46"/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</row>
    <row r="2186" ht="12.75" customHeight="1">
      <c r="A2186" s="46"/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</row>
    <row r="2187" ht="12.75" customHeight="1">
      <c r="A2187" s="46"/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</row>
    <row r="2188" ht="12.75" customHeight="1">
      <c r="A2188" s="46"/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</row>
    <row r="2189" ht="12.75" customHeight="1">
      <c r="A2189" s="46"/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</row>
    <row r="2190" ht="12.75" customHeight="1">
      <c r="A2190" s="46"/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</row>
    <row r="2191" ht="12.75" customHeight="1">
      <c r="A2191" s="46"/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</row>
    <row r="2192" ht="12.75" customHeight="1">
      <c r="A2192" s="46"/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</row>
    <row r="2193" ht="12.75" customHeight="1">
      <c r="A2193" s="46"/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</row>
    <row r="2194" ht="12.75" customHeight="1">
      <c r="A2194" s="46"/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</row>
    <row r="2195" ht="12.75" customHeight="1">
      <c r="A2195" s="46"/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</row>
    <row r="2196" ht="12.75" customHeight="1">
      <c r="A2196" s="46"/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</row>
    <row r="2197" ht="12.75" customHeight="1">
      <c r="A2197" s="46"/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</row>
    <row r="2198" ht="12.75" customHeight="1">
      <c r="A2198" s="46"/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</row>
    <row r="2199" ht="12.75" customHeight="1">
      <c r="A2199" s="46"/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</row>
    <row r="2200" ht="12.75" customHeight="1">
      <c r="A2200" s="46"/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</row>
    <row r="2201" ht="12.75" customHeight="1">
      <c r="A2201" s="46"/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</row>
    <row r="2202" ht="12.75" customHeight="1">
      <c r="A2202" s="46"/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</row>
    <row r="2203" ht="12.75" customHeight="1">
      <c r="A2203" s="46"/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</row>
    <row r="2204" ht="12.75" customHeight="1">
      <c r="A2204" s="46"/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</row>
    <row r="2205" ht="12.75" customHeight="1">
      <c r="A2205" s="46"/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</row>
    <row r="2206" ht="12.75" customHeight="1">
      <c r="A2206" s="46"/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</row>
    <row r="2207" ht="12.75" customHeight="1">
      <c r="A2207" s="46"/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</row>
    <row r="2208" ht="12.75" customHeight="1">
      <c r="A2208" s="46"/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</row>
    <row r="2209" ht="12.75" customHeight="1">
      <c r="A2209" s="46"/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</row>
    <row r="2210" ht="12.75" customHeight="1">
      <c r="A2210" s="46"/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</row>
    <row r="2211" ht="12.75" customHeight="1">
      <c r="A2211" s="46"/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</row>
    <row r="2212" ht="12.75" customHeight="1">
      <c r="A2212" s="46"/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</row>
    <row r="2213" ht="12.75" customHeight="1">
      <c r="A2213" s="46"/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</row>
    <row r="2214" ht="12.75" customHeight="1">
      <c r="A2214" s="46"/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</row>
    <row r="2215" ht="12.75" customHeight="1">
      <c r="A2215" s="46"/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</row>
    <row r="2216" ht="12.75" customHeight="1">
      <c r="A2216" s="46"/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</row>
    <row r="2217" ht="12.75" customHeight="1">
      <c r="A2217" s="46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</row>
    <row r="2218" ht="12.75" customHeight="1">
      <c r="A2218" s="46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</row>
    <row r="2219" ht="12.75" customHeight="1">
      <c r="A2219" s="46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</row>
    <row r="2220" ht="12.75" customHeight="1">
      <c r="A2220" s="46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</row>
    <row r="2221" ht="12.75" customHeight="1">
      <c r="A2221" s="46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</row>
    <row r="2222" ht="12.75" customHeight="1">
      <c r="A2222" s="46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</row>
    <row r="2223" ht="12.75" customHeight="1">
      <c r="A2223" s="46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</row>
    <row r="2224" ht="12.75" customHeight="1">
      <c r="A2224" s="46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</row>
    <row r="2225" ht="12.75" customHeight="1">
      <c r="A2225" s="46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</row>
    <row r="2226" ht="12.75" customHeight="1">
      <c r="A2226" s="46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</row>
    <row r="2227" ht="12.75" customHeight="1">
      <c r="A2227" s="46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</row>
    <row r="2228" ht="12.75" customHeight="1">
      <c r="A2228" s="46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</row>
    <row r="2229" ht="12.75" customHeight="1">
      <c r="A2229" s="46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</row>
    <row r="2230" ht="12.75" customHeight="1">
      <c r="A2230" s="46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</row>
    <row r="2231" ht="12.75" customHeight="1">
      <c r="A2231" s="46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</row>
    <row r="2232" ht="12.75" customHeight="1">
      <c r="A2232" s="46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</row>
    <row r="2233" ht="12.75" customHeight="1">
      <c r="A2233" s="46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</row>
    <row r="2234" ht="12.75" customHeight="1">
      <c r="A2234" s="46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</row>
    <row r="2235" ht="12.75" customHeight="1">
      <c r="A2235" s="46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</row>
    <row r="2236" ht="12.75" customHeight="1">
      <c r="A2236" s="46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</row>
    <row r="2237" ht="12.75" customHeight="1">
      <c r="A2237" s="46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</row>
    <row r="2238" ht="12.75" customHeight="1">
      <c r="A2238" s="46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</row>
    <row r="2239" ht="12.75" customHeight="1">
      <c r="A2239" s="46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</row>
    <row r="2240" ht="12.75" customHeight="1">
      <c r="A2240" s="46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</row>
    <row r="2241" ht="12.75" customHeight="1">
      <c r="A2241" s="46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</row>
    <row r="2242" ht="12.75" customHeight="1">
      <c r="A2242" s="46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</row>
    <row r="2243" ht="12.75" customHeight="1">
      <c r="A2243" s="46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</row>
    <row r="2244" ht="12.75" customHeight="1">
      <c r="A2244" s="46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</row>
    <row r="2245" ht="12.75" customHeight="1">
      <c r="A2245" s="46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</row>
    <row r="2246" ht="12.75" customHeight="1">
      <c r="A2246" s="46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</row>
    <row r="2247" ht="12.75" customHeight="1">
      <c r="A2247" s="46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</row>
    <row r="2248" ht="12.75" customHeight="1">
      <c r="A2248" s="46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</row>
    <row r="2249" ht="12.75" customHeight="1">
      <c r="A2249" s="46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</row>
    <row r="2250" ht="12.75" customHeight="1">
      <c r="A2250" s="46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</row>
    <row r="2251" ht="12.75" customHeight="1">
      <c r="A2251" s="46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</row>
    <row r="2252" ht="12.75" customHeight="1">
      <c r="A2252" s="46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</row>
    <row r="2253" ht="12.75" customHeight="1">
      <c r="A2253" s="46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</row>
    <row r="2254" ht="12.75" customHeight="1">
      <c r="A2254" s="46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</row>
    <row r="2255" ht="12.75" customHeight="1">
      <c r="A2255" s="46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</row>
    <row r="2256" ht="12.75" customHeight="1">
      <c r="A2256" s="46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</row>
    <row r="2257" ht="12.75" customHeight="1">
      <c r="A2257" s="46"/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</row>
    <row r="2258" ht="12.75" customHeight="1">
      <c r="A2258" s="46"/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</row>
    <row r="2259" ht="12.75" customHeight="1">
      <c r="A2259" s="46"/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</row>
    <row r="2260" ht="12.75" customHeight="1">
      <c r="A2260" s="46"/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</row>
    <row r="2261" ht="12.75" customHeight="1">
      <c r="A2261" s="46"/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</row>
    <row r="2262" ht="12.75" customHeight="1">
      <c r="A2262" s="46"/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</row>
    <row r="2263" ht="12.75" customHeight="1">
      <c r="A2263" s="46"/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</row>
    <row r="2264" ht="12.75" customHeight="1">
      <c r="A2264" s="46"/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</row>
    <row r="2265" ht="12.75" customHeight="1">
      <c r="A2265" s="46"/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</row>
    <row r="2266" ht="12.75" customHeight="1">
      <c r="A2266" s="46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</row>
    <row r="2267" ht="12.75" customHeight="1">
      <c r="A2267" s="46"/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</row>
    <row r="2268" ht="12.75" customHeight="1">
      <c r="A2268" s="46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</row>
    <row r="2269" ht="12.75" customHeight="1">
      <c r="A2269" s="46"/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</row>
    <row r="2270" ht="12.75" customHeight="1">
      <c r="A2270" s="46"/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</row>
    <row r="2271" ht="12.75" customHeight="1">
      <c r="A2271" s="46"/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</row>
    <row r="2272" ht="12.75" customHeight="1">
      <c r="A2272" s="46"/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</row>
    <row r="2273" ht="12.75" customHeight="1">
      <c r="A2273" s="46"/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</row>
    <row r="2274" ht="12.75" customHeight="1">
      <c r="A2274" s="46"/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</row>
    <row r="2275" ht="12.75" customHeight="1">
      <c r="A2275" s="46"/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</row>
    <row r="2276" ht="12.75" customHeight="1">
      <c r="A2276" s="46"/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</row>
    <row r="2277" ht="12.75" customHeight="1">
      <c r="A2277" s="46"/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</row>
    <row r="2278" ht="12.75" customHeight="1">
      <c r="A2278" s="46"/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</row>
    <row r="2279" ht="12.75" customHeight="1">
      <c r="A2279" s="46"/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</row>
    <row r="2280" ht="12.75" customHeight="1">
      <c r="A2280" s="46"/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</row>
    <row r="2281" ht="12.75" customHeight="1">
      <c r="A2281" s="46"/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</row>
    <row r="2282" ht="12.75" customHeight="1">
      <c r="A2282" s="46"/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</row>
    <row r="2283" ht="12.75" customHeight="1">
      <c r="A2283" s="46"/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</row>
    <row r="2284" ht="12.75" customHeight="1">
      <c r="A2284" s="46"/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</row>
    <row r="2285" ht="12.75" customHeight="1">
      <c r="A2285" s="46"/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</row>
    <row r="2286" ht="12.75" customHeight="1">
      <c r="A2286" s="46"/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</row>
    <row r="2287" ht="12.75" customHeight="1">
      <c r="A2287" s="46"/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</row>
    <row r="2288" ht="12.75" customHeight="1">
      <c r="A2288" s="46"/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</row>
    <row r="2289" ht="12.75" customHeight="1">
      <c r="A2289" s="46"/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</row>
    <row r="2290" ht="12.75" customHeight="1">
      <c r="A2290" s="46"/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</row>
    <row r="2291" ht="12.75" customHeight="1">
      <c r="A2291" s="46"/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</row>
    <row r="2292" ht="12.75" customHeight="1">
      <c r="A2292" s="46"/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</row>
    <row r="2293" ht="12.75" customHeight="1">
      <c r="A2293" s="46"/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</row>
    <row r="2294" ht="12.75" customHeight="1">
      <c r="A2294" s="46"/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</row>
    <row r="2295" ht="12.75" customHeight="1">
      <c r="A2295" s="46"/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</row>
    <row r="2296" ht="12.75" customHeight="1">
      <c r="A2296" s="46"/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</row>
    <row r="2297" ht="12.75" customHeight="1">
      <c r="A2297" s="46"/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</row>
    <row r="2298" ht="12.75" customHeight="1">
      <c r="A2298" s="46"/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</row>
    <row r="2299" ht="12.75" customHeight="1">
      <c r="A2299" s="46"/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</row>
    <row r="2300" ht="12.75" customHeight="1">
      <c r="A2300" s="46"/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</row>
    <row r="2301" ht="12.75" customHeight="1">
      <c r="A2301" s="46"/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</row>
    <row r="2302" ht="12.75" customHeight="1">
      <c r="A2302" s="46"/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</row>
    <row r="2303" ht="12.75" customHeight="1">
      <c r="A2303" s="46"/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</row>
    <row r="2304" ht="12.75" customHeight="1">
      <c r="A2304" s="46"/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</row>
    <row r="2305" ht="12.75" customHeight="1">
      <c r="A2305" s="46"/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</row>
    <row r="2306" ht="12.75" customHeight="1">
      <c r="A2306" s="46"/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</row>
    <row r="2307" ht="12.75" customHeight="1">
      <c r="A2307" s="46"/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</row>
    <row r="2308" ht="12.75" customHeight="1">
      <c r="A2308" s="46"/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</row>
    <row r="2309" ht="12.75" customHeight="1">
      <c r="A2309" s="46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</row>
    <row r="2310" ht="12.75" customHeight="1">
      <c r="A2310" s="46"/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</row>
    <row r="2311" ht="12.75" customHeight="1">
      <c r="A2311" s="46"/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</row>
    <row r="2312" ht="12.75" customHeight="1">
      <c r="A2312" s="46"/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</row>
    <row r="2313" ht="12.75" customHeight="1">
      <c r="A2313" s="46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</row>
    <row r="2314" ht="12.75" customHeight="1">
      <c r="A2314" s="46"/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</row>
    <row r="2315" ht="12.75" customHeight="1">
      <c r="A2315" s="46"/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</row>
    <row r="2316" ht="12.75" customHeight="1">
      <c r="A2316" s="46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</row>
    <row r="2317" ht="12.75" customHeight="1">
      <c r="A2317" s="46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</row>
    <row r="2318" ht="12.75" customHeight="1">
      <c r="A2318" s="46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</row>
    <row r="2319" ht="12.75" customHeight="1">
      <c r="A2319" s="46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</row>
    <row r="2320" ht="12.75" customHeight="1">
      <c r="A2320" s="46"/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</row>
    <row r="2321" ht="12.75" customHeight="1">
      <c r="A2321" s="46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</row>
    <row r="2322" ht="12.75" customHeight="1">
      <c r="A2322" s="46"/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</row>
    <row r="2323" ht="12.75" customHeight="1">
      <c r="A2323" s="46"/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</row>
    <row r="2324" ht="12.75" customHeight="1">
      <c r="A2324" s="46"/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</row>
    <row r="2325" ht="12.75" customHeight="1">
      <c r="A2325" s="46"/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</row>
    <row r="2326" ht="12.75" customHeight="1">
      <c r="A2326" s="46"/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</row>
    <row r="2327" ht="12.75" customHeight="1">
      <c r="A2327" s="46"/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</row>
    <row r="2328" ht="12.75" customHeight="1">
      <c r="A2328" s="46"/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</row>
    <row r="2329" ht="12.75" customHeight="1">
      <c r="A2329" s="46"/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</row>
    <row r="2330" ht="12.75" customHeight="1">
      <c r="A2330" s="46"/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</row>
    <row r="2331" ht="12.75" customHeight="1">
      <c r="A2331" s="46"/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</row>
    <row r="2332" ht="12.75" customHeight="1">
      <c r="A2332" s="46"/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</row>
    <row r="2333" ht="12.75" customHeight="1">
      <c r="A2333" s="46"/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</row>
    <row r="2334" ht="12.75" customHeight="1">
      <c r="A2334" s="46"/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</row>
    <row r="2335" ht="12.75" customHeight="1">
      <c r="A2335" s="46"/>
      <c r="B2335" s="40"/>
      <c r="C2335" s="40"/>
      <c r="D2335" s="40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</row>
    <row r="2336" ht="12.75" customHeight="1">
      <c r="A2336" s="46"/>
      <c r="B2336" s="40"/>
      <c r="C2336" s="40"/>
      <c r="D2336" s="40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</row>
    <row r="2337" ht="12.75" customHeight="1">
      <c r="A2337" s="46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</row>
    <row r="2338" ht="12.75" customHeight="1">
      <c r="A2338" s="46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</row>
    <row r="2339" ht="12.75" customHeight="1">
      <c r="A2339" s="46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</row>
    <row r="2340" ht="12.75" customHeight="1">
      <c r="A2340" s="46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</row>
    <row r="2341" ht="12.75" customHeight="1">
      <c r="A2341" s="46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</row>
    <row r="2342" ht="12.75" customHeight="1">
      <c r="A2342" s="46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</row>
    <row r="2343" ht="12.75" customHeight="1">
      <c r="A2343" s="46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</row>
    <row r="2344" ht="12.75" customHeight="1">
      <c r="A2344" s="46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</row>
    <row r="2345" ht="12.75" customHeight="1">
      <c r="A2345" s="46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</row>
    <row r="2346" ht="12.75" customHeight="1">
      <c r="A2346" s="46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</row>
    <row r="2347" ht="12.75" customHeight="1">
      <c r="A2347" s="46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</row>
    <row r="2348" ht="12.75" customHeight="1">
      <c r="A2348" s="46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</row>
    <row r="2349" ht="12.75" customHeight="1">
      <c r="A2349" s="46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</row>
    <row r="2350" ht="12.75" customHeight="1">
      <c r="A2350" s="46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</row>
    <row r="2351" ht="12.75" customHeight="1">
      <c r="A2351" s="46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</row>
    <row r="2352" ht="12.75" customHeight="1">
      <c r="A2352" s="46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</row>
    <row r="2353" ht="12.75" customHeight="1">
      <c r="A2353" s="46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</row>
    <row r="2354" ht="12.75" customHeight="1">
      <c r="A2354" s="46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</row>
    <row r="2355" ht="12.75" customHeight="1">
      <c r="A2355" s="46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</row>
    <row r="2356" ht="12.75" customHeight="1">
      <c r="A2356" s="46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</row>
    <row r="2357" ht="12.75" customHeight="1">
      <c r="A2357" s="46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</row>
    <row r="2358" ht="12.75" customHeight="1">
      <c r="A2358" s="46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</row>
    <row r="2359" ht="12.75" customHeight="1">
      <c r="A2359" s="46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</row>
    <row r="2360" ht="12.75" customHeight="1">
      <c r="A2360" s="46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</row>
    <row r="2361" ht="12.75" customHeight="1">
      <c r="A2361" s="46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</row>
    <row r="2362" ht="12.75" customHeight="1">
      <c r="A2362" s="46"/>
      <c r="B2362" s="40"/>
      <c r="C2362" s="40"/>
      <c r="D2362" s="40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</row>
    <row r="2363" ht="12.75" customHeight="1">
      <c r="A2363" s="46"/>
      <c r="B2363" s="40"/>
      <c r="C2363" s="40"/>
      <c r="D2363" s="40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</row>
    <row r="2364" ht="12.75" customHeight="1">
      <c r="A2364" s="46"/>
      <c r="B2364" s="40"/>
      <c r="C2364" s="40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</row>
    <row r="2365" ht="12.75" customHeight="1">
      <c r="A2365" s="46"/>
      <c r="B2365" s="40"/>
      <c r="C2365" s="40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</row>
    <row r="2366" ht="12.75" customHeight="1">
      <c r="A2366" s="46"/>
      <c r="B2366" s="40"/>
      <c r="C2366" s="40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</row>
    <row r="2367" ht="12.75" customHeight="1">
      <c r="A2367" s="46"/>
      <c r="B2367" s="40"/>
      <c r="C2367" s="40"/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</row>
    <row r="2368" ht="12.75" customHeight="1">
      <c r="A2368" s="46"/>
      <c r="B2368" s="40"/>
      <c r="C2368" s="40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</row>
    <row r="2369" ht="12.75" customHeight="1">
      <c r="A2369" s="46"/>
      <c r="B2369" s="40"/>
      <c r="C2369" s="40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</row>
    <row r="2370" ht="12.75" customHeight="1">
      <c r="A2370" s="46"/>
      <c r="B2370" s="40"/>
      <c r="C2370" s="40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</row>
    <row r="2371" ht="12.75" customHeight="1">
      <c r="A2371" s="46"/>
      <c r="B2371" s="40"/>
      <c r="C2371" s="40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</row>
    <row r="2372" ht="12.75" customHeight="1">
      <c r="A2372" s="46"/>
      <c r="B2372" s="40"/>
      <c r="C2372" s="40"/>
      <c r="D2372" s="40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</row>
    <row r="2373" ht="12.75" customHeight="1">
      <c r="A2373" s="46"/>
      <c r="B2373" s="40"/>
      <c r="C2373" s="40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</row>
    <row r="2374" ht="12.75" customHeight="1">
      <c r="A2374" s="46"/>
      <c r="B2374" s="40"/>
      <c r="C2374" s="40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</row>
    <row r="2375" ht="12.75" customHeight="1">
      <c r="A2375" s="46"/>
      <c r="B2375" s="40"/>
      <c r="C2375" s="40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</row>
    <row r="2376" ht="12.75" customHeight="1">
      <c r="A2376" s="46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</row>
    <row r="2377" ht="12.75" customHeight="1">
      <c r="A2377" s="46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</row>
    <row r="2378" ht="12.75" customHeight="1">
      <c r="A2378" s="46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</row>
    <row r="2379" ht="12.75" customHeight="1">
      <c r="A2379" s="46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</row>
    <row r="2380" ht="12.75" customHeight="1">
      <c r="A2380" s="46"/>
      <c r="B2380" s="40"/>
      <c r="C2380" s="40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</row>
    <row r="2381" ht="12.75" customHeight="1">
      <c r="A2381" s="46"/>
      <c r="B2381" s="40"/>
      <c r="C2381" s="40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</row>
    <row r="2382" ht="12.75" customHeight="1">
      <c r="A2382" s="46"/>
      <c r="B2382" s="40"/>
      <c r="C2382" s="40"/>
      <c r="D2382" s="40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</row>
    <row r="2383" ht="12.75" customHeight="1">
      <c r="A2383" s="46"/>
      <c r="B2383" s="40"/>
      <c r="C2383" s="40"/>
      <c r="D2383" s="40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</row>
    <row r="2384" ht="12.75" customHeight="1">
      <c r="A2384" s="46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</row>
    <row r="2385" ht="12.75" customHeight="1">
      <c r="A2385" s="46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</row>
    <row r="2386" ht="12.75" customHeight="1">
      <c r="A2386" s="46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</row>
    <row r="2387" ht="12.75" customHeight="1">
      <c r="A2387" s="46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</row>
    <row r="2388" ht="12.75" customHeight="1">
      <c r="A2388" s="46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</row>
    <row r="2389" ht="12.75" customHeight="1">
      <c r="A2389" s="46"/>
      <c r="B2389" s="40"/>
      <c r="C2389" s="40"/>
      <c r="D2389" s="40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</row>
    <row r="2390" ht="12.75" customHeight="1">
      <c r="A2390" s="46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</row>
    <row r="2391" ht="12.75" customHeight="1">
      <c r="A2391" s="46"/>
      <c r="B2391" s="40"/>
      <c r="C2391" s="40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</row>
    <row r="2392" ht="12.75" customHeight="1">
      <c r="A2392" s="46"/>
      <c r="B2392" s="40"/>
      <c r="C2392" s="40"/>
      <c r="D2392" s="40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</row>
    <row r="2393" ht="12.75" customHeight="1">
      <c r="A2393" s="46"/>
      <c r="B2393" s="40"/>
      <c r="C2393" s="40"/>
      <c r="D2393" s="40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</row>
    <row r="2394" ht="12.75" customHeight="1">
      <c r="A2394" s="46"/>
      <c r="B2394" s="40"/>
      <c r="C2394" s="40"/>
      <c r="D2394" s="40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</row>
    <row r="2395" ht="12.75" customHeight="1">
      <c r="A2395" s="46"/>
      <c r="B2395" s="40"/>
      <c r="C2395" s="40"/>
      <c r="D2395" s="40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</row>
    <row r="2396" ht="12.75" customHeight="1">
      <c r="A2396" s="46"/>
      <c r="B2396" s="40"/>
      <c r="C2396" s="40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</row>
    <row r="2397" ht="12.75" customHeight="1">
      <c r="A2397" s="46"/>
      <c r="B2397" s="40"/>
      <c r="C2397" s="40"/>
      <c r="D2397" s="40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</row>
    <row r="2398" ht="12.75" customHeight="1">
      <c r="A2398" s="46"/>
      <c r="B2398" s="40"/>
      <c r="C2398" s="40"/>
      <c r="D2398" s="40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</row>
    <row r="2399" ht="12.75" customHeight="1">
      <c r="A2399" s="46"/>
      <c r="B2399" s="40"/>
      <c r="C2399" s="40"/>
      <c r="D2399" s="40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</row>
    <row r="2400" ht="12.75" customHeight="1">
      <c r="A2400" s="46"/>
      <c r="B2400" s="40"/>
      <c r="C2400" s="40"/>
      <c r="D2400" s="40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</row>
    <row r="2401" ht="12.75" customHeight="1">
      <c r="A2401" s="46"/>
      <c r="B2401" s="40"/>
      <c r="C2401" s="40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</row>
    <row r="2402" ht="12.75" customHeight="1">
      <c r="A2402" s="46"/>
      <c r="B2402" s="40"/>
      <c r="C2402" s="40"/>
      <c r="D2402" s="40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</row>
    <row r="2403" ht="12.75" customHeight="1">
      <c r="A2403" s="46"/>
      <c r="B2403" s="40"/>
      <c r="C2403" s="40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</row>
    <row r="2404" ht="12.75" customHeight="1">
      <c r="A2404" s="46"/>
      <c r="B2404" s="40"/>
      <c r="C2404" s="40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</row>
    <row r="2405" ht="12.75" customHeight="1">
      <c r="A2405" s="46"/>
      <c r="B2405" s="40"/>
      <c r="C2405" s="40"/>
      <c r="D2405" s="40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</row>
    <row r="2406" ht="12.75" customHeight="1">
      <c r="A2406" s="46"/>
      <c r="B2406" s="40"/>
      <c r="C2406" s="40"/>
      <c r="D2406" s="40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</row>
    <row r="2407" ht="12.75" customHeight="1">
      <c r="A2407" s="46"/>
      <c r="B2407" s="40"/>
      <c r="C2407" s="40"/>
      <c r="D2407" s="40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</row>
    <row r="2408" ht="12.75" customHeight="1">
      <c r="A2408" s="46"/>
      <c r="B2408" s="40"/>
      <c r="C2408" s="40"/>
      <c r="D2408" s="40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</row>
    <row r="2409" ht="12.75" customHeight="1">
      <c r="A2409" s="46"/>
      <c r="B2409" s="40"/>
      <c r="C2409" s="40"/>
      <c r="D2409" s="40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</row>
    <row r="2410" ht="12.75" customHeight="1">
      <c r="A2410" s="46"/>
      <c r="B2410" s="40"/>
      <c r="C2410" s="40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</row>
    <row r="2411" ht="12.75" customHeight="1">
      <c r="A2411" s="46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</row>
    <row r="2412" ht="12.75" customHeight="1">
      <c r="A2412" s="46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</row>
    <row r="2413" ht="12.75" customHeight="1">
      <c r="A2413" s="46"/>
      <c r="B2413" s="40"/>
      <c r="C2413" s="40"/>
      <c r="D2413" s="40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</row>
    <row r="2414" ht="12.75" customHeight="1">
      <c r="A2414" s="46"/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</row>
    <row r="2415" ht="12.75" customHeight="1">
      <c r="A2415" s="46"/>
      <c r="B2415" s="40"/>
      <c r="C2415" s="40"/>
      <c r="D2415" s="40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</row>
    <row r="2416" ht="12.75" customHeight="1">
      <c r="A2416" s="46"/>
      <c r="B2416" s="40"/>
      <c r="C2416" s="40"/>
      <c r="D2416" s="40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</row>
    <row r="2417" ht="12.75" customHeight="1">
      <c r="A2417" s="46"/>
      <c r="B2417" s="40"/>
      <c r="C2417" s="40"/>
      <c r="D2417" s="40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</row>
    <row r="2418" ht="12.75" customHeight="1">
      <c r="A2418" s="46"/>
      <c r="B2418" s="40"/>
      <c r="C2418" s="40"/>
      <c r="D2418" s="40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</row>
    <row r="2419" ht="12.75" customHeight="1">
      <c r="A2419" s="46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</row>
    <row r="2420" ht="12.75" customHeight="1">
      <c r="A2420" s="46"/>
      <c r="B2420" s="40"/>
      <c r="C2420" s="40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</row>
    <row r="2421" ht="12.75" customHeight="1">
      <c r="A2421" s="46"/>
      <c r="B2421" s="40"/>
      <c r="C2421" s="40"/>
      <c r="D2421" s="40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</row>
    <row r="2422" ht="12.75" customHeight="1">
      <c r="A2422" s="46"/>
      <c r="B2422" s="40"/>
      <c r="C2422" s="40"/>
      <c r="D2422" s="40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</row>
    <row r="2423" ht="12.75" customHeight="1">
      <c r="A2423" s="46"/>
      <c r="B2423" s="40"/>
      <c r="C2423" s="40"/>
      <c r="D2423" s="40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</row>
    <row r="2424" ht="12.75" customHeight="1">
      <c r="A2424" s="46"/>
      <c r="B2424" s="40"/>
      <c r="C2424" s="40"/>
      <c r="D2424" s="40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</row>
    <row r="2425" ht="12.75" customHeight="1">
      <c r="A2425" s="46"/>
      <c r="B2425" s="40"/>
      <c r="C2425" s="40"/>
      <c r="D2425" s="40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</row>
    <row r="2426" ht="12.75" customHeight="1">
      <c r="A2426" s="46"/>
      <c r="B2426" s="40"/>
      <c r="C2426" s="40"/>
      <c r="D2426" s="40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</row>
    <row r="2427" ht="12.75" customHeight="1">
      <c r="A2427" s="46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</row>
    <row r="2428" ht="12.75" customHeight="1">
      <c r="A2428" s="46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</row>
    <row r="2429" ht="12.75" customHeight="1">
      <c r="A2429" s="46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</row>
    <row r="2430" ht="12.75" customHeight="1">
      <c r="A2430" s="46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</row>
    <row r="2431" ht="12.75" customHeight="1">
      <c r="A2431" s="46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</row>
    <row r="2432" ht="12.75" customHeight="1">
      <c r="A2432" s="46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</row>
    <row r="2433" ht="12.75" customHeight="1">
      <c r="A2433" s="46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</row>
    <row r="2434" ht="12.75" customHeight="1">
      <c r="A2434" s="46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</row>
    <row r="2435" ht="12.75" customHeight="1">
      <c r="A2435" s="46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</row>
    <row r="2436" ht="12.75" customHeight="1">
      <c r="A2436" s="46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</row>
    <row r="2437" ht="12.75" customHeight="1">
      <c r="A2437" s="46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</row>
    <row r="2438" ht="12.75" customHeight="1">
      <c r="A2438" s="46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</row>
    <row r="2439" ht="12.75" customHeight="1">
      <c r="A2439" s="46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</row>
    <row r="2440" ht="12.75" customHeight="1">
      <c r="A2440" s="46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</row>
    <row r="2441" ht="12.75" customHeight="1">
      <c r="A2441" s="46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</row>
    <row r="2442" ht="12.75" customHeight="1">
      <c r="A2442" s="46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</row>
    <row r="2443" ht="12.75" customHeight="1">
      <c r="A2443" s="46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</row>
    <row r="2444" ht="12.75" customHeight="1">
      <c r="A2444" s="46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</row>
    <row r="2445" ht="12.75" customHeight="1">
      <c r="A2445" s="46"/>
      <c r="B2445" s="40"/>
      <c r="C2445" s="40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</row>
    <row r="2446" ht="12.75" customHeight="1">
      <c r="A2446" s="46"/>
      <c r="B2446" s="40"/>
      <c r="C2446" s="40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</row>
    <row r="2447" ht="12.75" customHeight="1">
      <c r="A2447" s="46"/>
      <c r="B2447" s="40"/>
      <c r="C2447" s="40"/>
      <c r="D2447" s="40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</row>
    <row r="2448" ht="12.75" customHeight="1">
      <c r="A2448" s="46"/>
      <c r="B2448" s="40"/>
      <c r="C2448" s="40"/>
      <c r="D2448" s="40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</row>
    <row r="2449" ht="12.75" customHeight="1">
      <c r="A2449" s="46"/>
      <c r="B2449" s="40"/>
      <c r="C2449" s="40"/>
      <c r="D2449" s="40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</row>
    <row r="2450" ht="12.75" customHeight="1">
      <c r="A2450" s="46"/>
      <c r="B2450" s="40"/>
      <c r="C2450" s="40"/>
      <c r="D2450" s="40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</row>
    <row r="2451" ht="12.75" customHeight="1">
      <c r="A2451" s="46"/>
      <c r="B2451" s="40"/>
      <c r="C2451" s="40"/>
      <c r="D2451" s="40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</row>
    <row r="2452" ht="12.75" customHeight="1">
      <c r="A2452" s="46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</row>
    <row r="2453" ht="12.75" customHeight="1">
      <c r="A2453" s="46"/>
      <c r="B2453" s="40"/>
      <c r="C2453" s="40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</row>
    <row r="2454" ht="12.75" customHeight="1">
      <c r="A2454" s="46"/>
      <c r="B2454" s="40"/>
      <c r="C2454" s="40"/>
      <c r="D2454" s="40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</row>
    <row r="2455" ht="12.75" customHeight="1">
      <c r="A2455" s="46"/>
      <c r="B2455" s="40"/>
      <c r="C2455" s="40"/>
      <c r="D2455" s="40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</row>
    <row r="2456" ht="12.75" customHeight="1">
      <c r="A2456" s="46"/>
      <c r="B2456" s="40"/>
      <c r="C2456" s="40"/>
      <c r="D2456" s="40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</row>
    <row r="2457" ht="12.75" customHeight="1">
      <c r="A2457" s="46"/>
      <c r="B2457" s="40"/>
      <c r="C2457" s="40"/>
      <c r="D2457" s="40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</row>
    <row r="2458" ht="12.75" customHeight="1">
      <c r="A2458" s="46"/>
      <c r="B2458" s="40"/>
      <c r="C2458" s="40"/>
      <c r="D2458" s="40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</row>
    <row r="2459" ht="12.75" customHeight="1">
      <c r="A2459" s="46"/>
      <c r="B2459" s="40"/>
      <c r="C2459" s="40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</row>
    <row r="2460" ht="12.75" customHeight="1">
      <c r="A2460" s="46"/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</row>
    <row r="2461" ht="12.75" customHeight="1">
      <c r="A2461" s="46"/>
      <c r="B2461" s="40"/>
      <c r="C2461" s="40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</row>
    <row r="2462" ht="12.75" customHeight="1">
      <c r="A2462" s="46"/>
      <c r="B2462" s="40"/>
      <c r="C2462" s="40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</row>
    <row r="2463" ht="12.75" customHeight="1">
      <c r="A2463" s="46"/>
      <c r="B2463" s="40"/>
      <c r="C2463" s="40"/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</row>
    <row r="2464" ht="12.75" customHeight="1">
      <c r="A2464" s="46"/>
      <c r="B2464" s="40"/>
      <c r="C2464" s="40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</row>
    <row r="2465" ht="12.75" customHeight="1">
      <c r="A2465" s="46"/>
      <c r="B2465" s="40"/>
      <c r="C2465" s="40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</row>
    <row r="2466" ht="12.75" customHeight="1">
      <c r="A2466" s="46"/>
      <c r="B2466" s="40"/>
      <c r="C2466" s="40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</row>
    <row r="2467" ht="12.75" customHeight="1">
      <c r="A2467" s="46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</row>
    <row r="2468" ht="12.75" customHeight="1">
      <c r="A2468" s="46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</row>
    <row r="2469" ht="12.75" customHeight="1">
      <c r="A2469" s="46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</row>
    <row r="2470" ht="12.75" customHeight="1">
      <c r="A2470" s="46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</row>
    <row r="2471" ht="12.75" customHeight="1">
      <c r="A2471" s="46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</row>
    <row r="2472" ht="12.75" customHeight="1">
      <c r="A2472" s="46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</row>
    <row r="2473" ht="12.75" customHeight="1">
      <c r="A2473" s="46"/>
      <c r="B2473" s="40"/>
      <c r="C2473" s="40"/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</row>
    <row r="2474" ht="12.75" customHeight="1">
      <c r="A2474" s="46"/>
      <c r="B2474" s="40"/>
      <c r="C2474" s="40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</row>
    <row r="2475" ht="12.75" customHeight="1">
      <c r="A2475" s="46"/>
      <c r="B2475" s="40"/>
      <c r="C2475" s="40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</row>
    <row r="2476" ht="12.75" customHeight="1">
      <c r="A2476" s="46"/>
      <c r="B2476" s="40"/>
      <c r="C2476" s="40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</row>
    <row r="2477" ht="12.75" customHeight="1">
      <c r="A2477" s="46"/>
      <c r="B2477" s="40"/>
      <c r="C2477" s="40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</row>
    <row r="2478" ht="12.75" customHeight="1">
      <c r="A2478" s="46"/>
      <c r="B2478" s="40"/>
      <c r="C2478" s="40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</row>
    <row r="2479" ht="12.75" customHeight="1">
      <c r="A2479" s="46"/>
      <c r="B2479" s="40"/>
      <c r="C2479" s="40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</row>
    <row r="2480" ht="12.75" customHeight="1">
      <c r="A2480" s="46"/>
      <c r="B2480" s="40"/>
      <c r="C2480" s="40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</row>
    <row r="2481" ht="12.75" customHeight="1">
      <c r="A2481" s="46"/>
      <c r="B2481" s="40"/>
      <c r="C2481" s="40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</row>
    <row r="2482" ht="12.75" customHeight="1">
      <c r="A2482" s="46"/>
      <c r="B2482" s="40"/>
      <c r="C2482" s="40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</row>
    <row r="2483" ht="12.75" customHeight="1">
      <c r="A2483" s="46"/>
      <c r="B2483" s="40"/>
      <c r="C2483" s="40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</row>
    <row r="2484" ht="12.75" customHeight="1">
      <c r="A2484" s="46"/>
      <c r="B2484" s="40"/>
      <c r="C2484" s="40"/>
      <c r="D2484" s="40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</row>
    <row r="2485" ht="12.75" customHeight="1">
      <c r="A2485" s="46"/>
      <c r="B2485" s="40"/>
      <c r="C2485" s="40"/>
      <c r="D2485" s="40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</row>
    <row r="2486" ht="12.75" customHeight="1">
      <c r="A2486" s="46"/>
      <c r="B2486" s="40"/>
      <c r="C2486" s="40"/>
      <c r="D2486" s="40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</row>
    <row r="2487" ht="12.75" customHeight="1">
      <c r="A2487" s="46"/>
      <c r="B2487" s="40"/>
      <c r="C2487" s="40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</row>
    <row r="2488" ht="12.75" customHeight="1">
      <c r="A2488" s="46"/>
      <c r="B2488" s="40"/>
      <c r="C2488" s="40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</row>
    <row r="2489" ht="12.75" customHeight="1">
      <c r="A2489" s="46"/>
      <c r="B2489" s="40"/>
      <c r="C2489" s="40"/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</row>
    <row r="2490" ht="12.75" customHeight="1">
      <c r="A2490" s="46"/>
      <c r="B2490" s="40"/>
      <c r="C2490" s="40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</row>
    <row r="2491" ht="12.75" customHeight="1">
      <c r="A2491" s="46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</row>
    <row r="2492" ht="12.75" customHeight="1">
      <c r="A2492" s="46"/>
      <c r="B2492" s="40"/>
      <c r="C2492" s="40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</row>
    <row r="2493" ht="12.75" customHeight="1">
      <c r="A2493" s="46"/>
      <c r="B2493" s="40"/>
      <c r="C2493" s="40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</row>
    <row r="2494" ht="12.75" customHeight="1">
      <c r="A2494" s="46"/>
      <c r="B2494" s="40"/>
      <c r="C2494" s="40"/>
      <c r="D2494" s="40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</row>
    <row r="2495" ht="12.75" customHeight="1">
      <c r="A2495" s="46"/>
      <c r="B2495" s="40"/>
      <c r="C2495" s="40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</row>
    <row r="2496" ht="12.75" customHeight="1">
      <c r="A2496" s="46"/>
      <c r="B2496" s="40"/>
      <c r="C2496" s="40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</row>
    <row r="2497" ht="12.75" customHeight="1">
      <c r="A2497" s="46"/>
      <c r="B2497" s="40"/>
      <c r="C2497" s="40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</row>
    <row r="2498" ht="12.75" customHeight="1">
      <c r="A2498" s="46"/>
      <c r="B2498" s="40"/>
      <c r="C2498" s="40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</row>
    <row r="2499" ht="12.75" customHeight="1">
      <c r="A2499" s="46"/>
      <c r="B2499" s="40"/>
      <c r="C2499" s="40"/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</row>
    <row r="2500" ht="12.75" customHeight="1">
      <c r="A2500" s="46"/>
      <c r="B2500" s="40"/>
      <c r="C2500" s="40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</row>
    <row r="2501" ht="12.75" customHeight="1">
      <c r="A2501" s="46"/>
      <c r="B2501" s="40"/>
      <c r="C2501" s="40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</row>
    <row r="2502" ht="12.75" customHeight="1">
      <c r="A2502" s="46"/>
      <c r="B2502" s="40"/>
      <c r="C2502" s="40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</row>
    <row r="2503" ht="12.75" customHeight="1">
      <c r="A2503" s="46"/>
      <c r="B2503" s="40"/>
      <c r="C2503" s="40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</row>
    <row r="2504" ht="12.75" customHeight="1">
      <c r="A2504" s="46"/>
      <c r="B2504" s="40"/>
      <c r="C2504" s="40"/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</row>
    <row r="2505" ht="12.75" customHeight="1">
      <c r="A2505" s="46"/>
      <c r="B2505" s="40"/>
      <c r="C2505" s="40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</row>
    <row r="2506" ht="12.75" customHeight="1">
      <c r="A2506" s="46"/>
      <c r="B2506" s="40"/>
      <c r="C2506" s="40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</row>
    <row r="2507" ht="12.75" customHeight="1">
      <c r="A2507" s="46"/>
      <c r="B2507" s="40"/>
      <c r="C2507" s="40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</row>
    <row r="2508" ht="12.75" customHeight="1">
      <c r="A2508" s="46"/>
      <c r="B2508" s="40"/>
      <c r="C2508" s="40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</row>
    <row r="2509" ht="12.75" customHeight="1">
      <c r="A2509" s="46"/>
      <c r="B2509" s="40"/>
      <c r="C2509" s="40"/>
      <c r="D2509" s="40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</row>
    <row r="2510" ht="12.75" customHeight="1">
      <c r="A2510" s="46"/>
      <c r="B2510" s="40"/>
      <c r="C2510" s="40"/>
      <c r="D2510" s="40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</row>
    <row r="2511" ht="12.75" customHeight="1">
      <c r="A2511" s="46"/>
      <c r="B2511" s="40"/>
      <c r="C2511" s="40"/>
      <c r="D2511" s="40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</row>
    <row r="2512" ht="12.75" customHeight="1">
      <c r="A2512" s="46"/>
      <c r="B2512" s="40"/>
      <c r="C2512" s="40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</row>
    <row r="2513" ht="12.75" customHeight="1">
      <c r="A2513" s="46"/>
      <c r="B2513" s="40"/>
      <c r="C2513" s="40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</row>
    <row r="2514" ht="12.75" customHeight="1">
      <c r="A2514" s="46"/>
      <c r="B2514" s="40"/>
      <c r="C2514" s="40"/>
      <c r="D2514" s="40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</row>
    <row r="2515" ht="12.75" customHeight="1">
      <c r="A2515" s="46"/>
      <c r="B2515" s="40"/>
      <c r="C2515" s="40"/>
      <c r="D2515" s="40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</row>
    <row r="2516" ht="12.75" customHeight="1">
      <c r="A2516" s="46"/>
      <c r="B2516" s="40"/>
      <c r="C2516" s="40"/>
      <c r="D2516" s="40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</row>
    <row r="2517" ht="12.75" customHeight="1">
      <c r="A2517" s="46"/>
      <c r="B2517" s="40"/>
      <c r="C2517" s="40"/>
      <c r="D2517" s="40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</row>
    <row r="2518" ht="12.75" customHeight="1">
      <c r="A2518" s="46"/>
      <c r="B2518" s="40"/>
      <c r="C2518" s="40"/>
      <c r="D2518" s="40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</row>
    <row r="2519" ht="12.75" customHeight="1">
      <c r="A2519" s="46"/>
      <c r="B2519" s="40"/>
      <c r="C2519" s="40"/>
      <c r="D2519" s="40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</row>
    <row r="2520" ht="12.75" customHeight="1">
      <c r="A2520" s="46"/>
      <c r="B2520" s="40"/>
      <c r="C2520" s="40"/>
      <c r="D2520" s="40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</row>
    <row r="2521" ht="12.75" customHeight="1">
      <c r="A2521" s="46"/>
      <c r="B2521" s="40"/>
      <c r="C2521" s="40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</row>
    <row r="2522" ht="12.75" customHeight="1">
      <c r="A2522" s="46"/>
      <c r="B2522" s="40"/>
      <c r="C2522" s="40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</row>
    <row r="2523" ht="12.75" customHeight="1">
      <c r="A2523" s="46"/>
      <c r="B2523" s="40"/>
      <c r="C2523" s="40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</row>
    <row r="2524" ht="12.75" customHeight="1">
      <c r="A2524" s="46"/>
      <c r="B2524" s="40"/>
      <c r="C2524" s="40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</row>
    <row r="2525" ht="12.75" customHeight="1">
      <c r="A2525" s="46"/>
      <c r="B2525" s="40"/>
      <c r="C2525" s="40"/>
      <c r="D2525" s="40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</row>
    <row r="2526" ht="12.75" customHeight="1">
      <c r="A2526" s="46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</row>
    <row r="2527" ht="12.75" customHeight="1">
      <c r="A2527" s="46"/>
      <c r="B2527" s="40"/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</row>
    <row r="2528" ht="12.75" customHeight="1">
      <c r="A2528" s="46"/>
      <c r="B2528" s="40"/>
      <c r="C2528" s="40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</row>
    <row r="2529" ht="12.75" customHeight="1">
      <c r="A2529" s="46"/>
      <c r="B2529" s="40"/>
      <c r="C2529" s="40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</row>
    <row r="2530" ht="12.75" customHeight="1">
      <c r="A2530" s="46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</row>
    <row r="2531" ht="12.75" customHeight="1">
      <c r="A2531" s="46"/>
      <c r="B2531" s="40"/>
      <c r="C2531" s="40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</row>
    <row r="2532" ht="12.75" customHeight="1">
      <c r="A2532" s="46"/>
      <c r="B2532" s="40"/>
      <c r="C2532" s="40"/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</row>
    <row r="2533" ht="12.75" customHeight="1">
      <c r="A2533" s="46"/>
      <c r="B2533" s="40"/>
      <c r="C2533" s="40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</row>
    <row r="2534" ht="12.75" customHeight="1">
      <c r="A2534" s="46"/>
      <c r="B2534" s="40"/>
      <c r="C2534" s="40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</row>
    <row r="2535" ht="12.75" customHeight="1">
      <c r="A2535" s="46"/>
      <c r="B2535" s="40"/>
      <c r="C2535" s="40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</row>
    <row r="2536" ht="12.75" customHeight="1">
      <c r="A2536" s="46"/>
      <c r="B2536" s="40"/>
      <c r="C2536" s="40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</row>
    <row r="2537" ht="12.75" customHeight="1">
      <c r="A2537" s="46"/>
      <c r="B2537" s="40"/>
      <c r="C2537" s="40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</row>
    <row r="2538" ht="12.75" customHeight="1">
      <c r="A2538" s="46"/>
      <c r="B2538" s="40"/>
      <c r="C2538" s="40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</row>
    <row r="2539" ht="12.75" customHeight="1">
      <c r="A2539" s="46"/>
      <c r="B2539" s="40"/>
      <c r="C2539" s="40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</row>
    <row r="2540" ht="12.75" customHeight="1">
      <c r="A2540" s="46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</row>
    <row r="2541" ht="12.75" customHeight="1">
      <c r="A2541" s="46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</row>
    <row r="2542" ht="12.75" customHeight="1">
      <c r="A2542" s="46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</row>
    <row r="2543" ht="12.75" customHeight="1">
      <c r="A2543" s="46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</row>
    <row r="2544" ht="12.75" customHeight="1">
      <c r="A2544" s="46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</row>
    <row r="2545" ht="12.75" customHeight="1">
      <c r="A2545" s="46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</row>
    <row r="2546" ht="12.75" customHeight="1">
      <c r="A2546" s="46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</row>
    <row r="2547" ht="12.75" customHeight="1">
      <c r="A2547" s="46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</row>
    <row r="2548" ht="12.75" customHeight="1">
      <c r="A2548" s="46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</row>
    <row r="2549" ht="12.75" customHeight="1">
      <c r="A2549" s="46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</row>
    <row r="2550" ht="12.75" customHeight="1">
      <c r="A2550" s="46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</row>
    <row r="2551" ht="12.75" customHeight="1">
      <c r="A2551" s="46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</row>
    <row r="2552" ht="12.75" customHeight="1">
      <c r="A2552" s="46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</row>
    <row r="2553" ht="12.75" customHeight="1">
      <c r="A2553" s="46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</row>
    <row r="2554" ht="12.75" customHeight="1">
      <c r="A2554" s="46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</row>
    <row r="2555" ht="12.75" customHeight="1">
      <c r="A2555" s="46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</row>
    <row r="2556" ht="12.75" customHeight="1">
      <c r="A2556" s="46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</row>
    <row r="2557" ht="12.75" customHeight="1">
      <c r="A2557" s="46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</row>
    <row r="2558" ht="12.75" customHeight="1">
      <c r="A2558" s="46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</row>
    <row r="2559" ht="12.75" customHeight="1">
      <c r="A2559" s="46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</row>
    <row r="2560" ht="12.75" customHeight="1">
      <c r="A2560" s="46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</row>
    <row r="2561" ht="12.75" customHeight="1">
      <c r="A2561" s="46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</row>
    <row r="2562" ht="12.75" customHeight="1">
      <c r="A2562" s="46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</row>
    <row r="2563" ht="12.75" customHeight="1">
      <c r="A2563" s="46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</row>
    <row r="2564" ht="12.75" customHeight="1">
      <c r="A2564" s="46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</row>
    <row r="2565" ht="12.75" customHeight="1">
      <c r="A2565" s="46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</row>
    <row r="2566" ht="12.75" customHeight="1">
      <c r="A2566" s="46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</row>
    <row r="2567" ht="12.75" customHeight="1">
      <c r="A2567" s="46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</row>
    <row r="2568" ht="12.75" customHeight="1">
      <c r="A2568" s="46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</row>
    <row r="2569" ht="12.75" customHeight="1">
      <c r="A2569" s="46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</row>
    <row r="2570" ht="12.75" customHeight="1">
      <c r="A2570" s="46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</row>
    <row r="2571" ht="12.75" customHeight="1">
      <c r="A2571" s="46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</row>
    <row r="2572" ht="12.75" customHeight="1">
      <c r="A2572" s="46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</row>
    <row r="2573" ht="12.75" customHeight="1">
      <c r="A2573" s="46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</row>
    <row r="2574" ht="12.75" customHeight="1">
      <c r="A2574" s="46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</row>
    <row r="2575" ht="12.75" customHeight="1">
      <c r="A2575" s="46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</row>
    <row r="2576" ht="12.75" customHeight="1">
      <c r="A2576" s="46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</row>
    <row r="2577" ht="12.75" customHeight="1">
      <c r="A2577" s="46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</row>
    <row r="2578" ht="12.75" customHeight="1">
      <c r="A2578" s="46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</row>
    <row r="2579" ht="12.75" customHeight="1">
      <c r="A2579" s="46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</row>
    <row r="2580" ht="12.75" customHeight="1">
      <c r="A2580" s="46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</row>
    <row r="2581" ht="12.75" customHeight="1">
      <c r="A2581" s="46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</row>
    <row r="2582" ht="12.75" customHeight="1">
      <c r="A2582" s="46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</row>
    <row r="2583" ht="12.75" customHeight="1">
      <c r="A2583" s="46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</row>
    <row r="2584" ht="12.75" customHeight="1">
      <c r="A2584" s="46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</row>
    <row r="2585" ht="12.75" customHeight="1">
      <c r="A2585" s="46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</row>
    <row r="2586" ht="12.75" customHeight="1">
      <c r="A2586" s="46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</row>
    <row r="2587" ht="12.75" customHeight="1">
      <c r="A2587" s="46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</row>
    <row r="2588" ht="12.75" customHeight="1">
      <c r="A2588" s="46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</row>
    <row r="2589" ht="12.75" customHeight="1">
      <c r="A2589" s="46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</row>
    <row r="2590" ht="12.75" customHeight="1">
      <c r="A2590" s="46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</row>
    <row r="2591" ht="12.75" customHeight="1">
      <c r="A2591" s="46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</row>
    <row r="2592" ht="12.75" customHeight="1">
      <c r="A2592" s="46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</row>
    <row r="2593" ht="12.75" customHeight="1">
      <c r="A2593" s="46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</row>
    <row r="2594" ht="12.75" customHeight="1">
      <c r="A2594" s="46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</row>
    <row r="2595" ht="12.75" customHeight="1">
      <c r="A2595" s="46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</row>
    <row r="2596" ht="12.75" customHeight="1">
      <c r="A2596" s="46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</row>
    <row r="2597" ht="12.75" customHeight="1">
      <c r="A2597" s="46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</row>
    <row r="2598" ht="12.75" customHeight="1">
      <c r="A2598" s="46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</row>
    <row r="2599" ht="12.75" customHeight="1">
      <c r="A2599" s="46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</row>
    <row r="2600" ht="12.75" customHeight="1">
      <c r="A2600" s="46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</row>
    <row r="2601" ht="12.75" customHeight="1">
      <c r="A2601" s="46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</row>
    <row r="2602" ht="12.75" customHeight="1">
      <c r="A2602" s="46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</row>
    <row r="2603" ht="12.75" customHeight="1">
      <c r="A2603" s="46"/>
      <c r="B2603" s="40"/>
      <c r="C2603" s="40"/>
      <c r="D2603" s="40"/>
      <c r="E2603" s="40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</row>
    <row r="2604" ht="12.75" customHeight="1">
      <c r="A2604" s="46"/>
      <c r="B2604" s="40"/>
      <c r="C2604" s="40"/>
      <c r="D2604" s="40"/>
      <c r="E2604" s="40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</row>
    <row r="2605" ht="12.75" customHeight="1">
      <c r="A2605" s="46"/>
      <c r="B2605" s="40"/>
      <c r="C2605" s="40"/>
      <c r="D2605" s="40"/>
      <c r="E2605" s="40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</row>
    <row r="2606" ht="12.75" customHeight="1">
      <c r="A2606" s="46"/>
      <c r="B2606" s="40"/>
      <c r="C2606" s="40"/>
      <c r="D2606" s="40"/>
      <c r="E2606" s="40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</row>
    <row r="2607" ht="12.75" customHeight="1">
      <c r="A2607" s="46"/>
      <c r="B2607" s="40"/>
      <c r="C2607" s="40"/>
      <c r="D2607" s="40"/>
      <c r="E2607" s="40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</row>
    <row r="2608" ht="12.75" customHeight="1">
      <c r="A2608" s="46"/>
      <c r="B2608" s="40"/>
      <c r="C2608" s="40"/>
      <c r="D2608" s="40"/>
      <c r="E2608" s="40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</row>
    <row r="2609" ht="12.75" customHeight="1">
      <c r="A2609" s="46"/>
      <c r="B2609" s="40"/>
      <c r="C2609" s="40"/>
      <c r="D2609" s="40"/>
      <c r="E2609" s="40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</row>
    <row r="2610" ht="12.75" customHeight="1">
      <c r="A2610" s="46"/>
      <c r="B2610" s="40"/>
      <c r="C2610" s="40"/>
      <c r="D2610" s="40"/>
      <c r="E2610" s="40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</row>
    <row r="2611" ht="12.75" customHeight="1">
      <c r="A2611" s="46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</row>
    <row r="2612" ht="12.75" customHeight="1">
      <c r="A2612" s="46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</row>
    <row r="2613" ht="12.75" customHeight="1">
      <c r="A2613" s="46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</row>
    <row r="2614" ht="12.75" customHeight="1">
      <c r="A2614" s="46"/>
      <c r="B2614" s="40"/>
      <c r="C2614" s="40"/>
      <c r="D2614" s="40"/>
      <c r="E2614" s="40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</row>
    <row r="2615" ht="12.75" customHeight="1">
      <c r="A2615" s="46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</row>
    <row r="2616" ht="12.75" customHeight="1">
      <c r="A2616" s="46"/>
      <c r="B2616" s="40"/>
      <c r="C2616" s="40"/>
      <c r="D2616" s="40"/>
      <c r="E2616" s="40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</row>
    <row r="2617" ht="12.75" customHeight="1">
      <c r="A2617" s="46"/>
      <c r="B2617" s="40"/>
      <c r="C2617" s="40"/>
      <c r="D2617" s="40"/>
      <c r="E2617" s="40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</row>
    <row r="2618" ht="12.75" customHeight="1">
      <c r="A2618" s="46"/>
      <c r="B2618" s="40"/>
      <c r="C2618" s="40"/>
      <c r="D2618" s="40"/>
      <c r="E2618" s="40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</row>
    <row r="2619" ht="12.75" customHeight="1">
      <c r="A2619" s="46"/>
      <c r="B2619" s="40"/>
      <c r="C2619" s="40"/>
      <c r="D2619" s="40"/>
      <c r="E2619" s="40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</row>
    <row r="2620" ht="12.75" customHeight="1">
      <c r="A2620" s="46"/>
      <c r="B2620" s="40"/>
      <c r="C2620" s="40"/>
      <c r="D2620" s="40"/>
      <c r="E2620" s="40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</row>
    <row r="2621" ht="12.75" customHeight="1">
      <c r="A2621" s="46"/>
      <c r="B2621" s="40"/>
      <c r="C2621" s="40"/>
      <c r="D2621" s="40"/>
      <c r="E2621" s="40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</row>
    <row r="2622" ht="12.75" customHeight="1">
      <c r="A2622" s="46"/>
      <c r="B2622" s="40"/>
      <c r="C2622" s="40"/>
      <c r="D2622" s="40"/>
      <c r="E2622" s="40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</row>
    <row r="2623" ht="12.75" customHeight="1">
      <c r="A2623" s="46"/>
      <c r="B2623" s="40"/>
      <c r="C2623" s="40"/>
      <c r="D2623" s="40"/>
      <c r="E2623" s="40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</row>
    <row r="2624" ht="12.75" customHeight="1">
      <c r="A2624" s="46"/>
      <c r="B2624" s="40"/>
      <c r="C2624" s="40"/>
      <c r="D2624" s="40"/>
      <c r="E2624" s="40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</row>
    <row r="2625" ht="12.75" customHeight="1">
      <c r="A2625" s="46"/>
      <c r="B2625" s="40"/>
      <c r="C2625" s="40"/>
      <c r="D2625" s="40"/>
      <c r="E2625" s="40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</row>
    <row r="2626" ht="12.75" customHeight="1">
      <c r="A2626" s="46"/>
      <c r="B2626" s="40"/>
      <c r="C2626" s="40"/>
      <c r="D2626" s="40"/>
      <c r="E2626" s="40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</row>
    <row r="2627" ht="12.75" customHeight="1">
      <c r="A2627" s="46"/>
      <c r="B2627" s="40"/>
      <c r="C2627" s="40"/>
      <c r="D2627" s="40"/>
      <c r="E2627" s="40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</row>
    <row r="2628" ht="12.75" customHeight="1">
      <c r="A2628" s="46"/>
      <c r="B2628" s="40"/>
      <c r="C2628" s="40"/>
      <c r="D2628" s="40"/>
      <c r="E2628" s="40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</row>
    <row r="2629" ht="12.75" customHeight="1">
      <c r="A2629" s="46"/>
      <c r="B2629" s="40"/>
      <c r="C2629" s="40"/>
      <c r="D2629" s="40"/>
      <c r="E2629" s="40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</row>
    <row r="2630" ht="12.75" customHeight="1">
      <c r="A2630" s="46"/>
      <c r="B2630" s="40"/>
      <c r="C2630" s="40"/>
      <c r="D2630" s="40"/>
      <c r="E2630" s="40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</row>
    <row r="2631" ht="12.75" customHeight="1">
      <c r="A2631" s="46"/>
      <c r="B2631" s="40"/>
      <c r="C2631" s="40"/>
      <c r="D2631" s="40"/>
      <c r="E2631" s="40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</row>
    <row r="2632" ht="12.75" customHeight="1">
      <c r="A2632" s="46"/>
      <c r="B2632" s="40"/>
      <c r="C2632" s="40"/>
      <c r="D2632" s="40"/>
      <c r="E2632" s="40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</row>
    <row r="2633" ht="12.75" customHeight="1">
      <c r="A2633" s="46"/>
      <c r="B2633" s="40"/>
      <c r="C2633" s="40"/>
      <c r="D2633" s="40"/>
      <c r="E2633" s="40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</row>
    <row r="2634" ht="12.75" customHeight="1">
      <c r="A2634" s="46"/>
      <c r="B2634" s="40"/>
      <c r="C2634" s="40"/>
      <c r="D2634" s="40"/>
      <c r="E2634" s="40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</row>
    <row r="2635" ht="12.75" customHeight="1">
      <c r="A2635" s="46"/>
      <c r="B2635" s="40"/>
      <c r="C2635" s="40"/>
      <c r="D2635" s="40"/>
      <c r="E2635" s="40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</row>
    <row r="2636" ht="12.75" customHeight="1">
      <c r="A2636" s="46"/>
      <c r="B2636" s="40"/>
      <c r="C2636" s="40"/>
      <c r="D2636" s="40"/>
      <c r="E2636" s="40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</row>
    <row r="2637" ht="12.75" customHeight="1">
      <c r="A2637" s="46"/>
      <c r="B2637" s="40"/>
      <c r="C2637" s="40"/>
      <c r="D2637" s="40"/>
      <c r="E2637" s="40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</row>
    <row r="2638" ht="12.75" customHeight="1">
      <c r="A2638" s="46"/>
      <c r="B2638" s="40"/>
      <c r="C2638" s="40"/>
      <c r="D2638" s="40"/>
      <c r="E2638" s="40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</row>
    <row r="2639" ht="12.75" customHeight="1">
      <c r="A2639" s="46"/>
      <c r="B2639" s="40"/>
      <c r="C2639" s="40"/>
      <c r="D2639" s="40"/>
      <c r="E2639" s="40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</row>
    <row r="2640" ht="12.75" customHeight="1">
      <c r="A2640" s="46"/>
      <c r="B2640" s="40"/>
      <c r="C2640" s="40"/>
      <c r="D2640" s="40"/>
      <c r="E2640" s="40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</row>
    <row r="2641" ht="12.75" customHeight="1">
      <c r="A2641" s="46"/>
      <c r="B2641" s="40"/>
      <c r="C2641" s="40"/>
      <c r="D2641" s="40"/>
      <c r="E2641" s="40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</row>
    <row r="2642" ht="12.75" customHeight="1">
      <c r="A2642" s="46"/>
      <c r="B2642" s="40"/>
      <c r="C2642" s="40"/>
      <c r="D2642" s="40"/>
      <c r="E2642" s="40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</row>
    <row r="2643" ht="12.75" customHeight="1">
      <c r="A2643" s="46"/>
      <c r="B2643" s="40"/>
      <c r="C2643" s="40"/>
      <c r="D2643" s="40"/>
      <c r="E2643" s="40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</row>
    <row r="2644" ht="12.75" customHeight="1">
      <c r="A2644" s="46"/>
      <c r="B2644" s="40"/>
      <c r="C2644" s="40"/>
      <c r="D2644" s="40"/>
      <c r="E2644" s="40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</row>
    <row r="2645" ht="12.75" customHeight="1">
      <c r="A2645" s="46"/>
      <c r="B2645" s="40"/>
      <c r="C2645" s="40"/>
      <c r="D2645" s="40"/>
      <c r="E2645" s="40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</row>
    <row r="2646" ht="12.75" customHeight="1">
      <c r="A2646" s="46"/>
      <c r="B2646" s="40"/>
      <c r="C2646" s="40"/>
      <c r="D2646" s="40"/>
      <c r="E2646" s="40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</row>
    <row r="2647" ht="12.75" customHeight="1">
      <c r="A2647" s="46"/>
      <c r="B2647" s="40"/>
      <c r="C2647" s="40"/>
      <c r="D2647" s="40"/>
      <c r="E2647" s="40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</row>
    <row r="2648" ht="12.75" customHeight="1">
      <c r="A2648" s="46"/>
      <c r="B2648" s="40"/>
      <c r="C2648" s="40"/>
      <c r="D2648" s="40"/>
      <c r="E2648" s="40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</row>
    <row r="2649" ht="12.75" customHeight="1">
      <c r="A2649" s="46"/>
      <c r="B2649" s="40"/>
      <c r="C2649" s="40"/>
      <c r="D2649" s="40"/>
      <c r="E2649" s="40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</row>
    <row r="2650" ht="12.75" customHeight="1">
      <c r="A2650" s="46"/>
      <c r="B2650" s="40"/>
      <c r="C2650" s="40"/>
      <c r="D2650" s="40"/>
      <c r="E2650" s="40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</row>
    <row r="2651" ht="12.75" customHeight="1">
      <c r="A2651" s="46"/>
      <c r="B2651" s="40"/>
      <c r="C2651" s="40"/>
      <c r="D2651" s="40"/>
      <c r="E2651" s="40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</row>
    <row r="2652" ht="12.75" customHeight="1">
      <c r="A2652" s="46"/>
      <c r="B2652" s="40"/>
      <c r="C2652" s="40"/>
      <c r="D2652" s="40"/>
      <c r="E2652" s="40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</row>
    <row r="2653" ht="12.75" customHeight="1">
      <c r="A2653" s="46"/>
      <c r="B2653" s="40"/>
      <c r="C2653" s="40"/>
      <c r="D2653" s="40"/>
      <c r="E2653" s="40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</row>
    <row r="2654" ht="12.75" customHeight="1">
      <c r="A2654" s="46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</row>
    <row r="2655" ht="12.75" customHeight="1">
      <c r="A2655" s="46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</row>
    <row r="2656" ht="12.75" customHeight="1">
      <c r="A2656" s="46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</row>
    <row r="2657" ht="12.75" customHeight="1">
      <c r="A2657" s="46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</row>
    <row r="2658" ht="12.75" customHeight="1">
      <c r="A2658" s="46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</row>
    <row r="2659" ht="12.75" customHeight="1">
      <c r="A2659" s="46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</row>
    <row r="2660" ht="12.75" customHeight="1">
      <c r="A2660" s="46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</row>
    <row r="2661" ht="12.75" customHeight="1">
      <c r="A2661" s="46"/>
      <c r="B2661" s="40"/>
      <c r="C2661" s="40"/>
      <c r="D2661" s="40"/>
      <c r="E2661" s="40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</row>
    <row r="2662" ht="12.75" customHeight="1">
      <c r="A2662" s="46"/>
      <c r="B2662" s="40"/>
      <c r="C2662" s="40"/>
      <c r="D2662" s="40"/>
      <c r="E2662" s="40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</row>
    <row r="2663" ht="12.75" customHeight="1">
      <c r="A2663" s="46"/>
      <c r="B2663" s="40"/>
      <c r="C2663" s="40"/>
      <c r="D2663" s="40"/>
      <c r="E2663" s="40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</row>
    <row r="2664" ht="12.75" customHeight="1">
      <c r="A2664" s="46"/>
      <c r="B2664" s="40"/>
      <c r="C2664" s="40"/>
      <c r="D2664" s="40"/>
      <c r="E2664" s="40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</row>
    <row r="2665" ht="12.75" customHeight="1">
      <c r="A2665" s="46"/>
      <c r="B2665" s="40"/>
      <c r="C2665" s="40"/>
      <c r="D2665" s="40"/>
      <c r="E2665" s="40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</row>
    <row r="2666" ht="12.75" customHeight="1">
      <c r="A2666" s="46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</row>
    <row r="2667" ht="12.75" customHeight="1">
      <c r="A2667" s="46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</row>
    <row r="2668" ht="12.75" customHeight="1">
      <c r="A2668" s="46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</row>
    <row r="2669" ht="12.75" customHeight="1">
      <c r="A2669" s="46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</row>
    <row r="2670" ht="12.75" customHeight="1">
      <c r="A2670" s="46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</row>
    <row r="2671" ht="12.75" customHeight="1">
      <c r="A2671" s="46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</row>
    <row r="2672" ht="12.75" customHeight="1">
      <c r="A2672" s="46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</row>
    <row r="2673" ht="12.75" customHeight="1">
      <c r="A2673" s="46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</row>
    <row r="2674" ht="12.75" customHeight="1">
      <c r="A2674" s="46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</row>
    <row r="2675" ht="12.75" customHeight="1">
      <c r="A2675" s="46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</row>
    <row r="2676" ht="12.75" customHeight="1">
      <c r="A2676" s="46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</row>
    <row r="2677" ht="12.75" customHeight="1">
      <c r="A2677" s="46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</row>
    <row r="2678" ht="12.75" customHeight="1">
      <c r="A2678" s="46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</row>
    <row r="2679" ht="12.75" customHeight="1">
      <c r="A2679" s="46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</row>
    <row r="2680" ht="12.75" customHeight="1">
      <c r="A2680" s="46"/>
      <c r="B2680" s="40"/>
      <c r="C2680" s="40"/>
      <c r="D2680" s="40"/>
      <c r="E2680" s="40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</row>
    <row r="2681" ht="12.75" customHeight="1">
      <c r="A2681" s="46"/>
      <c r="B2681" s="40"/>
      <c r="C2681" s="40"/>
      <c r="D2681" s="40"/>
      <c r="E2681" s="40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</row>
    <row r="2682" ht="12.75" customHeight="1">
      <c r="A2682" s="46"/>
      <c r="B2682" s="40"/>
      <c r="C2682" s="40"/>
      <c r="D2682" s="40"/>
      <c r="E2682" s="40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</row>
    <row r="2683" ht="12.75" customHeight="1">
      <c r="A2683" s="46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</row>
    <row r="2684" ht="12.75" customHeight="1">
      <c r="A2684" s="46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</row>
    <row r="2685" ht="12.75" customHeight="1">
      <c r="A2685" s="46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</row>
    <row r="2686" ht="12.75" customHeight="1">
      <c r="A2686" s="46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</row>
    <row r="2687" ht="12.75" customHeight="1">
      <c r="A2687" s="46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</row>
    <row r="2688" ht="12.75" customHeight="1">
      <c r="A2688" s="46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</row>
    <row r="2689" ht="12.75" customHeight="1">
      <c r="A2689" s="46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</row>
    <row r="2690" ht="12.75" customHeight="1">
      <c r="A2690" s="46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</row>
    <row r="2691" ht="12.75" customHeight="1">
      <c r="A2691" s="46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</row>
    <row r="2692" ht="12.75" customHeight="1">
      <c r="A2692" s="46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</row>
    <row r="2693" ht="12.75" customHeight="1">
      <c r="A2693" s="46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</row>
    <row r="2694" ht="12.75" customHeight="1">
      <c r="A2694" s="46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</row>
    <row r="2695" ht="12.75" customHeight="1">
      <c r="A2695" s="46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</row>
    <row r="2696" ht="12.75" customHeight="1">
      <c r="A2696" s="46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</row>
    <row r="2697" ht="12.75" customHeight="1">
      <c r="A2697" s="46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</row>
    <row r="2698" ht="12.75" customHeight="1">
      <c r="A2698" s="46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</row>
    <row r="2699" ht="12.75" customHeight="1">
      <c r="A2699" s="46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</row>
    <row r="2700" ht="12.75" customHeight="1">
      <c r="A2700" s="46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</row>
    <row r="2701" ht="12.75" customHeight="1">
      <c r="A2701" s="46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</row>
    <row r="2702" ht="12.75" customHeight="1">
      <c r="A2702" s="46"/>
      <c r="B2702" s="40"/>
      <c r="C2702" s="40"/>
      <c r="D2702" s="40"/>
      <c r="E2702" s="40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</row>
    <row r="2703" ht="12.75" customHeight="1">
      <c r="A2703" s="46"/>
      <c r="B2703" s="40"/>
      <c r="C2703" s="40"/>
      <c r="D2703" s="40"/>
      <c r="E2703" s="40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</row>
    <row r="2704" ht="12.75" customHeight="1">
      <c r="A2704" s="46"/>
      <c r="B2704" s="40"/>
      <c r="C2704" s="40"/>
      <c r="D2704" s="40"/>
      <c r="E2704" s="40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</row>
    <row r="2705" ht="12.75" customHeight="1">
      <c r="A2705" s="46"/>
      <c r="B2705" s="40"/>
      <c r="C2705" s="40"/>
      <c r="D2705" s="40"/>
      <c r="E2705" s="40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</row>
    <row r="2706" ht="12.75" customHeight="1">
      <c r="A2706" s="46"/>
      <c r="B2706" s="40"/>
      <c r="C2706" s="40"/>
      <c r="D2706" s="40"/>
      <c r="E2706" s="40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</row>
    <row r="2707" ht="12.75" customHeight="1">
      <c r="A2707" s="46"/>
      <c r="B2707" s="40"/>
      <c r="C2707" s="40"/>
      <c r="D2707" s="40"/>
      <c r="E2707" s="40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</row>
    <row r="2708" ht="12.75" customHeight="1">
      <c r="A2708" s="46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</row>
    <row r="2709" ht="12.75" customHeight="1">
      <c r="A2709" s="46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</row>
    <row r="2710" ht="12.75" customHeight="1">
      <c r="A2710" s="46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</row>
    <row r="2711" ht="12.75" customHeight="1">
      <c r="A2711" s="46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</row>
    <row r="2712" ht="12.75" customHeight="1">
      <c r="A2712" s="46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</row>
    <row r="2713" ht="12.75" customHeight="1">
      <c r="A2713" s="46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</row>
    <row r="2714" ht="12.75" customHeight="1">
      <c r="A2714" s="46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</row>
    <row r="2715" ht="12.75" customHeight="1">
      <c r="A2715" s="46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</row>
    <row r="2716" ht="12.75" customHeight="1">
      <c r="A2716" s="46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</row>
    <row r="2717" ht="12.75" customHeight="1">
      <c r="A2717" s="46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</row>
    <row r="2718" ht="12.75" customHeight="1">
      <c r="A2718" s="46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</row>
    <row r="2719" ht="12.75" customHeight="1">
      <c r="A2719" s="46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</row>
    <row r="2720" ht="12.75" customHeight="1">
      <c r="A2720" s="46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</row>
    <row r="2721" ht="12.75" customHeight="1">
      <c r="A2721" s="46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</row>
    <row r="2722" ht="12.75" customHeight="1">
      <c r="A2722" s="46"/>
      <c r="B2722" s="40"/>
      <c r="C2722" s="40"/>
      <c r="D2722" s="40"/>
      <c r="E2722" s="40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</row>
    <row r="2723" ht="12.75" customHeight="1">
      <c r="A2723" s="46"/>
      <c r="B2723" s="40"/>
      <c r="C2723" s="40"/>
      <c r="D2723" s="40"/>
      <c r="E2723" s="40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</row>
    <row r="2724" ht="12.75" customHeight="1">
      <c r="A2724" s="46"/>
      <c r="B2724" s="40"/>
      <c r="C2724" s="40"/>
      <c r="D2724" s="40"/>
      <c r="E2724" s="40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</row>
    <row r="2725" ht="12.75" customHeight="1">
      <c r="A2725" s="46"/>
      <c r="B2725" s="40"/>
      <c r="C2725" s="40"/>
      <c r="D2725" s="40"/>
      <c r="E2725" s="40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</row>
    <row r="2726" ht="12.75" customHeight="1">
      <c r="A2726" s="46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</row>
    <row r="2727" ht="12.75" customHeight="1">
      <c r="A2727" s="46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</row>
    <row r="2728" ht="12.75" customHeight="1">
      <c r="A2728" s="46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</row>
    <row r="2729" ht="12.75" customHeight="1">
      <c r="A2729" s="46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</row>
    <row r="2730" ht="12.75" customHeight="1">
      <c r="A2730" s="46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</row>
    <row r="2731" ht="12.75" customHeight="1">
      <c r="A2731" s="46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</row>
    <row r="2732" ht="12.75" customHeight="1">
      <c r="A2732" s="46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</row>
    <row r="2733" ht="12.75" customHeight="1">
      <c r="A2733" s="46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</row>
    <row r="2734" ht="12.75" customHeight="1">
      <c r="A2734" s="46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</row>
    <row r="2735" ht="12.75" customHeight="1">
      <c r="A2735" s="46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</row>
    <row r="2736" ht="12.75" customHeight="1">
      <c r="A2736" s="46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</row>
    <row r="2737" ht="12.75" customHeight="1">
      <c r="A2737" s="46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</row>
    <row r="2738" ht="12.75" customHeight="1">
      <c r="A2738" s="46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</row>
    <row r="2739" ht="12.75" customHeight="1">
      <c r="A2739" s="46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</row>
    <row r="2740" ht="12.75" customHeight="1">
      <c r="A2740" s="46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</row>
    <row r="2741" ht="12.75" customHeight="1">
      <c r="A2741" s="46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</row>
    <row r="2742" ht="12.75" customHeight="1">
      <c r="A2742" s="46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</row>
    <row r="2743" ht="12.75" customHeight="1">
      <c r="A2743" s="46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</row>
    <row r="2744" ht="12.75" customHeight="1">
      <c r="A2744" s="46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</row>
    <row r="2745" ht="12.75" customHeight="1">
      <c r="A2745" s="46"/>
      <c r="B2745" s="40"/>
      <c r="C2745" s="40"/>
      <c r="D2745" s="40"/>
      <c r="E2745" s="40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</row>
    <row r="2746" ht="12.75" customHeight="1">
      <c r="A2746" s="46"/>
      <c r="B2746" s="40"/>
      <c r="C2746" s="40"/>
      <c r="D2746" s="40"/>
      <c r="E2746" s="40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</row>
    <row r="2747" ht="12.75" customHeight="1">
      <c r="A2747" s="46"/>
      <c r="B2747" s="40"/>
      <c r="C2747" s="40"/>
      <c r="D2747" s="40"/>
      <c r="E2747" s="40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</row>
    <row r="2748" ht="12.75" customHeight="1">
      <c r="A2748" s="46"/>
      <c r="B2748" s="40"/>
      <c r="C2748" s="40"/>
      <c r="D2748" s="40"/>
      <c r="E2748" s="40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</row>
    <row r="2749" ht="12.75" customHeight="1">
      <c r="A2749" s="46"/>
      <c r="B2749" s="40"/>
      <c r="C2749" s="40"/>
      <c r="D2749" s="40"/>
      <c r="E2749" s="40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</row>
    <row r="2750" ht="12.75" customHeight="1">
      <c r="A2750" s="46"/>
      <c r="B2750" s="40"/>
      <c r="C2750" s="40"/>
      <c r="D2750" s="40"/>
      <c r="E2750" s="40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</row>
    <row r="2751" ht="12.75" customHeight="1">
      <c r="A2751" s="46"/>
      <c r="B2751" s="40"/>
      <c r="C2751" s="40"/>
      <c r="D2751" s="40"/>
      <c r="E2751" s="40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</row>
    <row r="2752" ht="12.75" customHeight="1">
      <c r="A2752" s="46"/>
      <c r="B2752" s="40"/>
      <c r="C2752" s="40"/>
      <c r="D2752" s="40"/>
      <c r="E2752" s="40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</row>
    <row r="2753" ht="12.75" customHeight="1">
      <c r="A2753" s="46"/>
      <c r="B2753" s="40"/>
      <c r="C2753" s="40"/>
      <c r="D2753" s="40"/>
      <c r="E2753" s="40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</row>
    <row r="2754" ht="12.75" customHeight="1">
      <c r="A2754" s="46"/>
      <c r="B2754" s="40"/>
      <c r="C2754" s="40"/>
      <c r="D2754" s="40"/>
      <c r="E2754" s="40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</row>
    <row r="2755" ht="12.75" customHeight="1">
      <c r="A2755" s="46"/>
      <c r="B2755" s="40"/>
      <c r="C2755" s="40"/>
      <c r="D2755" s="40"/>
      <c r="E2755" s="40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</row>
    <row r="2756" ht="12.75" customHeight="1">
      <c r="A2756" s="46"/>
      <c r="B2756" s="40"/>
      <c r="C2756" s="40"/>
      <c r="D2756" s="40"/>
      <c r="E2756" s="40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</row>
    <row r="2757" ht="12.75" customHeight="1">
      <c r="A2757" s="46"/>
      <c r="B2757" s="40"/>
      <c r="C2757" s="40"/>
      <c r="D2757" s="40"/>
      <c r="E2757" s="40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</row>
    <row r="2758" ht="12.75" customHeight="1">
      <c r="A2758" s="46"/>
      <c r="B2758" s="40"/>
      <c r="C2758" s="40"/>
      <c r="D2758" s="40"/>
      <c r="E2758" s="40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</row>
    <row r="2759" ht="12.75" customHeight="1">
      <c r="A2759" s="46"/>
      <c r="B2759" s="40"/>
      <c r="C2759" s="40"/>
      <c r="D2759" s="40"/>
      <c r="E2759" s="40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</row>
    <row r="2760" ht="12.75" customHeight="1">
      <c r="A2760" s="46"/>
      <c r="B2760" s="40"/>
      <c r="C2760" s="40"/>
      <c r="D2760" s="40"/>
      <c r="E2760" s="40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</row>
    <row r="2761" ht="12.75" customHeight="1">
      <c r="A2761" s="46"/>
      <c r="B2761" s="40"/>
      <c r="C2761" s="40"/>
      <c r="D2761" s="40"/>
      <c r="E2761" s="40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</row>
    <row r="2762" ht="12.75" customHeight="1">
      <c r="A2762" s="46"/>
      <c r="B2762" s="40"/>
      <c r="C2762" s="40"/>
      <c r="D2762" s="40"/>
      <c r="E2762" s="40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</row>
    <row r="2763" ht="12.75" customHeight="1">
      <c r="A2763" s="46"/>
      <c r="B2763" s="40"/>
      <c r="C2763" s="40"/>
      <c r="D2763" s="40"/>
      <c r="E2763" s="40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</row>
    <row r="2764" ht="12.75" customHeight="1">
      <c r="A2764" s="46"/>
      <c r="B2764" s="40"/>
      <c r="C2764" s="40"/>
      <c r="D2764" s="40"/>
      <c r="E2764" s="40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</row>
    <row r="2765" ht="12.75" customHeight="1">
      <c r="A2765" s="46"/>
      <c r="B2765" s="40"/>
      <c r="C2765" s="40"/>
      <c r="D2765" s="40"/>
      <c r="E2765" s="40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</row>
    <row r="2766" ht="12.75" customHeight="1">
      <c r="A2766" s="46"/>
      <c r="B2766" s="40"/>
      <c r="C2766" s="40"/>
      <c r="D2766" s="40"/>
      <c r="E2766" s="40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</row>
    <row r="2767" ht="12.75" customHeight="1">
      <c r="A2767" s="46"/>
      <c r="B2767" s="40"/>
      <c r="C2767" s="40"/>
      <c r="D2767" s="40"/>
      <c r="E2767" s="40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</row>
    <row r="2768" ht="12.75" customHeight="1">
      <c r="A2768" s="46"/>
      <c r="B2768" s="40"/>
      <c r="C2768" s="40"/>
      <c r="D2768" s="40"/>
      <c r="E2768" s="40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</row>
    <row r="2769" ht="12.75" customHeight="1">
      <c r="A2769" s="46"/>
      <c r="B2769" s="40"/>
      <c r="C2769" s="40"/>
      <c r="D2769" s="40"/>
      <c r="E2769" s="40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</row>
    <row r="2770" ht="12.75" customHeight="1">
      <c r="A2770" s="46"/>
      <c r="B2770" s="40"/>
      <c r="C2770" s="40"/>
      <c r="D2770" s="40"/>
      <c r="E2770" s="40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</row>
    <row r="2771" ht="12.75" customHeight="1">
      <c r="A2771" s="46"/>
      <c r="B2771" s="40"/>
      <c r="C2771" s="40"/>
      <c r="D2771" s="40"/>
      <c r="E2771" s="40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</row>
    <row r="2772" ht="12.75" customHeight="1">
      <c r="A2772" s="46"/>
      <c r="B2772" s="40"/>
      <c r="C2772" s="40"/>
      <c r="D2772" s="40"/>
      <c r="E2772" s="40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</row>
    <row r="2773" ht="12.75" customHeight="1">
      <c r="A2773" s="46"/>
      <c r="B2773" s="40"/>
      <c r="C2773" s="40"/>
      <c r="D2773" s="40"/>
      <c r="E2773" s="40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</row>
    <row r="2774" ht="12.75" customHeight="1">
      <c r="A2774" s="46"/>
      <c r="B2774" s="40"/>
      <c r="C2774" s="40"/>
      <c r="D2774" s="40"/>
      <c r="E2774" s="40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</row>
    <row r="2775" ht="12.75" customHeight="1">
      <c r="A2775" s="46"/>
      <c r="B2775" s="40"/>
      <c r="C2775" s="40"/>
      <c r="D2775" s="40"/>
      <c r="E2775" s="40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</row>
    <row r="2776" ht="12.75" customHeight="1">
      <c r="A2776" s="46"/>
      <c r="B2776" s="40"/>
      <c r="C2776" s="40"/>
      <c r="D2776" s="40"/>
      <c r="E2776" s="40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</row>
    <row r="2777" ht="12.75" customHeight="1">
      <c r="A2777" s="46"/>
      <c r="B2777" s="40"/>
      <c r="C2777" s="40"/>
      <c r="D2777" s="40"/>
      <c r="E2777" s="40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</row>
    <row r="2778" ht="12.75" customHeight="1">
      <c r="A2778" s="46"/>
      <c r="B2778" s="40"/>
      <c r="C2778" s="40"/>
      <c r="D2778" s="40"/>
      <c r="E2778" s="40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</row>
    <row r="2779" ht="12.75" customHeight="1">
      <c r="A2779" s="46"/>
      <c r="B2779" s="40"/>
      <c r="C2779" s="40"/>
      <c r="D2779" s="40"/>
      <c r="E2779" s="40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</row>
    <row r="2780" ht="12.75" customHeight="1">
      <c r="A2780" s="46"/>
      <c r="B2780" s="40"/>
      <c r="C2780" s="40"/>
      <c r="D2780" s="40"/>
      <c r="E2780" s="40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</row>
    <row r="2781" ht="12.75" customHeight="1">
      <c r="A2781" s="46"/>
      <c r="B2781" s="40"/>
      <c r="C2781" s="40"/>
      <c r="D2781" s="40"/>
      <c r="E2781" s="40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</row>
    <row r="2782" ht="12.75" customHeight="1">
      <c r="A2782" s="46"/>
      <c r="B2782" s="40"/>
      <c r="C2782" s="40"/>
      <c r="D2782" s="40"/>
      <c r="E2782" s="40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</row>
    <row r="2783" ht="12.75" customHeight="1">
      <c r="A2783" s="46"/>
      <c r="B2783" s="40"/>
      <c r="C2783" s="40"/>
      <c r="D2783" s="40"/>
      <c r="E2783" s="40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</row>
    <row r="2784" ht="12.75" customHeight="1">
      <c r="A2784" s="46"/>
      <c r="B2784" s="40"/>
      <c r="C2784" s="40"/>
      <c r="D2784" s="40"/>
      <c r="E2784" s="40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</row>
    <row r="2785" ht="12.75" customHeight="1">
      <c r="A2785" s="46"/>
      <c r="B2785" s="40"/>
      <c r="C2785" s="40"/>
      <c r="D2785" s="40"/>
      <c r="E2785" s="40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</row>
    <row r="2786" ht="12.75" customHeight="1">
      <c r="A2786" s="46"/>
      <c r="B2786" s="40"/>
      <c r="C2786" s="40"/>
      <c r="D2786" s="40"/>
      <c r="E2786" s="40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</row>
    <row r="2787" ht="12.75" customHeight="1">
      <c r="A2787" s="46"/>
      <c r="B2787" s="40"/>
      <c r="C2787" s="40"/>
      <c r="D2787" s="40"/>
      <c r="E2787" s="40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</row>
    <row r="2788" ht="12.75" customHeight="1">
      <c r="A2788" s="46"/>
      <c r="B2788" s="40"/>
      <c r="C2788" s="40"/>
      <c r="D2788" s="40"/>
      <c r="E2788" s="40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</row>
    <row r="2789" ht="12.75" customHeight="1">
      <c r="A2789" s="46"/>
      <c r="B2789" s="40"/>
      <c r="C2789" s="40"/>
      <c r="D2789" s="40"/>
      <c r="E2789" s="40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</row>
    <row r="2790" ht="12.75" customHeight="1">
      <c r="A2790" s="46"/>
      <c r="B2790" s="40"/>
      <c r="C2790" s="40"/>
      <c r="D2790" s="40"/>
      <c r="E2790" s="40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</row>
    <row r="2791" ht="12.75" customHeight="1">
      <c r="A2791" s="46"/>
      <c r="B2791" s="40"/>
      <c r="C2791" s="40"/>
      <c r="D2791" s="40"/>
      <c r="E2791" s="40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</row>
    <row r="2792" ht="12.75" customHeight="1">
      <c r="A2792" s="46"/>
      <c r="B2792" s="40"/>
      <c r="C2792" s="40"/>
      <c r="D2792" s="40"/>
      <c r="E2792" s="40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</row>
    <row r="2793" ht="12.75" customHeight="1">
      <c r="A2793" s="46"/>
      <c r="B2793" s="40"/>
      <c r="C2793" s="40"/>
      <c r="D2793" s="40"/>
      <c r="E2793" s="40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</row>
    <row r="2794" ht="12.75" customHeight="1">
      <c r="A2794" s="46"/>
      <c r="B2794" s="40"/>
      <c r="C2794" s="40"/>
      <c r="D2794" s="40"/>
      <c r="E2794" s="40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</row>
    <row r="2795" ht="12.75" customHeight="1">
      <c r="A2795" s="46"/>
      <c r="B2795" s="40"/>
      <c r="C2795" s="40"/>
      <c r="D2795" s="40"/>
      <c r="E2795" s="40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</row>
    <row r="2796" ht="12.75" customHeight="1">
      <c r="A2796" s="46"/>
      <c r="B2796" s="40"/>
      <c r="C2796" s="40"/>
      <c r="D2796" s="40"/>
      <c r="E2796" s="40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</row>
    <row r="2797" ht="12.75" customHeight="1">
      <c r="A2797" s="46"/>
      <c r="B2797" s="40"/>
      <c r="C2797" s="40"/>
      <c r="D2797" s="40"/>
      <c r="E2797" s="40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</row>
    <row r="2798" ht="12.75" customHeight="1">
      <c r="A2798" s="46"/>
      <c r="B2798" s="40"/>
      <c r="C2798" s="40"/>
      <c r="D2798" s="40"/>
      <c r="E2798" s="40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</row>
    <row r="2799" ht="12.75" customHeight="1">
      <c r="A2799" s="46"/>
      <c r="B2799" s="40"/>
      <c r="C2799" s="40"/>
      <c r="D2799" s="40"/>
      <c r="E2799" s="40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</row>
    <row r="2800" ht="12.75" customHeight="1">
      <c r="A2800" s="46"/>
      <c r="B2800" s="40"/>
      <c r="C2800" s="40"/>
      <c r="D2800" s="40"/>
      <c r="E2800" s="40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</row>
    <row r="2801" ht="12.75" customHeight="1">
      <c r="A2801" s="46"/>
      <c r="B2801" s="40"/>
      <c r="C2801" s="40"/>
      <c r="D2801" s="40"/>
      <c r="E2801" s="40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</row>
    <row r="2802" ht="12.75" customHeight="1">
      <c r="A2802" s="46"/>
      <c r="B2802" s="40"/>
      <c r="C2802" s="40"/>
      <c r="D2802" s="40"/>
      <c r="E2802" s="40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</row>
    <row r="2803" ht="12.75" customHeight="1">
      <c r="A2803" s="46"/>
      <c r="B2803" s="40"/>
      <c r="C2803" s="40"/>
      <c r="D2803" s="40"/>
      <c r="E2803" s="40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</row>
    <row r="2804" ht="12.75" customHeight="1">
      <c r="A2804" s="46"/>
      <c r="B2804" s="40"/>
      <c r="C2804" s="40"/>
      <c r="D2804" s="40"/>
      <c r="E2804" s="40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</row>
    <row r="2805" ht="12.75" customHeight="1">
      <c r="A2805" s="46"/>
      <c r="B2805" s="40"/>
      <c r="C2805" s="40"/>
      <c r="D2805" s="40"/>
      <c r="E2805" s="40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</row>
    <row r="2806" ht="12.75" customHeight="1">
      <c r="A2806" s="46"/>
      <c r="B2806" s="40"/>
      <c r="C2806" s="40"/>
      <c r="D2806" s="40"/>
      <c r="E2806" s="40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</row>
    <row r="2807" ht="12.75" customHeight="1">
      <c r="A2807" s="46"/>
      <c r="B2807" s="40"/>
      <c r="C2807" s="40"/>
      <c r="D2807" s="40"/>
      <c r="E2807" s="40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</row>
    <row r="2808" ht="12.75" customHeight="1">
      <c r="A2808" s="46"/>
      <c r="B2808" s="40"/>
      <c r="C2808" s="40"/>
      <c r="D2808" s="40"/>
      <c r="E2808" s="40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</row>
    <row r="2809" ht="12.75" customHeight="1">
      <c r="A2809" s="46"/>
      <c r="B2809" s="40"/>
      <c r="C2809" s="40"/>
      <c r="D2809" s="40"/>
      <c r="E2809" s="40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</row>
    <row r="2810" ht="12.75" customHeight="1">
      <c r="A2810" s="46"/>
      <c r="B2810" s="40"/>
      <c r="C2810" s="40"/>
      <c r="D2810" s="40"/>
      <c r="E2810" s="40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</row>
    <row r="2811" ht="12.75" customHeight="1">
      <c r="A2811" s="46"/>
      <c r="B2811" s="40"/>
      <c r="C2811" s="40"/>
      <c r="D2811" s="40"/>
      <c r="E2811" s="40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</row>
    <row r="2812" ht="12.75" customHeight="1">
      <c r="A2812" s="46"/>
      <c r="B2812" s="40"/>
      <c r="C2812" s="40"/>
      <c r="D2812" s="40"/>
      <c r="E2812" s="40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</row>
    <row r="2813" ht="12.75" customHeight="1">
      <c r="A2813" s="46"/>
      <c r="B2813" s="40"/>
      <c r="C2813" s="40"/>
      <c r="D2813" s="40"/>
      <c r="E2813" s="40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</row>
    <row r="2814" ht="12.75" customHeight="1">
      <c r="A2814" s="46"/>
      <c r="B2814" s="40"/>
      <c r="C2814" s="40"/>
      <c r="D2814" s="40"/>
      <c r="E2814" s="40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</row>
    <row r="2815" ht="12.75" customHeight="1">
      <c r="A2815" s="46"/>
      <c r="B2815" s="40"/>
      <c r="C2815" s="40"/>
      <c r="D2815" s="40"/>
      <c r="E2815" s="40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</row>
    <row r="2816" ht="12.75" customHeight="1">
      <c r="A2816" s="46"/>
      <c r="B2816" s="40"/>
      <c r="C2816" s="40"/>
      <c r="D2816" s="40"/>
      <c r="E2816" s="40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</row>
    <row r="2817" ht="12.75" customHeight="1">
      <c r="A2817" s="46"/>
      <c r="B2817" s="40"/>
      <c r="C2817" s="40"/>
      <c r="D2817" s="40"/>
      <c r="E2817" s="40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</row>
    <row r="2818" ht="12.75" customHeight="1">
      <c r="A2818" s="46"/>
      <c r="B2818" s="40"/>
      <c r="C2818" s="40"/>
      <c r="D2818" s="40"/>
      <c r="E2818" s="40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</row>
    <row r="2819" ht="12.75" customHeight="1">
      <c r="A2819" s="46"/>
      <c r="B2819" s="40"/>
      <c r="C2819" s="40"/>
      <c r="D2819" s="40"/>
      <c r="E2819" s="40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</row>
    <row r="2820" ht="12.75" customHeight="1">
      <c r="A2820" s="46"/>
      <c r="B2820" s="40"/>
      <c r="C2820" s="40"/>
      <c r="D2820" s="40"/>
      <c r="E2820" s="40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</row>
    <row r="2821" ht="12.75" customHeight="1">
      <c r="A2821" s="46"/>
      <c r="B2821" s="40"/>
      <c r="C2821" s="40"/>
      <c r="D2821" s="40"/>
      <c r="E2821" s="40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</row>
    <row r="2822" ht="12.75" customHeight="1">
      <c r="A2822" s="46"/>
      <c r="B2822" s="40"/>
      <c r="C2822" s="40"/>
      <c r="D2822" s="40"/>
      <c r="E2822" s="40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</row>
    <row r="2823" ht="12.75" customHeight="1">
      <c r="A2823" s="46"/>
      <c r="B2823" s="40"/>
      <c r="C2823" s="40"/>
      <c r="D2823" s="40"/>
      <c r="E2823" s="40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</row>
    <row r="2824" ht="12.75" customHeight="1">
      <c r="A2824" s="46"/>
      <c r="B2824" s="40"/>
      <c r="C2824" s="40"/>
      <c r="D2824" s="40"/>
      <c r="E2824" s="40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</row>
    <row r="2825" ht="12.75" customHeight="1">
      <c r="A2825" s="46"/>
      <c r="B2825" s="40"/>
      <c r="C2825" s="40"/>
      <c r="D2825" s="40"/>
      <c r="E2825" s="40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</row>
    <row r="2826" ht="12.75" customHeight="1">
      <c r="A2826" s="46"/>
      <c r="B2826" s="40"/>
      <c r="C2826" s="40"/>
      <c r="D2826" s="40"/>
      <c r="E2826" s="40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</row>
    <row r="2827" ht="12.75" customHeight="1">
      <c r="A2827" s="46"/>
      <c r="B2827" s="40"/>
      <c r="C2827" s="40"/>
      <c r="D2827" s="40"/>
      <c r="E2827" s="40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</row>
    <row r="2828" ht="12.75" customHeight="1">
      <c r="A2828" s="46"/>
      <c r="B2828" s="40"/>
      <c r="C2828" s="40"/>
      <c r="D2828" s="40"/>
      <c r="E2828" s="40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</row>
    <row r="2829" ht="12.75" customHeight="1">
      <c r="A2829" s="46"/>
      <c r="B2829" s="40"/>
      <c r="C2829" s="40"/>
      <c r="D2829" s="40"/>
      <c r="E2829" s="40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</row>
    <row r="2830" ht="12.75" customHeight="1">
      <c r="A2830" s="46"/>
      <c r="B2830" s="40"/>
      <c r="C2830" s="40"/>
      <c r="D2830" s="40"/>
      <c r="E2830" s="40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</row>
    <row r="2831" ht="12.75" customHeight="1">
      <c r="A2831" s="46"/>
      <c r="B2831" s="40"/>
      <c r="C2831" s="40"/>
      <c r="D2831" s="40"/>
      <c r="E2831" s="40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</row>
    <row r="2832" ht="12.75" customHeight="1">
      <c r="A2832" s="46"/>
      <c r="B2832" s="40"/>
      <c r="C2832" s="40"/>
      <c r="D2832" s="40"/>
      <c r="E2832" s="40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</row>
    <row r="2833" ht="12.75" customHeight="1">
      <c r="A2833" s="46"/>
      <c r="B2833" s="40"/>
      <c r="C2833" s="40"/>
      <c r="D2833" s="40"/>
      <c r="E2833" s="40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</row>
    <row r="2834" ht="12.75" customHeight="1">
      <c r="A2834" s="46"/>
      <c r="B2834" s="40"/>
      <c r="C2834" s="40"/>
      <c r="D2834" s="40"/>
      <c r="E2834" s="40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</row>
    <row r="2835" ht="12.75" customHeight="1">
      <c r="A2835" s="46"/>
      <c r="B2835" s="40"/>
      <c r="C2835" s="40"/>
      <c r="D2835" s="40"/>
      <c r="E2835" s="40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</row>
    <row r="2836" ht="12.75" customHeight="1">
      <c r="A2836" s="46"/>
      <c r="B2836" s="40"/>
      <c r="C2836" s="40"/>
      <c r="D2836" s="40"/>
      <c r="E2836" s="40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</row>
    <row r="2837" ht="12.75" customHeight="1">
      <c r="A2837" s="46"/>
      <c r="B2837" s="40"/>
      <c r="C2837" s="40"/>
      <c r="D2837" s="40"/>
      <c r="E2837" s="40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</row>
    <row r="2838" ht="12.75" customHeight="1">
      <c r="A2838" s="46"/>
      <c r="B2838" s="40"/>
      <c r="C2838" s="40"/>
      <c r="D2838" s="40"/>
      <c r="E2838" s="40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</row>
    <row r="2839" ht="12.75" customHeight="1">
      <c r="A2839" s="46"/>
      <c r="B2839" s="40"/>
      <c r="C2839" s="40"/>
      <c r="D2839" s="40"/>
      <c r="E2839" s="40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</row>
    <row r="2840" ht="12.75" customHeight="1">
      <c r="A2840" s="46"/>
      <c r="B2840" s="40"/>
      <c r="C2840" s="40"/>
      <c r="D2840" s="40"/>
      <c r="E2840" s="40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</row>
    <row r="2841" ht="12.75" customHeight="1">
      <c r="A2841" s="46"/>
      <c r="B2841" s="40"/>
      <c r="C2841" s="40"/>
      <c r="D2841" s="40"/>
      <c r="E2841" s="40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</row>
    <row r="2842" ht="12.75" customHeight="1">
      <c r="A2842" s="46"/>
      <c r="B2842" s="40"/>
      <c r="C2842" s="40"/>
      <c r="D2842" s="40"/>
      <c r="E2842" s="40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</row>
    <row r="2843" ht="12.75" customHeight="1">
      <c r="A2843" s="46"/>
      <c r="B2843" s="40"/>
      <c r="C2843" s="40"/>
      <c r="D2843" s="40"/>
      <c r="E2843" s="40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</row>
    <row r="2844" ht="12.75" customHeight="1">
      <c r="A2844" s="46"/>
      <c r="B2844" s="40"/>
      <c r="C2844" s="40"/>
      <c r="D2844" s="40"/>
      <c r="E2844" s="40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</row>
    <row r="2845" ht="12.75" customHeight="1">
      <c r="A2845" s="46"/>
      <c r="B2845" s="40"/>
      <c r="C2845" s="40"/>
      <c r="D2845" s="40"/>
      <c r="E2845" s="40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</row>
    <row r="2846" ht="12.75" customHeight="1">
      <c r="A2846" s="46"/>
      <c r="B2846" s="40"/>
      <c r="C2846" s="40"/>
      <c r="D2846" s="40"/>
      <c r="E2846" s="40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</row>
    <row r="2847" ht="12.75" customHeight="1">
      <c r="A2847" s="46"/>
      <c r="B2847" s="40"/>
      <c r="C2847" s="40"/>
      <c r="D2847" s="40"/>
      <c r="E2847" s="40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</row>
    <row r="2848" ht="12.75" customHeight="1">
      <c r="A2848" s="46"/>
      <c r="B2848" s="40"/>
      <c r="C2848" s="40"/>
      <c r="D2848" s="40"/>
      <c r="E2848" s="40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</row>
    <row r="2849" ht="12.75" customHeight="1">
      <c r="A2849" s="46"/>
      <c r="B2849" s="40"/>
      <c r="C2849" s="40"/>
      <c r="D2849" s="40"/>
      <c r="E2849" s="40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</row>
    <row r="2850" ht="12.75" customHeight="1">
      <c r="A2850" s="46"/>
      <c r="B2850" s="40"/>
      <c r="C2850" s="40"/>
      <c r="D2850" s="40"/>
      <c r="E2850" s="40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</row>
    <row r="2851" ht="12.75" customHeight="1">
      <c r="A2851" s="46"/>
      <c r="B2851" s="40"/>
      <c r="C2851" s="40"/>
      <c r="D2851" s="40"/>
      <c r="E2851" s="40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</row>
    <row r="2852" ht="12.75" customHeight="1">
      <c r="A2852" s="46"/>
      <c r="B2852" s="40"/>
      <c r="C2852" s="40"/>
      <c r="D2852" s="40"/>
      <c r="E2852" s="40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</row>
    <row r="2853" ht="12.75" customHeight="1">
      <c r="A2853" s="46"/>
      <c r="B2853" s="40"/>
      <c r="C2853" s="40"/>
      <c r="D2853" s="40"/>
      <c r="E2853" s="40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</row>
    <row r="2854" ht="12.75" customHeight="1">
      <c r="A2854" s="46"/>
      <c r="B2854" s="40"/>
      <c r="C2854" s="40"/>
      <c r="D2854" s="40"/>
      <c r="E2854" s="40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</row>
    <row r="2855" ht="12.75" customHeight="1">
      <c r="A2855" s="46"/>
      <c r="B2855" s="40"/>
      <c r="C2855" s="40"/>
      <c r="D2855" s="40"/>
      <c r="E2855" s="40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</row>
    <row r="2856" ht="12.75" customHeight="1">
      <c r="A2856" s="46"/>
      <c r="B2856" s="40"/>
      <c r="C2856" s="40"/>
      <c r="D2856" s="40"/>
      <c r="E2856" s="40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</row>
    <row r="2857" ht="12.75" customHeight="1">
      <c r="A2857" s="46"/>
      <c r="B2857" s="40"/>
      <c r="C2857" s="40"/>
      <c r="D2857" s="40"/>
      <c r="E2857" s="40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</row>
    <row r="2858" ht="12.75" customHeight="1">
      <c r="A2858" s="46"/>
      <c r="B2858" s="40"/>
      <c r="C2858" s="40"/>
      <c r="D2858" s="40"/>
      <c r="E2858" s="40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</row>
    <row r="2859" ht="12.75" customHeight="1">
      <c r="A2859" s="46"/>
      <c r="B2859" s="40"/>
      <c r="C2859" s="40"/>
      <c r="D2859" s="40"/>
      <c r="E2859" s="40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</row>
    <row r="2860" ht="12.75" customHeight="1">
      <c r="A2860" s="46"/>
      <c r="B2860" s="40"/>
      <c r="C2860" s="40"/>
      <c r="D2860" s="40"/>
      <c r="E2860" s="40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</row>
    <row r="2861" ht="12.75" customHeight="1">
      <c r="A2861" s="46"/>
      <c r="B2861" s="40"/>
      <c r="C2861" s="40"/>
      <c r="D2861" s="40"/>
      <c r="E2861" s="40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</row>
    <row r="2862" ht="12.75" customHeight="1">
      <c r="A2862" s="46"/>
      <c r="B2862" s="40"/>
      <c r="C2862" s="40"/>
      <c r="D2862" s="40"/>
      <c r="E2862" s="40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</row>
    <row r="2863" ht="12.75" customHeight="1">
      <c r="A2863" s="46"/>
      <c r="B2863" s="40"/>
      <c r="C2863" s="40"/>
      <c r="D2863" s="40"/>
      <c r="E2863" s="40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</row>
    <row r="2864" ht="12.75" customHeight="1">
      <c r="A2864" s="46"/>
      <c r="B2864" s="40"/>
      <c r="C2864" s="40"/>
      <c r="D2864" s="40"/>
      <c r="E2864" s="40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</row>
    <row r="2865" ht="12.75" customHeight="1">
      <c r="A2865" s="46"/>
      <c r="B2865" s="40"/>
      <c r="C2865" s="40"/>
      <c r="D2865" s="40"/>
      <c r="E2865" s="40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</row>
    <row r="2866" ht="12.75" customHeight="1">
      <c r="A2866" s="46"/>
      <c r="B2866" s="40"/>
      <c r="C2866" s="40"/>
      <c r="D2866" s="40"/>
      <c r="E2866" s="40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</row>
    <row r="2867" ht="12.75" customHeight="1">
      <c r="A2867" s="46"/>
      <c r="B2867" s="40"/>
      <c r="C2867" s="40"/>
      <c r="D2867" s="40"/>
      <c r="E2867" s="40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</row>
    <row r="2868" ht="12.75" customHeight="1">
      <c r="A2868" s="46"/>
      <c r="B2868" s="40"/>
      <c r="C2868" s="40"/>
      <c r="D2868" s="40"/>
      <c r="E2868" s="40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</row>
    <row r="2869" ht="12.75" customHeight="1">
      <c r="A2869" s="46"/>
      <c r="B2869" s="40"/>
      <c r="C2869" s="40"/>
      <c r="D2869" s="40"/>
      <c r="E2869" s="40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</row>
    <row r="2870" ht="12.75" customHeight="1">
      <c r="A2870" s="46"/>
      <c r="B2870" s="40"/>
      <c r="C2870" s="40"/>
      <c r="D2870" s="40"/>
      <c r="E2870" s="40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</row>
    <row r="2871" ht="12.75" customHeight="1">
      <c r="A2871" s="46"/>
      <c r="B2871" s="40"/>
      <c r="C2871" s="40"/>
      <c r="D2871" s="40"/>
      <c r="E2871" s="40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</row>
    <row r="2872" ht="12.75" customHeight="1">
      <c r="A2872" s="46"/>
      <c r="B2872" s="40"/>
      <c r="C2872" s="40"/>
      <c r="D2872" s="40"/>
      <c r="E2872" s="40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</row>
    <row r="2873" ht="12.75" customHeight="1">
      <c r="A2873" s="46"/>
      <c r="B2873" s="40"/>
      <c r="C2873" s="40"/>
      <c r="D2873" s="40"/>
      <c r="E2873" s="40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</row>
    <row r="2874" ht="12.75" customHeight="1">
      <c r="A2874" s="46"/>
      <c r="B2874" s="40"/>
      <c r="C2874" s="40"/>
      <c r="D2874" s="40"/>
      <c r="E2874" s="40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</row>
    <row r="2875" ht="12.75" customHeight="1">
      <c r="A2875" s="46"/>
      <c r="B2875" s="40"/>
      <c r="C2875" s="40"/>
      <c r="D2875" s="40"/>
      <c r="E2875" s="40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</row>
    <row r="2876" ht="12.75" customHeight="1">
      <c r="A2876" s="46"/>
      <c r="B2876" s="40"/>
      <c r="C2876" s="40"/>
      <c r="D2876" s="40"/>
      <c r="E2876" s="40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</row>
    <row r="2877" ht="12.75" customHeight="1">
      <c r="A2877" s="46"/>
      <c r="B2877" s="40"/>
      <c r="C2877" s="40"/>
      <c r="D2877" s="40"/>
      <c r="E2877" s="40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</row>
    <row r="2878" ht="12.75" customHeight="1">
      <c r="A2878" s="46"/>
      <c r="B2878" s="40"/>
      <c r="C2878" s="40"/>
      <c r="D2878" s="40"/>
      <c r="E2878" s="40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</row>
    <row r="2879" ht="12.75" customHeight="1">
      <c r="A2879" s="46"/>
      <c r="B2879" s="40"/>
      <c r="C2879" s="40"/>
      <c r="D2879" s="40"/>
      <c r="E2879" s="40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</row>
    <row r="2880" ht="12.75" customHeight="1">
      <c r="A2880" s="46"/>
      <c r="B2880" s="40"/>
      <c r="C2880" s="40"/>
      <c r="D2880" s="40"/>
      <c r="E2880" s="40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</row>
    <row r="2881" ht="12.75" customHeight="1">
      <c r="A2881" s="46"/>
      <c r="B2881" s="40"/>
      <c r="C2881" s="40"/>
      <c r="D2881" s="40"/>
      <c r="E2881" s="40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</row>
    <row r="2882" ht="12.75" customHeight="1">
      <c r="A2882" s="46"/>
      <c r="B2882" s="40"/>
      <c r="C2882" s="40"/>
      <c r="D2882" s="40"/>
      <c r="E2882" s="40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</row>
    <row r="2883" ht="12.75" customHeight="1">
      <c r="A2883" s="46"/>
      <c r="B2883" s="40"/>
      <c r="C2883" s="40"/>
      <c r="D2883" s="40"/>
      <c r="E2883" s="40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</row>
    <row r="2884" ht="12.75" customHeight="1">
      <c r="A2884" s="46"/>
      <c r="B2884" s="40"/>
      <c r="C2884" s="40"/>
      <c r="D2884" s="40"/>
      <c r="E2884" s="40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</row>
    <row r="2885" ht="12.75" customHeight="1">
      <c r="A2885" s="46"/>
      <c r="B2885" s="40"/>
      <c r="C2885" s="40"/>
      <c r="D2885" s="40"/>
      <c r="E2885" s="40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</row>
    <row r="2886" ht="12.75" customHeight="1">
      <c r="A2886" s="46"/>
      <c r="B2886" s="40"/>
      <c r="C2886" s="40"/>
      <c r="D2886" s="40"/>
      <c r="E2886" s="40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</row>
    <row r="2887" ht="12.75" customHeight="1">
      <c r="A2887" s="46"/>
      <c r="B2887" s="40"/>
      <c r="C2887" s="40"/>
      <c r="D2887" s="40"/>
      <c r="E2887" s="40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</row>
    <row r="2888" ht="12.75" customHeight="1">
      <c r="A2888" s="46"/>
      <c r="B2888" s="40"/>
      <c r="C2888" s="40"/>
      <c r="D2888" s="40"/>
      <c r="E2888" s="40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</row>
    <row r="2889" ht="12.75" customHeight="1">
      <c r="A2889" s="46"/>
      <c r="B2889" s="40"/>
      <c r="C2889" s="40"/>
      <c r="D2889" s="40"/>
      <c r="E2889" s="40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</row>
    <row r="2890" ht="12.75" customHeight="1">
      <c r="A2890" s="46"/>
      <c r="B2890" s="40"/>
      <c r="C2890" s="40"/>
      <c r="D2890" s="40"/>
      <c r="E2890" s="40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</row>
    <row r="2891" ht="12.75" customHeight="1">
      <c r="A2891" s="46"/>
      <c r="B2891" s="40"/>
      <c r="C2891" s="40"/>
      <c r="D2891" s="40"/>
      <c r="E2891" s="40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</row>
    <row r="2892" ht="12.75" customHeight="1">
      <c r="A2892" s="46"/>
      <c r="B2892" s="40"/>
      <c r="C2892" s="40"/>
      <c r="D2892" s="40"/>
      <c r="E2892" s="40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</row>
    <row r="2893" ht="12.75" customHeight="1">
      <c r="A2893" s="46"/>
      <c r="B2893" s="40"/>
      <c r="C2893" s="40"/>
      <c r="D2893" s="40"/>
      <c r="E2893" s="40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</row>
    <row r="2894" ht="12.75" customHeight="1">
      <c r="A2894" s="46"/>
      <c r="B2894" s="40"/>
      <c r="C2894" s="40"/>
      <c r="D2894" s="40"/>
      <c r="E2894" s="40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</row>
    <row r="2895" ht="12.75" customHeight="1">
      <c r="A2895" s="46"/>
      <c r="B2895" s="40"/>
      <c r="C2895" s="40"/>
      <c r="D2895" s="40"/>
      <c r="E2895" s="40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</row>
    <row r="2896" ht="12.75" customHeight="1">
      <c r="A2896" s="46"/>
      <c r="B2896" s="40"/>
      <c r="C2896" s="40"/>
      <c r="D2896" s="40"/>
      <c r="E2896" s="40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</row>
    <row r="2897" ht="12.75" customHeight="1">
      <c r="A2897" s="46"/>
      <c r="B2897" s="40"/>
      <c r="C2897" s="40"/>
      <c r="D2897" s="40"/>
      <c r="E2897" s="40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</row>
    <row r="2898" ht="12.75" customHeight="1">
      <c r="A2898" s="46"/>
      <c r="B2898" s="40"/>
      <c r="C2898" s="40"/>
      <c r="D2898" s="40"/>
      <c r="E2898" s="40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</row>
    <row r="2899" ht="12.75" customHeight="1">
      <c r="A2899" s="46"/>
      <c r="B2899" s="40"/>
      <c r="C2899" s="40"/>
      <c r="D2899" s="40"/>
      <c r="E2899" s="40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</row>
    <row r="2900" ht="12.75" customHeight="1">
      <c r="A2900" s="46"/>
      <c r="B2900" s="40"/>
      <c r="C2900" s="40"/>
      <c r="D2900" s="40"/>
      <c r="E2900" s="40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</row>
    <row r="2901" ht="12.75" customHeight="1">
      <c r="A2901" s="46"/>
      <c r="B2901" s="40"/>
      <c r="C2901" s="40"/>
      <c r="D2901" s="40"/>
      <c r="E2901" s="40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</row>
    <row r="2902" ht="12.75" customHeight="1">
      <c r="A2902" s="46"/>
      <c r="B2902" s="40"/>
      <c r="C2902" s="40"/>
      <c r="D2902" s="40"/>
      <c r="E2902" s="40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</row>
    <row r="2903" ht="12.75" customHeight="1">
      <c r="A2903" s="46"/>
      <c r="B2903" s="40"/>
      <c r="C2903" s="40"/>
      <c r="D2903" s="40"/>
      <c r="E2903" s="40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</row>
    <row r="2904" ht="12.75" customHeight="1">
      <c r="A2904" s="46"/>
      <c r="B2904" s="40"/>
      <c r="C2904" s="40"/>
      <c r="D2904" s="40"/>
      <c r="E2904" s="40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</row>
    <row r="2905" ht="12.75" customHeight="1">
      <c r="A2905" s="46"/>
      <c r="B2905" s="40"/>
      <c r="C2905" s="40"/>
      <c r="D2905" s="40"/>
      <c r="E2905" s="40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</row>
    <row r="2906" ht="12.75" customHeight="1">
      <c r="A2906" s="46"/>
      <c r="B2906" s="40"/>
      <c r="C2906" s="40"/>
      <c r="D2906" s="40"/>
      <c r="E2906" s="40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</row>
    <row r="2907" ht="12.75" customHeight="1">
      <c r="A2907" s="46"/>
      <c r="B2907" s="40"/>
      <c r="C2907" s="40"/>
      <c r="D2907" s="40"/>
      <c r="E2907" s="40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</row>
    <row r="2908" ht="12.75" customHeight="1">
      <c r="A2908" s="46"/>
      <c r="B2908" s="40"/>
      <c r="C2908" s="40"/>
      <c r="D2908" s="40"/>
      <c r="E2908" s="40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</row>
    <row r="2909" ht="12.75" customHeight="1">
      <c r="A2909" s="46"/>
      <c r="B2909" s="40"/>
      <c r="C2909" s="40"/>
      <c r="D2909" s="40"/>
      <c r="E2909" s="40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</row>
    <row r="2910" ht="12.75" customHeight="1">
      <c r="A2910" s="46"/>
      <c r="B2910" s="40"/>
      <c r="C2910" s="40"/>
      <c r="D2910" s="40"/>
      <c r="E2910" s="40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</row>
    <row r="2911" ht="12.75" customHeight="1">
      <c r="A2911" s="46"/>
      <c r="B2911" s="40"/>
      <c r="C2911" s="40"/>
      <c r="D2911" s="40"/>
      <c r="E2911" s="40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</row>
    <row r="2912" ht="12.75" customHeight="1">
      <c r="A2912" s="46"/>
      <c r="B2912" s="40"/>
      <c r="C2912" s="40"/>
      <c r="D2912" s="40"/>
      <c r="E2912" s="40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</row>
    <row r="2913" ht="12.75" customHeight="1">
      <c r="A2913" s="46"/>
      <c r="B2913" s="40"/>
      <c r="C2913" s="40"/>
      <c r="D2913" s="40"/>
      <c r="E2913" s="40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</row>
    <row r="2914" ht="12.75" customHeight="1">
      <c r="A2914" s="46"/>
      <c r="B2914" s="40"/>
      <c r="C2914" s="40"/>
      <c r="D2914" s="40"/>
      <c r="E2914" s="40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</row>
    <row r="2915" ht="12.75" customHeight="1">
      <c r="A2915" s="46"/>
      <c r="B2915" s="40"/>
      <c r="C2915" s="40"/>
      <c r="D2915" s="40"/>
      <c r="E2915" s="40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</row>
    <row r="2916" ht="12.75" customHeight="1">
      <c r="A2916" s="46"/>
      <c r="B2916" s="40"/>
      <c r="C2916" s="40"/>
      <c r="D2916" s="40"/>
      <c r="E2916" s="40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</row>
    <row r="2917" ht="12.75" customHeight="1">
      <c r="A2917" s="46"/>
      <c r="B2917" s="40"/>
      <c r="C2917" s="40"/>
      <c r="D2917" s="40"/>
      <c r="E2917" s="40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</row>
    <row r="2918" ht="12.75" customHeight="1">
      <c r="A2918" s="46"/>
      <c r="B2918" s="40"/>
      <c r="C2918" s="40"/>
      <c r="D2918" s="40"/>
      <c r="E2918" s="40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</row>
    <row r="2919" ht="12.75" customHeight="1">
      <c r="A2919" s="46"/>
      <c r="B2919" s="40"/>
      <c r="C2919" s="40"/>
      <c r="D2919" s="40"/>
      <c r="E2919" s="40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</row>
    <row r="2920" ht="12.75" customHeight="1">
      <c r="A2920" s="46"/>
      <c r="B2920" s="40"/>
      <c r="C2920" s="40"/>
      <c r="D2920" s="40"/>
      <c r="E2920" s="40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</row>
    <row r="2921" ht="12.75" customHeight="1">
      <c r="A2921" s="46"/>
      <c r="B2921" s="40"/>
      <c r="C2921" s="40"/>
      <c r="D2921" s="40"/>
      <c r="E2921" s="40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</row>
    <row r="2922" ht="12.75" customHeight="1">
      <c r="A2922" s="46"/>
      <c r="B2922" s="40"/>
      <c r="C2922" s="40"/>
      <c r="D2922" s="40"/>
      <c r="E2922" s="40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</row>
    <row r="2923" ht="12.75" customHeight="1">
      <c r="A2923" s="46"/>
      <c r="B2923" s="40"/>
      <c r="C2923" s="40"/>
      <c r="D2923" s="40"/>
      <c r="E2923" s="40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</row>
    <row r="2924" ht="12.75" customHeight="1">
      <c r="A2924" s="46"/>
      <c r="B2924" s="40"/>
      <c r="C2924" s="40"/>
      <c r="D2924" s="40"/>
      <c r="E2924" s="40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</row>
    <row r="2925" ht="12.75" customHeight="1">
      <c r="A2925" s="46"/>
      <c r="B2925" s="40"/>
      <c r="C2925" s="40"/>
      <c r="D2925" s="40"/>
      <c r="E2925" s="40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</row>
    <row r="2926" ht="12.75" customHeight="1">
      <c r="A2926" s="46"/>
      <c r="B2926" s="40"/>
      <c r="C2926" s="40"/>
      <c r="D2926" s="40"/>
      <c r="E2926" s="40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</row>
    <row r="2927" ht="12.75" customHeight="1">
      <c r="A2927" s="46"/>
      <c r="B2927" s="40"/>
      <c r="C2927" s="40"/>
      <c r="D2927" s="40"/>
      <c r="E2927" s="40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</row>
    <row r="2928" ht="12.75" customHeight="1">
      <c r="A2928" s="46"/>
      <c r="B2928" s="40"/>
      <c r="C2928" s="40"/>
      <c r="D2928" s="40"/>
      <c r="E2928" s="40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</row>
    <row r="2929" ht="12.75" customHeight="1">
      <c r="A2929" s="46"/>
      <c r="B2929" s="40"/>
      <c r="C2929" s="40"/>
      <c r="D2929" s="40"/>
      <c r="E2929" s="40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</row>
  </sheetData>
  <printOptions/>
  <pageMargins bottom="0.787401575" footer="0.0" header="0.0" left="0.511811024" right="0.511811024" top="0.787401575"/>
  <pageSetup paperSize="9"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" width="25.57"/>
    <col customWidth="1" hidden="1" min="4" max="7" width="25.57"/>
  </cols>
  <sheetData>
    <row r="1" ht="30.0" customHeight="1">
      <c r="A1" s="47" t="s">
        <v>5</v>
      </c>
      <c r="B1" s="47" t="s">
        <v>9</v>
      </c>
      <c r="C1" s="47" t="s">
        <v>10</v>
      </c>
      <c r="D1" s="47"/>
      <c r="E1" s="47"/>
      <c r="F1" s="47"/>
      <c r="G1" s="47"/>
    </row>
    <row r="2">
      <c r="A2" s="48" t="s">
        <v>363</v>
      </c>
      <c r="B2" s="49" t="s">
        <v>364</v>
      </c>
      <c r="C2" s="48" t="s">
        <v>365</v>
      </c>
      <c r="D2" s="48"/>
      <c r="E2" s="48"/>
      <c r="F2" s="48"/>
      <c r="G2" s="48"/>
    </row>
    <row r="3">
      <c r="A3" s="48" t="s">
        <v>366</v>
      </c>
      <c r="B3" s="49" t="s">
        <v>367</v>
      </c>
      <c r="C3" s="48" t="s">
        <v>368</v>
      </c>
      <c r="D3" s="48"/>
      <c r="E3" s="48"/>
      <c r="F3" s="48"/>
      <c r="G3" s="48"/>
    </row>
    <row r="4">
      <c r="A4" s="48" t="s">
        <v>18</v>
      </c>
      <c r="B4" s="49" t="s">
        <v>369</v>
      </c>
      <c r="C4" s="48" t="s">
        <v>370</v>
      </c>
      <c r="D4" s="48"/>
      <c r="E4" s="48"/>
      <c r="F4" s="48"/>
      <c r="G4" s="48"/>
    </row>
    <row r="5">
      <c r="A5" s="48" t="s">
        <v>371</v>
      </c>
      <c r="B5" s="49" t="s">
        <v>372</v>
      </c>
      <c r="C5" s="48" t="s">
        <v>373</v>
      </c>
      <c r="D5" s="48"/>
      <c r="E5" s="48"/>
      <c r="F5" s="48"/>
      <c r="G5" s="48"/>
    </row>
    <row r="6">
      <c r="A6" s="48" t="s">
        <v>374</v>
      </c>
      <c r="B6" s="49" t="s">
        <v>375</v>
      </c>
      <c r="C6" s="48" t="s">
        <v>370</v>
      </c>
      <c r="D6" s="48"/>
      <c r="E6" s="48"/>
      <c r="F6" s="48"/>
      <c r="G6" s="48"/>
    </row>
    <row r="7">
      <c r="A7" s="48" t="s">
        <v>376</v>
      </c>
      <c r="B7" s="49" t="s">
        <v>377</v>
      </c>
      <c r="C7" s="48" t="s">
        <v>368</v>
      </c>
      <c r="D7" s="48"/>
      <c r="E7" s="48"/>
      <c r="F7" s="48"/>
      <c r="G7" s="48"/>
    </row>
    <row r="8">
      <c r="A8" s="48" t="s">
        <v>378</v>
      </c>
      <c r="B8" s="49" t="s">
        <v>379</v>
      </c>
      <c r="C8" s="48" t="s">
        <v>368</v>
      </c>
      <c r="D8" s="48"/>
      <c r="E8" s="48"/>
      <c r="F8" s="48"/>
      <c r="G8" s="48"/>
    </row>
    <row r="9">
      <c r="A9" s="48" t="s">
        <v>380</v>
      </c>
      <c r="B9" s="49" t="s">
        <v>381</v>
      </c>
      <c r="C9" s="48" t="s">
        <v>368</v>
      </c>
      <c r="D9" s="48"/>
      <c r="E9" s="48"/>
      <c r="F9" s="48"/>
      <c r="G9" s="48"/>
    </row>
    <row r="10">
      <c r="A10" s="48" t="s">
        <v>382</v>
      </c>
      <c r="B10" s="49" t="s">
        <v>383</v>
      </c>
      <c r="C10" s="48" t="s">
        <v>370</v>
      </c>
      <c r="D10" s="48"/>
      <c r="E10" s="48"/>
      <c r="F10" s="48"/>
      <c r="G10" s="48"/>
    </row>
    <row r="11">
      <c r="A11" s="48" t="s">
        <v>384</v>
      </c>
      <c r="B11" s="49" t="s">
        <v>385</v>
      </c>
      <c r="C11" s="48" t="s">
        <v>370</v>
      </c>
      <c r="D11" s="48"/>
      <c r="E11" s="48"/>
      <c r="F11" s="48"/>
      <c r="G11" s="48"/>
    </row>
    <row r="12">
      <c r="A12" s="48" t="s">
        <v>386</v>
      </c>
      <c r="B12" s="49" t="s">
        <v>387</v>
      </c>
      <c r="C12" s="48" t="s">
        <v>370</v>
      </c>
      <c r="D12" s="48"/>
      <c r="E12" s="48"/>
      <c r="F12" s="48"/>
      <c r="G12" s="48"/>
    </row>
    <row r="13">
      <c r="A13" s="48" t="s">
        <v>388</v>
      </c>
      <c r="B13" s="49" t="s">
        <v>389</v>
      </c>
      <c r="C13" s="48" t="s">
        <v>390</v>
      </c>
      <c r="D13" s="48"/>
      <c r="E13" s="48"/>
      <c r="F13" s="48"/>
      <c r="G13" s="48" t="s">
        <v>391</v>
      </c>
    </row>
    <row r="14">
      <c r="A14" s="48" t="s">
        <v>392</v>
      </c>
      <c r="B14" s="49" t="s">
        <v>393</v>
      </c>
      <c r="C14" s="48" t="s">
        <v>370</v>
      </c>
      <c r="D14" s="48"/>
      <c r="E14" s="48"/>
      <c r="F14" s="48"/>
      <c r="G14" s="48"/>
    </row>
    <row r="15">
      <c r="A15" s="48" t="s">
        <v>394</v>
      </c>
      <c r="B15" s="49" t="s">
        <v>395</v>
      </c>
      <c r="C15" s="48" t="s">
        <v>370</v>
      </c>
      <c r="D15" s="48"/>
      <c r="E15" s="48"/>
      <c r="F15" s="48"/>
      <c r="G15" s="48"/>
    </row>
    <row r="16">
      <c r="A16" s="48" t="s">
        <v>396</v>
      </c>
      <c r="B16" s="49" t="s">
        <v>397</v>
      </c>
      <c r="C16" s="48" t="s">
        <v>390</v>
      </c>
      <c r="D16" s="48"/>
      <c r="E16" s="48"/>
      <c r="F16" s="48"/>
      <c r="G16" s="48" t="s">
        <v>398</v>
      </c>
    </row>
    <row r="17">
      <c r="A17" s="48" t="s">
        <v>399</v>
      </c>
      <c r="B17" s="49" t="s">
        <v>400</v>
      </c>
      <c r="C17" s="48" t="s">
        <v>390</v>
      </c>
      <c r="D17" s="48"/>
      <c r="E17" s="48"/>
      <c r="F17" s="48"/>
      <c r="G17" s="48"/>
    </row>
    <row r="18" ht="15.75" customHeight="1">
      <c r="A18" s="48" t="s">
        <v>401</v>
      </c>
      <c r="B18" s="49" t="s">
        <v>402</v>
      </c>
      <c r="C18" s="48" t="s">
        <v>390</v>
      </c>
      <c r="D18" s="48"/>
      <c r="E18" s="48"/>
      <c r="F18" s="48"/>
      <c r="G18" s="48"/>
    </row>
    <row r="19" ht="15.75" customHeight="1">
      <c r="A19" s="48" t="s">
        <v>403</v>
      </c>
      <c r="B19" s="49" t="s">
        <v>404</v>
      </c>
      <c r="C19" s="48" t="s">
        <v>368</v>
      </c>
      <c r="D19" s="48"/>
      <c r="E19" s="48"/>
      <c r="F19" s="48"/>
      <c r="G19" s="48"/>
    </row>
    <row r="20" ht="15.75" customHeight="1">
      <c r="A20" s="48" t="s">
        <v>405</v>
      </c>
      <c r="B20" s="49" t="s">
        <v>406</v>
      </c>
      <c r="C20" s="48" t="s">
        <v>370</v>
      </c>
      <c r="D20" s="48"/>
      <c r="E20" s="48"/>
      <c r="F20" s="48"/>
      <c r="G20" s="48"/>
    </row>
    <row r="21" ht="15.75" customHeight="1">
      <c r="A21" s="48" t="s">
        <v>58</v>
      </c>
      <c r="B21" s="49" t="s">
        <v>407</v>
      </c>
      <c r="C21" s="48" t="s">
        <v>370</v>
      </c>
      <c r="D21" s="48"/>
      <c r="E21" s="48"/>
      <c r="F21" s="48"/>
      <c r="G21" s="48"/>
    </row>
    <row r="22" ht="15.75" customHeight="1">
      <c r="A22" s="48" t="s">
        <v>61</v>
      </c>
      <c r="B22" s="49" t="s">
        <v>408</v>
      </c>
      <c r="C22" s="48" t="s">
        <v>370</v>
      </c>
      <c r="D22" s="48"/>
      <c r="E22" s="48"/>
      <c r="F22" s="48"/>
      <c r="G22" s="48"/>
    </row>
    <row r="23" ht="15.75" customHeight="1">
      <c r="A23" s="48" t="s">
        <v>123</v>
      </c>
      <c r="B23" s="49" t="s">
        <v>409</v>
      </c>
      <c r="C23" s="48" t="s">
        <v>370</v>
      </c>
      <c r="D23" s="48"/>
      <c r="E23" s="48"/>
      <c r="F23" s="48"/>
      <c r="G23" s="48"/>
    </row>
    <row r="24" ht="15.75" customHeight="1">
      <c r="A24" s="48" t="s">
        <v>142</v>
      </c>
      <c r="B24" s="49" t="s">
        <v>410</v>
      </c>
      <c r="C24" s="48" t="s">
        <v>411</v>
      </c>
      <c r="D24" s="48"/>
      <c r="E24" s="48"/>
      <c r="F24" s="48"/>
      <c r="G24" s="48"/>
    </row>
    <row r="25" ht="15.75" customHeight="1">
      <c r="A25" s="48" t="s">
        <v>412</v>
      </c>
      <c r="B25" s="49" t="s">
        <v>413</v>
      </c>
      <c r="C25" s="48" t="s">
        <v>370</v>
      </c>
      <c r="D25" s="48"/>
      <c r="E25" s="48"/>
      <c r="F25" s="48"/>
      <c r="G25" s="48"/>
    </row>
    <row r="26" ht="15.75" customHeight="1">
      <c r="A26" s="48" t="s">
        <v>414</v>
      </c>
      <c r="B26" s="49" t="s">
        <v>415</v>
      </c>
      <c r="C26" s="48" t="s">
        <v>368</v>
      </c>
      <c r="D26" s="48"/>
      <c r="E26" s="48"/>
      <c r="F26" s="48"/>
      <c r="G26" s="48"/>
    </row>
    <row r="27" ht="15.75" customHeight="1">
      <c r="A27" s="48" t="s">
        <v>416</v>
      </c>
      <c r="B27" s="49" t="s">
        <v>417</v>
      </c>
      <c r="C27" s="48" t="s">
        <v>368</v>
      </c>
      <c r="D27" s="48"/>
      <c r="E27" s="48"/>
      <c r="F27" s="48"/>
      <c r="G27" s="48"/>
    </row>
    <row r="28" ht="15.75" customHeight="1">
      <c r="A28" s="48" t="s">
        <v>418</v>
      </c>
      <c r="B28" s="49" t="s">
        <v>419</v>
      </c>
      <c r="C28" s="48" t="s">
        <v>370</v>
      </c>
      <c r="D28" s="48"/>
      <c r="E28" s="48"/>
      <c r="F28" s="48"/>
      <c r="G28" s="48"/>
    </row>
    <row r="29" ht="15.75" customHeight="1">
      <c r="A29" s="48" t="s">
        <v>144</v>
      </c>
      <c r="B29" s="49" t="s">
        <v>420</v>
      </c>
      <c r="C29" s="48" t="s">
        <v>390</v>
      </c>
      <c r="D29" s="48"/>
      <c r="E29" s="48"/>
      <c r="F29" s="48"/>
      <c r="G29" s="48"/>
    </row>
    <row r="30" ht="15.75" customHeight="1">
      <c r="A30" s="48" t="s">
        <v>421</v>
      </c>
      <c r="B30" s="49" t="s">
        <v>422</v>
      </c>
      <c r="C30" s="48" t="s">
        <v>411</v>
      </c>
      <c r="D30" s="48"/>
      <c r="E30" s="48"/>
      <c r="F30" s="48"/>
      <c r="G30" s="48"/>
    </row>
    <row r="31" ht="15.75" customHeight="1">
      <c r="A31" s="48" t="s">
        <v>423</v>
      </c>
      <c r="B31" s="49" t="s">
        <v>424</v>
      </c>
      <c r="C31" s="48" t="s">
        <v>370</v>
      </c>
      <c r="D31" s="48"/>
      <c r="E31" s="48"/>
      <c r="F31" s="48"/>
      <c r="G31" s="48"/>
    </row>
    <row r="32" ht="15.75" customHeight="1">
      <c r="A32" s="48" t="s">
        <v>161</v>
      </c>
      <c r="B32" s="49" t="s">
        <v>425</v>
      </c>
      <c r="C32" s="48" t="s">
        <v>411</v>
      </c>
      <c r="D32" s="48"/>
      <c r="E32" s="48"/>
      <c r="F32" s="48"/>
      <c r="G32" s="48"/>
    </row>
    <row r="33" ht="15.75" customHeight="1">
      <c r="A33" s="48" t="s">
        <v>426</v>
      </c>
      <c r="B33" s="49" t="s">
        <v>427</v>
      </c>
      <c r="C33" s="48" t="s">
        <v>370</v>
      </c>
      <c r="D33" s="48"/>
      <c r="E33" s="48"/>
      <c r="F33" s="48"/>
      <c r="G33" s="48"/>
    </row>
    <row r="34" ht="15.75" customHeight="1">
      <c r="A34" s="48" t="s">
        <v>428</v>
      </c>
      <c r="B34" s="49" t="s">
        <v>429</v>
      </c>
      <c r="C34" s="48" t="s">
        <v>373</v>
      </c>
      <c r="D34" s="48"/>
      <c r="E34" s="48"/>
      <c r="F34" s="48"/>
      <c r="G34" s="48"/>
    </row>
    <row r="35" ht="15.75" customHeight="1">
      <c r="A35" s="48" t="s">
        <v>430</v>
      </c>
      <c r="B35" s="49" t="s">
        <v>431</v>
      </c>
      <c r="C35" s="48" t="s">
        <v>370</v>
      </c>
      <c r="D35" s="48"/>
      <c r="E35" s="48"/>
      <c r="F35" s="48"/>
      <c r="G35" s="48"/>
    </row>
    <row r="36" ht="15.75" customHeight="1">
      <c r="A36" s="48" t="s">
        <v>432</v>
      </c>
      <c r="B36" s="49" t="s">
        <v>433</v>
      </c>
      <c r="C36" s="48" t="s">
        <v>390</v>
      </c>
      <c r="D36" s="48"/>
      <c r="E36" s="48"/>
      <c r="F36" s="48"/>
      <c r="G36" s="48"/>
    </row>
    <row r="37" ht="15.75" customHeight="1">
      <c r="A37" s="48" t="s">
        <v>434</v>
      </c>
      <c r="B37" s="49" t="s">
        <v>435</v>
      </c>
      <c r="C37" s="48" t="s">
        <v>390</v>
      </c>
      <c r="D37" s="48"/>
      <c r="E37" s="48"/>
      <c r="F37" s="48"/>
      <c r="G37" s="48"/>
    </row>
    <row r="38" ht="15.75" customHeight="1">
      <c r="A38" s="48" t="s">
        <v>436</v>
      </c>
      <c r="B38" s="49" t="s">
        <v>437</v>
      </c>
      <c r="C38" s="48" t="s">
        <v>370</v>
      </c>
      <c r="D38" s="48"/>
      <c r="E38" s="48"/>
      <c r="F38" s="48"/>
      <c r="G38" s="48"/>
    </row>
    <row r="39" ht="15.75" customHeight="1">
      <c r="A39" s="48" t="s">
        <v>438</v>
      </c>
      <c r="B39" s="49" t="s">
        <v>439</v>
      </c>
      <c r="C39" s="48" t="s">
        <v>370</v>
      </c>
      <c r="D39" s="48"/>
      <c r="E39" s="48"/>
      <c r="F39" s="48"/>
      <c r="G39" s="48"/>
    </row>
    <row r="40" ht="15.75" customHeight="1">
      <c r="A40" s="48" t="s">
        <v>176</v>
      </c>
      <c r="B40" s="49" t="s">
        <v>440</v>
      </c>
      <c r="C40" s="48" t="s">
        <v>368</v>
      </c>
      <c r="D40" s="48"/>
      <c r="E40" s="48"/>
      <c r="F40" s="48"/>
      <c r="G40" s="48"/>
    </row>
    <row r="41" ht="15.75" customHeight="1">
      <c r="A41" s="48" t="s">
        <v>441</v>
      </c>
      <c r="B41" s="49" t="s">
        <v>442</v>
      </c>
      <c r="C41" s="48" t="s">
        <v>390</v>
      </c>
      <c r="D41" s="48"/>
      <c r="E41" s="48"/>
      <c r="F41" s="48"/>
      <c r="G41" s="48"/>
    </row>
    <row r="42" ht="15.75" customHeight="1">
      <c r="A42" s="48" t="s">
        <v>443</v>
      </c>
      <c r="B42" s="49" t="s">
        <v>444</v>
      </c>
      <c r="C42" s="48" t="s">
        <v>370</v>
      </c>
      <c r="D42" s="48"/>
      <c r="E42" s="48"/>
      <c r="F42" s="48"/>
      <c r="G42" s="48"/>
    </row>
    <row r="43" ht="15.75" customHeight="1">
      <c r="A43" s="48" t="s">
        <v>445</v>
      </c>
      <c r="B43" s="49" t="s">
        <v>446</v>
      </c>
      <c r="C43" s="48" t="s">
        <v>373</v>
      </c>
      <c r="D43" s="48"/>
      <c r="E43" s="48"/>
      <c r="F43" s="48"/>
      <c r="G43" s="48"/>
    </row>
    <row r="44" ht="15.75" customHeight="1">
      <c r="A44" s="48" t="s">
        <v>447</v>
      </c>
      <c r="B44" s="49" t="s">
        <v>448</v>
      </c>
      <c r="C44" s="48" t="s">
        <v>370</v>
      </c>
      <c r="D44" s="48"/>
      <c r="E44" s="48"/>
      <c r="F44" s="48"/>
      <c r="G44" s="48" t="s">
        <v>449</v>
      </c>
    </row>
    <row r="45" ht="15.75" customHeight="1">
      <c r="A45" s="48" t="s">
        <v>450</v>
      </c>
      <c r="B45" s="49" t="s">
        <v>451</v>
      </c>
      <c r="C45" s="48" t="s">
        <v>370</v>
      </c>
      <c r="D45" s="48"/>
      <c r="E45" s="48"/>
      <c r="F45" s="48"/>
      <c r="G45" s="48" t="s">
        <v>452</v>
      </c>
    </row>
    <row r="46" ht="15.75" customHeight="1">
      <c r="A46" s="48" t="s">
        <v>453</v>
      </c>
      <c r="B46" s="49" t="s">
        <v>454</v>
      </c>
      <c r="C46" s="48" t="s">
        <v>370</v>
      </c>
      <c r="D46" s="48"/>
      <c r="E46" s="48"/>
      <c r="F46" s="48"/>
      <c r="G46" s="48" t="s">
        <v>455</v>
      </c>
    </row>
    <row r="47" ht="15.75" customHeight="1">
      <c r="A47" s="48" t="s">
        <v>146</v>
      </c>
      <c r="B47" s="49" t="s">
        <v>456</v>
      </c>
      <c r="C47" s="48" t="s">
        <v>411</v>
      </c>
      <c r="D47" s="48"/>
      <c r="E47" s="48"/>
      <c r="F47" s="48"/>
      <c r="G47" s="48" t="s">
        <v>457</v>
      </c>
    </row>
    <row r="48" ht="15.75" customHeight="1">
      <c r="A48" s="48" t="s">
        <v>24</v>
      </c>
      <c r="B48" s="49" t="s">
        <v>458</v>
      </c>
      <c r="C48" s="48" t="s">
        <v>370</v>
      </c>
      <c r="D48" s="48"/>
      <c r="E48" s="48"/>
      <c r="F48" s="48"/>
      <c r="G48" s="48" t="s">
        <v>459</v>
      </c>
    </row>
    <row r="49" ht="15.75" customHeight="1">
      <c r="A49" s="48" t="s">
        <v>67</v>
      </c>
      <c r="B49" s="49" t="s">
        <v>460</v>
      </c>
      <c r="C49" s="48" t="s">
        <v>370</v>
      </c>
      <c r="D49" s="48"/>
      <c r="E49" s="48"/>
      <c r="F49" s="48"/>
      <c r="G49" s="48" t="s">
        <v>461</v>
      </c>
    </row>
    <row r="50" ht="15.75" customHeight="1">
      <c r="A50" s="48" t="s">
        <v>462</v>
      </c>
      <c r="B50" s="49" t="s">
        <v>463</v>
      </c>
      <c r="C50" s="48" t="s">
        <v>370</v>
      </c>
      <c r="D50" s="48"/>
      <c r="E50" s="48"/>
      <c r="F50" s="48"/>
      <c r="G50" s="48" t="s">
        <v>464</v>
      </c>
    </row>
    <row r="51" ht="15.75" customHeight="1">
      <c r="A51" s="48" t="s">
        <v>465</v>
      </c>
      <c r="B51" s="49" t="s">
        <v>466</v>
      </c>
      <c r="C51" s="48" t="s">
        <v>370</v>
      </c>
      <c r="D51" s="48"/>
      <c r="E51" s="48"/>
      <c r="F51" s="48"/>
      <c r="G51" s="48" t="s">
        <v>467</v>
      </c>
    </row>
    <row r="52" ht="15.75" customHeight="1">
      <c r="A52" s="48" t="s">
        <v>468</v>
      </c>
      <c r="B52" s="49" t="s">
        <v>469</v>
      </c>
      <c r="C52" s="48" t="s">
        <v>370</v>
      </c>
      <c r="D52" s="48"/>
      <c r="E52" s="48"/>
      <c r="F52" s="48"/>
      <c r="G52" s="48" t="s">
        <v>470</v>
      </c>
    </row>
    <row r="53" ht="15.75" customHeight="1">
      <c r="A53" s="48" t="s">
        <v>471</v>
      </c>
      <c r="B53" s="49" t="s">
        <v>472</v>
      </c>
      <c r="C53" s="48" t="s">
        <v>411</v>
      </c>
      <c r="D53" s="48"/>
      <c r="E53" s="48"/>
      <c r="F53" s="48"/>
      <c r="G53" s="48" t="s">
        <v>473</v>
      </c>
    </row>
    <row r="54" ht="15.75" customHeight="1">
      <c r="A54" s="48"/>
      <c r="B54" s="49"/>
      <c r="C54" s="48"/>
      <c r="D54" s="48"/>
      <c r="E54" s="48"/>
      <c r="F54" s="48"/>
      <c r="G54" s="48"/>
    </row>
    <row r="55" ht="15.75" customHeight="1">
      <c r="A55" s="48"/>
      <c r="B55" s="49"/>
      <c r="C55" s="48"/>
      <c r="D55" s="48"/>
      <c r="E55" s="48"/>
      <c r="F55" s="48"/>
      <c r="G55" s="48"/>
    </row>
    <row r="56" ht="15.75" customHeight="1">
      <c r="A56" s="48"/>
      <c r="B56" s="49"/>
      <c r="C56" s="48"/>
      <c r="D56" s="48"/>
      <c r="E56" s="48"/>
      <c r="F56" s="48"/>
      <c r="G56" s="48"/>
    </row>
    <row r="57" ht="15.75" customHeight="1">
      <c r="A57" s="48"/>
      <c r="B57" s="49"/>
      <c r="C57" s="48"/>
      <c r="D57" s="48"/>
      <c r="E57" s="48"/>
      <c r="F57" s="48"/>
      <c r="G57" s="48"/>
    </row>
    <row r="58" ht="15.75" customHeight="1">
      <c r="A58" s="48"/>
      <c r="B58" s="49"/>
      <c r="C58" s="48"/>
      <c r="D58" s="48"/>
      <c r="E58" s="48"/>
      <c r="F58" s="48"/>
      <c r="G58" s="48"/>
    </row>
    <row r="59" ht="15.75" customHeight="1">
      <c r="A59" s="48"/>
      <c r="B59" s="49"/>
      <c r="C59" s="48"/>
      <c r="D59" s="48"/>
      <c r="E59" s="48"/>
      <c r="F59" s="48"/>
      <c r="G59" s="48"/>
    </row>
    <row r="60" ht="15.75" customHeight="1">
      <c r="A60" s="48"/>
      <c r="B60" s="49"/>
      <c r="C60" s="48"/>
      <c r="D60" s="48"/>
      <c r="E60" s="48"/>
      <c r="F60" s="48"/>
      <c r="G60" s="48"/>
    </row>
    <row r="61" ht="15.75" customHeight="1">
      <c r="A61" s="48"/>
      <c r="B61" s="49"/>
      <c r="C61" s="48"/>
      <c r="D61" s="48"/>
      <c r="E61" s="48"/>
      <c r="F61" s="48"/>
      <c r="G61" s="48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50.57"/>
    <col customWidth="1" min="3" max="3" width="14.86"/>
    <col customWidth="1" min="4" max="4" width="19.29"/>
    <col customWidth="1" min="5" max="26" width="13.86"/>
  </cols>
  <sheetData>
    <row r="1">
      <c r="A1" s="50" t="s">
        <v>8</v>
      </c>
      <c r="B1" s="50" t="s">
        <v>474</v>
      </c>
      <c r="C1" s="50" t="s">
        <v>475</v>
      </c>
      <c r="D1" s="50" t="s">
        <v>230</v>
      </c>
      <c r="E1" s="51"/>
      <c r="F1" s="51"/>
      <c r="G1" s="52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3">
        <v>4.1001486E7</v>
      </c>
      <c r="B2" s="53" t="s">
        <v>476</v>
      </c>
      <c r="C2" s="54" t="s">
        <v>477</v>
      </c>
      <c r="D2" s="53" t="s">
        <v>478</v>
      </c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>
      <c r="A3" s="53">
        <v>4.1001485E7</v>
      </c>
      <c r="B3" s="53" t="s">
        <v>479</v>
      </c>
      <c r="C3" s="54" t="s">
        <v>477</v>
      </c>
      <c r="D3" s="53" t="s">
        <v>478</v>
      </c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53">
        <v>4.1001504E7</v>
      </c>
      <c r="B4" s="53" t="s">
        <v>480</v>
      </c>
      <c r="C4" s="54" t="s">
        <v>477</v>
      </c>
      <c r="D4" s="53" t="s">
        <v>478</v>
      </c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>
      <c r="A5" s="53">
        <v>4.1001481E7</v>
      </c>
      <c r="B5" s="53" t="s">
        <v>481</v>
      </c>
      <c r="C5" s="54" t="s">
        <v>477</v>
      </c>
      <c r="D5" s="53" t="s">
        <v>478</v>
      </c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>
      <c r="A6" s="53">
        <v>4.1001513E7</v>
      </c>
      <c r="B6" s="53" t="s">
        <v>482</v>
      </c>
      <c r="C6" s="54" t="s">
        <v>477</v>
      </c>
      <c r="D6" s="53" t="s">
        <v>478</v>
      </c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>
      <c r="A7" s="53">
        <v>4.1001482E7</v>
      </c>
      <c r="B7" s="53" t="s">
        <v>483</v>
      </c>
      <c r="C7" s="54" t="s">
        <v>477</v>
      </c>
      <c r="D7" s="53" t="s">
        <v>478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>
      <c r="A8" s="53">
        <v>4.100152E7</v>
      </c>
      <c r="B8" s="53" t="s">
        <v>484</v>
      </c>
      <c r="C8" s="54" t="s">
        <v>477</v>
      </c>
      <c r="D8" s="53" t="s">
        <v>478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>
      <c r="A9" s="53">
        <v>4.1001518E7</v>
      </c>
      <c r="B9" s="53" t="s">
        <v>485</v>
      </c>
      <c r="C9" s="54" t="s">
        <v>477</v>
      </c>
      <c r="D9" s="53" t="s">
        <v>478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>
      <c r="A10" s="50">
        <v>4.100152E7</v>
      </c>
      <c r="B10" s="53" t="s">
        <v>486</v>
      </c>
      <c r="C10" s="54" t="s">
        <v>477</v>
      </c>
      <c r="D10" s="53" t="s">
        <v>478</v>
      </c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>
      <c r="A11" s="53">
        <v>4.1001534E7</v>
      </c>
      <c r="B11" s="53" t="s">
        <v>487</v>
      </c>
      <c r="C11" s="55" t="s">
        <v>488</v>
      </c>
      <c r="D11" s="53" t="s">
        <v>478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>
      <c r="A12" s="53">
        <v>4.1001534E7</v>
      </c>
      <c r="B12" s="53" t="s">
        <v>489</v>
      </c>
      <c r="C12" s="55" t="s">
        <v>488</v>
      </c>
      <c r="D12" s="53" t="s">
        <v>478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>
      <c r="A13" s="53">
        <v>4.1001068E7</v>
      </c>
      <c r="B13" s="53" t="s">
        <v>490</v>
      </c>
      <c r="C13" s="55" t="s">
        <v>488</v>
      </c>
      <c r="D13" s="53" t="s">
        <v>478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>
      <c r="A14" s="53">
        <v>4.1001528E7</v>
      </c>
      <c r="B14" s="53" t="s">
        <v>491</v>
      </c>
      <c r="C14" s="55" t="s">
        <v>492</v>
      </c>
      <c r="D14" s="53" t="s">
        <v>478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>
      <c r="A15" s="53">
        <v>2.2056332E7</v>
      </c>
      <c r="B15" s="53" t="s">
        <v>265</v>
      </c>
      <c r="C15" s="50" t="s">
        <v>266</v>
      </c>
      <c r="D15" s="50" t="s">
        <v>493</v>
      </c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>
      <c r="A16" s="53">
        <v>2.2025321E7</v>
      </c>
      <c r="B16" s="53" t="s">
        <v>237</v>
      </c>
      <c r="C16" s="50" t="s">
        <v>71</v>
      </c>
      <c r="D16" s="50" t="s">
        <v>493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>
      <c r="A17" s="53">
        <v>2.2025162E7</v>
      </c>
      <c r="B17" s="53" t="s">
        <v>284</v>
      </c>
      <c r="C17" s="53" t="s">
        <v>285</v>
      </c>
      <c r="D17" s="50" t="s">
        <v>493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>
      <c r="A18" s="53">
        <v>2.202525E7</v>
      </c>
      <c r="B18" s="53" t="s">
        <v>286</v>
      </c>
      <c r="C18" s="53" t="s">
        <v>287</v>
      </c>
      <c r="D18" s="50" t="s">
        <v>493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>
      <c r="A19" s="53">
        <v>2.2025244E7</v>
      </c>
      <c r="B19" s="53" t="s">
        <v>288</v>
      </c>
      <c r="C19" s="53" t="s">
        <v>289</v>
      </c>
      <c r="D19" s="50" t="s">
        <v>493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>
      <c r="A20" s="53">
        <v>2.2025241E7</v>
      </c>
      <c r="B20" s="53" t="s">
        <v>290</v>
      </c>
      <c r="C20" s="53" t="s">
        <v>291</v>
      </c>
      <c r="D20" s="50" t="s">
        <v>493</v>
      </c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>
      <c r="A21" s="53">
        <v>2.2025245E7</v>
      </c>
      <c r="B21" s="53" t="s">
        <v>292</v>
      </c>
      <c r="C21" s="53" t="s">
        <v>293</v>
      </c>
      <c r="D21" s="50" t="s">
        <v>493</v>
      </c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>
      <c r="A22" s="53">
        <v>2.2025237E7</v>
      </c>
      <c r="B22" s="53" t="s">
        <v>294</v>
      </c>
      <c r="C22" s="53" t="s">
        <v>295</v>
      </c>
      <c r="D22" s="50" t="s">
        <v>493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>
      <c r="A23" s="53">
        <v>2.2025243E7</v>
      </c>
      <c r="B23" s="53" t="s">
        <v>296</v>
      </c>
      <c r="C23" s="53" t="s">
        <v>297</v>
      </c>
      <c r="D23" s="50" t="s">
        <v>493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>
      <c r="A24" s="53">
        <v>2.2025238E7</v>
      </c>
      <c r="B24" s="53" t="s">
        <v>298</v>
      </c>
      <c r="C24" s="53" t="s">
        <v>299</v>
      </c>
      <c r="D24" s="50" t="s">
        <v>493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>
      <c r="A25" s="53">
        <v>2.2025239E7</v>
      </c>
      <c r="B25" s="53" t="s">
        <v>300</v>
      </c>
      <c r="C25" s="53" t="s">
        <v>301</v>
      </c>
      <c r="D25" s="50" t="s">
        <v>493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>
      <c r="A26" s="53">
        <v>2.202524E7</v>
      </c>
      <c r="B26" s="53" t="s">
        <v>302</v>
      </c>
      <c r="C26" s="53" t="s">
        <v>303</v>
      </c>
      <c r="D26" s="50" t="s">
        <v>493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>
      <c r="A27" s="53">
        <v>2.2025181E7</v>
      </c>
      <c r="B27" s="53" t="s">
        <v>278</v>
      </c>
      <c r="C27" s="53" t="s">
        <v>279</v>
      </c>
      <c r="D27" s="50" t="s">
        <v>493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>
      <c r="A28" s="53">
        <v>2.2025182E7</v>
      </c>
      <c r="B28" s="53" t="s">
        <v>280</v>
      </c>
      <c r="C28" s="53" t="s">
        <v>281</v>
      </c>
      <c r="D28" s="50" t="s">
        <v>493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>
      <c r="A29" s="53">
        <v>2.2025183E7</v>
      </c>
      <c r="B29" s="53" t="s">
        <v>282</v>
      </c>
      <c r="C29" s="53" t="s">
        <v>283</v>
      </c>
      <c r="D29" s="50" t="s">
        <v>493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>
      <c r="A30" s="53">
        <v>4.1001573E7</v>
      </c>
      <c r="B30" s="50" t="s">
        <v>494</v>
      </c>
      <c r="C30" s="54" t="s">
        <v>495</v>
      </c>
      <c r="D30" s="50" t="s">
        <v>478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>
      <c r="A31" s="53">
        <v>4.1001483E7</v>
      </c>
      <c r="B31" s="53" t="s">
        <v>496</v>
      </c>
      <c r="C31" s="55" t="s">
        <v>497</v>
      </c>
      <c r="D31" s="53" t="s">
        <v>478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>
      <c r="A32" s="53">
        <v>4.1001538E7</v>
      </c>
      <c r="B32" s="53" t="s">
        <v>498</v>
      </c>
      <c r="C32" s="55" t="s">
        <v>497</v>
      </c>
      <c r="D32" s="53" t="s">
        <v>478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>
      <c r="A33" s="53">
        <v>4.1001538E7</v>
      </c>
      <c r="B33" s="53" t="s">
        <v>499</v>
      </c>
      <c r="C33" s="55" t="s">
        <v>497</v>
      </c>
      <c r="D33" s="53" t="s">
        <v>478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>
      <c r="A34" s="50">
        <v>4.1001422E7</v>
      </c>
      <c r="B34" s="53" t="s">
        <v>500</v>
      </c>
      <c r="C34" s="55" t="s">
        <v>497</v>
      </c>
      <c r="D34" s="53" t="s">
        <v>478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>
      <c r="A35" s="50">
        <v>4.1001505E7</v>
      </c>
      <c r="B35" s="53" t="s">
        <v>501</v>
      </c>
      <c r="C35" s="55" t="s">
        <v>497</v>
      </c>
      <c r="D35" s="53" t="s">
        <v>478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>
      <c r="A36" s="53">
        <v>4.100153E7</v>
      </c>
      <c r="B36" s="53" t="s">
        <v>502</v>
      </c>
      <c r="C36" s="55" t="s">
        <v>497</v>
      </c>
      <c r="D36" s="53" t="s">
        <v>478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>
      <c r="A37" s="53">
        <v>2.2025136E7</v>
      </c>
      <c r="B37" s="53" t="s">
        <v>238</v>
      </c>
      <c r="C37" s="53" t="s">
        <v>239</v>
      </c>
      <c r="D37" s="50" t="s">
        <v>493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>
      <c r="A38" s="53">
        <v>2.2026219E7</v>
      </c>
      <c r="B38" s="53" t="s">
        <v>242</v>
      </c>
      <c r="C38" s="50" t="s">
        <v>243</v>
      </c>
      <c r="D38" s="50" t="s">
        <v>503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>
      <c r="A39" s="53">
        <v>2.2056369E7</v>
      </c>
      <c r="B39" s="53" t="s">
        <v>246</v>
      </c>
      <c r="C39" s="50" t="s">
        <v>247</v>
      </c>
      <c r="D39" s="50" t="s">
        <v>503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>
      <c r="A40" s="53">
        <v>2.2057657E7</v>
      </c>
      <c r="B40" s="53" t="s">
        <v>346</v>
      </c>
      <c r="C40" s="50" t="s">
        <v>66</v>
      </c>
      <c r="D40" s="50" t="s">
        <v>503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>
      <c r="A41" s="53">
        <v>2.2061736E7</v>
      </c>
      <c r="B41" s="53" t="s">
        <v>347</v>
      </c>
      <c r="C41" s="50" t="s">
        <v>66</v>
      </c>
      <c r="D41" s="50" t="s">
        <v>503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>
      <c r="A42" s="53">
        <v>2.2026265E7</v>
      </c>
      <c r="B42" s="53" t="s">
        <v>357</v>
      </c>
      <c r="C42" s="50" t="s">
        <v>358</v>
      </c>
      <c r="D42" s="50" t="s">
        <v>503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>
      <c r="A43" s="53">
        <v>2.2026223E7</v>
      </c>
      <c r="B43" s="53" t="s">
        <v>240</v>
      </c>
      <c r="C43" s="53" t="s">
        <v>241</v>
      </c>
      <c r="D43" s="50" t="s">
        <v>503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>
      <c r="A44" s="53">
        <v>2.2025084E7</v>
      </c>
      <c r="B44" s="53" t="s">
        <v>244</v>
      </c>
      <c r="C44" s="53" t="s">
        <v>245</v>
      </c>
      <c r="D44" s="50" t="s">
        <v>493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>
      <c r="A45" s="50">
        <v>4.1001186E7</v>
      </c>
      <c r="B45" s="53" t="s">
        <v>504</v>
      </c>
      <c r="C45" s="55" t="s">
        <v>505</v>
      </c>
      <c r="D45" s="53" t="s">
        <v>478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>
      <c r="A46" s="50">
        <v>4.1001186E7</v>
      </c>
      <c r="B46" s="53" t="s">
        <v>506</v>
      </c>
      <c r="C46" s="55" t="s">
        <v>505</v>
      </c>
      <c r="D46" s="53" t="s">
        <v>478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>
      <c r="A47" s="50">
        <v>4.1001186E7</v>
      </c>
      <c r="B47" s="53" t="s">
        <v>507</v>
      </c>
      <c r="C47" s="55" t="s">
        <v>505</v>
      </c>
      <c r="D47" s="53" t="s">
        <v>478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>
      <c r="A48" s="53">
        <v>4.1001234E7</v>
      </c>
      <c r="B48" s="53" t="s">
        <v>508</v>
      </c>
      <c r="C48" s="55" t="s">
        <v>505</v>
      </c>
      <c r="D48" s="53" t="s">
        <v>478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>
      <c r="A49" s="50">
        <v>4.1001233E7</v>
      </c>
      <c r="B49" s="53" t="s">
        <v>509</v>
      </c>
      <c r="C49" s="55" t="s">
        <v>505</v>
      </c>
      <c r="D49" s="53" t="s">
        <v>478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>
      <c r="A50" s="53">
        <v>2.2026199E7</v>
      </c>
      <c r="B50" s="53" t="s">
        <v>251</v>
      </c>
      <c r="C50" s="53" t="s">
        <v>252</v>
      </c>
      <c r="D50" s="50" t="s">
        <v>493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>
      <c r="A51" s="53">
        <v>2.2056342E7</v>
      </c>
      <c r="B51" s="53" t="s">
        <v>314</v>
      </c>
      <c r="C51" s="53" t="s">
        <v>315</v>
      </c>
      <c r="D51" s="50" t="s">
        <v>493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>
      <c r="A52" s="53">
        <v>2.2056343E7</v>
      </c>
      <c r="B52" s="53" t="s">
        <v>316</v>
      </c>
      <c r="C52" s="53" t="s">
        <v>317</v>
      </c>
      <c r="D52" s="50" t="s">
        <v>493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>
      <c r="A53" s="53">
        <v>2.2056344E7</v>
      </c>
      <c r="B53" s="53" t="s">
        <v>318</v>
      </c>
      <c r="C53" s="53" t="s">
        <v>319</v>
      </c>
      <c r="D53" s="50" t="s">
        <v>493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>
      <c r="A54" s="53">
        <v>2.2056345E7</v>
      </c>
      <c r="B54" s="53" t="s">
        <v>320</v>
      </c>
      <c r="C54" s="53" t="s">
        <v>321</v>
      </c>
      <c r="D54" s="50" t="s">
        <v>493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>
      <c r="A55" s="53">
        <v>2.205634E7</v>
      </c>
      <c r="B55" s="53" t="s">
        <v>322</v>
      </c>
      <c r="C55" s="53" t="s">
        <v>323</v>
      </c>
      <c r="D55" s="50" t="s">
        <v>493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>
      <c r="A56" s="53">
        <v>2.2056331E7</v>
      </c>
      <c r="B56" s="53" t="s">
        <v>324</v>
      </c>
      <c r="C56" s="53" t="s">
        <v>325</v>
      </c>
      <c r="D56" s="50" t="s">
        <v>493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>
      <c r="A57" s="53">
        <v>2.2056336E7</v>
      </c>
      <c r="B57" s="53" t="s">
        <v>326</v>
      </c>
      <c r="C57" s="53" t="s">
        <v>327</v>
      </c>
      <c r="D57" s="50" t="s">
        <v>493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>
      <c r="A58" s="53">
        <v>2.2056341E7</v>
      </c>
      <c r="B58" s="53" t="s">
        <v>328</v>
      </c>
      <c r="C58" s="53" t="s">
        <v>329</v>
      </c>
      <c r="D58" s="50" t="s">
        <v>493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>
      <c r="A59" s="53">
        <v>2.2056337E7</v>
      </c>
      <c r="B59" s="53" t="s">
        <v>330</v>
      </c>
      <c r="C59" s="53" t="s">
        <v>331</v>
      </c>
      <c r="D59" s="50" t="s">
        <v>493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>
      <c r="A60" s="53">
        <v>2.2056339E7</v>
      </c>
      <c r="B60" s="53" t="s">
        <v>332</v>
      </c>
      <c r="C60" s="53" t="s">
        <v>333</v>
      </c>
      <c r="D60" s="50" t="s">
        <v>493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>
      <c r="A61" s="53">
        <v>2.2025114E7</v>
      </c>
      <c r="B61" s="53" t="s">
        <v>304</v>
      </c>
      <c r="C61" s="53" t="s">
        <v>305</v>
      </c>
      <c r="D61" s="50" t="s">
        <v>493</v>
      </c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>
      <c r="A62" s="53">
        <v>2.2025115E7</v>
      </c>
      <c r="B62" s="53" t="s">
        <v>306</v>
      </c>
      <c r="C62" s="53" t="s">
        <v>307</v>
      </c>
      <c r="D62" s="50" t="s">
        <v>493</v>
      </c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>
      <c r="A63" s="53">
        <v>2.2025116E7</v>
      </c>
      <c r="B63" s="53" t="s">
        <v>308</v>
      </c>
      <c r="C63" s="53" t="s">
        <v>309</v>
      </c>
      <c r="D63" s="50" t="s">
        <v>493</v>
      </c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>
      <c r="A64" s="53">
        <v>2.2025117E7</v>
      </c>
      <c r="B64" s="53" t="s">
        <v>310</v>
      </c>
      <c r="C64" s="53" t="s">
        <v>311</v>
      </c>
      <c r="D64" s="50" t="s">
        <v>493</v>
      </c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>
      <c r="A65" s="53">
        <v>2.2025119E7</v>
      </c>
      <c r="B65" s="53" t="s">
        <v>312</v>
      </c>
      <c r="C65" s="53" t="s">
        <v>313</v>
      </c>
      <c r="D65" s="50" t="s">
        <v>493</v>
      </c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>
      <c r="A66" s="53">
        <v>4.1001382E7</v>
      </c>
      <c r="B66" s="53" t="s">
        <v>510</v>
      </c>
      <c r="C66" s="55" t="s">
        <v>511</v>
      </c>
      <c r="D66" s="53" t="s">
        <v>478</v>
      </c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>
      <c r="A67" s="53">
        <v>23107.0</v>
      </c>
      <c r="B67" s="53" t="s">
        <v>512</v>
      </c>
      <c r="C67" s="55" t="s">
        <v>511</v>
      </c>
      <c r="D67" s="53" t="s">
        <v>478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>
      <c r="A68" s="53">
        <v>22901.0</v>
      </c>
      <c r="B68" s="53" t="s">
        <v>513</v>
      </c>
      <c r="C68" s="55" t="s">
        <v>511</v>
      </c>
      <c r="D68" s="53" t="s">
        <v>478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>
      <c r="A69" s="53">
        <v>23105.0</v>
      </c>
      <c r="B69" s="50" t="s">
        <v>514</v>
      </c>
      <c r="C69" s="54" t="s">
        <v>511</v>
      </c>
      <c r="D69" s="50" t="s">
        <v>478</v>
      </c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>
      <c r="A70" s="53">
        <v>4.1001263E7</v>
      </c>
      <c r="B70" s="53" t="s">
        <v>515</v>
      </c>
      <c r="C70" s="55" t="s">
        <v>516</v>
      </c>
      <c r="D70" s="53" t="s">
        <v>478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>
      <c r="A71" s="50">
        <v>4.1001343E7</v>
      </c>
      <c r="B71" s="53" t="s">
        <v>517</v>
      </c>
      <c r="C71" s="55" t="s">
        <v>516</v>
      </c>
      <c r="D71" s="53" t="s">
        <v>478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>
      <c r="A72" s="50">
        <v>4.1001261E7</v>
      </c>
      <c r="B72" s="53" t="s">
        <v>518</v>
      </c>
      <c r="C72" s="55" t="s">
        <v>516</v>
      </c>
      <c r="D72" s="53" t="s">
        <v>478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>
      <c r="A73" s="50">
        <v>4.1001262E7</v>
      </c>
      <c r="B73" s="53" t="s">
        <v>519</v>
      </c>
      <c r="C73" s="55" t="s">
        <v>516</v>
      </c>
      <c r="D73" s="53" t="s">
        <v>478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>
      <c r="A74" s="53">
        <v>2.2026772E7</v>
      </c>
      <c r="B74" s="53" t="s">
        <v>257</v>
      </c>
      <c r="C74" s="53" t="s">
        <v>222</v>
      </c>
      <c r="D74" s="50" t="s">
        <v>493</v>
      </c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>
      <c r="A75" s="53">
        <v>2.2026795E7</v>
      </c>
      <c r="B75" s="53" t="s">
        <v>258</v>
      </c>
      <c r="C75" s="53" t="s">
        <v>259</v>
      </c>
      <c r="D75" s="50" t="s">
        <v>493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>
      <c r="A76" s="53">
        <v>2.2026792E7</v>
      </c>
      <c r="B76" s="53" t="s">
        <v>260</v>
      </c>
      <c r="C76" s="53" t="s">
        <v>223</v>
      </c>
      <c r="D76" s="50" t="s">
        <v>493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>
      <c r="A77" s="53">
        <v>2.2025085E7</v>
      </c>
      <c r="B77" s="53" t="s">
        <v>234</v>
      </c>
      <c r="C77" s="53" t="s">
        <v>235</v>
      </c>
      <c r="D77" s="50" t="s">
        <v>493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>
      <c r="A78" s="53">
        <v>4.1001293E7</v>
      </c>
      <c r="B78" s="53" t="s">
        <v>520</v>
      </c>
      <c r="C78" s="55" t="s">
        <v>521</v>
      </c>
      <c r="D78" s="53" t="s">
        <v>478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>
      <c r="A79" s="53">
        <v>4.1001095E7</v>
      </c>
      <c r="B79" s="53" t="s">
        <v>522</v>
      </c>
      <c r="C79" s="55" t="s">
        <v>521</v>
      </c>
      <c r="D79" s="53" t="s">
        <v>478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>
      <c r="A80" s="53">
        <v>4.1001292E7</v>
      </c>
      <c r="B80" s="53" t="s">
        <v>523</v>
      </c>
      <c r="C80" s="55" t="s">
        <v>521</v>
      </c>
      <c r="D80" s="53" t="s">
        <v>478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>
      <c r="A81" s="50">
        <v>4.1001293E7</v>
      </c>
      <c r="B81" s="53" t="s">
        <v>524</v>
      </c>
      <c r="C81" s="55" t="s">
        <v>521</v>
      </c>
      <c r="D81" s="53" t="s">
        <v>478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>
      <c r="A82" s="53">
        <v>4.1001292E7</v>
      </c>
      <c r="B82" s="53" t="s">
        <v>525</v>
      </c>
      <c r="C82" s="55" t="s">
        <v>521</v>
      </c>
      <c r="D82" s="53" t="s">
        <v>478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>
      <c r="A83" s="53">
        <v>4.1001294E7</v>
      </c>
      <c r="B83" s="53" t="s">
        <v>526</v>
      </c>
      <c r="C83" s="55" t="s">
        <v>521</v>
      </c>
      <c r="D83" s="53" t="s">
        <v>478</v>
      </c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>
      <c r="A84" s="53">
        <v>4.1001356E7</v>
      </c>
      <c r="B84" s="50" t="s">
        <v>527</v>
      </c>
      <c r="C84" s="54" t="s">
        <v>521</v>
      </c>
      <c r="D84" s="50" t="s">
        <v>478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>
      <c r="A85" s="50">
        <v>4.1001345E7</v>
      </c>
      <c r="B85" s="50" t="s">
        <v>528</v>
      </c>
      <c r="C85" s="54" t="s">
        <v>529</v>
      </c>
      <c r="D85" s="50" t="s">
        <v>478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>
      <c r="A86" s="53">
        <v>2.205766E7</v>
      </c>
      <c r="B86" s="53" t="s">
        <v>355</v>
      </c>
      <c r="C86" s="53" t="s">
        <v>356</v>
      </c>
      <c r="D86" s="50" t="s">
        <v>493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>
      <c r="A87" s="53">
        <v>2.202532E7</v>
      </c>
      <c r="B87" s="53" t="s">
        <v>261</v>
      </c>
      <c r="C87" s="53" t="s">
        <v>262</v>
      </c>
      <c r="D87" s="50" t="s">
        <v>493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>
      <c r="A88" s="53">
        <v>2.2057659E7</v>
      </c>
      <c r="B88" s="53" t="s">
        <v>349</v>
      </c>
      <c r="C88" s="53" t="s">
        <v>350</v>
      </c>
      <c r="D88" s="50" t="s">
        <v>493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>
      <c r="A89" s="53">
        <v>2.2026189E7</v>
      </c>
      <c r="B89" s="53" t="s">
        <v>248</v>
      </c>
      <c r="C89" s="53" t="s">
        <v>219</v>
      </c>
      <c r="D89" s="50" t="s">
        <v>503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>
      <c r="A90" s="53">
        <v>2.2025322E7</v>
      </c>
      <c r="B90" s="53" t="s">
        <v>263</v>
      </c>
      <c r="C90" s="53" t="s">
        <v>264</v>
      </c>
      <c r="D90" s="50" t="s">
        <v>493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>
      <c r="A91" s="53">
        <v>2.2056338E7</v>
      </c>
      <c r="B91" s="53" t="s">
        <v>269</v>
      </c>
      <c r="C91" s="53" t="s">
        <v>270</v>
      </c>
      <c r="D91" s="50" t="s">
        <v>493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>
      <c r="A92" s="53">
        <v>2.2025139E7</v>
      </c>
      <c r="B92" s="53" t="s">
        <v>271</v>
      </c>
      <c r="C92" s="53" t="s">
        <v>272</v>
      </c>
      <c r="D92" s="50" t="s">
        <v>503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>
      <c r="A93" s="53">
        <v>2.2025349E7</v>
      </c>
      <c r="B93" s="53" t="s">
        <v>351</v>
      </c>
      <c r="C93" s="53" t="s">
        <v>352</v>
      </c>
      <c r="D93" s="50" t="s">
        <v>503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>
      <c r="A94" s="53">
        <v>2.2025348E7</v>
      </c>
      <c r="B94" s="53" t="s">
        <v>353</v>
      </c>
      <c r="C94" s="53" t="s">
        <v>354</v>
      </c>
      <c r="D94" s="50" t="s">
        <v>503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>
      <c r="A95" s="53">
        <v>2.2057635E7</v>
      </c>
      <c r="B95" s="53" t="s">
        <v>273</v>
      </c>
      <c r="C95" s="53" t="s">
        <v>274</v>
      </c>
      <c r="D95" s="50" t="s">
        <v>503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>
      <c r="A96" s="53">
        <v>2.205762E7</v>
      </c>
      <c r="B96" s="53" t="s">
        <v>348</v>
      </c>
      <c r="C96" s="53" t="s">
        <v>57</v>
      </c>
      <c r="D96" s="50" t="s">
        <v>503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>
      <c r="A97" s="53">
        <v>2.2026544E7</v>
      </c>
      <c r="B97" s="53" t="s">
        <v>275</v>
      </c>
      <c r="C97" s="53" t="s">
        <v>276</v>
      </c>
      <c r="D97" s="50" t="s">
        <v>493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>
      <c r="A98" s="53">
        <v>4.1001376E7</v>
      </c>
      <c r="B98" s="53" t="s">
        <v>530</v>
      </c>
      <c r="C98" s="55" t="s">
        <v>531</v>
      </c>
      <c r="D98" s="53" t="s">
        <v>478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>
      <c r="A99" s="53">
        <v>4.1001352E7</v>
      </c>
      <c r="B99" s="53" t="s">
        <v>532</v>
      </c>
      <c r="C99" s="55" t="s">
        <v>533</v>
      </c>
      <c r="D99" s="53" t="s">
        <v>478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>
      <c r="A100" s="53">
        <v>4.100129E7</v>
      </c>
      <c r="B100" s="53" t="s">
        <v>534</v>
      </c>
      <c r="C100" s="55" t="s">
        <v>533</v>
      </c>
      <c r="D100" s="53" t="s">
        <v>478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>
      <c r="A101" s="53">
        <v>4.1001345E7</v>
      </c>
      <c r="B101" s="53" t="s">
        <v>535</v>
      </c>
      <c r="C101" s="55" t="s">
        <v>533</v>
      </c>
      <c r="D101" s="53" t="s">
        <v>478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>
      <c r="A102" s="50">
        <v>4.1001218E7</v>
      </c>
      <c r="B102" s="53" t="s">
        <v>536</v>
      </c>
      <c r="C102" s="55" t="s">
        <v>533</v>
      </c>
      <c r="D102" s="53" t="s">
        <v>478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>
      <c r="A103" s="50">
        <v>4.1001295E7</v>
      </c>
      <c r="B103" s="53" t="s">
        <v>537</v>
      </c>
      <c r="C103" s="55" t="s">
        <v>533</v>
      </c>
      <c r="D103" s="53" t="s">
        <v>478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>
      <c r="A104" s="50">
        <v>4.1001218E7</v>
      </c>
      <c r="B104" s="53" t="s">
        <v>538</v>
      </c>
      <c r="C104" s="55" t="s">
        <v>533</v>
      </c>
      <c r="D104" s="53" t="s">
        <v>478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>
      <c r="A105" s="53">
        <v>2.2056366E7</v>
      </c>
      <c r="B105" s="53" t="s">
        <v>277</v>
      </c>
      <c r="C105" s="53" t="s">
        <v>68</v>
      </c>
      <c r="D105" s="50" t="s">
        <v>493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>
      <c r="A106" s="53">
        <v>2.2025072E7</v>
      </c>
      <c r="B106" s="53" t="s">
        <v>267</v>
      </c>
      <c r="C106" s="53" t="s">
        <v>268</v>
      </c>
      <c r="D106" s="50" t="s">
        <v>493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>
      <c r="A107" s="50">
        <v>4.1001274E7</v>
      </c>
      <c r="B107" s="53" t="s">
        <v>539</v>
      </c>
      <c r="C107" s="55" t="s">
        <v>540</v>
      </c>
      <c r="D107" s="53" t="s">
        <v>478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>
      <c r="A108" s="53">
        <v>4.1001272E7</v>
      </c>
      <c r="B108" s="53" t="s">
        <v>541</v>
      </c>
      <c r="C108" s="55" t="s">
        <v>540</v>
      </c>
      <c r="D108" s="53" t="s">
        <v>478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>
      <c r="A109" s="53">
        <v>4.1001216E7</v>
      </c>
      <c r="B109" s="53" t="s">
        <v>542</v>
      </c>
      <c r="C109" s="55" t="s">
        <v>540</v>
      </c>
      <c r="D109" s="53" t="s">
        <v>478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>
      <c r="A110" s="53">
        <v>4.1001216E7</v>
      </c>
      <c r="B110" s="53" t="s">
        <v>543</v>
      </c>
      <c r="C110" s="55" t="s">
        <v>540</v>
      </c>
      <c r="D110" s="53" t="s">
        <v>478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>
      <c r="A111" s="53">
        <v>4.1001273E7</v>
      </c>
      <c r="B111" s="53" t="s">
        <v>544</v>
      </c>
      <c r="C111" s="55" t="s">
        <v>540</v>
      </c>
      <c r="D111" s="53" t="s">
        <v>478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>
      <c r="A112" s="53">
        <v>2.2056364E7</v>
      </c>
      <c r="B112" s="53" t="s">
        <v>334</v>
      </c>
      <c r="C112" s="53" t="s">
        <v>69</v>
      </c>
      <c r="D112" s="50" t="s">
        <v>493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>
      <c r="A113" s="53">
        <v>2.2056365E7</v>
      </c>
      <c r="B113" s="53" t="s">
        <v>337</v>
      </c>
      <c r="C113" s="53" t="s">
        <v>70</v>
      </c>
      <c r="D113" s="50" t="s">
        <v>493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>
      <c r="A114" s="53">
        <v>4.1001516E7</v>
      </c>
      <c r="B114" s="53" t="s">
        <v>545</v>
      </c>
      <c r="C114" s="55" t="s">
        <v>546</v>
      </c>
      <c r="D114" s="53" t="s">
        <v>478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>
      <c r="A115" s="53">
        <v>4.1001478E7</v>
      </c>
      <c r="B115" s="53" t="s">
        <v>547</v>
      </c>
      <c r="C115" s="55" t="s">
        <v>546</v>
      </c>
      <c r="D115" s="53" t="s">
        <v>478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>
      <c r="A116" s="53">
        <v>4.1001434E7</v>
      </c>
      <c r="B116" s="53" t="s">
        <v>548</v>
      </c>
      <c r="C116" s="55" t="s">
        <v>546</v>
      </c>
      <c r="D116" s="53" t="s">
        <v>478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>
      <c r="A117" s="53">
        <v>4.1001479E7</v>
      </c>
      <c r="B117" s="53" t="s">
        <v>549</v>
      </c>
      <c r="C117" s="55" t="s">
        <v>546</v>
      </c>
      <c r="D117" s="53" t="s">
        <v>478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>
      <c r="A118" s="53">
        <v>4.1001522E7</v>
      </c>
      <c r="B118" s="53" t="s">
        <v>550</v>
      </c>
      <c r="C118" s="55" t="s">
        <v>546</v>
      </c>
      <c r="D118" s="53" t="s">
        <v>478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>
      <c r="A119" s="53">
        <v>4.1001535E7</v>
      </c>
      <c r="B119" s="50" t="s">
        <v>551</v>
      </c>
      <c r="C119" s="55" t="s">
        <v>546</v>
      </c>
      <c r="D119" s="53" t="s">
        <v>478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>
      <c r="A120" s="53">
        <v>4.1001521E7</v>
      </c>
      <c r="B120" s="50" t="s">
        <v>552</v>
      </c>
      <c r="C120" s="54" t="s">
        <v>553</v>
      </c>
      <c r="D120" s="50" t="s">
        <v>478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>
      <c r="A121" s="53">
        <v>4.1001541E7</v>
      </c>
      <c r="B121" s="50" t="s">
        <v>554</v>
      </c>
      <c r="C121" s="54" t="s">
        <v>546</v>
      </c>
      <c r="D121" s="50" t="s">
        <v>478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>
      <c r="A122" s="53">
        <v>2.2026489E7</v>
      </c>
      <c r="B122" s="53" t="s">
        <v>335</v>
      </c>
      <c r="C122" s="53" t="s">
        <v>336</v>
      </c>
      <c r="D122" s="50" t="s">
        <v>493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>
      <c r="A123" s="53">
        <v>2.2025334E7</v>
      </c>
      <c r="B123" s="53" t="s">
        <v>338</v>
      </c>
      <c r="C123" s="53" t="s">
        <v>339</v>
      </c>
      <c r="D123" s="50" t="s">
        <v>493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>
      <c r="A124" s="53">
        <v>2.2026149E7</v>
      </c>
      <c r="B124" s="53" t="s">
        <v>249</v>
      </c>
      <c r="C124" s="53" t="s">
        <v>250</v>
      </c>
      <c r="D124" s="50" t="s">
        <v>493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>
      <c r="A125" s="53">
        <v>2.2061811E7</v>
      </c>
      <c r="B125" s="53" t="s">
        <v>253</v>
      </c>
      <c r="C125" s="53" t="s">
        <v>254</v>
      </c>
      <c r="D125" s="50" t="s">
        <v>503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>
      <c r="A126" s="50">
        <v>4.1001324E7</v>
      </c>
      <c r="B126" s="53" t="s">
        <v>555</v>
      </c>
      <c r="C126" s="55" t="s">
        <v>556</v>
      </c>
      <c r="D126" s="53" t="s">
        <v>478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>
      <c r="A127" s="50">
        <v>4.1001324E7</v>
      </c>
      <c r="B127" s="53" t="s">
        <v>557</v>
      </c>
      <c r="C127" s="55" t="s">
        <v>556</v>
      </c>
      <c r="D127" s="53" t="s">
        <v>478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>
      <c r="A128" s="50">
        <v>4.1001196E7</v>
      </c>
      <c r="B128" s="53" t="s">
        <v>558</v>
      </c>
      <c r="C128" s="55" t="s">
        <v>556</v>
      </c>
      <c r="D128" s="53" t="s">
        <v>478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>
      <c r="A129" s="53">
        <v>4.1001196E7</v>
      </c>
      <c r="B129" s="53" t="s">
        <v>559</v>
      </c>
      <c r="C129" s="55" t="s">
        <v>556</v>
      </c>
      <c r="D129" s="53" t="s">
        <v>478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>
      <c r="A130" s="50">
        <v>4.1001196E7</v>
      </c>
      <c r="B130" s="53" t="s">
        <v>560</v>
      </c>
      <c r="C130" s="55" t="s">
        <v>556</v>
      </c>
      <c r="D130" s="53" t="s">
        <v>478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>
      <c r="A131" s="50">
        <v>4.1001196E7</v>
      </c>
      <c r="B131" s="53" t="s">
        <v>561</v>
      </c>
      <c r="C131" s="55" t="s">
        <v>556</v>
      </c>
      <c r="D131" s="53" t="s">
        <v>478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>
      <c r="A132" s="50">
        <v>4.1001196E7</v>
      </c>
      <c r="B132" s="53" t="s">
        <v>562</v>
      </c>
      <c r="C132" s="55" t="s">
        <v>556</v>
      </c>
      <c r="D132" s="53" t="s">
        <v>478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>
      <c r="A133" s="53">
        <v>4.1001194E7</v>
      </c>
      <c r="B133" s="53" t="s">
        <v>563</v>
      </c>
      <c r="C133" s="55" t="s">
        <v>556</v>
      </c>
      <c r="D133" s="53" t="s">
        <v>478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>
      <c r="A134" s="53">
        <v>4.1001194E7</v>
      </c>
      <c r="B134" s="53" t="s">
        <v>564</v>
      </c>
      <c r="C134" s="55" t="s">
        <v>556</v>
      </c>
      <c r="D134" s="53" t="s">
        <v>478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>
      <c r="A135" s="50">
        <v>4.1001228E7</v>
      </c>
      <c r="B135" s="53" t="s">
        <v>565</v>
      </c>
      <c r="C135" s="55" t="s">
        <v>556</v>
      </c>
      <c r="D135" s="53" t="s">
        <v>478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>
      <c r="A136" s="50">
        <v>4.1001196E7</v>
      </c>
      <c r="B136" s="53" t="s">
        <v>566</v>
      </c>
      <c r="C136" s="55" t="s">
        <v>556</v>
      </c>
      <c r="D136" s="53" t="s">
        <v>478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>
      <c r="A137" s="53">
        <v>4.1001196E7</v>
      </c>
      <c r="B137" s="53" t="s">
        <v>567</v>
      </c>
      <c r="C137" s="55" t="s">
        <v>556</v>
      </c>
      <c r="D137" s="53" t="s">
        <v>478</v>
      </c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>
      <c r="A138" s="50">
        <v>4.1001508E7</v>
      </c>
      <c r="B138" s="53" t="s">
        <v>568</v>
      </c>
      <c r="C138" s="55" t="s">
        <v>569</v>
      </c>
      <c r="D138" s="53" t="s">
        <v>478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>
      <c r="A139" s="53">
        <v>4.1000805E7</v>
      </c>
      <c r="B139" s="53" t="s">
        <v>570</v>
      </c>
      <c r="C139" s="55" t="s">
        <v>569</v>
      </c>
      <c r="D139" s="53" t="s">
        <v>478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>
      <c r="A140" s="50">
        <v>4.100123E7</v>
      </c>
      <c r="B140" s="53" t="s">
        <v>571</v>
      </c>
      <c r="C140" s="55" t="s">
        <v>572</v>
      </c>
      <c r="D140" s="53" t="s">
        <v>478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>
      <c r="A141" s="53">
        <v>4.1001286E7</v>
      </c>
      <c r="B141" s="53" t="s">
        <v>573</v>
      </c>
      <c r="C141" s="55" t="s">
        <v>572</v>
      </c>
      <c r="D141" s="53" t="s">
        <v>478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>
      <c r="A142" s="50">
        <v>4.100123E7</v>
      </c>
      <c r="B142" s="53" t="s">
        <v>574</v>
      </c>
      <c r="C142" s="55" t="s">
        <v>572</v>
      </c>
      <c r="D142" s="53" t="s">
        <v>478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>
      <c r="A143" s="53">
        <v>4.1001159E7</v>
      </c>
      <c r="B143" s="53" t="s">
        <v>575</v>
      </c>
      <c r="C143" s="55" t="s">
        <v>572</v>
      </c>
      <c r="D143" s="53" t="s">
        <v>478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>
      <c r="A144" s="53">
        <v>4.1001289E7</v>
      </c>
      <c r="B144" s="53" t="s">
        <v>576</v>
      </c>
      <c r="C144" s="55" t="s">
        <v>572</v>
      </c>
      <c r="D144" s="53" t="s">
        <v>478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>
      <c r="A145" s="50">
        <v>4.1001302E7</v>
      </c>
      <c r="B145" s="53" t="s">
        <v>577</v>
      </c>
      <c r="C145" s="55" t="s">
        <v>572</v>
      </c>
      <c r="D145" s="53" t="s">
        <v>478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>
      <c r="A146" s="50">
        <v>4.1001302E7</v>
      </c>
      <c r="B146" s="53" t="s">
        <v>578</v>
      </c>
      <c r="C146" s="55" t="s">
        <v>572</v>
      </c>
      <c r="D146" s="53" t="s">
        <v>478</v>
      </c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>
      <c r="A147" s="50">
        <v>4.1001304E7</v>
      </c>
      <c r="B147" s="53" t="s">
        <v>579</v>
      </c>
      <c r="C147" s="55" t="s">
        <v>572</v>
      </c>
      <c r="D147" s="53" t="s">
        <v>478</v>
      </c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>
      <c r="A148" s="50">
        <v>4.10013E7</v>
      </c>
      <c r="B148" s="53" t="s">
        <v>580</v>
      </c>
      <c r="C148" s="55" t="s">
        <v>572</v>
      </c>
      <c r="D148" s="53" t="s">
        <v>478</v>
      </c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>
      <c r="A149" s="50">
        <v>4.1001285E7</v>
      </c>
      <c r="B149" s="53" t="s">
        <v>581</v>
      </c>
      <c r="C149" s="55" t="s">
        <v>572</v>
      </c>
      <c r="D149" s="53" t="s">
        <v>478</v>
      </c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>
      <c r="A150" s="53">
        <v>4.1001159E7</v>
      </c>
      <c r="B150" s="53" t="s">
        <v>582</v>
      </c>
      <c r="C150" s="55" t="s">
        <v>572</v>
      </c>
      <c r="D150" s="53" t="s">
        <v>478</v>
      </c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>
      <c r="A151" s="50">
        <v>4.1001155E7</v>
      </c>
      <c r="B151" s="53" t="s">
        <v>583</v>
      </c>
      <c r="C151" s="55" t="s">
        <v>572</v>
      </c>
      <c r="D151" s="53" t="s">
        <v>478</v>
      </c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>
      <c r="A152" s="50">
        <v>4.1001155E7</v>
      </c>
      <c r="B152" s="53" t="s">
        <v>584</v>
      </c>
      <c r="C152" s="55" t="s">
        <v>572</v>
      </c>
      <c r="D152" s="53" t="s">
        <v>478</v>
      </c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>
      <c r="A153" s="50">
        <v>4.1001155E7</v>
      </c>
      <c r="B153" s="53" t="s">
        <v>585</v>
      </c>
      <c r="C153" s="55" t="s">
        <v>572</v>
      </c>
      <c r="D153" s="53" t="s">
        <v>478</v>
      </c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>
      <c r="A154" s="50">
        <v>4.1001352E7</v>
      </c>
      <c r="B154" s="53" t="s">
        <v>586</v>
      </c>
      <c r="C154" s="55" t="s">
        <v>572</v>
      </c>
      <c r="D154" s="53" t="s">
        <v>478</v>
      </c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>
      <c r="A155" s="53">
        <v>4.1001288E7</v>
      </c>
      <c r="B155" s="53" t="s">
        <v>587</v>
      </c>
      <c r="C155" s="55" t="s">
        <v>572</v>
      </c>
      <c r="D155" s="53" t="s">
        <v>478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>
      <c r="A156" s="50">
        <v>4.1001287E7</v>
      </c>
      <c r="B156" s="53" t="s">
        <v>588</v>
      </c>
      <c r="C156" s="55" t="s">
        <v>572</v>
      </c>
      <c r="D156" s="53" t="s">
        <v>478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>
      <c r="A157" s="50">
        <v>4.10013E7</v>
      </c>
      <c r="B157" s="53" t="s">
        <v>589</v>
      </c>
      <c r="C157" s="55" t="s">
        <v>572</v>
      </c>
      <c r="D157" s="53" t="s">
        <v>478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>
      <c r="A158" s="53">
        <v>4.1001234E7</v>
      </c>
      <c r="B158" s="53" t="s">
        <v>590</v>
      </c>
      <c r="C158" s="55" t="s">
        <v>572</v>
      </c>
      <c r="D158" s="53" t="s">
        <v>478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>
      <c r="A159" s="53">
        <v>2.2026809E7</v>
      </c>
      <c r="B159" s="53" t="s">
        <v>255</v>
      </c>
      <c r="C159" s="53" t="s">
        <v>220</v>
      </c>
      <c r="D159" s="50" t="s">
        <v>493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>
      <c r="A160" s="53">
        <v>2.2026746E7</v>
      </c>
      <c r="B160" s="53" t="s">
        <v>256</v>
      </c>
      <c r="C160" s="53" t="s">
        <v>221</v>
      </c>
      <c r="D160" s="50" t="s">
        <v>493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>
      <c r="A161" s="53">
        <v>2.202509E7</v>
      </c>
      <c r="B161" s="53" t="s">
        <v>340</v>
      </c>
      <c r="C161" s="53" t="s">
        <v>341</v>
      </c>
      <c r="D161" s="50" t="s">
        <v>493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>
      <c r="A162" s="53">
        <v>2.2025089E7</v>
      </c>
      <c r="B162" s="53" t="s">
        <v>342</v>
      </c>
      <c r="C162" s="53" t="s">
        <v>343</v>
      </c>
      <c r="D162" s="50" t="s">
        <v>493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>
      <c r="A163" s="53">
        <v>4.1001277E7</v>
      </c>
      <c r="B163" s="53" t="s">
        <v>591</v>
      </c>
      <c r="C163" s="55" t="s">
        <v>592</v>
      </c>
      <c r="D163" s="53" t="s">
        <v>478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>
      <c r="A164" s="53">
        <v>4.1001276E7</v>
      </c>
      <c r="B164" s="53" t="s">
        <v>593</v>
      </c>
      <c r="C164" s="55" t="s">
        <v>592</v>
      </c>
      <c r="D164" s="53" t="s">
        <v>478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>
      <c r="A165" s="53">
        <v>4.1001275E7</v>
      </c>
      <c r="B165" s="53" t="s">
        <v>594</v>
      </c>
      <c r="C165" s="55" t="s">
        <v>592</v>
      </c>
      <c r="D165" s="53" t="s">
        <v>478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>
      <c r="A166" s="53">
        <v>4.1001048E7</v>
      </c>
      <c r="B166" s="53" t="s">
        <v>595</v>
      </c>
      <c r="C166" s="55" t="s">
        <v>592</v>
      </c>
      <c r="D166" s="53" t="s">
        <v>478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>
      <c r="A167" s="53">
        <v>4.1001047E7</v>
      </c>
      <c r="B167" s="53" t="s">
        <v>596</v>
      </c>
      <c r="C167" s="55" t="s">
        <v>592</v>
      </c>
      <c r="D167" s="53" t="s">
        <v>478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>
      <c r="A168" s="53">
        <v>2.2025049E7</v>
      </c>
      <c r="B168" s="53" t="s">
        <v>344</v>
      </c>
      <c r="C168" s="53" t="s">
        <v>345</v>
      </c>
      <c r="D168" s="50" t="s">
        <v>493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>
      <c r="A169" s="53">
        <v>4.1001552E7</v>
      </c>
      <c r="B169" s="50" t="s">
        <v>597</v>
      </c>
      <c r="C169" s="54" t="s">
        <v>598</v>
      </c>
      <c r="D169" s="50" t="s">
        <v>478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>
      <c r="A170" s="53">
        <v>4.1001553E7</v>
      </c>
      <c r="B170" s="50" t="s">
        <v>599</v>
      </c>
      <c r="C170" s="54" t="s">
        <v>598</v>
      </c>
      <c r="D170" s="50" t="s">
        <v>478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>
      <c r="A171" s="53">
        <v>4.1001523E7</v>
      </c>
      <c r="B171" s="53" t="s">
        <v>600</v>
      </c>
      <c r="C171" s="55" t="s">
        <v>601</v>
      </c>
      <c r="D171" s="53" t="s">
        <v>478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>
      <c r="A172" s="53">
        <v>4.1001536E7</v>
      </c>
      <c r="B172" s="53" t="s">
        <v>602</v>
      </c>
      <c r="C172" s="55" t="s">
        <v>601</v>
      </c>
      <c r="D172" s="53" t="s">
        <v>478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>
      <c r="A173" s="53">
        <v>4.1001536E7</v>
      </c>
      <c r="B173" s="50" t="s">
        <v>602</v>
      </c>
      <c r="C173" s="55" t="s">
        <v>601</v>
      </c>
      <c r="D173" s="50" t="s">
        <v>478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>
      <c r="A174" s="53">
        <v>4.1001356E7</v>
      </c>
      <c r="B174" s="50" t="s">
        <v>527</v>
      </c>
      <c r="C174" s="54" t="s">
        <v>521</v>
      </c>
      <c r="D174" s="50" t="s">
        <v>478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>
      <c r="A175" s="50">
        <v>4.1001567E7</v>
      </c>
      <c r="B175" s="50" t="s">
        <v>603</v>
      </c>
      <c r="C175" s="55" t="s">
        <v>601</v>
      </c>
      <c r="D175" s="50" t="s">
        <v>478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>
      <c r="A176" s="50">
        <v>4.1001579E7</v>
      </c>
      <c r="B176" s="53" t="s">
        <v>604</v>
      </c>
      <c r="C176" s="54" t="s">
        <v>598</v>
      </c>
      <c r="D176" s="50" t="s">
        <v>478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>
      <c r="A177" s="50">
        <v>4.1001567E7</v>
      </c>
      <c r="B177" s="50" t="s">
        <v>603</v>
      </c>
      <c r="C177" s="55" t="s">
        <v>601</v>
      </c>
      <c r="D177" s="50" t="s">
        <v>478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>
      <c r="A178" s="53">
        <v>23107.0</v>
      </c>
      <c r="B178" s="53" t="s">
        <v>512</v>
      </c>
      <c r="C178" s="54" t="s">
        <v>511</v>
      </c>
      <c r="D178" s="50" t="s">
        <v>478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>
      <c r="A179" s="53">
        <v>23106.0</v>
      </c>
      <c r="B179" s="53" t="s">
        <v>605</v>
      </c>
      <c r="C179" s="54" t="s">
        <v>511</v>
      </c>
      <c r="D179" s="50" t="s">
        <v>478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>
      <c r="A180" s="53">
        <v>4.100159E7</v>
      </c>
      <c r="B180" s="53" t="s">
        <v>606</v>
      </c>
      <c r="C180" s="54" t="s">
        <v>553</v>
      </c>
      <c r="D180" s="50" t="s">
        <v>478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>
      <c r="A181" s="50">
        <v>4.100156E7</v>
      </c>
      <c r="B181" s="53" t="s">
        <v>607</v>
      </c>
      <c r="C181" s="54" t="s">
        <v>553</v>
      </c>
      <c r="D181" s="50" t="s">
        <v>478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>
      <c r="A182" s="50">
        <v>4.1001583E7</v>
      </c>
      <c r="B182" s="50" t="s">
        <v>608</v>
      </c>
      <c r="C182" s="54" t="s">
        <v>492</v>
      </c>
      <c r="D182" s="50" t="s">
        <v>478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>
      <c r="A183" s="53">
        <v>4.1001515E7</v>
      </c>
      <c r="B183" s="53" t="s">
        <v>609</v>
      </c>
      <c r="C183" s="54" t="s">
        <v>610</v>
      </c>
      <c r="D183" s="50" t="s">
        <v>478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>
      <c r="A184" s="53">
        <v>4.1001593E7</v>
      </c>
      <c r="B184" s="53" t="s">
        <v>611</v>
      </c>
      <c r="C184" s="54" t="s">
        <v>601</v>
      </c>
      <c r="D184" s="50" t="s">
        <v>478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>
      <c r="A185" s="50">
        <v>4.1001584E7</v>
      </c>
      <c r="B185" s="50" t="s">
        <v>612</v>
      </c>
      <c r="C185" s="54" t="s">
        <v>492</v>
      </c>
      <c r="D185" s="50" t="s">
        <v>478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>
      <c r="A186" s="50">
        <v>4.1001537E7</v>
      </c>
      <c r="B186" s="50" t="s">
        <v>498</v>
      </c>
      <c r="C186" s="54" t="s">
        <v>497</v>
      </c>
      <c r="D186" s="50" t="s">
        <v>478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>
      <c r="A187" s="50">
        <v>4.1001484E7</v>
      </c>
      <c r="B187" s="50" t="s">
        <v>487</v>
      </c>
      <c r="C187" s="54" t="s">
        <v>488</v>
      </c>
      <c r="D187" s="50" t="s">
        <v>478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>
      <c r="A188" s="53"/>
      <c r="B188" s="53"/>
      <c r="C188" s="53"/>
      <c r="D188" s="53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>
      <c r="A189" s="53"/>
      <c r="B189" s="53"/>
      <c r="C189" s="53"/>
      <c r="D189" s="53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>
      <c r="A190" s="53"/>
      <c r="B190" s="53"/>
      <c r="C190" s="53"/>
      <c r="D190" s="53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>
      <c r="A191" s="53"/>
      <c r="B191" s="53"/>
      <c r="C191" s="53"/>
      <c r="D191" s="53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>
      <c r="A192" s="53"/>
      <c r="B192" s="53"/>
      <c r="C192" s="53"/>
      <c r="D192" s="53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>
      <c r="A193" s="53"/>
      <c r="B193" s="53"/>
      <c r="C193" s="53"/>
      <c r="D193" s="53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>
      <c r="A194" s="53"/>
      <c r="B194" s="53"/>
      <c r="C194" s="53"/>
      <c r="D194" s="53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>
      <c r="A195" s="53"/>
      <c r="B195" s="53"/>
      <c r="C195" s="53"/>
      <c r="D195" s="53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>
      <c r="A196" s="53"/>
      <c r="B196" s="53"/>
      <c r="C196" s="53"/>
      <c r="D196" s="53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>
      <c r="A197" s="53"/>
      <c r="B197" s="53"/>
      <c r="C197" s="53"/>
      <c r="D197" s="53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>
      <c r="A198" s="53"/>
      <c r="B198" s="53"/>
      <c r="C198" s="53"/>
      <c r="D198" s="53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>
      <c r="A199" s="53"/>
      <c r="B199" s="53"/>
      <c r="C199" s="53"/>
      <c r="D199" s="53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>
      <c r="A200" s="53"/>
      <c r="B200" s="53"/>
      <c r="C200" s="53"/>
      <c r="D200" s="53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>
      <c r="A201" s="53"/>
      <c r="B201" s="53"/>
      <c r="C201" s="53"/>
      <c r="D201" s="53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>
      <c r="A202" s="53"/>
      <c r="B202" s="53"/>
      <c r="C202" s="53"/>
      <c r="D202" s="53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>
      <c r="A203" s="53"/>
      <c r="B203" s="53"/>
      <c r="C203" s="53"/>
      <c r="D203" s="53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>
      <c r="A204" s="53"/>
      <c r="B204" s="53"/>
      <c r="C204" s="53"/>
      <c r="D204" s="53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>
      <c r="A205" s="53"/>
      <c r="B205" s="53"/>
      <c r="C205" s="53"/>
      <c r="D205" s="53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>
      <c r="A206" s="53"/>
      <c r="B206" s="53"/>
      <c r="C206" s="53"/>
      <c r="D206" s="53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>
      <c r="A207" s="53"/>
      <c r="B207" s="53"/>
      <c r="C207" s="53"/>
      <c r="D207" s="53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>
      <c r="A208" s="53"/>
      <c r="B208" s="53"/>
      <c r="C208" s="53"/>
      <c r="D208" s="53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>
      <c r="A209" s="53"/>
      <c r="B209" s="53"/>
      <c r="C209" s="53"/>
      <c r="D209" s="53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>
      <c r="A210" s="53"/>
      <c r="B210" s="53"/>
      <c r="C210" s="53"/>
      <c r="D210" s="53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>
      <c r="A211" s="53"/>
      <c r="B211" s="53"/>
      <c r="C211" s="53"/>
      <c r="D211" s="53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>
      <c r="A212" s="53"/>
      <c r="B212" s="53"/>
      <c r="C212" s="53"/>
      <c r="D212" s="53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>
      <c r="A213" s="53"/>
      <c r="B213" s="53"/>
      <c r="C213" s="53"/>
      <c r="D213" s="53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>
      <c r="A214" s="53"/>
      <c r="B214" s="53"/>
      <c r="C214" s="53"/>
      <c r="D214" s="53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>
      <c r="A215" s="53"/>
      <c r="B215" s="53"/>
      <c r="C215" s="53"/>
      <c r="D215" s="53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>
      <c r="A216" s="53"/>
      <c r="B216" s="53"/>
      <c r="C216" s="53"/>
      <c r="D216" s="53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>
      <c r="A217" s="53"/>
      <c r="B217" s="53"/>
      <c r="C217" s="53"/>
      <c r="D217" s="53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>
      <c r="A218" s="53"/>
      <c r="B218" s="53"/>
      <c r="C218" s="53"/>
      <c r="D218" s="53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>
      <c r="A219" s="53"/>
      <c r="B219" s="53"/>
      <c r="C219" s="53"/>
      <c r="D219" s="53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>
      <c r="A220" s="53"/>
      <c r="B220" s="53"/>
      <c r="C220" s="53"/>
      <c r="D220" s="53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>
      <c r="A221" s="53"/>
      <c r="B221" s="53"/>
      <c r="C221" s="53"/>
      <c r="D221" s="53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>
      <c r="A222" s="53"/>
      <c r="B222" s="53"/>
      <c r="C222" s="53"/>
      <c r="D222" s="53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>
      <c r="A223" s="53"/>
      <c r="B223" s="53"/>
      <c r="C223" s="53"/>
      <c r="D223" s="53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>
      <c r="A224" s="53"/>
      <c r="B224" s="53"/>
      <c r="C224" s="53"/>
      <c r="D224" s="53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>
      <c r="A225" s="53"/>
      <c r="B225" s="53"/>
      <c r="C225" s="53"/>
      <c r="D225" s="53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>
      <c r="A226" s="53"/>
      <c r="B226" s="53"/>
      <c r="C226" s="53"/>
      <c r="D226" s="53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>
      <c r="A227" s="53"/>
      <c r="B227" s="53"/>
      <c r="C227" s="53"/>
      <c r="D227" s="53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>
      <c r="A228" s="53"/>
      <c r="B228" s="53"/>
      <c r="C228" s="53"/>
      <c r="D228" s="53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>
      <c r="A229" s="53"/>
      <c r="B229" s="53"/>
      <c r="C229" s="53"/>
      <c r="D229" s="53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>
      <c r="A230" s="53"/>
      <c r="B230" s="53"/>
      <c r="C230" s="53"/>
      <c r="D230" s="53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>
      <c r="A231" s="53"/>
      <c r="B231" s="53"/>
      <c r="C231" s="53"/>
      <c r="D231" s="53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>
      <c r="A232" s="53"/>
      <c r="B232" s="53"/>
      <c r="C232" s="53"/>
      <c r="D232" s="53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>
      <c r="A233" s="53"/>
      <c r="B233" s="53"/>
      <c r="C233" s="53"/>
      <c r="D233" s="53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>
      <c r="A234" s="53"/>
      <c r="B234" s="53"/>
      <c r="C234" s="53"/>
      <c r="D234" s="53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>
      <c r="A235" s="53"/>
      <c r="B235" s="53"/>
      <c r="C235" s="53"/>
      <c r="D235" s="53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>
      <c r="A236" s="53"/>
      <c r="B236" s="53"/>
      <c r="C236" s="53"/>
      <c r="D236" s="53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>
      <c r="A237" s="53"/>
      <c r="B237" s="53"/>
      <c r="C237" s="53"/>
      <c r="D237" s="53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>
      <c r="A238" s="53"/>
      <c r="B238" s="53"/>
      <c r="C238" s="53"/>
      <c r="D238" s="53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>
      <c r="A239" s="53"/>
      <c r="B239" s="53"/>
      <c r="C239" s="53"/>
      <c r="D239" s="53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>
      <c r="A240" s="53"/>
      <c r="B240" s="53"/>
      <c r="C240" s="53"/>
      <c r="D240" s="53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>
      <c r="A241" s="53"/>
      <c r="B241" s="53"/>
      <c r="C241" s="53"/>
      <c r="D241" s="53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>
      <c r="A242" s="53"/>
      <c r="B242" s="53"/>
      <c r="C242" s="53"/>
      <c r="D242" s="53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>
      <c r="A243" s="53"/>
      <c r="B243" s="53"/>
      <c r="C243" s="53"/>
      <c r="D243" s="53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>
      <c r="A244" s="53"/>
      <c r="B244" s="53"/>
      <c r="C244" s="53"/>
      <c r="D244" s="53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>
      <c r="A245" s="53"/>
      <c r="B245" s="53"/>
      <c r="C245" s="53"/>
      <c r="D245" s="53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>
      <c r="A246" s="53"/>
      <c r="B246" s="53"/>
      <c r="C246" s="53"/>
      <c r="D246" s="53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>
      <c r="A247" s="53"/>
      <c r="B247" s="53"/>
      <c r="C247" s="53"/>
      <c r="D247" s="53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>
      <c r="A248" s="53"/>
      <c r="B248" s="53"/>
      <c r="C248" s="53"/>
      <c r="D248" s="53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>
      <c r="A249" s="53"/>
      <c r="B249" s="53"/>
      <c r="C249" s="53"/>
      <c r="D249" s="53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>
      <c r="A250" s="53"/>
      <c r="B250" s="53"/>
      <c r="C250" s="53"/>
      <c r="D250" s="53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>
      <c r="A251" s="53"/>
      <c r="B251" s="53"/>
      <c r="C251" s="53"/>
      <c r="D251" s="53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>
      <c r="A252" s="53"/>
      <c r="B252" s="53"/>
      <c r="C252" s="53"/>
      <c r="D252" s="53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>
      <c r="A253" s="53"/>
      <c r="B253" s="53"/>
      <c r="C253" s="53"/>
      <c r="D253" s="53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>
      <c r="A254" s="53"/>
      <c r="B254" s="53"/>
      <c r="C254" s="53"/>
      <c r="D254" s="53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>
      <c r="A255" s="53"/>
      <c r="B255" s="53"/>
      <c r="C255" s="53"/>
      <c r="D255" s="53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>
      <c r="A256" s="53"/>
      <c r="B256" s="53"/>
      <c r="C256" s="53"/>
      <c r="D256" s="53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>
      <c r="A257" s="53"/>
      <c r="B257" s="53"/>
      <c r="C257" s="53"/>
      <c r="D257" s="53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>
      <c r="A258" s="53"/>
      <c r="B258" s="53"/>
      <c r="C258" s="53"/>
      <c r="D258" s="53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>
      <c r="A259" s="53"/>
      <c r="B259" s="53"/>
      <c r="C259" s="53"/>
      <c r="D259" s="53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>
      <c r="A260" s="53"/>
      <c r="B260" s="53"/>
      <c r="C260" s="53"/>
      <c r="D260" s="53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>
      <c r="A261" s="53"/>
      <c r="B261" s="53"/>
      <c r="C261" s="53"/>
      <c r="D261" s="53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>
      <c r="A262" s="53"/>
      <c r="B262" s="53"/>
      <c r="C262" s="53"/>
      <c r="D262" s="53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>
      <c r="A263" s="53"/>
      <c r="B263" s="53"/>
      <c r="C263" s="53"/>
      <c r="D263" s="53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>
      <c r="A264" s="53"/>
      <c r="B264" s="53"/>
      <c r="C264" s="53"/>
      <c r="D264" s="53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>
      <c r="A265" s="53"/>
      <c r="B265" s="53"/>
      <c r="C265" s="53"/>
      <c r="D265" s="53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>
      <c r="A266" s="53"/>
      <c r="B266" s="53"/>
      <c r="C266" s="53"/>
      <c r="D266" s="53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>
      <c r="A267" s="53"/>
      <c r="B267" s="53"/>
      <c r="C267" s="53"/>
      <c r="D267" s="53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>
      <c r="A268" s="53"/>
      <c r="B268" s="53"/>
      <c r="C268" s="53"/>
      <c r="D268" s="53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>
      <c r="A269" s="53"/>
      <c r="B269" s="53"/>
      <c r="C269" s="53"/>
      <c r="D269" s="53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>
      <c r="A270" s="53"/>
      <c r="B270" s="53"/>
      <c r="C270" s="53"/>
      <c r="D270" s="53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>
      <c r="A271" s="53"/>
      <c r="B271" s="53"/>
      <c r="C271" s="53"/>
      <c r="D271" s="53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>
      <c r="A272" s="53"/>
      <c r="B272" s="53"/>
      <c r="C272" s="53"/>
      <c r="D272" s="53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>
      <c r="A273" s="53"/>
      <c r="B273" s="53"/>
      <c r="C273" s="53"/>
      <c r="D273" s="53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>
      <c r="A274" s="53"/>
      <c r="B274" s="53"/>
      <c r="C274" s="53"/>
      <c r="D274" s="53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>
      <c r="A275" s="53"/>
      <c r="B275" s="53"/>
      <c r="C275" s="53"/>
      <c r="D275" s="53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>
      <c r="A276" s="53"/>
      <c r="B276" s="53"/>
      <c r="C276" s="53"/>
      <c r="D276" s="53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>
      <c r="A277" s="53"/>
      <c r="B277" s="53"/>
      <c r="C277" s="53"/>
      <c r="D277" s="53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>
      <c r="A278" s="53"/>
      <c r="B278" s="53"/>
      <c r="C278" s="53"/>
      <c r="D278" s="53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>
      <c r="A279" s="53"/>
      <c r="B279" s="53"/>
      <c r="C279" s="53"/>
      <c r="D279" s="53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>
      <c r="A280" s="53"/>
      <c r="B280" s="53"/>
      <c r="C280" s="53"/>
      <c r="D280" s="53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>
      <c r="A281" s="53"/>
      <c r="B281" s="53"/>
      <c r="C281" s="53"/>
      <c r="D281" s="53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>
      <c r="A282" s="53"/>
      <c r="B282" s="53"/>
      <c r="C282" s="53"/>
      <c r="D282" s="53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>
      <c r="A283" s="53"/>
      <c r="B283" s="53"/>
      <c r="C283" s="53"/>
      <c r="D283" s="53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>
      <c r="A284" s="53"/>
      <c r="B284" s="53"/>
      <c r="C284" s="53"/>
      <c r="D284" s="53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>
      <c r="A285" s="53"/>
      <c r="B285" s="53"/>
      <c r="C285" s="53"/>
      <c r="D285" s="53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>
      <c r="A286" s="53"/>
      <c r="B286" s="53"/>
      <c r="C286" s="53"/>
      <c r="D286" s="53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>
      <c r="A287" s="53"/>
      <c r="B287" s="53"/>
      <c r="C287" s="53"/>
      <c r="D287" s="53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>
      <c r="A288" s="53"/>
      <c r="B288" s="53"/>
      <c r="C288" s="53"/>
      <c r="D288" s="53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>
      <c r="A289" s="53"/>
      <c r="B289" s="53"/>
      <c r="C289" s="53"/>
      <c r="D289" s="53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>
      <c r="A290" s="53"/>
      <c r="B290" s="53"/>
      <c r="C290" s="53"/>
      <c r="D290" s="53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>
      <c r="A291" s="53"/>
      <c r="B291" s="53"/>
      <c r="C291" s="53"/>
      <c r="D291" s="53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>
      <c r="A292" s="53"/>
      <c r="B292" s="53"/>
      <c r="C292" s="53"/>
      <c r="D292" s="53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>
      <c r="A293" s="53"/>
      <c r="B293" s="53"/>
      <c r="C293" s="53"/>
      <c r="D293" s="53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>
      <c r="A294" s="53"/>
      <c r="B294" s="53"/>
      <c r="C294" s="53"/>
      <c r="D294" s="53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>
      <c r="A295" s="53"/>
      <c r="B295" s="53"/>
      <c r="C295" s="53"/>
      <c r="D295" s="53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>
      <c r="A296" s="53"/>
      <c r="B296" s="53"/>
      <c r="C296" s="53"/>
      <c r="D296" s="53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>
      <c r="A297" s="53"/>
      <c r="B297" s="53"/>
      <c r="C297" s="53"/>
      <c r="D297" s="53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>
      <c r="A298" s="53"/>
      <c r="B298" s="53"/>
      <c r="C298" s="53"/>
      <c r="D298" s="5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>
      <c r="A299" s="53"/>
      <c r="B299" s="53"/>
      <c r="C299" s="53"/>
      <c r="D299" s="5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>
      <c r="A300" s="53"/>
      <c r="B300" s="53"/>
      <c r="C300" s="53"/>
      <c r="D300" s="5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>
      <c r="A301" s="53"/>
      <c r="B301" s="53"/>
      <c r="C301" s="53"/>
      <c r="D301" s="53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>
      <c r="A302" s="53"/>
      <c r="B302" s="53"/>
      <c r="C302" s="53"/>
      <c r="D302" s="53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>
      <c r="A303" s="53"/>
      <c r="B303" s="53"/>
      <c r="C303" s="53"/>
      <c r="D303" s="53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>
      <c r="A304" s="53"/>
      <c r="B304" s="53"/>
      <c r="C304" s="53"/>
      <c r="D304" s="53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>
      <c r="A305" s="53"/>
      <c r="B305" s="53"/>
      <c r="C305" s="53"/>
      <c r="D305" s="53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>
      <c r="A306" s="53"/>
      <c r="B306" s="53"/>
      <c r="C306" s="53"/>
      <c r="D306" s="53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>
      <c r="A307" s="53"/>
      <c r="B307" s="53"/>
      <c r="C307" s="53"/>
      <c r="D307" s="53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>
      <c r="A308" s="53"/>
      <c r="B308" s="53"/>
      <c r="C308" s="53"/>
      <c r="D308" s="53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>
      <c r="A309" s="53"/>
      <c r="B309" s="53"/>
      <c r="C309" s="53"/>
      <c r="D309" s="53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>
      <c r="A310" s="53"/>
      <c r="B310" s="53"/>
      <c r="C310" s="53"/>
      <c r="D310" s="53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>
      <c r="A311" s="53"/>
      <c r="B311" s="53"/>
      <c r="C311" s="53"/>
      <c r="D311" s="53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>
      <c r="A312" s="53"/>
      <c r="B312" s="53"/>
      <c r="C312" s="53"/>
      <c r="D312" s="53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>
      <c r="A313" s="53"/>
      <c r="B313" s="53"/>
      <c r="C313" s="53"/>
      <c r="D313" s="53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>
      <c r="A314" s="53"/>
      <c r="B314" s="53"/>
      <c r="C314" s="53"/>
      <c r="D314" s="53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>
      <c r="A315" s="53"/>
      <c r="B315" s="53"/>
      <c r="C315" s="53"/>
      <c r="D315" s="53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>
      <c r="A316" s="53"/>
      <c r="B316" s="53"/>
      <c r="C316" s="53"/>
      <c r="D316" s="53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>
      <c r="A317" s="53"/>
      <c r="B317" s="53"/>
      <c r="C317" s="53"/>
      <c r="D317" s="53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>
      <c r="A318" s="53"/>
      <c r="B318" s="53"/>
      <c r="C318" s="53"/>
      <c r="D318" s="53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>
      <c r="A319" s="53"/>
      <c r="B319" s="53"/>
      <c r="C319" s="53"/>
      <c r="D319" s="53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>
      <c r="A320" s="53"/>
      <c r="B320" s="53"/>
      <c r="C320" s="53"/>
      <c r="D320" s="53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>
      <c r="A321" s="53"/>
      <c r="B321" s="53"/>
      <c r="C321" s="53"/>
      <c r="D321" s="53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>
      <c r="A322" s="53"/>
      <c r="B322" s="53"/>
      <c r="C322" s="53"/>
      <c r="D322" s="53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>
      <c r="A323" s="53"/>
      <c r="B323" s="53"/>
      <c r="C323" s="53"/>
      <c r="D323" s="53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>
      <c r="A324" s="53"/>
      <c r="B324" s="53"/>
      <c r="C324" s="53"/>
      <c r="D324" s="53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>
      <c r="A325" s="53"/>
      <c r="B325" s="53"/>
      <c r="C325" s="53"/>
      <c r="D325" s="53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>
      <c r="A326" s="53"/>
      <c r="B326" s="53"/>
      <c r="C326" s="53"/>
      <c r="D326" s="53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>
      <c r="A327" s="53"/>
      <c r="B327" s="53"/>
      <c r="C327" s="53"/>
      <c r="D327" s="53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>
      <c r="A328" s="53"/>
      <c r="B328" s="53"/>
      <c r="C328" s="53"/>
      <c r="D328" s="53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>
      <c r="A329" s="53"/>
      <c r="B329" s="53"/>
      <c r="C329" s="53"/>
      <c r="D329" s="53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>
      <c r="A330" s="53"/>
      <c r="B330" s="53"/>
      <c r="C330" s="53"/>
      <c r="D330" s="53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>
      <c r="A331" s="53"/>
      <c r="B331" s="53"/>
      <c r="C331" s="53"/>
      <c r="D331" s="53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>
      <c r="A332" s="53"/>
      <c r="B332" s="53"/>
      <c r="C332" s="53"/>
      <c r="D332" s="53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>
      <c r="A333" s="53"/>
      <c r="B333" s="53"/>
      <c r="C333" s="53"/>
      <c r="D333" s="53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>
      <c r="A334" s="53"/>
      <c r="B334" s="53"/>
      <c r="C334" s="53"/>
      <c r="D334" s="53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>
      <c r="A335" s="53"/>
      <c r="B335" s="53"/>
      <c r="C335" s="53"/>
      <c r="D335" s="53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>
      <c r="A336" s="53"/>
      <c r="B336" s="53"/>
      <c r="C336" s="53"/>
      <c r="D336" s="53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>
      <c r="A337" s="53"/>
      <c r="B337" s="53"/>
      <c r="C337" s="53"/>
      <c r="D337" s="53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>
      <c r="A338" s="53"/>
      <c r="B338" s="53"/>
      <c r="C338" s="53"/>
      <c r="D338" s="53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>
      <c r="A339" s="53"/>
      <c r="B339" s="53"/>
      <c r="C339" s="53"/>
      <c r="D339" s="53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>
      <c r="A340" s="53"/>
      <c r="B340" s="53"/>
      <c r="C340" s="53"/>
      <c r="D340" s="53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>
      <c r="A341" s="53"/>
      <c r="B341" s="53"/>
      <c r="C341" s="53"/>
      <c r="D341" s="53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>
      <c r="A342" s="53"/>
      <c r="B342" s="53"/>
      <c r="C342" s="53"/>
      <c r="D342" s="53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>
      <c r="A343" s="53"/>
      <c r="B343" s="53"/>
      <c r="C343" s="53"/>
      <c r="D343" s="53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>
      <c r="A344" s="53"/>
      <c r="B344" s="53"/>
      <c r="C344" s="53"/>
      <c r="D344" s="53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>
      <c r="A345" s="53"/>
      <c r="B345" s="53"/>
      <c r="C345" s="53"/>
      <c r="D345" s="53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>
      <c r="A346" s="53"/>
      <c r="B346" s="53"/>
      <c r="C346" s="53"/>
      <c r="D346" s="53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>
      <c r="A347" s="53"/>
      <c r="B347" s="53"/>
      <c r="C347" s="53"/>
      <c r="D347" s="53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>
      <c r="A348" s="53"/>
      <c r="B348" s="53"/>
      <c r="C348" s="53"/>
      <c r="D348" s="53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>
      <c r="A349" s="53"/>
      <c r="B349" s="53"/>
      <c r="C349" s="53"/>
      <c r="D349" s="53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>
      <c r="A350" s="53"/>
      <c r="B350" s="53"/>
      <c r="C350" s="53"/>
      <c r="D350" s="53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>
      <c r="A351" s="53"/>
      <c r="B351" s="53"/>
      <c r="C351" s="53"/>
      <c r="D351" s="53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>
      <c r="A352" s="53"/>
      <c r="B352" s="53"/>
      <c r="C352" s="53"/>
      <c r="D352" s="53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>
      <c r="A353" s="53"/>
      <c r="B353" s="53"/>
      <c r="C353" s="53"/>
      <c r="D353" s="53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>
      <c r="A354" s="53"/>
      <c r="B354" s="53"/>
      <c r="C354" s="53"/>
      <c r="D354" s="53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>
      <c r="A355" s="53"/>
      <c r="B355" s="53"/>
      <c r="C355" s="53"/>
      <c r="D355" s="53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>
      <c r="A356" s="53"/>
      <c r="B356" s="53"/>
      <c r="C356" s="53"/>
      <c r="D356" s="53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>
      <c r="A357" s="53"/>
      <c r="B357" s="53"/>
      <c r="C357" s="53"/>
      <c r="D357" s="53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>
      <c r="A358" s="53"/>
      <c r="B358" s="53"/>
      <c r="C358" s="53"/>
      <c r="D358" s="53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>
      <c r="A359" s="53"/>
      <c r="B359" s="53"/>
      <c r="C359" s="53"/>
      <c r="D359" s="53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>
      <c r="A360" s="53"/>
      <c r="B360" s="53"/>
      <c r="C360" s="53"/>
      <c r="D360" s="53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>
      <c r="A361" s="53"/>
      <c r="B361" s="53"/>
      <c r="C361" s="53"/>
      <c r="D361" s="53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>
      <c r="A362" s="53"/>
      <c r="B362" s="53"/>
      <c r="C362" s="53"/>
      <c r="D362" s="53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>
      <c r="A363" s="53"/>
      <c r="B363" s="53"/>
      <c r="C363" s="53"/>
      <c r="D363" s="53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>
      <c r="A364" s="53"/>
      <c r="B364" s="53"/>
      <c r="C364" s="53"/>
      <c r="D364" s="53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>
      <c r="A365" s="53"/>
      <c r="B365" s="53"/>
      <c r="C365" s="53"/>
      <c r="D365" s="53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>
      <c r="A366" s="53"/>
      <c r="B366" s="53"/>
      <c r="C366" s="53"/>
      <c r="D366" s="53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>
      <c r="A367" s="53"/>
      <c r="B367" s="53"/>
      <c r="C367" s="53"/>
      <c r="D367" s="53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>
      <c r="A368" s="53"/>
      <c r="B368" s="53"/>
      <c r="C368" s="53"/>
      <c r="D368" s="53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>
      <c r="A369" s="53"/>
      <c r="B369" s="53"/>
      <c r="C369" s="53"/>
      <c r="D369" s="53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>
      <c r="A370" s="53"/>
      <c r="B370" s="53"/>
      <c r="C370" s="53"/>
      <c r="D370" s="53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>
      <c r="A371" s="53"/>
      <c r="B371" s="53"/>
      <c r="C371" s="53"/>
      <c r="D371" s="53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>
      <c r="A372" s="53"/>
      <c r="B372" s="53"/>
      <c r="C372" s="53"/>
      <c r="D372" s="53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>
      <c r="A373" s="53"/>
      <c r="B373" s="53"/>
      <c r="C373" s="53"/>
      <c r="D373" s="53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>
      <c r="A374" s="53"/>
      <c r="B374" s="53"/>
      <c r="C374" s="53"/>
      <c r="D374" s="53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>
      <c r="A375" s="53"/>
      <c r="B375" s="53"/>
      <c r="C375" s="53"/>
      <c r="D375" s="53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>
      <c r="A376" s="53"/>
      <c r="B376" s="53"/>
      <c r="C376" s="53"/>
      <c r="D376" s="53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>
      <c r="A377" s="53"/>
      <c r="B377" s="53"/>
      <c r="C377" s="53"/>
      <c r="D377" s="53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>
      <c r="A378" s="53"/>
      <c r="B378" s="53"/>
      <c r="C378" s="53"/>
      <c r="D378" s="53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>
      <c r="A379" s="53"/>
      <c r="B379" s="53"/>
      <c r="C379" s="53"/>
      <c r="D379" s="53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>
      <c r="A380" s="53"/>
      <c r="B380" s="53"/>
      <c r="C380" s="53"/>
      <c r="D380" s="53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>
      <c r="A381" s="53"/>
      <c r="B381" s="53"/>
      <c r="C381" s="53"/>
      <c r="D381" s="53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>
      <c r="A382" s="53"/>
      <c r="B382" s="53"/>
      <c r="C382" s="53"/>
      <c r="D382" s="53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>
      <c r="A383" s="53"/>
      <c r="B383" s="53"/>
      <c r="C383" s="53"/>
      <c r="D383" s="53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>
      <c r="A384" s="53"/>
      <c r="B384" s="53"/>
      <c r="C384" s="53"/>
      <c r="D384" s="53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>
      <c r="A385" s="53"/>
      <c r="B385" s="53"/>
      <c r="C385" s="53"/>
      <c r="D385" s="53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>
      <c r="A386" s="53"/>
      <c r="B386" s="53"/>
      <c r="C386" s="53"/>
      <c r="D386" s="53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>
      <c r="A387" s="53"/>
      <c r="B387" s="53"/>
      <c r="C387" s="53"/>
      <c r="D387" s="53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>
      <c r="A388" s="53"/>
      <c r="B388" s="53"/>
      <c r="C388" s="53"/>
      <c r="D388" s="53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>
      <c r="A389" s="53"/>
      <c r="B389" s="53"/>
      <c r="C389" s="53"/>
      <c r="D389" s="53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>
      <c r="A390" s="53"/>
      <c r="B390" s="53"/>
      <c r="C390" s="53"/>
      <c r="D390" s="53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>
      <c r="A391" s="53"/>
      <c r="B391" s="53"/>
      <c r="C391" s="53"/>
      <c r="D391" s="53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>
      <c r="A392" s="53"/>
      <c r="B392" s="53"/>
      <c r="C392" s="53"/>
      <c r="D392" s="53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>
      <c r="A393" s="53"/>
      <c r="B393" s="53"/>
      <c r="C393" s="53"/>
      <c r="D393" s="53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>
      <c r="A394" s="53"/>
      <c r="B394" s="53"/>
      <c r="C394" s="53"/>
      <c r="D394" s="53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>
      <c r="A395" s="53"/>
      <c r="B395" s="53"/>
      <c r="C395" s="53"/>
      <c r="D395" s="53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>
      <c r="A396" s="53"/>
      <c r="B396" s="53"/>
      <c r="C396" s="53"/>
      <c r="D396" s="53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>
      <c r="A397" s="53"/>
      <c r="B397" s="53"/>
      <c r="C397" s="53"/>
      <c r="D397" s="53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>
      <c r="A398" s="53"/>
      <c r="B398" s="53"/>
      <c r="C398" s="53"/>
      <c r="D398" s="53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>
      <c r="A399" s="53"/>
      <c r="B399" s="53"/>
      <c r="C399" s="53"/>
      <c r="D399" s="53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>
      <c r="A400" s="53"/>
      <c r="B400" s="53"/>
      <c r="C400" s="53"/>
      <c r="D400" s="53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>
      <c r="A401" s="53"/>
      <c r="B401" s="53"/>
      <c r="C401" s="53"/>
      <c r="D401" s="53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>
      <c r="A402" s="53"/>
      <c r="B402" s="53"/>
      <c r="C402" s="53"/>
      <c r="D402" s="53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>
      <c r="A403" s="53"/>
      <c r="B403" s="53"/>
      <c r="C403" s="53"/>
      <c r="D403" s="53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>
      <c r="A404" s="53"/>
      <c r="B404" s="53"/>
      <c r="C404" s="53"/>
      <c r="D404" s="53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>
      <c r="A405" s="53"/>
      <c r="B405" s="53"/>
      <c r="C405" s="53"/>
      <c r="D405" s="53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>
      <c r="A406" s="53"/>
      <c r="B406" s="53"/>
      <c r="C406" s="53"/>
      <c r="D406" s="53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>
      <c r="A407" s="53"/>
      <c r="B407" s="53"/>
      <c r="C407" s="53"/>
      <c r="D407" s="53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>
      <c r="A408" s="53"/>
      <c r="B408" s="53"/>
      <c r="C408" s="53"/>
      <c r="D408" s="53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>
      <c r="A409" s="53"/>
      <c r="B409" s="53"/>
      <c r="C409" s="53"/>
      <c r="D409" s="53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>
      <c r="A410" s="53"/>
      <c r="B410" s="53"/>
      <c r="C410" s="53"/>
      <c r="D410" s="53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>
      <c r="A411" s="53"/>
      <c r="B411" s="53"/>
      <c r="C411" s="53"/>
      <c r="D411" s="53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>
      <c r="A412" s="53"/>
      <c r="B412" s="53"/>
      <c r="C412" s="53"/>
      <c r="D412" s="53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>
      <c r="A413" s="53"/>
      <c r="B413" s="53"/>
      <c r="C413" s="53"/>
      <c r="D413" s="53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>
      <c r="A414" s="53"/>
      <c r="B414" s="53"/>
      <c r="C414" s="53"/>
      <c r="D414" s="53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>
      <c r="A415" s="53"/>
      <c r="B415" s="53"/>
      <c r="C415" s="53"/>
      <c r="D415" s="53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>
      <c r="A416" s="53"/>
      <c r="B416" s="53"/>
      <c r="C416" s="53"/>
      <c r="D416" s="53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>
      <c r="A417" s="53"/>
      <c r="B417" s="53"/>
      <c r="C417" s="53"/>
      <c r="D417" s="53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>
      <c r="A418" s="53"/>
      <c r="B418" s="53"/>
      <c r="C418" s="53"/>
      <c r="D418" s="53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>
      <c r="A419" s="53"/>
      <c r="B419" s="53"/>
      <c r="C419" s="53"/>
      <c r="D419" s="53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>
      <c r="A420" s="53"/>
      <c r="B420" s="53"/>
      <c r="C420" s="53"/>
      <c r="D420" s="53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>
      <c r="A421" s="53"/>
      <c r="B421" s="53"/>
      <c r="C421" s="53"/>
      <c r="D421" s="53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>
      <c r="A422" s="53"/>
      <c r="B422" s="53"/>
      <c r="C422" s="53"/>
      <c r="D422" s="53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>
      <c r="A423" s="53"/>
      <c r="B423" s="53"/>
      <c r="C423" s="53"/>
      <c r="D423" s="53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>
      <c r="A424" s="53"/>
      <c r="B424" s="53"/>
      <c r="C424" s="53"/>
      <c r="D424" s="53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>
      <c r="A425" s="53"/>
      <c r="B425" s="53"/>
      <c r="C425" s="53"/>
      <c r="D425" s="53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>
      <c r="A426" s="53"/>
      <c r="B426" s="53"/>
      <c r="C426" s="53"/>
      <c r="D426" s="53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>
      <c r="A427" s="53"/>
      <c r="B427" s="53"/>
      <c r="C427" s="53"/>
      <c r="D427" s="53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>
      <c r="A428" s="53"/>
      <c r="B428" s="53"/>
      <c r="C428" s="53"/>
      <c r="D428" s="53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>
      <c r="A429" s="53"/>
      <c r="B429" s="53"/>
      <c r="C429" s="53"/>
      <c r="D429" s="53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>
      <c r="A430" s="53"/>
      <c r="B430" s="53"/>
      <c r="C430" s="53"/>
      <c r="D430" s="53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>
      <c r="A431" s="53"/>
      <c r="B431" s="53"/>
      <c r="C431" s="53"/>
      <c r="D431" s="53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>
      <c r="A432" s="53"/>
      <c r="B432" s="53"/>
      <c r="C432" s="53"/>
      <c r="D432" s="53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>
      <c r="A433" s="53"/>
      <c r="B433" s="53"/>
      <c r="C433" s="53"/>
      <c r="D433" s="53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>
      <c r="A434" s="53"/>
      <c r="B434" s="53"/>
      <c r="C434" s="53"/>
      <c r="D434" s="53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>
      <c r="A435" s="53"/>
      <c r="B435" s="53"/>
      <c r="C435" s="53"/>
      <c r="D435" s="53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>
      <c r="A436" s="53"/>
      <c r="B436" s="53"/>
      <c r="C436" s="53"/>
      <c r="D436" s="53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>
      <c r="A437" s="53"/>
      <c r="B437" s="53"/>
      <c r="C437" s="53"/>
      <c r="D437" s="53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>
      <c r="A438" s="53"/>
      <c r="B438" s="53"/>
      <c r="C438" s="53"/>
      <c r="D438" s="53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>
      <c r="A439" s="53"/>
      <c r="B439" s="53"/>
      <c r="C439" s="53"/>
      <c r="D439" s="53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>
      <c r="A440" s="53"/>
      <c r="B440" s="53"/>
      <c r="C440" s="53"/>
      <c r="D440" s="53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>
      <c r="A441" s="53"/>
      <c r="B441" s="53"/>
      <c r="C441" s="53"/>
      <c r="D441" s="53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>
      <c r="A442" s="53"/>
      <c r="B442" s="53"/>
      <c r="C442" s="53"/>
      <c r="D442" s="53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>
      <c r="A443" s="53"/>
      <c r="B443" s="53"/>
      <c r="C443" s="53"/>
      <c r="D443" s="53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>
      <c r="A444" s="53"/>
      <c r="B444" s="53"/>
      <c r="C444" s="53"/>
      <c r="D444" s="53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>
      <c r="A445" s="53"/>
      <c r="B445" s="53"/>
      <c r="C445" s="53"/>
      <c r="D445" s="53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>
      <c r="A446" s="53"/>
      <c r="B446" s="53"/>
      <c r="C446" s="53"/>
      <c r="D446" s="53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>
      <c r="A447" s="53"/>
      <c r="B447" s="53"/>
      <c r="C447" s="53"/>
      <c r="D447" s="53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>
      <c r="A448" s="53"/>
      <c r="B448" s="53"/>
      <c r="C448" s="53"/>
      <c r="D448" s="53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>
      <c r="A449" s="53"/>
      <c r="B449" s="53"/>
      <c r="C449" s="53"/>
      <c r="D449" s="53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>
      <c r="A450" s="53"/>
      <c r="B450" s="53"/>
      <c r="C450" s="53"/>
      <c r="D450" s="53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>
      <c r="A451" s="53"/>
      <c r="B451" s="53"/>
      <c r="C451" s="53"/>
      <c r="D451" s="53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>
      <c r="A452" s="53"/>
      <c r="B452" s="53"/>
      <c r="C452" s="53"/>
      <c r="D452" s="53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>
      <c r="A453" s="53"/>
      <c r="B453" s="53"/>
      <c r="C453" s="53"/>
      <c r="D453" s="53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>
      <c r="A454" s="53"/>
      <c r="B454" s="53"/>
      <c r="C454" s="53"/>
      <c r="D454" s="53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>
      <c r="A455" s="53"/>
      <c r="B455" s="53"/>
      <c r="C455" s="53"/>
      <c r="D455" s="53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>
      <c r="A456" s="53"/>
      <c r="B456" s="53"/>
      <c r="C456" s="53"/>
      <c r="D456" s="53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>
      <c r="A457" s="53"/>
      <c r="B457" s="53"/>
      <c r="C457" s="53"/>
      <c r="D457" s="53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>
      <c r="A458" s="53"/>
      <c r="B458" s="53"/>
      <c r="C458" s="53"/>
      <c r="D458" s="53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>
      <c r="A459" s="53"/>
      <c r="B459" s="53"/>
      <c r="C459" s="53"/>
      <c r="D459" s="53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>
      <c r="A460" s="53"/>
      <c r="B460" s="53"/>
      <c r="C460" s="53"/>
      <c r="D460" s="53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>
      <c r="A461" s="53"/>
      <c r="B461" s="53"/>
      <c r="C461" s="53"/>
      <c r="D461" s="53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>
      <c r="A462" s="53"/>
      <c r="B462" s="53"/>
      <c r="C462" s="53"/>
      <c r="D462" s="53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>
      <c r="A463" s="53"/>
      <c r="B463" s="53"/>
      <c r="C463" s="53"/>
      <c r="D463" s="53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>
      <c r="A464" s="53"/>
      <c r="B464" s="53"/>
      <c r="C464" s="53"/>
      <c r="D464" s="53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>
      <c r="A465" s="53"/>
      <c r="B465" s="53"/>
      <c r="C465" s="53"/>
      <c r="D465" s="53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>
      <c r="A466" s="53"/>
      <c r="B466" s="53"/>
      <c r="C466" s="53"/>
      <c r="D466" s="53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>
      <c r="A467" s="53"/>
      <c r="B467" s="53"/>
      <c r="C467" s="53"/>
      <c r="D467" s="53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>
      <c r="A468" s="53"/>
      <c r="B468" s="53"/>
      <c r="C468" s="53"/>
      <c r="D468" s="53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>
      <c r="A469" s="53"/>
      <c r="B469" s="53"/>
      <c r="C469" s="53"/>
      <c r="D469" s="53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>
      <c r="A470" s="53"/>
      <c r="B470" s="53"/>
      <c r="C470" s="53"/>
      <c r="D470" s="53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>
      <c r="A471" s="53"/>
      <c r="B471" s="53"/>
      <c r="C471" s="53"/>
      <c r="D471" s="53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>
      <c r="A472" s="53"/>
      <c r="B472" s="53"/>
      <c r="C472" s="53"/>
      <c r="D472" s="53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>
      <c r="A473" s="53"/>
      <c r="B473" s="53"/>
      <c r="C473" s="53"/>
      <c r="D473" s="53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>
      <c r="A474" s="53"/>
      <c r="B474" s="53"/>
      <c r="C474" s="53"/>
      <c r="D474" s="53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>
      <c r="A475" s="53"/>
      <c r="B475" s="53"/>
      <c r="C475" s="53"/>
      <c r="D475" s="53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>
      <c r="A476" s="53"/>
      <c r="B476" s="53"/>
      <c r="C476" s="53"/>
      <c r="D476" s="53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>
      <c r="A477" s="53"/>
      <c r="B477" s="53"/>
      <c r="C477" s="53"/>
      <c r="D477" s="53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>
      <c r="A478" s="53"/>
      <c r="B478" s="53"/>
      <c r="C478" s="53"/>
      <c r="D478" s="53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>
      <c r="A479" s="53"/>
      <c r="B479" s="53"/>
      <c r="C479" s="53"/>
      <c r="D479" s="53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>
      <c r="A480" s="53"/>
      <c r="B480" s="53"/>
      <c r="C480" s="53"/>
      <c r="D480" s="53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>
      <c r="A481" s="53"/>
      <c r="B481" s="53"/>
      <c r="C481" s="53"/>
      <c r="D481" s="53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>
      <c r="A482" s="53"/>
      <c r="B482" s="53"/>
      <c r="C482" s="53"/>
      <c r="D482" s="53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>
      <c r="A483" s="53"/>
      <c r="B483" s="53"/>
      <c r="C483" s="53"/>
      <c r="D483" s="53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>
      <c r="A484" s="53"/>
      <c r="B484" s="53"/>
      <c r="C484" s="53"/>
      <c r="D484" s="53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>
      <c r="A485" s="53"/>
      <c r="B485" s="53"/>
      <c r="C485" s="53"/>
      <c r="D485" s="53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>
      <c r="A486" s="53"/>
      <c r="B486" s="53"/>
      <c r="C486" s="53"/>
      <c r="D486" s="53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>
      <c r="A487" s="53"/>
      <c r="B487" s="53"/>
      <c r="C487" s="53"/>
      <c r="D487" s="53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>
      <c r="A488" s="53"/>
      <c r="B488" s="53"/>
      <c r="C488" s="53"/>
      <c r="D488" s="53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>
      <c r="A489" s="53"/>
      <c r="B489" s="53"/>
      <c r="C489" s="53"/>
      <c r="D489" s="53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>
      <c r="A490" s="53"/>
      <c r="B490" s="53"/>
      <c r="C490" s="53"/>
      <c r="D490" s="53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>
      <c r="A491" s="53"/>
      <c r="B491" s="53"/>
      <c r="C491" s="53"/>
      <c r="D491" s="53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>
      <c r="A492" s="53"/>
      <c r="B492" s="53"/>
      <c r="C492" s="53"/>
      <c r="D492" s="53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>
      <c r="A493" s="53"/>
      <c r="B493" s="53"/>
      <c r="C493" s="53"/>
      <c r="D493" s="53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>
      <c r="A494" s="53"/>
      <c r="B494" s="53"/>
      <c r="C494" s="53"/>
      <c r="D494" s="53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>
      <c r="A495" s="53"/>
      <c r="B495" s="53"/>
      <c r="C495" s="53"/>
      <c r="D495" s="53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>
      <c r="A496" s="53"/>
      <c r="B496" s="53"/>
      <c r="C496" s="53"/>
      <c r="D496" s="53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>
      <c r="A497" s="53"/>
      <c r="B497" s="53"/>
      <c r="C497" s="53"/>
      <c r="D497" s="53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>
      <c r="A498" s="53"/>
      <c r="B498" s="53"/>
      <c r="C498" s="53"/>
      <c r="D498" s="53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>
      <c r="A499" s="53"/>
      <c r="B499" s="53"/>
      <c r="C499" s="53"/>
      <c r="D499" s="53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>
      <c r="A500" s="53"/>
      <c r="B500" s="53"/>
      <c r="C500" s="53"/>
      <c r="D500" s="53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>
      <c r="A501" s="53"/>
      <c r="B501" s="53"/>
      <c r="C501" s="53"/>
      <c r="D501" s="53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>
      <c r="A502" s="53"/>
      <c r="B502" s="53"/>
      <c r="C502" s="53"/>
      <c r="D502" s="53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>
      <c r="A503" s="53"/>
      <c r="B503" s="53"/>
      <c r="C503" s="53"/>
      <c r="D503" s="53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>
      <c r="A504" s="53"/>
      <c r="B504" s="53"/>
      <c r="C504" s="53"/>
      <c r="D504" s="53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>
      <c r="A505" s="53"/>
      <c r="B505" s="53"/>
      <c r="C505" s="53"/>
      <c r="D505" s="53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>
      <c r="A506" s="53"/>
      <c r="B506" s="53"/>
      <c r="C506" s="53"/>
      <c r="D506" s="53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>
      <c r="A507" s="53"/>
      <c r="B507" s="53"/>
      <c r="C507" s="53"/>
      <c r="D507" s="53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>
      <c r="A508" s="53"/>
      <c r="B508" s="53"/>
      <c r="C508" s="53"/>
      <c r="D508" s="53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>
      <c r="A509" s="53"/>
      <c r="B509" s="53"/>
      <c r="C509" s="53"/>
      <c r="D509" s="53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>
      <c r="A510" s="53"/>
      <c r="B510" s="53"/>
      <c r="C510" s="53"/>
      <c r="D510" s="53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>
      <c r="A511" s="53"/>
      <c r="B511" s="53"/>
      <c r="C511" s="53"/>
      <c r="D511" s="53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>
      <c r="A512" s="53"/>
      <c r="B512" s="53"/>
      <c r="C512" s="53"/>
      <c r="D512" s="53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>
      <c r="A513" s="53"/>
      <c r="B513" s="53"/>
      <c r="C513" s="53"/>
      <c r="D513" s="53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>
      <c r="A514" s="53"/>
      <c r="B514" s="53"/>
      <c r="C514" s="53"/>
      <c r="D514" s="53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>
      <c r="A515" s="53"/>
      <c r="B515" s="53"/>
      <c r="C515" s="53"/>
      <c r="D515" s="53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>
      <c r="A516" s="53"/>
      <c r="B516" s="53"/>
      <c r="C516" s="53"/>
      <c r="D516" s="53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>
      <c r="A517" s="53"/>
      <c r="B517" s="53"/>
      <c r="C517" s="53"/>
      <c r="D517" s="53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>
      <c r="A518" s="53"/>
      <c r="B518" s="53"/>
      <c r="C518" s="53"/>
      <c r="D518" s="53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>
      <c r="A519" s="53"/>
      <c r="B519" s="53"/>
      <c r="C519" s="53"/>
      <c r="D519" s="53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>
      <c r="A520" s="53"/>
      <c r="B520" s="53"/>
      <c r="C520" s="53"/>
      <c r="D520" s="53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>
      <c r="A521" s="53"/>
      <c r="B521" s="53"/>
      <c r="C521" s="53"/>
      <c r="D521" s="53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>
      <c r="A522" s="53"/>
      <c r="B522" s="53"/>
      <c r="C522" s="53"/>
      <c r="D522" s="53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>
      <c r="A523" s="53"/>
      <c r="B523" s="53"/>
      <c r="C523" s="53"/>
      <c r="D523" s="53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>
      <c r="A524" s="53"/>
      <c r="B524" s="53"/>
      <c r="C524" s="53"/>
      <c r="D524" s="53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>
      <c r="A525" s="53"/>
      <c r="B525" s="53"/>
      <c r="C525" s="53"/>
      <c r="D525" s="53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>
      <c r="A526" s="53"/>
      <c r="B526" s="53"/>
      <c r="C526" s="53"/>
      <c r="D526" s="53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>
      <c r="A527" s="53"/>
      <c r="B527" s="53"/>
      <c r="C527" s="53"/>
      <c r="D527" s="53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>
      <c r="A528" s="53"/>
      <c r="B528" s="53"/>
      <c r="C528" s="53"/>
      <c r="D528" s="53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>
      <c r="A529" s="53"/>
      <c r="B529" s="53"/>
      <c r="C529" s="53"/>
      <c r="D529" s="53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>
      <c r="A530" s="53"/>
      <c r="B530" s="53"/>
      <c r="C530" s="53"/>
      <c r="D530" s="53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>
      <c r="A531" s="53"/>
      <c r="B531" s="53"/>
      <c r="C531" s="53"/>
      <c r="D531" s="53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>
      <c r="A532" s="53"/>
      <c r="B532" s="53"/>
      <c r="C532" s="53"/>
      <c r="D532" s="53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>
      <c r="A533" s="53"/>
      <c r="B533" s="53"/>
      <c r="C533" s="53"/>
      <c r="D533" s="53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>
      <c r="A534" s="53"/>
      <c r="B534" s="53"/>
      <c r="C534" s="53"/>
      <c r="D534" s="53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>
      <c r="A535" s="53"/>
      <c r="B535" s="53"/>
      <c r="C535" s="53"/>
      <c r="D535" s="53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>
      <c r="A536" s="53"/>
      <c r="B536" s="53"/>
      <c r="C536" s="53"/>
      <c r="D536" s="53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>
      <c r="A537" s="53"/>
      <c r="B537" s="53"/>
      <c r="C537" s="53"/>
      <c r="D537" s="53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>
      <c r="A538" s="53"/>
      <c r="B538" s="53"/>
      <c r="C538" s="53"/>
      <c r="D538" s="53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>
      <c r="A539" s="53"/>
      <c r="B539" s="53"/>
      <c r="C539" s="53"/>
      <c r="D539" s="53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>
      <c r="A540" s="53"/>
      <c r="B540" s="53"/>
      <c r="C540" s="53"/>
      <c r="D540" s="53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>
      <c r="A541" s="53"/>
      <c r="B541" s="53"/>
      <c r="C541" s="53"/>
      <c r="D541" s="53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>
      <c r="A542" s="53"/>
      <c r="B542" s="53"/>
      <c r="C542" s="53"/>
      <c r="D542" s="53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>
      <c r="A543" s="53"/>
      <c r="B543" s="53"/>
      <c r="C543" s="53"/>
      <c r="D543" s="53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>
      <c r="A544" s="53"/>
      <c r="B544" s="53"/>
      <c r="C544" s="53"/>
      <c r="D544" s="53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>
      <c r="A545" s="53"/>
      <c r="B545" s="53"/>
      <c r="C545" s="53"/>
      <c r="D545" s="53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>
      <c r="A546" s="53"/>
      <c r="B546" s="53"/>
      <c r="C546" s="53"/>
      <c r="D546" s="53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>
      <c r="A547" s="53"/>
      <c r="B547" s="53"/>
      <c r="C547" s="53"/>
      <c r="D547" s="53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>
      <c r="A548" s="53"/>
      <c r="B548" s="53"/>
      <c r="C548" s="53"/>
      <c r="D548" s="53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>
      <c r="A549" s="53"/>
      <c r="B549" s="53"/>
      <c r="C549" s="53"/>
      <c r="D549" s="53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>
      <c r="A550" s="53"/>
      <c r="B550" s="53"/>
      <c r="C550" s="53"/>
      <c r="D550" s="53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>
      <c r="A551" s="53"/>
      <c r="B551" s="53"/>
      <c r="C551" s="53"/>
      <c r="D551" s="53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>
      <c r="A552" s="53"/>
      <c r="B552" s="53"/>
      <c r="C552" s="53"/>
      <c r="D552" s="53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>
      <c r="A553" s="53"/>
      <c r="B553" s="53"/>
      <c r="C553" s="53"/>
      <c r="D553" s="53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>
      <c r="A554" s="53"/>
      <c r="B554" s="53"/>
      <c r="C554" s="53"/>
      <c r="D554" s="53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>
      <c r="A555" s="53"/>
      <c r="B555" s="53"/>
      <c r="C555" s="53"/>
      <c r="D555" s="53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>
      <c r="A556" s="53"/>
      <c r="B556" s="53"/>
      <c r="C556" s="53"/>
      <c r="D556" s="53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>
      <c r="A557" s="53"/>
      <c r="B557" s="53"/>
      <c r="C557" s="53"/>
      <c r="D557" s="53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>
      <c r="A558" s="53"/>
      <c r="B558" s="53"/>
      <c r="C558" s="53"/>
      <c r="D558" s="53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>
      <c r="A559" s="53"/>
      <c r="B559" s="53"/>
      <c r="C559" s="53"/>
      <c r="D559" s="53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>
      <c r="A560" s="53"/>
      <c r="B560" s="53"/>
      <c r="C560" s="53"/>
      <c r="D560" s="53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>
      <c r="A561" s="53"/>
      <c r="B561" s="53"/>
      <c r="C561" s="53"/>
      <c r="D561" s="53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>
      <c r="A562" s="53"/>
      <c r="B562" s="53"/>
      <c r="C562" s="53"/>
      <c r="D562" s="53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>
      <c r="A563" s="53"/>
      <c r="B563" s="53"/>
      <c r="C563" s="53"/>
      <c r="D563" s="53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>
      <c r="A564" s="53"/>
      <c r="B564" s="53"/>
      <c r="C564" s="53"/>
      <c r="D564" s="53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>
      <c r="A565" s="53"/>
      <c r="B565" s="53"/>
      <c r="C565" s="53"/>
      <c r="D565" s="53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>
      <c r="A566" s="53"/>
      <c r="B566" s="53"/>
      <c r="C566" s="53"/>
      <c r="D566" s="53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>
      <c r="A567" s="53"/>
      <c r="B567" s="53"/>
      <c r="C567" s="53"/>
      <c r="D567" s="53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>
      <c r="A568" s="53"/>
      <c r="B568" s="53"/>
      <c r="C568" s="53"/>
      <c r="D568" s="53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>
      <c r="A569" s="53"/>
      <c r="B569" s="53"/>
      <c r="C569" s="53"/>
      <c r="D569" s="53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>
      <c r="A570" s="53"/>
      <c r="B570" s="53"/>
      <c r="C570" s="53"/>
      <c r="D570" s="53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>
      <c r="A571" s="53"/>
      <c r="B571" s="53"/>
      <c r="C571" s="53"/>
      <c r="D571" s="53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>
      <c r="A572" s="53"/>
      <c r="B572" s="53"/>
      <c r="C572" s="53"/>
      <c r="D572" s="53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>
      <c r="A573" s="53"/>
      <c r="B573" s="53"/>
      <c r="C573" s="53"/>
      <c r="D573" s="53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>
      <c r="A574" s="53"/>
      <c r="B574" s="53"/>
      <c r="C574" s="53"/>
      <c r="D574" s="53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>
      <c r="A575" s="53"/>
      <c r="B575" s="53"/>
      <c r="C575" s="53"/>
      <c r="D575" s="53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>
      <c r="A576" s="53"/>
      <c r="B576" s="53"/>
      <c r="C576" s="53"/>
      <c r="D576" s="53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>
      <c r="A577" s="53"/>
      <c r="B577" s="53"/>
      <c r="C577" s="53"/>
      <c r="D577" s="53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>
      <c r="A578" s="53"/>
      <c r="B578" s="53"/>
      <c r="C578" s="53"/>
      <c r="D578" s="53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>
      <c r="A579" s="53"/>
      <c r="B579" s="53"/>
      <c r="C579" s="53"/>
      <c r="D579" s="53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>
      <c r="A580" s="53"/>
      <c r="B580" s="53"/>
      <c r="C580" s="53"/>
      <c r="D580" s="53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>
      <c r="A581" s="53"/>
      <c r="B581" s="53"/>
      <c r="C581" s="53"/>
      <c r="D581" s="53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>
      <c r="A582" s="53"/>
      <c r="B582" s="53"/>
      <c r="C582" s="53"/>
      <c r="D582" s="53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>
      <c r="A583" s="53"/>
      <c r="B583" s="53"/>
      <c r="C583" s="53"/>
      <c r="D583" s="53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>
      <c r="A584" s="53"/>
      <c r="B584" s="53"/>
      <c r="C584" s="53"/>
      <c r="D584" s="53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>
      <c r="A585" s="53"/>
      <c r="B585" s="53"/>
      <c r="C585" s="53"/>
      <c r="D585" s="53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>
      <c r="A586" s="53"/>
      <c r="B586" s="53"/>
      <c r="C586" s="53"/>
      <c r="D586" s="53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>
      <c r="A587" s="53"/>
      <c r="B587" s="53"/>
      <c r="C587" s="53"/>
      <c r="D587" s="53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>
      <c r="A588" s="53"/>
      <c r="B588" s="53"/>
      <c r="C588" s="53"/>
      <c r="D588" s="53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>
      <c r="A589" s="53"/>
      <c r="B589" s="53"/>
      <c r="C589" s="53"/>
      <c r="D589" s="53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>
      <c r="A590" s="53"/>
      <c r="B590" s="53"/>
      <c r="C590" s="53"/>
      <c r="D590" s="53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>
      <c r="A591" s="53"/>
      <c r="B591" s="53"/>
      <c r="C591" s="53"/>
      <c r="D591" s="53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>
      <c r="A592" s="53"/>
      <c r="B592" s="53"/>
      <c r="C592" s="53"/>
      <c r="D592" s="53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>
      <c r="A593" s="53"/>
      <c r="B593" s="53"/>
      <c r="C593" s="53"/>
      <c r="D593" s="53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>
      <c r="A594" s="53"/>
      <c r="B594" s="53"/>
      <c r="C594" s="53"/>
      <c r="D594" s="53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>
      <c r="A595" s="53"/>
      <c r="B595" s="53"/>
      <c r="C595" s="53"/>
      <c r="D595" s="53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>
      <c r="A596" s="53"/>
      <c r="B596" s="53"/>
      <c r="C596" s="53"/>
      <c r="D596" s="53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>
      <c r="A597" s="53"/>
      <c r="B597" s="53"/>
      <c r="C597" s="53"/>
      <c r="D597" s="53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>
      <c r="A598" s="53"/>
      <c r="B598" s="53"/>
      <c r="C598" s="53"/>
      <c r="D598" s="53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>
      <c r="A599" s="53"/>
      <c r="B599" s="53"/>
      <c r="C599" s="53"/>
      <c r="D599" s="53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>
      <c r="A600" s="53"/>
      <c r="B600" s="53"/>
      <c r="C600" s="53"/>
      <c r="D600" s="53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>
      <c r="A601" s="53"/>
      <c r="B601" s="53"/>
      <c r="C601" s="53"/>
      <c r="D601" s="53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>
      <c r="A602" s="53"/>
      <c r="B602" s="53"/>
      <c r="C602" s="53"/>
      <c r="D602" s="53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>
      <c r="A603" s="53"/>
      <c r="B603" s="53"/>
      <c r="C603" s="53"/>
      <c r="D603" s="53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>
      <c r="A604" s="53"/>
      <c r="B604" s="53"/>
      <c r="C604" s="53"/>
      <c r="D604" s="53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>
      <c r="A605" s="53"/>
      <c r="B605" s="53"/>
      <c r="C605" s="53"/>
      <c r="D605" s="53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>
      <c r="A606" s="53"/>
      <c r="B606" s="53"/>
      <c r="C606" s="53"/>
      <c r="D606" s="53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>
      <c r="A607" s="53"/>
      <c r="B607" s="53"/>
      <c r="C607" s="53"/>
      <c r="D607" s="53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>
      <c r="A608" s="53"/>
      <c r="B608" s="53"/>
      <c r="C608" s="53"/>
      <c r="D608" s="53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>
      <c r="A609" s="53"/>
      <c r="B609" s="53"/>
      <c r="C609" s="53"/>
      <c r="D609" s="53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>
      <c r="A610" s="53"/>
      <c r="B610" s="53"/>
      <c r="C610" s="53"/>
      <c r="D610" s="53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>
      <c r="A611" s="53"/>
      <c r="B611" s="53"/>
      <c r="C611" s="53"/>
      <c r="D611" s="53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>
      <c r="A612" s="53"/>
      <c r="B612" s="53"/>
      <c r="C612" s="53"/>
      <c r="D612" s="53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>
      <c r="A613" s="53"/>
      <c r="B613" s="53"/>
      <c r="C613" s="53"/>
      <c r="D613" s="53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>
      <c r="A614" s="53"/>
      <c r="B614" s="53"/>
      <c r="C614" s="53"/>
      <c r="D614" s="53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>
      <c r="A615" s="53"/>
      <c r="B615" s="53"/>
      <c r="C615" s="53"/>
      <c r="D615" s="53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>
      <c r="A616" s="53"/>
      <c r="B616" s="53"/>
      <c r="C616" s="53"/>
      <c r="D616" s="53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>
      <c r="A617" s="53"/>
      <c r="B617" s="53"/>
      <c r="C617" s="53"/>
      <c r="D617" s="53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>
      <c r="A618" s="53"/>
      <c r="B618" s="53"/>
      <c r="C618" s="53"/>
      <c r="D618" s="53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>
      <c r="A619" s="53"/>
      <c r="B619" s="53"/>
      <c r="C619" s="53"/>
      <c r="D619" s="53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>
      <c r="A620" s="53"/>
      <c r="B620" s="53"/>
      <c r="C620" s="53"/>
      <c r="D620" s="53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>
      <c r="A621" s="53"/>
      <c r="B621" s="53"/>
      <c r="C621" s="53"/>
      <c r="D621" s="53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>
      <c r="A622" s="53"/>
      <c r="B622" s="53"/>
      <c r="C622" s="53"/>
      <c r="D622" s="53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>
      <c r="A623" s="53"/>
      <c r="B623" s="53"/>
      <c r="C623" s="53"/>
      <c r="D623" s="53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>
      <c r="A624" s="53"/>
      <c r="B624" s="53"/>
      <c r="C624" s="53"/>
      <c r="D624" s="53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>
      <c r="A625" s="53"/>
      <c r="B625" s="53"/>
      <c r="C625" s="53"/>
      <c r="D625" s="53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>
      <c r="A626" s="53"/>
      <c r="B626" s="53"/>
      <c r="C626" s="53"/>
      <c r="D626" s="53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>
      <c r="A627" s="53"/>
      <c r="B627" s="53"/>
      <c r="C627" s="53"/>
      <c r="D627" s="53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>
      <c r="A628" s="53"/>
      <c r="B628" s="53"/>
      <c r="C628" s="53"/>
      <c r="D628" s="53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>
      <c r="A629" s="53"/>
      <c r="B629" s="53"/>
      <c r="C629" s="53"/>
      <c r="D629" s="53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>
      <c r="A630" s="53"/>
      <c r="B630" s="53"/>
      <c r="C630" s="53"/>
      <c r="D630" s="53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>
      <c r="A631" s="53"/>
      <c r="B631" s="53"/>
      <c r="C631" s="53"/>
      <c r="D631" s="53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>
      <c r="A632" s="53"/>
      <c r="B632" s="53"/>
      <c r="C632" s="53"/>
      <c r="D632" s="53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>
      <c r="A633" s="53"/>
      <c r="B633" s="53"/>
      <c r="C633" s="53"/>
      <c r="D633" s="53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>
      <c r="A634" s="53"/>
      <c r="B634" s="53"/>
      <c r="C634" s="53"/>
      <c r="D634" s="53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>
      <c r="A635" s="53"/>
      <c r="B635" s="53"/>
      <c r="C635" s="53"/>
      <c r="D635" s="53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>
      <c r="A636" s="53"/>
      <c r="B636" s="53"/>
      <c r="C636" s="53"/>
      <c r="D636" s="53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>
      <c r="A637" s="53"/>
      <c r="B637" s="53"/>
      <c r="C637" s="53"/>
      <c r="D637" s="53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>
      <c r="A638" s="53"/>
      <c r="B638" s="53"/>
      <c r="C638" s="53"/>
      <c r="D638" s="53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>
      <c r="A639" s="53"/>
      <c r="B639" s="53"/>
      <c r="C639" s="53"/>
      <c r="D639" s="53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>
      <c r="A640" s="53"/>
      <c r="B640" s="53"/>
      <c r="C640" s="53"/>
      <c r="D640" s="53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>
      <c r="A641" s="53"/>
      <c r="B641" s="53"/>
      <c r="C641" s="53"/>
      <c r="D641" s="53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>
      <c r="A642" s="53"/>
      <c r="B642" s="53"/>
      <c r="C642" s="53"/>
      <c r="D642" s="53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>
      <c r="A643" s="53"/>
      <c r="B643" s="53"/>
      <c r="C643" s="53"/>
      <c r="D643" s="53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>
      <c r="A644" s="53"/>
      <c r="B644" s="53"/>
      <c r="C644" s="53"/>
      <c r="D644" s="53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>
      <c r="A645" s="53"/>
      <c r="B645" s="53"/>
      <c r="C645" s="53"/>
      <c r="D645" s="53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>
      <c r="A646" s="53"/>
      <c r="B646" s="53"/>
      <c r="C646" s="53"/>
      <c r="D646" s="53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>
      <c r="A647" s="53"/>
      <c r="B647" s="53"/>
      <c r="C647" s="53"/>
      <c r="D647" s="53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>
      <c r="A648" s="53"/>
      <c r="B648" s="53"/>
      <c r="C648" s="53"/>
      <c r="D648" s="53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>
      <c r="A649" s="53"/>
      <c r="B649" s="53"/>
      <c r="C649" s="53"/>
      <c r="D649" s="53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>
      <c r="A650" s="53"/>
      <c r="B650" s="53"/>
      <c r="C650" s="53"/>
      <c r="D650" s="53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>
      <c r="A651" s="53"/>
      <c r="B651" s="53"/>
      <c r="C651" s="53"/>
      <c r="D651" s="53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>
      <c r="A652" s="53"/>
      <c r="B652" s="53"/>
      <c r="C652" s="53"/>
      <c r="D652" s="53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>
      <c r="A653" s="53"/>
      <c r="B653" s="53"/>
      <c r="C653" s="53"/>
      <c r="D653" s="53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>
      <c r="A654" s="53"/>
      <c r="B654" s="53"/>
      <c r="C654" s="53"/>
      <c r="D654" s="53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>
      <c r="A655" s="53"/>
      <c r="B655" s="53"/>
      <c r="C655" s="53"/>
      <c r="D655" s="53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>
      <c r="A656" s="53"/>
      <c r="B656" s="53"/>
      <c r="C656" s="53"/>
      <c r="D656" s="53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>
      <c r="A657" s="53"/>
      <c r="B657" s="53"/>
      <c r="C657" s="53"/>
      <c r="D657" s="53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>
      <c r="A658" s="53"/>
      <c r="B658" s="53"/>
      <c r="C658" s="53"/>
      <c r="D658" s="53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>
      <c r="A659" s="53"/>
      <c r="B659" s="53"/>
      <c r="C659" s="53"/>
      <c r="D659" s="53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>
      <c r="A660" s="53"/>
      <c r="B660" s="53"/>
      <c r="C660" s="53"/>
      <c r="D660" s="53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>
      <c r="A661" s="53"/>
      <c r="B661" s="53"/>
      <c r="C661" s="53"/>
      <c r="D661" s="53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>
      <c r="A662" s="53"/>
      <c r="B662" s="53"/>
      <c r="C662" s="53"/>
      <c r="D662" s="53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>
      <c r="A663" s="53"/>
      <c r="B663" s="53"/>
      <c r="C663" s="53"/>
      <c r="D663" s="53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>
      <c r="A664" s="53"/>
      <c r="B664" s="53"/>
      <c r="C664" s="53"/>
      <c r="D664" s="53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>
      <c r="A665" s="53"/>
      <c r="B665" s="53"/>
      <c r="C665" s="53"/>
      <c r="D665" s="53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>
      <c r="A666" s="53"/>
      <c r="B666" s="53"/>
      <c r="C666" s="53"/>
      <c r="D666" s="53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>
      <c r="A667" s="53"/>
      <c r="B667" s="53"/>
      <c r="C667" s="53"/>
      <c r="D667" s="53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>
      <c r="A668" s="53"/>
      <c r="B668" s="53"/>
      <c r="C668" s="53"/>
      <c r="D668" s="53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>
      <c r="A669" s="53"/>
      <c r="B669" s="53"/>
      <c r="C669" s="53"/>
      <c r="D669" s="53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>
      <c r="A670" s="53"/>
      <c r="B670" s="53"/>
      <c r="C670" s="53"/>
      <c r="D670" s="53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>
      <c r="A671" s="53"/>
      <c r="B671" s="53"/>
      <c r="C671" s="53"/>
      <c r="D671" s="53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>
      <c r="A672" s="53"/>
      <c r="B672" s="53"/>
      <c r="C672" s="53"/>
      <c r="D672" s="53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>
      <c r="A673" s="53"/>
      <c r="B673" s="53"/>
      <c r="C673" s="53"/>
      <c r="D673" s="53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>
      <c r="A674" s="53"/>
      <c r="B674" s="53"/>
      <c r="C674" s="53"/>
      <c r="D674" s="53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>
      <c r="A675" s="53"/>
      <c r="B675" s="53"/>
      <c r="C675" s="53"/>
      <c r="D675" s="53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>
      <c r="A676" s="53"/>
      <c r="B676" s="53"/>
      <c r="C676" s="53"/>
      <c r="D676" s="53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>
      <c r="A677" s="53"/>
      <c r="B677" s="53"/>
      <c r="C677" s="53"/>
      <c r="D677" s="53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>
      <c r="A678" s="53"/>
      <c r="B678" s="53"/>
      <c r="C678" s="53"/>
      <c r="D678" s="53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>
      <c r="A679" s="53"/>
      <c r="B679" s="53"/>
      <c r="C679" s="53"/>
      <c r="D679" s="53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>
      <c r="A680" s="53"/>
      <c r="B680" s="53"/>
      <c r="C680" s="53"/>
      <c r="D680" s="53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>
      <c r="A681" s="53"/>
      <c r="B681" s="53"/>
      <c r="C681" s="53"/>
      <c r="D681" s="53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>
      <c r="A682" s="53"/>
      <c r="B682" s="53"/>
      <c r="C682" s="53"/>
      <c r="D682" s="53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>
      <c r="A683" s="53"/>
      <c r="B683" s="53"/>
      <c r="C683" s="53"/>
      <c r="D683" s="53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>
      <c r="A684" s="53"/>
      <c r="B684" s="53"/>
      <c r="C684" s="53"/>
      <c r="D684" s="53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>
      <c r="A685" s="53"/>
      <c r="B685" s="53"/>
      <c r="C685" s="53"/>
      <c r="D685" s="53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>
      <c r="A686" s="53"/>
      <c r="B686" s="53"/>
      <c r="C686" s="53"/>
      <c r="D686" s="53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>
      <c r="A687" s="53"/>
      <c r="B687" s="53"/>
      <c r="C687" s="53"/>
      <c r="D687" s="53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>
      <c r="A688" s="53"/>
      <c r="B688" s="53"/>
      <c r="C688" s="53"/>
      <c r="D688" s="53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>
      <c r="A689" s="53"/>
      <c r="B689" s="53"/>
      <c r="C689" s="53"/>
      <c r="D689" s="53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>
      <c r="A690" s="53"/>
      <c r="B690" s="53"/>
      <c r="C690" s="53"/>
      <c r="D690" s="53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>
      <c r="A691" s="53"/>
      <c r="B691" s="53"/>
      <c r="C691" s="53"/>
      <c r="D691" s="53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>
      <c r="A692" s="53"/>
      <c r="B692" s="53"/>
      <c r="C692" s="53"/>
      <c r="D692" s="53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>
      <c r="A693" s="53"/>
      <c r="B693" s="53"/>
      <c r="C693" s="53"/>
      <c r="D693" s="53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>
      <c r="A694" s="53"/>
      <c r="B694" s="53"/>
      <c r="C694" s="53"/>
      <c r="D694" s="53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>
      <c r="A695" s="53"/>
      <c r="B695" s="53"/>
      <c r="C695" s="53"/>
      <c r="D695" s="53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>
      <c r="A696" s="53"/>
      <c r="B696" s="53"/>
      <c r="C696" s="53"/>
      <c r="D696" s="53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>
      <c r="A697" s="53"/>
      <c r="B697" s="53"/>
      <c r="C697" s="53"/>
      <c r="D697" s="53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>
      <c r="A698" s="53"/>
      <c r="B698" s="53"/>
      <c r="C698" s="53"/>
      <c r="D698" s="53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>
      <c r="A699" s="53"/>
      <c r="B699" s="53"/>
      <c r="C699" s="53"/>
      <c r="D699" s="53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>
      <c r="A700" s="53"/>
      <c r="B700" s="53"/>
      <c r="C700" s="53"/>
      <c r="D700" s="53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>
      <c r="A701" s="53"/>
      <c r="B701" s="53"/>
      <c r="C701" s="53"/>
      <c r="D701" s="53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>
      <c r="A702" s="53"/>
      <c r="B702" s="53"/>
      <c r="C702" s="53"/>
      <c r="D702" s="53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>
      <c r="A703" s="53"/>
      <c r="B703" s="53"/>
      <c r="C703" s="53"/>
      <c r="D703" s="53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>
      <c r="A704" s="53"/>
      <c r="B704" s="53"/>
      <c r="C704" s="53"/>
      <c r="D704" s="53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>
      <c r="A705" s="53"/>
      <c r="B705" s="53"/>
      <c r="C705" s="53"/>
      <c r="D705" s="53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>
      <c r="A706" s="53"/>
      <c r="B706" s="53"/>
      <c r="C706" s="53"/>
      <c r="D706" s="53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>
      <c r="A707" s="53"/>
      <c r="B707" s="53"/>
      <c r="C707" s="53"/>
      <c r="D707" s="53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>
      <c r="A708" s="53"/>
      <c r="B708" s="53"/>
      <c r="C708" s="53"/>
      <c r="D708" s="53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>
      <c r="A709" s="53"/>
      <c r="B709" s="53"/>
      <c r="C709" s="53"/>
      <c r="D709" s="53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>
      <c r="A710" s="53"/>
      <c r="B710" s="53"/>
      <c r="C710" s="53"/>
      <c r="D710" s="53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>
      <c r="A711" s="53"/>
      <c r="B711" s="53"/>
      <c r="C711" s="53"/>
      <c r="D711" s="53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>
      <c r="A712" s="53"/>
      <c r="B712" s="53"/>
      <c r="C712" s="53"/>
      <c r="D712" s="53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>
      <c r="A713" s="53"/>
      <c r="B713" s="53"/>
      <c r="C713" s="53"/>
      <c r="D713" s="53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>
      <c r="A714" s="53"/>
      <c r="B714" s="53"/>
      <c r="C714" s="53"/>
      <c r="D714" s="53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>
      <c r="A715" s="53"/>
      <c r="B715" s="53"/>
      <c r="C715" s="53"/>
      <c r="D715" s="53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>
      <c r="A716" s="53"/>
      <c r="B716" s="53"/>
      <c r="C716" s="53"/>
      <c r="D716" s="53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>
      <c r="A717" s="53"/>
      <c r="B717" s="53"/>
      <c r="C717" s="53"/>
      <c r="D717" s="53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>
      <c r="A718" s="53"/>
      <c r="B718" s="53"/>
      <c r="C718" s="53"/>
      <c r="D718" s="53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>
      <c r="A719" s="53"/>
      <c r="B719" s="53"/>
      <c r="C719" s="53"/>
      <c r="D719" s="53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>
      <c r="A720" s="53"/>
      <c r="B720" s="53"/>
      <c r="C720" s="53"/>
      <c r="D720" s="53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>
      <c r="A721" s="53"/>
      <c r="B721" s="53"/>
      <c r="C721" s="53"/>
      <c r="D721" s="53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>
      <c r="A722" s="53"/>
      <c r="B722" s="53"/>
      <c r="C722" s="53"/>
      <c r="D722" s="53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>
      <c r="A723" s="53"/>
      <c r="B723" s="53"/>
      <c r="C723" s="53"/>
      <c r="D723" s="53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>
      <c r="A724" s="53"/>
      <c r="B724" s="53"/>
      <c r="C724" s="53"/>
      <c r="D724" s="53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>
      <c r="A725" s="53"/>
      <c r="B725" s="53"/>
      <c r="C725" s="53"/>
      <c r="D725" s="53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>
      <c r="A726" s="53"/>
      <c r="B726" s="53"/>
      <c r="C726" s="53"/>
      <c r="D726" s="53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>
      <c r="A727" s="53"/>
      <c r="B727" s="53"/>
      <c r="C727" s="53"/>
      <c r="D727" s="53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>
      <c r="A728" s="53"/>
      <c r="B728" s="53"/>
      <c r="C728" s="53"/>
      <c r="D728" s="53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>
      <c r="A729" s="53"/>
      <c r="B729" s="53"/>
      <c r="C729" s="53"/>
      <c r="D729" s="53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>
      <c r="A730" s="53"/>
      <c r="B730" s="53"/>
      <c r="C730" s="53"/>
      <c r="D730" s="53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>
      <c r="A731" s="53"/>
      <c r="B731" s="53"/>
      <c r="C731" s="53"/>
      <c r="D731" s="53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>
      <c r="A732" s="53"/>
      <c r="B732" s="53"/>
      <c r="C732" s="53"/>
      <c r="D732" s="53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>
      <c r="A733" s="53"/>
      <c r="B733" s="53"/>
      <c r="C733" s="53"/>
      <c r="D733" s="53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>
      <c r="A734" s="53"/>
      <c r="B734" s="53"/>
      <c r="C734" s="53"/>
      <c r="D734" s="53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>
      <c r="A735" s="53"/>
      <c r="B735" s="53"/>
      <c r="C735" s="53"/>
      <c r="D735" s="53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>
      <c r="A736" s="53"/>
      <c r="B736" s="53"/>
      <c r="C736" s="53"/>
      <c r="D736" s="53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>
      <c r="A737" s="53"/>
      <c r="B737" s="53"/>
      <c r="C737" s="53"/>
      <c r="D737" s="53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>
      <c r="A738" s="53"/>
      <c r="B738" s="53"/>
      <c r="C738" s="53"/>
      <c r="D738" s="53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>
      <c r="A739" s="53"/>
      <c r="B739" s="53"/>
      <c r="C739" s="53"/>
      <c r="D739" s="53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>
      <c r="A740" s="53"/>
      <c r="B740" s="53"/>
      <c r="C740" s="53"/>
      <c r="D740" s="53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>
      <c r="A741" s="53"/>
      <c r="B741" s="53"/>
      <c r="C741" s="53"/>
      <c r="D741" s="53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>
      <c r="A742" s="53"/>
      <c r="B742" s="53"/>
      <c r="C742" s="53"/>
      <c r="D742" s="53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>
      <c r="A743" s="53"/>
      <c r="B743" s="53"/>
      <c r="C743" s="53"/>
      <c r="D743" s="53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>
      <c r="A744" s="53"/>
      <c r="B744" s="53"/>
      <c r="C744" s="53"/>
      <c r="D744" s="53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>
      <c r="A745" s="53"/>
      <c r="B745" s="53"/>
      <c r="C745" s="53"/>
      <c r="D745" s="53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>
      <c r="A746" s="53"/>
      <c r="B746" s="53"/>
      <c r="C746" s="53"/>
      <c r="D746" s="53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>
      <c r="A747" s="53"/>
      <c r="B747" s="53"/>
      <c r="C747" s="53"/>
      <c r="D747" s="53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>
      <c r="A748" s="53"/>
      <c r="B748" s="53"/>
      <c r="C748" s="53"/>
      <c r="D748" s="53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>
      <c r="A749" s="53"/>
      <c r="B749" s="53"/>
      <c r="C749" s="53"/>
      <c r="D749" s="53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>
      <c r="A750" s="53"/>
      <c r="B750" s="53"/>
      <c r="C750" s="53"/>
      <c r="D750" s="53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>
      <c r="A751" s="53"/>
      <c r="B751" s="53"/>
      <c r="C751" s="53"/>
      <c r="D751" s="53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>
      <c r="A752" s="53"/>
      <c r="B752" s="53"/>
      <c r="C752" s="53"/>
      <c r="D752" s="53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>
      <c r="A753" s="53"/>
      <c r="B753" s="53"/>
      <c r="C753" s="53"/>
      <c r="D753" s="53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>
      <c r="A754" s="53"/>
      <c r="B754" s="53"/>
      <c r="C754" s="53"/>
      <c r="D754" s="53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>
      <c r="A755" s="53"/>
      <c r="B755" s="53"/>
      <c r="C755" s="53"/>
      <c r="D755" s="53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>
      <c r="A756" s="53"/>
      <c r="B756" s="53"/>
      <c r="C756" s="53"/>
      <c r="D756" s="53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>
      <c r="A757" s="53"/>
      <c r="B757" s="53"/>
      <c r="C757" s="53"/>
      <c r="D757" s="53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>
      <c r="A758" s="53"/>
      <c r="B758" s="53"/>
      <c r="C758" s="53"/>
      <c r="D758" s="53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>
      <c r="A759" s="53"/>
      <c r="B759" s="53"/>
      <c r="C759" s="53"/>
      <c r="D759" s="53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>
      <c r="A760" s="53"/>
      <c r="B760" s="53"/>
      <c r="C760" s="53"/>
      <c r="D760" s="53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>
      <c r="A761" s="53"/>
      <c r="B761" s="53"/>
      <c r="C761" s="53"/>
      <c r="D761" s="53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>
      <c r="A762" s="53"/>
      <c r="B762" s="53"/>
      <c r="C762" s="53"/>
      <c r="D762" s="53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>
      <c r="A763" s="53"/>
      <c r="B763" s="53"/>
      <c r="C763" s="53"/>
      <c r="D763" s="53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>
      <c r="A764" s="53"/>
      <c r="B764" s="53"/>
      <c r="C764" s="53"/>
      <c r="D764" s="53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>
      <c r="A765" s="53"/>
      <c r="B765" s="53"/>
      <c r="C765" s="53"/>
      <c r="D765" s="53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>
      <c r="A766" s="53"/>
      <c r="B766" s="53"/>
      <c r="C766" s="53"/>
      <c r="D766" s="53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>
      <c r="A767" s="53"/>
      <c r="B767" s="53"/>
      <c r="C767" s="53"/>
      <c r="D767" s="53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>
      <c r="A768" s="53"/>
      <c r="B768" s="53"/>
      <c r="C768" s="53"/>
      <c r="D768" s="53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>
      <c r="A769" s="53"/>
      <c r="B769" s="53"/>
      <c r="C769" s="53"/>
      <c r="D769" s="53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>
      <c r="A770" s="53"/>
      <c r="B770" s="53"/>
      <c r="C770" s="53"/>
      <c r="D770" s="53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>
      <c r="A771" s="53"/>
      <c r="B771" s="53"/>
      <c r="C771" s="53"/>
      <c r="D771" s="53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>
      <c r="A772" s="53"/>
      <c r="B772" s="53"/>
      <c r="C772" s="53"/>
      <c r="D772" s="53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>
      <c r="A773" s="53"/>
      <c r="B773" s="53"/>
      <c r="C773" s="53"/>
      <c r="D773" s="53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>
      <c r="A774" s="53"/>
      <c r="B774" s="53"/>
      <c r="C774" s="53"/>
      <c r="D774" s="53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>
      <c r="A775" s="53"/>
      <c r="B775" s="53"/>
      <c r="C775" s="53"/>
      <c r="D775" s="53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>
      <c r="A776" s="53"/>
      <c r="B776" s="53"/>
      <c r="C776" s="53"/>
      <c r="D776" s="53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>
      <c r="A777" s="53"/>
      <c r="B777" s="53"/>
      <c r="C777" s="53"/>
      <c r="D777" s="53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>
      <c r="A778" s="53"/>
      <c r="B778" s="53"/>
      <c r="C778" s="53"/>
      <c r="D778" s="53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>
      <c r="A779" s="53"/>
      <c r="B779" s="53"/>
      <c r="C779" s="53"/>
      <c r="D779" s="53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>
      <c r="A780" s="53"/>
      <c r="B780" s="53"/>
      <c r="C780" s="53"/>
      <c r="D780" s="53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>
      <c r="A781" s="53"/>
      <c r="B781" s="53"/>
      <c r="C781" s="53"/>
      <c r="D781" s="53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>
      <c r="A782" s="53"/>
      <c r="B782" s="53"/>
      <c r="C782" s="53"/>
      <c r="D782" s="53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>
      <c r="A783" s="53"/>
      <c r="B783" s="53"/>
      <c r="C783" s="53"/>
      <c r="D783" s="53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>
      <c r="A784" s="53"/>
      <c r="B784" s="53"/>
      <c r="C784" s="53"/>
      <c r="D784" s="53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>
      <c r="A785" s="53"/>
      <c r="B785" s="53"/>
      <c r="C785" s="53"/>
      <c r="D785" s="53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>
      <c r="A786" s="53"/>
      <c r="B786" s="53"/>
      <c r="C786" s="53"/>
      <c r="D786" s="53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>
      <c r="A787" s="53"/>
      <c r="B787" s="53"/>
      <c r="C787" s="53"/>
      <c r="D787" s="53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>
      <c r="A788" s="53"/>
      <c r="B788" s="53"/>
      <c r="C788" s="53"/>
      <c r="D788" s="53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>
      <c r="A789" s="53"/>
      <c r="B789" s="53"/>
      <c r="C789" s="53"/>
      <c r="D789" s="53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>
      <c r="A790" s="53"/>
      <c r="B790" s="53"/>
      <c r="C790" s="53"/>
      <c r="D790" s="53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>
      <c r="A791" s="53"/>
      <c r="B791" s="53"/>
      <c r="C791" s="53"/>
      <c r="D791" s="53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>
      <c r="A792" s="53"/>
      <c r="B792" s="53"/>
      <c r="C792" s="53"/>
      <c r="D792" s="53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>
      <c r="A793" s="53"/>
      <c r="B793" s="53"/>
      <c r="C793" s="53"/>
      <c r="D793" s="53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>
      <c r="A794" s="53"/>
      <c r="B794" s="53"/>
      <c r="C794" s="53"/>
      <c r="D794" s="53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>
      <c r="A795" s="53"/>
      <c r="B795" s="53"/>
      <c r="C795" s="53"/>
      <c r="D795" s="53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>
      <c r="A796" s="53"/>
      <c r="B796" s="53"/>
      <c r="C796" s="53"/>
      <c r="D796" s="53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>
      <c r="A797" s="53"/>
      <c r="B797" s="53"/>
      <c r="C797" s="53"/>
      <c r="D797" s="53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>
      <c r="A798" s="53"/>
      <c r="B798" s="53"/>
      <c r="C798" s="53"/>
      <c r="D798" s="53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>
      <c r="A799" s="53"/>
      <c r="B799" s="53"/>
      <c r="C799" s="53"/>
      <c r="D799" s="53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>
      <c r="A800" s="53"/>
      <c r="B800" s="53"/>
      <c r="C800" s="53"/>
      <c r="D800" s="53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>
      <c r="A801" s="53"/>
      <c r="B801" s="53"/>
      <c r="C801" s="53"/>
      <c r="D801" s="53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>
      <c r="A802" s="53"/>
      <c r="B802" s="53"/>
      <c r="C802" s="53"/>
      <c r="D802" s="53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>
      <c r="A803" s="53"/>
      <c r="B803" s="53"/>
      <c r="C803" s="53"/>
      <c r="D803" s="53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>
      <c r="A804" s="53"/>
      <c r="B804" s="53"/>
      <c r="C804" s="53"/>
      <c r="D804" s="53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>
      <c r="A805" s="53"/>
      <c r="B805" s="53"/>
      <c r="C805" s="53"/>
      <c r="D805" s="53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>
      <c r="A806" s="53"/>
      <c r="B806" s="53"/>
      <c r="C806" s="53"/>
      <c r="D806" s="53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>
      <c r="A807" s="53"/>
      <c r="B807" s="53"/>
      <c r="C807" s="53"/>
      <c r="D807" s="53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>
      <c r="A808" s="53"/>
      <c r="B808" s="53"/>
      <c r="C808" s="53"/>
      <c r="D808" s="53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>
      <c r="A809" s="53"/>
      <c r="B809" s="53"/>
      <c r="C809" s="53"/>
      <c r="D809" s="53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>
      <c r="A810" s="53"/>
      <c r="B810" s="53"/>
      <c r="C810" s="53"/>
      <c r="D810" s="53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>
      <c r="A811" s="53"/>
      <c r="B811" s="53"/>
      <c r="C811" s="53"/>
      <c r="D811" s="53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>
      <c r="A812" s="53"/>
      <c r="B812" s="53"/>
      <c r="C812" s="53"/>
      <c r="D812" s="53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>
      <c r="A813" s="53"/>
      <c r="B813" s="53"/>
      <c r="C813" s="53"/>
      <c r="D813" s="53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>
      <c r="A814" s="53"/>
      <c r="B814" s="53"/>
      <c r="C814" s="53"/>
      <c r="D814" s="53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>
      <c r="A815" s="53"/>
      <c r="B815" s="53"/>
      <c r="C815" s="53"/>
      <c r="D815" s="53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>
      <c r="A816" s="53"/>
      <c r="B816" s="53"/>
      <c r="C816" s="53"/>
      <c r="D816" s="53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>
      <c r="A817" s="53"/>
      <c r="B817" s="53"/>
      <c r="C817" s="53"/>
      <c r="D817" s="53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>
      <c r="A818" s="53"/>
      <c r="B818" s="53"/>
      <c r="C818" s="53"/>
      <c r="D818" s="53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>
      <c r="A819" s="53"/>
      <c r="B819" s="53"/>
      <c r="C819" s="53"/>
      <c r="D819" s="53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>
      <c r="A820" s="53"/>
      <c r="B820" s="53"/>
      <c r="C820" s="53"/>
      <c r="D820" s="53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>
      <c r="A821" s="53"/>
      <c r="B821" s="53"/>
      <c r="C821" s="53"/>
      <c r="D821" s="53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>
      <c r="A822" s="53"/>
      <c r="B822" s="53"/>
      <c r="C822" s="53"/>
      <c r="D822" s="53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>
      <c r="A823" s="53"/>
      <c r="B823" s="53"/>
      <c r="C823" s="53"/>
      <c r="D823" s="53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>
      <c r="A824" s="53"/>
      <c r="B824" s="53"/>
      <c r="C824" s="53"/>
      <c r="D824" s="53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>
      <c r="A825" s="53"/>
      <c r="B825" s="53"/>
      <c r="C825" s="53"/>
      <c r="D825" s="53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>
      <c r="A826" s="53"/>
      <c r="B826" s="53"/>
      <c r="C826" s="53"/>
      <c r="D826" s="53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>
      <c r="A827" s="53"/>
      <c r="B827" s="53"/>
      <c r="C827" s="53"/>
      <c r="D827" s="53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>
      <c r="A828" s="53"/>
      <c r="B828" s="53"/>
      <c r="C828" s="53"/>
      <c r="D828" s="53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>
      <c r="A829" s="53"/>
      <c r="B829" s="53"/>
      <c r="C829" s="53"/>
      <c r="D829" s="53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>
      <c r="A830" s="53"/>
      <c r="B830" s="53"/>
      <c r="C830" s="53"/>
      <c r="D830" s="53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>
      <c r="A831" s="53"/>
      <c r="B831" s="53"/>
      <c r="C831" s="53"/>
      <c r="D831" s="53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>
      <c r="A832" s="53"/>
      <c r="B832" s="53"/>
      <c r="C832" s="53"/>
      <c r="D832" s="53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>
      <c r="A833" s="53"/>
      <c r="B833" s="53"/>
      <c r="C833" s="53"/>
      <c r="D833" s="53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>
      <c r="A834" s="53"/>
      <c r="B834" s="53"/>
      <c r="C834" s="53"/>
      <c r="D834" s="53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>
      <c r="A835" s="53"/>
      <c r="B835" s="53"/>
      <c r="C835" s="53"/>
      <c r="D835" s="53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>
      <c r="A836" s="53"/>
      <c r="B836" s="53"/>
      <c r="C836" s="53"/>
      <c r="D836" s="53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>
      <c r="A837" s="53"/>
      <c r="B837" s="53"/>
      <c r="C837" s="53"/>
      <c r="D837" s="53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>
      <c r="A838" s="53"/>
      <c r="B838" s="53"/>
      <c r="C838" s="53"/>
      <c r="D838" s="53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>
      <c r="A839" s="53"/>
      <c r="B839" s="53"/>
      <c r="C839" s="53"/>
      <c r="D839" s="53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>
      <c r="A840" s="53"/>
      <c r="B840" s="53"/>
      <c r="C840" s="53"/>
      <c r="D840" s="53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>
      <c r="A841" s="53"/>
      <c r="B841" s="53"/>
      <c r="C841" s="53"/>
      <c r="D841" s="53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>
      <c r="A842" s="53"/>
      <c r="B842" s="53"/>
      <c r="C842" s="53"/>
      <c r="D842" s="53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>
      <c r="A843" s="53"/>
      <c r="B843" s="53"/>
      <c r="C843" s="53"/>
      <c r="D843" s="53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>
      <c r="A844" s="53"/>
      <c r="B844" s="53"/>
      <c r="C844" s="53"/>
      <c r="D844" s="53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>
      <c r="A845" s="53"/>
      <c r="B845" s="53"/>
      <c r="C845" s="53"/>
      <c r="D845" s="53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>
      <c r="A846" s="53"/>
      <c r="B846" s="53"/>
      <c r="C846" s="53"/>
      <c r="D846" s="53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>
      <c r="A847" s="53"/>
      <c r="B847" s="53"/>
      <c r="C847" s="53"/>
      <c r="D847" s="53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>
      <c r="A848" s="53"/>
      <c r="B848" s="53"/>
      <c r="C848" s="53"/>
      <c r="D848" s="53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>
      <c r="A849" s="53"/>
      <c r="B849" s="53"/>
      <c r="C849" s="53"/>
      <c r="D849" s="53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>
      <c r="A850" s="53"/>
      <c r="B850" s="53"/>
      <c r="C850" s="53"/>
      <c r="D850" s="53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>
      <c r="A851" s="53"/>
      <c r="B851" s="53"/>
      <c r="C851" s="53"/>
      <c r="D851" s="53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>
      <c r="A852" s="53"/>
      <c r="B852" s="53"/>
      <c r="C852" s="53"/>
      <c r="D852" s="53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>
      <c r="A853" s="53"/>
      <c r="B853" s="53"/>
      <c r="C853" s="53"/>
      <c r="D853" s="53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>
      <c r="A854" s="53"/>
      <c r="B854" s="53"/>
      <c r="C854" s="53"/>
      <c r="D854" s="53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>
      <c r="A855" s="53"/>
      <c r="B855" s="53"/>
      <c r="C855" s="53"/>
      <c r="D855" s="53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>
      <c r="A856" s="53"/>
      <c r="B856" s="53"/>
      <c r="C856" s="53"/>
      <c r="D856" s="53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>
      <c r="A857" s="53"/>
      <c r="B857" s="53"/>
      <c r="C857" s="53"/>
      <c r="D857" s="53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>
      <c r="A858" s="53"/>
      <c r="B858" s="53"/>
      <c r="C858" s="53"/>
      <c r="D858" s="53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>
      <c r="A859" s="53"/>
      <c r="B859" s="53"/>
      <c r="C859" s="53"/>
      <c r="D859" s="53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>
      <c r="A860" s="53"/>
      <c r="B860" s="53"/>
      <c r="C860" s="53"/>
      <c r="D860" s="53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>
      <c r="A861" s="53"/>
      <c r="B861" s="53"/>
      <c r="C861" s="53"/>
      <c r="D861" s="53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>
      <c r="A862" s="53"/>
      <c r="B862" s="53"/>
      <c r="C862" s="53"/>
      <c r="D862" s="53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>
      <c r="A863" s="53"/>
      <c r="B863" s="53"/>
      <c r="C863" s="53"/>
      <c r="D863" s="53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>
      <c r="A864" s="53"/>
      <c r="B864" s="53"/>
      <c r="C864" s="53"/>
      <c r="D864" s="53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>
      <c r="A865" s="53"/>
      <c r="B865" s="53"/>
      <c r="C865" s="53"/>
      <c r="D865" s="53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>
      <c r="A866" s="53"/>
      <c r="B866" s="53"/>
      <c r="C866" s="53"/>
      <c r="D866" s="53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>
      <c r="A867" s="53"/>
      <c r="B867" s="53"/>
      <c r="C867" s="53"/>
      <c r="D867" s="53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>
      <c r="A868" s="53"/>
      <c r="B868" s="53"/>
      <c r="C868" s="53"/>
      <c r="D868" s="53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>
      <c r="A869" s="53"/>
      <c r="B869" s="53"/>
      <c r="C869" s="53"/>
      <c r="D869" s="53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>
      <c r="A870" s="53"/>
      <c r="B870" s="53"/>
      <c r="C870" s="53"/>
      <c r="D870" s="53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>
      <c r="A871" s="53"/>
      <c r="B871" s="53"/>
      <c r="C871" s="53"/>
      <c r="D871" s="53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>
      <c r="A872" s="53"/>
      <c r="B872" s="53"/>
      <c r="C872" s="53"/>
      <c r="D872" s="53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>
      <c r="A873" s="53"/>
      <c r="B873" s="53"/>
      <c r="C873" s="53"/>
      <c r="D873" s="53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>
      <c r="A874" s="53"/>
      <c r="B874" s="53"/>
      <c r="C874" s="53"/>
      <c r="D874" s="53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>
      <c r="A875" s="53"/>
      <c r="B875" s="53"/>
      <c r="C875" s="53"/>
      <c r="D875" s="53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>
      <c r="A876" s="53"/>
      <c r="B876" s="53"/>
      <c r="C876" s="53"/>
      <c r="D876" s="53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>
      <c r="A877" s="53"/>
      <c r="B877" s="53"/>
      <c r="C877" s="53"/>
      <c r="D877" s="53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>
      <c r="A878" s="53"/>
      <c r="B878" s="53"/>
      <c r="C878" s="53"/>
      <c r="D878" s="53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>
      <c r="A879" s="53"/>
      <c r="B879" s="53"/>
      <c r="C879" s="53"/>
      <c r="D879" s="53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>
      <c r="A880" s="53"/>
      <c r="B880" s="53"/>
      <c r="C880" s="53"/>
      <c r="D880" s="53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>
      <c r="A881" s="53"/>
      <c r="B881" s="53"/>
      <c r="C881" s="53"/>
      <c r="D881" s="53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>
      <c r="A882" s="53"/>
      <c r="B882" s="53"/>
      <c r="C882" s="53"/>
      <c r="D882" s="53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>
      <c r="A883" s="53"/>
      <c r="B883" s="53"/>
      <c r="C883" s="53"/>
      <c r="D883" s="53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>
      <c r="A884" s="53"/>
      <c r="B884" s="53"/>
      <c r="C884" s="53"/>
      <c r="D884" s="53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>
      <c r="A885" s="53"/>
      <c r="B885" s="53"/>
      <c r="C885" s="53"/>
      <c r="D885" s="53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>
      <c r="A886" s="53"/>
      <c r="B886" s="53"/>
      <c r="C886" s="53"/>
      <c r="D886" s="53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>
      <c r="A887" s="53"/>
      <c r="B887" s="53"/>
      <c r="C887" s="53"/>
      <c r="D887" s="53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>
      <c r="A888" s="53"/>
      <c r="B888" s="53"/>
      <c r="C888" s="53"/>
      <c r="D888" s="53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>
      <c r="A889" s="53"/>
      <c r="B889" s="53"/>
      <c r="C889" s="53"/>
      <c r="D889" s="53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>
      <c r="A890" s="53"/>
      <c r="B890" s="53"/>
      <c r="C890" s="53"/>
      <c r="D890" s="53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>
      <c r="A891" s="53"/>
      <c r="B891" s="53"/>
      <c r="C891" s="53"/>
      <c r="D891" s="53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>
      <c r="A892" s="53"/>
      <c r="B892" s="53"/>
      <c r="C892" s="53"/>
      <c r="D892" s="53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>
      <c r="A893" s="53"/>
      <c r="B893" s="53"/>
      <c r="C893" s="53"/>
      <c r="D893" s="53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>
      <c r="A894" s="53"/>
      <c r="B894" s="53"/>
      <c r="C894" s="53"/>
      <c r="D894" s="53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>
      <c r="A895" s="53"/>
      <c r="B895" s="53"/>
      <c r="C895" s="53"/>
      <c r="D895" s="53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>
      <c r="A896" s="53"/>
      <c r="B896" s="53"/>
      <c r="C896" s="53"/>
      <c r="D896" s="53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>
      <c r="A897" s="53"/>
      <c r="B897" s="53"/>
      <c r="C897" s="53"/>
      <c r="D897" s="53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>
      <c r="A898" s="53"/>
      <c r="B898" s="53"/>
      <c r="C898" s="53"/>
      <c r="D898" s="53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>
      <c r="A899" s="53"/>
      <c r="B899" s="53"/>
      <c r="C899" s="53"/>
      <c r="D899" s="53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>
      <c r="A900" s="53"/>
      <c r="B900" s="53"/>
      <c r="C900" s="53"/>
      <c r="D900" s="53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>
      <c r="A901" s="53"/>
      <c r="B901" s="53"/>
      <c r="C901" s="53"/>
      <c r="D901" s="53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>
      <c r="A902" s="53"/>
      <c r="B902" s="53"/>
      <c r="C902" s="53"/>
      <c r="D902" s="53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>
      <c r="A903" s="53"/>
      <c r="B903" s="53"/>
      <c r="C903" s="53"/>
      <c r="D903" s="53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>
      <c r="A904" s="53"/>
      <c r="B904" s="53"/>
      <c r="C904" s="53"/>
      <c r="D904" s="53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>
      <c r="A905" s="53"/>
      <c r="B905" s="53"/>
      <c r="C905" s="53"/>
      <c r="D905" s="53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>
      <c r="A906" s="53"/>
      <c r="B906" s="53"/>
      <c r="C906" s="53"/>
      <c r="D906" s="53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>
      <c r="A907" s="53"/>
      <c r="B907" s="53"/>
      <c r="C907" s="53"/>
      <c r="D907" s="53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>
      <c r="A908" s="53"/>
      <c r="B908" s="53"/>
      <c r="C908" s="53"/>
      <c r="D908" s="53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>
      <c r="A909" s="53"/>
      <c r="B909" s="53"/>
      <c r="C909" s="53"/>
      <c r="D909" s="53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>
      <c r="A910" s="53"/>
      <c r="B910" s="53"/>
      <c r="C910" s="53"/>
      <c r="D910" s="53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>
      <c r="A911" s="53"/>
      <c r="B911" s="53"/>
      <c r="C911" s="53"/>
      <c r="D911" s="53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>
      <c r="A912" s="53"/>
      <c r="B912" s="53"/>
      <c r="C912" s="53"/>
      <c r="D912" s="53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>
      <c r="A913" s="53"/>
      <c r="B913" s="53"/>
      <c r="C913" s="53"/>
      <c r="D913" s="53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>
      <c r="A914" s="53"/>
      <c r="B914" s="53"/>
      <c r="C914" s="53"/>
      <c r="D914" s="53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>
      <c r="A915" s="53"/>
      <c r="B915" s="53"/>
      <c r="C915" s="53"/>
      <c r="D915" s="53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>
      <c r="A916" s="53"/>
      <c r="B916" s="53"/>
      <c r="C916" s="53"/>
      <c r="D916" s="53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>
      <c r="A917" s="53"/>
      <c r="B917" s="53"/>
      <c r="C917" s="53"/>
      <c r="D917" s="53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>
      <c r="A918" s="53"/>
      <c r="B918" s="53"/>
      <c r="C918" s="53"/>
      <c r="D918" s="53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>
      <c r="A919" s="53"/>
      <c r="B919" s="53"/>
      <c r="C919" s="53"/>
      <c r="D919" s="53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>
      <c r="A920" s="53"/>
      <c r="B920" s="53"/>
      <c r="C920" s="53"/>
      <c r="D920" s="53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>
      <c r="A921" s="53"/>
      <c r="B921" s="53"/>
      <c r="C921" s="53"/>
      <c r="D921" s="53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>
      <c r="A922" s="53"/>
      <c r="B922" s="53"/>
      <c r="C922" s="53"/>
      <c r="D922" s="53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>
      <c r="A923" s="53"/>
      <c r="B923" s="53"/>
      <c r="C923" s="53"/>
      <c r="D923" s="53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>
      <c r="A924" s="53"/>
      <c r="B924" s="53"/>
      <c r="C924" s="53"/>
      <c r="D924" s="53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>
      <c r="A925" s="53"/>
      <c r="B925" s="53"/>
      <c r="C925" s="53"/>
      <c r="D925" s="53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>
      <c r="A926" s="53"/>
      <c r="B926" s="53"/>
      <c r="C926" s="53"/>
      <c r="D926" s="53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>
      <c r="A927" s="53"/>
      <c r="B927" s="53"/>
      <c r="C927" s="53"/>
      <c r="D927" s="53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>
      <c r="A928" s="53"/>
      <c r="B928" s="53"/>
      <c r="C928" s="53"/>
      <c r="D928" s="53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>
      <c r="A929" s="53"/>
      <c r="B929" s="53"/>
      <c r="C929" s="53"/>
      <c r="D929" s="53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>
      <c r="A930" s="53"/>
      <c r="B930" s="53"/>
      <c r="C930" s="53"/>
      <c r="D930" s="53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>
      <c r="A931" s="53"/>
      <c r="B931" s="53"/>
      <c r="C931" s="53"/>
      <c r="D931" s="53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>
      <c r="A932" s="53"/>
      <c r="B932" s="53"/>
      <c r="C932" s="53"/>
      <c r="D932" s="53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>
      <c r="A933" s="53"/>
      <c r="B933" s="53"/>
      <c r="C933" s="53"/>
      <c r="D933" s="53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>
      <c r="A934" s="53"/>
      <c r="B934" s="53"/>
      <c r="C934" s="53"/>
      <c r="D934" s="53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>
      <c r="A935" s="53"/>
      <c r="B935" s="53"/>
      <c r="C935" s="53"/>
      <c r="D935" s="53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>
      <c r="A936" s="53"/>
      <c r="B936" s="53"/>
      <c r="C936" s="53"/>
      <c r="D936" s="53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>
      <c r="A937" s="53"/>
      <c r="B937" s="53"/>
      <c r="C937" s="53"/>
      <c r="D937" s="53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>
      <c r="A938" s="53"/>
      <c r="B938" s="53"/>
      <c r="C938" s="53"/>
      <c r="D938" s="53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>
      <c r="A939" s="53"/>
      <c r="B939" s="53"/>
      <c r="C939" s="53"/>
      <c r="D939" s="53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>
      <c r="A940" s="53"/>
      <c r="B940" s="53"/>
      <c r="C940" s="53"/>
      <c r="D940" s="53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>
      <c r="A941" s="53"/>
      <c r="B941" s="53"/>
      <c r="C941" s="53"/>
      <c r="D941" s="53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>
      <c r="A942" s="53"/>
      <c r="B942" s="53"/>
      <c r="C942" s="53"/>
      <c r="D942" s="53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>
      <c r="A943" s="53"/>
      <c r="B943" s="53"/>
      <c r="C943" s="53"/>
      <c r="D943" s="53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>
      <c r="A944" s="53"/>
      <c r="B944" s="53"/>
      <c r="C944" s="53"/>
      <c r="D944" s="53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>
      <c r="A945" s="53"/>
      <c r="B945" s="53"/>
      <c r="C945" s="53"/>
      <c r="D945" s="53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>
      <c r="A946" s="53"/>
      <c r="B946" s="53"/>
      <c r="C946" s="53"/>
      <c r="D946" s="53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>
      <c r="A947" s="53"/>
      <c r="B947" s="53"/>
      <c r="C947" s="53"/>
      <c r="D947" s="53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>
      <c r="A948" s="53"/>
      <c r="B948" s="53"/>
      <c r="C948" s="53"/>
      <c r="D948" s="53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>
      <c r="A949" s="53"/>
      <c r="B949" s="53"/>
      <c r="C949" s="53"/>
      <c r="D949" s="53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>
      <c r="A950" s="53"/>
      <c r="B950" s="53"/>
      <c r="C950" s="53"/>
      <c r="D950" s="53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>
      <c r="A951" s="53"/>
      <c r="B951" s="53"/>
      <c r="C951" s="53"/>
      <c r="D951" s="53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>
      <c r="A952" s="53"/>
      <c r="B952" s="53"/>
      <c r="C952" s="53"/>
      <c r="D952" s="53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>
      <c r="A953" s="53"/>
      <c r="B953" s="53"/>
      <c r="C953" s="53"/>
      <c r="D953" s="53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>
      <c r="A954" s="53"/>
      <c r="B954" s="53"/>
      <c r="C954" s="53"/>
      <c r="D954" s="53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>
      <c r="A955" s="53"/>
      <c r="B955" s="53"/>
      <c r="C955" s="53"/>
      <c r="D955" s="53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>
      <c r="A956" s="53"/>
      <c r="B956" s="53"/>
      <c r="C956" s="53"/>
      <c r="D956" s="53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>
      <c r="A957" s="53"/>
      <c r="B957" s="53"/>
      <c r="C957" s="53"/>
      <c r="D957" s="53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>
      <c r="A958" s="53"/>
      <c r="B958" s="53"/>
      <c r="C958" s="53"/>
      <c r="D958" s="53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>
      <c r="A959" s="53"/>
      <c r="B959" s="53"/>
      <c r="C959" s="53"/>
      <c r="D959" s="53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>
      <c r="A960" s="53"/>
      <c r="B960" s="53"/>
      <c r="C960" s="53"/>
      <c r="D960" s="53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>
      <c r="A961" s="53"/>
      <c r="B961" s="53"/>
      <c r="C961" s="53"/>
      <c r="D961" s="53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>
      <c r="A962" s="53"/>
      <c r="B962" s="53"/>
      <c r="C962" s="53"/>
      <c r="D962" s="53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>
      <c r="A963" s="53"/>
      <c r="B963" s="53"/>
      <c r="C963" s="53"/>
      <c r="D963" s="53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>
      <c r="A964" s="53"/>
      <c r="B964" s="53"/>
      <c r="C964" s="53"/>
      <c r="D964" s="53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>
      <c r="A965" s="53"/>
      <c r="B965" s="53"/>
      <c r="C965" s="53"/>
      <c r="D965" s="53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>
      <c r="A966" s="53"/>
      <c r="B966" s="53"/>
      <c r="C966" s="53"/>
      <c r="D966" s="53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>
      <c r="A967" s="53"/>
      <c r="B967" s="53"/>
      <c r="C967" s="53"/>
      <c r="D967" s="53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>
      <c r="A968" s="53"/>
      <c r="B968" s="53"/>
      <c r="C968" s="53"/>
      <c r="D968" s="53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>
      <c r="A969" s="53"/>
      <c r="B969" s="53"/>
      <c r="C969" s="53"/>
      <c r="D969" s="53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>
      <c r="A970" s="53"/>
      <c r="B970" s="53"/>
      <c r="C970" s="53"/>
      <c r="D970" s="53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>
      <c r="A971" s="53"/>
      <c r="B971" s="53"/>
      <c r="C971" s="53"/>
      <c r="D971" s="53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>
      <c r="A972" s="53"/>
      <c r="B972" s="53"/>
      <c r="C972" s="53"/>
      <c r="D972" s="53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>
      <c r="A973" s="53"/>
      <c r="B973" s="53"/>
      <c r="C973" s="53"/>
      <c r="D973" s="53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>
      <c r="A974" s="53"/>
      <c r="B974" s="53"/>
      <c r="C974" s="53"/>
      <c r="D974" s="53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>
      <c r="A975" s="53"/>
      <c r="B975" s="53"/>
      <c r="C975" s="53"/>
      <c r="D975" s="53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>
      <c r="A976" s="53"/>
      <c r="B976" s="53"/>
      <c r="C976" s="53"/>
      <c r="D976" s="53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>
      <c r="A977" s="53"/>
      <c r="B977" s="53"/>
      <c r="C977" s="53"/>
      <c r="D977" s="53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>
      <c r="A978" s="53"/>
      <c r="B978" s="53"/>
      <c r="C978" s="53"/>
      <c r="D978" s="53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>
      <c r="A979" s="53"/>
      <c r="B979" s="53"/>
      <c r="C979" s="53"/>
      <c r="D979" s="53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>
      <c r="A980" s="53"/>
      <c r="B980" s="53"/>
      <c r="C980" s="53"/>
      <c r="D980" s="53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>
      <c r="A981" s="53"/>
      <c r="B981" s="53"/>
      <c r="C981" s="53"/>
      <c r="D981" s="53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>
      <c r="A982" s="53"/>
      <c r="B982" s="53"/>
      <c r="C982" s="53"/>
      <c r="D982" s="53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>
      <c r="A983" s="53"/>
      <c r="B983" s="53"/>
      <c r="C983" s="53"/>
      <c r="D983" s="53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>
      <c r="A984" s="53"/>
      <c r="B984" s="53"/>
      <c r="C984" s="53"/>
      <c r="D984" s="53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>
      <c r="A985" s="53"/>
      <c r="B985" s="53"/>
      <c r="C985" s="53"/>
      <c r="D985" s="53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>
      <c r="A986" s="53"/>
      <c r="B986" s="53"/>
      <c r="C986" s="53"/>
      <c r="D986" s="53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>
      <c r="A987" s="53"/>
      <c r="B987" s="53"/>
      <c r="C987" s="53"/>
      <c r="D987" s="53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>
      <c r="A988" s="53"/>
      <c r="B988" s="53"/>
      <c r="C988" s="53"/>
      <c r="D988" s="53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>
      <c r="A989" s="53"/>
      <c r="B989" s="53"/>
      <c r="C989" s="53"/>
      <c r="D989" s="53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>
      <c r="A990" s="53"/>
      <c r="B990" s="53"/>
      <c r="C990" s="53"/>
      <c r="D990" s="53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>
      <c r="A991" s="53"/>
      <c r="B991" s="53"/>
      <c r="C991" s="53"/>
      <c r="D991" s="53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>
      <c r="A992" s="53"/>
      <c r="B992" s="53"/>
      <c r="C992" s="53"/>
      <c r="D992" s="53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>
      <c r="A993" s="53"/>
      <c r="B993" s="53"/>
      <c r="C993" s="53"/>
      <c r="D993" s="53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>
      <c r="A994" s="53"/>
      <c r="B994" s="53"/>
      <c r="C994" s="53"/>
      <c r="D994" s="53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>
      <c r="A995" s="53"/>
      <c r="B995" s="53"/>
      <c r="C995" s="53"/>
      <c r="D995" s="53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>
      <c r="A996" s="53"/>
      <c r="B996" s="53"/>
      <c r="C996" s="53"/>
      <c r="D996" s="53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>
      <c r="A997" s="53"/>
      <c r="B997" s="53"/>
      <c r="C997" s="53"/>
      <c r="D997" s="53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>
      <c r="A998" s="53"/>
      <c r="B998" s="53"/>
      <c r="C998" s="53"/>
      <c r="D998" s="53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>
      <c r="A999" s="53"/>
      <c r="B999" s="53"/>
      <c r="C999" s="53"/>
      <c r="D999" s="53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>
      <c r="A1000" s="53"/>
      <c r="B1000" s="53"/>
      <c r="C1000" s="53"/>
      <c r="D1000" s="53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0.43"/>
    <col customWidth="1" min="7" max="7" width="2.29"/>
    <col customWidth="1" min="8" max="8" width="18.14"/>
    <col customWidth="1" min="9" max="9" width="22.29"/>
    <col customWidth="1" min="10" max="10" width="4.57"/>
    <col customWidth="1" min="11" max="11" width="11.43"/>
    <col customWidth="1" min="12" max="12" width="14.86"/>
    <col customWidth="1" min="13" max="13" width="15.57"/>
    <col customWidth="1" min="14" max="14" width="19.43"/>
    <col customWidth="1" min="15" max="15" width="5.14"/>
    <col customWidth="1" min="16" max="16" width="18.14"/>
    <col customWidth="1" min="17" max="17" width="14.86"/>
    <col customWidth="1" min="18" max="18" width="4.57"/>
    <col customWidth="1" min="19" max="19" width="11.43"/>
    <col customWidth="1" min="20" max="20" width="14.86"/>
    <col customWidth="1" min="21" max="21" width="9.14"/>
    <col customWidth="1" min="22" max="22" width="22.86"/>
    <col customWidth="1" min="23" max="23" width="14.29"/>
    <col customWidth="1" min="24" max="24" width="35.29"/>
    <col customWidth="1" min="25" max="25" width="22.86"/>
    <col customWidth="1" min="26" max="26" width="17.14"/>
    <col customWidth="1" min="27" max="27" width="14.29"/>
    <col customWidth="1" min="28" max="28" width="14.86"/>
    <col customWidth="1" min="29" max="29" width="4.57"/>
    <col customWidth="1" min="30" max="30" width="14.86"/>
    <col customWidth="1" min="31" max="31" width="25.14"/>
    <col customWidth="1" min="32" max="32" width="14.86"/>
    <col customWidth="1" min="33" max="33" width="22.86"/>
    <col customWidth="1" min="34" max="34" width="14.0"/>
    <col customWidth="1" min="35" max="35" width="19.43"/>
    <col customWidth="1" min="36" max="37" width="14.86"/>
    <col customWidth="1" min="38" max="38" width="4.57"/>
    <col customWidth="1" min="39" max="39" width="11.43"/>
    <col customWidth="1" min="40" max="40" width="14.86"/>
    <col customWidth="1" min="41" max="41" width="9.14"/>
    <col customWidth="1" min="42" max="42" width="22.86"/>
    <col customWidth="1" min="43" max="55" width="34.29"/>
  </cols>
  <sheetData>
    <row r="1" ht="37.5" customHeight="1">
      <c r="A1" s="56"/>
      <c r="B1" s="56"/>
      <c r="C1" s="56"/>
      <c r="D1" s="56"/>
      <c r="E1" s="56"/>
      <c r="F1" s="56"/>
      <c r="G1" s="56"/>
      <c r="H1" s="57" t="s">
        <v>176</v>
      </c>
      <c r="I1" s="58" t="s">
        <v>0</v>
      </c>
      <c r="J1" s="59" t="s">
        <v>613</v>
      </c>
      <c r="K1" s="60" t="s">
        <v>2</v>
      </c>
      <c r="L1" s="59" t="s">
        <v>4</v>
      </c>
      <c r="M1" s="59" t="s">
        <v>5</v>
      </c>
      <c r="N1" s="61" t="s">
        <v>6</v>
      </c>
      <c r="O1" s="62"/>
      <c r="P1" s="57" t="s">
        <v>176</v>
      </c>
      <c r="Q1" s="63" t="s">
        <v>0</v>
      </c>
      <c r="R1" s="64" t="s">
        <v>613</v>
      </c>
      <c r="S1" s="64" t="s">
        <v>2</v>
      </c>
      <c r="T1" s="64" t="s">
        <v>4</v>
      </c>
      <c r="U1" s="64" t="s">
        <v>5</v>
      </c>
      <c r="V1" s="64" t="s">
        <v>6</v>
      </c>
      <c r="W1" s="62"/>
      <c r="X1" s="62"/>
      <c r="Y1" s="65" t="s">
        <v>614</v>
      </c>
      <c r="Z1" s="65" t="s">
        <v>615</v>
      </c>
      <c r="AA1" s="66"/>
      <c r="AB1" s="65" t="s">
        <v>19</v>
      </c>
      <c r="AC1" s="62"/>
      <c r="AD1" s="62"/>
      <c r="AE1" s="62"/>
      <c r="AF1" s="62"/>
      <c r="AG1" s="62"/>
      <c r="AH1" s="62"/>
      <c r="AI1" s="65" t="s">
        <v>616</v>
      </c>
      <c r="AJ1" s="67"/>
      <c r="AK1" s="65" t="s">
        <v>25</v>
      </c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</row>
    <row r="2">
      <c r="A2" s="68"/>
      <c r="B2" s="68"/>
      <c r="C2" s="68"/>
      <c r="D2" s="68"/>
      <c r="E2" s="68"/>
      <c r="F2" s="68"/>
      <c r="G2" s="68"/>
      <c r="H2" s="68"/>
      <c r="I2" s="69" t="str">
        <f>IFERROR(__xludf.DUMMYFUNCTION("FILTER(AB:AG,H1=AF:AF)"),"C85D38A08C8C")</f>
        <v>C85D38A08C8C</v>
      </c>
      <c r="J2" s="70"/>
      <c r="K2" s="71" t="str">
        <f>IFERROR(__xludf.DUMMYFUNCTION("""COMPUTED_VALUE"""),"3.1")</f>
        <v>3.1</v>
      </c>
      <c r="L2" s="69" t="str">
        <f>IFERROR(__xludf.DUMMYFUNCTION("""COMPUTED_VALUE"""),"INICIALIZADO")</f>
        <v>INICIALIZADO</v>
      </c>
      <c r="M2" s="69" t="str">
        <f>IFERROR(__xludf.DUMMYFUNCTION("""COMPUTED_VALUE"""),"YTALO")</f>
        <v>YTALO</v>
      </c>
      <c r="N2" s="72">
        <f>IFERROR(__xludf.DUMMYFUNCTION("""COMPUTED_VALUE"""),45644.350636574076)</f>
        <v>45644.35064</v>
      </c>
      <c r="O2" s="69"/>
      <c r="P2" s="68" t="s">
        <v>25</v>
      </c>
      <c r="Q2" s="69" t="str">
        <f>IFERROR(__xludf.DUMMYFUNCTION("FILTER(AK:AP,P1=AO:AO)"),"216647484760")</f>
        <v>216647484760</v>
      </c>
      <c r="R2" s="70"/>
      <c r="S2" s="69" t="str">
        <f>IFERROR(__xludf.DUMMYFUNCTION("""COMPUTED_VALUE"""),"TOP MIX")</f>
        <v>TOP MIX</v>
      </c>
      <c r="T2" s="69" t="str">
        <f>IFERROR(__xludf.DUMMYFUNCTION("""COMPUTED_VALUE"""),"INICIALIZADO")</f>
        <v>INICIALIZADO</v>
      </c>
      <c r="U2" s="69" t="str">
        <f>IFERROR(__xludf.DUMMYFUNCTION("""COMPUTED_VALUE"""),"YTALO")</f>
        <v>YTALO</v>
      </c>
      <c r="V2" s="73">
        <f>IFERROR(__xludf.DUMMYFUNCTION("""COMPUTED_VALUE"""),45644.350636574076)</f>
        <v>45644.35064</v>
      </c>
      <c r="W2" s="69"/>
      <c r="X2" s="69"/>
      <c r="Y2" s="73">
        <f>IFERROR(__xludf.DUMMYFUNCTION("UNIQUE(AG3:AG800,)"),45644.44116898148)</f>
        <v>45644.44117</v>
      </c>
      <c r="Z2" s="69" t="str">
        <f>IFERROR(__xludf.DUMMYFUNCTION("SORT(UNIQUE(AF3:AF800),1,1)"),"ALEXSANDRO")</f>
        <v>ALEXSANDRO</v>
      </c>
      <c r="AA2" s="69"/>
      <c r="AB2" s="69" t="str">
        <f>IFERROR(__xludf.DUMMYFUNCTION("QUERY(entraga_devolucao,""SELECT A,B,C,E,F,G WHERE H = 'ENTREGA'"")"),"sku")</f>
        <v>sku</v>
      </c>
      <c r="AC2" s="69" t="str">
        <f>IFERROR(__xludf.DUMMYFUNCTION("""COMPUTED_VALUE"""),"qtd")</f>
        <v>qtd</v>
      </c>
      <c r="AD2" s="69" t="str">
        <f>IFERROR(__xludf.DUMMYFUNCTION("""COMPUTED_VALUE"""),"descricao")</f>
        <v>descricao</v>
      </c>
      <c r="AE2" s="69" t="str">
        <f>IFERROR(__xludf.DUMMYFUNCTION("""COMPUTED_VALUE"""),"atlas")</f>
        <v>atlas</v>
      </c>
      <c r="AF2" s="69" t="str">
        <f>IFERROR(__xludf.DUMMYFUNCTION("""COMPUTED_VALUE"""),"tecnico")</f>
        <v>tecnico</v>
      </c>
      <c r="AG2" s="69" t="str">
        <f>IFERROR(__xludf.DUMMYFUNCTION("""COMPUTED_VALUE"""),"data")</f>
        <v>data</v>
      </c>
      <c r="AH2" s="69"/>
      <c r="AI2" s="69" t="str">
        <f>IFERROR(__xludf.DUMMYFUNCTION("sort(UNIQUE(AO3:AO800),1,1)"),"DANILO")</f>
        <v>DANILO</v>
      </c>
      <c r="AJ2" s="69"/>
      <c r="AK2" s="69" t="str">
        <f>IFERROR(__xludf.DUMMYFUNCTION("QUERY(entrega_devolu!A:M,""SELECT A,B,C,E,F,G WHERE H = 'DEVOLUCAO'"")"),"sku")</f>
        <v>sku</v>
      </c>
      <c r="AL2" s="69" t="str">
        <f>IFERROR(__xludf.DUMMYFUNCTION("""COMPUTED_VALUE"""),"qtd")</f>
        <v>qtd</v>
      </c>
      <c r="AM2" s="69" t="str">
        <f>IFERROR(__xludf.DUMMYFUNCTION("""COMPUTED_VALUE"""),"descricao")</f>
        <v>descricao</v>
      </c>
      <c r="AN2" s="69" t="str">
        <f>IFERROR(__xludf.DUMMYFUNCTION("""COMPUTED_VALUE"""),"atlas")</f>
        <v>atlas</v>
      </c>
      <c r="AO2" s="69" t="str">
        <f>IFERROR(__xludf.DUMMYFUNCTION("""COMPUTED_VALUE"""),"tecnico")</f>
        <v>tecnico</v>
      </c>
      <c r="AP2" s="69" t="str">
        <f>IFERROR(__xludf.DUMMYFUNCTION("""COMPUTED_VALUE"""),"data")</f>
        <v>data</v>
      </c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</row>
    <row r="3">
      <c r="A3" s="74"/>
      <c r="B3" s="74"/>
      <c r="C3" s="74"/>
      <c r="D3" s="74"/>
      <c r="E3" s="74"/>
      <c r="F3" s="74"/>
      <c r="G3" s="74"/>
      <c r="H3" s="74"/>
      <c r="I3" s="69" t="str">
        <f>IFERROR(__xludf.DUMMYFUNCTION("""COMPUTED_VALUE"""),"216470169711")</f>
        <v>216470169711</v>
      </c>
      <c r="J3" s="70"/>
      <c r="K3" s="71" t="str">
        <f>IFERROR(__xludf.DUMMYFUNCTION("""COMPUTED_VALUE"""),"TOP MIX")</f>
        <v>TOP MIX</v>
      </c>
      <c r="L3" s="69" t="str">
        <f>IFERROR(__xludf.DUMMYFUNCTION("""COMPUTED_VALUE"""),"INICIALIZADO")</f>
        <v>INICIALIZADO</v>
      </c>
      <c r="M3" s="69" t="str">
        <f>IFERROR(__xludf.DUMMYFUNCTION("""COMPUTED_VALUE"""),"YTALO")</f>
        <v>YTALO</v>
      </c>
      <c r="N3" s="72">
        <f>IFERROR(__xludf.DUMMYFUNCTION("""COMPUTED_VALUE"""),45644.350636574076)</f>
        <v>45644.35064</v>
      </c>
      <c r="O3" s="69"/>
      <c r="P3" s="69"/>
      <c r="Q3" s="69" t="str">
        <f>IFERROR(__xludf.DUMMYFUNCTION("""COMPUTED_VALUE"""),"226035402438")</f>
        <v>226035402438</v>
      </c>
      <c r="R3" s="70"/>
      <c r="S3" s="69" t="str">
        <f>IFERROR(__xludf.DUMMYFUNCTION("""COMPUTED_VALUE"""),"CARD")</f>
        <v>CARD</v>
      </c>
      <c r="T3" s="69" t="str">
        <f>IFERROR(__xludf.DUMMYFUNCTION("""COMPUTED_VALUE"""),"INICIALIZADO")</f>
        <v>INICIALIZADO</v>
      </c>
      <c r="U3" s="69" t="str">
        <f>IFERROR(__xludf.DUMMYFUNCTION("""COMPUTED_VALUE"""),"YTALO")</f>
        <v>YTALO</v>
      </c>
      <c r="V3" s="73">
        <f>IFERROR(__xludf.DUMMYFUNCTION("""COMPUTED_VALUE"""),45644.350636574076)</f>
        <v>45644.35064</v>
      </c>
      <c r="W3" s="69"/>
      <c r="X3" s="69"/>
      <c r="Y3" s="73">
        <f>IFERROR(__xludf.DUMMYFUNCTION("""COMPUTED_VALUE"""),45644.304976851854)</f>
        <v>45644.30498</v>
      </c>
      <c r="Z3" s="69" t="str">
        <f>IFERROR(__xludf.DUMMYFUNCTION("""COMPUTED_VALUE"""),"GUILHERME")</f>
        <v>GUILHERME</v>
      </c>
      <c r="AA3" s="69"/>
      <c r="AB3" s="69" t="str">
        <f>IFERROR(__xludf.DUMMYFUNCTION("""COMPUTED_VALUE"""),"90585145e1fe")</f>
        <v>90585145e1fe</v>
      </c>
      <c r="AC3" s="70"/>
      <c r="AD3" s="69"/>
      <c r="AE3" s="69" t="str">
        <f>IFERROR(__xludf.DUMMYFUNCTION("""COMPUTED_VALUE"""),"INICIALIZADO")</f>
        <v>INICIALIZADO</v>
      </c>
      <c r="AF3" s="69" t="str">
        <f>IFERROR(__xludf.DUMMYFUNCTION("""COMPUTED_VALUE"""),"ALEXSANDRO")</f>
        <v>ALEXSANDRO</v>
      </c>
      <c r="AG3" s="73">
        <f>IFERROR(__xludf.DUMMYFUNCTION("""COMPUTED_VALUE"""),45644.44116898148)</f>
        <v>45644.44117</v>
      </c>
      <c r="AH3" s="69"/>
      <c r="AI3" s="69" t="str">
        <f>IFERROR(__xludf.DUMMYFUNCTION("""COMPUTED_VALUE"""),"JEANE")</f>
        <v>JEANE</v>
      </c>
      <c r="AJ3" s="69"/>
      <c r="AK3" s="69" t="str">
        <f>IFERROR(__xludf.DUMMYFUNCTION("""COMPUTED_VALUE"""),"A8705D841871")</f>
        <v>A8705D841871</v>
      </c>
      <c r="AL3" s="70"/>
      <c r="AM3" s="69" t="str">
        <f>IFERROR(__xludf.DUMMYFUNCTION("""COMPUTED_VALUE"""),"3.1")</f>
        <v>3.1</v>
      </c>
      <c r="AN3" s="69" t="str">
        <f>IFERROR(__xludf.DUMMYFUNCTION("""COMPUTED_VALUE"""),"INICIALIZADO")</f>
        <v>INICIALIZADO</v>
      </c>
      <c r="AO3" s="69" t="str">
        <f>IFERROR(__xludf.DUMMYFUNCTION("""COMPUTED_VALUE"""),"DANILO")</f>
        <v>DANILO</v>
      </c>
      <c r="AP3" s="73">
        <f>IFERROR(__xludf.DUMMYFUNCTION("""COMPUTED_VALUE"""),45644.40398148148)</f>
        <v>45644.40398</v>
      </c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</row>
    <row r="4">
      <c r="A4" s="69"/>
      <c r="B4" s="69"/>
      <c r="C4" s="69"/>
      <c r="D4" s="69"/>
      <c r="E4" s="69"/>
      <c r="F4" s="69"/>
      <c r="G4" s="69"/>
      <c r="H4" s="69"/>
      <c r="I4" s="69" t="str">
        <f>IFERROR(__xludf.DUMMYFUNCTION("""COMPUTED_VALUE"""),"246229897491")</f>
        <v>246229897491</v>
      </c>
      <c r="J4" s="70"/>
      <c r="K4" s="71" t="str">
        <f>IFERROR(__xludf.DUMMYFUNCTION("""COMPUTED_VALUE"""),"CARD")</f>
        <v>CARD</v>
      </c>
      <c r="L4" s="69" t="str">
        <f>IFERROR(__xludf.DUMMYFUNCTION("""COMPUTED_VALUE"""),"INICIALIZADO")</f>
        <v>INICIALIZADO</v>
      </c>
      <c r="M4" s="69" t="str">
        <f>IFERROR(__xludf.DUMMYFUNCTION("""COMPUTED_VALUE"""),"YTALO")</f>
        <v>YTALO</v>
      </c>
      <c r="N4" s="72">
        <f>IFERROR(__xludf.DUMMYFUNCTION("""COMPUTED_VALUE"""),45644.350636574076)</f>
        <v>45644.35064</v>
      </c>
      <c r="O4" s="69"/>
      <c r="P4" s="69"/>
      <c r="Q4" s="69" t="str">
        <f>IFERROR(__xludf.DUMMYFUNCTION("""COMPUTED_VALUE"""),"216794419908")</f>
        <v>216794419908</v>
      </c>
      <c r="R4" s="70"/>
      <c r="S4" s="69" t="str">
        <f>IFERROR(__xludf.DUMMYFUNCTION("""COMPUTED_VALUE"""),"TOP MIX")</f>
        <v>TOP MIX</v>
      </c>
      <c r="T4" s="69" t="str">
        <f>IFERROR(__xludf.DUMMYFUNCTION("""COMPUTED_VALUE"""),"INICIALIZADO")</f>
        <v>INICIALIZADO</v>
      </c>
      <c r="U4" s="69" t="str">
        <f>IFERROR(__xludf.DUMMYFUNCTION("""COMPUTED_VALUE"""),"YTALO")</f>
        <v>YTALO</v>
      </c>
      <c r="V4" s="73">
        <f>IFERROR(__xludf.DUMMYFUNCTION("""COMPUTED_VALUE"""),45644.350636574076)</f>
        <v>45644.35064</v>
      </c>
      <c r="W4" s="69"/>
      <c r="X4" s="69"/>
      <c r="Y4" s="73">
        <f>IFERROR(__xludf.DUMMYFUNCTION("""COMPUTED_VALUE"""),45644.324942129635)</f>
        <v>45644.32494</v>
      </c>
      <c r="Z4" s="69" t="str">
        <f>IFERROR(__xludf.DUMMYFUNCTION("""COMPUTED_VALUE"""),"JAIRO")</f>
        <v>JAIRO</v>
      </c>
      <c r="AA4" s="69"/>
      <c r="AB4" s="69" t="str">
        <f>IFERROR(__xludf.DUMMYFUNCTION("""COMPUTED_VALUE"""),"80d04a907723")</f>
        <v>80d04a907723</v>
      </c>
      <c r="AC4" s="70"/>
      <c r="AD4" s="69"/>
      <c r="AE4" s="69" t="str">
        <f>IFERROR(__xludf.DUMMYFUNCTION("""COMPUTED_VALUE"""),"INICIALIZADO")</f>
        <v>INICIALIZADO</v>
      </c>
      <c r="AF4" s="69" t="str">
        <f>IFERROR(__xludf.DUMMYFUNCTION("""COMPUTED_VALUE"""),"ALEXSANDRO")</f>
        <v>ALEXSANDRO</v>
      </c>
      <c r="AG4" s="73">
        <f>IFERROR(__xludf.DUMMYFUNCTION("""COMPUTED_VALUE"""),45644.44116898148)</f>
        <v>45644.44117</v>
      </c>
      <c r="AH4" s="69"/>
      <c r="AI4" s="69" t="str">
        <f>IFERROR(__xludf.DUMMYFUNCTION("""COMPUTED_VALUE"""),"JOHN WESNNEY")</f>
        <v>JOHN WESNNEY</v>
      </c>
      <c r="AJ4" s="69"/>
      <c r="AK4" s="69" t="str">
        <f>IFERROR(__xludf.DUMMYFUNCTION("""COMPUTED_VALUE"""),"9877E77B0772")</f>
        <v>9877E77B0772</v>
      </c>
      <c r="AL4" s="70"/>
      <c r="AM4" s="69" t="str">
        <f>IFERROR(__xludf.DUMMYFUNCTION("""COMPUTED_VALUE"""),"3.1")</f>
        <v>3.1</v>
      </c>
      <c r="AN4" s="69" t="str">
        <f>IFERROR(__xludf.DUMMYFUNCTION("""COMPUTED_VALUE"""),"SUSPEITO")</f>
        <v>SUSPEITO</v>
      </c>
      <c r="AO4" s="69" t="str">
        <f>IFERROR(__xludf.DUMMYFUNCTION("""COMPUTED_VALUE"""),"DANILO")</f>
        <v>DANILO</v>
      </c>
      <c r="AP4" s="73">
        <f>IFERROR(__xludf.DUMMYFUNCTION("""COMPUTED_VALUE"""),45644.40398148148)</f>
        <v>45644.40398</v>
      </c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</row>
    <row r="5">
      <c r="A5" s="69"/>
      <c r="B5" s="69"/>
      <c r="C5" s="69"/>
      <c r="D5" s="69"/>
      <c r="E5" s="69"/>
      <c r="F5" s="69"/>
      <c r="G5" s="69"/>
      <c r="H5" s="69"/>
      <c r="I5" s="69" t="str">
        <f>IFERROR(__xludf.DUMMYFUNCTION("""COMPUTED_VALUE"""),"C4509CF4D1D4")</f>
        <v>C4509CF4D1D4</v>
      </c>
      <c r="J5" s="70"/>
      <c r="K5" s="71" t="str">
        <f>IFERROR(__xludf.DUMMYFUNCTION("""COMPUTED_VALUE"""),"3.1")</f>
        <v>3.1</v>
      </c>
      <c r="L5" s="69" t="str">
        <f>IFERROR(__xludf.DUMMYFUNCTION("""COMPUTED_VALUE"""),"INICIALIZADO")</f>
        <v>INICIALIZADO</v>
      </c>
      <c r="M5" s="69" t="str">
        <f>IFERROR(__xludf.DUMMYFUNCTION("""COMPUTED_VALUE"""),"YTALO")</f>
        <v>YTALO</v>
      </c>
      <c r="N5" s="72">
        <f>IFERROR(__xludf.DUMMYFUNCTION("""COMPUTED_VALUE"""),45644.350636574076)</f>
        <v>45644.35064</v>
      </c>
      <c r="O5" s="69"/>
      <c r="P5" s="69"/>
      <c r="Q5" s="69" t="str">
        <f>IFERROR(__xludf.DUMMYFUNCTION("""COMPUTED_VALUE"""),"246111443249")</f>
        <v>246111443249</v>
      </c>
      <c r="R5" s="70"/>
      <c r="S5" s="69" t="str">
        <f>IFERROR(__xludf.DUMMYFUNCTION("""COMPUTED_VALUE"""),"CARD")</f>
        <v>CARD</v>
      </c>
      <c r="T5" s="69" t="str">
        <f>IFERROR(__xludf.DUMMYFUNCTION("""COMPUTED_VALUE"""),"INICIALIZADO")</f>
        <v>INICIALIZADO</v>
      </c>
      <c r="U5" s="69" t="str">
        <f>IFERROR(__xludf.DUMMYFUNCTION("""COMPUTED_VALUE"""),"YTALO")</f>
        <v>YTALO</v>
      </c>
      <c r="V5" s="73">
        <f>IFERROR(__xludf.DUMMYFUNCTION("""COMPUTED_VALUE"""),45644.350636574076)</f>
        <v>45644.35064</v>
      </c>
      <c r="W5" s="69"/>
      <c r="X5" s="69"/>
      <c r="Y5" s="73">
        <f>IFERROR(__xludf.DUMMYFUNCTION("""COMPUTED_VALUE"""),45644.30537037037)</f>
        <v>45644.30537</v>
      </c>
      <c r="Z5" s="69" t="str">
        <f>IFERROR(__xludf.DUMMYFUNCTION("""COMPUTED_VALUE"""),"JEANE")</f>
        <v>JEANE</v>
      </c>
      <c r="AA5" s="69"/>
      <c r="AB5" s="69" t="str">
        <f>IFERROR(__xludf.DUMMYFUNCTION("""COMPUTED_VALUE"""),"80d04ab8aa6d")</f>
        <v>80d04ab8aa6d</v>
      </c>
      <c r="AC5" s="70"/>
      <c r="AD5" s="69" t="str">
        <f>IFERROR(__xludf.DUMMYFUNCTION("""COMPUTED_VALUE"""),"DUAL")</f>
        <v>DUAL</v>
      </c>
      <c r="AE5" s="69" t="str">
        <f>IFERROR(__xludf.DUMMYFUNCTION("""COMPUTED_VALUE"""),"INICIALIZADO")</f>
        <v>INICIALIZADO</v>
      </c>
      <c r="AF5" s="69" t="str">
        <f>IFERROR(__xludf.DUMMYFUNCTION("""COMPUTED_VALUE"""),"ALEXSANDRO")</f>
        <v>ALEXSANDRO</v>
      </c>
      <c r="AG5" s="73">
        <f>IFERROR(__xludf.DUMMYFUNCTION("""COMPUTED_VALUE"""),45644.44116898148)</f>
        <v>45644.44117</v>
      </c>
      <c r="AH5" s="69"/>
      <c r="AI5" s="69" t="str">
        <f>IFERROR(__xludf.DUMMYFUNCTION("""COMPUTED_VALUE"""),"MATHEUS HANIEL")</f>
        <v>MATHEUS HANIEL</v>
      </c>
      <c r="AJ5" s="69"/>
      <c r="AK5" s="69" t="str">
        <f>IFERROR(__xludf.DUMMYFUNCTION("""COMPUTED_VALUE"""),"9877E70566F5")</f>
        <v>9877E70566F5</v>
      </c>
      <c r="AL5" s="70"/>
      <c r="AM5" s="69" t="str">
        <f>IFERROR(__xludf.DUMMYFUNCTION("""COMPUTED_VALUE"""),"3.1")</f>
        <v>3.1</v>
      </c>
      <c r="AN5" s="69" t="str">
        <f>IFERROR(__xludf.DUMMYFUNCTION("""COMPUTED_VALUE"""),"INICIALIZADO")</f>
        <v>INICIALIZADO</v>
      </c>
      <c r="AO5" s="69" t="str">
        <f>IFERROR(__xludf.DUMMYFUNCTION("""COMPUTED_VALUE"""),"DANILO")</f>
        <v>DANILO</v>
      </c>
      <c r="AP5" s="73">
        <f>IFERROR(__xludf.DUMMYFUNCTION("""COMPUTED_VALUE"""),45644.40398148148)</f>
        <v>45644.40398</v>
      </c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</row>
    <row r="6">
      <c r="A6" s="69"/>
      <c r="B6" s="69"/>
      <c r="C6" s="69"/>
      <c r="D6" s="69"/>
      <c r="E6" s="69"/>
      <c r="F6" s="69"/>
      <c r="G6" s="69"/>
      <c r="H6" s="69"/>
      <c r="I6" s="75" t="str">
        <f>IFERROR(__xludf.DUMMYFUNCTION("""COMPUTED_VALUE"""),"5C7D7D6DA554")</f>
        <v>5C7D7D6DA554</v>
      </c>
      <c r="J6" s="70"/>
      <c r="K6" s="71" t="str">
        <f>IFERROR(__xludf.DUMMYFUNCTION("""COMPUTED_VALUE"""),"3.1")</f>
        <v>3.1</v>
      </c>
      <c r="L6" s="69" t="str">
        <f>IFERROR(__xludf.DUMMYFUNCTION("""COMPUTED_VALUE"""),"INICIALIZADO")</f>
        <v>INICIALIZADO</v>
      </c>
      <c r="M6" s="69" t="str">
        <f>IFERROR(__xludf.DUMMYFUNCTION("""COMPUTED_VALUE"""),"YTALO")</f>
        <v>YTALO</v>
      </c>
      <c r="N6" s="72">
        <f>IFERROR(__xludf.DUMMYFUNCTION("""COMPUTED_VALUE"""),45644.350636574076)</f>
        <v>45644.35064</v>
      </c>
      <c r="O6" s="69"/>
      <c r="P6" s="69"/>
      <c r="Q6" s="69" t="str">
        <f>IFERROR(__xludf.DUMMYFUNCTION("""COMPUTED_VALUE"""),"184029850422")</f>
        <v>184029850422</v>
      </c>
      <c r="R6" s="70"/>
      <c r="S6" s="69" t="str">
        <f>IFERROR(__xludf.DUMMYFUNCTION("""COMPUTED_VALUE"""),"LEGADO")</f>
        <v>LEGADO</v>
      </c>
      <c r="T6" s="69" t="str">
        <f>IFERROR(__xludf.DUMMYFUNCTION("""COMPUTED_VALUE"""),"SUSPEITO")</f>
        <v>SUSPEITO</v>
      </c>
      <c r="U6" s="69" t="str">
        <f>IFERROR(__xludf.DUMMYFUNCTION("""COMPUTED_VALUE"""),"YTALO")</f>
        <v>YTALO</v>
      </c>
      <c r="V6" s="73">
        <f>IFERROR(__xludf.DUMMYFUNCTION("""COMPUTED_VALUE"""),45644.350636574076)</f>
        <v>45644.35064</v>
      </c>
      <c r="W6" s="69"/>
      <c r="X6" s="69"/>
      <c r="Y6" s="73">
        <f>IFERROR(__xludf.DUMMYFUNCTION("""COMPUTED_VALUE"""),45644.44157407407)</f>
        <v>45644.44157</v>
      </c>
      <c r="Z6" s="69" t="str">
        <f>IFERROR(__xludf.DUMMYFUNCTION("""COMPUTED_VALUE"""),"JONATHAN")</f>
        <v>JONATHAN</v>
      </c>
      <c r="AA6" s="69"/>
      <c r="AB6" s="69" t="str">
        <f>IFERROR(__xludf.DUMMYFUNCTION("""COMPUTED_VALUE"""),"FO")</f>
        <v>FO</v>
      </c>
      <c r="AC6" s="70">
        <f>IFERROR(__xludf.DUMMYFUNCTION("""COMPUTED_VALUE"""),20.0)</f>
        <v>20</v>
      </c>
      <c r="AD6" s="69" t="str">
        <f>IFERROR(__xludf.DUMMYFUNCTION("""COMPUTED_VALUE"""),"FO")</f>
        <v>FO</v>
      </c>
      <c r="AE6" s="69" t="str">
        <f>IFERROR(__xludf.DUMMYFUNCTION("""COMPUTED_VALUE"""),"MISCELANEA")</f>
        <v>MISCELANEA</v>
      </c>
      <c r="AF6" s="69" t="str">
        <f>IFERROR(__xludf.DUMMYFUNCTION("""COMPUTED_VALUE"""),"GUILHERME")</f>
        <v>GUILHERME</v>
      </c>
      <c r="AG6" s="73">
        <f>IFERROR(__xludf.DUMMYFUNCTION("""COMPUTED_VALUE"""),45644.304976851854)</f>
        <v>45644.30498</v>
      </c>
      <c r="AH6" s="69"/>
      <c r="AI6" s="69" t="str">
        <f>IFERROR(__xludf.DUMMYFUNCTION("""COMPUTED_VALUE"""),"PEDRO")</f>
        <v>PEDRO</v>
      </c>
      <c r="AJ6" s="69"/>
      <c r="AK6" s="69" t="str">
        <f>IFERROR(__xludf.DUMMYFUNCTION("""COMPUTED_VALUE"""),"F8D2AC164EA4")</f>
        <v>F8D2AC164EA4</v>
      </c>
      <c r="AL6" s="70"/>
      <c r="AM6" s="69" t="str">
        <f>IFERROR(__xludf.DUMMYFUNCTION("""COMPUTED_VALUE"""),"3.1")</f>
        <v>3.1</v>
      </c>
      <c r="AN6" s="69" t="str">
        <f>IFERROR(__xludf.DUMMYFUNCTION("""COMPUTED_VALUE"""),"INICIALIZADO")</f>
        <v>INICIALIZADO</v>
      </c>
      <c r="AO6" s="69" t="str">
        <f>IFERROR(__xludf.DUMMYFUNCTION("""COMPUTED_VALUE"""),"DANILO")</f>
        <v>DANILO</v>
      </c>
      <c r="AP6" s="73">
        <f>IFERROR(__xludf.DUMMYFUNCTION("""COMPUTED_VALUE"""),45644.40398148148)</f>
        <v>45644.40398</v>
      </c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</row>
    <row r="7">
      <c r="A7" s="69"/>
      <c r="B7" s="69"/>
      <c r="C7" s="69"/>
      <c r="D7" s="69"/>
      <c r="E7" s="69"/>
      <c r="F7" s="69"/>
      <c r="G7" s="69"/>
      <c r="H7" s="69"/>
      <c r="I7" s="69" t="str">
        <f>IFERROR(__xludf.DUMMYFUNCTION("""COMPUTED_VALUE"""),"D86C5A0149AA")</f>
        <v>D86C5A0149AA</v>
      </c>
      <c r="J7" s="70"/>
      <c r="K7" s="71" t="str">
        <f>IFERROR(__xludf.DUMMYFUNCTION("""COMPUTED_VALUE"""),"3.1")</f>
        <v>3.1</v>
      </c>
      <c r="L7" s="69" t="str">
        <f>IFERROR(__xludf.DUMMYFUNCTION("""COMPUTED_VALUE"""),"INICIALIZADO")</f>
        <v>INICIALIZADO</v>
      </c>
      <c r="M7" s="69" t="str">
        <f>IFERROR(__xludf.DUMMYFUNCTION("""COMPUTED_VALUE"""),"YTALO")</f>
        <v>YTALO</v>
      </c>
      <c r="N7" s="72">
        <f>IFERROR(__xludf.DUMMYFUNCTION("""COMPUTED_VALUE"""),45644.350636574076)</f>
        <v>45644.35064</v>
      </c>
      <c r="O7" s="69"/>
      <c r="P7" s="69"/>
      <c r="Q7" s="69" t="str">
        <f>IFERROR(__xludf.DUMMYFUNCTION("""COMPUTED_VALUE"""),"215990499901")</f>
        <v>215990499901</v>
      </c>
      <c r="R7" s="70"/>
      <c r="S7" s="69" t="str">
        <f>IFERROR(__xludf.DUMMYFUNCTION("""COMPUTED_VALUE"""),"CARD")</f>
        <v>CARD</v>
      </c>
      <c r="T7" s="69" t="str">
        <f>IFERROR(__xludf.DUMMYFUNCTION("""COMPUTED_VALUE"""),"SUSPEITO")</f>
        <v>SUSPEITO</v>
      </c>
      <c r="U7" s="69" t="str">
        <f>IFERROR(__xludf.DUMMYFUNCTION("""COMPUTED_VALUE"""),"YTALO")</f>
        <v>YTALO</v>
      </c>
      <c r="V7" s="73">
        <f>IFERROR(__xludf.DUMMYFUNCTION("""COMPUTED_VALUE"""),45644.350636574076)</f>
        <v>45644.35064</v>
      </c>
      <c r="W7" s="69"/>
      <c r="X7" s="69"/>
      <c r="Y7" s="73">
        <f>IFERROR(__xludf.DUMMYFUNCTION("""COMPUTED_VALUE"""),45644.442199074074)</f>
        <v>45644.4422</v>
      </c>
      <c r="Z7" s="69" t="str">
        <f>IFERROR(__xludf.DUMMYFUNCTION("""COMPUTED_VALUE"""),"MATHEUS COORD")</f>
        <v>MATHEUS COORD</v>
      </c>
      <c r="AA7" s="69"/>
      <c r="AB7" s="69" t="str">
        <f>IFERROR(__xludf.DUMMYFUNCTION("""COMPUTED_VALUE"""),"229902335765")</f>
        <v>229902335765</v>
      </c>
      <c r="AC7" s="70"/>
      <c r="AD7" s="69" t="str">
        <f>IFERROR(__xludf.DUMMYFUNCTION("""COMPUTED_VALUE"""),"BOX")</f>
        <v>BOX</v>
      </c>
      <c r="AE7" s="69" t="str">
        <f>IFERROR(__xludf.DUMMYFUNCTION("""COMPUTED_VALUE"""),"INICIALIZADO")</f>
        <v>INICIALIZADO</v>
      </c>
      <c r="AF7" s="69" t="str">
        <f>IFERROR(__xludf.DUMMYFUNCTION("""COMPUTED_VALUE"""),"JAIRO")</f>
        <v>JAIRO</v>
      </c>
      <c r="AG7" s="73">
        <f>IFERROR(__xludf.DUMMYFUNCTION("""COMPUTED_VALUE"""),45644.324942129635)</f>
        <v>45644.32494</v>
      </c>
      <c r="AH7" s="69"/>
      <c r="AI7" s="69" t="str">
        <f>IFERROR(__xludf.DUMMYFUNCTION("""COMPUTED_VALUE"""),"YTALO")</f>
        <v>YTALO</v>
      </c>
      <c r="AJ7" s="69"/>
      <c r="AK7" s="69" t="str">
        <f>IFERROR(__xludf.DUMMYFUNCTION("""COMPUTED_VALUE"""),"383FB3A319C8")</f>
        <v>383FB3A319C8</v>
      </c>
      <c r="AL7" s="70"/>
      <c r="AM7" s="69" t="str">
        <f>IFERROR(__xludf.DUMMYFUNCTION("""COMPUTED_VALUE"""),"DUAL")</f>
        <v>DUAL</v>
      </c>
      <c r="AN7" s="69" t="str">
        <f>IFERROR(__xludf.DUMMYFUNCTION("""COMPUTED_VALUE"""),"INICIALIZADO")</f>
        <v>INICIALIZADO</v>
      </c>
      <c r="AO7" s="69" t="str">
        <f>IFERROR(__xludf.DUMMYFUNCTION("""COMPUTED_VALUE"""),"DANILO")</f>
        <v>DANILO</v>
      </c>
      <c r="AP7" s="73">
        <f>IFERROR(__xludf.DUMMYFUNCTION("""COMPUTED_VALUE"""),45644.40398148148)</f>
        <v>45644.40398</v>
      </c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</row>
    <row r="8">
      <c r="A8" s="69"/>
      <c r="B8" s="69"/>
      <c r="C8" s="69"/>
      <c r="D8" s="69"/>
      <c r="E8" s="69"/>
      <c r="F8" s="69"/>
      <c r="G8" s="69"/>
      <c r="H8" s="69"/>
      <c r="I8" s="69" t="str">
        <f>IFERROR(__xludf.DUMMYFUNCTION("""COMPUTED_VALUE"""),"229686232038")</f>
        <v>229686232038</v>
      </c>
      <c r="J8" s="70"/>
      <c r="K8" s="71" t="str">
        <f>IFERROR(__xludf.DUMMYFUNCTION("""COMPUTED_VALUE"""),"TOP MIX")</f>
        <v>TOP MIX</v>
      </c>
      <c r="L8" s="69" t="str">
        <f>IFERROR(__xludf.DUMMYFUNCTION("""COMPUTED_VALUE"""),"INICIALIZADO")</f>
        <v>INICIALIZADO</v>
      </c>
      <c r="M8" s="69" t="str">
        <f>IFERROR(__xludf.DUMMYFUNCTION("""COMPUTED_VALUE"""),"YTALO")</f>
        <v>YTALO</v>
      </c>
      <c r="N8" s="72">
        <f>IFERROR(__xludf.DUMMYFUNCTION("""COMPUTED_VALUE"""),45644.350636574076)</f>
        <v>45644.35064</v>
      </c>
      <c r="O8" s="69"/>
      <c r="P8" s="69"/>
      <c r="Q8" s="69" t="str">
        <f>IFERROR(__xludf.DUMMYFUNCTION("""COMPUTED_VALUE"""),"E820E20025B7")</f>
        <v>E820E20025B7</v>
      </c>
      <c r="R8" s="70"/>
      <c r="S8" s="69" t="str">
        <f>IFERROR(__xludf.DUMMYFUNCTION("""COMPUTED_VALUE"""),"DUAL")</f>
        <v>DUAL</v>
      </c>
      <c r="T8" s="69" t="str">
        <f>IFERROR(__xludf.DUMMYFUNCTION("""COMPUTED_VALUE"""),"SUSPEITO")</f>
        <v>SUSPEITO</v>
      </c>
      <c r="U8" s="69" t="str">
        <f>IFERROR(__xludf.DUMMYFUNCTION("""COMPUTED_VALUE"""),"YTALO")</f>
        <v>YTALO</v>
      </c>
      <c r="V8" s="73">
        <f>IFERROR(__xludf.DUMMYFUNCTION("""COMPUTED_VALUE"""),45644.350636574076)</f>
        <v>45644.35064</v>
      </c>
      <c r="W8" s="69"/>
      <c r="X8" s="69"/>
      <c r="Y8" s="73">
        <f>IFERROR(__xludf.DUMMYFUNCTION("""COMPUTED_VALUE"""),45644.34532407408)</f>
        <v>45644.34532</v>
      </c>
      <c r="Z8" s="69" t="str">
        <f>IFERROR(__xludf.DUMMYFUNCTION("""COMPUTED_VALUE"""),"MATHEUS HANIEL")</f>
        <v>MATHEUS HANIEL</v>
      </c>
      <c r="AA8" s="69"/>
      <c r="AB8" s="69" t="str">
        <f>IFERROR(__xludf.DUMMYFUNCTION("""COMPUTED_VALUE"""),"229876066770")</f>
        <v>229876066770</v>
      </c>
      <c r="AC8" s="70"/>
      <c r="AD8" s="69" t="str">
        <f>IFERROR(__xludf.DUMMYFUNCTION("""COMPUTED_VALUE"""),"BOX")</f>
        <v>BOX</v>
      </c>
      <c r="AE8" s="69" t="str">
        <f>IFERROR(__xludf.DUMMYFUNCTION("""COMPUTED_VALUE"""),"INICIALIZADO")</f>
        <v>INICIALIZADO</v>
      </c>
      <c r="AF8" s="69" t="str">
        <f>IFERROR(__xludf.DUMMYFUNCTION("""COMPUTED_VALUE"""),"JAIRO")</f>
        <v>JAIRO</v>
      </c>
      <c r="AG8" s="73">
        <f>IFERROR(__xludf.DUMMYFUNCTION("""COMPUTED_VALUE"""),45644.324942129635)</f>
        <v>45644.32494</v>
      </c>
      <c r="AH8" s="69"/>
      <c r="AI8" s="69"/>
      <c r="AJ8" s="69"/>
      <c r="AK8" s="69" t="str">
        <f>IFERROR(__xludf.DUMMYFUNCTION("""COMPUTED_VALUE"""),"484BD49DDE94")</f>
        <v>484BD49DDE94</v>
      </c>
      <c r="AL8" s="70"/>
      <c r="AM8" s="69" t="str">
        <f>IFERROR(__xludf.DUMMYFUNCTION("""COMPUTED_VALUE"""),"3.1")</f>
        <v>3.1</v>
      </c>
      <c r="AN8" s="69" t="str">
        <f>IFERROR(__xludf.DUMMYFUNCTION("""COMPUTED_VALUE"""),"INICIALIZADO")</f>
        <v>INICIALIZADO</v>
      </c>
      <c r="AO8" s="69" t="str">
        <f>IFERROR(__xludf.DUMMYFUNCTION("""COMPUTED_VALUE"""),"DANILO")</f>
        <v>DANILO</v>
      </c>
      <c r="AP8" s="73">
        <f>IFERROR(__xludf.DUMMYFUNCTION("""COMPUTED_VALUE"""),45644.40398148148)</f>
        <v>45644.40398</v>
      </c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</row>
    <row r="9">
      <c r="A9" s="69"/>
      <c r="B9" s="69"/>
      <c r="C9" s="69"/>
      <c r="D9" s="69"/>
      <c r="E9" s="69"/>
      <c r="F9" s="69"/>
      <c r="G9" s="69"/>
      <c r="H9" s="69"/>
      <c r="I9" s="69" t="str">
        <f>IFERROR(__xludf.DUMMYFUNCTION("""COMPUTED_VALUE"""),"246499980809")</f>
        <v>246499980809</v>
      </c>
      <c r="J9" s="70"/>
      <c r="K9" s="71" t="str">
        <f>IFERROR(__xludf.DUMMYFUNCTION("""COMPUTED_VALUE"""),"SIM CARD")</f>
        <v>SIM CARD</v>
      </c>
      <c r="L9" s="69" t="str">
        <f>IFERROR(__xludf.DUMMYFUNCTION("""COMPUTED_VALUE"""),"INICIALIZADO")</f>
        <v>INICIALIZADO</v>
      </c>
      <c r="M9" s="69" t="str">
        <f>IFERROR(__xludf.DUMMYFUNCTION("""COMPUTED_VALUE"""),"YTALO")</f>
        <v>YTALO</v>
      </c>
      <c r="N9" s="72">
        <f>IFERROR(__xludf.DUMMYFUNCTION("""COMPUTED_VALUE"""),45644.350636574076)</f>
        <v>45644.35064</v>
      </c>
      <c r="O9" s="69"/>
      <c r="P9" s="69"/>
      <c r="Q9" s="69" t="str">
        <f>IFERROR(__xludf.DUMMYFUNCTION("""COMPUTED_VALUE"""),"177166921436")</f>
        <v>177166921436</v>
      </c>
      <c r="R9" s="70"/>
      <c r="S9" s="69" t="str">
        <f>IFERROR(__xludf.DUMMYFUNCTION("""COMPUTED_VALUE"""),"LEGADO")</f>
        <v>LEGADO</v>
      </c>
      <c r="T9" s="69" t="str">
        <f>IFERROR(__xludf.DUMMYFUNCTION("""COMPUTED_VALUE"""),"SUSPEITO")</f>
        <v>SUSPEITO</v>
      </c>
      <c r="U9" s="69" t="str">
        <f>IFERROR(__xludf.DUMMYFUNCTION("""COMPUTED_VALUE"""),"YTALO")</f>
        <v>YTALO</v>
      </c>
      <c r="V9" s="73">
        <f>IFERROR(__xludf.DUMMYFUNCTION("""COMPUTED_VALUE"""),45644.350636574076)</f>
        <v>45644.35064</v>
      </c>
      <c r="W9" s="69"/>
      <c r="X9" s="69"/>
      <c r="Y9" s="73">
        <f>IFERROR(__xludf.DUMMYFUNCTION("""COMPUTED_VALUE"""),45644.34546296296)</f>
        <v>45644.34546</v>
      </c>
      <c r="Z9" s="69" t="str">
        <f>IFERROR(__xludf.DUMMYFUNCTION("""COMPUTED_VALUE"""),"PEDRO")</f>
        <v>PEDRO</v>
      </c>
      <c r="AA9" s="69"/>
      <c r="AB9" s="69" t="str">
        <f>IFERROR(__xludf.DUMMYFUNCTION("""COMPUTED_VALUE"""),"229896608292")</f>
        <v>229896608292</v>
      </c>
      <c r="AC9" s="70"/>
      <c r="AD9" s="69" t="str">
        <f>IFERROR(__xludf.DUMMYFUNCTION("""COMPUTED_VALUE"""),"BOX")</f>
        <v>BOX</v>
      </c>
      <c r="AE9" s="69" t="str">
        <f>IFERROR(__xludf.DUMMYFUNCTION("""COMPUTED_VALUE"""),"INICIALIZADO")</f>
        <v>INICIALIZADO</v>
      </c>
      <c r="AF9" s="69" t="str">
        <f>IFERROR(__xludf.DUMMYFUNCTION("""COMPUTED_VALUE"""),"JAIRO")</f>
        <v>JAIRO</v>
      </c>
      <c r="AG9" s="73">
        <f>IFERROR(__xludf.DUMMYFUNCTION("""COMPUTED_VALUE"""),45644.324942129635)</f>
        <v>45644.32494</v>
      </c>
      <c r="AH9" s="69"/>
      <c r="AI9" s="69"/>
      <c r="AJ9" s="69"/>
      <c r="AK9" s="69" t="str">
        <f>IFERROR(__xludf.DUMMYFUNCTION("""COMPUTED_VALUE"""),"BC644BE552A7")</f>
        <v>BC644BE552A7</v>
      </c>
      <c r="AL9" s="70"/>
      <c r="AM9" s="69" t="str">
        <f>IFERROR(__xludf.DUMMYFUNCTION("""COMPUTED_VALUE"""),"DUAL")</f>
        <v>DUAL</v>
      </c>
      <c r="AN9" s="69" t="str">
        <f>IFERROR(__xludf.DUMMYFUNCTION("""COMPUTED_VALUE"""),"INICIALIZADO")</f>
        <v>INICIALIZADO</v>
      </c>
      <c r="AO9" s="69" t="str">
        <f>IFERROR(__xludf.DUMMYFUNCTION("""COMPUTED_VALUE"""),"DANILO")</f>
        <v>DANILO</v>
      </c>
      <c r="AP9" s="73">
        <f>IFERROR(__xludf.DUMMYFUNCTION("""COMPUTED_VALUE"""),45644.40398148148)</f>
        <v>45644.40398</v>
      </c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</row>
    <row r="10">
      <c r="A10" s="69"/>
      <c r="B10" s="69"/>
      <c r="C10" s="69"/>
      <c r="D10" s="69"/>
      <c r="E10" s="69"/>
      <c r="F10" s="69"/>
      <c r="G10" s="69"/>
      <c r="H10" s="69"/>
      <c r="I10" s="69" t="str">
        <f>IFERROR(__xludf.DUMMYFUNCTION("""COMPUTED_VALUE"""),"9C635B8707F6")</f>
        <v>9C635B8707F6</v>
      </c>
      <c r="J10" s="70"/>
      <c r="K10" s="71" t="str">
        <f>IFERROR(__xludf.DUMMYFUNCTION("""COMPUTED_VALUE"""),"ONT")</f>
        <v>ONT</v>
      </c>
      <c r="L10" s="69" t="str">
        <f>IFERROR(__xludf.DUMMYFUNCTION("""COMPUTED_VALUE"""),"INICIALIZADO")</f>
        <v>INICIALIZADO</v>
      </c>
      <c r="M10" s="69" t="str">
        <f>IFERROR(__xludf.DUMMYFUNCTION("""COMPUTED_VALUE"""),"YTALO")</f>
        <v>YTALO</v>
      </c>
      <c r="N10" s="72">
        <f>IFERROR(__xludf.DUMMYFUNCTION("""COMPUTED_VALUE"""),45644.350636574076)</f>
        <v>45644.35064</v>
      </c>
      <c r="O10" s="69"/>
      <c r="P10" s="69"/>
      <c r="Q10" s="69" t="str">
        <f>IFERROR(__xludf.DUMMYFUNCTION("""COMPUTED_VALUE"""),"215786488486")</f>
        <v>215786488486</v>
      </c>
      <c r="R10" s="70"/>
      <c r="S10" s="69" t="str">
        <f>IFERROR(__xludf.DUMMYFUNCTION("""COMPUTED_VALUE"""),"CARD")</f>
        <v>CARD</v>
      </c>
      <c r="T10" s="69" t="str">
        <f>IFERROR(__xludf.DUMMYFUNCTION("""COMPUTED_VALUE"""),"SUSPEITO")</f>
        <v>SUSPEITO</v>
      </c>
      <c r="U10" s="69" t="str">
        <f>IFERROR(__xludf.DUMMYFUNCTION("""COMPUTED_VALUE"""),"YTALO")</f>
        <v>YTALO</v>
      </c>
      <c r="V10" s="73">
        <f>IFERROR(__xludf.DUMMYFUNCTION("""COMPUTED_VALUE"""),45644.350636574076)</f>
        <v>45644.35064</v>
      </c>
      <c r="W10" s="69"/>
      <c r="X10" s="69"/>
      <c r="Y10" s="73">
        <f>IFERROR(__xludf.DUMMYFUNCTION("""COMPUTED_VALUE"""),45644.44172453704)</f>
        <v>45644.44172</v>
      </c>
      <c r="Z10" s="69" t="str">
        <f>IFERROR(__xludf.DUMMYFUNCTION("""COMPUTED_VALUE"""),"YTALO")</f>
        <v>YTALO</v>
      </c>
      <c r="AA10" s="69"/>
      <c r="AB10" s="69" t="str">
        <f>IFERROR(__xludf.DUMMYFUNCTION("""COMPUTED_VALUE"""),"241631424352")</f>
        <v>241631424352</v>
      </c>
      <c r="AC10" s="70"/>
      <c r="AD10" s="69" t="str">
        <f>IFERROR(__xludf.DUMMYFUNCTION("""COMPUTED_VALUE"""),"4K RFIP")</f>
        <v>4K RFIP</v>
      </c>
      <c r="AE10" s="69" t="str">
        <f>IFERROR(__xludf.DUMMYFUNCTION("""COMPUTED_VALUE"""),"INICIALIZADO")</f>
        <v>INICIALIZADO</v>
      </c>
      <c r="AF10" s="69" t="str">
        <f>IFERROR(__xludf.DUMMYFUNCTION("""COMPUTED_VALUE"""),"JAIRO")</f>
        <v>JAIRO</v>
      </c>
      <c r="AG10" s="73">
        <f>IFERROR(__xludf.DUMMYFUNCTION("""COMPUTED_VALUE"""),45644.324942129635)</f>
        <v>45644.32494</v>
      </c>
      <c r="AH10" s="69"/>
      <c r="AI10" s="69"/>
      <c r="AJ10" s="69"/>
      <c r="AK10" s="69" t="str">
        <f>IFERROR(__xludf.DUMMYFUNCTION("""COMPUTED_VALUE"""),"6C55E8C16CAC")</f>
        <v>6C55E8C16CAC</v>
      </c>
      <c r="AL10" s="70"/>
      <c r="AM10" s="69" t="str">
        <f>IFERROR(__xludf.DUMMYFUNCTION("""COMPUTED_VALUE"""),"3.1")</f>
        <v>3.1</v>
      </c>
      <c r="AN10" s="69" t="str">
        <f>IFERROR(__xludf.DUMMYFUNCTION("""COMPUTED_VALUE"""),"INICIALIZADO")</f>
        <v>INICIALIZADO</v>
      </c>
      <c r="AO10" s="69" t="str">
        <f>IFERROR(__xludf.DUMMYFUNCTION("""COMPUTED_VALUE"""),"DANILO")</f>
        <v>DANILO</v>
      </c>
      <c r="AP10" s="73">
        <f>IFERROR(__xludf.DUMMYFUNCTION("""COMPUTED_VALUE"""),45644.40398148148)</f>
        <v>45644.40398</v>
      </c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</row>
    <row r="11">
      <c r="A11" s="69"/>
      <c r="B11" s="69"/>
      <c r="C11" s="69"/>
      <c r="D11" s="69"/>
      <c r="E11" s="69"/>
      <c r="F11" s="69"/>
      <c r="G11" s="69"/>
      <c r="H11" s="69"/>
      <c r="I11" s="75" t="str">
        <f>IFERROR(__xludf.DUMMYFUNCTION("""COMPUTED_VALUE"""),"D86C5A3B0769")</f>
        <v>D86C5A3B0769</v>
      </c>
      <c r="J11" s="70"/>
      <c r="K11" s="71" t="str">
        <f>IFERROR(__xludf.DUMMYFUNCTION("""COMPUTED_VALUE"""),"3.1")</f>
        <v>3.1</v>
      </c>
      <c r="L11" s="71" t="str">
        <f>IFERROR(__xludf.DUMMYFUNCTION("""COMPUTED_VALUE"""),"INICIALIZADO")</f>
        <v>INICIALIZADO</v>
      </c>
      <c r="M11" s="75" t="str">
        <f>IFERROR(__xludf.DUMMYFUNCTION("""COMPUTED_VALUE"""),"YTALO")</f>
        <v>YTALO</v>
      </c>
      <c r="N11" s="76">
        <f>IFERROR(__xludf.DUMMYFUNCTION("""COMPUTED_VALUE"""),45644.350636574076)</f>
        <v>45644.35064</v>
      </c>
      <c r="O11" s="69"/>
      <c r="P11" s="69"/>
      <c r="Q11" s="69" t="str">
        <f>IFERROR(__xludf.DUMMYFUNCTION("""COMPUTED_VALUE"""),"A8F5DDED39E0")</f>
        <v>A8F5DDED39E0</v>
      </c>
      <c r="R11" s="70"/>
      <c r="S11" s="69" t="str">
        <f>IFERROR(__xludf.DUMMYFUNCTION("""COMPUTED_VALUE"""),"DUAL")</f>
        <v>DUAL</v>
      </c>
      <c r="T11" s="69" t="str">
        <f>IFERROR(__xludf.DUMMYFUNCTION("""COMPUTED_VALUE"""),"SUSPEITO")</f>
        <v>SUSPEITO</v>
      </c>
      <c r="U11" s="69" t="str">
        <f>IFERROR(__xludf.DUMMYFUNCTION("""COMPUTED_VALUE"""),"YTALO")</f>
        <v>YTALO</v>
      </c>
      <c r="V11" s="73">
        <f>IFERROR(__xludf.DUMMYFUNCTION("""COMPUTED_VALUE"""),45644.350636574076)</f>
        <v>45644.35064</v>
      </c>
      <c r="W11" s="69"/>
      <c r="X11" s="69"/>
      <c r="Y11" s="73">
        <f>IFERROR(__xludf.DUMMYFUNCTION("""COMPUTED_VALUE"""),45644.44427083334)</f>
        <v>45644.44427</v>
      </c>
      <c r="Z11" s="69"/>
      <c r="AA11" s="69"/>
      <c r="AB11" s="69" t="str">
        <f>IFERROR(__xludf.DUMMYFUNCTION("""COMPUTED_VALUE"""),"241631370408")</f>
        <v>241631370408</v>
      </c>
      <c r="AC11" s="70"/>
      <c r="AD11" s="69" t="str">
        <f>IFERROR(__xludf.DUMMYFUNCTION("""COMPUTED_VALUE"""),"4K RFIP")</f>
        <v>4K RFIP</v>
      </c>
      <c r="AE11" s="69" t="str">
        <f>IFERROR(__xludf.DUMMYFUNCTION("""COMPUTED_VALUE"""),"INICIALIZADO")</f>
        <v>INICIALIZADO</v>
      </c>
      <c r="AF11" s="69" t="str">
        <f>IFERROR(__xludf.DUMMYFUNCTION("""COMPUTED_VALUE"""),"JAIRO")</f>
        <v>JAIRO</v>
      </c>
      <c r="AG11" s="73">
        <f>IFERROR(__xludf.DUMMYFUNCTION("""COMPUTED_VALUE"""),45644.324942129635)</f>
        <v>45644.32494</v>
      </c>
      <c r="AH11" s="69"/>
      <c r="AI11" s="69"/>
      <c r="AJ11" s="69"/>
      <c r="AK11" s="69" t="str">
        <f>IFERROR(__xludf.DUMMYFUNCTION("""COMPUTED_VALUE"""),"4C1265E410C5")</f>
        <v>4C1265E410C5</v>
      </c>
      <c r="AL11" s="70"/>
      <c r="AM11" s="69" t="str">
        <f>IFERROR(__xludf.DUMMYFUNCTION("""COMPUTED_VALUE"""),"DUAL")</f>
        <v>DUAL</v>
      </c>
      <c r="AN11" s="69" t="str">
        <f>IFERROR(__xludf.DUMMYFUNCTION("""COMPUTED_VALUE"""),"INICIALIZADO")</f>
        <v>INICIALIZADO</v>
      </c>
      <c r="AO11" s="69" t="str">
        <f>IFERROR(__xludf.DUMMYFUNCTION("""COMPUTED_VALUE"""),"DANILO")</f>
        <v>DANILO</v>
      </c>
      <c r="AP11" s="73">
        <f>IFERROR(__xludf.DUMMYFUNCTION("""COMPUTED_VALUE"""),45644.40398148148)</f>
        <v>45644.40398</v>
      </c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</row>
    <row r="12">
      <c r="A12" s="69"/>
      <c r="B12" s="69"/>
      <c r="C12" s="69"/>
      <c r="D12" s="69"/>
      <c r="E12" s="69"/>
      <c r="F12" s="69"/>
      <c r="G12" s="69"/>
      <c r="H12" s="69"/>
      <c r="I12" s="75" t="str">
        <f>IFERROR(__xludf.DUMMYFUNCTION("""COMPUTED_VALUE"""),"F6")</f>
        <v>F6</v>
      </c>
      <c r="J12" s="70">
        <f>IFERROR(__xludf.DUMMYFUNCTION("""COMPUTED_VALUE"""),15.0)</f>
        <v>15</v>
      </c>
      <c r="K12" s="71" t="str">
        <f>IFERROR(__xludf.DUMMYFUNCTION("""COMPUTED_VALUE"""),"F6")</f>
        <v>F6</v>
      </c>
      <c r="L12" s="71" t="str">
        <f>IFERROR(__xludf.DUMMYFUNCTION("""COMPUTED_VALUE"""),"MISCELANEA")</f>
        <v>MISCELANEA</v>
      </c>
      <c r="M12" s="75" t="str">
        <f>IFERROR(__xludf.DUMMYFUNCTION("""COMPUTED_VALUE"""),"YTALO")</f>
        <v>YTALO</v>
      </c>
      <c r="N12" s="76">
        <f>IFERROR(__xludf.DUMMYFUNCTION("""COMPUTED_VALUE"""),45644.350636574076)</f>
        <v>45644.35064</v>
      </c>
      <c r="O12" s="69"/>
      <c r="P12" s="69"/>
      <c r="Q12" s="69" t="str">
        <f>IFERROR(__xludf.DUMMYFUNCTION("""COMPUTED_VALUE"""),"184322160117")</f>
        <v>184322160117</v>
      </c>
      <c r="R12" s="70"/>
      <c r="S12" s="69" t="str">
        <f>IFERROR(__xludf.DUMMYFUNCTION("""COMPUTED_VALUE"""),"LEGADO")</f>
        <v>LEGADO</v>
      </c>
      <c r="T12" s="69" t="str">
        <f>IFERROR(__xludf.DUMMYFUNCTION("""COMPUTED_VALUE"""),"SUSPEITO")</f>
        <v>SUSPEITO</v>
      </c>
      <c r="U12" s="69" t="str">
        <f>IFERROR(__xludf.DUMMYFUNCTION("""COMPUTED_VALUE"""),"YTALO")</f>
        <v>YTALO</v>
      </c>
      <c r="V12" s="73">
        <f>IFERROR(__xludf.DUMMYFUNCTION("""COMPUTED_VALUE"""),45644.350636574076)</f>
        <v>45644.35064</v>
      </c>
      <c r="W12" s="69"/>
      <c r="X12" s="69"/>
      <c r="Y12" s="73">
        <f>IFERROR(__xludf.DUMMYFUNCTION("""COMPUTED_VALUE"""),45644.31476851852)</f>
        <v>45644.31477</v>
      </c>
      <c r="Z12" s="69"/>
      <c r="AA12" s="69"/>
      <c r="AB12" s="69" t="str">
        <f>IFERROR(__xludf.DUMMYFUNCTION("""COMPUTED_VALUE"""),"CABO DROP")</f>
        <v>CABO DROP</v>
      </c>
      <c r="AC12" s="70">
        <f>IFERROR(__xludf.DUMMYFUNCTION("""COMPUTED_VALUE"""),500.0)</f>
        <v>500</v>
      </c>
      <c r="AD12" s="69" t="str">
        <f>IFERROR(__xludf.DUMMYFUNCTION("""COMPUTED_VALUE"""),"CABO DROP")</f>
        <v>CABO DROP</v>
      </c>
      <c r="AE12" s="69" t="str">
        <f>IFERROR(__xludf.DUMMYFUNCTION("""COMPUTED_VALUE"""),"MISCELANEA")</f>
        <v>MISCELANEA</v>
      </c>
      <c r="AF12" s="69" t="str">
        <f>IFERROR(__xludf.DUMMYFUNCTION("""COMPUTED_VALUE"""),"JEANE")</f>
        <v>JEANE</v>
      </c>
      <c r="AG12" s="73">
        <f>IFERROR(__xludf.DUMMYFUNCTION("""COMPUTED_VALUE"""),45644.30537037037)</f>
        <v>45644.30537</v>
      </c>
      <c r="AH12" s="69"/>
      <c r="AI12" s="69"/>
      <c r="AJ12" s="69"/>
      <c r="AK12" s="69" t="str">
        <f>IFERROR(__xludf.DUMMYFUNCTION("""COMPUTED_VALUE"""),"802D1A0017D0")</f>
        <v>802D1A0017D0</v>
      </c>
      <c r="AL12" s="70"/>
      <c r="AM12" s="69" t="str">
        <f>IFERROR(__xludf.DUMMYFUNCTION("""COMPUTED_VALUE"""),"WIFI MESH")</f>
        <v>WIFI MESH</v>
      </c>
      <c r="AN12" s="69" t="str">
        <f>IFERROR(__xludf.DUMMYFUNCTION("""COMPUTED_VALUE"""),"INICIALIZADO")</f>
        <v>INICIALIZADO</v>
      </c>
      <c r="AO12" s="69" t="str">
        <f>IFERROR(__xludf.DUMMYFUNCTION("""COMPUTED_VALUE"""),"DANILO")</f>
        <v>DANILO</v>
      </c>
      <c r="AP12" s="73">
        <f>IFERROR(__xludf.DUMMYFUNCTION("""COMPUTED_VALUE"""),45644.40398148148)</f>
        <v>45644.40398</v>
      </c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</row>
    <row r="13">
      <c r="A13" s="69"/>
      <c r="B13" s="69"/>
      <c r="C13" s="69"/>
      <c r="D13" s="69"/>
      <c r="E13" s="69"/>
      <c r="F13" s="69"/>
      <c r="G13" s="69"/>
      <c r="H13" s="69"/>
      <c r="I13" s="75" t="str">
        <f>IFERROR(__xludf.DUMMYFUNCTION("""COMPUTED_VALUE"""),"TAP 6")</f>
        <v>TAP 6</v>
      </c>
      <c r="J13" s="70">
        <f>IFERROR(__xludf.DUMMYFUNCTION("""COMPUTED_VALUE"""),2.0)</f>
        <v>2</v>
      </c>
      <c r="K13" s="71" t="str">
        <f>IFERROR(__xludf.DUMMYFUNCTION("""COMPUTED_VALUE"""),"TAP 6")</f>
        <v>TAP 6</v>
      </c>
      <c r="L13" s="71" t="str">
        <f>IFERROR(__xludf.DUMMYFUNCTION("""COMPUTED_VALUE"""),"MISCELANEA")</f>
        <v>MISCELANEA</v>
      </c>
      <c r="M13" s="75" t="str">
        <f>IFERROR(__xludf.DUMMYFUNCTION("""COMPUTED_VALUE"""),"YTALO")</f>
        <v>YTALO</v>
      </c>
      <c r="N13" s="76">
        <f>IFERROR(__xludf.DUMMYFUNCTION("""COMPUTED_VALUE"""),45644.350636574076)</f>
        <v>45644.35064</v>
      </c>
      <c r="O13" s="69"/>
      <c r="P13" s="69"/>
      <c r="Q13" s="69" t="str">
        <f>IFERROR(__xludf.DUMMYFUNCTION("""COMPUTED_VALUE"""),"226707695165")</f>
        <v>226707695165</v>
      </c>
      <c r="R13" s="70"/>
      <c r="S13" s="69" t="str">
        <f>IFERROR(__xludf.DUMMYFUNCTION("""COMPUTED_VALUE"""),"CARD")</f>
        <v>CARD</v>
      </c>
      <c r="T13" s="69" t="str">
        <f>IFERROR(__xludf.DUMMYFUNCTION("""COMPUTED_VALUE"""),"SUSPEITO")</f>
        <v>SUSPEITO</v>
      </c>
      <c r="U13" s="69" t="str">
        <f>IFERROR(__xludf.DUMMYFUNCTION("""COMPUTED_VALUE"""),"YTALO")</f>
        <v>YTALO</v>
      </c>
      <c r="V13" s="73">
        <f>IFERROR(__xludf.DUMMYFUNCTION("""COMPUTED_VALUE"""),45644.350636574076)</f>
        <v>45644.35064</v>
      </c>
      <c r="W13" s="69"/>
      <c r="X13" s="69"/>
      <c r="Y13" s="73">
        <f>IFERROR(__xludf.DUMMYFUNCTION("""COMPUTED_VALUE"""),45644.31484953704)</f>
        <v>45644.31485</v>
      </c>
      <c r="Z13" s="69"/>
      <c r="AA13" s="69"/>
      <c r="AB13" s="69" t="str">
        <f>IFERROR(__xludf.DUMMYFUNCTION("""COMPUTED_VALUE"""),"ISOLADOR")</f>
        <v>ISOLADOR</v>
      </c>
      <c r="AC13" s="70">
        <f>IFERROR(__xludf.DUMMYFUNCTION("""COMPUTED_VALUE"""),10.0)</f>
        <v>10</v>
      </c>
      <c r="AD13" s="69" t="str">
        <f>IFERROR(__xludf.DUMMYFUNCTION("""COMPUTED_VALUE"""),"ISOLADOR")</f>
        <v>ISOLADOR</v>
      </c>
      <c r="AE13" s="69" t="str">
        <f>IFERROR(__xludf.DUMMYFUNCTION("""COMPUTED_VALUE"""),"MISCELANEA")</f>
        <v>MISCELANEA</v>
      </c>
      <c r="AF13" s="69" t="str">
        <f>IFERROR(__xludf.DUMMYFUNCTION("""COMPUTED_VALUE"""),"JEANE")</f>
        <v>JEANE</v>
      </c>
      <c r="AG13" s="73">
        <f>IFERROR(__xludf.DUMMYFUNCTION("""COMPUTED_VALUE"""),45644.30537037037)</f>
        <v>45644.30537</v>
      </c>
      <c r="AH13" s="69"/>
      <c r="AI13" s="69"/>
      <c r="AJ13" s="69"/>
      <c r="AK13" s="69" t="str">
        <f>IFERROR(__xludf.DUMMYFUNCTION("""COMPUTED_VALUE"""),"802D1A001988")</f>
        <v>802D1A001988</v>
      </c>
      <c r="AL13" s="70"/>
      <c r="AM13" s="69" t="str">
        <f>IFERROR(__xludf.DUMMYFUNCTION("""COMPUTED_VALUE"""),"WIFI MESH")</f>
        <v>WIFI MESH</v>
      </c>
      <c r="AN13" s="69" t="str">
        <f>IFERROR(__xludf.DUMMYFUNCTION("""COMPUTED_VALUE"""),"INICIALIZADO")</f>
        <v>INICIALIZADO</v>
      </c>
      <c r="AO13" s="69" t="str">
        <f>IFERROR(__xludf.DUMMYFUNCTION("""COMPUTED_VALUE"""),"DANILO")</f>
        <v>DANILO</v>
      </c>
      <c r="AP13" s="73">
        <f>IFERROR(__xludf.DUMMYFUNCTION("""COMPUTED_VALUE"""),45644.40398148148)</f>
        <v>45644.40398</v>
      </c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</row>
    <row r="14">
      <c r="A14" s="69"/>
      <c r="B14" s="69"/>
      <c r="C14" s="69"/>
      <c r="D14" s="69"/>
      <c r="E14" s="69"/>
      <c r="F14" s="69"/>
      <c r="G14" s="69"/>
      <c r="H14" s="69"/>
      <c r="I14" s="75" t="str">
        <f>IFERROR(__xludf.DUMMYFUNCTION("""COMPUTED_VALUE"""),"TAP 9")</f>
        <v>TAP 9</v>
      </c>
      <c r="J14" s="70">
        <f>IFERROR(__xludf.DUMMYFUNCTION("""COMPUTED_VALUE"""),2.0)</f>
        <v>2</v>
      </c>
      <c r="K14" s="71" t="str">
        <f>IFERROR(__xludf.DUMMYFUNCTION("""COMPUTED_VALUE"""),"TAP 9")</f>
        <v>TAP 9</v>
      </c>
      <c r="L14" s="71" t="str">
        <f>IFERROR(__xludf.DUMMYFUNCTION("""COMPUTED_VALUE"""),"MISCELANEA")</f>
        <v>MISCELANEA</v>
      </c>
      <c r="M14" s="75" t="str">
        <f>IFERROR(__xludf.DUMMYFUNCTION("""COMPUTED_VALUE"""),"YTALO")</f>
        <v>YTALO</v>
      </c>
      <c r="N14" s="76">
        <f>IFERROR(__xludf.DUMMYFUNCTION("""COMPUTED_VALUE"""),45644.350636574076)</f>
        <v>45644.35064</v>
      </c>
      <c r="O14" s="69"/>
      <c r="P14" s="69"/>
      <c r="Q14" s="69" t="str">
        <f>IFERROR(__xludf.DUMMYFUNCTION("""COMPUTED_VALUE"""),"F820D2058607")</f>
        <v>F820D2058607</v>
      </c>
      <c r="R14" s="70"/>
      <c r="S14" s="69" t="str">
        <f>IFERROR(__xludf.DUMMYFUNCTION("""COMPUTED_VALUE"""),"3.1")</f>
        <v>3.1</v>
      </c>
      <c r="T14" s="69" t="str">
        <f>IFERROR(__xludf.DUMMYFUNCTION("""COMPUTED_VALUE"""),"SUSPEITO")</f>
        <v>SUSPEITO</v>
      </c>
      <c r="U14" s="69" t="str">
        <f>IFERROR(__xludf.DUMMYFUNCTION("""COMPUTED_VALUE"""),"YTALO")</f>
        <v>YTALO</v>
      </c>
      <c r="V14" s="73">
        <f>IFERROR(__xludf.DUMMYFUNCTION("""COMPUTED_VALUE"""),45644.350636574076)</f>
        <v>45644.35064</v>
      </c>
      <c r="W14" s="69"/>
      <c r="X14" s="69"/>
      <c r="Y14" s="73">
        <f>IFERROR(__xludf.DUMMYFUNCTION("""COMPUTED_VALUE"""),45644.443773148145)</f>
        <v>45644.44377</v>
      </c>
      <c r="Z14" s="69"/>
      <c r="AA14" s="69"/>
      <c r="AB14" s="69" t="str">
        <f>IFERROR(__xludf.DUMMYFUNCTION("""COMPUTED_VALUE"""),"MINI ISOLADOR")</f>
        <v>MINI ISOLADOR</v>
      </c>
      <c r="AC14" s="70">
        <f>IFERROR(__xludf.DUMMYFUNCTION("""COMPUTED_VALUE"""),15.0)</f>
        <v>15</v>
      </c>
      <c r="AD14" s="69" t="str">
        <f>IFERROR(__xludf.DUMMYFUNCTION("""COMPUTED_VALUE"""),"MINI ISOLADOR")</f>
        <v>MINI ISOLADOR</v>
      </c>
      <c r="AE14" s="69" t="str">
        <f>IFERROR(__xludf.DUMMYFUNCTION("""COMPUTED_VALUE"""),"MISCELANEA")</f>
        <v>MISCELANEA</v>
      </c>
      <c r="AF14" s="69" t="str">
        <f>IFERROR(__xludf.DUMMYFUNCTION("""COMPUTED_VALUE"""),"JEANE")</f>
        <v>JEANE</v>
      </c>
      <c r="AG14" s="73">
        <f>IFERROR(__xludf.DUMMYFUNCTION("""COMPUTED_VALUE"""),45644.30537037037)</f>
        <v>45644.30537</v>
      </c>
      <c r="AH14" s="69"/>
      <c r="AI14" s="69"/>
      <c r="AJ14" s="69"/>
      <c r="AK14" s="69" t="str">
        <f>IFERROR(__xludf.DUMMYFUNCTION("""COMPUTED_VALUE"""),"3CF9F0A8CB68")</f>
        <v>3CF9F0A8CB68</v>
      </c>
      <c r="AL14" s="70"/>
      <c r="AM14" s="69" t="str">
        <f>IFERROR(__xludf.DUMMYFUNCTION("""COMPUTED_VALUE"""),"GPON 6")</f>
        <v>GPON 6</v>
      </c>
      <c r="AN14" s="69" t="str">
        <f>IFERROR(__xludf.DUMMYFUNCTION("""COMPUTED_VALUE"""),"INICIALIZADO")</f>
        <v>INICIALIZADO</v>
      </c>
      <c r="AO14" s="69" t="str">
        <f>IFERROR(__xludf.DUMMYFUNCTION("""COMPUTED_VALUE"""),"DANILO")</f>
        <v>DANILO</v>
      </c>
      <c r="AP14" s="73">
        <f>IFERROR(__xludf.DUMMYFUNCTION("""COMPUTED_VALUE"""),45644.40398148148)</f>
        <v>45644.40398</v>
      </c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</row>
    <row r="15">
      <c r="A15" s="69"/>
      <c r="B15" s="69"/>
      <c r="C15" s="69"/>
      <c r="D15" s="69"/>
      <c r="E15" s="69"/>
      <c r="F15" s="69"/>
      <c r="G15" s="69"/>
      <c r="H15" s="69"/>
      <c r="I15" s="75" t="str">
        <f>IFERROR(__xludf.DUMMYFUNCTION("""COMPUTED_VALUE"""),"DIV 2")</f>
        <v>DIV 2</v>
      </c>
      <c r="J15" s="70">
        <f>IFERROR(__xludf.DUMMYFUNCTION("""COMPUTED_VALUE"""),1.0)</f>
        <v>1</v>
      </c>
      <c r="K15" s="71" t="str">
        <f>IFERROR(__xludf.DUMMYFUNCTION("""COMPUTED_VALUE"""),"DIV 2")</f>
        <v>DIV 2</v>
      </c>
      <c r="L15" s="71" t="str">
        <f>IFERROR(__xludf.DUMMYFUNCTION("""COMPUTED_VALUE"""),"MISCELANEA")</f>
        <v>MISCELANEA</v>
      </c>
      <c r="M15" s="75" t="str">
        <f>IFERROR(__xludf.DUMMYFUNCTION("""COMPUTED_VALUE"""),"YTALO")</f>
        <v>YTALO</v>
      </c>
      <c r="N15" s="76">
        <f>IFERROR(__xludf.DUMMYFUNCTION("""COMPUTED_VALUE"""),45644.350636574076)</f>
        <v>45644.35064</v>
      </c>
      <c r="O15" s="69"/>
      <c r="P15" s="68"/>
      <c r="Q15" s="69" t="str">
        <f>IFERROR(__xludf.DUMMYFUNCTION("""COMPUTED_VALUE"""),"D833B730D0D9")</f>
        <v>D833B730D0D9</v>
      </c>
      <c r="R15" s="70"/>
      <c r="S15" s="69" t="str">
        <f>IFERROR(__xludf.DUMMYFUNCTION("""COMPUTED_VALUE"""),"3.1")</f>
        <v>3.1</v>
      </c>
      <c r="T15" s="69" t="str">
        <f>IFERROR(__xludf.DUMMYFUNCTION("""COMPUTED_VALUE"""),"SUSPEITO")</f>
        <v>SUSPEITO</v>
      </c>
      <c r="U15" s="69" t="str">
        <f>IFERROR(__xludf.DUMMYFUNCTION("""COMPUTED_VALUE"""),"YTALO")</f>
        <v>YTALO</v>
      </c>
      <c r="V15" s="73">
        <f>IFERROR(__xludf.DUMMYFUNCTION("""COMPUTED_VALUE"""),45644.350636574076)</f>
        <v>45644.35064</v>
      </c>
      <c r="W15" s="69"/>
      <c r="X15" s="69"/>
      <c r="Y15" s="73">
        <f>IFERROR(__xludf.DUMMYFUNCTION("""COMPUTED_VALUE"""),45644.350636574076)</f>
        <v>45644.35064</v>
      </c>
      <c r="Z15" s="69"/>
      <c r="AA15" s="69"/>
      <c r="AB15" s="69" t="str">
        <f>IFERROR(__xludf.DUMMYFUNCTION("""COMPUTED_VALUE"""),"MINI PROTETOR")</f>
        <v>MINI PROTETOR</v>
      </c>
      <c r="AC15" s="70">
        <f>IFERROR(__xludf.DUMMYFUNCTION("""COMPUTED_VALUE"""),30.0)</f>
        <v>30</v>
      </c>
      <c r="AD15" s="69" t="str">
        <f>IFERROR(__xludf.DUMMYFUNCTION("""COMPUTED_VALUE"""),"MINI PROTETOR")</f>
        <v>MINI PROTETOR</v>
      </c>
      <c r="AE15" s="69" t="str">
        <f>IFERROR(__xludf.DUMMYFUNCTION("""COMPUTED_VALUE"""),"MISCELANEA")</f>
        <v>MISCELANEA</v>
      </c>
      <c r="AF15" s="69" t="str">
        <f>IFERROR(__xludf.DUMMYFUNCTION("""COMPUTED_VALUE"""),"JEANE")</f>
        <v>JEANE</v>
      </c>
      <c r="AG15" s="73">
        <f>IFERROR(__xludf.DUMMYFUNCTION("""COMPUTED_VALUE"""),45644.30537037037)</f>
        <v>45644.30537</v>
      </c>
      <c r="AH15" s="69"/>
      <c r="AI15" s="69"/>
      <c r="AJ15" s="69"/>
      <c r="AK15" s="69" t="str">
        <f>IFERROR(__xludf.DUMMYFUNCTION("""COMPUTED_VALUE"""),"9C635B8A5CFE")</f>
        <v>9C635B8A5CFE</v>
      </c>
      <c r="AL15" s="70"/>
      <c r="AM15" s="69" t="str">
        <f>IFERROR(__xludf.DUMMYFUNCTION("""COMPUTED_VALUE"""),"GPON 6")</f>
        <v>GPON 6</v>
      </c>
      <c r="AN15" s="69" t="str">
        <f>IFERROR(__xludf.DUMMYFUNCTION("""COMPUTED_VALUE"""),"INICIALIZADO")</f>
        <v>INICIALIZADO</v>
      </c>
      <c r="AO15" s="69" t="str">
        <f>IFERROR(__xludf.DUMMYFUNCTION("""COMPUTED_VALUE"""),"DANILO")</f>
        <v>DANILO</v>
      </c>
      <c r="AP15" s="73">
        <f>IFERROR(__xludf.DUMMYFUNCTION("""COMPUTED_VALUE"""),45644.40398148148)</f>
        <v>45644.40398</v>
      </c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</row>
    <row r="16">
      <c r="A16" s="69"/>
      <c r="B16" s="69"/>
      <c r="C16" s="69"/>
      <c r="D16" s="69"/>
      <c r="E16" s="69"/>
      <c r="F16" s="69"/>
      <c r="G16" s="69"/>
      <c r="H16" s="69"/>
      <c r="I16" s="75" t="str">
        <f>IFERROR(__xludf.DUMMYFUNCTION("""COMPUTED_VALUE"""),"DIV D")</f>
        <v>DIV D</v>
      </c>
      <c r="J16" s="70">
        <f>IFERROR(__xludf.DUMMYFUNCTION("""COMPUTED_VALUE"""),1.0)</f>
        <v>1</v>
      </c>
      <c r="K16" s="71" t="str">
        <f>IFERROR(__xludf.DUMMYFUNCTION("""COMPUTED_VALUE"""),"DIV D")</f>
        <v>DIV D</v>
      </c>
      <c r="L16" s="71" t="str">
        <f>IFERROR(__xludf.DUMMYFUNCTION("""COMPUTED_VALUE"""),"MISCELANEA")</f>
        <v>MISCELANEA</v>
      </c>
      <c r="M16" s="75" t="str">
        <f>IFERROR(__xludf.DUMMYFUNCTION("""COMPUTED_VALUE"""),"YTALO")</f>
        <v>YTALO</v>
      </c>
      <c r="N16" s="76">
        <f>IFERROR(__xludf.DUMMYFUNCTION("""COMPUTED_VALUE"""),45644.350636574076)</f>
        <v>45644.35064</v>
      </c>
      <c r="O16" s="69"/>
      <c r="P16" s="69"/>
      <c r="Q16" s="69" t="str">
        <f>IFERROR(__xludf.DUMMYFUNCTION("""COMPUTED_VALUE"""),"216525861028")</f>
        <v>216525861028</v>
      </c>
      <c r="R16" s="70"/>
      <c r="S16" s="69" t="str">
        <f>IFERROR(__xludf.DUMMYFUNCTION("""COMPUTED_VALUE"""),"TOP MIX")</f>
        <v>TOP MIX</v>
      </c>
      <c r="T16" s="69" t="str">
        <f>IFERROR(__xludf.DUMMYFUNCTION("""COMPUTED_VALUE"""),"INICIALIZADO")</f>
        <v>INICIALIZADO</v>
      </c>
      <c r="U16" s="68" t="str">
        <f>IFERROR(__xludf.DUMMYFUNCTION("""COMPUTED_VALUE"""),"YTALO")</f>
        <v>YTALO</v>
      </c>
      <c r="V16" s="73">
        <f>IFERROR(__xludf.DUMMYFUNCTION("""COMPUTED_VALUE"""),45644.350636574076)</f>
        <v>45644.35064</v>
      </c>
      <c r="W16" s="69"/>
      <c r="X16" s="69"/>
      <c r="Y16" s="69"/>
      <c r="Z16" s="69"/>
      <c r="AA16" s="69"/>
      <c r="AB16" s="69" t="str">
        <f>IFERROR(__xludf.DUMMYFUNCTION("""COMPUTED_VALUE"""),"ANEL")</f>
        <v>ANEL</v>
      </c>
      <c r="AC16" s="70">
        <f>IFERROR(__xludf.DUMMYFUNCTION("""COMPUTED_VALUE"""),10.0)</f>
        <v>10</v>
      </c>
      <c r="AD16" s="69" t="str">
        <f>IFERROR(__xludf.DUMMYFUNCTION("""COMPUTED_VALUE"""),"ANEL")</f>
        <v>ANEL</v>
      </c>
      <c r="AE16" s="69" t="str">
        <f>IFERROR(__xludf.DUMMYFUNCTION("""COMPUTED_VALUE"""),"MISCELANEA")</f>
        <v>MISCELANEA</v>
      </c>
      <c r="AF16" s="69" t="str">
        <f>IFERROR(__xludf.DUMMYFUNCTION("""COMPUTED_VALUE"""),"JEANE")</f>
        <v>JEANE</v>
      </c>
      <c r="AG16" s="73">
        <f>IFERROR(__xludf.DUMMYFUNCTION("""COMPUTED_VALUE"""),45644.30537037037)</f>
        <v>45644.30537</v>
      </c>
      <c r="AH16" s="69"/>
      <c r="AI16" s="69"/>
      <c r="AJ16" s="69"/>
      <c r="AK16" s="69" t="str">
        <f>IFERROR(__xludf.DUMMYFUNCTION("""COMPUTED_VALUE"""),"C4EBFFF6C121")</f>
        <v>C4EBFFF6C121</v>
      </c>
      <c r="AL16" s="70"/>
      <c r="AM16" s="69" t="str">
        <f>IFERROR(__xludf.DUMMYFUNCTION("""COMPUTED_VALUE"""),"GPON 6")</f>
        <v>GPON 6</v>
      </c>
      <c r="AN16" s="69" t="str">
        <f>IFERROR(__xludf.DUMMYFUNCTION("""COMPUTED_VALUE"""),"INICIALIZADO")</f>
        <v>INICIALIZADO</v>
      </c>
      <c r="AO16" s="69" t="str">
        <f>IFERROR(__xludf.DUMMYFUNCTION("""COMPUTED_VALUE"""),"DANILO")</f>
        <v>DANILO</v>
      </c>
      <c r="AP16" s="73">
        <f>IFERROR(__xludf.DUMMYFUNCTION("""COMPUTED_VALUE"""),45644.40398148148)</f>
        <v>45644.40398</v>
      </c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</row>
    <row r="17">
      <c r="A17" s="69"/>
      <c r="B17" s="69"/>
      <c r="C17" s="69"/>
      <c r="D17" s="69"/>
      <c r="E17" s="69"/>
      <c r="F17" s="69"/>
      <c r="G17" s="69"/>
      <c r="H17" s="69"/>
      <c r="I17" s="75" t="str">
        <f>IFERROR(__xludf.DUMMYFUNCTION("""COMPUTED_VALUE"""),"241598159209")</f>
        <v>241598159209</v>
      </c>
      <c r="J17" s="70"/>
      <c r="K17" s="71"/>
      <c r="L17" s="71" t="str">
        <f>IFERROR(__xludf.DUMMYFUNCTION("""COMPUTED_VALUE"""),"INICIALIZADO")</f>
        <v>INICIALIZADO</v>
      </c>
      <c r="M17" s="75" t="str">
        <f>IFERROR(__xludf.DUMMYFUNCTION("""COMPUTED_VALUE"""),"YTALO")</f>
        <v>YTALO</v>
      </c>
      <c r="N17" s="76">
        <f>IFERROR(__xludf.DUMMYFUNCTION("""COMPUTED_VALUE"""),45644.350636574076)</f>
        <v>45644.35064</v>
      </c>
      <c r="O17" s="69"/>
      <c r="P17" s="69"/>
      <c r="Q17" s="69" t="str">
        <f>IFERROR(__xludf.DUMMYFUNCTION("""COMPUTED_VALUE"""),"226277616278")</f>
        <v>226277616278</v>
      </c>
      <c r="R17" s="70"/>
      <c r="S17" s="69" t="str">
        <f>IFERROR(__xludf.DUMMYFUNCTION("""COMPUTED_VALUE"""),"CARD")</f>
        <v>CARD</v>
      </c>
      <c r="T17" s="69" t="str">
        <f>IFERROR(__xludf.DUMMYFUNCTION("""COMPUTED_VALUE"""),"INICIALIZADO")</f>
        <v>INICIALIZADO</v>
      </c>
      <c r="U17" s="68" t="str">
        <f>IFERROR(__xludf.DUMMYFUNCTION("""COMPUTED_VALUE"""),"YTALO")</f>
        <v>YTALO</v>
      </c>
      <c r="V17" s="73">
        <f>IFERROR(__xludf.DUMMYFUNCTION("""COMPUTED_VALUE"""),45644.350636574076)</f>
        <v>45644.35064</v>
      </c>
      <c r="W17" s="69"/>
      <c r="X17" s="69"/>
      <c r="Y17" s="69"/>
      <c r="Z17" s="69"/>
      <c r="AA17" s="69"/>
      <c r="AB17" s="69" t="str">
        <f>IFERROR(__xludf.DUMMYFUNCTION("""COMPUTED_VALUE"""),"A8705D8283CB")</f>
        <v>A8705D8283CB</v>
      </c>
      <c r="AC17" s="70"/>
      <c r="AD17" s="69" t="str">
        <f>IFERROR(__xludf.DUMMYFUNCTION("""COMPUTED_VALUE"""),"3.1")</f>
        <v>3.1</v>
      </c>
      <c r="AE17" s="69" t="str">
        <f>IFERROR(__xludf.DUMMYFUNCTION("""COMPUTED_VALUE"""),"INICIALIZADO")</f>
        <v>INICIALIZADO</v>
      </c>
      <c r="AF17" s="69" t="str">
        <f>IFERROR(__xludf.DUMMYFUNCTION("""COMPUTED_VALUE"""),"JEANE")</f>
        <v>JEANE</v>
      </c>
      <c r="AG17" s="73">
        <f>IFERROR(__xludf.DUMMYFUNCTION("""COMPUTED_VALUE"""),45644.30537037037)</f>
        <v>45644.30537</v>
      </c>
      <c r="AH17" s="69"/>
      <c r="AI17" s="69"/>
      <c r="AJ17" s="69"/>
      <c r="AK17" s="69" t="str">
        <f>IFERROR(__xludf.DUMMYFUNCTION("""COMPUTED_VALUE"""),"C4EBFFF6EC0B")</f>
        <v>C4EBFFF6EC0B</v>
      </c>
      <c r="AL17" s="70"/>
      <c r="AM17" s="69" t="str">
        <f>IFERROR(__xludf.DUMMYFUNCTION("""COMPUTED_VALUE"""),"GPON 6")</f>
        <v>GPON 6</v>
      </c>
      <c r="AN17" s="69" t="str">
        <f>IFERROR(__xludf.DUMMYFUNCTION("""COMPUTED_VALUE"""),"INICIALIZADO")</f>
        <v>INICIALIZADO</v>
      </c>
      <c r="AO17" s="69" t="str">
        <f>IFERROR(__xludf.DUMMYFUNCTION("""COMPUTED_VALUE"""),"DANILO")</f>
        <v>DANILO</v>
      </c>
      <c r="AP17" s="73">
        <f>IFERROR(__xludf.DUMMYFUNCTION("""COMPUTED_VALUE"""),45644.40398148148)</f>
        <v>45644.40398</v>
      </c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</row>
    <row r="18">
      <c r="A18" s="69"/>
      <c r="B18" s="69"/>
      <c r="C18" s="69"/>
      <c r="D18" s="69"/>
      <c r="E18" s="69"/>
      <c r="F18" s="69"/>
      <c r="G18" s="69"/>
      <c r="H18" s="69"/>
      <c r="I18" s="75" t="str">
        <f>IFERROR(__xludf.DUMMYFUNCTION("""COMPUTED_VALUE"""),"241631372327")</f>
        <v>241631372327</v>
      </c>
      <c r="J18" s="70"/>
      <c r="K18" s="71"/>
      <c r="L18" s="71" t="str">
        <f>IFERROR(__xludf.DUMMYFUNCTION("""COMPUTED_VALUE"""),"INICIALIZADO")</f>
        <v>INICIALIZADO</v>
      </c>
      <c r="M18" s="75" t="str">
        <f>IFERROR(__xludf.DUMMYFUNCTION("""COMPUTED_VALUE"""),"YTALO")</f>
        <v>YTALO</v>
      </c>
      <c r="N18" s="76">
        <f>IFERROR(__xludf.DUMMYFUNCTION("""COMPUTED_VALUE"""),45644.350636574076)</f>
        <v>45644.35064</v>
      </c>
      <c r="O18" s="69"/>
      <c r="P18" s="69"/>
      <c r="Q18" s="69" t="str">
        <f>IFERROR(__xludf.DUMMYFUNCTION("""COMPUTED_VALUE"""),"216847093343")</f>
        <v>216847093343</v>
      </c>
      <c r="R18" s="70"/>
      <c r="S18" s="69" t="str">
        <f>IFERROR(__xludf.DUMMYFUNCTION("""COMPUTED_VALUE"""),"TOP MIX")</f>
        <v>TOP MIX</v>
      </c>
      <c r="T18" s="69" t="str">
        <f>IFERROR(__xludf.DUMMYFUNCTION("""COMPUTED_VALUE"""),"INICIALIZADO")</f>
        <v>INICIALIZADO</v>
      </c>
      <c r="U18" s="68" t="str">
        <f>IFERROR(__xludf.DUMMYFUNCTION("""COMPUTED_VALUE"""),"YTALO")</f>
        <v>YTALO</v>
      </c>
      <c r="V18" s="73">
        <f>IFERROR(__xludf.DUMMYFUNCTION("""COMPUTED_VALUE"""),45644.350636574076)</f>
        <v>45644.35064</v>
      </c>
      <c r="W18" s="69"/>
      <c r="X18" s="69"/>
      <c r="Y18" s="69"/>
      <c r="Z18" s="69"/>
      <c r="AA18" s="69"/>
      <c r="AB18" s="69" t="str">
        <f>IFERROR(__xludf.DUMMYFUNCTION("""COMPUTED_VALUE"""),"647B1EEE124E")</f>
        <v>647B1EEE124E</v>
      </c>
      <c r="AC18" s="70"/>
      <c r="AD18" s="69" t="str">
        <f>IFERROR(__xludf.DUMMYFUNCTION("""COMPUTED_VALUE"""),"WIFI 6")</f>
        <v>WIFI 6</v>
      </c>
      <c r="AE18" s="69" t="str">
        <f>IFERROR(__xludf.DUMMYFUNCTION("""COMPUTED_VALUE"""),"INICIALIZADO")</f>
        <v>INICIALIZADO</v>
      </c>
      <c r="AF18" s="69" t="str">
        <f>IFERROR(__xludf.DUMMYFUNCTION("""COMPUTED_VALUE"""),"JEANE")</f>
        <v>JEANE</v>
      </c>
      <c r="AG18" s="73">
        <f>IFERROR(__xludf.DUMMYFUNCTION("""COMPUTED_VALUE"""),45644.30537037037)</f>
        <v>45644.30537</v>
      </c>
      <c r="AH18" s="69"/>
      <c r="AI18" s="69"/>
      <c r="AJ18" s="69"/>
      <c r="AK18" s="69" t="str">
        <f>IFERROR(__xludf.DUMMYFUNCTION("""COMPUTED_VALUE"""),"647B1EEE24D8")</f>
        <v>647B1EEE24D8</v>
      </c>
      <c r="AL18" s="70"/>
      <c r="AM18" s="69" t="str">
        <f>IFERROR(__xludf.DUMMYFUNCTION("""COMPUTED_VALUE"""),"WIFI 6")</f>
        <v>WIFI 6</v>
      </c>
      <c r="AN18" s="69" t="str">
        <f>IFERROR(__xludf.DUMMYFUNCTION("""COMPUTED_VALUE"""),"INICIALIZADO")</f>
        <v>INICIALIZADO</v>
      </c>
      <c r="AO18" s="69" t="str">
        <f>IFERROR(__xludf.DUMMYFUNCTION("""COMPUTED_VALUE"""),"DANILO")</f>
        <v>DANILO</v>
      </c>
      <c r="AP18" s="73">
        <f>IFERROR(__xludf.DUMMYFUNCTION("""COMPUTED_VALUE"""),45644.40398148148)</f>
        <v>45644.40398</v>
      </c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</row>
    <row r="19">
      <c r="A19" s="69"/>
      <c r="B19" s="69"/>
      <c r="C19" s="69"/>
      <c r="D19" s="69"/>
      <c r="E19" s="69"/>
      <c r="F19" s="69"/>
      <c r="G19" s="69"/>
      <c r="H19" s="69"/>
      <c r="I19" s="75" t="str">
        <f>IFERROR(__xludf.DUMMYFUNCTION("""COMPUTED_VALUE"""),"3CF9F0AA0D40")</f>
        <v>3CF9F0AA0D40</v>
      </c>
      <c r="J19" s="70"/>
      <c r="K19" s="71"/>
      <c r="L19" s="71" t="str">
        <f>IFERROR(__xludf.DUMMYFUNCTION("""COMPUTED_VALUE"""),"INICIALIZADO")</f>
        <v>INICIALIZADO</v>
      </c>
      <c r="M19" s="75" t="str">
        <f>IFERROR(__xludf.DUMMYFUNCTION("""COMPUTED_VALUE"""),"YTALO")</f>
        <v>YTALO</v>
      </c>
      <c r="N19" s="76">
        <f>IFERROR(__xludf.DUMMYFUNCTION("""COMPUTED_VALUE"""),45644.350636574076)</f>
        <v>45644.35064</v>
      </c>
      <c r="O19" s="69"/>
      <c r="P19" s="69"/>
      <c r="Q19" s="69" t="str">
        <f>IFERROR(__xludf.DUMMYFUNCTION("""COMPUTED_VALUE"""),"246285499708")</f>
        <v>246285499708</v>
      </c>
      <c r="R19" s="70"/>
      <c r="S19" s="69" t="str">
        <f>IFERROR(__xludf.DUMMYFUNCTION("""COMPUTED_VALUE"""),"CARD")</f>
        <v>CARD</v>
      </c>
      <c r="T19" s="69" t="str">
        <f>IFERROR(__xludf.DUMMYFUNCTION("""COMPUTED_VALUE"""),"INICIALIZADO")</f>
        <v>INICIALIZADO</v>
      </c>
      <c r="U19" s="68" t="str">
        <f>IFERROR(__xludf.DUMMYFUNCTION("""COMPUTED_VALUE"""),"YTALO")</f>
        <v>YTALO</v>
      </c>
      <c r="V19" s="73">
        <f>IFERROR(__xludf.DUMMYFUNCTION("""COMPUTED_VALUE"""),45644.350636574076)</f>
        <v>45644.35064</v>
      </c>
      <c r="W19" s="69"/>
      <c r="X19" s="69"/>
      <c r="Y19" s="69"/>
      <c r="Z19" s="69"/>
      <c r="AA19" s="69"/>
      <c r="AB19" s="69" t="str">
        <f>IFERROR(__xludf.DUMMYFUNCTION("""COMPUTED_VALUE"""),"9877E7BE1548")</f>
        <v>9877E7BE1548</v>
      </c>
      <c r="AC19" s="70"/>
      <c r="AD19" s="69" t="str">
        <f>IFERROR(__xludf.DUMMYFUNCTION("""COMPUTED_VALUE"""),"3.1")</f>
        <v>3.1</v>
      </c>
      <c r="AE19" s="69" t="str">
        <f>IFERROR(__xludf.DUMMYFUNCTION("""COMPUTED_VALUE"""),"INICIALIZADO")</f>
        <v>INICIALIZADO</v>
      </c>
      <c r="AF19" s="69" t="str">
        <f>IFERROR(__xludf.DUMMYFUNCTION("""COMPUTED_VALUE"""),"JEANE")</f>
        <v>JEANE</v>
      </c>
      <c r="AG19" s="73">
        <f>IFERROR(__xludf.DUMMYFUNCTION("""COMPUTED_VALUE"""),45644.30537037037)</f>
        <v>45644.30537</v>
      </c>
      <c r="AH19" s="69"/>
      <c r="AI19" s="69"/>
      <c r="AJ19" s="69"/>
      <c r="AK19" s="69" t="str">
        <f>IFERROR(__xludf.DUMMYFUNCTION("""COMPUTED_VALUE"""),"647B1EEBA856")</f>
        <v>647B1EEBA856</v>
      </c>
      <c r="AL19" s="70"/>
      <c r="AM19" s="69" t="str">
        <f>IFERROR(__xludf.DUMMYFUNCTION("""COMPUTED_VALUE"""),"WIFI 6")</f>
        <v>WIFI 6</v>
      </c>
      <c r="AN19" s="69" t="str">
        <f>IFERROR(__xludf.DUMMYFUNCTION("""COMPUTED_VALUE"""),"SUSPEITO")</f>
        <v>SUSPEITO</v>
      </c>
      <c r="AO19" s="69" t="str">
        <f>IFERROR(__xludf.DUMMYFUNCTION("""COMPUTED_VALUE"""),"DANILO")</f>
        <v>DANILO</v>
      </c>
      <c r="AP19" s="73">
        <f>IFERROR(__xludf.DUMMYFUNCTION("""COMPUTED_VALUE"""),45644.40398148148)</f>
        <v>45644.40398</v>
      </c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</row>
    <row r="20">
      <c r="A20" s="69"/>
      <c r="B20" s="69"/>
      <c r="C20" s="69"/>
      <c r="D20" s="69"/>
      <c r="E20" s="69"/>
      <c r="F20" s="69"/>
      <c r="G20" s="69"/>
      <c r="H20" s="69"/>
      <c r="I20" s="75"/>
      <c r="J20" s="69"/>
      <c r="K20" s="71"/>
      <c r="L20" s="71"/>
      <c r="M20" s="75"/>
      <c r="N20" s="76"/>
      <c r="O20" s="69"/>
      <c r="P20" s="69"/>
      <c r="Q20" s="69" t="str">
        <f>IFERROR(__xludf.DUMMYFUNCTION("""COMPUTED_VALUE"""),"216567711027")</f>
        <v>216567711027</v>
      </c>
      <c r="R20" s="70"/>
      <c r="S20" s="69" t="str">
        <f>IFERROR(__xludf.DUMMYFUNCTION("""COMPUTED_VALUE"""),"TOP MIX")</f>
        <v>TOP MIX</v>
      </c>
      <c r="T20" s="69" t="str">
        <f>IFERROR(__xludf.DUMMYFUNCTION("""COMPUTED_VALUE"""),"SUSPEITO")</f>
        <v>SUSPEITO</v>
      </c>
      <c r="U20" s="69" t="str">
        <f>IFERROR(__xludf.DUMMYFUNCTION("""COMPUTED_VALUE"""),"YTALO")</f>
        <v>YTALO</v>
      </c>
      <c r="V20" s="73">
        <f>IFERROR(__xludf.DUMMYFUNCTION("""COMPUTED_VALUE"""),45644.350636574076)</f>
        <v>45644.35064</v>
      </c>
      <c r="W20" s="69"/>
      <c r="X20" s="69"/>
      <c r="Y20" s="69"/>
      <c r="Z20" s="69"/>
      <c r="AA20" s="69"/>
      <c r="AB20" s="69" t="str">
        <f>IFERROR(__xludf.DUMMYFUNCTION("""COMPUTED_VALUE"""),"743AEF755679")</f>
        <v>743AEF755679</v>
      </c>
      <c r="AC20" s="70"/>
      <c r="AD20" s="69" t="str">
        <f>IFERROR(__xludf.DUMMYFUNCTION("""COMPUTED_VALUE"""),"3.1")</f>
        <v>3.1</v>
      </c>
      <c r="AE20" s="69" t="str">
        <f>IFERROR(__xludf.DUMMYFUNCTION("""COMPUTED_VALUE"""),"INICIALIZADO")</f>
        <v>INICIALIZADO</v>
      </c>
      <c r="AF20" s="69" t="str">
        <f>IFERROR(__xludf.DUMMYFUNCTION("""COMPUTED_VALUE"""),"JEANE")</f>
        <v>JEANE</v>
      </c>
      <c r="AG20" s="73">
        <f>IFERROR(__xludf.DUMMYFUNCTION("""COMPUTED_VALUE"""),45644.30537037037)</f>
        <v>45644.30537</v>
      </c>
      <c r="AH20" s="69"/>
      <c r="AI20" s="69"/>
      <c r="AJ20" s="69"/>
      <c r="AK20" s="69" t="str">
        <f>IFERROR(__xludf.DUMMYFUNCTION("""COMPUTED_VALUE"""),"840112608D90")</f>
        <v>840112608D90</v>
      </c>
      <c r="AL20" s="70"/>
      <c r="AM20" s="69" t="str">
        <f>IFERROR(__xludf.DUMMYFUNCTION("""COMPUTED_VALUE"""),"3.1")</f>
        <v>3.1</v>
      </c>
      <c r="AN20" s="69" t="str">
        <f>IFERROR(__xludf.DUMMYFUNCTION("""COMPUTED_VALUE"""),"INICIALIZADO")</f>
        <v>INICIALIZADO</v>
      </c>
      <c r="AO20" s="69" t="str">
        <f>IFERROR(__xludf.DUMMYFUNCTION("""COMPUTED_VALUE"""),"DANILO")</f>
        <v>DANILO</v>
      </c>
      <c r="AP20" s="73">
        <f>IFERROR(__xludf.DUMMYFUNCTION("""COMPUTED_VALUE"""),45644.40398148148)</f>
        <v>45644.40398</v>
      </c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</row>
    <row r="21">
      <c r="A21" s="69"/>
      <c r="B21" s="69"/>
      <c r="C21" s="69"/>
      <c r="D21" s="69"/>
      <c r="E21" s="69"/>
      <c r="F21" s="69"/>
      <c r="G21" s="69"/>
      <c r="H21" s="69"/>
      <c r="I21" s="75"/>
      <c r="J21" s="69"/>
      <c r="K21" s="71"/>
      <c r="L21" s="71"/>
      <c r="M21" s="75"/>
      <c r="N21" s="76"/>
      <c r="O21" s="69"/>
      <c r="P21" s="69"/>
      <c r="Q21" s="69" t="str">
        <f>IFERROR(__xludf.DUMMYFUNCTION("""COMPUTED_VALUE"""),"226339473651")</f>
        <v>226339473651</v>
      </c>
      <c r="R21" s="70"/>
      <c r="S21" s="69" t="str">
        <f>IFERROR(__xludf.DUMMYFUNCTION("""COMPUTED_VALUE"""),"CARD")</f>
        <v>CARD</v>
      </c>
      <c r="T21" s="69" t="str">
        <f>IFERROR(__xludf.DUMMYFUNCTION("""COMPUTED_VALUE"""),"SUSPEITO")</f>
        <v>SUSPEITO</v>
      </c>
      <c r="U21" s="69" t="str">
        <f>IFERROR(__xludf.DUMMYFUNCTION("""COMPUTED_VALUE"""),"YTALO")</f>
        <v>YTALO</v>
      </c>
      <c r="V21" s="73">
        <f>IFERROR(__xludf.DUMMYFUNCTION("""COMPUTED_VALUE"""),45644.350636574076)</f>
        <v>45644.35064</v>
      </c>
      <c r="W21" s="69"/>
      <c r="X21" s="69"/>
      <c r="Y21" s="69"/>
      <c r="Z21" s="69"/>
      <c r="AA21" s="69"/>
      <c r="AB21" s="69" t="str">
        <f>IFERROR(__xludf.DUMMYFUNCTION("""COMPUTED_VALUE"""),"8401123930A9")</f>
        <v>8401123930A9</v>
      </c>
      <c r="AC21" s="70"/>
      <c r="AD21" s="69" t="str">
        <f>IFERROR(__xludf.DUMMYFUNCTION("""COMPUTED_VALUE"""),"3.1")</f>
        <v>3.1</v>
      </c>
      <c r="AE21" s="69" t="str">
        <f>IFERROR(__xludf.DUMMYFUNCTION("""COMPUTED_VALUE"""),"INICIALIZADO")</f>
        <v>INICIALIZADO</v>
      </c>
      <c r="AF21" s="69" t="str">
        <f>IFERROR(__xludf.DUMMYFUNCTION("""COMPUTED_VALUE"""),"JEANE")</f>
        <v>JEANE</v>
      </c>
      <c r="AG21" s="73">
        <f>IFERROR(__xludf.DUMMYFUNCTION("""COMPUTED_VALUE"""),45644.30537037037)</f>
        <v>45644.30537</v>
      </c>
      <c r="AH21" s="69"/>
      <c r="AI21" s="69"/>
      <c r="AJ21" s="69"/>
      <c r="AK21" s="69" t="str">
        <f>IFERROR(__xludf.DUMMYFUNCTION("""COMPUTED_VALUE"""),"216790953038")</f>
        <v>216790953038</v>
      </c>
      <c r="AL21" s="70"/>
      <c r="AM21" s="69" t="str">
        <f>IFERROR(__xludf.DUMMYFUNCTION("""COMPUTED_VALUE"""),"TOP MIX")</f>
        <v>TOP MIX</v>
      </c>
      <c r="AN21" s="69" t="str">
        <f>IFERROR(__xludf.DUMMYFUNCTION("""COMPUTED_VALUE"""),"INICIALIZADO")</f>
        <v>INICIALIZADO</v>
      </c>
      <c r="AO21" s="69" t="str">
        <f>IFERROR(__xludf.DUMMYFUNCTION("""COMPUTED_VALUE"""),"DANILO")</f>
        <v>DANILO</v>
      </c>
      <c r="AP21" s="73">
        <f>IFERROR(__xludf.DUMMYFUNCTION("""COMPUTED_VALUE"""),45644.40398148148)</f>
        <v>45644.40398</v>
      </c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</row>
    <row r="22">
      <c r="A22" s="69"/>
      <c r="B22" s="69"/>
      <c r="C22" s="69"/>
      <c r="D22" s="69"/>
      <c r="E22" s="69"/>
      <c r="F22" s="69"/>
      <c r="G22" s="69"/>
      <c r="H22" s="69"/>
      <c r="I22" s="75"/>
      <c r="J22" s="69"/>
      <c r="K22" s="71"/>
      <c r="L22" s="71"/>
      <c r="M22" s="75"/>
      <c r="N22" s="76"/>
      <c r="O22" s="69"/>
      <c r="P22" s="69"/>
      <c r="Q22" s="69" t="str">
        <f>IFERROR(__xludf.DUMMYFUNCTION("""COMPUTED_VALUE"""),"689E29BD87E1")</f>
        <v>689E29BD87E1</v>
      </c>
      <c r="R22" s="70"/>
      <c r="S22" s="69" t="str">
        <f>IFERROR(__xludf.DUMMYFUNCTION("""COMPUTED_VALUE"""),"GPON 6")</f>
        <v>GPON 6</v>
      </c>
      <c r="T22" s="69" t="str">
        <f>IFERROR(__xludf.DUMMYFUNCTION("""COMPUTED_VALUE"""),"SUSPEITO")</f>
        <v>SUSPEITO</v>
      </c>
      <c r="U22" s="69" t="str">
        <f>IFERROR(__xludf.DUMMYFUNCTION("""COMPUTED_VALUE"""),"YTALO")</f>
        <v>YTALO</v>
      </c>
      <c r="V22" s="73">
        <f>IFERROR(__xludf.DUMMYFUNCTION("""COMPUTED_VALUE"""),45644.350636574076)</f>
        <v>45644.35064</v>
      </c>
      <c r="W22" s="69"/>
      <c r="X22" s="69"/>
      <c r="Y22" s="69"/>
      <c r="Z22" s="69"/>
      <c r="AA22" s="69"/>
      <c r="AB22" s="69" t="str">
        <f>IFERROR(__xludf.DUMMYFUNCTION("""COMPUTED_VALUE"""),"840112077B6D")</f>
        <v>840112077B6D</v>
      </c>
      <c r="AC22" s="70"/>
      <c r="AD22" s="69" t="str">
        <f>IFERROR(__xludf.DUMMYFUNCTION("""COMPUTED_VALUE"""),"3.1")</f>
        <v>3.1</v>
      </c>
      <c r="AE22" s="69" t="str">
        <f>IFERROR(__xludf.DUMMYFUNCTION("""COMPUTED_VALUE"""),"INICIALIZADO")</f>
        <v>INICIALIZADO</v>
      </c>
      <c r="AF22" s="69" t="str">
        <f>IFERROR(__xludf.DUMMYFUNCTION("""COMPUTED_VALUE"""),"JEANE")</f>
        <v>JEANE</v>
      </c>
      <c r="AG22" s="73">
        <f>IFERROR(__xludf.DUMMYFUNCTION("""COMPUTED_VALUE"""),45644.30537037037)</f>
        <v>45644.30537</v>
      </c>
      <c r="AH22" s="69"/>
      <c r="AI22" s="69"/>
      <c r="AJ22" s="69"/>
      <c r="AK22" s="69" t="str">
        <f>IFERROR(__xludf.DUMMYFUNCTION("""COMPUTED_VALUE"""),"246066763041")</f>
        <v>246066763041</v>
      </c>
      <c r="AL22" s="70"/>
      <c r="AM22" s="69" t="str">
        <f>IFERROR(__xludf.DUMMYFUNCTION("""COMPUTED_VALUE"""),"CARD")</f>
        <v>CARD</v>
      </c>
      <c r="AN22" s="69" t="str">
        <f>IFERROR(__xludf.DUMMYFUNCTION("""COMPUTED_VALUE"""),"INICIALIZADO")</f>
        <v>INICIALIZADO</v>
      </c>
      <c r="AO22" s="69" t="str">
        <f>IFERROR(__xludf.DUMMYFUNCTION("""COMPUTED_VALUE"""),"DANILO")</f>
        <v>DANILO</v>
      </c>
      <c r="AP22" s="73">
        <f>IFERROR(__xludf.DUMMYFUNCTION("""COMPUTED_VALUE"""),45644.40398148148)</f>
        <v>45644.40398</v>
      </c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</row>
    <row r="23">
      <c r="A23" s="69"/>
      <c r="B23" s="69"/>
      <c r="C23" s="69"/>
      <c r="D23" s="69"/>
      <c r="E23" s="69"/>
      <c r="F23" s="69"/>
      <c r="G23" s="69"/>
      <c r="H23" s="69"/>
      <c r="I23" s="75"/>
      <c r="J23" s="69"/>
      <c r="K23" s="71"/>
      <c r="L23" s="71"/>
      <c r="M23" s="75"/>
      <c r="N23" s="76"/>
      <c r="O23" s="69"/>
      <c r="P23" s="69"/>
      <c r="Q23" s="69" t="str">
        <f>IFERROR(__xludf.DUMMYFUNCTION("""COMPUTED_VALUE"""),"CC5830FDC0B2")</f>
        <v>CC5830FDC0B2</v>
      </c>
      <c r="R23" s="70"/>
      <c r="S23" s="69" t="str">
        <f>IFERROR(__xludf.DUMMYFUNCTION("""COMPUTED_VALUE"""),"WIFI 6")</f>
        <v>WIFI 6</v>
      </c>
      <c r="T23" s="69" t="str">
        <f>IFERROR(__xludf.DUMMYFUNCTION("""COMPUTED_VALUE"""),"SUSPEITO")</f>
        <v>SUSPEITO</v>
      </c>
      <c r="U23" s="69" t="str">
        <f>IFERROR(__xludf.DUMMYFUNCTION("""COMPUTED_VALUE"""),"YTALO")</f>
        <v>YTALO</v>
      </c>
      <c r="V23" s="73">
        <f>IFERROR(__xludf.DUMMYFUNCTION("""COMPUTED_VALUE"""),45644.350636574076)</f>
        <v>45644.35064</v>
      </c>
      <c r="W23" s="69"/>
      <c r="X23" s="69"/>
      <c r="Y23" s="69"/>
      <c r="Z23" s="69"/>
      <c r="AA23" s="69"/>
      <c r="AB23" s="69" t="str">
        <f>IFERROR(__xludf.DUMMYFUNCTION("""COMPUTED_VALUE"""),"9877E7B97DF0")</f>
        <v>9877E7B97DF0</v>
      </c>
      <c r="AC23" s="70"/>
      <c r="AD23" s="69" t="str">
        <f>IFERROR(__xludf.DUMMYFUNCTION("""COMPUTED_VALUE"""),"3.1")</f>
        <v>3.1</v>
      </c>
      <c r="AE23" s="69" t="str">
        <f>IFERROR(__xludf.DUMMYFUNCTION("""COMPUTED_VALUE"""),"INICIALIZADO")</f>
        <v>INICIALIZADO</v>
      </c>
      <c r="AF23" s="69" t="str">
        <f>IFERROR(__xludf.DUMMYFUNCTION("""COMPUTED_VALUE"""),"JEANE")</f>
        <v>JEANE</v>
      </c>
      <c r="AG23" s="73">
        <f>IFERROR(__xludf.DUMMYFUNCTION("""COMPUTED_VALUE"""),45644.30537037037)</f>
        <v>45644.30537</v>
      </c>
      <c r="AH23" s="69"/>
      <c r="AI23" s="69"/>
      <c r="AJ23" s="69"/>
      <c r="AK23" s="69" t="str">
        <f>IFERROR(__xludf.DUMMYFUNCTION("""COMPUTED_VALUE"""),"6C55E8BF6324")</f>
        <v>6C55E8BF6324</v>
      </c>
      <c r="AL23" s="70"/>
      <c r="AM23" s="69" t="str">
        <f>IFERROR(__xludf.DUMMYFUNCTION("""COMPUTED_VALUE"""),"3.1")</f>
        <v>3.1</v>
      </c>
      <c r="AN23" s="69" t="str">
        <f>IFERROR(__xludf.DUMMYFUNCTION("""COMPUTED_VALUE"""),"INICIALIZADO")</f>
        <v>INICIALIZADO</v>
      </c>
      <c r="AO23" s="69" t="str">
        <f>IFERROR(__xludf.DUMMYFUNCTION("""COMPUTED_VALUE"""),"DANILO")</f>
        <v>DANILO</v>
      </c>
      <c r="AP23" s="73">
        <f>IFERROR(__xludf.DUMMYFUNCTION("""COMPUTED_VALUE"""),45644.40398148148)</f>
        <v>45644.40398</v>
      </c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</row>
    <row r="24">
      <c r="A24" s="69"/>
      <c r="B24" s="69"/>
      <c r="C24" s="69"/>
      <c r="D24" s="69"/>
      <c r="E24" s="69"/>
      <c r="F24" s="69"/>
      <c r="G24" s="69"/>
      <c r="H24" s="69"/>
      <c r="I24" s="75"/>
      <c r="J24" s="69"/>
      <c r="K24" s="71"/>
      <c r="L24" s="71"/>
      <c r="M24" s="75"/>
      <c r="N24" s="76"/>
      <c r="O24" s="69"/>
      <c r="P24" s="69"/>
      <c r="Q24" s="69" t="str">
        <f>IFERROR(__xludf.DUMMYFUNCTION("""COMPUTED_VALUE"""),"A8705D8801DE")</f>
        <v>A8705D8801DE</v>
      </c>
      <c r="R24" s="70"/>
      <c r="S24" s="69" t="str">
        <f>IFERROR(__xludf.DUMMYFUNCTION("""COMPUTED_VALUE"""),"3.1")</f>
        <v>3.1</v>
      </c>
      <c r="T24" s="69" t="str">
        <f>IFERROR(__xludf.DUMMYFUNCTION("""COMPUTED_VALUE"""),"SUSPEITO")</f>
        <v>SUSPEITO</v>
      </c>
      <c r="U24" s="69" t="str">
        <f>IFERROR(__xludf.DUMMYFUNCTION("""COMPUTED_VALUE"""),"YTALO")</f>
        <v>YTALO</v>
      </c>
      <c r="V24" s="73">
        <f>IFERROR(__xludf.DUMMYFUNCTION("""COMPUTED_VALUE"""),45644.350636574076)</f>
        <v>45644.35064</v>
      </c>
      <c r="W24" s="69"/>
      <c r="X24" s="69"/>
      <c r="Y24" s="69"/>
      <c r="Z24" s="69"/>
      <c r="AA24" s="69"/>
      <c r="AB24" s="69" t="str">
        <f>IFERROR(__xludf.DUMMYFUNCTION("""COMPUTED_VALUE"""),"840112E9C5AD")</f>
        <v>840112E9C5AD</v>
      </c>
      <c r="AC24" s="70"/>
      <c r="AD24" s="69" t="str">
        <f>IFERROR(__xludf.DUMMYFUNCTION("""COMPUTED_VALUE"""),"3.1")</f>
        <v>3.1</v>
      </c>
      <c r="AE24" s="69" t="str">
        <f>IFERROR(__xludf.DUMMYFUNCTION("""COMPUTED_VALUE"""),"INICIALIZADO")</f>
        <v>INICIALIZADO</v>
      </c>
      <c r="AF24" s="69" t="str">
        <f>IFERROR(__xludf.DUMMYFUNCTION("""COMPUTED_VALUE"""),"JEANE")</f>
        <v>JEANE</v>
      </c>
      <c r="AG24" s="73">
        <f>IFERROR(__xludf.DUMMYFUNCTION("""COMPUTED_VALUE"""),45644.30537037037)</f>
        <v>45644.30537</v>
      </c>
      <c r="AH24" s="69"/>
      <c r="AI24" s="69"/>
      <c r="AJ24" s="69"/>
      <c r="AK24" s="69" t="str">
        <f>IFERROR(__xludf.DUMMYFUNCTION("""COMPUTED_VALUE"""),"840112075A8F")</f>
        <v>840112075A8F</v>
      </c>
      <c r="AL24" s="70"/>
      <c r="AM24" s="69" t="str">
        <f>IFERROR(__xludf.DUMMYFUNCTION("""COMPUTED_VALUE"""),"3.1")</f>
        <v>3.1</v>
      </c>
      <c r="AN24" s="69" t="str">
        <f>IFERROR(__xludf.DUMMYFUNCTION("""COMPUTED_VALUE"""),"INICIALIZADO")</f>
        <v>INICIALIZADO</v>
      </c>
      <c r="AO24" s="69" t="str">
        <f>IFERROR(__xludf.DUMMYFUNCTION("""COMPUTED_VALUE"""),"DANILO")</f>
        <v>DANILO</v>
      </c>
      <c r="AP24" s="73">
        <f>IFERROR(__xludf.DUMMYFUNCTION("""COMPUTED_VALUE"""),45644.40398148148)</f>
        <v>45644.40398</v>
      </c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</row>
    <row r="25">
      <c r="A25" s="69"/>
      <c r="B25" s="69"/>
      <c r="C25" s="69"/>
      <c r="D25" s="69"/>
      <c r="E25" s="69"/>
      <c r="F25" s="69"/>
      <c r="G25" s="69"/>
      <c r="H25" s="69"/>
      <c r="I25" s="75"/>
      <c r="J25" s="69"/>
      <c r="K25" s="71"/>
      <c r="L25" s="71"/>
      <c r="M25" s="75"/>
      <c r="N25" s="76"/>
      <c r="O25" s="69"/>
      <c r="P25" s="69"/>
      <c r="Q25" s="69" t="str">
        <f>IFERROR(__xludf.DUMMYFUNCTION("""COMPUTED_VALUE"""),"216757874456")</f>
        <v>216757874456</v>
      </c>
      <c r="R25" s="70"/>
      <c r="S25" s="69" t="str">
        <f>IFERROR(__xludf.DUMMYFUNCTION("""COMPUTED_VALUE"""),"TOP MIX")</f>
        <v>TOP MIX</v>
      </c>
      <c r="T25" s="69" t="str">
        <f>IFERROR(__xludf.DUMMYFUNCTION("""COMPUTED_VALUE"""),"INICIALIZADO")</f>
        <v>INICIALIZADO</v>
      </c>
      <c r="U25" s="69" t="str">
        <f>IFERROR(__xludf.DUMMYFUNCTION("""COMPUTED_VALUE"""),"YTALO")</f>
        <v>YTALO</v>
      </c>
      <c r="V25" s="73">
        <f>IFERROR(__xludf.DUMMYFUNCTION("""COMPUTED_VALUE"""),45644.350636574076)</f>
        <v>45644.35064</v>
      </c>
      <c r="W25" s="69"/>
      <c r="X25" s="69"/>
      <c r="Y25" s="69"/>
      <c r="Z25" s="69"/>
      <c r="AA25" s="69"/>
      <c r="AB25" s="69" t="str">
        <f>IFERROR(__xludf.DUMMYFUNCTION("""COMPUTED_VALUE"""),"840112052190")</f>
        <v>840112052190</v>
      </c>
      <c r="AC25" s="70"/>
      <c r="AD25" s="69" t="str">
        <f>IFERROR(__xludf.DUMMYFUNCTION("""COMPUTED_VALUE"""),"3.1")</f>
        <v>3.1</v>
      </c>
      <c r="AE25" s="69" t="str">
        <f>IFERROR(__xludf.DUMMYFUNCTION("""COMPUTED_VALUE"""),"INICIALIZADO")</f>
        <v>INICIALIZADO</v>
      </c>
      <c r="AF25" s="69" t="str">
        <f>IFERROR(__xludf.DUMMYFUNCTION("""COMPUTED_VALUE"""),"JEANE")</f>
        <v>JEANE</v>
      </c>
      <c r="AG25" s="73">
        <f>IFERROR(__xludf.DUMMYFUNCTION("""COMPUTED_VALUE"""),45644.30537037037)</f>
        <v>45644.30537</v>
      </c>
      <c r="AH25" s="69"/>
      <c r="AI25" s="69"/>
      <c r="AJ25" s="69"/>
      <c r="AK25" s="69" t="str">
        <f>IFERROR(__xludf.DUMMYFUNCTION("""COMPUTED_VALUE"""),"A8705D75EBB1")</f>
        <v>A8705D75EBB1</v>
      </c>
      <c r="AL25" s="70"/>
      <c r="AM25" s="69" t="str">
        <f>IFERROR(__xludf.DUMMYFUNCTION("""COMPUTED_VALUE"""),"3.1")</f>
        <v>3.1</v>
      </c>
      <c r="AN25" s="69" t="str">
        <f>IFERROR(__xludf.DUMMYFUNCTION("""COMPUTED_VALUE"""),"INICIALIZADO")</f>
        <v>INICIALIZADO</v>
      </c>
      <c r="AO25" s="69" t="str">
        <f>IFERROR(__xludf.DUMMYFUNCTION("""COMPUTED_VALUE"""),"DANILO")</f>
        <v>DANILO</v>
      </c>
      <c r="AP25" s="73">
        <f>IFERROR(__xludf.DUMMYFUNCTION("""COMPUTED_VALUE"""),45644.40398148148)</f>
        <v>45644.40398</v>
      </c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</row>
    <row r="26">
      <c r="A26" s="69"/>
      <c r="B26" s="69"/>
      <c r="C26" s="69"/>
      <c r="D26" s="69"/>
      <c r="E26" s="69"/>
      <c r="F26" s="69"/>
      <c r="G26" s="69"/>
      <c r="H26" s="69"/>
      <c r="I26" s="75"/>
      <c r="J26" s="69"/>
      <c r="K26" s="71"/>
      <c r="L26" s="71"/>
      <c r="M26" s="75"/>
      <c r="N26" s="76"/>
      <c r="O26" s="69"/>
      <c r="P26" s="69"/>
      <c r="Q26" s="69" t="str">
        <f>IFERROR(__xludf.DUMMYFUNCTION("""COMPUTED_VALUE"""),"246347844659")</f>
        <v>246347844659</v>
      </c>
      <c r="R26" s="70"/>
      <c r="S26" s="69" t="str">
        <f>IFERROR(__xludf.DUMMYFUNCTION("""COMPUTED_VALUE"""),"CARD")</f>
        <v>CARD</v>
      </c>
      <c r="T26" s="69" t="str">
        <f>IFERROR(__xludf.DUMMYFUNCTION("""COMPUTED_VALUE"""),"INICIALIZADO")</f>
        <v>INICIALIZADO</v>
      </c>
      <c r="U26" s="69" t="str">
        <f>IFERROR(__xludf.DUMMYFUNCTION("""COMPUTED_VALUE"""),"YTALO")</f>
        <v>YTALO</v>
      </c>
      <c r="V26" s="73">
        <f>IFERROR(__xludf.DUMMYFUNCTION("""COMPUTED_VALUE"""),45644.350636574076)</f>
        <v>45644.35064</v>
      </c>
      <c r="W26" s="69"/>
      <c r="X26" s="69"/>
      <c r="Y26" s="69"/>
      <c r="Z26" s="69"/>
      <c r="AA26" s="69"/>
      <c r="AB26" s="69" t="str">
        <f>IFERROR(__xludf.DUMMYFUNCTION("""COMPUTED_VALUE"""),"9877E74A9C6C")</f>
        <v>9877E74A9C6C</v>
      </c>
      <c r="AC26" s="70"/>
      <c r="AD26" s="69" t="str">
        <f>IFERROR(__xludf.DUMMYFUNCTION("""COMPUTED_VALUE"""),"3.1")</f>
        <v>3.1</v>
      </c>
      <c r="AE26" s="69" t="str">
        <f>IFERROR(__xludf.DUMMYFUNCTION("""COMPUTED_VALUE"""),"INICIALIZADO")</f>
        <v>INICIALIZADO</v>
      </c>
      <c r="AF26" s="69" t="str">
        <f>IFERROR(__xludf.DUMMYFUNCTION("""COMPUTED_VALUE"""),"JEANE")</f>
        <v>JEANE</v>
      </c>
      <c r="AG26" s="73">
        <f>IFERROR(__xludf.DUMMYFUNCTION("""COMPUTED_VALUE"""),45644.30537037037)</f>
        <v>45644.30537</v>
      </c>
      <c r="AH26" s="69"/>
      <c r="AI26" s="69"/>
      <c r="AJ26" s="69"/>
      <c r="AK26" s="69" t="str">
        <f>IFERROR(__xludf.DUMMYFUNCTION("""COMPUTED_VALUE"""),"9877E705B5A0")</f>
        <v>9877E705B5A0</v>
      </c>
      <c r="AL26" s="70"/>
      <c r="AM26" s="69" t="str">
        <f>IFERROR(__xludf.DUMMYFUNCTION("""COMPUTED_VALUE"""),"3.1")</f>
        <v>3.1</v>
      </c>
      <c r="AN26" s="69" t="str">
        <f>IFERROR(__xludf.DUMMYFUNCTION("""COMPUTED_VALUE"""),"INICIALIZADO")</f>
        <v>INICIALIZADO</v>
      </c>
      <c r="AO26" s="69" t="str">
        <f>IFERROR(__xludf.DUMMYFUNCTION("""COMPUTED_VALUE"""),"DANILO")</f>
        <v>DANILO</v>
      </c>
      <c r="AP26" s="73">
        <f>IFERROR(__xludf.DUMMYFUNCTION("""COMPUTED_VALUE"""),45644.40398148148)</f>
        <v>45644.40398</v>
      </c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</row>
    <row r="27">
      <c r="A27" s="69"/>
      <c r="B27" s="69"/>
      <c r="C27" s="69"/>
      <c r="D27" s="69"/>
      <c r="E27" s="69"/>
      <c r="F27" s="69"/>
      <c r="G27" s="69"/>
      <c r="H27" s="69"/>
      <c r="I27" s="75"/>
      <c r="J27" s="69"/>
      <c r="K27" s="71"/>
      <c r="L27" s="71"/>
      <c r="M27" s="75"/>
      <c r="N27" s="76"/>
      <c r="O27" s="69"/>
      <c r="P27" s="69"/>
      <c r="Q27" s="69" t="str">
        <f>IFERROR(__xludf.DUMMYFUNCTION("""COMPUTED_VALUE"""),"216692630525")</f>
        <v>216692630525</v>
      </c>
      <c r="R27" s="70"/>
      <c r="S27" s="69" t="str">
        <f>IFERROR(__xludf.DUMMYFUNCTION("""COMPUTED_VALUE"""),"TOP MIX")</f>
        <v>TOP MIX</v>
      </c>
      <c r="T27" s="69" t="str">
        <f>IFERROR(__xludf.DUMMYFUNCTION("""COMPUTED_VALUE"""),"SUSPEITO")</f>
        <v>SUSPEITO</v>
      </c>
      <c r="U27" s="69" t="str">
        <f>IFERROR(__xludf.DUMMYFUNCTION("""COMPUTED_VALUE"""),"YTALO")</f>
        <v>YTALO</v>
      </c>
      <c r="V27" s="73">
        <f>IFERROR(__xludf.DUMMYFUNCTION("""COMPUTED_VALUE"""),45644.350636574076)</f>
        <v>45644.35064</v>
      </c>
      <c r="W27" s="69"/>
      <c r="X27" s="69"/>
      <c r="Y27" s="69"/>
      <c r="Z27" s="69"/>
      <c r="AA27" s="69"/>
      <c r="AB27" s="69" t="str">
        <f>IFERROR(__xludf.DUMMYFUNCTION("""COMPUTED_VALUE"""),"229838982041")</f>
        <v>229838982041</v>
      </c>
      <c r="AC27" s="70"/>
      <c r="AD27" s="69" t="str">
        <f>IFERROR(__xludf.DUMMYFUNCTION("""COMPUTED_VALUE"""),"BOX")</f>
        <v>BOX</v>
      </c>
      <c r="AE27" s="69" t="str">
        <f>IFERROR(__xludf.DUMMYFUNCTION("""COMPUTED_VALUE"""),"INICIALIZADO")</f>
        <v>INICIALIZADO</v>
      </c>
      <c r="AF27" s="69" t="str">
        <f>IFERROR(__xludf.DUMMYFUNCTION("""COMPUTED_VALUE"""),"JEANE")</f>
        <v>JEANE</v>
      </c>
      <c r="AG27" s="73">
        <f>IFERROR(__xludf.DUMMYFUNCTION("""COMPUTED_VALUE"""),45644.30537037037)</f>
        <v>45644.30537</v>
      </c>
      <c r="AH27" s="69"/>
      <c r="AI27" s="69"/>
      <c r="AJ27" s="69"/>
      <c r="AK27" s="69" t="str">
        <f>IFERROR(__xludf.DUMMYFUNCTION("""COMPUTED_VALUE"""),"216799609719")</f>
        <v>216799609719</v>
      </c>
      <c r="AL27" s="70"/>
      <c r="AM27" s="69" t="str">
        <f>IFERROR(__xludf.DUMMYFUNCTION("""COMPUTED_VALUE"""),"TOP MIX")</f>
        <v>TOP MIX</v>
      </c>
      <c r="AN27" s="69" t="str">
        <f>IFERROR(__xludf.DUMMYFUNCTION("""COMPUTED_VALUE"""),"INICIALIZADO")</f>
        <v>INICIALIZADO</v>
      </c>
      <c r="AO27" s="69" t="str">
        <f>IFERROR(__xludf.DUMMYFUNCTION("""COMPUTED_VALUE"""),"DANILO")</f>
        <v>DANILO</v>
      </c>
      <c r="AP27" s="73">
        <f>IFERROR(__xludf.DUMMYFUNCTION("""COMPUTED_VALUE"""),45644.40398148148)</f>
        <v>45644.40398</v>
      </c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</row>
    <row r="28">
      <c r="A28" s="69"/>
      <c r="B28" s="69"/>
      <c r="C28" s="69"/>
      <c r="D28" s="69"/>
      <c r="E28" s="69"/>
      <c r="F28" s="69"/>
      <c r="G28" s="69"/>
      <c r="H28" s="69"/>
      <c r="I28" s="75"/>
      <c r="J28" s="69"/>
      <c r="K28" s="71"/>
      <c r="L28" s="71"/>
      <c r="M28" s="75"/>
      <c r="N28" s="76"/>
      <c r="O28" s="69"/>
      <c r="P28" s="69"/>
      <c r="Q28" s="69" t="str">
        <f>IFERROR(__xludf.DUMMYFUNCTION("""COMPUTED_VALUE"""),"226227603642")</f>
        <v>226227603642</v>
      </c>
      <c r="R28" s="70"/>
      <c r="S28" s="69" t="str">
        <f>IFERROR(__xludf.DUMMYFUNCTION("""COMPUTED_VALUE"""),"CARD")</f>
        <v>CARD</v>
      </c>
      <c r="T28" s="69" t="str">
        <f>IFERROR(__xludf.DUMMYFUNCTION("""COMPUTED_VALUE"""),"SUSPEITO")</f>
        <v>SUSPEITO</v>
      </c>
      <c r="U28" s="69" t="str">
        <f>IFERROR(__xludf.DUMMYFUNCTION("""COMPUTED_VALUE"""),"YTALO")</f>
        <v>YTALO</v>
      </c>
      <c r="V28" s="73">
        <f>IFERROR(__xludf.DUMMYFUNCTION("""COMPUTED_VALUE"""),45644.350636574076)</f>
        <v>45644.35064</v>
      </c>
      <c r="W28" s="69"/>
      <c r="X28" s="69"/>
      <c r="Y28" s="69"/>
      <c r="Z28" s="69"/>
      <c r="AA28" s="69"/>
      <c r="AB28" s="69" t="str">
        <f>IFERROR(__xludf.DUMMYFUNCTION("""COMPUTED_VALUE"""),"D4925ED4E9F4")</f>
        <v>D4925ED4E9F4</v>
      </c>
      <c r="AC28" s="70"/>
      <c r="AD28" s="69" t="str">
        <f>IFERROR(__xludf.DUMMYFUNCTION("""COMPUTED_VALUE"""),"ONT")</f>
        <v>ONT</v>
      </c>
      <c r="AE28" s="69" t="str">
        <f>IFERROR(__xludf.DUMMYFUNCTION("""COMPUTED_VALUE"""),"INICIALIZADO")</f>
        <v>INICIALIZADO</v>
      </c>
      <c r="AF28" s="69" t="str">
        <f>IFERROR(__xludf.DUMMYFUNCTION("""COMPUTED_VALUE"""),"JEANE")</f>
        <v>JEANE</v>
      </c>
      <c r="AG28" s="73">
        <f>IFERROR(__xludf.DUMMYFUNCTION("""COMPUTED_VALUE"""),45644.30537037037)</f>
        <v>45644.30537</v>
      </c>
      <c r="AH28" s="69"/>
      <c r="AI28" s="69"/>
      <c r="AJ28" s="69"/>
      <c r="AK28" s="69" t="str">
        <f>IFERROR(__xludf.DUMMYFUNCTION("""COMPUTED_VALUE"""),"226329617492")</f>
        <v>226329617492</v>
      </c>
      <c r="AL28" s="70"/>
      <c r="AM28" s="69" t="str">
        <f>IFERROR(__xludf.DUMMYFUNCTION("""COMPUTED_VALUE"""),"CARD")</f>
        <v>CARD</v>
      </c>
      <c r="AN28" s="69" t="str">
        <f>IFERROR(__xludf.DUMMYFUNCTION("""COMPUTED_VALUE"""),"INICIALIZADO")</f>
        <v>INICIALIZADO</v>
      </c>
      <c r="AO28" s="69" t="str">
        <f>IFERROR(__xludf.DUMMYFUNCTION("""COMPUTED_VALUE"""),"DANILO")</f>
        <v>DANILO</v>
      </c>
      <c r="AP28" s="73">
        <f>IFERROR(__xludf.DUMMYFUNCTION("""COMPUTED_VALUE"""),45644.40398148148)</f>
        <v>45644.40398</v>
      </c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</row>
    <row r="29">
      <c r="A29" s="69"/>
      <c r="B29" s="69"/>
      <c r="C29" s="69"/>
      <c r="D29" s="69"/>
      <c r="E29" s="69"/>
      <c r="F29" s="69"/>
      <c r="G29" s="69"/>
      <c r="H29" s="69"/>
      <c r="I29" s="75"/>
      <c r="J29" s="69"/>
      <c r="K29" s="71"/>
      <c r="L29" s="71"/>
      <c r="M29" s="75"/>
      <c r="N29" s="76"/>
      <c r="O29" s="69"/>
      <c r="P29" s="69"/>
      <c r="Q29" s="69" t="str">
        <f>IFERROR(__xludf.DUMMYFUNCTION("""COMPUTED_VALUE"""),"841EA38D8779")</f>
        <v>841EA38D8779</v>
      </c>
      <c r="R29" s="70"/>
      <c r="S29" s="69" t="str">
        <f>IFERROR(__xludf.DUMMYFUNCTION("""COMPUTED_VALUE"""),"3.1")</f>
        <v>3.1</v>
      </c>
      <c r="T29" s="69" t="str">
        <f>IFERROR(__xludf.DUMMYFUNCTION("""COMPUTED_VALUE"""),"SUSPEITO")</f>
        <v>SUSPEITO</v>
      </c>
      <c r="U29" s="69" t="str">
        <f>IFERROR(__xludf.DUMMYFUNCTION("""COMPUTED_VALUE"""),"YTALO")</f>
        <v>YTALO</v>
      </c>
      <c r="V29" s="73">
        <f>IFERROR(__xludf.DUMMYFUNCTION("""COMPUTED_VALUE"""),45644.350636574076)</f>
        <v>45644.35064</v>
      </c>
      <c r="W29" s="69"/>
      <c r="X29" s="69"/>
      <c r="Y29" s="69"/>
      <c r="Z29" s="69"/>
      <c r="AA29" s="69"/>
      <c r="AB29" s="69" t="str">
        <f>IFERROR(__xludf.DUMMYFUNCTION("""COMPUTED_VALUE"""),"9C635B8AFEE0")</f>
        <v>9C635B8AFEE0</v>
      </c>
      <c r="AC29" s="70"/>
      <c r="AD29" s="69" t="str">
        <f>IFERROR(__xludf.DUMMYFUNCTION("""COMPUTED_VALUE"""),"GPON 6")</f>
        <v>GPON 6</v>
      </c>
      <c r="AE29" s="69" t="str">
        <f>IFERROR(__xludf.DUMMYFUNCTION("""COMPUTED_VALUE"""),"INICIALIZADO")</f>
        <v>INICIALIZADO</v>
      </c>
      <c r="AF29" s="69" t="str">
        <f>IFERROR(__xludf.DUMMYFUNCTION("""COMPUTED_VALUE"""),"JEANE")</f>
        <v>JEANE</v>
      </c>
      <c r="AG29" s="73">
        <f>IFERROR(__xludf.DUMMYFUNCTION("""COMPUTED_VALUE"""),45644.30537037037)</f>
        <v>45644.30537</v>
      </c>
      <c r="AH29" s="69"/>
      <c r="AI29" s="69"/>
      <c r="AJ29" s="69"/>
      <c r="AK29" s="69" t="str">
        <f>IFERROR(__xludf.DUMMYFUNCTION("""COMPUTED_VALUE"""),"216634633551")</f>
        <v>216634633551</v>
      </c>
      <c r="AL29" s="70"/>
      <c r="AM29" s="69" t="str">
        <f>IFERROR(__xludf.DUMMYFUNCTION("""COMPUTED_VALUE"""),"TOP MIX")</f>
        <v>TOP MIX</v>
      </c>
      <c r="AN29" s="69" t="str">
        <f>IFERROR(__xludf.DUMMYFUNCTION("""COMPUTED_VALUE"""),"INICIALIZADO")</f>
        <v>INICIALIZADO</v>
      </c>
      <c r="AO29" s="69" t="str">
        <f>IFERROR(__xludf.DUMMYFUNCTION("""COMPUTED_VALUE"""),"DANILO")</f>
        <v>DANILO</v>
      </c>
      <c r="AP29" s="73">
        <f>IFERROR(__xludf.DUMMYFUNCTION("""COMPUTED_VALUE"""),45644.40398148148)</f>
        <v>45644.40398</v>
      </c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</row>
    <row r="30">
      <c r="A30" s="69"/>
      <c r="B30" s="69"/>
      <c r="C30" s="69"/>
      <c r="D30" s="69"/>
      <c r="E30" s="69"/>
      <c r="F30" s="69"/>
      <c r="G30" s="69"/>
      <c r="H30" s="69"/>
      <c r="I30" s="75"/>
      <c r="J30" s="69"/>
      <c r="K30" s="71"/>
      <c r="L30" s="71"/>
      <c r="M30" s="75"/>
      <c r="N30" s="76"/>
      <c r="O30" s="69"/>
      <c r="P30" s="69"/>
      <c r="Q30" s="69" t="str">
        <f>IFERROR(__xludf.DUMMYFUNCTION("""COMPUTED_VALUE"""),"216608303944")</f>
        <v>216608303944</v>
      </c>
      <c r="R30" s="70"/>
      <c r="S30" s="69" t="str">
        <f>IFERROR(__xludf.DUMMYFUNCTION("""COMPUTED_VALUE"""),"TOP MIX")</f>
        <v>TOP MIX</v>
      </c>
      <c r="T30" s="69" t="str">
        <f>IFERROR(__xludf.DUMMYFUNCTION("""COMPUTED_VALUE"""),"SUSPEITO")</f>
        <v>SUSPEITO</v>
      </c>
      <c r="U30" s="69" t="str">
        <f>IFERROR(__xludf.DUMMYFUNCTION("""COMPUTED_VALUE"""),"YTALO")</f>
        <v>YTALO</v>
      </c>
      <c r="V30" s="73">
        <f>IFERROR(__xludf.DUMMYFUNCTION("""COMPUTED_VALUE"""),45644.350636574076)</f>
        <v>45644.35064</v>
      </c>
      <c r="W30" s="69"/>
      <c r="X30" s="69"/>
      <c r="Y30" s="69"/>
      <c r="Z30" s="69"/>
      <c r="AA30" s="69"/>
      <c r="AB30" s="69" t="str">
        <f>IFERROR(__xludf.DUMMYFUNCTION("""COMPUTED_VALUE"""),"08C7F53087D2")</f>
        <v>08C7F53087D2</v>
      </c>
      <c r="AC30" s="70"/>
      <c r="AD30" s="69" t="str">
        <f>IFERROR(__xludf.DUMMYFUNCTION("""COMPUTED_VALUE"""),"ONT")</f>
        <v>ONT</v>
      </c>
      <c r="AE30" s="69" t="str">
        <f>IFERROR(__xludf.DUMMYFUNCTION("""COMPUTED_VALUE"""),"INICIALIZADO")</f>
        <v>INICIALIZADO</v>
      </c>
      <c r="AF30" s="69" t="str">
        <f>IFERROR(__xludf.DUMMYFUNCTION("""COMPUTED_VALUE"""),"JEANE")</f>
        <v>JEANE</v>
      </c>
      <c r="AG30" s="73">
        <f>IFERROR(__xludf.DUMMYFUNCTION("""COMPUTED_VALUE"""),45644.30537037037)</f>
        <v>45644.30537</v>
      </c>
      <c r="AH30" s="69"/>
      <c r="AI30" s="69"/>
      <c r="AJ30" s="69"/>
      <c r="AK30" s="69" t="str">
        <f>IFERROR(__xludf.DUMMYFUNCTION("""COMPUTED_VALUE"""),"226343956164")</f>
        <v>226343956164</v>
      </c>
      <c r="AL30" s="70"/>
      <c r="AM30" s="69" t="str">
        <f>IFERROR(__xludf.DUMMYFUNCTION("""COMPUTED_VALUE"""),"CARD")</f>
        <v>CARD</v>
      </c>
      <c r="AN30" s="69" t="str">
        <f>IFERROR(__xludf.DUMMYFUNCTION("""COMPUTED_VALUE"""),"INICIALIZADO")</f>
        <v>INICIALIZADO</v>
      </c>
      <c r="AO30" s="69" t="str">
        <f>IFERROR(__xludf.DUMMYFUNCTION("""COMPUTED_VALUE"""),"DANILO")</f>
        <v>DANILO</v>
      </c>
      <c r="AP30" s="73">
        <f>IFERROR(__xludf.DUMMYFUNCTION("""COMPUTED_VALUE"""),45644.40398148148)</f>
        <v>45644.40398</v>
      </c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</row>
    <row r="3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71"/>
      <c r="L31" s="69"/>
      <c r="M31" s="69"/>
      <c r="N31" s="72"/>
      <c r="O31" s="69"/>
      <c r="P31" s="69"/>
      <c r="Q31" s="69" t="str">
        <f>IFERROR(__xludf.DUMMYFUNCTION("""COMPUTED_VALUE"""),"215796074563")</f>
        <v>215796074563</v>
      </c>
      <c r="R31" s="70"/>
      <c r="S31" s="69" t="str">
        <f>IFERROR(__xludf.DUMMYFUNCTION("""COMPUTED_VALUE"""),"CARD")</f>
        <v>CARD</v>
      </c>
      <c r="T31" s="69" t="str">
        <f>IFERROR(__xludf.DUMMYFUNCTION("""COMPUTED_VALUE"""),"SUSPEITO")</f>
        <v>SUSPEITO</v>
      </c>
      <c r="U31" s="69" t="str">
        <f>IFERROR(__xludf.DUMMYFUNCTION("""COMPUTED_VALUE"""),"YTALO")</f>
        <v>YTALO</v>
      </c>
      <c r="V31" s="73">
        <f>IFERROR(__xludf.DUMMYFUNCTION("""COMPUTED_VALUE"""),45644.350636574076)</f>
        <v>45644.35064</v>
      </c>
      <c r="W31" s="69"/>
      <c r="X31" s="69"/>
      <c r="Y31" s="69"/>
      <c r="Z31" s="69"/>
      <c r="AA31" s="69"/>
      <c r="AB31" s="69" t="str">
        <f>IFERROR(__xludf.DUMMYFUNCTION("""COMPUTED_VALUE"""),"08C7F524D7C4")</f>
        <v>08C7F524D7C4</v>
      </c>
      <c r="AC31" s="70"/>
      <c r="AD31" s="69" t="str">
        <f>IFERROR(__xludf.DUMMYFUNCTION("""COMPUTED_VALUE"""),"ONT")</f>
        <v>ONT</v>
      </c>
      <c r="AE31" s="69" t="str">
        <f>IFERROR(__xludf.DUMMYFUNCTION("""COMPUTED_VALUE"""),"INICIALIZADO")</f>
        <v>INICIALIZADO</v>
      </c>
      <c r="AF31" s="69" t="str">
        <f>IFERROR(__xludf.DUMMYFUNCTION("""COMPUTED_VALUE"""),"JEANE")</f>
        <v>JEANE</v>
      </c>
      <c r="AG31" s="73">
        <f>IFERROR(__xludf.DUMMYFUNCTION("""COMPUTED_VALUE"""),45644.30537037037)</f>
        <v>45644.30537</v>
      </c>
      <c r="AH31" s="69"/>
      <c r="AI31" s="69"/>
      <c r="AJ31" s="69"/>
      <c r="AK31" s="69" t="str">
        <f>IFERROR(__xludf.DUMMYFUNCTION("""COMPUTED_VALUE"""),"216338083644")</f>
        <v>216338083644</v>
      </c>
      <c r="AL31" s="70"/>
      <c r="AM31" s="69" t="str">
        <f>IFERROR(__xludf.DUMMYFUNCTION("""COMPUTED_VALUE"""),"TOP MIX")</f>
        <v>TOP MIX</v>
      </c>
      <c r="AN31" s="69" t="str">
        <f>IFERROR(__xludf.DUMMYFUNCTION("""COMPUTED_VALUE"""),"INICIALIZADO")</f>
        <v>INICIALIZADO</v>
      </c>
      <c r="AO31" s="69" t="str">
        <f>IFERROR(__xludf.DUMMYFUNCTION("""COMPUTED_VALUE"""),"DANILO")</f>
        <v>DANILO</v>
      </c>
      <c r="AP31" s="73">
        <f>IFERROR(__xludf.DUMMYFUNCTION("""COMPUTED_VALUE"""),45644.40398148148)</f>
        <v>45644.40398</v>
      </c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</row>
    <row r="32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71"/>
      <c r="L32" s="69"/>
      <c r="M32" s="69"/>
      <c r="N32" s="72"/>
      <c r="O32" s="69"/>
      <c r="P32" s="69"/>
      <c r="Q32" s="69" t="str">
        <f>IFERROR(__xludf.DUMMYFUNCTION("""COMPUTED_VALUE"""),"C40D969807AF")</f>
        <v>C40D969807AF</v>
      </c>
      <c r="R32" s="70"/>
      <c r="S32" s="69" t="str">
        <f>IFERROR(__xludf.DUMMYFUNCTION("""COMPUTED_VALUE"""),"ONT")</f>
        <v>ONT</v>
      </c>
      <c r="T32" s="69" t="str">
        <f>IFERROR(__xludf.DUMMYFUNCTION("""COMPUTED_VALUE"""),"INICIALIZADO")</f>
        <v>INICIALIZADO</v>
      </c>
      <c r="U32" s="69" t="str">
        <f>IFERROR(__xludf.DUMMYFUNCTION("""COMPUTED_VALUE"""),"YTALO")</f>
        <v>YTALO</v>
      </c>
      <c r="V32" s="73">
        <f>IFERROR(__xludf.DUMMYFUNCTION("""COMPUTED_VALUE"""),45644.350636574076)</f>
        <v>45644.35064</v>
      </c>
      <c r="W32" s="69"/>
      <c r="X32" s="69"/>
      <c r="Y32" s="69"/>
      <c r="Z32" s="69"/>
      <c r="AA32" s="69"/>
      <c r="AB32" s="69" t="str">
        <f>IFERROR(__xludf.DUMMYFUNCTION("""COMPUTED_VALUE"""),"647B1EEBA833")</f>
        <v>647B1EEBA833</v>
      </c>
      <c r="AC32" s="70"/>
      <c r="AD32" s="69" t="str">
        <f>IFERROR(__xludf.DUMMYFUNCTION("""COMPUTED_VALUE"""),"WIFI 6")</f>
        <v>WIFI 6</v>
      </c>
      <c r="AE32" s="69" t="str">
        <f>IFERROR(__xludf.DUMMYFUNCTION("""COMPUTED_VALUE"""),"INICIALIZADO")</f>
        <v>INICIALIZADO</v>
      </c>
      <c r="AF32" s="69" t="str">
        <f>IFERROR(__xludf.DUMMYFUNCTION("""COMPUTED_VALUE"""),"JEANE")</f>
        <v>JEANE</v>
      </c>
      <c r="AG32" s="73">
        <f>IFERROR(__xludf.DUMMYFUNCTION("""COMPUTED_VALUE"""),45644.30537037037)</f>
        <v>45644.30537</v>
      </c>
      <c r="AH32" s="69"/>
      <c r="AI32" s="69"/>
      <c r="AJ32" s="69"/>
      <c r="AK32" s="69" t="str">
        <f>IFERROR(__xludf.DUMMYFUNCTION("""COMPUTED_VALUE"""),"226384859113")</f>
        <v>226384859113</v>
      </c>
      <c r="AL32" s="70"/>
      <c r="AM32" s="69" t="str">
        <f>IFERROR(__xludf.DUMMYFUNCTION("""COMPUTED_VALUE"""),"CARD")</f>
        <v>CARD</v>
      </c>
      <c r="AN32" s="69" t="str">
        <f>IFERROR(__xludf.DUMMYFUNCTION("""COMPUTED_VALUE"""),"INICIALIZADO")</f>
        <v>INICIALIZADO</v>
      </c>
      <c r="AO32" s="69" t="str">
        <f>IFERROR(__xludf.DUMMYFUNCTION("""COMPUTED_VALUE"""),"DANILO")</f>
        <v>DANILO</v>
      </c>
      <c r="AP32" s="73">
        <f>IFERROR(__xludf.DUMMYFUNCTION("""COMPUTED_VALUE"""),45644.40398148148)</f>
        <v>45644.40398</v>
      </c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</row>
    <row r="33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71"/>
      <c r="L33" s="69"/>
      <c r="M33" s="69"/>
      <c r="N33" s="72"/>
      <c r="O33" s="69"/>
      <c r="P33" s="69"/>
      <c r="Q33" s="69" t="str">
        <f>IFERROR(__xludf.DUMMYFUNCTION("""COMPUTED_VALUE"""),"229723806265")</f>
        <v>229723806265</v>
      </c>
      <c r="R33" s="70"/>
      <c r="S33" s="69" t="str">
        <f>IFERROR(__xludf.DUMMYFUNCTION("""COMPUTED_VALUE"""),"4K")</f>
        <v>4K</v>
      </c>
      <c r="T33" s="69" t="str">
        <f>IFERROR(__xludf.DUMMYFUNCTION("""COMPUTED_VALUE"""),"SUSPEITO")</f>
        <v>SUSPEITO</v>
      </c>
      <c r="U33" s="69" t="str">
        <f>IFERROR(__xludf.DUMMYFUNCTION("""COMPUTED_VALUE"""),"YTALO")</f>
        <v>YTALO</v>
      </c>
      <c r="V33" s="73">
        <f>IFERROR(__xludf.DUMMYFUNCTION("""COMPUTED_VALUE"""),45644.350636574076)</f>
        <v>45644.35064</v>
      </c>
      <c r="W33" s="69"/>
      <c r="X33" s="69"/>
      <c r="Y33" s="69"/>
      <c r="Z33" s="69"/>
      <c r="AA33" s="69"/>
      <c r="AB33" s="69" t="str">
        <f>IFERROR(__xludf.DUMMYFUNCTION("""COMPUTED_VALUE"""),"647B1EEBA99F")</f>
        <v>647B1EEBA99F</v>
      </c>
      <c r="AC33" s="70"/>
      <c r="AD33" s="69" t="str">
        <f>IFERROR(__xludf.DUMMYFUNCTION("""COMPUTED_VALUE"""),"WIFI 6")</f>
        <v>WIFI 6</v>
      </c>
      <c r="AE33" s="69" t="str">
        <f>IFERROR(__xludf.DUMMYFUNCTION("""COMPUTED_VALUE"""),"INICIALIZADO")</f>
        <v>INICIALIZADO</v>
      </c>
      <c r="AF33" s="69" t="str">
        <f>IFERROR(__xludf.DUMMYFUNCTION("""COMPUTED_VALUE"""),"JEANE")</f>
        <v>JEANE</v>
      </c>
      <c r="AG33" s="73">
        <f>IFERROR(__xludf.DUMMYFUNCTION("""COMPUTED_VALUE"""),45644.30537037037)</f>
        <v>45644.30537</v>
      </c>
      <c r="AH33" s="69"/>
      <c r="AI33" s="69"/>
      <c r="AJ33" s="69"/>
      <c r="AK33" s="69" t="str">
        <f>IFERROR(__xludf.DUMMYFUNCTION("""COMPUTED_VALUE"""),"647B1EEE2587")</f>
        <v>647B1EEE2587</v>
      </c>
      <c r="AL33" s="70"/>
      <c r="AM33" s="69" t="str">
        <f>IFERROR(__xludf.DUMMYFUNCTION("""COMPUTED_VALUE"""),"WIFI 6")</f>
        <v>WIFI 6</v>
      </c>
      <c r="AN33" s="69" t="str">
        <f>IFERROR(__xludf.DUMMYFUNCTION("""COMPUTED_VALUE"""),"INICIALIZADO")</f>
        <v>INICIALIZADO</v>
      </c>
      <c r="AO33" s="69" t="str">
        <f>IFERROR(__xludf.DUMMYFUNCTION("""COMPUTED_VALUE"""),"DANILO")</f>
        <v>DANILO</v>
      </c>
      <c r="AP33" s="73">
        <f>IFERROR(__xludf.DUMMYFUNCTION("""COMPUTED_VALUE"""),45644.40398148148)</f>
        <v>45644.40398</v>
      </c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</row>
    <row r="34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71"/>
      <c r="L34" s="69"/>
      <c r="M34" s="69"/>
      <c r="N34" s="72"/>
      <c r="O34" s="69"/>
      <c r="P34" s="69"/>
      <c r="Q34" s="69" t="str">
        <f>IFERROR(__xludf.DUMMYFUNCTION("""COMPUTED_VALUE"""),"246579459912")</f>
        <v>246579459912</v>
      </c>
      <c r="R34" s="70"/>
      <c r="S34" s="69" t="str">
        <f>IFERROR(__xludf.DUMMYFUNCTION("""COMPUTED_VALUE"""),"SIM CARD")</f>
        <v>SIM CARD</v>
      </c>
      <c r="T34" s="69" t="str">
        <f>IFERROR(__xludf.DUMMYFUNCTION("""COMPUTED_VALUE"""),"SUSPEITO")</f>
        <v>SUSPEITO</v>
      </c>
      <c r="U34" s="69" t="str">
        <f>IFERROR(__xludf.DUMMYFUNCTION("""COMPUTED_VALUE"""),"YTALO")</f>
        <v>YTALO</v>
      </c>
      <c r="V34" s="73">
        <f>IFERROR(__xludf.DUMMYFUNCTION("""COMPUTED_VALUE"""),45644.350636574076)</f>
        <v>45644.35064</v>
      </c>
      <c r="W34" s="69"/>
      <c r="X34" s="69"/>
      <c r="Y34" s="69"/>
      <c r="Z34" s="69"/>
      <c r="AA34" s="69"/>
      <c r="AB34" s="69" t="str">
        <f>IFERROR(__xludf.DUMMYFUNCTION("""COMPUTED_VALUE"""),"647B1EEE11C9")</f>
        <v>647B1EEE11C9</v>
      </c>
      <c r="AC34" s="70"/>
      <c r="AD34" s="69" t="str">
        <f>IFERROR(__xludf.DUMMYFUNCTION("""COMPUTED_VALUE"""),"WIFI 6")</f>
        <v>WIFI 6</v>
      </c>
      <c r="AE34" s="69" t="str">
        <f>IFERROR(__xludf.DUMMYFUNCTION("""COMPUTED_VALUE"""),"INICIALIZADO")</f>
        <v>INICIALIZADO</v>
      </c>
      <c r="AF34" s="69" t="str">
        <f>IFERROR(__xludf.DUMMYFUNCTION("""COMPUTED_VALUE"""),"JEANE")</f>
        <v>JEANE</v>
      </c>
      <c r="AG34" s="73">
        <f>IFERROR(__xludf.DUMMYFUNCTION("""COMPUTED_VALUE"""),45644.30537037037)</f>
        <v>45644.30537</v>
      </c>
      <c r="AH34" s="69"/>
      <c r="AI34" s="69"/>
      <c r="AJ34" s="69"/>
      <c r="AK34" s="69" t="str">
        <f>IFERROR(__xludf.DUMMYFUNCTION("""COMPUTED_VALUE"""),"647B1EEBA879")</f>
        <v>647B1EEBA879</v>
      </c>
      <c r="AL34" s="70"/>
      <c r="AM34" s="69" t="str">
        <f>IFERROR(__xludf.DUMMYFUNCTION("""COMPUTED_VALUE"""),"WIFI 6")</f>
        <v>WIFI 6</v>
      </c>
      <c r="AN34" s="69" t="str">
        <f>IFERROR(__xludf.DUMMYFUNCTION("""COMPUTED_VALUE"""),"INICIALIZADO")</f>
        <v>INICIALIZADO</v>
      </c>
      <c r="AO34" s="69" t="str">
        <f>IFERROR(__xludf.DUMMYFUNCTION("""COMPUTED_VALUE"""),"DANILO")</f>
        <v>DANILO</v>
      </c>
      <c r="AP34" s="73">
        <f>IFERROR(__xludf.DUMMYFUNCTION("""COMPUTED_VALUE"""),45644.40398148148)</f>
        <v>45644.40398</v>
      </c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</row>
    <row r="3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71"/>
      <c r="L35" s="69"/>
      <c r="M35" s="69"/>
      <c r="N35" s="72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 t="str">
        <f>IFERROR(__xludf.DUMMYFUNCTION("""COMPUTED_VALUE"""),"9839107C889C")</f>
        <v>9839107C889C</v>
      </c>
      <c r="AC35" s="70"/>
      <c r="AD35" s="69" t="str">
        <f>IFERROR(__xludf.DUMMYFUNCTION("""COMPUTED_VALUE"""),"WIFI MESH")</f>
        <v>WIFI MESH</v>
      </c>
      <c r="AE35" s="69" t="str">
        <f>IFERROR(__xludf.DUMMYFUNCTION("""COMPUTED_VALUE"""),"INICIALIZADO")</f>
        <v>INICIALIZADO</v>
      </c>
      <c r="AF35" s="69" t="str">
        <f>IFERROR(__xludf.DUMMYFUNCTION("""COMPUTED_VALUE"""),"JEANE")</f>
        <v>JEANE</v>
      </c>
      <c r="AG35" s="73">
        <f>IFERROR(__xludf.DUMMYFUNCTION("""COMPUTED_VALUE"""),45644.30537037037)</f>
        <v>45644.30537</v>
      </c>
      <c r="AH35" s="69"/>
      <c r="AI35" s="69"/>
      <c r="AJ35" s="69"/>
      <c r="AK35" s="69" t="str">
        <f>IFERROR(__xludf.DUMMYFUNCTION("""COMPUTED_VALUE"""),"08A7C06D3034")</f>
        <v>08A7C06D3034</v>
      </c>
      <c r="AL35" s="70"/>
      <c r="AM35" s="69" t="str">
        <f>IFERROR(__xludf.DUMMYFUNCTION("""COMPUTED_VALUE"""),"3.1")</f>
        <v>3.1</v>
      </c>
      <c r="AN35" s="69" t="str">
        <f>IFERROR(__xludf.DUMMYFUNCTION("""COMPUTED_VALUE"""),"SUSPEITO")</f>
        <v>SUSPEITO</v>
      </c>
      <c r="AO35" s="69" t="str">
        <f>IFERROR(__xludf.DUMMYFUNCTION("""COMPUTED_VALUE"""),"JEANE")</f>
        <v>JEANE</v>
      </c>
      <c r="AP35" s="73">
        <f>IFERROR(__xludf.DUMMYFUNCTION("""COMPUTED_VALUE"""),45644.30537037037)</f>
        <v>45644.30537</v>
      </c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</row>
    <row r="36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71"/>
      <c r="L36" s="69"/>
      <c r="M36" s="69"/>
      <c r="N36" s="72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 t="str">
        <f>IFERROR(__xludf.DUMMYFUNCTION("""COMPUTED_VALUE"""),"9839107C8883")</f>
        <v>9839107C8883</v>
      </c>
      <c r="AC36" s="70"/>
      <c r="AD36" s="69" t="str">
        <f>IFERROR(__xludf.DUMMYFUNCTION("""COMPUTED_VALUE"""),"WIFI MESH")</f>
        <v>WIFI MESH</v>
      </c>
      <c r="AE36" s="69" t="str">
        <f>IFERROR(__xludf.DUMMYFUNCTION("""COMPUTED_VALUE"""),"INICIALIZADO")</f>
        <v>INICIALIZADO</v>
      </c>
      <c r="AF36" s="69" t="str">
        <f>IFERROR(__xludf.DUMMYFUNCTION("""COMPUTED_VALUE"""),"JEANE")</f>
        <v>JEANE</v>
      </c>
      <c r="AG36" s="73">
        <f>IFERROR(__xludf.DUMMYFUNCTION("""COMPUTED_VALUE"""),45644.30537037037)</f>
        <v>45644.30537</v>
      </c>
      <c r="AH36" s="69"/>
      <c r="AI36" s="69"/>
      <c r="AJ36" s="69"/>
      <c r="AK36" s="69" t="str">
        <f>IFERROR(__xludf.DUMMYFUNCTION("""COMPUTED_VALUE"""),"C85D386FFD4D")</f>
        <v>C85D386FFD4D</v>
      </c>
      <c r="AL36" s="70"/>
      <c r="AM36" s="69" t="str">
        <f>IFERROR(__xludf.DUMMYFUNCTION("""COMPUTED_VALUE"""),"3.1")</f>
        <v>3.1</v>
      </c>
      <c r="AN36" s="69" t="str">
        <f>IFERROR(__xludf.DUMMYFUNCTION("""COMPUTED_VALUE"""),"SUSPEITO")</f>
        <v>SUSPEITO</v>
      </c>
      <c r="AO36" s="69" t="str">
        <f>IFERROR(__xludf.DUMMYFUNCTION("""COMPUTED_VALUE"""),"JEANE")</f>
        <v>JEANE</v>
      </c>
      <c r="AP36" s="73">
        <f>IFERROR(__xludf.DUMMYFUNCTION("""COMPUTED_VALUE"""),45644.30537037037)</f>
        <v>45644.30537</v>
      </c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</row>
    <row r="37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71"/>
      <c r="L37" s="69"/>
      <c r="M37" s="69"/>
      <c r="N37" s="72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 t="str">
        <f>IFERROR(__xludf.DUMMYFUNCTION("""COMPUTED_VALUE"""),"9839107C7E74")</f>
        <v>9839107C7E74</v>
      </c>
      <c r="AC37" s="70"/>
      <c r="AD37" s="69" t="str">
        <f>IFERROR(__xludf.DUMMYFUNCTION("""COMPUTED_VALUE"""),"WIFI MESH")</f>
        <v>WIFI MESH</v>
      </c>
      <c r="AE37" s="69" t="str">
        <f>IFERROR(__xludf.DUMMYFUNCTION("""COMPUTED_VALUE"""),"INICIALIZADO")</f>
        <v>INICIALIZADO</v>
      </c>
      <c r="AF37" s="69" t="str">
        <f>IFERROR(__xludf.DUMMYFUNCTION("""COMPUTED_VALUE"""),"JEANE")</f>
        <v>JEANE</v>
      </c>
      <c r="AG37" s="73">
        <f>IFERROR(__xludf.DUMMYFUNCTION("""COMPUTED_VALUE"""),45644.30537037037)</f>
        <v>45644.30537</v>
      </c>
      <c r="AH37" s="69"/>
      <c r="AI37" s="69"/>
      <c r="AJ37" s="69"/>
      <c r="AK37" s="69" t="str">
        <f>IFERROR(__xludf.DUMMYFUNCTION("""COMPUTED_VALUE"""),"229833976063")</f>
        <v>229833976063</v>
      </c>
      <c r="AL37" s="70"/>
      <c r="AM37" s="69" t="str">
        <f>IFERROR(__xludf.DUMMYFUNCTION("""COMPUTED_VALUE"""),"TOP MIX")</f>
        <v>TOP MIX</v>
      </c>
      <c r="AN37" s="69" t="str">
        <f>IFERROR(__xludf.DUMMYFUNCTION("""COMPUTED_VALUE"""),"SUSPEITO")</f>
        <v>SUSPEITO</v>
      </c>
      <c r="AO37" s="69" t="str">
        <f>IFERROR(__xludf.DUMMYFUNCTION("""COMPUTED_VALUE"""),"JOHN WESNNEY")</f>
        <v>JOHN WESNNEY</v>
      </c>
      <c r="AP37" s="73">
        <f>IFERROR(__xludf.DUMMYFUNCTION("""COMPUTED_VALUE"""),45644.46834490741)</f>
        <v>45644.46834</v>
      </c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</row>
    <row r="38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71"/>
      <c r="L38" s="69"/>
      <c r="M38" s="69"/>
      <c r="N38" s="72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 t="str">
        <f>IFERROR(__xludf.DUMMYFUNCTION("""COMPUTED_VALUE"""),"843C992D573B")</f>
        <v>843C992D573B</v>
      </c>
      <c r="AC38" s="70"/>
      <c r="AD38" s="69" t="str">
        <f>IFERROR(__xludf.DUMMYFUNCTION("""COMPUTED_VALUE"""),"GPON 6")</f>
        <v>GPON 6</v>
      </c>
      <c r="AE38" s="69" t="str">
        <f>IFERROR(__xludf.DUMMYFUNCTION("""COMPUTED_VALUE"""),"INICIALIZADO")</f>
        <v>INICIALIZADO</v>
      </c>
      <c r="AF38" s="69" t="str">
        <f>IFERROR(__xludf.DUMMYFUNCTION("""COMPUTED_VALUE"""),"JEANE")</f>
        <v>JEANE</v>
      </c>
      <c r="AG38" s="73">
        <f>IFERROR(__xludf.DUMMYFUNCTION("""COMPUTED_VALUE"""),45644.30537037037)</f>
        <v>45644.30537</v>
      </c>
      <c r="AH38" s="69"/>
      <c r="AI38" s="69"/>
      <c r="AJ38" s="69"/>
      <c r="AK38" s="69" t="str">
        <f>IFERROR(__xludf.DUMMYFUNCTION("""COMPUTED_VALUE"""),"246142804547")</f>
        <v>246142804547</v>
      </c>
      <c r="AL38" s="70"/>
      <c r="AM38" s="69" t="str">
        <f>IFERROR(__xludf.DUMMYFUNCTION("""COMPUTED_VALUE"""),"SIM CARD")</f>
        <v>SIM CARD</v>
      </c>
      <c r="AN38" s="69" t="str">
        <f>IFERROR(__xludf.DUMMYFUNCTION("""COMPUTED_VALUE"""),"SUSPEITO")</f>
        <v>SUSPEITO</v>
      </c>
      <c r="AO38" s="69" t="str">
        <f>IFERROR(__xludf.DUMMYFUNCTION("""COMPUTED_VALUE"""),"JOHN WESNNEY")</f>
        <v>JOHN WESNNEY</v>
      </c>
      <c r="AP38" s="73">
        <f>IFERROR(__xludf.DUMMYFUNCTION("""COMPUTED_VALUE"""),45644.46834490741)</f>
        <v>45644.46834</v>
      </c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</row>
    <row r="39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1"/>
      <c r="L39" s="69"/>
      <c r="M39" s="69"/>
      <c r="N39" s="72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 t="str">
        <f>IFERROR(__xludf.DUMMYFUNCTION("""COMPUTED_VALUE"""),"843C992D5951")</f>
        <v>843C992D5951</v>
      </c>
      <c r="AC39" s="70"/>
      <c r="AD39" s="69" t="str">
        <f>IFERROR(__xludf.DUMMYFUNCTION("""COMPUTED_VALUE"""),"GPON 6")</f>
        <v>GPON 6</v>
      </c>
      <c r="AE39" s="69" t="str">
        <f>IFERROR(__xludf.DUMMYFUNCTION("""COMPUTED_VALUE"""),"INICIALIZADO")</f>
        <v>INICIALIZADO</v>
      </c>
      <c r="AF39" s="69" t="str">
        <f>IFERROR(__xludf.DUMMYFUNCTION("""COMPUTED_VALUE"""),"JEANE")</f>
        <v>JEANE</v>
      </c>
      <c r="AG39" s="73">
        <f>IFERROR(__xludf.DUMMYFUNCTION("""COMPUTED_VALUE"""),45644.30537037037)</f>
        <v>45644.30537</v>
      </c>
      <c r="AH39" s="69"/>
      <c r="AI39" s="69"/>
      <c r="AJ39" s="69"/>
      <c r="AK39" s="69" t="str">
        <f>IFERROR(__xludf.DUMMYFUNCTION("""COMPUTED_VALUE"""),"24E4CE57C44B")</f>
        <v>24E4CE57C44B</v>
      </c>
      <c r="AL39" s="70"/>
      <c r="AM39" s="69" t="str">
        <f>IFERROR(__xludf.DUMMYFUNCTION("""COMPUTED_VALUE"""),"WIFI MESH")</f>
        <v>WIFI MESH</v>
      </c>
      <c r="AN39" s="69" t="str">
        <f>IFERROR(__xludf.DUMMYFUNCTION("""COMPUTED_VALUE"""),"SUSPEITO")</f>
        <v>SUSPEITO</v>
      </c>
      <c r="AO39" s="69" t="str">
        <f>IFERROR(__xludf.DUMMYFUNCTION("""COMPUTED_VALUE"""),"JOHN WESNNEY")</f>
        <v>JOHN WESNNEY</v>
      </c>
      <c r="AP39" s="73">
        <f>IFERROR(__xludf.DUMMYFUNCTION("""COMPUTED_VALUE"""),45644.46834490741)</f>
        <v>45644.46834</v>
      </c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</row>
    <row r="40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71"/>
      <c r="L40" s="69"/>
      <c r="M40" s="69"/>
      <c r="N40" s="72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 t="str">
        <f>IFERROR(__xludf.DUMMYFUNCTION("""COMPUTED_VALUE"""),"843C992D5105")</f>
        <v>843C992D5105</v>
      </c>
      <c r="AC40" s="70"/>
      <c r="AD40" s="69" t="str">
        <f>IFERROR(__xludf.DUMMYFUNCTION("""COMPUTED_VALUE"""),"GPON 6")</f>
        <v>GPON 6</v>
      </c>
      <c r="AE40" s="69" t="str">
        <f>IFERROR(__xludf.DUMMYFUNCTION("""COMPUTED_VALUE"""),"INICIALIZADO")</f>
        <v>INICIALIZADO</v>
      </c>
      <c r="AF40" s="69" t="str">
        <f>IFERROR(__xludf.DUMMYFUNCTION("""COMPUTED_VALUE"""),"JEANE")</f>
        <v>JEANE</v>
      </c>
      <c r="AG40" s="73">
        <f>IFERROR(__xludf.DUMMYFUNCTION("""COMPUTED_VALUE"""),45644.30537037037)</f>
        <v>45644.30537</v>
      </c>
      <c r="AH40" s="69"/>
      <c r="AI40" s="69"/>
      <c r="AJ40" s="69"/>
      <c r="AK40" s="69" t="str">
        <f>IFERROR(__xludf.DUMMYFUNCTION("""COMPUTED_VALUE"""),"216634982429")</f>
        <v>216634982429</v>
      </c>
      <c r="AL40" s="70"/>
      <c r="AM40" s="69" t="str">
        <f>IFERROR(__xludf.DUMMYFUNCTION("""COMPUTED_VALUE"""),"TOP MIX")</f>
        <v>TOP MIX</v>
      </c>
      <c r="AN40" s="69" t="str">
        <f>IFERROR(__xludf.DUMMYFUNCTION("""COMPUTED_VALUE"""),"SUSPEITO")</f>
        <v>SUSPEITO</v>
      </c>
      <c r="AO40" s="69" t="str">
        <f>IFERROR(__xludf.DUMMYFUNCTION("""COMPUTED_VALUE"""),"JOHN WESNNEY")</f>
        <v>JOHN WESNNEY</v>
      </c>
      <c r="AP40" s="73">
        <f>IFERROR(__xludf.DUMMYFUNCTION("""COMPUTED_VALUE"""),45644.46834490741)</f>
        <v>45644.46834</v>
      </c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</row>
    <row r="4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71"/>
      <c r="L41" s="69"/>
      <c r="M41" s="69"/>
      <c r="N41" s="72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 t="str">
        <f>IFERROR(__xludf.DUMMYFUNCTION("""COMPUTED_VALUE"""),"9839107C7DBF")</f>
        <v>9839107C7DBF</v>
      </c>
      <c r="AC41" s="70"/>
      <c r="AD41" s="69" t="str">
        <f>IFERROR(__xludf.DUMMYFUNCTION("""COMPUTED_VALUE"""),"WIFI MESH")</f>
        <v>WIFI MESH</v>
      </c>
      <c r="AE41" s="69" t="str">
        <f>IFERROR(__xludf.DUMMYFUNCTION("""COMPUTED_VALUE"""),"INICIALIZADO")</f>
        <v>INICIALIZADO</v>
      </c>
      <c r="AF41" s="69" t="str">
        <f>IFERROR(__xludf.DUMMYFUNCTION("""COMPUTED_VALUE"""),"JEANE")</f>
        <v>JEANE</v>
      </c>
      <c r="AG41" s="73">
        <f>IFERROR(__xludf.DUMMYFUNCTION("""COMPUTED_VALUE"""),45644.30537037037)</f>
        <v>45644.30537</v>
      </c>
      <c r="AH41" s="69"/>
      <c r="AI41" s="69"/>
      <c r="AJ41" s="69"/>
      <c r="AK41" s="69" t="str">
        <f>IFERROR(__xludf.DUMMYFUNCTION("""COMPUTED_VALUE"""),"246159724358")</f>
        <v>246159724358</v>
      </c>
      <c r="AL41" s="70"/>
      <c r="AM41" s="69" t="str">
        <f>IFERROR(__xludf.DUMMYFUNCTION("""COMPUTED_VALUE"""),"CARD")</f>
        <v>CARD</v>
      </c>
      <c r="AN41" s="69" t="str">
        <f>IFERROR(__xludf.DUMMYFUNCTION("""COMPUTED_VALUE"""),"SUSPEITO")</f>
        <v>SUSPEITO</v>
      </c>
      <c r="AO41" s="69" t="str">
        <f>IFERROR(__xludf.DUMMYFUNCTION("""COMPUTED_VALUE"""),"JOHN WESNNEY")</f>
        <v>JOHN WESNNEY</v>
      </c>
      <c r="AP41" s="73">
        <f>IFERROR(__xludf.DUMMYFUNCTION("""COMPUTED_VALUE"""),45644.46834490741)</f>
        <v>45644.46834</v>
      </c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</row>
    <row r="42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71"/>
      <c r="L42" s="69"/>
      <c r="M42" s="69"/>
      <c r="N42" s="72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 t="str">
        <f>IFERROR(__xludf.DUMMYFUNCTION("""COMPUTED_VALUE"""),"9839107C8838")</f>
        <v>9839107C8838</v>
      </c>
      <c r="AC42" s="70"/>
      <c r="AD42" s="69" t="str">
        <f>IFERROR(__xludf.DUMMYFUNCTION("""COMPUTED_VALUE"""),"WIFI MESH")</f>
        <v>WIFI MESH</v>
      </c>
      <c r="AE42" s="69" t="str">
        <f>IFERROR(__xludf.DUMMYFUNCTION("""COMPUTED_VALUE"""),"INICIALIZADO")</f>
        <v>INICIALIZADO</v>
      </c>
      <c r="AF42" s="69" t="str">
        <f>IFERROR(__xludf.DUMMYFUNCTION("""COMPUTED_VALUE"""),"JEANE")</f>
        <v>JEANE</v>
      </c>
      <c r="AG42" s="73">
        <f>IFERROR(__xludf.DUMMYFUNCTION("""COMPUTED_VALUE"""),45644.30537037037)</f>
        <v>45644.30537</v>
      </c>
      <c r="AH42" s="69"/>
      <c r="AI42" s="69"/>
      <c r="AJ42" s="69"/>
      <c r="AK42" s="69" t="str">
        <f>IFERROR(__xludf.DUMMYFUNCTION("""COMPUTED_VALUE"""),"8C444F1B2478")</f>
        <v>8C444F1B2478</v>
      </c>
      <c r="AL42" s="70"/>
      <c r="AM42" s="69" t="str">
        <f>IFERROR(__xludf.DUMMYFUNCTION("""COMPUTED_VALUE"""),"DUAL")</f>
        <v>DUAL</v>
      </c>
      <c r="AN42" s="69" t="str">
        <f>IFERROR(__xludf.DUMMYFUNCTION("""COMPUTED_VALUE"""),"SUSPEITO")</f>
        <v>SUSPEITO</v>
      </c>
      <c r="AO42" s="69" t="str">
        <f>IFERROR(__xludf.DUMMYFUNCTION("""COMPUTED_VALUE"""),"JOHN WESNNEY")</f>
        <v>JOHN WESNNEY</v>
      </c>
      <c r="AP42" s="73">
        <f>IFERROR(__xludf.DUMMYFUNCTION("""COMPUTED_VALUE"""),45644.46834490741)</f>
        <v>45644.46834</v>
      </c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</row>
    <row r="4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71"/>
      <c r="L43" s="69"/>
      <c r="M43" s="69"/>
      <c r="N43" s="72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 t="str">
        <f>IFERROR(__xludf.DUMMYFUNCTION("""COMPUTED_VALUE"""),"9839107C82E2")</f>
        <v>9839107C82E2</v>
      </c>
      <c r="AC43" s="70"/>
      <c r="AD43" s="69" t="str">
        <f>IFERROR(__xludf.DUMMYFUNCTION("""COMPUTED_VALUE"""),"WIFI MESH")</f>
        <v>WIFI MESH</v>
      </c>
      <c r="AE43" s="69" t="str">
        <f>IFERROR(__xludf.DUMMYFUNCTION("""COMPUTED_VALUE"""),"INICIALIZADO")</f>
        <v>INICIALIZADO</v>
      </c>
      <c r="AF43" s="69" t="str">
        <f>IFERROR(__xludf.DUMMYFUNCTION("""COMPUTED_VALUE"""),"JEANE")</f>
        <v>JEANE</v>
      </c>
      <c r="AG43" s="73">
        <f>IFERROR(__xludf.DUMMYFUNCTION("""COMPUTED_VALUE"""),45644.30537037037)</f>
        <v>45644.30537</v>
      </c>
      <c r="AH43" s="69"/>
      <c r="AI43" s="69"/>
      <c r="AJ43" s="69"/>
      <c r="AK43" s="69" t="str">
        <f>IFERROR(__xludf.DUMMYFUNCTION("""COMPUTED_VALUE"""),"CC75E2BAA81A")</f>
        <v>CC75E2BAA81A</v>
      </c>
      <c r="AL43" s="70"/>
      <c r="AM43" s="69" t="str">
        <f>IFERROR(__xludf.DUMMYFUNCTION("""COMPUTED_VALUE"""),"DUAL")</f>
        <v>DUAL</v>
      </c>
      <c r="AN43" s="69" t="str">
        <f>IFERROR(__xludf.DUMMYFUNCTION("""COMPUTED_VALUE"""),"SUSPEITO")</f>
        <v>SUSPEITO</v>
      </c>
      <c r="AO43" s="69" t="str">
        <f>IFERROR(__xludf.DUMMYFUNCTION("""COMPUTED_VALUE"""),"JOHN WESNNEY")</f>
        <v>JOHN WESNNEY</v>
      </c>
      <c r="AP43" s="73">
        <f>IFERROR(__xludf.DUMMYFUNCTION("""COMPUTED_VALUE"""),45644.46834490741)</f>
        <v>45644.46834</v>
      </c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</row>
    <row r="44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71"/>
      <c r="L44" s="69"/>
      <c r="M44" s="69"/>
      <c r="N44" s="72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 t="str">
        <f>IFERROR(__xludf.DUMMYFUNCTION("""COMPUTED_VALUE"""),"9839107C7E15")</f>
        <v>9839107C7E15</v>
      </c>
      <c r="AC44" s="70"/>
      <c r="AD44" s="69" t="str">
        <f>IFERROR(__xludf.DUMMYFUNCTION("""COMPUTED_VALUE"""),"WIFI MESH")</f>
        <v>WIFI MESH</v>
      </c>
      <c r="AE44" s="69" t="str">
        <f>IFERROR(__xludf.DUMMYFUNCTION("""COMPUTED_VALUE"""),"INICIALIZADO")</f>
        <v>INICIALIZADO</v>
      </c>
      <c r="AF44" s="69" t="str">
        <f>IFERROR(__xludf.DUMMYFUNCTION("""COMPUTED_VALUE"""),"JEANE")</f>
        <v>JEANE</v>
      </c>
      <c r="AG44" s="73">
        <f>IFERROR(__xludf.DUMMYFUNCTION("""COMPUTED_VALUE"""),45644.30537037037)</f>
        <v>45644.30537</v>
      </c>
      <c r="AH44" s="69"/>
      <c r="AI44" s="69"/>
      <c r="AJ44" s="69"/>
      <c r="AK44" s="69" t="str">
        <f>IFERROR(__xludf.DUMMYFUNCTION("""COMPUTED_VALUE"""),"840112DD128B")</f>
        <v>840112DD128B</v>
      </c>
      <c r="AL44" s="70"/>
      <c r="AM44" s="69" t="str">
        <f>IFERROR(__xludf.DUMMYFUNCTION("""COMPUTED_VALUE"""),"3.1")</f>
        <v>3.1</v>
      </c>
      <c r="AN44" s="69" t="str">
        <f>IFERROR(__xludf.DUMMYFUNCTION("""COMPUTED_VALUE"""),"SUSPEITO")</f>
        <v>SUSPEITO</v>
      </c>
      <c r="AO44" s="69" t="str">
        <f>IFERROR(__xludf.DUMMYFUNCTION("""COMPUTED_VALUE"""),"JOHN WESNNEY")</f>
        <v>JOHN WESNNEY</v>
      </c>
      <c r="AP44" s="73">
        <f>IFERROR(__xludf.DUMMYFUNCTION("""COMPUTED_VALUE"""),45644.46834490741)</f>
        <v>45644.46834</v>
      </c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</row>
    <row r="4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71"/>
      <c r="L45" s="69"/>
      <c r="M45" s="69"/>
      <c r="N45" s="72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 t="str">
        <f>IFERROR(__xludf.DUMMYFUNCTION("""COMPUTED_VALUE"""),"9839107C7EAB")</f>
        <v>9839107C7EAB</v>
      </c>
      <c r="AC45" s="70"/>
      <c r="AD45" s="69" t="str">
        <f>IFERROR(__xludf.DUMMYFUNCTION("""COMPUTED_VALUE"""),"WIFI MESH")</f>
        <v>WIFI MESH</v>
      </c>
      <c r="AE45" s="69" t="str">
        <f>IFERROR(__xludf.DUMMYFUNCTION("""COMPUTED_VALUE"""),"INICIALIZADO")</f>
        <v>INICIALIZADO</v>
      </c>
      <c r="AF45" s="69" t="str">
        <f>IFERROR(__xludf.DUMMYFUNCTION("""COMPUTED_VALUE"""),"JEANE")</f>
        <v>JEANE</v>
      </c>
      <c r="AG45" s="73">
        <f>IFERROR(__xludf.DUMMYFUNCTION("""COMPUTED_VALUE"""),45644.30537037037)</f>
        <v>45644.30537</v>
      </c>
      <c r="AH45" s="69"/>
      <c r="AI45" s="69"/>
      <c r="AJ45" s="69"/>
      <c r="AK45" s="69" t="str">
        <f>IFERROR(__xludf.DUMMYFUNCTION("""COMPUTED_VALUE"""),"CC5830FDABF8")</f>
        <v>CC5830FDABF8</v>
      </c>
      <c r="AL45" s="70"/>
      <c r="AM45" s="69" t="str">
        <f>IFERROR(__xludf.DUMMYFUNCTION("""COMPUTED_VALUE"""),"WIFI 6")</f>
        <v>WIFI 6</v>
      </c>
      <c r="AN45" s="69" t="str">
        <f>IFERROR(__xludf.DUMMYFUNCTION("""COMPUTED_VALUE"""),"SUSPEITO")</f>
        <v>SUSPEITO</v>
      </c>
      <c r="AO45" s="69" t="str">
        <f>IFERROR(__xludf.DUMMYFUNCTION("""COMPUTED_VALUE"""),"JOHN WESNNEY")</f>
        <v>JOHN WESNNEY</v>
      </c>
      <c r="AP45" s="73">
        <f>IFERROR(__xludf.DUMMYFUNCTION("""COMPUTED_VALUE"""),45644.46834490741)</f>
        <v>45644.46834</v>
      </c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</row>
    <row r="46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71"/>
      <c r="L46" s="69"/>
      <c r="M46" s="69"/>
      <c r="N46" s="72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 t="str">
        <f>IFERROR(__xludf.DUMMYFUNCTION("""COMPUTED_VALUE"""),"647B1EECA376")</f>
        <v>647B1EECA376</v>
      </c>
      <c r="AC46" s="70"/>
      <c r="AD46" s="69" t="str">
        <f>IFERROR(__xludf.DUMMYFUNCTION("""COMPUTED_VALUE"""),"WIFI 6")</f>
        <v>WIFI 6</v>
      </c>
      <c r="AE46" s="69" t="str">
        <f>IFERROR(__xludf.DUMMYFUNCTION("""COMPUTED_VALUE"""),"INICIALIZADO")</f>
        <v>INICIALIZADO</v>
      </c>
      <c r="AF46" s="69" t="str">
        <f>IFERROR(__xludf.DUMMYFUNCTION("""COMPUTED_VALUE"""),"JEANE")</f>
        <v>JEANE</v>
      </c>
      <c r="AG46" s="73">
        <f>IFERROR(__xludf.DUMMYFUNCTION("""COMPUTED_VALUE"""),45644.30537037037)</f>
        <v>45644.30537</v>
      </c>
      <c r="AH46" s="69"/>
      <c r="AI46" s="69"/>
      <c r="AJ46" s="69"/>
      <c r="AK46" s="69" t="str">
        <f>IFERROR(__xludf.DUMMYFUNCTION("""COMPUTED_VALUE"""),"6802B8A19137")</f>
        <v>6802B8A19137</v>
      </c>
      <c r="AL46" s="70"/>
      <c r="AM46" s="69" t="str">
        <f>IFERROR(__xludf.DUMMYFUNCTION("""COMPUTED_VALUE"""),"3.1")</f>
        <v>3.1</v>
      </c>
      <c r="AN46" s="69" t="str">
        <f>IFERROR(__xludf.DUMMYFUNCTION("""COMPUTED_VALUE"""),"SUSPEITO")</f>
        <v>SUSPEITO</v>
      </c>
      <c r="AO46" s="69" t="str">
        <f>IFERROR(__xludf.DUMMYFUNCTION("""COMPUTED_VALUE"""),"JOHN WESNNEY")</f>
        <v>JOHN WESNNEY</v>
      </c>
      <c r="AP46" s="73">
        <f>IFERROR(__xludf.DUMMYFUNCTION("""COMPUTED_VALUE"""),45644.46834490741)</f>
        <v>45644.46834</v>
      </c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</row>
    <row r="47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71"/>
      <c r="L47" s="69"/>
      <c r="M47" s="69"/>
      <c r="N47" s="72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 t="str">
        <f>IFERROR(__xludf.DUMMYFUNCTION("""COMPUTED_VALUE"""),"B42A0E1ABFFA")</f>
        <v>B42A0E1ABFFA</v>
      </c>
      <c r="AC47" s="70"/>
      <c r="AD47" s="69" t="str">
        <f>IFERROR(__xludf.DUMMYFUNCTION("""COMPUTED_VALUE"""),"DUAL")</f>
        <v>DUAL</v>
      </c>
      <c r="AE47" s="69" t="str">
        <f>IFERROR(__xludf.DUMMYFUNCTION("""COMPUTED_VALUE"""),"INICIALIZADO")</f>
        <v>INICIALIZADO</v>
      </c>
      <c r="AF47" s="69" t="str">
        <f>IFERROR(__xludf.DUMMYFUNCTION("""COMPUTED_VALUE"""),"JEANE")</f>
        <v>JEANE</v>
      </c>
      <c r="AG47" s="73">
        <f>IFERROR(__xludf.DUMMYFUNCTION("""COMPUTED_VALUE"""),45644.30537037037)</f>
        <v>45644.30537</v>
      </c>
      <c r="AH47" s="69"/>
      <c r="AI47" s="69"/>
      <c r="AJ47" s="69"/>
      <c r="AK47" s="69" t="str">
        <f>IFERROR(__xludf.DUMMYFUNCTION("""COMPUTED_VALUE"""),"216828534461")</f>
        <v>216828534461</v>
      </c>
      <c r="AL47" s="70"/>
      <c r="AM47" s="69" t="str">
        <f>IFERROR(__xludf.DUMMYFUNCTION("""COMPUTED_VALUE"""),"TOP MIX")</f>
        <v>TOP MIX</v>
      </c>
      <c r="AN47" s="69" t="str">
        <f>IFERROR(__xludf.DUMMYFUNCTION("""COMPUTED_VALUE"""),"SUSPEITO")</f>
        <v>SUSPEITO</v>
      </c>
      <c r="AO47" s="69" t="str">
        <f>IFERROR(__xludf.DUMMYFUNCTION("""COMPUTED_VALUE"""),"JOHN WESNNEY")</f>
        <v>JOHN WESNNEY</v>
      </c>
      <c r="AP47" s="73">
        <f>IFERROR(__xludf.DUMMYFUNCTION("""COMPUTED_VALUE"""),45644.46834490741)</f>
        <v>45644.46834</v>
      </c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</row>
    <row r="48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71"/>
      <c r="L48" s="69"/>
      <c r="M48" s="69"/>
      <c r="N48" s="72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 t="str">
        <f>IFERROR(__xludf.DUMMYFUNCTION("""COMPUTED_VALUE"""),"B0DAF9633BC2")</f>
        <v>B0DAF9633BC2</v>
      </c>
      <c r="AC48" s="70"/>
      <c r="AD48" s="69" t="str">
        <f>IFERROR(__xludf.DUMMYFUNCTION("""COMPUTED_VALUE"""),"DUAL")</f>
        <v>DUAL</v>
      </c>
      <c r="AE48" s="69" t="str">
        <f>IFERROR(__xludf.DUMMYFUNCTION("""COMPUTED_VALUE"""),"INICIALIZADO")</f>
        <v>INICIALIZADO</v>
      </c>
      <c r="AF48" s="69" t="str">
        <f>IFERROR(__xludf.DUMMYFUNCTION("""COMPUTED_VALUE"""),"JEANE")</f>
        <v>JEANE</v>
      </c>
      <c r="AG48" s="73">
        <f>IFERROR(__xludf.DUMMYFUNCTION("""COMPUTED_VALUE"""),45644.30537037037)</f>
        <v>45644.30537</v>
      </c>
      <c r="AH48" s="69"/>
      <c r="AI48" s="69"/>
      <c r="AJ48" s="69"/>
      <c r="AK48" s="69" t="str">
        <f>IFERROR(__xludf.DUMMYFUNCTION("""COMPUTED_VALUE"""),"246044175056")</f>
        <v>246044175056</v>
      </c>
      <c r="AL48" s="70"/>
      <c r="AM48" s="69" t="str">
        <f>IFERROR(__xludf.DUMMYFUNCTION("""COMPUTED_VALUE"""),"CARD")</f>
        <v>CARD</v>
      </c>
      <c r="AN48" s="69" t="str">
        <f>IFERROR(__xludf.DUMMYFUNCTION("""COMPUTED_VALUE"""),"SUSPEITO")</f>
        <v>SUSPEITO</v>
      </c>
      <c r="AO48" s="69" t="str">
        <f>IFERROR(__xludf.DUMMYFUNCTION("""COMPUTED_VALUE"""),"JOHN WESNNEY")</f>
        <v>JOHN WESNNEY</v>
      </c>
      <c r="AP48" s="73">
        <f>IFERROR(__xludf.DUMMYFUNCTION("""COMPUTED_VALUE"""),45644.46834490741)</f>
        <v>45644.46834</v>
      </c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</row>
    <row r="49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71"/>
      <c r="L49" s="69"/>
      <c r="M49" s="69"/>
      <c r="N49" s="72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 t="str">
        <f>IFERROR(__xludf.DUMMYFUNCTION("""COMPUTED_VALUE"""),"383FB3A55536")</f>
        <v>383FB3A55536</v>
      </c>
      <c r="AC49" s="70"/>
      <c r="AD49" s="69" t="str">
        <f>IFERROR(__xludf.DUMMYFUNCTION("""COMPUTED_VALUE"""),"DUAL")</f>
        <v>DUAL</v>
      </c>
      <c r="AE49" s="69" t="str">
        <f>IFERROR(__xludf.DUMMYFUNCTION("""COMPUTED_VALUE"""),"INICIALIZADO")</f>
        <v>INICIALIZADO</v>
      </c>
      <c r="AF49" s="69" t="str">
        <f>IFERROR(__xludf.DUMMYFUNCTION("""COMPUTED_VALUE"""),"JEANE")</f>
        <v>JEANE</v>
      </c>
      <c r="AG49" s="73">
        <f>IFERROR(__xludf.DUMMYFUNCTION("""COMPUTED_VALUE"""),45644.30537037037)</f>
        <v>45644.30537</v>
      </c>
      <c r="AH49" s="69"/>
      <c r="AI49" s="69"/>
      <c r="AJ49" s="69"/>
      <c r="AK49" s="69" t="str">
        <f>IFERROR(__xludf.DUMMYFUNCTION("""COMPUTED_VALUE"""),"1062D09C0243")</f>
        <v>1062D09C0243</v>
      </c>
      <c r="AL49" s="70"/>
      <c r="AM49" s="69" t="str">
        <f>IFERROR(__xludf.DUMMYFUNCTION("""COMPUTED_VALUE"""),"DUAL")</f>
        <v>DUAL</v>
      </c>
      <c r="AN49" s="69" t="str">
        <f>IFERROR(__xludf.DUMMYFUNCTION("""COMPUTED_VALUE"""),"SUSPEITO")</f>
        <v>SUSPEITO</v>
      </c>
      <c r="AO49" s="69" t="str">
        <f>IFERROR(__xludf.DUMMYFUNCTION("""COMPUTED_VALUE"""),"JOHN WESNNEY")</f>
        <v>JOHN WESNNEY</v>
      </c>
      <c r="AP49" s="73">
        <f>IFERROR(__xludf.DUMMYFUNCTION("""COMPUTED_VALUE"""),45644.46834490741)</f>
        <v>45644.46834</v>
      </c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</row>
    <row r="50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71"/>
      <c r="L50" s="69"/>
      <c r="M50" s="69"/>
      <c r="N50" s="72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 t="str">
        <f>IFERROR(__xludf.DUMMYFUNCTION("""COMPUTED_VALUE"""),"08C7F52C4A29")</f>
        <v>08C7F52C4A29</v>
      </c>
      <c r="AC50" s="70"/>
      <c r="AD50" s="69" t="str">
        <f>IFERROR(__xludf.DUMMYFUNCTION("""COMPUTED_VALUE"""),"ONT")</f>
        <v>ONT</v>
      </c>
      <c r="AE50" s="69" t="str">
        <f>IFERROR(__xludf.DUMMYFUNCTION("""COMPUTED_VALUE"""),"INICIALIZADO")</f>
        <v>INICIALIZADO</v>
      </c>
      <c r="AF50" s="69" t="str">
        <f>IFERROR(__xludf.DUMMYFUNCTION("""COMPUTED_VALUE"""),"JEANE")</f>
        <v>JEANE</v>
      </c>
      <c r="AG50" s="73">
        <f>IFERROR(__xludf.DUMMYFUNCTION("""COMPUTED_VALUE"""),45644.30537037037)</f>
        <v>45644.30537</v>
      </c>
      <c r="AH50" s="69"/>
      <c r="AI50" s="69"/>
      <c r="AJ50" s="69"/>
      <c r="AK50" s="69" t="str">
        <f>IFERROR(__xludf.DUMMYFUNCTION("""COMPUTED_VALUE"""),"942CB3AB935C")</f>
        <v>942CB3AB935C</v>
      </c>
      <c r="AL50" s="70"/>
      <c r="AM50" s="69" t="str">
        <f>IFERROR(__xludf.DUMMYFUNCTION("""COMPUTED_VALUE"""),"DUAL")</f>
        <v>DUAL</v>
      </c>
      <c r="AN50" s="69" t="str">
        <f>IFERROR(__xludf.DUMMYFUNCTION("""COMPUTED_VALUE"""),"SUSPEITO")</f>
        <v>SUSPEITO</v>
      </c>
      <c r="AO50" s="69" t="str">
        <f>IFERROR(__xludf.DUMMYFUNCTION("""COMPUTED_VALUE"""),"JOHN WESNNEY")</f>
        <v>JOHN WESNNEY</v>
      </c>
      <c r="AP50" s="73">
        <f>IFERROR(__xludf.DUMMYFUNCTION("""COMPUTED_VALUE"""),45644.46834490741)</f>
        <v>45644.46834</v>
      </c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</row>
    <row r="5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71"/>
      <c r="L51" s="69"/>
      <c r="M51" s="69"/>
      <c r="N51" s="72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 t="str">
        <f>IFERROR(__xludf.DUMMYFUNCTION("""COMPUTED_VALUE"""),"216404054650")</f>
        <v>216404054650</v>
      </c>
      <c r="AC51" s="70"/>
      <c r="AD51" s="69" t="str">
        <f>IFERROR(__xludf.DUMMYFUNCTION("""COMPUTED_VALUE"""),"TOP MIX")</f>
        <v>TOP MIX</v>
      </c>
      <c r="AE51" s="69" t="str">
        <f>IFERROR(__xludf.DUMMYFUNCTION("""COMPUTED_VALUE"""),"INICIALIZADO")</f>
        <v>INICIALIZADO</v>
      </c>
      <c r="AF51" s="69" t="str">
        <f>IFERROR(__xludf.DUMMYFUNCTION("""COMPUTED_VALUE"""),"JEANE")</f>
        <v>JEANE</v>
      </c>
      <c r="AG51" s="73">
        <f>IFERROR(__xludf.DUMMYFUNCTION("""COMPUTED_VALUE"""),45644.30537037037)</f>
        <v>45644.30537</v>
      </c>
      <c r="AH51" s="69"/>
      <c r="AI51" s="69"/>
      <c r="AJ51" s="69"/>
      <c r="AK51" s="69" t="str">
        <f>IFERROR(__xludf.DUMMYFUNCTION("""COMPUTED_VALUE"""),"216802288599")</f>
        <v>216802288599</v>
      </c>
      <c r="AL51" s="70"/>
      <c r="AM51" s="69" t="str">
        <f>IFERROR(__xludf.DUMMYFUNCTION("""COMPUTED_VALUE"""),"TOP MIX")</f>
        <v>TOP MIX</v>
      </c>
      <c r="AN51" s="69" t="str">
        <f>IFERROR(__xludf.DUMMYFUNCTION("""COMPUTED_VALUE"""),"SUSPEITO")</f>
        <v>SUSPEITO</v>
      </c>
      <c r="AO51" s="69" t="str">
        <f>IFERROR(__xludf.DUMMYFUNCTION("""COMPUTED_VALUE"""),"JOHN WESNNEY")</f>
        <v>JOHN WESNNEY</v>
      </c>
      <c r="AP51" s="73">
        <f>IFERROR(__xludf.DUMMYFUNCTION("""COMPUTED_VALUE"""),45644.46834490741)</f>
        <v>45644.46834</v>
      </c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</row>
    <row r="5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71"/>
      <c r="L52" s="69"/>
      <c r="M52" s="69"/>
      <c r="N52" s="72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 t="str">
        <f>IFERROR(__xludf.DUMMYFUNCTION("""COMPUTED_VALUE"""),"246255272325")</f>
        <v>246255272325</v>
      </c>
      <c r="AC52" s="70"/>
      <c r="AD52" s="69" t="str">
        <f>IFERROR(__xludf.DUMMYFUNCTION("""COMPUTED_VALUE"""),"CARD")</f>
        <v>CARD</v>
      </c>
      <c r="AE52" s="69" t="str">
        <f>IFERROR(__xludf.DUMMYFUNCTION("""COMPUTED_VALUE"""),"INICIALIZADO")</f>
        <v>INICIALIZADO</v>
      </c>
      <c r="AF52" s="69" t="str">
        <f>IFERROR(__xludf.DUMMYFUNCTION("""COMPUTED_VALUE"""),"JEANE")</f>
        <v>JEANE</v>
      </c>
      <c r="AG52" s="73">
        <f>IFERROR(__xludf.DUMMYFUNCTION("""COMPUTED_VALUE"""),45644.30537037037)</f>
        <v>45644.30537</v>
      </c>
      <c r="AH52" s="69"/>
      <c r="AI52" s="69"/>
      <c r="AJ52" s="69"/>
      <c r="AK52" s="69" t="str">
        <f>IFERROR(__xludf.DUMMYFUNCTION("""COMPUTED_VALUE"""),"246129676060")</f>
        <v>246129676060</v>
      </c>
      <c r="AL52" s="70"/>
      <c r="AM52" s="69" t="str">
        <f>IFERROR(__xludf.DUMMYFUNCTION("""COMPUTED_VALUE"""),"CARD")</f>
        <v>CARD</v>
      </c>
      <c r="AN52" s="69" t="str">
        <f>IFERROR(__xludf.DUMMYFUNCTION("""COMPUTED_VALUE"""),"SUSPEITO")</f>
        <v>SUSPEITO</v>
      </c>
      <c r="AO52" s="69" t="str">
        <f>IFERROR(__xludf.DUMMYFUNCTION("""COMPUTED_VALUE"""),"JOHN WESNNEY")</f>
        <v>JOHN WESNNEY</v>
      </c>
      <c r="AP52" s="73">
        <f>IFERROR(__xludf.DUMMYFUNCTION("""COMPUTED_VALUE"""),45644.46834490741)</f>
        <v>45644.46834</v>
      </c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</row>
    <row r="5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71"/>
      <c r="L53" s="69"/>
      <c r="M53" s="69"/>
      <c r="N53" s="72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 t="str">
        <f>IFERROR(__xludf.DUMMYFUNCTION("""COMPUTED_VALUE"""),"216611667594")</f>
        <v>216611667594</v>
      </c>
      <c r="AC53" s="70"/>
      <c r="AD53" s="69" t="str">
        <f>IFERROR(__xludf.DUMMYFUNCTION("""COMPUTED_VALUE"""),"TOP MIX")</f>
        <v>TOP MIX</v>
      </c>
      <c r="AE53" s="69" t="str">
        <f>IFERROR(__xludf.DUMMYFUNCTION("""COMPUTED_VALUE"""),"INICIALIZADO")</f>
        <v>INICIALIZADO</v>
      </c>
      <c r="AF53" s="69" t="str">
        <f>IFERROR(__xludf.DUMMYFUNCTION("""COMPUTED_VALUE"""),"JEANE")</f>
        <v>JEANE</v>
      </c>
      <c r="AG53" s="73">
        <f>IFERROR(__xludf.DUMMYFUNCTION("""COMPUTED_VALUE"""),45644.30537037037)</f>
        <v>45644.30537</v>
      </c>
      <c r="AH53" s="69"/>
      <c r="AI53" s="69"/>
      <c r="AJ53" s="69"/>
      <c r="AK53" s="69" t="str">
        <f>IFERROR(__xludf.DUMMYFUNCTION("""COMPUTED_VALUE"""),"889E68DCD054")</f>
        <v>889E68DCD054</v>
      </c>
      <c r="AL53" s="70"/>
      <c r="AM53" s="69" t="str">
        <f>IFERROR(__xludf.DUMMYFUNCTION("""COMPUTED_VALUE"""),"3.1")</f>
        <v>3.1</v>
      </c>
      <c r="AN53" s="69" t="str">
        <f>IFERROR(__xludf.DUMMYFUNCTION("""COMPUTED_VALUE"""),"SUSPEITO")</f>
        <v>SUSPEITO</v>
      </c>
      <c r="AO53" s="69" t="str">
        <f>IFERROR(__xludf.DUMMYFUNCTION("""COMPUTED_VALUE"""),"JOHN WESNNEY")</f>
        <v>JOHN WESNNEY</v>
      </c>
      <c r="AP53" s="73">
        <f>IFERROR(__xludf.DUMMYFUNCTION("""COMPUTED_VALUE"""),45644.46834490741)</f>
        <v>45644.46834</v>
      </c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</row>
    <row r="54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71"/>
      <c r="L54" s="69"/>
      <c r="M54" s="69"/>
      <c r="N54" s="72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 t="str">
        <f>IFERROR(__xludf.DUMMYFUNCTION("""COMPUTED_VALUE"""),"246256701017")</f>
        <v>246256701017</v>
      </c>
      <c r="AC54" s="70"/>
      <c r="AD54" s="69" t="str">
        <f>IFERROR(__xludf.DUMMYFUNCTION("""COMPUTED_VALUE"""),"CARD")</f>
        <v>CARD</v>
      </c>
      <c r="AE54" s="69" t="str">
        <f>IFERROR(__xludf.DUMMYFUNCTION("""COMPUTED_VALUE"""),"INICIALIZADO")</f>
        <v>INICIALIZADO</v>
      </c>
      <c r="AF54" s="69" t="str">
        <f>IFERROR(__xludf.DUMMYFUNCTION("""COMPUTED_VALUE"""),"JEANE")</f>
        <v>JEANE</v>
      </c>
      <c r="AG54" s="73">
        <f>IFERROR(__xludf.DUMMYFUNCTION("""COMPUTED_VALUE"""),45644.30537037037)</f>
        <v>45644.30537</v>
      </c>
      <c r="AH54" s="69"/>
      <c r="AI54" s="69"/>
      <c r="AJ54" s="69"/>
      <c r="AK54" s="69" t="str">
        <f>IFERROR(__xludf.DUMMYFUNCTION("""COMPUTED_VALUE"""),"94988F93D55E")</f>
        <v>94988F93D55E</v>
      </c>
      <c r="AL54" s="70"/>
      <c r="AM54" s="69" t="str">
        <f>IFERROR(__xludf.DUMMYFUNCTION("""COMPUTED_VALUE"""),"3.1")</f>
        <v>3.1</v>
      </c>
      <c r="AN54" s="69" t="str">
        <f>IFERROR(__xludf.DUMMYFUNCTION("""COMPUTED_VALUE"""),"SUSPEITO")</f>
        <v>SUSPEITO</v>
      </c>
      <c r="AO54" s="69" t="str">
        <f>IFERROR(__xludf.DUMMYFUNCTION("""COMPUTED_VALUE"""),"JOHN WESNNEY")</f>
        <v>JOHN WESNNEY</v>
      </c>
      <c r="AP54" s="73">
        <f>IFERROR(__xludf.DUMMYFUNCTION("""COMPUTED_VALUE"""),45644.46834490741)</f>
        <v>45644.46834</v>
      </c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</row>
    <row r="5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71"/>
      <c r="L55" s="69"/>
      <c r="M55" s="69"/>
      <c r="N55" s="72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 t="str">
        <f>IFERROR(__xludf.DUMMYFUNCTION("""COMPUTED_VALUE"""),"216562272123")</f>
        <v>216562272123</v>
      </c>
      <c r="AC55" s="70"/>
      <c r="AD55" s="69" t="str">
        <f>IFERROR(__xludf.DUMMYFUNCTION("""COMPUTED_VALUE"""),"TOP MIX")</f>
        <v>TOP MIX</v>
      </c>
      <c r="AE55" s="69" t="str">
        <f>IFERROR(__xludf.DUMMYFUNCTION("""COMPUTED_VALUE"""),"INICIALIZADO")</f>
        <v>INICIALIZADO</v>
      </c>
      <c r="AF55" s="69" t="str">
        <f>IFERROR(__xludf.DUMMYFUNCTION("""COMPUTED_VALUE"""),"JEANE")</f>
        <v>JEANE</v>
      </c>
      <c r="AG55" s="73">
        <f>IFERROR(__xludf.DUMMYFUNCTION("""COMPUTED_VALUE"""),45644.30537037037)</f>
        <v>45644.30537</v>
      </c>
      <c r="AH55" s="69"/>
      <c r="AI55" s="69"/>
      <c r="AJ55" s="69"/>
      <c r="AK55" s="69" t="str">
        <f>IFERROR(__xludf.DUMMYFUNCTION("""COMPUTED_VALUE"""),"C85D381EC2D5")</f>
        <v>C85D381EC2D5</v>
      </c>
      <c r="AL55" s="70"/>
      <c r="AM55" s="69" t="str">
        <f>IFERROR(__xludf.DUMMYFUNCTION("""COMPUTED_VALUE"""),"3.1")</f>
        <v>3.1</v>
      </c>
      <c r="AN55" s="69" t="str">
        <f>IFERROR(__xludf.DUMMYFUNCTION("""COMPUTED_VALUE"""),"SUSPEITO")</f>
        <v>SUSPEITO</v>
      </c>
      <c r="AO55" s="69" t="str">
        <f>IFERROR(__xludf.DUMMYFUNCTION("""COMPUTED_VALUE"""),"MATHEUS HANIEL")</f>
        <v>MATHEUS HANIEL</v>
      </c>
      <c r="AP55" s="73">
        <f>IFERROR(__xludf.DUMMYFUNCTION("""COMPUTED_VALUE"""),45644.47856481481)</f>
        <v>45644.47856</v>
      </c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</row>
    <row r="56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71"/>
      <c r="L56" s="69"/>
      <c r="M56" s="69"/>
      <c r="N56" s="72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 t="str">
        <f>IFERROR(__xludf.DUMMYFUNCTION("""COMPUTED_VALUE"""),"226249653134")</f>
        <v>226249653134</v>
      </c>
      <c r="AC56" s="70"/>
      <c r="AD56" s="69" t="str">
        <f>IFERROR(__xludf.DUMMYFUNCTION("""COMPUTED_VALUE"""),"CARD")</f>
        <v>CARD</v>
      </c>
      <c r="AE56" s="69" t="str">
        <f>IFERROR(__xludf.DUMMYFUNCTION("""COMPUTED_VALUE"""),"INICIALIZADO")</f>
        <v>INICIALIZADO</v>
      </c>
      <c r="AF56" s="69" t="str">
        <f>IFERROR(__xludf.DUMMYFUNCTION("""COMPUTED_VALUE"""),"JEANE")</f>
        <v>JEANE</v>
      </c>
      <c r="AG56" s="73">
        <f>IFERROR(__xludf.DUMMYFUNCTION("""COMPUTED_VALUE"""),45644.30537037037)</f>
        <v>45644.30537</v>
      </c>
      <c r="AH56" s="69"/>
      <c r="AI56" s="69"/>
      <c r="AJ56" s="69"/>
      <c r="AK56" s="69" t="str">
        <f>IFERROR(__xludf.DUMMYFUNCTION("""COMPUTED_VALUE"""),"383FB3A635DE")</f>
        <v>383FB3A635DE</v>
      </c>
      <c r="AL56" s="70"/>
      <c r="AM56" s="69" t="str">
        <f>IFERROR(__xludf.DUMMYFUNCTION("""COMPUTED_VALUE"""),"DUAL")</f>
        <v>DUAL</v>
      </c>
      <c r="AN56" s="69" t="str">
        <f>IFERROR(__xludf.DUMMYFUNCTION("""COMPUTED_VALUE"""),"SUSPEITO")</f>
        <v>SUSPEITO</v>
      </c>
      <c r="AO56" s="69" t="str">
        <f>IFERROR(__xludf.DUMMYFUNCTION("""COMPUTED_VALUE"""),"MATHEUS HANIEL")</f>
        <v>MATHEUS HANIEL</v>
      </c>
      <c r="AP56" s="73">
        <f>IFERROR(__xludf.DUMMYFUNCTION("""COMPUTED_VALUE"""),45644.47856481481)</f>
        <v>45644.47856</v>
      </c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</row>
    <row r="57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71"/>
      <c r="L57" s="69"/>
      <c r="M57" s="69"/>
      <c r="N57" s="72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 t="str">
        <f>IFERROR(__xludf.DUMMYFUNCTION("""COMPUTED_VALUE"""),"216836696974")</f>
        <v>216836696974</v>
      </c>
      <c r="AC57" s="70"/>
      <c r="AD57" s="69" t="str">
        <f>IFERROR(__xludf.DUMMYFUNCTION("""COMPUTED_VALUE"""),"TOP MIX")</f>
        <v>TOP MIX</v>
      </c>
      <c r="AE57" s="69" t="str">
        <f>IFERROR(__xludf.DUMMYFUNCTION("""COMPUTED_VALUE"""),"INICIALIZADO")</f>
        <v>INICIALIZADO</v>
      </c>
      <c r="AF57" s="69" t="str">
        <f>IFERROR(__xludf.DUMMYFUNCTION("""COMPUTED_VALUE"""),"JEANE")</f>
        <v>JEANE</v>
      </c>
      <c r="AG57" s="73">
        <f>IFERROR(__xludf.DUMMYFUNCTION("""COMPUTED_VALUE"""),45644.30537037037)</f>
        <v>45644.30537</v>
      </c>
      <c r="AH57" s="69"/>
      <c r="AI57" s="69"/>
      <c r="AJ57" s="69"/>
      <c r="AK57" s="69" t="str">
        <f>IFERROR(__xludf.DUMMYFUNCTION("""COMPUTED_VALUE"""),"5CFA25AD4183")</f>
        <v>5CFA25AD4183</v>
      </c>
      <c r="AL57" s="70"/>
      <c r="AM57" s="69" t="str">
        <f>IFERROR(__xludf.DUMMYFUNCTION("""COMPUTED_VALUE"""),"3.1")</f>
        <v>3.1</v>
      </c>
      <c r="AN57" s="69" t="str">
        <f>IFERROR(__xludf.DUMMYFUNCTION("""COMPUTED_VALUE"""),"SUSPEITO")</f>
        <v>SUSPEITO</v>
      </c>
      <c r="AO57" s="69" t="str">
        <f>IFERROR(__xludf.DUMMYFUNCTION("""COMPUTED_VALUE"""),"MATHEUS HANIEL")</f>
        <v>MATHEUS HANIEL</v>
      </c>
      <c r="AP57" s="73">
        <f>IFERROR(__xludf.DUMMYFUNCTION("""COMPUTED_VALUE"""),45644.47856481481)</f>
        <v>45644.47856</v>
      </c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</row>
    <row r="58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71"/>
      <c r="L58" s="69"/>
      <c r="M58" s="69"/>
      <c r="N58" s="72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 t="str">
        <f>IFERROR(__xludf.DUMMYFUNCTION("""COMPUTED_VALUE"""),"246335514567")</f>
        <v>246335514567</v>
      </c>
      <c r="AC58" s="70"/>
      <c r="AD58" s="69" t="str">
        <f>IFERROR(__xludf.DUMMYFUNCTION("""COMPUTED_VALUE"""),"CARD")</f>
        <v>CARD</v>
      </c>
      <c r="AE58" s="69" t="str">
        <f>IFERROR(__xludf.DUMMYFUNCTION("""COMPUTED_VALUE"""),"INICIALIZADO")</f>
        <v>INICIALIZADO</v>
      </c>
      <c r="AF58" s="69" t="str">
        <f>IFERROR(__xludf.DUMMYFUNCTION("""COMPUTED_VALUE"""),"JEANE")</f>
        <v>JEANE</v>
      </c>
      <c r="AG58" s="73">
        <f>IFERROR(__xludf.DUMMYFUNCTION("""COMPUTED_VALUE"""),45644.30537037037)</f>
        <v>45644.30537</v>
      </c>
      <c r="AH58" s="69"/>
      <c r="AI58" s="69"/>
      <c r="AJ58" s="69"/>
      <c r="AK58" s="69" t="str">
        <f>IFERROR(__xludf.DUMMYFUNCTION("""COMPUTED_VALUE"""),"229659221321")</f>
        <v>229659221321</v>
      </c>
      <c r="AL58" s="70"/>
      <c r="AM58" s="69" t="str">
        <f>IFERROR(__xludf.DUMMYFUNCTION("""COMPUTED_VALUE"""),"4K")</f>
        <v>4K</v>
      </c>
      <c r="AN58" s="69" t="str">
        <f>IFERROR(__xludf.DUMMYFUNCTION("""COMPUTED_VALUE"""),"SUSPEITO")</f>
        <v>SUSPEITO</v>
      </c>
      <c r="AO58" s="69" t="str">
        <f>IFERROR(__xludf.DUMMYFUNCTION("""COMPUTED_VALUE"""),"MATHEUS HANIEL")</f>
        <v>MATHEUS HANIEL</v>
      </c>
      <c r="AP58" s="73">
        <f>IFERROR(__xludf.DUMMYFUNCTION("""COMPUTED_VALUE"""),45644.47856481481)</f>
        <v>45644.47856</v>
      </c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</row>
    <row r="5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71"/>
      <c r="L59" s="69"/>
      <c r="M59" s="69"/>
      <c r="N59" s="72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 t="str">
        <f>IFERROR(__xludf.DUMMYFUNCTION("""COMPUTED_VALUE"""),"89550531860000432057")</f>
        <v>89550531860000432057</v>
      </c>
      <c r="AC59" s="70"/>
      <c r="AD59" s="69" t="str">
        <f>IFERROR(__xludf.DUMMYFUNCTION("""COMPUTED_VALUE"""),"CHIP")</f>
        <v>CHIP</v>
      </c>
      <c r="AE59" s="69" t="str">
        <f>IFERROR(__xludf.DUMMYFUNCTION("""COMPUTED_VALUE"""),"INICIALIZADO")</f>
        <v>INICIALIZADO</v>
      </c>
      <c r="AF59" s="69" t="str">
        <f>IFERROR(__xludf.DUMMYFUNCTION("""COMPUTED_VALUE"""),"JEANE")</f>
        <v>JEANE</v>
      </c>
      <c r="AG59" s="73">
        <f>IFERROR(__xludf.DUMMYFUNCTION("""COMPUTED_VALUE"""),45644.30537037037)</f>
        <v>45644.30537</v>
      </c>
      <c r="AH59" s="69"/>
      <c r="AI59" s="69"/>
      <c r="AJ59" s="69"/>
      <c r="AK59" s="69" t="str">
        <f>IFERROR(__xludf.DUMMYFUNCTION("""COMPUTED_VALUE"""),"246465645572")</f>
        <v>246465645572</v>
      </c>
      <c r="AL59" s="70"/>
      <c r="AM59" s="69" t="str">
        <f>IFERROR(__xludf.DUMMYFUNCTION("""COMPUTED_VALUE"""),"SIM CARD")</f>
        <v>SIM CARD</v>
      </c>
      <c r="AN59" s="69" t="str">
        <f>IFERROR(__xludf.DUMMYFUNCTION("""COMPUTED_VALUE"""),"SUSPEITO")</f>
        <v>SUSPEITO</v>
      </c>
      <c r="AO59" s="69" t="str">
        <f>IFERROR(__xludf.DUMMYFUNCTION("""COMPUTED_VALUE"""),"MATHEUS HANIEL")</f>
        <v>MATHEUS HANIEL</v>
      </c>
      <c r="AP59" s="73">
        <f>IFERROR(__xludf.DUMMYFUNCTION("""COMPUTED_VALUE"""),45644.47856481481)</f>
        <v>45644.47856</v>
      </c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</row>
    <row r="60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71"/>
      <c r="L60" s="69"/>
      <c r="M60" s="69"/>
      <c r="N60" s="72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 t="str">
        <f>IFERROR(__xludf.DUMMYFUNCTION("""COMPUTED_VALUE"""),"89550531860000432040")</f>
        <v>89550531860000432040</v>
      </c>
      <c r="AC60" s="70"/>
      <c r="AD60" s="69" t="str">
        <f>IFERROR(__xludf.DUMMYFUNCTION("""COMPUTED_VALUE"""),"CHIP")</f>
        <v>CHIP</v>
      </c>
      <c r="AE60" s="69" t="str">
        <f>IFERROR(__xludf.DUMMYFUNCTION("""COMPUTED_VALUE"""),"INICIALIZADO")</f>
        <v>INICIALIZADO</v>
      </c>
      <c r="AF60" s="69" t="str">
        <f>IFERROR(__xludf.DUMMYFUNCTION("""COMPUTED_VALUE"""),"JEANE")</f>
        <v>JEANE</v>
      </c>
      <c r="AG60" s="73">
        <f>IFERROR(__xludf.DUMMYFUNCTION("""COMPUTED_VALUE"""),45644.30537037037)</f>
        <v>45644.30537</v>
      </c>
      <c r="AH60" s="69"/>
      <c r="AI60" s="69"/>
      <c r="AJ60" s="69"/>
      <c r="AK60" s="69" t="str">
        <f>IFERROR(__xludf.DUMMYFUNCTION("""COMPUTED_VALUE"""),"229659220816")</f>
        <v>229659220816</v>
      </c>
      <c r="AL60" s="70"/>
      <c r="AM60" s="69" t="str">
        <f>IFERROR(__xludf.DUMMYFUNCTION("""COMPUTED_VALUE"""),"4K")</f>
        <v>4K</v>
      </c>
      <c r="AN60" s="69" t="str">
        <f>IFERROR(__xludf.DUMMYFUNCTION("""COMPUTED_VALUE"""),"SUSPEITO")</f>
        <v>SUSPEITO</v>
      </c>
      <c r="AO60" s="69" t="str">
        <f>IFERROR(__xludf.DUMMYFUNCTION("""COMPUTED_VALUE"""),"MATHEUS HANIEL")</f>
        <v>MATHEUS HANIEL</v>
      </c>
      <c r="AP60" s="73">
        <f>IFERROR(__xludf.DUMMYFUNCTION("""COMPUTED_VALUE"""),45644.47856481481)</f>
        <v>45644.47856</v>
      </c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</row>
    <row r="6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71"/>
      <c r="L61" s="69"/>
      <c r="M61" s="69"/>
      <c r="N61" s="72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 t="str">
        <f>IFERROR(__xludf.DUMMYFUNCTION("""COMPUTED_VALUE"""),"89550531840026256912")</f>
        <v>89550531840026256912</v>
      </c>
      <c r="AC61" s="70"/>
      <c r="AD61" s="69" t="str">
        <f>IFERROR(__xludf.DUMMYFUNCTION("""COMPUTED_VALUE"""),"CHIP")</f>
        <v>CHIP</v>
      </c>
      <c r="AE61" s="69" t="str">
        <f>IFERROR(__xludf.DUMMYFUNCTION("""COMPUTED_VALUE"""),"INICIALIZADO")</f>
        <v>INICIALIZADO</v>
      </c>
      <c r="AF61" s="69" t="str">
        <f>IFERROR(__xludf.DUMMYFUNCTION("""COMPUTED_VALUE"""),"JEANE")</f>
        <v>JEANE</v>
      </c>
      <c r="AG61" s="73">
        <f>IFERROR(__xludf.DUMMYFUNCTION("""COMPUTED_VALUE"""),45644.30537037037)</f>
        <v>45644.30537</v>
      </c>
      <c r="AH61" s="69"/>
      <c r="AI61" s="69"/>
      <c r="AJ61" s="69"/>
      <c r="AK61" s="69" t="str">
        <f>IFERROR(__xludf.DUMMYFUNCTION("""COMPUTED_VALUE"""),"246465641936")</f>
        <v>246465641936</v>
      </c>
      <c r="AL61" s="70"/>
      <c r="AM61" s="69" t="str">
        <f>IFERROR(__xludf.DUMMYFUNCTION("""COMPUTED_VALUE"""),"SIM CARD")</f>
        <v>SIM CARD</v>
      </c>
      <c r="AN61" s="69" t="str">
        <f>IFERROR(__xludf.DUMMYFUNCTION("""COMPUTED_VALUE"""),"SUSPEITO")</f>
        <v>SUSPEITO</v>
      </c>
      <c r="AO61" s="69" t="str">
        <f>IFERROR(__xludf.DUMMYFUNCTION("""COMPUTED_VALUE"""),"MATHEUS HANIEL")</f>
        <v>MATHEUS HANIEL</v>
      </c>
      <c r="AP61" s="73">
        <f>IFERROR(__xludf.DUMMYFUNCTION("""COMPUTED_VALUE"""),45644.47856481481)</f>
        <v>45644.47856</v>
      </c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</row>
    <row r="6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71"/>
      <c r="L62" s="69"/>
      <c r="M62" s="69"/>
      <c r="N62" s="72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 t="str">
        <f>IFERROR(__xludf.DUMMYFUNCTION("""COMPUTED_VALUE"""),"89550531860000432107")</f>
        <v>89550531860000432107</v>
      </c>
      <c r="AC62" s="70"/>
      <c r="AD62" s="69" t="str">
        <f>IFERROR(__xludf.DUMMYFUNCTION("""COMPUTED_VALUE"""),"CHIP")</f>
        <v>CHIP</v>
      </c>
      <c r="AE62" s="69" t="str">
        <f>IFERROR(__xludf.DUMMYFUNCTION("""COMPUTED_VALUE"""),"INICIALIZADO")</f>
        <v>INICIALIZADO</v>
      </c>
      <c r="AF62" s="69" t="str">
        <f>IFERROR(__xludf.DUMMYFUNCTION("""COMPUTED_VALUE"""),"JEANE")</f>
        <v>JEANE</v>
      </c>
      <c r="AG62" s="73">
        <f>IFERROR(__xludf.DUMMYFUNCTION("""COMPUTED_VALUE"""),45644.30537037037)</f>
        <v>45644.30537</v>
      </c>
      <c r="AH62" s="69"/>
      <c r="AI62" s="69"/>
      <c r="AJ62" s="69"/>
      <c r="AK62" s="69" t="str">
        <f>IFERROR(__xludf.DUMMYFUNCTION("""COMPUTED_VALUE"""),"B0935BEB0462")</f>
        <v>B0935BEB0462</v>
      </c>
      <c r="AL62" s="70"/>
      <c r="AM62" s="69" t="str">
        <f>IFERROR(__xludf.DUMMYFUNCTION("""COMPUTED_VALUE"""),"DUAL")</f>
        <v>DUAL</v>
      </c>
      <c r="AN62" s="69" t="str">
        <f>IFERROR(__xludf.DUMMYFUNCTION("""COMPUTED_VALUE"""),"SUSPEITO")</f>
        <v>SUSPEITO</v>
      </c>
      <c r="AO62" s="69" t="str">
        <f>IFERROR(__xludf.DUMMYFUNCTION("""COMPUTED_VALUE"""),"MATHEUS HANIEL")</f>
        <v>MATHEUS HANIEL</v>
      </c>
      <c r="AP62" s="73">
        <f>IFERROR(__xludf.DUMMYFUNCTION("""COMPUTED_VALUE"""),45644.47856481481)</f>
        <v>45644.47856</v>
      </c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</row>
    <row r="63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71"/>
      <c r="L63" s="69"/>
      <c r="M63" s="69"/>
      <c r="N63" s="72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 t="str">
        <f>IFERROR(__xludf.DUMMYFUNCTION("""COMPUTED_VALUE"""),"229897844362")</f>
        <v>229897844362</v>
      </c>
      <c r="AC63" s="70"/>
      <c r="AD63" s="69" t="str">
        <f>IFERROR(__xludf.DUMMYFUNCTION("""COMPUTED_VALUE"""),"BOX")</f>
        <v>BOX</v>
      </c>
      <c r="AE63" s="69" t="str">
        <f>IFERROR(__xludf.DUMMYFUNCTION("""COMPUTED_VALUE"""),"INICIALIZADO")</f>
        <v>INICIALIZADO</v>
      </c>
      <c r="AF63" s="69" t="str">
        <f>IFERROR(__xludf.DUMMYFUNCTION("""COMPUTED_VALUE"""),"JEANE")</f>
        <v>JEANE</v>
      </c>
      <c r="AG63" s="73">
        <f>IFERROR(__xludf.DUMMYFUNCTION("""COMPUTED_VALUE"""),45644.30537037037)</f>
        <v>45644.30537</v>
      </c>
      <c r="AH63" s="69"/>
      <c r="AI63" s="69"/>
      <c r="AJ63" s="69"/>
      <c r="AK63" s="69" t="str">
        <f>IFERROR(__xludf.DUMMYFUNCTION("""COMPUTED_VALUE"""),"2C584F38A7BD")</f>
        <v>2C584F38A7BD</v>
      </c>
      <c r="AL63" s="70"/>
      <c r="AM63" s="69" t="str">
        <f>IFERROR(__xludf.DUMMYFUNCTION("""COMPUTED_VALUE"""),"DUAL")</f>
        <v>DUAL</v>
      </c>
      <c r="AN63" s="69" t="str">
        <f>IFERROR(__xludf.DUMMYFUNCTION("""COMPUTED_VALUE"""),"SUSPEITO")</f>
        <v>SUSPEITO</v>
      </c>
      <c r="AO63" s="69" t="str">
        <f>IFERROR(__xludf.DUMMYFUNCTION("""COMPUTED_VALUE"""),"MATHEUS HANIEL")</f>
        <v>MATHEUS HANIEL</v>
      </c>
      <c r="AP63" s="73">
        <f>IFERROR(__xludf.DUMMYFUNCTION("""COMPUTED_VALUE"""),45644.47856481481)</f>
        <v>45644.47856</v>
      </c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</row>
    <row r="64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71"/>
      <c r="L64" s="69"/>
      <c r="M64" s="69"/>
      <c r="N64" s="72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 t="str">
        <f>IFERROR(__xludf.DUMMYFUNCTION("""COMPUTED_VALUE"""),"229871980514")</f>
        <v>229871980514</v>
      </c>
      <c r="AC64" s="70"/>
      <c r="AD64" s="69" t="str">
        <f>IFERROR(__xludf.DUMMYFUNCTION("""COMPUTED_VALUE"""),"BOX")</f>
        <v>BOX</v>
      </c>
      <c r="AE64" s="69" t="str">
        <f>IFERROR(__xludf.DUMMYFUNCTION("""COMPUTED_VALUE"""),"INICIALIZADO")</f>
        <v>INICIALIZADO</v>
      </c>
      <c r="AF64" s="69" t="str">
        <f>IFERROR(__xludf.DUMMYFUNCTION("""COMPUTED_VALUE"""),"JEANE")</f>
        <v>JEANE</v>
      </c>
      <c r="AG64" s="73">
        <f>IFERROR(__xludf.DUMMYFUNCTION("""COMPUTED_VALUE"""),45644.30537037037)</f>
        <v>45644.30537</v>
      </c>
      <c r="AH64" s="69"/>
      <c r="AI64" s="69"/>
      <c r="AJ64" s="69"/>
      <c r="AK64" s="69" t="str">
        <f>IFERROR(__xludf.DUMMYFUNCTION("""COMPUTED_VALUE"""),"2C9569F14F14")</f>
        <v>2C9569F14F14</v>
      </c>
      <c r="AL64" s="70"/>
      <c r="AM64" s="69" t="str">
        <f>IFERROR(__xludf.DUMMYFUNCTION("""COMPUTED_VALUE"""),"DUAL")</f>
        <v>DUAL</v>
      </c>
      <c r="AN64" s="69" t="str">
        <f>IFERROR(__xludf.DUMMYFUNCTION("""COMPUTED_VALUE"""),"INICIALIZADO")</f>
        <v>INICIALIZADO</v>
      </c>
      <c r="AO64" s="69" t="str">
        <f>IFERROR(__xludf.DUMMYFUNCTION("""COMPUTED_VALUE"""),"PEDRO")</f>
        <v>PEDRO</v>
      </c>
      <c r="AP64" s="73">
        <f>IFERROR(__xludf.DUMMYFUNCTION("""COMPUTED_VALUE"""),45644.47582175926)</f>
        <v>45644.47582</v>
      </c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</row>
    <row r="6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71"/>
      <c r="L65" s="69"/>
      <c r="M65" s="69"/>
      <c r="N65" s="72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 t="str">
        <f>IFERROR(__xludf.DUMMYFUNCTION("""COMPUTED_VALUE"""),"843c992d6359")</f>
        <v>843c992d6359</v>
      </c>
      <c r="AC65" s="70"/>
      <c r="AD65" s="69" t="str">
        <f>IFERROR(__xludf.DUMMYFUNCTION("""COMPUTED_VALUE"""),"GPON 6")</f>
        <v>GPON 6</v>
      </c>
      <c r="AE65" s="69" t="str">
        <f>IFERROR(__xludf.DUMMYFUNCTION("""COMPUTED_VALUE"""),"INICIALIZADO")</f>
        <v>INICIALIZADO</v>
      </c>
      <c r="AF65" s="69" t="str">
        <f>IFERROR(__xludf.DUMMYFUNCTION("""COMPUTED_VALUE"""),"JONATHAN")</f>
        <v>JONATHAN</v>
      </c>
      <c r="AG65" s="73">
        <f>IFERROR(__xludf.DUMMYFUNCTION("""COMPUTED_VALUE"""),45644.44157407407)</f>
        <v>45644.44157</v>
      </c>
      <c r="AH65" s="69"/>
      <c r="AI65" s="69"/>
      <c r="AJ65" s="69"/>
      <c r="AK65" s="69" t="str">
        <f>IFERROR(__xludf.DUMMYFUNCTION("""COMPUTED_VALUE"""),"184228863031")</f>
        <v>184228863031</v>
      </c>
      <c r="AL65" s="70"/>
      <c r="AM65" s="69" t="str">
        <f>IFERROR(__xludf.DUMMYFUNCTION("""COMPUTED_VALUE"""),"LEGADO")</f>
        <v>LEGADO</v>
      </c>
      <c r="AN65" s="69" t="str">
        <f>IFERROR(__xludf.DUMMYFUNCTION("""COMPUTED_VALUE"""),"SUSPEITO")</f>
        <v>SUSPEITO</v>
      </c>
      <c r="AO65" s="69" t="str">
        <f>IFERROR(__xludf.DUMMYFUNCTION("""COMPUTED_VALUE"""),"PEDRO")</f>
        <v>PEDRO</v>
      </c>
      <c r="AP65" s="73">
        <f>IFERROR(__xludf.DUMMYFUNCTION("""COMPUTED_VALUE"""),45644.47582175926)</f>
        <v>45644.47582</v>
      </c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</row>
    <row r="6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71"/>
      <c r="L66" s="69"/>
      <c r="M66" s="69"/>
      <c r="N66" s="72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 t="str">
        <f>IFERROR(__xludf.DUMMYFUNCTION("""COMPUTED_VALUE"""),"1062d0117b51")</f>
        <v>1062d0117b51</v>
      </c>
      <c r="AC66" s="70"/>
      <c r="AD66" s="69"/>
      <c r="AE66" s="69" t="str">
        <f>IFERROR(__xludf.DUMMYFUNCTION("""COMPUTED_VALUE"""),"INICIALIZADO")</f>
        <v>INICIALIZADO</v>
      </c>
      <c r="AF66" s="69" t="str">
        <f>IFERROR(__xludf.DUMMYFUNCTION("""COMPUTED_VALUE"""),"MATHEUS COORD")</f>
        <v>MATHEUS COORD</v>
      </c>
      <c r="AG66" s="73">
        <f>IFERROR(__xludf.DUMMYFUNCTION("""COMPUTED_VALUE"""),45644.442199074074)</f>
        <v>45644.4422</v>
      </c>
      <c r="AH66" s="69"/>
      <c r="AI66" s="69"/>
      <c r="AJ66" s="69"/>
      <c r="AK66" s="69" t="str">
        <f>IFERROR(__xludf.DUMMYFUNCTION("""COMPUTED_VALUE"""),"226055766164")</f>
        <v>226055766164</v>
      </c>
      <c r="AL66" s="70"/>
      <c r="AM66" s="69" t="str">
        <f>IFERROR(__xludf.DUMMYFUNCTION("""COMPUTED_VALUE"""),"CARD")</f>
        <v>CARD</v>
      </c>
      <c r="AN66" s="69" t="str">
        <f>IFERROR(__xludf.DUMMYFUNCTION("""COMPUTED_VALUE"""),"SUSPEITO")</f>
        <v>SUSPEITO</v>
      </c>
      <c r="AO66" s="69" t="str">
        <f>IFERROR(__xludf.DUMMYFUNCTION("""COMPUTED_VALUE"""),"PEDRO")</f>
        <v>PEDRO</v>
      </c>
      <c r="AP66" s="73">
        <f>IFERROR(__xludf.DUMMYFUNCTION("""COMPUTED_VALUE"""),45644.47582175926)</f>
        <v>45644.47582</v>
      </c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</row>
    <row r="67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71"/>
      <c r="L67" s="69"/>
      <c r="M67" s="69"/>
      <c r="N67" s="72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 t="str">
        <f>IFERROR(__xludf.DUMMYFUNCTION("""COMPUTED_VALUE"""),"229842780515")</f>
        <v>229842780515</v>
      </c>
      <c r="AC67" s="70"/>
      <c r="AD67" s="69" t="str">
        <f>IFERROR(__xludf.DUMMYFUNCTION("""COMPUTED_VALUE"""),"BOX")</f>
        <v>BOX</v>
      </c>
      <c r="AE67" s="69" t="str">
        <f>IFERROR(__xludf.DUMMYFUNCTION("""COMPUTED_VALUE"""),"INICIALIZADO")</f>
        <v>INICIALIZADO</v>
      </c>
      <c r="AF67" s="69" t="str">
        <f>IFERROR(__xludf.DUMMYFUNCTION("""COMPUTED_VALUE"""),"MATHEUS HANIEL")</f>
        <v>MATHEUS HANIEL</v>
      </c>
      <c r="AG67" s="73">
        <f>IFERROR(__xludf.DUMMYFUNCTION("""COMPUTED_VALUE"""),45644.34532407408)</f>
        <v>45644.34532</v>
      </c>
      <c r="AH67" s="69"/>
      <c r="AI67" s="69"/>
      <c r="AJ67" s="69"/>
      <c r="AK67" s="69" t="str">
        <f>IFERROR(__xludf.DUMMYFUNCTION("""COMPUTED_VALUE"""),"184159831334")</f>
        <v>184159831334</v>
      </c>
      <c r="AL67" s="70"/>
      <c r="AM67" s="69" t="str">
        <f>IFERROR(__xludf.DUMMYFUNCTION("""COMPUTED_VALUE"""),"LEGADO")</f>
        <v>LEGADO</v>
      </c>
      <c r="AN67" s="69" t="str">
        <f>IFERROR(__xludf.DUMMYFUNCTION("""COMPUTED_VALUE"""),"SUSPEITO")</f>
        <v>SUSPEITO</v>
      </c>
      <c r="AO67" s="69" t="str">
        <f>IFERROR(__xludf.DUMMYFUNCTION("""COMPUTED_VALUE"""),"PEDRO")</f>
        <v>PEDRO</v>
      </c>
      <c r="AP67" s="73">
        <f>IFERROR(__xludf.DUMMYFUNCTION("""COMPUTED_VALUE"""),45644.47582175926)</f>
        <v>45644.47582</v>
      </c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</row>
    <row r="68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71"/>
      <c r="L68" s="69"/>
      <c r="M68" s="69"/>
      <c r="N68" s="72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 t="str">
        <f>IFERROR(__xludf.DUMMYFUNCTION("""COMPUTED_VALUE"""),"229683890620")</f>
        <v>229683890620</v>
      </c>
      <c r="AC68" s="70"/>
      <c r="AD68" s="69" t="str">
        <f>IFERROR(__xludf.DUMMYFUNCTION("""COMPUTED_VALUE"""),"BOX")</f>
        <v>BOX</v>
      </c>
      <c r="AE68" s="69" t="str">
        <f>IFERROR(__xludf.DUMMYFUNCTION("""COMPUTED_VALUE"""),"INICIALIZADO")</f>
        <v>INICIALIZADO</v>
      </c>
      <c r="AF68" s="69" t="str">
        <f>IFERROR(__xludf.DUMMYFUNCTION("""COMPUTED_VALUE"""),"MATHEUS HANIEL")</f>
        <v>MATHEUS HANIEL</v>
      </c>
      <c r="AG68" s="73">
        <f>IFERROR(__xludf.DUMMYFUNCTION("""COMPUTED_VALUE"""),45644.34546296296)</f>
        <v>45644.34546</v>
      </c>
      <c r="AH68" s="69"/>
      <c r="AI68" s="69"/>
      <c r="AJ68" s="69"/>
      <c r="AK68" s="69" t="str">
        <f>IFERROR(__xludf.DUMMYFUNCTION("""COMPUTED_VALUE"""),"226684596973")</f>
        <v>226684596973</v>
      </c>
      <c r="AL68" s="70"/>
      <c r="AM68" s="69" t="str">
        <f>IFERROR(__xludf.DUMMYFUNCTION("""COMPUTED_VALUE"""),"CARD")</f>
        <v>CARD</v>
      </c>
      <c r="AN68" s="69" t="str">
        <f>IFERROR(__xludf.DUMMYFUNCTION("""COMPUTED_VALUE"""),"SUSPEITO")</f>
        <v>SUSPEITO</v>
      </c>
      <c r="AO68" s="69" t="str">
        <f>IFERROR(__xludf.DUMMYFUNCTION("""COMPUTED_VALUE"""),"PEDRO")</f>
        <v>PEDRO</v>
      </c>
      <c r="AP68" s="73">
        <f>IFERROR(__xludf.DUMMYFUNCTION("""COMPUTED_VALUE"""),45644.47582175926)</f>
        <v>45644.47582</v>
      </c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</row>
    <row r="6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71"/>
      <c r="L69" s="69"/>
      <c r="M69" s="69"/>
      <c r="N69" s="72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 t="str">
        <f>IFERROR(__xludf.DUMMYFUNCTION("""COMPUTED_VALUE"""),"c4509cf4d9e4")</f>
        <v>c4509cf4d9e4</v>
      </c>
      <c r="AC69" s="70"/>
      <c r="AD69" s="69" t="str">
        <f>IFERROR(__xludf.DUMMYFUNCTION("""COMPUTED_VALUE"""),"3.1")</f>
        <v>3.1</v>
      </c>
      <c r="AE69" s="69" t="str">
        <f>IFERROR(__xludf.DUMMYFUNCTION("""COMPUTED_VALUE"""),"INICIALIZADO")</f>
        <v>INICIALIZADO</v>
      </c>
      <c r="AF69" s="69" t="str">
        <f>IFERROR(__xludf.DUMMYFUNCTION("""COMPUTED_VALUE"""),"MATHEUS HANIEL")</f>
        <v>MATHEUS HANIEL</v>
      </c>
      <c r="AG69" s="73">
        <f>IFERROR(__xludf.DUMMYFUNCTION("""COMPUTED_VALUE"""),45644.44172453704)</f>
        <v>45644.44172</v>
      </c>
      <c r="AH69" s="69"/>
      <c r="AI69" s="69"/>
      <c r="AJ69" s="69"/>
      <c r="AK69" s="69" t="str">
        <f>IFERROR(__xludf.DUMMYFUNCTION("""COMPUTED_VALUE"""),"181464539702")</f>
        <v>181464539702</v>
      </c>
      <c r="AL69" s="70"/>
      <c r="AM69" s="69" t="str">
        <f>IFERROR(__xludf.DUMMYFUNCTION("""COMPUTED_VALUE"""),"LEGADO")</f>
        <v>LEGADO</v>
      </c>
      <c r="AN69" s="69" t="str">
        <f>IFERROR(__xludf.DUMMYFUNCTION("""COMPUTED_VALUE"""),"SUSPEITO")</f>
        <v>SUSPEITO</v>
      </c>
      <c r="AO69" s="69" t="str">
        <f>IFERROR(__xludf.DUMMYFUNCTION("""COMPUTED_VALUE"""),"PEDRO")</f>
        <v>PEDRO</v>
      </c>
      <c r="AP69" s="73">
        <f>IFERROR(__xludf.DUMMYFUNCTION("""COMPUTED_VALUE"""),45644.47582175926)</f>
        <v>45644.47582</v>
      </c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</row>
    <row r="70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71"/>
      <c r="L70" s="69"/>
      <c r="M70" s="69"/>
      <c r="N70" s="72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 t="str">
        <f>IFERROR(__xludf.DUMMYFUNCTION("""COMPUTED_VALUE"""),"c4509cf35ce4")</f>
        <v>c4509cf35ce4</v>
      </c>
      <c r="AC70" s="70"/>
      <c r="AD70" s="69" t="str">
        <f>IFERROR(__xludf.DUMMYFUNCTION("""COMPUTED_VALUE"""),"3.1")</f>
        <v>3.1</v>
      </c>
      <c r="AE70" s="69" t="str">
        <f>IFERROR(__xludf.DUMMYFUNCTION("""COMPUTED_VALUE"""),"INICIALIZADO")</f>
        <v>INICIALIZADO</v>
      </c>
      <c r="AF70" s="69" t="str">
        <f>IFERROR(__xludf.DUMMYFUNCTION("""COMPUTED_VALUE"""),"MATHEUS HANIEL")</f>
        <v>MATHEUS HANIEL</v>
      </c>
      <c r="AG70" s="73">
        <f>IFERROR(__xludf.DUMMYFUNCTION("""COMPUTED_VALUE"""),45644.44172453704)</f>
        <v>45644.44172</v>
      </c>
      <c r="AH70" s="69"/>
      <c r="AI70" s="69"/>
      <c r="AJ70" s="69"/>
      <c r="AK70" s="69" t="str">
        <f>IFERROR(__xludf.DUMMYFUNCTION("""COMPUTED_VALUE"""),"215963874048")</f>
        <v>215963874048</v>
      </c>
      <c r="AL70" s="70"/>
      <c r="AM70" s="69" t="str">
        <f>IFERROR(__xludf.DUMMYFUNCTION("""COMPUTED_VALUE"""),"CARD")</f>
        <v>CARD</v>
      </c>
      <c r="AN70" s="69" t="str">
        <f>IFERROR(__xludf.DUMMYFUNCTION("""COMPUTED_VALUE"""),"SUSPEITO")</f>
        <v>SUSPEITO</v>
      </c>
      <c r="AO70" s="69" t="str">
        <f>IFERROR(__xludf.DUMMYFUNCTION("""COMPUTED_VALUE"""),"PEDRO")</f>
        <v>PEDRO</v>
      </c>
      <c r="AP70" s="73">
        <f>IFERROR(__xludf.DUMMYFUNCTION("""COMPUTED_VALUE"""),45644.47582175926)</f>
        <v>45644.47582</v>
      </c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71"/>
      <c r="L71" s="69"/>
      <c r="M71" s="69"/>
      <c r="N71" s="72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 t="str">
        <f>IFERROR(__xludf.DUMMYFUNCTION("""COMPUTED_VALUE"""),"229998852626")</f>
        <v>229998852626</v>
      </c>
      <c r="AC71" s="70"/>
      <c r="AD71" s="69" t="str">
        <f>IFERROR(__xludf.DUMMYFUNCTION("""COMPUTED_VALUE"""),"BOOM BOX")</f>
        <v>BOOM BOX</v>
      </c>
      <c r="AE71" s="69" t="str">
        <f>IFERROR(__xludf.DUMMYFUNCTION("""COMPUTED_VALUE"""),"INICIALIZADO")</f>
        <v>INICIALIZADO</v>
      </c>
      <c r="AF71" s="69" t="str">
        <f>IFERROR(__xludf.DUMMYFUNCTION("""COMPUTED_VALUE"""),"MATHEUS HANIEL")</f>
        <v>MATHEUS HANIEL</v>
      </c>
      <c r="AG71" s="73">
        <f>IFERROR(__xludf.DUMMYFUNCTION("""COMPUTED_VALUE"""),45644.44427083334)</f>
        <v>45644.44427</v>
      </c>
      <c r="AH71" s="69"/>
      <c r="AI71" s="69"/>
      <c r="AJ71" s="69"/>
      <c r="AK71" s="69" t="str">
        <f>IFERROR(__xludf.DUMMYFUNCTION("""COMPUTED_VALUE"""),"5447CC77427A")</f>
        <v>5447CC77427A</v>
      </c>
      <c r="AL71" s="70"/>
      <c r="AM71" s="69" t="str">
        <f>IFERROR(__xludf.DUMMYFUNCTION("""COMPUTED_VALUE"""),"3.1")</f>
        <v>3.1</v>
      </c>
      <c r="AN71" s="69" t="str">
        <f>IFERROR(__xludf.DUMMYFUNCTION("""COMPUTED_VALUE"""),"SUSPEITO")</f>
        <v>SUSPEITO</v>
      </c>
      <c r="AO71" s="69" t="str">
        <f>IFERROR(__xludf.DUMMYFUNCTION("""COMPUTED_VALUE"""),"PEDRO")</f>
        <v>PEDRO</v>
      </c>
      <c r="AP71" s="73">
        <f>IFERROR(__xludf.DUMMYFUNCTION("""COMPUTED_VALUE"""),45644.47582175926)</f>
        <v>45644.47582</v>
      </c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</row>
    <row r="7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71"/>
      <c r="L72" s="69"/>
      <c r="M72" s="69"/>
      <c r="N72" s="72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 t="str">
        <f>IFERROR(__xludf.DUMMYFUNCTION("""COMPUTED_VALUE"""),"D86C5A59B8B4")</f>
        <v>D86C5A59B8B4</v>
      </c>
      <c r="AC72" s="70"/>
      <c r="AD72" s="69" t="str">
        <f>IFERROR(__xludf.DUMMYFUNCTION("""COMPUTED_VALUE"""),"3.1")</f>
        <v>3.1</v>
      </c>
      <c r="AE72" s="69" t="str">
        <f>IFERROR(__xludf.DUMMYFUNCTION("""COMPUTED_VALUE"""),"INICIALIZADO")</f>
        <v>INICIALIZADO</v>
      </c>
      <c r="AF72" s="69" t="str">
        <f>IFERROR(__xludf.DUMMYFUNCTION("""COMPUTED_VALUE"""),"PEDRO")</f>
        <v>PEDRO</v>
      </c>
      <c r="AG72" s="73">
        <f>IFERROR(__xludf.DUMMYFUNCTION("""COMPUTED_VALUE"""),45644.31476851852)</f>
        <v>45644.31477</v>
      </c>
      <c r="AH72" s="69"/>
      <c r="AI72" s="69"/>
      <c r="AJ72" s="69"/>
      <c r="AK72" s="69" t="str">
        <f>IFERROR(__xludf.DUMMYFUNCTION("""COMPUTED_VALUE"""),"216647484760")</f>
        <v>216647484760</v>
      </c>
      <c r="AL72" s="70"/>
      <c r="AM72" s="69" t="str">
        <f>IFERROR(__xludf.DUMMYFUNCTION("""COMPUTED_VALUE"""),"TOP MIX")</f>
        <v>TOP MIX</v>
      </c>
      <c r="AN72" s="69" t="str">
        <f>IFERROR(__xludf.DUMMYFUNCTION("""COMPUTED_VALUE"""),"INICIALIZADO")</f>
        <v>INICIALIZADO</v>
      </c>
      <c r="AO72" s="69" t="str">
        <f>IFERROR(__xludf.DUMMYFUNCTION("""COMPUTED_VALUE"""),"YTALO")</f>
        <v>YTALO</v>
      </c>
      <c r="AP72" s="73">
        <f>IFERROR(__xludf.DUMMYFUNCTION("""COMPUTED_VALUE"""),45644.350636574076)</f>
        <v>45644.35064</v>
      </c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</row>
    <row r="73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71"/>
      <c r="L73" s="69"/>
      <c r="M73" s="69"/>
      <c r="N73" s="72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 t="str">
        <f>IFERROR(__xludf.DUMMYFUNCTION("""COMPUTED_VALUE"""),"C85D3880E4F1")</f>
        <v>C85D3880E4F1</v>
      </c>
      <c r="AC73" s="70"/>
      <c r="AD73" s="69" t="str">
        <f>IFERROR(__xludf.DUMMYFUNCTION("""COMPUTED_VALUE"""),"3.1")</f>
        <v>3.1</v>
      </c>
      <c r="AE73" s="69" t="str">
        <f>IFERROR(__xludf.DUMMYFUNCTION("""COMPUTED_VALUE"""),"INICIALIZADO")</f>
        <v>INICIALIZADO</v>
      </c>
      <c r="AF73" s="69" t="str">
        <f>IFERROR(__xludf.DUMMYFUNCTION("""COMPUTED_VALUE"""),"PEDRO")</f>
        <v>PEDRO</v>
      </c>
      <c r="AG73" s="73">
        <f>IFERROR(__xludf.DUMMYFUNCTION("""COMPUTED_VALUE"""),45644.31484953704)</f>
        <v>45644.31485</v>
      </c>
      <c r="AH73" s="69"/>
      <c r="AI73" s="69"/>
      <c r="AJ73" s="69"/>
      <c r="AK73" s="69" t="str">
        <f>IFERROR(__xludf.DUMMYFUNCTION("""COMPUTED_VALUE"""),"226035402438")</f>
        <v>226035402438</v>
      </c>
      <c r="AL73" s="70"/>
      <c r="AM73" s="69" t="str">
        <f>IFERROR(__xludf.DUMMYFUNCTION("""COMPUTED_VALUE"""),"CARD")</f>
        <v>CARD</v>
      </c>
      <c r="AN73" s="69" t="str">
        <f>IFERROR(__xludf.DUMMYFUNCTION("""COMPUTED_VALUE"""),"INICIALIZADO")</f>
        <v>INICIALIZADO</v>
      </c>
      <c r="AO73" s="69" t="str">
        <f>IFERROR(__xludf.DUMMYFUNCTION("""COMPUTED_VALUE"""),"YTALO")</f>
        <v>YTALO</v>
      </c>
      <c r="AP73" s="73">
        <f>IFERROR(__xludf.DUMMYFUNCTION("""COMPUTED_VALUE"""),45644.350636574076)</f>
        <v>45644.35064</v>
      </c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</row>
    <row r="74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71"/>
      <c r="L74" s="69"/>
      <c r="M74" s="69"/>
      <c r="N74" s="72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 t="str">
        <f>IFERROR(__xludf.DUMMYFUNCTION("""COMPUTED_VALUE"""),"241633085266")</f>
        <v>241633085266</v>
      </c>
      <c r="AC74" s="70"/>
      <c r="AD74" s="69" t="str">
        <f>IFERROR(__xludf.DUMMYFUNCTION("""COMPUTED_VALUE"""),"4K RFIP")</f>
        <v>4K RFIP</v>
      </c>
      <c r="AE74" s="69" t="str">
        <f>IFERROR(__xludf.DUMMYFUNCTION("""COMPUTED_VALUE"""),"INICIALIZADO")</f>
        <v>INICIALIZADO</v>
      </c>
      <c r="AF74" s="69" t="str">
        <f>IFERROR(__xludf.DUMMYFUNCTION("""COMPUTED_VALUE"""),"PEDRO")</f>
        <v>PEDRO</v>
      </c>
      <c r="AG74" s="73">
        <f>IFERROR(__xludf.DUMMYFUNCTION("""COMPUTED_VALUE"""),45644.443773148145)</f>
        <v>45644.44377</v>
      </c>
      <c r="AH74" s="69"/>
      <c r="AI74" s="69"/>
      <c r="AJ74" s="69"/>
      <c r="AK74" s="69" t="str">
        <f>IFERROR(__xludf.DUMMYFUNCTION("""COMPUTED_VALUE"""),"216794419908")</f>
        <v>216794419908</v>
      </c>
      <c r="AL74" s="70"/>
      <c r="AM74" s="69" t="str">
        <f>IFERROR(__xludf.DUMMYFUNCTION("""COMPUTED_VALUE"""),"TOP MIX")</f>
        <v>TOP MIX</v>
      </c>
      <c r="AN74" s="69" t="str">
        <f>IFERROR(__xludf.DUMMYFUNCTION("""COMPUTED_VALUE"""),"INICIALIZADO")</f>
        <v>INICIALIZADO</v>
      </c>
      <c r="AO74" s="69" t="str">
        <f>IFERROR(__xludf.DUMMYFUNCTION("""COMPUTED_VALUE"""),"YTALO")</f>
        <v>YTALO</v>
      </c>
      <c r="AP74" s="73">
        <f>IFERROR(__xludf.DUMMYFUNCTION("""COMPUTED_VALUE"""),45644.350636574076)</f>
        <v>45644.35064</v>
      </c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</row>
    <row r="7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71"/>
      <c r="L75" s="69"/>
      <c r="M75" s="69"/>
      <c r="N75" s="72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 t="str">
        <f>IFERROR(__xludf.DUMMYFUNCTION("""COMPUTED_VALUE"""),"241633097792")</f>
        <v>241633097792</v>
      </c>
      <c r="AC75" s="70"/>
      <c r="AD75" s="69" t="str">
        <f>IFERROR(__xludf.DUMMYFUNCTION("""COMPUTED_VALUE"""),"4K RFIP")</f>
        <v>4K RFIP</v>
      </c>
      <c r="AE75" s="69" t="str">
        <f>IFERROR(__xludf.DUMMYFUNCTION("""COMPUTED_VALUE"""),"INICIALIZADO")</f>
        <v>INICIALIZADO</v>
      </c>
      <c r="AF75" s="69" t="str">
        <f>IFERROR(__xludf.DUMMYFUNCTION("""COMPUTED_VALUE"""),"PEDRO")</f>
        <v>PEDRO</v>
      </c>
      <c r="AG75" s="73">
        <f>IFERROR(__xludf.DUMMYFUNCTION("""COMPUTED_VALUE"""),45644.443773148145)</f>
        <v>45644.44377</v>
      </c>
      <c r="AH75" s="69"/>
      <c r="AI75" s="69"/>
      <c r="AJ75" s="69"/>
      <c r="AK75" s="69" t="str">
        <f>IFERROR(__xludf.DUMMYFUNCTION("""COMPUTED_VALUE"""),"246111443249")</f>
        <v>246111443249</v>
      </c>
      <c r="AL75" s="70"/>
      <c r="AM75" s="69" t="str">
        <f>IFERROR(__xludf.DUMMYFUNCTION("""COMPUTED_VALUE"""),"CARD")</f>
        <v>CARD</v>
      </c>
      <c r="AN75" s="69" t="str">
        <f>IFERROR(__xludf.DUMMYFUNCTION("""COMPUTED_VALUE"""),"INICIALIZADO")</f>
        <v>INICIALIZADO</v>
      </c>
      <c r="AO75" s="69" t="str">
        <f>IFERROR(__xludf.DUMMYFUNCTION("""COMPUTED_VALUE"""),"YTALO")</f>
        <v>YTALO</v>
      </c>
      <c r="AP75" s="73">
        <f>IFERROR(__xludf.DUMMYFUNCTION("""COMPUTED_VALUE"""),45644.350636574076)</f>
        <v>45644.35064</v>
      </c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</row>
    <row r="7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71"/>
      <c r="L76" s="69"/>
      <c r="M76" s="69"/>
      <c r="N76" s="72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 t="str">
        <f>IFERROR(__xludf.DUMMYFUNCTION("""COMPUTED_VALUE"""),"241633096479")</f>
        <v>241633096479</v>
      </c>
      <c r="AC76" s="70"/>
      <c r="AD76" s="69" t="str">
        <f>IFERROR(__xludf.DUMMYFUNCTION("""COMPUTED_VALUE"""),"4K RFIP")</f>
        <v>4K RFIP</v>
      </c>
      <c r="AE76" s="69" t="str">
        <f>IFERROR(__xludf.DUMMYFUNCTION("""COMPUTED_VALUE"""),"INICIALIZADO")</f>
        <v>INICIALIZADO</v>
      </c>
      <c r="AF76" s="69" t="str">
        <f>IFERROR(__xludf.DUMMYFUNCTION("""COMPUTED_VALUE"""),"PEDRO")</f>
        <v>PEDRO</v>
      </c>
      <c r="AG76" s="73">
        <f>IFERROR(__xludf.DUMMYFUNCTION("""COMPUTED_VALUE"""),45644.443773148145)</f>
        <v>45644.44377</v>
      </c>
      <c r="AH76" s="69"/>
      <c r="AI76" s="69"/>
      <c r="AJ76" s="69"/>
      <c r="AK76" s="69" t="str">
        <f>IFERROR(__xludf.DUMMYFUNCTION("""COMPUTED_VALUE"""),"184029850422")</f>
        <v>184029850422</v>
      </c>
      <c r="AL76" s="70"/>
      <c r="AM76" s="69" t="str">
        <f>IFERROR(__xludf.DUMMYFUNCTION("""COMPUTED_VALUE"""),"LEGADO")</f>
        <v>LEGADO</v>
      </c>
      <c r="AN76" s="69" t="str">
        <f>IFERROR(__xludf.DUMMYFUNCTION("""COMPUTED_VALUE"""),"SUSPEITO")</f>
        <v>SUSPEITO</v>
      </c>
      <c r="AO76" s="69" t="str">
        <f>IFERROR(__xludf.DUMMYFUNCTION("""COMPUTED_VALUE"""),"YTALO")</f>
        <v>YTALO</v>
      </c>
      <c r="AP76" s="73">
        <f>IFERROR(__xludf.DUMMYFUNCTION("""COMPUTED_VALUE"""),45644.350636574076)</f>
        <v>45644.35064</v>
      </c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</row>
    <row r="77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71"/>
      <c r="L77" s="69"/>
      <c r="M77" s="69"/>
      <c r="N77" s="72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 t="str">
        <f>IFERROR(__xludf.DUMMYFUNCTION("""COMPUTED_VALUE"""),"241627035562")</f>
        <v>241627035562</v>
      </c>
      <c r="AC77" s="70"/>
      <c r="AD77" s="69" t="str">
        <f>IFERROR(__xludf.DUMMYFUNCTION("""COMPUTED_VALUE"""),"4K RFIP")</f>
        <v>4K RFIP</v>
      </c>
      <c r="AE77" s="69" t="str">
        <f>IFERROR(__xludf.DUMMYFUNCTION("""COMPUTED_VALUE"""),"INICIALIZADO")</f>
        <v>INICIALIZADO</v>
      </c>
      <c r="AF77" s="69" t="str">
        <f>IFERROR(__xludf.DUMMYFUNCTION("""COMPUTED_VALUE"""),"PEDRO")</f>
        <v>PEDRO</v>
      </c>
      <c r="AG77" s="73">
        <f>IFERROR(__xludf.DUMMYFUNCTION("""COMPUTED_VALUE"""),45644.443773148145)</f>
        <v>45644.44377</v>
      </c>
      <c r="AH77" s="69"/>
      <c r="AI77" s="69"/>
      <c r="AJ77" s="69"/>
      <c r="AK77" s="69" t="str">
        <f>IFERROR(__xludf.DUMMYFUNCTION("""COMPUTED_VALUE"""),"215990499901")</f>
        <v>215990499901</v>
      </c>
      <c r="AL77" s="70"/>
      <c r="AM77" s="69" t="str">
        <f>IFERROR(__xludf.DUMMYFUNCTION("""COMPUTED_VALUE"""),"CARD")</f>
        <v>CARD</v>
      </c>
      <c r="AN77" s="69" t="str">
        <f>IFERROR(__xludf.DUMMYFUNCTION("""COMPUTED_VALUE"""),"SUSPEITO")</f>
        <v>SUSPEITO</v>
      </c>
      <c r="AO77" s="69" t="str">
        <f>IFERROR(__xludf.DUMMYFUNCTION("""COMPUTED_VALUE"""),"YTALO")</f>
        <v>YTALO</v>
      </c>
      <c r="AP77" s="73">
        <f>IFERROR(__xludf.DUMMYFUNCTION("""COMPUTED_VALUE"""),45644.350636574076)</f>
        <v>45644.35064</v>
      </c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</row>
    <row r="78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71"/>
      <c r="L78" s="69"/>
      <c r="M78" s="69"/>
      <c r="N78" s="72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 t="str">
        <f>IFERROR(__xludf.DUMMYFUNCTION("""COMPUTED_VALUE"""),"C85D38A08C8C")</f>
        <v>C85D38A08C8C</v>
      </c>
      <c r="AC78" s="70"/>
      <c r="AD78" s="69" t="str">
        <f>IFERROR(__xludf.DUMMYFUNCTION("""COMPUTED_VALUE"""),"3.1")</f>
        <v>3.1</v>
      </c>
      <c r="AE78" s="69" t="str">
        <f>IFERROR(__xludf.DUMMYFUNCTION("""COMPUTED_VALUE"""),"INICIALIZADO")</f>
        <v>INICIALIZADO</v>
      </c>
      <c r="AF78" s="69" t="str">
        <f>IFERROR(__xludf.DUMMYFUNCTION("""COMPUTED_VALUE"""),"YTALO")</f>
        <v>YTALO</v>
      </c>
      <c r="AG78" s="73">
        <f>IFERROR(__xludf.DUMMYFUNCTION("""COMPUTED_VALUE"""),45644.350636574076)</f>
        <v>45644.35064</v>
      </c>
      <c r="AH78" s="69"/>
      <c r="AI78" s="69"/>
      <c r="AJ78" s="69"/>
      <c r="AK78" s="69" t="str">
        <f>IFERROR(__xludf.DUMMYFUNCTION("""COMPUTED_VALUE"""),"E820E20025B7")</f>
        <v>E820E20025B7</v>
      </c>
      <c r="AL78" s="70"/>
      <c r="AM78" s="69" t="str">
        <f>IFERROR(__xludf.DUMMYFUNCTION("""COMPUTED_VALUE"""),"DUAL")</f>
        <v>DUAL</v>
      </c>
      <c r="AN78" s="69" t="str">
        <f>IFERROR(__xludf.DUMMYFUNCTION("""COMPUTED_VALUE"""),"SUSPEITO")</f>
        <v>SUSPEITO</v>
      </c>
      <c r="AO78" s="69" t="str">
        <f>IFERROR(__xludf.DUMMYFUNCTION("""COMPUTED_VALUE"""),"YTALO")</f>
        <v>YTALO</v>
      </c>
      <c r="AP78" s="73">
        <f>IFERROR(__xludf.DUMMYFUNCTION("""COMPUTED_VALUE"""),45644.350636574076)</f>
        <v>45644.35064</v>
      </c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</row>
    <row r="7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71"/>
      <c r="L79" s="69"/>
      <c r="M79" s="69"/>
      <c r="N79" s="72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 t="str">
        <f>IFERROR(__xludf.DUMMYFUNCTION("""COMPUTED_VALUE"""),"216470169711")</f>
        <v>216470169711</v>
      </c>
      <c r="AC79" s="70"/>
      <c r="AD79" s="69" t="str">
        <f>IFERROR(__xludf.DUMMYFUNCTION("""COMPUTED_VALUE"""),"TOP MIX")</f>
        <v>TOP MIX</v>
      </c>
      <c r="AE79" s="69" t="str">
        <f>IFERROR(__xludf.DUMMYFUNCTION("""COMPUTED_VALUE"""),"INICIALIZADO")</f>
        <v>INICIALIZADO</v>
      </c>
      <c r="AF79" s="69" t="str">
        <f>IFERROR(__xludf.DUMMYFUNCTION("""COMPUTED_VALUE"""),"YTALO")</f>
        <v>YTALO</v>
      </c>
      <c r="AG79" s="73">
        <f>IFERROR(__xludf.DUMMYFUNCTION("""COMPUTED_VALUE"""),45644.350636574076)</f>
        <v>45644.35064</v>
      </c>
      <c r="AH79" s="69"/>
      <c r="AI79" s="69"/>
      <c r="AJ79" s="69"/>
      <c r="AK79" s="69" t="str">
        <f>IFERROR(__xludf.DUMMYFUNCTION("""COMPUTED_VALUE"""),"177166921436")</f>
        <v>177166921436</v>
      </c>
      <c r="AL79" s="70"/>
      <c r="AM79" s="69" t="str">
        <f>IFERROR(__xludf.DUMMYFUNCTION("""COMPUTED_VALUE"""),"LEGADO")</f>
        <v>LEGADO</v>
      </c>
      <c r="AN79" s="69" t="str">
        <f>IFERROR(__xludf.DUMMYFUNCTION("""COMPUTED_VALUE"""),"SUSPEITO")</f>
        <v>SUSPEITO</v>
      </c>
      <c r="AO79" s="69" t="str">
        <f>IFERROR(__xludf.DUMMYFUNCTION("""COMPUTED_VALUE"""),"YTALO")</f>
        <v>YTALO</v>
      </c>
      <c r="AP79" s="73">
        <f>IFERROR(__xludf.DUMMYFUNCTION("""COMPUTED_VALUE"""),45644.350636574076)</f>
        <v>45644.35064</v>
      </c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</row>
    <row r="80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71"/>
      <c r="L80" s="69"/>
      <c r="M80" s="69"/>
      <c r="N80" s="72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 t="str">
        <f>IFERROR(__xludf.DUMMYFUNCTION("""COMPUTED_VALUE"""),"246229897491")</f>
        <v>246229897491</v>
      </c>
      <c r="AC80" s="70"/>
      <c r="AD80" s="69" t="str">
        <f>IFERROR(__xludf.DUMMYFUNCTION("""COMPUTED_VALUE"""),"CARD")</f>
        <v>CARD</v>
      </c>
      <c r="AE80" s="69" t="str">
        <f>IFERROR(__xludf.DUMMYFUNCTION("""COMPUTED_VALUE"""),"INICIALIZADO")</f>
        <v>INICIALIZADO</v>
      </c>
      <c r="AF80" s="69" t="str">
        <f>IFERROR(__xludf.DUMMYFUNCTION("""COMPUTED_VALUE"""),"YTALO")</f>
        <v>YTALO</v>
      </c>
      <c r="AG80" s="73">
        <f>IFERROR(__xludf.DUMMYFUNCTION("""COMPUTED_VALUE"""),45644.350636574076)</f>
        <v>45644.35064</v>
      </c>
      <c r="AH80" s="69"/>
      <c r="AI80" s="69"/>
      <c r="AJ80" s="69"/>
      <c r="AK80" s="69" t="str">
        <f>IFERROR(__xludf.DUMMYFUNCTION("""COMPUTED_VALUE"""),"215786488486")</f>
        <v>215786488486</v>
      </c>
      <c r="AL80" s="70"/>
      <c r="AM80" s="69" t="str">
        <f>IFERROR(__xludf.DUMMYFUNCTION("""COMPUTED_VALUE"""),"CARD")</f>
        <v>CARD</v>
      </c>
      <c r="AN80" s="69" t="str">
        <f>IFERROR(__xludf.DUMMYFUNCTION("""COMPUTED_VALUE"""),"SUSPEITO")</f>
        <v>SUSPEITO</v>
      </c>
      <c r="AO80" s="69" t="str">
        <f>IFERROR(__xludf.DUMMYFUNCTION("""COMPUTED_VALUE"""),"YTALO")</f>
        <v>YTALO</v>
      </c>
      <c r="AP80" s="73">
        <f>IFERROR(__xludf.DUMMYFUNCTION("""COMPUTED_VALUE"""),45644.350636574076)</f>
        <v>45644.35064</v>
      </c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</row>
    <row r="8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71"/>
      <c r="L81" s="69"/>
      <c r="M81" s="69"/>
      <c r="N81" s="72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 t="str">
        <f>IFERROR(__xludf.DUMMYFUNCTION("""COMPUTED_VALUE"""),"C4509CF4D1D4")</f>
        <v>C4509CF4D1D4</v>
      </c>
      <c r="AC81" s="70"/>
      <c r="AD81" s="69" t="str">
        <f>IFERROR(__xludf.DUMMYFUNCTION("""COMPUTED_VALUE"""),"3.1")</f>
        <v>3.1</v>
      </c>
      <c r="AE81" s="69" t="str">
        <f>IFERROR(__xludf.DUMMYFUNCTION("""COMPUTED_VALUE"""),"INICIALIZADO")</f>
        <v>INICIALIZADO</v>
      </c>
      <c r="AF81" s="69" t="str">
        <f>IFERROR(__xludf.DUMMYFUNCTION("""COMPUTED_VALUE"""),"YTALO")</f>
        <v>YTALO</v>
      </c>
      <c r="AG81" s="73">
        <f>IFERROR(__xludf.DUMMYFUNCTION("""COMPUTED_VALUE"""),45644.350636574076)</f>
        <v>45644.35064</v>
      </c>
      <c r="AH81" s="69"/>
      <c r="AI81" s="69"/>
      <c r="AJ81" s="69"/>
      <c r="AK81" s="69" t="str">
        <f>IFERROR(__xludf.DUMMYFUNCTION("""COMPUTED_VALUE"""),"A8F5DDED39E0")</f>
        <v>A8F5DDED39E0</v>
      </c>
      <c r="AL81" s="70"/>
      <c r="AM81" s="69" t="str">
        <f>IFERROR(__xludf.DUMMYFUNCTION("""COMPUTED_VALUE"""),"DUAL")</f>
        <v>DUAL</v>
      </c>
      <c r="AN81" s="69" t="str">
        <f>IFERROR(__xludf.DUMMYFUNCTION("""COMPUTED_VALUE"""),"SUSPEITO")</f>
        <v>SUSPEITO</v>
      </c>
      <c r="AO81" s="69" t="str">
        <f>IFERROR(__xludf.DUMMYFUNCTION("""COMPUTED_VALUE"""),"YTALO")</f>
        <v>YTALO</v>
      </c>
      <c r="AP81" s="73">
        <f>IFERROR(__xludf.DUMMYFUNCTION("""COMPUTED_VALUE"""),45644.350636574076)</f>
        <v>45644.35064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</row>
    <row r="82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71"/>
      <c r="L82" s="69"/>
      <c r="M82" s="69"/>
      <c r="N82" s="72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 t="str">
        <f>IFERROR(__xludf.DUMMYFUNCTION("""COMPUTED_VALUE"""),"5C7D7D6DA554")</f>
        <v>5C7D7D6DA554</v>
      </c>
      <c r="AC82" s="70"/>
      <c r="AD82" s="69" t="str">
        <f>IFERROR(__xludf.DUMMYFUNCTION("""COMPUTED_VALUE"""),"3.1")</f>
        <v>3.1</v>
      </c>
      <c r="AE82" s="69" t="str">
        <f>IFERROR(__xludf.DUMMYFUNCTION("""COMPUTED_VALUE"""),"INICIALIZADO")</f>
        <v>INICIALIZADO</v>
      </c>
      <c r="AF82" s="69" t="str">
        <f>IFERROR(__xludf.DUMMYFUNCTION("""COMPUTED_VALUE"""),"YTALO")</f>
        <v>YTALO</v>
      </c>
      <c r="AG82" s="73">
        <f>IFERROR(__xludf.DUMMYFUNCTION("""COMPUTED_VALUE"""),45644.350636574076)</f>
        <v>45644.35064</v>
      </c>
      <c r="AH82" s="69"/>
      <c r="AI82" s="69"/>
      <c r="AJ82" s="69"/>
      <c r="AK82" s="69" t="str">
        <f>IFERROR(__xludf.DUMMYFUNCTION("""COMPUTED_VALUE"""),"184322160117")</f>
        <v>184322160117</v>
      </c>
      <c r="AL82" s="70"/>
      <c r="AM82" s="69" t="str">
        <f>IFERROR(__xludf.DUMMYFUNCTION("""COMPUTED_VALUE"""),"LEGADO")</f>
        <v>LEGADO</v>
      </c>
      <c r="AN82" s="69" t="str">
        <f>IFERROR(__xludf.DUMMYFUNCTION("""COMPUTED_VALUE"""),"SUSPEITO")</f>
        <v>SUSPEITO</v>
      </c>
      <c r="AO82" s="69" t="str">
        <f>IFERROR(__xludf.DUMMYFUNCTION("""COMPUTED_VALUE"""),"YTALO")</f>
        <v>YTALO</v>
      </c>
      <c r="AP82" s="73">
        <f>IFERROR(__xludf.DUMMYFUNCTION("""COMPUTED_VALUE"""),45644.350636574076)</f>
        <v>45644.35064</v>
      </c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</row>
    <row r="8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71"/>
      <c r="L83" s="69"/>
      <c r="M83" s="69"/>
      <c r="N83" s="72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 t="str">
        <f>IFERROR(__xludf.DUMMYFUNCTION("""COMPUTED_VALUE"""),"D86C5A0149AA")</f>
        <v>D86C5A0149AA</v>
      </c>
      <c r="AC83" s="70"/>
      <c r="AD83" s="69" t="str">
        <f>IFERROR(__xludf.DUMMYFUNCTION("""COMPUTED_VALUE"""),"3.1")</f>
        <v>3.1</v>
      </c>
      <c r="AE83" s="69" t="str">
        <f>IFERROR(__xludf.DUMMYFUNCTION("""COMPUTED_VALUE"""),"INICIALIZADO")</f>
        <v>INICIALIZADO</v>
      </c>
      <c r="AF83" s="69" t="str">
        <f>IFERROR(__xludf.DUMMYFUNCTION("""COMPUTED_VALUE"""),"YTALO")</f>
        <v>YTALO</v>
      </c>
      <c r="AG83" s="73">
        <f>IFERROR(__xludf.DUMMYFUNCTION("""COMPUTED_VALUE"""),45644.350636574076)</f>
        <v>45644.35064</v>
      </c>
      <c r="AH83" s="69"/>
      <c r="AI83" s="69"/>
      <c r="AJ83" s="69"/>
      <c r="AK83" s="69" t="str">
        <f>IFERROR(__xludf.DUMMYFUNCTION("""COMPUTED_VALUE"""),"226707695165")</f>
        <v>226707695165</v>
      </c>
      <c r="AL83" s="70"/>
      <c r="AM83" s="69" t="str">
        <f>IFERROR(__xludf.DUMMYFUNCTION("""COMPUTED_VALUE"""),"CARD")</f>
        <v>CARD</v>
      </c>
      <c r="AN83" s="69" t="str">
        <f>IFERROR(__xludf.DUMMYFUNCTION("""COMPUTED_VALUE"""),"SUSPEITO")</f>
        <v>SUSPEITO</v>
      </c>
      <c r="AO83" s="69" t="str">
        <f>IFERROR(__xludf.DUMMYFUNCTION("""COMPUTED_VALUE"""),"YTALO")</f>
        <v>YTALO</v>
      </c>
      <c r="AP83" s="73">
        <f>IFERROR(__xludf.DUMMYFUNCTION("""COMPUTED_VALUE"""),45644.350636574076)</f>
        <v>45644.35064</v>
      </c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</row>
    <row r="84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71"/>
      <c r="L84" s="69"/>
      <c r="M84" s="69"/>
      <c r="N84" s="72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 t="str">
        <f>IFERROR(__xludf.DUMMYFUNCTION("""COMPUTED_VALUE"""),"229686232038")</f>
        <v>229686232038</v>
      </c>
      <c r="AC84" s="70"/>
      <c r="AD84" s="69" t="str">
        <f>IFERROR(__xludf.DUMMYFUNCTION("""COMPUTED_VALUE"""),"TOP MIX")</f>
        <v>TOP MIX</v>
      </c>
      <c r="AE84" s="69" t="str">
        <f>IFERROR(__xludf.DUMMYFUNCTION("""COMPUTED_VALUE"""),"INICIALIZADO")</f>
        <v>INICIALIZADO</v>
      </c>
      <c r="AF84" s="69" t="str">
        <f>IFERROR(__xludf.DUMMYFUNCTION("""COMPUTED_VALUE"""),"YTALO")</f>
        <v>YTALO</v>
      </c>
      <c r="AG84" s="73">
        <f>IFERROR(__xludf.DUMMYFUNCTION("""COMPUTED_VALUE"""),45644.350636574076)</f>
        <v>45644.35064</v>
      </c>
      <c r="AH84" s="69"/>
      <c r="AI84" s="69"/>
      <c r="AJ84" s="69"/>
      <c r="AK84" s="69" t="str">
        <f>IFERROR(__xludf.DUMMYFUNCTION("""COMPUTED_VALUE"""),"F820D2058607")</f>
        <v>F820D2058607</v>
      </c>
      <c r="AL84" s="70"/>
      <c r="AM84" s="69" t="str">
        <f>IFERROR(__xludf.DUMMYFUNCTION("""COMPUTED_VALUE"""),"3.1")</f>
        <v>3.1</v>
      </c>
      <c r="AN84" s="69" t="str">
        <f>IFERROR(__xludf.DUMMYFUNCTION("""COMPUTED_VALUE"""),"SUSPEITO")</f>
        <v>SUSPEITO</v>
      </c>
      <c r="AO84" s="69" t="str">
        <f>IFERROR(__xludf.DUMMYFUNCTION("""COMPUTED_VALUE"""),"YTALO")</f>
        <v>YTALO</v>
      </c>
      <c r="AP84" s="73">
        <f>IFERROR(__xludf.DUMMYFUNCTION("""COMPUTED_VALUE"""),45644.350636574076)</f>
        <v>45644.35064</v>
      </c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</row>
    <row r="8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71"/>
      <c r="L85" s="69"/>
      <c r="M85" s="69"/>
      <c r="N85" s="72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 t="str">
        <f>IFERROR(__xludf.DUMMYFUNCTION("""COMPUTED_VALUE"""),"246499980809")</f>
        <v>246499980809</v>
      </c>
      <c r="AC85" s="70"/>
      <c r="AD85" s="69" t="str">
        <f>IFERROR(__xludf.DUMMYFUNCTION("""COMPUTED_VALUE"""),"SIM CARD")</f>
        <v>SIM CARD</v>
      </c>
      <c r="AE85" s="69" t="str">
        <f>IFERROR(__xludf.DUMMYFUNCTION("""COMPUTED_VALUE"""),"INICIALIZADO")</f>
        <v>INICIALIZADO</v>
      </c>
      <c r="AF85" s="69" t="str">
        <f>IFERROR(__xludf.DUMMYFUNCTION("""COMPUTED_VALUE"""),"YTALO")</f>
        <v>YTALO</v>
      </c>
      <c r="AG85" s="73">
        <f>IFERROR(__xludf.DUMMYFUNCTION("""COMPUTED_VALUE"""),45644.350636574076)</f>
        <v>45644.35064</v>
      </c>
      <c r="AH85" s="69"/>
      <c r="AI85" s="69"/>
      <c r="AJ85" s="69"/>
      <c r="AK85" s="69" t="str">
        <f>IFERROR(__xludf.DUMMYFUNCTION("""COMPUTED_VALUE"""),"D833B730D0D9")</f>
        <v>D833B730D0D9</v>
      </c>
      <c r="AL85" s="70"/>
      <c r="AM85" s="69" t="str">
        <f>IFERROR(__xludf.DUMMYFUNCTION("""COMPUTED_VALUE"""),"3.1")</f>
        <v>3.1</v>
      </c>
      <c r="AN85" s="69" t="str">
        <f>IFERROR(__xludf.DUMMYFUNCTION("""COMPUTED_VALUE"""),"SUSPEITO")</f>
        <v>SUSPEITO</v>
      </c>
      <c r="AO85" s="69" t="str">
        <f>IFERROR(__xludf.DUMMYFUNCTION("""COMPUTED_VALUE"""),"YTALO")</f>
        <v>YTALO</v>
      </c>
      <c r="AP85" s="73">
        <f>IFERROR(__xludf.DUMMYFUNCTION("""COMPUTED_VALUE"""),45644.350636574076)</f>
        <v>45644.35064</v>
      </c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</row>
    <row r="86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71"/>
      <c r="L86" s="69"/>
      <c r="M86" s="69"/>
      <c r="N86" s="72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 t="str">
        <f>IFERROR(__xludf.DUMMYFUNCTION("""COMPUTED_VALUE"""),"9C635B8707F6")</f>
        <v>9C635B8707F6</v>
      </c>
      <c r="AC86" s="70"/>
      <c r="AD86" s="69" t="str">
        <f>IFERROR(__xludf.DUMMYFUNCTION("""COMPUTED_VALUE"""),"ONT")</f>
        <v>ONT</v>
      </c>
      <c r="AE86" s="69" t="str">
        <f>IFERROR(__xludf.DUMMYFUNCTION("""COMPUTED_VALUE"""),"INICIALIZADO")</f>
        <v>INICIALIZADO</v>
      </c>
      <c r="AF86" s="69" t="str">
        <f>IFERROR(__xludf.DUMMYFUNCTION("""COMPUTED_VALUE"""),"YTALO")</f>
        <v>YTALO</v>
      </c>
      <c r="AG86" s="73">
        <f>IFERROR(__xludf.DUMMYFUNCTION("""COMPUTED_VALUE"""),45644.350636574076)</f>
        <v>45644.35064</v>
      </c>
      <c r="AH86" s="69"/>
      <c r="AI86" s="69"/>
      <c r="AJ86" s="69"/>
      <c r="AK86" s="69" t="str">
        <f>IFERROR(__xludf.DUMMYFUNCTION("""COMPUTED_VALUE"""),"216525861028")</f>
        <v>216525861028</v>
      </c>
      <c r="AL86" s="70"/>
      <c r="AM86" s="69" t="str">
        <f>IFERROR(__xludf.DUMMYFUNCTION("""COMPUTED_VALUE"""),"TOP MIX")</f>
        <v>TOP MIX</v>
      </c>
      <c r="AN86" s="69" t="str">
        <f>IFERROR(__xludf.DUMMYFUNCTION("""COMPUTED_VALUE"""),"INICIALIZADO")</f>
        <v>INICIALIZADO</v>
      </c>
      <c r="AO86" s="69" t="str">
        <f>IFERROR(__xludf.DUMMYFUNCTION("""COMPUTED_VALUE"""),"YTALO")</f>
        <v>YTALO</v>
      </c>
      <c r="AP86" s="73">
        <f>IFERROR(__xludf.DUMMYFUNCTION("""COMPUTED_VALUE"""),45644.350636574076)</f>
        <v>45644.35064</v>
      </c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</row>
    <row r="87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71"/>
      <c r="L87" s="69"/>
      <c r="M87" s="69"/>
      <c r="N87" s="72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 t="str">
        <f>IFERROR(__xludf.DUMMYFUNCTION("""COMPUTED_VALUE"""),"D86C5A3B0769")</f>
        <v>D86C5A3B0769</v>
      </c>
      <c r="AC87" s="70"/>
      <c r="AD87" s="69" t="str">
        <f>IFERROR(__xludf.DUMMYFUNCTION("""COMPUTED_VALUE"""),"3.1")</f>
        <v>3.1</v>
      </c>
      <c r="AE87" s="69" t="str">
        <f>IFERROR(__xludf.DUMMYFUNCTION("""COMPUTED_VALUE"""),"INICIALIZADO")</f>
        <v>INICIALIZADO</v>
      </c>
      <c r="AF87" s="69" t="str">
        <f>IFERROR(__xludf.DUMMYFUNCTION("""COMPUTED_VALUE"""),"YTALO")</f>
        <v>YTALO</v>
      </c>
      <c r="AG87" s="73">
        <f>IFERROR(__xludf.DUMMYFUNCTION("""COMPUTED_VALUE"""),45644.350636574076)</f>
        <v>45644.35064</v>
      </c>
      <c r="AH87" s="69"/>
      <c r="AI87" s="69"/>
      <c r="AJ87" s="69"/>
      <c r="AK87" s="69" t="str">
        <f>IFERROR(__xludf.DUMMYFUNCTION("""COMPUTED_VALUE"""),"226277616278")</f>
        <v>226277616278</v>
      </c>
      <c r="AL87" s="70"/>
      <c r="AM87" s="69" t="str">
        <f>IFERROR(__xludf.DUMMYFUNCTION("""COMPUTED_VALUE"""),"CARD")</f>
        <v>CARD</v>
      </c>
      <c r="AN87" s="69" t="str">
        <f>IFERROR(__xludf.DUMMYFUNCTION("""COMPUTED_VALUE"""),"INICIALIZADO")</f>
        <v>INICIALIZADO</v>
      </c>
      <c r="AO87" s="69" t="str">
        <f>IFERROR(__xludf.DUMMYFUNCTION("""COMPUTED_VALUE"""),"YTALO")</f>
        <v>YTALO</v>
      </c>
      <c r="AP87" s="73">
        <f>IFERROR(__xludf.DUMMYFUNCTION("""COMPUTED_VALUE"""),45644.350636574076)</f>
        <v>45644.35064</v>
      </c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</row>
    <row r="88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71"/>
      <c r="L88" s="69"/>
      <c r="M88" s="69"/>
      <c r="N88" s="72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 t="str">
        <f>IFERROR(__xludf.DUMMYFUNCTION("""COMPUTED_VALUE"""),"F6")</f>
        <v>F6</v>
      </c>
      <c r="AC88" s="70">
        <f>IFERROR(__xludf.DUMMYFUNCTION("""COMPUTED_VALUE"""),15.0)</f>
        <v>15</v>
      </c>
      <c r="AD88" s="69" t="str">
        <f>IFERROR(__xludf.DUMMYFUNCTION("""COMPUTED_VALUE"""),"F6")</f>
        <v>F6</v>
      </c>
      <c r="AE88" s="69" t="str">
        <f>IFERROR(__xludf.DUMMYFUNCTION("""COMPUTED_VALUE"""),"MISCELANEA")</f>
        <v>MISCELANEA</v>
      </c>
      <c r="AF88" s="69" t="str">
        <f>IFERROR(__xludf.DUMMYFUNCTION("""COMPUTED_VALUE"""),"YTALO")</f>
        <v>YTALO</v>
      </c>
      <c r="AG88" s="73">
        <f>IFERROR(__xludf.DUMMYFUNCTION("""COMPUTED_VALUE"""),45644.350636574076)</f>
        <v>45644.35064</v>
      </c>
      <c r="AH88" s="69"/>
      <c r="AI88" s="69"/>
      <c r="AJ88" s="69"/>
      <c r="AK88" s="69" t="str">
        <f>IFERROR(__xludf.DUMMYFUNCTION("""COMPUTED_VALUE"""),"216847093343")</f>
        <v>216847093343</v>
      </c>
      <c r="AL88" s="70"/>
      <c r="AM88" s="69" t="str">
        <f>IFERROR(__xludf.DUMMYFUNCTION("""COMPUTED_VALUE"""),"TOP MIX")</f>
        <v>TOP MIX</v>
      </c>
      <c r="AN88" s="69" t="str">
        <f>IFERROR(__xludf.DUMMYFUNCTION("""COMPUTED_VALUE"""),"INICIALIZADO")</f>
        <v>INICIALIZADO</v>
      </c>
      <c r="AO88" s="69" t="str">
        <f>IFERROR(__xludf.DUMMYFUNCTION("""COMPUTED_VALUE"""),"YTALO")</f>
        <v>YTALO</v>
      </c>
      <c r="AP88" s="73">
        <f>IFERROR(__xludf.DUMMYFUNCTION("""COMPUTED_VALUE"""),45644.350636574076)</f>
        <v>45644.35064</v>
      </c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</row>
    <row r="89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71"/>
      <c r="L89" s="69"/>
      <c r="M89" s="69"/>
      <c r="N89" s="72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 t="str">
        <f>IFERROR(__xludf.DUMMYFUNCTION("""COMPUTED_VALUE"""),"TAP 6")</f>
        <v>TAP 6</v>
      </c>
      <c r="AC89" s="70">
        <f>IFERROR(__xludf.DUMMYFUNCTION("""COMPUTED_VALUE"""),2.0)</f>
        <v>2</v>
      </c>
      <c r="AD89" s="69" t="str">
        <f>IFERROR(__xludf.DUMMYFUNCTION("""COMPUTED_VALUE"""),"TAP 6")</f>
        <v>TAP 6</v>
      </c>
      <c r="AE89" s="69" t="str">
        <f>IFERROR(__xludf.DUMMYFUNCTION("""COMPUTED_VALUE"""),"MISCELANEA")</f>
        <v>MISCELANEA</v>
      </c>
      <c r="AF89" s="69" t="str">
        <f>IFERROR(__xludf.DUMMYFUNCTION("""COMPUTED_VALUE"""),"YTALO")</f>
        <v>YTALO</v>
      </c>
      <c r="AG89" s="73">
        <f>IFERROR(__xludf.DUMMYFUNCTION("""COMPUTED_VALUE"""),45644.350636574076)</f>
        <v>45644.35064</v>
      </c>
      <c r="AH89" s="69"/>
      <c r="AI89" s="69"/>
      <c r="AJ89" s="69"/>
      <c r="AK89" s="69" t="str">
        <f>IFERROR(__xludf.DUMMYFUNCTION("""COMPUTED_VALUE"""),"246285499708")</f>
        <v>246285499708</v>
      </c>
      <c r="AL89" s="70"/>
      <c r="AM89" s="69" t="str">
        <f>IFERROR(__xludf.DUMMYFUNCTION("""COMPUTED_VALUE"""),"CARD")</f>
        <v>CARD</v>
      </c>
      <c r="AN89" s="69" t="str">
        <f>IFERROR(__xludf.DUMMYFUNCTION("""COMPUTED_VALUE"""),"INICIALIZADO")</f>
        <v>INICIALIZADO</v>
      </c>
      <c r="AO89" s="69" t="str">
        <f>IFERROR(__xludf.DUMMYFUNCTION("""COMPUTED_VALUE"""),"YTALO")</f>
        <v>YTALO</v>
      </c>
      <c r="AP89" s="73">
        <f>IFERROR(__xludf.DUMMYFUNCTION("""COMPUTED_VALUE"""),45644.350636574076)</f>
        <v>45644.35064</v>
      </c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</row>
    <row r="90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71"/>
      <c r="L90" s="69"/>
      <c r="M90" s="69"/>
      <c r="N90" s="72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 t="str">
        <f>IFERROR(__xludf.DUMMYFUNCTION("""COMPUTED_VALUE"""),"TAP 9")</f>
        <v>TAP 9</v>
      </c>
      <c r="AC90" s="70">
        <f>IFERROR(__xludf.DUMMYFUNCTION("""COMPUTED_VALUE"""),2.0)</f>
        <v>2</v>
      </c>
      <c r="AD90" s="69" t="str">
        <f>IFERROR(__xludf.DUMMYFUNCTION("""COMPUTED_VALUE"""),"TAP 9")</f>
        <v>TAP 9</v>
      </c>
      <c r="AE90" s="69" t="str">
        <f>IFERROR(__xludf.DUMMYFUNCTION("""COMPUTED_VALUE"""),"MISCELANEA")</f>
        <v>MISCELANEA</v>
      </c>
      <c r="AF90" s="69" t="str">
        <f>IFERROR(__xludf.DUMMYFUNCTION("""COMPUTED_VALUE"""),"YTALO")</f>
        <v>YTALO</v>
      </c>
      <c r="AG90" s="73">
        <f>IFERROR(__xludf.DUMMYFUNCTION("""COMPUTED_VALUE"""),45644.350636574076)</f>
        <v>45644.35064</v>
      </c>
      <c r="AH90" s="69"/>
      <c r="AI90" s="69"/>
      <c r="AJ90" s="69"/>
      <c r="AK90" s="69" t="str">
        <f>IFERROR(__xludf.DUMMYFUNCTION("""COMPUTED_VALUE"""),"216567711027")</f>
        <v>216567711027</v>
      </c>
      <c r="AL90" s="70"/>
      <c r="AM90" s="69" t="str">
        <f>IFERROR(__xludf.DUMMYFUNCTION("""COMPUTED_VALUE"""),"TOP MIX")</f>
        <v>TOP MIX</v>
      </c>
      <c r="AN90" s="69" t="str">
        <f>IFERROR(__xludf.DUMMYFUNCTION("""COMPUTED_VALUE"""),"SUSPEITO")</f>
        <v>SUSPEITO</v>
      </c>
      <c r="AO90" s="69" t="str">
        <f>IFERROR(__xludf.DUMMYFUNCTION("""COMPUTED_VALUE"""),"YTALO")</f>
        <v>YTALO</v>
      </c>
      <c r="AP90" s="73">
        <f>IFERROR(__xludf.DUMMYFUNCTION("""COMPUTED_VALUE"""),45644.350636574076)</f>
        <v>45644.35064</v>
      </c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</row>
    <row r="9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71"/>
      <c r="L91" s="69"/>
      <c r="M91" s="69"/>
      <c r="N91" s="72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 t="str">
        <f>IFERROR(__xludf.DUMMYFUNCTION("""COMPUTED_VALUE"""),"DIV 2")</f>
        <v>DIV 2</v>
      </c>
      <c r="AC91" s="70">
        <f>IFERROR(__xludf.DUMMYFUNCTION("""COMPUTED_VALUE"""),1.0)</f>
        <v>1</v>
      </c>
      <c r="AD91" s="69" t="str">
        <f>IFERROR(__xludf.DUMMYFUNCTION("""COMPUTED_VALUE"""),"DIV 2")</f>
        <v>DIV 2</v>
      </c>
      <c r="AE91" s="69" t="str">
        <f>IFERROR(__xludf.DUMMYFUNCTION("""COMPUTED_VALUE"""),"MISCELANEA")</f>
        <v>MISCELANEA</v>
      </c>
      <c r="AF91" s="69" t="str">
        <f>IFERROR(__xludf.DUMMYFUNCTION("""COMPUTED_VALUE"""),"YTALO")</f>
        <v>YTALO</v>
      </c>
      <c r="AG91" s="73">
        <f>IFERROR(__xludf.DUMMYFUNCTION("""COMPUTED_VALUE"""),45644.350636574076)</f>
        <v>45644.35064</v>
      </c>
      <c r="AH91" s="69"/>
      <c r="AI91" s="69"/>
      <c r="AJ91" s="69"/>
      <c r="AK91" s="69" t="str">
        <f>IFERROR(__xludf.DUMMYFUNCTION("""COMPUTED_VALUE"""),"226339473651")</f>
        <v>226339473651</v>
      </c>
      <c r="AL91" s="70"/>
      <c r="AM91" s="69" t="str">
        <f>IFERROR(__xludf.DUMMYFUNCTION("""COMPUTED_VALUE"""),"CARD")</f>
        <v>CARD</v>
      </c>
      <c r="AN91" s="69" t="str">
        <f>IFERROR(__xludf.DUMMYFUNCTION("""COMPUTED_VALUE"""),"SUSPEITO")</f>
        <v>SUSPEITO</v>
      </c>
      <c r="AO91" s="69" t="str">
        <f>IFERROR(__xludf.DUMMYFUNCTION("""COMPUTED_VALUE"""),"YTALO")</f>
        <v>YTALO</v>
      </c>
      <c r="AP91" s="73">
        <f>IFERROR(__xludf.DUMMYFUNCTION("""COMPUTED_VALUE"""),45644.350636574076)</f>
        <v>45644.35064</v>
      </c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</row>
    <row r="9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71"/>
      <c r="L92" s="69"/>
      <c r="M92" s="69"/>
      <c r="N92" s="72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 t="str">
        <f>IFERROR(__xludf.DUMMYFUNCTION("""COMPUTED_VALUE"""),"DIV D")</f>
        <v>DIV D</v>
      </c>
      <c r="AC92" s="70">
        <f>IFERROR(__xludf.DUMMYFUNCTION("""COMPUTED_VALUE"""),1.0)</f>
        <v>1</v>
      </c>
      <c r="AD92" s="69" t="str">
        <f>IFERROR(__xludf.DUMMYFUNCTION("""COMPUTED_VALUE"""),"DIV D")</f>
        <v>DIV D</v>
      </c>
      <c r="AE92" s="69" t="str">
        <f>IFERROR(__xludf.DUMMYFUNCTION("""COMPUTED_VALUE"""),"MISCELANEA")</f>
        <v>MISCELANEA</v>
      </c>
      <c r="AF92" s="69" t="str">
        <f>IFERROR(__xludf.DUMMYFUNCTION("""COMPUTED_VALUE"""),"YTALO")</f>
        <v>YTALO</v>
      </c>
      <c r="AG92" s="73">
        <f>IFERROR(__xludf.DUMMYFUNCTION("""COMPUTED_VALUE"""),45644.350636574076)</f>
        <v>45644.35064</v>
      </c>
      <c r="AH92" s="69"/>
      <c r="AI92" s="69"/>
      <c r="AJ92" s="69"/>
      <c r="AK92" s="69" t="str">
        <f>IFERROR(__xludf.DUMMYFUNCTION("""COMPUTED_VALUE"""),"689E29BD87E1")</f>
        <v>689E29BD87E1</v>
      </c>
      <c r="AL92" s="70"/>
      <c r="AM92" s="69" t="str">
        <f>IFERROR(__xludf.DUMMYFUNCTION("""COMPUTED_VALUE"""),"GPON 6")</f>
        <v>GPON 6</v>
      </c>
      <c r="AN92" s="69" t="str">
        <f>IFERROR(__xludf.DUMMYFUNCTION("""COMPUTED_VALUE"""),"SUSPEITO")</f>
        <v>SUSPEITO</v>
      </c>
      <c r="AO92" s="69" t="str">
        <f>IFERROR(__xludf.DUMMYFUNCTION("""COMPUTED_VALUE"""),"YTALO")</f>
        <v>YTALO</v>
      </c>
      <c r="AP92" s="73">
        <f>IFERROR(__xludf.DUMMYFUNCTION("""COMPUTED_VALUE"""),45644.350636574076)</f>
        <v>45644.35064</v>
      </c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</row>
    <row r="9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71"/>
      <c r="L93" s="69"/>
      <c r="M93" s="69"/>
      <c r="N93" s="72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 t="str">
        <f>IFERROR(__xludf.DUMMYFUNCTION("""COMPUTED_VALUE"""),"241598159209")</f>
        <v>241598159209</v>
      </c>
      <c r="AC93" s="70"/>
      <c r="AD93" s="69"/>
      <c r="AE93" s="69" t="str">
        <f>IFERROR(__xludf.DUMMYFUNCTION("""COMPUTED_VALUE"""),"INICIALIZADO")</f>
        <v>INICIALIZADO</v>
      </c>
      <c r="AF93" s="69" t="str">
        <f>IFERROR(__xludf.DUMMYFUNCTION("""COMPUTED_VALUE"""),"YTALO")</f>
        <v>YTALO</v>
      </c>
      <c r="AG93" s="73">
        <f>IFERROR(__xludf.DUMMYFUNCTION("""COMPUTED_VALUE"""),45644.350636574076)</f>
        <v>45644.35064</v>
      </c>
      <c r="AH93" s="69"/>
      <c r="AI93" s="69"/>
      <c r="AJ93" s="69"/>
      <c r="AK93" s="69" t="str">
        <f>IFERROR(__xludf.DUMMYFUNCTION("""COMPUTED_VALUE"""),"CC5830FDC0B2")</f>
        <v>CC5830FDC0B2</v>
      </c>
      <c r="AL93" s="70"/>
      <c r="AM93" s="69" t="str">
        <f>IFERROR(__xludf.DUMMYFUNCTION("""COMPUTED_VALUE"""),"WIFI 6")</f>
        <v>WIFI 6</v>
      </c>
      <c r="AN93" s="69" t="str">
        <f>IFERROR(__xludf.DUMMYFUNCTION("""COMPUTED_VALUE"""),"SUSPEITO")</f>
        <v>SUSPEITO</v>
      </c>
      <c r="AO93" s="69" t="str">
        <f>IFERROR(__xludf.DUMMYFUNCTION("""COMPUTED_VALUE"""),"YTALO")</f>
        <v>YTALO</v>
      </c>
      <c r="AP93" s="73">
        <f>IFERROR(__xludf.DUMMYFUNCTION("""COMPUTED_VALUE"""),45644.350636574076)</f>
        <v>45644.35064</v>
      </c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</row>
    <row r="94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71"/>
      <c r="L94" s="69"/>
      <c r="M94" s="69"/>
      <c r="N94" s="72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 t="str">
        <f>IFERROR(__xludf.DUMMYFUNCTION("""COMPUTED_VALUE"""),"241631372327")</f>
        <v>241631372327</v>
      </c>
      <c r="AC94" s="70"/>
      <c r="AD94" s="69"/>
      <c r="AE94" s="69" t="str">
        <f>IFERROR(__xludf.DUMMYFUNCTION("""COMPUTED_VALUE"""),"INICIALIZADO")</f>
        <v>INICIALIZADO</v>
      </c>
      <c r="AF94" s="69" t="str">
        <f>IFERROR(__xludf.DUMMYFUNCTION("""COMPUTED_VALUE"""),"YTALO")</f>
        <v>YTALO</v>
      </c>
      <c r="AG94" s="73">
        <f>IFERROR(__xludf.DUMMYFUNCTION("""COMPUTED_VALUE"""),45644.350636574076)</f>
        <v>45644.35064</v>
      </c>
      <c r="AH94" s="69"/>
      <c r="AI94" s="69"/>
      <c r="AJ94" s="69"/>
      <c r="AK94" s="69" t="str">
        <f>IFERROR(__xludf.DUMMYFUNCTION("""COMPUTED_VALUE"""),"A8705D8801DE")</f>
        <v>A8705D8801DE</v>
      </c>
      <c r="AL94" s="70"/>
      <c r="AM94" s="69" t="str">
        <f>IFERROR(__xludf.DUMMYFUNCTION("""COMPUTED_VALUE"""),"3.1")</f>
        <v>3.1</v>
      </c>
      <c r="AN94" s="69" t="str">
        <f>IFERROR(__xludf.DUMMYFUNCTION("""COMPUTED_VALUE"""),"SUSPEITO")</f>
        <v>SUSPEITO</v>
      </c>
      <c r="AO94" s="69" t="str">
        <f>IFERROR(__xludf.DUMMYFUNCTION("""COMPUTED_VALUE"""),"YTALO")</f>
        <v>YTALO</v>
      </c>
      <c r="AP94" s="73">
        <f>IFERROR(__xludf.DUMMYFUNCTION("""COMPUTED_VALUE"""),45644.350636574076)</f>
        <v>45644.35064</v>
      </c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</row>
    <row r="9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71"/>
      <c r="L95" s="69"/>
      <c r="M95" s="69"/>
      <c r="N95" s="72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 t="str">
        <f>IFERROR(__xludf.DUMMYFUNCTION("""COMPUTED_VALUE"""),"3CF9F0AA0D40")</f>
        <v>3CF9F0AA0D40</v>
      </c>
      <c r="AC95" s="70"/>
      <c r="AD95" s="69"/>
      <c r="AE95" s="69" t="str">
        <f>IFERROR(__xludf.DUMMYFUNCTION("""COMPUTED_VALUE"""),"INICIALIZADO")</f>
        <v>INICIALIZADO</v>
      </c>
      <c r="AF95" s="69" t="str">
        <f>IFERROR(__xludf.DUMMYFUNCTION("""COMPUTED_VALUE"""),"YTALO")</f>
        <v>YTALO</v>
      </c>
      <c r="AG95" s="73">
        <f>IFERROR(__xludf.DUMMYFUNCTION("""COMPUTED_VALUE"""),45644.350636574076)</f>
        <v>45644.35064</v>
      </c>
      <c r="AH95" s="69"/>
      <c r="AI95" s="69"/>
      <c r="AJ95" s="69"/>
      <c r="AK95" s="69" t="str">
        <f>IFERROR(__xludf.DUMMYFUNCTION("""COMPUTED_VALUE"""),"216757874456")</f>
        <v>216757874456</v>
      </c>
      <c r="AL95" s="70"/>
      <c r="AM95" s="69" t="str">
        <f>IFERROR(__xludf.DUMMYFUNCTION("""COMPUTED_VALUE"""),"TOP MIX")</f>
        <v>TOP MIX</v>
      </c>
      <c r="AN95" s="69" t="str">
        <f>IFERROR(__xludf.DUMMYFUNCTION("""COMPUTED_VALUE"""),"INICIALIZADO")</f>
        <v>INICIALIZADO</v>
      </c>
      <c r="AO95" s="69" t="str">
        <f>IFERROR(__xludf.DUMMYFUNCTION("""COMPUTED_VALUE"""),"YTALO")</f>
        <v>YTALO</v>
      </c>
      <c r="AP95" s="73">
        <f>IFERROR(__xludf.DUMMYFUNCTION("""COMPUTED_VALUE"""),45644.350636574076)</f>
        <v>45644.35064</v>
      </c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</row>
    <row r="96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71"/>
      <c r="L96" s="69"/>
      <c r="M96" s="69"/>
      <c r="N96" s="72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 t="str">
        <f>IFERROR(__xludf.DUMMYFUNCTION("""COMPUTED_VALUE"""),"246347844659")</f>
        <v>246347844659</v>
      </c>
      <c r="AL96" s="70"/>
      <c r="AM96" s="69" t="str">
        <f>IFERROR(__xludf.DUMMYFUNCTION("""COMPUTED_VALUE"""),"CARD")</f>
        <v>CARD</v>
      </c>
      <c r="AN96" s="69" t="str">
        <f>IFERROR(__xludf.DUMMYFUNCTION("""COMPUTED_VALUE"""),"INICIALIZADO")</f>
        <v>INICIALIZADO</v>
      </c>
      <c r="AO96" s="69" t="str">
        <f>IFERROR(__xludf.DUMMYFUNCTION("""COMPUTED_VALUE"""),"YTALO")</f>
        <v>YTALO</v>
      </c>
      <c r="AP96" s="73">
        <f>IFERROR(__xludf.DUMMYFUNCTION("""COMPUTED_VALUE"""),45644.350636574076)</f>
        <v>45644.35064</v>
      </c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</row>
    <row r="97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71"/>
      <c r="L97" s="69"/>
      <c r="M97" s="69"/>
      <c r="N97" s="72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 t="str">
        <f>IFERROR(__xludf.DUMMYFUNCTION("""COMPUTED_VALUE"""),"216692630525")</f>
        <v>216692630525</v>
      </c>
      <c r="AL97" s="70"/>
      <c r="AM97" s="69" t="str">
        <f>IFERROR(__xludf.DUMMYFUNCTION("""COMPUTED_VALUE"""),"TOP MIX")</f>
        <v>TOP MIX</v>
      </c>
      <c r="AN97" s="69" t="str">
        <f>IFERROR(__xludf.DUMMYFUNCTION("""COMPUTED_VALUE"""),"SUSPEITO")</f>
        <v>SUSPEITO</v>
      </c>
      <c r="AO97" s="69" t="str">
        <f>IFERROR(__xludf.DUMMYFUNCTION("""COMPUTED_VALUE"""),"YTALO")</f>
        <v>YTALO</v>
      </c>
      <c r="AP97" s="73">
        <f>IFERROR(__xludf.DUMMYFUNCTION("""COMPUTED_VALUE"""),45644.350636574076)</f>
        <v>45644.35064</v>
      </c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</row>
    <row r="98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71"/>
      <c r="L98" s="69"/>
      <c r="M98" s="69"/>
      <c r="N98" s="72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 t="str">
        <f>IFERROR(__xludf.DUMMYFUNCTION("""COMPUTED_VALUE"""),"226227603642")</f>
        <v>226227603642</v>
      </c>
      <c r="AL98" s="70"/>
      <c r="AM98" s="69" t="str">
        <f>IFERROR(__xludf.DUMMYFUNCTION("""COMPUTED_VALUE"""),"CARD")</f>
        <v>CARD</v>
      </c>
      <c r="AN98" s="69" t="str">
        <f>IFERROR(__xludf.DUMMYFUNCTION("""COMPUTED_VALUE"""),"SUSPEITO")</f>
        <v>SUSPEITO</v>
      </c>
      <c r="AO98" s="69" t="str">
        <f>IFERROR(__xludf.DUMMYFUNCTION("""COMPUTED_VALUE"""),"YTALO")</f>
        <v>YTALO</v>
      </c>
      <c r="AP98" s="73">
        <f>IFERROR(__xludf.DUMMYFUNCTION("""COMPUTED_VALUE"""),45644.350636574076)</f>
        <v>45644.35064</v>
      </c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</row>
    <row r="99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71"/>
      <c r="L99" s="69"/>
      <c r="M99" s="69"/>
      <c r="N99" s="72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 t="str">
        <f>IFERROR(__xludf.DUMMYFUNCTION("""COMPUTED_VALUE"""),"841EA38D8779")</f>
        <v>841EA38D8779</v>
      </c>
      <c r="AL99" s="70"/>
      <c r="AM99" s="69" t="str">
        <f>IFERROR(__xludf.DUMMYFUNCTION("""COMPUTED_VALUE"""),"3.1")</f>
        <v>3.1</v>
      </c>
      <c r="AN99" s="69" t="str">
        <f>IFERROR(__xludf.DUMMYFUNCTION("""COMPUTED_VALUE"""),"SUSPEITO")</f>
        <v>SUSPEITO</v>
      </c>
      <c r="AO99" s="69" t="str">
        <f>IFERROR(__xludf.DUMMYFUNCTION("""COMPUTED_VALUE"""),"YTALO")</f>
        <v>YTALO</v>
      </c>
      <c r="AP99" s="73">
        <f>IFERROR(__xludf.DUMMYFUNCTION("""COMPUTED_VALUE"""),45644.350636574076)</f>
        <v>45644.35064</v>
      </c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</row>
    <row r="100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71"/>
      <c r="L100" s="69"/>
      <c r="M100" s="69"/>
      <c r="N100" s="72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 t="str">
        <f>IFERROR(__xludf.DUMMYFUNCTION("""COMPUTED_VALUE"""),"216608303944")</f>
        <v>216608303944</v>
      </c>
      <c r="AL100" s="70"/>
      <c r="AM100" s="69" t="str">
        <f>IFERROR(__xludf.DUMMYFUNCTION("""COMPUTED_VALUE"""),"TOP MIX")</f>
        <v>TOP MIX</v>
      </c>
      <c r="AN100" s="69" t="str">
        <f>IFERROR(__xludf.DUMMYFUNCTION("""COMPUTED_VALUE"""),"SUSPEITO")</f>
        <v>SUSPEITO</v>
      </c>
      <c r="AO100" s="69" t="str">
        <f>IFERROR(__xludf.DUMMYFUNCTION("""COMPUTED_VALUE"""),"YTALO")</f>
        <v>YTALO</v>
      </c>
      <c r="AP100" s="73">
        <f>IFERROR(__xludf.DUMMYFUNCTION("""COMPUTED_VALUE"""),45644.350636574076)</f>
        <v>45644.35064</v>
      </c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</row>
    <row r="10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71"/>
      <c r="L101" s="69"/>
      <c r="M101" s="69"/>
      <c r="N101" s="72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 t="str">
        <f>IFERROR(__xludf.DUMMYFUNCTION("""COMPUTED_VALUE"""),"215796074563")</f>
        <v>215796074563</v>
      </c>
      <c r="AL101" s="70"/>
      <c r="AM101" s="69" t="str">
        <f>IFERROR(__xludf.DUMMYFUNCTION("""COMPUTED_VALUE"""),"CARD")</f>
        <v>CARD</v>
      </c>
      <c r="AN101" s="69" t="str">
        <f>IFERROR(__xludf.DUMMYFUNCTION("""COMPUTED_VALUE"""),"SUSPEITO")</f>
        <v>SUSPEITO</v>
      </c>
      <c r="AO101" s="69" t="str">
        <f>IFERROR(__xludf.DUMMYFUNCTION("""COMPUTED_VALUE"""),"YTALO")</f>
        <v>YTALO</v>
      </c>
      <c r="AP101" s="73">
        <f>IFERROR(__xludf.DUMMYFUNCTION("""COMPUTED_VALUE"""),45644.350636574076)</f>
        <v>45644.35064</v>
      </c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</row>
    <row r="10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71"/>
      <c r="L102" s="69"/>
      <c r="M102" s="69"/>
      <c r="N102" s="72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 t="str">
        <f>IFERROR(__xludf.DUMMYFUNCTION("""COMPUTED_VALUE"""),"C40D969807AF")</f>
        <v>C40D969807AF</v>
      </c>
      <c r="AL102" s="70"/>
      <c r="AM102" s="69" t="str">
        <f>IFERROR(__xludf.DUMMYFUNCTION("""COMPUTED_VALUE"""),"ONT")</f>
        <v>ONT</v>
      </c>
      <c r="AN102" s="69" t="str">
        <f>IFERROR(__xludf.DUMMYFUNCTION("""COMPUTED_VALUE"""),"INICIALIZADO")</f>
        <v>INICIALIZADO</v>
      </c>
      <c r="AO102" s="69" t="str">
        <f>IFERROR(__xludf.DUMMYFUNCTION("""COMPUTED_VALUE"""),"YTALO")</f>
        <v>YTALO</v>
      </c>
      <c r="AP102" s="73">
        <f>IFERROR(__xludf.DUMMYFUNCTION("""COMPUTED_VALUE"""),45644.350636574076)</f>
        <v>45644.35064</v>
      </c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</row>
    <row r="10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71"/>
      <c r="L103" s="69"/>
      <c r="M103" s="69"/>
      <c r="N103" s="72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 t="str">
        <f>IFERROR(__xludf.DUMMYFUNCTION("""COMPUTED_VALUE"""),"229723806265")</f>
        <v>229723806265</v>
      </c>
      <c r="AL103" s="70"/>
      <c r="AM103" s="69" t="str">
        <f>IFERROR(__xludf.DUMMYFUNCTION("""COMPUTED_VALUE"""),"4K")</f>
        <v>4K</v>
      </c>
      <c r="AN103" s="69" t="str">
        <f>IFERROR(__xludf.DUMMYFUNCTION("""COMPUTED_VALUE"""),"SUSPEITO")</f>
        <v>SUSPEITO</v>
      </c>
      <c r="AO103" s="69" t="str">
        <f>IFERROR(__xludf.DUMMYFUNCTION("""COMPUTED_VALUE"""),"YTALO")</f>
        <v>YTALO</v>
      </c>
      <c r="AP103" s="73">
        <f>IFERROR(__xludf.DUMMYFUNCTION("""COMPUTED_VALUE"""),45644.350636574076)</f>
        <v>45644.35064</v>
      </c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</row>
    <row r="104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71"/>
      <c r="L104" s="69"/>
      <c r="M104" s="69"/>
      <c r="N104" s="72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 t="str">
        <f>IFERROR(__xludf.DUMMYFUNCTION("""COMPUTED_VALUE"""),"246579459912")</f>
        <v>246579459912</v>
      </c>
      <c r="AL104" s="70"/>
      <c r="AM104" s="69" t="str">
        <f>IFERROR(__xludf.DUMMYFUNCTION("""COMPUTED_VALUE"""),"SIM CARD")</f>
        <v>SIM CARD</v>
      </c>
      <c r="AN104" s="69" t="str">
        <f>IFERROR(__xludf.DUMMYFUNCTION("""COMPUTED_VALUE"""),"SUSPEITO")</f>
        <v>SUSPEITO</v>
      </c>
      <c r="AO104" s="69" t="str">
        <f>IFERROR(__xludf.DUMMYFUNCTION("""COMPUTED_VALUE"""),"YTALO")</f>
        <v>YTALO</v>
      </c>
      <c r="AP104" s="73">
        <f>IFERROR(__xludf.DUMMYFUNCTION("""COMPUTED_VALUE"""),45644.350636574076)</f>
        <v>45644.35064</v>
      </c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</row>
    <row r="10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71"/>
      <c r="L105" s="69"/>
      <c r="M105" s="69"/>
      <c r="N105" s="72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</row>
    <row r="10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71"/>
      <c r="L106" s="69"/>
      <c r="M106" s="69"/>
      <c r="N106" s="72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</row>
    <row r="107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71"/>
      <c r="L107" s="69"/>
      <c r="M107" s="69"/>
      <c r="N107" s="72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</row>
    <row r="108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71"/>
      <c r="L108" s="69"/>
      <c r="M108" s="69"/>
      <c r="N108" s="72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</row>
    <row r="109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71"/>
      <c r="L109" s="69"/>
      <c r="M109" s="69"/>
      <c r="N109" s="72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</row>
    <row r="110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71"/>
      <c r="L110" s="69"/>
      <c r="M110" s="69"/>
      <c r="N110" s="72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</row>
    <row r="11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71"/>
      <c r="L111" s="69"/>
      <c r="M111" s="69"/>
      <c r="N111" s="72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</row>
    <row r="11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71"/>
      <c r="L112" s="69"/>
      <c r="M112" s="69"/>
      <c r="N112" s="72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</row>
    <row r="113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71"/>
      <c r="L113" s="69"/>
      <c r="M113" s="69"/>
      <c r="N113" s="72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</row>
    <row r="114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71"/>
      <c r="L114" s="69"/>
      <c r="M114" s="69"/>
      <c r="N114" s="72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</row>
    <row r="11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71"/>
      <c r="L115" s="69"/>
      <c r="M115" s="69"/>
      <c r="N115" s="72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</row>
    <row r="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71"/>
      <c r="L116" s="69"/>
      <c r="M116" s="69"/>
      <c r="N116" s="72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</row>
    <row r="117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71"/>
      <c r="L117" s="69"/>
      <c r="M117" s="69"/>
      <c r="N117" s="72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</row>
    <row r="118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71"/>
      <c r="L118" s="69"/>
      <c r="M118" s="69"/>
      <c r="N118" s="72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</row>
    <row r="119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71"/>
      <c r="L119" s="69"/>
      <c r="M119" s="69"/>
      <c r="N119" s="72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</row>
    <row r="120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71"/>
      <c r="L120" s="69"/>
      <c r="M120" s="69"/>
      <c r="N120" s="72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</row>
    <row r="12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71"/>
      <c r="L121" s="69"/>
      <c r="M121" s="69"/>
      <c r="N121" s="72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</row>
    <row r="12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71"/>
      <c r="L122" s="69"/>
      <c r="M122" s="69"/>
      <c r="N122" s="72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</row>
    <row r="12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71"/>
      <c r="L123" s="69"/>
      <c r="M123" s="69"/>
      <c r="N123" s="72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</row>
    <row r="124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71"/>
      <c r="L124" s="69"/>
      <c r="M124" s="69"/>
      <c r="N124" s="72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</row>
    <row r="1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71"/>
      <c r="L125" s="69"/>
      <c r="M125" s="69"/>
      <c r="N125" s="72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</row>
    <row r="12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71"/>
      <c r="L126" s="69"/>
      <c r="M126" s="69"/>
      <c r="N126" s="72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</row>
    <row r="127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71"/>
      <c r="L127" s="69"/>
      <c r="M127" s="69"/>
      <c r="N127" s="72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</row>
    <row r="128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71"/>
      <c r="L128" s="69"/>
      <c r="M128" s="69"/>
      <c r="N128" s="72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</row>
    <row r="129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71"/>
      <c r="L129" s="69"/>
      <c r="M129" s="69"/>
      <c r="N129" s="72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</row>
    <row r="130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71"/>
      <c r="L130" s="69"/>
      <c r="M130" s="69"/>
      <c r="N130" s="72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</row>
    <row r="13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71"/>
      <c r="L131" s="69"/>
      <c r="M131" s="69"/>
      <c r="N131" s="72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</row>
    <row r="13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71"/>
      <c r="L132" s="69"/>
      <c r="M132" s="69"/>
      <c r="N132" s="72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</row>
    <row r="13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71"/>
      <c r="L133" s="69"/>
      <c r="M133" s="69"/>
      <c r="N133" s="72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</row>
    <row r="134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71"/>
      <c r="L134" s="69"/>
      <c r="M134" s="69"/>
      <c r="N134" s="72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</row>
    <row r="13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71"/>
      <c r="L135" s="69"/>
      <c r="M135" s="69"/>
      <c r="N135" s="72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</row>
    <row r="13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71"/>
      <c r="L136" s="69"/>
      <c r="M136" s="69"/>
      <c r="N136" s="72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</row>
    <row r="137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71"/>
      <c r="L137" s="69"/>
      <c r="M137" s="69"/>
      <c r="N137" s="72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</row>
    <row r="138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71"/>
      <c r="L138" s="69"/>
      <c r="M138" s="69"/>
      <c r="N138" s="72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</row>
    <row r="139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71"/>
      <c r="L139" s="69"/>
      <c r="M139" s="69"/>
      <c r="N139" s="72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</row>
    <row r="140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71"/>
      <c r="L140" s="69"/>
      <c r="M140" s="69"/>
      <c r="N140" s="72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</row>
    <row r="14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71"/>
      <c r="L141" s="69"/>
      <c r="M141" s="69"/>
      <c r="N141" s="72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</row>
    <row r="14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71"/>
      <c r="L142" s="69"/>
      <c r="M142" s="69"/>
      <c r="N142" s="72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</row>
    <row r="14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71"/>
      <c r="L143" s="69"/>
      <c r="M143" s="69"/>
      <c r="N143" s="72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</row>
    <row r="144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71"/>
      <c r="L144" s="69"/>
      <c r="M144" s="69"/>
      <c r="N144" s="72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</row>
    <row r="14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71"/>
      <c r="L145" s="69"/>
      <c r="M145" s="69"/>
      <c r="N145" s="72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</row>
    <row r="14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71"/>
      <c r="L146" s="69"/>
      <c r="M146" s="69"/>
      <c r="N146" s="72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</row>
    <row r="147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71"/>
      <c r="L147" s="69"/>
      <c r="M147" s="69"/>
      <c r="N147" s="72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</row>
    <row r="148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71"/>
      <c r="L148" s="69"/>
      <c r="M148" s="69"/>
      <c r="N148" s="72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</row>
    <row r="149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71"/>
      <c r="L149" s="69"/>
      <c r="M149" s="69"/>
      <c r="N149" s="72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</row>
    <row r="150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71"/>
      <c r="L150" s="69"/>
      <c r="M150" s="69"/>
      <c r="N150" s="72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</row>
    <row r="15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71"/>
      <c r="L151" s="69"/>
      <c r="M151" s="69"/>
      <c r="N151" s="72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</row>
    <row r="15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71"/>
      <c r="L152" s="69"/>
      <c r="M152" s="69"/>
      <c r="N152" s="72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</row>
    <row r="15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71"/>
      <c r="L153" s="69"/>
      <c r="M153" s="69"/>
      <c r="N153" s="72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</row>
    <row r="154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71"/>
      <c r="L154" s="69"/>
      <c r="M154" s="69"/>
      <c r="N154" s="72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</row>
    <row r="15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71"/>
      <c r="L155" s="69"/>
      <c r="M155" s="69"/>
      <c r="N155" s="72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</row>
    <row r="15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71"/>
      <c r="L156" s="69"/>
      <c r="M156" s="69"/>
      <c r="N156" s="72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</row>
    <row r="157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71"/>
      <c r="L157" s="69"/>
      <c r="M157" s="69"/>
      <c r="N157" s="72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</row>
    <row r="158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71"/>
      <c r="L158" s="69"/>
      <c r="M158" s="69"/>
      <c r="N158" s="72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</row>
    <row r="159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71"/>
      <c r="L159" s="69"/>
      <c r="M159" s="69"/>
      <c r="N159" s="72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</row>
    <row r="160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71"/>
      <c r="L160" s="69"/>
      <c r="M160" s="69"/>
      <c r="N160" s="72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</row>
    <row r="16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71"/>
      <c r="L161" s="69"/>
      <c r="M161" s="69"/>
      <c r="N161" s="72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</row>
    <row r="16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71"/>
      <c r="L162" s="69"/>
      <c r="M162" s="69"/>
      <c r="N162" s="72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</row>
    <row r="16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71"/>
      <c r="L163" s="69"/>
      <c r="M163" s="69"/>
      <c r="N163" s="72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</row>
    <row r="164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71"/>
      <c r="L164" s="69"/>
      <c r="M164" s="69"/>
      <c r="N164" s="72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</row>
    <row r="16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71"/>
      <c r="L165" s="69"/>
      <c r="M165" s="69"/>
      <c r="N165" s="72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</row>
    <row r="16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71"/>
      <c r="L166" s="69"/>
      <c r="M166" s="69"/>
      <c r="N166" s="72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</row>
    <row r="167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71"/>
      <c r="L167" s="69"/>
      <c r="M167" s="69"/>
      <c r="N167" s="72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</row>
    <row r="168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71"/>
      <c r="L168" s="69"/>
      <c r="M168" s="69"/>
      <c r="N168" s="72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</row>
    <row r="169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71"/>
      <c r="L169" s="69"/>
      <c r="M169" s="69"/>
      <c r="N169" s="72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</row>
    <row r="170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71"/>
      <c r="L170" s="69"/>
      <c r="M170" s="69"/>
      <c r="N170" s="72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</row>
    <row r="17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71"/>
      <c r="L171" s="69"/>
      <c r="M171" s="69"/>
      <c r="N171" s="72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</row>
    <row r="17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71"/>
      <c r="L172" s="69"/>
      <c r="M172" s="69"/>
      <c r="N172" s="72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</row>
    <row r="173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71"/>
      <c r="L173" s="69"/>
      <c r="M173" s="69"/>
      <c r="N173" s="72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</row>
    <row r="174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71"/>
      <c r="L174" s="69"/>
      <c r="M174" s="69"/>
      <c r="N174" s="72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</row>
    <row r="17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71"/>
      <c r="L175" s="69"/>
      <c r="M175" s="69"/>
      <c r="N175" s="72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</row>
    <row r="17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71"/>
      <c r="L176" s="69"/>
      <c r="M176" s="69"/>
      <c r="N176" s="72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</row>
    <row r="177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71"/>
      <c r="L177" s="69"/>
      <c r="M177" s="69"/>
      <c r="N177" s="72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</row>
    <row r="178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71"/>
      <c r="L178" s="69"/>
      <c r="M178" s="69"/>
      <c r="N178" s="72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</row>
    <row r="179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71"/>
      <c r="L179" s="69"/>
      <c r="M179" s="69"/>
      <c r="N179" s="72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</row>
    <row r="180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71"/>
      <c r="L180" s="69"/>
      <c r="M180" s="69"/>
      <c r="N180" s="72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</row>
    <row r="18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71"/>
      <c r="L181" s="69"/>
      <c r="M181" s="69"/>
      <c r="N181" s="72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</row>
    <row r="182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71"/>
      <c r="L182" s="69"/>
      <c r="M182" s="69"/>
      <c r="N182" s="72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</row>
    <row r="183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71"/>
      <c r="L183" s="69"/>
      <c r="M183" s="69"/>
      <c r="N183" s="72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</row>
    <row r="184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71"/>
      <c r="L184" s="69"/>
      <c r="M184" s="69"/>
      <c r="N184" s="72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</row>
    <row r="18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71"/>
      <c r="L185" s="69"/>
      <c r="M185" s="69"/>
      <c r="N185" s="72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</row>
    <row r="18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71"/>
      <c r="L186" s="69"/>
      <c r="M186" s="69"/>
      <c r="N186" s="72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</row>
    <row r="187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71"/>
      <c r="L187" s="69"/>
      <c r="M187" s="69"/>
      <c r="N187" s="72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</row>
    <row r="188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71"/>
      <c r="L188" s="69"/>
      <c r="M188" s="69"/>
      <c r="N188" s="72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</row>
    <row r="189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71"/>
      <c r="L189" s="69"/>
      <c r="M189" s="69"/>
      <c r="N189" s="72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</row>
    <row r="190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71"/>
      <c r="L190" s="69"/>
      <c r="M190" s="69"/>
      <c r="N190" s="72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</row>
    <row r="19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71"/>
      <c r="L191" s="69"/>
      <c r="M191" s="69"/>
      <c r="N191" s="72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</row>
    <row r="192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71"/>
      <c r="L192" s="69"/>
      <c r="M192" s="69"/>
      <c r="N192" s="72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</row>
    <row r="193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71"/>
      <c r="L193" s="69"/>
      <c r="M193" s="69"/>
      <c r="N193" s="72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</row>
    <row r="194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71"/>
      <c r="L194" s="69"/>
      <c r="M194" s="69"/>
      <c r="N194" s="72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</row>
    <row r="19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71"/>
      <c r="L195" s="69"/>
      <c r="M195" s="69"/>
      <c r="N195" s="72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</row>
    <row r="19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71"/>
      <c r="L196" s="69"/>
      <c r="M196" s="69"/>
      <c r="N196" s="72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</row>
    <row r="197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71"/>
      <c r="L197" s="69"/>
      <c r="M197" s="69"/>
      <c r="N197" s="72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</row>
    <row r="198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71"/>
      <c r="L198" s="69"/>
      <c r="M198" s="69"/>
      <c r="N198" s="72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</row>
    <row r="199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71"/>
      <c r="L199" s="69"/>
      <c r="M199" s="69"/>
      <c r="N199" s="72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</row>
    <row r="200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71"/>
      <c r="L200" s="69"/>
      <c r="M200" s="69"/>
      <c r="N200" s="72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</row>
    <row r="20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71"/>
      <c r="L201" s="69"/>
      <c r="M201" s="69"/>
      <c r="N201" s="72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</row>
    <row r="202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71"/>
      <c r="L202" s="69"/>
      <c r="M202" s="69"/>
      <c r="N202" s="72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</row>
    <row r="203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71"/>
      <c r="L203" s="69"/>
      <c r="M203" s="69"/>
      <c r="N203" s="72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</row>
    <row r="204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71"/>
      <c r="L204" s="69"/>
      <c r="M204" s="69"/>
      <c r="N204" s="72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</row>
    <row r="20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71"/>
      <c r="L205" s="69"/>
      <c r="M205" s="69"/>
      <c r="N205" s="72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</row>
    <row r="20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71"/>
      <c r="L206" s="69"/>
      <c r="M206" s="69"/>
      <c r="N206" s="72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</row>
    <row r="207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71"/>
      <c r="L207" s="69"/>
      <c r="M207" s="69"/>
      <c r="N207" s="72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</row>
    <row r="208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71"/>
      <c r="L208" s="69"/>
      <c r="M208" s="69"/>
      <c r="N208" s="72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</row>
    <row r="209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71"/>
      <c r="L209" s="69"/>
      <c r="M209" s="69"/>
      <c r="N209" s="72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</row>
    <row r="210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71"/>
      <c r="L210" s="69"/>
      <c r="M210" s="69"/>
      <c r="N210" s="72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</row>
    <row r="21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71"/>
      <c r="L211" s="69"/>
      <c r="M211" s="69"/>
      <c r="N211" s="72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</row>
    <row r="212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71"/>
      <c r="L212" s="69"/>
      <c r="M212" s="69"/>
      <c r="N212" s="72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</row>
    <row r="213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71"/>
      <c r="L213" s="69"/>
      <c r="M213" s="69"/>
      <c r="N213" s="72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</row>
    <row r="214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71"/>
      <c r="L214" s="69"/>
      <c r="M214" s="69"/>
      <c r="N214" s="72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</row>
    <row r="21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71"/>
      <c r="L215" s="69"/>
      <c r="M215" s="69"/>
      <c r="N215" s="72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</row>
    <row r="2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71"/>
      <c r="L216" s="69"/>
      <c r="M216" s="69"/>
      <c r="N216" s="72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</row>
    <row r="217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71"/>
      <c r="L217" s="69"/>
      <c r="M217" s="69"/>
      <c r="N217" s="72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</row>
    <row r="218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71"/>
      <c r="L218" s="69"/>
      <c r="M218" s="69"/>
      <c r="N218" s="72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</row>
    <row r="219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71"/>
      <c r="L219" s="69"/>
      <c r="M219" s="69"/>
      <c r="N219" s="72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</row>
    <row r="220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71"/>
      <c r="L220" s="69"/>
      <c r="M220" s="69"/>
      <c r="N220" s="72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</row>
    <row r="22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71"/>
      <c r="L221" s="69"/>
      <c r="M221" s="69"/>
      <c r="N221" s="72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</row>
    <row r="222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71"/>
      <c r="L222" s="69"/>
      <c r="M222" s="69"/>
      <c r="N222" s="72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</row>
    <row r="22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71"/>
      <c r="L223" s="69"/>
      <c r="M223" s="69"/>
      <c r="N223" s="72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</row>
    <row r="224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71"/>
      <c r="L224" s="69"/>
      <c r="M224" s="69"/>
      <c r="N224" s="72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</row>
    <row r="2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71"/>
      <c r="L225" s="69"/>
      <c r="M225" s="69"/>
      <c r="N225" s="72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</row>
    <row r="22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71"/>
      <c r="L226" s="69"/>
      <c r="M226" s="69"/>
      <c r="N226" s="72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</row>
    <row r="227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71"/>
      <c r="L227" s="69"/>
      <c r="M227" s="69"/>
      <c r="N227" s="72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</row>
    <row r="228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71"/>
      <c r="L228" s="69"/>
      <c r="M228" s="69"/>
      <c r="N228" s="72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</row>
    <row r="229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71"/>
      <c r="L229" s="69"/>
      <c r="M229" s="69"/>
      <c r="N229" s="72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</row>
    <row r="230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71"/>
      <c r="L230" s="69"/>
      <c r="M230" s="69"/>
      <c r="N230" s="72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</row>
    <row r="23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71"/>
      <c r="L231" s="69"/>
      <c r="M231" s="69"/>
      <c r="N231" s="72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</row>
    <row r="232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71"/>
      <c r="L232" s="69"/>
      <c r="M232" s="69"/>
      <c r="N232" s="72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</row>
    <row r="233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71"/>
      <c r="L233" s="69"/>
      <c r="M233" s="69"/>
      <c r="N233" s="72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</row>
    <row r="234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71"/>
      <c r="L234" s="69"/>
      <c r="M234" s="69"/>
      <c r="N234" s="72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</row>
    <row r="23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71"/>
      <c r="L235" s="69"/>
      <c r="M235" s="69"/>
      <c r="N235" s="72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</row>
    <row r="23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71"/>
      <c r="L236" s="69"/>
      <c r="M236" s="69"/>
      <c r="N236" s="72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</row>
    <row r="237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71"/>
      <c r="L237" s="69"/>
      <c r="M237" s="69"/>
      <c r="N237" s="72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</row>
    <row r="238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71"/>
      <c r="L238" s="69"/>
      <c r="M238" s="69"/>
      <c r="N238" s="72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</row>
    <row r="239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71"/>
      <c r="L239" s="69"/>
      <c r="M239" s="69"/>
      <c r="N239" s="72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</row>
    <row r="240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71"/>
      <c r="L240" s="69"/>
      <c r="M240" s="69"/>
      <c r="N240" s="72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</row>
    <row r="24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71"/>
      <c r="L241" s="69"/>
      <c r="M241" s="69"/>
      <c r="N241" s="72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</row>
    <row r="242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71"/>
      <c r="L242" s="69"/>
      <c r="M242" s="69"/>
      <c r="N242" s="72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</row>
    <row r="24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71"/>
      <c r="L243" s="69"/>
      <c r="M243" s="69"/>
      <c r="N243" s="72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</row>
    <row r="244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71"/>
      <c r="L244" s="69"/>
      <c r="M244" s="69"/>
      <c r="N244" s="72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</row>
    <row r="24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71"/>
      <c r="L245" s="69"/>
      <c r="M245" s="69"/>
      <c r="N245" s="72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</row>
    <row r="24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71"/>
      <c r="L246" s="69"/>
      <c r="M246" s="69"/>
      <c r="N246" s="72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</row>
    <row r="247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71"/>
      <c r="L247" s="69"/>
      <c r="M247" s="69"/>
      <c r="N247" s="72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</row>
    <row r="248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71"/>
      <c r="L248" s="69"/>
      <c r="M248" s="69"/>
      <c r="N248" s="72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</row>
    <row r="249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71"/>
      <c r="L249" s="69"/>
      <c r="M249" s="69"/>
      <c r="N249" s="72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</row>
    <row r="250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71"/>
      <c r="L250" s="69"/>
      <c r="M250" s="69"/>
      <c r="N250" s="72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</row>
    <row r="25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71"/>
      <c r="L251" s="69"/>
      <c r="M251" s="69"/>
      <c r="N251" s="72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</row>
    <row r="252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71"/>
      <c r="L252" s="69"/>
      <c r="M252" s="69"/>
      <c r="N252" s="72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</row>
    <row r="253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71"/>
      <c r="L253" s="69"/>
      <c r="M253" s="69"/>
      <c r="N253" s="72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</row>
    <row r="254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71"/>
      <c r="L254" s="69"/>
      <c r="M254" s="69"/>
      <c r="N254" s="72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</row>
    <row r="25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71"/>
      <c r="L255" s="69"/>
      <c r="M255" s="69"/>
      <c r="N255" s="72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</row>
    <row r="25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71"/>
      <c r="L256" s="69"/>
      <c r="M256" s="69"/>
      <c r="N256" s="72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</row>
    <row r="257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71"/>
      <c r="L257" s="69"/>
      <c r="M257" s="69"/>
      <c r="N257" s="72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</row>
    <row r="258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71"/>
      <c r="L258" s="69"/>
      <c r="M258" s="69"/>
      <c r="N258" s="72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</row>
    <row r="259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71"/>
      <c r="L259" s="69"/>
      <c r="M259" s="69"/>
      <c r="N259" s="72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</row>
    <row r="260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71"/>
      <c r="L260" s="69"/>
      <c r="M260" s="69"/>
      <c r="N260" s="72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</row>
    <row r="26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71"/>
      <c r="L261" s="69"/>
      <c r="M261" s="69"/>
      <c r="N261" s="72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</row>
    <row r="262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71"/>
      <c r="L262" s="69"/>
      <c r="M262" s="69"/>
      <c r="N262" s="72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</row>
    <row r="263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71"/>
      <c r="L263" s="69"/>
      <c r="M263" s="69"/>
      <c r="N263" s="72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</row>
    <row r="264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71"/>
      <c r="L264" s="69"/>
      <c r="M264" s="69"/>
      <c r="N264" s="72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</row>
    <row r="26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71"/>
      <c r="L265" s="69"/>
      <c r="M265" s="69"/>
      <c r="N265" s="72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</row>
    <row r="26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71"/>
      <c r="L266" s="69"/>
      <c r="M266" s="69"/>
      <c r="N266" s="72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</row>
    <row r="267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71"/>
      <c r="L267" s="69"/>
      <c r="M267" s="69"/>
      <c r="N267" s="72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</row>
    <row r="268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71"/>
      <c r="L268" s="69"/>
      <c r="M268" s="69"/>
      <c r="N268" s="72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</row>
    <row r="269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71"/>
      <c r="L269" s="69"/>
      <c r="M269" s="69"/>
      <c r="N269" s="72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</row>
    <row r="270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71"/>
      <c r="L270" s="69"/>
      <c r="M270" s="69"/>
      <c r="N270" s="72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</row>
    <row r="27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71"/>
      <c r="L271" s="69"/>
      <c r="M271" s="69"/>
      <c r="N271" s="72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</row>
    <row r="272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71"/>
      <c r="L272" s="69"/>
      <c r="M272" s="69"/>
      <c r="N272" s="72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</row>
    <row r="273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71"/>
      <c r="L273" s="69"/>
      <c r="M273" s="69"/>
      <c r="N273" s="72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</row>
    <row r="274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71"/>
      <c r="L274" s="69"/>
      <c r="M274" s="69"/>
      <c r="N274" s="72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</row>
    <row r="27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71"/>
      <c r="L275" s="69"/>
      <c r="M275" s="69"/>
      <c r="N275" s="72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</row>
    <row r="27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71"/>
      <c r="L276" s="69"/>
      <c r="M276" s="69"/>
      <c r="N276" s="72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</row>
    <row r="277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71"/>
      <c r="L277" s="69"/>
      <c r="M277" s="69"/>
      <c r="N277" s="72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</row>
    <row r="278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71"/>
      <c r="L278" s="69"/>
      <c r="M278" s="69"/>
      <c r="N278" s="72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</row>
    <row r="279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71"/>
      <c r="L279" s="69"/>
      <c r="M279" s="69"/>
      <c r="N279" s="72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</row>
    <row r="280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71"/>
      <c r="L280" s="69"/>
      <c r="M280" s="69"/>
      <c r="N280" s="72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</row>
    <row r="28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71"/>
      <c r="L281" s="69"/>
      <c r="M281" s="69"/>
      <c r="N281" s="72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</row>
    <row r="282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71"/>
      <c r="L282" s="69"/>
      <c r="M282" s="69"/>
      <c r="N282" s="72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</row>
    <row r="283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71"/>
      <c r="L283" s="69"/>
      <c r="M283" s="69"/>
      <c r="N283" s="72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</row>
    <row r="284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71"/>
      <c r="L284" s="69"/>
      <c r="M284" s="69"/>
      <c r="N284" s="72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</row>
    <row r="28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71"/>
      <c r="L285" s="69"/>
      <c r="M285" s="69"/>
      <c r="N285" s="72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</row>
    <row r="28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71"/>
      <c r="L286" s="69"/>
      <c r="M286" s="69"/>
      <c r="N286" s="72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</row>
    <row r="287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71"/>
      <c r="L287" s="69"/>
      <c r="M287" s="69"/>
      <c r="N287" s="72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</row>
    <row r="288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71"/>
      <c r="L288" s="69"/>
      <c r="M288" s="69"/>
      <c r="N288" s="72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</row>
    <row r="289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71"/>
      <c r="L289" s="69"/>
      <c r="M289" s="69"/>
      <c r="N289" s="72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</row>
    <row r="290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71"/>
      <c r="L290" s="69"/>
      <c r="M290" s="69"/>
      <c r="N290" s="72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</row>
    <row r="29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71"/>
      <c r="L291" s="69"/>
      <c r="M291" s="69"/>
      <c r="N291" s="72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</row>
    <row r="292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71"/>
      <c r="L292" s="69"/>
      <c r="M292" s="69"/>
      <c r="N292" s="72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</row>
    <row r="293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71"/>
      <c r="L293" s="69"/>
      <c r="M293" s="69"/>
      <c r="N293" s="72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</row>
    <row r="294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71"/>
      <c r="L294" s="69"/>
      <c r="M294" s="69"/>
      <c r="N294" s="72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</row>
    <row r="29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71"/>
      <c r="L295" s="69"/>
      <c r="M295" s="69"/>
      <c r="N295" s="72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</row>
    <row r="29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71"/>
      <c r="L296" s="69"/>
      <c r="M296" s="69"/>
      <c r="N296" s="72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</row>
    <row r="297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71"/>
      <c r="L297" s="69"/>
      <c r="M297" s="69"/>
      <c r="N297" s="72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</row>
    <row r="298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71"/>
      <c r="L298" s="69"/>
      <c r="M298" s="69"/>
      <c r="N298" s="72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</row>
    <row r="299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71"/>
      <c r="L299" s="69"/>
      <c r="M299" s="69"/>
      <c r="N299" s="72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</row>
    <row r="300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71"/>
      <c r="L300" s="69"/>
      <c r="M300" s="69"/>
      <c r="N300" s="72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</row>
    <row r="30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71"/>
      <c r="L301" s="69"/>
      <c r="M301" s="69"/>
      <c r="N301" s="72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</row>
    <row r="302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71"/>
      <c r="L302" s="69"/>
      <c r="M302" s="69"/>
      <c r="N302" s="72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</row>
    <row r="303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71"/>
      <c r="L303" s="69"/>
      <c r="M303" s="69"/>
      <c r="N303" s="72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</row>
    <row r="304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71"/>
      <c r="L304" s="69"/>
      <c r="M304" s="69"/>
      <c r="N304" s="72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</row>
    <row r="30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71"/>
      <c r="L305" s="69"/>
      <c r="M305" s="69"/>
      <c r="N305" s="72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</row>
    <row r="30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71"/>
      <c r="L306" s="69"/>
      <c r="M306" s="69"/>
      <c r="N306" s="72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</row>
    <row r="307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71"/>
      <c r="L307" s="69"/>
      <c r="M307" s="69"/>
      <c r="N307" s="72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</row>
    <row r="308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71"/>
      <c r="L308" s="69"/>
      <c r="M308" s="69"/>
      <c r="N308" s="72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</row>
    <row r="309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71"/>
      <c r="L309" s="69"/>
      <c r="M309" s="69"/>
      <c r="N309" s="72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</row>
    <row r="310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71"/>
      <c r="L310" s="69"/>
      <c r="M310" s="69"/>
      <c r="N310" s="72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</row>
    <row r="31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71"/>
      <c r="L311" s="69"/>
      <c r="M311" s="69"/>
      <c r="N311" s="72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</row>
    <row r="312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71"/>
      <c r="L312" s="69"/>
      <c r="M312" s="69"/>
      <c r="N312" s="72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</row>
    <row r="313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71"/>
      <c r="L313" s="69"/>
      <c r="M313" s="69"/>
      <c r="N313" s="72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</row>
    <row r="314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71"/>
      <c r="L314" s="69"/>
      <c r="M314" s="69"/>
      <c r="N314" s="72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</row>
    <row r="31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71"/>
      <c r="L315" s="69"/>
      <c r="M315" s="69"/>
      <c r="N315" s="72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</row>
    <row r="3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71"/>
      <c r="L316" s="69"/>
      <c r="M316" s="69"/>
      <c r="N316" s="72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</row>
    <row r="317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71"/>
      <c r="L317" s="69"/>
      <c r="M317" s="69"/>
      <c r="N317" s="72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</row>
    <row r="318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71"/>
      <c r="L318" s="69"/>
      <c r="M318" s="69"/>
      <c r="N318" s="72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</row>
    <row r="319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71"/>
      <c r="L319" s="69"/>
      <c r="M319" s="69"/>
      <c r="N319" s="72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</row>
    <row r="320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71"/>
      <c r="L320" s="69"/>
      <c r="M320" s="69"/>
      <c r="N320" s="72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</row>
    <row r="32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71"/>
      <c r="L321" s="69"/>
      <c r="M321" s="69"/>
      <c r="N321" s="72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</row>
    <row r="322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71"/>
      <c r="L322" s="69"/>
      <c r="M322" s="69"/>
      <c r="N322" s="72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</row>
    <row r="323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71"/>
      <c r="L323" s="69"/>
      <c r="M323" s="69"/>
      <c r="N323" s="72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</row>
    <row r="324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71"/>
      <c r="L324" s="69"/>
      <c r="M324" s="69"/>
      <c r="N324" s="72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</row>
    <row r="3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71"/>
      <c r="L325" s="69"/>
      <c r="M325" s="69"/>
      <c r="N325" s="72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</row>
    <row r="32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71"/>
      <c r="L326" s="69"/>
      <c r="M326" s="69"/>
      <c r="N326" s="72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</row>
    <row r="327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71"/>
      <c r="L327" s="69"/>
      <c r="M327" s="69"/>
      <c r="N327" s="72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</row>
    <row r="328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71"/>
      <c r="L328" s="69"/>
      <c r="M328" s="69"/>
      <c r="N328" s="72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</row>
    <row r="329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71"/>
      <c r="L329" s="69"/>
      <c r="M329" s="69"/>
      <c r="N329" s="72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</row>
    <row r="330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71"/>
      <c r="L330" s="69"/>
      <c r="M330" s="69"/>
      <c r="N330" s="72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</row>
    <row r="33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71"/>
      <c r="L331" s="69"/>
      <c r="M331" s="69"/>
      <c r="N331" s="72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</row>
    <row r="332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71"/>
      <c r="L332" s="69"/>
      <c r="M332" s="69"/>
      <c r="N332" s="72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</row>
    <row r="333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71"/>
      <c r="L333" s="69"/>
      <c r="M333" s="69"/>
      <c r="N333" s="72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</row>
    <row r="334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71"/>
      <c r="L334" s="69"/>
      <c r="M334" s="69"/>
      <c r="N334" s="72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</row>
    <row r="33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71"/>
      <c r="L335" s="69"/>
      <c r="M335" s="69"/>
      <c r="N335" s="72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</row>
    <row r="33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71"/>
      <c r="L336" s="69"/>
      <c r="M336" s="69"/>
      <c r="N336" s="72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</row>
    <row r="337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71"/>
      <c r="L337" s="69"/>
      <c r="M337" s="69"/>
      <c r="N337" s="72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</row>
    <row r="338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71"/>
      <c r="L338" s="69"/>
      <c r="M338" s="69"/>
      <c r="N338" s="72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</row>
    <row r="339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71"/>
      <c r="L339" s="69"/>
      <c r="M339" s="69"/>
      <c r="N339" s="72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</row>
    <row r="340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71"/>
      <c r="L340" s="69"/>
      <c r="M340" s="69"/>
      <c r="N340" s="72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</row>
    <row r="34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71"/>
      <c r="L341" s="69"/>
      <c r="M341" s="69"/>
      <c r="N341" s="72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</row>
    <row r="342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71"/>
      <c r="L342" s="69"/>
      <c r="M342" s="69"/>
      <c r="N342" s="72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</row>
    <row r="343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71"/>
      <c r="L343" s="69"/>
      <c r="M343" s="69"/>
      <c r="N343" s="72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</row>
    <row r="344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71"/>
      <c r="L344" s="69"/>
      <c r="M344" s="69"/>
      <c r="N344" s="72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</row>
    <row r="34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71"/>
      <c r="L345" s="69"/>
      <c r="M345" s="69"/>
      <c r="N345" s="72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</row>
    <row r="34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71"/>
      <c r="L346" s="69"/>
      <c r="M346" s="69"/>
      <c r="N346" s="72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</row>
    <row r="347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71"/>
      <c r="L347" s="69"/>
      <c r="M347" s="69"/>
      <c r="N347" s="72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</row>
    <row r="348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71"/>
      <c r="L348" s="69"/>
      <c r="M348" s="69"/>
      <c r="N348" s="72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</row>
    <row r="349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71"/>
      <c r="L349" s="69"/>
      <c r="M349" s="69"/>
      <c r="N349" s="72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</row>
    <row r="350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71"/>
      <c r="L350" s="69"/>
      <c r="M350" s="69"/>
      <c r="N350" s="72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</row>
    <row r="35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71"/>
      <c r="L351" s="69"/>
      <c r="M351" s="69"/>
      <c r="N351" s="72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</row>
    <row r="352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71"/>
      <c r="L352" s="69"/>
      <c r="M352" s="69"/>
      <c r="N352" s="72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</row>
    <row r="353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71"/>
      <c r="L353" s="69"/>
      <c r="M353" s="69"/>
      <c r="N353" s="72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</row>
    <row r="354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71"/>
      <c r="L354" s="69"/>
      <c r="M354" s="69"/>
      <c r="N354" s="72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</row>
    <row r="35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71"/>
      <c r="L355" s="69"/>
      <c r="M355" s="69"/>
      <c r="N355" s="72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</row>
    <row r="35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71"/>
      <c r="L356" s="69"/>
      <c r="M356" s="69"/>
      <c r="N356" s="72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</row>
    <row r="357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71"/>
      <c r="L357" s="69"/>
      <c r="M357" s="69"/>
      <c r="N357" s="72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</row>
    <row r="358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71"/>
      <c r="L358" s="69"/>
      <c r="M358" s="69"/>
      <c r="N358" s="72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</row>
    <row r="359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71"/>
      <c r="L359" s="69"/>
      <c r="M359" s="69"/>
      <c r="N359" s="72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</row>
    <row r="360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71"/>
      <c r="L360" s="69"/>
      <c r="M360" s="69"/>
      <c r="N360" s="72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</row>
    <row r="36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71"/>
      <c r="L361" s="69"/>
      <c r="M361" s="69"/>
      <c r="N361" s="72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</row>
    <row r="362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71"/>
      <c r="L362" s="69"/>
      <c r="M362" s="69"/>
      <c r="N362" s="72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</row>
    <row r="363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71"/>
      <c r="L363" s="69"/>
      <c r="M363" s="69"/>
      <c r="N363" s="72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</row>
    <row r="364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71"/>
      <c r="L364" s="69"/>
      <c r="M364" s="69"/>
      <c r="N364" s="72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</row>
    <row r="36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71"/>
      <c r="L365" s="69"/>
      <c r="M365" s="69"/>
      <c r="N365" s="72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</row>
    <row r="36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71"/>
      <c r="L366" s="69"/>
      <c r="M366" s="69"/>
      <c r="N366" s="72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</row>
    <row r="367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71"/>
      <c r="L367" s="69"/>
      <c r="M367" s="69"/>
      <c r="N367" s="72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</row>
    <row r="368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71"/>
      <c r="L368" s="69"/>
      <c r="M368" s="69"/>
      <c r="N368" s="72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</row>
    <row r="369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71"/>
      <c r="L369" s="69"/>
      <c r="M369" s="69"/>
      <c r="N369" s="72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</row>
    <row r="370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71"/>
      <c r="L370" s="69"/>
      <c r="M370" s="69"/>
      <c r="N370" s="72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</row>
    <row r="37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71"/>
      <c r="L371" s="69"/>
      <c r="M371" s="69"/>
      <c r="N371" s="72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</row>
    <row r="372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71"/>
      <c r="L372" s="69"/>
      <c r="M372" s="69"/>
      <c r="N372" s="72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</row>
    <row r="373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71"/>
      <c r="L373" s="69"/>
      <c r="M373" s="69"/>
      <c r="N373" s="72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</row>
    <row r="374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71"/>
      <c r="L374" s="69"/>
      <c r="M374" s="69"/>
      <c r="N374" s="72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</row>
    <row r="37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71"/>
      <c r="L375" s="69"/>
      <c r="M375" s="69"/>
      <c r="N375" s="72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</row>
    <row r="376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71"/>
      <c r="L376" s="69"/>
      <c r="M376" s="69"/>
      <c r="N376" s="72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</row>
    <row r="377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71"/>
      <c r="L377" s="69"/>
      <c r="M377" s="69"/>
      <c r="N377" s="72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</row>
    <row r="378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71"/>
      <c r="L378" s="69"/>
      <c r="M378" s="69"/>
      <c r="N378" s="72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</row>
    <row r="379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71"/>
      <c r="L379" s="69"/>
      <c r="M379" s="69"/>
      <c r="N379" s="72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</row>
    <row r="380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71"/>
      <c r="L380" s="69"/>
      <c r="M380" s="69"/>
      <c r="N380" s="72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</row>
    <row r="38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71"/>
      <c r="L381" s="69"/>
      <c r="M381" s="69"/>
      <c r="N381" s="72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</row>
    <row r="382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71"/>
      <c r="L382" s="69"/>
      <c r="M382" s="69"/>
      <c r="N382" s="72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</row>
    <row r="383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71"/>
      <c r="L383" s="69"/>
      <c r="M383" s="69"/>
      <c r="N383" s="72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</row>
    <row r="384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71"/>
      <c r="L384" s="69"/>
      <c r="M384" s="69"/>
      <c r="N384" s="72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</row>
    <row r="38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71"/>
      <c r="L385" s="69"/>
      <c r="M385" s="69"/>
      <c r="N385" s="72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</row>
    <row r="386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71"/>
      <c r="L386" s="69"/>
      <c r="M386" s="69"/>
      <c r="N386" s="72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</row>
    <row r="387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71"/>
      <c r="L387" s="69"/>
      <c r="M387" s="69"/>
      <c r="N387" s="72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</row>
    <row r="388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71"/>
      <c r="L388" s="69"/>
      <c r="M388" s="69"/>
      <c r="N388" s="72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</row>
    <row r="389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71"/>
      <c r="L389" s="69"/>
      <c r="M389" s="69"/>
      <c r="N389" s="72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</row>
    <row r="390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71"/>
      <c r="L390" s="69"/>
      <c r="M390" s="69"/>
      <c r="N390" s="72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</row>
    <row r="39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71"/>
      <c r="L391" s="69"/>
      <c r="M391" s="69"/>
      <c r="N391" s="72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</row>
    <row r="392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71"/>
      <c r="L392" s="69"/>
      <c r="M392" s="69"/>
      <c r="N392" s="72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</row>
    <row r="393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71"/>
      <c r="L393" s="69"/>
      <c r="M393" s="69"/>
      <c r="N393" s="72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</row>
    <row r="394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71"/>
      <c r="L394" s="69"/>
      <c r="M394" s="69"/>
      <c r="N394" s="72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</row>
    <row r="39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71"/>
      <c r="L395" s="69"/>
      <c r="M395" s="69"/>
      <c r="N395" s="72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</row>
    <row r="396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71"/>
      <c r="L396" s="69"/>
      <c r="M396" s="69"/>
      <c r="N396" s="72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</row>
    <row r="397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71"/>
      <c r="L397" s="69"/>
      <c r="M397" s="69"/>
      <c r="N397" s="72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</row>
    <row r="398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71"/>
      <c r="L398" s="69"/>
      <c r="M398" s="69"/>
      <c r="N398" s="72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</row>
    <row r="399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71"/>
      <c r="L399" s="69"/>
      <c r="M399" s="69"/>
      <c r="N399" s="72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</row>
    <row r="400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71"/>
      <c r="L400" s="69"/>
      <c r="M400" s="69"/>
      <c r="N400" s="72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</row>
    <row r="40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71"/>
      <c r="L401" s="69"/>
      <c r="M401" s="69"/>
      <c r="N401" s="72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</row>
    <row r="402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71"/>
      <c r="L402" s="69"/>
      <c r="M402" s="69"/>
      <c r="N402" s="72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</row>
    <row r="403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71"/>
      <c r="L403" s="69"/>
      <c r="M403" s="69"/>
      <c r="N403" s="72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</row>
    <row r="404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71"/>
      <c r="L404" s="69"/>
      <c r="M404" s="69"/>
      <c r="N404" s="72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</row>
    <row r="40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71"/>
      <c r="L405" s="69"/>
      <c r="M405" s="69"/>
      <c r="N405" s="72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</row>
    <row r="406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71"/>
      <c r="L406" s="69"/>
      <c r="M406" s="69"/>
      <c r="N406" s="72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</row>
    <row r="407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71"/>
      <c r="L407" s="69"/>
      <c r="M407" s="69"/>
      <c r="N407" s="72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</row>
    <row r="408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71"/>
      <c r="L408" s="69"/>
      <c r="M408" s="69"/>
      <c r="N408" s="72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</row>
    <row r="409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71"/>
      <c r="L409" s="69"/>
      <c r="M409" s="69"/>
      <c r="N409" s="72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</row>
    <row r="410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71"/>
      <c r="L410" s="69"/>
      <c r="M410" s="69"/>
      <c r="N410" s="72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</row>
    <row r="41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71"/>
      <c r="L411" s="69"/>
      <c r="M411" s="69"/>
      <c r="N411" s="72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</row>
    <row r="412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71"/>
      <c r="L412" s="69"/>
      <c r="M412" s="69"/>
      <c r="N412" s="72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</row>
    <row r="413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71"/>
      <c r="L413" s="69"/>
      <c r="M413" s="69"/>
      <c r="N413" s="72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</row>
    <row r="414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71"/>
      <c r="L414" s="69"/>
      <c r="M414" s="69"/>
      <c r="N414" s="72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</row>
    <row r="41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71"/>
      <c r="L415" s="69"/>
      <c r="M415" s="69"/>
      <c r="N415" s="72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</row>
    <row r="416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71"/>
      <c r="L416" s="69"/>
      <c r="M416" s="69"/>
      <c r="N416" s="72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</row>
    <row r="417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71"/>
      <c r="L417" s="69"/>
      <c r="M417" s="69"/>
      <c r="N417" s="72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</row>
    <row r="418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71"/>
      <c r="L418" s="69"/>
      <c r="M418" s="69"/>
      <c r="N418" s="72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</row>
    <row r="419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71"/>
      <c r="L419" s="69"/>
      <c r="M419" s="69"/>
      <c r="N419" s="72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</row>
    <row r="420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71"/>
      <c r="L420" s="69"/>
      <c r="M420" s="69"/>
      <c r="N420" s="72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</row>
    <row r="42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71"/>
      <c r="L421" s="69"/>
      <c r="M421" s="69"/>
      <c r="N421" s="72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</row>
    <row r="422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71"/>
      <c r="L422" s="69"/>
      <c r="M422" s="69"/>
      <c r="N422" s="72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</row>
    <row r="423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71"/>
      <c r="L423" s="69"/>
      <c r="M423" s="69"/>
      <c r="N423" s="72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</row>
    <row r="424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71"/>
      <c r="L424" s="69"/>
      <c r="M424" s="69"/>
      <c r="N424" s="72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</row>
    <row r="4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71"/>
      <c r="L425" s="69"/>
      <c r="M425" s="69"/>
      <c r="N425" s="72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</row>
    <row r="426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71"/>
      <c r="L426" s="69"/>
      <c r="M426" s="69"/>
      <c r="N426" s="72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</row>
    <row r="427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71"/>
      <c r="L427" s="69"/>
      <c r="M427" s="69"/>
      <c r="N427" s="72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</row>
    <row r="428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71"/>
      <c r="L428" s="69"/>
      <c r="M428" s="69"/>
      <c r="N428" s="72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</row>
    <row r="429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71"/>
      <c r="L429" s="69"/>
      <c r="M429" s="69"/>
      <c r="N429" s="72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</row>
    <row r="430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71"/>
      <c r="L430" s="69"/>
      <c r="M430" s="69"/>
      <c r="N430" s="72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</row>
    <row r="43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71"/>
      <c r="L431" s="69"/>
      <c r="M431" s="69"/>
      <c r="N431" s="72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</row>
    <row r="432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71"/>
      <c r="L432" s="69"/>
      <c r="M432" s="69"/>
      <c r="N432" s="72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</row>
    <row r="433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71"/>
      <c r="L433" s="69"/>
      <c r="M433" s="69"/>
      <c r="N433" s="72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</row>
    <row r="434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71"/>
      <c r="L434" s="69"/>
      <c r="M434" s="69"/>
      <c r="N434" s="72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</row>
    <row r="43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71"/>
      <c r="L435" s="69"/>
      <c r="M435" s="69"/>
      <c r="N435" s="72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</row>
    <row r="436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71"/>
      <c r="L436" s="69"/>
      <c r="M436" s="69"/>
      <c r="N436" s="72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</row>
    <row r="437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71"/>
      <c r="L437" s="69"/>
      <c r="M437" s="69"/>
      <c r="N437" s="72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</row>
    <row r="438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71"/>
      <c r="L438" s="69"/>
      <c r="M438" s="69"/>
      <c r="N438" s="72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</row>
    <row r="439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71"/>
      <c r="L439" s="69"/>
      <c r="M439" s="69"/>
      <c r="N439" s="72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</row>
    <row r="440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71"/>
      <c r="L440" s="69"/>
      <c r="M440" s="69"/>
      <c r="N440" s="72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</row>
    <row r="44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71"/>
      <c r="L441" s="69"/>
      <c r="M441" s="69"/>
      <c r="N441" s="72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</row>
    <row r="442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71"/>
      <c r="L442" s="69"/>
      <c r="M442" s="69"/>
      <c r="N442" s="72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</row>
    <row r="443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71"/>
      <c r="L443" s="69"/>
      <c r="M443" s="69"/>
      <c r="N443" s="72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</row>
    <row r="444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71"/>
      <c r="L444" s="69"/>
      <c r="M444" s="69"/>
      <c r="N444" s="72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</row>
    <row r="44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71"/>
      <c r="L445" s="69"/>
      <c r="M445" s="69"/>
      <c r="N445" s="72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</row>
    <row r="446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71"/>
      <c r="L446" s="69"/>
      <c r="M446" s="69"/>
      <c r="N446" s="72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</row>
    <row r="447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71"/>
      <c r="L447" s="69"/>
      <c r="M447" s="69"/>
      <c r="N447" s="72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</row>
    <row r="448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71"/>
      <c r="L448" s="69"/>
      <c r="M448" s="69"/>
      <c r="N448" s="72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</row>
    <row r="449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71"/>
      <c r="L449" s="69"/>
      <c r="M449" s="69"/>
      <c r="N449" s="72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</row>
    <row r="450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71"/>
      <c r="L450" s="69"/>
      <c r="M450" s="69"/>
      <c r="N450" s="72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</row>
    <row r="45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71"/>
      <c r="L451" s="69"/>
      <c r="M451" s="69"/>
      <c r="N451" s="72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</row>
    <row r="452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71"/>
      <c r="L452" s="69"/>
      <c r="M452" s="69"/>
      <c r="N452" s="72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</row>
    <row r="453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71"/>
      <c r="L453" s="69"/>
      <c r="M453" s="69"/>
      <c r="N453" s="72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</row>
    <row r="454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71"/>
      <c r="L454" s="69"/>
      <c r="M454" s="69"/>
      <c r="N454" s="72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</row>
    <row r="45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71"/>
      <c r="L455" s="69"/>
      <c r="M455" s="69"/>
      <c r="N455" s="72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</row>
    <row r="456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71"/>
      <c r="L456" s="69"/>
      <c r="M456" s="69"/>
      <c r="N456" s="72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</row>
    <row r="457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71"/>
      <c r="L457" s="69"/>
      <c r="M457" s="69"/>
      <c r="N457" s="72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</row>
    <row r="458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71"/>
      <c r="L458" s="69"/>
      <c r="M458" s="69"/>
      <c r="N458" s="72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</row>
    <row r="459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71"/>
      <c r="L459" s="69"/>
      <c r="M459" s="69"/>
      <c r="N459" s="72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</row>
    <row r="460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71"/>
      <c r="L460" s="69"/>
      <c r="M460" s="69"/>
      <c r="N460" s="72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</row>
    <row r="46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71"/>
      <c r="L461" s="69"/>
      <c r="M461" s="69"/>
      <c r="N461" s="72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</row>
    <row r="462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71"/>
      <c r="L462" s="69"/>
      <c r="M462" s="69"/>
      <c r="N462" s="72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</row>
    <row r="463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71"/>
      <c r="L463" s="69"/>
      <c r="M463" s="69"/>
      <c r="N463" s="72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</row>
    <row r="464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71"/>
      <c r="L464" s="69"/>
      <c r="M464" s="69"/>
      <c r="N464" s="72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</row>
    <row r="46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71"/>
      <c r="L465" s="69"/>
      <c r="M465" s="69"/>
      <c r="N465" s="72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</row>
    <row r="466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71"/>
      <c r="L466" s="69"/>
      <c r="M466" s="69"/>
      <c r="N466" s="72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</row>
    <row r="467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71"/>
      <c r="L467" s="69"/>
      <c r="M467" s="69"/>
      <c r="N467" s="72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</row>
    <row r="468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71"/>
      <c r="L468" s="69"/>
      <c r="M468" s="69"/>
      <c r="N468" s="72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</row>
    <row r="469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71"/>
      <c r="L469" s="69"/>
      <c r="M469" s="69"/>
      <c r="N469" s="72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</row>
    <row r="470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71"/>
      <c r="L470" s="69"/>
      <c r="M470" s="69"/>
      <c r="N470" s="72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</row>
    <row r="47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71"/>
      <c r="L471" s="69"/>
      <c r="M471" s="69"/>
      <c r="N471" s="72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</row>
    <row r="472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71"/>
      <c r="L472" s="69"/>
      <c r="M472" s="69"/>
      <c r="N472" s="72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</row>
    <row r="473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71"/>
      <c r="L473" s="69"/>
      <c r="M473" s="69"/>
      <c r="N473" s="72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</row>
    <row r="474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71"/>
      <c r="L474" s="69"/>
      <c r="M474" s="69"/>
      <c r="N474" s="72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</row>
    <row r="47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71"/>
      <c r="L475" s="69"/>
      <c r="M475" s="69"/>
      <c r="N475" s="72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</row>
    <row r="476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71"/>
      <c r="L476" s="69"/>
      <c r="M476" s="69"/>
      <c r="N476" s="72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</row>
    <row r="477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71"/>
      <c r="L477" s="69"/>
      <c r="M477" s="69"/>
      <c r="N477" s="72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</row>
    <row r="478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71"/>
      <c r="L478" s="69"/>
      <c r="M478" s="69"/>
      <c r="N478" s="72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</row>
    <row r="479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71"/>
      <c r="L479" s="69"/>
      <c r="M479" s="69"/>
      <c r="N479" s="72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</row>
    <row r="480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71"/>
      <c r="L480" s="69"/>
      <c r="M480" s="69"/>
      <c r="N480" s="72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</row>
    <row r="48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71"/>
      <c r="L481" s="69"/>
      <c r="M481" s="69"/>
      <c r="N481" s="72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</row>
    <row r="482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71"/>
      <c r="L482" s="69"/>
      <c r="M482" s="69"/>
      <c r="N482" s="72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</row>
    <row r="483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71"/>
      <c r="L483" s="69"/>
      <c r="M483" s="69"/>
      <c r="N483" s="72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</row>
    <row r="484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71"/>
      <c r="L484" s="69"/>
      <c r="M484" s="69"/>
      <c r="N484" s="72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</row>
    <row r="48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71"/>
      <c r="L485" s="69"/>
      <c r="M485" s="69"/>
      <c r="N485" s="72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</row>
    <row r="486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71"/>
      <c r="L486" s="69"/>
      <c r="M486" s="69"/>
      <c r="N486" s="72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</row>
    <row r="487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71"/>
      <c r="L487" s="69"/>
      <c r="M487" s="69"/>
      <c r="N487" s="72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</row>
    <row r="488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71"/>
      <c r="L488" s="69"/>
      <c r="M488" s="69"/>
      <c r="N488" s="72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</row>
    <row r="489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71"/>
      <c r="L489" s="69"/>
      <c r="M489" s="69"/>
      <c r="N489" s="72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</row>
    <row r="490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71"/>
      <c r="L490" s="69"/>
      <c r="M490" s="69"/>
      <c r="N490" s="72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</row>
    <row r="49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71"/>
      <c r="L491" s="69"/>
      <c r="M491" s="69"/>
      <c r="N491" s="72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</row>
    <row r="492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71"/>
      <c r="L492" s="69"/>
      <c r="M492" s="69"/>
      <c r="N492" s="72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</row>
    <row r="493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71"/>
      <c r="L493" s="69"/>
      <c r="M493" s="69"/>
      <c r="N493" s="72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</row>
    <row r="494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71"/>
      <c r="L494" s="69"/>
      <c r="M494" s="69"/>
      <c r="N494" s="72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</row>
    <row r="49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71"/>
      <c r="L495" s="69"/>
      <c r="M495" s="69"/>
      <c r="N495" s="72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</row>
    <row r="49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71"/>
      <c r="L496" s="69"/>
      <c r="M496" s="69"/>
      <c r="N496" s="72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</row>
    <row r="497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71"/>
      <c r="L497" s="69"/>
      <c r="M497" s="69"/>
      <c r="N497" s="72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</row>
    <row r="498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71"/>
      <c r="L498" s="69"/>
      <c r="M498" s="69"/>
      <c r="N498" s="72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</row>
    <row r="499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71"/>
      <c r="L499" s="69"/>
      <c r="M499" s="69"/>
      <c r="N499" s="72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</row>
    <row r="500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71"/>
      <c r="L500" s="69"/>
      <c r="M500" s="69"/>
      <c r="N500" s="72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</row>
    <row r="50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71"/>
      <c r="L501" s="69"/>
      <c r="M501" s="69"/>
      <c r="N501" s="72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</row>
    <row r="502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71"/>
      <c r="L502" s="69"/>
      <c r="M502" s="69"/>
      <c r="N502" s="72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</row>
    <row r="503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71"/>
      <c r="L503" s="69"/>
      <c r="M503" s="69"/>
      <c r="N503" s="72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</row>
    <row r="504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71"/>
      <c r="L504" s="69"/>
      <c r="M504" s="69"/>
      <c r="N504" s="72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</row>
    <row r="50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71"/>
      <c r="L505" s="69"/>
      <c r="M505" s="69"/>
      <c r="N505" s="72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</row>
    <row r="50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71"/>
      <c r="L506" s="69"/>
      <c r="M506" s="69"/>
      <c r="N506" s="72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</row>
    <row r="507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71"/>
      <c r="L507" s="69"/>
      <c r="M507" s="69"/>
      <c r="N507" s="72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</row>
    <row r="508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71"/>
      <c r="L508" s="69"/>
      <c r="M508" s="69"/>
      <c r="N508" s="72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</row>
    <row r="509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71"/>
      <c r="L509" s="69"/>
      <c r="M509" s="69"/>
      <c r="N509" s="72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</row>
    <row r="510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71"/>
      <c r="L510" s="69"/>
      <c r="M510" s="69"/>
      <c r="N510" s="72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</row>
    <row r="51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71"/>
      <c r="L511" s="69"/>
      <c r="M511" s="69"/>
      <c r="N511" s="72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</row>
    <row r="512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71"/>
      <c r="L512" s="69"/>
      <c r="M512" s="69"/>
      <c r="N512" s="72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</row>
    <row r="513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71"/>
      <c r="L513" s="69"/>
      <c r="M513" s="69"/>
      <c r="N513" s="72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</row>
    <row r="514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71"/>
      <c r="L514" s="69"/>
      <c r="M514" s="69"/>
      <c r="N514" s="72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</row>
    <row r="51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71"/>
      <c r="L515" s="69"/>
      <c r="M515" s="69"/>
      <c r="N515" s="72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</row>
    <row r="5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71"/>
      <c r="L516" s="69"/>
      <c r="M516" s="69"/>
      <c r="N516" s="72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</row>
    <row r="517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71"/>
      <c r="L517" s="69"/>
      <c r="M517" s="69"/>
      <c r="N517" s="72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</row>
    <row r="518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71"/>
      <c r="L518" s="69"/>
      <c r="M518" s="69"/>
      <c r="N518" s="72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</row>
    <row r="519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71"/>
      <c r="L519" s="69"/>
      <c r="M519" s="69"/>
      <c r="N519" s="72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</row>
    <row r="520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71"/>
      <c r="L520" s="69"/>
      <c r="M520" s="69"/>
      <c r="N520" s="72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</row>
    <row r="52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71"/>
      <c r="L521" s="69"/>
      <c r="M521" s="69"/>
      <c r="N521" s="72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</row>
    <row r="522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71"/>
      <c r="L522" s="69"/>
      <c r="M522" s="69"/>
      <c r="N522" s="72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</row>
    <row r="523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71"/>
      <c r="L523" s="69"/>
      <c r="M523" s="69"/>
      <c r="N523" s="72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</row>
    <row r="524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71"/>
      <c r="L524" s="69"/>
      <c r="M524" s="69"/>
      <c r="N524" s="72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</row>
    <row r="5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71"/>
      <c r="L525" s="69"/>
      <c r="M525" s="69"/>
      <c r="N525" s="72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</row>
    <row r="52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71"/>
      <c r="L526" s="69"/>
      <c r="M526" s="69"/>
      <c r="N526" s="72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</row>
    <row r="527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71"/>
      <c r="L527" s="69"/>
      <c r="M527" s="69"/>
      <c r="N527" s="72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</row>
    <row r="528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71"/>
      <c r="L528" s="69"/>
      <c r="M528" s="69"/>
      <c r="N528" s="72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</row>
    <row r="529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71"/>
      <c r="L529" s="69"/>
      <c r="M529" s="69"/>
      <c r="N529" s="72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</row>
    <row r="530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71"/>
      <c r="L530" s="69"/>
      <c r="M530" s="69"/>
      <c r="N530" s="72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</row>
    <row r="53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71"/>
      <c r="L531" s="69"/>
      <c r="M531" s="69"/>
      <c r="N531" s="72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</row>
    <row r="532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71"/>
      <c r="L532" s="69"/>
      <c r="M532" s="69"/>
      <c r="N532" s="72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  <c r="AI532" s="69"/>
      <c r="AJ532" s="69"/>
      <c r="AK532" s="69"/>
      <c r="AL532" s="69"/>
      <c r="AM532" s="69"/>
      <c r="AN532" s="69"/>
      <c r="AO532" s="69"/>
      <c r="AP532" s="69"/>
      <c r="AQ532" s="69"/>
      <c r="AR532" s="69"/>
      <c r="AS532" s="69"/>
      <c r="AT532" s="69"/>
      <c r="AU532" s="69"/>
      <c r="AV532" s="69"/>
      <c r="AW532" s="69"/>
      <c r="AX532" s="69"/>
      <c r="AY532" s="69"/>
      <c r="AZ532" s="69"/>
      <c r="BA532" s="69"/>
      <c r="BB532" s="69"/>
      <c r="BC532" s="69"/>
    </row>
    <row r="533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71"/>
      <c r="L533" s="69"/>
      <c r="M533" s="69"/>
      <c r="N533" s="72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</row>
    <row r="534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71"/>
      <c r="L534" s="69"/>
      <c r="M534" s="69"/>
      <c r="N534" s="72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</row>
    <row r="53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71"/>
      <c r="L535" s="69"/>
      <c r="M535" s="69"/>
      <c r="N535" s="72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</row>
    <row r="53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71"/>
      <c r="L536" s="69"/>
      <c r="M536" s="69"/>
      <c r="N536" s="72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</row>
    <row r="537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71"/>
      <c r="L537" s="69"/>
      <c r="M537" s="69"/>
      <c r="N537" s="72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</row>
    <row r="538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71"/>
      <c r="L538" s="69"/>
      <c r="M538" s="69"/>
      <c r="N538" s="72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</row>
    <row r="539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71"/>
      <c r="L539" s="69"/>
      <c r="M539" s="69"/>
      <c r="N539" s="72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</row>
    <row r="540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71"/>
      <c r="L540" s="69"/>
      <c r="M540" s="69"/>
      <c r="N540" s="72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</row>
    <row r="54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71"/>
      <c r="L541" s="69"/>
      <c r="M541" s="69"/>
      <c r="N541" s="72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</row>
    <row r="542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71"/>
      <c r="L542" s="69"/>
      <c r="M542" s="69"/>
      <c r="N542" s="72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</row>
    <row r="543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71"/>
      <c r="L543" s="69"/>
      <c r="M543" s="69"/>
      <c r="N543" s="72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</row>
    <row r="544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71"/>
      <c r="L544" s="69"/>
      <c r="M544" s="69"/>
      <c r="N544" s="72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</row>
    <row r="54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71"/>
      <c r="L545" s="69"/>
      <c r="M545" s="69"/>
      <c r="N545" s="72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</row>
    <row r="546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71"/>
      <c r="L546" s="69"/>
      <c r="M546" s="69"/>
      <c r="N546" s="72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</row>
    <row r="547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71"/>
      <c r="L547" s="69"/>
      <c r="M547" s="69"/>
      <c r="N547" s="72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</row>
    <row r="548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71"/>
      <c r="L548" s="69"/>
      <c r="M548" s="69"/>
      <c r="N548" s="72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</row>
    <row r="549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71"/>
      <c r="L549" s="69"/>
      <c r="M549" s="69"/>
      <c r="N549" s="72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</row>
    <row r="550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71"/>
      <c r="L550" s="69"/>
      <c r="M550" s="69"/>
      <c r="N550" s="72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</row>
    <row r="55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71"/>
      <c r="L551" s="69"/>
      <c r="M551" s="69"/>
      <c r="N551" s="72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</row>
    <row r="552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71"/>
      <c r="L552" s="69"/>
      <c r="M552" s="69"/>
      <c r="N552" s="72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</row>
    <row r="553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71"/>
      <c r="L553" s="69"/>
      <c r="M553" s="69"/>
      <c r="N553" s="72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</row>
    <row r="554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71"/>
      <c r="L554" s="69"/>
      <c r="M554" s="69"/>
      <c r="N554" s="72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</row>
    <row r="55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71"/>
      <c r="L555" s="69"/>
      <c r="M555" s="69"/>
      <c r="N555" s="72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</row>
    <row r="556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71"/>
      <c r="L556" s="69"/>
      <c r="M556" s="69"/>
      <c r="N556" s="72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</row>
    <row r="557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71"/>
      <c r="L557" s="69"/>
      <c r="M557" s="69"/>
      <c r="N557" s="72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</row>
    <row r="558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71"/>
      <c r="L558" s="69"/>
      <c r="M558" s="69"/>
      <c r="N558" s="72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</row>
    <row r="559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71"/>
      <c r="L559" s="69"/>
      <c r="M559" s="69"/>
      <c r="N559" s="72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</row>
    <row r="560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71"/>
      <c r="L560" s="69"/>
      <c r="M560" s="69"/>
      <c r="N560" s="72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</row>
    <row r="56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71"/>
      <c r="L561" s="69"/>
      <c r="M561" s="69"/>
      <c r="N561" s="72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</row>
    <row r="562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71"/>
      <c r="L562" s="69"/>
      <c r="M562" s="69"/>
      <c r="N562" s="72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</row>
    <row r="563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71"/>
      <c r="L563" s="69"/>
      <c r="M563" s="69"/>
      <c r="N563" s="72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</row>
    <row r="564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71"/>
      <c r="L564" s="69"/>
      <c r="M564" s="69"/>
      <c r="N564" s="72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69"/>
      <c r="AS564" s="69"/>
      <c r="AT564" s="69"/>
      <c r="AU564" s="69"/>
      <c r="AV564" s="69"/>
      <c r="AW564" s="69"/>
      <c r="AX564" s="69"/>
      <c r="AY564" s="69"/>
      <c r="AZ564" s="69"/>
      <c r="BA564" s="69"/>
      <c r="BB564" s="69"/>
      <c r="BC564" s="69"/>
    </row>
    <row r="56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71"/>
      <c r="L565" s="69"/>
      <c r="M565" s="69"/>
      <c r="N565" s="72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69"/>
      <c r="AS565" s="69"/>
      <c r="AT565" s="69"/>
      <c r="AU565" s="69"/>
      <c r="AV565" s="69"/>
      <c r="AW565" s="69"/>
      <c r="AX565" s="69"/>
      <c r="AY565" s="69"/>
      <c r="AZ565" s="69"/>
      <c r="BA565" s="69"/>
      <c r="BB565" s="69"/>
      <c r="BC565" s="69"/>
    </row>
    <row r="566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71"/>
      <c r="L566" s="69"/>
      <c r="M566" s="69"/>
      <c r="N566" s="72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69"/>
      <c r="AS566" s="69"/>
      <c r="AT566" s="69"/>
      <c r="AU566" s="69"/>
      <c r="AV566" s="69"/>
      <c r="AW566" s="69"/>
      <c r="AX566" s="69"/>
      <c r="AY566" s="69"/>
      <c r="AZ566" s="69"/>
      <c r="BA566" s="69"/>
      <c r="BB566" s="69"/>
      <c r="BC566" s="69"/>
    </row>
    <row r="567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71"/>
      <c r="L567" s="69"/>
      <c r="M567" s="69"/>
      <c r="N567" s="72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69"/>
      <c r="AS567" s="69"/>
      <c r="AT567" s="69"/>
      <c r="AU567" s="69"/>
      <c r="AV567" s="69"/>
      <c r="AW567" s="69"/>
      <c r="AX567" s="69"/>
      <c r="AY567" s="69"/>
      <c r="AZ567" s="69"/>
      <c r="BA567" s="69"/>
      <c r="BB567" s="69"/>
      <c r="BC567" s="69"/>
    </row>
    <row r="568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71"/>
      <c r="L568" s="69"/>
      <c r="M568" s="69"/>
      <c r="N568" s="72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69"/>
      <c r="AS568" s="69"/>
      <c r="AT568" s="69"/>
      <c r="AU568" s="69"/>
      <c r="AV568" s="69"/>
      <c r="AW568" s="69"/>
      <c r="AX568" s="69"/>
      <c r="AY568" s="69"/>
      <c r="AZ568" s="69"/>
      <c r="BA568" s="69"/>
      <c r="BB568" s="69"/>
      <c r="BC568" s="69"/>
    </row>
    <row r="569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71"/>
      <c r="L569" s="69"/>
      <c r="M569" s="69"/>
      <c r="N569" s="72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69"/>
      <c r="AS569" s="69"/>
      <c r="AT569" s="69"/>
      <c r="AU569" s="69"/>
      <c r="AV569" s="69"/>
      <c r="AW569" s="69"/>
      <c r="AX569" s="69"/>
      <c r="AY569" s="69"/>
      <c r="AZ569" s="69"/>
      <c r="BA569" s="69"/>
      <c r="BB569" s="69"/>
      <c r="BC569" s="69"/>
    </row>
    <row r="570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71"/>
      <c r="L570" s="69"/>
      <c r="M570" s="69"/>
      <c r="N570" s="72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  <c r="AK570" s="69"/>
      <c r="AL570" s="69"/>
      <c r="AM570" s="69"/>
      <c r="AN570" s="69"/>
      <c r="AO570" s="69"/>
      <c r="AP570" s="69"/>
      <c r="AQ570" s="69"/>
      <c r="AR570" s="69"/>
      <c r="AS570" s="69"/>
      <c r="AT570" s="69"/>
      <c r="AU570" s="69"/>
      <c r="AV570" s="69"/>
      <c r="AW570" s="69"/>
      <c r="AX570" s="69"/>
      <c r="AY570" s="69"/>
      <c r="AZ570" s="69"/>
      <c r="BA570" s="69"/>
      <c r="BB570" s="69"/>
      <c r="BC570" s="69"/>
    </row>
    <row r="57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71"/>
      <c r="L571" s="69"/>
      <c r="M571" s="69"/>
      <c r="N571" s="72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  <c r="AI571" s="69"/>
      <c r="AJ571" s="69"/>
      <c r="AK571" s="69"/>
      <c r="AL571" s="69"/>
      <c r="AM571" s="69"/>
      <c r="AN571" s="69"/>
      <c r="AO571" s="69"/>
      <c r="AP571" s="69"/>
      <c r="AQ571" s="69"/>
      <c r="AR571" s="69"/>
      <c r="AS571" s="69"/>
      <c r="AT571" s="69"/>
      <c r="AU571" s="69"/>
      <c r="AV571" s="69"/>
      <c r="AW571" s="69"/>
      <c r="AX571" s="69"/>
      <c r="AY571" s="69"/>
      <c r="AZ571" s="69"/>
      <c r="BA571" s="69"/>
      <c r="BB571" s="69"/>
      <c r="BC571" s="69"/>
    </row>
    <row r="572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71"/>
      <c r="L572" s="69"/>
      <c r="M572" s="69"/>
      <c r="N572" s="72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  <c r="AI572" s="69"/>
      <c r="AJ572" s="69"/>
      <c r="AK572" s="69"/>
      <c r="AL572" s="69"/>
      <c r="AM572" s="69"/>
      <c r="AN572" s="69"/>
      <c r="AO572" s="69"/>
      <c r="AP572" s="69"/>
      <c r="AQ572" s="69"/>
      <c r="AR572" s="69"/>
      <c r="AS572" s="69"/>
      <c r="AT572" s="69"/>
      <c r="AU572" s="69"/>
      <c r="AV572" s="69"/>
      <c r="AW572" s="69"/>
      <c r="AX572" s="69"/>
      <c r="AY572" s="69"/>
      <c r="AZ572" s="69"/>
      <c r="BA572" s="69"/>
      <c r="BB572" s="69"/>
      <c r="BC572" s="69"/>
    </row>
    <row r="573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71"/>
      <c r="L573" s="69"/>
      <c r="M573" s="69"/>
      <c r="N573" s="72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69"/>
      <c r="AR573" s="69"/>
      <c r="AS573" s="69"/>
      <c r="AT573" s="69"/>
      <c r="AU573" s="69"/>
      <c r="AV573" s="69"/>
      <c r="AW573" s="69"/>
      <c r="AX573" s="69"/>
      <c r="AY573" s="69"/>
      <c r="AZ573" s="69"/>
      <c r="BA573" s="69"/>
      <c r="BB573" s="69"/>
      <c r="BC573" s="69"/>
    </row>
    <row r="574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71"/>
      <c r="L574" s="69"/>
      <c r="M574" s="69"/>
      <c r="N574" s="72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  <c r="AK574" s="69"/>
      <c r="AL574" s="69"/>
      <c r="AM574" s="69"/>
      <c r="AN574" s="69"/>
      <c r="AO574" s="69"/>
      <c r="AP574" s="69"/>
      <c r="AQ574" s="69"/>
      <c r="AR574" s="69"/>
      <c r="AS574" s="69"/>
      <c r="AT574" s="69"/>
      <c r="AU574" s="69"/>
      <c r="AV574" s="69"/>
      <c r="AW574" s="69"/>
      <c r="AX574" s="69"/>
      <c r="AY574" s="69"/>
      <c r="AZ574" s="69"/>
      <c r="BA574" s="69"/>
      <c r="BB574" s="69"/>
      <c r="BC574" s="69"/>
    </row>
    <row r="57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71"/>
      <c r="L575" s="69"/>
      <c r="M575" s="69"/>
      <c r="N575" s="72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69"/>
      <c r="AR575" s="69"/>
      <c r="AS575" s="69"/>
      <c r="AT575" s="69"/>
      <c r="AU575" s="69"/>
      <c r="AV575" s="69"/>
      <c r="AW575" s="69"/>
      <c r="AX575" s="69"/>
      <c r="AY575" s="69"/>
      <c r="AZ575" s="69"/>
      <c r="BA575" s="69"/>
      <c r="BB575" s="69"/>
      <c r="BC575" s="69"/>
    </row>
    <row r="576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71"/>
      <c r="L576" s="69"/>
      <c r="M576" s="69"/>
      <c r="N576" s="72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  <c r="AK576" s="69"/>
      <c r="AL576" s="69"/>
      <c r="AM576" s="69"/>
      <c r="AN576" s="69"/>
      <c r="AO576" s="69"/>
      <c r="AP576" s="69"/>
      <c r="AQ576" s="69"/>
      <c r="AR576" s="69"/>
      <c r="AS576" s="69"/>
      <c r="AT576" s="69"/>
      <c r="AU576" s="69"/>
      <c r="AV576" s="69"/>
      <c r="AW576" s="69"/>
      <c r="AX576" s="69"/>
      <c r="AY576" s="69"/>
      <c r="AZ576" s="69"/>
      <c r="BA576" s="69"/>
      <c r="BB576" s="69"/>
      <c r="BC576" s="69"/>
    </row>
    <row r="577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71"/>
      <c r="L577" s="69"/>
      <c r="M577" s="69"/>
      <c r="N577" s="72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69"/>
      <c r="AR577" s="69"/>
      <c r="AS577" s="69"/>
      <c r="AT577" s="69"/>
      <c r="AU577" s="69"/>
      <c r="AV577" s="69"/>
      <c r="AW577" s="69"/>
      <c r="AX577" s="69"/>
      <c r="AY577" s="69"/>
      <c r="AZ577" s="69"/>
      <c r="BA577" s="69"/>
      <c r="BB577" s="69"/>
      <c r="BC577" s="69"/>
    </row>
    <row r="578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71"/>
      <c r="L578" s="69"/>
      <c r="M578" s="69"/>
      <c r="N578" s="72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  <c r="AK578" s="69"/>
      <c r="AL578" s="69"/>
      <c r="AM578" s="69"/>
      <c r="AN578" s="69"/>
      <c r="AO578" s="69"/>
      <c r="AP578" s="69"/>
      <c r="AQ578" s="69"/>
      <c r="AR578" s="69"/>
      <c r="AS578" s="69"/>
      <c r="AT578" s="69"/>
      <c r="AU578" s="69"/>
      <c r="AV578" s="69"/>
      <c r="AW578" s="69"/>
      <c r="AX578" s="69"/>
      <c r="AY578" s="69"/>
      <c r="AZ578" s="69"/>
      <c r="BA578" s="69"/>
      <c r="BB578" s="69"/>
      <c r="BC578" s="69"/>
    </row>
    <row r="579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71"/>
      <c r="L579" s="69"/>
      <c r="M579" s="69"/>
      <c r="N579" s="72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69"/>
      <c r="AR579" s="69"/>
      <c r="AS579" s="69"/>
      <c r="AT579" s="69"/>
      <c r="AU579" s="69"/>
      <c r="AV579" s="69"/>
      <c r="AW579" s="69"/>
      <c r="AX579" s="69"/>
      <c r="AY579" s="69"/>
      <c r="AZ579" s="69"/>
      <c r="BA579" s="69"/>
      <c r="BB579" s="69"/>
      <c r="BC579" s="69"/>
    </row>
    <row r="580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71"/>
      <c r="L580" s="69"/>
      <c r="M580" s="69"/>
      <c r="N580" s="72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  <c r="AK580" s="69"/>
      <c r="AL580" s="69"/>
      <c r="AM580" s="69"/>
      <c r="AN580" s="69"/>
      <c r="AO580" s="69"/>
      <c r="AP580" s="69"/>
      <c r="AQ580" s="69"/>
      <c r="AR580" s="69"/>
      <c r="AS580" s="69"/>
      <c r="AT580" s="69"/>
      <c r="AU580" s="69"/>
      <c r="AV580" s="69"/>
      <c r="AW580" s="69"/>
      <c r="AX580" s="69"/>
      <c r="AY580" s="69"/>
      <c r="AZ580" s="69"/>
      <c r="BA580" s="69"/>
      <c r="BB580" s="69"/>
      <c r="BC580" s="69"/>
    </row>
    <row r="58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71"/>
      <c r="L581" s="69"/>
      <c r="M581" s="69"/>
      <c r="N581" s="72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69"/>
      <c r="AR581" s="69"/>
      <c r="AS581" s="69"/>
      <c r="AT581" s="69"/>
      <c r="AU581" s="69"/>
      <c r="AV581" s="69"/>
      <c r="AW581" s="69"/>
      <c r="AX581" s="69"/>
      <c r="AY581" s="69"/>
      <c r="AZ581" s="69"/>
      <c r="BA581" s="69"/>
      <c r="BB581" s="69"/>
      <c r="BC581" s="69"/>
    </row>
    <row r="582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71"/>
      <c r="L582" s="69"/>
      <c r="M582" s="69"/>
      <c r="N582" s="72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  <c r="AK582" s="69"/>
      <c r="AL582" s="69"/>
      <c r="AM582" s="69"/>
      <c r="AN582" s="69"/>
      <c r="AO582" s="69"/>
      <c r="AP582" s="69"/>
      <c r="AQ582" s="69"/>
      <c r="AR582" s="69"/>
      <c r="AS582" s="69"/>
      <c r="AT582" s="69"/>
      <c r="AU582" s="69"/>
      <c r="AV582" s="69"/>
      <c r="AW582" s="69"/>
      <c r="AX582" s="69"/>
      <c r="AY582" s="69"/>
      <c r="AZ582" s="69"/>
      <c r="BA582" s="69"/>
      <c r="BB582" s="69"/>
      <c r="BC582" s="69"/>
    </row>
    <row r="583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71"/>
      <c r="L583" s="69"/>
      <c r="M583" s="69"/>
      <c r="N583" s="72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  <c r="AK583" s="69"/>
      <c r="AL583" s="69"/>
      <c r="AM583" s="69"/>
      <c r="AN583" s="69"/>
      <c r="AO583" s="69"/>
      <c r="AP583" s="69"/>
      <c r="AQ583" s="69"/>
      <c r="AR583" s="69"/>
      <c r="AS583" s="69"/>
      <c r="AT583" s="69"/>
      <c r="AU583" s="69"/>
      <c r="AV583" s="69"/>
      <c r="AW583" s="69"/>
      <c r="AX583" s="69"/>
      <c r="AY583" s="69"/>
      <c r="AZ583" s="69"/>
      <c r="BA583" s="69"/>
      <c r="BB583" s="69"/>
      <c r="BC583" s="69"/>
    </row>
    <row r="584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71"/>
      <c r="L584" s="69"/>
      <c r="M584" s="69"/>
      <c r="N584" s="72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  <c r="AK584" s="69"/>
      <c r="AL584" s="69"/>
      <c r="AM584" s="69"/>
      <c r="AN584" s="69"/>
      <c r="AO584" s="69"/>
      <c r="AP584" s="69"/>
      <c r="AQ584" s="69"/>
      <c r="AR584" s="69"/>
      <c r="AS584" s="69"/>
      <c r="AT584" s="69"/>
      <c r="AU584" s="69"/>
      <c r="AV584" s="69"/>
      <c r="AW584" s="69"/>
      <c r="AX584" s="69"/>
      <c r="AY584" s="69"/>
      <c r="AZ584" s="69"/>
      <c r="BA584" s="69"/>
      <c r="BB584" s="69"/>
      <c r="BC584" s="69"/>
    </row>
    <row r="58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71"/>
      <c r="L585" s="69"/>
      <c r="M585" s="69"/>
      <c r="N585" s="72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69"/>
      <c r="AR585" s="69"/>
      <c r="AS585" s="69"/>
      <c r="AT585" s="69"/>
      <c r="AU585" s="69"/>
      <c r="AV585" s="69"/>
      <c r="AW585" s="69"/>
      <c r="AX585" s="69"/>
      <c r="AY585" s="69"/>
      <c r="AZ585" s="69"/>
      <c r="BA585" s="69"/>
      <c r="BB585" s="69"/>
      <c r="BC585" s="69"/>
    </row>
    <row r="586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71"/>
      <c r="L586" s="69"/>
      <c r="M586" s="69"/>
      <c r="N586" s="72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  <c r="AK586" s="69"/>
      <c r="AL586" s="69"/>
      <c r="AM586" s="69"/>
      <c r="AN586" s="69"/>
      <c r="AO586" s="69"/>
      <c r="AP586" s="69"/>
      <c r="AQ586" s="69"/>
      <c r="AR586" s="69"/>
      <c r="AS586" s="69"/>
      <c r="AT586" s="69"/>
      <c r="AU586" s="69"/>
      <c r="AV586" s="69"/>
      <c r="AW586" s="69"/>
      <c r="AX586" s="69"/>
      <c r="AY586" s="69"/>
      <c r="AZ586" s="69"/>
      <c r="BA586" s="69"/>
      <c r="BB586" s="69"/>
      <c r="BC586" s="69"/>
    </row>
    <row r="587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71"/>
      <c r="L587" s="69"/>
      <c r="M587" s="69"/>
      <c r="N587" s="72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69"/>
      <c r="AR587" s="69"/>
      <c r="AS587" s="69"/>
      <c r="AT587" s="69"/>
      <c r="AU587" s="69"/>
      <c r="AV587" s="69"/>
      <c r="AW587" s="69"/>
      <c r="AX587" s="69"/>
      <c r="AY587" s="69"/>
      <c r="AZ587" s="69"/>
      <c r="BA587" s="69"/>
      <c r="BB587" s="69"/>
      <c r="BC587" s="69"/>
    </row>
    <row r="588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71"/>
      <c r="L588" s="69"/>
      <c r="M588" s="69"/>
      <c r="N588" s="72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  <c r="AW588" s="69"/>
      <c r="AX588" s="69"/>
      <c r="AY588" s="69"/>
      <c r="AZ588" s="69"/>
      <c r="BA588" s="69"/>
      <c r="BB588" s="69"/>
      <c r="BC588" s="69"/>
    </row>
    <row r="589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71"/>
      <c r="L589" s="69"/>
      <c r="M589" s="69"/>
      <c r="N589" s="72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69"/>
      <c r="AR589" s="69"/>
      <c r="AS589" s="69"/>
      <c r="AT589" s="69"/>
      <c r="AU589" s="69"/>
      <c r="AV589" s="69"/>
      <c r="AW589" s="69"/>
      <c r="AX589" s="69"/>
      <c r="AY589" s="69"/>
      <c r="AZ589" s="69"/>
      <c r="BA589" s="69"/>
      <c r="BB589" s="69"/>
      <c r="BC589" s="69"/>
    </row>
    <row r="590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71"/>
      <c r="L590" s="69"/>
      <c r="M590" s="69"/>
      <c r="N590" s="72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  <c r="AK590" s="69"/>
      <c r="AL590" s="69"/>
      <c r="AM590" s="69"/>
      <c r="AN590" s="69"/>
      <c r="AO590" s="69"/>
      <c r="AP590" s="69"/>
      <c r="AQ590" s="69"/>
      <c r="AR590" s="69"/>
      <c r="AS590" s="69"/>
      <c r="AT590" s="69"/>
      <c r="AU590" s="69"/>
      <c r="AV590" s="69"/>
      <c r="AW590" s="69"/>
      <c r="AX590" s="69"/>
      <c r="AY590" s="69"/>
      <c r="AZ590" s="69"/>
      <c r="BA590" s="69"/>
      <c r="BB590" s="69"/>
      <c r="BC590" s="69"/>
    </row>
    <row r="59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71"/>
      <c r="L591" s="69"/>
      <c r="M591" s="69"/>
      <c r="N591" s="72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69"/>
      <c r="AR591" s="69"/>
      <c r="AS591" s="69"/>
      <c r="AT591" s="69"/>
      <c r="AU591" s="69"/>
      <c r="AV591" s="69"/>
      <c r="AW591" s="69"/>
      <c r="AX591" s="69"/>
      <c r="AY591" s="69"/>
      <c r="AZ591" s="69"/>
      <c r="BA591" s="69"/>
      <c r="BB591" s="69"/>
      <c r="BC591" s="69"/>
    </row>
    <row r="592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71"/>
      <c r="L592" s="69"/>
      <c r="M592" s="69"/>
      <c r="N592" s="72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  <c r="AK592" s="69"/>
      <c r="AL592" s="69"/>
      <c r="AM592" s="69"/>
      <c r="AN592" s="69"/>
      <c r="AO592" s="69"/>
      <c r="AP592" s="69"/>
      <c r="AQ592" s="69"/>
      <c r="AR592" s="69"/>
      <c r="AS592" s="69"/>
      <c r="AT592" s="69"/>
      <c r="AU592" s="69"/>
      <c r="AV592" s="69"/>
      <c r="AW592" s="69"/>
      <c r="AX592" s="69"/>
      <c r="AY592" s="69"/>
      <c r="AZ592" s="69"/>
      <c r="BA592" s="69"/>
      <c r="BB592" s="69"/>
      <c r="BC592" s="69"/>
    </row>
    <row r="593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71"/>
      <c r="L593" s="69"/>
      <c r="M593" s="69"/>
      <c r="N593" s="72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  <c r="AK593" s="69"/>
      <c r="AL593" s="69"/>
      <c r="AM593" s="69"/>
      <c r="AN593" s="69"/>
      <c r="AO593" s="69"/>
      <c r="AP593" s="69"/>
      <c r="AQ593" s="69"/>
      <c r="AR593" s="69"/>
      <c r="AS593" s="69"/>
      <c r="AT593" s="69"/>
      <c r="AU593" s="69"/>
      <c r="AV593" s="69"/>
      <c r="AW593" s="69"/>
      <c r="AX593" s="69"/>
      <c r="AY593" s="69"/>
      <c r="AZ593" s="69"/>
      <c r="BA593" s="69"/>
      <c r="BB593" s="69"/>
      <c r="BC593" s="69"/>
    </row>
    <row r="594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71"/>
      <c r="L594" s="69"/>
      <c r="M594" s="69"/>
      <c r="N594" s="72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  <c r="AK594" s="69"/>
      <c r="AL594" s="69"/>
      <c r="AM594" s="69"/>
      <c r="AN594" s="69"/>
      <c r="AO594" s="69"/>
      <c r="AP594" s="69"/>
      <c r="AQ594" s="69"/>
      <c r="AR594" s="69"/>
      <c r="AS594" s="69"/>
      <c r="AT594" s="69"/>
      <c r="AU594" s="69"/>
      <c r="AV594" s="69"/>
      <c r="AW594" s="69"/>
      <c r="AX594" s="69"/>
      <c r="AY594" s="69"/>
      <c r="AZ594" s="69"/>
      <c r="BA594" s="69"/>
      <c r="BB594" s="69"/>
      <c r="BC594" s="69"/>
    </row>
    <row r="59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71"/>
      <c r="L595" s="69"/>
      <c r="M595" s="69"/>
      <c r="N595" s="72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  <c r="AK595" s="69"/>
      <c r="AL595" s="69"/>
      <c r="AM595" s="69"/>
      <c r="AN595" s="69"/>
      <c r="AO595" s="69"/>
      <c r="AP595" s="69"/>
      <c r="AQ595" s="69"/>
      <c r="AR595" s="69"/>
      <c r="AS595" s="69"/>
      <c r="AT595" s="69"/>
      <c r="AU595" s="69"/>
      <c r="AV595" s="69"/>
      <c r="AW595" s="69"/>
      <c r="AX595" s="69"/>
      <c r="AY595" s="69"/>
      <c r="AZ595" s="69"/>
      <c r="BA595" s="69"/>
      <c r="BB595" s="69"/>
      <c r="BC595" s="69"/>
    </row>
    <row r="596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71"/>
      <c r="L596" s="69"/>
      <c r="M596" s="69"/>
      <c r="N596" s="72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  <c r="AK596" s="69"/>
      <c r="AL596" s="69"/>
      <c r="AM596" s="69"/>
      <c r="AN596" s="69"/>
      <c r="AO596" s="69"/>
      <c r="AP596" s="69"/>
      <c r="AQ596" s="69"/>
      <c r="AR596" s="69"/>
      <c r="AS596" s="69"/>
      <c r="AT596" s="69"/>
      <c r="AU596" s="69"/>
      <c r="AV596" s="69"/>
      <c r="AW596" s="69"/>
      <c r="AX596" s="69"/>
      <c r="AY596" s="69"/>
      <c r="AZ596" s="69"/>
      <c r="BA596" s="69"/>
      <c r="BB596" s="69"/>
      <c r="BC596" s="69"/>
    </row>
    <row r="597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71"/>
      <c r="L597" s="69"/>
      <c r="M597" s="69"/>
      <c r="N597" s="72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  <c r="AK597" s="69"/>
      <c r="AL597" s="69"/>
      <c r="AM597" s="69"/>
      <c r="AN597" s="69"/>
      <c r="AO597" s="69"/>
      <c r="AP597" s="69"/>
      <c r="AQ597" s="69"/>
      <c r="AR597" s="69"/>
      <c r="AS597" s="69"/>
      <c r="AT597" s="69"/>
      <c r="AU597" s="69"/>
      <c r="AV597" s="69"/>
      <c r="AW597" s="69"/>
      <c r="AX597" s="69"/>
      <c r="AY597" s="69"/>
      <c r="AZ597" s="69"/>
      <c r="BA597" s="69"/>
      <c r="BB597" s="69"/>
      <c r="BC597" s="69"/>
    </row>
    <row r="598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71"/>
      <c r="L598" s="69"/>
      <c r="M598" s="69"/>
      <c r="N598" s="72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  <c r="AK598" s="69"/>
      <c r="AL598" s="69"/>
      <c r="AM598" s="69"/>
      <c r="AN598" s="69"/>
      <c r="AO598" s="69"/>
      <c r="AP598" s="69"/>
      <c r="AQ598" s="69"/>
      <c r="AR598" s="69"/>
      <c r="AS598" s="69"/>
      <c r="AT598" s="69"/>
      <c r="AU598" s="69"/>
      <c r="AV598" s="69"/>
      <c r="AW598" s="69"/>
      <c r="AX598" s="69"/>
      <c r="AY598" s="69"/>
      <c r="AZ598" s="69"/>
      <c r="BA598" s="69"/>
      <c r="BB598" s="69"/>
      <c r="BC598" s="69"/>
    </row>
    <row r="599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71"/>
      <c r="L599" s="69"/>
      <c r="M599" s="69"/>
      <c r="N599" s="72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  <c r="AK599" s="69"/>
      <c r="AL599" s="69"/>
      <c r="AM599" s="69"/>
      <c r="AN599" s="69"/>
      <c r="AO599" s="69"/>
      <c r="AP599" s="69"/>
      <c r="AQ599" s="69"/>
      <c r="AR599" s="69"/>
      <c r="AS599" s="69"/>
      <c r="AT599" s="69"/>
      <c r="AU599" s="69"/>
      <c r="AV599" s="69"/>
      <c r="AW599" s="69"/>
      <c r="AX599" s="69"/>
      <c r="AY599" s="69"/>
      <c r="AZ599" s="69"/>
      <c r="BA599" s="69"/>
      <c r="BB599" s="69"/>
      <c r="BC599" s="69"/>
    </row>
    <row r="600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71"/>
      <c r="L600" s="69"/>
      <c r="M600" s="69"/>
      <c r="N600" s="72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  <c r="AK600" s="69"/>
      <c r="AL600" s="69"/>
      <c r="AM600" s="69"/>
      <c r="AN600" s="69"/>
      <c r="AO600" s="69"/>
      <c r="AP600" s="69"/>
      <c r="AQ600" s="69"/>
      <c r="AR600" s="69"/>
      <c r="AS600" s="69"/>
      <c r="AT600" s="69"/>
      <c r="AU600" s="69"/>
      <c r="AV600" s="69"/>
      <c r="AW600" s="69"/>
      <c r="AX600" s="69"/>
      <c r="AY600" s="69"/>
      <c r="AZ600" s="69"/>
      <c r="BA600" s="69"/>
      <c r="BB600" s="69"/>
      <c r="BC600" s="69"/>
    </row>
    <row r="60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71"/>
      <c r="L601" s="69"/>
      <c r="M601" s="69"/>
      <c r="N601" s="72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69"/>
      <c r="AR601" s="69"/>
      <c r="AS601" s="69"/>
      <c r="AT601" s="69"/>
      <c r="AU601" s="69"/>
      <c r="AV601" s="69"/>
      <c r="AW601" s="69"/>
      <c r="AX601" s="69"/>
      <c r="AY601" s="69"/>
      <c r="AZ601" s="69"/>
      <c r="BA601" s="69"/>
      <c r="BB601" s="69"/>
      <c r="BC601" s="69"/>
    </row>
    <row r="602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71"/>
      <c r="L602" s="69"/>
      <c r="M602" s="69"/>
      <c r="N602" s="72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  <c r="AK602" s="69"/>
      <c r="AL602" s="69"/>
      <c r="AM602" s="69"/>
      <c r="AN602" s="69"/>
      <c r="AO602" s="69"/>
      <c r="AP602" s="69"/>
      <c r="AQ602" s="69"/>
      <c r="AR602" s="69"/>
      <c r="AS602" s="69"/>
      <c r="AT602" s="69"/>
      <c r="AU602" s="69"/>
      <c r="AV602" s="69"/>
      <c r="AW602" s="69"/>
      <c r="AX602" s="69"/>
      <c r="AY602" s="69"/>
      <c r="AZ602" s="69"/>
      <c r="BA602" s="69"/>
      <c r="BB602" s="69"/>
      <c r="BC602" s="69"/>
    </row>
    <row r="603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71"/>
      <c r="L603" s="69"/>
      <c r="M603" s="69"/>
      <c r="N603" s="72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69"/>
      <c r="AR603" s="69"/>
      <c r="AS603" s="69"/>
      <c r="AT603" s="69"/>
      <c r="AU603" s="69"/>
      <c r="AV603" s="69"/>
      <c r="AW603" s="69"/>
      <c r="AX603" s="69"/>
      <c r="AY603" s="69"/>
      <c r="AZ603" s="69"/>
      <c r="BA603" s="69"/>
      <c r="BB603" s="69"/>
      <c r="BC603" s="69"/>
    </row>
    <row r="604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71"/>
      <c r="L604" s="69"/>
      <c r="M604" s="69"/>
      <c r="N604" s="72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  <c r="AK604" s="69"/>
      <c r="AL604" s="69"/>
      <c r="AM604" s="69"/>
      <c r="AN604" s="69"/>
      <c r="AO604" s="69"/>
      <c r="AP604" s="69"/>
      <c r="AQ604" s="69"/>
      <c r="AR604" s="69"/>
      <c r="AS604" s="69"/>
      <c r="AT604" s="69"/>
      <c r="AU604" s="69"/>
      <c r="AV604" s="69"/>
      <c r="AW604" s="69"/>
      <c r="AX604" s="69"/>
      <c r="AY604" s="69"/>
      <c r="AZ604" s="69"/>
      <c r="BA604" s="69"/>
      <c r="BB604" s="69"/>
      <c r="BC604" s="69"/>
    </row>
    <row r="60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71"/>
      <c r="L605" s="69"/>
      <c r="M605" s="69"/>
      <c r="N605" s="72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  <c r="AK605" s="69"/>
      <c r="AL605" s="69"/>
      <c r="AM605" s="69"/>
      <c r="AN605" s="69"/>
      <c r="AO605" s="69"/>
      <c r="AP605" s="69"/>
      <c r="AQ605" s="69"/>
      <c r="AR605" s="69"/>
      <c r="AS605" s="69"/>
      <c r="AT605" s="69"/>
      <c r="AU605" s="69"/>
      <c r="AV605" s="69"/>
      <c r="AW605" s="69"/>
      <c r="AX605" s="69"/>
      <c r="AY605" s="69"/>
      <c r="AZ605" s="69"/>
      <c r="BA605" s="69"/>
      <c r="BB605" s="69"/>
      <c r="BC605" s="69"/>
    </row>
    <row r="606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71"/>
      <c r="L606" s="69"/>
      <c r="M606" s="69"/>
      <c r="N606" s="72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  <c r="AK606" s="69"/>
      <c r="AL606" s="69"/>
      <c r="AM606" s="69"/>
      <c r="AN606" s="69"/>
      <c r="AO606" s="69"/>
      <c r="AP606" s="69"/>
      <c r="AQ606" s="69"/>
      <c r="AR606" s="69"/>
      <c r="AS606" s="69"/>
      <c r="AT606" s="69"/>
      <c r="AU606" s="69"/>
      <c r="AV606" s="69"/>
      <c r="AW606" s="69"/>
      <c r="AX606" s="69"/>
      <c r="AY606" s="69"/>
      <c r="AZ606" s="69"/>
      <c r="BA606" s="69"/>
      <c r="BB606" s="69"/>
      <c r="BC606" s="69"/>
    </row>
    <row r="607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71"/>
      <c r="L607" s="69"/>
      <c r="M607" s="69"/>
      <c r="N607" s="72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69"/>
      <c r="AR607" s="69"/>
      <c r="AS607" s="69"/>
      <c r="AT607" s="69"/>
      <c r="AU607" s="69"/>
      <c r="AV607" s="69"/>
      <c r="AW607" s="69"/>
      <c r="AX607" s="69"/>
      <c r="AY607" s="69"/>
      <c r="AZ607" s="69"/>
      <c r="BA607" s="69"/>
      <c r="BB607" s="69"/>
      <c r="BC607" s="69"/>
    </row>
    <row r="608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71"/>
      <c r="L608" s="69"/>
      <c r="M608" s="69"/>
      <c r="N608" s="72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  <c r="AK608" s="69"/>
      <c r="AL608" s="69"/>
      <c r="AM608" s="69"/>
      <c r="AN608" s="69"/>
      <c r="AO608" s="69"/>
      <c r="AP608" s="69"/>
      <c r="AQ608" s="69"/>
      <c r="AR608" s="69"/>
      <c r="AS608" s="69"/>
      <c r="AT608" s="69"/>
      <c r="AU608" s="69"/>
      <c r="AV608" s="69"/>
      <c r="AW608" s="69"/>
      <c r="AX608" s="69"/>
      <c r="AY608" s="69"/>
      <c r="AZ608" s="69"/>
      <c r="BA608" s="69"/>
      <c r="BB608" s="69"/>
      <c r="BC608" s="69"/>
    </row>
    <row r="609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71"/>
      <c r="L609" s="69"/>
      <c r="M609" s="69"/>
      <c r="N609" s="72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  <c r="AK609" s="69"/>
      <c r="AL609" s="69"/>
      <c r="AM609" s="69"/>
      <c r="AN609" s="69"/>
      <c r="AO609" s="69"/>
      <c r="AP609" s="69"/>
      <c r="AQ609" s="69"/>
      <c r="AR609" s="69"/>
      <c r="AS609" s="69"/>
      <c r="AT609" s="69"/>
      <c r="AU609" s="69"/>
      <c r="AV609" s="69"/>
      <c r="AW609" s="69"/>
      <c r="AX609" s="69"/>
      <c r="AY609" s="69"/>
      <c r="AZ609" s="69"/>
      <c r="BA609" s="69"/>
      <c r="BB609" s="69"/>
      <c r="BC609" s="69"/>
    </row>
    <row r="610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71"/>
      <c r="L610" s="69"/>
      <c r="M610" s="69"/>
      <c r="N610" s="72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  <c r="AK610" s="69"/>
      <c r="AL610" s="69"/>
      <c r="AM610" s="69"/>
      <c r="AN610" s="69"/>
      <c r="AO610" s="69"/>
      <c r="AP610" s="69"/>
      <c r="AQ610" s="69"/>
      <c r="AR610" s="69"/>
      <c r="AS610" s="69"/>
      <c r="AT610" s="69"/>
      <c r="AU610" s="69"/>
      <c r="AV610" s="69"/>
      <c r="AW610" s="69"/>
      <c r="AX610" s="69"/>
      <c r="AY610" s="69"/>
      <c r="AZ610" s="69"/>
      <c r="BA610" s="69"/>
      <c r="BB610" s="69"/>
      <c r="BC610" s="69"/>
    </row>
    <row r="61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71"/>
      <c r="L611" s="69"/>
      <c r="M611" s="69"/>
      <c r="N611" s="72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69"/>
      <c r="AR611" s="69"/>
      <c r="AS611" s="69"/>
      <c r="AT611" s="69"/>
      <c r="AU611" s="69"/>
      <c r="AV611" s="69"/>
      <c r="AW611" s="69"/>
      <c r="AX611" s="69"/>
      <c r="AY611" s="69"/>
      <c r="AZ611" s="69"/>
      <c r="BA611" s="69"/>
      <c r="BB611" s="69"/>
      <c r="BC611" s="69"/>
    </row>
    <row r="612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71"/>
      <c r="L612" s="69"/>
      <c r="M612" s="69"/>
      <c r="N612" s="72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  <c r="BA612" s="69"/>
      <c r="BB612" s="69"/>
      <c r="BC612" s="69"/>
    </row>
    <row r="613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71"/>
      <c r="L613" s="69"/>
      <c r="M613" s="69"/>
      <c r="N613" s="72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69"/>
      <c r="AR613" s="69"/>
      <c r="AS613" s="69"/>
      <c r="AT613" s="69"/>
      <c r="AU613" s="69"/>
      <c r="AV613" s="69"/>
      <c r="AW613" s="69"/>
      <c r="AX613" s="69"/>
      <c r="AY613" s="69"/>
      <c r="AZ613" s="69"/>
      <c r="BA613" s="69"/>
      <c r="BB613" s="69"/>
      <c r="BC613" s="69"/>
    </row>
    <row r="614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71"/>
      <c r="L614" s="69"/>
      <c r="M614" s="69"/>
      <c r="N614" s="72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  <c r="AK614" s="69"/>
      <c r="AL614" s="69"/>
      <c r="AM614" s="69"/>
      <c r="AN614" s="69"/>
      <c r="AO614" s="69"/>
      <c r="AP614" s="69"/>
      <c r="AQ614" s="69"/>
      <c r="AR614" s="69"/>
      <c r="AS614" s="69"/>
      <c r="AT614" s="69"/>
      <c r="AU614" s="69"/>
      <c r="AV614" s="69"/>
      <c r="AW614" s="69"/>
      <c r="AX614" s="69"/>
      <c r="AY614" s="69"/>
      <c r="AZ614" s="69"/>
      <c r="BA614" s="69"/>
      <c r="BB614" s="69"/>
      <c r="BC614" s="69"/>
    </row>
    <row r="61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71"/>
      <c r="L615" s="69"/>
      <c r="M615" s="69"/>
      <c r="N615" s="72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69"/>
      <c r="AR615" s="69"/>
      <c r="AS615" s="69"/>
      <c r="AT615" s="69"/>
      <c r="AU615" s="69"/>
      <c r="AV615" s="69"/>
      <c r="AW615" s="69"/>
      <c r="AX615" s="69"/>
      <c r="AY615" s="69"/>
      <c r="AZ615" s="69"/>
      <c r="BA615" s="69"/>
      <c r="BB615" s="69"/>
      <c r="BC615" s="69"/>
    </row>
    <row r="616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71"/>
      <c r="L616" s="69"/>
      <c r="M616" s="69"/>
      <c r="N616" s="72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  <c r="AK616" s="69"/>
      <c r="AL616" s="69"/>
      <c r="AM616" s="69"/>
      <c r="AN616" s="69"/>
      <c r="AO616" s="69"/>
      <c r="AP616" s="69"/>
      <c r="AQ616" s="69"/>
      <c r="AR616" s="69"/>
      <c r="AS616" s="69"/>
      <c r="AT616" s="69"/>
      <c r="AU616" s="69"/>
      <c r="AV616" s="69"/>
      <c r="AW616" s="69"/>
      <c r="AX616" s="69"/>
      <c r="AY616" s="69"/>
      <c r="AZ616" s="69"/>
      <c r="BA616" s="69"/>
      <c r="BB616" s="69"/>
      <c r="BC616" s="69"/>
    </row>
    <row r="617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71"/>
      <c r="L617" s="69"/>
      <c r="M617" s="69"/>
      <c r="N617" s="72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69"/>
      <c r="AR617" s="69"/>
      <c r="AS617" s="69"/>
      <c r="AT617" s="69"/>
      <c r="AU617" s="69"/>
      <c r="AV617" s="69"/>
      <c r="AW617" s="69"/>
      <c r="AX617" s="69"/>
      <c r="AY617" s="69"/>
      <c r="AZ617" s="69"/>
      <c r="BA617" s="69"/>
      <c r="BB617" s="69"/>
      <c r="BC617" s="69"/>
    </row>
    <row r="618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71"/>
      <c r="L618" s="69"/>
      <c r="M618" s="69"/>
      <c r="N618" s="72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  <c r="AK618" s="69"/>
      <c r="AL618" s="69"/>
      <c r="AM618" s="69"/>
      <c r="AN618" s="69"/>
      <c r="AO618" s="69"/>
      <c r="AP618" s="69"/>
      <c r="AQ618" s="69"/>
      <c r="AR618" s="69"/>
      <c r="AS618" s="69"/>
      <c r="AT618" s="69"/>
      <c r="AU618" s="69"/>
      <c r="AV618" s="69"/>
      <c r="AW618" s="69"/>
      <c r="AX618" s="69"/>
      <c r="AY618" s="69"/>
      <c r="AZ618" s="69"/>
      <c r="BA618" s="69"/>
      <c r="BB618" s="69"/>
      <c r="BC618" s="69"/>
    </row>
    <row r="619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71"/>
      <c r="L619" s="69"/>
      <c r="M619" s="69"/>
      <c r="N619" s="72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69"/>
      <c r="AR619" s="69"/>
      <c r="AS619" s="69"/>
      <c r="AT619" s="69"/>
      <c r="AU619" s="69"/>
      <c r="AV619" s="69"/>
      <c r="AW619" s="69"/>
      <c r="AX619" s="69"/>
      <c r="AY619" s="69"/>
      <c r="AZ619" s="69"/>
      <c r="BA619" s="69"/>
      <c r="BB619" s="69"/>
      <c r="BC619" s="69"/>
    </row>
    <row r="620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71"/>
      <c r="L620" s="69"/>
      <c r="M620" s="69"/>
      <c r="N620" s="72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  <c r="AK620" s="69"/>
      <c r="AL620" s="69"/>
      <c r="AM620" s="69"/>
      <c r="AN620" s="69"/>
      <c r="AO620" s="69"/>
      <c r="AP620" s="69"/>
      <c r="AQ620" s="69"/>
      <c r="AR620" s="69"/>
      <c r="AS620" s="69"/>
      <c r="AT620" s="69"/>
      <c r="AU620" s="69"/>
      <c r="AV620" s="69"/>
      <c r="AW620" s="69"/>
      <c r="AX620" s="69"/>
      <c r="AY620" s="69"/>
      <c r="AZ620" s="69"/>
      <c r="BA620" s="69"/>
      <c r="BB620" s="69"/>
      <c r="BC620" s="69"/>
    </row>
    <row r="62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71"/>
      <c r="L621" s="69"/>
      <c r="M621" s="69"/>
      <c r="N621" s="72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69"/>
      <c r="AR621" s="69"/>
      <c r="AS621" s="69"/>
      <c r="AT621" s="69"/>
      <c r="AU621" s="69"/>
      <c r="AV621" s="69"/>
      <c r="AW621" s="69"/>
      <c r="AX621" s="69"/>
      <c r="AY621" s="69"/>
      <c r="AZ621" s="69"/>
      <c r="BA621" s="69"/>
      <c r="BB621" s="69"/>
      <c r="BC621" s="69"/>
    </row>
    <row r="622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71"/>
      <c r="L622" s="69"/>
      <c r="M622" s="69"/>
      <c r="N622" s="72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  <c r="AK622" s="69"/>
      <c r="AL622" s="69"/>
      <c r="AM622" s="69"/>
      <c r="AN622" s="69"/>
      <c r="AO622" s="69"/>
      <c r="AP622" s="69"/>
      <c r="AQ622" s="69"/>
      <c r="AR622" s="69"/>
      <c r="AS622" s="69"/>
      <c r="AT622" s="69"/>
      <c r="AU622" s="69"/>
      <c r="AV622" s="69"/>
      <c r="AW622" s="69"/>
      <c r="AX622" s="69"/>
      <c r="AY622" s="69"/>
      <c r="AZ622" s="69"/>
      <c r="BA622" s="69"/>
      <c r="BB622" s="69"/>
      <c r="BC622" s="69"/>
    </row>
    <row r="623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71"/>
      <c r="L623" s="69"/>
      <c r="M623" s="69"/>
      <c r="N623" s="72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69"/>
      <c r="AR623" s="69"/>
      <c r="AS623" s="69"/>
      <c r="AT623" s="69"/>
      <c r="AU623" s="69"/>
      <c r="AV623" s="69"/>
      <c r="AW623" s="69"/>
      <c r="AX623" s="69"/>
      <c r="AY623" s="69"/>
      <c r="AZ623" s="69"/>
      <c r="BA623" s="69"/>
      <c r="BB623" s="69"/>
      <c r="BC623" s="69"/>
    </row>
    <row r="624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71"/>
      <c r="L624" s="69"/>
      <c r="M624" s="69"/>
      <c r="N624" s="72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  <c r="AK624" s="69"/>
      <c r="AL624" s="69"/>
      <c r="AM624" s="69"/>
      <c r="AN624" s="69"/>
      <c r="AO624" s="69"/>
      <c r="AP624" s="69"/>
      <c r="AQ624" s="69"/>
      <c r="AR624" s="69"/>
      <c r="AS624" s="69"/>
      <c r="AT624" s="69"/>
      <c r="AU624" s="69"/>
      <c r="AV624" s="69"/>
      <c r="AW624" s="69"/>
      <c r="AX624" s="69"/>
      <c r="AY624" s="69"/>
      <c r="AZ624" s="69"/>
      <c r="BA624" s="69"/>
      <c r="BB624" s="69"/>
      <c r="BC624" s="69"/>
    </row>
    <row r="6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71"/>
      <c r="L625" s="69"/>
      <c r="M625" s="69"/>
      <c r="N625" s="72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69"/>
      <c r="AR625" s="69"/>
      <c r="AS625" s="69"/>
      <c r="AT625" s="69"/>
      <c r="AU625" s="69"/>
      <c r="AV625" s="69"/>
      <c r="AW625" s="69"/>
      <c r="AX625" s="69"/>
      <c r="AY625" s="69"/>
      <c r="AZ625" s="69"/>
      <c r="BA625" s="69"/>
      <c r="BB625" s="69"/>
      <c r="BC625" s="69"/>
    </row>
    <row r="626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71"/>
      <c r="L626" s="69"/>
      <c r="M626" s="69"/>
      <c r="N626" s="72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  <c r="AK626" s="69"/>
      <c r="AL626" s="69"/>
      <c r="AM626" s="69"/>
      <c r="AN626" s="69"/>
      <c r="AO626" s="69"/>
      <c r="AP626" s="69"/>
      <c r="AQ626" s="69"/>
      <c r="AR626" s="69"/>
      <c r="AS626" s="69"/>
      <c r="AT626" s="69"/>
      <c r="AU626" s="69"/>
      <c r="AV626" s="69"/>
      <c r="AW626" s="69"/>
      <c r="AX626" s="69"/>
      <c r="AY626" s="69"/>
      <c r="AZ626" s="69"/>
      <c r="BA626" s="69"/>
      <c r="BB626" s="69"/>
      <c r="BC626" s="69"/>
    </row>
    <row r="627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71"/>
      <c r="L627" s="69"/>
      <c r="M627" s="69"/>
      <c r="N627" s="72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69"/>
      <c r="AR627" s="69"/>
      <c r="AS627" s="69"/>
      <c r="AT627" s="69"/>
      <c r="AU627" s="69"/>
      <c r="AV627" s="69"/>
      <c r="AW627" s="69"/>
      <c r="AX627" s="69"/>
      <c r="AY627" s="69"/>
      <c r="AZ627" s="69"/>
      <c r="BA627" s="69"/>
      <c r="BB627" s="69"/>
      <c r="BC627" s="69"/>
    </row>
    <row r="628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71"/>
      <c r="L628" s="69"/>
      <c r="M628" s="69"/>
      <c r="N628" s="72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  <c r="AK628" s="69"/>
      <c r="AL628" s="69"/>
      <c r="AM628" s="69"/>
      <c r="AN628" s="69"/>
      <c r="AO628" s="69"/>
      <c r="AP628" s="69"/>
      <c r="AQ628" s="69"/>
      <c r="AR628" s="69"/>
      <c r="AS628" s="69"/>
      <c r="AT628" s="69"/>
      <c r="AU628" s="69"/>
      <c r="AV628" s="69"/>
      <c r="AW628" s="69"/>
      <c r="AX628" s="69"/>
      <c r="AY628" s="69"/>
      <c r="AZ628" s="69"/>
      <c r="BA628" s="69"/>
      <c r="BB628" s="69"/>
      <c r="BC628" s="69"/>
    </row>
    <row r="629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71"/>
      <c r="L629" s="69"/>
      <c r="M629" s="69"/>
      <c r="N629" s="72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69"/>
      <c r="AR629" s="69"/>
      <c r="AS629" s="69"/>
      <c r="AT629" s="69"/>
      <c r="AU629" s="69"/>
      <c r="AV629" s="69"/>
      <c r="AW629" s="69"/>
      <c r="AX629" s="69"/>
      <c r="AY629" s="69"/>
      <c r="AZ629" s="69"/>
      <c r="BA629" s="69"/>
      <c r="BB629" s="69"/>
      <c r="BC629" s="69"/>
    </row>
    <row r="630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71"/>
      <c r="L630" s="69"/>
      <c r="M630" s="69"/>
      <c r="N630" s="72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  <c r="AK630" s="69"/>
      <c r="AL630" s="69"/>
      <c r="AM630" s="69"/>
      <c r="AN630" s="69"/>
      <c r="AO630" s="69"/>
      <c r="AP630" s="69"/>
      <c r="AQ630" s="69"/>
      <c r="AR630" s="69"/>
      <c r="AS630" s="69"/>
      <c r="AT630" s="69"/>
      <c r="AU630" s="69"/>
      <c r="AV630" s="69"/>
      <c r="AW630" s="69"/>
      <c r="AX630" s="69"/>
      <c r="AY630" s="69"/>
      <c r="AZ630" s="69"/>
      <c r="BA630" s="69"/>
      <c r="BB630" s="69"/>
      <c r="BC630" s="69"/>
    </row>
    <row r="63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71"/>
      <c r="L631" s="69"/>
      <c r="M631" s="69"/>
      <c r="N631" s="72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  <c r="AW631" s="69"/>
      <c r="AX631" s="69"/>
      <c r="AY631" s="69"/>
      <c r="AZ631" s="69"/>
      <c r="BA631" s="69"/>
      <c r="BB631" s="69"/>
      <c r="BC631" s="69"/>
    </row>
    <row r="632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71"/>
      <c r="L632" s="69"/>
      <c r="M632" s="69"/>
      <c r="N632" s="72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  <c r="AK632" s="69"/>
      <c r="AL632" s="69"/>
      <c r="AM632" s="69"/>
      <c r="AN632" s="69"/>
      <c r="AO632" s="69"/>
      <c r="AP632" s="69"/>
      <c r="AQ632" s="69"/>
      <c r="AR632" s="69"/>
      <c r="AS632" s="69"/>
      <c r="AT632" s="69"/>
      <c r="AU632" s="69"/>
      <c r="AV632" s="69"/>
      <c r="AW632" s="69"/>
      <c r="AX632" s="69"/>
      <c r="AY632" s="69"/>
      <c r="AZ632" s="69"/>
      <c r="BA632" s="69"/>
      <c r="BB632" s="69"/>
      <c r="BC632" s="69"/>
    </row>
    <row r="633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71"/>
      <c r="L633" s="69"/>
      <c r="M633" s="69"/>
      <c r="N633" s="72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  <c r="AW633" s="69"/>
      <c r="AX633" s="69"/>
      <c r="AY633" s="69"/>
      <c r="AZ633" s="69"/>
      <c r="BA633" s="69"/>
      <c r="BB633" s="69"/>
      <c r="BC633" s="69"/>
    </row>
    <row r="634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71"/>
      <c r="L634" s="69"/>
      <c r="M634" s="69"/>
      <c r="N634" s="72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  <c r="AW634" s="69"/>
      <c r="AX634" s="69"/>
      <c r="AY634" s="69"/>
      <c r="AZ634" s="69"/>
      <c r="BA634" s="69"/>
      <c r="BB634" s="69"/>
      <c r="BC634" s="69"/>
    </row>
    <row r="63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71"/>
      <c r="L635" s="69"/>
      <c r="M635" s="69"/>
      <c r="N635" s="72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  <c r="AK635" s="69"/>
      <c r="AL635" s="69"/>
      <c r="AM635" s="69"/>
      <c r="AN635" s="69"/>
      <c r="AO635" s="69"/>
      <c r="AP635" s="69"/>
      <c r="AQ635" s="69"/>
      <c r="AR635" s="69"/>
      <c r="AS635" s="69"/>
      <c r="AT635" s="69"/>
      <c r="AU635" s="69"/>
      <c r="AV635" s="69"/>
      <c r="AW635" s="69"/>
      <c r="AX635" s="69"/>
      <c r="AY635" s="69"/>
      <c r="AZ635" s="69"/>
      <c r="BA635" s="69"/>
      <c r="BB635" s="69"/>
      <c r="BC635" s="69"/>
    </row>
    <row r="636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71"/>
      <c r="L636" s="69"/>
      <c r="M636" s="69"/>
      <c r="N636" s="72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  <c r="AK636" s="69"/>
      <c r="AL636" s="69"/>
      <c r="AM636" s="69"/>
      <c r="AN636" s="69"/>
      <c r="AO636" s="69"/>
      <c r="AP636" s="69"/>
      <c r="AQ636" s="69"/>
      <c r="AR636" s="69"/>
      <c r="AS636" s="69"/>
      <c r="AT636" s="69"/>
      <c r="AU636" s="69"/>
      <c r="AV636" s="69"/>
      <c r="AW636" s="69"/>
      <c r="AX636" s="69"/>
      <c r="AY636" s="69"/>
      <c r="AZ636" s="69"/>
      <c r="BA636" s="69"/>
      <c r="BB636" s="69"/>
      <c r="BC636" s="69"/>
    </row>
    <row r="637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71"/>
      <c r="L637" s="69"/>
      <c r="M637" s="69"/>
      <c r="N637" s="72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69"/>
      <c r="AR637" s="69"/>
      <c r="AS637" s="69"/>
      <c r="AT637" s="69"/>
      <c r="AU637" s="69"/>
      <c r="AV637" s="69"/>
      <c r="AW637" s="69"/>
      <c r="AX637" s="69"/>
      <c r="AY637" s="69"/>
      <c r="AZ637" s="69"/>
      <c r="BA637" s="69"/>
      <c r="BB637" s="69"/>
      <c r="BC637" s="69"/>
    </row>
    <row r="638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71"/>
      <c r="L638" s="69"/>
      <c r="M638" s="69"/>
      <c r="N638" s="72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  <c r="AK638" s="69"/>
      <c r="AL638" s="69"/>
      <c r="AM638" s="69"/>
      <c r="AN638" s="69"/>
      <c r="AO638" s="69"/>
      <c r="AP638" s="69"/>
      <c r="AQ638" s="69"/>
      <c r="AR638" s="69"/>
      <c r="AS638" s="69"/>
      <c r="AT638" s="69"/>
      <c r="AU638" s="69"/>
      <c r="AV638" s="69"/>
      <c r="AW638" s="69"/>
      <c r="AX638" s="69"/>
      <c r="AY638" s="69"/>
      <c r="AZ638" s="69"/>
      <c r="BA638" s="69"/>
      <c r="BB638" s="69"/>
      <c r="BC638" s="69"/>
    </row>
    <row r="639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71"/>
      <c r="L639" s="69"/>
      <c r="M639" s="69"/>
      <c r="N639" s="72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69"/>
      <c r="AR639" s="69"/>
      <c r="AS639" s="69"/>
      <c r="AT639" s="69"/>
      <c r="AU639" s="69"/>
      <c r="AV639" s="69"/>
      <c r="AW639" s="69"/>
      <c r="AX639" s="69"/>
      <c r="AY639" s="69"/>
      <c r="AZ639" s="69"/>
      <c r="BA639" s="69"/>
      <c r="BB639" s="69"/>
      <c r="BC639" s="69"/>
    </row>
    <row r="640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71"/>
      <c r="L640" s="69"/>
      <c r="M640" s="69"/>
      <c r="N640" s="72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  <c r="AK640" s="69"/>
      <c r="AL640" s="69"/>
      <c r="AM640" s="69"/>
      <c r="AN640" s="69"/>
      <c r="AO640" s="69"/>
      <c r="AP640" s="69"/>
      <c r="AQ640" s="69"/>
      <c r="AR640" s="69"/>
      <c r="AS640" s="69"/>
      <c r="AT640" s="69"/>
      <c r="AU640" s="69"/>
      <c r="AV640" s="69"/>
      <c r="AW640" s="69"/>
      <c r="AX640" s="69"/>
      <c r="AY640" s="69"/>
      <c r="AZ640" s="69"/>
      <c r="BA640" s="69"/>
      <c r="BB640" s="69"/>
      <c r="BC640" s="69"/>
    </row>
    <row r="64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71"/>
      <c r="L641" s="69"/>
      <c r="M641" s="69"/>
      <c r="N641" s="72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  <c r="AK641" s="69"/>
      <c r="AL641" s="69"/>
      <c r="AM641" s="69"/>
      <c r="AN641" s="69"/>
      <c r="AO641" s="69"/>
      <c r="AP641" s="69"/>
      <c r="AQ641" s="69"/>
      <c r="AR641" s="69"/>
      <c r="AS641" s="69"/>
      <c r="AT641" s="69"/>
      <c r="AU641" s="69"/>
      <c r="AV641" s="69"/>
      <c r="AW641" s="69"/>
      <c r="AX641" s="69"/>
      <c r="AY641" s="69"/>
      <c r="AZ641" s="69"/>
      <c r="BA641" s="69"/>
      <c r="BB641" s="69"/>
      <c r="BC641" s="69"/>
    </row>
    <row r="642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71"/>
      <c r="L642" s="69"/>
      <c r="M642" s="69"/>
      <c r="N642" s="72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  <c r="AK642" s="69"/>
      <c r="AL642" s="69"/>
      <c r="AM642" s="69"/>
      <c r="AN642" s="69"/>
      <c r="AO642" s="69"/>
      <c r="AP642" s="69"/>
      <c r="AQ642" s="69"/>
      <c r="AR642" s="69"/>
      <c r="AS642" s="69"/>
      <c r="AT642" s="69"/>
      <c r="AU642" s="69"/>
      <c r="AV642" s="69"/>
      <c r="AW642" s="69"/>
      <c r="AX642" s="69"/>
      <c r="AY642" s="69"/>
      <c r="AZ642" s="69"/>
      <c r="BA642" s="69"/>
      <c r="BB642" s="69"/>
      <c r="BC642" s="69"/>
    </row>
    <row r="643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71"/>
      <c r="L643" s="69"/>
      <c r="M643" s="69"/>
      <c r="N643" s="72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  <c r="AK643" s="69"/>
      <c r="AL643" s="69"/>
      <c r="AM643" s="69"/>
      <c r="AN643" s="69"/>
      <c r="AO643" s="69"/>
      <c r="AP643" s="69"/>
      <c r="AQ643" s="69"/>
      <c r="AR643" s="69"/>
      <c r="AS643" s="69"/>
      <c r="AT643" s="69"/>
      <c r="AU643" s="69"/>
      <c r="AV643" s="69"/>
      <c r="AW643" s="69"/>
      <c r="AX643" s="69"/>
      <c r="AY643" s="69"/>
      <c r="AZ643" s="69"/>
      <c r="BA643" s="69"/>
      <c r="BB643" s="69"/>
      <c r="BC643" s="69"/>
    </row>
    <row r="644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71"/>
      <c r="L644" s="69"/>
      <c r="M644" s="69"/>
      <c r="N644" s="72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  <c r="AK644" s="69"/>
      <c r="AL644" s="69"/>
      <c r="AM644" s="69"/>
      <c r="AN644" s="69"/>
      <c r="AO644" s="69"/>
      <c r="AP644" s="69"/>
      <c r="AQ644" s="69"/>
      <c r="AR644" s="69"/>
      <c r="AS644" s="69"/>
      <c r="AT644" s="69"/>
      <c r="AU644" s="69"/>
      <c r="AV644" s="69"/>
      <c r="AW644" s="69"/>
      <c r="AX644" s="69"/>
      <c r="AY644" s="69"/>
      <c r="AZ644" s="69"/>
      <c r="BA644" s="69"/>
      <c r="BB644" s="69"/>
      <c r="BC644" s="69"/>
    </row>
    <row r="64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71"/>
      <c r="L645" s="69"/>
      <c r="M645" s="69"/>
      <c r="N645" s="72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  <c r="AK645" s="69"/>
      <c r="AL645" s="69"/>
      <c r="AM645" s="69"/>
      <c r="AN645" s="69"/>
      <c r="AO645" s="69"/>
      <c r="AP645" s="69"/>
      <c r="AQ645" s="69"/>
      <c r="AR645" s="69"/>
      <c r="AS645" s="69"/>
      <c r="AT645" s="69"/>
      <c r="AU645" s="69"/>
      <c r="AV645" s="69"/>
      <c r="AW645" s="69"/>
      <c r="AX645" s="69"/>
      <c r="AY645" s="69"/>
      <c r="AZ645" s="69"/>
      <c r="BA645" s="69"/>
      <c r="BB645" s="69"/>
      <c r="BC645" s="69"/>
    </row>
    <row r="646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71"/>
      <c r="L646" s="69"/>
      <c r="M646" s="69"/>
      <c r="N646" s="72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  <c r="AK646" s="69"/>
      <c r="AL646" s="69"/>
      <c r="AM646" s="69"/>
      <c r="AN646" s="69"/>
      <c r="AO646" s="69"/>
      <c r="AP646" s="69"/>
      <c r="AQ646" s="69"/>
      <c r="AR646" s="69"/>
      <c r="AS646" s="69"/>
      <c r="AT646" s="69"/>
      <c r="AU646" s="69"/>
      <c r="AV646" s="69"/>
      <c r="AW646" s="69"/>
      <c r="AX646" s="69"/>
      <c r="AY646" s="69"/>
      <c r="AZ646" s="69"/>
      <c r="BA646" s="69"/>
      <c r="BB646" s="69"/>
      <c r="BC646" s="69"/>
    </row>
    <row r="647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71"/>
      <c r="L647" s="69"/>
      <c r="M647" s="69"/>
      <c r="N647" s="72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  <c r="AK647" s="69"/>
      <c r="AL647" s="69"/>
      <c r="AM647" s="69"/>
      <c r="AN647" s="69"/>
      <c r="AO647" s="69"/>
      <c r="AP647" s="69"/>
      <c r="AQ647" s="69"/>
      <c r="AR647" s="69"/>
      <c r="AS647" s="69"/>
      <c r="AT647" s="69"/>
      <c r="AU647" s="69"/>
      <c r="AV647" s="69"/>
      <c r="AW647" s="69"/>
      <c r="AX647" s="69"/>
      <c r="AY647" s="69"/>
      <c r="AZ647" s="69"/>
      <c r="BA647" s="69"/>
      <c r="BB647" s="69"/>
      <c r="BC647" s="69"/>
    </row>
    <row r="648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71"/>
      <c r="L648" s="69"/>
      <c r="M648" s="69"/>
      <c r="N648" s="72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  <c r="AK648" s="69"/>
      <c r="AL648" s="69"/>
      <c r="AM648" s="69"/>
      <c r="AN648" s="69"/>
      <c r="AO648" s="69"/>
      <c r="AP648" s="69"/>
      <c r="AQ648" s="69"/>
      <c r="AR648" s="69"/>
      <c r="AS648" s="69"/>
      <c r="AT648" s="69"/>
      <c r="AU648" s="69"/>
      <c r="AV648" s="69"/>
      <c r="AW648" s="69"/>
      <c r="AX648" s="69"/>
      <c r="AY648" s="69"/>
      <c r="AZ648" s="69"/>
      <c r="BA648" s="69"/>
      <c r="BB648" s="69"/>
      <c r="BC648" s="69"/>
    </row>
    <row r="649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71"/>
      <c r="L649" s="69"/>
      <c r="M649" s="69"/>
      <c r="N649" s="72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  <c r="AK649" s="69"/>
      <c r="AL649" s="69"/>
      <c r="AM649" s="69"/>
      <c r="AN649" s="69"/>
      <c r="AO649" s="69"/>
      <c r="AP649" s="69"/>
      <c r="AQ649" s="69"/>
      <c r="AR649" s="69"/>
      <c r="AS649" s="69"/>
      <c r="AT649" s="69"/>
      <c r="AU649" s="69"/>
      <c r="AV649" s="69"/>
      <c r="AW649" s="69"/>
      <c r="AX649" s="69"/>
      <c r="AY649" s="69"/>
      <c r="AZ649" s="69"/>
      <c r="BA649" s="69"/>
      <c r="BB649" s="69"/>
      <c r="BC649" s="69"/>
    </row>
    <row r="650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71"/>
      <c r="L650" s="69"/>
      <c r="M650" s="69"/>
      <c r="N650" s="72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  <c r="AK650" s="69"/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  <c r="AW650" s="69"/>
      <c r="AX650" s="69"/>
      <c r="AY650" s="69"/>
      <c r="AZ650" s="69"/>
      <c r="BA650" s="69"/>
      <c r="BB650" s="69"/>
      <c r="BC650" s="69"/>
    </row>
    <row r="65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71"/>
      <c r="L651" s="69"/>
      <c r="M651" s="69"/>
      <c r="N651" s="72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69"/>
      <c r="AR651" s="69"/>
      <c r="AS651" s="69"/>
      <c r="AT651" s="69"/>
      <c r="AU651" s="69"/>
      <c r="AV651" s="69"/>
      <c r="AW651" s="69"/>
      <c r="AX651" s="69"/>
      <c r="AY651" s="69"/>
      <c r="AZ651" s="69"/>
      <c r="BA651" s="69"/>
      <c r="BB651" s="69"/>
      <c r="BC651" s="69"/>
    </row>
    <row r="652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71"/>
      <c r="L652" s="69"/>
      <c r="M652" s="69"/>
      <c r="N652" s="72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  <c r="AK652" s="69"/>
      <c r="AL652" s="69"/>
      <c r="AM652" s="69"/>
      <c r="AN652" s="69"/>
      <c r="AO652" s="69"/>
      <c r="AP652" s="69"/>
      <c r="AQ652" s="69"/>
      <c r="AR652" s="69"/>
      <c r="AS652" s="69"/>
      <c r="AT652" s="69"/>
      <c r="AU652" s="69"/>
      <c r="AV652" s="69"/>
      <c r="AW652" s="69"/>
      <c r="AX652" s="69"/>
      <c r="AY652" s="69"/>
      <c r="AZ652" s="69"/>
      <c r="BA652" s="69"/>
      <c r="BB652" s="69"/>
      <c r="BC652" s="69"/>
    </row>
    <row r="653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71"/>
      <c r="L653" s="69"/>
      <c r="M653" s="69"/>
      <c r="N653" s="72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  <c r="AK653" s="69"/>
      <c r="AL653" s="69"/>
      <c r="AM653" s="69"/>
      <c r="AN653" s="69"/>
      <c r="AO653" s="69"/>
      <c r="AP653" s="69"/>
      <c r="AQ653" s="69"/>
      <c r="AR653" s="69"/>
      <c r="AS653" s="69"/>
      <c r="AT653" s="69"/>
      <c r="AU653" s="69"/>
      <c r="AV653" s="69"/>
      <c r="AW653" s="69"/>
      <c r="AX653" s="69"/>
      <c r="AY653" s="69"/>
      <c r="AZ653" s="69"/>
      <c r="BA653" s="69"/>
      <c r="BB653" s="69"/>
      <c r="BC653" s="69"/>
    </row>
    <row r="654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71"/>
      <c r="L654" s="69"/>
      <c r="M654" s="69"/>
      <c r="N654" s="72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  <c r="AK654" s="69"/>
      <c r="AL654" s="69"/>
      <c r="AM654" s="69"/>
      <c r="AN654" s="69"/>
      <c r="AO654" s="69"/>
      <c r="AP654" s="69"/>
      <c r="AQ654" s="69"/>
      <c r="AR654" s="69"/>
      <c r="AS654" s="69"/>
      <c r="AT654" s="69"/>
      <c r="AU654" s="69"/>
      <c r="AV654" s="69"/>
      <c r="AW654" s="69"/>
      <c r="AX654" s="69"/>
      <c r="AY654" s="69"/>
      <c r="AZ654" s="69"/>
      <c r="BA654" s="69"/>
      <c r="BB654" s="69"/>
      <c r="BC654" s="69"/>
    </row>
    <row r="65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71"/>
      <c r="L655" s="69"/>
      <c r="M655" s="69"/>
      <c r="N655" s="72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  <c r="AK655" s="69"/>
      <c r="AL655" s="69"/>
      <c r="AM655" s="69"/>
      <c r="AN655" s="69"/>
      <c r="AO655" s="69"/>
      <c r="AP655" s="69"/>
      <c r="AQ655" s="69"/>
      <c r="AR655" s="69"/>
      <c r="AS655" s="69"/>
      <c r="AT655" s="69"/>
      <c r="AU655" s="69"/>
      <c r="AV655" s="69"/>
      <c r="AW655" s="69"/>
      <c r="AX655" s="69"/>
      <c r="AY655" s="69"/>
      <c r="AZ655" s="69"/>
      <c r="BA655" s="69"/>
      <c r="BB655" s="69"/>
      <c r="BC655" s="69"/>
    </row>
    <row r="656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71"/>
      <c r="L656" s="69"/>
      <c r="M656" s="69"/>
      <c r="N656" s="72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  <c r="AK656" s="69"/>
      <c r="AL656" s="69"/>
      <c r="AM656" s="69"/>
      <c r="AN656" s="69"/>
      <c r="AO656" s="69"/>
      <c r="AP656" s="69"/>
      <c r="AQ656" s="69"/>
      <c r="AR656" s="69"/>
      <c r="AS656" s="69"/>
      <c r="AT656" s="69"/>
      <c r="AU656" s="69"/>
      <c r="AV656" s="69"/>
      <c r="AW656" s="69"/>
      <c r="AX656" s="69"/>
      <c r="AY656" s="69"/>
      <c r="AZ656" s="69"/>
      <c r="BA656" s="69"/>
      <c r="BB656" s="69"/>
      <c r="BC656" s="69"/>
    </row>
    <row r="657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71"/>
      <c r="L657" s="69"/>
      <c r="M657" s="69"/>
      <c r="N657" s="72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  <c r="AW657" s="69"/>
      <c r="AX657" s="69"/>
      <c r="AY657" s="69"/>
      <c r="AZ657" s="69"/>
      <c r="BA657" s="69"/>
      <c r="BB657" s="69"/>
      <c r="BC657" s="69"/>
    </row>
    <row r="658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71"/>
      <c r="L658" s="69"/>
      <c r="M658" s="69"/>
      <c r="N658" s="72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  <c r="AK658" s="69"/>
      <c r="AL658" s="69"/>
      <c r="AM658" s="69"/>
      <c r="AN658" s="69"/>
      <c r="AO658" s="69"/>
      <c r="AP658" s="69"/>
      <c r="AQ658" s="69"/>
      <c r="AR658" s="69"/>
      <c r="AS658" s="69"/>
      <c r="AT658" s="69"/>
      <c r="AU658" s="69"/>
      <c r="AV658" s="69"/>
      <c r="AW658" s="69"/>
      <c r="AX658" s="69"/>
      <c r="AY658" s="69"/>
      <c r="AZ658" s="69"/>
      <c r="BA658" s="69"/>
      <c r="BB658" s="69"/>
      <c r="BC658" s="69"/>
    </row>
    <row r="659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71"/>
      <c r="L659" s="69"/>
      <c r="M659" s="69"/>
      <c r="N659" s="72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</row>
    <row r="660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71"/>
      <c r="L660" s="69"/>
      <c r="M660" s="69"/>
      <c r="N660" s="72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  <c r="AI660" s="69"/>
      <c r="AJ660" s="69"/>
      <c r="AK660" s="69"/>
      <c r="AL660" s="69"/>
      <c r="AM660" s="69"/>
      <c r="AN660" s="69"/>
      <c r="AO660" s="69"/>
      <c r="AP660" s="69"/>
      <c r="AQ660" s="69"/>
      <c r="AR660" s="69"/>
      <c r="AS660" s="69"/>
      <c r="AT660" s="69"/>
      <c r="AU660" s="69"/>
      <c r="AV660" s="69"/>
      <c r="AW660" s="69"/>
      <c r="AX660" s="69"/>
      <c r="AY660" s="69"/>
      <c r="AZ660" s="69"/>
      <c r="BA660" s="69"/>
      <c r="BB660" s="69"/>
      <c r="BC660" s="69"/>
    </row>
    <row r="66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71"/>
      <c r="L661" s="69"/>
      <c r="M661" s="69"/>
      <c r="N661" s="72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  <c r="AI661" s="69"/>
      <c r="AJ661" s="69"/>
      <c r="AK661" s="69"/>
      <c r="AL661" s="69"/>
      <c r="AM661" s="69"/>
      <c r="AN661" s="69"/>
      <c r="AO661" s="69"/>
      <c r="AP661" s="69"/>
      <c r="AQ661" s="69"/>
      <c r="AR661" s="69"/>
      <c r="AS661" s="69"/>
      <c r="AT661" s="69"/>
      <c r="AU661" s="69"/>
      <c r="AV661" s="69"/>
      <c r="AW661" s="69"/>
      <c r="AX661" s="69"/>
      <c r="AY661" s="69"/>
      <c r="AZ661" s="69"/>
      <c r="BA661" s="69"/>
      <c r="BB661" s="69"/>
      <c r="BC661" s="69"/>
    </row>
    <row r="662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71"/>
      <c r="L662" s="69"/>
      <c r="M662" s="69"/>
      <c r="N662" s="72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  <c r="AI662" s="69"/>
      <c r="AJ662" s="69"/>
      <c r="AK662" s="69"/>
      <c r="AL662" s="69"/>
      <c r="AM662" s="69"/>
      <c r="AN662" s="69"/>
      <c r="AO662" s="69"/>
      <c r="AP662" s="69"/>
      <c r="AQ662" s="69"/>
      <c r="AR662" s="69"/>
      <c r="AS662" s="69"/>
      <c r="AT662" s="69"/>
      <c r="AU662" s="69"/>
      <c r="AV662" s="69"/>
      <c r="AW662" s="69"/>
      <c r="AX662" s="69"/>
      <c r="AY662" s="69"/>
      <c r="AZ662" s="69"/>
      <c r="BA662" s="69"/>
      <c r="BB662" s="69"/>
      <c r="BC662" s="69"/>
    </row>
    <row r="663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71"/>
      <c r="L663" s="69"/>
      <c r="M663" s="69"/>
      <c r="N663" s="72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  <c r="AI663" s="69"/>
      <c r="AJ663" s="69"/>
      <c r="AK663" s="69"/>
      <c r="AL663" s="69"/>
      <c r="AM663" s="69"/>
      <c r="AN663" s="69"/>
      <c r="AO663" s="69"/>
      <c r="AP663" s="69"/>
      <c r="AQ663" s="69"/>
      <c r="AR663" s="69"/>
      <c r="AS663" s="69"/>
      <c r="AT663" s="69"/>
      <c r="AU663" s="69"/>
      <c r="AV663" s="69"/>
      <c r="AW663" s="69"/>
      <c r="AX663" s="69"/>
      <c r="AY663" s="69"/>
      <c r="AZ663" s="69"/>
      <c r="BA663" s="69"/>
      <c r="BB663" s="69"/>
      <c r="BC663" s="69"/>
    </row>
    <row r="664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71"/>
      <c r="L664" s="69"/>
      <c r="M664" s="69"/>
      <c r="N664" s="72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  <c r="AI664" s="69"/>
      <c r="AJ664" s="69"/>
      <c r="AK664" s="69"/>
      <c r="AL664" s="69"/>
      <c r="AM664" s="69"/>
      <c r="AN664" s="69"/>
      <c r="AO664" s="69"/>
      <c r="AP664" s="69"/>
      <c r="AQ664" s="69"/>
      <c r="AR664" s="69"/>
      <c r="AS664" s="69"/>
      <c r="AT664" s="69"/>
      <c r="AU664" s="69"/>
      <c r="AV664" s="69"/>
      <c r="AW664" s="69"/>
      <c r="AX664" s="69"/>
      <c r="AY664" s="69"/>
      <c r="AZ664" s="69"/>
      <c r="BA664" s="69"/>
      <c r="BB664" s="69"/>
      <c r="BC664" s="69"/>
    </row>
    <row r="66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71"/>
      <c r="L665" s="69"/>
      <c r="M665" s="69"/>
      <c r="N665" s="72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  <c r="AI665" s="69"/>
      <c r="AJ665" s="69"/>
      <c r="AK665" s="69"/>
      <c r="AL665" s="69"/>
      <c r="AM665" s="69"/>
      <c r="AN665" s="69"/>
      <c r="AO665" s="69"/>
      <c r="AP665" s="69"/>
      <c r="AQ665" s="69"/>
      <c r="AR665" s="69"/>
      <c r="AS665" s="69"/>
      <c r="AT665" s="69"/>
      <c r="AU665" s="69"/>
      <c r="AV665" s="69"/>
      <c r="AW665" s="69"/>
      <c r="AX665" s="69"/>
      <c r="AY665" s="69"/>
      <c r="AZ665" s="69"/>
      <c r="BA665" s="69"/>
      <c r="BB665" s="69"/>
      <c r="BC665" s="69"/>
    </row>
    <row r="666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71"/>
      <c r="L666" s="69"/>
      <c r="M666" s="69"/>
      <c r="N666" s="72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  <c r="AI666" s="69"/>
      <c r="AJ666" s="69"/>
      <c r="AK666" s="69"/>
      <c r="AL666" s="69"/>
      <c r="AM666" s="69"/>
      <c r="AN666" s="69"/>
      <c r="AO666" s="69"/>
      <c r="AP666" s="69"/>
      <c r="AQ666" s="69"/>
      <c r="AR666" s="69"/>
      <c r="AS666" s="69"/>
      <c r="AT666" s="69"/>
      <c r="AU666" s="69"/>
      <c r="AV666" s="69"/>
      <c r="AW666" s="69"/>
      <c r="AX666" s="69"/>
      <c r="AY666" s="69"/>
      <c r="AZ666" s="69"/>
      <c r="BA666" s="69"/>
      <c r="BB666" s="69"/>
      <c r="BC666" s="69"/>
    </row>
    <row r="667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71"/>
      <c r="L667" s="69"/>
      <c r="M667" s="69"/>
      <c r="N667" s="72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  <c r="AI667" s="69"/>
      <c r="AJ667" s="69"/>
      <c r="AK667" s="69"/>
      <c r="AL667" s="69"/>
      <c r="AM667" s="69"/>
      <c r="AN667" s="69"/>
      <c r="AO667" s="69"/>
      <c r="AP667" s="69"/>
      <c r="AQ667" s="69"/>
      <c r="AR667" s="69"/>
      <c r="AS667" s="69"/>
      <c r="AT667" s="69"/>
      <c r="AU667" s="69"/>
      <c r="AV667" s="69"/>
      <c r="AW667" s="69"/>
      <c r="AX667" s="69"/>
      <c r="AY667" s="69"/>
      <c r="AZ667" s="69"/>
      <c r="BA667" s="69"/>
      <c r="BB667" s="69"/>
      <c r="BC667" s="69"/>
    </row>
    <row r="668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71"/>
      <c r="L668" s="69"/>
      <c r="M668" s="69"/>
      <c r="N668" s="72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  <c r="AI668" s="69"/>
      <c r="AJ668" s="69"/>
      <c r="AK668" s="69"/>
      <c r="AL668" s="69"/>
      <c r="AM668" s="69"/>
      <c r="AN668" s="69"/>
      <c r="AO668" s="69"/>
      <c r="AP668" s="69"/>
      <c r="AQ668" s="69"/>
      <c r="AR668" s="69"/>
      <c r="AS668" s="69"/>
      <c r="AT668" s="69"/>
      <c r="AU668" s="69"/>
      <c r="AV668" s="69"/>
      <c r="AW668" s="69"/>
      <c r="AX668" s="69"/>
      <c r="AY668" s="69"/>
      <c r="AZ668" s="69"/>
      <c r="BA668" s="69"/>
      <c r="BB668" s="69"/>
      <c r="BC668" s="69"/>
    </row>
    <row r="669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71"/>
      <c r="L669" s="69"/>
      <c r="M669" s="69"/>
      <c r="N669" s="72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  <c r="AI669" s="69"/>
      <c r="AJ669" s="69"/>
      <c r="AK669" s="69"/>
      <c r="AL669" s="69"/>
      <c r="AM669" s="69"/>
      <c r="AN669" s="69"/>
      <c r="AO669" s="69"/>
      <c r="AP669" s="69"/>
      <c r="AQ669" s="69"/>
      <c r="AR669" s="69"/>
      <c r="AS669" s="69"/>
      <c r="AT669" s="69"/>
      <c r="AU669" s="69"/>
      <c r="AV669" s="69"/>
      <c r="AW669" s="69"/>
      <c r="AX669" s="69"/>
      <c r="AY669" s="69"/>
      <c r="AZ669" s="69"/>
      <c r="BA669" s="69"/>
      <c r="BB669" s="69"/>
      <c r="BC669" s="69"/>
    </row>
    <row r="670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71"/>
      <c r="L670" s="69"/>
      <c r="M670" s="69"/>
      <c r="N670" s="72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  <c r="AI670" s="69"/>
      <c r="AJ670" s="69"/>
      <c r="AK670" s="69"/>
      <c r="AL670" s="69"/>
      <c r="AM670" s="69"/>
      <c r="AN670" s="69"/>
      <c r="AO670" s="69"/>
      <c r="AP670" s="69"/>
      <c r="AQ670" s="69"/>
      <c r="AR670" s="69"/>
      <c r="AS670" s="69"/>
      <c r="AT670" s="69"/>
      <c r="AU670" s="69"/>
      <c r="AV670" s="69"/>
      <c r="AW670" s="69"/>
      <c r="AX670" s="69"/>
      <c r="AY670" s="69"/>
      <c r="AZ670" s="69"/>
      <c r="BA670" s="69"/>
      <c r="BB670" s="69"/>
      <c r="BC670" s="69"/>
    </row>
    <row r="67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71"/>
      <c r="L671" s="69"/>
      <c r="M671" s="69"/>
      <c r="N671" s="72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  <c r="AI671" s="69"/>
      <c r="AJ671" s="69"/>
      <c r="AK671" s="69"/>
      <c r="AL671" s="69"/>
      <c r="AM671" s="69"/>
      <c r="AN671" s="69"/>
      <c r="AO671" s="69"/>
      <c r="AP671" s="69"/>
      <c r="AQ671" s="69"/>
      <c r="AR671" s="69"/>
      <c r="AS671" s="69"/>
      <c r="AT671" s="69"/>
      <c r="AU671" s="69"/>
      <c r="AV671" s="69"/>
      <c r="AW671" s="69"/>
      <c r="AX671" s="69"/>
      <c r="AY671" s="69"/>
      <c r="AZ671" s="69"/>
      <c r="BA671" s="69"/>
      <c r="BB671" s="69"/>
      <c r="BC671" s="69"/>
    </row>
    <row r="672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71"/>
      <c r="L672" s="69"/>
      <c r="M672" s="69"/>
      <c r="N672" s="72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  <c r="AI672" s="69"/>
      <c r="AJ672" s="69"/>
      <c r="AK672" s="69"/>
      <c r="AL672" s="69"/>
      <c r="AM672" s="69"/>
      <c r="AN672" s="69"/>
      <c r="AO672" s="69"/>
      <c r="AP672" s="69"/>
      <c r="AQ672" s="69"/>
      <c r="AR672" s="69"/>
      <c r="AS672" s="69"/>
      <c r="AT672" s="69"/>
      <c r="AU672" s="69"/>
      <c r="AV672" s="69"/>
      <c r="AW672" s="69"/>
      <c r="AX672" s="69"/>
      <c r="AY672" s="69"/>
      <c r="AZ672" s="69"/>
      <c r="BA672" s="69"/>
      <c r="BB672" s="69"/>
      <c r="BC672" s="69"/>
    </row>
    <row r="673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71"/>
      <c r="L673" s="69"/>
      <c r="M673" s="69"/>
      <c r="N673" s="72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  <c r="AW673" s="69"/>
      <c r="AX673" s="69"/>
      <c r="AY673" s="69"/>
      <c r="AZ673" s="69"/>
      <c r="BA673" s="69"/>
      <c r="BB673" s="69"/>
      <c r="BC673" s="69"/>
    </row>
    <row r="674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71"/>
      <c r="L674" s="69"/>
      <c r="M674" s="69"/>
      <c r="N674" s="72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  <c r="AI674" s="69"/>
      <c r="AJ674" s="69"/>
      <c r="AK674" s="69"/>
      <c r="AL674" s="69"/>
      <c r="AM674" s="69"/>
      <c r="AN674" s="69"/>
      <c r="AO674" s="69"/>
      <c r="AP674" s="69"/>
      <c r="AQ674" s="69"/>
      <c r="AR674" s="69"/>
      <c r="AS674" s="69"/>
      <c r="AT674" s="69"/>
      <c r="AU674" s="69"/>
      <c r="AV674" s="69"/>
      <c r="AW674" s="69"/>
      <c r="AX674" s="69"/>
      <c r="AY674" s="69"/>
      <c r="AZ674" s="69"/>
      <c r="BA674" s="69"/>
      <c r="BB674" s="69"/>
      <c r="BC674" s="69"/>
    </row>
    <row r="67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71"/>
      <c r="L675" s="69"/>
      <c r="M675" s="69"/>
      <c r="N675" s="72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  <c r="AI675" s="69"/>
      <c r="AJ675" s="69"/>
      <c r="AK675" s="69"/>
      <c r="AL675" s="69"/>
      <c r="AM675" s="69"/>
      <c r="AN675" s="69"/>
      <c r="AO675" s="69"/>
      <c r="AP675" s="69"/>
      <c r="AQ675" s="69"/>
      <c r="AR675" s="69"/>
      <c r="AS675" s="69"/>
      <c r="AT675" s="69"/>
      <c r="AU675" s="69"/>
      <c r="AV675" s="69"/>
      <c r="AW675" s="69"/>
      <c r="AX675" s="69"/>
      <c r="AY675" s="69"/>
      <c r="AZ675" s="69"/>
      <c r="BA675" s="69"/>
      <c r="BB675" s="69"/>
      <c r="BC675" s="69"/>
    </row>
    <row r="676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71"/>
      <c r="L676" s="69"/>
      <c r="M676" s="69"/>
      <c r="N676" s="72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  <c r="AI676" s="69"/>
      <c r="AJ676" s="69"/>
      <c r="AK676" s="69"/>
      <c r="AL676" s="69"/>
      <c r="AM676" s="69"/>
      <c r="AN676" s="69"/>
      <c r="AO676" s="69"/>
      <c r="AP676" s="69"/>
      <c r="AQ676" s="69"/>
      <c r="AR676" s="69"/>
      <c r="AS676" s="69"/>
      <c r="AT676" s="69"/>
      <c r="AU676" s="69"/>
      <c r="AV676" s="69"/>
      <c r="AW676" s="69"/>
      <c r="AX676" s="69"/>
      <c r="AY676" s="69"/>
      <c r="AZ676" s="69"/>
      <c r="BA676" s="69"/>
      <c r="BB676" s="69"/>
      <c r="BC676" s="69"/>
    </row>
    <row r="677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71"/>
      <c r="L677" s="69"/>
      <c r="M677" s="69"/>
      <c r="N677" s="72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  <c r="AI677" s="69"/>
      <c r="AJ677" s="69"/>
      <c r="AK677" s="69"/>
      <c r="AL677" s="69"/>
      <c r="AM677" s="69"/>
      <c r="AN677" s="69"/>
      <c r="AO677" s="69"/>
      <c r="AP677" s="69"/>
      <c r="AQ677" s="69"/>
      <c r="AR677" s="69"/>
      <c r="AS677" s="69"/>
      <c r="AT677" s="69"/>
      <c r="AU677" s="69"/>
      <c r="AV677" s="69"/>
      <c r="AW677" s="69"/>
      <c r="AX677" s="69"/>
      <c r="AY677" s="69"/>
      <c r="AZ677" s="69"/>
      <c r="BA677" s="69"/>
      <c r="BB677" s="69"/>
      <c r="BC677" s="69"/>
    </row>
    <row r="678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71"/>
      <c r="L678" s="69"/>
      <c r="M678" s="69"/>
      <c r="N678" s="72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  <c r="AI678" s="69"/>
      <c r="AJ678" s="69"/>
      <c r="AK678" s="69"/>
      <c r="AL678" s="69"/>
      <c r="AM678" s="69"/>
      <c r="AN678" s="69"/>
      <c r="AO678" s="69"/>
      <c r="AP678" s="69"/>
      <c r="AQ678" s="69"/>
      <c r="AR678" s="69"/>
      <c r="AS678" s="69"/>
      <c r="AT678" s="69"/>
      <c r="AU678" s="69"/>
      <c r="AV678" s="69"/>
      <c r="AW678" s="69"/>
      <c r="AX678" s="69"/>
      <c r="AY678" s="69"/>
      <c r="AZ678" s="69"/>
      <c r="BA678" s="69"/>
      <c r="BB678" s="69"/>
      <c r="BC678" s="69"/>
    </row>
    <row r="679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71"/>
      <c r="L679" s="69"/>
      <c r="M679" s="69"/>
      <c r="N679" s="72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  <c r="AI679" s="69"/>
      <c r="AJ679" s="69"/>
      <c r="AK679" s="69"/>
      <c r="AL679" s="69"/>
      <c r="AM679" s="69"/>
      <c r="AN679" s="69"/>
      <c r="AO679" s="69"/>
      <c r="AP679" s="69"/>
      <c r="AQ679" s="69"/>
      <c r="AR679" s="69"/>
      <c r="AS679" s="69"/>
      <c r="AT679" s="69"/>
      <c r="AU679" s="69"/>
      <c r="AV679" s="69"/>
      <c r="AW679" s="69"/>
      <c r="AX679" s="69"/>
      <c r="AY679" s="69"/>
      <c r="AZ679" s="69"/>
      <c r="BA679" s="69"/>
      <c r="BB679" s="69"/>
      <c r="BC679" s="69"/>
    </row>
    <row r="680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71"/>
      <c r="L680" s="69"/>
      <c r="M680" s="69"/>
      <c r="N680" s="72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  <c r="AI680" s="69"/>
      <c r="AJ680" s="69"/>
      <c r="AK680" s="69"/>
      <c r="AL680" s="69"/>
      <c r="AM680" s="69"/>
      <c r="AN680" s="69"/>
      <c r="AO680" s="69"/>
      <c r="AP680" s="69"/>
      <c r="AQ680" s="69"/>
      <c r="AR680" s="69"/>
      <c r="AS680" s="69"/>
      <c r="AT680" s="69"/>
      <c r="AU680" s="69"/>
      <c r="AV680" s="69"/>
      <c r="AW680" s="69"/>
      <c r="AX680" s="69"/>
      <c r="AY680" s="69"/>
      <c r="AZ680" s="69"/>
      <c r="BA680" s="69"/>
      <c r="BB680" s="69"/>
      <c r="BC680" s="69"/>
    </row>
    <row r="68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71"/>
      <c r="L681" s="69"/>
      <c r="M681" s="69"/>
      <c r="N681" s="72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  <c r="AI681" s="69"/>
      <c r="AJ681" s="69"/>
      <c r="AK681" s="69"/>
      <c r="AL681" s="69"/>
      <c r="AM681" s="69"/>
      <c r="AN681" s="69"/>
      <c r="AO681" s="69"/>
      <c r="AP681" s="69"/>
      <c r="AQ681" s="69"/>
      <c r="AR681" s="69"/>
      <c r="AS681" s="69"/>
      <c r="AT681" s="69"/>
      <c r="AU681" s="69"/>
      <c r="AV681" s="69"/>
      <c r="AW681" s="69"/>
      <c r="AX681" s="69"/>
      <c r="AY681" s="69"/>
      <c r="AZ681" s="69"/>
      <c r="BA681" s="69"/>
      <c r="BB681" s="69"/>
      <c r="BC681" s="69"/>
    </row>
    <row r="682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71"/>
      <c r="L682" s="69"/>
      <c r="M682" s="69"/>
      <c r="N682" s="72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  <c r="AI682" s="69"/>
      <c r="AJ682" s="69"/>
      <c r="AK682" s="69"/>
      <c r="AL682" s="69"/>
      <c r="AM682" s="69"/>
      <c r="AN682" s="69"/>
      <c r="AO682" s="69"/>
      <c r="AP682" s="69"/>
      <c r="AQ682" s="69"/>
      <c r="AR682" s="69"/>
      <c r="AS682" s="69"/>
      <c r="AT682" s="69"/>
      <c r="AU682" s="69"/>
      <c r="AV682" s="69"/>
      <c r="AW682" s="69"/>
      <c r="AX682" s="69"/>
      <c r="AY682" s="69"/>
      <c r="AZ682" s="69"/>
      <c r="BA682" s="69"/>
      <c r="BB682" s="69"/>
      <c r="BC682" s="69"/>
    </row>
    <row r="683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71"/>
      <c r="L683" s="69"/>
      <c r="M683" s="69"/>
      <c r="N683" s="72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  <c r="AI683" s="69"/>
      <c r="AJ683" s="69"/>
      <c r="AK683" s="69"/>
      <c r="AL683" s="69"/>
      <c r="AM683" s="69"/>
      <c r="AN683" s="69"/>
      <c r="AO683" s="69"/>
      <c r="AP683" s="69"/>
      <c r="AQ683" s="69"/>
      <c r="AR683" s="69"/>
      <c r="AS683" s="69"/>
      <c r="AT683" s="69"/>
      <c r="AU683" s="69"/>
      <c r="AV683" s="69"/>
      <c r="AW683" s="69"/>
      <c r="AX683" s="69"/>
      <c r="AY683" s="69"/>
      <c r="AZ683" s="69"/>
      <c r="BA683" s="69"/>
      <c r="BB683" s="69"/>
      <c r="BC683" s="69"/>
    </row>
    <row r="684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71"/>
      <c r="L684" s="69"/>
      <c r="M684" s="69"/>
      <c r="N684" s="72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  <c r="AI684" s="69"/>
      <c r="AJ684" s="69"/>
      <c r="AK684" s="69"/>
      <c r="AL684" s="69"/>
      <c r="AM684" s="69"/>
      <c r="AN684" s="69"/>
      <c r="AO684" s="69"/>
      <c r="AP684" s="69"/>
      <c r="AQ684" s="69"/>
      <c r="AR684" s="69"/>
      <c r="AS684" s="69"/>
      <c r="AT684" s="69"/>
      <c r="AU684" s="69"/>
      <c r="AV684" s="69"/>
      <c r="AW684" s="69"/>
      <c r="AX684" s="69"/>
      <c r="AY684" s="69"/>
      <c r="AZ684" s="69"/>
      <c r="BA684" s="69"/>
      <c r="BB684" s="69"/>
      <c r="BC684" s="69"/>
    </row>
    <row r="68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71"/>
      <c r="L685" s="69"/>
      <c r="M685" s="69"/>
      <c r="N685" s="72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  <c r="AI685" s="69"/>
      <c r="AJ685" s="69"/>
      <c r="AK685" s="69"/>
      <c r="AL685" s="69"/>
      <c r="AM685" s="69"/>
      <c r="AN685" s="69"/>
      <c r="AO685" s="69"/>
      <c r="AP685" s="69"/>
      <c r="AQ685" s="69"/>
      <c r="AR685" s="69"/>
      <c r="AS685" s="69"/>
      <c r="AT685" s="69"/>
      <c r="AU685" s="69"/>
      <c r="AV685" s="69"/>
      <c r="AW685" s="69"/>
      <c r="AX685" s="69"/>
      <c r="AY685" s="69"/>
      <c r="AZ685" s="69"/>
      <c r="BA685" s="69"/>
      <c r="BB685" s="69"/>
      <c r="BC685" s="69"/>
    </row>
    <row r="686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71"/>
      <c r="L686" s="69"/>
      <c r="M686" s="69"/>
      <c r="N686" s="72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  <c r="AI686" s="69"/>
      <c r="AJ686" s="69"/>
      <c r="AK686" s="69"/>
      <c r="AL686" s="69"/>
      <c r="AM686" s="69"/>
      <c r="AN686" s="69"/>
      <c r="AO686" s="69"/>
      <c r="AP686" s="69"/>
      <c r="AQ686" s="69"/>
      <c r="AR686" s="69"/>
      <c r="AS686" s="69"/>
      <c r="AT686" s="69"/>
      <c r="AU686" s="69"/>
      <c r="AV686" s="69"/>
      <c r="AW686" s="69"/>
      <c r="AX686" s="69"/>
      <c r="AY686" s="69"/>
      <c r="AZ686" s="69"/>
      <c r="BA686" s="69"/>
      <c r="BB686" s="69"/>
      <c r="BC686" s="69"/>
    </row>
    <row r="687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71"/>
      <c r="L687" s="69"/>
      <c r="M687" s="69"/>
      <c r="N687" s="72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  <c r="AI687" s="69"/>
      <c r="AJ687" s="69"/>
      <c r="AK687" s="69"/>
      <c r="AL687" s="69"/>
      <c r="AM687" s="69"/>
      <c r="AN687" s="69"/>
      <c r="AO687" s="69"/>
      <c r="AP687" s="69"/>
      <c r="AQ687" s="69"/>
      <c r="AR687" s="69"/>
      <c r="AS687" s="69"/>
      <c r="AT687" s="69"/>
      <c r="AU687" s="69"/>
      <c r="AV687" s="69"/>
      <c r="AW687" s="69"/>
      <c r="AX687" s="69"/>
      <c r="AY687" s="69"/>
      <c r="AZ687" s="69"/>
      <c r="BA687" s="69"/>
      <c r="BB687" s="69"/>
      <c r="BC687" s="69"/>
    </row>
    <row r="688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71"/>
      <c r="L688" s="69"/>
      <c r="M688" s="69"/>
      <c r="N688" s="72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  <c r="AI688" s="69"/>
      <c r="AJ688" s="69"/>
      <c r="AK688" s="69"/>
      <c r="AL688" s="69"/>
      <c r="AM688" s="69"/>
      <c r="AN688" s="69"/>
      <c r="AO688" s="69"/>
      <c r="AP688" s="69"/>
      <c r="AQ688" s="69"/>
      <c r="AR688" s="69"/>
      <c r="AS688" s="69"/>
      <c r="AT688" s="69"/>
      <c r="AU688" s="69"/>
      <c r="AV688" s="69"/>
      <c r="AW688" s="69"/>
      <c r="AX688" s="69"/>
      <c r="AY688" s="69"/>
      <c r="AZ688" s="69"/>
      <c r="BA688" s="69"/>
      <c r="BB688" s="69"/>
      <c r="BC688" s="69"/>
    </row>
    <row r="689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71"/>
      <c r="L689" s="69"/>
      <c r="M689" s="69"/>
      <c r="N689" s="72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  <c r="AI689" s="69"/>
      <c r="AJ689" s="69"/>
      <c r="AK689" s="69"/>
      <c r="AL689" s="69"/>
      <c r="AM689" s="69"/>
      <c r="AN689" s="69"/>
      <c r="AO689" s="69"/>
      <c r="AP689" s="69"/>
      <c r="AQ689" s="69"/>
      <c r="AR689" s="69"/>
      <c r="AS689" s="69"/>
      <c r="AT689" s="69"/>
      <c r="AU689" s="69"/>
      <c r="AV689" s="69"/>
      <c r="AW689" s="69"/>
      <c r="AX689" s="69"/>
      <c r="AY689" s="69"/>
      <c r="AZ689" s="69"/>
      <c r="BA689" s="69"/>
      <c r="BB689" s="69"/>
      <c r="BC689" s="69"/>
    </row>
    <row r="690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71"/>
      <c r="L690" s="69"/>
      <c r="M690" s="69"/>
      <c r="N690" s="72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  <c r="AI690" s="69"/>
      <c r="AJ690" s="69"/>
      <c r="AK690" s="69"/>
      <c r="AL690" s="69"/>
      <c r="AM690" s="69"/>
      <c r="AN690" s="69"/>
      <c r="AO690" s="69"/>
      <c r="AP690" s="69"/>
      <c r="AQ690" s="69"/>
      <c r="AR690" s="69"/>
      <c r="AS690" s="69"/>
      <c r="AT690" s="69"/>
      <c r="AU690" s="69"/>
      <c r="AV690" s="69"/>
      <c r="AW690" s="69"/>
      <c r="AX690" s="69"/>
      <c r="AY690" s="69"/>
      <c r="AZ690" s="69"/>
      <c r="BA690" s="69"/>
      <c r="BB690" s="69"/>
      <c r="BC690" s="69"/>
    </row>
    <row r="69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71"/>
      <c r="L691" s="69"/>
      <c r="M691" s="69"/>
      <c r="N691" s="72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</row>
    <row r="692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71"/>
      <c r="L692" s="69"/>
      <c r="M692" s="69"/>
      <c r="N692" s="72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</row>
    <row r="693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71"/>
      <c r="L693" s="69"/>
      <c r="M693" s="69"/>
      <c r="N693" s="72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</row>
    <row r="694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71"/>
      <c r="L694" s="69"/>
      <c r="M694" s="69"/>
      <c r="N694" s="72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</row>
    <row r="69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71"/>
      <c r="L695" s="69"/>
      <c r="M695" s="69"/>
      <c r="N695" s="72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</row>
    <row r="696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71"/>
      <c r="L696" s="69"/>
      <c r="M696" s="69"/>
      <c r="N696" s="72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</row>
    <row r="697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71"/>
      <c r="L697" s="69"/>
      <c r="M697" s="69"/>
      <c r="N697" s="72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</row>
    <row r="698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71"/>
      <c r="L698" s="69"/>
      <c r="M698" s="69"/>
      <c r="N698" s="72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</row>
    <row r="699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71"/>
      <c r="L699" s="69"/>
      <c r="M699" s="69"/>
      <c r="N699" s="72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</row>
    <row r="700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71"/>
      <c r="L700" s="69"/>
      <c r="M700" s="69"/>
      <c r="N700" s="72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</row>
    <row r="70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71"/>
      <c r="L701" s="69"/>
      <c r="M701" s="69"/>
      <c r="N701" s="72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</row>
    <row r="702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71"/>
      <c r="L702" s="69"/>
      <c r="M702" s="69"/>
      <c r="N702" s="72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</row>
    <row r="703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71"/>
      <c r="L703" s="69"/>
      <c r="M703" s="69"/>
      <c r="N703" s="72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</row>
    <row r="704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71"/>
      <c r="L704" s="69"/>
      <c r="M704" s="69"/>
      <c r="N704" s="72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</row>
    <row r="70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71"/>
      <c r="L705" s="69"/>
      <c r="M705" s="69"/>
      <c r="N705" s="72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</row>
    <row r="706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71"/>
      <c r="L706" s="69"/>
      <c r="M706" s="69"/>
      <c r="N706" s="72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</row>
    <row r="707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71"/>
      <c r="L707" s="69"/>
      <c r="M707" s="69"/>
      <c r="N707" s="72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</row>
    <row r="708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71"/>
      <c r="L708" s="69"/>
      <c r="M708" s="69"/>
      <c r="N708" s="72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</row>
    <row r="709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71"/>
      <c r="L709" s="69"/>
      <c r="M709" s="69"/>
      <c r="N709" s="72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</row>
    <row r="710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71"/>
      <c r="L710" s="69"/>
      <c r="M710" s="69"/>
      <c r="N710" s="72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</row>
    <row r="71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71"/>
      <c r="L711" s="69"/>
      <c r="M711" s="69"/>
      <c r="N711" s="72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</row>
    <row r="712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71"/>
      <c r="L712" s="69"/>
      <c r="M712" s="69"/>
      <c r="N712" s="72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  <c r="AI712" s="69"/>
      <c r="AJ712" s="69"/>
      <c r="AK712" s="69"/>
      <c r="AL712" s="69"/>
      <c r="AM712" s="69"/>
      <c r="AN712" s="69"/>
      <c r="AO712" s="69"/>
      <c r="AP712" s="69"/>
      <c r="AQ712" s="69"/>
      <c r="AR712" s="69"/>
      <c r="AS712" s="69"/>
      <c r="AT712" s="69"/>
      <c r="AU712" s="69"/>
      <c r="AV712" s="69"/>
      <c r="AW712" s="69"/>
      <c r="AX712" s="69"/>
      <c r="AY712" s="69"/>
      <c r="AZ712" s="69"/>
      <c r="BA712" s="69"/>
      <c r="BB712" s="69"/>
      <c r="BC712" s="69"/>
    </row>
    <row r="713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71"/>
      <c r="L713" s="69"/>
      <c r="M713" s="69"/>
      <c r="N713" s="72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  <c r="AI713" s="69"/>
      <c r="AJ713" s="69"/>
      <c r="AK713" s="69"/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  <c r="AV713" s="69"/>
      <c r="AW713" s="69"/>
      <c r="AX713" s="69"/>
      <c r="AY713" s="69"/>
      <c r="AZ713" s="69"/>
      <c r="BA713" s="69"/>
      <c r="BB713" s="69"/>
      <c r="BC713" s="69"/>
    </row>
    <row r="714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71"/>
      <c r="L714" s="69"/>
      <c r="M714" s="69"/>
      <c r="N714" s="72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  <c r="AI714" s="69"/>
      <c r="AJ714" s="69"/>
      <c r="AK714" s="69"/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  <c r="AV714" s="69"/>
      <c r="AW714" s="69"/>
      <c r="AX714" s="69"/>
      <c r="AY714" s="69"/>
      <c r="AZ714" s="69"/>
      <c r="BA714" s="69"/>
      <c r="BB714" s="69"/>
      <c r="BC714" s="69"/>
    </row>
    <row r="71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71"/>
      <c r="L715" s="69"/>
      <c r="M715" s="69"/>
      <c r="N715" s="72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  <c r="AI715" s="69"/>
      <c r="AJ715" s="69"/>
      <c r="AK715" s="69"/>
      <c r="AL715" s="69"/>
      <c r="AM715" s="69"/>
      <c r="AN715" s="69"/>
      <c r="AO715" s="69"/>
      <c r="AP715" s="69"/>
      <c r="AQ715" s="69"/>
      <c r="AR715" s="69"/>
      <c r="AS715" s="69"/>
      <c r="AT715" s="69"/>
      <c r="AU715" s="69"/>
      <c r="AV715" s="69"/>
      <c r="AW715" s="69"/>
      <c r="AX715" s="69"/>
      <c r="AY715" s="69"/>
      <c r="AZ715" s="69"/>
      <c r="BA715" s="69"/>
      <c r="BB715" s="69"/>
      <c r="BC715" s="69"/>
    </row>
    <row r="716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71"/>
      <c r="L716" s="69"/>
      <c r="M716" s="69"/>
      <c r="N716" s="72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  <c r="AI716" s="69"/>
      <c r="AJ716" s="69"/>
      <c r="AK716" s="69"/>
      <c r="AL716" s="69"/>
      <c r="AM716" s="69"/>
      <c r="AN716" s="69"/>
      <c r="AO716" s="69"/>
      <c r="AP716" s="69"/>
      <c r="AQ716" s="69"/>
      <c r="AR716" s="69"/>
      <c r="AS716" s="69"/>
      <c r="AT716" s="69"/>
      <c r="AU716" s="69"/>
      <c r="AV716" s="69"/>
      <c r="AW716" s="69"/>
      <c r="AX716" s="69"/>
      <c r="AY716" s="69"/>
      <c r="AZ716" s="69"/>
      <c r="BA716" s="69"/>
      <c r="BB716" s="69"/>
      <c r="BC716" s="69"/>
    </row>
    <row r="717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71"/>
      <c r="L717" s="69"/>
      <c r="M717" s="69"/>
      <c r="N717" s="72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  <c r="AI717" s="69"/>
      <c r="AJ717" s="69"/>
      <c r="AK717" s="69"/>
      <c r="AL717" s="69"/>
      <c r="AM717" s="69"/>
      <c r="AN717" s="69"/>
      <c r="AO717" s="69"/>
      <c r="AP717" s="69"/>
      <c r="AQ717" s="69"/>
      <c r="AR717" s="69"/>
      <c r="AS717" s="69"/>
      <c r="AT717" s="69"/>
      <c r="AU717" s="69"/>
      <c r="AV717" s="69"/>
      <c r="AW717" s="69"/>
      <c r="AX717" s="69"/>
      <c r="AY717" s="69"/>
      <c r="AZ717" s="69"/>
      <c r="BA717" s="69"/>
      <c r="BB717" s="69"/>
      <c r="BC717" s="69"/>
    </row>
    <row r="718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71"/>
      <c r="L718" s="69"/>
      <c r="M718" s="69"/>
      <c r="N718" s="72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  <c r="AI718" s="69"/>
      <c r="AJ718" s="69"/>
      <c r="AK718" s="69"/>
      <c r="AL718" s="69"/>
      <c r="AM718" s="69"/>
      <c r="AN718" s="69"/>
      <c r="AO718" s="69"/>
      <c r="AP718" s="69"/>
      <c r="AQ718" s="69"/>
      <c r="AR718" s="69"/>
      <c r="AS718" s="69"/>
      <c r="AT718" s="69"/>
      <c r="AU718" s="69"/>
      <c r="AV718" s="69"/>
      <c r="AW718" s="69"/>
      <c r="AX718" s="69"/>
      <c r="AY718" s="69"/>
      <c r="AZ718" s="69"/>
      <c r="BA718" s="69"/>
      <c r="BB718" s="69"/>
      <c r="BC718" s="69"/>
    </row>
    <row r="719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71"/>
      <c r="L719" s="69"/>
      <c r="M719" s="69"/>
      <c r="N719" s="72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  <c r="AI719" s="69"/>
      <c r="AJ719" s="69"/>
      <c r="AK719" s="69"/>
      <c r="AL719" s="69"/>
      <c r="AM719" s="69"/>
      <c r="AN719" s="69"/>
      <c r="AO719" s="69"/>
      <c r="AP719" s="69"/>
      <c r="AQ719" s="69"/>
      <c r="AR719" s="69"/>
      <c r="AS719" s="69"/>
      <c r="AT719" s="69"/>
      <c r="AU719" s="69"/>
      <c r="AV719" s="69"/>
      <c r="AW719" s="69"/>
      <c r="AX719" s="69"/>
      <c r="AY719" s="69"/>
      <c r="AZ719" s="69"/>
      <c r="BA719" s="69"/>
      <c r="BB719" s="69"/>
      <c r="BC719" s="69"/>
    </row>
    <row r="720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71"/>
      <c r="L720" s="69"/>
      <c r="M720" s="69"/>
      <c r="N720" s="72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  <c r="AW720" s="69"/>
      <c r="AX720" s="69"/>
      <c r="AY720" s="69"/>
      <c r="AZ720" s="69"/>
      <c r="BA720" s="69"/>
      <c r="BB720" s="69"/>
      <c r="BC720" s="69"/>
    </row>
    <row r="72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71"/>
      <c r="L721" s="69"/>
      <c r="M721" s="69"/>
      <c r="N721" s="72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  <c r="AW721" s="69"/>
      <c r="AX721" s="69"/>
      <c r="AY721" s="69"/>
      <c r="AZ721" s="69"/>
      <c r="BA721" s="69"/>
      <c r="BB721" s="69"/>
      <c r="BC721" s="69"/>
    </row>
    <row r="722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71"/>
      <c r="L722" s="69"/>
      <c r="M722" s="69"/>
      <c r="N722" s="72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  <c r="AW722" s="69"/>
      <c r="AX722" s="69"/>
      <c r="AY722" s="69"/>
      <c r="AZ722" s="69"/>
      <c r="BA722" s="69"/>
      <c r="BB722" s="69"/>
      <c r="BC722" s="69"/>
    </row>
    <row r="723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71"/>
      <c r="L723" s="69"/>
      <c r="M723" s="69"/>
      <c r="N723" s="72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  <c r="AI723" s="69"/>
      <c r="AJ723" s="69"/>
      <c r="AK723" s="69"/>
      <c r="AL723" s="69"/>
      <c r="AM723" s="69"/>
      <c r="AN723" s="69"/>
      <c r="AO723" s="69"/>
      <c r="AP723" s="69"/>
      <c r="AQ723" s="69"/>
      <c r="AR723" s="69"/>
      <c r="AS723" s="69"/>
      <c r="AT723" s="69"/>
      <c r="AU723" s="69"/>
      <c r="AV723" s="69"/>
      <c r="AW723" s="69"/>
      <c r="AX723" s="69"/>
      <c r="AY723" s="69"/>
      <c r="AZ723" s="69"/>
      <c r="BA723" s="69"/>
      <c r="BB723" s="69"/>
      <c r="BC723" s="69"/>
    </row>
    <row r="724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71"/>
      <c r="L724" s="69"/>
      <c r="M724" s="69"/>
      <c r="N724" s="72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  <c r="AI724" s="69"/>
      <c r="AJ724" s="69"/>
      <c r="AK724" s="69"/>
      <c r="AL724" s="69"/>
      <c r="AM724" s="69"/>
      <c r="AN724" s="69"/>
      <c r="AO724" s="69"/>
      <c r="AP724" s="69"/>
      <c r="AQ724" s="69"/>
      <c r="AR724" s="69"/>
      <c r="AS724" s="69"/>
      <c r="AT724" s="69"/>
      <c r="AU724" s="69"/>
      <c r="AV724" s="69"/>
      <c r="AW724" s="69"/>
      <c r="AX724" s="69"/>
      <c r="AY724" s="69"/>
      <c r="AZ724" s="69"/>
      <c r="BA724" s="69"/>
      <c r="BB724" s="69"/>
      <c r="BC724" s="69"/>
    </row>
    <row r="7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71"/>
      <c r="L725" s="69"/>
      <c r="M725" s="69"/>
      <c r="N725" s="72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  <c r="AI725" s="69"/>
      <c r="AJ725" s="69"/>
      <c r="AK725" s="69"/>
      <c r="AL725" s="69"/>
      <c r="AM725" s="69"/>
      <c r="AN725" s="69"/>
      <c r="AO725" s="69"/>
      <c r="AP725" s="69"/>
      <c r="AQ725" s="69"/>
      <c r="AR725" s="69"/>
      <c r="AS725" s="69"/>
      <c r="AT725" s="69"/>
      <c r="AU725" s="69"/>
      <c r="AV725" s="69"/>
      <c r="AW725" s="69"/>
      <c r="AX725" s="69"/>
      <c r="AY725" s="69"/>
      <c r="AZ725" s="69"/>
      <c r="BA725" s="69"/>
      <c r="BB725" s="69"/>
      <c r="BC725" s="69"/>
    </row>
    <row r="726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71"/>
      <c r="L726" s="69"/>
      <c r="M726" s="69"/>
      <c r="N726" s="72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  <c r="AI726" s="69"/>
      <c r="AJ726" s="69"/>
      <c r="AK726" s="69"/>
      <c r="AL726" s="69"/>
      <c r="AM726" s="69"/>
      <c r="AN726" s="69"/>
      <c r="AO726" s="69"/>
      <c r="AP726" s="69"/>
      <c r="AQ726" s="69"/>
      <c r="AR726" s="69"/>
      <c r="AS726" s="69"/>
      <c r="AT726" s="69"/>
      <c r="AU726" s="69"/>
      <c r="AV726" s="69"/>
      <c r="AW726" s="69"/>
      <c r="AX726" s="69"/>
      <c r="AY726" s="69"/>
      <c r="AZ726" s="69"/>
      <c r="BA726" s="69"/>
      <c r="BB726" s="69"/>
      <c r="BC726" s="69"/>
    </row>
    <row r="727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71"/>
      <c r="L727" s="69"/>
      <c r="M727" s="69"/>
      <c r="N727" s="72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  <c r="AI727" s="69"/>
      <c r="AJ727" s="69"/>
      <c r="AK727" s="69"/>
      <c r="AL727" s="69"/>
      <c r="AM727" s="69"/>
      <c r="AN727" s="69"/>
      <c r="AO727" s="69"/>
      <c r="AP727" s="69"/>
      <c r="AQ727" s="69"/>
      <c r="AR727" s="69"/>
      <c r="AS727" s="69"/>
      <c r="AT727" s="69"/>
      <c r="AU727" s="69"/>
      <c r="AV727" s="69"/>
      <c r="AW727" s="69"/>
      <c r="AX727" s="69"/>
      <c r="AY727" s="69"/>
      <c r="AZ727" s="69"/>
      <c r="BA727" s="69"/>
      <c r="BB727" s="69"/>
      <c r="BC727" s="69"/>
    </row>
    <row r="728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71"/>
      <c r="L728" s="69"/>
      <c r="M728" s="69"/>
      <c r="N728" s="72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  <c r="AI728" s="69"/>
      <c r="AJ728" s="69"/>
      <c r="AK728" s="69"/>
      <c r="AL728" s="69"/>
      <c r="AM728" s="69"/>
      <c r="AN728" s="69"/>
      <c r="AO728" s="69"/>
      <c r="AP728" s="69"/>
      <c r="AQ728" s="69"/>
      <c r="AR728" s="69"/>
      <c r="AS728" s="69"/>
      <c r="AT728" s="69"/>
      <c r="AU728" s="69"/>
      <c r="AV728" s="69"/>
      <c r="AW728" s="69"/>
      <c r="AX728" s="69"/>
      <c r="AY728" s="69"/>
      <c r="AZ728" s="69"/>
      <c r="BA728" s="69"/>
      <c r="BB728" s="69"/>
      <c r="BC728" s="69"/>
    </row>
    <row r="729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71"/>
      <c r="L729" s="69"/>
      <c r="M729" s="69"/>
      <c r="N729" s="72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  <c r="AI729" s="69"/>
      <c r="AJ729" s="69"/>
      <c r="AK729" s="69"/>
      <c r="AL729" s="69"/>
      <c r="AM729" s="69"/>
      <c r="AN729" s="69"/>
      <c r="AO729" s="69"/>
      <c r="AP729" s="69"/>
      <c r="AQ729" s="69"/>
      <c r="AR729" s="69"/>
      <c r="AS729" s="69"/>
      <c r="AT729" s="69"/>
      <c r="AU729" s="69"/>
      <c r="AV729" s="69"/>
      <c r="AW729" s="69"/>
      <c r="AX729" s="69"/>
      <c r="AY729" s="69"/>
      <c r="AZ729" s="69"/>
      <c r="BA729" s="69"/>
      <c r="BB729" s="69"/>
      <c r="BC729" s="69"/>
    </row>
    <row r="730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71"/>
      <c r="L730" s="69"/>
      <c r="M730" s="69"/>
      <c r="N730" s="72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  <c r="AI730" s="69"/>
      <c r="AJ730" s="69"/>
      <c r="AK730" s="69"/>
      <c r="AL730" s="69"/>
      <c r="AM730" s="69"/>
      <c r="AN730" s="69"/>
      <c r="AO730" s="69"/>
      <c r="AP730" s="69"/>
      <c r="AQ730" s="69"/>
      <c r="AR730" s="69"/>
      <c r="AS730" s="69"/>
      <c r="AT730" s="69"/>
      <c r="AU730" s="69"/>
      <c r="AV730" s="69"/>
      <c r="AW730" s="69"/>
      <c r="AX730" s="69"/>
      <c r="AY730" s="69"/>
      <c r="AZ730" s="69"/>
      <c r="BA730" s="69"/>
      <c r="BB730" s="69"/>
      <c r="BC730" s="69"/>
    </row>
    <row r="73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71"/>
      <c r="L731" s="69"/>
      <c r="M731" s="69"/>
      <c r="N731" s="72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  <c r="AI731" s="69"/>
      <c r="AJ731" s="69"/>
      <c r="AK731" s="69"/>
      <c r="AL731" s="69"/>
      <c r="AM731" s="69"/>
      <c r="AN731" s="69"/>
      <c r="AO731" s="69"/>
      <c r="AP731" s="69"/>
      <c r="AQ731" s="69"/>
      <c r="AR731" s="69"/>
      <c r="AS731" s="69"/>
      <c r="AT731" s="69"/>
      <c r="AU731" s="69"/>
      <c r="AV731" s="69"/>
      <c r="AW731" s="69"/>
      <c r="AX731" s="69"/>
      <c r="AY731" s="69"/>
      <c r="AZ731" s="69"/>
      <c r="BA731" s="69"/>
      <c r="BB731" s="69"/>
      <c r="BC731" s="69"/>
    </row>
    <row r="732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71"/>
      <c r="L732" s="69"/>
      <c r="M732" s="69"/>
      <c r="N732" s="72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  <c r="AI732" s="69"/>
      <c r="AJ732" s="69"/>
      <c r="AK732" s="69"/>
      <c r="AL732" s="69"/>
      <c r="AM732" s="69"/>
      <c r="AN732" s="69"/>
      <c r="AO732" s="69"/>
      <c r="AP732" s="69"/>
      <c r="AQ732" s="69"/>
      <c r="AR732" s="69"/>
      <c r="AS732" s="69"/>
      <c r="AT732" s="69"/>
      <c r="AU732" s="69"/>
      <c r="AV732" s="69"/>
      <c r="AW732" s="69"/>
      <c r="AX732" s="69"/>
      <c r="AY732" s="69"/>
      <c r="AZ732" s="69"/>
      <c r="BA732" s="69"/>
      <c r="BB732" s="69"/>
      <c r="BC732" s="69"/>
    </row>
    <row r="733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71"/>
      <c r="L733" s="69"/>
      <c r="M733" s="69"/>
      <c r="N733" s="72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  <c r="AI733" s="69"/>
      <c r="AJ733" s="69"/>
      <c r="AK733" s="69"/>
      <c r="AL733" s="69"/>
      <c r="AM733" s="69"/>
      <c r="AN733" s="69"/>
      <c r="AO733" s="69"/>
      <c r="AP733" s="69"/>
      <c r="AQ733" s="69"/>
      <c r="AR733" s="69"/>
      <c r="AS733" s="69"/>
      <c r="AT733" s="69"/>
      <c r="AU733" s="69"/>
      <c r="AV733" s="69"/>
      <c r="AW733" s="69"/>
      <c r="AX733" s="69"/>
      <c r="AY733" s="69"/>
      <c r="AZ733" s="69"/>
      <c r="BA733" s="69"/>
      <c r="BB733" s="69"/>
      <c r="BC733" s="69"/>
    </row>
    <row r="734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71"/>
      <c r="L734" s="69"/>
      <c r="M734" s="69"/>
      <c r="N734" s="72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  <c r="AW734" s="69"/>
      <c r="AX734" s="69"/>
      <c r="AY734" s="69"/>
      <c r="AZ734" s="69"/>
      <c r="BA734" s="69"/>
      <c r="BB734" s="69"/>
      <c r="BC734" s="69"/>
    </row>
    <row r="73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71"/>
      <c r="L735" s="69"/>
      <c r="M735" s="69"/>
      <c r="N735" s="72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  <c r="AI735" s="69"/>
      <c r="AJ735" s="69"/>
      <c r="AK735" s="69"/>
      <c r="AL735" s="69"/>
      <c r="AM735" s="69"/>
      <c r="AN735" s="69"/>
      <c r="AO735" s="69"/>
      <c r="AP735" s="69"/>
      <c r="AQ735" s="69"/>
      <c r="AR735" s="69"/>
      <c r="AS735" s="69"/>
      <c r="AT735" s="69"/>
      <c r="AU735" s="69"/>
      <c r="AV735" s="69"/>
      <c r="AW735" s="69"/>
      <c r="AX735" s="69"/>
      <c r="AY735" s="69"/>
      <c r="AZ735" s="69"/>
      <c r="BA735" s="69"/>
      <c r="BB735" s="69"/>
      <c r="BC735" s="69"/>
    </row>
    <row r="736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71"/>
      <c r="L736" s="69"/>
      <c r="M736" s="69"/>
      <c r="N736" s="72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  <c r="AI736" s="69"/>
      <c r="AJ736" s="69"/>
      <c r="AK736" s="69"/>
      <c r="AL736" s="69"/>
      <c r="AM736" s="69"/>
      <c r="AN736" s="69"/>
      <c r="AO736" s="69"/>
      <c r="AP736" s="69"/>
      <c r="AQ736" s="69"/>
      <c r="AR736" s="69"/>
      <c r="AS736" s="69"/>
      <c r="AT736" s="69"/>
      <c r="AU736" s="69"/>
      <c r="AV736" s="69"/>
      <c r="AW736" s="69"/>
      <c r="AX736" s="69"/>
      <c r="AY736" s="69"/>
      <c r="AZ736" s="69"/>
      <c r="BA736" s="69"/>
      <c r="BB736" s="69"/>
      <c r="BC736" s="69"/>
    </row>
    <row r="737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71"/>
      <c r="L737" s="69"/>
      <c r="M737" s="69"/>
      <c r="N737" s="72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  <c r="AI737" s="69"/>
      <c r="AJ737" s="69"/>
      <c r="AK737" s="69"/>
      <c r="AL737" s="69"/>
      <c r="AM737" s="69"/>
      <c r="AN737" s="69"/>
      <c r="AO737" s="69"/>
      <c r="AP737" s="69"/>
      <c r="AQ737" s="69"/>
      <c r="AR737" s="69"/>
      <c r="AS737" s="69"/>
      <c r="AT737" s="69"/>
      <c r="AU737" s="69"/>
      <c r="AV737" s="69"/>
      <c r="AW737" s="69"/>
      <c r="AX737" s="69"/>
      <c r="AY737" s="69"/>
      <c r="AZ737" s="69"/>
      <c r="BA737" s="69"/>
      <c r="BB737" s="69"/>
      <c r="BC737" s="69"/>
    </row>
    <row r="738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71"/>
      <c r="L738" s="69"/>
      <c r="M738" s="69"/>
      <c r="N738" s="72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  <c r="AI738" s="69"/>
      <c r="AJ738" s="69"/>
      <c r="AK738" s="69"/>
      <c r="AL738" s="69"/>
      <c r="AM738" s="69"/>
      <c r="AN738" s="69"/>
      <c r="AO738" s="69"/>
      <c r="AP738" s="69"/>
      <c r="AQ738" s="69"/>
      <c r="AR738" s="69"/>
      <c r="AS738" s="69"/>
      <c r="AT738" s="69"/>
      <c r="AU738" s="69"/>
      <c r="AV738" s="69"/>
      <c r="AW738" s="69"/>
      <c r="AX738" s="69"/>
      <c r="AY738" s="69"/>
      <c r="AZ738" s="69"/>
      <c r="BA738" s="69"/>
      <c r="BB738" s="69"/>
      <c r="BC738" s="69"/>
    </row>
    <row r="739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71"/>
      <c r="L739" s="69"/>
      <c r="M739" s="69"/>
      <c r="N739" s="72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  <c r="AI739" s="69"/>
      <c r="AJ739" s="69"/>
      <c r="AK739" s="69"/>
      <c r="AL739" s="69"/>
      <c r="AM739" s="69"/>
      <c r="AN739" s="69"/>
      <c r="AO739" s="69"/>
      <c r="AP739" s="69"/>
      <c r="AQ739" s="69"/>
      <c r="AR739" s="69"/>
      <c r="AS739" s="69"/>
      <c r="AT739" s="69"/>
      <c r="AU739" s="69"/>
      <c r="AV739" s="69"/>
      <c r="AW739" s="69"/>
      <c r="AX739" s="69"/>
      <c r="AY739" s="69"/>
      <c r="AZ739" s="69"/>
      <c r="BA739" s="69"/>
      <c r="BB739" s="69"/>
      <c r="BC739" s="69"/>
    </row>
    <row r="740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71"/>
      <c r="L740" s="69"/>
      <c r="M740" s="69"/>
      <c r="N740" s="72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  <c r="AI740" s="69"/>
      <c r="AJ740" s="69"/>
      <c r="AK740" s="69"/>
      <c r="AL740" s="69"/>
      <c r="AM740" s="69"/>
      <c r="AN740" s="69"/>
      <c r="AO740" s="69"/>
      <c r="AP740" s="69"/>
      <c r="AQ740" s="69"/>
      <c r="AR740" s="69"/>
      <c r="AS740" s="69"/>
      <c r="AT740" s="69"/>
      <c r="AU740" s="69"/>
      <c r="AV740" s="69"/>
      <c r="AW740" s="69"/>
      <c r="AX740" s="69"/>
      <c r="AY740" s="69"/>
      <c r="AZ740" s="69"/>
      <c r="BA740" s="69"/>
      <c r="BB740" s="69"/>
      <c r="BC740" s="69"/>
    </row>
    <row r="74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71"/>
      <c r="L741" s="69"/>
      <c r="M741" s="69"/>
      <c r="N741" s="72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  <c r="AI741" s="69"/>
      <c r="AJ741" s="69"/>
      <c r="AK741" s="69"/>
      <c r="AL741" s="69"/>
      <c r="AM741" s="69"/>
      <c r="AN741" s="69"/>
      <c r="AO741" s="69"/>
      <c r="AP741" s="69"/>
      <c r="AQ741" s="69"/>
      <c r="AR741" s="69"/>
      <c r="AS741" s="69"/>
      <c r="AT741" s="69"/>
      <c r="AU741" s="69"/>
      <c r="AV741" s="69"/>
      <c r="AW741" s="69"/>
      <c r="AX741" s="69"/>
      <c r="AY741" s="69"/>
      <c r="AZ741" s="69"/>
      <c r="BA741" s="69"/>
      <c r="BB741" s="69"/>
      <c r="BC741" s="69"/>
    </row>
    <row r="742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71"/>
      <c r="L742" s="69"/>
      <c r="M742" s="69"/>
      <c r="N742" s="72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  <c r="AI742" s="69"/>
      <c r="AJ742" s="69"/>
      <c r="AK742" s="69"/>
      <c r="AL742" s="69"/>
      <c r="AM742" s="69"/>
      <c r="AN742" s="69"/>
      <c r="AO742" s="69"/>
      <c r="AP742" s="69"/>
      <c r="AQ742" s="69"/>
      <c r="AR742" s="69"/>
      <c r="AS742" s="69"/>
      <c r="AT742" s="69"/>
      <c r="AU742" s="69"/>
      <c r="AV742" s="69"/>
      <c r="AW742" s="69"/>
      <c r="AX742" s="69"/>
      <c r="AY742" s="69"/>
      <c r="AZ742" s="69"/>
      <c r="BA742" s="69"/>
      <c r="BB742" s="69"/>
      <c r="BC742" s="69"/>
    </row>
    <row r="743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71"/>
      <c r="L743" s="69"/>
      <c r="M743" s="69"/>
      <c r="N743" s="72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  <c r="AI743" s="69"/>
      <c r="AJ743" s="69"/>
      <c r="AK743" s="69"/>
      <c r="AL743" s="69"/>
      <c r="AM743" s="69"/>
      <c r="AN743" s="69"/>
      <c r="AO743" s="69"/>
      <c r="AP743" s="69"/>
      <c r="AQ743" s="69"/>
      <c r="AR743" s="69"/>
      <c r="AS743" s="69"/>
      <c r="AT743" s="69"/>
      <c r="AU743" s="69"/>
      <c r="AV743" s="69"/>
      <c r="AW743" s="69"/>
      <c r="AX743" s="69"/>
      <c r="AY743" s="69"/>
      <c r="AZ743" s="69"/>
      <c r="BA743" s="69"/>
      <c r="BB743" s="69"/>
      <c r="BC743" s="69"/>
    </row>
    <row r="744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71"/>
      <c r="L744" s="69"/>
      <c r="M744" s="69"/>
      <c r="N744" s="72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  <c r="AI744" s="69"/>
      <c r="AJ744" s="69"/>
      <c r="AK744" s="69"/>
      <c r="AL744" s="69"/>
      <c r="AM744" s="69"/>
      <c r="AN744" s="69"/>
      <c r="AO744" s="69"/>
      <c r="AP744" s="69"/>
      <c r="AQ744" s="69"/>
      <c r="AR744" s="69"/>
      <c r="AS744" s="69"/>
      <c r="AT744" s="69"/>
      <c r="AU744" s="69"/>
      <c r="AV744" s="69"/>
      <c r="AW744" s="69"/>
      <c r="AX744" s="69"/>
      <c r="AY744" s="69"/>
      <c r="AZ744" s="69"/>
      <c r="BA744" s="69"/>
      <c r="BB744" s="69"/>
      <c r="BC744" s="69"/>
    </row>
    <row r="74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71"/>
      <c r="L745" s="69"/>
      <c r="M745" s="69"/>
      <c r="N745" s="72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  <c r="AI745" s="69"/>
      <c r="AJ745" s="69"/>
      <c r="AK745" s="69"/>
      <c r="AL745" s="69"/>
      <c r="AM745" s="69"/>
      <c r="AN745" s="69"/>
      <c r="AO745" s="69"/>
      <c r="AP745" s="69"/>
      <c r="AQ745" s="69"/>
      <c r="AR745" s="69"/>
      <c r="AS745" s="69"/>
      <c r="AT745" s="69"/>
      <c r="AU745" s="69"/>
      <c r="AV745" s="69"/>
      <c r="AW745" s="69"/>
      <c r="AX745" s="69"/>
      <c r="AY745" s="69"/>
      <c r="AZ745" s="69"/>
      <c r="BA745" s="69"/>
      <c r="BB745" s="69"/>
      <c r="BC745" s="69"/>
    </row>
    <row r="746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71"/>
      <c r="L746" s="69"/>
      <c r="M746" s="69"/>
      <c r="N746" s="72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  <c r="AI746" s="69"/>
      <c r="AJ746" s="69"/>
      <c r="AK746" s="69"/>
      <c r="AL746" s="69"/>
      <c r="AM746" s="69"/>
      <c r="AN746" s="69"/>
      <c r="AO746" s="69"/>
      <c r="AP746" s="69"/>
      <c r="AQ746" s="69"/>
      <c r="AR746" s="69"/>
      <c r="AS746" s="69"/>
      <c r="AT746" s="69"/>
      <c r="AU746" s="69"/>
      <c r="AV746" s="69"/>
      <c r="AW746" s="69"/>
      <c r="AX746" s="69"/>
      <c r="AY746" s="69"/>
      <c r="AZ746" s="69"/>
      <c r="BA746" s="69"/>
      <c r="BB746" s="69"/>
      <c r="BC746" s="69"/>
    </row>
    <row r="747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71"/>
      <c r="L747" s="69"/>
      <c r="M747" s="69"/>
      <c r="N747" s="72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  <c r="AI747" s="69"/>
      <c r="AJ747" s="69"/>
      <c r="AK747" s="69"/>
      <c r="AL747" s="69"/>
      <c r="AM747" s="69"/>
      <c r="AN747" s="69"/>
      <c r="AO747" s="69"/>
      <c r="AP747" s="69"/>
      <c r="AQ747" s="69"/>
      <c r="AR747" s="69"/>
      <c r="AS747" s="69"/>
      <c r="AT747" s="69"/>
      <c r="AU747" s="69"/>
      <c r="AV747" s="69"/>
      <c r="AW747" s="69"/>
      <c r="AX747" s="69"/>
      <c r="AY747" s="69"/>
      <c r="AZ747" s="69"/>
      <c r="BA747" s="69"/>
      <c r="BB747" s="69"/>
      <c r="BC747" s="69"/>
    </row>
    <row r="748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71"/>
      <c r="L748" s="69"/>
      <c r="M748" s="69"/>
      <c r="N748" s="72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  <c r="AI748" s="69"/>
      <c r="AJ748" s="69"/>
      <c r="AK748" s="69"/>
      <c r="AL748" s="69"/>
      <c r="AM748" s="69"/>
      <c r="AN748" s="69"/>
      <c r="AO748" s="69"/>
      <c r="AP748" s="69"/>
      <c r="AQ748" s="69"/>
      <c r="AR748" s="69"/>
      <c r="AS748" s="69"/>
      <c r="AT748" s="69"/>
      <c r="AU748" s="69"/>
      <c r="AV748" s="69"/>
      <c r="AW748" s="69"/>
      <c r="AX748" s="69"/>
      <c r="AY748" s="69"/>
      <c r="AZ748" s="69"/>
      <c r="BA748" s="69"/>
      <c r="BB748" s="69"/>
      <c r="BC748" s="69"/>
    </row>
    <row r="749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71"/>
      <c r="L749" s="69"/>
      <c r="M749" s="69"/>
      <c r="N749" s="72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  <c r="AI749" s="69"/>
      <c r="AJ749" s="69"/>
      <c r="AK749" s="69"/>
      <c r="AL749" s="69"/>
      <c r="AM749" s="69"/>
      <c r="AN749" s="69"/>
      <c r="AO749" s="69"/>
      <c r="AP749" s="69"/>
      <c r="AQ749" s="69"/>
      <c r="AR749" s="69"/>
      <c r="AS749" s="69"/>
      <c r="AT749" s="69"/>
      <c r="AU749" s="69"/>
      <c r="AV749" s="69"/>
      <c r="AW749" s="69"/>
      <c r="AX749" s="69"/>
      <c r="AY749" s="69"/>
      <c r="AZ749" s="69"/>
      <c r="BA749" s="69"/>
      <c r="BB749" s="69"/>
      <c r="BC749" s="69"/>
    </row>
    <row r="750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71"/>
      <c r="L750" s="69"/>
      <c r="M750" s="69"/>
      <c r="N750" s="72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  <c r="AI750" s="69"/>
      <c r="AJ750" s="69"/>
      <c r="AK750" s="69"/>
      <c r="AL750" s="69"/>
      <c r="AM750" s="69"/>
      <c r="AN750" s="69"/>
      <c r="AO750" s="69"/>
      <c r="AP750" s="69"/>
      <c r="AQ750" s="69"/>
      <c r="AR750" s="69"/>
      <c r="AS750" s="69"/>
      <c r="AT750" s="69"/>
      <c r="AU750" s="69"/>
      <c r="AV750" s="69"/>
      <c r="AW750" s="69"/>
      <c r="AX750" s="69"/>
      <c r="AY750" s="69"/>
      <c r="AZ750" s="69"/>
      <c r="BA750" s="69"/>
      <c r="BB750" s="69"/>
      <c r="BC750" s="69"/>
    </row>
    <row r="75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71"/>
      <c r="L751" s="69"/>
      <c r="M751" s="69"/>
      <c r="N751" s="72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  <c r="AI751" s="69"/>
      <c r="AJ751" s="69"/>
      <c r="AK751" s="69"/>
      <c r="AL751" s="69"/>
      <c r="AM751" s="69"/>
      <c r="AN751" s="69"/>
      <c r="AO751" s="69"/>
      <c r="AP751" s="69"/>
      <c r="AQ751" s="69"/>
      <c r="AR751" s="69"/>
      <c r="AS751" s="69"/>
      <c r="AT751" s="69"/>
      <c r="AU751" s="69"/>
      <c r="AV751" s="69"/>
      <c r="AW751" s="69"/>
      <c r="AX751" s="69"/>
      <c r="AY751" s="69"/>
      <c r="AZ751" s="69"/>
      <c r="BA751" s="69"/>
      <c r="BB751" s="69"/>
      <c r="BC751" s="69"/>
    </row>
    <row r="752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71"/>
      <c r="L752" s="69"/>
      <c r="M752" s="69"/>
      <c r="N752" s="72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  <c r="AI752" s="69"/>
      <c r="AJ752" s="69"/>
      <c r="AK752" s="69"/>
      <c r="AL752" s="69"/>
      <c r="AM752" s="69"/>
      <c r="AN752" s="69"/>
      <c r="AO752" s="69"/>
      <c r="AP752" s="69"/>
      <c r="AQ752" s="69"/>
      <c r="AR752" s="69"/>
      <c r="AS752" s="69"/>
      <c r="AT752" s="69"/>
      <c r="AU752" s="69"/>
      <c r="AV752" s="69"/>
      <c r="AW752" s="69"/>
      <c r="AX752" s="69"/>
      <c r="AY752" s="69"/>
      <c r="AZ752" s="69"/>
      <c r="BA752" s="69"/>
      <c r="BB752" s="69"/>
      <c r="BC752" s="69"/>
    </row>
    <row r="753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71"/>
      <c r="L753" s="69"/>
      <c r="M753" s="69"/>
      <c r="N753" s="72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  <c r="AI753" s="69"/>
      <c r="AJ753" s="69"/>
      <c r="AK753" s="69"/>
      <c r="AL753" s="69"/>
      <c r="AM753" s="69"/>
      <c r="AN753" s="69"/>
      <c r="AO753" s="69"/>
      <c r="AP753" s="69"/>
      <c r="AQ753" s="69"/>
      <c r="AR753" s="69"/>
      <c r="AS753" s="69"/>
      <c r="AT753" s="69"/>
      <c r="AU753" s="69"/>
      <c r="AV753" s="69"/>
      <c r="AW753" s="69"/>
      <c r="AX753" s="69"/>
      <c r="AY753" s="69"/>
      <c r="AZ753" s="69"/>
      <c r="BA753" s="69"/>
      <c r="BB753" s="69"/>
      <c r="BC753" s="69"/>
    </row>
    <row r="754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71"/>
      <c r="L754" s="69"/>
      <c r="M754" s="69"/>
      <c r="N754" s="72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  <c r="AI754" s="69"/>
      <c r="AJ754" s="69"/>
      <c r="AK754" s="69"/>
      <c r="AL754" s="69"/>
      <c r="AM754" s="69"/>
      <c r="AN754" s="69"/>
      <c r="AO754" s="69"/>
      <c r="AP754" s="69"/>
      <c r="AQ754" s="69"/>
      <c r="AR754" s="69"/>
      <c r="AS754" s="69"/>
      <c r="AT754" s="69"/>
      <c r="AU754" s="69"/>
      <c r="AV754" s="69"/>
      <c r="AW754" s="69"/>
      <c r="AX754" s="69"/>
      <c r="AY754" s="69"/>
      <c r="AZ754" s="69"/>
      <c r="BA754" s="69"/>
      <c r="BB754" s="69"/>
      <c r="BC754" s="69"/>
    </row>
    <row r="75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71"/>
      <c r="L755" s="69"/>
      <c r="M755" s="69"/>
      <c r="N755" s="72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  <c r="AI755" s="69"/>
      <c r="AJ755" s="69"/>
      <c r="AK755" s="69"/>
      <c r="AL755" s="69"/>
      <c r="AM755" s="69"/>
      <c r="AN755" s="69"/>
      <c r="AO755" s="69"/>
      <c r="AP755" s="69"/>
      <c r="AQ755" s="69"/>
      <c r="AR755" s="69"/>
      <c r="AS755" s="69"/>
      <c r="AT755" s="69"/>
      <c r="AU755" s="69"/>
      <c r="AV755" s="69"/>
      <c r="AW755" s="69"/>
      <c r="AX755" s="69"/>
      <c r="AY755" s="69"/>
      <c r="AZ755" s="69"/>
      <c r="BA755" s="69"/>
      <c r="BB755" s="69"/>
      <c r="BC755" s="69"/>
    </row>
    <row r="756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71"/>
      <c r="L756" s="69"/>
      <c r="M756" s="69"/>
      <c r="N756" s="72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  <c r="AI756" s="69"/>
      <c r="AJ756" s="69"/>
      <c r="AK756" s="69"/>
      <c r="AL756" s="69"/>
      <c r="AM756" s="69"/>
      <c r="AN756" s="69"/>
      <c r="AO756" s="69"/>
      <c r="AP756" s="69"/>
      <c r="AQ756" s="69"/>
      <c r="AR756" s="69"/>
      <c r="AS756" s="69"/>
      <c r="AT756" s="69"/>
      <c r="AU756" s="69"/>
      <c r="AV756" s="69"/>
      <c r="AW756" s="69"/>
      <c r="AX756" s="69"/>
      <c r="AY756" s="69"/>
      <c r="AZ756" s="69"/>
      <c r="BA756" s="69"/>
      <c r="BB756" s="69"/>
      <c r="BC756" s="69"/>
    </row>
    <row r="757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71"/>
      <c r="L757" s="69"/>
      <c r="M757" s="69"/>
      <c r="N757" s="72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  <c r="AI757" s="69"/>
      <c r="AJ757" s="69"/>
      <c r="AK757" s="69"/>
      <c r="AL757" s="69"/>
      <c r="AM757" s="69"/>
      <c r="AN757" s="69"/>
      <c r="AO757" s="69"/>
      <c r="AP757" s="69"/>
      <c r="AQ757" s="69"/>
      <c r="AR757" s="69"/>
      <c r="AS757" s="69"/>
      <c r="AT757" s="69"/>
      <c r="AU757" s="69"/>
      <c r="AV757" s="69"/>
      <c r="AW757" s="69"/>
      <c r="AX757" s="69"/>
      <c r="AY757" s="69"/>
      <c r="AZ757" s="69"/>
      <c r="BA757" s="69"/>
      <c r="BB757" s="69"/>
      <c r="BC757" s="69"/>
    </row>
    <row r="758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71"/>
      <c r="L758" s="69"/>
      <c r="M758" s="69"/>
      <c r="N758" s="72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  <c r="AI758" s="69"/>
      <c r="AJ758" s="69"/>
      <c r="AK758" s="69"/>
      <c r="AL758" s="69"/>
      <c r="AM758" s="69"/>
      <c r="AN758" s="69"/>
      <c r="AO758" s="69"/>
      <c r="AP758" s="69"/>
      <c r="AQ758" s="69"/>
      <c r="AR758" s="69"/>
      <c r="AS758" s="69"/>
      <c r="AT758" s="69"/>
      <c r="AU758" s="69"/>
      <c r="AV758" s="69"/>
      <c r="AW758" s="69"/>
      <c r="AX758" s="69"/>
      <c r="AY758" s="69"/>
      <c r="AZ758" s="69"/>
      <c r="BA758" s="69"/>
      <c r="BB758" s="69"/>
      <c r="BC758" s="69"/>
    </row>
    <row r="759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71"/>
      <c r="L759" s="69"/>
      <c r="M759" s="69"/>
      <c r="N759" s="72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  <c r="AI759" s="69"/>
      <c r="AJ759" s="69"/>
      <c r="AK759" s="69"/>
      <c r="AL759" s="69"/>
      <c r="AM759" s="69"/>
      <c r="AN759" s="69"/>
      <c r="AO759" s="69"/>
      <c r="AP759" s="69"/>
      <c r="AQ759" s="69"/>
      <c r="AR759" s="69"/>
      <c r="AS759" s="69"/>
      <c r="AT759" s="69"/>
      <c r="AU759" s="69"/>
      <c r="AV759" s="69"/>
      <c r="AW759" s="69"/>
      <c r="AX759" s="69"/>
      <c r="AY759" s="69"/>
      <c r="AZ759" s="69"/>
      <c r="BA759" s="69"/>
      <c r="BB759" s="69"/>
      <c r="BC759" s="69"/>
    </row>
    <row r="760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71"/>
      <c r="L760" s="69"/>
      <c r="M760" s="69"/>
      <c r="N760" s="72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  <c r="AI760" s="69"/>
      <c r="AJ760" s="69"/>
      <c r="AK760" s="69"/>
      <c r="AL760" s="69"/>
      <c r="AM760" s="69"/>
      <c r="AN760" s="69"/>
      <c r="AO760" s="69"/>
      <c r="AP760" s="69"/>
      <c r="AQ760" s="69"/>
      <c r="AR760" s="69"/>
      <c r="AS760" s="69"/>
      <c r="AT760" s="69"/>
      <c r="AU760" s="69"/>
      <c r="AV760" s="69"/>
      <c r="AW760" s="69"/>
      <c r="AX760" s="69"/>
      <c r="AY760" s="69"/>
      <c r="AZ760" s="69"/>
      <c r="BA760" s="69"/>
      <c r="BB760" s="69"/>
      <c r="BC760" s="69"/>
    </row>
    <row r="76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71"/>
      <c r="L761" s="69"/>
      <c r="M761" s="69"/>
      <c r="N761" s="72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  <c r="AI761" s="69"/>
      <c r="AJ761" s="69"/>
      <c r="AK761" s="69"/>
      <c r="AL761" s="69"/>
      <c r="AM761" s="69"/>
      <c r="AN761" s="69"/>
      <c r="AO761" s="69"/>
      <c r="AP761" s="69"/>
      <c r="AQ761" s="69"/>
      <c r="AR761" s="69"/>
      <c r="AS761" s="69"/>
      <c r="AT761" s="69"/>
      <c r="AU761" s="69"/>
      <c r="AV761" s="69"/>
      <c r="AW761" s="69"/>
      <c r="AX761" s="69"/>
      <c r="AY761" s="69"/>
      <c r="AZ761" s="69"/>
      <c r="BA761" s="69"/>
      <c r="BB761" s="69"/>
      <c r="BC761" s="69"/>
    </row>
    <row r="762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71"/>
      <c r="L762" s="69"/>
      <c r="M762" s="69"/>
      <c r="N762" s="72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  <c r="AI762" s="69"/>
      <c r="AJ762" s="69"/>
      <c r="AK762" s="69"/>
      <c r="AL762" s="69"/>
      <c r="AM762" s="69"/>
      <c r="AN762" s="69"/>
      <c r="AO762" s="69"/>
      <c r="AP762" s="69"/>
      <c r="AQ762" s="69"/>
      <c r="AR762" s="69"/>
      <c r="AS762" s="69"/>
      <c r="AT762" s="69"/>
      <c r="AU762" s="69"/>
      <c r="AV762" s="69"/>
      <c r="AW762" s="69"/>
      <c r="AX762" s="69"/>
      <c r="AY762" s="69"/>
      <c r="AZ762" s="69"/>
      <c r="BA762" s="69"/>
      <c r="BB762" s="69"/>
      <c r="BC762" s="69"/>
    </row>
    <row r="763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71"/>
      <c r="L763" s="69"/>
      <c r="M763" s="69"/>
      <c r="N763" s="72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  <c r="AI763" s="69"/>
      <c r="AJ763" s="69"/>
      <c r="AK763" s="69"/>
      <c r="AL763" s="69"/>
      <c r="AM763" s="69"/>
      <c r="AN763" s="69"/>
      <c r="AO763" s="69"/>
      <c r="AP763" s="69"/>
      <c r="AQ763" s="69"/>
      <c r="AR763" s="69"/>
      <c r="AS763" s="69"/>
      <c r="AT763" s="69"/>
      <c r="AU763" s="69"/>
      <c r="AV763" s="69"/>
      <c r="AW763" s="69"/>
      <c r="AX763" s="69"/>
      <c r="AY763" s="69"/>
      <c r="AZ763" s="69"/>
      <c r="BA763" s="69"/>
      <c r="BB763" s="69"/>
      <c r="BC763" s="69"/>
    </row>
    <row r="764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71"/>
      <c r="L764" s="69"/>
      <c r="M764" s="69"/>
      <c r="N764" s="72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  <c r="AI764" s="69"/>
      <c r="AJ764" s="69"/>
      <c r="AK764" s="69"/>
      <c r="AL764" s="69"/>
      <c r="AM764" s="69"/>
      <c r="AN764" s="69"/>
      <c r="AO764" s="69"/>
      <c r="AP764" s="69"/>
      <c r="AQ764" s="69"/>
      <c r="AR764" s="69"/>
      <c r="AS764" s="69"/>
      <c r="AT764" s="69"/>
      <c r="AU764" s="69"/>
      <c r="AV764" s="69"/>
      <c r="AW764" s="69"/>
      <c r="AX764" s="69"/>
      <c r="AY764" s="69"/>
      <c r="AZ764" s="69"/>
      <c r="BA764" s="69"/>
      <c r="BB764" s="69"/>
      <c r="BC764" s="69"/>
    </row>
    <row r="76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71"/>
      <c r="L765" s="69"/>
      <c r="M765" s="69"/>
      <c r="N765" s="72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  <c r="AI765" s="69"/>
      <c r="AJ765" s="69"/>
      <c r="AK765" s="69"/>
      <c r="AL765" s="69"/>
      <c r="AM765" s="69"/>
      <c r="AN765" s="69"/>
      <c r="AO765" s="69"/>
      <c r="AP765" s="69"/>
      <c r="AQ765" s="69"/>
      <c r="AR765" s="69"/>
      <c r="AS765" s="69"/>
      <c r="AT765" s="69"/>
      <c r="AU765" s="69"/>
      <c r="AV765" s="69"/>
      <c r="AW765" s="69"/>
      <c r="AX765" s="69"/>
      <c r="AY765" s="69"/>
      <c r="AZ765" s="69"/>
      <c r="BA765" s="69"/>
      <c r="BB765" s="69"/>
      <c r="BC765" s="69"/>
    </row>
    <row r="766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71"/>
      <c r="L766" s="69"/>
      <c r="M766" s="69"/>
      <c r="N766" s="72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  <c r="AI766" s="69"/>
      <c r="AJ766" s="69"/>
      <c r="AK766" s="69"/>
      <c r="AL766" s="69"/>
      <c r="AM766" s="69"/>
      <c r="AN766" s="69"/>
      <c r="AO766" s="69"/>
      <c r="AP766" s="69"/>
      <c r="AQ766" s="69"/>
      <c r="AR766" s="69"/>
      <c r="AS766" s="69"/>
      <c r="AT766" s="69"/>
      <c r="AU766" s="69"/>
      <c r="AV766" s="69"/>
      <c r="AW766" s="69"/>
      <c r="AX766" s="69"/>
      <c r="AY766" s="69"/>
      <c r="AZ766" s="69"/>
      <c r="BA766" s="69"/>
      <c r="BB766" s="69"/>
      <c r="BC766" s="69"/>
    </row>
    <row r="767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71"/>
      <c r="L767" s="69"/>
      <c r="M767" s="69"/>
      <c r="N767" s="72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  <c r="AI767" s="69"/>
      <c r="AJ767" s="69"/>
      <c r="AK767" s="69"/>
      <c r="AL767" s="69"/>
      <c r="AM767" s="69"/>
      <c r="AN767" s="69"/>
      <c r="AO767" s="69"/>
      <c r="AP767" s="69"/>
      <c r="AQ767" s="69"/>
      <c r="AR767" s="69"/>
      <c r="AS767" s="69"/>
      <c r="AT767" s="69"/>
      <c r="AU767" s="69"/>
      <c r="AV767" s="69"/>
      <c r="AW767" s="69"/>
      <c r="AX767" s="69"/>
      <c r="AY767" s="69"/>
      <c r="AZ767" s="69"/>
      <c r="BA767" s="69"/>
      <c r="BB767" s="69"/>
      <c r="BC767" s="69"/>
    </row>
    <row r="768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71"/>
      <c r="L768" s="69"/>
      <c r="M768" s="69"/>
      <c r="N768" s="72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  <c r="AI768" s="69"/>
      <c r="AJ768" s="69"/>
      <c r="AK768" s="69"/>
      <c r="AL768" s="69"/>
      <c r="AM768" s="69"/>
      <c r="AN768" s="69"/>
      <c r="AO768" s="69"/>
      <c r="AP768" s="69"/>
      <c r="AQ768" s="69"/>
      <c r="AR768" s="69"/>
      <c r="AS768" s="69"/>
      <c r="AT768" s="69"/>
      <c r="AU768" s="69"/>
      <c r="AV768" s="69"/>
      <c r="AW768" s="69"/>
      <c r="AX768" s="69"/>
      <c r="AY768" s="69"/>
      <c r="AZ768" s="69"/>
      <c r="BA768" s="69"/>
      <c r="BB768" s="69"/>
      <c r="BC768" s="69"/>
    </row>
    <row r="769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71"/>
      <c r="L769" s="69"/>
      <c r="M769" s="69"/>
      <c r="N769" s="72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  <c r="AI769" s="69"/>
      <c r="AJ769" s="69"/>
      <c r="AK769" s="69"/>
      <c r="AL769" s="69"/>
      <c r="AM769" s="69"/>
      <c r="AN769" s="69"/>
      <c r="AO769" s="69"/>
      <c r="AP769" s="69"/>
      <c r="AQ769" s="69"/>
      <c r="AR769" s="69"/>
      <c r="AS769" s="69"/>
      <c r="AT769" s="69"/>
      <c r="AU769" s="69"/>
      <c r="AV769" s="69"/>
      <c r="AW769" s="69"/>
      <c r="AX769" s="69"/>
      <c r="AY769" s="69"/>
      <c r="AZ769" s="69"/>
      <c r="BA769" s="69"/>
      <c r="BB769" s="69"/>
      <c r="BC769" s="69"/>
    </row>
    <row r="770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71"/>
      <c r="L770" s="69"/>
      <c r="M770" s="69"/>
      <c r="N770" s="72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  <c r="AI770" s="69"/>
      <c r="AJ770" s="69"/>
      <c r="AK770" s="69"/>
      <c r="AL770" s="69"/>
      <c r="AM770" s="69"/>
      <c r="AN770" s="69"/>
      <c r="AO770" s="69"/>
      <c r="AP770" s="69"/>
      <c r="AQ770" s="69"/>
      <c r="AR770" s="69"/>
      <c r="AS770" s="69"/>
      <c r="AT770" s="69"/>
      <c r="AU770" s="69"/>
      <c r="AV770" s="69"/>
      <c r="AW770" s="69"/>
      <c r="AX770" s="69"/>
      <c r="AY770" s="69"/>
      <c r="AZ770" s="69"/>
      <c r="BA770" s="69"/>
      <c r="BB770" s="69"/>
      <c r="BC770" s="69"/>
    </row>
    <row r="77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71"/>
      <c r="L771" s="69"/>
      <c r="M771" s="69"/>
      <c r="N771" s="72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  <c r="AI771" s="69"/>
      <c r="AJ771" s="69"/>
      <c r="AK771" s="69"/>
      <c r="AL771" s="69"/>
      <c r="AM771" s="69"/>
      <c r="AN771" s="69"/>
      <c r="AO771" s="69"/>
      <c r="AP771" s="69"/>
      <c r="AQ771" s="69"/>
      <c r="AR771" s="69"/>
      <c r="AS771" s="69"/>
      <c r="AT771" s="69"/>
      <c r="AU771" s="69"/>
      <c r="AV771" s="69"/>
      <c r="AW771" s="69"/>
      <c r="AX771" s="69"/>
      <c r="AY771" s="69"/>
      <c r="AZ771" s="69"/>
      <c r="BA771" s="69"/>
      <c r="BB771" s="69"/>
      <c r="BC771" s="69"/>
    </row>
    <row r="772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71"/>
      <c r="L772" s="69"/>
      <c r="M772" s="69"/>
      <c r="N772" s="72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  <c r="AI772" s="69"/>
      <c r="AJ772" s="69"/>
      <c r="AK772" s="69"/>
      <c r="AL772" s="69"/>
      <c r="AM772" s="69"/>
      <c r="AN772" s="69"/>
      <c r="AO772" s="69"/>
      <c r="AP772" s="69"/>
      <c r="AQ772" s="69"/>
      <c r="AR772" s="69"/>
      <c r="AS772" s="69"/>
      <c r="AT772" s="69"/>
      <c r="AU772" s="69"/>
      <c r="AV772" s="69"/>
      <c r="AW772" s="69"/>
      <c r="AX772" s="69"/>
      <c r="AY772" s="69"/>
      <c r="AZ772" s="69"/>
      <c r="BA772" s="69"/>
      <c r="BB772" s="69"/>
      <c r="BC772" s="69"/>
    </row>
    <row r="773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71"/>
      <c r="L773" s="69"/>
      <c r="M773" s="69"/>
      <c r="N773" s="72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  <c r="AI773" s="69"/>
      <c r="AJ773" s="69"/>
      <c r="AK773" s="69"/>
      <c r="AL773" s="69"/>
      <c r="AM773" s="69"/>
      <c r="AN773" s="69"/>
      <c r="AO773" s="69"/>
      <c r="AP773" s="69"/>
      <c r="AQ773" s="69"/>
      <c r="AR773" s="69"/>
      <c r="AS773" s="69"/>
      <c r="AT773" s="69"/>
      <c r="AU773" s="69"/>
      <c r="AV773" s="69"/>
      <c r="AW773" s="69"/>
      <c r="AX773" s="69"/>
      <c r="AY773" s="69"/>
      <c r="AZ773" s="69"/>
      <c r="BA773" s="69"/>
      <c r="BB773" s="69"/>
      <c r="BC773" s="69"/>
    </row>
    <row r="774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71"/>
      <c r="L774" s="69"/>
      <c r="M774" s="69"/>
      <c r="N774" s="72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  <c r="AI774" s="69"/>
      <c r="AJ774" s="69"/>
      <c r="AK774" s="69"/>
      <c r="AL774" s="69"/>
      <c r="AM774" s="69"/>
      <c r="AN774" s="69"/>
      <c r="AO774" s="69"/>
      <c r="AP774" s="69"/>
      <c r="AQ774" s="69"/>
      <c r="AR774" s="69"/>
      <c r="AS774" s="69"/>
      <c r="AT774" s="69"/>
      <c r="AU774" s="69"/>
      <c r="AV774" s="69"/>
      <c r="AW774" s="69"/>
      <c r="AX774" s="69"/>
      <c r="AY774" s="69"/>
      <c r="AZ774" s="69"/>
      <c r="BA774" s="69"/>
      <c r="BB774" s="69"/>
      <c r="BC774" s="69"/>
    </row>
    <row r="77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71"/>
      <c r="L775" s="69"/>
      <c r="M775" s="69"/>
      <c r="N775" s="72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  <c r="AI775" s="69"/>
      <c r="AJ775" s="69"/>
      <c r="AK775" s="69"/>
      <c r="AL775" s="69"/>
      <c r="AM775" s="69"/>
      <c r="AN775" s="69"/>
      <c r="AO775" s="69"/>
      <c r="AP775" s="69"/>
      <c r="AQ775" s="69"/>
      <c r="AR775" s="69"/>
      <c r="AS775" s="69"/>
      <c r="AT775" s="69"/>
      <c r="AU775" s="69"/>
      <c r="AV775" s="69"/>
      <c r="AW775" s="69"/>
      <c r="AX775" s="69"/>
      <c r="AY775" s="69"/>
      <c r="AZ775" s="69"/>
      <c r="BA775" s="69"/>
      <c r="BB775" s="69"/>
      <c r="BC775" s="69"/>
    </row>
    <row r="776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71"/>
      <c r="L776" s="69"/>
      <c r="M776" s="69"/>
      <c r="N776" s="72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  <c r="AI776" s="69"/>
      <c r="AJ776" s="69"/>
      <c r="AK776" s="69"/>
      <c r="AL776" s="69"/>
      <c r="AM776" s="69"/>
      <c r="AN776" s="69"/>
      <c r="AO776" s="69"/>
      <c r="AP776" s="69"/>
      <c r="AQ776" s="69"/>
      <c r="AR776" s="69"/>
      <c r="AS776" s="69"/>
      <c r="AT776" s="69"/>
      <c r="AU776" s="69"/>
      <c r="AV776" s="69"/>
      <c r="AW776" s="69"/>
      <c r="AX776" s="69"/>
      <c r="AY776" s="69"/>
      <c r="AZ776" s="69"/>
      <c r="BA776" s="69"/>
      <c r="BB776" s="69"/>
      <c r="BC776" s="69"/>
    </row>
    <row r="777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71"/>
      <c r="L777" s="69"/>
      <c r="M777" s="69"/>
      <c r="N777" s="72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  <c r="AI777" s="69"/>
      <c r="AJ777" s="69"/>
      <c r="AK777" s="69"/>
      <c r="AL777" s="69"/>
      <c r="AM777" s="69"/>
      <c r="AN777" s="69"/>
      <c r="AO777" s="69"/>
      <c r="AP777" s="69"/>
      <c r="AQ777" s="69"/>
      <c r="AR777" s="69"/>
      <c r="AS777" s="69"/>
      <c r="AT777" s="69"/>
      <c r="AU777" s="69"/>
      <c r="AV777" s="69"/>
      <c r="AW777" s="69"/>
      <c r="AX777" s="69"/>
      <c r="AY777" s="69"/>
      <c r="AZ777" s="69"/>
      <c r="BA777" s="69"/>
      <c r="BB777" s="69"/>
      <c r="BC777" s="69"/>
    </row>
    <row r="778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71"/>
      <c r="L778" s="69"/>
      <c r="M778" s="69"/>
      <c r="N778" s="72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  <c r="AI778" s="69"/>
      <c r="AJ778" s="69"/>
      <c r="AK778" s="69"/>
      <c r="AL778" s="69"/>
      <c r="AM778" s="69"/>
      <c r="AN778" s="69"/>
      <c r="AO778" s="69"/>
      <c r="AP778" s="69"/>
      <c r="AQ778" s="69"/>
      <c r="AR778" s="69"/>
      <c r="AS778" s="69"/>
      <c r="AT778" s="69"/>
      <c r="AU778" s="69"/>
      <c r="AV778" s="69"/>
      <c r="AW778" s="69"/>
      <c r="AX778" s="69"/>
      <c r="AY778" s="69"/>
      <c r="AZ778" s="69"/>
      <c r="BA778" s="69"/>
      <c r="BB778" s="69"/>
      <c r="BC778" s="69"/>
    </row>
    <row r="779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71"/>
      <c r="L779" s="69"/>
      <c r="M779" s="69"/>
      <c r="N779" s="72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  <c r="AI779" s="69"/>
      <c r="AJ779" s="69"/>
      <c r="AK779" s="69"/>
      <c r="AL779" s="69"/>
      <c r="AM779" s="69"/>
      <c r="AN779" s="69"/>
      <c r="AO779" s="69"/>
      <c r="AP779" s="69"/>
      <c r="AQ779" s="69"/>
      <c r="AR779" s="69"/>
      <c r="AS779" s="69"/>
      <c r="AT779" s="69"/>
      <c r="AU779" s="69"/>
      <c r="AV779" s="69"/>
      <c r="AW779" s="69"/>
      <c r="AX779" s="69"/>
      <c r="AY779" s="69"/>
      <c r="AZ779" s="69"/>
      <c r="BA779" s="69"/>
      <c r="BB779" s="69"/>
      <c r="BC779" s="69"/>
    </row>
    <row r="780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71"/>
      <c r="L780" s="69"/>
      <c r="M780" s="69"/>
      <c r="N780" s="72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  <c r="AI780" s="69"/>
      <c r="AJ780" s="69"/>
      <c r="AK780" s="69"/>
      <c r="AL780" s="69"/>
      <c r="AM780" s="69"/>
      <c r="AN780" s="69"/>
      <c r="AO780" s="69"/>
      <c r="AP780" s="69"/>
      <c r="AQ780" s="69"/>
      <c r="AR780" s="69"/>
      <c r="AS780" s="69"/>
      <c r="AT780" s="69"/>
      <c r="AU780" s="69"/>
      <c r="AV780" s="69"/>
      <c r="AW780" s="69"/>
      <c r="AX780" s="69"/>
      <c r="AY780" s="69"/>
      <c r="AZ780" s="69"/>
      <c r="BA780" s="69"/>
      <c r="BB780" s="69"/>
      <c r="BC780" s="69"/>
    </row>
    <row r="78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71"/>
      <c r="L781" s="69"/>
      <c r="M781" s="69"/>
      <c r="N781" s="72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  <c r="AI781" s="69"/>
      <c r="AJ781" s="69"/>
      <c r="AK781" s="69"/>
      <c r="AL781" s="69"/>
      <c r="AM781" s="69"/>
      <c r="AN781" s="69"/>
      <c r="AO781" s="69"/>
      <c r="AP781" s="69"/>
      <c r="AQ781" s="69"/>
      <c r="AR781" s="69"/>
      <c r="AS781" s="69"/>
      <c r="AT781" s="69"/>
      <c r="AU781" s="69"/>
      <c r="AV781" s="69"/>
      <c r="AW781" s="69"/>
      <c r="AX781" s="69"/>
      <c r="AY781" s="69"/>
      <c r="AZ781" s="69"/>
      <c r="BA781" s="69"/>
      <c r="BB781" s="69"/>
      <c r="BC781" s="69"/>
    </row>
    <row r="782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71"/>
      <c r="L782" s="69"/>
      <c r="M782" s="69"/>
      <c r="N782" s="72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  <c r="AI782" s="69"/>
      <c r="AJ782" s="69"/>
      <c r="AK782" s="69"/>
      <c r="AL782" s="69"/>
      <c r="AM782" s="69"/>
      <c r="AN782" s="69"/>
      <c r="AO782" s="69"/>
      <c r="AP782" s="69"/>
      <c r="AQ782" s="69"/>
      <c r="AR782" s="69"/>
      <c r="AS782" s="69"/>
      <c r="AT782" s="69"/>
      <c r="AU782" s="69"/>
      <c r="AV782" s="69"/>
      <c r="AW782" s="69"/>
      <c r="AX782" s="69"/>
      <c r="AY782" s="69"/>
      <c r="AZ782" s="69"/>
      <c r="BA782" s="69"/>
      <c r="BB782" s="69"/>
      <c r="BC782" s="69"/>
    </row>
    <row r="783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71"/>
      <c r="L783" s="69"/>
      <c r="M783" s="69"/>
      <c r="N783" s="72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  <c r="AI783" s="69"/>
      <c r="AJ783" s="69"/>
      <c r="AK783" s="69"/>
      <c r="AL783" s="69"/>
      <c r="AM783" s="69"/>
      <c r="AN783" s="69"/>
      <c r="AO783" s="69"/>
      <c r="AP783" s="69"/>
      <c r="AQ783" s="69"/>
      <c r="AR783" s="69"/>
      <c r="AS783" s="69"/>
      <c r="AT783" s="69"/>
      <c r="AU783" s="69"/>
      <c r="AV783" s="69"/>
      <c r="AW783" s="69"/>
      <c r="AX783" s="69"/>
      <c r="AY783" s="69"/>
      <c r="AZ783" s="69"/>
      <c r="BA783" s="69"/>
      <c r="BB783" s="69"/>
      <c r="BC783" s="69"/>
    </row>
    <row r="784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71"/>
      <c r="L784" s="69"/>
      <c r="M784" s="69"/>
      <c r="N784" s="72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  <c r="AI784" s="69"/>
      <c r="AJ784" s="69"/>
      <c r="AK784" s="69"/>
      <c r="AL784" s="69"/>
      <c r="AM784" s="69"/>
      <c r="AN784" s="69"/>
      <c r="AO784" s="69"/>
      <c r="AP784" s="69"/>
      <c r="AQ784" s="69"/>
      <c r="AR784" s="69"/>
      <c r="AS784" s="69"/>
      <c r="AT784" s="69"/>
      <c r="AU784" s="69"/>
      <c r="AV784" s="69"/>
      <c r="AW784" s="69"/>
      <c r="AX784" s="69"/>
      <c r="AY784" s="69"/>
      <c r="AZ784" s="69"/>
      <c r="BA784" s="69"/>
      <c r="BB784" s="69"/>
      <c r="BC784" s="69"/>
    </row>
    <row r="78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71"/>
      <c r="L785" s="69"/>
      <c r="M785" s="69"/>
      <c r="N785" s="72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  <c r="AI785" s="69"/>
      <c r="AJ785" s="69"/>
      <c r="AK785" s="69"/>
      <c r="AL785" s="69"/>
      <c r="AM785" s="69"/>
      <c r="AN785" s="69"/>
      <c r="AO785" s="69"/>
      <c r="AP785" s="69"/>
      <c r="AQ785" s="69"/>
      <c r="AR785" s="69"/>
      <c r="AS785" s="69"/>
      <c r="AT785" s="69"/>
      <c r="AU785" s="69"/>
      <c r="AV785" s="69"/>
      <c r="AW785" s="69"/>
      <c r="AX785" s="69"/>
      <c r="AY785" s="69"/>
      <c r="AZ785" s="69"/>
      <c r="BA785" s="69"/>
      <c r="BB785" s="69"/>
      <c r="BC785" s="69"/>
    </row>
    <row r="786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71"/>
      <c r="L786" s="69"/>
      <c r="M786" s="69"/>
      <c r="N786" s="72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  <c r="AI786" s="69"/>
      <c r="AJ786" s="69"/>
      <c r="AK786" s="69"/>
      <c r="AL786" s="69"/>
      <c r="AM786" s="69"/>
      <c r="AN786" s="69"/>
      <c r="AO786" s="69"/>
      <c r="AP786" s="69"/>
      <c r="AQ786" s="69"/>
      <c r="AR786" s="69"/>
      <c r="AS786" s="69"/>
      <c r="AT786" s="69"/>
      <c r="AU786" s="69"/>
      <c r="AV786" s="69"/>
      <c r="AW786" s="69"/>
      <c r="AX786" s="69"/>
      <c r="AY786" s="69"/>
      <c r="AZ786" s="69"/>
      <c r="BA786" s="69"/>
      <c r="BB786" s="69"/>
      <c r="BC786" s="69"/>
    </row>
    <row r="787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71"/>
      <c r="L787" s="69"/>
      <c r="M787" s="69"/>
      <c r="N787" s="72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  <c r="AI787" s="69"/>
      <c r="AJ787" s="69"/>
      <c r="AK787" s="69"/>
      <c r="AL787" s="69"/>
      <c r="AM787" s="69"/>
      <c r="AN787" s="69"/>
      <c r="AO787" s="69"/>
      <c r="AP787" s="69"/>
      <c r="AQ787" s="69"/>
      <c r="AR787" s="69"/>
      <c r="AS787" s="69"/>
      <c r="AT787" s="69"/>
      <c r="AU787" s="69"/>
      <c r="AV787" s="69"/>
      <c r="AW787" s="69"/>
      <c r="AX787" s="69"/>
      <c r="AY787" s="69"/>
      <c r="AZ787" s="69"/>
      <c r="BA787" s="69"/>
      <c r="BB787" s="69"/>
      <c r="BC787" s="69"/>
    </row>
    <row r="788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71"/>
      <c r="L788" s="69"/>
      <c r="M788" s="69"/>
      <c r="N788" s="72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  <c r="AI788" s="69"/>
      <c r="AJ788" s="69"/>
      <c r="AK788" s="69"/>
      <c r="AL788" s="69"/>
      <c r="AM788" s="69"/>
      <c r="AN788" s="69"/>
      <c r="AO788" s="69"/>
      <c r="AP788" s="69"/>
      <c r="AQ788" s="69"/>
      <c r="AR788" s="69"/>
      <c r="AS788" s="69"/>
      <c r="AT788" s="69"/>
      <c r="AU788" s="69"/>
      <c r="AV788" s="69"/>
      <c r="AW788" s="69"/>
      <c r="AX788" s="69"/>
      <c r="AY788" s="69"/>
      <c r="AZ788" s="69"/>
      <c r="BA788" s="69"/>
      <c r="BB788" s="69"/>
      <c r="BC788" s="69"/>
    </row>
    <row r="789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71"/>
      <c r="L789" s="69"/>
      <c r="M789" s="69"/>
      <c r="N789" s="72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  <c r="AI789" s="69"/>
      <c r="AJ789" s="69"/>
      <c r="AK789" s="69"/>
      <c r="AL789" s="69"/>
      <c r="AM789" s="69"/>
      <c r="AN789" s="69"/>
      <c r="AO789" s="69"/>
      <c r="AP789" s="69"/>
      <c r="AQ789" s="69"/>
      <c r="AR789" s="69"/>
      <c r="AS789" s="69"/>
      <c r="AT789" s="69"/>
      <c r="AU789" s="69"/>
      <c r="AV789" s="69"/>
      <c r="AW789" s="69"/>
      <c r="AX789" s="69"/>
      <c r="AY789" s="69"/>
      <c r="AZ789" s="69"/>
      <c r="BA789" s="69"/>
      <c r="BB789" s="69"/>
      <c r="BC789" s="69"/>
    </row>
    <row r="790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71"/>
      <c r="L790" s="69"/>
      <c r="M790" s="69"/>
      <c r="N790" s="72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  <c r="AI790" s="69"/>
      <c r="AJ790" s="69"/>
      <c r="AK790" s="69"/>
      <c r="AL790" s="69"/>
      <c r="AM790" s="69"/>
      <c r="AN790" s="69"/>
      <c r="AO790" s="69"/>
      <c r="AP790" s="69"/>
      <c r="AQ790" s="69"/>
      <c r="AR790" s="69"/>
      <c r="AS790" s="69"/>
      <c r="AT790" s="69"/>
      <c r="AU790" s="69"/>
      <c r="AV790" s="69"/>
      <c r="AW790" s="69"/>
      <c r="AX790" s="69"/>
      <c r="AY790" s="69"/>
      <c r="AZ790" s="69"/>
      <c r="BA790" s="69"/>
      <c r="BB790" s="69"/>
      <c r="BC790" s="69"/>
    </row>
    <row r="79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71"/>
      <c r="L791" s="69"/>
      <c r="M791" s="69"/>
      <c r="N791" s="72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  <c r="AI791" s="69"/>
      <c r="AJ791" s="69"/>
      <c r="AK791" s="69"/>
      <c r="AL791" s="69"/>
      <c r="AM791" s="69"/>
      <c r="AN791" s="69"/>
      <c r="AO791" s="69"/>
      <c r="AP791" s="69"/>
      <c r="AQ791" s="69"/>
      <c r="AR791" s="69"/>
      <c r="AS791" s="69"/>
      <c r="AT791" s="69"/>
      <c r="AU791" s="69"/>
      <c r="AV791" s="69"/>
      <c r="AW791" s="69"/>
      <c r="AX791" s="69"/>
      <c r="AY791" s="69"/>
      <c r="AZ791" s="69"/>
      <c r="BA791" s="69"/>
      <c r="BB791" s="69"/>
      <c r="BC791" s="69"/>
    </row>
    <row r="792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71"/>
      <c r="L792" s="69"/>
      <c r="M792" s="69"/>
      <c r="N792" s="72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  <c r="AI792" s="69"/>
      <c r="AJ792" s="69"/>
      <c r="AK792" s="69"/>
      <c r="AL792" s="69"/>
      <c r="AM792" s="69"/>
      <c r="AN792" s="69"/>
      <c r="AO792" s="69"/>
      <c r="AP792" s="69"/>
      <c r="AQ792" s="69"/>
      <c r="AR792" s="69"/>
      <c r="AS792" s="69"/>
      <c r="AT792" s="69"/>
      <c r="AU792" s="69"/>
      <c r="AV792" s="69"/>
      <c r="AW792" s="69"/>
      <c r="AX792" s="69"/>
      <c r="AY792" s="69"/>
      <c r="AZ792" s="69"/>
      <c r="BA792" s="69"/>
      <c r="BB792" s="69"/>
      <c r="BC792" s="69"/>
    </row>
    <row r="793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71"/>
      <c r="L793" s="69"/>
      <c r="M793" s="69"/>
      <c r="N793" s="72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  <c r="AK793" s="69"/>
      <c r="AL793" s="69"/>
      <c r="AM793" s="69"/>
      <c r="AN793" s="69"/>
      <c r="AO793" s="69"/>
      <c r="AP793" s="69"/>
      <c r="AQ793" s="69"/>
      <c r="AR793" s="69"/>
      <c r="AS793" s="69"/>
      <c r="AT793" s="69"/>
      <c r="AU793" s="69"/>
      <c r="AV793" s="69"/>
      <c r="AW793" s="69"/>
      <c r="AX793" s="69"/>
      <c r="AY793" s="69"/>
      <c r="AZ793" s="69"/>
      <c r="BA793" s="69"/>
      <c r="BB793" s="69"/>
      <c r="BC793" s="69"/>
    </row>
    <row r="794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71"/>
      <c r="L794" s="69"/>
      <c r="M794" s="69"/>
      <c r="N794" s="72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  <c r="AI794" s="69"/>
      <c r="AJ794" s="69"/>
      <c r="AK794" s="69"/>
      <c r="AL794" s="69"/>
      <c r="AM794" s="69"/>
      <c r="AN794" s="69"/>
      <c r="AO794" s="69"/>
      <c r="AP794" s="69"/>
      <c r="AQ794" s="69"/>
      <c r="AR794" s="69"/>
      <c r="AS794" s="69"/>
      <c r="AT794" s="69"/>
      <c r="AU794" s="69"/>
      <c r="AV794" s="69"/>
      <c r="AW794" s="69"/>
      <c r="AX794" s="69"/>
      <c r="AY794" s="69"/>
      <c r="AZ794" s="69"/>
      <c r="BA794" s="69"/>
      <c r="BB794" s="69"/>
      <c r="BC794" s="69"/>
    </row>
    <row r="79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71"/>
      <c r="L795" s="69"/>
      <c r="M795" s="69"/>
      <c r="N795" s="72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  <c r="BA795" s="69"/>
      <c r="BB795" s="69"/>
      <c r="BC795" s="69"/>
    </row>
    <row r="796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71"/>
      <c r="L796" s="69"/>
      <c r="M796" s="69"/>
      <c r="N796" s="72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  <c r="AI796" s="69"/>
      <c r="AJ796" s="69"/>
      <c r="AK796" s="69"/>
      <c r="AL796" s="69"/>
      <c r="AM796" s="69"/>
      <c r="AN796" s="69"/>
      <c r="AO796" s="69"/>
      <c r="AP796" s="69"/>
      <c r="AQ796" s="69"/>
      <c r="AR796" s="69"/>
      <c r="AS796" s="69"/>
      <c r="AT796" s="69"/>
      <c r="AU796" s="69"/>
      <c r="AV796" s="69"/>
      <c r="AW796" s="69"/>
      <c r="AX796" s="69"/>
      <c r="AY796" s="69"/>
      <c r="AZ796" s="69"/>
      <c r="BA796" s="69"/>
      <c r="BB796" s="69"/>
      <c r="BC796" s="69"/>
    </row>
    <row r="797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71"/>
      <c r="L797" s="69"/>
      <c r="M797" s="69"/>
      <c r="N797" s="72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  <c r="AI797" s="69"/>
      <c r="AJ797" s="69"/>
      <c r="AK797" s="69"/>
      <c r="AL797" s="69"/>
      <c r="AM797" s="69"/>
      <c r="AN797" s="69"/>
      <c r="AO797" s="69"/>
      <c r="AP797" s="69"/>
      <c r="AQ797" s="69"/>
      <c r="AR797" s="69"/>
      <c r="AS797" s="69"/>
      <c r="AT797" s="69"/>
      <c r="AU797" s="69"/>
      <c r="AV797" s="69"/>
      <c r="AW797" s="69"/>
      <c r="AX797" s="69"/>
      <c r="AY797" s="69"/>
      <c r="AZ797" s="69"/>
      <c r="BA797" s="69"/>
      <c r="BB797" s="69"/>
      <c r="BC797" s="69"/>
    </row>
    <row r="798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71"/>
      <c r="L798" s="69"/>
      <c r="M798" s="69"/>
      <c r="N798" s="72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  <c r="AI798" s="69"/>
      <c r="AJ798" s="69"/>
      <c r="AK798" s="69"/>
      <c r="AL798" s="69"/>
      <c r="AM798" s="69"/>
      <c r="AN798" s="69"/>
      <c r="AO798" s="69"/>
      <c r="AP798" s="69"/>
      <c r="AQ798" s="69"/>
      <c r="AR798" s="69"/>
      <c r="AS798" s="69"/>
      <c r="AT798" s="69"/>
      <c r="AU798" s="69"/>
      <c r="AV798" s="69"/>
      <c r="AW798" s="69"/>
      <c r="AX798" s="69"/>
      <c r="AY798" s="69"/>
      <c r="AZ798" s="69"/>
      <c r="BA798" s="69"/>
      <c r="BB798" s="69"/>
      <c r="BC798" s="69"/>
    </row>
    <row r="799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71"/>
      <c r="L799" s="69"/>
      <c r="M799" s="69"/>
      <c r="N799" s="72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  <c r="AI799" s="69"/>
      <c r="AJ799" s="69"/>
      <c r="AK799" s="69"/>
      <c r="AL799" s="69"/>
      <c r="AM799" s="69"/>
      <c r="AN799" s="69"/>
      <c r="AO799" s="69"/>
      <c r="AP799" s="69"/>
      <c r="AQ799" s="69"/>
      <c r="AR799" s="69"/>
      <c r="AS799" s="69"/>
      <c r="AT799" s="69"/>
      <c r="AU799" s="69"/>
      <c r="AV799" s="69"/>
      <c r="AW799" s="69"/>
      <c r="AX799" s="69"/>
      <c r="AY799" s="69"/>
      <c r="AZ799" s="69"/>
      <c r="BA799" s="69"/>
      <c r="BB799" s="69"/>
      <c r="BC799" s="69"/>
    </row>
    <row r="800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71"/>
      <c r="L800" s="69"/>
      <c r="M800" s="69"/>
      <c r="N800" s="72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  <c r="AI800" s="69"/>
      <c r="AJ800" s="69"/>
      <c r="AK800" s="69"/>
      <c r="AL800" s="69"/>
      <c r="AM800" s="69"/>
      <c r="AN800" s="69"/>
      <c r="AO800" s="69"/>
      <c r="AP800" s="69"/>
      <c r="AQ800" s="69"/>
      <c r="AR800" s="69"/>
      <c r="AS800" s="69"/>
      <c r="AT800" s="69"/>
      <c r="AU800" s="69"/>
      <c r="AV800" s="69"/>
      <c r="AW800" s="69"/>
      <c r="AX800" s="69"/>
      <c r="AY800" s="69"/>
      <c r="AZ800" s="69"/>
      <c r="BA800" s="69"/>
      <c r="BB800" s="69"/>
      <c r="BC800" s="69"/>
    </row>
    <row r="80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71"/>
      <c r="L801" s="69"/>
      <c r="M801" s="69"/>
      <c r="N801" s="72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  <c r="AI801" s="69"/>
      <c r="AJ801" s="69"/>
      <c r="AK801" s="69"/>
      <c r="AL801" s="69"/>
      <c r="AM801" s="69"/>
      <c r="AN801" s="69"/>
      <c r="AO801" s="69"/>
      <c r="AP801" s="69"/>
      <c r="AQ801" s="69"/>
      <c r="AR801" s="69"/>
      <c r="AS801" s="69"/>
      <c r="AT801" s="69"/>
      <c r="AU801" s="69"/>
      <c r="AV801" s="69"/>
      <c r="AW801" s="69"/>
      <c r="AX801" s="69"/>
      <c r="AY801" s="69"/>
      <c r="AZ801" s="69"/>
      <c r="BA801" s="69"/>
      <c r="BB801" s="69"/>
      <c r="BC801" s="69"/>
    </row>
    <row r="802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71"/>
      <c r="L802" s="69"/>
      <c r="M802" s="69"/>
      <c r="N802" s="72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  <c r="AI802" s="69"/>
      <c r="AJ802" s="69"/>
      <c r="AK802" s="69"/>
      <c r="AL802" s="69"/>
      <c r="AM802" s="69"/>
      <c r="AN802" s="69"/>
      <c r="AO802" s="69"/>
      <c r="AP802" s="69"/>
      <c r="AQ802" s="69"/>
      <c r="AR802" s="69"/>
      <c r="AS802" s="69"/>
      <c r="AT802" s="69"/>
      <c r="AU802" s="69"/>
      <c r="AV802" s="69"/>
      <c r="AW802" s="69"/>
      <c r="AX802" s="69"/>
      <c r="AY802" s="69"/>
      <c r="AZ802" s="69"/>
      <c r="BA802" s="69"/>
      <c r="BB802" s="69"/>
      <c r="BC802" s="69"/>
    </row>
    <row r="803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71"/>
      <c r="L803" s="69"/>
      <c r="M803" s="69"/>
      <c r="N803" s="72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  <c r="AI803" s="69"/>
      <c r="AJ803" s="69"/>
      <c r="AK803" s="69"/>
      <c r="AL803" s="69"/>
      <c r="AM803" s="69"/>
      <c r="AN803" s="69"/>
      <c r="AO803" s="69"/>
      <c r="AP803" s="69"/>
      <c r="AQ803" s="69"/>
      <c r="AR803" s="69"/>
      <c r="AS803" s="69"/>
      <c r="AT803" s="69"/>
      <c r="AU803" s="69"/>
      <c r="AV803" s="69"/>
      <c r="AW803" s="69"/>
      <c r="AX803" s="69"/>
      <c r="AY803" s="69"/>
      <c r="AZ803" s="69"/>
      <c r="BA803" s="69"/>
      <c r="BB803" s="69"/>
      <c r="BC803" s="69"/>
    </row>
    <row r="804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71"/>
      <c r="L804" s="69"/>
      <c r="M804" s="69"/>
      <c r="N804" s="72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  <c r="AI804" s="69"/>
      <c r="AJ804" s="69"/>
      <c r="AK804" s="69"/>
      <c r="AL804" s="69"/>
      <c r="AM804" s="69"/>
      <c r="AN804" s="69"/>
      <c r="AO804" s="69"/>
      <c r="AP804" s="69"/>
      <c r="AQ804" s="69"/>
      <c r="AR804" s="69"/>
      <c r="AS804" s="69"/>
      <c r="AT804" s="69"/>
      <c r="AU804" s="69"/>
      <c r="AV804" s="69"/>
      <c r="AW804" s="69"/>
      <c r="AX804" s="69"/>
      <c r="AY804" s="69"/>
      <c r="AZ804" s="69"/>
      <c r="BA804" s="69"/>
      <c r="BB804" s="69"/>
      <c r="BC804" s="69"/>
    </row>
    <row r="80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71"/>
      <c r="L805" s="69"/>
      <c r="M805" s="69"/>
      <c r="N805" s="72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  <c r="AI805" s="69"/>
      <c r="AJ805" s="69"/>
      <c r="AK805" s="69"/>
      <c r="AL805" s="69"/>
      <c r="AM805" s="69"/>
      <c r="AN805" s="69"/>
      <c r="AO805" s="69"/>
      <c r="AP805" s="69"/>
      <c r="AQ805" s="69"/>
      <c r="AR805" s="69"/>
      <c r="AS805" s="69"/>
      <c r="AT805" s="69"/>
      <c r="AU805" s="69"/>
      <c r="AV805" s="69"/>
      <c r="AW805" s="69"/>
      <c r="AX805" s="69"/>
      <c r="AY805" s="69"/>
      <c r="AZ805" s="69"/>
      <c r="BA805" s="69"/>
      <c r="BB805" s="69"/>
      <c r="BC805" s="69"/>
    </row>
    <row r="806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71"/>
      <c r="L806" s="69"/>
      <c r="M806" s="69"/>
      <c r="N806" s="72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  <c r="AI806" s="69"/>
      <c r="AJ806" s="69"/>
      <c r="AK806" s="69"/>
      <c r="AL806" s="69"/>
      <c r="AM806" s="69"/>
      <c r="AN806" s="69"/>
      <c r="AO806" s="69"/>
      <c r="AP806" s="69"/>
      <c r="AQ806" s="69"/>
      <c r="AR806" s="69"/>
      <c r="AS806" s="69"/>
      <c r="AT806" s="69"/>
      <c r="AU806" s="69"/>
      <c r="AV806" s="69"/>
      <c r="AW806" s="69"/>
      <c r="AX806" s="69"/>
      <c r="AY806" s="69"/>
      <c r="AZ806" s="69"/>
      <c r="BA806" s="69"/>
      <c r="BB806" s="69"/>
      <c r="BC806" s="69"/>
    </row>
    <row r="807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71"/>
      <c r="L807" s="69"/>
      <c r="M807" s="69"/>
      <c r="N807" s="72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  <c r="AI807" s="69"/>
      <c r="AJ807" s="69"/>
      <c r="AK807" s="69"/>
      <c r="AL807" s="69"/>
      <c r="AM807" s="69"/>
      <c r="AN807" s="69"/>
      <c r="AO807" s="69"/>
      <c r="AP807" s="69"/>
      <c r="AQ807" s="69"/>
      <c r="AR807" s="69"/>
      <c r="AS807" s="69"/>
      <c r="AT807" s="69"/>
      <c r="AU807" s="69"/>
      <c r="AV807" s="69"/>
      <c r="AW807" s="69"/>
      <c r="AX807" s="69"/>
      <c r="AY807" s="69"/>
      <c r="AZ807" s="69"/>
      <c r="BA807" s="69"/>
      <c r="BB807" s="69"/>
      <c r="BC807" s="69"/>
    </row>
    <row r="808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71"/>
      <c r="L808" s="69"/>
      <c r="M808" s="69"/>
      <c r="N808" s="72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  <c r="AI808" s="69"/>
      <c r="AJ808" s="69"/>
      <c r="AK808" s="69"/>
      <c r="AL808" s="69"/>
      <c r="AM808" s="69"/>
      <c r="AN808" s="69"/>
      <c r="AO808" s="69"/>
      <c r="AP808" s="69"/>
      <c r="AQ808" s="69"/>
      <c r="AR808" s="69"/>
      <c r="AS808" s="69"/>
      <c r="AT808" s="69"/>
      <c r="AU808" s="69"/>
      <c r="AV808" s="69"/>
      <c r="AW808" s="69"/>
      <c r="AX808" s="69"/>
      <c r="AY808" s="69"/>
      <c r="AZ808" s="69"/>
      <c r="BA808" s="69"/>
      <c r="BB808" s="69"/>
      <c r="BC808" s="69"/>
    </row>
    <row r="809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71"/>
      <c r="L809" s="69"/>
      <c r="M809" s="69"/>
      <c r="N809" s="72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/>
      <c r="AJ809" s="69"/>
      <c r="AK809" s="69"/>
      <c r="AL809" s="69"/>
      <c r="AM809" s="69"/>
      <c r="AN809" s="69"/>
      <c r="AO809" s="69"/>
      <c r="AP809" s="69"/>
      <c r="AQ809" s="69"/>
      <c r="AR809" s="69"/>
      <c r="AS809" s="69"/>
      <c r="AT809" s="69"/>
      <c r="AU809" s="69"/>
      <c r="AV809" s="69"/>
      <c r="AW809" s="69"/>
      <c r="AX809" s="69"/>
      <c r="AY809" s="69"/>
      <c r="AZ809" s="69"/>
      <c r="BA809" s="69"/>
      <c r="BB809" s="69"/>
      <c r="BC809" s="69"/>
    </row>
    <row r="810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71"/>
      <c r="L810" s="69"/>
      <c r="M810" s="69"/>
      <c r="N810" s="72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/>
      <c r="AJ810" s="69"/>
      <c r="AK810" s="69"/>
      <c r="AL810" s="69"/>
      <c r="AM810" s="69"/>
      <c r="AN810" s="69"/>
      <c r="AO810" s="69"/>
      <c r="AP810" s="69"/>
      <c r="AQ810" s="69"/>
      <c r="AR810" s="69"/>
      <c r="AS810" s="69"/>
      <c r="AT810" s="69"/>
      <c r="AU810" s="69"/>
      <c r="AV810" s="69"/>
      <c r="AW810" s="69"/>
      <c r="AX810" s="69"/>
      <c r="AY810" s="69"/>
      <c r="AZ810" s="69"/>
      <c r="BA810" s="69"/>
      <c r="BB810" s="69"/>
      <c r="BC810" s="69"/>
    </row>
    <row r="81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71"/>
      <c r="L811" s="69"/>
      <c r="M811" s="69"/>
      <c r="N811" s="72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  <c r="AK811" s="69"/>
      <c r="AL811" s="69"/>
      <c r="AM811" s="69"/>
      <c r="AN811" s="69"/>
      <c r="AO811" s="69"/>
      <c r="AP811" s="69"/>
      <c r="AQ811" s="69"/>
      <c r="AR811" s="69"/>
      <c r="AS811" s="69"/>
      <c r="AT811" s="69"/>
      <c r="AU811" s="69"/>
      <c r="AV811" s="69"/>
      <c r="AW811" s="69"/>
      <c r="AX811" s="69"/>
      <c r="AY811" s="69"/>
      <c r="AZ811" s="69"/>
      <c r="BA811" s="69"/>
      <c r="BB811" s="69"/>
      <c r="BC811" s="69"/>
    </row>
    <row r="812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71"/>
      <c r="L812" s="69"/>
      <c r="M812" s="69"/>
      <c r="N812" s="72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  <c r="AI812" s="69"/>
      <c r="AJ812" s="69"/>
      <c r="AK812" s="69"/>
      <c r="AL812" s="69"/>
      <c r="AM812" s="69"/>
      <c r="AN812" s="69"/>
      <c r="AO812" s="69"/>
      <c r="AP812" s="69"/>
      <c r="AQ812" s="69"/>
      <c r="AR812" s="69"/>
      <c r="AS812" s="69"/>
      <c r="AT812" s="69"/>
      <c r="AU812" s="69"/>
      <c r="AV812" s="69"/>
      <c r="AW812" s="69"/>
      <c r="AX812" s="69"/>
      <c r="AY812" s="69"/>
      <c r="AZ812" s="69"/>
      <c r="BA812" s="69"/>
      <c r="BB812" s="69"/>
      <c r="BC812" s="69"/>
    </row>
    <row r="813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71"/>
      <c r="L813" s="69"/>
      <c r="M813" s="69"/>
      <c r="N813" s="72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  <c r="AK813" s="69"/>
      <c r="AL813" s="69"/>
      <c r="AM813" s="69"/>
      <c r="AN813" s="69"/>
      <c r="AO813" s="69"/>
      <c r="AP813" s="69"/>
      <c r="AQ813" s="69"/>
      <c r="AR813" s="69"/>
      <c r="AS813" s="69"/>
      <c r="AT813" s="69"/>
      <c r="AU813" s="69"/>
      <c r="AV813" s="69"/>
      <c r="AW813" s="69"/>
      <c r="AX813" s="69"/>
      <c r="AY813" s="69"/>
      <c r="AZ813" s="69"/>
      <c r="BA813" s="69"/>
      <c r="BB813" s="69"/>
      <c r="BC813" s="69"/>
    </row>
    <row r="814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71"/>
      <c r="L814" s="69"/>
      <c r="M814" s="69"/>
      <c r="N814" s="72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  <c r="AI814" s="69"/>
      <c r="AJ814" s="69"/>
      <c r="AK814" s="69"/>
      <c r="AL814" s="69"/>
      <c r="AM814" s="69"/>
      <c r="AN814" s="69"/>
      <c r="AO814" s="69"/>
      <c r="AP814" s="69"/>
      <c r="AQ814" s="69"/>
      <c r="AR814" s="69"/>
      <c r="AS814" s="69"/>
      <c r="AT814" s="69"/>
      <c r="AU814" s="69"/>
      <c r="AV814" s="69"/>
      <c r="AW814" s="69"/>
      <c r="AX814" s="69"/>
      <c r="AY814" s="69"/>
      <c r="AZ814" s="69"/>
      <c r="BA814" s="69"/>
      <c r="BB814" s="69"/>
      <c r="BC814" s="69"/>
    </row>
    <row r="81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71"/>
      <c r="L815" s="69"/>
      <c r="M815" s="69"/>
      <c r="N815" s="72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  <c r="AI815" s="69"/>
      <c r="AJ815" s="69"/>
      <c r="AK815" s="69"/>
      <c r="AL815" s="69"/>
      <c r="AM815" s="69"/>
      <c r="AN815" s="69"/>
      <c r="AO815" s="69"/>
      <c r="AP815" s="69"/>
      <c r="AQ815" s="69"/>
      <c r="AR815" s="69"/>
      <c r="AS815" s="69"/>
      <c r="AT815" s="69"/>
      <c r="AU815" s="69"/>
      <c r="AV815" s="69"/>
      <c r="AW815" s="69"/>
      <c r="AX815" s="69"/>
      <c r="AY815" s="69"/>
      <c r="AZ815" s="69"/>
      <c r="BA815" s="69"/>
      <c r="BB815" s="69"/>
      <c r="BC815" s="69"/>
    </row>
    <row r="816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71"/>
      <c r="L816" s="69"/>
      <c r="M816" s="69"/>
      <c r="N816" s="72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  <c r="AI816" s="69"/>
      <c r="AJ816" s="69"/>
      <c r="AK816" s="69"/>
      <c r="AL816" s="69"/>
      <c r="AM816" s="69"/>
      <c r="AN816" s="69"/>
      <c r="AO816" s="69"/>
      <c r="AP816" s="69"/>
      <c r="AQ816" s="69"/>
      <c r="AR816" s="69"/>
      <c r="AS816" s="69"/>
      <c r="AT816" s="69"/>
      <c r="AU816" s="69"/>
      <c r="AV816" s="69"/>
      <c r="AW816" s="69"/>
      <c r="AX816" s="69"/>
      <c r="AY816" s="69"/>
      <c r="AZ816" s="69"/>
      <c r="BA816" s="69"/>
      <c r="BB816" s="69"/>
      <c r="BC816" s="69"/>
    </row>
    <row r="817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71"/>
      <c r="L817" s="69"/>
      <c r="M817" s="69"/>
      <c r="N817" s="72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/>
      <c r="AJ817" s="69"/>
      <c r="AK817" s="69"/>
      <c r="AL817" s="69"/>
      <c r="AM817" s="69"/>
      <c r="AN817" s="69"/>
      <c r="AO817" s="69"/>
      <c r="AP817" s="69"/>
      <c r="AQ817" s="69"/>
      <c r="AR817" s="69"/>
      <c r="AS817" s="69"/>
      <c r="AT817" s="69"/>
      <c r="AU817" s="69"/>
      <c r="AV817" s="69"/>
      <c r="AW817" s="69"/>
      <c r="AX817" s="69"/>
      <c r="AY817" s="69"/>
      <c r="AZ817" s="69"/>
      <c r="BA817" s="69"/>
      <c r="BB817" s="69"/>
      <c r="BC817" s="69"/>
    </row>
    <row r="818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71"/>
      <c r="L818" s="69"/>
      <c r="M818" s="69"/>
      <c r="N818" s="72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/>
      <c r="AJ818" s="69"/>
      <c r="AK818" s="69"/>
      <c r="AL818" s="69"/>
      <c r="AM818" s="69"/>
      <c r="AN818" s="69"/>
      <c r="AO818" s="69"/>
      <c r="AP818" s="69"/>
      <c r="AQ818" s="69"/>
      <c r="AR818" s="69"/>
      <c r="AS818" s="69"/>
      <c r="AT818" s="69"/>
      <c r="AU818" s="69"/>
      <c r="AV818" s="69"/>
      <c r="AW818" s="69"/>
      <c r="AX818" s="69"/>
      <c r="AY818" s="69"/>
      <c r="AZ818" s="69"/>
      <c r="BA818" s="69"/>
      <c r="BB818" s="69"/>
      <c r="BC818" s="69"/>
    </row>
    <row r="819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71"/>
      <c r="L819" s="69"/>
      <c r="M819" s="69"/>
      <c r="N819" s="72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  <c r="AI819" s="69"/>
      <c r="AJ819" s="69"/>
      <c r="AK819" s="69"/>
      <c r="AL819" s="69"/>
      <c r="AM819" s="69"/>
      <c r="AN819" s="69"/>
      <c r="AO819" s="69"/>
      <c r="AP819" s="69"/>
      <c r="AQ819" s="69"/>
      <c r="AR819" s="69"/>
      <c r="AS819" s="69"/>
      <c r="AT819" s="69"/>
      <c r="AU819" s="69"/>
      <c r="AV819" s="69"/>
      <c r="AW819" s="69"/>
      <c r="AX819" s="69"/>
      <c r="AY819" s="69"/>
      <c r="AZ819" s="69"/>
      <c r="BA819" s="69"/>
      <c r="BB819" s="69"/>
      <c r="BC819" s="69"/>
    </row>
    <row r="820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71"/>
      <c r="L820" s="69"/>
      <c r="M820" s="69"/>
      <c r="N820" s="72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  <c r="AI820" s="69"/>
      <c r="AJ820" s="69"/>
      <c r="AK820" s="69"/>
      <c r="AL820" s="69"/>
      <c r="AM820" s="69"/>
      <c r="AN820" s="69"/>
      <c r="AO820" s="69"/>
      <c r="AP820" s="69"/>
      <c r="AQ820" s="69"/>
      <c r="AR820" s="69"/>
      <c r="AS820" s="69"/>
      <c r="AT820" s="69"/>
      <c r="AU820" s="69"/>
      <c r="AV820" s="69"/>
      <c r="AW820" s="69"/>
      <c r="AX820" s="69"/>
      <c r="AY820" s="69"/>
      <c r="AZ820" s="69"/>
      <c r="BA820" s="69"/>
      <c r="BB820" s="69"/>
      <c r="BC820" s="69"/>
    </row>
    <row r="82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71"/>
      <c r="L821" s="69"/>
      <c r="M821" s="69"/>
      <c r="N821" s="72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  <c r="AI821" s="69"/>
      <c r="AJ821" s="69"/>
      <c r="AK821" s="69"/>
      <c r="AL821" s="69"/>
      <c r="AM821" s="69"/>
      <c r="AN821" s="69"/>
      <c r="AO821" s="69"/>
      <c r="AP821" s="69"/>
      <c r="AQ821" s="69"/>
      <c r="AR821" s="69"/>
      <c r="AS821" s="69"/>
      <c r="AT821" s="69"/>
      <c r="AU821" s="69"/>
      <c r="AV821" s="69"/>
      <c r="AW821" s="69"/>
      <c r="AX821" s="69"/>
      <c r="AY821" s="69"/>
      <c r="AZ821" s="69"/>
      <c r="BA821" s="69"/>
      <c r="BB821" s="69"/>
      <c r="BC821" s="69"/>
    </row>
    <row r="822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71"/>
      <c r="L822" s="69"/>
      <c r="M822" s="69"/>
      <c r="N822" s="72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  <c r="AI822" s="69"/>
      <c r="AJ822" s="69"/>
      <c r="AK822" s="69"/>
      <c r="AL822" s="69"/>
      <c r="AM822" s="69"/>
      <c r="AN822" s="69"/>
      <c r="AO822" s="69"/>
      <c r="AP822" s="69"/>
      <c r="AQ822" s="69"/>
      <c r="AR822" s="69"/>
      <c r="AS822" s="69"/>
      <c r="AT822" s="69"/>
      <c r="AU822" s="69"/>
      <c r="AV822" s="69"/>
      <c r="AW822" s="69"/>
      <c r="AX822" s="69"/>
      <c r="AY822" s="69"/>
      <c r="AZ822" s="69"/>
      <c r="BA822" s="69"/>
      <c r="BB822" s="69"/>
      <c r="BC822" s="69"/>
    </row>
    <row r="823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71"/>
      <c r="L823" s="69"/>
      <c r="M823" s="69"/>
      <c r="N823" s="72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  <c r="AK823" s="69"/>
      <c r="AL823" s="69"/>
      <c r="AM823" s="69"/>
      <c r="AN823" s="69"/>
      <c r="AO823" s="69"/>
      <c r="AP823" s="69"/>
      <c r="AQ823" s="69"/>
      <c r="AR823" s="69"/>
      <c r="AS823" s="69"/>
      <c r="AT823" s="69"/>
      <c r="AU823" s="69"/>
      <c r="AV823" s="69"/>
      <c r="AW823" s="69"/>
      <c r="AX823" s="69"/>
      <c r="AY823" s="69"/>
      <c r="AZ823" s="69"/>
      <c r="BA823" s="69"/>
      <c r="BB823" s="69"/>
      <c r="BC823" s="69"/>
    </row>
    <row r="824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71"/>
      <c r="L824" s="69"/>
      <c r="M824" s="69"/>
      <c r="N824" s="72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  <c r="AI824" s="69"/>
      <c r="AJ824" s="69"/>
      <c r="AK824" s="69"/>
      <c r="AL824" s="69"/>
      <c r="AM824" s="69"/>
      <c r="AN824" s="69"/>
      <c r="AO824" s="69"/>
      <c r="AP824" s="69"/>
      <c r="AQ824" s="69"/>
      <c r="AR824" s="69"/>
      <c r="AS824" s="69"/>
      <c r="AT824" s="69"/>
      <c r="AU824" s="69"/>
      <c r="AV824" s="69"/>
      <c r="AW824" s="69"/>
      <c r="AX824" s="69"/>
      <c r="AY824" s="69"/>
      <c r="AZ824" s="69"/>
      <c r="BA824" s="69"/>
      <c r="BB824" s="69"/>
      <c r="BC824" s="69"/>
    </row>
    <row r="8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71"/>
      <c r="L825" s="69"/>
      <c r="M825" s="69"/>
      <c r="N825" s="72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  <c r="AK825" s="69"/>
      <c r="AL825" s="69"/>
      <c r="AM825" s="69"/>
      <c r="AN825" s="69"/>
      <c r="AO825" s="69"/>
      <c r="AP825" s="69"/>
      <c r="AQ825" s="69"/>
      <c r="AR825" s="69"/>
      <c r="AS825" s="69"/>
      <c r="AT825" s="69"/>
      <c r="AU825" s="69"/>
      <c r="AV825" s="69"/>
      <c r="AW825" s="69"/>
      <c r="AX825" s="69"/>
      <c r="AY825" s="69"/>
      <c r="AZ825" s="69"/>
      <c r="BA825" s="69"/>
      <c r="BB825" s="69"/>
      <c r="BC825" s="69"/>
    </row>
    <row r="826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71"/>
      <c r="L826" s="69"/>
      <c r="M826" s="69"/>
      <c r="N826" s="72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  <c r="AI826" s="69"/>
      <c r="AJ826" s="69"/>
      <c r="AK826" s="69"/>
      <c r="AL826" s="69"/>
      <c r="AM826" s="69"/>
      <c r="AN826" s="69"/>
      <c r="AO826" s="69"/>
      <c r="AP826" s="69"/>
      <c r="AQ826" s="69"/>
      <c r="AR826" s="69"/>
      <c r="AS826" s="69"/>
      <c r="AT826" s="69"/>
      <c r="AU826" s="69"/>
      <c r="AV826" s="69"/>
      <c r="AW826" s="69"/>
      <c r="AX826" s="69"/>
      <c r="AY826" s="69"/>
      <c r="AZ826" s="69"/>
      <c r="BA826" s="69"/>
      <c r="BB826" s="69"/>
      <c r="BC826" s="69"/>
    </row>
    <row r="827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71"/>
      <c r="L827" s="69"/>
      <c r="M827" s="69"/>
      <c r="N827" s="72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  <c r="AK827" s="69"/>
      <c r="AL827" s="69"/>
      <c r="AM827" s="69"/>
      <c r="AN827" s="69"/>
      <c r="AO827" s="69"/>
      <c r="AP827" s="69"/>
      <c r="AQ827" s="69"/>
      <c r="AR827" s="69"/>
      <c r="AS827" s="69"/>
      <c r="AT827" s="69"/>
      <c r="AU827" s="69"/>
      <c r="AV827" s="69"/>
      <c r="AW827" s="69"/>
      <c r="AX827" s="69"/>
      <c r="AY827" s="69"/>
      <c r="AZ827" s="69"/>
      <c r="BA827" s="69"/>
      <c r="BB827" s="69"/>
      <c r="BC827" s="69"/>
    </row>
    <row r="828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71"/>
      <c r="L828" s="69"/>
      <c r="M828" s="69"/>
      <c r="N828" s="72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  <c r="AI828" s="69"/>
      <c r="AJ828" s="69"/>
      <c r="AK828" s="69"/>
      <c r="AL828" s="69"/>
      <c r="AM828" s="69"/>
      <c r="AN828" s="69"/>
      <c r="AO828" s="69"/>
      <c r="AP828" s="69"/>
      <c r="AQ828" s="69"/>
      <c r="AR828" s="69"/>
      <c r="AS828" s="69"/>
      <c r="AT828" s="69"/>
      <c r="AU828" s="69"/>
      <c r="AV828" s="69"/>
      <c r="AW828" s="69"/>
      <c r="AX828" s="69"/>
      <c r="AY828" s="69"/>
      <c r="AZ828" s="69"/>
      <c r="BA828" s="69"/>
      <c r="BB828" s="69"/>
      <c r="BC828" s="69"/>
    </row>
    <row r="829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71"/>
      <c r="L829" s="69"/>
      <c r="M829" s="69"/>
      <c r="N829" s="72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  <c r="AK829" s="69"/>
      <c r="AL829" s="69"/>
      <c r="AM829" s="69"/>
      <c r="AN829" s="69"/>
      <c r="AO829" s="69"/>
      <c r="AP829" s="69"/>
      <c r="AQ829" s="69"/>
      <c r="AR829" s="69"/>
      <c r="AS829" s="69"/>
      <c r="AT829" s="69"/>
      <c r="AU829" s="69"/>
      <c r="AV829" s="69"/>
      <c r="AW829" s="69"/>
      <c r="AX829" s="69"/>
      <c r="AY829" s="69"/>
      <c r="AZ829" s="69"/>
      <c r="BA829" s="69"/>
      <c r="BB829" s="69"/>
      <c r="BC829" s="69"/>
    </row>
    <row r="830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71"/>
      <c r="L830" s="69"/>
      <c r="M830" s="69"/>
      <c r="N830" s="72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69"/>
      <c r="AJ830" s="69"/>
      <c r="AK830" s="69"/>
      <c r="AL830" s="69"/>
      <c r="AM830" s="69"/>
      <c r="AN830" s="69"/>
      <c r="AO830" s="69"/>
      <c r="AP830" s="69"/>
      <c r="AQ830" s="69"/>
      <c r="AR830" s="69"/>
      <c r="AS830" s="69"/>
      <c r="AT830" s="69"/>
      <c r="AU830" s="69"/>
      <c r="AV830" s="69"/>
      <c r="AW830" s="69"/>
      <c r="AX830" s="69"/>
      <c r="AY830" s="69"/>
      <c r="AZ830" s="69"/>
      <c r="BA830" s="69"/>
      <c r="BB830" s="69"/>
      <c r="BC830" s="69"/>
    </row>
    <row r="83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71"/>
      <c r="L831" s="69"/>
      <c r="M831" s="69"/>
      <c r="N831" s="72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69"/>
      <c r="AJ831" s="69"/>
      <c r="AK831" s="69"/>
      <c r="AL831" s="69"/>
      <c r="AM831" s="69"/>
      <c r="AN831" s="69"/>
      <c r="AO831" s="69"/>
      <c r="AP831" s="69"/>
      <c r="AQ831" s="69"/>
      <c r="AR831" s="69"/>
      <c r="AS831" s="69"/>
      <c r="AT831" s="69"/>
      <c r="AU831" s="69"/>
      <c r="AV831" s="69"/>
      <c r="AW831" s="69"/>
      <c r="AX831" s="69"/>
      <c r="AY831" s="69"/>
      <c r="AZ831" s="69"/>
      <c r="BA831" s="69"/>
      <c r="BB831" s="69"/>
      <c r="BC831" s="69"/>
    </row>
    <row r="832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71"/>
      <c r="L832" s="69"/>
      <c r="M832" s="69"/>
      <c r="N832" s="72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69"/>
      <c r="AJ832" s="69"/>
      <c r="AK832" s="69"/>
      <c r="AL832" s="69"/>
      <c r="AM832" s="69"/>
      <c r="AN832" s="69"/>
      <c r="AO832" s="69"/>
      <c r="AP832" s="69"/>
      <c r="AQ832" s="69"/>
      <c r="AR832" s="69"/>
      <c r="AS832" s="69"/>
      <c r="AT832" s="69"/>
      <c r="AU832" s="69"/>
      <c r="AV832" s="69"/>
      <c r="AW832" s="69"/>
      <c r="AX832" s="69"/>
      <c r="AY832" s="69"/>
      <c r="AZ832" s="69"/>
      <c r="BA832" s="69"/>
      <c r="BB832" s="69"/>
      <c r="BC832" s="69"/>
    </row>
    <row r="833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71"/>
      <c r="L833" s="69"/>
      <c r="M833" s="69"/>
      <c r="N833" s="72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  <c r="AK833" s="69"/>
      <c r="AL833" s="69"/>
      <c r="AM833" s="69"/>
      <c r="AN833" s="69"/>
      <c r="AO833" s="69"/>
      <c r="AP833" s="69"/>
      <c r="AQ833" s="69"/>
      <c r="AR833" s="69"/>
      <c r="AS833" s="69"/>
      <c r="AT833" s="69"/>
      <c r="AU833" s="69"/>
      <c r="AV833" s="69"/>
      <c r="AW833" s="69"/>
      <c r="AX833" s="69"/>
      <c r="AY833" s="69"/>
      <c r="AZ833" s="69"/>
      <c r="BA833" s="69"/>
      <c r="BB833" s="69"/>
      <c r="BC833" s="69"/>
    </row>
    <row r="834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71"/>
      <c r="L834" s="69"/>
      <c r="M834" s="69"/>
      <c r="N834" s="72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69"/>
      <c r="AJ834" s="69"/>
      <c r="AK834" s="69"/>
      <c r="AL834" s="69"/>
      <c r="AM834" s="69"/>
      <c r="AN834" s="69"/>
      <c r="AO834" s="69"/>
      <c r="AP834" s="69"/>
      <c r="AQ834" s="69"/>
      <c r="AR834" s="69"/>
      <c r="AS834" s="69"/>
      <c r="AT834" s="69"/>
      <c r="AU834" s="69"/>
      <c r="AV834" s="69"/>
      <c r="AW834" s="69"/>
      <c r="AX834" s="69"/>
      <c r="AY834" s="69"/>
      <c r="AZ834" s="69"/>
      <c r="BA834" s="69"/>
      <c r="BB834" s="69"/>
      <c r="BC834" s="69"/>
    </row>
    <row r="83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71"/>
      <c r="L835" s="69"/>
      <c r="M835" s="69"/>
      <c r="N835" s="72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69"/>
      <c r="AJ835" s="69"/>
      <c r="AK835" s="69"/>
      <c r="AL835" s="69"/>
      <c r="AM835" s="69"/>
      <c r="AN835" s="69"/>
      <c r="AO835" s="69"/>
      <c r="AP835" s="69"/>
      <c r="AQ835" s="69"/>
      <c r="AR835" s="69"/>
      <c r="AS835" s="69"/>
      <c r="AT835" s="69"/>
      <c r="AU835" s="69"/>
      <c r="AV835" s="69"/>
      <c r="AW835" s="69"/>
      <c r="AX835" s="69"/>
      <c r="AY835" s="69"/>
      <c r="AZ835" s="69"/>
      <c r="BA835" s="69"/>
      <c r="BB835" s="69"/>
      <c r="BC835" s="69"/>
    </row>
    <row r="836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71"/>
      <c r="L836" s="69"/>
      <c r="M836" s="69"/>
      <c r="N836" s="72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69"/>
      <c r="AJ836" s="69"/>
      <c r="AK836" s="69"/>
      <c r="AL836" s="69"/>
      <c r="AM836" s="69"/>
      <c r="AN836" s="69"/>
      <c r="AO836" s="69"/>
      <c r="AP836" s="69"/>
      <c r="AQ836" s="69"/>
      <c r="AR836" s="69"/>
      <c r="AS836" s="69"/>
      <c r="AT836" s="69"/>
      <c r="AU836" s="69"/>
      <c r="AV836" s="69"/>
      <c r="AW836" s="69"/>
      <c r="AX836" s="69"/>
      <c r="AY836" s="69"/>
      <c r="AZ836" s="69"/>
      <c r="BA836" s="69"/>
      <c r="BB836" s="69"/>
      <c r="BC836" s="69"/>
    </row>
    <row r="837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71"/>
      <c r="L837" s="69"/>
      <c r="M837" s="69"/>
      <c r="N837" s="72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69"/>
      <c r="AJ837" s="69"/>
      <c r="AK837" s="69"/>
      <c r="AL837" s="69"/>
      <c r="AM837" s="69"/>
      <c r="AN837" s="69"/>
      <c r="AO837" s="69"/>
      <c r="AP837" s="69"/>
      <c r="AQ837" s="69"/>
      <c r="AR837" s="69"/>
      <c r="AS837" s="69"/>
      <c r="AT837" s="69"/>
      <c r="AU837" s="69"/>
      <c r="AV837" s="69"/>
      <c r="AW837" s="69"/>
      <c r="AX837" s="69"/>
      <c r="AY837" s="69"/>
      <c r="AZ837" s="69"/>
      <c r="BA837" s="69"/>
      <c r="BB837" s="69"/>
      <c r="BC837" s="69"/>
    </row>
    <row r="838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71"/>
      <c r="L838" s="69"/>
      <c r="M838" s="69"/>
      <c r="N838" s="72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69"/>
      <c r="AJ838" s="69"/>
      <c r="AK838" s="69"/>
      <c r="AL838" s="69"/>
      <c r="AM838" s="69"/>
      <c r="AN838" s="69"/>
      <c r="AO838" s="69"/>
      <c r="AP838" s="69"/>
      <c r="AQ838" s="69"/>
      <c r="AR838" s="69"/>
      <c r="AS838" s="69"/>
      <c r="AT838" s="69"/>
      <c r="AU838" s="69"/>
      <c r="AV838" s="69"/>
      <c r="AW838" s="69"/>
      <c r="AX838" s="69"/>
      <c r="AY838" s="69"/>
      <c r="AZ838" s="69"/>
      <c r="BA838" s="69"/>
      <c r="BB838" s="69"/>
      <c r="BC838" s="69"/>
    </row>
    <row r="839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71"/>
      <c r="L839" s="69"/>
      <c r="M839" s="69"/>
      <c r="N839" s="72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  <c r="AK839" s="69"/>
      <c r="AL839" s="69"/>
      <c r="AM839" s="69"/>
      <c r="AN839" s="69"/>
      <c r="AO839" s="69"/>
      <c r="AP839" s="69"/>
      <c r="AQ839" s="69"/>
      <c r="AR839" s="69"/>
      <c r="AS839" s="69"/>
      <c r="AT839" s="69"/>
      <c r="AU839" s="69"/>
      <c r="AV839" s="69"/>
      <c r="AW839" s="69"/>
      <c r="AX839" s="69"/>
      <c r="AY839" s="69"/>
      <c r="AZ839" s="69"/>
      <c r="BA839" s="69"/>
      <c r="BB839" s="69"/>
      <c r="BC839" s="69"/>
    </row>
    <row r="840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71"/>
      <c r="L840" s="69"/>
      <c r="M840" s="69"/>
      <c r="N840" s="72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69"/>
      <c r="AJ840" s="69"/>
      <c r="AK840" s="69"/>
      <c r="AL840" s="69"/>
      <c r="AM840" s="69"/>
      <c r="AN840" s="69"/>
      <c r="AO840" s="69"/>
      <c r="AP840" s="69"/>
      <c r="AQ840" s="69"/>
      <c r="AR840" s="69"/>
      <c r="AS840" s="69"/>
      <c r="AT840" s="69"/>
      <c r="AU840" s="69"/>
      <c r="AV840" s="69"/>
      <c r="AW840" s="69"/>
      <c r="AX840" s="69"/>
      <c r="AY840" s="69"/>
      <c r="AZ840" s="69"/>
      <c r="BA840" s="69"/>
      <c r="BB840" s="69"/>
      <c r="BC840" s="69"/>
    </row>
    <row r="84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71"/>
      <c r="L841" s="69"/>
      <c r="M841" s="69"/>
      <c r="N841" s="72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  <c r="AK841" s="69"/>
      <c r="AL841" s="69"/>
      <c r="AM841" s="69"/>
      <c r="AN841" s="69"/>
      <c r="AO841" s="69"/>
      <c r="AP841" s="69"/>
      <c r="AQ841" s="69"/>
      <c r="AR841" s="69"/>
      <c r="AS841" s="69"/>
      <c r="AT841" s="69"/>
      <c r="AU841" s="69"/>
      <c r="AV841" s="69"/>
      <c r="AW841" s="69"/>
      <c r="AX841" s="69"/>
      <c r="AY841" s="69"/>
      <c r="AZ841" s="69"/>
      <c r="BA841" s="69"/>
      <c r="BB841" s="69"/>
      <c r="BC841" s="69"/>
    </row>
    <row r="842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71"/>
      <c r="L842" s="69"/>
      <c r="M842" s="69"/>
      <c r="N842" s="72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69"/>
      <c r="AJ842" s="69"/>
      <c r="AK842" s="69"/>
      <c r="AL842" s="69"/>
      <c r="AM842" s="69"/>
      <c r="AN842" s="69"/>
      <c r="AO842" s="69"/>
      <c r="AP842" s="69"/>
      <c r="AQ842" s="69"/>
      <c r="AR842" s="69"/>
      <c r="AS842" s="69"/>
      <c r="AT842" s="69"/>
      <c r="AU842" s="69"/>
      <c r="AV842" s="69"/>
      <c r="AW842" s="69"/>
      <c r="AX842" s="69"/>
      <c r="AY842" s="69"/>
      <c r="AZ842" s="69"/>
      <c r="BA842" s="69"/>
      <c r="BB842" s="69"/>
      <c r="BC842" s="69"/>
    </row>
    <row r="843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71"/>
      <c r="L843" s="69"/>
      <c r="M843" s="69"/>
      <c r="N843" s="72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69"/>
      <c r="AJ843" s="69"/>
      <c r="AK843" s="69"/>
      <c r="AL843" s="69"/>
      <c r="AM843" s="69"/>
      <c r="AN843" s="69"/>
      <c r="AO843" s="69"/>
      <c r="AP843" s="69"/>
      <c r="AQ843" s="69"/>
      <c r="AR843" s="69"/>
      <c r="AS843" s="69"/>
      <c r="AT843" s="69"/>
      <c r="AU843" s="69"/>
      <c r="AV843" s="69"/>
      <c r="AW843" s="69"/>
      <c r="AX843" s="69"/>
      <c r="AY843" s="69"/>
      <c r="AZ843" s="69"/>
      <c r="BA843" s="69"/>
      <c r="BB843" s="69"/>
      <c r="BC843" s="69"/>
    </row>
    <row r="844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71"/>
      <c r="L844" s="69"/>
      <c r="M844" s="69"/>
      <c r="N844" s="72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69"/>
      <c r="AJ844" s="69"/>
      <c r="AK844" s="69"/>
      <c r="AL844" s="69"/>
      <c r="AM844" s="69"/>
      <c r="AN844" s="69"/>
      <c r="AO844" s="69"/>
      <c r="AP844" s="69"/>
      <c r="AQ844" s="69"/>
      <c r="AR844" s="69"/>
      <c r="AS844" s="69"/>
      <c r="AT844" s="69"/>
      <c r="AU844" s="69"/>
      <c r="AV844" s="69"/>
      <c r="AW844" s="69"/>
      <c r="AX844" s="69"/>
      <c r="AY844" s="69"/>
      <c r="AZ844" s="69"/>
      <c r="BA844" s="69"/>
      <c r="BB844" s="69"/>
      <c r="BC844" s="69"/>
    </row>
    <row r="84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71"/>
      <c r="L845" s="69"/>
      <c r="M845" s="69"/>
      <c r="N845" s="72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  <c r="AK845" s="69"/>
      <c r="AL845" s="69"/>
      <c r="AM845" s="69"/>
      <c r="AN845" s="69"/>
      <c r="AO845" s="69"/>
      <c r="AP845" s="69"/>
      <c r="AQ845" s="69"/>
      <c r="AR845" s="69"/>
      <c r="AS845" s="69"/>
      <c r="AT845" s="69"/>
      <c r="AU845" s="69"/>
      <c r="AV845" s="69"/>
      <c r="AW845" s="69"/>
      <c r="AX845" s="69"/>
      <c r="AY845" s="69"/>
      <c r="AZ845" s="69"/>
      <c r="BA845" s="69"/>
      <c r="BB845" s="69"/>
      <c r="BC845" s="69"/>
    </row>
    <row r="846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71"/>
      <c r="L846" s="69"/>
      <c r="M846" s="69"/>
      <c r="N846" s="72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69"/>
      <c r="AJ846" s="69"/>
      <c r="AK846" s="69"/>
      <c r="AL846" s="69"/>
      <c r="AM846" s="69"/>
      <c r="AN846" s="69"/>
      <c r="AO846" s="69"/>
      <c r="AP846" s="69"/>
      <c r="AQ846" s="69"/>
      <c r="AR846" s="69"/>
      <c r="AS846" s="69"/>
      <c r="AT846" s="69"/>
      <c r="AU846" s="69"/>
      <c r="AV846" s="69"/>
      <c r="AW846" s="69"/>
      <c r="AX846" s="69"/>
      <c r="AY846" s="69"/>
      <c r="AZ846" s="69"/>
      <c r="BA846" s="69"/>
      <c r="BB846" s="69"/>
      <c r="BC846" s="69"/>
    </row>
    <row r="847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71"/>
      <c r="L847" s="69"/>
      <c r="M847" s="69"/>
      <c r="N847" s="72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  <c r="AK847" s="69"/>
      <c r="AL847" s="69"/>
      <c r="AM847" s="69"/>
      <c r="AN847" s="69"/>
      <c r="AO847" s="69"/>
      <c r="AP847" s="69"/>
      <c r="AQ847" s="69"/>
      <c r="AR847" s="69"/>
      <c r="AS847" s="69"/>
      <c r="AT847" s="69"/>
      <c r="AU847" s="69"/>
      <c r="AV847" s="69"/>
      <c r="AW847" s="69"/>
      <c r="AX847" s="69"/>
      <c r="AY847" s="69"/>
      <c r="AZ847" s="69"/>
      <c r="BA847" s="69"/>
      <c r="BB847" s="69"/>
      <c r="BC847" s="69"/>
    </row>
    <row r="848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71"/>
      <c r="L848" s="69"/>
      <c r="M848" s="69"/>
      <c r="N848" s="72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69"/>
      <c r="AJ848" s="69"/>
      <c r="AK848" s="69"/>
      <c r="AL848" s="69"/>
      <c r="AM848" s="69"/>
      <c r="AN848" s="69"/>
      <c r="AO848" s="69"/>
      <c r="AP848" s="69"/>
      <c r="AQ848" s="69"/>
      <c r="AR848" s="69"/>
      <c r="AS848" s="69"/>
      <c r="AT848" s="69"/>
      <c r="AU848" s="69"/>
      <c r="AV848" s="69"/>
      <c r="AW848" s="69"/>
      <c r="AX848" s="69"/>
      <c r="AY848" s="69"/>
      <c r="AZ848" s="69"/>
      <c r="BA848" s="69"/>
      <c r="BB848" s="69"/>
      <c r="BC848" s="69"/>
    </row>
    <row r="849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71"/>
      <c r="L849" s="69"/>
      <c r="M849" s="69"/>
      <c r="N849" s="72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  <c r="AK849" s="69"/>
      <c r="AL849" s="69"/>
      <c r="AM849" s="69"/>
      <c r="AN849" s="69"/>
      <c r="AO849" s="69"/>
      <c r="AP849" s="69"/>
      <c r="AQ849" s="69"/>
      <c r="AR849" s="69"/>
      <c r="AS849" s="69"/>
      <c r="AT849" s="69"/>
      <c r="AU849" s="69"/>
      <c r="AV849" s="69"/>
      <c r="AW849" s="69"/>
      <c r="AX849" s="69"/>
      <c r="AY849" s="69"/>
      <c r="AZ849" s="69"/>
      <c r="BA849" s="69"/>
      <c r="BB849" s="69"/>
      <c r="BC849" s="69"/>
    </row>
    <row r="850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71"/>
      <c r="L850" s="69"/>
      <c r="M850" s="69"/>
      <c r="N850" s="72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69"/>
      <c r="AJ850" s="69"/>
      <c r="AK850" s="69"/>
      <c r="AL850" s="69"/>
      <c r="AM850" s="69"/>
      <c r="AN850" s="69"/>
      <c r="AO850" s="69"/>
      <c r="AP850" s="69"/>
      <c r="AQ850" s="69"/>
      <c r="AR850" s="69"/>
      <c r="AS850" s="69"/>
      <c r="AT850" s="69"/>
      <c r="AU850" s="69"/>
      <c r="AV850" s="69"/>
      <c r="AW850" s="69"/>
      <c r="AX850" s="69"/>
      <c r="AY850" s="69"/>
      <c r="AZ850" s="69"/>
      <c r="BA850" s="69"/>
      <c r="BB850" s="69"/>
      <c r="BC850" s="69"/>
    </row>
    <row r="85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71"/>
      <c r="L851" s="69"/>
      <c r="M851" s="69"/>
      <c r="N851" s="72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69"/>
      <c r="AJ851" s="69"/>
      <c r="AK851" s="69"/>
      <c r="AL851" s="69"/>
      <c r="AM851" s="69"/>
      <c r="AN851" s="69"/>
      <c r="AO851" s="69"/>
      <c r="AP851" s="69"/>
      <c r="AQ851" s="69"/>
      <c r="AR851" s="69"/>
      <c r="AS851" s="69"/>
      <c r="AT851" s="69"/>
      <c r="AU851" s="69"/>
      <c r="AV851" s="69"/>
      <c r="AW851" s="69"/>
      <c r="AX851" s="69"/>
      <c r="AY851" s="69"/>
      <c r="AZ851" s="69"/>
      <c r="BA851" s="69"/>
      <c r="BB851" s="69"/>
      <c r="BC851" s="69"/>
    </row>
    <row r="852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71"/>
      <c r="L852" s="69"/>
      <c r="M852" s="69"/>
      <c r="N852" s="72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69"/>
      <c r="AJ852" s="69"/>
      <c r="AK852" s="69"/>
      <c r="AL852" s="69"/>
      <c r="AM852" s="69"/>
      <c r="AN852" s="69"/>
      <c r="AO852" s="69"/>
      <c r="AP852" s="69"/>
      <c r="AQ852" s="69"/>
      <c r="AR852" s="69"/>
      <c r="AS852" s="69"/>
      <c r="AT852" s="69"/>
      <c r="AU852" s="69"/>
      <c r="AV852" s="69"/>
      <c r="AW852" s="69"/>
      <c r="AX852" s="69"/>
      <c r="AY852" s="69"/>
      <c r="AZ852" s="69"/>
      <c r="BA852" s="69"/>
      <c r="BB852" s="69"/>
      <c r="BC852" s="69"/>
    </row>
    <row r="853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71"/>
      <c r="L853" s="69"/>
      <c r="M853" s="69"/>
      <c r="N853" s="72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  <c r="AK853" s="69"/>
      <c r="AL853" s="69"/>
      <c r="AM853" s="69"/>
      <c r="AN853" s="69"/>
      <c r="AO853" s="69"/>
      <c r="AP853" s="69"/>
      <c r="AQ853" s="69"/>
      <c r="AR853" s="69"/>
      <c r="AS853" s="69"/>
      <c r="AT853" s="69"/>
      <c r="AU853" s="69"/>
      <c r="AV853" s="69"/>
      <c r="AW853" s="69"/>
      <c r="AX853" s="69"/>
      <c r="AY853" s="69"/>
      <c r="AZ853" s="69"/>
      <c r="BA853" s="69"/>
      <c r="BB853" s="69"/>
      <c r="BC853" s="69"/>
    </row>
    <row r="854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71"/>
      <c r="L854" s="69"/>
      <c r="M854" s="69"/>
      <c r="N854" s="72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  <c r="AK854" s="69"/>
      <c r="AL854" s="69"/>
      <c r="AM854" s="69"/>
      <c r="AN854" s="69"/>
      <c r="AO854" s="69"/>
      <c r="AP854" s="69"/>
      <c r="AQ854" s="69"/>
      <c r="AR854" s="69"/>
      <c r="AS854" s="69"/>
      <c r="AT854" s="69"/>
      <c r="AU854" s="69"/>
      <c r="AV854" s="69"/>
      <c r="AW854" s="69"/>
      <c r="AX854" s="69"/>
      <c r="AY854" s="69"/>
      <c r="AZ854" s="69"/>
      <c r="BA854" s="69"/>
      <c r="BB854" s="69"/>
      <c r="BC854" s="69"/>
    </row>
    <row r="85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71"/>
      <c r="L855" s="69"/>
      <c r="M855" s="69"/>
      <c r="N855" s="72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69"/>
      <c r="AJ855" s="69"/>
      <c r="AK855" s="69"/>
      <c r="AL855" s="69"/>
      <c r="AM855" s="69"/>
      <c r="AN855" s="69"/>
      <c r="AO855" s="69"/>
      <c r="AP855" s="69"/>
      <c r="AQ855" s="69"/>
      <c r="AR855" s="69"/>
      <c r="AS855" s="69"/>
      <c r="AT855" s="69"/>
      <c r="AU855" s="69"/>
      <c r="AV855" s="69"/>
      <c r="AW855" s="69"/>
      <c r="AX855" s="69"/>
      <c r="AY855" s="69"/>
      <c r="AZ855" s="69"/>
      <c r="BA855" s="69"/>
      <c r="BB855" s="69"/>
      <c r="BC855" s="69"/>
    </row>
    <row r="856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71"/>
      <c r="L856" s="69"/>
      <c r="M856" s="69"/>
      <c r="N856" s="72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  <c r="AW856" s="69"/>
      <c r="AX856" s="69"/>
      <c r="AY856" s="69"/>
      <c r="AZ856" s="69"/>
      <c r="BA856" s="69"/>
      <c r="BB856" s="69"/>
      <c r="BC856" s="69"/>
    </row>
    <row r="857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71"/>
      <c r="L857" s="69"/>
      <c r="M857" s="69"/>
      <c r="N857" s="72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69"/>
      <c r="AJ857" s="69"/>
      <c r="AK857" s="69"/>
      <c r="AL857" s="69"/>
      <c r="AM857" s="69"/>
      <c r="AN857" s="69"/>
      <c r="AO857" s="69"/>
      <c r="AP857" s="69"/>
      <c r="AQ857" s="69"/>
      <c r="AR857" s="69"/>
      <c r="AS857" s="69"/>
      <c r="AT857" s="69"/>
      <c r="AU857" s="69"/>
      <c r="AV857" s="69"/>
      <c r="AW857" s="69"/>
      <c r="AX857" s="69"/>
      <c r="AY857" s="69"/>
      <c r="AZ857" s="69"/>
      <c r="BA857" s="69"/>
      <c r="BB857" s="69"/>
      <c r="BC857" s="69"/>
    </row>
    <row r="858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71"/>
      <c r="L858" s="69"/>
      <c r="M858" s="69"/>
      <c r="N858" s="72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69"/>
      <c r="AJ858" s="69"/>
      <c r="AK858" s="69"/>
      <c r="AL858" s="69"/>
      <c r="AM858" s="69"/>
      <c r="AN858" s="69"/>
      <c r="AO858" s="69"/>
      <c r="AP858" s="69"/>
      <c r="AQ858" s="69"/>
      <c r="AR858" s="69"/>
      <c r="AS858" s="69"/>
      <c r="AT858" s="69"/>
      <c r="AU858" s="69"/>
      <c r="AV858" s="69"/>
      <c r="AW858" s="69"/>
      <c r="AX858" s="69"/>
      <c r="AY858" s="69"/>
      <c r="AZ858" s="69"/>
      <c r="BA858" s="69"/>
      <c r="BB858" s="69"/>
      <c r="BC858" s="69"/>
    </row>
    <row r="859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71"/>
      <c r="L859" s="69"/>
      <c r="M859" s="69"/>
      <c r="N859" s="72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69"/>
      <c r="AJ859" s="69"/>
      <c r="AK859" s="69"/>
      <c r="AL859" s="69"/>
      <c r="AM859" s="69"/>
      <c r="AN859" s="69"/>
      <c r="AO859" s="69"/>
      <c r="AP859" s="69"/>
      <c r="AQ859" s="69"/>
      <c r="AR859" s="69"/>
      <c r="AS859" s="69"/>
      <c r="AT859" s="69"/>
      <c r="AU859" s="69"/>
      <c r="AV859" s="69"/>
      <c r="AW859" s="69"/>
      <c r="AX859" s="69"/>
      <c r="AY859" s="69"/>
      <c r="AZ859" s="69"/>
      <c r="BA859" s="69"/>
      <c r="BB859" s="69"/>
      <c r="BC859" s="69"/>
    </row>
    <row r="860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71"/>
      <c r="L860" s="69"/>
      <c r="M860" s="69"/>
      <c r="N860" s="72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/>
      <c r="AJ860" s="69"/>
      <c r="AK860" s="69"/>
      <c r="AL860" s="69"/>
      <c r="AM860" s="69"/>
      <c r="AN860" s="69"/>
      <c r="AO860" s="69"/>
      <c r="AP860" s="69"/>
      <c r="AQ860" s="69"/>
      <c r="AR860" s="69"/>
      <c r="AS860" s="69"/>
      <c r="AT860" s="69"/>
      <c r="AU860" s="69"/>
      <c r="AV860" s="69"/>
      <c r="AW860" s="69"/>
      <c r="AX860" s="69"/>
      <c r="AY860" s="69"/>
      <c r="AZ860" s="69"/>
      <c r="BA860" s="69"/>
      <c r="BB860" s="69"/>
      <c r="BC860" s="69"/>
    </row>
    <row r="86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71"/>
      <c r="L861" s="69"/>
      <c r="M861" s="69"/>
      <c r="N861" s="72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/>
      <c r="AJ861" s="69"/>
      <c r="AK861" s="69"/>
      <c r="AL861" s="69"/>
      <c r="AM861" s="69"/>
      <c r="AN861" s="69"/>
      <c r="AO861" s="69"/>
      <c r="AP861" s="69"/>
      <c r="AQ861" s="69"/>
      <c r="AR861" s="69"/>
      <c r="AS861" s="69"/>
      <c r="AT861" s="69"/>
      <c r="AU861" s="69"/>
      <c r="AV861" s="69"/>
      <c r="AW861" s="69"/>
      <c r="AX861" s="69"/>
      <c r="AY861" s="69"/>
      <c r="AZ861" s="69"/>
      <c r="BA861" s="69"/>
      <c r="BB861" s="69"/>
      <c r="BC861" s="69"/>
    </row>
    <row r="862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71"/>
      <c r="L862" s="69"/>
      <c r="M862" s="69"/>
      <c r="N862" s="72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/>
      <c r="AJ862" s="69"/>
      <c r="AK862" s="69"/>
      <c r="AL862" s="69"/>
      <c r="AM862" s="69"/>
      <c r="AN862" s="69"/>
      <c r="AO862" s="69"/>
      <c r="AP862" s="69"/>
      <c r="AQ862" s="69"/>
      <c r="AR862" s="69"/>
      <c r="AS862" s="69"/>
      <c r="AT862" s="69"/>
      <c r="AU862" s="69"/>
      <c r="AV862" s="69"/>
      <c r="AW862" s="69"/>
      <c r="AX862" s="69"/>
      <c r="AY862" s="69"/>
      <c r="AZ862" s="69"/>
      <c r="BA862" s="69"/>
      <c r="BB862" s="69"/>
      <c r="BC862" s="69"/>
    </row>
    <row r="863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71"/>
      <c r="L863" s="69"/>
      <c r="M863" s="69"/>
      <c r="N863" s="72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/>
      <c r="AJ863" s="69"/>
      <c r="AK863" s="69"/>
      <c r="AL863" s="69"/>
      <c r="AM863" s="69"/>
      <c r="AN863" s="69"/>
      <c r="AO863" s="69"/>
      <c r="AP863" s="69"/>
      <c r="AQ863" s="69"/>
      <c r="AR863" s="69"/>
      <c r="AS863" s="69"/>
      <c r="AT863" s="69"/>
      <c r="AU863" s="69"/>
      <c r="AV863" s="69"/>
      <c r="AW863" s="69"/>
      <c r="AX863" s="69"/>
      <c r="AY863" s="69"/>
      <c r="AZ863" s="69"/>
      <c r="BA863" s="69"/>
      <c r="BB863" s="69"/>
      <c r="BC863" s="69"/>
    </row>
    <row r="864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71"/>
      <c r="L864" s="69"/>
      <c r="M864" s="69"/>
      <c r="N864" s="72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69"/>
      <c r="AJ864" s="69"/>
      <c r="AK864" s="69"/>
      <c r="AL864" s="69"/>
      <c r="AM864" s="69"/>
      <c r="AN864" s="69"/>
      <c r="AO864" s="69"/>
      <c r="AP864" s="69"/>
      <c r="AQ864" s="69"/>
      <c r="AR864" s="69"/>
      <c r="AS864" s="69"/>
      <c r="AT864" s="69"/>
      <c r="AU864" s="69"/>
      <c r="AV864" s="69"/>
      <c r="AW864" s="69"/>
      <c r="AX864" s="69"/>
      <c r="AY864" s="69"/>
      <c r="AZ864" s="69"/>
      <c r="BA864" s="69"/>
      <c r="BB864" s="69"/>
      <c r="BC864" s="69"/>
    </row>
    <row r="86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71"/>
      <c r="L865" s="69"/>
      <c r="M865" s="69"/>
      <c r="N865" s="72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69"/>
      <c r="AJ865" s="69"/>
      <c r="AK865" s="69"/>
      <c r="AL865" s="69"/>
      <c r="AM865" s="69"/>
      <c r="AN865" s="69"/>
      <c r="AO865" s="69"/>
      <c r="AP865" s="69"/>
      <c r="AQ865" s="69"/>
      <c r="AR865" s="69"/>
      <c r="AS865" s="69"/>
      <c r="AT865" s="69"/>
      <c r="AU865" s="69"/>
      <c r="AV865" s="69"/>
      <c r="AW865" s="69"/>
      <c r="AX865" s="69"/>
      <c r="AY865" s="69"/>
      <c r="AZ865" s="69"/>
      <c r="BA865" s="69"/>
      <c r="BB865" s="69"/>
      <c r="BC865" s="69"/>
    </row>
    <row r="866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71"/>
      <c r="L866" s="69"/>
      <c r="M866" s="69"/>
      <c r="N866" s="72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69"/>
      <c r="AJ866" s="69"/>
      <c r="AK866" s="69"/>
      <c r="AL866" s="69"/>
      <c r="AM866" s="69"/>
      <c r="AN866" s="69"/>
      <c r="AO866" s="69"/>
      <c r="AP866" s="69"/>
      <c r="AQ866" s="69"/>
      <c r="AR866" s="69"/>
      <c r="AS866" s="69"/>
      <c r="AT866" s="69"/>
      <c r="AU866" s="69"/>
      <c r="AV866" s="69"/>
      <c r="AW866" s="69"/>
      <c r="AX866" s="69"/>
      <c r="AY866" s="69"/>
      <c r="AZ866" s="69"/>
      <c r="BA866" s="69"/>
      <c r="BB866" s="69"/>
      <c r="BC866" s="69"/>
    </row>
    <row r="867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71"/>
      <c r="L867" s="69"/>
      <c r="M867" s="69"/>
      <c r="N867" s="72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69"/>
      <c r="AJ867" s="69"/>
      <c r="AK867" s="69"/>
      <c r="AL867" s="69"/>
      <c r="AM867" s="69"/>
      <c r="AN867" s="69"/>
      <c r="AO867" s="69"/>
      <c r="AP867" s="69"/>
      <c r="AQ867" s="69"/>
      <c r="AR867" s="69"/>
      <c r="AS867" s="69"/>
      <c r="AT867" s="69"/>
      <c r="AU867" s="69"/>
      <c r="AV867" s="69"/>
      <c r="AW867" s="69"/>
      <c r="AX867" s="69"/>
      <c r="AY867" s="69"/>
      <c r="AZ867" s="69"/>
      <c r="BA867" s="69"/>
      <c r="BB867" s="69"/>
      <c r="BC867" s="69"/>
    </row>
    <row r="868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71"/>
      <c r="L868" s="69"/>
      <c r="M868" s="69"/>
      <c r="N868" s="72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69"/>
      <c r="AJ868" s="69"/>
      <c r="AK868" s="69"/>
      <c r="AL868" s="69"/>
      <c r="AM868" s="69"/>
      <c r="AN868" s="69"/>
      <c r="AO868" s="69"/>
      <c r="AP868" s="69"/>
      <c r="AQ868" s="69"/>
      <c r="AR868" s="69"/>
      <c r="AS868" s="69"/>
      <c r="AT868" s="69"/>
      <c r="AU868" s="69"/>
      <c r="AV868" s="69"/>
      <c r="AW868" s="69"/>
      <c r="AX868" s="69"/>
      <c r="AY868" s="69"/>
      <c r="AZ868" s="69"/>
      <c r="BA868" s="69"/>
      <c r="BB868" s="69"/>
      <c r="BC868" s="69"/>
    </row>
    <row r="869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71"/>
      <c r="L869" s="69"/>
      <c r="M869" s="69"/>
      <c r="N869" s="72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  <c r="AK869" s="69"/>
      <c r="AL869" s="69"/>
      <c r="AM869" s="69"/>
      <c r="AN869" s="69"/>
      <c r="AO869" s="69"/>
      <c r="AP869" s="69"/>
      <c r="AQ869" s="69"/>
      <c r="AR869" s="69"/>
      <c r="AS869" s="69"/>
      <c r="AT869" s="69"/>
      <c r="AU869" s="69"/>
      <c r="AV869" s="69"/>
      <c r="AW869" s="69"/>
      <c r="AX869" s="69"/>
      <c r="AY869" s="69"/>
      <c r="AZ869" s="69"/>
      <c r="BA869" s="69"/>
      <c r="BB869" s="69"/>
      <c r="BC869" s="69"/>
    </row>
    <row r="870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71"/>
      <c r="L870" s="69"/>
      <c r="M870" s="69"/>
      <c r="N870" s="72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69"/>
      <c r="AJ870" s="69"/>
      <c r="AK870" s="69"/>
      <c r="AL870" s="69"/>
      <c r="AM870" s="69"/>
      <c r="AN870" s="69"/>
      <c r="AO870" s="69"/>
      <c r="AP870" s="69"/>
      <c r="AQ870" s="69"/>
      <c r="AR870" s="69"/>
      <c r="AS870" s="69"/>
      <c r="AT870" s="69"/>
      <c r="AU870" s="69"/>
      <c r="AV870" s="69"/>
      <c r="AW870" s="69"/>
      <c r="AX870" s="69"/>
      <c r="AY870" s="69"/>
      <c r="AZ870" s="69"/>
      <c r="BA870" s="69"/>
      <c r="BB870" s="69"/>
      <c r="BC870" s="69"/>
    </row>
    <row r="87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71"/>
      <c r="L871" s="69"/>
      <c r="M871" s="69"/>
      <c r="N871" s="72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  <c r="AK871" s="69"/>
      <c r="AL871" s="69"/>
      <c r="AM871" s="69"/>
      <c r="AN871" s="69"/>
      <c r="AO871" s="69"/>
      <c r="AP871" s="69"/>
      <c r="AQ871" s="69"/>
      <c r="AR871" s="69"/>
      <c r="AS871" s="69"/>
      <c r="AT871" s="69"/>
      <c r="AU871" s="69"/>
      <c r="AV871" s="69"/>
      <c r="AW871" s="69"/>
      <c r="AX871" s="69"/>
      <c r="AY871" s="69"/>
      <c r="AZ871" s="69"/>
      <c r="BA871" s="69"/>
      <c r="BB871" s="69"/>
      <c r="BC871" s="69"/>
    </row>
    <row r="872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71"/>
      <c r="L872" s="69"/>
      <c r="M872" s="69"/>
      <c r="N872" s="72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  <c r="AK872" s="69"/>
      <c r="AL872" s="69"/>
      <c r="AM872" s="69"/>
      <c r="AN872" s="69"/>
      <c r="AO872" s="69"/>
      <c r="AP872" s="69"/>
      <c r="AQ872" s="69"/>
      <c r="AR872" s="69"/>
      <c r="AS872" s="69"/>
      <c r="AT872" s="69"/>
      <c r="AU872" s="69"/>
      <c r="AV872" s="69"/>
      <c r="AW872" s="69"/>
      <c r="AX872" s="69"/>
      <c r="AY872" s="69"/>
      <c r="AZ872" s="69"/>
      <c r="BA872" s="69"/>
      <c r="BB872" s="69"/>
      <c r="BC872" s="69"/>
    </row>
    <row r="873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71"/>
      <c r="L873" s="69"/>
      <c r="M873" s="69"/>
      <c r="N873" s="72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69"/>
      <c r="AR873" s="69"/>
      <c r="AS873" s="69"/>
      <c r="AT873" s="69"/>
      <c r="AU873" s="69"/>
      <c r="AV873" s="69"/>
      <c r="AW873" s="69"/>
      <c r="AX873" s="69"/>
      <c r="AY873" s="69"/>
      <c r="AZ873" s="69"/>
      <c r="BA873" s="69"/>
      <c r="BB873" s="69"/>
      <c r="BC873" s="69"/>
    </row>
    <row r="874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71"/>
      <c r="L874" s="69"/>
      <c r="M874" s="69"/>
      <c r="N874" s="72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69"/>
      <c r="AJ874" s="69"/>
      <c r="AK874" s="69"/>
      <c r="AL874" s="69"/>
      <c r="AM874" s="69"/>
      <c r="AN874" s="69"/>
      <c r="AO874" s="69"/>
      <c r="AP874" s="69"/>
      <c r="AQ874" s="69"/>
      <c r="AR874" s="69"/>
      <c r="AS874" s="69"/>
      <c r="AT874" s="69"/>
      <c r="AU874" s="69"/>
      <c r="AV874" s="69"/>
      <c r="AW874" s="69"/>
      <c r="AX874" s="69"/>
      <c r="AY874" s="69"/>
      <c r="AZ874" s="69"/>
      <c r="BA874" s="69"/>
      <c r="BB874" s="69"/>
      <c r="BC874" s="69"/>
    </row>
    <row r="87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71"/>
      <c r="L875" s="69"/>
      <c r="M875" s="69"/>
      <c r="N875" s="72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69"/>
      <c r="AJ875" s="69"/>
      <c r="AK875" s="69"/>
      <c r="AL875" s="69"/>
      <c r="AM875" s="69"/>
      <c r="AN875" s="69"/>
      <c r="AO875" s="69"/>
      <c r="AP875" s="69"/>
      <c r="AQ875" s="69"/>
      <c r="AR875" s="69"/>
      <c r="AS875" s="69"/>
      <c r="AT875" s="69"/>
      <c r="AU875" s="69"/>
      <c r="AV875" s="69"/>
      <c r="AW875" s="69"/>
      <c r="AX875" s="69"/>
      <c r="AY875" s="69"/>
      <c r="AZ875" s="69"/>
      <c r="BA875" s="69"/>
      <c r="BB875" s="69"/>
      <c r="BC875" s="69"/>
    </row>
    <row r="876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71"/>
      <c r="L876" s="69"/>
      <c r="M876" s="69"/>
      <c r="N876" s="72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  <c r="AK876" s="69"/>
      <c r="AL876" s="69"/>
      <c r="AM876" s="69"/>
      <c r="AN876" s="69"/>
      <c r="AO876" s="69"/>
      <c r="AP876" s="69"/>
      <c r="AQ876" s="69"/>
      <c r="AR876" s="69"/>
      <c r="AS876" s="69"/>
      <c r="AT876" s="69"/>
      <c r="AU876" s="69"/>
      <c r="AV876" s="69"/>
      <c r="AW876" s="69"/>
      <c r="AX876" s="69"/>
      <c r="AY876" s="69"/>
      <c r="AZ876" s="69"/>
      <c r="BA876" s="69"/>
      <c r="BB876" s="69"/>
      <c r="BC876" s="69"/>
    </row>
    <row r="877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71"/>
      <c r="L877" s="69"/>
      <c r="M877" s="69"/>
      <c r="N877" s="72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  <c r="AK877" s="69"/>
      <c r="AL877" s="69"/>
      <c r="AM877" s="69"/>
      <c r="AN877" s="69"/>
      <c r="AO877" s="69"/>
      <c r="AP877" s="69"/>
      <c r="AQ877" s="69"/>
      <c r="AR877" s="69"/>
      <c r="AS877" s="69"/>
      <c r="AT877" s="69"/>
      <c r="AU877" s="69"/>
      <c r="AV877" s="69"/>
      <c r="AW877" s="69"/>
      <c r="AX877" s="69"/>
      <c r="AY877" s="69"/>
      <c r="AZ877" s="69"/>
      <c r="BA877" s="69"/>
      <c r="BB877" s="69"/>
      <c r="BC877" s="69"/>
    </row>
    <row r="878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71"/>
      <c r="L878" s="69"/>
      <c r="M878" s="69"/>
      <c r="N878" s="72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/>
      <c r="AJ878" s="69"/>
      <c r="AK878" s="69"/>
      <c r="AL878" s="69"/>
      <c r="AM878" s="69"/>
      <c r="AN878" s="69"/>
      <c r="AO878" s="69"/>
      <c r="AP878" s="69"/>
      <c r="AQ878" s="69"/>
      <c r="AR878" s="69"/>
      <c r="AS878" s="69"/>
      <c r="AT878" s="69"/>
      <c r="AU878" s="69"/>
      <c r="AV878" s="69"/>
      <c r="AW878" s="69"/>
      <c r="AX878" s="69"/>
      <c r="AY878" s="69"/>
      <c r="AZ878" s="69"/>
      <c r="BA878" s="69"/>
      <c r="BB878" s="69"/>
      <c r="BC878" s="69"/>
    </row>
    <row r="879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71"/>
      <c r="L879" s="69"/>
      <c r="M879" s="69"/>
      <c r="N879" s="72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  <c r="AK879" s="69"/>
      <c r="AL879" s="69"/>
      <c r="AM879" s="69"/>
      <c r="AN879" s="69"/>
      <c r="AO879" s="69"/>
      <c r="AP879" s="69"/>
      <c r="AQ879" s="69"/>
      <c r="AR879" s="69"/>
      <c r="AS879" s="69"/>
      <c r="AT879" s="69"/>
      <c r="AU879" s="69"/>
      <c r="AV879" s="69"/>
      <c r="AW879" s="69"/>
      <c r="AX879" s="69"/>
      <c r="AY879" s="69"/>
      <c r="AZ879" s="69"/>
      <c r="BA879" s="69"/>
      <c r="BB879" s="69"/>
      <c r="BC879" s="69"/>
    </row>
    <row r="880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71"/>
      <c r="L880" s="69"/>
      <c r="M880" s="69"/>
      <c r="N880" s="72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69"/>
      <c r="AJ880" s="69"/>
      <c r="AK880" s="69"/>
      <c r="AL880" s="69"/>
      <c r="AM880" s="69"/>
      <c r="AN880" s="69"/>
      <c r="AO880" s="69"/>
      <c r="AP880" s="69"/>
      <c r="AQ880" s="69"/>
      <c r="AR880" s="69"/>
      <c r="AS880" s="69"/>
      <c r="AT880" s="69"/>
      <c r="AU880" s="69"/>
      <c r="AV880" s="69"/>
      <c r="AW880" s="69"/>
      <c r="AX880" s="69"/>
      <c r="AY880" s="69"/>
      <c r="AZ880" s="69"/>
      <c r="BA880" s="69"/>
      <c r="BB880" s="69"/>
      <c r="BC880" s="69"/>
    </row>
    <row r="88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71"/>
      <c r="L881" s="69"/>
      <c r="M881" s="69"/>
      <c r="N881" s="72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69"/>
      <c r="AJ881" s="69"/>
      <c r="AK881" s="69"/>
      <c r="AL881" s="69"/>
      <c r="AM881" s="69"/>
      <c r="AN881" s="69"/>
      <c r="AO881" s="69"/>
      <c r="AP881" s="69"/>
      <c r="AQ881" s="69"/>
      <c r="AR881" s="69"/>
      <c r="AS881" s="69"/>
      <c r="AT881" s="69"/>
      <c r="AU881" s="69"/>
      <c r="AV881" s="69"/>
      <c r="AW881" s="69"/>
      <c r="AX881" s="69"/>
      <c r="AY881" s="69"/>
      <c r="AZ881" s="69"/>
      <c r="BA881" s="69"/>
      <c r="BB881" s="69"/>
      <c r="BC881" s="69"/>
    </row>
    <row r="882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71"/>
      <c r="L882" s="69"/>
      <c r="M882" s="69"/>
      <c r="N882" s="72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69"/>
      <c r="AJ882" s="69"/>
      <c r="AK882" s="69"/>
      <c r="AL882" s="69"/>
      <c r="AM882" s="69"/>
      <c r="AN882" s="69"/>
      <c r="AO882" s="69"/>
      <c r="AP882" s="69"/>
      <c r="AQ882" s="69"/>
      <c r="AR882" s="69"/>
      <c r="AS882" s="69"/>
      <c r="AT882" s="69"/>
      <c r="AU882" s="69"/>
      <c r="AV882" s="69"/>
      <c r="AW882" s="69"/>
      <c r="AX882" s="69"/>
      <c r="AY882" s="69"/>
      <c r="AZ882" s="69"/>
      <c r="BA882" s="69"/>
      <c r="BB882" s="69"/>
      <c r="BC882" s="69"/>
    </row>
    <row r="883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71"/>
      <c r="L883" s="69"/>
      <c r="M883" s="69"/>
      <c r="N883" s="72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69"/>
      <c r="AJ883" s="69"/>
      <c r="AK883" s="69"/>
      <c r="AL883" s="69"/>
      <c r="AM883" s="69"/>
      <c r="AN883" s="69"/>
      <c r="AO883" s="69"/>
      <c r="AP883" s="69"/>
      <c r="AQ883" s="69"/>
      <c r="AR883" s="69"/>
      <c r="AS883" s="69"/>
      <c r="AT883" s="69"/>
      <c r="AU883" s="69"/>
      <c r="AV883" s="69"/>
      <c r="AW883" s="69"/>
      <c r="AX883" s="69"/>
      <c r="AY883" s="69"/>
      <c r="AZ883" s="69"/>
      <c r="BA883" s="69"/>
      <c r="BB883" s="69"/>
      <c r="BC883" s="69"/>
    </row>
    <row r="884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71"/>
      <c r="L884" s="69"/>
      <c r="M884" s="69"/>
      <c r="N884" s="72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69"/>
      <c r="AJ884" s="69"/>
      <c r="AK884" s="69"/>
      <c r="AL884" s="69"/>
      <c r="AM884" s="69"/>
      <c r="AN884" s="69"/>
      <c r="AO884" s="69"/>
      <c r="AP884" s="69"/>
      <c r="AQ884" s="69"/>
      <c r="AR884" s="69"/>
      <c r="AS884" s="69"/>
      <c r="AT884" s="69"/>
      <c r="AU884" s="69"/>
      <c r="AV884" s="69"/>
      <c r="AW884" s="69"/>
      <c r="AX884" s="69"/>
      <c r="AY884" s="69"/>
      <c r="AZ884" s="69"/>
      <c r="BA884" s="69"/>
      <c r="BB884" s="69"/>
      <c r="BC884" s="69"/>
    </row>
    <row r="88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71"/>
      <c r="L885" s="69"/>
      <c r="M885" s="69"/>
      <c r="N885" s="72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  <c r="AK885" s="69"/>
      <c r="AL885" s="69"/>
      <c r="AM885" s="69"/>
      <c r="AN885" s="69"/>
      <c r="AO885" s="69"/>
      <c r="AP885" s="69"/>
      <c r="AQ885" s="69"/>
      <c r="AR885" s="69"/>
      <c r="AS885" s="69"/>
      <c r="AT885" s="69"/>
      <c r="AU885" s="69"/>
      <c r="AV885" s="69"/>
      <c r="AW885" s="69"/>
      <c r="AX885" s="69"/>
      <c r="AY885" s="69"/>
      <c r="AZ885" s="69"/>
      <c r="BA885" s="69"/>
      <c r="BB885" s="69"/>
      <c r="BC885" s="69"/>
    </row>
    <row r="886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71"/>
      <c r="L886" s="69"/>
      <c r="M886" s="69"/>
      <c r="N886" s="72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69"/>
      <c r="AJ886" s="69"/>
      <c r="AK886" s="69"/>
      <c r="AL886" s="69"/>
      <c r="AM886" s="69"/>
      <c r="AN886" s="69"/>
      <c r="AO886" s="69"/>
      <c r="AP886" s="69"/>
      <c r="AQ886" s="69"/>
      <c r="AR886" s="69"/>
      <c r="AS886" s="69"/>
      <c r="AT886" s="69"/>
      <c r="AU886" s="69"/>
      <c r="AV886" s="69"/>
      <c r="AW886" s="69"/>
      <c r="AX886" s="69"/>
      <c r="AY886" s="69"/>
      <c r="AZ886" s="69"/>
      <c r="BA886" s="69"/>
      <c r="BB886" s="69"/>
      <c r="BC886" s="69"/>
    </row>
    <row r="887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71"/>
      <c r="L887" s="69"/>
      <c r="M887" s="69"/>
      <c r="N887" s="72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69"/>
      <c r="AJ887" s="69"/>
      <c r="AK887" s="69"/>
      <c r="AL887" s="69"/>
      <c r="AM887" s="69"/>
      <c r="AN887" s="69"/>
      <c r="AO887" s="69"/>
      <c r="AP887" s="69"/>
      <c r="AQ887" s="69"/>
      <c r="AR887" s="69"/>
      <c r="AS887" s="69"/>
      <c r="AT887" s="69"/>
      <c r="AU887" s="69"/>
      <c r="AV887" s="69"/>
      <c r="AW887" s="69"/>
      <c r="AX887" s="69"/>
      <c r="AY887" s="69"/>
      <c r="AZ887" s="69"/>
      <c r="BA887" s="69"/>
      <c r="BB887" s="69"/>
      <c r="BC887" s="69"/>
    </row>
    <row r="888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71"/>
      <c r="L888" s="69"/>
      <c r="M888" s="69"/>
      <c r="N888" s="72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69"/>
      <c r="AJ888" s="69"/>
      <c r="AK888" s="69"/>
      <c r="AL888" s="69"/>
      <c r="AM888" s="69"/>
      <c r="AN888" s="69"/>
      <c r="AO888" s="69"/>
      <c r="AP888" s="69"/>
      <c r="AQ888" s="69"/>
      <c r="AR888" s="69"/>
      <c r="AS888" s="69"/>
      <c r="AT888" s="69"/>
      <c r="AU888" s="69"/>
      <c r="AV888" s="69"/>
      <c r="AW888" s="69"/>
      <c r="AX888" s="69"/>
      <c r="AY888" s="69"/>
      <c r="AZ888" s="69"/>
      <c r="BA888" s="69"/>
      <c r="BB888" s="69"/>
      <c r="BC888" s="69"/>
    </row>
    <row r="889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71"/>
      <c r="L889" s="69"/>
      <c r="M889" s="69"/>
      <c r="N889" s="72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  <c r="AK889" s="69"/>
      <c r="AL889" s="69"/>
      <c r="AM889" s="69"/>
      <c r="AN889" s="69"/>
      <c r="AO889" s="69"/>
      <c r="AP889" s="69"/>
      <c r="AQ889" s="69"/>
      <c r="AR889" s="69"/>
      <c r="AS889" s="69"/>
      <c r="AT889" s="69"/>
      <c r="AU889" s="69"/>
      <c r="AV889" s="69"/>
      <c r="AW889" s="69"/>
      <c r="AX889" s="69"/>
      <c r="AY889" s="69"/>
      <c r="AZ889" s="69"/>
      <c r="BA889" s="69"/>
      <c r="BB889" s="69"/>
      <c r="BC889" s="69"/>
    </row>
    <row r="890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71"/>
      <c r="L890" s="69"/>
      <c r="M890" s="69"/>
      <c r="N890" s="72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  <c r="AI890" s="69"/>
      <c r="AJ890" s="69"/>
      <c r="AK890" s="69"/>
      <c r="AL890" s="69"/>
      <c r="AM890" s="69"/>
      <c r="AN890" s="69"/>
      <c r="AO890" s="69"/>
      <c r="AP890" s="69"/>
      <c r="AQ890" s="69"/>
      <c r="AR890" s="69"/>
      <c r="AS890" s="69"/>
      <c r="AT890" s="69"/>
      <c r="AU890" s="69"/>
      <c r="AV890" s="69"/>
      <c r="AW890" s="69"/>
      <c r="AX890" s="69"/>
      <c r="AY890" s="69"/>
      <c r="AZ890" s="69"/>
      <c r="BA890" s="69"/>
      <c r="BB890" s="69"/>
      <c r="BC890" s="69"/>
    </row>
    <row r="89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71"/>
      <c r="L891" s="69"/>
      <c r="M891" s="69"/>
      <c r="N891" s="72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  <c r="AI891" s="69"/>
      <c r="AJ891" s="69"/>
      <c r="AK891" s="69"/>
      <c r="AL891" s="69"/>
      <c r="AM891" s="69"/>
      <c r="AN891" s="69"/>
      <c r="AO891" s="69"/>
      <c r="AP891" s="69"/>
      <c r="AQ891" s="69"/>
      <c r="AR891" s="69"/>
      <c r="AS891" s="69"/>
      <c r="AT891" s="69"/>
      <c r="AU891" s="69"/>
      <c r="AV891" s="69"/>
      <c r="AW891" s="69"/>
      <c r="AX891" s="69"/>
      <c r="AY891" s="69"/>
      <c r="AZ891" s="69"/>
      <c r="BA891" s="69"/>
      <c r="BB891" s="69"/>
      <c r="BC891" s="69"/>
    </row>
    <row r="892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71"/>
      <c r="L892" s="69"/>
      <c r="M892" s="69"/>
      <c r="N892" s="72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  <c r="AI892" s="69"/>
      <c r="AJ892" s="69"/>
      <c r="AK892" s="69"/>
      <c r="AL892" s="69"/>
      <c r="AM892" s="69"/>
      <c r="AN892" s="69"/>
      <c r="AO892" s="69"/>
      <c r="AP892" s="69"/>
      <c r="AQ892" s="69"/>
      <c r="AR892" s="69"/>
      <c r="AS892" s="69"/>
      <c r="AT892" s="69"/>
      <c r="AU892" s="69"/>
      <c r="AV892" s="69"/>
      <c r="AW892" s="69"/>
      <c r="AX892" s="69"/>
      <c r="AY892" s="69"/>
      <c r="AZ892" s="69"/>
      <c r="BA892" s="69"/>
      <c r="BB892" s="69"/>
      <c r="BC892" s="69"/>
    </row>
    <row r="893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71"/>
      <c r="L893" s="69"/>
      <c r="M893" s="69"/>
      <c r="N893" s="72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  <c r="AK893" s="69"/>
      <c r="AL893" s="69"/>
      <c r="AM893" s="69"/>
      <c r="AN893" s="69"/>
      <c r="AO893" s="69"/>
      <c r="AP893" s="69"/>
      <c r="AQ893" s="69"/>
      <c r="AR893" s="69"/>
      <c r="AS893" s="69"/>
      <c r="AT893" s="69"/>
      <c r="AU893" s="69"/>
      <c r="AV893" s="69"/>
      <c r="AW893" s="69"/>
      <c r="AX893" s="69"/>
      <c r="AY893" s="69"/>
      <c r="AZ893" s="69"/>
      <c r="BA893" s="69"/>
      <c r="BB893" s="69"/>
      <c r="BC893" s="69"/>
    </row>
    <row r="894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71"/>
      <c r="L894" s="69"/>
      <c r="M894" s="69"/>
      <c r="N894" s="72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  <c r="AI894" s="69"/>
      <c r="AJ894" s="69"/>
      <c r="AK894" s="69"/>
      <c r="AL894" s="69"/>
      <c r="AM894" s="69"/>
      <c r="AN894" s="69"/>
      <c r="AO894" s="69"/>
      <c r="AP894" s="69"/>
      <c r="AQ894" s="69"/>
      <c r="AR894" s="69"/>
      <c r="AS894" s="69"/>
      <c r="AT894" s="69"/>
      <c r="AU894" s="69"/>
      <c r="AV894" s="69"/>
      <c r="AW894" s="69"/>
      <c r="AX894" s="69"/>
      <c r="AY894" s="69"/>
      <c r="AZ894" s="69"/>
      <c r="BA894" s="69"/>
      <c r="BB894" s="69"/>
      <c r="BC894" s="69"/>
    </row>
    <row r="89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71"/>
      <c r="L895" s="69"/>
      <c r="M895" s="69"/>
      <c r="N895" s="72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  <c r="AI895" s="69"/>
      <c r="AJ895" s="69"/>
      <c r="AK895" s="69"/>
      <c r="AL895" s="69"/>
      <c r="AM895" s="69"/>
      <c r="AN895" s="69"/>
      <c r="AO895" s="69"/>
      <c r="AP895" s="69"/>
      <c r="AQ895" s="69"/>
      <c r="AR895" s="69"/>
      <c r="AS895" s="69"/>
      <c r="AT895" s="69"/>
      <c r="AU895" s="69"/>
      <c r="AV895" s="69"/>
      <c r="AW895" s="69"/>
      <c r="AX895" s="69"/>
      <c r="AY895" s="69"/>
      <c r="AZ895" s="69"/>
      <c r="BA895" s="69"/>
      <c r="BB895" s="69"/>
      <c r="BC895" s="69"/>
    </row>
    <row r="896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71"/>
      <c r="L896" s="69"/>
      <c r="M896" s="69"/>
      <c r="N896" s="72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  <c r="AI896" s="69"/>
      <c r="AJ896" s="69"/>
      <c r="AK896" s="69"/>
      <c r="AL896" s="69"/>
      <c r="AM896" s="69"/>
      <c r="AN896" s="69"/>
      <c r="AO896" s="69"/>
      <c r="AP896" s="69"/>
      <c r="AQ896" s="69"/>
      <c r="AR896" s="69"/>
      <c r="AS896" s="69"/>
      <c r="AT896" s="69"/>
      <c r="AU896" s="69"/>
      <c r="AV896" s="69"/>
      <c r="AW896" s="69"/>
      <c r="AX896" s="69"/>
      <c r="AY896" s="69"/>
      <c r="AZ896" s="69"/>
      <c r="BA896" s="69"/>
      <c r="BB896" s="69"/>
      <c r="BC896" s="69"/>
    </row>
    <row r="897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71"/>
      <c r="L897" s="69"/>
      <c r="M897" s="69"/>
      <c r="N897" s="72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/>
      <c r="AJ897" s="69"/>
      <c r="AK897" s="69"/>
      <c r="AL897" s="69"/>
      <c r="AM897" s="69"/>
      <c r="AN897" s="69"/>
      <c r="AO897" s="69"/>
      <c r="AP897" s="69"/>
      <c r="AQ897" s="69"/>
      <c r="AR897" s="69"/>
      <c r="AS897" s="69"/>
      <c r="AT897" s="69"/>
      <c r="AU897" s="69"/>
      <c r="AV897" s="69"/>
      <c r="AW897" s="69"/>
      <c r="AX897" s="69"/>
      <c r="AY897" s="69"/>
      <c r="AZ897" s="69"/>
      <c r="BA897" s="69"/>
      <c r="BB897" s="69"/>
      <c r="BC897" s="69"/>
    </row>
    <row r="898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71"/>
      <c r="L898" s="69"/>
      <c r="M898" s="69"/>
      <c r="N898" s="72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/>
      <c r="AJ898" s="69"/>
      <c r="AK898" s="69"/>
      <c r="AL898" s="69"/>
      <c r="AM898" s="69"/>
      <c r="AN898" s="69"/>
      <c r="AO898" s="69"/>
      <c r="AP898" s="69"/>
      <c r="AQ898" s="69"/>
      <c r="AR898" s="69"/>
      <c r="AS898" s="69"/>
      <c r="AT898" s="69"/>
      <c r="AU898" s="69"/>
      <c r="AV898" s="69"/>
      <c r="AW898" s="69"/>
      <c r="AX898" s="69"/>
      <c r="AY898" s="69"/>
      <c r="AZ898" s="69"/>
      <c r="BA898" s="69"/>
      <c r="BB898" s="69"/>
      <c r="BC898" s="69"/>
    </row>
    <row r="899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71"/>
      <c r="L899" s="69"/>
      <c r="M899" s="69"/>
      <c r="N899" s="72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  <c r="AK899" s="69"/>
      <c r="AL899" s="69"/>
      <c r="AM899" s="69"/>
      <c r="AN899" s="69"/>
      <c r="AO899" s="69"/>
      <c r="AP899" s="69"/>
      <c r="AQ899" s="69"/>
      <c r="AR899" s="69"/>
      <c r="AS899" s="69"/>
      <c r="AT899" s="69"/>
      <c r="AU899" s="69"/>
      <c r="AV899" s="69"/>
      <c r="AW899" s="69"/>
      <c r="AX899" s="69"/>
      <c r="AY899" s="69"/>
      <c r="AZ899" s="69"/>
      <c r="BA899" s="69"/>
      <c r="BB899" s="69"/>
      <c r="BC899" s="69"/>
    </row>
    <row r="900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71"/>
      <c r="L900" s="69"/>
      <c r="M900" s="69"/>
      <c r="N900" s="72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  <c r="AI900" s="69"/>
      <c r="AJ900" s="69"/>
      <c r="AK900" s="69"/>
      <c r="AL900" s="69"/>
      <c r="AM900" s="69"/>
      <c r="AN900" s="69"/>
      <c r="AO900" s="69"/>
      <c r="AP900" s="69"/>
      <c r="AQ900" s="69"/>
      <c r="AR900" s="69"/>
      <c r="AS900" s="69"/>
      <c r="AT900" s="69"/>
      <c r="AU900" s="69"/>
      <c r="AV900" s="69"/>
      <c r="AW900" s="69"/>
      <c r="AX900" s="69"/>
      <c r="AY900" s="69"/>
      <c r="AZ900" s="69"/>
      <c r="BA900" s="69"/>
      <c r="BB900" s="69"/>
      <c r="BC900" s="69"/>
    </row>
    <row r="90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71"/>
      <c r="L901" s="69"/>
      <c r="M901" s="69"/>
      <c r="N901" s="72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  <c r="AK901" s="69"/>
      <c r="AL901" s="69"/>
      <c r="AM901" s="69"/>
      <c r="AN901" s="69"/>
      <c r="AO901" s="69"/>
      <c r="AP901" s="69"/>
      <c r="AQ901" s="69"/>
      <c r="AR901" s="69"/>
      <c r="AS901" s="69"/>
      <c r="AT901" s="69"/>
      <c r="AU901" s="69"/>
      <c r="AV901" s="69"/>
      <c r="AW901" s="69"/>
      <c r="AX901" s="69"/>
      <c r="AY901" s="69"/>
      <c r="AZ901" s="69"/>
      <c r="BA901" s="69"/>
      <c r="BB901" s="69"/>
      <c r="BC901" s="69"/>
    </row>
    <row r="902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71"/>
      <c r="L902" s="69"/>
      <c r="M902" s="69"/>
      <c r="N902" s="72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  <c r="AI902" s="69"/>
      <c r="AJ902" s="69"/>
      <c r="AK902" s="69"/>
      <c r="AL902" s="69"/>
      <c r="AM902" s="69"/>
      <c r="AN902" s="69"/>
      <c r="AO902" s="69"/>
      <c r="AP902" s="69"/>
      <c r="AQ902" s="69"/>
      <c r="AR902" s="69"/>
      <c r="AS902" s="69"/>
      <c r="AT902" s="69"/>
      <c r="AU902" s="69"/>
      <c r="AV902" s="69"/>
      <c r="AW902" s="69"/>
      <c r="AX902" s="69"/>
      <c r="AY902" s="69"/>
      <c r="AZ902" s="69"/>
      <c r="BA902" s="69"/>
      <c r="BB902" s="69"/>
      <c r="BC902" s="69"/>
    </row>
    <row r="903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71"/>
      <c r="L903" s="69"/>
      <c r="M903" s="69"/>
      <c r="N903" s="72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  <c r="AK903" s="69"/>
      <c r="AL903" s="69"/>
      <c r="AM903" s="69"/>
      <c r="AN903" s="69"/>
      <c r="AO903" s="69"/>
      <c r="AP903" s="69"/>
      <c r="AQ903" s="69"/>
      <c r="AR903" s="69"/>
      <c r="AS903" s="69"/>
      <c r="AT903" s="69"/>
      <c r="AU903" s="69"/>
      <c r="AV903" s="69"/>
      <c r="AW903" s="69"/>
      <c r="AX903" s="69"/>
      <c r="AY903" s="69"/>
      <c r="AZ903" s="69"/>
      <c r="BA903" s="69"/>
      <c r="BB903" s="69"/>
      <c r="BC903" s="69"/>
    </row>
    <row r="904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71"/>
      <c r="L904" s="69"/>
      <c r="M904" s="69"/>
      <c r="N904" s="72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  <c r="AI904" s="69"/>
      <c r="AJ904" s="69"/>
      <c r="AK904" s="69"/>
      <c r="AL904" s="69"/>
      <c r="AM904" s="69"/>
      <c r="AN904" s="69"/>
      <c r="AO904" s="69"/>
      <c r="AP904" s="69"/>
      <c r="AQ904" s="69"/>
      <c r="AR904" s="69"/>
      <c r="AS904" s="69"/>
      <c r="AT904" s="69"/>
      <c r="AU904" s="69"/>
      <c r="AV904" s="69"/>
      <c r="AW904" s="69"/>
      <c r="AX904" s="69"/>
      <c r="AY904" s="69"/>
      <c r="AZ904" s="69"/>
      <c r="BA904" s="69"/>
      <c r="BB904" s="69"/>
      <c r="BC904" s="69"/>
    </row>
    <row r="90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71"/>
      <c r="L905" s="69"/>
      <c r="M905" s="69"/>
      <c r="N905" s="72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  <c r="AI905" s="69"/>
      <c r="AJ905" s="69"/>
      <c r="AK905" s="69"/>
      <c r="AL905" s="69"/>
      <c r="AM905" s="69"/>
      <c r="AN905" s="69"/>
      <c r="AO905" s="69"/>
      <c r="AP905" s="69"/>
      <c r="AQ905" s="69"/>
      <c r="AR905" s="69"/>
      <c r="AS905" s="69"/>
      <c r="AT905" s="69"/>
      <c r="AU905" s="69"/>
      <c r="AV905" s="69"/>
      <c r="AW905" s="69"/>
      <c r="AX905" s="69"/>
      <c r="AY905" s="69"/>
      <c r="AZ905" s="69"/>
      <c r="BA905" s="69"/>
      <c r="BB905" s="69"/>
      <c r="BC905" s="69"/>
    </row>
    <row r="906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71"/>
      <c r="L906" s="69"/>
      <c r="M906" s="69"/>
      <c r="N906" s="72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  <c r="AI906" s="69"/>
      <c r="AJ906" s="69"/>
      <c r="AK906" s="69"/>
      <c r="AL906" s="69"/>
      <c r="AM906" s="69"/>
      <c r="AN906" s="69"/>
      <c r="AO906" s="69"/>
      <c r="AP906" s="69"/>
      <c r="AQ906" s="69"/>
      <c r="AR906" s="69"/>
      <c r="AS906" s="69"/>
      <c r="AT906" s="69"/>
      <c r="AU906" s="69"/>
      <c r="AV906" s="69"/>
      <c r="AW906" s="69"/>
      <c r="AX906" s="69"/>
      <c r="AY906" s="69"/>
      <c r="AZ906" s="69"/>
      <c r="BA906" s="69"/>
      <c r="BB906" s="69"/>
      <c r="BC906" s="69"/>
    </row>
    <row r="907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71"/>
      <c r="L907" s="69"/>
      <c r="M907" s="69"/>
      <c r="N907" s="72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  <c r="AK907" s="69"/>
      <c r="AL907" s="69"/>
      <c r="AM907" s="69"/>
      <c r="AN907" s="69"/>
      <c r="AO907" s="69"/>
      <c r="AP907" s="69"/>
      <c r="AQ907" s="69"/>
      <c r="AR907" s="69"/>
      <c r="AS907" s="69"/>
      <c r="AT907" s="69"/>
      <c r="AU907" s="69"/>
      <c r="AV907" s="69"/>
      <c r="AW907" s="69"/>
      <c r="AX907" s="69"/>
      <c r="AY907" s="69"/>
      <c r="AZ907" s="69"/>
      <c r="BA907" s="69"/>
      <c r="BB907" s="69"/>
      <c r="BC907" s="69"/>
    </row>
    <row r="908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71"/>
      <c r="L908" s="69"/>
      <c r="M908" s="69"/>
      <c r="N908" s="72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  <c r="AI908" s="69"/>
      <c r="AJ908" s="69"/>
      <c r="AK908" s="69"/>
      <c r="AL908" s="69"/>
      <c r="AM908" s="69"/>
      <c r="AN908" s="69"/>
      <c r="AO908" s="69"/>
      <c r="AP908" s="69"/>
      <c r="AQ908" s="69"/>
      <c r="AR908" s="69"/>
      <c r="AS908" s="69"/>
      <c r="AT908" s="69"/>
      <c r="AU908" s="69"/>
      <c r="AV908" s="69"/>
      <c r="AW908" s="69"/>
      <c r="AX908" s="69"/>
      <c r="AY908" s="69"/>
      <c r="AZ908" s="69"/>
      <c r="BA908" s="69"/>
      <c r="BB908" s="69"/>
      <c r="BC908" s="69"/>
    </row>
    <row r="909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71"/>
      <c r="L909" s="69"/>
      <c r="M909" s="69"/>
      <c r="N909" s="72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  <c r="AK909" s="69"/>
      <c r="AL909" s="69"/>
      <c r="AM909" s="69"/>
      <c r="AN909" s="69"/>
      <c r="AO909" s="69"/>
      <c r="AP909" s="69"/>
      <c r="AQ909" s="69"/>
      <c r="AR909" s="69"/>
      <c r="AS909" s="69"/>
      <c r="AT909" s="69"/>
      <c r="AU909" s="69"/>
      <c r="AV909" s="69"/>
      <c r="AW909" s="69"/>
      <c r="AX909" s="69"/>
      <c r="AY909" s="69"/>
      <c r="AZ909" s="69"/>
      <c r="BA909" s="69"/>
      <c r="BB909" s="69"/>
      <c r="BC909" s="69"/>
    </row>
    <row r="910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71"/>
      <c r="L910" s="69"/>
      <c r="M910" s="69"/>
      <c r="N910" s="72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  <c r="AI910" s="69"/>
      <c r="AJ910" s="69"/>
      <c r="AK910" s="69"/>
      <c r="AL910" s="69"/>
      <c r="AM910" s="69"/>
      <c r="AN910" s="69"/>
      <c r="AO910" s="69"/>
      <c r="AP910" s="69"/>
      <c r="AQ910" s="69"/>
      <c r="AR910" s="69"/>
      <c r="AS910" s="69"/>
      <c r="AT910" s="69"/>
      <c r="AU910" s="69"/>
      <c r="AV910" s="69"/>
      <c r="AW910" s="69"/>
      <c r="AX910" s="69"/>
      <c r="AY910" s="69"/>
      <c r="AZ910" s="69"/>
      <c r="BA910" s="69"/>
      <c r="BB910" s="69"/>
      <c r="BC910" s="69"/>
    </row>
    <row r="91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71"/>
      <c r="L911" s="69"/>
      <c r="M911" s="69"/>
      <c r="N911" s="72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  <c r="AK911" s="69"/>
      <c r="AL911" s="69"/>
      <c r="AM911" s="69"/>
      <c r="AN911" s="69"/>
      <c r="AO911" s="69"/>
      <c r="AP911" s="69"/>
      <c r="AQ911" s="69"/>
      <c r="AR911" s="69"/>
      <c r="AS911" s="69"/>
      <c r="AT911" s="69"/>
      <c r="AU911" s="69"/>
      <c r="AV911" s="69"/>
      <c r="AW911" s="69"/>
      <c r="AX911" s="69"/>
      <c r="AY911" s="69"/>
      <c r="AZ911" s="69"/>
      <c r="BA911" s="69"/>
      <c r="BB911" s="69"/>
      <c r="BC911" s="69"/>
    </row>
    <row r="912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71"/>
      <c r="L912" s="69"/>
      <c r="M912" s="69"/>
      <c r="N912" s="72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  <c r="AI912" s="69"/>
      <c r="AJ912" s="69"/>
      <c r="AK912" s="69"/>
      <c r="AL912" s="69"/>
      <c r="AM912" s="69"/>
      <c r="AN912" s="69"/>
      <c r="AO912" s="69"/>
      <c r="AP912" s="69"/>
      <c r="AQ912" s="69"/>
      <c r="AR912" s="69"/>
      <c r="AS912" s="69"/>
      <c r="AT912" s="69"/>
      <c r="AU912" s="69"/>
      <c r="AV912" s="69"/>
      <c r="AW912" s="69"/>
      <c r="AX912" s="69"/>
      <c r="AY912" s="69"/>
      <c r="AZ912" s="69"/>
      <c r="BA912" s="69"/>
      <c r="BB912" s="69"/>
      <c r="BC912" s="69"/>
    </row>
    <row r="913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71"/>
      <c r="L913" s="69"/>
      <c r="M913" s="69"/>
      <c r="N913" s="72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  <c r="AK913" s="69"/>
      <c r="AL913" s="69"/>
      <c r="AM913" s="69"/>
      <c r="AN913" s="69"/>
      <c r="AO913" s="69"/>
      <c r="AP913" s="69"/>
      <c r="AQ913" s="69"/>
      <c r="AR913" s="69"/>
      <c r="AS913" s="69"/>
      <c r="AT913" s="69"/>
      <c r="AU913" s="69"/>
      <c r="AV913" s="69"/>
      <c r="AW913" s="69"/>
      <c r="AX913" s="69"/>
      <c r="AY913" s="69"/>
      <c r="AZ913" s="69"/>
      <c r="BA913" s="69"/>
      <c r="BB913" s="69"/>
      <c r="BC913" s="69"/>
    </row>
    <row r="914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71"/>
      <c r="L914" s="69"/>
      <c r="M914" s="69"/>
      <c r="N914" s="72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  <c r="AI914" s="69"/>
      <c r="AJ914" s="69"/>
      <c r="AK914" s="69"/>
      <c r="AL914" s="69"/>
      <c r="AM914" s="69"/>
      <c r="AN914" s="69"/>
      <c r="AO914" s="69"/>
      <c r="AP914" s="69"/>
      <c r="AQ914" s="69"/>
      <c r="AR914" s="69"/>
      <c r="AS914" s="69"/>
      <c r="AT914" s="69"/>
      <c r="AU914" s="69"/>
      <c r="AV914" s="69"/>
      <c r="AW914" s="69"/>
      <c r="AX914" s="69"/>
      <c r="AY914" s="69"/>
      <c r="AZ914" s="69"/>
      <c r="BA914" s="69"/>
      <c r="BB914" s="69"/>
      <c r="BC914" s="69"/>
    </row>
    <row r="91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71"/>
      <c r="L915" s="69"/>
      <c r="M915" s="69"/>
      <c r="N915" s="72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  <c r="AK915" s="69"/>
      <c r="AL915" s="69"/>
      <c r="AM915" s="69"/>
      <c r="AN915" s="69"/>
      <c r="AO915" s="69"/>
      <c r="AP915" s="69"/>
      <c r="AQ915" s="69"/>
      <c r="AR915" s="69"/>
      <c r="AS915" s="69"/>
      <c r="AT915" s="69"/>
      <c r="AU915" s="69"/>
      <c r="AV915" s="69"/>
      <c r="AW915" s="69"/>
      <c r="AX915" s="69"/>
      <c r="AY915" s="69"/>
      <c r="AZ915" s="69"/>
      <c r="BA915" s="69"/>
      <c r="BB915" s="69"/>
      <c r="BC915" s="69"/>
    </row>
    <row r="916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71"/>
      <c r="L916" s="69"/>
      <c r="M916" s="69"/>
      <c r="N916" s="72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  <c r="AI916" s="69"/>
      <c r="AJ916" s="69"/>
      <c r="AK916" s="69"/>
      <c r="AL916" s="69"/>
      <c r="AM916" s="69"/>
      <c r="AN916" s="69"/>
      <c r="AO916" s="69"/>
      <c r="AP916" s="69"/>
      <c r="AQ916" s="69"/>
      <c r="AR916" s="69"/>
      <c r="AS916" s="69"/>
      <c r="AT916" s="69"/>
      <c r="AU916" s="69"/>
      <c r="AV916" s="69"/>
      <c r="AW916" s="69"/>
      <c r="AX916" s="69"/>
      <c r="AY916" s="69"/>
      <c r="AZ916" s="69"/>
      <c r="BA916" s="69"/>
      <c r="BB916" s="69"/>
      <c r="BC916" s="69"/>
    </row>
    <row r="917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71"/>
      <c r="L917" s="69"/>
      <c r="M917" s="69"/>
      <c r="N917" s="72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69"/>
      <c r="AR917" s="69"/>
      <c r="AS917" s="69"/>
      <c r="AT917" s="69"/>
      <c r="AU917" s="69"/>
      <c r="AV917" s="69"/>
      <c r="AW917" s="69"/>
      <c r="AX917" s="69"/>
      <c r="AY917" s="69"/>
      <c r="AZ917" s="69"/>
      <c r="BA917" s="69"/>
      <c r="BB917" s="69"/>
      <c r="BC917" s="69"/>
    </row>
    <row r="918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71"/>
      <c r="L918" s="69"/>
      <c r="M918" s="69"/>
      <c r="N918" s="72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  <c r="AI918" s="69"/>
      <c r="AJ918" s="69"/>
      <c r="AK918" s="69"/>
      <c r="AL918" s="69"/>
      <c r="AM918" s="69"/>
      <c r="AN918" s="69"/>
      <c r="AO918" s="69"/>
      <c r="AP918" s="69"/>
      <c r="AQ918" s="69"/>
      <c r="AR918" s="69"/>
      <c r="AS918" s="69"/>
      <c r="AT918" s="69"/>
      <c r="AU918" s="69"/>
      <c r="AV918" s="69"/>
      <c r="AW918" s="69"/>
      <c r="AX918" s="69"/>
      <c r="AY918" s="69"/>
      <c r="AZ918" s="69"/>
      <c r="BA918" s="69"/>
      <c r="BB918" s="69"/>
      <c r="BC918" s="69"/>
    </row>
    <row r="919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71"/>
      <c r="L919" s="69"/>
      <c r="M919" s="69"/>
      <c r="N919" s="72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  <c r="AK919" s="69"/>
      <c r="AL919" s="69"/>
      <c r="AM919" s="69"/>
      <c r="AN919" s="69"/>
      <c r="AO919" s="69"/>
      <c r="AP919" s="69"/>
      <c r="AQ919" s="69"/>
      <c r="AR919" s="69"/>
      <c r="AS919" s="69"/>
      <c r="AT919" s="69"/>
      <c r="AU919" s="69"/>
      <c r="AV919" s="69"/>
      <c r="AW919" s="69"/>
      <c r="AX919" s="69"/>
      <c r="AY919" s="69"/>
      <c r="AZ919" s="69"/>
      <c r="BA919" s="69"/>
      <c r="BB919" s="69"/>
      <c r="BC919" s="69"/>
    </row>
    <row r="920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71"/>
      <c r="L920" s="69"/>
      <c r="M920" s="69"/>
      <c r="N920" s="72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  <c r="AI920" s="69"/>
      <c r="AJ920" s="69"/>
      <c r="AK920" s="69"/>
      <c r="AL920" s="69"/>
      <c r="AM920" s="69"/>
      <c r="AN920" s="69"/>
      <c r="AO920" s="69"/>
      <c r="AP920" s="69"/>
      <c r="AQ920" s="69"/>
      <c r="AR920" s="69"/>
      <c r="AS920" s="69"/>
      <c r="AT920" s="69"/>
      <c r="AU920" s="69"/>
      <c r="AV920" s="69"/>
      <c r="AW920" s="69"/>
      <c r="AX920" s="69"/>
      <c r="AY920" s="69"/>
      <c r="AZ920" s="69"/>
      <c r="BA920" s="69"/>
      <c r="BB920" s="69"/>
      <c r="BC920" s="69"/>
    </row>
    <row r="92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71"/>
      <c r="L921" s="69"/>
      <c r="M921" s="69"/>
      <c r="N921" s="72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  <c r="AI921" s="69"/>
      <c r="AJ921" s="69"/>
      <c r="AK921" s="69"/>
      <c r="AL921" s="69"/>
      <c r="AM921" s="69"/>
      <c r="AN921" s="69"/>
      <c r="AO921" s="69"/>
      <c r="AP921" s="69"/>
      <c r="AQ921" s="69"/>
      <c r="AR921" s="69"/>
      <c r="AS921" s="69"/>
      <c r="AT921" s="69"/>
      <c r="AU921" s="69"/>
      <c r="AV921" s="69"/>
      <c r="AW921" s="69"/>
      <c r="AX921" s="69"/>
      <c r="AY921" s="69"/>
      <c r="AZ921" s="69"/>
      <c r="BA921" s="69"/>
      <c r="BB921" s="69"/>
      <c r="BC921" s="69"/>
    </row>
    <row r="922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71"/>
      <c r="L922" s="69"/>
      <c r="M922" s="69"/>
      <c r="N922" s="72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  <c r="AI922" s="69"/>
      <c r="AJ922" s="69"/>
      <c r="AK922" s="69"/>
      <c r="AL922" s="69"/>
      <c r="AM922" s="69"/>
      <c r="AN922" s="69"/>
      <c r="AO922" s="69"/>
      <c r="AP922" s="69"/>
      <c r="AQ922" s="69"/>
      <c r="AR922" s="69"/>
      <c r="AS922" s="69"/>
      <c r="AT922" s="69"/>
      <c r="AU922" s="69"/>
      <c r="AV922" s="69"/>
      <c r="AW922" s="69"/>
      <c r="AX922" s="69"/>
      <c r="AY922" s="69"/>
      <c r="AZ922" s="69"/>
      <c r="BA922" s="69"/>
      <c r="BB922" s="69"/>
      <c r="BC922" s="69"/>
    </row>
    <row r="923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71"/>
      <c r="L923" s="69"/>
      <c r="M923" s="69"/>
      <c r="N923" s="72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  <c r="AI923" s="69"/>
      <c r="AJ923" s="69"/>
      <c r="AK923" s="69"/>
      <c r="AL923" s="69"/>
      <c r="AM923" s="69"/>
      <c r="AN923" s="69"/>
      <c r="AO923" s="69"/>
      <c r="AP923" s="69"/>
      <c r="AQ923" s="69"/>
      <c r="AR923" s="69"/>
      <c r="AS923" s="69"/>
      <c r="AT923" s="69"/>
      <c r="AU923" s="69"/>
      <c r="AV923" s="69"/>
      <c r="AW923" s="69"/>
      <c r="AX923" s="69"/>
      <c r="AY923" s="69"/>
      <c r="AZ923" s="69"/>
      <c r="BA923" s="69"/>
      <c r="BB923" s="69"/>
      <c r="BC923" s="69"/>
    </row>
    <row r="924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71"/>
      <c r="L924" s="69"/>
      <c r="M924" s="69"/>
      <c r="N924" s="72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  <c r="AI924" s="69"/>
      <c r="AJ924" s="69"/>
      <c r="AK924" s="69"/>
      <c r="AL924" s="69"/>
      <c r="AM924" s="69"/>
      <c r="AN924" s="69"/>
      <c r="AO924" s="69"/>
      <c r="AP924" s="69"/>
      <c r="AQ924" s="69"/>
      <c r="AR924" s="69"/>
      <c r="AS924" s="69"/>
      <c r="AT924" s="69"/>
      <c r="AU924" s="69"/>
      <c r="AV924" s="69"/>
      <c r="AW924" s="69"/>
      <c r="AX924" s="69"/>
      <c r="AY924" s="69"/>
      <c r="AZ924" s="69"/>
      <c r="BA924" s="69"/>
      <c r="BB924" s="69"/>
      <c r="BC924" s="69"/>
    </row>
    <row r="9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71"/>
      <c r="L925" s="69"/>
      <c r="M925" s="69"/>
      <c r="N925" s="72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  <c r="AI925" s="69"/>
      <c r="AJ925" s="69"/>
      <c r="AK925" s="69"/>
      <c r="AL925" s="69"/>
      <c r="AM925" s="69"/>
      <c r="AN925" s="69"/>
      <c r="AO925" s="69"/>
      <c r="AP925" s="69"/>
      <c r="AQ925" s="69"/>
      <c r="AR925" s="69"/>
      <c r="AS925" s="69"/>
      <c r="AT925" s="69"/>
      <c r="AU925" s="69"/>
      <c r="AV925" s="69"/>
      <c r="AW925" s="69"/>
      <c r="AX925" s="69"/>
      <c r="AY925" s="69"/>
      <c r="AZ925" s="69"/>
      <c r="BA925" s="69"/>
      <c r="BB925" s="69"/>
      <c r="BC925" s="69"/>
    </row>
    <row r="926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71"/>
      <c r="L926" s="69"/>
      <c r="M926" s="69"/>
      <c r="N926" s="72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  <c r="AI926" s="69"/>
      <c r="AJ926" s="69"/>
      <c r="AK926" s="69"/>
      <c r="AL926" s="69"/>
      <c r="AM926" s="69"/>
      <c r="AN926" s="69"/>
      <c r="AO926" s="69"/>
      <c r="AP926" s="69"/>
      <c r="AQ926" s="69"/>
      <c r="AR926" s="69"/>
      <c r="AS926" s="69"/>
      <c r="AT926" s="69"/>
      <c r="AU926" s="69"/>
      <c r="AV926" s="69"/>
      <c r="AW926" s="69"/>
      <c r="AX926" s="69"/>
      <c r="AY926" s="69"/>
      <c r="AZ926" s="69"/>
      <c r="BA926" s="69"/>
      <c r="BB926" s="69"/>
      <c r="BC926" s="69"/>
    </row>
    <row r="927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71"/>
      <c r="L927" s="69"/>
      <c r="M927" s="69"/>
      <c r="N927" s="72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  <c r="AI927" s="69"/>
      <c r="AJ927" s="69"/>
      <c r="AK927" s="69"/>
      <c r="AL927" s="69"/>
      <c r="AM927" s="69"/>
      <c r="AN927" s="69"/>
      <c r="AO927" s="69"/>
      <c r="AP927" s="69"/>
      <c r="AQ927" s="69"/>
      <c r="AR927" s="69"/>
      <c r="AS927" s="69"/>
      <c r="AT927" s="69"/>
      <c r="AU927" s="69"/>
      <c r="AV927" s="69"/>
      <c r="AW927" s="69"/>
      <c r="AX927" s="69"/>
      <c r="AY927" s="69"/>
      <c r="AZ927" s="69"/>
      <c r="BA927" s="69"/>
      <c r="BB927" s="69"/>
      <c r="BC927" s="69"/>
    </row>
    <row r="928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71"/>
      <c r="L928" s="69"/>
      <c r="M928" s="69"/>
      <c r="N928" s="72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  <c r="AI928" s="69"/>
      <c r="AJ928" s="69"/>
      <c r="AK928" s="69"/>
      <c r="AL928" s="69"/>
      <c r="AM928" s="69"/>
      <c r="AN928" s="69"/>
      <c r="AO928" s="69"/>
      <c r="AP928" s="69"/>
      <c r="AQ928" s="69"/>
      <c r="AR928" s="69"/>
      <c r="AS928" s="69"/>
      <c r="AT928" s="69"/>
      <c r="AU928" s="69"/>
      <c r="AV928" s="69"/>
      <c r="AW928" s="69"/>
      <c r="AX928" s="69"/>
      <c r="AY928" s="69"/>
      <c r="AZ928" s="69"/>
      <c r="BA928" s="69"/>
      <c r="BB928" s="69"/>
      <c r="BC928" s="69"/>
    </row>
    <row r="929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71"/>
      <c r="L929" s="69"/>
      <c r="M929" s="69"/>
      <c r="N929" s="72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/>
      <c r="AJ929" s="69"/>
      <c r="AK929" s="69"/>
      <c r="AL929" s="69"/>
      <c r="AM929" s="69"/>
      <c r="AN929" s="69"/>
      <c r="AO929" s="69"/>
      <c r="AP929" s="69"/>
      <c r="AQ929" s="69"/>
      <c r="AR929" s="69"/>
      <c r="AS929" s="69"/>
      <c r="AT929" s="69"/>
      <c r="AU929" s="69"/>
      <c r="AV929" s="69"/>
      <c r="AW929" s="69"/>
      <c r="AX929" s="69"/>
      <c r="AY929" s="69"/>
      <c r="AZ929" s="69"/>
      <c r="BA929" s="69"/>
      <c r="BB929" s="69"/>
      <c r="BC929" s="69"/>
    </row>
    <row r="930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71"/>
      <c r="L930" s="69"/>
      <c r="M930" s="69"/>
      <c r="N930" s="72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/>
      <c r="AJ930" s="69"/>
      <c r="AK930" s="69"/>
      <c r="AL930" s="69"/>
      <c r="AM930" s="69"/>
      <c r="AN930" s="69"/>
      <c r="AO930" s="69"/>
      <c r="AP930" s="69"/>
      <c r="AQ930" s="69"/>
      <c r="AR930" s="69"/>
      <c r="AS930" s="69"/>
      <c r="AT930" s="69"/>
      <c r="AU930" s="69"/>
      <c r="AV930" s="69"/>
      <c r="AW930" s="69"/>
      <c r="AX930" s="69"/>
      <c r="AY930" s="69"/>
      <c r="AZ930" s="69"/>
      <c r="BA930" s="69"/>
      <c r="BB930" s="69"/>
      <c r="BC930" s="69"/>
    </row>
    <row r="93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71"/>
      <c r="L931" s="69"/>
      <c r="M931" s="69"/>
      <c r="N931" s="72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  <c r="AK931" s="69"/>
      <c r="AL931" s="69"/>
      <c r="AM931" s="69"/>
      <c r="AN931" s="69"/>
      <c r="AO931" s="69"/>
      <c r="AP931" s="69"/>
      <c r="AQ931" s="69"/>
      <c r="AR931" s="69"/>
      <c r="AS931" s="69"/>
      <c r="AT931" s="69"/>
      <c r="AU931" s="69"/>
      <c r="AV931" s="69"/>
      <c r="AW931" s="69"/>
      <c r="AX931" s="69"/>
      <c r="AY931" s="69"/>
      <c r="AZ931" s="69"/>
      <c r="BA931" s="69"/>
      <c r="BB931" s="69"/>
      <c r="BC931" s="69"/>
    </row>
    <row r="932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71"/>
      <c r="L932" s="69"/>
      <c r="M932" s="69"/>
      <c r="N932" s="72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  <c r="AI932" s="69"/>
      <c r="AJ932" s="69"/>
      <c r="AK932" s="69"/>
      <c r="AL932" s="69"/>
      <c r="AM932" s="69"/>
      <c r="AN932" s="69"/>
      <c r="AO932" s="69"/>
      <c r="AP932" s="69"/>
      <c r="AQ932" s="69"/>
      <c r="AR932" s="69"/>
      <c r="AS932" s="69"/>
      <c r="AT932" s="69"/>
      <c r="AU932" s="69"/>
      <c r="AV932" s="69"/>
      <c r="AW932" s="69"/>
      <c r="AX932" s="69"/>
      <c r="AY932" s="69"/>
      <c r="AZ932" s="69"/>
      <c r="BA932" s="69"/>
      <c r="BB932" s="69"/>
      <c r="BC932" s="69"/>
    </row>
    <row r="933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71"/>
      <c r="L933" s="69"/>
      <c r="M933" s="69"/>
      <c r="N933" s="72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  <c r="AI933" s="69"/>
      <c r="AJ933" s="69"/>
      <c r="AK933" s="69"/>
      <c r="AL933" s="69"/>
      <c r="AM933" s="69"/>
      <c r="AN933" s="69"/>
      <c r="AO933" s="69"/>
      <c r="AP933" s="69"/>
      <c r="AQ933" s="69"/>
      <c r="AR933" s="69"/>
      <c r="AS933" s="69"/>
      <c r="AT933" s="69"/>
      <c r="AU933" s="69"/>
      <c r="AV933" s="69"/>
      <c r="AW933" s="69"/>
      <c r="AX933" s="69"/>
      <c r="AY933" s="69"/>
      <c r="AZ933" s="69"/>
      <c r="BA933" s="69"/>
      <c r="BB933" s="69"/>
      <c r="BC933" s="69"/>
    </row>
    <row r="934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71"/>
      <c r="L934" s="69"/>
      <c r="M934" s="69"/>
      <c r="N934" s="72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/>
      <c r="AJ934" s="69"/>
      <c r="AK934" s="69"/>
      <c r="AL934" s="69"/>
      <c r="AM934" s="69"/>
      <c r="AN934" s="69"/>
      <c r="AO934" s="69"/>
      <c r="AP934" s="69"/>
      <c r="AQ934" s="69"/>
      <c r="AR934" s="69"/>
      <c r="AS934" s="69"/>
      <c r="AT934" s="69"/>
      <c r="AU934" s="69"/>
      <c r="AV934" s="69"/>
      <c r="AW934" s="69"/>
      <c r="AX934" s="69"/>
      <c r="AY934" s="69"/>
      <c r="AZ934" s="69"/>
      <c r="BA934" s="69"/>
      <c r="BB934" s="69"/>
      <c r="BC934" s="69"/>
    </row>
    <row r="93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71"/>
      <c r="L935" s="69"/>
      <c r="M935" s="69"/>
      <c r="N935" s="72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  <c r="AI935" s="69"/>
      <c r="AJ935" s="69"/>
      <c r="AK935" s="69"/>
      <c r="AL935" s="69"/>
      <c r="AM935" s="69"/>
      <c r="AN935" s="69"/>
      <c r="AO935" s="69"/>
      <c r="AP935" s="69"/>
      <c r="AQ935" s="69"/>
      <c r="AR935" s="69"/>
      <c r="AS935" s="69"/>
      <c r="AT935" s="69"/>
      <c r="AU935" s="69"/>
      <c r="AV935" s="69"/>
      <c r="AW935" s="69"/>
      <c r="AX935" s="69"/>
      <c r="AY935" s="69"/>
      <c r="AZ935" s="69"/>
      <c r="BA935" s="69"/>
      <c r="BB935" s="69"/>
      <c r="BC935" s="69"/>
    </row>
    <row r="936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71"/>
      <c r="L936" s="69"/>
      <c r="M936" s="69"/>
      <c r="N936" s="72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/>
      <c r="AJ936" s="69"/>
      <c r="AK936" s="69"/>
      <c r="AL936" s="69"/>
      <c r="AM936" s="69"/>
      <c r="AN936" s="69"/>
      <c r="AO936" s="69"/>
      <c r="AP936" s="69"/>
      <c r="AQ936" s="69"/>
      <c r="AR936" s="69"/>
      <c r="AS936" s="69"/>
      <c r="AT936" s="69"/>
      <c r="AU936" s="69"/>
      <c r="AV936" s="69"/>
      <c r="AW936" s="69"/>
      <c r="AX936" s="69"/>
      <c r="AY936" s="69"/>
      <c r="AZ936" s="69"/>
      <c r="BA936" s="69"/>
      <c r="BB936" s="69"/>
      <c r="BC936" s="69"/>
    </row>
    <row r="937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71"/>
      <c r="L937" s="69"/>
      <c r="M937" s="69"/>
      <c r="N937" s="72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  <c r="AI937" s="69"/>
      <c r="AJ937" s="69"/>
      <c r="AK937" s="69"/>
      <c r="AL937" s="69"/>
      <c r="AM937" s="69"/>
      <c r="AN937" s="69"/>
      <c r="AO937" s="69"/>
      <c r="AP937" s="69"/>
      <c r="AQ937" s="69"/>
      <c r="AR937" s="69"/>
      <c r="AS937" s="69"/>
      <c r="AT937" s="69"/>
      <c r="AU937" s="69"/>
      <c r="AV937" s="69"/>
      <c r="AW937" s="69"/>
      <c r="AX937" s="69"/>
      <c r="AY937" s="69"/>
      <c r="AZ937" s="69"/>
      <c r="BA937" s="69"/>
      <c r="BB937" s="69"/>
      <c r="BC937" s="69"/>
    </row>
    <row r="938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71"/>
      <c r="L938" s="69"/>
      <c r="M938" s="69"/>
      <c r="N938" s="72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  <c r="AI938" s="69"/>
      <c r="AJ938" s="69"/>
      <c r="AK938" s="69"/>
      <c r="AL938" s="69"/>
      <c r="AM938" s="69"/>
      <c r="AN938" s="69"/>
      <c r="AO938" s="69"/>
      <c r="AP938" s="69"/>
      <c r="AQ938" s="69"/>
      <c r="AR938" s="69"/>
      <c r="AS938" s="69"/>
      <c r="AT938" s="69"/>
      <c r="AU938" s="69"/>
      <c r="AV938" s="69"/>
      <c r="AW938" s="69"/>
      <c r="AX938" s="69"/>
      <c r="AY938" s="69"/>
      <c r="AZ938" s="69"/>
      <c r="BA938" s="69"/>
      <c r="BB938" s="69"/>
      <c r="BC938" s="69"/>
    </row>
    <row r="939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71"/>
      <c r="L939" s="69"/>
      <c r="M939" s="69"/>
      <c r="N939" s="72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  <c r="AK939" s="69"/>
      <c r="AL939" s="69"/>
      <c r="AM939" s="69"/>
      <c r="AN939" s="69"/>
      <c r="AO939" s="69"/>
      <c r="AP939" s="69"/>
      <c r="AQ939" s="69"/>
      <c r="AR939" s="69"/>
      <c r="AS939" s="69"/>
      <c r="AT939" s="69"/>
      <c r="AU939" s="69"/>
      <c r="AV939" s="69"/>
      <c r="AW939" s="69"/>
      <c r="AX939" s="69"/>
      <c r="AY939" s="69"/>
      <c r="AZ939" s="69"/>
      <c r="BA939" s="69"/>
      <c r="BB939" s="69"/>
      <c r="BC939" s="69"/>
    </row>
    <row r="940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71"/>
      <c r="L940" s="69"/>
      <c r="M940" s="69"/>
      <c r="N940" s="72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/>
      <c r="AK940" s="69"/>
      <c r="AL940" s="69"/>
      <c r="AM940" s="69"/>
      <c r="AN940" s="69"/>
      <c r="AO940" s="69"/>
      <c r="AP940" s="69"/>
      <c r="AQ940" s="69"/>
      <c r="AR940" s="69"/>
      <c r="AS940" s="69"/>
      <c r="AT940" s="69"/>
      <c r="AU940" s="69"/>
      <c r="AV940" s="69"/>
      <c r="AW940" s="69"/>
      <c r="AX940" s="69"/>
      <c r="AY940" s="69"/>
      <c r="AZ940" s="69"/>
      <c r="BA940" s="69"/>
      <c r="BB940" s="69"/>
      <c r="BC940" s="69"/>
    </row>
    <row r="94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71"/>
      <c r="L941" s="69"/>
      <c r="M941" s="69"/>
      <c r="N941" s="72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/>
      <c r="AK941" s="69"/>
      <c r="AL941" s="69"/>
      <c r="AM941" s="69"/>
      <c r="AN941" s="69"/>
      <c r="AO941" s="69"/>
      <c r="AP941" s="69"/>
      <c r="AQ941" s="69"/>
      <c r="AR941" s="69"/>
      <c r="AS941" s="69"/>
      <c r="AT941" s="69"/>
      <c r="AU941" s="69"/>
      <c r="AV941" s="69"/>
      <c r="AW941" s="69"/>
      <c r="AX941" s="69"/>
      <c r="AY941" s="69"/>
      <c r="AZ941" s="69"/>
      <c r="BA941" s="69"/>
      <c r="BB941" s="69"/>
      <c r="BC941" s="69"/>
    </row>
    <row r="942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71"/>
      <c r="L942" s="69"/>
      <c r="M942" s="69"/>
      <c r="N942" s="72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/>
      <c r="AK942" s="69"/>
      <c r="AL942" s="69"/>
      <c r="AM942" s="69"/>
      <c r="AN942" s="69"/>
      <c r="AO942" s="69"/>
      <c r="AP942" s="69"/>
      <c r="AQ942" s="69"/>
      <c r="AR942" s="69"/>
      <c r="AS942" s="69"/>
      <c r="AT942" s="69"/>
      <c r="AU942" s="69"/>
      <c r="AV942" s="69"/>
      <c r="AW942" s="69"/>
      <c r="AX942" s="69"/>
      <c r="AY942" s="69"/>
      <c r="AZ942" s="69"/>
      <c r="BA942" s="69"/>
      <c r="BB942" s="69"/>
      <c r="BC942" s="69"/>
    </row>
    <row r="943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71"/>
      <c r="L943" s="69"/>
      <c r="M943" s="69"/>
      <c r="N943" s="72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/>
      <c r="AK943" s="69"/>
      <c r="AL943" s="69"/>
      <c r="AM943" s="69"/>
      <c r="AN943" s="69"/>
      <c r="AO943" s="69"/>
      <c r="AP943" s="69"/>
      <c r="AQ943" s="69"/>
      <c r="AR943" s="69"/>
      <c r="AS943" s="69"/>
      <c r="AT943" s="69"/>
      <c r="AU943" s="69"/>
      <c r="AV943" s="69"/>
      <c r="AW943" s="69"/>
      <c r="AX943" s="69"/>
      <c r="AY943" s="69"/>
      <c r="AZ943" s="69"/>
      <c r="BA943" s="69"/>
      <c r="BB943" s="69"/>
      <c r="BC943" s="69"/>
    </row>
    <row r="944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71"/>
      <c r="L944" s="69"/>
      <c r="M944" s="69"/>
      <c r="N944" s="72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/>
      <c r="AK944" s="69"/>
      <c r="AL944" s="69"/>
      <c r="AM944" s="69"/>
      <c r="AN944" s="69"/>
      <c r="AO944" s="69"/>
      <c r="AP944" s="69"/>
      <c r="AQ944" s="69"/>
      <c r="AR944" s="69"/>
      <c r="AS944" s="69"/>
      <c r="AT944" s="69"/>
      <c r="AU944" s="69"/>
      <c r="AV944" s="69"/>
      <c r="AW944" s="69"/>
      <c r="AX944" s="69"/>
      <c r="AY944" s="69"/>
      <c r="AZ944" s="69"/>
      <c r="BA944" s="69"/>
      <c r="BB944" s="69"/>
      <c r="BC944" s="69"/>
    </row>
    <row r="94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71"/>
      <c r="L945" s="69"/>
      <c r="M945" s="69"/>
      <c r="N945" s="72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  <c r="AI945" s="69"/>
      <c r="AJ945" s="69"/>
      <c r="AK945" s="69"/>
      <c r="AL945" s="69"/>
      <c r="AM945" s="69"/>
      <c r="AN945" s="69"/>
      <c r="AO945" s="69"/>
      <c r="AP945" s="69"/>
      <c r="AQ945" s="69"/>
      <c r="AR945" s="69"/>
      <c r="AS945" s="69"/>
      <c r="AT945" s="69"/>
      <c r="AU945" s="69"/>
      <c r="AV945" s="69"/>
      <c r="AW945" s="69"/>
      <c r="AX945" s="69"/>
      <c r="AY945" s="69"/>
      <c r="AZ945" s="69"/>
      <c r="BA945" s="69"/>
      <c r="BB945" s="69"/>
      <c r="BC945" s="69"/>
    </row>
    <row r="946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71"/>
      <c r="L946" s="69"/>
      <c r="M946" s="69"/>
      <c r="N946" s="72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  <c r="AI946" s="69"/>
      <c r="AJ946" s="69"/>
      <c r="AK946" s="69"/>
      <c r="AL946" s="69"/>
      <c r="AM946" s="69"/>
      <c r="AN946" s="69"/>
      <c r="AO946" s="69"/>
      <c r="AP946" s="69"/>
      <c r="AQ946" s="69"/>
      <c r="AR946" s="69"/>
      <c r="AS946" s="69"/>
      <c r="AT946" s="69"/>
      <c r="AU946" s="69"/>
      <c r="AV946" s="69"/>
      <c r="AW946" s="69"/>
      <c r="AX946" s="69"/>
      <c r="AY946" s="69"/>
      <c r="AZ946" s="69"/>
      <c r="BA946" s="69"/>
      <c r="BB946" s="69"/>
      <c r="BC946" s="69"/>
    </row>
    <row r="947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71"/>
      <c r="L947" s="69"/>
      <c r="M947" s="69"/>
      <c r="N947" s="72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  <c r="AI947" s="69"/>
      <c r="AJ947" s="69"/>
      <c r="AK947" s="69"/>
      <c r="AL947" s="69"/>
      <c r="AM947" s="69"/>
      <c r="AN947" s="69"/>
      <c r="AO947" s="69"/>
      <c r="AP947" s="69"/>
      <c r="AQ947" s="69"/>
      <c r="AR947" s="69"/>
      <c r="AS947" s="69"/>
      <c r="AT947" s="69"/>
      <c r="AU947" s="69"/>
      <c r="AV947" s="69"/>
      <c r="AW947" s="69"/>
      <c r="AX947" s="69"/>
      <c r="AY947" s="69"/>
      <c r="AZ947" s="69"/>
      <c r="BA947" s="69"/>
      <c r="BB947" s="69"/>
      <c r="BC947" s="69"/>
    </row>
    <row r="948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71"/>
      <c r="L948" s="69"/>
      <c r="M948" s="69"/>
      <c r="N948" s="72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  <c r="AI948" s="69"/>
      <c r="AJ948" s="69"/>
      <c r="AK948" s="69"/>
      <c r="AL948" s="69"/>
      <c r="AM948" s="69"/>
      <c r="AN948" s="69"/>
      <c r="AO948" s="69"/>
      <c r="AP948" s="69"/>
      <c r="AQ948" s="69"/>
      <c r="AR948" s="69"/>
      <c r="AS948" s="69"/>
      <c r="AT948" s="69"/>
      <c r="AU948" s="69"/>
      <c r="AV948" s="69"/>
      <c r="AW948" s="69"/>
      <c r="AX948" s="69"/>
      <c r="AY948" s="69"/>
      <c r="AZ948" s="69"/>
      <c r="BA948" s="69"/>
      <c r="BB948" s="69"/>
      <c r="BC948" s="69"/>
    </row>
    <row r="949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71"/>
      <c r="L949" s="69"/>
      <c r="M949" s="69"/>
      <c r="N949" s="72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  <c r="AI949" s="69"/>
      <c r="AJ949" s="69"/>
      <c r="AK949" s="69"/>
      <c r="AL949" s="69"/>
      <c r="AM949" s="69"/>
      <c r="AN949" s="69"/>
      <c r="AO949" s="69"/>
      <c r="AP949" s="69"/>
      <c r="AQ949" s="69"/>
      <c r="AR949" s="69"/>
      <c r="AS949" s="69"/>
      <c r="AT949" s="69"/>
      <c r="AU949" s="69"/>
      <c r="AV949" s="69"/>
      <c r="AW949" s="69"/>
      <c r="AX949" s="69"/>
      <c r="AY949" s="69"/>
      <c r="AZ949" s="69"/>
      <c r="BA949" s="69"/>
      <c r="BB949" s="69"/>
      <c r="BC949" s="69"/>
    </row>
    <row r="950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71"/>
      <c r="L950" s="69"/>
      <c r="M950" s="69"/>
      <c r="N950" s="72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/>
      <c r="AK950" s="69"/>
      <c r="AL950" s="69"/>
      <c r="AM950" s="69"/>
      <c r="AN950" s="69"/>
      <c r="AO950" s="69"/>
      <c r="AP950" s="69"/>
      <c r="AQ950" s="69"/>
      <c r="AR950" s="69"/>
      <c r="AS950" s="69"/>
      <c r="AT950" s="69"/>
      <c r="AU950" s="69"/>
      <c r="AV950" s="69"/>
      <c r="AW950" s="69"/>
      <c r="AX950" s="69"/>
      <c r="AY950" s="69"/>
      <c r="AZ950" s="69"/>
      <c r="BA950" s="69"/>
      <c r="BB950" s="69"/>
      <c r="BC950" s="69"/>
    </row>
    <row r="95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71"/>
      <c r="L951" s="69"/>
      <c r="M951" s="69"/>
      <c r="N951" s="72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  <c r="AK951" s="69"/>
      <c r="AL951" s="69"/>
      <c r="AM951" s="69"/>
      <c r="AN951" s="69"/>
      <c r="AO951" s="69"/>
      <c r="AP951" s="69"/>
      <c r="AQ951" s="69"/>
      <c r="AR951" s="69"/>
      <c r="AS951" s="69"/>
      <c r="AT951" s="69"/>
      <c r="AU951" s="69"/>
      <c r="AV951" s="69"/>
      <c r="AW951" s="69"/>
      <c r="AX951" s="69"/>
      <c r="AY951" s="69"/>
      <c r="AZ951" s="69"/>
      <c r="BA951" s="69"/>
      <c r="BB951" s="69"/>
      <c r="BC951" s="69"/>
    </row>
    <row r="952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71"/>
      <c r="L952" s="69"/>
      <c r="M952" s="69"/>
      <c r="N952" s="72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/>
      <c r="AK952" s="69"/>
      <c r="AL952" s="69"/>
      <c r="AM952" s="69"/>
      <c r="AN952" s="69"/>
      <c r="AO952" s="69"/>
      <c r="AP952" s="69"/>
      <c r="AQ952" s="69"/>
      <c r="AR952" s="69"/>
      <c r="AS952" s="69"/>
      <c r="AT952" s="69"/>
      <c r="AU952" s="69"/>
      <c r="AV952" s="69"/>
      <c r="AW952" s="69"/>
      <c r="AX952" s="69"/>
      <c r="AY952" s="69"/>
      <c r="AZ952" s="69"/>
      <c r="BA952" s="69"/>
      <c r="BB952" s="69"/>
      <c r="BC952" s="69"/>
    </row>
    <row r="953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71"/>
      <c r="L953" s="69"/>
      <c r="M953" s="69"/>
      <c r="N953" s="72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  <c r="AK953" s="69"/>
      <c r="AL953" s="69"/>
      <c r="AM953" s="69"/>
      <c r="AN953" s="69"/>
      <c r="AO953" s="69"/>
      <c r="AP953" s="69"/>
      <c r="AQ953" s="69"/>
      <c r="AR953" s="69"/>
      <c r="AS953" s="69"/>
      <c r="AT953" s="69"/>
      <c r="AU953" s="69"/>
      <c r="AV953" s="69"/>
      <c r="AW953" s="69"/>
      <c r="AX953" s="69"/>
      <c r="AY953" s="69"/>
      <c r="AZ953" s="69"/>
      <c r="BA953" s="69"/>
      <c r="BB953" s="69"/>
      <c r="BC953" s="69"/>
    </row>
    <row r="954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71"/>
      <c r="L954" s="69"/>
      <c r="M954" s="69"/>
      <c r="N954" s="72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/>
      <c r="AK954" s="69"/>
      <c r="AL954" s="69"/>
      <c r="AM954" s="69"/>
      <c r="AN954" s="69"/>
      <c r="AO954" s="69"/>
      <c r="AP954" s="69"/>
      <c r="AQ954" s="69"/>
      <c r="AR954" s="69"/>
      <c r="AS954" s="69"/>
      <c r="AT954" s="69"/>
      <c r="AU954" s="69"/>
      <c r="AV954" s="69"/>
      <c r="AW954" s="69"/>
      <c r="AX954" s="69"/>
      <c r="AY954" s="69"/>
      <c r="AZ954" s="69"/>
      <c r="BA954" s="69"/>
      <c r="BB954" s="69"/>
      <c r="BC954" s="69"/>
    </row>
    <row r="95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71"/>
      <c r="L955" s="69"/>
      <c r="M955" s="69"/>
      <c r="N955" s="72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  <c r="AK955" s="69"/>
      <c r="AL955" s="69"/>
      <c r="AM955" s="69"/>
      <c r="AN955" s="69"/>
      <c r="AO955" s="69"/>
      <c r="AP955" s="69"/>
      <c r="AQ955" s="69"/>
      <c r="AR955" s="69"/>
      <c r="AS955" s="69"/>
      <c r="AT955" s="69"/>
      <c r="AU955" s="69"/>
      <c r="AV955" s="69"/>
      <c r="AW955" s="69"/>
      <c r="AX955" s="69"/>
      <c r="AY955" s="69"/>
      <c r="AZ955" s="69"/>
      <c r="BA955" s="69"/>
      <c r="BB955" s="69"/>
      <c r="BC955" s="69"/>
    </row>
    <row r="956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71"/>
      <c r="L956" s="69"/>
      <c r="M956" s="69"/>
      <c r="N956" s="72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  <c r="AI956" s="69"/>
      <c r="AJ956" s="69"/>
      <c r="AK956" s="69"/>
      <c r="AL956" s="69"/>
      <c r="AM956" s="69"/>
      <c r="AN956" s="69"/>
      <c r="AO956" s="69"/>
      <c r="AP956" s="69"/>
      <c r="AQ956" s="69"/>
      <c r="AR956" s="69"/>
      <c r="AS956" s="69"/>
      <c r="AT956" s="69"/>
      <c r="AU956" s="69"/>
      <c r="AV956" s="69"/>
      <c r="AW956" s="69"/>
      <c r="AX956" s="69"/>
      <c r="AY956" s="69"/>
      <c r="AZ956" s="69"/>
      <c r="BA956" s="69"/>
      <c r="BB956" s="69"/>
      <c r="BC956" s="69"/>
    </row>
    <row r="957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71"/>
      <c r="L957" s="69"/>
      <c r="M957" s="69"/>
      <c r="N957" s="72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  <c r="AK957" s="69"/>
      <c r="AL957" s="69"/>
      <c r="AM957" s="69"/>
      <c r="AN957" s="69"/>
      <c r="AO957" s="69"/>
      <c r="AP957" s="69"/>
      <c r="AQ957" s="69"/>
      <c r="AR957" s="69"/>
      <c r="AS957" s="69"/>
      <c r="AT957" s="69"/>
      <c r="AU957" s="69"/>
      <c r="AV957" s="69"/>
      <c r="AW957" s="69"/>
      <c r="AX957" s="69"/>
      <c r="AY957" s="69"/>
      <c r="AZ957" s="69"/>
      <c r="BA957" s="69"/>
      <c r="BB957" s="69"/>
      <c r="BC957" s="69"/>
    </row>
    <row r="958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71"/>
      <c r="L958" s="69"/>
      <c r="M958" s="69"/>
      <c r="N958" s="72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  <c r="AI958" s="69"/>
      <c r="AJ958" s="69"/>
      <c r="AK958" s="69"/>
      <c r="AL958" s="69"/>
      <c r="AM958" s="69"/>
      <c r="AN958" s="69"/>
      <c r="AO958" s="69"/>
      <c r="AP958" s="69"/>
      <c r="AQ958" s="69"/>
      <c r="AR958" s="69"/>
      <c r="AS958" s="69"/>
      <c r="AT958" s="69"/>
      <c r="AU958" s="69"/>
      <c r="AV958" s="69"/>
      <c r="AW958" s="69"/>
      <c r="AX958" s="69"/>
      <c r="AY958" s="69"/>
      <c r="AZ958" s="69"/>
      <c r="BA958" s="69"/>
      <c r="BB958" s="69"/>
      <c r="BC958" s="69"/>
    </row>
    <row r="959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71"/>
      <c r="L959" s="69"/>
      <c r="M959" s="69"/>
      <c r="N959" s="72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  <c r="AK959" s="69"/>
      <c r="AL959" s="69"/>
      <c r="AM959" s="69"/>
      <c r="AN959" s="69"/>
      <c r="AO959" s="69"/>
      <c r="AP959" s="69"/>
      <c r="AQ959" s="69"/>
      <c r="AR959" s="69"/>
      <c r="AS959" s="69"/>
      <c r="AT959" s="69"/>
      <c r="AU959" s="69"/>
      <c r="AV959" s="69"/>
      <c r="AW959" s="69"/>
      <c r="AX959" s="69"/>
      <c r="AY959" s="69"/>
      <c r="AZ959" s="69"/>
      <c r="BA959" s="69"/>
      <c r="BB959" s="69"/>
      <c r="BC959" s="69"/>
    </row>
    <row r="960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71"/>
      <c r="L960" s="69"/>
      <c r="M960" s="69"/>
      <c r="N960" s="72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  <c r="AI960" s="69"/>
      <c r="AJ960" s="69"/>
      <c r="AK960" s="69"/>
      <c r="AL960" s="69"/>
      <c r="AM960" s="69"/>
      <c r="AN960" s="69"/>
      <c r="AO960" s="69"/>
      <c r="AP960" s="69"/>
      <c r="AQ960" s="69"/>
      <c r="AR960" s="69"/>
      <c r="AS960" s="69"/>
      <c r="AT960" s="69"/>
      <c r="AU960" s="69"/>
      <c r="AV960" s="69"/>
      <c r="AW960" s="69"/>
      <c r="AX960" s="69"/>
      <c r="AY960" s="69"/>
      <c r="AZ960" s="69"/>
      <c r="BA960" s="69"/>
      <c r="BB960" s="69"/>
      <c r="BC960" s="69"/>
    </row>
    <row r="96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71"/>
      <c r="L961" s="69"/>
      <c r="M961" s="69"/>
      <c r="N961" s="72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  <c r="AK961" s="69"/>
      <c r="AL961" s="69"/>
      <c r="AM961" s="69"/>
      <c r="AN961" s="69"/>
      <c r="AO961" s="69"/>
      <c r="AP961" s="69"/>
      <c r="AQ961" s="69"/>
      <c r="AR961" s="69"/>
      <c r="AS961" s="69"/>
      <c r="AT961" s="69"/>
      <c r="AU961" s="69"/>
      <c r="AV961" s="69"/>
      <c r="AW961" s="69"/>
      <c r="AX961" s="69"/>
      <c r="AY961" s="69"/>
      <c r="AZ961" s="69"/>
      <c r="BA961" s="69"/>
      <c r="BB961" s="69"/>
      <c r="BC961" s="69"/>
    </row>
    <row r="962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71"/>
      <c r="L962" s="69"/>
      <c r="M962" s="69"/>
      <c r="N962" s="72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  <c r="AK962" s="69"/>
      <c r="AL962" s="69"/>
      <c r="AM962" s="69"/>
      <c r="AN962" s="69"/>
      <c r="AO962" s="69"/>
      <c r="AP962" s="69"/>
      <c r="AQ962" s="69"/>
      <c r="AR962" s="69"/>
      <c r="AS962" s="69"/>
      <c r="AT962" s="69"/>
      <c r="AU962" s="69"/>
      <c r="AV962" s="69"/>
      <c r="AW962" s="69"/>
      <c r="AX962" s="69"/>
      <c r="AY962" s="69"/>
      <c r="AZ962" s="69"/>
      <c r="BA962" s="69"/>
      <c r="BB962" s="69"/>
      <c r="BC962" s="69"/>
    </row>
    <row r="963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71"/>
      <c r="L963" s="69"/>
      <c r="M963" s="69"/>
      <c r="N963" s="72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  <c r="AK963" s="69"/>
      <c r="AL963" s="69"/>
      <c r="AM963" s="69"/>
      <c r="AN963" s="69"/>
      <c r="AO963" s="69"/>
      <c r="AP963" s="69"/>
      <c r="AQ963" s="69"/>
      <c r="AR963" s="69"/>
      <c r="AS963" s="69"/>
      <c r="AT963" s="69"/>
      <c r="AU963" s="69"/>
      <c r="AV963" s="69"/>
      <c r="AW963" s="69"/>
      <c r="AX963" s="69"/>
      <c r="AY963" s="69"/>
      <c r="AZ963" s="69"/>
      <c r="BA963" s="69"/>
      <c r="BB963" s="69"/>
      <c r="BC963" s="69"/>
    </row>
    <row r="964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71"/>
      <c r="L964" s="69"/>
      <c r="M964" s="69"/>
      <c r="N964" s="72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  <c r="AI964" s="69"/>
      <c r="AJ964" s="69"/>
      <c r="AK964" s="69"/>
      <c r="AL964" s="69"/>
      <c r="AM964" s="69"/>
      <c r="AN964" s="69"/>
      <c r="AO964" s="69"/>
      <c r="AP964" s="69"/>
      <c r="AQ964" s="69"/>
      <c r="AR964" s="69"/>
      <c r="AS964" s="69"/>
      <c r="AT964" s="69"/>
      <c r="AU964" s="69"/>
      <c r="AV964" s="69"/>
      <c r="AW964" s="69"/>
      <c r="AX964" s="69"/>
      <c r="AY964" s="69"/>
      <c r="AZ964" s="69"/>
      <c r="BA964" s="69"/>
      <c r="BB964" s="69"/>
      <c r="BC964" s="69"/>
    </row>
    <row r="96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71"/>
      <c r="L965" s="69"/>
      <c r="M965" s="69"/>
      <c r="N965" s="72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  <c r="AK965" s="69"/>
      <c r="AL965" s="69"/>
      <c r="AM965" s="69"/>
      <c r="AN965" s="69"/>
      <c r="AO965" s="69"/>
      <c r="AP965" s="69"/>
      <c r="AQ965" s="69"/>
      <c r="AR965" s="69"/>
      <c r="AS965" s="69"/>
      <c r="AT965" s="69"/>
      <c r="AU965" s="69"/>
      <c r="AV965" s="69"/>
      <c r="AW965" s="69"/>
      <c r="AX965" s="69"/>
      <c r="AY965" s="69"/>
      <c r="AZ965" s="69"/>
      <c r="BA965" s="69"/>
      <c r="BB965" s="69"/>
      <c r="BC965" s="69"/>
    </row>
    <row r="966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71"/>
      <c r="L966" s="69"/>
      <c r="M966" s="69"/>
      <c r="N966" s="72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  <c r="AI966" s="69"/>
      <c r="AJ966" s="69"/>
      <c r="AK966" s="69"/>
      <c r="AL966" s="69"/>
      <c r="AM966" s="69"/>
      <c r="AN966" s="69"/>
      <c r="AO966" s="69"/>
      <c r="AP966" s="69"/>
      <c r="AQ966" s="69"/>
      <c r="AR966" s="69"/>
      <c r="AS966" s="69"/>
      <c r="AT966" s="69"/>
      <c r="AU966" s="69"/>
      <c r="AV966" s="69"/>
      <c r="AW966" s="69"/>
      <c r="AX966" s="69"/>
      <c r="AY966" s="69"/>
      <c r="AZ966" s="69"/>
      <c r="BA966" s="69"/>
      <c r="BB966" s="69"/>
      <c r="BC966" s="69"/>
    </row>
    <row r="967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71"/>
      <c r="L967" s="69"/>
      <c r="M967" s="69"/>
      <c r="N967" s="72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  <c r="AK967" s="69"/>
      <c r="AL967" s="69"/>
      <c r="AM967" s="69"/>
      <c r="AN967" s="69"/>
      <c r="AO967" s="69"/>
      <c r="AP967" s="69"/>
      <c r="AQ967" s="69"/>
      <c r="AR967" s="69"/>
      <c r="AS967" s="69"/>
      <c r="AT967" s="69"/>
      <c r="AU967" s="69"/>
      <c r="AV967" s="69"/>
      <c r="AW967" s="69"/>
      <c r="AX967" s="69"/>
      <c r="AY967" s="69"/>
      <c r="AZ967" s="69"/>
      <c r="BA967" s="69"/>
      <c r="BB967" s="69"/>
      <c r="BC967" s="69"/>
    </row>
    <row r="968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71"/>
      <c r="L968" s="69"/>
      <c r="M968" s="69"/>
      <c r="N968" s="72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  <c r="AI968" s="69"/>
      <c r="AJ968" s="69"/>
      <c r="AK968" s="69"/>
      <c r="AL968" s="69"/>
      <c r="AM968" s="69"/>
      <c r="AN968" s="69"/>
      <c r="AO968" s="69"/>
      <c r="AP968" s="69"/>
      <c r="AQ968" s="69"/>
      <c r="AR968" s="69"/>
      <c r="AS968" s="69"/>
      <c r="AT968" s="69"/>
      <c r="AU968" s="69"/>
      <c r="AV968" s="69"/>
      <c r="AW968" s="69"/>
      <c r="AX968" s="69"/>
      <c r="AY968" s="69"/>
      <c r="AZ968" s="69"/>
      <c r="BA968" s="69"/>
      <c r="BB968" s="69"/>
      <c r="BC968" s="69"/>
    </row>
    <row r="969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71"/>
      <c r="L969" s="69"/>
      <c r="M969" s="69"/>
      <c r="N969" s="72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  <c r="AK969" s="69"/>
      <c r="AL969" s="69"/>
      <c r="AM969" s="69"/>
      <c r="AN969" s="69"/>
      <c r="AO969" s="69"/>
      <c r="AP969" s="69"/>
      <c r="AQ969" s="69"/>
      <c r="AR969" s="69"/>
      <c r="AS969" s="69"/>
      <c r="AT969" s="69"/>
      <c r="AU969" s="69"/>
      <c r="AV969" s="69"/>
      <c r="AW969" s="69"/>
      <c r="AX969" s="69"/>
      <c r="AY969" s="69"/>
      <c r="AZ969" s="69"/>
      <c r="BA969" s="69"/>
      <c r="BB969" s="69"/>
      <c r="BC969" s="69"/>
    </row>
    <row r="970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71"/>
      <c r="L970" s="69"/>
      <c r="M970" s="69"/>
      <c r="N970" s="72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  <c r="AI970" s="69"/>
      <c r="AJ970" s="69"/>
      <c r="AK970" s="69"/>
      <c r="AL970" s="69"/>
      <c r="AM970" s="69"/>
      <c r="AN970" s="69"/>
      <c r="AO970" s="69"/>
      <c r="AP970" s="69"/>
      <c r="AQ970" s="69"/>
      <c r="AR970" s="69"/>
      <c r="AS970" s="69"/>
      <c r="AT970" s="69"/>
      <c r="AU970" s="69"/>
      <c r="AV970" s="69"/>
      <c r="AW970" s="69"/>
      <c r="AX970" s="69"/>
      <c r="AY970" s="69"/>
      <c r="AZ970" s="69"/>
      <c r="BA970" s="69"/>
      <c r="BB970" s="69"/>
      <c r="BC970" s="69"/>
    </row>
    <row r="97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71"/>
      <c r="L971" s="69"/>
      <c r="M971" s="69"/>
      <c r="N971" s="72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  <c r="AK971" s="69"/>
      <c r="AL971" s="69"/>
      <c r="AM971" s="69"/>
      <c r="AN971" s="69"/>
      <c r="AO971" s="69"/>
      <c r="AP971" s="69"/>
      <c r="AQ971" s="69"/>
      <c r="AR971" s="69"/>
      <c r="AS971" s="69"/>
      <c r="AT971" s="69"/>
      <c r="AU971" s="69"/>
      <c r="AV971" s="69"/>
      <c r="AW971" s="69"/>
      <c r="AX971" s="69"/>
      <c r="AY971" s="69"/>
      <c r="AZ971" s="69"/>
      <c r="BA971" s="69"/>
      <c r="BB971" s="69"/>
      <c r="BC971" s="69"/>
    </row>
    <row r="972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71"/>
      <c r="L972" s="69"/>
      <c r="M972" s="69"/>
      <c r="N972" s="72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  <c r="AI972" s="69"/>
      <c r="AJ972" s="69"/>
      <c r="AK972" s="69"/>
      <c r="AL972" s="69"/>
      <c r="AM972" s="69"/>
      <c r="AN972" s="69"/>
      <c r="AO972" s="69"/>
      <c r="AP972" s="69"/>
      <c r="AQ972" s="69"/>
      <c r="AR972" s="69"/>
      <c r="AS972" s="69"/>
      <c r="AT972" s="69"/>
      <c r="AU972" s="69"/>
      <c r="AV972" s="69"/>
      <c r="AW972" s="69"/>
      <c r="AX972" s="69"/>
      <c r="AY972" s="69"/>
      <c r="AZ972" s="69"/>
      <c r="BA972" s="69"/>
      <c r="BB972" s="69"/>
      <c r="BC972" s="69"/>
    </row>
    <row r="973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71"/>
      <c r="L973" s="69"/>
      <c r="M973" s="69"/>
      <c r="N973" s="72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  <c r="AK973" s="69"/>
      <c r="AL973" s="69"/>
      <c r="AM973" s="69"/>
      <c r="AN973" s="69"/>
      <c r="AO973" s="69"/>
      <c r="AP973" s="69"/>
      <c r="AQ973" s="69"/>
      <c r="AR973" s="69"/>
      <c r="AS973" s="69"/>
      <c r="AT973" s="69"/>
      <c r="AU973" s="69"/>
      <c r="AV973" s="69"/>
      <c r="AW973" s="69"/>
      <c r="AX973" s="69"/>
      <c r="AY973" s="69"/>
      <c r="AZ973" s="69"/>
      <c r="BA973" s="69"/>
      <c r="BB973" s="69"/>
      <c r="BC973" s="69"/>
    </row>
    <row r="974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71"/>
      <c r="L974" s="69"/>
      <c r="M974" s="69"/>
      <c r="N974" s="72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  <c r="AI974" s="69"/>
      <c r="AJ974" s="69"/>
      <c r="AK974" s="69"/>
      <c r="AL974" s="69"/>
      <c r="AM974" s="69"/>
      <c r="AN974" s="69"/>
      <c r="AO974" s="69"/>
      <c r="AP974" s="69"/>
      <c r="AQ974" s="69"/>
      <c r="AR974" s="69"/>
      <c r="AS974" s="69"/>
      <c r="AT974" s="69"/>
      <c r="AU974" s="69"/>
      <c r="AV974" s="69"/>
      <c r="AW974" s="69"/>
      <c r="AX974" s="69"/>
      <c r="AY974" s="69"/>
      <c r="AZ974" s="69"/>
      <c r="BA974" s="69"/>
      <c r="BB974" s="69"/>
      <c r="BC974" s="69"/>
    </row>
    <row r="97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71"/>
      <c r="L975" s="69"/>
      <c r="M975" s="69"/>
      <c r="N975" s="72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  <c r="AK975" s="69"/>
      <c r="AL975" s="69"/>
      <c r="AM975" s="69"/>
      <c r="AN975" s="69"/>
      <c r="AO975" s="69"/>
      <c r="AP975" s="69"/>
      <c r="AQ975" s="69"/>
      <c r="AR975" s="69"/>
      <c r="AS975" s="69"/>
      <c r="AT975" s="69"/>
      <c r="AU975" s="69"/>
      <c r="AV975" s="69"/>
      <c r="AW975" s="69"/>
      <c r="AX975" s="69"/>
      <c r="AY975" s="69"/>
      <c r="AZ975" s="69"/>
      <c r="BA975" s="69"/>
      <c r="BB975" s="69"/>
      <c r="BC975" s="69"/>
    </row>
    <row r="976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71"/>
      <c r="L976" s="69"/>
      <c r="M976" s="69"/>
      <c r="N976" s="72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  <c r="AI976" s="69"/>
      <c r="AJ976" s="69"/>
      <c r="AK976" s="69"/>
      <c r="AL976" s="69"/>
      <c r="AM976" s="69"/>
      <c r="AN976" s="69"/>
      <c r="AO976" s="69"/>
      <c r="AP976" s="69"/>
      <c r="AQ976" s="69"/>
      <c r="AR976" s="69"/>
      <c r="AS976" s="69"/>
      <c r="AT976" s="69"/>
      <c r="AU976" s="69"/>
      <c r="AV976" s="69"/>
      <c r="AW976" s="69"/>
      <c r="AX976" s="69"/>
      <c r="AY976" s="69"/>
      <c r="AZ976" s="69"/>
      <c r="BA976" s="69"/>
      <c r="BB976" s="69"/>
      <c r="BC976" s="69"/>
    </row>
    <row r="977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71"/>
      <c r="L977" s="69"/>
      <c r="M977" s="69"/>
      <c r="N977" s="72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  <c r="AK977" s="69"/>
      <c r="AL977" s="69"/>
      <c r="AM977" s="69"/>
      <c r="AN977" s="69"/>
      <c r="AO977" s="69"/>
      <c r="AP977" s="69"/>
      <c r="AQ977" s="69"/>
      <c r="AR977" s="69"/>
      <c r="AS977" s="69"/>
      <c r="AT977" s="69"/>
      <c r="AU977" s="69"/>
      <c r="AV977" s="69"/>
      <c r="AW977" s="69"/>
      <c r="AX977" s="69"/>
      <c r="AY977" s="69"/>
      <c r="AZ977" s="69"/>
      <c r="BA977" s="69"/>
      <c r="BB977" s="69"/>
      <c r="BC977" s="69"/>
    </row>
    <row r="978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71"/>
      <c r="L978" s="69"/>
      <c r="M978" s="69"/>
      <c r="N978" s="72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  <c r="AI978" s="69"/>
      <c r="AJ978" s="69"/>
      <c r="AK978" s="69"/>
      <c r="AL978" s="69"/>
      <c r="AM978" s="69"/>
      <c r="AN978" s="69"/>
      <c r="AO978" s="69"/>
      <c r="AP978" s="69"/>
      <c r="AQ978" s="69"/>
      <c r="AR978" s="69"/>
      <c r="AS978" s="69"/>
      <c r="AT978" s="69"/>
      <c r="AU978" s="69"/>
      <c r="AV978" s="69"/>
      <c r="AW978" s="69"/>
      <c r="AX978" s="69"/>
      <c r="AY978" s="69"/>
      <c r="AZ978" s="69"/>
      <c r="BA978" s="69"/>
      <c r="BB978" s="69"/>
      <c r="BC978" s="69"/>
    </row>
    <row r="979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71"/>
      <c r="L979" s="69"/>
      <c r="M979" s="69"/>
      <c r="N979" s="72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  <c r="AK979" s="69"/>
      <c r="AL979" s="69"/>
      <c r="AM979" s="69"/>
      <c r="AN979" s="69"/>
      <c r="AO979" s="69"/>
      <c r="AP979" s="69"/>
      <c r="AQ979" s="69"/>
      <c r="AR979" s="69"/>
      <c r="AS979" s="69"/>
      <c r="AT979" s="69"/>
      <c r="AU979" s="69"/>
      <c r="AV979" s="69"/>
      <c r="AW979" s="69"/>
      <c r="AX979" s="69"/>
      <c r="AY979" s="69"/>
      <c r="AZ979" s="69"/>
      <c r="BA979" s="69"/>
      <c r="BB979" s="69"/>
      <c r="BC979" s="69"/>
    </row>
    <row r="980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71"/>
      <c r="L980" s="69"/>
      <c r="M980" s="69"/>
      <c r="N980" s="72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  <c r="AI980" s="69"/>
      <c r="AJ980" s="69"/>
      <c r="AK980" s="69"/>
      <c r="AL980" s="69"/>
      <c r="AM980" s="69"/>
      <c r="AN980" s="69"/>
      <c r="AO980" s="69"/>
      <c r="AP980" s="69"/>
      <c r="AQ980" s="69"/>
      <c r="AR980" s="69"/>
      <c r="AS980" s="69"/>
      <c r="AT980" s="69"/>
      <c r="AU980" s="69"/>
      <c r="AV980" s="69"/>
      <c r="AW980" s="69"/>
      <c r="AX980" s="69"/>
      <c r="AY980" s="69"/>
      <c r="AZ980" s="69"/>
      <c r="BA980" s="69"/>
      <c r="BB980" s="69"/>
      <c r="BC980" s="69"/>
    </row>
    <row r="98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71"/>
      <c r="L981" s="69"/>
      <c r="M981" s="69"/>
      <c r="N981" s="72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  <c r="AK981" s="69"/>
      <c r="AL981" s="69"/>
      <c r="AM981" s="69"/>
      <c r="AN981" s="69"/>
      <c r="AO981" s="69"/>
      <c r="AP981" s="69"/>
      <c r="AQ981" s="69"/>
      <c r="AR981" s="69"/>
      <c r="AS981" s="69"/>
      <c r="AT981" s="69"/>
      <c r="AU981" s="69"/>
      <c r="AV981" s="69"/>
      <c r="AW981" s="69"/>
      <c r="AX981" s="69"/>
      <c r="AY981" s="69"/>
      <c r="AZ981" s="69"/>
      <c r="BA981" s="69"/>
      <c r="BB981" s="69"/>
      <c r="BC981" s="69"/>
    </row>
    <row r="982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71"/>
      <c r="L982" s="69"/>
      <c r="M982" s="69"/>
      <c r="N982" s="72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/>
      <c r="AJ982" s="69"/>
      <c r="AK982" s="69"/>
      <c r="AL982" s="69"/>
      <c r="AM982" s="69"/>
      <c r="AN982" s="69"/>
      <c r="AO982" s="69"/>
      <c r="AP982" s="69"/>
      <c r="AQ982" s="69"/>
      <c r="AR982" s="69"/>
      <c r="AS982" s="69"/>
      <c r="AT982" s="69"/>
      <c r="AU982" s="69"/>
      <c r="AV982" s="69"/>
      <c r="AW982" s="69"/>
      <c r="AX982" s="69"/>
      <c r="AY982" s="69"/>
      <c r="AZ982" s="69"/>
      <c r="BA982" s="69"/>
      <c r="BB982" s="69"/>
      <c r="BC982" s="69"/>
    </row>
    <row r="983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71"/>
      <c r="L983" s="69"/>
      <c r="M983" s="69"/>
      <c r="N983" s="72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  <c r="AK983" s="69"/>
      <c r="AL983" s="69"/>
      <c r="AM983" s="69"/>
      <c r="AN983" s="69"/>
      <c r="AO983" s="69"/>
      <c r="AP983" s="69"/>
      <c r="AQ983" s="69"/>
      <c r="AR983" s="69"/>
      <c r="AS983" s="69"/>
      <c r="AT983" s="69"/>
      <c r="AU983" s="69"/>
      <c r="AV983" s="69"/>
      <c r="AW983" s="69"/>
      <c r="AX983" s="69"/>
      <c r="AY983" s="69"/>
      <c r="AZ983" s="69"/>
      <c r="BA983" s="69"/>
      <c r="BB983" s="69"/>
      <c r="BC983" s="69"/>
    </row>
    <row r="984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71"/>
      <c r="L984" s="69"/>
      <c r="M984" s="69"/>
      <c r="N984" s="72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/>
      <c r="AJ984" s="69"/>
      <c r="AK984" s="69"/>
      <c r="AL984" s="69"/>
      <c r="AM984" s="69"/>
      <c r="AN984" s="69"/>
      <c r="AO984" s="69"/>
      <c r="AP984" s="69"/>
      <c r="AQ984" s="69"/>
      <c r="AR984" s="69"/>
      <c r="AS984" s="69"/>
      <c r="AT984" s="69"/>
      <c r="AU984" s="69"/>
      <c r="AV984" s="69"/>
      <c r="AW984" s="69"/>
      <c r="AX984" s="69"/>
      <c r="AY984" s="69"/>
      <c r="AZ984" s="69"/>
      <c r="BA984" s="69"/>
      <c r="BB984" s="69"/>
      <c r="BC984" s="69"/>
    </row>
    <row r="98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71"/>
      <c r="L985" s="69"/>
      <c r="M985" s="69"/>
      <c r="N985" s="72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  <c r="AK985" s="69"/>
      <c r="AL985" s="69"/>
      <c r="AM985" s="69"/>
      <c r="AN985" s="69"/>
      <c r="AO985" s="69"/>
      <c r="AP985" s="69"/>
      <c r="AQ985" s="69"/>
      <c r="AR985" s="69"/>
      <c r="AS985" s="69"/>
      <c r="AT985" s="69"/>
      <c r="AU985" s="69"/>
      <c r="AV985" s="69"/>
      <c r="AW985" s="69"/>
      <c r="AX985" s="69"/>
      <c r="AY985" s="69"/>
      <c r="AZ985" s="69"/>
      <c r="BA985" s="69"/>
      <c r="BB985" s="69"/>
      <c r="BC985" s="69"/>
    </row>
    <row r="986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71"/>
      <c r="L986" s="69"/>
      <c r="M986" s="69"/>
      <c r="N986" s="72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  <c r="AI986" s="69"/>
      <c r="AJ986" s="69"/>
      <c r="AK986" s="69"/>
      <c r="AL986" s="69"/>
      <c r="AM986" s="69"/>
      <c r="AN986" s="69"/>
      <c r="AO986" s="69"/>
      <c r="AP986" s="69"/>
      <c r="AQ986" s="69"/>
      <c r="AR986" s="69"/>
      <c r="AS986" s="69"/>
      <c r="AT986" s="69"/>
      <c r="AU986" s="69"/>
      <c r="AV986" s="69"/>
      <c r="AW986" s="69"/>
      <c r="AX986" s="69"/>
      <c r="AY986" s="69"/>
      <c r="AZ986" s="69"/>
      <c r="BA986" s="69"/>
      <c r="BB986" s="69"/>
      <c r="BC986" s="69"/>
    </row>
    <row r="987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71"/>
      <c r="L987" s="69"/>
      <c r="M987" s="69"/>
      <c r="N987" s="72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  <c r="AK987" s="69"/>
      <c r="AL987" s="69"/>
      <c r="AM987" s="69"/>
      <c r="AN987" s="69"/>
      <c r="AO987" s="69"/>
      <c r="AP987" s="69"/>
      <c r="AQ987" s="69"/>
      <c r="AR987" s="69"/>
      <c r="AS987" s="69"/>
      <c r="AT987" s="69"/>
      <c r="AU987" s="69"/>
      <c r="AV987" s="69"/>
      <c r="AW987" s="69"/>
      <c r="AX987" s="69"/>
      <c r="AY987" s="69"/>
      <c r="AZ987" s="69"/>
      <c r="BA987" s="69"/>
      <c r="BB987" s="69"/>
      <c r="BC987" s="69"/>
    </row>
    <row r="988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71"/>
      <c r="L988" s="69"/>
      <c r="M988" s="69"/>
      <c r="N988" s="72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  <c r="AI988" s="69"/>
      <c r="AJ988" s="69"/>
      <c r="AK988" s="69"/>
      <c r="AL988" s="69"/>
      <c r="AM988" s="69"/>
      <c r="AN988" s="69"/>
      <c r="AO988" s="69"/>
      <c r="AP988" s="69"/>
      <c r="AQ988" s="69"/>
      <c r="AR988" s="69"/>
      <c r="AS988" s="69"/>
      <c r="AT988" s="69"/>
      <c r="AU988" s="69"/>
      <c r="AV988" s="69"/>
      <c r="AW988" s="69"/>
      <c r="AX988" s="69"/>
      <c r="AY988" s="69"/>
      <c r="AZ988" s="69"/>
      <c r="BA988" s="69"/>
      <c r="BB988" s="69"/>
      <c r="BC988" s="69"/>
    </row>
    <row r="989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71"/>
      <c r="L989" s="69"/>
      <c r="M989" s="69"/>
      <c r="N989" s="72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  <c r="AK989" s="69"/>
      <c r="AL989" s="69"/>
      <c r="AM989" s="69"/>
      <c r="AN989" s="69"/>
      <c r="AO989" s="69"/>
      <c r="AP989" s="69"/>
      <c r="AQ989" s="69"/>
      <c r="AR989" s="69"/>
      <c r="AS989" s="69"/>
      <c r="AT989" s="69"/>
      <c r="AU989" s="69"/>
      <c r="AV989" s="69"/>
      <c r="AW989" s="69"/>
      <c r="AX989" s="69"/>
      <c r="AY989" s="69"/>
      <c r="AZ989" s="69"/>
      <c r="BA989" s="69"/>
      <c r="BB989" s="69"/>
      <c r="BC989" s="69"/>
    </row>
    <row r="990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71"/>
      <c r="L990" s="69"/>
      <c r="M990" s="69"/>
      <c r="N990" s="72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  <c r="AI990" s="69"/>
      <c r="AJ990" s="69"/>
      <c r="AK990" s="69"/>
      <c r="AL990" s="69"/>
      <c r="AM990" s="69"/>
      <c r="AN990" s="69"/>
      <c r="AO990" s="69"/>
      <c r="AP990" s="69"/>
      <c r="AQ990" s="69"/>
      <c r="AR990" s="69"/>
      <c r="AS990" s="69"/>
      <c r="AT990" s="69"/>
      <c r="AU990" s="69"/>
      <c r="AV990" s="69"/>
      <c r="AW990" s="69"/>
      <c r="AX990" s="69"/>
      <c r="AY990" s="69"/>
      <c r="AZ990" s="69"/>
      <c r="BA990" s="69"/>
      <c r="BB990" s="69"/>
      <c r="BC990" s="69"/>
    </row>
    <row r="99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71"/>
      <c r="L991" s="69"/>
      <c r="M991" s="69"/>
      <c r="N991" s="72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  <c r="AI991" s="69"/>
      <c r="AJ991" s="69"/>
      <c r="AK991" s="69"/>
      <c r="AL991" s="69"/>
      <c r="AM991" s="69"/>
      <c r="AN991" s="69"/>
      <c r="AO991" s="69"/>
      <c r="AP991" s="69"/>
      <c r="AQ991" s="69"/>
      <c r="AR991" s="69"/>
      <c r="AS991" s="69"/>
      <c r="AT991" s="69"/>
      <c r="AU991" s="69"/>
      <c r="AV991" s="69"/>
      <c r="AW991" s="69"/>
      <c r="AX991" s="69"/>
      <c r="AY991" s="69"/>
      <c r="AZ991" s="69"/>
      <c r="BA991" s="69"/>
      <c r="BB991" s="69"/>
      <c r="BC991" s="69"/>
    </row>
    <row r="992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71"/>
      <c r="L992" s="69"/>
      <c r="M992" s="69"/>
      <c r="N992" s="72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  <c r="AI992" s="69"/>
      <c r="AJ992" s="69"/>
      <c r="AK992" s="69"/>
      <c r="AL992" s="69"/>
      <c r="AM992" s="69"/>
      <c r="AN992" s="69"/>
      <c r="AO992" s="69"/>
      <c r="AP992" s="69"/>
      <c r="AQ992" s="69"/>
      <c r="AR992" s="69"/>
      <c r="AS992" s="69"/>
      <c r="AT992" s="69"/>
      <c r="AU992" s="69"/>
      <c r="AV992" s="69"/>
      <c r="AW992" s="69"/>
      <c r="AX992" s="69"/>
      <c r="AY992" s="69"/>
      <c r="AZ992" s="69"/>
      <c r="BA992" s="69"/>
      <c r="BB992" s="69"/>
      <c r="BC992" s="69"/>
    </row>
    <row r="993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71"/>
      <c r="L993" s="69"/>
      <c r="M993" s="69"/>
      <c r="N993" s="72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  <c r="AK993" s="69"/>
      <c r="AL993" s="69"/>
      <c r="AM993" s="69"/>
      <c r="AN993" s="69"/>
      <c r="AO993" s="69"/>
      <c r="AP993" s="69"/>
      <c r="AQ993" s="69"/>
      <c r="AR993" s="69"/>
      <c r="AS993" s="69"/>
      <c r="AT993" s="69"/>
      <c r="AU993" s="69"/>
      <c r="AV993" s="69"/>
      <c r="AW993" s="69"/>
      <c r="AX993" s="69"/>
      <c r="AY993" s="69"/>
      <c r="AZ993" s="69"/>
      <c r="BA993" s="69"/>
      <c r="BB993" s="69"/>
      <c r="BC993" s="69"/>
    </row>
    <row r="994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71"/>
      <c r="L994" s="69"/>
      <c r="M994" s="69"/>
      <c r="N994" s="72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/>
      <c r="AJ994" s="69"/>
      <c r="AK994" s="69"/>
      <c r="AL994" s="69"/>
      <c r="AM994" s="69"/>
      <c r="AN994" s="69"/>
      <c r="AO994" s="69"/>
      <c r="AP994" s="69"/>
      <c r="AQ994" s="69"/>
      <c r="AR994" s="69"/>
      <c r="AS994" s="69"/>
      <c r="AT994" s="69"/>
      <c r="AU994" s="69"/>
      <c r="AV994" s="69"/>
      <c r="AW994" s="69"/>
      <c r="AX994" s="69"/>
      <c r="AY994" s="69"/>
      <c r="AZ994" s="69"/>
      <c r="BA994" s="69"/>
      <c r="BB994" s="69"/>
      <c r="BC994" s="69"/>
    </row>
    <row r="99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71"/>
      <c r="L995" s="69"/>
      <c r="M995" s="69"/>
      <c r="N995" s="72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  <c r="AK995" s="69"/>
      <c r="AL995" s="69"/>
      <c r="AM995" s="69"/>
      <c r="AN995" s="69"/>
      <c r="AO995" s="69"/>
      <c r="AP995" s="69"/>
      <c r="AQ995" s="69"/>
      <c r="AR995" s="69"/>
      <c r="AS995" s="69"/>
      <c r="AT995" s="69"/>
      <c r="AU995" s="69"/>
      <c r="AV995" s="69"/>
      <c r="AW995" s="69"/>
      <c r="AX995" s="69"/>
      <c r="AY995" s="69"/>
      <c r="AZ995" s="69"/>
      <c r="BA995" s="69"/>
      <c r="BB995" s="69"/>
      <c r="BC995" s="69"/>
    </row>
    <row r="996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71"/>
      <c r="L996" s="69"/>
      <c r="M996" s="69"/>
      <c r="N996" s="72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  <c r="AK996" s="69"/>
      <c r="AL996" s="69"/>
      <c r="AM996" s="69"/>
      <c r="AN996" s="69"/>
      <c r="AO996" s="69"/>
      <c r="AP996" s="69"/>
      <c r="AQ996" s="69"/>
      <c r="AR996" s="69"/>
      <c r="AS996" s="69"/>
      <c r="AT996" s="69"/>
      <c r="AU996" s="69"/>
      <c r="AV996" s="69"/>
      <c r="AW996" s="69"/>
      <c r="AX996" s="69"/>
      <c r="AY996" s="69"/>
      <c r="AZ996" s="69"/>
      <c r="BA996" s="69"/>
      <c r="BB996" s="69"/>
      <c r="BC996" s="69"/>
    </row>
    <row r="997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71"/>
      <c r="L997" s="69"/>
      <c r="M997" s="69"/>
      <c r="N997" s="72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  <c r="AK997" s="69"/>
      <c r="AL997" s="69"/>
      <c r="AM997" s="69"/>
      <c r="AN997" s="69"/>
      <c r="AO997" s="69"/>
      <c r="AP997" s="69"/>
      <c r="AQ997" s="69"/>
      <c r="AR997" s="69"/>
      <c r="AS997" s="69"/>
      <c r="AT997" s="69"/>
      <c r="AU997" s="69"/>
      <c r="AV997" s="69"/>
      <c r="AW997" s="69"/>
      <c r="AX997" s="69"/>
      <c r="AY997" s="69"/>
      <c r="AZ997" s="69"/>
      <c r="BA997" s="69"/>
      <c r="BB997" s="69"/>
      <c r="BC997" s="69"/>
    </row>
    <row r="998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71"/>
      <c r="L998" s="69"/>
      <c r="M998" s="69"/>
      <c r="N998" s="72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/>
      <c r="AJ998" s="69"/>
      <c r="AK998" s="69"/>
      <c r="AL998" s="69"/>
      <c r="AM998" s="69"/>
      <c r="AN998" s="69"/>
      <c r="AO998" s="69"/>
      <c r="AP998" s="69"/>
      <c r="AQ998" s="69"/>
      <c r="AR998" s="69"/>
      <c r="AS998" s="69"/>
      <c r="AT998" s="69"/>
      <c r="AU998" s="69"/>
      <c r="AV998" s="69"/>
      <c r="AW998" s="69"/>
      <c r="AX998" s="69"/>
      <c r="AY998" s="69"/>
      <c r="AZ998" s="69"/>
      <c r="BA998" s="69"/>
      <c r="BB998" s="69"/>
      <c r="BC998" s="69"/>
    </row>
    <row r="999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71"/>
      <c r="L999" s="69"/>
      <c r="M999" s="69"/>
      <c r="N999" s="72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  <c r="AK999" s="69"/>
      <c r="AL999" s="69"/>
      <c r="AM999" s="69"/>
      <c r="AN999" s="69"/>
      <c r="AO999" s="69"/>
      <c r="AP999" s="69"/>
      <c r="AQ999" s="69"/>
      <c r="AR999" s="69"/>
      <c r="AS999" s="69"/>
      <c r="AT999" s="69"/>
      <c r="AU999" s="69"/>
      <c r="AV999" s="69"/>
      <c r="AW999" s="69"/>
      <c r="AX999" s="69"/>
      <c r="AY999" s="69"/>
      <c r="AZ999" s="69"/>
      <c r="BA999" s="69"/>
      <c r="BB999" s="69"/>
      <c r="BC999" s="69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9"/>
      <c r="J1000" s="69"/>
      <c r="K1000" s="71"/>
      <c r="L1000" s="69"/>
      <c r="M1000" s="69"/>
      <c r="N1000" s="72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/>
      <c r="AJ1000" s="69"/>
      <c r="AK1000" s="69"/>
      <c r="AL1000" s="69"/>
      <c r="AM1000" s="69"/>
      <c r="AN1000" s="69"/>
      <c r="AO1000" s="69"/>
      <c r="AP1000" s="69"/>
      <c r="AQ1000" s="69"/>
      <c r="AR1000" s="69"/>
      <c r="AS1000" s="69"/>
      <c r="AT1000" s="69"/>
      <c r="AU1000" s="69"/>
      <c r="AV1000" s="69"/>
      <c r="AW1000" s="69"/>
      <c r="AX1000" s="69"/>
      <c r="AY1000" s="69"/>
      <c r="AZ1000" s="69"/>
      <c r="BA1000" s="69"/>
      <c r="BB1000" s="69"/>
      <c r="BC1000" s="69"/>
    </row>
    <row r="1001">
      <c r="A1001" s="68"/>
      <c r="B1001" s="68"/>
      <c r="C1001" s="68"/>
      <c r="D1001" s="68"/>
      <c r="E1001" s="68"/>
      <c r="F1001" s="68"/>
      <c r="G1001" s="68"/>
      <c r="H1001" s="68"/>
      <c r="I1001" s="69"/>
      <c r="J1001" s="69"/>
      <c r="K1001" s="71"/>
      <c r="L1001" s="69"/>
      <c r="M1001" s="69"/>
      <c r="N1001" s="72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  <c r="AD1001" s="69"/>
      <c r="AE1001" s="69"/>
      <c r="AF1001" s="69"/>
      <c r="AG1001" s="69"/>
      <c r="AH1001" s="69"/>
      <c r="AI1001" s="69"/>
      <c r="AJ1001" s="69"/>
      <c r="AK1001" s="69"/>
      <c r="AL1001" s="69"/>
      <c r="AM1001" s="69"/>
      <c r="AN1001" s="69"/>
      <c r="AO1001" s="69"/>
      <c r="AP1001" s="69"/>
      <c r="AQ1001" s="69"/>
      <c r="AR1001" s="69"/>
      <c r="AS1001" s="69"/>
      <c r="AT1001" s="69"/>
      <c r="AU1001" s="69"/>
      <c r="AV1001" s="69"/>
      <c r="AW1001" s="69"/>
      <c r="AX1001" s="69"/>
      <c r="AY1001" s="69"/>
      <c r="AZ1001" s="69"/>
      <c r="BA1001" s="69"/>
      <c r="BB1001" s="69"/>
      <c r="BC1001" s="69"/>
    </row>
    <row r="1002">
      <c r="A1002" s="68"/>
      <c r="B1002" s="68"/>
      <c r="C1002" s="68"/>
      <c r="D1002" s="68"/>
      <c r="E1002" s="68"/>
      <c r="F1002" s="68"/>
      <c r="G1002" s="68"/>
      <c r="H1002" s="68"/>
      <c r="I1002" s="69"/>
      <c r="J1002" s="69"/>
      <c r="K1002" s="71"/>
      <c r="L1002" s="69"/>
      <c r="M1002" s="69"/>
      <c r="N1002" s="72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  <c r="AB1002" s="69"/>
      <c r="AC1002" s="69"/>
      <c r="AD1002" s="69"/>
      <c r="AE1002" s="69"/>
      <c r="AF1002" s="69"/>
      <c r="AG1002" s="69"/>
      <c r="AH1002" s="69"/>
      <c r="AI1002" s="69"/>
      <c r="AJ1002" s="69"/>
      <c r="AK1002" s="69"/>
      <c r="AL1002" s="69"/>
      <c r="AM1002" s="69"/>
      <c r="AN1002" s="69"/>
      <c r="AO1002" s="69"/>
      <c r="AP1002" s="69"/>
      <c r="AQ1002" s="69"/>
      <c r="AR1002" s="69"/>
      <c r="AS1002" s="69"/>
      <c r="AT1002" s="69"/>
      <c r="AU1002" s="69"/>
      <c r="AV1002" s="69"/>
      <c r="AW1002" s="69"/>
      <c r="AX1002" s="69"/>
      <c r="AY1002" s="69"/>
      <c r="AZ1002" s="69"/>
      <c r="BA1002" s="69"/>
      <c r="BB1002" s="69"/>
      <c r="BC1002" s="69"/>
    </row>
    <row r="1003">
      <c r="A1003" s="68"/>
      <c r="B1003" s="68"/>
      <c r="C1003" s="68"/>
      <c r="D1003" s="68"/>
      <c r="E1003" s="68"/>
      <c r="F1003" s="68"/>
      <c r="G1003" s="68"/>
      <c r="H1003" s="68"/>
      <c r="I1003" s="69"/>
      <c r="J1003" s="69"/>
      <c r="K1003" s="71"/>
      <c r="L1003" s="69"/>
      <c r="M1003" s="69"/>
      <c r="N1003" s="72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  <c r="AA1003" s="69"/>
      <c r="AB1003" s="69"/>
      <c r="AC1003" s="69"/>
      <c r="AD1003" s="69"/>
      <c r="AE1003" s="69"/>
      <c r="AF1003" s="69"/>
      <c r="AG1003" s="69"/>
      <c r="AH1003" s="69"/>
      <c r="AI1003" s="69"/>
      <c r="AJ1003" s="69"/>
      <c r="AK1003" s="69"/>
      <c r="AL1003" s="69"/>
      <c r="AM1003" s="69"/>
      <c r="AN1003" s="69"/>
      <c r="AO1003" s="69"/>
      <c r="AP1003" s="69"/>
      <c r="AQ1003" s="69"/>
      <c r="AR1003" s="69"/>
      <c r="AS1003" s="69"/>
      <c r="AT1003" s="69"/>
      <c r="AU1003" s="69"/>
      <c r="AV1003" s="69"/>
      <c r="AW1003" s="69"/>
      <c r="AX1003" s="69"/>
      <c r="AY1003" s="69"/>
      <c r="AZ1003" s="69"/>
      <c r="BA1003" s="69"/>
      <c r="BB1003" s="69"/>
      <c r="BC1003" s="69"/>
    </row>
    <row r="1004">
      <c r="A1004" s="68"/>
      <c r="B1004" s="68"/>
      <c r="C1004" s="68"/>
      <c r="D1004" s="68"/>
      <c r="E1004" s="68"/>
      <c r="F1004" s="68"/>
      <c r="G1004" s="68"/>
      <c r="H1004" s="68"/>
      <c r="I1004" s="69"/>
      <c r="J1004" s="69"/>
      <c r="K1004" s="71"/>
      <c r="L1004" s="69"/>
      <c r="M1004" s="69"/>
      <c r="N1004" s="72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  <c r="AA1004" s="69"/>
      <c r="AB1004" s="69"/>
      <c r="AC1004" s="69"/>
      <c r="AD1004" s="69"/>
      <c r="AE1004" s="69"/>
      <c r="AF1004" s="69"/>
      <c r="AG1004" s="69"/>
      <c r="AH1004" s="69"/>
      <c r="AI1004" s="69"/>
      <c r="AJ1004" s="69"/>
      <c r="AK1004" s="69"/>
      <c r="AL1004" s="69"/>
      <c r="AM1004" s="69"/>
      <c r="AN1004" s="69"/>
      <c r="AO1004" s="69"/>
      <c r="AP1004" s="69"/>
      <c r="AQ1004" s="69"/>
      <c r="AR1004" s="69"/>
      <c r="AS1004" s="69"/>
      <c r="AT1004" s="69"/>
      <c r="AU1004" s="69"/>
      <c r="AV1004" s="69"/>
      <c r="AW1004" s="69"/>
      <c r="AX1004" s="69"/>
      <c r="AY1004" s="69"/>
      <c r="AZ1004" s="69"/>
      <c r="BA1004" s="69"/>
      <c r="BB1004" s="69"/>
      <c r="BC1004" s="69"/>
    </row>
    <row r="1005">
      <c r="A1005" s="68"/>
      <c r="B1005" s="68"/>
      <c r="C1005" s="68"/>
      <c r="D1005" s="68"/>
      <c r="E1005" s="68"/>
      <c r="F1005" s="68"/>
      <c r="G1005" s="68"/>
      <c r="H1005" s="68"/>
      <c r="I1005" s="69"/>
      <c r="J1005" s="69"/>
      <c r="K1005" s="71"/>
      <c r="L1005" s="69"/>
      <c r="M1005" s="69"/>
      <c r="N1005" s="72"/>
      <c r="O1005" s="69"/>
      <c r="P1005" s="69"/>
      <c r="Q1005" s="69"/>
      <c r="R1005" s="69"/>
      <c r="S1005" s="69"/>
      <c r="T1005" s="69"/>
      <c r="U1005" s="69"/>
      <c r="V1005" s="69"/>
      <c r="W1005" s="69"/>
      <c r="X1005" s="69"/>
      <c r="Y1005" s="69"/>
      <c r="Z1005" s="69"/>
      <c r="AA1005" s="69"/>
      <c r="AB1005" s="69"/>
      <c r="AC1005" s="69"/>
      <c r="AD1005" s="69"/>
      <c r="AE1005" s="69"/>
      <c r="AF1005" s="69"/>
      <c r="AG1005" s="69"/>
      <c r="AH1005" s="69"/>
      <c r="AI1005" s="69"/>
      <c r="AJ1005" s="69"/>
      <c r="AK1005" s="69"/>
      <c r="AL1005" s="69"/>
      <c r="AM1005" s="69"/>
      <c r="AN1005" s="69"/>
      <c r="AO1005" s="69"/>
      <c r="AP1005" s="69"/>
      <c r="AQ1005" s="69"/>
      <c r="AR1005" s="69"/>
      <c r="AS1005" s="69"/>
      <c r="AT1005" s="69"/>
      <c r="AU1005" s="69"/>
      <c r="AV1005" s="69"/>
      <c r="AW1005" s="69"/>
      <c r="AX1005" s="69"/>
      <c r="AY1005" s="69"/>
      <c r="AZ1005" s="69"/>
      <c r="BA1005" s="69"/>
      <c r="BB1005" s="69"/>
      <c r="BC1005" s="69"/>
    </row>
    <row r="1006">
      <c r="A1006" s="68"/>
      <c r="B1006" s="68"/>
      <c r="C1006" s="68"/>
      <c r="D1006" s="68"/>
      <c r="E1006" s="68"/>
      <c r="F1006" s="68"/>
      <c r="G1006" s="68"/>
      <c r="H1006" s="68"/>
      <c r="I1006" s="69"/>
      <c r="J1006" s="69"/>
      <c r="K1006" s="71"/>
      <c r="L1006" s="69"/>
      <c r="M1006" s="69"/>
      <c r="N1006" s="72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  <c r="AA1006" s="69"/>
      <c r="AB1006" s="69"/>
      <c r="AC1006" s="69"/>
      <c r="AD1006" s="69"/>
      <c r="AE1006" s="69"/>
      <c r="AF1006" s="69"/>
      <c r="AG1006" s="69"/>
      <c r="AH1006" s="69"/>
      <c r="AI1006" s="69"/>
      <c r="AJ1006" s="69"/>
      <c r="AK1006" s="69"/>
      <c r="AL1006" s="69"/>
      <c r="AM1006" s="69"/>
      <c r="AN1006" s="69"/>
      <c r="AO1006" s="69"/>
      <c r="AP1006" s="69"/>
      <c r="AQ1006" s="69"/>
      <c r="AR1006" s="69"/>
      <c r="AS1006" s="69"/>
      <c r="AT1006" s="69"/>
      <c r="AU1006" s="69"/>
      <c r="AV1006" s="69"/>
      <c r="AW1006" s="69"/>
      <c r="AX1006" s="69"/>
      <c r="AY1006" s="69"/>
      <c r="AZ1006" s="69"/>
      <c r="BA1006" s="69"/>
      <c r="BB1006" s="69"/>
      <c r="BC1006" s="69"/>
    </row>
    <row r="1007">
      <c r="A1007" s="68"/>
      <c r="B1007" s="68"/>
      <c r="C1007" s="68"/>
      <c r="D1007" s="68"/>
      <c r="E1007" s="68"/>
      <c r="F1007" s="68"/>
      <c r="G1007" s="68"/>
      <c r="H1007" s="68"/>
      <c r="I1007" s="69"/>
      <c r="J1007" s="69"/>
      <c r="K1007" s="71"/>
      <c r="L1007" s="69"/>
      <c r="M1007" s="69"/>
      <c r="N1007" s="72"/>
      <c r="O1007" s="69"/>
      <c r="P1007" s="69"/>
      <c r="Q1007" s="69"/>
      <c r="R1007" s="69"/>
      <c r="S1007" s="69"/>
      <c r="T1007" s="69"/>
      <c r="U1007" s="69"/>
      <c r="V1007" s="69"/>
      <c r="W1007" s="69"/>
      <c r="X1007" s="69"/>
      <c r="Y1007" s="69"/>
      <c r="Z1007" s="69"/>
      <c r="AA1007" s="69"/>
      <c r="AB1007" s="69"/>
      <c r="AC1007" s="69"/>
      <c r="AD1007" s="69"/>
      <c r="AE1007" s="69"/>
      <c r="AF1007" s="69"/>
      <c r="AG1007" s="69"/>
      <c r="AH1007" s="69"/>
      <c r="AI1007" s="69"/>
      <c r="AJ1007" s="69"/>
      <c r="AK1007" s="69"/>
      <c r="AL1007" s="69"/>
      <c r="AM1007" s="69"/>
      <c r="AN1007" s="69"/>
      <c r="AO1007" s="69"/>
      <c r="AP1007" s="69"/>
      <c r="AQ1007" s="69"/>
      <c r="AR1007" s="69"/>
      <c r="AS1007" s="69"/>
      <c r="AT1007" s="69"/>
      <c r="AU1007" s="69"/>
      <c r="AV1007" s="69"/>
      <c r="AW1007" s="69"/>
      <c r="AX1007" s="69"/>
      <c r="AY1007" s="69"/>
      <c r="AZ1007" s="69"/>
      <c r="BA1007" s="69"/>
      <c r="BB1007" s="69"/>
      <c r="BC1007" s="69"/>
    </row>
    <row r="1008">
      <c r="A1008" s="68"/>
      <c r="B1008" s="68"/>
      <c r="C1008" s="68"/>
      <c r="D1008" s="68"/>
      <c r="E1008" s="68"/>
      <c r="F1008" s="68"/>
      <c r="G1008" s="68"/>
      <c r="H1008" s="68"/>
      <c r="I1008" s="69"/>
      <c r="J1008" s="69"/>
      <c r="K1008" s="71"/>
      <c r="L1008" s="69"/>
      <c r="M1008" s="69"/>
      <c r="N1008" s="72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  <c r="AA1008" s="69"/>
      <c r="AB1008" s="69"/>
      <c r="AC1008" s="69"/>
      <c r="AD1008" s="69"/>
      <c r="AE1008" s="69"/>
      <c r="AF1008" s="69"/>
      <c r="AG1008" s="69"/>
      <c r="AH1008" s="69"/>
      <c r="AI1008" s="69"/>
      <c r="AJ1008" s="69"/>
      <c r="AK1008" s="69"/>
      <c r="AL1008" s="69"/>
      <c r="AM1008" s="69"/>
      <c r="AN1008" s="69"/>
      <c r="AO1008" s="69"/>
      <c r="AP1008" s="69"/>
      <c r="AQ1008" s="69"/>
      <c r="AR1008" s="69"/>
      <c r="AS1008" s="69"/>
      <c r="AT1008" s="69"/>
      <c r="AU1008" s="69"/>
      <c r="AV1008" s="69"/>
      <c r="AW1008" s="69"/>
      <c r="AX1008" s="69"/>
      <c r="AY1008" s="69"/>
      <c r="AZ1008" s="69"/>
      <c r="BA1008" s="69"/>
      <c r="BB1008" s="69"/>
      <c r="BC1008" s="69"/>
    </row>
    <row r="1009">
      <c r="A1009" s="68"/>
      <c r="B1009" s="68"/>
      <c r="C1009" s="68"/>
      <c r="D1009" s="68"/>
      <c r="E1009" s="68"/>
      <c r="F1009" s="68"/>
      <c r="G1009" s="68"/>
      <c r="H1009" s="68"/>
      <c r="I1009" s="69"/>
      <c r="J1009" s="69"/>
      <c r="K1009" s="71"/>
      <c r="L1009" s="69"/>
      <c r="M1009" s="69"/>
      <c r="N1009" s="72"/>
      <c r="O1009" s="69"/>
      <c r="P1009" s="69"/>
      <c r="Q1009" s="69"/>
      <c r="R1009" s="69"/>
      <c r="S1009" s="69"/>
      <c r="T1009" s="69"/>
      <c r="U1009" s="69"/>
      <c r="V1009" s="69"/>
      <c r="W1009" s="69"/>
      <c r="X1009" s="69"/>
      <c r="Y1009" s="69"/>
      <c r="Z1009" s="69"/>
      <c r="AA1009" s="69"/>
      <c r="AB1009" s="69"/>
      <c r="AC1009" s="69"/>
      <c r="AD1009" s="69"/>
      <c r="AE1009" s="69"/>
      <c r="AF1009" s="69"/>
      <c r="AG1009" s="69"/>
      <c r="AH1009" s="69"/>
      <c r="AI1009" s="69"/>
      <c r="AJ1009" s="69"/>
      <c r="AK1009" s="69"/>
      <c r="AL1009" s="69"/>
      <c r="AM1009" s="69"/>
      <c r="AN1009" s="69"/>
      <c r="AO1009" s="69"/>
      <c r="AP1009" s="69"/>
      <c r="AQ1009" s="69"/>
      <c r="AR1009" s="69"/>
      <c r="AS1009" s="69"/>
      <c r="AT1009" s="69"/>
      <c r="AU1009" s="69"/>
      <c r="AV1009" s="69"/>
      <c r="AW1009" s="69"/>
      <c r="AX1009" s="69"/>
      <c r="AY1009" s="69"/>
      <c r="AZ1009" s="69"/>
      <c r="BA1009" s="69"/>
      <c r="BB1009" s="69"/>
      <c r="BC1009" s="69"/>
    </row>
    <row r="1010">
      <c r="A1010" s="68"/>
      <c r="B1010" s="68"/>
      <c r="C1010" s="68"/>
      <c r="D1010" s="68"/>
      <c r="E1010" s="68"/>
      <c r="F1010" s="68"/>
      <c r="G1010" s="68"/>
      <c r="H1010" s="68"/>
      <c r="I1010" s="69"/>
      <c r="J1010" s="69"/>
      <c r="K1010" s="71"/>
      <c r="L1010" s="69"/>
      <c r="M1010" s="69"/>
      <c r="N1010" s="72"/>
      <c r="O1010" s="69"/>
      <c r="P1010" s="69"/>
      <c r="Q1010" s="69"/>
      <c r="R1010" s="69"/>
      <c r="S1010" s="69"/>
      <c r="T1010" s="69"/>
      <c r="U1010" s="69"/>
      <c r="V1010" s="69"/>
      <c r="W1010" s="69"/>
      <c r="X1010" s="69"/>
      <c r="Y1010" s="69"/>
      <c r="Z1010" s="69"/>
      <c r="AA1010" s="69"/>
      <c r="AB1010" s="69"/>
      <c r="AC1010" s="69"/>
      <c r="AD1010" s="69"/>
      <c r="AE1010" s="69"/>
      <c r="AF1010" s="69"/>
      <c r="AG1010" s="69"/>
      <c r="AH1010" s="69"/>
      <c r="AI1010" s="69"/>
      <c r="AJ1010" s="69"/>
      <c r="AK1010" s="69"/>
      <c r="AL1010" s="69"/>
      <c r="AM1010" s="69"/>
      <c r="AN1010" s="69"/>
      <c r="AO1010" s="69"/>
      <c r="AP1010" s="69"/>
      <c r="AQ1010" s="69"/>
      <c r="AR1010" s="69"/>
      <c r="AS1010" s="69"/>
      <c r="AT1010" s="69"/>
      <c r="AU1010" s="69"/>
      <c r="AV1010" s="69"/>
      <c r="AW1010" s="69"/>
      <c r="AX1010" s="69"/>
      <c r="AY1010" s="69"/>
      <c r="AZ1010" s="69"/>
      <c r="BA1010" s="69"/>
      <c r="BB1010" s="69"/>
      <c r="BC1010" s="69"/>
    </row>
    <row r="1011">
      <c r="A1011" s="68"/>
      <c r="B1011" s="68"/>
      <c r="C1011" s="68"/>
      <c r="D1011" s="68"/>
      <c r="E1011" s="68"/>
      <c r="F1011" s="68"/>
      <c r="G1011" s="68"/>
      <c r="H1011" s="68"/>
      <c r="I1011" s="69"/>
      <c r="J1011" s="69"/>
      <c r="K1011" s="71"/>
      <c r="L1011" s="69"/>
      <c r="M1011" s="69"/>
      <c r="N1011" s="72"/>
      <c r="O1011" s="69"/>
      <c r="P1011" s="69"/>
      <c r="Q1011" s="69"/>
      <c r="R1011" s="69"/>
      <c r="S1011" s="69"/>
      <c r="T1011" s="69"/>
      <c r="U1011" s="69"/>
      <c r="V1011" s="69"/>
      <c r="W1011" s="69"/>
      <c r="X1011" s="69"/>
      <c r="Y1011" s="69"/>
      <c r="Z1011" s="69"/>
      <c r="AA1011" s="69"/>
      <c r="AB1011" s="69"/>
      <c r="AC1011" s="69"/>
      <c r="AD1011" s="69"/>
      <c r="AE1011" s="69"/>
      <c r="AF1011" s="69"/>
      <c r="AG1011" s="69"/>
      <c r="AH1011" s="69"/>
      <c r="AI1011" s="69"/>
      <c r="AJ1011" s="69"/>
      <c r="AK1011" s="69"/>
      <c r="AL1011" s="69"/>
      <c r="AM1011" s="69"/>
      <c r="AN1011" s="69"/>
      <c r="AO1011" s="69"/>
      <c r="AP1011" s="69"/>
      <c r="AQ1011" s="69"/>
      <c r="AR1011" s="69"/>
      <c r="AS1011" s="69"/>
      <c r="AT1011" s="69"/>
      <c r="AU1011" s="69"/>
      <c r="AV1011" s="69"/>
      <c r="AW1011" s="69"/>
      <c r="AX1011" s="69"/>
      <c r="AY1011" s="69"/>
      <c r="AZ1011" s="69"/>
      <c r="BA1011" s="69"/>
      <c r="BB1011" s="69"/>
      <c r="BC1011" s="69"/>
    </row>
    <row r="1012">
      <c r="A1012" s="68"/>
      <c r="B1012" s="68"/>
      <c r="C1012" s="68"/>
      <c r="D1012" s="68"/>
      <c r="E1012" s="68"/>
      <c r="F1012" s="68"/>
      <c r="G1012" s="68"/>
      <c r="H1012" s="68"/>
      <c r="I1012" s="69"/>
      <c r="J1012" s="69"/>
      <c r="K1012" s="71"/>
      <c r="L1012" s="69"/>
      <c r="M1012" s="69"/>
      <c r="N1012" s="72"/>
      <c r="O1012" s="69"/>
      <c r="P1012" s="69"/>
      <c r="Q1012" s="69"/>
      <c r="R1012" s="69"/>
      <c r="S1012" s="69"/>
      <c r="T1012" s="69"/>
      <c r="U1012" s="69"/>
      <c r="V1012" s="69"/>
      <c r="W1012" s="69"/>
      <c r="X1012" s="69"/>
      <c r="Y1012" s="69"/>
      <c r="Z1012" s="69"/>
      <c r="AA1012" s="69"/>
      <c r="AB1012" s="69"/>
      <c r="AC1012" s="69"/>
      <c r="AD1012" s="69"/>
      <c r="AE1012" s="69"/>
      <c r="AF1012" s="69"/>
      <c r="AG1012" s="69"/>
      <c r="AH1012" s="69"/>
      <c r="AI1012" s="69"/>
      <c r="AJ1012" s="69"/>
      <c r="AK1012" s="69"/>
      <c r="AL1012" s="69"/>
      <c r="AM1012" s="69"/>
      <c r="AN1012" s="69"/>
      <c r="AO1012" s="69"/>
      <c r="AP1012" s="69"/>
      <c r="AQ1012" s="69"/>
      <c r="AR1012" s="69"/>
      <c r="AS1012" s="69"/>
      <c r="AT1012" s="69"/>
      <c r="AU1012" s="69"/>
      <c r="AV1012" s="69"/>
      <c r="AW1012" s="69"/>
      <c r="AX1012" s="69"/>
      <c r="AY1012" s="69"/>
      <c r="AZ1012" s="69"/>
      <c r="BA1012" s="69"/>
      <c r="BB1012" s="69"/>
      <c r="BC1012" s="69"/>
    </row>
    <row r="1013">
      <c r="A1013" s="68"/>
      <c r="B1013" s="68"/>
      <c r="C1013" s="68"/>
      <c r="D1013" s="68"/>
      <c r="E1013" s="68"/>
      <c r="F1013" s="68"/>
      <c r="G1013" s="68"/>
      <c r="H1013" s="68"/>
      <c r="I1013" s="69"/>
      <c r="J1013" s="69"/>
      <c r="K1013" s="71"/>
      <c r="L1013" s="69"/>
      <c r="M1013" s="69"/>
      <c r="N1013" s="72"/>
      <c r="O1013" s="69"/>
      <c r="P1013" s="69"/>
      <c r="Q1013" s="69"/>
      <c r="R1013" s="69"/>
      <c r="S1013" s="69"/>
      <c r="T1013" s="69"/>
      <c r="U1013" s="69"/>
      <c r="V1013" s="69"/>
      <c r="W1013" s="69"/>
      <c r="X1013" s="69"/>
      <c r="Y1013" s="69"/>
      <c r="Z1013" s="69"/>
      <c r="AA1013" s="69"/>
      <c r="AB1013" s="69"/>
      <c r="AC1013" s="69"/>
      <c r="AD1013" s="69"/>
      <c r="AE1013" s="69"/>
      <c r="AF1013" s="69"/>
      <c r="AG1013" s="69"/>
      <c r="AH1013" s="69"/>
      <c r="AI1013" s="69"/>
      <c r="AJ1013" s="69"/>
      <c r="AK1013" s="69"/>
      <c r="AL1013" s="69"/>
      <c r="AM1013" s="69"/>
      <c r="AN1013" s="69"/>
      <c r="AO1013" s="69"/>
      <c r="AP1013" s="69"/>
      <c r="AQ1013" s="69"/>
      <c r="AR1013" s="69"/>
      <c r="AS1013" s="69"/>
      <c r="AT1013" s="69"/>
      <c r="AU1013" s="69"/>
      <c r="AV1013" s="69"/>
      <c r="AW1013" s="69"/>
      <c r="AX1013" s="69"/>
      <c r="AY1013" s="69"/>
      <c r="AZ1013" s="69"/>
      <c r="BA1013" s="69"/>
      <c r="BB1013" s="69"/>
      <c r="BC1013" s="69"/>
    </row>
    <row r="1014">
      <c r="A1014" s="68"/>
      <c r="B1014" s="68"/>
      <c r="C1014" s="68"/>
      <c r="D1014" s="68"/>
      <c r="E1014" s="68"/>
      <c r="F1014" s="68"/>
      <c r="G1014" s="68"/>
      <c r="H1014" s="68"/>
      <c r="I1014" s="69"/>
      <c r="J1014" s="69"/>
      <c r="K1014" s="71"/>
      <c r="L1014" s="69"/>
      <c r="M1014" s="69"/>
      <c r="N1014" s="72"/>
      <c r="O1014" s="69"/>
      <c r="P1014" s="69"/>
      <c r="Q1014" s="69"/>
      <c r="R1014" s="69"/>
      <c r="S1014" s="69"/>
      <c r="T1014" s="69"/>
      <c r="U1014" s="69"/>
      <c r="V1014" s="69"/>
      <c r="W1014" s="69"/>
      <c r="X1014" s="69"/>
      <c r="Y1014" s="69"/>
      <c r="Z1014" s="69"/>
      <c r="AA1014" s="69"/>
      <c r="AB1014" s="69"/>
      <c r="AC1014" s="69"/>
      <c r="AD1014" s="69"/>
      <c r="AE1014" s="69"/>
      <c r="AF1014" s="69"/>
      <c r="AG1014" s="69"/>
      <c r="AH1014" s="69"/>
      <c r="AI1014" s="69"/>
      <c r="AJ1014" s="69"/>
      <c r="AK1014" s="69"/>
      <c r="AL1014" s="69"/>
      <c r="AM1014" s="69"/>
      <c r="AN1014" s="69"/>
      <c r="AO1014" s="69"/>
      <c r="AP1014" s="69"/>
      <c r="AQ1014" s="69"/>
      <c r="AR1014" s="69"/>
      <c r="AS1014" s="69"/>
      <c r="AT1014" s="69"/>
      <c r="AU1014" s="69"/>
      <c r="AV1014" s="69"/>
      <c r="AW1014" s="69"/>
      <c r="AX1014" s="69"/>
      <c r="AY1014" s="69"/>
      <c r="AZ1014" s="69"/>
      <c r="BA1014" s="69"/>
      <c r="BB1014" s="69"/>
      <c r="BC1014" s="69"/>
    </row>
    <row r="1015">
      <c r="A1015" s="68"/>
      <c r="B1015" s="68"/>
      <c r="C1015" s="68"/>
      <c r="D1015" s="68"/>
      <c r="E1015" s="68"/>
      <c r="F1015" s="68"/>
      <c r="G1015" s="68"/>
      <c r="H1015" s="68"/>
      <c r="I1015" s="69"/>
      <c r="J1015" s="69"/>
      <c r="K1015" s="71"/>
      <c r="L1015" s="69"/>
      <c r="M1015" s="69"/>
      <c r="N1015" s="72"/>
      <c r="O1015" s="69"/>
      <c r="P1015" s="69"/>
      <c r="Q1015" s="69"/>
      <c r="R1015" s="69"/>
      <c r="S1015" s="69"/>
      <c r="T1015" s="69"/>
      <c r="U1015" s="69"/>
      <c r="V1015" s="69"/>
      <c r="W1015" s="69"/>
      <c r="X1015" s="69"/>
      <c r="Y1015" s="69"/>
      <c r="Z1015" s="69"/>
      <c r="AA1015" s="69"/>
      <c r="AB1015" s="69"/>
      <c r="AC1015" s="69"/>
      <c r="AD1015" s="69"/>
      <c r="AE1015" s="69"/>
      <c r="AF1015" s="69"/>
      <c r="AG1015" s="69"/>
      <c r="AH1015" s="69"/>
      <c r="AI1015" s="69"/>
      <c r="AJ1015" s="69"/>
      <c r="AK1015" s="69"/>
      <c r="AL1015" s="69"/>
      <c r="AM1015" s="69"/>
      <c r="AN1015" s="69"/>
      <c r="AO1015" s="69"/>
      <c r="AP1015" s="69"/>
      <c r="AQ1015" s="69"/>
      <c r="AR1015" s="69"/>
      <c r="AS1015" s="69"/>
      <c r="AT1015" s="69"/>
      <c r="AU1015" s="69"/>
      <c r="AV1015" s="69"/>
      <c r="AW1015" s="69"/>
      <c r="AX1015" s="69"/>
      <c r="AY1015" s="69"/>
      <c r="AZ1015" s="69"/>
      <c r="BA1015" s="69"/>
      <c r="BB1015" s="69"/>
      <c r="BC1015" s="69"/>
    </row>
    <row r="1016">
      <c r="A1016" s="68"/>
      <c r="B1016" s="68"/>
      <c r="C1016" s="68"/>
      <c r="D1016" s="68"/>
      <c r="E1016" s="68"/>
      <c r="F1016" s="68"/>
      <c r="G1016" s="68"/>
      <c r="H1016" s="68"/>
      <c r="I1016" s="69"/>
      <c r="J1016" s="69"/>
      <c r="K1016" s="71"/>
      <c r="L1016" s="69"/>
      <c r="M1016" s="69"/>
      <c r="N1016" s="72"/>
      <c r="O1016" s="69"/>
      <c r="P1016" s="69"/>
      <c r="Q1016" s="69"/>
      <c r="R1016" s="69"/>
      <c r="S1016" s="69"/>
      <c r="T1016" s="69"/>
      <c r="U1016" s="69"/>
      <c r="V1016" s="69"/>
      <c r="W1016" s="69"/>
      <c r="X1016" s="69"/>
      <c r="Y1016" s="69"/>
      <c r="Z1016" s="69"/>
      <c r="AA1016" s="69"/>
      <c r="AB1016" s="69"/>
      <c r="AC1016" s="69"/>
      <c r="AD1016" s="69"/>
      <c r="AE1016" s="69"/>
      <c r="AF1016" s="69"/>
      <c r="AG1016" s="69"/>
      <c r="AH1016" s="69"/>
      <c r="AI1016" s="69"/>
      <c r="AJ1016" s="69"/>
      <c r="AK1016" s="69"/>
      <c r="AL1016" s="69"/>
      <c r="AM1016" s="69"/>
      <c r="AN1016" s="69"/>
      <c r="AO1016" s="69"/>
      <c r="AP1016" s="69"/>
      <c r="AQ1016" s="69"/>
      <c r="AR1016" s="69"/>
      <c r="AS1016" s="69"/>
      <c r="AT1016" s="69"/>
      <c r="AU1016" s="69"/>
      <c r="AV1016" s="69"/>
      <c r="AW1016" s="69"/>
      <c r="AX1016" s="69"/>
      <c r="AY1016" s="69"/>
      <c r="AZ1016" s="69"/>
      <c r="BA1016" s="69"/>
      <c r="BB1016" s="69"/>
      <c r="BC1016" s="69"/>
    </row>
    <row r="1017">
      <c r="A1017" s="68"/>
      <c r="B1017" s="68"/>
      <c r="C1017" s="68"/>
      <c r="D1017" s="68"/>
      <c r="E1017" s="68"/>
      <c r="F1017" s="68"/>
      <c r="G1017" s="68"/>
      <c r="H1017" s="68"/>
      <c r="I1017" s="69"/>
      <c r="J1017" s="69"/>
      <c r="K1017" s="71"/>
      <c r="L1017" s="69"/>
      <c r="M1017" s="69"/>
      <c r="N1017" s="72"/>
      <c r="O1017" s="69"/>
      <c r="P1017" s="69"/>
      <c r="Q1017" s="69"/>
      <c r="R1017" s="69"/>
      <c r="S1017" s="69"/>
      <c r="T1017" s="69"/>
      <c r="U1017" s="69"/>
      <c r="V1017" s="69"/>
      <c r="W1017" s="69"/>
      <c r="X1017" s="69"/>
      <c r="Y1017" s="69"/>
      <c r="Z1017" s="69"/>
      <c r="AA1017" s="69"/>
      <c r="AB1017" s="69"/>
      <c r="AC1017" s="69"/>
      <c r="AD1017" s="69"/>
      <c r="AE1017" s="69"/>
      <c r="AF1017" s="69"/>
      <c r="AG1017" s="69"/>
      <c r="AH1017" s="69"/>
      <c r="AI1017" s="69"/>
      <c r="AJ1017" s="69"/>
      <c r="AK1017" s="69"/>
      <c r="AL1017" s="69"/>
      <c r="AM1017" s="69"/>
      <c r="AN1017" s="69"/>
      <c r="AO1017" s="69"/>
      <c r="AP1017" s="69"/>
      <c r="AQ1017" s="69"/>
      <c r="AR1017" s="69"/>
      <c r="AS1017" s="69"/>
      <c r="AT1017" s="69"/>
      <c r="AU1017" s="69"/>
      <c r="AV1017" s="69"/>
      <c r="AW1017" s="69"/>
      <c r="AX1017" s="69"/>
      <c r="AY1017" s="69"/>
      <c r="AZ1017" s="69"/>
      <c r="BA1017" s="69"/>
      <c r="BB1017" s="69"/>
      <c r="BC1017" s="69"/>
    </row>
    <row r="1018">
      <c r="A1018" s="68"/>
      <c r="B1018" s="68"/>
      <c r="C1018" s="68"/>
      <c r="D1018" s="68"/>
      <c r="E1018" s="68"/>
      <c r="F1018" s="68"/>
      <c r="G1018" s="68"/>
      <c r="H1018" s="68"/>
      <c r="I1018" s="69"/>
      <c r="J1018" s="69"/>
      <c r="K1018" s="71"/>
      <c r="L1018" s="69"/>
      <c r="M1018" s="69"/>
      <c r="N1018" s="72"/>
      <c r="O1018" s="69"/>
      <c r="P1018" s="69"/>
      <c r="Q1018" s="69"/>
      <c r="R1018" s="69"/>
      <c r="S1018" s="69"/>
      <c r="T1018" s="69"/>
      <c r="U1018" s="69"/>
      <c r="V1018" s="69"/>
      <c r="W1018" s="69"/>
      <c r="X1018" s="69"/>
      <c r="Y1018" s="69"/>
      <c r="Z1018" s="69"/>
      <c r="AA1018" s="69"/>
      <c r="AB1018" s="69"/>
      <c r="AC1018" s="69"/>
      <c r="AD1018" s="69"/>
      <c r="AE1018" s="69"/>
      <c r="AF1018" s="69"/>
      <c r="AG1018" s="69"/>
      <c r="AH1018" s="69"/>
      <c r="AI1018" s="69"/>
      <c r="AJ1018" s="69"/>
      <c r="AK1018" s="69"/>
      <c r="AL1018" s="69"/>
      <c r="AM1018" s="69"/>
      <c r="AN1018" s="69"/>
      <c r="AO1018" s="69"/>
      <c r="AP1018" s="69"/>
      <c r="AQ1018" s="69"/>
      <c r="AR1018" s="69"/>
      <c r="AS1018" s="69"/>
      <c r="AT1018" s="69"/>
      <c r="AU1018" s="69"/>
      <c r="AV1018" s="69"/>
      <c r="AW1018" s="69"/>
      <c r="AX1018" s="69"/>
      <c r="AY1018" s="69"/>
      <c r="AZ1018" s="69"/>
      <c r="BA1018" s="69"/>
      <c r="BB1018" s="69"/>
      <c r="BC1018" s="69"/>
    </row>
    <row r="1019">
      <c r="A1019" s="68"/>
      <c r="B1019" s="68"/>
      <c r="C1019" s="68"/>
      <c r="D1019" s="68"/>
      <c r="E1019" s="68"/>
      <c r="F1019" s="68"/>
      <c r="G1019" s="68"/>
      <c r="H1019" s="68"/>
      <c r="I1019" s="69"/>
      <c r="J1019" s="69"/>
      <c r="K1019" s="71"/>
      <c r="L1019" s="69"/>
      <c r="M1019" s="69"/>
      <c r="N1019" s="72"/>
      <c r="O1019" s="69"/>
      <c r="P1019" s="69"/>
      <c r="Q1019" s="69"/>
      <c r="R1019" s="69"/>
      <c r="S1019" s="69"/>
      <c r="T1019" s="69"/>
      <c r="U1019" s="69"/>
      <c r="V1019" s="69"/>
      <c r="W1019" s="69"/>
      <c r="X1019" s="69"/>
      <c r="Y1019" s="69"/>
      <c r="Z1019" s="69"/>
      <c r="AA1019" s="69"/>
      <c r="AB1019" s="69"/>
      <c r="AC1019" s="69"/>
      <c r="AD1019" s="69"/>
      <c r="AE1019" s="69"/>
      <c r="AF1019" s="69"/>
      <c r="AG1019" s="69"/>
      <c r="AH1019" s="69"/>
      <c r="AI1019" s="69"/>
      <c r="AJ1019" s="69"/>
      <c r="AK1019" s="69"/>
      <c r="AL1019" s="69"/>
      <c r="AM1019" s="69"/>
      <c r="AN1019" s="69"/>
      <c r="AO1019" s="69"/>
      <c r="AP1019" s="69"/>
      <c r="AQ1019" s="69"/>
      <c r="AR1019" s="69"/>
      <c r="AS1019" s="69"/>
      <c r="AT1019" s="69"/>
      <c r="AU1019" s="69"/>
      <c r="AV1019" s="69"/>
      <c r="AW1019" s="69"/>
      <c r="AX1019" s="69"/>
      <c r="AY1019" s="69"/>
      <c r="AZ1019" s="69"/>
      <c r="BA1019" s="69"/>
      <c r="BB1019" s="69"/>
      <c r="BC1019" s="69"/>
    </row>
    <row r="1020">
      <c r="A1020" s="68"/>
      <c r="B1020" s="68"/>
      <c r="C1020" s="68"/>
      <c r="D1020" s="68"/>
      <c r="E1020" s="68"/>
      <c r="F1020" s="68"/>
      <c r="G1020" s="68"/>
      <c r="H1020" s="68"/>
      <c r="I1020" s="69"/>
      <c r="J1020" s="69"/>
      <c r="K1020" s="71"/>
      <c r="L1020" s="69"/>
      <c r="M1020" s="69"/>
      <c r="N1020" s="72"/>
      <c r="O1020" s="69"/>
      <c r="P1020" s="69"/>
      <c r="Q1020" s="69"/>
      <c r="R1020" s="69"/>
      <c r="S1020" s="69"/>
      <c r="T1020" s="69"/>
      <c r="U1020" s="69"/>
      <c r="V1020" s="69"/>
      <c r="W1020" s="69"/>
      <c r="X1020" s="69"/>
      <c r="Y1020" s="69"/>
      <c r="Z1020" s="69"/>
      <c r="AA1020" s="69"/>
      <c r="AB1020" s="69"/>
      <c r="AC1020" s="69"/>
      <c r="AD1020" s="69"/>
      <c r="AE1020" s="69"/>
      <c r="AF1020" s="69"/>
      <c r="AG1020" s="69"/>
      <c r="AH1020" s="69"/>
      <c r="AI1020" s="69"/>
      <c r="AJ1020" s="69"/>
      <c r="AK1020" s="69"/>
      <c r="AL1020" s="69"/>
      <c r="AM1020" s="69"/>
      <c r="AN1020" s="69"/>
      <c r="AO1020" s="69"/>
      <c r="AP1020" s="69"/>
      <c r="AQ1020" s="69"/>
      <c r="AR1020" s="69"/>
      <c r="AS1020" s="69"/>
      <c r="AT1020" s="69"/>
      <c r="AU1020" s="69"/>
      <c r="AV1020" s="69"/>
      <c r="AW1020" s="69"/>
      <c r="AX1020" s="69"/>
      <c r="AY1020" s="69"/>
      <c r="AZ1020" s="69"/>
      <c r="BA1020" s="69"/>
      <c r="BB1020" s="69"/>
      <c r="BC1020" s="69"/>
    </row>
    <row r="1021">
      <c r="A1021" s="68"/>
      <c r="B1021" s="68"/>
      <c r="C1021" s="68"/>
      <c r="D1021" s="68"/>
      <c r="E1021" s="68"/>
      <c r="F1021" s="68"/>
      <c r="G1021" s="68"/>
      <c r="H1021" s="68"/>
      <c r="I1021" s="69"/>
      <c r="J1021" s="69"/>
      <c r="K1021" s="71"/>
      <c r="L1021" s="69"/>
      <c r="M1021" s="69"/>
      <c r="N1021" s="72"/>
      <c r="O1021" s="69"/>
      <c r="P1021" s="69"/>
      <c r="Q1021" s="69"/>
      <c r="R1021" s="69"/>
      <c r="S1021" s="69"/>
      <c r="T1021" s="69"/>
      <c r="U1021" s="69"/>
      <c r="V1021" s="69"/>
      <c r="W1021" s="69"/>
      <c r="X1021" s="69"/>
      <c r="Y1021" s="69"/>
      <c r="Z1021" s="69"/>
      <c r="AA1021" s="69"/>
      <c r="AB1021" s="69"/>
      <c r="AC1021" s="69"/>
      <c r="AD1021" s="69"/>
      <c r="AE1021" s="69"/>
      <c r="AF1021" s="69"/>
      <c r="AG1021" s="69"/>
      <c r="AH1021" s="69"/>
      <c r="AI1021" s="69"/>
      <c r="AJ1021" s="69"/>
      <c r="AK1021" s="69"/>
      <c r="AL1021" s="69"/>
      <c r="AM1021" s="69"/>
      <c r="AN1021" s="69"/>
      <c r="AO1021" s="69"/>
      <c r="AP1021" s="69"/>
      <c r="AQ1021" s="69"/>
      <c r="AR1021" s="69"/>
      <c r="AS1021" s="69"/>
      <c r="AT1021" s="69"/>
      <c r="AU1021" s="69"/>
      <c r="AV1021" s="69"/>
      <c r="AW1021" s="69"/>
      <c r="AX1021" s="69"/>
      <c r="AY1021" s="69"/>
      <c r="AZ1021" s="69"/>
      <c r="BA1021" s="69"/>
      <c r="BB1021" s="69"/>
      <c r="BC1021" s="69"/>
    </row>
    <row r="1022">
      <c r="A1022" s="68"/>
      <c r="B1022" s="68"/>
      <c r="C1022" s="68"/>
      <c r="D1022" s="68"/>
      <c r="E1022" s="68"/>
      <c r="F1022" s="68"/>
      <c r="G1022" s="68"/>
      <c r="H1022" s="68"/>
      <c r="I1022" s="69"/>
      <c r="J1022" s="69"/>
      <c r="K1022" s="71"/>
      <c r="L1022" s="69"/>
      <c r="M1022" s="69"/>
      <c r="N1022" s="72"/>
      <c r="O1022" s="69"/>
      <c r="P1022" s="69"/>
      <c r="Q1022" s="69"/>
      <c r="R1022" s="69"/>
      <c r="S1022" s="69"/>
      <c r="T1022" s="69"/>
      <c r="U1022" s="69"/>
      <c r="V1022" s="69"/>
      <c r="W1022" s="69"/>
      <c r="X1022" s="69"/>
      <c r="Y1022" s="69"/>
      <c r="Z1022" s="69"/>
      <c r="AA1022" s="69"/>
      <c r="AB1022" s="69"/>
      <c r="AC1022" s="69"/>
      <c r="AD1022" s="69"/>
      <c r="AE1022" s="69"/>
      <c r="AF1022" s="69"/>
      <c r="AG1022" s="69"/>
      <c r="AH1022" s="69"/>
      <c r="AI1022" s="69"/>
      <c r="AJ1022" s="69"/>
      <c r="AK1022" s="69"/>
      <c r="AL1022" s="69"/>
      <c r="AM1022" s="69"/>
      <c r="AN1022" s="69"/>
      <c r="AO1022" s="69"/>
      <c r="AP1022" s="69"/>
      <c r="AQ1022" s="69"/>
      <c r="AR1022" s="69"/>
      <c r="AS1022" s="69"/>
      <c r="AT1022" s="69"/>
      <c r="AU1022" s="69"/>
      <c r="AV1022" s="69"/>
      <c r="AW1022" s="69"/>
      <c r="AX1022" s="69"/>
      <c r="AY1022" s="69"/>
      <c r="AZ1022" s="69"/>
      <c r="BA1022" s="69"/>
      <c r="BB1022" s="69"/>
      <c r="BC1022" s="69"/>
    </row>
    <row r="1023">
      <c r="A1023" s="68"/>
      <c r="B1023" s="68"/>
      <c r="C1023" s="68"/>
      <c r="D1023" s="68"/>
      <c r="E1023" s="68"/>
      <c r="F1023" s="68"/>
      <c r="G1023" s="68"/>
      <c r="H1023" s="68"/>
      <c r="I1023" s="69"/>
      <c r="J1023" s="69"/>
      <c r="K1023" s="71"/>
      <c r="L1023" s="69"/>
      <c r="M1023" s="69"/>
      <c r="N1023" s="72"/>
      <c r="O1023" s="69"/>
      <c r="P1023" s="69"/>
      <c r="Q1023" s="69"/>
      <c r="R1023" s="69"/>
      <c r="S1023" s="69"/>
      <c r="T1023" s="69"/>
      <c r="U1023" s="69"/>
      <c r="V1023" s="69"/>
      <c r="W1023" s="69"/>
      <c r="X1023" s="69"/>
      <c r="Y1023" s="69"/>
      <c r="Z1023" s="69"/>
      <c r="AA1023" s="69"/>
      <c r="AB1023" s="69"/>
      <c r="AC1023" s="69"/>
      <c r="AD1023" s="69"/>
      <c r="AE1023" s="69"/>
      <c r="AF1023" s="69"/>
      <c r="AG1023" s="69"/>
      <c r="AH1023" s="69"/>
      <c r="AI1023" s="69"/>
      <c r="AJ1023" s="69"/>
      <c r="AK1023" s="69"/>
      <c r="AL1023" s="69"/>
      <c r="AM1023" s="69"/>
      <c r="AN1023" s="69"/>
      <c r="AO1023" s="69"/>
      <c r="AP1023" s="69"/>
      <c r="AQ1023" s="69"/>
      <c r="AR1023" s="69"/>
      <c r="AS1023" s="69"/>
      <c r="AT1023" s="69"/>
      <c r="AU1023" s="69"/>
      <c r="AV1023" s="69"/>
      <c r="AW1023" s="69"/>
      <c r="AX1023" s="69"/>
      <c r="AY1023" s="69"/>
      <c r="AZ1023" s="69"/>
      <c r="BA1023" s="69"/>
      <c r="BB1023" s="69"/>
      <c r="BC1023" s="69"/>
    </row>
    <row r="1024">
      <c r="A1024" s="68"/>
      <c r="B1024" s="68"/>
      <c r="C1024" s="68"/>
      <c r="D1024" s="68"/>
      <c r="E1024" s="68"/>
      <c r="F1024" s="68"/>
      <c r="G1024" s="68"/>
      <c r="H1024" s="68"/>
      <c r="I1024" s="69"/>
      <c r="J1024" s="69"/>
      <c r="K1024" s="71"/>
      <c r="L1024" s="69"/>
      <c r="M1024" s="69"/>
      <c r="N1024" s="72"/>
      <c r="O1024" s="69"/>
      <c r="P1024" s="69"/>
      <c r="Q1024" s="69"/>
      <c r="R1024" s="69"/>
      <c r="S1024" s="69"/>
      <c r="T1024" s="69"/>
      <c r="U1024" s="69"/>
      <c r="V1024" s="69"/>
      <c r="W1024" s="69"/>
      <c r="X1024" s="69"/>
      <c r="Y1024" s="69"/>
      <c r="Z1024" s="69"/>
      <c r="AA1024" s="69"/>
      <c r="AB1024" s="69"/>
      <c r="AC1024" s="69"/>
      <c r="AD1024" s="69"/>
      <c r="AE1024" s="69"/>
      <c r="AF1024" s="69"/>
      <c r="AG1024" s="69"/>
      <c r="AH1024" s="69"/>
      <c r="AI1024" s="69"/>
      <c r="AJ1024" s="69"/>
      <c r="AK1024" s="69"/>
      <c r="AL1024" s="69"/>
      <c r="AM1024" s="69"/>
      <c r="AN1024" s="69"/>
      <c r="AO1024" s="69"/>
      <c r="AP1024" s="69"/>
      <c r="AQ1024" s="69"/>
      <c r="AR1024" s="69"/>
      <c r="AS1024" s="69"/>
      <c r="AT1024" s="69"/>
      <c r="AU1024" s="69"/>
      <c r="AV1024" s="69"/>
      <c r="AW1024" s="69"/>
      <c r="AX1024" s="69"/>
      <c r="AY1024" s="69"/>
      <c r="AZ1024" s="69"/>
      <c r="BA1024" s="69"/>
      <c r="BB1024" s="69"/>
      <c r="BC1024" s="69"/>
    </row>
    <row r="1025">
      <c r="A1025" s="68"/>
      <c r="B1025" s="68"/>
      <c r="C1025" s="68"/>
      <c r="D1025" s="68"/>
      <c r="E1025" s="68"/>
      <c r="F1025" s="68"/>
      <c r="G1025" s="68"/>
      <c r="H1025" s="68"/>
      <c r="I1025" s="69"/>
      <c r="J1025" s="69"/>
      <c r="K1025" s="71"/>
      <c r="L1025" s="69"/>
      <c r="M1025" s="69"/>
      <c r="N1025" s="72"/>
      <c r="O1025" s="69"/>
      <c r="P1025" s="69"/>
      <c r="Q1025" s="69"/>
      <c r="R1025" s="69"/>
      <c r="S1025" s="69"/>
      <c r="T1025" s="69"/>
      <c r="U1025" s="69"/>
      <c r="V1025" s="69"/>
      <c r="W1025" s="69"/>
      <c r="X1025" s="69"/>
      <c r="Y1025" s="69"/>
      <c r="Z1025" s="69"/>
      <c r="AA1025" s="69"/>
      <c r="AB1025" s="69"/>
      <c r="AC1025" s="69"/>
      <c r="AD1025" s="69"/>
      <c r="AE1025" s="69"/>
      <c r="AF1025" s="69"/>
      <c r="AG1025" s="69"/>
      <c r="AH1025" s="69"/>
      <c r="AI1025" s="69"/>
      <c r="AJ1025" s="69"/>
      <c r="AK1025" s="69"/>
      <c r="AL1025" s="69"/>
      <c r="AM1025" s="69"/>
      <c r="AN1025" s="69"/>
      <c r="AO1025" s="69"/>
      <c r="AP1025" s="69"/>
      <c r="AQ1025" s="69"/>
      <c r="AR1025" s="69"/>
      <c r="AS1025" s="69"/>
      <c r="AT1025" s="69"/>
      <c r="AU1025" s="69"/>
      <c r="AV1025" s="69"/>
      <c r="AW1025" s="69"/>
      <c r="AX1025" s="69"/>
      <c r="AY1025" s="69"/>
      <c r="AZ1025" s="69"/>
      <c r="BA1025" s="69"/>
      <c r="BB1025" s="69"/>
      <c r="BC1025" s="69"/>
    </row>
    <row r="1026">
      <c r="A1026" s="68"/>
      <c r="B1026" s="68"/>
      <c r="C1026" s="68"/>
      <c r="D1026" s="68"/>
      <c r="E1026" s="68"/>
      <c r="F1026" s="68"/>
      <c r="G1026" s="68"/>
      <c r="H1026" s="68"/>
      <c r="I1026" s="69"/>
      <c r="J1026" s="69"/>
      <c r="K1026" s="71"/>
      <c r="L1026" s="69"/>
      <c r="M1026" s="69"/>
      <c r="N1026" s="72"/>
      <c r="O1026" s="69"/>
      <c r="P1026" s="69"/>
      <c r="Q1026" s="69"/>
      <c r="R1026" s="69"/>
      <c r="S1026" s="69"/>
      <c r="T1026" s="69"/>
      <c r="U1026" s="69"/>
      <c r="V1026" s="69"/>
      <c r="W1026" s="69"/>
      <c r="X1026" s="69"/>
      <c r="Y1026" s="69"/>
      <c r="Z1026" s="69"/>
      <c r="AA1026" s="69"/>
      <c r="AB1026" s="69"/>
      <c r="AC1026" s="69"/>
      <c r="AD1026" s="69"/>
      <c r="AE1026" s="69"/>
      <c r="AF1026" s="69"/>
      <c r="AG1026" s="69"/>
      <c r="AH1026" s="69"/>
      <c r="AI1026" s="69"/>
      <c r="AJ1026" s="69"/>
      <c r="AK1026" s="69"/>
      <c r="AL1026" s="69"/>
      <c r="AM1026" s="69"/>
      <c r="AN1026" s="69"/>
      <c r="AO1026" s="69"/>
      <c r="AP1026" s="69"/>
      <c r="AQ1026" s="69"/>
      <c r="AR1026" s="69"/>
      <c r="AS1026" s="69"/>
      <c r="AT1026" s="69"/>
      <c r="AU1026" s="69"/>
      <c r="AV1026" s="69"/>
      <c r="AW1026" s="69"/>
      <c r="AX1026" s="69"/>
      <c r="AY1026" s="69"/>
      <c r="AZ1026" s="69"/>
      <c r="BA1026" s="69"/>
      <c r="BB1026" s="69"/>
      <c r="BC1026" s="69"/>
    </row>
    <row r="1027">
      <c r="A1027" s="68"/>
      <c r="B1027" s="68"/>
      <c r="C1027" s="68"/>
      <c r="D1027" s="68"/>
      <c r="E1027" s="68"/>
      <c r="F1027" s="68"/>
      <c r="G1027" s="68"/>
      <c r="H1027" s="68"/>
      <c r="I1027" s="69"/>
      <c r="J1027" s="69"/>
      <c r="K1027" s="71"/>
      <c r="L1027" s="69"/>
      <c r="M1027" s="69"/>
      <c r="N1027" s="72"/>
      <c r="O1027" s="69"/>
      <c r="P1027" s="69"/>
      <c r="Q1027" s="69"/>
      <c r="R1027" s="69"/>
      <c r="S1027" s="69"/>
      <c r="T1027" s="69"/>
      <c r="U1027" s="69"/>
      <c r="V1027" s="69"/>
      <c r="W1027" s="69"/>
      <c r="X1027" s="69"/>
      <c r="Y1027" s="69"/>
      <c r="Z1027" s="69"/>
      <c r="AA1027" s="69"/>
      <c r="AB1027" s="69"/>
      <c r="AC1027" s="69"/>
      <c r="AD1027" s="69"/>
      <c r="AE1027" s="69"/>
      <c r="AF1027" s="69"/>
      <c r="AG1027" s="69"/>
      <c r="AH1027" s="69"/>
      <c r="AI1027" s="69"/>
      <c r="AJ1027" s="69"/>
      <c r="AK1027" s="69"/>
      <c r="AL1027" s="69"/>
      <c r="AM1027" s="69"/>
      <c r="AN1027" s="69"/>
      <c r="AO1027" s="69"/>
      <c r="AP1027" s="69"/>
      <c r="AQ1027" s="69"/>
      <c r="AR1027" s="69"/>
      <c r="AS1027" s="69"/>
      <c r="AT1027" s="69"/>
      <c r="AU1027" s="69"/>
      <c r="AV1027" s="69"/>
      <c r="AW1027" s="69"/>
      <c r="AX1027" s="69"/>
      <c r="AY1027" s="69"/>
      <c r="AZ1027" s="69"/>
      <c r="BA1027" s="69"/>
      <c r="BB1027" s="69"/>
      <c r="BC1027" s="69"/>
    </row>
    <row r="1028">
      <c r="A1028" s="68"/>
      <c r="B1028" s="68"/>
      <c r="C1028" s="68"/>
      <c r="D1028" s="68"/>
      <c r="E1028" s="68"/>
      <c r="F1028" s="68"/>
      <c r="G1028" s="68"/>
      <c r="H1028" s="68"/>
      <c r="I1028" s="69"/>
      <c r="J1028" s="69"/>
      <c r="K1028" s="71"/>
      <c r="L1028" s="69"/>
      <c r="M1028" s="69"/>
      <c r="N1028" s="72"/>
      <c r="O1028" s="69"/>
      <c r="P1028" s="69"/>
      <c r="Q1028" s="69"/>
      <c r="R1028" s="69"/>
      <c r="S1028" s="69"/>
      <c r="T1028" s="69"/>
      <c r="U1028" s="69"/>
      <c r="V1028" s="69"/>
      <c r="W1028" s="69"/>
      <c r="X1028" s="69"/>
      <c r="Y1028" s="69"/>
      <c r="Z1028" s="69"/>
      <c r="AA1028" s="69"/>
      <c r="AB1028" s="69"/>
      <c r="AC1028" s="69"/>
      <c r="AD1028" s="69"/>
      <c r="AE1028" s="69"/>
      <c r="AF1028" s="69"/>
      <c r="AG1028" s="69"/>
      <c r="AH1028" s="69"/>
      <c r="AI1028" s="69"/>
      <c r="AJ1028" s="69"/>
      <c r="AK1028" s="69"/>
      <c r="AL1028" s="69"/>
      <c r="AM1028" s="69"/>
      <c r="AN1028" s="69"/>
      <c r="AO1028" s="69"/>
      <c r="AP1028" s="69"/>
      <c r="AQ1028" s="69"/>
      <c r="AR1028" s="69"/>
      <c r="AS1028" s="69"/>
      <c r="AT1028" s="69"/>
      <c r="AU1028" s="69"/>
      <c r="AV1028" s="69"/>
      <c r="AW1028" s="69"/>
      <c r="AX1028" s="69"/>
      <c r="AY1028" s="69"/>
      <c r="AZ1028" s="69"/>
      <c r="BA1028" s="69"/>
      <c r="BB1028" s="69"/>
      <c r="BC1028" s="69"/>
    </row>
    <row r="1029">
      <c r="A1029" s="68"/>
      <c r="B1029" s="68"/>
      <c r="C1029" s="68"/>
      <c r="D1029" s="68"/>
      <c r="E1029" s="68"/>
      <c r="F1029" s="68"/>
      <c r="G1029" s="68"/>
      <c r="H1029" s="68"/>
      <c r="I1029" s="69"/>
      <c r="J1029" s="69"/>
      <c r="K1029" s="71"/>
      <c r="L1029" s="69"/>
      <c r="M1029" s="69"/>
      <c r="N1029" s="72"/>
      <c r="O1029" s="69"/>
      <c r="P1029" s="69"/>
      <c r="Q1029" s="69"/>
      <c r="R1029" s="69"/>
      <c r="S1029" s="69"/>
      <c r="T1029" s="69"/>
      <c r="U1029" s="69"/>
      <c r="V1029" s="69"/>
      <c r="W1029" s="69"/>
      <c r="X1029" s="69"/>
      <c r="Y1029" s="69"/>
      <c r="Z1029" s="69"/>
      <c r="AA1029" s="69"/>
      <c r="AB1029" s="69"/>
      <c r="AC1029" s="69"/>
      <c r="AD1029" s="69"/>
      <c r="AE1029" s="69"/>
      <c r="AF1029" s="69"/>
      <c r="AG1029" s="69"/>
      <c r="AH1029" s="69"/>
      <c r="AI1029" s="69"/>
      <c r="AJ1029" s="69"/>
      <c r="AK1029" s="69"/>
      <c r="AL1029" s="69"/>
      <c r="AM1029" s="69"/>
      <c r="AN1029" s="69"/>
      <c r="AO1029" s="69"/>
      <c r="AP1029" s="69"/>
      <c r="AQ1029" s="69"/>
      <c r="AR1029" s="69"/>
      <c r="AS1029" s="69"/>
      <c r="AT1029" s="69"/>
      <c r="AU1029" s="69"/>
      <c r="AV1029" s="69"/>
      <c r="AW1029" s="69"/>
      <c r="AX1029" s="69"/>
      <c r="AY1029" s="69"/>
      <c r="AZ1029" s="69"/>
      <c r="BA1029" s="69"/>
      <c r="BB1029" s="69"/>
      <c r="BC1029" s="69"/>
    </row>
    <row r="1030">
      <c r="A1030" s="68"/>
      <c r="B1030" s="68"/>
      <c r="C1030" s="68"/>
      <c r="D1030" s="68"/>
      <c r="E1030" s="68"/>
      <c r="F1030" s="68"/>
      <c r="G1030" s="68"/>
      <c r="H1030" s="68"/>
      <c r="I1030" s="69"/>
      <c r="J1030" s="69"/>
      <c r="K1030" s="71"/>
      <c r="L1030" s="69"/>
      <c r="M1030" s="69"/>
      <c r="N1030" s="72"/>
      <c r="O1030" s="69"/>
      <c r="P1030" s="69"/>
      <c r="Q1030" s="69"/>
      <c r="R1030" s="69"/>
      <c r="S1030" s="69"/>
      <c r="T1030" s="69"/>
      <c r="U1030" s="69"/>
      <c r="V1030" s="69"/>
      <c r="W1030" s="69"/>
      <c r="X1030" s="69"/>
      <c r="Y1030" s="69"/>
      <c r="Z1030" s="69"/>
      <c r="AA1030" s="69"/>
      <c r="AB1030" s="69"/>
      <c r="AC1030" s="69"/>
      <c r="AD1030" s="69"/>
      <c r="AE1030" s="69"/>
      <c r="AF1030" s="69"/>
      <c r="AG1030" s="69"/>
      <c r="AH1030" s="69"/>
      <c r="AI1030" s="69"/>
      <c r="AJ1030" s="69"/>
      <c r="AK1030" s="69"/>
      <c r="AL1030" s="69"/>
      <c r="AM1030" s="69"/>
      <c r="AN1030" s="69"/>
      <c r="AO1030" s="69"/>
      <c r="AP1030" s="69"/>
      <c r="AQ1030" s="69"/>
      <c r="AR1030" s="69"/>
      <c r="AS1030" s="69"/>
      <c r="AT1030" s="69"/>
      <c r="AU1030" s="69"/>
      <c r="AV1030" s="69"/>
      <c r="AW1030" s="69"/>
      <c r="AX1030" s="69"/>
      <c r="AY1030" s="69"/>
      <c r="AZ1030" s="69"/>
      <c r="BA1030" s="69"/>
      <c r="BB1030" s="69"/>
      <c r="BC1030" s="69"/>
    </row>
    <row r="1031">
      <c r="A1031" s="68"/>
      <c r="B1031" s="68"/>
      <c r="C1031" s="68"/>
      <c r="D1031" s="68"/>
      <c r="E1031" s="68"/>
      <c r="F1031" s="68"/>
      <c r="G1031" s="68"/>
      <c r="H1031" s="68"/>
      <c r="I1031" s="69"/>
      <c r="J1031" s="69"/>
      <c r="K1031" s="71"/>
      <c r="L1031" s="69"/>
      <c r="M1031" s="69"/>
      <c r="N1031" s="72"/>
      <c r="O1031" s="69"/>
      <c r="P1031" s="69"/>
      <c r="Q1031" s="69"/>
      <c r="R1031" s="69"/>
      <c r="S1031" s="69"/>
      <c r="T1031" s="69"/>
      <c r="U1031" s="69"/>
      <c r="V1031" s="69"/>
      <c r="W1031" s="69"/>
      <c r="X1031" s="69"/>
      <c r="Y1031" s="69"/>
      <c r="Z1031" s="69"/>
      <c r="AA1031" s="69"/>
      <c r="AB1031" s="69"/>
      <c r="AC1031" s="69"/>
      <c r="AD1031" s="69"/>
      <c r="AE1031" s="69"/>
      <c r="AF1031" s="69"/>
      <c r="AG1031" s="69"/>
      <c r="AH1031" s="69"/>
      <c r="AI1031" s="69"/>
      <c r="AJ1031" s="69"/>
      <c r="AK1031" s="69"/>
      <c r="AL1031" s="69"/>
      <c r="AM1031" s="69"/>
      <c r="AN1031" s="69"/>
      <c r="AO1031" s="69"/>
      <c r="AP1031" s="69"/>
      <c r="AQ1031" s="69"/>
      <c r="AR1031" s="69"/>
      <c r="AS1031" s="69"/>
      <c r="AT1031" s="69"/>
      <c r="AU1031" s="69"/>
      <c r="AV1031" s="69"/>
      <c r="AW1031" s="69"/>
      <c r="AX1031" s="69"/>
      <c r="AY1031" s="69"/>
      <c r="AZ1031" s="69"/>
      <c r="BA1031" s="69"/>
      <c r="BB1031" s="69"/>
      <c r="BC1031" s="69"/>
    </row>
    <row r="1032">
      <c r="A1032" s="68"/>
      <c r="B1032" s="68"/>
      <c r="C1032" s="68"/>
      <c r="D1032" s="68"/>
      <c r="E1032" s="68"/>
      <c r="F1032" s="68"/>
      <c r="G1032" s="68"/>
      <c r="H1032" s="68"/>
      <c r="I1032" s="69"/>
      <c r="J1032" s="69"/>
      <c r="K1032" s="71"/>
      <c r="L1032" s="69"/>
      <c r="M1032" s="69"/>
      <c r="N1032" s="72"/>
      <c r="O1032" s="69"/>
      <c r="P1032" s="69"/>
      <c r="Q1032" s="69"/>
      <c r="R1032" s="69"/>
      <c r="S1032" s="69"/>
      <c r="T1032" s="69"/>
      <c r="U1032" s="69"/>
      <c r="V1032" s="69"/>
      <c r="W1032" s="69"/>
      <c r="X1032" s="69"/>
      <c r="Y1032" s="69"/>
      <c r="Z1032" s="69"/>
      <c r="AA1032" s="69"/>
      <c r="AB1032" s="69"/>
      <c r="AC1032" s="69"/>
      <c r="AD1032" s="69"/>
      <c r="AE1032" s="69"/>
      <c r="AF1032" s="69"/>
      <c r="AG1032" s="69"/>
      <c r="AH1032" s="69"/>
      <c r="AI1032" s="69"/>
      <c r="AJ1032" s="69"/>
      <c r="AK1032" s="69"/>
      <c r="AL1032" s="69"/>
      <c r="AM1032" s="69"/>
      <c r="AN1032" s="69"/>
      <c r="AO1032" s="69"/>
      <c r="AP1032" s="69"/>
      <c r="AQ1032" s="69"/>
      <c r="AR1032" s="69"/>
      <c r="AS1032" s="69"/>
      <c r="AT1032" s="69"/>
      <c r="AU1032" s="69"/>
      <c r="AV1032" s="69"/>
      <c r="AW1032" s="69"/>
      <c r="AX1032" s="69"/>
      <c r="AY1032" s="69"/>
      <c r="AZ1032" s="69"/>
      <c r="BA1032" s="69"/>
      <c r="BB1032" s="69"/>
      <c r="BC1032" s="69"/>
    </row>
    <row r="1033">
      <c r="A1033" s="68"/>
      <c r="B1033" s="68"/>
      <c r="C1033" s="68"/>
      <c r="D1033" s="68"/>
      <c r="E1033" s="68"/>
      <c r="F1033" s="68"/>
      <c r="G1033" s="68"/>
      <c r="H1033" s="68"/>
      <c r="I1033" s="69"/>
      <c r="J1033" s="69"/>
      <c r="K1033" s="71"/>
      <c r="L1033" s="69"/>
      <c r="M1033" s="69"/>
      <c r="N1033" s="72"/>
      <c r="O1033" s="69"/>
      <c r="P1033" s="69"/>
      <c r="Q1033" s="69"/>
      <c r="R1033" s="69"/>
      <c r="S1033" s="69"/>
      <c r="T1033" s="69"/>
      <c r="U1033" s="69"/>
      <c r="V1033" s="69"/>
      <c r="W1033" s="69"/>
      <c r="X1033" s="69"/>
      <c r="Y1033" s="69"/>
      <c r="Z1033" s="69"/>
      <c r="AA1033" s="69"/>
      <c r="AB1033" s="69"/>
      <c r="AC1033" s="69"/>
      <c r="AD1033" s="69"/>
      <c r="AE1033" s="69"/>
      <c r="AF1033" s="69"/>
      <c r="AG1033" s="69"/>
      <c r="AH1033" s="69"/>
      <c r="AI1033" s="69"/>
      <c r="AJ1033" s="69"/>
      <c r="AK1033" s="69"/>
      <c r="AL1033" s="69"/>
      <c r="AM1033" s="69"/>
      <c r="AN1033" s="69"/>
      <c r="AO1033" s="69"/>
      <c r="AP1033" s="69"/>
      <c r="AQ1033" s="69"/>
      <c r="AR1033" s="69"/>
      <c r="AS1033" s="69"/>
      <c r="AT1033" s="69"/>
      <c r="AU1033" s="69"/>
      <c r="AV1033" s="69"/>
      <c r="AW1033" s="69"/>
      <c r="AX1033" s="69"/>
      <c r="AY1033" s="69"/>
      <c r="AZ1033" s="69"/>
      <c r="BA1033" s="69"/>
      <c r="BB1033" s="69"/>
      <c r="BC1033" s="69"/>
    </row>
    <row r="1034">
      <c r="A1034" s="68"/>
      <c r="B1034" s="68"/>
      <c r="C1034" s="68"/>
      <c r="D1034" s="68"/>
      <c r="E1034" s="68"/>
      <c r="F1034" s="68"/>
      <c r="G1034" s="68"/>
      <c r="H1034" s="68"/>
      <c r="I1034" s="69"/>
      <c r="J1034" s="69"/>
      <c r="K1034" s="71"/>
      <c r="L1034" s="69"/>
      <c r="M1034" s="69"/>
      <c r="N1034" s="72"/>
      <c r="O1034" s="69"/>
      <c r="P1034" s="69"/>
      <c r="Q1034" s="69"/>
      <c r="R1034" s="69"/>
      <c r="S1034" s="69"/>
      <c r="T1034" s="69"/>
      <c r="U1034" s="69"/>
      <c r="V1034" s="69"/>
      <c r="W1034" s="69"/>
      <c r="X1034" s="69"/>
      <c r="Y1034" s="69"/>
      <c r="Z1034" s="69"/>
      <c r="AA1034" s="69"/>
      <c r="AB1034" s="69"/>
      <c r="AC1034" s="69"/>
      <c r="AD1034" s="69"/>
      <c r="AE1034" s="69"/>
      <c r="AF1034" s="69"/>
      <c r="AG1034" s="69"/>
      <c r="AH1034" s="69"/>
      <c r="AI1034" s="69"/>
      <c r="AJ1034" s="69"/>
      <c r="AK1034" s="69"/>
      <c r="AL1034" s="69"/>
      <c r="AM1034" s="69"/>
      <c r="AN1034" s="69"/>
      <c r="AO1034" s="69"/>
      <c r="AP1034" s="69"/>
      <c r="AQ1034" s="69"/>
      <c r="AR1034" s="69"/>
      <c r="AS1034" s="69"/>
      <c r="AT1034" s="69"/>
      <c r="AU1034" s="69"/>
      <c r="AV1034" s="69"/>
      <c r="AW1034" s="69"/>
      <c r="AX1034" s="69"/>
      <c r="AY1034" s="69"/>
      <c r="AZ1034" s="69"/>
      <c r="BA1034" s="69"/>
      <c r="BB1034" s="69"/>
      <c r="BC1034" s="69"/>
    </row>
    <row r="1035">
      <c r="A1035" s="68"/>
      <c r="B1035" s="68"/>
      <c r="C1035" s="68"/>
      <c r="D1035" s="68"/>
      <c r="E1035" s="68"/>
      <c r="F1035" s="68"/>
      <c r="G1035" s="68"/>
      <c r="H1035" s="68"/>
      <c r="I1035" s="69"/>
      <c r="J1035" s="69"/>
      <c r="K1035" s="71"/>
      <c r="L1035" s="69"/>
      <c r="M1035" s="69"/>
      <c r="N1035" s="72"/>
      <c r="O1035" s="69"/>
      <c r="P1035" s="69"/>
      <c r="Q1035" s="69"/>
      <c r="R1035" s="69"/>
      <c r="S1035" s="69"/>
      <c r="T1035" s="69"/>
      <c r="U1035" s="69"/>
      <c r="V1035" s="69"/>
      <c r="W1035" s="69"/>
      <c r="X1035" s="69"/>
      <c r="Y1035" s="69"/>
      <c r="Z1035" s="69"/>
      <c r="AA1035" s="69"/>
      <c r="AB1035" s="69"/>
      <c r="AC1035" s="69"/>
      <c r="AD1035" s="69"/>
      <c r="AE1035" s="69"/>
      <c r="AF1035" s="69"/>
      <c r="AG1035" s="69"/>
      <c r="AH1035" s="69"/>
      <c r="AI1035" s="69"/>
      <c r="AJ1035" s="69"/>
      <c r="AK1035" s="69"/>
      <c r="AL1035" s="69"/>
      <c r="AM1035" s="69"/>
      <c r="AN1035" s="69"/>
      <c r="AO1035" s="69"/>
      <c r="AP1035" s="69"/>
      <c r="AQ1035" s="69"/>
      <c r="AR1035" s="69"/>
      <c r="AS1035" s="69"/>
      <c r="AT1035" s="69"/>
      <c r="AU1035" s="69"/>
      <c r="AV1035" s="69"/>
      <c r="AW1035" s="69"/>
      <c r="AX1035" s="69"/>
      <c r="AY1035" s="69"/>
      <c r="AZ1035" s="69"/>
      <c r="BA1035" s="69"/>
      <c r="BB1035" s="69"/>
      <c r="BC1035" s="69"/>
    </row>
    <row r="1036">
      <c r="A1036" s="68"/>
      <c r="B1036" s="68"/>
      <c r="C1036" s="68"/>
      <c r="D1036" s="68"/>
      <c r="E1036" s="68"/>
      <c r="F1036" s="68"/>
      <c r="G1036" s="68"/>
      <c r="H1036" s="68"/>
      <c r="I1036" s="69"/>
      <c r="J1036" s="69"/>
      <c r="K1036" s="71"/>
      <c r="L1036" s="69"/>
      <c r="M1036" s="69"/>
      <c r="N1036" s="72"/>
      <c r="O1036" s="69"/>
      <c r="P1036" s="69"/>
      <c r="Q1036" s="69"/>
      <c r="R1036" s="69"/>
      <c r="S1036" s="69"/>
      <c r="T1036" s="69"/>
      <c r="U1036" s="69"/>
      <c r="V1036" s="69"/>
      <c r="W1036" s="69"/>
      <c r="X1036" s="69"/>
      <c r="Y1036" s="69"/>
      <c r="Z1036" s="69"/>
      <c r="AA1036" s="69"/>
      <c r="AB1036" s="69"/>
      <c r="AC1036" s="69"/>
      <c r="AD1036" s="69"/>
      <c r="AE1036" s="69"/>
      <c r="AF1036" s="69"/>
      <c r="AG1036" s="69"/>
      <c r="AH1036" s="69"/>
      <c r="AI1036" s="69"/>
      <c r="AJ1036" s="69"/>
      <c r="AK1036" s="69"/>
      <c r="AL1036" s="69"/>
      <c r="AM1036" s="69"/>
      <c r="AN1036" s="69"/>
      <c r="AO1036" s="69"/>
      <c r="AP1036" s="69"/>
      <c r="AQ1036" s="69"/>
      <c r="AR1036" s="69"/>
      <c r="AS1036" s="69"/>
      <c r="AT1036" s="69"/>
      <c r="AU1036" s="69"/>
      <c r="AV1036" s="69"/>
      <c r="AW1036" s="69"/>
      <c r="AX1036" s="69"/>
      <c r="AY1036" s="69"/>
      <c r="AZ1036" s="69"/>
      <c r="BA1036" s="69"/>
      <c r="BB1036" s="69"/>
      <c r="BC1036" s="69"/>
    </row>
    <row r="1037">
      <c r="A1037" s="68"/>
      <c r="B1037" s="68"/>
      <c r="C1037" s="68"/>
      <c r="D1037" s="68"/>
      <c r="E1037" s="68"/>
      <c r="F1037" s="68"/>
      <c r="G1037" s="68"/>
      <c r="H1037" s="68"/>
      <c r="I1037" s="69"/>
      <c r="J1037" s="69"/>
      <c r="K1037" s="71"/>
      <c r="L1037" s="69"/>
      <c r="M1037" s="69"/>
      <c r="N1037" s="72"/>
      <c r="O1037" s="69"/>
      <c r="P1037" s="69"/>
      <c r="Q1037" s="69"/>
      <c r="R1037" s="69"/>
      <c r="S1037" s="69"/>
      <c r="T1037" s="69"/>
      <c r="U1037" s="69"/>
      <c r="V1037" s="69"/>
      <c r="W1037" s="69"/>
      <c r="X1037" s="69"/>
      <c r="Y1037" s="69"/>
      <c r="Z1037" s="69"/>
      <c r="AA1037" s="69"/>
      <c r="AB1037" s="69"/>
      <c r="AC1037" s="69"/>
      <c r="AD1037" s="69"/>
      <c r="AE1037" s="69"/>
      <c r="AF1037" s="69"/>
      <c r="AG1037" s="69"/>
      <c r="AH1037" s="69"/>
      <c r="AI1037" s="69"/>
      <c r="AJ1037" s="69"/>
      <c r="AK1037" s="69"/>
      <c r="AL1037" s="69"/>
      <c r="AM1037" s="69"/>
      <c r="AN1037" s="69"/>
      <c r="AO1037" s="69"/>
      <c r="AP1037" s="69"/>
      <c r="AQ1037" s="69"/>
      <c r="AR1037" s="69"/>
      <c r="AS1037" s="69"/>
      <c r="AT1037" s="69"/>
      <c r="AU1037" s="69"/>
      <c r="AV1037" s="69"/>
      <c r="AW1037" s="69"/>
      <c r="AX1037" s="69"/>
      <c r="AY1037" s="69"/>
      <c r="AZ1037" s="69"/>
      <c r="BA1037" s="69"/>
      <c r="BB1037" s="69"/>
      <c r="BC1037" s="69"/>
    </row>
    <row r="1038">
      <c r="A1038" s="68"/>
      <c r="B1038" s="68"/>
      <c r="C1038" s="68"/>
      <c r="D1038" s="68"/>
      <c r="E1038" s="68"/>
      <c r="F1038" s="68"/>
      <c r="G1038" s="68"/>
      <c r="H1038" s="68"/>
      <c r="I1038" s="69"/>
      <c r="J1038" s="69"/>
      <c r="K1038" s="71"/>
      <c r="L1038" s="69"/>
      <c r="M1038" s="69"/>
      <c r="N1038" s="72"/>
      <c r="O1038" s="69"/>
      <c r="P1038" s="69"/>
      <c r="Q1038" s="69"/>
      <c r="R1038" s="69"/>
      <c r="S1038" s="69"/>
      <c r="T1038" s="69"/>
      <c r="U1038" s="69"/>
      <c r="V1038" s="69"/>
      <c r="W1038" s="69"/>
      <c r="X1038" s="69"/>
      <c r="Y1038" s="69"/>
      <c r="Z1038" s="69"/>
      <c r="AA1038" s="69"/>
      <c r="AB1038" s="69"/>
      <c r="AC1038" s="69"/>
      <c r="AD1038" s="69"/>
      <c r="AE1038" s="69"/>
      <c r="AF1038" s="69"/>
      <c r="AG1038" s="69"/>
      <c r="AH1038" s="69"/>
      <c r="AI1038" s="69"/>
      <c r="AJ1038" s="69"/>
      <c r="AK1038" s="69"/>
      <c r="AL1038" s="69"/>
      <c r="AM1038" s="69"/>
      <c r="AN1038" s="69"/>
      <c r="AO1038" s="69"/>
      <c r="AP1038" s="69"/>
      <c r="AQ1038" s="69"/>
      <c r="AR1038" s="69"/>
      <c r="AS1038" s="69"/>
      <c r="AT1038" s="69"/>
      <c r="AU1038" s="69"/>
      <c r="AV1038" s="69"/>
      <c r="AW1038" s="69"/>
      <c r="AX1038" s="69"/>
      <c r="AY1038" s="69"/>
      <c r="AZ1038" s="69"/>
      <c r="BA1038" s="69"/>
      <c r="BB1038" s="69"/>
      <c r="BC1038" s="69"/>
    </row>
    <row r="1039">
      <c r="A1039" s="68"/>
      <c r="B1039" s="68"/>
      <c r="C1039" s="68"/>
      <c r="D1039" s="68"/>
      <c r="E1039" s="68"/>
      <c r="F1039" s="68"/>
      <c r="G1039" s="68"/>
      <c r="H1039" s="68"/>
      <c r="I1039" s="69"/>
      <c r="J1039" s="69"/>
      <c r="K1039" s="71"/>
      <c r="L1039" s="69"/>
      <c r="M1039" s="69"/>
      <c r="N1039" s="72"/>
      <c r="O1039" s="69"/>
      <c r="P1039" s="69"/>
      <c r="Q1039" s="69"/>
      <c r="R1039" s="69"/>
      <c r="S1039" s="69"/>
      <c r="T1039" s="69"/>
      <c r="U1039" s="69"/>
      <c r="V1039" s="69"/>
      <c r="W1039" s="69"/>
      <c r="X1039" s="69"/>
      <c r="Y1039" s="69"/>
      <c r="Z1039" s="69"/>
      <c r="AA1039" s="69"/>
      <c r="AB1039" s="69"/>
      <c r="AC1039" s="69"/>
      <c r="AD1039" s="69"/>
      <c r="AE1039" s="69"/>
      <c r="AF1039" s="69"/>
      <c r="AG1039" s="69"/>
      <c r="AH1039" s="69"/>
      <c r="AI1039" s="69"/>
      <c r="AJ1039" s="69"/>
      <c r="AK1039" s="69"/>
      <c r="AL1039" s="69"/>
      <c r="AM1039" s="69"/>
      <c r="AN1039" s="69"/>
      <c r="AO1039" s="69"/>
      <c r="AP1039" s="69"/>
      <c r="AQ1039" s="69"/>
      <c r="AR1039" s="69"/>
      <c r="AS1039" s="69"/>
      <c r="AT1039" s="69"/>
      <c r="AU1039" s="69"/>
      <c r="AV1039" s="69"/>
      <c r="AW1039" s="69"/>
      <c r="AX1039" s="69"/>
      <c r="AY1039" s="69"/>
      <c r="AZ1039" s="69"/>
      <c r="BA1039" s="69"/>
      <c r="BB1039" s="69"/>
      <c r="BC1039" s="69"/>
    </row>
    <row r="1040">
      <c r="A1040" s="68"/>
      <c r="B1040" s="68"/>
      <c r="C1040" s="68"/>
      <c r="D1040" s="68"/>
      <c r="E1040" s="68"/>
      <c r="F1040" s="68"/>
      <c r="G1040" s="68"/>
      <c r="H1040" s="68"/>
      <c r="I1040" s="69"/>
      <c r="J1040" s="69"/>
      <c r="K1040" s="71"/>
      <c r="L1040" s="69"/>
      <c r="M1040" s="69"/>
      <c r="N1040" s="72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  <c r="AA1040" s="69"/>
      <c r="AB1040" s="69"/>
      <c r="AC1040" s="69"/>
      <c r="AD1040" s="69"/>
      <c r="AE1040" s="69"/>
      <c r="AF1040" s="69"/>
      <c r="AG1040" s="69"/>
      <c r="AH1040" s="69"/>
      <c r="AI1040" s="69"/>
      <c r="AJ1040" s="69"/>
      <c r="AK1040" s="69"/>
      <c r="AL1040" s="69"/>
      <c r="AM1040" s="69"/>
      <c r="AN1040" s="69"/>
      <c r="AO1040" s="69"/>
      <c r="AP1040" s="69"/>
      <c r="AQ1040" s="69"/>
      <c r="AR1040" s="69"/>
      <c r="AS1040" s="69"/>
      <c r="AT1040" s="69"/>
      <c r="AU1040" s="69"/>
      <c r="AV1040" s="69"/>
      <c r="AW1040" s="69"/>
      <c r="AX1040" s="69"/>
      <c r="AY1040" s="69"/>
      <c r="AZ1040" s="69"/>
      <c r="BA1040" s="69"/>
      <c r="BB1040" s="69"/>
      <c r="BC1040" s="69"/>
    </row>
    <row r="1041">
      <c r="A1041" s="68"/>
      <c r="B1041" s="68"/>
      <c r="C1041" s="68"/>
      <c r="D1041" s="68"/>
      <c r="E1041" s="68"/>
      <c r="F1041" s="68"/>
      <c r="G1041" s="68"/>
      <c r="H1041" s="68"/>
      <c r="I1041" s="69"/>
      <c r="J1041" s="69"/>
      <c r="K1041" s="71"/>
      <c r="L1041" s="69"/>
      <c r="M1041" s="69"/>
      <c r="N1041" s="72"/>
      <c r="O1041" s="69"/>
      <c r="P1041" s="69"/>
      <c r="Q1041" s="69"/>
      <c r="R1041" s="69"/>
      <c r="S1041" s="69"/>
      <c r="T1041" s="69"/>
      <c r="U1041" s="69"/>
      <c r="V1041" s="69"/>
      <c r="W1041" s="69"/>
      <c r="X1041" s="69"/>
      <c r="Y1041" s="69"/>
      <c r="Z1041" s="69"/>
      <c r="AA1041" s="69"/>
      <c r="AB1041" s="69"/>
      <c r="AC1041" s="69"/>
      <c r="AD1041" s="69"/>
      <c r="AE1041" s="69"/>
      <c r="AF1041" s="69"/>
      <c r="AG1041" s="69"/>
      <c r="AH1041" s="69"/>
      <c r="AI1041" s="69"/>
      <c r="AJ1041" s="69"/>
      <c r="AK1041" s="69"/>
      <c r="AL1041" s="69"/>
      <c r="AM1041" s="69"/>
      <c r="AN1041" s="69"/>
      <c r="AO1041" s="69"/>
      <c r="AP1041" s="69"/>
      <c r="AQ1041" s="69"/>
      <c r="AR1041" s="69"/>
      <c r="AS1041" s="69"/>
      <c r="AT1041" s="69"/>
      <c r="AU1041" s="69"/>
      <c r="AV1041" s="69"/>
      <c r="AW1041" s="69"/>
      <c r="AX1041" s="69"/>
      <c r="AY1041" s="69"/>
      <c r="AZ1041" s="69"/>
      <c r="BA1041" s="69"/>
      <c r="BB1041" s="69"/>
      <c r="BC1041" s="69"/>
    </row>
    <row r="1042">
      <c r="A1042" s="68"/>
      <c r="B1042" s="68"/>
      <c r="C1042" s="68"/>
      <c r="D1042" s="68"/>
      <c r="E1042" s="68"/>
      <c r="F1042" s="68"/>
      <c r="G1042" s="68"/>
      <c r="H1042" s="68"/>
      <c r="I1042" s="69"/>
      <c r="J1042" s="69"/>
      <c r="K1042" s="71"/>
      <c r="L1042" s="69"/>
      <c r="M1042" s="69"/>
      <c r="N1042" s="72"/>
      <c r="O1042" s="69"/>
      <c r="P1042" s="69"/>
      <c r="Q1042" s="69"/>
      <c r="R1042" s="69"/>
      <c r="S1042" s="69"/>
      <c r="T1042" s="69"/>
      <c r="U1042" s="69"/>
      <c r="V1042" s="69"/>
      <c r="W1042" s="69"/>
      <c r="X1042" s="69"/>
      <c r="Y1042" s="69"/>
      <c r="Z1042" s="69"/>
      <c r="AA1042" s="69"/>
      <c r="AB1042" s="69"/>
      <c r="AC1042" s="69"/>
      <c r="AD1042" s="69"/>
      <c r="AE1042" s="69"/>
      <c r="AF1042" s="69"/>
      <c r="AG1042" s="69"/>
      <c r="AH1042" s="69"/>
      <c r="AI1042" s="69"/>
      <c r="AJ1042" s="69"/>
      <c r="AK1042" s="69"/>
      <c r="AL1042" s="69"/>
      <c r="AM1042" s="69"/>
      <c r="AN1042" s="69"/>
      <c r="AO1042" s="69"/>
      <c r="AP1042" s="69"/>
      <c r="AQ1042" s="69"/>
      <c r="AR1042" s="69"/>
      <c r="AS1042" s="69"/>
      <c r="AT1042" s="69"/>
      <c r="AU1042" s="69"/>
      <c r="AV1042" s="69"/>
      <c r="AW1042" s="69"/>
      <c r="AX1042" s="69"/>
      <c r="AY1042" s="69"/>
      <c r="AZ1042" s="69"/>
      <c r="BA1042" s="69"/>
      <c r="BB1042" s="69"/>
      <c r="BC1042" s="69"/>
    </row>
    <row r="1043">
      <c r="A1043" s="68"/>
      <c r="B1043" s="68"/>
      <c r="C1043" s="68"/>
      <c r="D1043" s="68"/>
      <c r="E1043" s="68"/>
      <c r="F1043" s="68"/>
      <c r="G1043" s="68"/>
      <c r="H1043" s="68"/>
      <c r="I1043" s="69"/>
      <c r="J1043" s="69"/>
      <c r="K1043" s="71"/>
      <c r="L1043" s="69"/>
      <c r="M1043" s="69"/>
      <c r="N1043" s="72"/>
      <c r="O1043" s="69"/>
      <c r="P1043" s="69"/>
      <c r="Q1043" s="69"/>
      <c r="R1043" s="69"/>
      <c r="S1043" s="69"/>
      <c r="T1043" s="69"/>
      <c r="U1043" s="69"/>
      <c r="V1043" s="69"/>
      <c r="W1043" s="69"/>
      <c r="X1043" s="69"/>
      <c r="Y1043" s="69"/>
      <c r="Z1043" s="69"/>
      <c r="AA1043" s="69"/>
      <c r="AB1043" s="69"/>
      <c r="AC1043" s="69"/>
      <c r="AD1043" s="69"/>
      <c r="AE1043" s="69"/>
      <c r="AF1043" s="69"/>
      <c r="AG1043" s="69"/>
      <c r="AH1043" s="69"/>
      <c r="AI1043" s="69"/>
      <c r="AJ1043" s="69"/>
      <c r="AK1043" s="69"/>
      <c r="AL1043" s="69"/>
      <c r="AM1043" s="69"/>
      <c r="AN1043" s="69"/>
      <c r="AO1043" s="69"/>
      <c r="AP1043" s="69"/>
      <c r="AQ1043" s="69"/>
      <c r="AR1043" s="69"/>
      <c r="AS1043" s="69"/>
      <c r="AT1043" s="69"/>
      <c r="AU1043" s="69"/>
      <c r="AV1043" s="69"/>
      <c r="AW1043" s="69"/>
      <c r="AX1043" s="69"/>
      <c r="AY1043" s="69"/>
      <c r="AZ1043" s="69"/>
      <c r="BA1043" s="69"/>
      <c r="BB1043" s="69"/>
      <c r="BC1043" s="69"/>
    </row>
    <row r="1044">
      <c r="A1044" s="68"/>
      <c r="B1044" s="68"/>
      <c r="C1044" s="68"/>
      <c r="D1044" s="68"/>
      <c r="E1044" s="68"/>
      <c r="F1044" s="68"/>
      <c r="G1044" s="68"/>
      <c r="H1044" s="68"/>
      <c r="I1044" s="69"/>
      <c r="J1044" s="69"/>
      <c r="K1044" s="71"/>
      <c r="L1044" s="69"/>
      <c r="M1044" s="69"/>
      <c r="N1044" s="72"/>
      <c r="O1044" s="69"/>
      <c r="P1044" s="69"/>
      <c r="Q1044" s="69"/>
      <c r="R1044" s="69"/>
      <c r="S1044" s="69"/>
      <c r="T1044" s="69"/>
      <c r="U1044" s="69"/>
      <c r="V1044" s="69"/>
      <c r="W1044" s="69"/>
      <c r="X1044" s="69"/>
      <c r="Y1044" s="69"/>
      <c r="Z1044" s="69"/>
      <c r="AA1044" s="69"/>
      <c r="AB1044" s="69"/>
      <c r="AC1044" s="69"/>
      <c r="AD1044" s="69"/>
      <c r="AE1044" s="69"/>
      <c r="AF1044" s="69"/>
      <c r="AG1044" s="69"/>
      <c r="AH1044" s="69"/>
      <c r="AI1044" s="69"/>
      <c r="AJ1044" s="69"/>
      <c r="AK1044" s="69"/>
      <c r="AL1044" s="69"/>
      <c r="AM1044" s="69"/>
      <c r="AN1044" s="69"/>
      <c r="AO1044" s="69"/>
      <c r="AP1044" s="69"/>
      <c r="AQ1044" s="69"/>
      <c r="AR1044" s="69"/>
      <c r="AS1044" s="69"/>
      <c r="AT1044" s="69"/>
      <c r="AU1044" s="69"/>
      <c r="AV1044" s="69"/>
      <c r="AW1044" s="69"/>
      <c r="AX1044" s="69"/>
      <c r="AY1044" s="69"/>
      <c r="AZ1044" s="69"/>
      <c r="BA1044" s="69"/>
      <c r="BB1044" s="69"/>
      <c r="BC1044" s="69"/>
    </row>
    <row r="1045">
      <c r="A1045" s="68"/>
      <c r="B1045" s="68"/>
      <c r="C1045" s="68"/>
      <c r="D1045" s="68"/>
      <c r="E1045" s="68"/>
      <c r="F1045" s="68"/>
      <c r="G1045" s="68"/>
      <c r="H1045" s="68"/>
      <c r="I1045" s="69"/>
      <c r="J1045" s="69"/>
      <c r="K1045" s="71"/>
      <c r="L1045" s="69"/>
      <c r="M1045" s="69"/>
      <c r="N1045" s="72"/>
      <c r="O1045" s="69"/>
      <c r="P1045" s="69"/>
      <c r="Q1045" s="69"/>
      <c r="R1045" s="69"/>
      <c r="S1045" s="69"/>
      <c r="T1045" s="69"/>
      <c r="U1045" s="69"/>
      <c r="V1045" s="69"/>
      <c r="W1045" s="69"/>
      <c r="X1045" s="69"/>
      <c r="Y1045" s="69"/>
      <c r="Z1045" s="69"/>
      <c r="AA1045" s="69"/>
      <c r="AB1045" s="69"/>
      <c r="AC1045" s="69"/>
      <c r="AD1045" s="69"/>
      <c r="AE1045" s="69"/>
      <c r="AF1045" s="69"/>
      <c r="AG1045" s="69"/>
      <c r="AH1045" s="69"/>
      <c r="AI1045" s="69"/>
      <c r="AJ1045" s="69"/>
      <c r="AK1045" s="69"/>
      <c r="AL1045" s="69"/>
      <c r="AM1045" s="69"/>
      <c r="AN1045" s="69"/>
      <c r="AO1045" s="69"/>
      <c r="AP1045" s="69"/>
      <c r="AQ1045" s="69"/>
      <c r="AR1045" s="69"/>
      <c r="AS1045" s="69"/>
      <c r="AT1045" s="69"/>
      <c r="AU1045" s="69"/>
      <c r="AV1045" s="69"/>
      <c r="AW1045" s="69"/>
      <c r="AX1045" s="69"/>
      <c r="AY1045" s="69"/>
      <c r="AZ1045" s="69"/>
      <c r="BA1045" s="69"/>
      <c r="BB1045" s="69"/>
      <c r="BC1045" s="69"/>
    </row>
    <row r="1046">
      <c r="A1046" s="68"/>
      <c r="B1046" s="68"/>
      <c r="C1046" s="68"/>
      <c r="D1046" s="68"/>
      <c r="E1046" s="68"/>
      <c r="F1046" s="68"/>
      <c r="G1046" s="68"/>
      <c r="H1046" s="68"/>
      <c r="I1046" s="69"/>
      <c r="J1046" s="69"/>
      <c r="K1046" s="71"/>
      <c r="L1046" s="69"/>
      <c r="M1046" s="69"/>
      <c r="N1046" s="72"/>
      <c r="O1046" s="69"/>
      <c r="P1046" s="69"/>
      <c r="Q1046" s="69"/>
      <c r="R1046" s="69"/>
      <c r="S1046" s="69"/>
      <c r="T1046" s="69"/>
      <c r="U1046" s="69"/>
      <c r="V1046" s="69"/>
      <c r="W1046" s="69"/>
      <c r="X1046" s="69"/>
      <c r="Y1046" s="69"/>
      <c r="Z1046" s="69"/>
      <c r="AA1046" s="69"/>
      <c r="AB1046" s="69"/>
      <c r="AC1046" s="69"/>
      <c r="AD1046" s="69"/>
      <c r="AE1046" s="69"/>
      <c r="AF1046" s="69"/>
      <c r="AG1046" s="69"/>
      <c r="AH1046" s="69"/>
      <c r="AI1046" s="69"/>
      <c r="AJ1046" s="69"/>
      <c r="AK1046" s="69"/>
      <c r="AL1046" s="69"/>
      <c r="AM1046" s="69"/>
      <c r="AN1046" s="69"/>
      <c r="AO1046" s="69"/>
      <c r="AP1046" s="69"/>
      <c r="AQ1046" s="69"/>
      <c r="AR1046" s="69"/>
      <c r="AS1046" s="69"/>
      <c r="AT1046" s="69"/>
      <c r="AU1046" s="69"/>
      <c r="AV1046" s="69"/>
      <c r="AW1046" s="69"/>
      <c r="AX1046" s="69"/>
      <c r="AY1046" s="69"/>
      <c r="AZ1046" s="69"/>
      <c r="BA1046" s="69"/>
      <c r="BB1046" s="69"/>
      <c r="BC1046" s="69"/>
    </row>
    <row r="1047">
      <c r="A1047" s="68"/>
      <c r="B1047" s="68"/>
      <c r="C1047" s="68"/>
      <c r="D1047" s="68"/>
      <c r="E1047" s="68"/>
      <c r="F1047" s="68"/>
      <c r="G1047" s="68"/>
      <c r="H1047" s="68"/>
      <c r="I1047" s="69"/>
      <c r="J1047" s="69"/>
      <c r="K1047" s="71"/>
      <c r="L1047" s="69"/>
      <c r="M1047" s="69"/>
      <c r="N1047" s="72"/>
      <c r="O1047" s="69"/>
      <c r="P1047" s="69"/>
      <c r="Q1047" s="69"/>
      <c r="R1047" s="69"/>
      <c r="S1047" s="69"/>
      <c r="T1047" s="69"/>
      <c r="U1047" s="69"/>
      <c r="V1047" s="69"/>
      <c r="W1047" s="69"/>
      <c r="X1047" s="69"/>
      <c r="Y1047" s="69"/>
      <c r="Z1047" s="69"/>
      <c r="AA1047" s="69"/>
      <c r="AB1047" s="69"/>
      <c r="AC1047" s="69"/>
      <c r="AD1047" s="69"/>
      <c r="AE1047" s="69"/>
      <c r="AF1047" s="69"/>
      <c r="AG1047" s="69"/>
      <c r="AH1047" s="69"/>
      <c r="AI1047" s="69"/>
      <c r="AJ1047" s="69"/>
      <c r="AK1047" s="69"/>
      <c r="AL1047" s="69"/>
      <c r="AM1047" s="69"/>
      <c r="AN1047" s="69"/>
      <c r="AO1047" s="69"/>
      <c r="AP1047" s="69"/>
      <c r="AQ1047" s="69"/>
      <c r="AR1047" s="69"/>
      <c r="AS1047" s="69"/>
      <c r="AT1047" s="69"/>
      <c r="AU1047" s="69"/>
      <c r="AV1047" s="69"/>
      <c r="AW1047" s="69"/>
      <c r="AX1047" s="69"/>
      <c r="AY1047" s="69"/>
      <c r="AZ1047" s="69"/>
      <c r="BA1047" s="69"/>
      <c r="BB1047" s="69"/>
      <c r="BC1047" s="69"/>
    </row>
    <row r="1048">
      <c r="A1048" s="68"/>
      <c r="B1048" s="68"/>
      <c r="C1048" s="68"/>
      <c r="D1048" s="68"/>
      <c r="E1048" s="68"/>
      <c r="F1048" s="68"/>
      <c r="G1048" s="68"/>
      <c r="H1048" s="68"/>
      <c r="I1048" s="69"/>
      <c r="J1048" s="69"/>
      <c r="K1048" s="71"/>
      <c r="L1048" s="69"/>
      <c r="M1048" s="69"/>
      <c r="N1048" s="72"/>
      <c r="O1048" s="69"/>
      <c r="P1048" s="69"/>
      <c r="Q1048" s="69"/>
      <c r="R1048" s="69"/>
      <c r="S1048" s="69"/>
      <c r="T1048" s="69"/>
      <c r="U1048" s="69"/>
      <c r="V1048" s="69"/>
      <c r="W1048" s="69"/>
      <c r="X1048" s="69"/>
      <c r="Y1048" s="69"/>
      <c r="Z1048" s="69"/>
      <c r="AA1048" s="69"/>
      <c r="AB1048" s="69"/>
      <c r="AC1048" s="69"/>
      <c r="AD1048" s="69"/>
      <c r="AE1048" s="69"/>
      <c r="AF1048" s="69"/>
      <c r="AG1048" s="69"/>
      <c r="AH1048" s="69"/>
      <c r="AI1048" s="69"/>
      <c r="AJ1048" s="69"/>
      <c r="AK1048" s="69"/>
      <c r="AL1048" s="69"/>
      <c r="AM1048" s="69"/>
      <c r="AN1048" s="69"/>
      <c r="AO1048" s="69"/>
      <c r="AP1048" s="69"/>
      <c r="AQ1048" s="69"/>
      <c r="AR1048" s="69"/>
      <c r="AS1048" s="69"/>
      <c r="AT1048" s="69"/>
      <c r="AU1048" s="69"/>
      <c r="AV1048" s="69"/>
      <c r="AW1048" s="69"/>
      <c r="AX1048" s="69"/>
      <c r="AY1048" s="69"/>
      <c r="AZ1048" s="69"/>
      <c r="BA1048" s="69"/>
      <c r="BB1048" s="69"/>
      <c r="BC1048" s="69"/>
    </row>
    <row r="1049">
      <c r="A1049" s="68"/>
      <c r="B1049" s="68"/>
      <c r="C1049" s="68"/>
      <c r="D1049" s="68"/>
      <c r="E1049" s="68"/>
      <c r="F1049" s="68"/>
      <c r="G1049" s="68"/>
      <c r="H1049" s="68"/>
      <c r="I1049" s="69"/>
      <c r="J1049" s="69"/>
      <c r="K1049" s="71"/>
      <c r="L1049" s="69"/>
      <c r="M1049" s="69"/>
      <c r="N1049" s="72"/>
      <c r="O1049" s="69"/>
      <c r="P1049" s="69"/>
      <c r="Q1049" s="69"/>
      <c r="R1049" s="69"/>
      <c r="S1049" s="69"/>
      <c r="T1049" s="69"/>
      <c r="U1049" s="69"/>
      <c r="V1049" s="69"/>
      <c r="W1049" s="69"/>
      <c r="X1049" s="69"/>
      <c r="Y1049" s="69"/>
      <c r="Z1049" s="69"/>
      <c r="AA1049" s="69"/>
      <c r="AB1049" s="69"/>
      <c r="AC1049" s="69"/>
      <c r="AD1049" s="69"/>
      <c r="AE1049" s="69"/>
      <c r="AF1049" s="69"/>
      <c r="AG1049" s="69"/>
      <c r="AH1049" s="69"/>
      <c r="AI1049" s="69"/>
      <c r="AJ1049" s="69"/>
      <c r="AK1049" s="69"/>
      <c r="AL1049" s="69"/>
      <c r="AM1049" s="69"/>
      <c r="AN1049" s="69"/>
      <c r="AO1049" s="69"/>
      <c r="AP1049" s="69"/>
      <c r="AQ1049" s="69"/>
      <c r="AR1049" s="69"/>
      <c r="AS1049" s="69"/>
      <c r="AT1049" s="69"/>
      <c r="AU1049" s="69"/>
      <c r="AV1049" s="69"/>
      <c r="AW1049" s="69"/>
      <c r="AX1049" s="69"/>
      <c r="AY1049" s="69"/>
      <c r="AZ1049" s="69"/>
      <c r="BA1049" s="69"/>
      <c r="BB1049" s="69"/>
      <c r="BC1049" s="69"/>
    </row>
    <row r="1050">
      <c r="A1050" s="68"/>
      <c r="B1050" s="68"/>
      <c r="C1050" s="68"/>
      <c r="D1050" s="68"/>
      <c r="E1050" s="68"/>
      <c r="F1050" s="68"/>
      <c r="G1050" s="68"/>
      <c r="H1050" s="68"/>
      <c r="I1050" s="69"/>
      <c r="J1050" s="69"/>
      <c r="K1050" s="71"/>
      <c r="L1050" s="69"/>
      <c r="M1050" s="69"/>
      <c r="N1050" s="72"/>
      <c r="O1050" s="69"/>
      <c r="P1050" s="69"/>
      <c r="Q1050" s="69"/>
      <c r="R1050" s="69"/>
      <c r="S1050" s="69"/>
      <c r="T1050" s="69"/>
      <c r="U1050" s="69"/>
      <c r="V1050" s="69"/>
      <c r="W1050" s="69"/>
      <c r="X1050" s="69"/>
      <c r="Y1050" s="69"/>
      <c r="Z1050" s="69"/>
      <c r="AA1050" s="69"/>
      <c r="AB1050" s="69"/>
      <c r="AC1050" s="69"/>
      <c r="AD1050" s="69"/>
      <c r="AE1050" s="69"/>
      <c r="AF1050" s="69"/>
      <c r="AG1050" s="69"/>
      <c r="AH1050" s="69"/>
      <c r="AI1050" s="69"/>
      <c r="AJ1050" s="69"/>
      <c r="AK1050" s="69"/>
      <c r="AL1050" s="69"/>
      <c r="AM1050" s="69"/>
      <c r="AN1050" s="69"/>
      <c r="AO1050" s="69"/>
      <c r="AP1050" s="69"/>
      <c r="AQ1050" s="69"/>
      <c r="AR1050" s="69"/>
      <c r="AS1050" s="69"/>
      <c r="AT1050" s="69"/>
      <c r="AU1050" s="69"/>
      <c r="AV1050" s="69"/>
      <c r="AW1050" s="69"/>
      <c r="AX1050" s="69"/>
      <c r="AY1050" s="69"/>
      <c r="AZ1050" s="69"/>
      <c r="BA1050" s="69"/>
      <c r="BB1050" s="69"/>
      <c r="BC1050" s="69"/>
    </row>
    <row r="1051">
      <c r="A1051" s="68"/>
      <c r="B1051" s="68"/>
      <c r="C1051" s="68"/>
      <c r="D1051" s="68"/>
      <c r="E1051" s="68"/>
      <c r="F1051" s="68"/>
      <c r="G1051" s="68"/>
      <c r="H1051" s="68"/>
      <c r="I1051" s="69"/>
      <c r="J1051" s="69"/>
      <c r="K1051" s="71"/>
      <c r="L1051" s="69"/>
      <c r="M1051" s="69"/>
      <c r="N1051" s="72"/>
      <c r="O1051" s="69"/>
      <c r="P1051" s="69"/>
      <c r="Q1051" s="69"/>
      <c r="R1051" s="69"/>
      <c r="S1051" s="69"/>
      <c r="T1051" s="69"/>
      <c r="U1051" s="69"/>
      <c r="V1051" s="69"/>
      <c r="W1051" s="69"/>
      <c r="X1051" s="69"/>
      <c r="Y1051" s="69"/>
      <c r="Z1051" s="69"/>
      <c r="AA1051" s="69"/>
      <c r="AB1051" s="69"/>
      <c r="AC1051" s="69"/>
      <c r="AD1051" s="69"/>
      <c r="AE1051" s="69"/>
      <c r="AF1051" s="69"/>
      <c r="AG1051" s="69"/>
      <c r="AH1051" s="69"/>
      <c r="AI1051" s="69"/>
      <c r="AJ1051" s="69"/>
      <c r="AK1051" s="69"/>
      <c r="AL1051" s="69"/>
      <c r="AM1051" s="69"/>
      <c r="AN1051" s="69"/>
      <c r="AO1051" s="69"/>
      <c r="AP1051" s="69"/>
      <c r="AQ1051" s="69"/>
      <c r="AR1051" s="69"/>
      <c r="AS1051" s="69"/>
      <c r="AT1051" s="69"/>
      <c r="AU1051" s="69"/>
      <c r="AV1051" s="69"/>
      <c r="AW1051" s="69"/>
      <c r="AX1051" s="69"/>
      <c r="AY1051" s="69"/>
      <c r="AZ1051" s="69"/>
      <c r="BA1051" s="69"/>
      <c r="BB1051" s="69"/>
      <c r="BC1051" s="69"/>
    </row>
    <row r="1052">
      <c r="A1052" s="68"/>
      <c r="B1052" s="68"/>
      <c r="C1052" s="68"/>
      <c r="D1052" s="68"/>
      <c r="E1052" s="68"/>
      <c r="F1052" s="68"/>
      <c r="G1052" s="68"/>
      <c r="H1052" s="68"/>
      <c r="I1052" s="69"/>
      <c r="J1052" s="69"/>
      <c r="K1052" s="71"/>
      <c r="L1052" s="69"/>
      <c r="M1052" s="69"/>
      <c r="N1052" s="72"/>
      <c r="O1052" s="69"/>
      <c r="P1052" s="69"/>
      <c r="Q1052" s="69"/>
      <c r="R1052" s="69"/>
      <c r="S1052" s="69"/>
      <c r="T1052" s="69"/>
      <c r="U1052" s="69"/>
      <c r="V1052" s="69"/>
      <c r="W1052" s="69"/>
      <c r="X1052" s="69"/>
      <c r="Y1052" s="69"/>
      <c r="Z1052" s="69"/>
      <c r="AA1052" s="69"/>
      <c r="AB1052" s="69"/>
      <c r="AC1052" s="69"/>
      <c r="AD1052" s="69"/>
      <c r="AE1052" s="69"/>
      <c r="AF1052" s="69"/>
      <c r="AG1052" s="69"/>
      <c r="AH1052" s="69"/>
      <c r="AI1052" s="69"/>
      <c r="AJ1052" s="69"/>
      <c r="AK1052" s="69"/>
      <c r="AL1052" s="69"/>
      <c r="AM1052" s="69"/>
      <c r="AN1052" s="69"/>
      <c r="AO1052" s="69"/>
      <c r="AP1052" s="69"/>
      <c r="AQ1052" s="69"/>
      <c r="AR1052" s="69"/>
      <c r="AS1052" s="69"/>
      <c r="AT1052" s="69"/>
      <c r="AU1052" s="69"/>
      <c r="AV1052" s="69"/>
      <c r="AW1052" s="69"/>
      <c r="AX1052" s="69"/>
      <c r="AY1052" s="69"/>
      <c r="AZ1052" s="69"/>
      <c r="BA1052" s="69"/>
      <c r="BB1052" s="69"/>
      <c r="BC1052" s="69"/>
    </row>
    <row r="1053">
      <c r="A1053" s="68"/>
      <c r="B1053" s="68"/>
      <c r="C1053" s="68"/>
      <c r="D1053" s="68"/>
      <c r="E1053" s="68"/>
      <c r="F1053" s="68"/>
      <c r="G1053" s="68"/>
      <c r="H1053" s="68"/>
      <c r="I1053" s="69"/>
      <c r="J1053" s="69"/>
      <c r="K1053" s="71"/>
      <c r="L1053" s="69"/>
      <c r="M1053" s="69"/>
      <c r="N1053" s="72"/>
      <c r="O1053" s="69"/>
      <c r="P1053" s="69"/>
      <c r="Q1053" s="69"/>
      <c r="R1053" s="69"/>
      <c r="S1053" s="69"/>
      <c r="T1053" s="69"/>
      <c r="U1053" s="69"/>
      <c r="V1053" s="69"/>
      <c r="W1053" s="69"/>
      <c r="X1053" s="69"/>
      <c r="Y1053" s="69"/>
      <c r="Z1053" s="69"/>
      <c r="AA1053" s="69"/>
      <c r="AB1053" s="69"/>
      <c r="AC1053" s="69"/>
      <c r="AD1053" s="69"/>
      <c r="AE1053" s="69"/>
      <c r="AF1053" s="69"/>
      <c r="AG1053" s="69"/>
      <c r="AH1053" s="69"/>
      <c r="AI1053" s="69"/>
      <c r="AJ1053" s="69"/>
      <c r="AK1053" s="69"/>
      <c r="AL1053" s="69"/>
      <c r="AM1053" s="69"/>
      <c r="AN1053" s="69"/>
      <c r="AO1053" s="69"/>
      <c r="AP1053" s="69"/>
      <c r="AQ1053" s="69"/>
      <c r="AR1053" s="69"/>
      <c r="AS1053" s="69"/>
      <c r="AT1053" s="69"/>
      <c r="AU1053" s="69"/>
      <c r="AV1053" s="69"/>
      <c r="AW1053" s="69"/>
      <c r="AX1053" s="69"/>
      <c r="AY1053" s="69"/>
      <c r="AZ1053" s="69"/>
      <c r="BA1053" s="69"/>
      <c r="BB1053" s="69"/>
      <c r="BC1053" s="69"/>
    </row>
    <row r="1054">
      <c r="A1054" s="68"/>
      <c r="B1054" s="68"/>
      <c r="C1054" s="68"/>
      <c r="D1054" s="68"/>
      <c r="E1054" s="68"/>
      <c r="F1054" s="68"/>
      <c r="G1054" s="68"/>
      <c r="H1054" s="68"/>
      <c r="I1054" s="69"/>
      <c r="J1054" s="69"/>
      <c r="K1054" s="71"/>
      <c r="L1054" s="69"/>
      <c r="M1054" s="69"/>
      <c r="N1054" s="72"/>
      <c r="O1054" s="69"/>
      <c r="P1054" s="69"/>
      <c r="Q1054" s="69"/>
      <c r="R1054" s="69"/>
      <c r="S1054" s="69"/>
      <c r="T1054" s="69"/>
      <c r="U1054" s="69"/>
      <c r="V1054" s="69"/>
      <c r="W1054" s="69"/>
      <c r="X1054" s="69"/>
      <c r="Y1054" s="69"/>
      <c r="Z1054" s="69"/>
      <c r="AA1054" s="69"/>
      <c r="AB1054" s="69"/>
      <c r="AC1054" s="69"/>
      <c r="AD1054" s="69"/>
      <c r="AE1054" s="69"/>
      <c r="AF1054" s="69"/>
      <c r="AG1054" s="69"/>
      <c r="AH1054" s="69"/>
      <c r="AI1054" s="69"/>
      <c r="AJ1054" s="69"/>
      <c r="AK1054" s="69"/>
      <c r="AL1054" s="69"/>
      <c r="AM1054" s="69"/>
      <c r="AN1054" s="69"/>
      <c r="AO1054" s="69"/>
      <c r="AP1054" s="69"/>
      <c r="AQ1054" s="69"/>
      <c r="AR1054" s="69"/>
      <c r="AS1054" s="69"/>
      <c r="AT1054" s="69"/>
      <c r="AU1054" s="69"/>
      <c r="AV1054" s="69"/>
      <c r="AW1054" s="69"/>
      <c r="AX1054" s="69"/>
      <c r="AY1054" s="69"/>
      <c r="AZ1054" s="69"/>
      <c r="BA1054" s="69"/>
      <c r="BB1054" s="69"/>
      <c r="BC1054" s="69"/>
    </row>
    <row r="1055">
      <c r="A1055" s="68"/>
      <c r="B1055" s="68"/>
      <c r="C1055" s="68"/>
      <c r="D1055" s="68"/>
      <c r="E1055" s="68"/>
      <c r="F1055" s="68"/>
      <c r="G1055" s="68"/>
      <c r="H1055" s="68"/>
      <c r="I1055" s="69"/>
      <c r="J1055" s="69"/>
      <c r="K1055" s="71"/>
      <c r="L1055" s="69"/>
      <c r="M1055" s="69"/>
      <c r="N1055" s="72"/>
      <c r="O1055" s="69"/>
      <c r="P1055" s="69"/>
      <c r="Q1055" s="69"/>
      <c r="R1055" s="69"/>
      <c r="S1055" s="69"/>
      <c r="T1055" s="69"/>
      <c r="U1055" s="69"/>
      <c r="V1055" s="69"/>
      <c r="W1055" s="69"/>
      <c r="X1055" s="69"/>
      <c r="Y1055" s="69"/>
      <c r="Z1055" s="69"/>
      <c r="AA1055" s="69"/>
      <c r="AB1055" s="69"/>
      <c r="AC1055" s="69"/>
      <c r="AD1055" s="69"/>
      <c r="AE1055" s="69"/>
      <c r="AF1055" s="69"/>
      <c r="AG1055" s="69"/>
      <c r="AH1055" s="69"/>
      <c r="AI1055" s="69"/>
      <c r="AJ1055" s="69"/>
      <c r="AK1055" s="69"/>
      <c r="AL1055" s="69"/>
      <c r="AM1055" s="69"/>
      <c r="AN1055" s="69"/>
      <c r="AO1055" s="69"/>
      <c r="AP1055" s="69"/>
      <c r="AQ1055" s="69"/>
      <c r="AR1055" s="69"/>
      <c r="AS1055" s="69"/>
      <c r="AT1055" s="69"/>
      <c r="AU1055" s="69"/>
      <c r="AV1055" s="69"/>
      <c r="AW1055" s="69"/>
      <c r="AX1055" s="69"/>
      <c r="AY1055" s="69"/>
      <c r="AZ1055" s="69"/>
      <c r="BA1055" s="69"/>
      <c r="BB1055" s="69"/>
      <c r="BC1055" s="69"/>
    </row>
    <row r="1056">
      <c r="A1056" s="68"/>
      <c r="B1056" s="68"/>
      <c r="C1056" s="68"/>
      <c r="D1056" s="68"/>
      <c r="E1056" s="68"/>
      <c r="F1056" s="68"/>
      <c r="G1056" s="68"/>
      <c r="H1056" s="68"/>
      <c r="I1056" s="69"/>
      <c r="J1056" s="69"/>
      <c r="K1056" s="71"/>
      <c r="L1056" s="69"/>
      <c r="M1056" s="69"/>
      <c r="N1056" s="72"/>
      <c r="O1056" s="69"/>
      <c r="P1056" s="69"/>
      <c r="Q1056" s="69"/>
      <c r="R1056" s="69"/>
      <c r="S1056" s="69"/>
      <c r="T1056" s="69"/>
      <c r="U1056" s="69"/>
      <c r="V1056" s="69"/>
      <c r="W1056" s="69"/>
      <c r="X1056" s="69"/>
      <c r="Y1056" s="69"/>
      <c r="Z1056" s="69"/>
      <c r="AA1056" s="69"/>
      <c r="AB1056" s="69"/>
      <c r="AC1056" s="69"/>
      <c r="AD1056" s="69"/>
      <c r="AE1056" s="69"/>
      <c r="AF1056" s="69"/>
      <c r="AG1056" s="69"/>
      <c r="AH1056" s="69"/>
      <c r="AI1056" s="69"/>
      <c r="AJ1056" s="69"/>
      <c r="AK1056" s="69"/>
      <c r="AL1056" s="69"/>
      <c r="AM1056" s="69"/>
      <c r="AN1056" s="69"/>
      <c r="AO1056" s="69"/>
      <c r="AP1056" s="69"/>
      <c r="AQ1056" s="69"/>
      <c r="AR1056" s="69"/>
      <c r="AS1056" s="69"/>
      <c r="AT1056" s="69"/>
      <c r="AU1056" s="69"/>
      <c r="AV1056" s="69"/>
      <c r="AW1056" s="69"/>
      <c r="AX1056" s="69"/>
      <c r="AY1056" s="69"/>
      <c r="AZ1056" s="69"/>
      <c r="BA1056" s="69"/>
      <c r="BB1056" s="69"/>
      <c r="BC1056" s="69"/>
    </row>
    <row r="1057">
      <c r="A1057" s="68"/>
      <c r="B1057" s="68"/>
      <c r="C1057" s="68"/>
      <c r="D1057" s="68"/>
      <c r="E1057" s="68"/>
      <c r="F1057" s="68"/>
      <c r="G1057" s="68"/>
      <c r="H1057" s="68"/>
      <c r="I1057" s="69"/>
      <c r="J1057" s="69"/>
      <c r="K1057" s="71"/>
      <c r="L1057" s="69"/>
      <c r="M1057" s="69"/>
      <c r="N1057" s="72"/>
      <c r="O1057" s="69"/>
      <c r="P1057" s="69"/>
      <c r="Q1057" s="69"/>
      <c r="R1057" s="69"/>
      <c r="S1057" s="69"/>
      <c r="T1057" s="69"/>
      <c r="U1057" s="69"/>
      <c r="V1057" s="69"/>
      <c r="W1057" s="69"/>
      <c r="X1057" s="69"/>
      <c r="Y1057" s="69"/>
      <c r="Z1057" s="69"/>
      <c r="AA1057" s="69"/>
      <c r="AB1057" s="69"/>
      <c r="AC1057" s="69"/>
      <c r="AD1057" s="69"/>
      <c r="AE1057" s="69"/>
      <c r="AF1057" s="69"/>
      <c r="AG1057" s="69"/>
      <c r="AH1057" s="69"/>
      <c r="AI1057" s="69"/>
      <c r="AJ1057" s="69"/>
      <c r="AK1057" s="69"/>
      <c r="AL1057" s="69"/>
      <c r="AM1057" s="69"/>
      <c r="AN1057" s="69"/>
      <c r="AO1057" s="69"/>
      <c r="AP1057" s="69"/>
      <c r="AQ1057" s="69"/>
      <c r="AR1057" s="69"/>
      <c r="AS1057" s="69"/>
      <c r="AT1057" s="69"/>
      <c r="AU1057" s="69"/>
      <c r="AV1057" s="69"/>
      <c r="AW1057" s="69"/>
      <c r="AX1057" s="69"/>
      <c r="AY1057" s="69"/>
      <c r="AZ1057" s="69"/>
      <c r="BA1057" s="69"/>
      <c r="BB1057" s="69"/>
      <c r="BC1057" s="69"/>
    </row>
    <row r="1058">
      <c r="A1058" s="68"/>
      <c r="B1058" s="68"/>
      <c r="C1058" s="68"/>
      <c r="D1058" s="68"/>
      <c r="E1058" s="68"/>
      <c r="F1058" s="68"/>
      <c r="G1058" s="68"/>
      <c r="H1058" s="68"/>
      <c r="I1058" s="69"/>
      <c r="J1058" s="69"/>
      <c r="K1058" s="71"/>
      <c r="L1058" s="69"/>
      <c r="M1058" s="69"/>
      <c r="N1058" s="72"/>
      <c r="O1058" s="69"/>
      <c r="P1058" s="69"/>
      <c r="Q1058" s="69"/>
      <c r="R1058" s="69"/>
      <c r="S1058" s="69"/>
      <c r="T1058" s="69"/>
      <c r="U1058" s="69"/>
      <c r="V1058" s="69"/>
      <c r="W1058" s="69"/>
      <c r="X1058" s="69"/>
      <c r="Y1058" s="69"/>
      <c r="Z1058" s="69"/>
      <c r="AA1058" s="69"/>
      <c r="AB1058" s="69"/>
      <c r="AC1058" s="69"/>
      <c r="AD1058" s="69"/>
      <c r="AE1058" s="69"/>
      <c r="AF1058" s="69"/>
      <c r="AG1058" s="69"/>
      <c r="AH1058" s="69"/>
      <c r="AI1058" s="69"/>
      <c r="AJ1058" s="69"/>
      <c r="AK1058" s="69"/>
      <c r="AL1058" s="69"/>
      <c r="AM1058" s="69"/>
      <c r="AN1058" s="69"/>
      <c r="AO1058" s="69"/>
      <c r="AP1058" s="69"/>
      <c r="AQ1058" s="69"/>
      <c r="AR1058" s="69"/>
      <c r="AS1058" s="69"/>
      <c r="AT1058" s="69"/>
      <c r="AU1058" s="69"/>
      <c r="AV1058" s="69"/>
      <c r="AW1058" s="69"/>
      <c r="AX1058" s="69"/>
      <c r="AY1058" s="69"/>
      <c r="AZ1058" s="69"/>
      <c r="BA1058" s="69"/>
      <c r="BB1058" s="69"/>
      <c r="BC1058" s="69"/>
    </row>
    <row r="1059">
      <c r="A1059" s="68"/>
      <c r="B1059" s="68"/>
      <c r="C1059" s="68"/>
      <c r="D1059" s="68"/>
      <c r="E1059" s="68"/>
      <c r="F1059" s="68"/>
      <c r="G1059" s="68"/>
      <c r="H1059" s="68"/>
      <c r="I1059" s="69"/>
      <c r="J1059" s="69"/>
      <c r="K1059" s="71"/>
      <c r="L1059" s="69"/>
      <c r="M1059" s="69"/>
      <c r="N1059" s="72"/>
      <c r="O1059" s="69"/>
      <c r="P1059" s="69"/>
      <c r="Q1059" s="69"/>
      <c r="R1059" s="69"/>
      <c r="S1059" s="69"/>
      <c r="T1059" s="69"/>
      <c r="U1059" s="69"/>
      <c r="V1059" s="69"/>
      <c r="W1059" s="69"/>
      <c r="X1059" s="69"/>
      <c r="Y1059" s="69"/>
      <c r="Z1059" s="69"/>
      <c r="AA1059" s="69"/>
      <c r="AB1059" s="69"/>
      <c r="AC1059" s="69"/>
      <c r="AD1059" s="69"/>
      <c r="AE1059" s="69"/>
      <c r="AF1059" s="69"/>
      <c r="AG1059" s="69"/>
      <c r="AH1059" s="69"/>
      <c r="AI1059" s="69"/>
      <c r="AJ1059" s="69"/>
      <c r="AK1059" s="69"/>
      <c r="AL1059" s="69"/>
      <c r="AM1059" s="69"/>
      <c r="AN1059" s="69"/>
      <c r="AO1059" s="69"/>
      <c r="AP1059" s="69"/>
      <c r="AQ1059" s="69"/>
      <c r="AR1059" s="69"/>
      <c r="AS1059" s="69"/>
      <c r="AT1059" s="69"/>
      <c r="AU1059" s="69"/>
      <c r="AV1059" s="69"/>
      <c r="AW1059" s="69"/>
      <c r="AX1059" s="69"/>
      <c r="AY1059" s="69"/>
      <c r="AZ1059" s="69"/>
      <c r="BA1059" s="69"/>
      <c r="BB1059" s="69"/>
      <c r="BC1059" s="69"/>
    </row>
    <row r="1060">
      <c r="A1060" s="68"/>
      <c r="B1060" s="68"/>
      <c r="C1060" s="68"/>
      <c r="D1060" s="68"/>
      <c r="E1060" s="68"/>
      <c r="F1060" s="68"/>
      <c r="G1060" s="68"/>
      <c r="H1060" s="68"/>
      <c r="I1060" s="69"/>
      <c r="J1060" s="69"/>
      <c r="K1060" s="71"/>
      <c r="L1060" s="69"/>
      <c r="M1060" s="69"/>
      <c r="N1060" s="72"/>
      <c r="O1060" s="69"/>
      <c r="P1060" s="69"/>
      <c r="Q1060" s="69"/>
      <c r="R1060" s="69"/>
      <c r="S1060" s="69"/>
      <c r="T1060" s="69"/>
      <c r="U1060" s="69"/>
      <c r="V1060" s="69"/>
      <c r="W1060" s="69"/>
      <c r="X1060" s="69"/>
      <c r="Y1060" s="69"/>
      <c r="Z1060" s="69"/>
      <c r="AA1060" s="69"/>
      <c r="AB1060" s="69"/>
      <c r="AC1060" s="69"/>
      <c r="AD1060" s="69"/>
      <c r="AE1060" s="69"/>
      <c r="AF1060" s="69"/>
      <c r="AG1060" s="69"/>
      <c r="AH1060" s="69"/>
      <c r="AI1060" s="69"/>
      <c r="AJ1060" s="69"/>
      <c r="AK1060" s="69"/>
      <c r="AL1060" s="69"/>
      <c r="AM1060" s="69"/>
      <c r="AN1060" s="69"/>
      <c r="AO1060" s="69"/>
      <c r="AP1060" s="69"/>
      <c r="AQ1060" s="69"/>
      <c r="AR1060" s="69"/>
      <c r="AS1060" s="69"/>
      <c r="AT1060" s="69"/>
      <c r="AU1060" s="69"/>
      <c r="AV1060" s="69"/>
      <c r="AW1060" s="69"/>
      <c r="AX1060" s="69"/>
      <c r="AY1060" s="69"/>
      <c r="AZ1060" s="69"/>
      <c r="BA1060" s="69"/>
      <c r="BB1060" s="69"/>
      <c r="BC1060" s="69"/>
    </row>
    <row r="1061">
      <c r="A1061" s="68"/>
      <c r="B1061" s="68"/>
      <c r="C1061" s="68"/>
      <c r="D1061" s="68"/>
      <c r="E1061" s="68"/>
      <c r="F1061" s="68"/>
      <c r="G1061" s="68"/>
      <c r="H1061" s="68"/>
      <c r="I1061" s="69"/>
      <c r="J1061" s="69"/>
      <c r="K1061" s="71"/>
      <c r="L1061" s="69"/>
      <c r="M1061" s="69"/>
      <c r="N1061" s="72"/>
      <c r="O1061" s="69"/>
      <c r="P1061" s="69"/>
      <c r="Q1061" s="69"/>
      <c r="R1061" s="69"/>
      <c r="S1061" s="69"/>
      <c r="T1061" s="69"/>
      <c r="U1061" s="69"/>
      <c r="V1061" s="69"/>
      <c r="W1061" s="69"/>
      <c r="X1061" s="69"/>
      <c r="Y1061" s="69"/>
      <c r="Z1061" s="69"/>
      <c r="AA1061" s="69"/>
      <c r="AB1061" s="69"/>
      <c r="AC1061" s="69"/>
      <c r="AD1061" s="69"/>
      <c r="AE1061" s="69"/>
      <c r="AF1061" s="69"/>
      <c r="AG1061" s="69"/>
      <c r="AH1061" s="69"/>
      <c r="AI1061" s="69"/>
      <c r="AJ1061" s="69"/>
      <c r="AK1061" s="69"/>
      <c r="AL1061" s="69"/>
      <c r="AM1061" s="69"/>
      <c r="AN1061" s="69"/>
      <c r="AO1061" s="69"/>
      <c r="AP1061" s="69"/>
      <c r="AQ1061" s="69"/>
      <c r="AR1061" s="69"/>
      <c r="AS1061" s="69"/>
      <c r="AT1061" s="69"/>
      <c r="AU1061" s="69"/>
      <c r="AV1061" s="69"/>
      <c r="AW1061" s="69"/>
      <c r="AX1061" s="69"/>
      <c r="AY1061" s="69"/>
      <c r="AZ1061" s="69"/>
      <c r="BA1061" s="69"/>
      <c r="BB1061" s="69"/>
      <c r="BC1061" s="69"/>
    </row>
    <row r="1062">
      <c r="A1062" s="68"/>
      <c r="B1062" s="68"/>
      <c r="C1062" s="68"/>
      <c r="D1062" s="68"/>
      <c r="E1062" s="68"/>
      <c r="F1062" s="68"/>
      <c r="G1062" s="68"/>
      <c r="H1062" s="68"/>
      <c r="I1062" s="69"/>
      <c r="J1062" s="69"/>
      <c r="K1062" s="71"/>
      <c r="L1062" s="69"/>
      <c r="M1062" s="69"/>
      <c r="N1062" s="72"/>
      <c r="O1062" s="69"/>
      <c r="P1062" s="69"/>
      <c r="Q1062" s="69"/>
      <c r="R1062" s="69"/>
      <c r="S1062" s="69"/>
      <c r="T1062" s="69"/>
      <c r="U1062" s="69"/>
      <c r="V1062" s="69"/>
      <c r="W1062" s="69"/>
      <c r="X1062" s="69"/>
      <c r="Y1062" s="69"/>
      <c r="Z1062" s="69"/>
      <c r="AA1062" s="69"/>
      <c r="AB1062" s="69"/>
      <c r="AC1062" s="69"/>
      <c r="AD1062" s="69"/>
      <c r="AE1062" s="69"/>
      <c r="AF1062" s="69"/>
      <c r="AG1062" s="69"/>
      <c r="AH1062" s="69"/>
      <c r="AI1062" s="69"/>
      <c r="AJ1062" s="69"/>
      <c r="AK1062" s="69"/>
      <c r="AL1062" s="69"/>
      <c r="AM1062" s="69"/>
      <c r="AN1062" s="69"/>
      <c r="AO1062" s="69"/>
      <c r="AP1062" s="69"/>
      <c r="AQ1062" s="69"/>
      <c r="AR1062" s="69"/>
      <c r="AS1062" s="69"/>
      <c r="AT1062" s="69"/>
      <c r="AU1062" s="69"/>
      <c r="AV1062" s="69"/>
      <c r="AW1062" s="69"/>
      <c r="AX1062" s="69"/>
      <c r="AY1062" s="69"/>
      <c r="AZ1062" s="69"/>
      <c r="BA1062" s="69"/>
      <c r="BB1062" s="69"/>
      <c r="BC1062" s="69"/>
    </row>
    <row r="1063">
      <c r="A1063" s="68"/>
      <c r="B1063" s="68"/>
      <c r="C1063" s="68"/>
      <c r="D1063" s="68"/>
      <c r="E1063" s="68"/>
      <c r="F1063" s="68"/>
      <c r="G1063" s="68"/>
      <c r="H1063" s="68"/>
      <c r="I1063" s="69"/>
      <c r="J1063" s="69"/>
      <c r="K1063" s="71"/>
      <c r="L1063" s="69"/>
      <c r="M1063" s="69"/>
      <c r="N1063" s="72"/>
      <c r="O1063" s="69"/>
      <c r="P1063" s="69"/>
      <c r="Q1063" s="69"/>
      <c r="R1063" s="69"/>
      <c r="S1063" s="69"/>
      <c r="T1063" s="69"/>
      <c r="U1063" s="69"/>
      <c r="V1063" s="69"/>
      <c r="W1063" s="69"/>
      <c r="X1063" s="69"/>
      <c r="Y1063" s="69"/>
      <c r="Z1063" s="69"/>
      <c r="AA1063" s="69"/>
      <c r="AB1063" s="69"/>
      <c r="AC1063" s="69"/>
      <c r="AD1063" s="69"/>
      <c r="AE1063" s="69"/>
      <c r="AF1063" s="69"/>
      <c r="AG1063" s="69"/>
      <c r="AH1063" s="69"/>
      <c r="AI1063" s="69"/>
      <c r="AJ1063" s="69"/>
      <c r="AK1063" s="69"/>
      <c r="AL1063" s="69"/>
      <c r="AM1063" s="69"/>
      <c r="AN1063" s="69"/>
      <c r="AO1063" s="69"/>
      <c r="AP1063" s="69"/>
      <c r="AQ1063" s="69"/>
      <c r="AR1063" s="69"/>
      <c r="AS1063" s="69"/>
      <c r="AT1063" s="69"/>
      <c r="AU1063" s="69"/>
      <c r="AV1063" s="69"/>
      <c r="AW1063" s="69"/>
      <c r="AX1063" s="69"/>
      <c r="AY1063" s="69"/>
      <c r="AZ1063" s="69"/>
      <c r="BA1063" s="69"/>
      <c r="BB1063" s="69"/>
      <c r="BC1063" s="69"/>
    </row>
    <row r="1064">
      <c r="A1064" s="68"/>
      <c r="B1064" s="68"/>
      <c r="C1064" s="68"/>
      <c r="D1064" s="68"/>
      <c r="E1064" s="68"/>
      <c r="F1064" s="68"/>
      <c r="G1064" s="68"/>
      <c r="H1064" s="68"/>
      <c r="I1064" s="69"/>
      <c r="J1064" s="69"/>
      <c r="K1064" s="71"/>
      <c r="L1064" s="69"/>
      <c r="M1064" s="69"/>
      <c r="N1064" s="72"/>
      <c r="O1064" s="69"/>
      <c r="P1064" s="69"/>
      <c r="Q1064" s="69"/>
      <c r="R1064" s="69"/>
      <c r="S1064" s="69"/>
      <c r="T1064" s="69"/>
      <c r="U1064" s="69"/>
      <c r="V1064" s="69"/>
      <c r="W1064" s="69"/>
      <c r="X1064" s="69"/>
      <c r="Y1064" s="69"/>
      <c r="Z1064" s="69"/>
      <c r="AA1064" s="69"/>
      <c r="AB1064" s="69"/>
      <c r="AC1064" s="69"/>
      <c r="AD1064" s="69"/>
      <c r="AE1064" s="69"/>
      <c r="AF1064" s="69"/>
      <c r="AG1064" s="69"/>
      <c r="AH1064" s="69"/>
      <c r="AI1064" s="69"/>
      <c r="AJ1064" s="69"/>
      <c r="AK1064" s="69"/>
      <c r="AL1064" s="69"/>
      <c r="AM1064" s="69"/>
      <c r="AN1064" s="69"/>
      <c r="AO1064" s="69"/>
      <c r="AP1064" s="69"/>
      <c r="AQ1064" s="69"/>
      <c r="AR1064" s="69"/>
      <c r="AS1064" s="69"/>
      <c r="AT1064" s="69"/>
      <c r="AU1064" s="69"/>
      <c r="AV1064" s="69"/>
      <c r="AW1064" s="69"/>
      <c r="AX1064" s="69"/>
      <c r="AY1064" s="69"/>
      <c r="AZ1064" s="69"/>
      <c r="BA1064" s="69"/>
      <c r="BB1064" s="69"/>
      <c r="BC1064" s="69"/>
    </row>
    <row r="1065">
      <c r="A1065" s="68"/>
      <c r="B1065" s="68"/>
      <c r="C1065" s="68"/>
      <c r="D1065" s="68"/>
      <c r="E1065" s="68"/>
      <c r="F1065" s="68"/>
      <c r="G1065" s="68"/>
      <c r="H1065" s="68"/>
      <c r="I1065" s="69"/>
      <c r="J1065" s="69"/>
      <c r="K1065" s="71"/>
      <c r="L1065" s="69"/>
      <c r="M1065" s="69"/>
      <c r="N1065" s="72"/>
      <c r="O1065" s="69"/>
      <c r="P1065" s="69"/>
      <c r="Q1065" s="69"/>
      <c r="R1065" s="69"/>
      <c r="S1065" s="69"/>
      <c r="T1065" s="69"/>
      <c r="U1065" s="69"/>
      <c r="V1065" s="69"/>
      <c r="W1065" s="69"/>
      <c r="X1065" s="69"/>
      <c r="Y1065" s="69"/>
      <c r="Z1065" s="69"/>
      <c r="AA1065" s="69"/>
      <c r="AB1065" s="69"/>
      <c r="AC1065" s="69"/>
      <c r="AD1065" s="69"/>
      <c r="AE1065" s="69"/>
      <c r="AF1065" s="69"/>
      <c r="AG1065" s="69"/>
      <c r="AH1065" s="69"/>
      <c r="AI1065" s="69"/>
      <c r="AJ1065" s="69"/>
      <c r="AK1065" s="69"/>
      <c r="AL1065" s="69"/>
      <c r="AM1065" s="69"/>
      <c r="AN1065" s="69"/>
      <c r="AO1065" s="69"/>
      <c r="AP1065" s="69"/>
      <c r="AQ1065" s="69"/>
      <c r="AR1065" s="69"/>
      <c r="AS1065" s="69"/>
      <c r="AT1065" s="69"/>
      <c r="AU1065" s="69"/>
      <c r="AV1065" s="69"/>
      <c r="AW1065" s="69"/>
      <c r="AX1065" s="69"/>
      <c r="AY1065" s="69"/>
      <c r="AZ1065" s="69"/>
      <c r="BA1065" s="69"/>
      <c r="BB1065" s="69"/>
      <c r="BC1065" s="69"/>
    </row>
    <row r="1066">
      <c r="A1066" s="68"/>
      <c r="B1066" s="68"/>
      <c r="C1066" s="68"/>
      <c r="D1066" s="68"/>
      <c r="E1066" s="68"/>
      <c r="F1066" s="68"/>
      <c r="G1066" s="68"/>
      <c r="H1066" s="68"/>
      <c r="I1066" s="69"/>
      <c r="J1066" s="69"/>
      <c r="K1066" s="71"/>
      <c r="L1066" s="69"/>
      <c r="M1066" s="69"/>
      <c r="N1066" s="72"/>
      <c r="O1066" s="69"/>
      <c r="P1066" s="69"/>
      <c r="Q1066" s="69"/>
      <c r="R1066" s="69"/>
      <c r="S1066" s="69"/>
      <c r="T1066" s="69"/>
      <c r="U1066" s="69"/>
      <c r="V1066" s="69"/>
      <c r="W1066" s="69"/>
      <c r="X1066" s="69"/>
      <c r="Y1066" s="69"/>
      <c r="Z1066" s="69"/>
      <c r="AA1066" s="69"/>
      <c r="AB1066" s="69"/>
      <c r="AC1066" s="69"/>
      <c r="AD1066" s="69"/>
      <c r="AE1066" s="69"/>
      <c r="AF1066" s="69"/>
      <c r="AG1066" s="69"/>
      <c r="AH1066" s="69"/>
      <c r="AI1066" s="69"/>
      <c r="AJ1066" s="69"/>
      <c r="AK1066" s="69"/>
      <c r="AL1066" s="69"/>
      <c r="AM1066" s="69"/>
      <c r="AN1066" s="69"/>
      <c r="AO1066" s="69"/>
      <c r="AP1066" s="69"/>
      <c r="AQ1066" s="69"/>
      <c r="AR1066" s="69"/>
      <c r="AS1066" s="69"/>
      <c r="AT1066" s="69"/>
      <c r="AU1066" s="69"/>
      <c r="AV1066" s="69"/>
      <c r="AW1066" s="69"/>
      <c r="AX1066" s="69"/>
      <c r="AY1066" s="69"/>
      <c r="AZ1066" s="69"/>
      <c r="BA1066" s="69"/>
      <c r="BB1066" s="69"/>
      <c r="BC1066" s="69"/>
    </row>
    <row r="1067">
      <c r="A1067" s="68"/>
      <c r="B1067" s="68"/>
      <c r="C1067" s="68"/>
      <c r="D1067" s="68"/>
      <c r="E1067" s="68"/>
      <c r="F1067" s="68"/>
      <c r="G1067" s="68"/>
      <c r="H1067" s="68"/>
      <c r="I1067" s="69"/>
      <c r="J1067" s="69"/>
      <c r="K1067" s="71"/>
      <c r="L1067" s="69"/>
      <c r="M1067" s="69"/>
      <c r="N1067" s="72"/>
      <c r="O1067" s="69"/>
      <c r="P1067" s="69"/>
      <c r="Q1067" s="69"/>
      <c r="R1067" s="69"/>
      <c r="S1067" s="69"/>
      <c r="T1067" s="69"/>
      <c r="U1067" s="69"/>
      <c r="V1067" s="69"/>
      <c r="W1067" s="69"/>
      <c r="X1067" s="69"/>
      <c r="Y1067" s="69"/>
      <c r="Z1067" s="69"/>
      <c r="AA1067" s="69"/>
      <c r="AB1067" s="69"/>
      <c r="AC1067" s="69"/>
      <c r="AD1067" s="69"/>
      <c r="AE1067" s="69"/>
      <c r="AF1067" s="69"/>
      <c r="AG1067" s="69"/>
      <c r="AH1067" s="69"/>
      <c r="AI1067" s="69"/>
      <c r="AJ1067" s="69"/>
      <c r="AK1067" s="69"/>
      <c r="AL1067" s="69"/>
      <c r="AM1067" s="69"/>
      <c r="AN1067" s="69"/>
      <c r="AO1067" s="69"/>
      <c r="AP1067" s="69"/>
      <c r="AQ1067" s="69"/>
      <c r="AR1067" s="69"/>
      <c r="AS1067" s="69"/>
      <c r="AT1067" s="69"/>
      <c r="AU1067" s="69"/>
      <c r="AV1067" s="69"/>
      <c r="AW1067" s="69"/>
      <c r="AX1067" s="69"/>
      <c r="AY1067" s="69"/>
      <c r="AZ1067" s="69"/>
      <c r="BA1067" s="69"/>
      <c r="BB1067" s="69"/>
      <c r="BC1067" s="69"/>
    </row>
    <row r="1068">
      <c r="A1068" s="68"/>
      <c r="B1068" s="68"/>
      <c r="C1068" s="68"/>
      <c r="D1068" s="68"/>
      <c r="E1068" s="68"/>
      <c r="F1068" s="68"/>
      <c r="G1068" s="68"/>
      <c r="H1068" s="68"/>
      <c r="I1068" s="69"/>
      <c r="J1068" s="69"/>
      <c r="K1068" s="71"/>
      <c r="L1068" s="69"/>
      <c r="M1068" s="69"/>
      <c r="N1068" s="72"/>
      <c r="O1068" s="69"/>
      <c r="P1068" s="69"/>
      <c r="Q1068" s="69"/>
      <c r="R1068" s="69"/>
      <c r="S1068" s="69"/>
      <c r="T1068" s="69"/>
      <c r="U1068" s="69"/>
      <c r="V1068" s="69"/>
      <c r="W1068" s="69"/>
      <c r="X1068" s="69"/>
      <c r="Y1068" s="69"/>
      <c r="Z1068" s="69"/>
      <c r="AA1068" s="69"/>
      <c r="AB1068" s="69"/>
      <c r="AC1068" s="69"/>
      <c r="AD1068" s="69"/>
      <c r="AE1068" s="69"/>
      <c r="AF1068" s="69"/>
      <c r="AG1068" s="69"/>
      <c r="AH1068" s="69"/>
      <c r="AI1068" s="69"/>
      <c r="AJ1068" s="69"/>
      <c r="AK1068" s="69"/>
      <c r="AL1068" s="69"/>
      <c r="AM1068" s="69"/>
      <c r="AN1068" s="69"/>
      <c r="AO1068" s="69"/>
      <c r="AP1068" s="69"/>
      <c r="AQ1068" s="69"/>
      <c r="AR1068" s="69"/>
      <c r="AS1068" s="69"/>
      <c r="AT1068" s="69"/>
      <c r="AU1068" s="69"/>
      <c r="AV1068" s="69"/>
      <c r="AW1068" s="69"/>
      <c r="AX1068" s="69"/>
      <c r="AY1068" s="69"/>
      <c r="AZ1068" s="69"/>
      <c r="BA1068" s="69"/>
      <c r="BB1068" s="69"/>
      <c r="BC1068" s="69"/>
    </row>
    <row r="1069">
      <c r="A1069" s="68"/>
      <c r="B1069" s="68"/>
      <c r="C1069" s="68"/>
      <c r="D1069" s="68"/>
      <c r="E1069" s="68"/>
      <c r="F1069" s="68"/>
      <c r="G1069" s="68"/>
      <c r="H1069" s="68"/>
      <c r="I1069" s="69"/>
      <c r="J1069" s="69"/>
      <c r="K1069" s="71"/>
      <c r="L1069" s="69"/>
      <c r="M1069" s="69"/>
      <c r="N1069" s="72"/>
      <c r="O1069" s="69"/>
      <c r="P1069" s="69"/>
      <c r="Q1069" s="69"/>
      <c r="R1069" s="69"/>
      <c r="S1069" s="69"/>
      <c r="T1069" s="69"/>
      <c r="U1069" s="69"/>
      <c r="V1069" s="69"/>
      <c r="W1069" s="69"/>
      <c r="X1069" s="69"/>
      <c r="Y1069" s="69"/>
      <c r="Z1069" s="69"/>
      <c r="AA1069" s="69"/>
      <c r="AB1069" s="69"/>
      <c r="AC1069" s="69"/>
      <c r="AD1069" s="69"/>
      <c r="AE1069" s="69"/>
      <c r="AF1069" s="69"/>
      <c r="AG1069" s="69"/>
      <c r="AH1069" s="69"/>
      <c r="AI1069" s="69"/>
      <c r="AJ1069" s="69"/>
      <c r="AK1069" s="69"/>
      <c r="AL1069" s="69"/>
      <c r="AM1069" s="69"/>
      <c r="AN1069" s="69"/>
      <c r="AO1069" s="69"/>
      <c r="AP1069" s="69"/>
      <c r="AQ1069" s="69"/>
      <c r="AR1069" s="69"/>
      <c r="AS1069" s="69"/>
      <c r="AT1069" s="69"/>
      <c r="AU1069" s="69"/>
      <c r="AV1069" s="69"/>
      <c r="AW1069" s="69"/>
      <c r="AX1069" s="69"/>
      <c r="AY1069" s="69"/>
      <c r="AZ1069" s="69"/>
      <c r="BA1069" s="69"/>
      <c r="BB1069" s="69"/>
      <c r="BC1069" s="69"/>
    </row>
    <row r="1070">
      <c r="A1070" s="68"/>
      <c r="B1070" s="68"/>
      <c r="C1070" s="68"/>
      <c r="D1070" s="68"/>
      <c r="E1070" s="68"/>
      <c r="F1070" s="68"/>
      <c r="G1070" s="68"/>
      <c r="H1070" s="68"/>
      <c r="I1070" s="69"/>
      <c r="J1070" s="69"/>
      <c r="K1070" s="71"/>
      <c r="L1070" s="69"/>
      <c r="M1070" s="69"/>
      <c r="N1070" s="72"/>
      <c r="O1070" s="69"/>
      <c r="P1070" s="69"/>
      <c r="Q1070" s="69"/>
      <c r="R1070" s="69"/>
      <c r="S1070" s="69"/>
      <c r="T1070" s="69"/>
      <c r="U1070" s="69"/>
      <c r="V1070" s="69"/>
      <c r="W1070" s="69"/>
      <c r="X1070" s="69"/>
      <c r="Y1070" s="69"/>
      <c r="Z1070" s="69"/>
      <c r="AA1070" s="69"/>
      <c r="AB1070" s="69"/>
      <c r="AC1070" s="69"/>
      <c r="AD1070" s="69"/>
      <c r="AE1070" s="69"/>
      <c r="AF1070" s="69"/>
      <c r="AG1070" s="69"/>
      <c r="AH1070" s="69"/>
      <c r="AI1070" s="69"/>
      <c r="AJ1070" s="69"/>
      <c r="AK1070" s="69"/>
      <c r="AL1070" s="69"/>
      <c r="AM1070" s="69"/>
      <c r="AN1070" s="69"/>
      <c r="AO1070" s="69"/>
      <c r="AP1070" s="69"/>
      <c r="AQ1070" s="69"/>
      <c r="AR1070" s="69"/>
      <c r="AS1070" s="69"/>
      <c r="AT1070" s="69"/>
      <c r="AU1070" s="69"/>
      <c r="AV1070" s="69"/>
      <c r="AW1070" s="69"/>
      <c r="AX1070" s="69"/>
      <c r="AY1070" s="69"/>
      <c r="AZ1070" s="69"/>
      <c r="BA1070" s="69"/>
      <c r="BB1070" s="69"/>
      <c r="BC1070" s="69"/>
    </row>
    <row r="1071">
      <c r="A1071" s="68"/>
      <c r="B1071" s="68"/>
      <c r="C1071" s="68"/>
      <c r="D1071" s="68"/>
      <c r="E1071" s="68"/>
      <c r="F1071" s="68"/>
      <c r="G1071" s="68"/>
      <c r="H1071" s="68"/>
      <c r="I1071" s="69"/>
      <c r="J1071" s="69"/>
      <c r="K1071" s="71"/>
      <c r="L1071" s="69"/>
      <c r="M1071" s="69"/>
      <c r="N1071" s="72"/>
      <c r="O1071" s="69"/>
      <c r="P1071" s="69"/>
      <c r="Q1071" s="69"/>
      <c r="R1071" s="69"/>
      <c r="S1071" s="69"/>
      <c r="T1071" s="69"/>
      <c r="U1071" s="69"/>
      <c r="V1071" s="69"/>
      <c r="W1071" s="69"/>
      <c r="X1071" s="69"/>
      <c r="Y1071" s="69"/>
      <c r="Z1071" s="69"/>
      <c r="AA1071" s="69"/>
      <c r="AB1071" s="69"/>
      <c r="AC1071" s="69"/>
      <c r="AD1071" s="69"/>
      <c r="AE1071" s="69"/>
      <c r="AF1071" s="69"/>
      <c r="AG1071" s="69"/>
      <c r="AH1071" s="69"/>
      <c r="AI1071" s="69"/>
      <c r="AJ1071" s="69"/>
      <c r="AK1071" s="69"/>
      <c r="AL1071" s="69"/>
      <c r="AM1071" s="69"/>
      <c r="AN1071" s="69"/>
      <c r="AO1071" s="69"/>
      <c r="AP1071" s="69"/>
      <c r="AQ1071" s="69"/>
      <c r="AR1071" s="69"/>
      <c r="AS1071" s="69"/>
      <c r="AT1071" s="69"/>
      <c r="AU1071" s="69"/>
      <c r="AV1071" s="69"/>
      <c r="AW1071" s="69"/>
      <c r="AX1071" s="69"/>
      <c r="AY1071" s="69"/>
      <c r="AZ1071" s="69"/>
      <c r="BA1071" s="69"/>
      <c r="BB1071" s="69"/>
      <c r="BC1071" s="69"/>
    </row>
    <row r="1072">
      <c r="A1072" s="68"/>
      <c r="B1072" s="68"/>
      <c r="C1072" s="68"/>
      <c r="D1072" s="68"/>
      <c r="E1072" s="68"/>
      <c r="F1072" s="68"/>
      <c r="G1072" s="68"/>
      <c r="H1072" s="68"/>
      <c r="I1072" s="69"/>
      <c r="J1072" s="69"/>
      <c r="K1072" s="71"/>
      <c r="L1072" s="69"/>
      <c r="M1072" s="69"/>
      <c r="N1072" s="72"/>
      <c r="O1072" s="69"/>
      <c r="P1072" s="69"/>
      <c r="Q1072" s="69"/>
      <c r="R1072" s="69"/>
      <c r="S1072" s="69"/>
      <c r="T1072" s="69"/>
      <c r="U1072" s="69"/>
      <c r="V1072" s="69"/>
      <c r="W1072" s="69"/>
      <c r="X1072" s="69"/>
      <c r="Y1072" s="69"/>
      <c r="Z1072" s="69"/>
      <c r="AA1072" s="69"/>
      <c r="AB1072" s="69"/>
      <c r="AC1072" s="69"/>
      <c r="AD1072" s="69"/>
      <c r="AE1072" s="69"/>
      <c r="AF1072" s="69"/>
      <c r="AG1072" s="69"/>
      <c r="AH1072" s="69"/>
      <c r="AI1072" s="69"/>
      <c r="AJ1072" s="69"/>
      <c r="AK1072" s="69"/>
      <c r="AL1072" s="69"/>
      <c r="AM1072" s="69"/>
      <c r="AN1072" s="69"/>
      <c r="AO1072" s="69"/>
      <c r="AP1072" s="69"/>
      <c r="AQ1072" s="69"/>
      <c r="AR1072" s="69"/>
      <c r="AS1072" s="69"/>
      <c r="AT1072" s="69"/>
      <c r="AU1072" s="69"/>
      <c r="AV1072" s="69"/>
      <c r="AW1072" s="69"/>
      <c r="AX1072" s="69"/>
      <c r="AY1072" s="69"/>
      <c r="AZ1072" s="69"/>
      <c r="BA1072" s="69"/>
      <c r="BB1072" s="69"/>
      <c r="BC1072" s="69"/>
    </row>
    <row r="1073">
      <c r="A1073" s="68"/>
      <c r="B1073" s="68"/>
      <c r="C1073" s="68"/>
      <c r="D1073" s="68"/>
      <c r="E1073" s="68"/>
      <c r="F1073" s="68"/>
      <c r="G1073" s="68"/>
      <c r="H1073" s="68"/>
      <c r="I1073" s="69"/>
      <c r="J1073" s="69"/>
      <c r="K1073" s="71"/>
      <c r="L1073" s="69"/>
      <c r="M1073" s="69"/>
      <c r="N1073" s="72"/>
      <c r="O1073" s="69"/>
      <c r="P1073" s="69"/>
      <c r="Q1073" s="69"/>
      <c r="R1073" s="69"/>
      <c r="S1073" s="69"/>
      <c r="T1073" s="69"/>
      <c r="U1073" s="69"/>
      <c r="V1073" s="69"/>
      <c r="W1073" s="69"/>
      <c r="X1073" s="69"/>
      <c r="Y1073" s="69"/>
      <c r="Z1073" s="69"/>
      <c r="AA1073" s="69"/>
      <c r="AB1073" s="69"/>
      <c r="AC1073" s="69"/>
      <c r="AD1073" s="69"/>
      <c r="AE1073" s="69"/>
      <c r="AF1073" s="69"/>
      <c r="AG1073" s="69"/>
      <c r="AH1073" s="69"/>
      <c r="AI1073" s="69"/>
      <c r="AJ1073" s="69"/>
      <c r="AK1073" s="69"/>
      <c r="AL1073" s="69"/>
      <c r="AM1073" s="69"/>
      <c r="AN1073" s="69"/>
      <c r="AO1073" s="69"/>
      <c r="AP1073" s="69"/>
      <c r="AQ1073" s="69"/>
      <c r="AR1073" s="69"/>
      <c r="AS1073" s="69"/>
      <c r="AT1073" s="69"/>
      <c r="AU1073" s="69"/>
      <c r="AV1073" s="69"/>
      <c r="AW1073" s="69"/>
      <c r="AX1073" s="69"/>
      <c r="AY1073" s="69"/>
      <c r="AZ1073" s="69"/>
      <c r="BA1073" s="69"/>
      <c r="BB1073" s="69"/>
      <c r="BC1073" s="69"/>
    </row>
    <row r="1074">
      <c r="A1074" s="68"/>
      <c r="B1074" s="68"/>
      <c r="C1074" s="68"/>
      <c r="D1074" s="68"/>
      <c r="E1074" s="68"/>
      <c r="F1074" s="68"/>
      <c r="G1074" s="68"/>
      <c r="H1074" s="68"/>
      <c r="I1074" s="69"/>
      <c r="J1074" s="69"/>
      <c r="K1074" s="71"/>
      <c r="L1074" s="69"/>
      <c r="M1074" s="69"/>
      <c r="N1074" s="72"/>
      <c r="O1074" s="69"/>
      <c r="P1074" s="69"/>
      <c r="Q1074" s="69"/>
      <c r="R1074" s="69"/>
      <c r="S1074" s="69"/>
      <c r="T1074" s="69"/>
      <c r="U1074" s="69"/>
      <c r="V1074" s="69"/>
      <c r="W1074" s="69"/>
      <c r="X1074" s="69"/>
      <c r="Y1074" s="69"/>
      <c r="Z1074" s="69"/>
      <c r="AA1074" s="69"/>
      <c r="AB1074" s="69"/>
      <c r="AC1074" s="69"/>
      <c r="AD1074" s="69"/>
      <c r="AE1074" s="69"/>
      <c r="AF1074" s="69"/>
      <c r="AG1074" s="69"/>
      <c r="AH1074" s="69"/>
      <c r="AI1074" s="69"/>
      <c r="AJ1074" s="69"/>
      <c r="AK1074" s="69"/>
      <c r="AL1074" s="69"/>
      <c r="AM1074" s="69"/>
      <c r="AN1074" s="69"/>
      <c r="AO1074" s="69"/>
      <c r="AP1074" s="69"/>
      <c r="AQ1074" s="69"/>
      <c r="AR1074" s="69"/>
      <c r="AS1074" s="69"/>
      <c r="AT1074" s="69"/>
      <c r="AU1074" s="69"/>
      <c r="AV1074" s="69"/>
      <c r="AW1074" s="69"/>
      <c r="AX1074" s="69"/>
      <c r="AY1074" s="69"/>
      <c r="AZ1074" s="69"/>
      <c r="BA1074" s="69"/>
      <c r="BB1074" s="69"/>
      <c r="BC1074" s="69"/>
    </row>
    <row r="1075">
      <c r="A1075" s="68"/>
      <c r="B1075" s="68"/>
      <c r="C1075" s="68"/>
      <c r="D1075" s="68"/>
      <c r="E1075" s="68"/>
      <c r="F1075" s="68"/>
      <c r="G1075" s="68"/>
      <c r="H1075" s="68"/>
      <c r="I1075" s="69"/>
      <c r="J1075" s="69"/>
      <c r="K1075" s="71"/>
      <c r="L1075" s="69"/>
      <c r="M1075" s="69"/>
      <c r="N1075" s="72"/>
      <c r="O1075" s="69"/>
      <c r="P1075" s="69"/>
      <c r="Q1075" s="69"/>
      <c r="R1075" s="69"/>
      <c r="S1075" s="69"/>
      <c r="T1075" s="69"/>
      <c r="U1075" s="69"/>
      <c r="V1075" s="69"/>
      <c r="W1075" s="69"/>
      <c r="X1075" s="69"/>
      <c r="Y1075" s="69"/>
      <c r="Z1075" s="69"/>
      <c r="AA1075" s="69"/>
      <c r="AB1075" s="69"/>
      <c r="AC1075" s="69"/>
      <c r="AD1075" s="69"/>
      <c r="AE1075" s="69"/>
      <c r="AF1075" s="69"/>
      <c r="AG1075" s="69"/>
      <c r="AH1075" s="69"/>
      <c r="AI1075" s="69"/>
      <c r="AJ1075" s="69"/>
      <c r="AK1075" s="69"/>
      <c r="AL1075" s="69"/>
      <c r="AM1075" s="69"/>
      <c r="AN1075" s="69"/>
      <c r="AO1075" s="69"/>
      <c r="AP1075" s="69"/>
      <c r="AQ1075" s="69"/>
      <c r="AR1075" s="69"/>
      <c r="AS1075" s="69"/>
      <c r="AT1075" s="69"/>
      <c r="AU1075" s="69"/>
      <c r="AV1075" s="69"/>
      <c r="AW1075" s="69"/>
      <c r="AX1075" s="69"/>
      <c r="AY1075" s="69"/>
      <c r="AZ1075" s="69"/>
      <c r="BA1075" s="69"/>
      <c r="BB1075" s="69"/>
      <c r="BC1075" s="69"/>
    </row>
    <row r="1076">
      <c r="A1076" s="68"/>
      <c r="B1076" s="68"/>
      <c r="C1076" s="68"/>
      <c r="D1076" s="68"/>
      <c r="E1076" s="68"/>
      <c r="F1076" s="68"/>
      <c r="G1076" s="68"/>
      <c r="H1076" s="68"/>
      <c r="I1076" s="69"/>
      <c r="J1076" s="69"/>
      <c r="K1076" s="71"/>
      <c r="L1076" s="69"/>
      <c r="M1076" s="69"/>
      <c r="N1076" s="72"/>
      <c r="O1076" s="69"/>
      <c r="P1076" s="69"/>
      <c r="Q1076" s="69"/>
      <c r="R1076" s="69"/>
      <c r="S1076" s="69"/>
      <c r="T1076" s="69"/>
      <c r="U1076" s="69"/>
      <c r="V1076" s="69"/>
      <c r="W1076" s="69"/>
      <c r="X1076" s="69"/>
      <c r="Y1076" s="69"/>
      <c r="Z1076" s="69"/>
      <c r="AA1076" s="69"/>
      <c r="AB1076" s="69"/>
      <c r="AC1076" s="69"/>
      <c r="AD1076" s="69"/>
      <c r="AE1076" s="69"/>
      <c r="AF1076" s="69"/>
      <c r="AG1076" s="69"/>
      <c r="AH1076" s="69"/>
      <c r="AI1076" s="69"/>
      <c r="AJ1076" s="69"/>
      <c r="AK1076" s="69"/>
      <c r="AL1076" s="69"/>
      <c r="AM1076" s="69"/>
      <c r="AN1076" s="69"/>
      <c r="AO1076" s="69"/>
      <c r="AP1076" s="69"/>
      <c r="AQ1076" s="69"/>
      <c r="AR1076" s="69"/>
      <c r="AS1076" s="69"/>
      <c r="AT1076" s="69"/>
      <c r="AU1076" s="69"/>
      <c r="AV1076" s="69"/>
      <c r="AW1076" s="69"/>
      <c r="AX1076" s="69"/>
      <c r="AY1076" s="69"/>
      <c r="AZ1076" s="69"/>
      <c r="BA1076" s="69"/>
      <c r="BB1076" s="69"/>
      <c r="BC1076" s="69"/>
    </row>
    <row r="1077">
      <c r="A1077" s="68"/>
      <c r="B1077" s="68"/>
      <c r="C1077" s="68"/>
      <c r="D1077" s="68"/>
      <c r="E1077" s="68"/>
      <c r="F1077" s="68"/>
      <c r="G1077" s="68"/>
      <c r="H1077" s="68"/>
      <c r="I1077" s="69"/>
      <c r="J1077" s="69"/>
      <c r="K1077" s="71"/>
      <c r="L1077" s="69"/>
      <c r="M1077" s="69"/>
      <c r="N1077" s="72"/>
      <c r="O1077" s="69"/>
      <c r="P1077" s="69"/>
      <c r="Q1077" s="69"/>
      <c r="R1077" s="69"/>
      <c r="S1077" s="69"/>
      <c r="T1077" s="69"/>
      <c r="U1077" s="69"/>
      <c r="V1077" s="69"/>
      <c r="W1077" s="69"/>
      <c r="X1077" s="69"/>
      <c r="Y1077" s="69"/>
      <c r="Z1077" s="69"/>
      <c r="AA1077" s="69"/>
      <c r="AB1077" s="69"/>
      <c r="AC1077" s="69"/>
      <c r="AD1077" s="69"/>
      <c r="AE1077" s="69"/>
      <c r="AF1077" s="69"/>
      <c r="AG1077" s="69"/>
      <c r="AH1077" s="69"/>
      <c r="AI1077" s="69"/>
      <c r="AJ1077" s="69"/>
      <c r="AK1077" s="69"/>
      <c r="AL1077" s="69"/>
      <c r="AM1077" s="69"/>
      <c r="AN1077" s="69"/>
      <c r="AO1077" s="69"/>
      <c r="AP1077" s="69"/>
      <c r="AQ1077" s="69"/>
      <c r="AR1077" s="69"/>
      <c r="AS1077" s="69"/>
      <c r="AT1077" s="69"/>
      <c r="AU1077" s="69"/>
      <c r="AV1077" s="69"/>
      <c r="AW1077" s="69"/>
      <c r="AX1077" s="69"/>
      <c r="AY1077" s="69"/>
      <c r="AZ1077" s="69"/>
      <c r="BA1077" s="69"/>
      <c r="BB1077" s="69"/>
      <c r="BC1077" s="69"/>
    </row>
    <row r="1078">
      <c r="A1078" s="68"/>
      <c r="B1078" s="68"/>
      <c r="C1078" s="68"/>
      <c r="D1078" s="68"/>
      <c r="E1078" s="68"/>
      <c r="F1078" s="68"/>
      <c r="G1078" s="68"/>
      <c r="H1078" s="68"/>
      <c r="I1078" s="69"/>
      <c r="J1078" s="69"/>
      <c r="K1078" s="71"/>
      <c r="L1078" s="69"/>
      <c r="M1078" s="69"/>
      <c r="N1078" s="72"/>
      <c r="O1078" s="69"/>
      <c r="P1078" s="69"/>
      <c r="Q1078" s="69"/>
      <c r="R1078" s="69"/>
      <c r="S1078" s="69"/>
      <c r="T1078" s="69"/>
      <c r="U1078" s="69"/>
      <c r="V1078" s="69"/>
      <c r="W1078" s="69"/>
      <c r="X1078" s="69"/>
      <c r="Y1078" s="69"/>
      <c r="Z1078" s="69"/>
      <c r="AA1078" s="69"/>
      <c r="AB1078" s="69"/>
      <c r="AC1078" s="69"/>
      <c r="AD1078" s="69"/>
      <c r="AE1078" s="69"/>
      <c r="AF1078" s="69"/>
      <c r="AG1078" s="69"/>
      <c r="AH1078" s="69"/>
      <c r="AI1078" s="69"/>
      <c r="AJ1078" s="69"/>
      <c r="AK1078" s="69"/>
      <c r="AL1078" s="69"/>
      <c r="AM1078" s="69"/>
      <c r="AN1078" s="69"/>
      <c r="AO1078" s="69"/>
      <c r="AP1078" s="69"/>
      <c r="AQ1078" s="69"/>
      <c r="AR1078" s="69"/>
      <c r="AS1078" s="69"/>
      <c r="AT1078" s="69"/>
      <c r="AU1078" s="69"/>
      <c r="AV1078" s="69"/>
      <c r="AW1078" s="69"/>
      <c r="AX1078" s="69"/>
      <c r="AY1078" s="69"/>
      <c r="AZ1078" s="69"/>
      <c r="BA1078" s="69"/>
      <c r="BB1078" s="69"/>
      <c r="BC1078" s="69"/>
    </row>
    <row r="1079">
      <c r="A1079" s="68"/>
      <c r="B1079" s="68"/>
      <c r="C1079" s="68"/>
      <c r="D1079" s="68"/>
      <c r="E1079" s="68"/>
      <c r="F1079" s="68"/>
      <c r="G1079" s="68"/>
      <c r="H1079" s="68"/>
      <c r="I1079" s="69"/>
      <c r="J1079" s="69"/>
      <c r="K1079" s="71"/>
      <c r="L1079" s="69"/>
      <c r="M1079" s="69"/>
      <c r="N1079" s="72"/>
      <c r="O1079" s="69"/>
      <c r="P1079" s="69"/>
      <c r="Q1079" s="69"/>
      <c r="R1079" s="69"/>
      <c r="S1079" s="69"/>
      <c r="T1079" s="69"/>
      <c r="U1079" s="69"/>
      <c r="V1079" s="69"/>
      <c r="W1079" s="69"/>
      <c r="X1079" s="69"/>
      <c r="Y1079" s="69"/>
      <c r="Z1079" s="69"/>
      <c r="AA1079" s="69"/>
      <c r="AB1079" s="69"/>
      <c r="AC1079" s="69"/>
      <c r="AD1079" s="69"/>
      <c r="AE1079" s="69"/>
      <c r="AF1079" s="69"/>
      <c r="AG1079" s="69"/>
      <c r="AH1079" s="69"/>
      <c r="AI1079" s="69"/>
      <c r="AJ1079" s="69"/>
      <c r="AK1079" s="69"/>
      <c r="AL1079" s="69"/>
      <c r="AM1079" s="69"/>
      <c r="AN1079" s="69"/>
      <c r="AO1079" s="69"/>
      <c r="AP1079" s="69"/>
      <c r="AQ1079" s="69"/>
      <c r="AR1079" s="69"/>
      <c r="AS1079" s="69"/>
      <c r="AT1079" s="69"/>
      <c r="AU1079" s="69"/>
      <c r="AV1079" s="69"/>
      <c r="AW1079" s="69"/>
      <c r="AX1079" s="69"/>
      <c r="AY1079" s="69"/>
      <c r="AZ1079" s="69"/>
      <c r="BA1079" s="69"/>
      <c r="BB1079" s="69"/>
      <c r="BC1079" s="69"/>
    </row>
    <row r="1080">
      <c r="A1080" s="68"/>
      <c r="B1080" s="68"/>
      <c r="C1080" s="68"/>
      <c r="D1080" s="68"/>
      <c r="E1080" s="68"/>
      <c r="F1080" s="68"/>
      <c r="G1080" s="68"/>
      <c r="H1080" s="68"/>
      <c r="I1080" s="69"/>
      <c r="J1080" s="69"/>
      <c r="K1080" s="71"/>
      <c r="L1080" s="69"/>
      <c r="M1080" s="69"/>
      <c r="N1080" s="72"/>
      <c r="O1080" s="69"/>
      <c r="P1080" s="69"/>
      <c r="Q1080" s="69"/>
      <c r="R1080" s="69"/>
      <c r="S1080" s="69"/>
      <c r="T1080" s="69"/>
      <c r="U1080" s="69"/>
      <c r="V1080" s="69"/>
      <c r="W1080" s="69"/>
      <c r="X1080" s="69"/>
      <c r="Y1080" s="69"/>
      <c r="Z1080" s="69"/>
      <c r="AA1080" s="69"/>
      <c r="AB1080" s="69"/>
      <c r="AC1080" s="69"/>
      <c r="AD1080" s="69"/>
      <c r="AE1080" s="69"/>
      <c r="AF1080" s="69"/>
      <c r="AG1080" s="69"/>
      <c r="AH1080" s="69"/>
      <c r="AI1080" s="69"/>
      <c r="AJ1080" s="69"/>
      <c r="AK1080" s="69"/>
      <c r="AL1080" s="69"/>
      <c r="AM1080" s="69"/>
      <c r="AN1080" s="69"/>
      <c r="AO1080" s="69"/>
      <c r="AP1080" s="69"/>
      <c r="AQ1080" s="69"/>
      <c r="AR1080" s="69"/>
      <c r="AS1080" s="69"/>
      <c r="AT1080" s="69"/>
      <c r="AU1080" s="69"/>
      <c r="AV1080" s="69"/>
      <c r="AW1080" s="69"/>
      <c r="AX1080" s="69"/>
      <c r="AY1080" s="69"/>
      <c r="AZ1080" s="69"/>
      <c r="BA1080" s="69"/>
      <c r="BB1080" s="69"/>
      <c r="BC1080" s="69"/>
    </row>
    <row r="1081">
      <c r="A1081" s="68"/>
      <c r="B1081" s="68"/>
      <c r="C1081" s="68"/>
      <c r="D1081" s="68"/>
      <c r="E1081" s="68"/>
      <c r="F1081" s="68"/>
      <c r="G1081" s="68"/>
      <c r="H1081" s="68"/>
      <c r="I1081" s="69"/>
      <c r="J1081" s="69"/>
      <c r="K1081" s="71"/>
      <c r="L1081" s="69"/>
      <c r="M1081" s="69"/>
      <c r="N1081" s="72"/>
      <c r="O1081" s="69"/>
      <c r="P1081" s="69"/>
      <c r="Q1081" s="69"/>
      <c r="R1081" s="69"/>
      <c r="S1081" s="69"/>
      <c r="T1081" s="69"/>
      <c r="U1081" s="69"/>
      <c r="V1081" s="69"/>
      <c r="W1081" s="69"/>
      <c r="X1081" s="69"/>
      <c r="Y1081" s="69"/>
      <c r="Z1081" s="69"/>
      <c r="AA1081" s="69"/>
      <c r="AB1081" s="69"/>
      <c r="AC1081" s="69"/>
      <c r="AD1081" s="69"/>
      <c r="AE1081" s="69"/>
      <c r="AF1081" s="69"/>
      <c r="AG1081" s="69"/>
      <c r="AH1081" s="69"/>
      <c r="AI1081" s="69"/>
      <c r="AJ1081" s="69"/>
      <c r="AK1081" s="69"/>
      <c r="AL1081" s="69"/>
      <c r="AM1081" s="69"/>
      <c r="AN1081" s="69"/>
      <c r="AO1081" s="69"/>
      <c r="AP1081" s="69"/>
      <c r="AQ1081" s="69"/>
      <c r="AR1081" s="69"/>
      <c r="AS1081" s="69"/>
      <c r="AT1081" s="69"/>
      <c r="AU1081" s="69"/>
      <c r="AV1081" s="69"/>
      <c r="AW1081" s="69"/>
      <c r="AX1081" s="69"/>
      <c r="AY1081" s="69"/>
      <c r="AZ1081" s="69"/>
      <c r="BA1081" s="69"/>
      <c r="BB1081" s="69"/>
      <c r="BC1081" s="69"/>
    </row>
    <row r="1082">
      <c r="A1082" s="68"/>
      <c r="B1082" s="68"/>
      <c r="C1082" s="68"/>
      <c r="D1082" s="68"/>
      <c r="E1082" s="68"/>
      <c r="F1082" s="68"/>
      <c r="G1082" s="68"/>
      <c r="H1082" s="68"/>
      <c r="I1082" s="69"/>
      <c r="J1082" s="69"/>
      <c r="K1082" s="71"/>
      <c r="L1082" s="69"/>
      <c r="M1082" s="69"/>
      <c r="N1082" s="72"/>
      <c r="O1082" s="69"/>
      <c r="P1082" s="69"/>
      <c r="Q1082" s="69"/>
      <c r="R1082" s="69"/>
      <c r="S1082" s="69"/>
      <c r="T1082" s="69"/>
      <c r="U1082" s="69"/>
      <c r="V1082" s="69"/>
      <c r="W1082" s="69"/>
      <c r="X1082" s="69"/>
      <c r="Y1082" s="69"/>
      <c r="Z1082" s="69"/>
      <c r="AA1082" s="69"/>
      <c r="AB1082" s="69"/>
      <c r="AC1082" s="69"/>
      <c r="AD1082" s="69"/>
      <c r="AE1082" s="69"/>
      <c r="AF1082" s="69"/>
      <c r="AG1082" s="69"/>
      <c r="AH1082" s="69"/>
      <c r="AI1082" s="69"/>
      <c r="AJ1082" s="69"/>
      <c r="AK1082" s="69"/>
      <c r="AL1082" s="69"/>
      <c r="AM1082" s="69"/>
      <c r="AN1082" s="69"/>
      <c r="AO1082" s="69"/>
      <c r="AP1082" s="69"/>
      <c r="AQ1082" s="69"/>
      <c r="AR1082" s="69"/>
      <c r="AS1082" s="69"/>
      <c r="AT1082" s="69"/>
      <c r="AU1082" s="69"/>
      <c r="AV1082" s="69"/>
      <c r="AW1082" s="69"/>
      <c r="AX1082" s="69"/>
      <c r="AY1082" s="69"/>
      <c r="AZ1082" s="69"/>
      <c r="BA1082" s="69"/>
      <c r="BB1082" s="69"/>
      <c r="BC1082" s="69"/>
    </row>
    <row r="1083">
      <c r="A1083" s="68"/>
      <c r="B1083" s="68"/>
      <c r="C1083" s="68"/>
      <c r="D1083" s="68"/>
      <c r="E1083" s="68"/>
      <c r="F1083" s="68"/>
      <c r="G1083" s="68"/>
      <c r="H1083" s="68"/>
      <c r="I1083" s="69"/>
      <c r="J1083" s="69"/>
      <c r="K1083" s="71"/>
      <c r="L1083" s="69"/>
      <c r="M1083" s="69"/>
      <c r="N1083" s="72"/>
      <c r="O1083" s="69"/>
      <c r="P1083" s="69"/>
      <c r="Q1083" s="69"/>
      <c r="R1083" s="69"/>
      <c r="S1083" s="69"/>
      <c r="T1083" s="69"/>
      <c r="U1083" s="69"/>
      <c r="V1083" s="69"/>
      <c r="W1083" s="69"/>
      <c r="X1083" s="69"/>
      <c r="Y1083" s="69"/>
      <c r="Z1083" s="69"/>
      <c r="AA1083" s="69"/>
      <c r="AB1083" s="69"/>
      <c r="AC1083" s="69"/>
      <c r="AD1083" s="69"/>
      <c r="AE1083" s="69"/>
      <c r="AF1083" s="69"/>
      <c r="AG1083" s="69"/>
      <c r="AH1083" s="69"/>
      <c r="AI1083" s="69"/>
      <c r="AJ1083" s="69"/>
      <c r="AK1083" s="69"/>
      <c r="AL1083" s="69"/>
      <c r="AM1083" s="69"/>
      <c r="AN1083" s="69"/>
      <c r="AO1083" s="69"/>
      <c r="AP1083" s="69"/>
      <c r="AQ1083" s="69"/>
      <c r="AR1083" s="69"/>
      <c r="AS1083" s="69"/>
      <c r="AT1083" s="69"/>
      <c r="AU1083" s="69"/>
      <c r="AV1083" s="69"/>
      <c r="AW1083" s="69"/>
      <c r="AX1083" s="69"/>
      <c r="AY1083" s="69"/>
      <c r="AZ1083" s="69"/>
      <c r="BA1083" s="69"/>
      <c r="BB1083" s="69"/>
      <c r="BC1083" s="69"/>
    </row>
    <row r="1084">
      <c r="A1084" s="68"/>
      <c r="B1084" s="68"/>
      <c r="C1084" s="68"/>
      <c r="D1084" s="68"/>
      <c r="E1084" s="68"/>
      <c r="F1084" s="68"/>
      <c r="G1084" s="68"/>
      <c r="H1084" s="68"/>
      <c r="I1084" s="69"/>
      <c r="J1084" s="69"/>
      <c r="K1084" s="71"/>
      <c r="L1084" s="69"/>
      <c r="M1084" s="69"/>
      <c r="N1084" s="72"/>
      <c r="O1084" s="69"/>
      <c r="P1084" s="69"/>
      <c r="Q1084" s="69"/>
      <c r="R1084" s="69"/>
      <c r="S1084" s="69"/>
      <c r="T1084" s="69"/>
      <c r="U1084" s="69"/>
      <c r="V1084" s="69"/>
      <c r="W1084" s="69"/>
      <c r="X1084" s="69"/>
      <c r="Y1084" s="69"/>
      <c r="Z1084" s="69"/>
      <c r="AA1084" s="69"/>
      <c r="AB1084" s="69"/>
      <c r="AC1084" s="69"/>
      <c r="AD1084" s="69"/>
      <c r="AE1084" s="69"/>
      <c r="AF1084" s="69"/>
      <c r="AG1084" s="69"/>
      <c r="AH1084" s="69"/>
      <c r="AI1084" s="69"/>
      <c r="AJ1084" s="69"/>
      <c r="AK1084" s="69"/>
      <c r="AL1084" s="69"/>
      <c r="AM1084" s="69"/>
      <c r="AN1084" s="69"/>
      <c r="AO1084" s="69"/>
      <c r="AP1084" s="69"/>
      <c r="AQ1084" s="69"/>
      <c r="AR1084" s="69"/>
      <c r="AS1084" s="69"/>
      <c r="AT1084" s="69"/>
      <c r="AU1084" s="69"/>
      <c r="AV1084" s="69"/>
      <c r="AW1084" s="69"/>
      <c r="AX1084" s="69"/>
      <c r="AY1084" s="69"/>
      <c r="AZ1084" s="69"/>
      <c r="BA1084" s="69"/>
      <c r="BB1084" s="69"/>
      <c r="BC1084" s="69"/>
    </row>
    <row r="1085">
      <c r="A1085" s="68"/>
      <c r="B1085" s="68"/>
      <c r="C1085" s="68"/>
      <c r="D1085" s="68"/>
      <c r="E1085" s="68"/>
      <c r="F1085" s="68"/>
      <c r="G1085" s="68"/>
      <c r="H1085" s="68"/>
      <c r="I1085" s="69"/>
      <c r="J1085" s="69"/>
      <c r="K1085" s="71"/>
      <c r="L1085" s="69"/>
      <c r="M1085" s="69"/>
      <c r="N1085" s="72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  <c r="AA1085" s="69"/>
      <c r="AB1085" s="69"/>
      <c r="AC1085" s="69"/>
      <c r="AD1085" s="69"/>
      <c r="AE1085" s="69"/>
      <c r="AF1085" s="69"/>
      <c r="AG1085" s="69"/>
      <c r="AH1085" s="69"/>
      <c r="AI1085" s="69"/>
      <c r="AJ1085" s="69"/>
      <c r="AK1085" s="69"/>
      <c r="AL1085" s="69"/>
      <c r="AM1085" s="69"/>
      <c r="AN1085" s="69"/>
      <c r="AO1085" s="69"/>
      <c r="AP1085" s="69"/>
      <c r="AQ1085" s="69"/>
      <c r="AR1085" s="69"/>
      <c r="AS1085" s="69"/>
      <c r="AT1085" s="69"/>
      <c r="AU1085" s="69"/>
      <c r="AV1085" s="69"/>
      <c r="AW1085" s="69"/>
      <c r="AX1085" s="69"/>
      <c r="AY1085" s="69"/>
      <c r="AZ1085" s="69"/>
      <c r="BA1085" s="69"/>
      <c r="BB1085" s="69"/>
      <c r="BC1085" s="69"/>
    </row>
    <row r="1086">
      <c r="A1086" s="68"/>
      <c r="B1086" s="68"/>
      <c r="C1086" s="68"/>
      <c r="D1086" s="68"/>
      <c r="E1086" s="68"/>
      <c r="F1086" s="68"/>
      <c r="G1086" s="68"/>
      <c r="H1086" s="68"/>
      <c r="I1086" s="69"/>
      <c r="J1086" s="69"/>
      <c r="K1086" s="71"/>
      <c r="L1086" s="69"/>
      <c r="M1086" s="69"/>
      <c r="N1086" s="72"/>
      <c r="O1086" s="69"/>
      <c r="P1086" s="69"/>
      <c r="Q1086" s="69"/>
      <c r="R1086" s="69"/>
      <c r="S1086" s="69"/>
      <c r="T1086" s="69"/>
      <c r="U1086" s="69"/>
      <c r="V1086" s="69"/>
      <c r="W1086" s="69"/>
      <c r="X1086" s="69"/>
      <c r="Y1086" s="69"/>
      <c r="Z1086" s="69"/>
      <c r="AA1086" s="69"/>
      <c r="AB1086" s="69"/>
      <c r="AC1086" s="69"/>
      <c r="AD1086" s="69"/>
      <c r="AE1086" s="69"/>
      <c r="AF1086" s="69"/>
      <c r="AG1086" s="69"/>
      <c r="AH1086" s="69"/>
      <c r="AI1086" s="69"/>
      <c r="AJ1086" s="69"/>
      <c r="AK1086" s="69"/>
      <c r="AL1086" s="69"/>
      <c r="AM1086" s="69"/>
      <c r="AN1086" s="69"/>
      <c r="AO1086" s="69"/>
      <c r="AP1086" s="69"/>
      <c r="AQ1086" s="69"/>
      <c r="AR1086" s="69"/>
      <c r="AS1086" s="69"/>
      <c r="AT1086" s="69"/>
      <c r="AU1086" s="69"/>
      <c r="AV1086" s="69"/>
      <c r="AW1086" s="69"/>
      <c r="AX1086" s="69"/>
      <c r="AY1086" s="69"/>
      <c r="AZ1086" s="69"/>
      <c r="BA1086" s="69"/>
      <c r="BB1086" s="69"/>
      <c r="BC1086" s="69"/>
    </row>
    <row r="1087">
      <c r="A1087" s="68"/>
      <c r="B1087" s="68"/>
      <c r="C1087" s="68"/>
      <c r="D1087" s="68"/>
      <c r="E1087" s="68"/>
      <c r="F1087" s="68"/>
      <c r="G1087" s="68"/>
      <c r="H1087" s="68"/>
      <c r="I1087" s="69"/>
      <c r="J1087" s="69"/>
      <c r="K1087" s="71"/>
      <c r="L1087" s="69"/>
      <c r="M1087" s="69"/>
      <c r="N1087" s="72"/>
      <c r="O1087" s="69"/>
      <c r="P1087" s="69"/>
      <c r="Q1087" s="69"/>
      <c r="R1087" s="69"/>
      <c r="S1087" s="69"/>
      <c r="T1087" s="69"/>
      <c r="U1087" s="69"/>
      <c r="V1087" s="69"/>
      <c r="W1087" s="69"/>
      <c r="X1087" s="69"/>
      <c r="Y1087" s="69"/>
      <c r="Z1087" s="69"/>
      <c r="AA1087" s="69"/>
      <c r="AB1087" s="69"/>
      <c r="AC1087" s="69"/>
      <c r="AD1087" s="69"/>
      <c r="AE1087" s="69"/>
      <c r="AF1087" s="69"/>
      <c r="AG1087" s="69"/>
      <c r="AH1087" s="69"/>
      <c r="AI1087" s="69"/>
      <c r="AJ1087" s="69"/>
      <c r="AK1087" s="69"/>
      <c r="AL1087" s="69"/>
      <c r="AM1087" s="69"/>
      <c r="AN1087" s="69"/>
      <c r="AO1087" s="69"/>
      <c r="AP1087" s="69"/>
      <c r="AQ1087" s="69"/>
      <c r="AR1087" s="69"/>
      <c r="AS1087" s="69"/>
      <c r="AT1087" s="69"/>
      <c r="AU1087" s="69"/>
      <c r="AV1087" s="69"/>
      <c r="AW1087" s="69"/>
      <c r="AX1087" s="69"/>
      <c r="AY1087" s="69"/>
      <c r="AZ1087" s="69"/>
      <c r="BA1087" s="69"/>
      <c r="BB1087" s="69"/>
      <c r="BC1087" s="69"/>
    </row>
    <row r="1088">
      <c r="A1088" s="68"/>
      <c r="B1088" s="68"/>
      <c r="C1088" s="68"/>
      <c r="D1088" s="68"/>
      <c r="E1088" s="68"/>
      <c r="F1088" s="68"/>
      <c r="G1088" s="68"/>
      <c r="H1088" s="68"/>
      <c r="I1088" s="69"/>
      <c r="J1088" s="69"/>
      <c r="K1088" s="71"/>
      <c r="L1088" s="69"/>
      <c r="M1088" s="69"/>
      <c r="N1088" s="72"/>
      <c r="O1088" s="69"/>
      <c r="P1088" s="69"/>
      <c r="Q1088" s="69"/>
      <c r="R1088" s="69"/>
      <c r="S1088" s="69"/>
      <c r="T1088" s="69"/>
      <c r="U1088" s="69"/>
      <c r="V1088" s="69"/>
      <c r="W1088" s="69"/>
      <c r="X1088" s="69"/>
      <c r="Y1088" s="69"/>
      <c r="Z1088" s="69"/>
      <c r="AA1088" s="69"/>
      <c r="AB1088" s="69"/>
      <c r="AC1088" s="69"/>
      <c r="AD1088" s="69"/>
      <c r="AE1088" s="69"/>
      <c r="AF1088" s="69"/>
      <c r="AG1088" s="69"/>
      <c r="AH1088" s="69"/>
      <c r="AI1088" s="69"/>
      <c r="AJ1088" s="69"/>
      <c r="AK1088" s="69"/>
      <c r="AL1088" s="69"/>
      <c r="AM1088" s="69"/>
      <c r="AN1088" s="69"/>
      <c r="AO1088" s="69"/>
      <c r="AP1088" s="69"/>
      <c r="AQ1088" s="69"/>
      <c r="AR1088" s="69"/>
      <c r="AS1088" s="69"/>
      <c r="AT1088" s="69"/>
      <c r="AU1088" s="69"/>
      <c r="AV1088" s="69"/>
      <c r="AW1088" s="69"/>
      <c r="AX1088" s="69"/>
      <c r="AY1088" s="69"/>
      <c r="AZ1088" s="69"/>
      <c r="BA1088" s="69"/>
      <c r="BB1088" s="69"/>
      <c r="BC1088" s="69"/>
    </row>
    <row r="1089">
      <c r="A1089" s="68"/>
      <c r="B1089" s="68"/>
      <c r="C1089" s="68"/>
      <c r="D1089" s="68"/>
      <c r="E1089" s="68"/>
      <c r="F1089" s="68"/>
      <c r="G1089" s="68"/>
      <c r="H1089" s="68"/>
      <c r="I1089" s="69"/>
      <c r="J1089" s="69"/>
      <c r="K1089" s="71"/>
      <c r="L1089" s="69"/>
      <c r="M1089" s="69"/>
      <c r="N1089" s="72"/>
      <c r="O1089" s="69"/>
      <c r="P1089" s="69"/>
      <c r="Q1089" s="69"/>
      <c r="R1089" s="69"/>
      <c r="S1089" s="69"/>
      <c r="T1089" s="69"/>
      <c r="U1089" s="69"/>
      <c r="V1089" s="69"/>
      <c r="W1089" s="69"/>
      <c r="X1089" s="69"/>
      <c r="Y1089" s="69"/>
      <c r="Z1089" s="69"/>
      <c r="AA1089" s="69"/>
      <c r="AB1089" s="69"/>
      <c r="AC1089" s="69"/>
      <c r="AD1089" s="69"/>
      <c r="AE1089" s="69"/>
      <c r="AF1089" s="69"/>
      <c r="AG1089" s="69"/>
      <c r="AH1089" s="69"/>
      <c r="AI1089" s="69"/>
      <c r="AJ1089" s="69"/>
      <c r="AK1089" s="69"/>
      <c r="AL1089" s="69"/>
      <c r="AM1089" s="69"/>
      <c r="AN1089" s="69"/>
      <c r="AO1089" s="69"/>
      <c r="AP1089" s="69"/>
      <c r="AQ1089" s="69"/>
      <c r="AR1089" s="69"/>
      <c r="AS1089" s="69"/>
      <c r="AT1089" s="69"/>
      <c r="AU1089" s="69"/>
      <c r="AV1089" s="69"/>
      <c r="AW1089" s="69"/>
      <c r="AX1089" s="69"/>
      <c r="AY1089" s="69"/>
      <c r="AZ1089" s="69"/>
      <c r="BA1089" s="69"/>
      <c r="BB1089" s="69"/>
      <c r="BC1089" s="69"/>
    </row>
    <row r="1090">
      <c r="A1090" s="68"/>
      <c r="B1090" s="68"/>
      <c r="C1090" s="68"/>
      <c r="D1090" s="68"/>
      <c r="E1090" s="68"/>
      <c r="F1090" s="68"/>
      <c r="G1090" s="68"/>
      <c r="H1090" s="68"/>
      <c r="I1090" s="69"/>
      <c r="J1090" s="69"/>
      <c r="K1090" s="71"/>
      <c r="L1090" s="69"/>
      <c r="M1090" s="69"/>
      <c r="N1090" s="72"/>
      <c r="O1090" s="69"/>
      <c r="P1090" s="69"/>
      <c r="Q1090" s="69"/>
      <c r="R1090" s="69"/>
      <c r="S1090" s="69"/>
      <c r="T1090" s="69"/>
      <c r="U1090" s="69"/>
      <c r="V1090" s="69"/>
      <c r="W1090" s="69"/>
      <c r="X1090" s="69"/>
      <c r="Y1090" s="69"/>
      <c r="Z1090" s="69"/>
      <c r="AA1090" s="69"/>
      <c r="AB1090" s="69"/>
      <c r="AC1090" s="69"/>
      <c r="AD1090" s="69"/>
      <c r="AE1090" s="69"/>
      <c r="AF1090" s="69"/>
      <c r="AG1090" s="69"/>
      <c r="AH1090" s="69"/>
      <c r="AI1090" s="69"/>
      <c r="AJ1090" s="69"/>
      <c r="AK1090" s="69"/>
      <c r="AL1090" s="69"/>
      <c r="AM1090" s="69"/>
      <c r="AN1090" s="69"/>
      <c r="AO1090" s="69"/>
      <c r="AP1090" s="69"/>
      <c r="AQ1090" s="69"/>
      <c r="AR1090" s="69"/>
      <c r="AS1090" s="69"/>
      <c r="AT1090" s="69"/>
      <c r="AU1090" s="69"/>
      <c r="AV1090" s="69"/>
      <c r="AW1090" s="69"/>
      <c r="AX1090" s="69"/>
      <c r="AY1090" s="69"/>
      <c r="AZ1090" s="69"/>
      <c r="BA1090" s="69"/>
      <c r="BB1090" s="69"/>
      <c r="BC1090" s="69"/>
    </row>
    <row r="1091">
      <c r="A1091" s="68"/>
      <c r="B1091" s="68"/>
      <c r="C1091" s="68"/>
      <c r="D1091" s="68"/>
      <c r="E1091" s="68"/>
      <c r="F1091" s="68"/>
      <c r="G1091" s="68"/>
      <c r="H1091" s="68"/>
      <c r="I1091" s="69"/>
      <c r="J1091" s="69"/>
      <c r="K1091" s="71"/>
      <c r="L1091" s="69"/>
      <c r="M1091" s="69"/>
      <c r="N1091" s="72"/>
      <c r="O1091" s="69"/>
      <c r="P1091" s="69"/>
      <c r="Q1091" s="69"/>
      <c r="R1091" s="69"/>
      <c r="S1091" s="69"/>
      <c r="T1091" s="69"/>
      <c r="U1091" s="69"/>
      <c r="V1091" s="69"/>
      <c r="W1091" s="69"/>
      <c r="X1091" s="69"/>
      <c r="Y1091" s="69"/>
      <c r="Z1091" s="69"/>
      <c r="AA1091" s="69"/>
      <c r="AB1091" s="69"/>
      <c r="AC1091" s="69"/>
      <c r="AD1091" s="69"/>
      <c r="AE1091" s="69"/>
      <c r="AF1091" s="69"/>
      <c r="AG1091" s="69"/>
      <c r="AH1091" s="69"/>
      <c r="AI1091" s="69"/>
      <c r="AJ1091" s="69"/>
      <c r="AK1091" s="69"/>
      <c r="AL1091" s="69"/>
      <c r="AM1091" s="69"/>
      <c r="AN1091" s="69"/>
      <c r="AO1091" s="69"/>
      <c r="AP1091" s="69"/>
      <c r="AQ1091" s="69"/>
      <c r="AR1091" s="69"/>
      <c r="AS1091" s="69"/>
      <c r="AT1091" s="69"/>
      <c r="AU1091" s="69"/>
      <c r="AV1091" s="69"/>
      <c r="AW1091" s="69"/>
      <c r="AX1091" s="69"/>
      <c r="AY1091" s="69"/>
      <c r="AZ1091" s="69"/>
      <c r="BA1091" s="69"/>
      <c r="BB1091" s="69"/>
      <c r="BC1091" s="69"/>
    </row>
    <row r="1092">
      <c r="A1092" s="68"/>
      <c r="B1092" s="68"/>
      <c r="C1092" s="68"/>
      <c r="D1092" s="68"/>
      <c r="E1092" s="68"/>
      <c r="F1092" s="68"/>
      <c r="G1092" s="68"/>
      <c r="H1092" s="68"/>
      <c r="I1092" s="69"/>
      <c r="J1092" s="69"/>
      <c r="K1092" s="71"/>
      <c r="L1092" s="69"/>
      <c r="M1092" s="69"/>
      <c r="N1092" s="72"/>
      <c r="O1092" s="69"/>
      <c r="P1092" s="69"/>
      <c r="Q1092" s="69"/>
      <c r="R1092" s="69"/>
      <c r="S1092" s="69"/>
      <c r="T1092" s="69"/>
      <c r="U1092" s="69"/>
      <c r="V1092" s="69"/>
      <c r="W1092" s="69"/>
      <c r="X1092" s="69"/>
      <c r="Y1092" s="69"/>
      <c r="Z1092" s="69"/>
      <c r="AA1092" s="69"/>
      <c r="AB1092" s="69"/>
      <c r="AC1092" s="69"/>
      <c r="AD1092" s="69"/>
      <c r="AE1092" s="69"/>
      <c r="AF1092" s="69"/>
      <c r="AG1092" s="69"/>
      <c r="AH1092" s="69"/>
      <c r="AI1092" s="69"/>
      <c r="AJ1092" s="69"/>
      <c r="AK1092" s="69"/>
      <c r="AL1092" s="69"/>
      <c r="AM1092" s="69"/>
      <c r="AN1092" s="69"/>
      <c r="AO1092" s="69"/>
      <c r="AP1092" s="69"/>
      <c r="AQ1092" s="69"/>
      <c r="AR1092" s="69"/>
      <c r="AS1092" s="69"/>
      <c r="AT1092" s="69"/>
      <c r="AU1092" s="69"/>
      <c r="AV1092" s="69"/>
      <c r="AW1092" s="69"/>
      <c r="AX1092" s="69"/>
      <c r="AY1092" s="69"/>
      <c r="AZ1092" s="69"/>
      <c r="BA1092" s="69"/>
      <c r="BB1092" s="69"/>
      <c r="BC1092" s="69"/>
    </row>
    <row r="1093">
      <c r="A1093" s="68"/>
      <c r="B1093" s="68"/>
      <c r="C1093" s="68"/>
      <c r="D1093" s="68"/>
      <c r="E1093" s="68"/>
      <c r="F1093" s="68"/>
      <c r="G1093" s="68"/>
      <c r="H1093" s="68"/>
      <c r="I1093" s="69"/>
      <c r="J1093" s="69"/>
      <c r="K1093" s="71"/>
      <c r="L1093" s="69"/>
      <c r="M1093" s="69"/>
      <c r="N1093" s="72"/>
      <c r="O1093" s="69"/>
      <c r="P1093" s="69"/>
      <c r="Q1093" s="69"/>
      <c r="R1093" s="69"/>
      <c r="S1093" s="69"/>
      <c r="T1093" s="69"/>
      <c r="U1093" s="69"/>
      <c r="V1093" s="69"/>
      <c r="W1093" s="69"/>
      <c r="X1093" s="69"/>
      <c r="Y1093" s="69"/>
      <c r="Z1093" s="69"/>
      <c r="AA1093" s="69"/>
      <c r="AB1093" s="69"/>
      <c r="AC1093" s="69"/>
      <c r="AD1093" s="69"/>
      <c r="AE1093" s="69"/>
      <c r="AF1093" s="69"/>
      <c r="AG1093" s="69"/>
      <c r="AH1093" s="69"/>
      <c r="AI1093" s="69"/>
      <c r="AJ1093" s="69"/>
      <c r="AK1093" s="69"/>
      <c r="AL1093" s="69"/>
      <c r="AM1093" s="69"/>
      <c r="AN1093" s="69"/>
      <c r="AO1093" s="69"/>
      <c r="AP1093" s="69"/>
      <c r="AQ1093" s="69"/>
      <c r="AR1093" s="69"/>
      <c r="AS1093" s="69"/>
      <c r="AT1093" s="69"/>
      <c r="AU1093" s="69"/>
      <c r="AV1093" s="69"/>
      <c r="AW1093" s="69"/>
      <c r="AX1093" s="69"/>
      <c r="AY1093" s="69"/>
      <c r="AZ1093" s="69"/>
      <c r="BA1093" s="69"/>
      <c r="BB1093" s="69"/>
      <c r="BC1093" s="69"/>
    </row>
    <row r="1094">
      <c r="A1094" s="68"/>
      <c r="B1094" s="68"/>
      <c r="C1094" s="68"/>
      <c r="D1094" s="68"/>
      <c r="E1094" s="68"/>
      <c r="F1094" s="68"/>
      <c r="G1094" s="68"/>
      <c r="H1094" s="68"/>
      <c r="I1094" s="69"/>
      <c r="J1094" s="69"/>
      <c r="K1094" s="71"/>
      <c r="L1094" s="69"/>
      <c r="M1094" s="69"/>
      <c r="N1094" s="72"/>
      <c r="O1094" s="69"/>
      <c r="P1094" s="69"/>
      <c r="Q1094" s="69"/>
      <c r="R1094" s="69"/>
      <c r="S1094" s="69"/>
      <c r="T1094" s="69"/>
      <c r="U1094" s="69"/>
      <c r="V1094" s="69"/>
      <c r="W1094" s="69"/>
      <c r="X1094" s="69"/>
      <c r="Y1094" s="69"/>
      <c r="Z1094" s="69"/>
      <c r="AA1094" s="69"/>
      <c r="AB1094" s="69"/>
      <c r="AC1094" s="69"/>
      <c r="AD1094" s="69"/>
      <c r="AE1094" s="69"/>
      <c r="AF1094" s="69"/>
      <c r="AG1094" s="69"/>
      <c r="AH1094" s="69"/>
      <c r="AI1094" s="69"/>
      <c r="AJ1094" s="69"/>
      <c r="AK1094" s="69"/>
      <c r="AL1094" s="69"/>
      <c r="AM1094" s="69"/>
      <c r="AN1094" s="69"/>
      <c r="AO1094" s="69"/>
      <c r="AP1094" s="69"/>
      <c r="AQ1094" s="69"/>
      <c r="AR1094" s="69"/>
      <c r="AS1094" s="69"/>
      <c r="AT1094" s="69"/>
      <c r="AU1094" s="69"/>
      <c r="AV1094" s="69"/>
      <c r="AW1094" s="69"/>
      <c r="AX1094" s="69"/>
      <c r="AY1094" s="69"/>
      <c r="AZ1094" s="69"/>
      <c r="BA1094" s="69"/>
      <c r="BB1094" s="69"/>
      <c r="BC1094" s="69"/>
    </row>
    <row r="1095">
      <c r="A1095" s="68"/>
      <c r="B1095" s="68"/>
      <c r="C1095" s="68"/>
      <c r="D1095" s="68"/>
      <c r="E1095" s="68"/>
      <c r="F1095" s="68"/>
      <c r="G1095" s="68"/>
      <c r="H1095" s="68"/>
      <c r="I1095" s="69"/>
      <c r="J1095" s="69"/>
      <c r="K1095" s="71"/>
      <c r="L1095" s="69"/>
      <c r="M1095" s="69"/>
      <c r="N1095" s="72"/>
      <c r="O1095" s="69"/>
      <c r="P1095" s="69"/>
      <c r="Q1095" s="69"/>
      <c r="R1095" s="69"/>
      <c r="S1095" s="69"/>
      <c r="T1095" s="69"/>
      <c r="U1095" s="69"/>
      <c r="V1095" s="69"/>
      <c r="W1095" s="69"/>
      <c r="X1095" s="69"/>
      <c r="Y1095" s="69"/>
      <c r="Z1095" s="69"/>
      <c r="AA1095" s="69"/>
      <c r="AB1095" s="69"/>
      <c r="AC1095" s="69"/>
      <c r="AD1095" s="69"/>
      <c r="AE1095" s="69"/>
      <c r="AF1095" s="69"/>
      <c r="AG1095" s="69"/>
      <c r="AH1095" s="69"/>
      <c r="AI1095" s="69"/>
      <c r="AJ1095" s="69"/>
      <c r="AK1095" s="69"/>
      <c r="AL1095" s="69"/>
      <c r="AM1095" s="69"/>
      <c r="AN1095" s="69"/>
      <c r="AO1095" s="69"/>
      <c r="AP1095" s="69"/>
      <c r="AQ1095" s="69"/>
      <c r="AR1095" s="69"/>
      <c r="AS1095" s="69"/>
      <c r="AT1095" s="69"/>
      <c r="AU1095" s="69"/>
      <c r="AV1095" s="69"/>
      <c r="AW1095" s="69"/>
      <c r="AX1095" s="69"/>
      <c r="AY1095" s="69"/>
      <c r="AZ1095" s="69"/>
      <c r="BA1095" s="69"/>
      <c r="BB1095" s="69"/>
      <c r="BC1095" s="69"/>
    </row>
    <row r="1096">
      <c r="A1096" s="68"/>
      <c r="B1096" s="68"/>
      <c r="C1096" s="68"/>
      <c r="D1096" s="68"/>
      <c r="E1096" s="68"/>
      <c r="F1096" s="68"/>
      <c r="G1096" s="68"/>
      <c r="H1096" s="68"/>
      <c r="I1096" s="69"/>
      <c r="J1096" s="69"/>
      <c r="K1096" s="71"/>
      <c r="L1096" s="69"/>
      <c r="M1096" s="69"/>
      <c r="N1096" s="72"/>
      <c r="O1096" s="69"/>
      <c r="P1096" s="69"/>
      <c r="Q1096" s="69"/>
      <c r="R1096" s="69"/>
      <c r="S1096" s="69"/>
      <c r="T1096" s="69"/>
      <c r="U1096" s="69"/>
      <c r="V1096" s="69"/>
      <c r="W1096" s="69"/>
      <c r="X1096" s="69"/>
      <c r="Y1096" s="69"/>
      <c r="Z1096" s="69"/>
      <c r="AA1096" s="69"/>
      <c r="AB1096" s="69"/>
      <c r="AC1096" s="69"/>
      <c r="AD1096" s="69"/>
      <c r="AE1096" s="69"/>
      <c r="AF1096" s="69"/>
      <c r="AG1096" s="69"/>
      <c r="AH1096" s="69"/>
      <c r="AI1096" s="69"/>
      <c r="AJ1096" s="69"/>
      <c r="AK1096" s="69"/>
      <c r="AL1096" s="69"/>
      <c r="AM1096" s="69"/>
      <c r="AN1096" s="69"/>
      <c r="AO1096" s="69"/>
      <c r="AP1096" s="69"/>
      <c r="AQ1096" s="69"/>
      <c r="AR1096" s="69"/>
      <c r="AS1096" s="69"/>
      <c r="AT1096" s="69"/>
      <c r="AU1096" s="69"/>
      <c r="AV1096" s="69"/>
      <c r="AW1096" s="69"/>
      <c r="AX1096" s="69"/>
      <c r="AY1096" s="69"/>
      <c r="AZ1096" s="69"/>
      <c r="BA1096" s="69"/>
      <c r="BB1096" s="69"/>
      <c r="BC1096" s="69"/>
    </row>
    <row r="1097">
      <c r="A1097" s="68"/>
      <c r="B1097" s="68"/>
      <c r="C1097" s="68"/>
      <c r="D1097" s="68"/>
      <c r="E1097" s="68"/>
      <c r="F1097" s="68"/>
      <c r="G1097" s="68"/>
      <c r="H1097" s="68"/>
      <c r="I1097" s="69"/>
      <c r="J1097" s="69"/>
      <c r="K1097" s="71"/>
      <c r="L1097" s="69"/>
      <c r="M1097" s="69"/>
      <c r="N1097" s="72"/>
      <c r="O1097" s="69"/>
      <c r="P1097" s="69"/>
      <c r="Q1097" s="69"/>
      <c r="R1097" s="69"/>
      <c r="S1097" s="69"/>
      <c r="T1097" s="69"/>
      <c r="U1097" s="69"/>
      <c r="V1097" s="69"/>
      <c r="W1097" s="69"/>
      <c r="X1097" s="69"/>
      <c r="Y1097" s="69"/>
      <c r="Z1097" s="69"/>
      <c r="AA1097" s="69"/>
      <c r="AB1097" s="69"/>
      <c r="AC1097" s="69"/>
      <c r="AD1097" s="69"/>
      <c r="AE1097" s="69"/>
      <c r="AF1097" s="69"/>
      <c r="AG1097" s="69"/>
      <c r="AH1097" s="69"/>
      <c r="AI1097" s="69"/>
      <c r="AJ1097" s="69"/>
      <c r="AK1097" s="69"/>
      <c r="AL1097" s="69"/>
      <c r="AM1097" s="69"/>
      <c r="AN1097" s="69"/>
      <c r="AO1097" s="69"/>
      <c r="AP1097" s="69"/>
      <c r="AQ1097" s="69"/>
      <c r="AR1097" s="69"/>
      <c r="AS1097" s="69"/>
      <c r="AT1097" s="69"/>
      <c r="AU1097" s="69"/>
      <c r="AV1097" s="69"/>
      <c r="AW1097" s="69"/>
      <c r="AX1097" s="69"/>
      <c r="AY1097" s="69"/>
      <c r="AZ1097" s="69"/>
      <c r="BA1097" s="69"/>
      <c r="BB1097" s="69"/>
      <c r="BC1097" s="69"/>
    </row>
    <row r="1098">
      <c r="A1098" s="68"/>
      <c r="B1098" s="68"/>
      <c r="C1098" s="68"/>
      <c r="D1098" s="68"/>
      <c r="E1098" s="68"/>
      <c r="F1098" s="68"/>
      <c r="G1098" s="68"/>
      <c r="H1098" s="68"/>
      <c r="I1098" s="69"/>
      <c r="J1098" s="69"/>
      <c r="K1098" s="71"/>
      <c r="L1098" s="69"/>
      <c r="M1098" s="69"/>
      <c r="N1098" s="72"/>
      <c r="O1098" s="69"/>
      <c r="P1098" s="69"/>
      <c r="Q1098" s="69"/>
      <c r="R1098" s="69"/>
      <c r="S1098" s="69"/>
      <c r="T1098" s="69"/>
      <c r="U1098" s="69"/>
      <c r="V1098" s="69"/>
      <c r="W1098" s="69"/>
      <c r="X1098" s="69"/>
      <c r="Y1098" s="69"/>
      <c r="Z1098" s="69"/>
      <c r="AA1098" s="69"/>
      <c r="AB1098" s="69"/>
      <c r="AC1098" s="69"/>
      <c r="AD1098" s="69"/>
      <c r="AE1098" s="69"/>
      <c r="AF1098" s="69"/>
      <c r="AG1098" s="69"/>
      <c r="AH1098" s="69"/>
      <c r="AI1098" s="69"/>
      <c r="AJ1098" s="69"/>
      <c r="AK1098" s="69"/>
      <c r="AL1098" s="69"/>
      <c r="AM1098" s="69"/>
      <c r="AN1098" s="69"/>
      <c r="AO1098" s="69"/>
      <c r="AP1098" s="69"/>
      <c r="AQ1098" s="69"/>
      <c r="AR1098" s="69"/>
      <c r="AS1098" s="69"/>
      <c r="AT1098" s="69"/>
      <c r="AU1098" s="69"/>
      <c r="AV1098" s="69"/>
      <c r="AW1098" s="69"/>
      <c r="AX1098" s="69"/>
      <c r="AY1098" s="69"/>
      <c r="AZ1098" s="69"/>
      <c r="BA1098" s="69"/>
      <c r="BB1098" s="69"/>
      <c r="BC1098" s="69"/>
    </row>
    <row r="1099">
      <c r="A1099" s="68"/>
      <c r="B1099" s="68"/>
      <c r="C1099" s="68"/>
      <c r="D1099" s="68"/>
      <c r="E1099" s="68"/>
      <c r="F1099" s="68"/>
      <c r="G1099" s="68"/>
      <c r="H1099" s="68"/>
      <c r="I1099" s="69"/>
      <c r="J1099" s="69"/>
      <c r="K1099" s="71"/>
      <c r="L1099" s="69"/>
      <c r="M1099" s="69"/>
      <c r="N1099" s="72"/>
      <c r="O1099" s="69"/>
      <c r="P1099" s="69"/>
      <c r="Q1099" s="69"/>
      <c r="R1099" s="69"/>
      <c r="S1099" s="69"/>
      <c r="T1099" s="69"/>
      <c r="U1099" s="69"/>
      <c r="V1099" s="69"/>
      <c r="W1099" s="69"/>
      <c r="X1099" s="69"/>
      <c r="Y1099" s="69"/>
      <c r="Z1099" s="69"/>
      <c r="AA1099" s="69"/>
      <c r="AB1099" s="69"/>
      <c r="AC1099" s="69"/>
      <c r="AD1099" s="69"/>
      <c r="AE1099" s="69"/>
      <c r="AF1099" s="69"/>
      <c r="AG1099" s="69"/>
      <c r="AH1099" s="69"/>
      <c r="AI1099" s="69"/>
      <c r="AJ1099" s="69"/>
      <c r="AK1099" s="69"/>
      <c r="AL1099" s="69"/>
      <c r="AM1099" s="69"/>
      <c r="AN1099" s="69"/>
      <c r="AO1099" s="69"/>
      <c r="AP1099" s="69"/>
      <c r="AQ1099" s="69"/>
      <c r="AR1099" s="69"/>
      <c r="AS1099" s="69"/>
      <c r="AT1099" s="69"/>
      <c r="AU1099" s="69"/>
      <c r="AV1099" s="69"/>
      <c r="AW1099" s="69"/>
      <c r="AX1099" s="69"/>
      <c r="AY1099" s="69"/>
      <c r="AZ1099" s="69"/>
      <c r="BA1099" s="69"/>
      <c r="BB1099" s="69"/>
      <c r="BC1099" s="69"/>
    </row>
    <row r="1100">
      <c r="A1100" s="68"/>
      <c r="B1100" s="68"/>
      <c r="C1100" s="68"/>
      <c r="D1100" s="68"/>
      <c r="E1100" s="68"/>
      <c r="F1100" s="68"/>
      <c r="G1100" s="68"/>
      <c r="H1100" s="68"/>
      <c r="I1100" s="69"/>
      <c r="J1100" s="69"/>
      <c r="K1100" s="71"/>
      <c r="L1100" s="69"/>
      <c r="M1100" s="69"/>
      <c r="N1100" s="72"/>
      <c r="O1100" s="69"/>
      <c r="P1100" s="69"/>
      <c r="Q1100" s="69"/>
      <c r="R1100" s="69"/>
      <c r="S1100" s="69"/>
      <c r="T1100" s="69"/>
      <c r="U1100" s="69"/>
      <c r="V1100" s="69"/>
      <c r="W1100" s="69"/>
      <c r="X1100" s="69"/>
      <c r="Y1100" s="69"/>
      <c r="Z1100" s="69"/>
      <c r="AA1100" s="69"/>
      <c r="AB1100" s="69"/>
      <c r="AC1100" s="69"/>
      <c r="AD1100" s="69"/>
      <c r="AE1100" s="69"/>
      <c r="AF1100" s="69"/>
      <c r="AG1100" s="69"/>
      <c r="AH1100" s="69"/>
      <c r="AI1100" s="69"/>
      <c r="AJ1100" s="69"/>
      <c r="AK1100" s="69"/>
      <c r="AL1100" s="69"/>
      <c r="AM1100" s="69"/>
      <c r="AN1100" s="69"/>
      <c r="AO1100" s="69"/>
      <c r="AP1100" s="69"/>
      <c r="AQ1100" s="69"/>
      <c r="AR1100" s="69"/>
      <c r="AS1100" s="69"/>
      <c r="AT1100" s="69"/>
      <c r="AU1100" s="69"/>
      <c r="AV1100" s="69"/>
      <c r="AW1100" s="69"/>
      <c r="AX1100" s="69"/>
      <c r="AY1100" s="69"/>
      <c r="AZ1100" s="69"/>
      <c r="BA1100" s="69"/>
      <c r="BB1100" s="69"/>
      <c r="BC1100" s="69"/>
    </row>
    <row r="1101">
      <c r="A1101" s="68"/>
      <c r="B1101" s="68"/>
      <c r="C1101" s="68"/>
      <c r="D1101" s="68"/>
      <c r="E1101" s="68"/>
      <c r="F1101" s="68"/>
      <c r="G1101" s="68"/>
      <c r="H1101" s="68"/>
      <c r="I1101" s="69"/>
      <c r="J1101" s="69"/>
      <c r="K1101" s="71"/>
      <c r="L1101" s="69"/>
      <c r="M1101" s="69"/>
      <c r="N1101" s="72"/>
      <c r="O1101" s="69"/>
      <c r="P1101" s="69"/>
      <c r="Q1101" s="69"/>
      <c r="R1101" s="69"/>
      <c r="S1101" s="69"/>
      <c r="T1101" s="69"/>
      <c r="U1101" s="69"/>
      <c r="V1101" s="69"/>
      <c r="W1101" s="69"/>
      <c r="X1101" s="69"/>
      <c r="Y1101" s="69"/>
      <c r="Z1101" s="69"/>
      <c r="AA1101" s="69"/>
      <c r="AB1101" s="69"/>
      <c r="AC1101" s="69"/>
      <c r="AD1101" s="69"/>
      <c r="AE1101" s="69"/>
      <c r="AF1101" s="69"/>
      <c r="AG1101" s="69"/>
      <c r="AH1101" s="69"/>
      <c r="AI1101" s="69"/>
      <c r="AJ1101" s="69"/>
      <c r="AK1101" s="69"/>
      <c r="AL1101" s="69"/>
      <c r="AM1101" s="69"/>
      <c r="AN1101" s="69"/>
      <c r="AO1101" s="69"/>
      <c r="AP1101" s="69"/>
      <c r="AQ1101" s="69"/>
      <c r="AR1101" s="69"/>
      <c r="AS1101" s="69"/>
      <c r="AT1101" s="69"/>
      <c r="AU1101" s="69"/>
      <c r="AV1101" s="69"/>
      <c r="AW1101" s="69"/>
      <c r="AX1101" s="69"/>
      <c r="AY1101" s="69"/>
      <c r="AZ1101" s="69"/>
      <c r="BA1101" s="69"/>
      <c r="BB1101" s="69"/>
      <c r="BC1101" s="69"/>
    </row>
    <row r="1102">
      <c r="A1102" s="68"/>
      <c r="B1102" s="68"/>
      <c r="C1102" s="68"/>
      <c r="D1102" s="68"/>
      <c r="E1102" s="68"/>
      <c r="F1102" s="68"/>
      <c r="G1102" s="68"/>
      <c r="H1102" s="68"/>
      <c r="I1102" s="69"/>
      <c r="J1102" s="69"/>
      <c r="K1102" s="71"/>
      <c r="L1102" s="69"/>
      <c r="M1102" s="69"/>
      <c r="N1102" s="72"/>
      <c r="O1102" s="69"/>
      <c r="P1102" s="69"/>
      <c r="Q1102" s="69"/>
      <c r="R1102" s="69"/>
      <c r="S1102" s="69"/>
      <c r="T1102" s="69"/>
      <c r="U1102" s="69"/>
      <c r="V1102" s="69"/>
      <c r="W1102" s="69"/>
      <c r="X1102" s="69"/>
      <c r="Y1102" s="69"/>
      <c r="Z1102" s="69"/>
      <c r="AA1102" s="69"/>
      <c r="AB1102" s="69"/>
      <c r="AC1102" s="69"/>
      <c r="AD1102" s="69"/>
      <c r="AE1102" s="69"/>
      <c r="AF1102" s="69"/>
      <c r="AG1102" s="69"/>
      <c r="AH1102" s="69"/>
      <c r="AI1102" s="69"/>
      <c r="AJ1102" s="69"/>
      <c r="AK1102" s="69"/>
      <c r="AL1102" s="69"/>
      <c r="AM1102" s="69"/>
      <c r="AN1102" s="69"/>
      <c r="AO1102" s="69"/>
      <c r="AP1102" s="69"/>
      <c r="AQ1102" s="69"/>
      <c r="AR1102" s="69"/>
      <c r="AS1102" s="69"/>
      <c r="AT1102" s="69"/>
      <c r="AU1102" s="69"/>
      <c r="AV1102" s="69"/>
      <c r="AW1102" s="69"/>
      <c r="AX1102" s="69"/>
      <c r="AY1102" s="69"/>
      <c r="AZ1102" s="69"/>
      <c r="BA1102" s="69"/>
      <c r="BB1102" s="69"/>
      <c r="BC1102" s="69"/>
    </row>
    <row r="1103">
      <c r="A1103" s="68"/>
      <c r="B1103" s="68"/>
      <c r="C1103" s="68"/>
      <c r="D1103" s="68"/>
      <c r="E1103" s="68"/>
      <c r="F1103" s="68"/>
      <c r="G1103" s="68"/>
      <c r="H1103" s="68"/>
      <c r="I1103" s="69"/>
      <c r="J1103" s="69"/>
      <c r="K1103" s="71"/>
      <c r="L1103" s="69"/>
      <c r="M1103" s="69"/>
      <c r="N1103" s="72"/>
      <c r="O1103" s="69"/>
      <c r="P1103" s="69"/>
      <c r="Q1103" s="69"/>
      <c r="R1103" s="69"/>
      <c r="S1103" s="69"/>
      <c r="T1103" s="69"/>
      <c r="U1103" s="69"/>
      <c r="V1103" s="69"/>
      <c r="W1103" s="69"/>
      <c r="X1103" s="69"/>
      <c r="Y1103" s="69"/>
      <c r="Z1103" s="69"/>
      <c r="AA1103" s="69"/>
      <c r="AB1103" s="69"/>
      <c r="AC1103" s="69"/>
      <c r="AD1103" s="69"/>
      <c r="AE1103" s="69"/>
      <c r="AF1103" s="69"/>
      <c r="AG1103" s="69"/>
      <c r="AH1103" s="69"/>
      <c r="AI1103" s="69"/>
      <c r="AJ1103" s="69"/>
      <c r="AK1103" s="69"/>
      <c r="AL1103" s="69"/>
      <c r="AM1103" s="69"/>
      <c r="AN1103" s="69"/>
      <c r="AO1103" s="69"/>
      <c r="AP1103" s="69"/>
      <c r="AQ1103" s="69"/>
      <c r="AR1103" s="69"/>
      <c r="AS1103" s="69"/>
      <c r="AT1103" s="69"/>
      <c r="AU1103" s="69"/>
      <c r="AV1103" s="69"/>
      <c r="AW1103" s="69"/>
      <c r="AX1103" s="69"/>
      <c r="AY1103" s="69"/>
      <c r="AZ1103" s="69"/>
      <c r="BA1103" s="69"/>
      <c r="BB1103" s="69"/>
      <c r="BC1103" s="69"/>
    </row>
    <row r="1104">
      <c r="A1104" s="68"/>
      <c r="B1104" s="68"/>
      <c r="C1104" s="68"/>
      <c r="D1104" s="68"/>
      <c r="E1104" s="68"/>
      <c r="F1104" s="68"/>
      <c r="G1104" s="68"/>
      <c r="H1104" s="68"/>
      <c r="I1104" s="69"/>
      <c r="J1104" s="69"/>
      <c r="K1104" s="71"/>
      <c r="L1104" s="69"/>
      <c r="M1104" s="69"/>
      <c r="N1104" s="72"/>
      <c r="O1104" s="69"/>
      <c r="P1104" s="69"/>
      <c r="Q1104" s="69"/>
      <c r="R1104" s="69"/>
      <c r="S1104" s="69"/>
      <c r="T1104" s="69"/>
      <c r="U1104" s="69"/>
      <c r="V1104" s="69"/>
      <c r="W1104" s="69"/>
      <c r="X1104" s="69"/>
      <c r="Y1104" s="69"/>
      <c r="Z1104" s="69"/>
      <c r="AA1104" s="69"/>
      <c r="AB1104" s="69"/>
      <c r="AC1104" s="69"/>
      <c r="AD1104" s="69"/>
      <c r="AE1104" s="69"/>
      <c r="AF1104" s="69"/>
      <c r="AG1104" s="69"/>
      <c r="AH1104" s="69"/>
      <c r="AI1104" s="69"/>
      <c r="AJ1104" s="69"/>
      <c r="AK1104" s="69"/>
      <c r="AL1104" s="69"/>
      <c r="AM1104" s="69"/>
      <c r="AN1104" s="69"/>
      <c r="AO1104" s="69"/>
      <c r="AP1104" s="69"/>
      <c r="AQ1104" s="69"/>
      <c r="AR1104" s="69"/>
      <c r="AS1104" s="69"/>
      <c r="AT1104" s="69"/>
      <c r="AU1104" s="69"/>
      <c r="AV1104" s="69"/>
      <c r="AW1104" s="69"/>
      <c r="AX1104" s="69"/>
      <c r="AY1104" s="69"/>
      <c r="AZ1104" s="69"/>
      <c r="BA1104" s="69"/>
      <c r="BB1104" s="69"/>
      <c r="BC1104" s="69"/>
    </row>
    <row r="1105">
      <c r="A1105" s="68"/>
      <c r="B1105" s="68"/>
      <c r="C1105" s="68"/>
      <c r="D1105" s="68"/>
      <c r="E1105" s="68"/>
      <c r="F1105" s="68"/>
      <c r="G1105" s="68"/>
      <c r="H1105" s="68"/>
      <c r="I1105" s="69"/>
      <c r="J1105" s="69"/>
      <c r="K1105" s="71"/>
      <c r="L1105" s="69"/>
      <c r="M1105" s="69"/>
      <c r="N1105" s="72"/>
      <c r="O1105" s="69"/>
      <c r="P1105" s="69"/>
      <c r="Q1105" s="69"/>
      <c r="R1105" s="69"/>
      <c r="S1105" s="69"/>
      <c r="T1105" s="69"/>
      <c r="U1105" s="69"/>
      <c r="V1105" s="69"/>
      <c r="W1105" s="69"/>
      <c r="X1105" s="69"/>
      <c r="Y1105" s="69"/>
      <c r="Z1105" s="69"/>
      <c r="AA1105" s="69"/>
      <c r="AB1105" s="69"/>
      <c r="AC1105" s="69"/>
      <c r="AD1105" s="69"/>
      <c r="AE1105" s="69"/>
      <c r="AF1105" s="69"/>
      <c r="AG1105" s="69"/>
      <c r="AH1105" s="69"/>
      <c r="AI1105" s="69"/>
      <c r="AJ1105" s="69"/>
      <c r="AK1105" s="69"/>
      <c r="AL1105" s="69"/>
      <c r="AM1105" s="69"/>
      <c r="AN1105" s="69"/>
      <c r="AO1105" s="69"/>
      <c r="AP1105" s="69"/>
      <c r="AQ1105" s="69"/>
      <c r="AR1105" s="69"/>
      <c r="AS1105" s="69"/>
      <c r="AT1105" s="69"/>
      <c r="AU1105" s="69"/>
      <c r="AV1105" s="69"/>
      <c r="AW1105" s="69"/>
      <c r="AX1105" s="69"/>
      <c r="AY1105" s="69"/>
      <c r="AZ1105" s="69"/>
      <c r="BA1105" s="69"/>
      <c r="BB1105" s="69"/>
      <c r="BC1105" s="69"/>
    </row>
    <row r="1106">
      <c r="A1106" s="68"/>
      <c r="B1106" s="68"/>
      <c r="C1106" s="68"/>
      <c r="D1106" s="68"/>
      <c r="E1106" s="68"/>
      <c r="F1106" s="68"/>
      <c r="G1106" s="68"/>
      <c r="H1106" s="68"/>
      <c r="I1106" s="69"/>
      <c r="J1106" s="69"/>
      <c r="K1106" s="71"/>
      <c r="L1106" s="69"/>
      <c r="M1106" s="69"/>
      <c r="N1106" s="72"/>
      <c r="O1106" s="69"/>
      <c r="P1106" s="69"/>
      <c r="Q1106" s="69"/>
      <c r="R1106" s="69"/>
      <c r="S1106" s="69"/>
      <c r="T1106" s="69"/>
      <c r="U1106" s="69"/>
      <c r="V1106" s="69"/>
      <c r="W1106" s="69"/>
      <c r="X1106" s="69"/>
      <c r="Y1106" s="69"/>
      <c r="Z1106" s="69"/>
      <c r="AA1106" s="69"/>
      <c r="AB1106" s="69"/>
      <c r="AC1106" s="69"/>
      <c r="AD1106" s="69"/>
      <c r="AE1106" s="69"/>
      <c r="AF1106" s="69"/>
      <c r="AG1106" s="69"/>
      <c r="AH1106" s="69"/>
      <c r="AI1106" s="69"/>
      <c r="AJ1106" s="69"/>
      <c r="AK1106" s="69"/>
      <c r="AL1106" s="69"/>
      <c r="AM1106" s="69"/>
      <c r="AN1106" s="69"/>
      <c r="AO1106" s="69"/>
      <c r="AP1106" s="69"/>
      <c r="AQ1106" s="69"/>
      <c r="AR1106" s="69"/>
      <c r="AS1106" s="69"/>
      <c r="AT1106" s="69"/>
      <c r="AU1106" s="69"/>
      <c r="AV1106" s="69"/>
      <c r="AW1106" s="69"/>
      <c r="AX1106" s="69"/>
      <c r="AY1106" s="69"/>
      <c r="AZ1106" s="69"/>
      <c r="BA1106" s="69"/>
      <c r="BB1106" s="69"/>
      <c r="BC1106" s="69"/>
    </row>
    <row r="1107">
      <c r="A1107" s="68"/>
      <c r="B1107" s="68"/>
      <c r="C1107" s="68"/>
      <c r="D1107" s="68"/>
      <c r="E1107" s="68"/>
      <c r="F1107" s="68"/>
      <c r="G1107" s="68"/>
      <c r="H1107" s="68"/>
      <c r="I1107" s="69"/>
      <c r="J1107" s="69"/>
      <c r="K1107" s="71"/>
      <c r="L1107" s="69"/>
      <c r="M1107" s="69"/>
      <c r="N1107" s="72"/>
      <c r="O1107" s="69"/>
      <c r="P1107" s="69"/>
      <c r="Q1107" s="69"/>
      <c r="R1107" s="69"/>
      <c r="S1107" s="69"/>
      <c r="T1107" s="69"/>
      <c r="U1107" s="69"/>
      <c r="V1107" s="69"/>
      <c r="W1107" s="69"/>
      <c r="X1107" s="69"/>
      <c r="Y1107" s="69"/>
      <c r="Z1107" s="69"/>
      <c r="AA1107" s="69"/>
      <c r="AB1107" s="69"/>
      <c r="AC1107" s="69"/>
      <c r="AD1107" s="69"/>
      <c r="AE1107" s="69"/>
      <c r="AF1107" s="69"/>
      <c r="AG1107" s="69"/>
      <c r="AH1107" s="69"/>
      <c r="AI1107" s="69"/>
      <c r="AJ1107" s="69"/>
      <c r="AK1107" s="69"/>
      <c r="AL1107" s="69"/>
      <c r="AM1107" s="69"/>
      <c r="AN1107" s="69"/>
      <c r="AO1107" s="69"/>
      <c r="AP1107" s="69"/>
      <c r="AQ1107" s="69"/>
      <c r="AR1107" s="69"/>
      <c r="AS1107" s="69"/>
      <c r="AT1107" s="69"/>
      <c r="AU1107" s="69"/>
      <c r="AV1107" s="69"/>
      <c r="AW1107" s="69"/>
      <c r="AX1107" s="69"/>
      <c r="AY1107" s="69"/>
      <c r="AZ1107" s="69"/>
      <c r="BA1107" s="69"/>
      <c r="BB1107" s="69"/>
      <c r="BC1107" s="69"/>
    </row>
    <row r="1108">
      <c r="A1108" s="68"/>
      <c r="B1108" s="68"/>
      <c r="C1108" s="68"/>
      <c r="D1108" s="68"/>
      <c r="E1108" s="68"/>
      <c r="F1108" s="68"/>
      <c r="G1108" s="68"/>
      <c r="H1108" s="68"/>
      <c r="I1108" s="69"/>
      <c r="J1108" s="69"/>
      <c r="K1108" s="71"/>
      <c r="L1108" s="69"/>
      <c r="M1108" s="69"/>
      <c r="N1108" s="72"/>
      <c r="O1108" s="69"/>
      <c r="P1108" s="69"/>
      <c r="Q1108" s="69"/>
      <c r="R1108" s="69"/>
      <c r="S1108" s="69"/>
      <c r="T1108" s="69"/>
      <c r="U1108" s="69"/>
      <c r="V1108" s="69"/>
      <c r="W1108" s="69"/>
      <c r="X1108" s="69"/>
      <c r="Y1108" s="69"/>
      <c r="Z1108" s="69"/>
      <c r="AA1108" s="69"/>
      <c r="AB1108" s="69"/>
      <c r="AC1108" s="69"/>
      <c r="AD1108" s="69"/>
      <c r="AE1108" s="69"/>
      <c r="AF1108" s="69"/>
      <c r="AG1108" s="69"/>
      <c r="AH1108" s="69"/>
      <c r="AI1108" s="69"/>
      <c r="AJ1108" s="69"/>
      <c r="AK1108" s="69"/>
      <c r="AL1108" s="69"/>
      <c r="AM1108" s="69"/>
      <c r="AN1108" s="69"/>
      <c r="AO1108" s="69"/>
      <c r="AP1108" s="69"/>
      <c r="AQ1108" s="69"/>
      <c r="AR1108" s="69"/>
      <c r="AS1108" s="69"/>
      <c r="AT1108" s="69"/>
      <c r="AU1108" s="69"/>
      <c r="AV1108" s="69"/>
      <c r="AW1108" s="69"/>
      <c r="AX1108" s="69"/>
      <c r="AY1108" s="69"/>
      <c r="AZ1108" s="69"/>
      <c r="BA1108" s="69"/>
      <c r="BB1108" s="69"/>
      <c r="BC1108" s="69"/>
    </row>
    <row r="1109">
      <c r="A1109" s="68"/>
      <c r="B1109" s="68"/>
      <c r="C1109" s="68"/>
      <c r="D1109" s="68"/>
      <c r="E1109" s="68"/>
      <c r="F1109" s="68"/>
      <c r="G1109" s="68"/>
      <c r="H1109" s="68"/>
      <c r="I1109" s="69"/>
      <c r="J1109" s="69"/>
      <c r="K1109" s="71"/>
      <c r="L1109" s="69"/>
      <c r="M1109" s="69"/>
      <c r="N1109" s="72"/>
      <c r="O1109" s="69"/>
      <c r="P1109" s="69"/>
      <c r="Q1109" s="69"/>
      <c r="R1109" s="69"/>
      <c r="S1109" s="69"/>
      <c r="T1109" s="69"/>
      <c r="U1109" s="69"/>
      <c r="V1109" s="69"/>
      <c r="W1109" s="69"/>
      <c r="X1109" s="69"/>
      <c r="Y1109" s="69"/>
      <c r="Z1109" s="69"/>
      <c r="AA1109" s="69"/>
      <c r="AB1109" s="69"/>
      <c r="AC1109" s="69"/>
      <c r="AD1109" s="69"/>
      <c r="AE1109" s="69"/>
      <c r="AF1109" s="69"/>
      <c r="AG1109" s="69"/>
      <c r="AH1109" s="69"/>
      <c r="AI1109" s="69"/>
      <c r="AJ1109" s="69"/>
      <c r="AK1109" s="69"/>
      <c r="AL1109" s="69"/>
      <c r="AM1109" s="69"/>
      <c r="AN1109" s="69"/>
      <c r="AO1109" s="69"/>
      <c r="AP1109" s="69"/>
      <c r="AQ1109" s="69"/>
      <c r="AR1109" s="69"/>
      <c r="AS1109" s="69"/>
      <c r="AT1109" s="69"/>
      <c r="AU1109" s="69"/>
      <c r="AV1109" s="69"/>
      <c r="AW1109" s="69"/>
      <c r="AX1109" s="69"/>
      <c r="AY1109" s="69"/>
      <c r="AZ1109" s="69"/>
      <c r="BA1109" s="69"/>
      <c r="BB1109" s="69"/>
      <c r="BC1109" s="69"/>
    </row>
    <row r="1110">
      <c r="A1110" s="68"/>
      <c r="B1110" s="68"/>
      <c r="C1110" s="68"/>
      <c r="D1110" s="68"/>
      <c r="E1110" s="68"/>
      <c r="F1110" s="68"/>
      <c r="G1110" s="68"/>
      <c r="H1110" s="68"/>
      <c r="I1110" s="69"/>
      <c r="J1110" s="69"/>
      <c r="K1110" s="71"/>
      <c r="L1110" s="69"/>
      <c r="M1110" s="69"/>
      <c r="N1110" s="72"/>
      <c r="O1110" s="69"/>
      <c r="P1110" s="69"/>
      <c r="Q1110" s="69"/>
      <c r="R1110" s="69"/>
      <c r="S1110" s="69"/>
      <c r="T1110" s="69"/>
      <c r="U1110" s="69"/>
      <c r="V1110" s="69"/>
      <c r="W1110" s="69"/>
      <c r="X1110" s="69"/>
      <c r="Y1110" s="69"/>
      <c r="Z1110" s="69"/>
      <c r="AA1110" s="69"/>
      <c r="AB1110" s="69"/>
      <c r="AC1110" s="69"/>
      <c r="AD1110" s="69"/>
      <c r="AE1110" s="69"/>
      <c r="AF1110" s="69"/>
      <c r="AG1110" s="69"/>
      <c r="AH1110" s="69"/>
      <c r="AI1110" s="69"/>
      <c r="AJ1110" s="69"/>
      <c r="AK1110" s="69"/>
      <c r="AL1110" s="69"/>
      <c r="AM1110" s="69"/>
      <c r="AN1110" s="69"/>
      <c r="AO1110" s="69"/>
      <c r="AP1110" s="69"/>
      <c r="AQ1110" s="69"/>
      <c r="AR1110" s="69"/>
      <c r="AS1110" s="69"/>
      <c r="AT1110" s="69"/>
      <c r="AU1110" s="69"/>
      <c r="AV1110" s="69"/>
      <c r="AW1110" s="69"/>
      <c r="AX1110" s="69"/>
      <c r="AY1110" s="69"/>
      <c r="AZ1110" s="69"/>
      <c r="BA1110" s="69"/>
      <c r="BB1110" s="69"/>
      <c r="BC1110" s="69"/>
    </row>
    <row r="1111">
      <c r="A1111" s="68"/>
      <c r="B1111" s="68"/>
      <c r="C1111" s="68"/>
      <c r="D1111" s="68"/>
      <c r="E1111" s="68"/>
      <c r="F1111" s="68"/>
      <c r="G1111" s="68"/>
      <c r="H1111" s="68"/>
      <c r="I1111" s="69"/>
      <c r="J1111" s="69"/>
      <c r="K1111" s="71"/>
      <c r="L1111" s="69"/>
      <c r="M1111" s="69"/>
      <c r="N1111" s="72"/>
      <c r="O1111" s="69"/>
      <c r="P1111" s="69"/>
      <c r="Q1111" s="69"/>
      <c r="R1111" s="69"/>
      <c r="S1111" s="69"/>
      <c r="T1111" s="69"/>
      <c r="U1111" s="69"/>
      <c r="V1111" s="69"/>
      <c r="W1111" s="69"/>
      <c r="X1111" s="69"/>
      <c r="Y1111" s="69"/>
      <c r="Z1111" s="69"/>
      <c r="AA1111" s="69"/>
      <c r="AB1111" s="69"/>
      <c r="AC1111" s="69"/>
      <c r="AD1111" s="69"/>
      <c r="AE1111" s="69"/>
      <c r="AF1111" s="69"/>
      <c r="AG1111" s="69"/>
      <c r="AH1111" s="69"/>
      <c r="AI1111" s="69"/>
      <c r="AJ1111" s="69"/>
      <c r="AK1111" s="69"/>
      <c r="AL1111" s="69"/>
      <c r="AM1111" s="69"/>
      <c r="AN1111" s="69"/>
      <c r="AO1111" s="69"/>
      <c r="AP1111" s="69"/>
      <c r="AQ1111" s="69"/>
      <c r="AR1111" s="69"/>
      <c r="AS1111" s="69"/>
      <c r="AT1111" s="69"/>
      <c r="AU1111" s="69"/>
      <c r="AV1111" s="69"/>
      <c r="AW1111" s="69"/>
      <c r="AX1111" s="69"/>
      <c r="AY1111" s="69"/>
      <c r="AZ1111" s="69"/>
      <c r="BA1111" s="69"/>
      <c r="BB1111" s="69"/>
      <c r="BC1111" s="69"/>
    </row>
    <row r="1112">
      <c r="A1112" s="68"/>
      <c r="B1112" s="68"/>
      <c r="C1112" s="68"/>
      <c r="D1112" s="68"/>
      <c r="E1112" s="68"/>
      <c r="F1112" s="68"/>
      <c r="G1112" s="68"/>
      <c r="H1112" s="68"/>
      <c r="I1112" s="69"/>
      <c r="J1112" s="69"/>
      <c r="K1112" s="71"/>
      <c r="L1112" s="69"/>
      <c r="M1112" s="69"/>
      <c r="N1112" s="72"/>
      <c r="O1112" s="69"/>
      <c r="P1112" s="69"/>
      <c r="Q1112" s="69"/>
      <c r="R1112" s="69"/>
      <c r="S1112" s="69"/>
      <c r="T1112" s="69"/>
      <c r="U1112" s="69"/>
      <c r="V1112" s="69"/>
      <c r="W1112" s="69"/>
      <c r="X1112" s="69"/>
      <c r="Y1112" s="69"/>
      <c r="Z1112" s="69"/>
      <c r="AA1112" s="69"/>
      <c r="AB1112" s="69"/>
      <c r="AC1112" s="69"/>
      <c r="AD1112" s="69"/>
      <c r="AE1112" s="69"/>
      <c r="AF1112" s="69"/>
      <c r="AG1112" s="69"/>
      <c r="AH1112" s="69"/>
      <c r="AI1112" s="69"/>
      <c r="AJ1112" s="69"/>
      <c r="AK1112" s="69"/>
      <c r="AL1112" s="69"/>
      <c r="AM1112" s="69"/>
      <c r="AN1112" s="69"/>
      <c r="AO1112" s="69"/>
      <c r="AP1112" s="69"/>
      <c r="AQ1112" s="69"/>
      <c r="AR1112" s="69"/>
      <c r="AS1112" s="69"/>
      <c r="AT1112" s="69"/>
      <c r="AU1112" s="69"/>
      <c r="AV1112" s="69"/>
      <c r="AW1112" s="69"/>
      <c r="AX1112" s="69"/>
      <c r="AY1112" s="69"/>
      <c r="AZ1112" s="69"/>
      <c r="BA1112" s="69"/>
      <c r="BB1112" s="69"/>
      <c r="BC1112" s="69"/>
    </row>
    <row r="1113">
      <c r="A1113" s="68"/>
      <c r="B1113" s="68"/>
      <c r="C1113" s="68"/>
      <c r="D1113" s="68"/>
      <c r="E1113" s="68"/>
      <c r="F1113" s="68"/>
      <c r="G1113" s="68"/>
      <c r="H1113" s="68"/>
      <c r="I1113" s="69"/>
      <c r="J1113" s="69"/>
      <c r="K1113" s="71"/>
      <c r="L1113" s="69"/>
      <c r="M1113" s="69"/>
      <c r="N1113" s="72"/>
      <c r="O1113" s="69"/>
      <c r="P1113" s="69"/>
      <c r="Q1113" s="69"/>
      <c r="R1113" s="69"/>
      <c r="S1113" s="69"/>
      <c r="T1113" s="69"/>
      <c r="U1113" s="69"/>
      <c r="V1113" s="69"/>
      <c r="W1113" s="69"/>
      <c r="X1113" s="69"/>
      <c r="Y1113" s="69"/>
      <c r="Z1113" s="69"/>
      <c r="AA1113" s="69"/>
      <c r="AB1113" s="69"/>
      <c r="AC1113" s="69"/>
      <c r="AD1113" s="69"/>
      <c r="AE1113" s="69"/>
      <c r="AF1113" s="69"/>
      <c r="AG1113" s="69"/>
      <c r="AH1113" s="69"/>
      <c r="AI1113" s="69"/>
      <c r="AJ1113" s="69"/>
      <c r="AK1113" s="69"/>
      <c r="AL1113" s="69"/>
      <c r="AM1113" s="69"/>
      <c r="AN1113" s="69"/>
      <c r="AO1113" s="69"/>
      <c r="AP1113" s="69"/>
      <c r="AQ1113" s="69"/>
      <c r="AR1113" s="69"/>
      <c r="AS1113" s="69"/>
      <c r="AT1113" s="69"/>
      <c r="AU1113" s="69"/>
      <c r="AV1113" s="69"/>
      <c r="AW1113" s="69"/>
      <c r="AX1113" s="69"/>
      <c r="AY1113" s="69"/>
      <c r="AZ1113" s="69"/>
      <c r="BA1113" s="69"/>
      <c r="BB1113" s="69"/>
      <c r="BC1113" s="69"/>
    </row>
    <row r="1114">
      <c r="A1114" s="68"/>
      <c r="B1114" s="68"/>
      <c r="C1114" s="68"/>
      <c r="D1114" s="68"/>
      <c r="E1114" s="68"/>
      <c r="F1114" s="68"/>
      <c r="G1114" s="68"/>
      <c r="H1114" s="68"/>
      <c r="I1114" s="69"/>
      <c r="J1114" s="69"/>
      <c r="K1114" s="71"/>
      <c r="L1114" s="69"/>
      <c r="M1114" s="69"/>
      <c r="N1114" s="72"/>
      <c r="O1114" s="69"/>
      <c r="P1114" s="69"/>
      <c r="Q1114" s="69"/>
      <c r="R1114" s="69"/>
      <c r="S1114" s="69"/>
      <c r="T1114" s="69"/>
      <c r="U1114" s="69"/>
      <c r="V1114" s="69"/>
      <c r="W1114" s="69"/>
      <c r="X1114" s="69"/>
      <c r="Y1114" s="69"/>
      <c r="Z1114" s="69"/>
      <c r="AA1114" s="69"/>
      <c r="AB1114" s="69"/>
      <c r="AC1114" s="69"/>
      <c r="AD1114" s="69"/>
      <c r="AE1114" s="69"/>
      <c r="AF1114" s="69"/>
      <c r="AG1114" s="69"/>
      <c r="AH1114" s="69"/>
      <c r="AI1114" s="69"/>
      <c r="AJ1114" s="69"/>
      <c r="AK1114" s="69"/>
      <c r="AL1114" s="69"/>
      <c r="AM1114" s="69"/>
      <c r="AN1114" s="69"/>
      <c r="AO1114" s="69"/>
      <c r="AP1114" s="69"/>
      <c r="AQ1114" s="69"/>
      <c r="AR1114" s="69"/>
      <c r="AS1114" s="69"/>
      <c r="AT1114" s="69"/>
      <c r="AU1114" s="69"/>
      <c r="AV1114" s="69"/>
      <c r="AW1114" s="69"/>
      <c r="AX1114" s="69"/>
      <c r="AY1114" s="69"/>
      <c r="AZ1114" s="69"/>
      <c r="BA1114" s="69"/>
      <c r="BB1114" s="69"/>
      <c r="BC1114" s="69"/>
    </row>
    <row r="1115">
      <c r="A1115" s="68"/>
      <c r="B1115" s="68"/>
      <c r="C1115" s="68"/>
      <c r="D1115" s="68"/>
      <c r="E1115" s="68"/>
      <c r="F1115" s="68"/>
      <c r="G1115" s="68"/>
      <c r="H1115" s="68"/>
      <c r="I1115" s="69"/>
      <c r="J1115" s="69"/>
      <c r="K1115" s="71"/>
      <c r="L1115" s="69"/>
      <c r="M1115" s="69"/>
      <c r="N1115" s="72"/>
      <c r="O1115" s="69"/>
      <c r="P1115" s="69"/>
      <c r="Q1115" s="69"/>
      <c r="R1115" s="69"/>
      <c r="S1115" s="69"/>
      <c r="T1115" s="69"/>
      <c r="U1115" s="69"/>
      <c r="V1115" s="69"/>
      <c r="W1115" s="69"/>
      <c r="X1115" s="69"/>
      <c r="Y1115" s="69"/>
      <c r="Z1115" s="69"/>
      <c r="AA1115" s="69"/>
      <c r="AB1115" s="69"/>
      <c r="AC1115" s="69"/>
      <c r="AD1115" s="69"/>
      <c r="AE1115" s="69"/>
      <c r="AF1115" s="69"/>
      <c r="AG1115" s="69"/>
      <c r="AH1115" s="69"/>
      <c r="AI1115" s="69"/>
      <c r="AJ1115" s="69"/>
      <c r="AK1115" s="69"/>
      <c r="AL1115" s="69"/>
      <c r="AM1115" s="69"/>
      <c r="AN1115" s="69"/>
      <c r="AO1115" s="69"/>
      <c r="AP1115" s="69"/>
      <c r="AQ1115" s="69"/>
      <c r="AR1115" s="69"/>
      <c r="AS1115" s="69"/>
      <c r="AT1115" s="69"/>
      <c r="AU1115" s="69"/>
      <c r="AV1115" s="69"/>
      <c r="AW1115" s="69"/>
      <c r="AX1115" s="69"/>
      <c r="AY1115" s="69"/>
      <c r="AZ1115" s="69"/>
      <c r="BA1115" s="69"/>
      <c r="BB1115" s="69"/>
      <c r="BC1115" s="69"/>
    </row>
    <row r="1116">
      <c r="A1116" s="68"/>
      <c r="B1116" s="68"/>
      <c r="C1116" s="68"/>
      <c r="D1116" s="68"/>
      <c r="E1116" s="68"/>
      <c r="F1116" s="68"/>
      <c r="G1116" s="68"/>
      <c r="H1116" s="68"/>
      <c r="I1116" s="69"/>
      <c r="J1116" s="69"/>
      <c r="K1116" s="71"/>
      <c r="L1116" s="69"/>
      <c r="M1116" s="69"/>
      <c r="N1116" s="72"/>
      <c r="O1116" s="69"/>
      <c r="P1116" s="69"/>
      <c r="Q1116" s="69"/>
      <c r="R1116" s="69"/>
      <c r="S1116" s="69"/>
      <c r="T1116" s="69"/>
      <c r="U1116" s="69"/>
      <c r="V1116" s="69"/>
      <c r="W1116" s="69"/>
      <c r="X1116" s="69"/>
      <c r="Y1116" s="69"/>
      <c r="Z1116" s="69"/>
      <c r="AA1116" s="69"/>
      <c r="AB1116" s="69"/>
      <c r="AC1116" s="69"/>
      <c r="AD1116" s="69"/>
      <c r="AE1116" s="69"/>
      <c r="AF1116" s="69"/>
      <c r="AG1116" s="69"/>
      <c r="AH1116" s="69"/>
      <c r="AI1116" s="69"/>
      <c r="AJ1116" s="69"/>
      <c r="AK1116" s="69"/>
      <c r="AL1116" s="69"/>
      <c r="AM1116" s="69"/>
      <c r="AN1116" s="69"/>
      <c r="AO1116" s="69"/>
      <c r="AP1116" s="69"/>
      <c r="AQ1116" s="69"/>
      <c r="AR1116" s="69"/>
      <c r="AS1116" s="69"/>
      <c r="AT1116" s="69"/>
      <c r="AU1116" s="69"/>
      <c r="AV1116" s="69"/>
      <c r="AW1116" s="69"/>
      <c r="AX1116" s="69"/>
      <c r="AY1116" s="69"/>
      <c r="AZ1116" s="69"/>
      <c r="BA1116" s="69"/>
      <c r="BB1116" s="69"/>
      <c r="BC1116" s="69"/>
    </row>
    <row r="1117">
      <c r="A1117" s="68"/>
      <c r="B1117" s="68"/>
      <c r="C1117" s="68"/>
      <c r="D1117" s="68"/>
      <c r="E1117" s="68"/>
      <c r="F1117" s="68"/>
      <c r="G1117" s="68"/>
      <c r="H1117" s="68"/>
      <c r="I1117" s="69"/>
      <c r="J1117" s="69"/>
      <c r="K1117" s="71"/>
      <c r="L1117" s="69"/>
      <c r="M1117" s="69"/>
      <c r="N1117" s="72"/>
      <c r="O1117" s="69"/>
      <c r="P1117" s="69"/>
      <c r="Q1117" s="69"/>
      <c r="R1117" s="69"/>
      <c r="S1117" s="69"/>
      <c r="T1117" s="69"/>
      <c r="U1117" s="69"/>
      <c r="V1117" s="69"/>
      <c r="W1117" s="69"/>
      <c r="X1117" s="69"/>
      <c r="Y1117" s="69"/>
      <c r="Z1117" s="69"/>
      <c r="AA1117" s="69"/>
      <c r="AB1117" s="69"/>
      <c r="AC1117" s="69"/>
      <c r="AD1117" s="69"/>
      <c r="AE1117" s="69"/>
      <c r="AF1117" s="69"/>
      <c r="AG1117" s="69"/>
      <c r="AH1117" s="69"/>
      <c r="AI1117" s="69"/>
      <c r="AJ1117" s="69"/>
      <c r="AK1117" s="69"/>
      <c r="AL1117" s="69"/>
      <c r="AM1117" s="69"/>
      <c r="AN1117" s="69"/>
      <c r="AO1117" s="69"/>
      <c r="AP1117" s="69"/>
      <c r="AQ1117" s="69"/>
      <c r="AR1117" s="69"/>
      <c r="AS1117" s="69"/>
      <c r="AT1117" s="69"/>
      <c r="AU1117" s="69"/>
      <c r="AV1117" s="69"/>
      <c r="AW1117" s="69"/>
      <c r="AX1117" s="69"/>
      <c r="AY1117" s="69"/>
      <c r="AZ1117" s="69"/>
      <c r="BA1117" s="69"/>
      <c r="BB1117" s="69"/>
      <c r="BC1117" s="69"/>
    </row>
    <row r="1118">
      <c r="A1118" s="68"/>
      <c r="B1118" s="68"/>
      <c r="C1118" s="68"/>
      <c r="D1118" s="68"/>
      <c r="E1118" s="68"/>
      <c r="F1118" s="68"/>
      <c r="G1118" s="68"/>
      <c r="H1118" s="68"/>
      <c r="I1118" s="69"/>
      <c r="J1118" s="69"/>
      <c r="K1118" s="71"/>
      <c r="L1118" s="69"/>
      <c r="M1118" s="69"/>
      <c r="N1118" s="72"/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  <c r="AA1118" s="69"/>
      <c r="AB1118" s="69"/>
      <c r="AC1118" s="69"/>
      <c r="AD1118" s="69"/>
      <c r="AE1118" s="69"/>
      <c r="AF1118" s="69"/>
      <c r="AG1118" s="69"/>
      <c r="AH1118" s="69"/>
      <c r="AI1118" s="69"/>
      <c r="AJ1118" s="69"/>
      <c r="AK1118" s="69"/>
      <c r="AL1118" s="69"/>
      <c r="AM1118" s="69"/>
      <c r="AN1118" s="69"/>
      <c r="AO1118" s="69"/>
      <c r="AP1118" s="69"/>
      <c r="AQ1118" s="69"/>
      <c r="AR1118" s="69"/>
      <c r="AS1118" s="69"/>
      <c r="AT1118" s="69"/>
      <c r="AU1118" s="69"/>
      <c r="AV1118" s="69"/>
      <c r="AW1118" s="69"/>
      <c r="AX1118" s="69"/>
      <c r="AY1118" s="69"/>
      <c r="AZ1118" s="69"/>
      <c r="BA1118" s="69"/>
      <c r="BB1118" s="69"/>
      <c r="BC1118" s="69"/>
    </row>
    <row r="1119">
      <c r="A1119" s="68"/>
      <c r="B1119" s="68"/>
      <c r="C1119" s="68"/>
      <c r="D1119" s="68"/>
      <c r="E1119" s="68"/>
      <c r="F1119" s="68"/>
      <c r="G1119" s="68"/>
      <c r="H1119" s="68"/>
      <c r="I1119" s="69"/>
      <c r="J1119" s="69"/>
      <c r="K1119" s="71"/>
      <c r="L1119" s="69"/>
      <c r="M1119" s="69"/>
      <c r="N1119" s="72"/>
      <c r="O1119" s="69"/>
      <c r="P1119" s="69"/>
      <c r="Q1119" s="69"/>
      <c r="R1119" s="69"/>
      <c r="S1119" s="69"/>
      <c r="T1119" s="69"/>
      <c r="U1119" s="69"/>
      <c r="V1119" s="69"/>
      <c r="W1119" s="69"/>
      <c r="X1119" s="69"/>
      <c r="Y1119" s="69"/>
      <c r="Z1119" s="69"/>
      <c r="AA1119" s="69"/>
      <c r="AB1119" s="69"/>
      <c r="AC1119" s="69"/>
      <c r="AD1119" s="69"/>
      <c r="AE1119" s="69"/>
      <c r="AF1119" s="69"/>
      <c r="AG1119" s="69"/>
      <c r="AH1119" s="69"/>
      <c r="AI1119" s="69"/>
      <c r="AJ1119" s="69"/>
      <c r="AK1119" s="69"/>
      <c r="AL1119" s="69"/>
      <c r="AM1119" s="69"/>
      <c r="AN1119" s="69"/>
      <c r="AO1119" s="69"/>
      <c r="AP1119" s="69"/>
      <c r="AQ1119" s="69"/>
      <c r="AR1119" s="69"/>
      <c r="AS1119" s="69"/>
      <c r="AT1119" s="69"/>
      <c r="AU1119" s="69"/>
      <c r="AV1119" s="69"/>
      <c r="AW1119" s="69"/>
      <c r="AX1119" s="69"/>
      <c r="AY1119" s="69"/>
      <c r="AZ1119" s="69"/>
      <c r="BA1119" s="69"/>
      <c r="BB1119" s="69"/>
      <c r="BC1119" s="69"/>
    </row>
    <row r="1120">
      <c r="A1120" s="68"/>
      <c r="B1120" s="68"/>
      <c r="C1120" s="68"/>
      <c r="D1120" s="68"/>
      <c r="E1120" s="68"/>
      <c r="F1120" s="68"/>
      <c r="G1120" s="68"/>
      <c r="H1120" s="68"/>
      <c r="I1120" s="69"/>
      <c r="J1120" s="69"/>
      <c r="K1120" s="71"/>
      <c r="L1120" s="69"/>
      <c r="M1120" s="69"/>
      <c r="N1120" s="72"/>
      <c r="O1120" s="69"/>
      <c r="P1120" s="69"/>
      <c r="Q1120" s="69"/>
      <c r="R1120" s="69"/>
      <c r="S1120" s="69"/>
      <c r="T1120" s="69"/>
      <c r="U1120" s="69"/>
      <c r="V1120" s="69"/>
      <c r="W1120" s="69"/>
      <c r="X1120" s="69"/>
      <c r="Y1120" s="69"/>
      <c r="Z1120" s="69"/>
      <c r="AA1120" s="69"/>
      <c r="AB1120" s="69"/>
      <c r="AC1120" s="69"/>
      <c r="AD1120" s="69"/>
      <c r="AE1120" s="69"/>
      <c r="AF1120" s="69"/>
      <c r="AG1120" s="69"/>
      <c r="AH1120" s="69"/>
      <c r="AI1120" s="69"/>
      <c r="AJ1120" s="69"/>
      <c r="AK1120" s="69"/>
      <c r="AL1120" s="69"/>
      <c r="AM1120" s="69"/>
      <c r="AN1120" s="69"/>
      <c r="AO1120" s="69"/>
      <c r="AP1120" s="69"/>
      <c r="AQ1120" s="69"/>
      <c r="AR1120" s="69"/>
      <c r="AS1120" s="69"/>
      <c r="AT1120" s="69"/>
      <c r="AU1120" s="69"/>
      <c r="AV1120" s="69"/>
      <c r="AW1120" s="69"/>
      <c r="AX1120" s="69"/>
      <c r="AY1120" s="69"/>
      <c r="AZ1120" s="69"/>
      <c r="BA1120" s="69"/>
      <c r="BB1120" s="69"/>
      <c r="BC1120" s="69"/>
    </row>
    <row r="1121">
      <c r="A1121" s="68"/>
      <c r="B1121" s="68"/>
      <c r="C1121" s="68"/>
      <c r="D1121" s="68"/>
      <c r="E1121" s="68"/>
      <c r="F1121" s="68"/>
      <c r="G1121" s="68"/>
      <c r="H1121" s="68"/>
      <c r="I1121" s="69"/>
      <c r="J1121" s="69"/>
      <c r="K1121" s="71"/>
      <c r="L1121" s="69"/>
      <c r="M1121" s="69"/>
      <c r="N1121" s="72"/>
      <c r="O1121" s="69"/>
      <c r="P1121" s="69"/>
      <c r="Q1121" s="69"/>
      <c r="R1121" s="69"/>
      <c r="S1121" s="69"/>
      <c r="T1121" s="69"/>
      <c r="U1121" s="69"/>
      <c r="V1121" s="69"/>
      <c r="W1121" s="69"/>
      <c r="X1121" s="69"/>
      <c r="Y1121" s="69"/>
      <c r="Z1121" s="69"/>
      <c r="AA1121" s="69"/>
      <c r="AB1121" s="69"/>
      <c r="AC1121" s="69"/>
      <c r="AD1121" s="69"/>
      <c r="AE1121" s="69"/>
      <c r="AF1121" s="69"/>
      <c r="AG1121" s="69"/>
      <c r="AH1121" s="69"/>
      <c r="AI1121" s="69"/>
      <c r="AJ1121" s="69"/>
      <c r="AK1121" s="69"/>
      <c r="AL1121" s="69"/>
      <c r="AM1121" s="69"/>
      <c r="AN1121" s="69"/>
      <c r="AO1121" s="69"/>
      <c r="AP1121" s="69"/>
      <c r="AQ1121" s="69"/>
      <c r="AR1121" s="69"/>
      <c r="AS1121" s="69"/>
      <c r="AT1121" s="69"/>
      <c r="AU1121" s="69"/>
      <c r="AV1121" s="69"/>
      <c r="AW1121" s="69"/>
      <c r="AX1121" s="69"/>
      <c r="AY1121" s="69"/>
      <c r="AZ1121" s="69"/>
      <c r="BA1121" s="69"/>
      <c r="BB1121" s="69"/>
      <c r="BC1121" s="69"/>
    </row>
    <row r="1122">
      <c r="A1122" s="68"/>
      <c r="B1122" s="68"/>
      <c r="C1122" s="68"/>
      <c r="D1122" s="68"/>
      <c r="E1122" s="68"/>
      <c r="F1122" s="68"/>
      <c r="G1122" s="68"/>
      <c r="H1122" s="68"/>
      <c r="I1122" s="69"/>
      <c r="J1122" s="69"/>
      <c r="K1122" s="71"/>
      <c r="L1122" s="69"/>
      <c r="M1122" s="69"/>
      <c r="N1122" s="72"/>
      <c r="O1122" s="69"/>
      <c r="P1122" s="69"/>
      <c r="Q1122" s="69"/>
      <c r="R1122" s="69"/>
      <c r="S1122" s="69"/>
      <c r="T1122" s="69"/>
      <c r="U1122" s="69"/>
      <c r="V1122" s="69"/>
      <c r="W1122" s="69"/>
      <c r="X1122" s="69"/>
      <c r="Y1122" s="69"/>
      <c r="Z1122" s="69"/>
      <c r="AA1122" s="69"/>
      <c r="AB1122" s="69"/>
      <c r="AC1122" s="69"/>
      <c r="AD1122" s="69"/>
      <c r="AE1122" s="69"/>
      <c r="AF1122" s="69"/>
      <c r="AG1122" s="69"/>
      <c r="AH1122" s="69"/>
      <c r="AI1122" s="69"/>
      <c r="AJ1122" s="69"/>
      <c r="AK1122" s="69"/>
      <c r="AL1122" s="69"/>
      <c r="AM1122" s="69"/>
      <c r="AN1122" s="69"/>
      <c r="AO1122" s="69"/>
      <c r="AP1122" s="69"/>
      <c r="AQ1122" s="69"/>
      <c r="AR1122" s="69"/>
      <c r="AS1122" s="69"/>
      <c r="AT1122" s="69"/>
      <c r="AU1122" s="69"/>
      <c r="AV1122" s="69"/>
      <c r="AW1122" s="69"/>
      <c r="AX1122" s="69"/>
      <c r="AY1122" s="69"/>
      <c r="AZ1122" s="69"/>
      <c r="BA1122" s="69"/>
      <c r="BB1122" s="69"/>
      <c r="BC1122" s="69"/>
    </row>
    <row r="1123">
      <c r="A1123" s="68"/>
      <c r="B1123" s="68"/>
      <c r="C1123" s="68"/>
      <c r="D1123" s="68"/>
      <c r="E1123" s="68"/>
      <c r="F1123" s="68"/>
      <c r="G1123" s="68"/>
      <c r="H1123" s="68"/>
      <c r="I1123" s="69"/>
      <c r="J1123" s="69"/>
      <c r="K1123" s="71"/>
      <c r="L1123" s="69"/>
      <c r="M1123" s="69"/>
      <c r="N1123" s="72"/>
      <c r="O1123" s="69"/>
      <c r="P1123" s="69"/>
      <c r="Q1123" s="69"/>
      <c r="R1123" s="69"/>
      <c r="S1123" s="69"/>
      <c r="T1123" s="69"/>
      <c r="U1123" s="69"/>
      <c r="V1123" s="69"/>
      <c r="W1123" s="69"/>
      <c r="X1123" s="69"/>
      <c r="Y1123" s="69"/>
      <c r="Z1123" s="69"/>
      <c r="AA1123" s="69"/>
      <c r="AB1123" s="69"/>
      <c r="AC1123" s="69"/>
      <c r="AD1123" s="69"/>
      <c r="AE1123" s="69"/>
      <c r="AF1123" s="69"/>
      <c r="AG1123" s="69"/>
      <c r="AH1123" s="69"/>
      <c r="AI1123" s="69"/>
      <c r="AJ1123" s="69"/>
      <c r="AK1123" s="69"/>
      <c r="AL1123" s="69"/>
      <c r="AM1123" s="69"/>
      <c r="AN1123" s="69"/>
      <c r="AO1123" s="69"/>
      <c r="AP1123" s="69"/>
      <c r="AQ1123" s="69"/>
      <c r="AR1123" s="69"/>
      <c r="AS1123" s="69"/>
      <c r="AT1123" s="69"/>
      <c r="AU1123" s="69"/>
      <c r="AV1123" s="69"/>
      <c r="AW1123" s="69"/>
      <c r="AX1123" s="69"/>
      <c r="AY1123" s="69"/>
      <c r="AZ1123" s="69"/>
      <c r="BA1123" s="69"/>
      <c r="BB1123" s="69"/>
      <c r="BC1123" s="69"/>
    </row>
    <row r="1124">
      <c r="A1124" s="68"/>
      <c r="B1124" s="68"/>
      <c r="C1124" s="68"/>
      <c r="D1124" s="68"/>
      <c r="E1124" s="68"/>
      <c r="F1124" s="68"/>
      <c r="G1124" s="68"/>
      <c r="H1124" s="68"/>
      <c r="I1124" s="69"/>
      <c r="J1124" s="69"/>
      <c r="K1124" s="71"/>
      <c r="L1124" s="69"/>
      <c r="M1124" s="69"/>
      <c r="N1124" s="72"/>
      <c r="O1124" s="69"/>
      <c r="P1124" s="69"/>
      <c r="Q1124" s="69"/>
      <c r="R1124" s="69"/>
      <c r="S1124" s="69"/>
      <c r="T1124" s="69"/>
      <c r="U1124" s="69"/>
      <c r="V1124" s="69"/>
      <c r="W1124" s="69"/>
      <c r="X1124" s="69"/>
      <c r="Y1124" s="69"/>
      <c r="Z1124" s="69"/>
      <c r="AA1124" s="69"/>
      <c r="AB1124" s="69"/>
      <c r="AC1124" s="69"/>
      <c r="AD1124" s="69"/>
      <c r="AE1124" s="69"/>
      <c r="AF1124" s="69"/>
      <c r="AG1124" s="69"/>
      <c r="AH1124" s="69"/>
      <c r="AI1124" s="69"/>
      <c r="AJ1124" s="69"/>
      <c r="AK1124" s="69"/>
      <c r="AL1124" s="69"/>
      <c r="AM1124" s="69"/>
      <c r="AN1124" s="69"/>
      <c r="AO1124" s="69"/>
      <c r="AP1124" s="69"/>
      <c r="AQ1124" s="69"/>
      <c r="AR1124" s="69"/>
      <c r="AS1124" s="69"/>
      <c r="AT1124" s="69"/>
      <c r="AU1124" s="69"/>
      <c r="AV1124" s="69"/>
      <c r="AW1124" s="69"/>
      <c r="AX1124" s="69"/>
      <c r="AY1124" s="69"/>
      <c r="AZ1124" s="69"/>
      <c r="BA1124" s="69"/>
      <c r="BB1124" s="69"/>
      <c r="BC1124" s="69"/>
    </row>
    <row r="1125">
      <c r="A1125" s="68"/>
      <c r="B1125" s="68"/>
      <c r="C1125" s="68"/>
      <c r="D1125" s="68"/>
      <c r="E1125" s="68"/>
      <c r="F1125" s="68"/>
      <c r="G1125" s="68"/>
      <c r="H1125" s="68"/>
      <c r="I1125" s="69"/>
      <c r="J1125" s="69"/>
      <c r="K1125" s="71"/>
      <c r="L1125" s="69"/>
      <c r="M1125" s="69"/>
      <c r="N1125" s="72"/>
      <c r="O1125" s="69"/>
      <c r="P1125" s="69"/>
      <c r="Q1125" s="69"/>
      <c r="R1125" s="69"/>
      <c r="S1125" s="69"/>
      <c r="T1125" s="69"/>
      <c r="U1125" s="69"/>
      <c r="V1125" s="69"/>
      <c r="W1125" s="69"/>
      <c r="X1125" s="69"/>
      <c r="Y1125" s="69"/>
      <c r="Z1125" s="69"/>
      <c r="AA1125" s="69"/>
      <c r="AB1125" s="69"/>
      <c r="AC1125" s="69"/>
      <c r="AD1125" s="69"/>
      <c r="AE1125" s="69"/>
      <c r="AF1125" s="69"/>
      <c r="AG1125" s="69"/>
      <c r="AH1125" s="69"/>
      <c r="AI1125" s="69"/>
      <c r="AJ1125" s="69"/>
      <c r="AK1125" s="69"/>
      <c r="AL1125" s="69"/>
      <c r="AM1125" s="69"/>
      <c r="AN1125" s="69"/>
      <c r="AO1125" s="69"/>
      <c r="AP1125" s="69"/>
      <c r="AQ1125" s="69"/>
      <c r="AR1125" s="69"/>
      <c r="AS1125" s="69"/>
      <c r="AT1125" s="69"/>
      <c r="AU1125" s="69"/>
      <c r="AV1125" s="69"/>
      <c r="AW1125" s="69"/>
      <c r="AX1125" s="69"/>
      <c r="AY1125" s="69"/>
      <c r="AZ1125" s="69"/>
      <c r="BA1125" s="69"/>
      <c r="BB1125" s="69"/>
      <c r="BC1125" s="69"/>
    </row>
    <row r="1126">
      <c r="A1126" s="68"/>
      <c r="B1126" s="68"/>
      <c r="C1126" s="68"/>
      <c r="D1126" s="68"/>
      <c r="E1126" s="68"/>
      <c r="F1126" s="68"/>
      <c r="G1126" s="68"/>
      <c r="H1126" s="68"/>
      <c r="I1126" s="69"/>
      <c r="J1126" s="69"/>
      <c r="K1126" s="71"/>
      <c r="L1126" s="69"/>
      <c r="M1126" s="69"/>
      <c r="N1126" s="72"/>
      <c r="O1126" s="69"/>
      <c r="P1126" s="69"/>
      <c r="Q1126" s="69"/>
      <c r="R1126" s="69"/>
      <c r="S1126" s="69"/>
      <c r="T1126" s="69"/>
      <c r="U1126" s="69"/>
      <c r="V1126" s="69"/>
      <c r="W1126" s="69"/>
      <c r="X1126" s="69"/>
      <c r="Y1126" s="69"/>
      <c r="Z1126" s="69"/>
      <c r="AA1126" s="69"/>
      <c r="AB1126" s="69"/>
      <c r="AC1126" s="69"/>
      <c r="AD1126" s="69"/>
      <c r="AE1126" s="69"/>
      <c r="AF1126" s="69"/>
      <c r="AG1126" s="69"/>
      <c r="AH1126" s="69"/>
      <c r="AI1126" s="69"/>
      <c r="AJ1126" s="69"/>
      <c r="AK1126" s="69"/>
      <c r="AL1126" s="69"/>
      <c r="AM1126" s="69"/>
      <c r="AN1126" s="69"/>
      <c r="AO1126" s="69"/>
      <c r="AP1126" s="69"/>
      <c r="AQ1126" s="69"/>
      <c r="AR1126" s="69"/>
      <c r="AS1126" s="69"/>
      <c r="AT1126" s="69"/>
      <c r="AU1126" s="69"/>
      <c r="AV1126" s="69"/>
      <c r="AW1126" s="69"/>
      <c r="AX1126" s="69"/>
      <c r="AY1126" s="69"/>
      <c r="AZ1126" s="69"/>
      <c r="BA1126" s="69"/>
      <c r="BB1126" s="69"/>
      <c r="BC1126" s="69"/>
    </row>
    <row r="1127">
      <c r="A1127" s="68"/>
      <c r="B1127" s="68"/>
      <c r="C1127" s="68"/>
      <c r="D1127" s="68"/>
      <c r="E1127" s="68"/>
      <c r="F1127" s="68"/>
      <c r="G1127" s="68"/>
      <c r="H1127" s="68"/>
      <c r="I1127" s="69"/>
      <c r="J1127" s="69"/>
      <c r="K1127" s="71"/>
      <c r="L1127" s="69"/>
      <c r="M1127" s="69"/>
      <c r="N1127" s="72"/>
      <c r="O1127" s="69"/>
      <c r="P1127" s="69"/>
      <c r="Q1127" s="69"/>
      <c r="R1127" s="69"/>
      <c r="S1127" s="69"/>
      <c r="T1127" s="69"/>
      <c r="U1127" s="69"/>
      <c r="V1127" s="69"/>
      <c r="W1127" s="69"/>
      <c r="X1127" s="69"/>
      <c r="Y1127" s="69"/>
      <c r="Z1127" s="69"/>
      <c r="AA1127" s="69"/>
      <c r="AB1127" s="69"/>
      <c r="AC1127" s="69"/>
      <c r="AD1127" s="69"/>
      <c r="AE1127" s="69"/>
      <c r="AF1127" s="69"/>
      <c r="AG1127" s="69"/>
      <c r="AH1127" s="69"/>
      <c r="AI1127" s="69"/>
      <c r="AJ1127" s="69"/>
      <c r="AK1127" s="69"/>
      <c r="AL1127" s="69"/>
      <c r="AM1127" s="69"/>
      <c r="AN1127" s="69"/>
      <c r="AO1127" s="69"/>
      <c r="AP1127" s="69"/>
      <c r="AQ1127" s="69"/>
      <c r="AR1127" s="69"/>
      <c r="AS1127" s="69"/>
      <c r="AT1127" s="69"/>
      <c r="AU1127" s="69"/>
      <c r="AV1127" s="69"/>
      <c r="AW1127" s="69"/>
      <c r="AX1127" s="69"/>
      <c r="AY1127" s="69"/>
      <c r="AZ1127" s="69"/>
      <c r="BA1127" s="69"/>
      <c r="BB1127" s="69"/>
      <c r="BC1127" s="69"/>
    </row>
    <row r="1128">
      <c r="A1128" s="68"/>
      <c r="B1128" s="68"/>
      <c r="C1128" s="68"/>
      <c r="D1128" s="68"/>
      <c r="E1128" s="68"/>
      <c r="F1128" s="68"/>
      <c r="G1128" s="68"/>
      <c r="H1128" s="68"/>
      <c r="I1128" s="69"/>
      <c r="J1128" s="69"/>
      <c r="K1128" s="71"/>
      <c r="L1128" s="69"/>
      <c r="M1128" s="69"/>
      <c r="N1128" s="72"/>
      <c r="O1128" s="69"/>
      <c r="P1128" s="69"/>
      <c r="Q1128" s="69"/>
      <c r="R1128" s="69"/>
      <c r="S1128" s="69"/>
      <c r="T1128" s="69"/>
      <c r="U1128" s="69"/>
      <c r="V1128" s="69"/>
      <c r="W1128" s="69"/>
      <c r="X1128" s="69"/>
      <c r="Y1128" s="69"/>
      <c r="Z1128" s="69"/>
      <c r="AA1128" s="69"/>
      <c r="AB1128" s="69"/>
      <c r="AC1128" s="69"/>
      <c r="AD1128" s="69"/>
      <c r="AE1128" s="69"/>
      <c r="AF1128" s="69"/>
      <c r="AG1128" s="69"/>
      <c r="AH1128" s="69"/>
      <c r="AI1128" s="69"/>
      <c r="AJ1128" s="69"/>
      <c r="AK1128" s="69"/>
      <c r="AL1128" s="69"/>
      <c r="AM1128" s="69"/>
      <c r="AN1128" s="69"/>
      <c r="AO1128" s="69"/>
      <c r="AP1128" s="69"/>
      <c r="AQ1128" s="69"/>
      <c r="AR1128" s="69"/>
      <c r="AS1128" s="69"/>
      <c r="AT1128" s="69"/>
      <c r="AU1128" s="69"/>
      <c r="AV1128" s="69"/>
      <c r="AW1128" s="69"/>
      <c r="AX1128" s="69"/>
      <c r="AY1128" s="69"/>
      <c r="AZ1128" s="69"/>
      <c r="BA1128" s="69"/>
      <c r="BB1128" s="69"/>
      <c r="BC1128" s="69"/>
    </row>
    <row r="1129">
      <c r="A1129" s="68"/>
      <c r="B1129" s="68"/>
      <c r="C1129" s="68"/>
      <c r="D1129" s="68"/>
      <c r="E1129" s="68"/>
      <c r="F1129" s="68"/>
      <c r="G1129" s="68"/>
      <c r="H1129" s="68"/>
      <c r="I1129" s="69"/>
      <c r="J1129" s="69"/>
      <c r="K1129" s="71"/>
      <c r="L1129" s="69"/>
      <c r="M1129" s="69"/>
      <c r="N1129" s="72"/>
      <c r="O1129" s="69"/>
      <c r="P1129" s="69"/>
      <c r="Q1129" s="69"/>
      <c r="R1129" s="69"/>
      <c r="S1129" s="69"/>
      <c r="T1129" s="69"/>
      <c r="U1129" s="69"/>
      <c r="V1129" s="69"/>
      <c r="W1129" s="69"/>
      <c r="X1129" s="69"/>
      <c r="Y1129" s="69"/>
      <c r="Z1129" s="69"/>
      <c r="AA1129" s="69"/>
      <c r="AB1129" s="69"/>
      <c r="AC1129" s="69"/>
      <c r="AD1129" s="69"/>
      <c r="AE1129" s="69"/>
      <c r="AF1129" s="69"/>
      <c r="AG1129" s="69"/>
      <c r="AH1129" s="69"/>
      <c r="AI1129" s="69"/>
      <c r="AJ1129" s="69"/>
      <c r="AK1129" s="69"/>
      <c r="AL1129" s="69"/>
      <c r="AM1129" s="69"/>
      <c r="AN1129" s="69"/>
      <c r="AO1129" s="69"/>
      <c r="AP1129" s="69"/>
      <c r="AQ1129" s="69"/>
      <c r="AR1129" s="69"/>
      <c r="AS1129" s="69"/>
      <c r="AT1129" s="69"/>
      <c r="AU1129" s="69"/>
      <c r="AV1129" s="69"/>
      <c r="AW1129" s="69"/>
      <c r="AX1129" s="69"/>
      <c r="AY1129" s="69"/>
      <c r="AZ1129" s="69"/>
      <c r="BA1129" s="69"/>
      <c r="BB1129" s="69"/>
      <c r="BC1129" s="69"/>
    </row>
    <row r="1130">
      <c r="A1130" s="68"/>
      <c r="B1130" s="68"/>
      <c r="C1130" s="68"/>
      <c r="D1130" s="68"/>
      <c r="E1130" s="68"/>
      <c r="F1130" s="68"/>
      <c r="G1130" s="68"/>
      <c r="H1130" s="68"/>
      <c r="I1130" s="69"/>
      <c r="J1130" s="69"/>
      <c r="K1130" s="71"/>
      <c r="L1130" s="69"/>
      <c r="M1130" s="69"/>
      <c r="N1130" s="72"/>
      <c r="O1130" s="69"/>
      <c r="P1130" s="69"/>
      <c r="Q1130" s="69"/>
      <c r="R1130" s="69"/>
      <c r="S1130" s="69"/>
      <c r="T1130" s="69"/>
      <c r="U1130" s="69"/>
      <c r="V1130" s="69"/>
      <c r="W1130" s="69"/>
      <c r="X1130" s="69"/>
      <c r="Y1130" s="69"/>
      <c r="Z1130" s="69"/>
      <c r="AA1130" s="69"/>
      <c r="AB1130" s="69"/>
      <c r="AC1130" s="69"/>
      <c r="AD1130" s="69"/>
      <c r="AE1130" s="69"/>
      <c r="AF1130" s="69"/>
      <c r="AG1130" s="69"/>
      <c r="AH1130" s="69"/>
      <c r="AI1130" s="69"/>
      <c r="AJ1130" s="69"/>
      <c r="AK1130" s="69"/>
      <c r="AL1130" s="69"/>
      <c r="AM1130" s="69"/>
      <c r="AN1130" s="69"/>
      <c r="AO1130" s="69"/>
      <c r="AP1130" s="69"/>
      <c r="AQ1130" s="69"/>
      <c r="AR1130" s="69"/>
      <c r="AS1130" s="69"/>
      <c r="AT1130" s="69"/>
      <c r="AU1130" s="69"/>
      <c r="AV1130" s="69"/>
      <c r="AW1130" s="69"/>
      <c r="AX1130" s="69"/>
      <c r="AY1130" s="69"/>
      <c r="AZ1130" s="69"/>
      <c r="BA1130" s="69"/>
      <c r="BB1130" s="69"/>
      <c r="BC1130" s="69"/>
    </row>
    <row r="1131">
      <c r="A1131" s="68"/>
      <c r="B1131" s="68"/>
      <c r="C1131" s="68"/>
      <c r="D1131" s="68"/>
      <c r="E1131" s="68"/>
      <c r="F1131" s="68"/>
      <c r="G1131" s="68"/>
      <c r="H1131" s="68"/>
      <c r="I1131" s="69"/>
      <c r="J1131" s="69"/>
      <c r="K1131" s="71"/>
      <c r="L1131" s="69"/>
      <c r="M1131" s="69"/>
      <c r="N1131" s="72"/>
      <c r="O1131" s="69"/>
      <c r="P1131" s="69"/>
      <c r="Q1131" s="69"/>
      <c r="R1131" s="69"/>
      <c r="S1131" s="69"/>
      <c r="T1131" s="69"/>
      <c r="U1131" s="69"/>
      <c r="V1131" s="69"/>
      <c r="W1131" s="69"/>
      <c r="X1131" s="69"/>
      <c r="Y1131" s="69"/>
      <c r="Z1131" s="69"/>
      <c r="AA1131" s="69"/>
      <c r="AB1131" s="69"/>
      <c r="AC1131" s="69"/>
      <c r="AD1131" s="69"/>
      <c r="AE1131" s="69"/>
      <c r="AF1131" s="69"/>
      <c r="AG1131" s="69"/>
      <c r="AH1131" s="69"/>
      <c r="AI1131" s="69"/>
      <c r="AJ1131" s="69"/>
      <c r="AK1131" s="69"/>
      <c r="AL1131" s="69"/>
      <c r="AM1131" s="69"/>
      <c r="AN1131" s="69"/>
      <c r="AO1131" s="69"/>
      <c r="AP1131" s="69"/>
      <c r="AQ1131" s="69"/>
      <c r="AR1131" s="69"/>
      <c r="AS1131" s="69"/>
      <c r="AT1131" s="69"/>
      <c r="AU1131" s="69"/>
      <c r="AV1131" s="69"/>
      <c r="AW1131" s="69"/>
      <c r="AX1131" s="69"/>
      <c r="AY1131" s="69"/>
      <c r="AZ1131" s="69"/>
      <c r="BA1131" s="69"/>
      <c r="BB1131" s="69"/>
      <c r="BC1131" s="69"/>
    </row>
    <row r="1132">
      <c r="A1132" s="68"/>
      <c r="B1132" s="68"/>
      <c r="C1132" s="68"/>
      <c r="D1132" s="68"/>
      <c r="E1132" s="68"/>
      <c r="F1132" s="68"/>
      <c r="G1132" s="68"/>
      <c r="H1132" s="68"/>
      <c r="I1132" s="69"/>
      <c r="J1132" s="69"/>
      <c r="K1132" s="71"/>
      <c r="L1132" s="69"/>
      <c r="M1132" s="69"/>
      <c r="N1132" s="72"/>
      <c r="O1132" s="69"/>
      <c r="P1132" s="69"/>
      <c r="Q1132" s="69"/>
      <c r="R1132" s="69"/>
      <c r="S1132" s="69"/>
      <c r="T1132" s="69"/>
      <c r="U1132" s="69"/>
      <c r="V1132" s="69"/>
      <c r="W1132" s="69"/>
      <c r="X1132" s="69"/>
      <c r="Y1132" s="69"/>
      <c r="Z1132" s="69"/>
      <c r="AA1132" s="69"/>
      <c r="AB1132" s="69"/>
      <c r="AC1132" s="69"/>
      <c r="AD1132" s="69"/>
      <c r="AE1132" s="69"/>
      <c r="AF1132" s="69"/>
      <c r="AG1132" s="69"/>
      <c r="AH1132" s="69"/>
      <c r="AI1132" s="69"/>
      <c r="AJ1132" s="69"/>
      <c r="AK1132" s="69"/>
      <c r="AL1132" s="69"/>
      <c r="AM1132" s="69"/>
      <c r="AN1132" s="69"/>
      <c r="AO1132" s="69"/>
      <c r="AP1132" s="69"/>
      <c r="AQ1132" s="69"/>
      <c r="AR1132" s="69"/>
      <c r="AS1132" s="69"/>
      <c r="AT1132" s="69"/>
      <c r="AU1132" s="69"/>
      <c r="AV1132" s="69"/>
      <c r="AW1132" s="69"/>
      <c r="AX1132" s="69"/>
      <c r="AY1132" s="69"/>
      <c r="AZ1132" s="69"/>
      <c r="BA1132" s="69"/>
      <c r="BB1132" s="69"/>
      <c r="BC1132" s="69"/>
    </row>
    <row r="1133">
      <c r="A1133" s="68"/>
      <c r="B1133" s="68"/>
      <c r="C1133" s="68"/>
      <c r="D1133" s="68"/>
      <c r="E1133" s="68"/>
      <c r="F1133" s="68"/>
      <c r="G1133" s="68"/>
      <c r="H1133" s="68"/>
      <c r="I1133" s="69"/>
      <c r="J1133" s="69"/>
      <c r="K1133" s="71"/>
      <c r="L1133" s="69"/>
      <c r="M1133" s="69"/>
      <c r="N1133" s="72"/>
      <c r="O1133" s="69"/>
      <c r="P1133" s="69"/>
      <c r="Q1133" s="69"/>
      <c r="R1133" s="69"/>
      <c r="S1133" s="69"/>
      <c r="T1133" s="69"/>
      <c r="U1133" s="69"/>
      <c r="V1133" s="69"/>
      <c r="W1133" s="69"/>
      <c r="X1133" s="69"/>
      <c r="Y1133" s="69"/>
      <c r="Z1133" s="69"/>
      <c r="AA1133" s="69"/>
      <c r="AB1133" s="69"/>
      <c r="AC1133" s="69"/>
      <c r="AD1133" s="69"/>
      <c r="AE1133" s="69"/>
      <c r="AF1133" s="69"/>
      <c r="AG1133" s="69"/>
      <c r="AH1133" s="69"/>
      <c r="AI1133" s="69"/>
      <c r="AJ1133" s="69"/>
      <c r="AK1133" s="69"/>
      <c r="AL1133" s="69"/>
      <c r="AM1133" s="69"/>
      <c r="AN1133" s="69"/>
      <c r="AO1133" s="69"/>
      <c r="AP1133" s="69"/>
      <c r="AQ1133" s="69"/>
      <c r="AR1133" s="69"/>
      <c r="AS1133" s="69"/>
      <c r="AT1133" s="69"/>
      <c r="AU1133" s="69"/>
      <c r="AV1133" s="69"/>
      <c r="AW1133" s="69"/>
      <c r="AX1133" s="69"/>
      <c r="AY1133" s="69"/>
      <c r="AZ1133" s="69"/>
      <c r="BA1133" s="69"/>
      <c r="BB1133" s="69"/>
      <c r="BC1133" s="69"/>
    </row>
    <row r="1134">
      <c r="A1134" s="68"/>
      <c r="B1134" s="68"/>
      <c r="C1134" s="68"/>
      <c r="D1134" s="68"/>
      <c r="E1134" s="68"/>
      <c r="F1134" s="68"/>
      <c r="G1134" s="68"/>
      <c r="H1134" s="68"/>
      <c r="I1134" s="69"/>
      <c r="J1134" s="69"/>
      <c r="K1134" s="71"/>
      <c r="L1134" s="69"/>
      <c r="M1134" s="69"/>
      <c r="N1134" s="72"/>
      <c r="O1134" s="69"/>
      <c r="P1134" s="69"/>
      <c r="Q1134" s="69"/>
      <c r="R1134" s="69"/>
      <c r="S1134" s="69"/>
      <c r="T1134" s="69"/>
      <c r="U1134" s="69"/>
      <c r="V1134" s="69"/>
      <c r="W1134" s="69"/>
      <c r="X1134" s="69"/>
      <c r="Y1134" s="69"/>
      <c r="Z1134" s="69"/>
      <c r="AA1134" s="69"/>
      <c r="AB1134" s="69"/>
      <c r="AC1134" s="69"/>
      <c r="AD1134" s="69"/>
      <c r="AE1134" s="69"/>
      <c r="AF1134" s="69"/>
      <c r="AG1134" s="69"/>
      <c r="AH1134" s="69"/>
      <c r="AI1134" s="69"/>
      <c r="AJ1134" s="69"/>
      <c r="AK1134" s="69"/>
      <c r="AL1134" s="69"/>
      <c r="AM1134" s="69"/>
      <c r="AN1134" s="69"/>
      <c r="AO1134" s="69"/>
      <c r="AP1134" s="69"/>
      <c r="AQ1134" s="69"/>
      <c r="AR1134" s="69"/>
      <c r="AS1134" s="69"/>
      <c r="AT1134" s="69"/>
      <c r="AU1134" s="69"/>
      <c r="AV1134" s="69"/>
      <c r="AW1134" s="69"/>
      <c r="AX1134" s="69"/>
      <c r="AY1134" s="69"/>
      <c r="AZ1134" s="69"/>
      <c r="BA1134" s="69"/>
      <c r="BB1134" s="69"/>
      <c r="BC1134" s="69"/>
    </row>
    <row r="1135">
      <c r="A1135" s="68"/>
      <c r="B1135" s="68"/>
      <c r="C1135" s="68"/>
      <c r="D1135" s="68"/>
      <c r="E1135" s="68"/>
      <c r="F1135" s="68"/>
      <c r="G1135" s="68"/>
      <c r="H1135" s="68"/>
      <c r="I1135" s="69"/>
      <c r="J1135" s="69"/>
      <c r="K1135" s="71"/>
      <c r="L1135" s="69"/>
      <c r="M1135" s="69"/>
      <c r="N1135" s="72"/>
      <c r="O1135" s="69"/>
      <c r="P1135" s="69"/>
      <c r="Q1135" s="69"/>
      <c r="R1135" s="69"/>
      <c r="S1135" s="69"/>
      <c r="T1135" s="69"/>
      <c r="U1135" s="69"/>
      <c r="V1135" s="69"/>
      <c r="W1135" s="69"/>
      <c r="X1135" s="69"/>
      <c r="Y1135" s="69"/>
      <c r="Z1135" s="69"/>
      <c r="AA1135" s="69"/>
      <c r="AB1135" s="69"/>
      <c r="AC1135" s="69"/>
      <c r="AD1135" s="69"/>
      <c r="AE1135" s="69"/>
      <c r="AF1135" s="69"/>
      <c r="AG1135" s="69"/>
      <c r="AH1135" s="69"/>
      <c r="AI1135" s="69"/>
      <c r="AJ1135" s="69"/>
      <c r="AK1135" s="69"/>
      <c r="AL1135" s="69"/>
      <c r="AM1135" s="69"/>
      <c r="AN1135" s="69"/>
      <c r="AO1135" s="69"/>
      <c r="AP1135" s="69"/>
      <c r="AQ1135" s="69"/>
      <c r="AR1135" s="69"/>
      <c r="AS1135" s="69"/>
      <c r="AT1135" s="69"/>
      <c r="AU1135" s="69"/>
      <c r="AV1135" s="69"/>
      <c r="AW1135" s="69"/>
      <c r="AX1135" s="69"/>
      <c r="AY1135" s="69"/>
      <c r="AZ1135" s="69"/>
      <c r="BA1135" s="69"/>
      <c r="BB1135" s="69"/>
      <c r="BC1135" s="69"/>
    </row>
    <row r="1136">
      <c r="A1136" s="68"/>
      <c r="B1136" s="68"/>
      <c r="C1136" s="68"/>
      <c r="D1136" s="68"/>
      <c r="E1136" s="68"/>
      <c r="F1136" s="68"/>
      <c r="G1136" s="68"/>
      <c r="H1136" s="68"/>
      <c r="I1136" s="69"/>
      <c r="J1136" s="69"/>
      <c r="K1136" s="71"/>
      <c r="L1136" s="69"/>
      <c r="M1136" s="69"/>
      <c r="N1136" s="72"/>
      <c r="O1136" s="69"/>
      <c r="P1136" s="69"/>
      <c r="Q1136" s="69"/>
      <c r="R1136" s="69"/>
      <c r="S1136" s="69"/>
      <c r="T1136" s="69"/>
      <c r="U1136" s="69"/>
      <c r="V1136" s="69"/>
      <c r="W1136" s="69"/>
      <c r="X1136" s="69"/>
      <c r="Y1136" s="69"/>
      <c r="Z1136" s="69"/>
      <c r="AA1136" s="69"/>
      <c r="AB1136" s="69"/>
      <c r="AC1136" s="69"/>
      <c r="AD1136" s="69"/>
      <c r="AE1136" s="69"/>
      <c r="AF1136" s="69"/>
      <c r="AG1136" s="69"/>
      <c r="AH1136" s="69"/>
      <c r="AI1136" s="69"/>
      <c r="AJ1136" s="69"/>
      <c r="AK1136" s="69"/>
      <c r="AL1136" s="69"/>
      <c r="AM1136" s="69"/>
      <c r="AN1136" s="69"/>
      <c r="AO1136" s="69"/>
      <c r="AP1136" s="69"/>
      <c r="AQ1136" s="69"/>
      <c r="AR1136" s="69"/>
      <c r="AS1136" s="69"/>
      <c r="AT1136" s="69"/>
      <c r="AU1136" s="69"/>
      <c r="AV1136" s="69"/>
      <c r="AW1136" s="69"/>
      <c r="AX1136" s="69"/>
      <c r="AY1136" s="69"/>
      <c r="AZ1136" s="69"/>
      <c r="BA1136" s="69"/>
      <c r="BB1136" s="69"/>
      <c r="BC1136" s="69"/>
    </row>
    <row r="1137">
      <c r="A1137" s="68"/>
      <c r="B1137" s="68"/>
      <c r="C1137" s="68"/>
      <c r="D1137" s="68"/>
      <c r="E1137" s="68"/>
      <c r="F1137" s="68"/>
      <c r="G1137" s="68"/>
      <c r="H1137" s="68"/>
      <c r="I1137" s="69"/>
      <c r="J1137" s="69"/>
      <c r="K1137" s="71"/>
      <c r="L1137" s="69"/>
      <c r="M1137" s="69"/>
      <c r="N1137" s="72"/>
      <c r="O1137" s="69"/>
      <c r="P1137" s="69"/>
      <c r="Q1137" s="69"/>
      <c r="R1137" s="69"/>
      <c r="S1137" s="69"/>
      <c r="T1137" s="69"/>
      <c r="U1137" s="69"/>
      <c r="V1137" s="69"/>
      <c r="W1137" s="69"/>
      <c r="X1137" s="69"/>
      <c r="Y1137" s="69"/>
      <c r="Z1137" s="69"/>
      <c r="AA1137" s="69"/>
      <c r="AB1137" s="69"/>
      <c r="AC1137" s="69"/>
      <c r="AD1137" s="69"/>
      <c r="AE1137" s="69"/>
      <c r="AF1137" s="69"/>
      <c r="AG1137" s="69"/>
      <c r="AH1137" s="69"/>
      <c r="AI1137" s="69"/>
      <c r="AJ1137" s="69"/>
      <c r="AK1137" s="69"/>
      <c r="AL1137" s="69"/>
      <c r="AM1137" s="69"/>
      <c r="AN1137" s="69"/>
      <c r="AO1137" s="69"/>
      <c r="AP1137" s="69"/>
      <c r="AQ1137" s="69"/>
      <c r="AR1137" s="69"/>
      <c r="AS1137" s="69"/>
      <c r="AT1137" s="69"/>
      <c r="AU1137" s="69"/>
      <c r="AV1137" s="69"/>
      <c r="AW1137" s="69"/>
      <c r="AX1137" s="69"/>
      <c r="AY1137" s="69"/>
      <c r="AZ1137" s="69"/>
      <c r="BA1137" s="69"/>
      <c r="BB1137" s="69"/>
      <c r="BC1137" s="69"/>
    </row>
    <row r="1138">
      <c r="A1138" s="68"/>
      <c r="B1138" s="68"/>
      <c r="C1138" s="68"/>
      <c r="D1138" s="68"/>
      <c r="E1138" s="68"/>
      <c r="F1138" s="68"/>
      <c r="G1138" s="68"/>
      <c r="H1138" s="68"/>
      <c r="I1138" s="69"/>
      <c r="J1138" s="69"/>
      <c r="K1138" s="71"/>
      <c r="L1138" s="69"/>
      <c r="M1138" s="69"/>
      <c r="N1138" s="72"/>
      <c r="O1138" s="69"/>
      <c r="P1138" s="69"/>
      <c r="Q1138" s="69"/>
      <c r="R1138" s="69"/>
      <c r="S1138" s="69"/>
      <c r="T1138" s="69"/>
      <c r="U1138" s="69"/>
      <c r="V1138" s="69"/>
      <c r="W1138" s="69"/>
      <c r="X1138" s="69"/>
      <c r="Y1138" s="69"/>
      <c r="Z1138" s="69"/>
      <c r="AA1138" s="69"/>
      <c r="AB1138" s="69"/>
      <c r="AC1138" s="69"/>
      <c r="AD1138" s="69"/>
      <c r="AE1138" s="69"/>
      <c r="AF1138" s="69"/>
      <c r="AG1138" s="69"/>
      <c r="AH1138" s="69"/>
      <c r="AI1138" s="69"/>
      <c r="AJ1138" s="69"/>
      <c r="AK1138" s="69"/>
      <c r="AL1138" s="69"/>
      <c r="AM1138" s="69"/>
      <c r="AN1138" s="69"/>
      <c r="AO1138" s="69"/>
      <c r="AP1138" s="69"/>
      <c r="AQ1138" s="69"/>
      <c r="AR1138" s="69"/>
      <c r="AS1138" s="69"/>
      <c r="AT1138" s="69"/>
      <c r="AU1138" s="69"/>
      <c r="AV1138" s="69"/>
      <c r="AW1138" s="69"/>
      <c r="AX1138" s="69"/>
      <c r="AY1138" s="69"/>
      <c r="AZ1138" s="69"/>
      <c r="BA1138" s="69"/>
      <c r="BB1138" s="69"/>
      <c r="BC1138" s="69"/>
    </row>
    <row r="1139">
      <c r="A1139" s="68"/>
      <c r="B1139" s="68"/>
      <c r="C1139" s="68"/>
      <c r="D1139" s="68"/>
      <c r="E1139" s="68"/>
      <c r="F1139" s="68"/>
      <c r="G1139" s="68"/>
      <c r="H1139" s="68"/>
      <c r="I1139" s="69"/>
      <c r="J1139" s="69"/>
      <c r="K1139" s="71"/>
      <c r="L1139" s="69"/>
      <c r="M1139" s="69"/>
      <c r="N1139" s="72"/>
      <c r="O1139" s="69"/>
      <c r="P1139" s="69"/>
      <c r="Q1139" s="69"/>
      <c r="R1139" s="69"/>
      <c r="S1139" s="69"/>
      <c r="T1139" s="69"/>
      <c r="U1139" s="69"/>
      <c r="V1139" s="69"/>
      <c r="W1139" s="69"/>
      <c r="X1139" s="69"/>
      <c r="Y1139" s="69"/>
      <c r="Z1139" s="69"/>
      <c r="AA1139" s="69"/>
      <c r="AB1139" s="69"/>
      <c r="AC1139" s="69"/>
      <c r="AD1139" s="69"/>
      <c r="AE1139" s="69"/>
      <c r="AF1139" s="69"/>
      <c r="AG1139" s="69"/>
      <c r="AH1139" s="69"/>
      <c r="AI1139" s="69"/>
      <c r="AJ1139" s="69"/>
      <c r="AK1139" s="69"/>
      <c r="AL1139" s="69"/>
      <c r="AM1139" s="69"/>
      <c r="AN1139" s="69"/>
      <c r="AO1139" s="69"/>
      <c r="AP1139" s="69"/>
      <c r="AQ1139" s="69"/>
      <c r="AR1139" s="69"/>
      <c r="AS1139" s="69"/>
      <c r="AT1139" s="69"/>
      <c r="AU1139" s="69"/>
      <c r="AV1139" s="69"/>
      <c r="AW1139" s="69"/>
      <c r="AX1139" s="69"/>
      <c r="AY1139" s="69"/>
      <c r="AZ1139" s="69"/>
      <c r="BA1139" s="69"/>
      <c r="BB1139" s="69"/>
      <c r="BC1139" s="69"/>
    </row>
    <row r="1140">
      <c r="A1140" s="68"/>
      <c r="B1140" s="68"/>
      <c r="C1140" s="68"/>
      <c r="D1140" s="68"/>
      <c r="E1140" s="68"/>
      <c r="F1140" s="68"/>
      <c r="G1140" s="68"/>
      <c r="H1140" s="68"/>
      <c r="I1140" s="69"/>
      <c r="J1140" s="69"/>
      <c r="K1140" s="71"/>
      <c r="L1140" s="69"/>
      <c r="M1140" s="69"/>
      <c r="N1140" s="72"/>
      <c r="O1140" s="69"/>
      <c r="P1140" s="69"/>
      <c r="Q1140" s="69"/>
      <c r="R1140" s="69"/>
      <c r="S1140" s="69"/>
      <c r="T1140" s="69"/>
      <c r="U1140" s="69"/>
      <c r="V1140" s="69"/>
      <c r="W1140" s="69"/>
      <c r="X1140" s="69"/>
      <c r="Y1140" s="69"/>
      <c r="Z1140" s="69"/>
      <c r="AA1140" s="69"/>
      <c r="AB1140" s="69"/>
      <c r="AC1140" s="69"/>
      <c r="AD1140" s="69"/>
      <c r="AE1140" s="69"/>
      <c r="AF1140" s="69"/>
      <c r="AG1140" s="69"/>
      <c r="AH1140" s="69"/>
      <c r="AI1140" s="69"/>
      <c r="AJ1140" s="69"/>
      <c r="AK1140" s="69"/>
      <c r="AL1140" s="69"/>
      <c r="AM1140" s="69"/>
      <c r="AN1140" s="69"/>
      <c r="AO1140" s="69"/>
      <c r="AP1140" s="69"/>
      <c r="AQ1140" s="69"/>
      <c r="AR1140" s="69"/>
      <c r="AS1140" s="69"/>
      <c r="AT1140" s="69"/>
      <c r="AU1140" s="69"/>
      <c r="AV1140" s="69"/>
      <c r="AW1140" s="69"/>
      <c r="AX1140" s="69"/>
      <c r="AY1140" s="69"/>
      <c r="AZ1140" s="69"/>
      <c r="BA1140" s="69"/>
      <c r="BB1140" s="69"/>
      <c r="BC1140" s="69"/>
    </row>
    <row r="1141">
      <c r="A1141" s="68"/>
      <c r="B1141" s="68"/>
      <c r="C1141" s="68"/>
      <c r="D1141" s="68"/>
      <c r="E1141" s="68"/>
      <c r="F1141" s="68"/>
      <c r="G1141" s="68"/>
      <c r="H1141" s="68"/>
      <c r="I1141" s="69"/>
      <c r="J1141" s="69"/>
      <c r="K1141" s="71"/>
      <c r="L1141" s="69"/>
      <c r="M1141" s="69"/>
      <c r="N1141" s="72"/>
      <c r="O1141" s="69"/>
      <c r="P1141" s="69"/>
      <c r="Q1141" s="69"/>
      <c r="R1141" s="69"/>
      <c r="S1141" s="69"/>
      <c r="T1141" s="69"/>
      <c r="U1141" s="69"/>
      <c r="V1141" s="69"/>
      <c r="W1141" s="69"/>
      <c r="X1141" s="69"/>
      <c r="Y1141" s="69"/>
      <c r="Z1141" s="69"/>
      <c r="AA1141" s="69"/>
      <c r="AB1141" s="69"/>
      <c r="AC1141" s="69"/>
      <c r="AD1141" s="69"/>
      <c r="AE1141" s="69"/>
      <c r="AF1141" s="69"/>
      <c r="AG1141" s="69"/>
      <c r="AH1141" s="69"/>
      <c r="AI1141" s="69"/>
      <c r="AJ1141" s="69"/>
      <c r="AK1141" s="69"/>
      <c r="AL1141" s="69"/>
      <c r="AM1141" s="69"/>
      <c r="AN1141" s="69"/>
      <c r="AO1141" s="69"/>
      <c r="AP1141" s="69"/>
      <c r="AQ1141" s="69"/>
      <c r="AR1141" s="69"/>
      <c r="AS1141" s="69"/>
      <c r="AT1141" s="69"/>
      <c r="AU1141" s="69"/>
      <c r="AV1141" s="69"/>
      <c r="AW1141" s="69"/>
      <c r="AX1141" s="69"/>
      <c r="AY1141" s="69"/>
      <c r="AZ1141" s="69"/>
      <c r="BA1141" s="69"/>
      <c r="BB1141" s="69"/>
      <c r="BC1141" s="69"/>
    </row>
    <row r="1142">
      <c r="A1142" s="68"/>
      <c r="B1142" s="68"/>
      <c r="C1142" s="68"/>
      <c r="D1142" s="68"/>
      <c r="E1142" s="68"/>
      <c r="F1142" s="68"/>
      <c r="G1142" s="68"/>
      <c r="H1142" s="68"/>
      <c r="I1142" s="69"/>
      <c r="J1142" s="69"/>
      <c r="K1142" s="71"/>
      <c r="L1142" s="69"/>
      <c r="M1142" s="69"/>
      <c r="N1142" s="72"/>
      <c r="O1142" s="69"/>
      <c r="P1142" s="69"/>
      <c r="Q1142" s="69"/>
      <c r="R1142" s="69"/>
      <c r="S1142" s="69"/>
      <c r="T1142" s="69"/>
      <c r="U1142" s="69"/>
      <c r="V1142" s="69"/>
      <c r="W1142" s="69"/>
      <c r="X1142" s="69"/>
      <c r="Y1142" s="69"/>
      <c r="Z1142" s="69"/>
      <c r="AA1142" s="69"/>
      <c r="AB1142" s="69"/>
      <c r="AC1142" s="69"/>
      <c r="AD1142" s="69"/>
      <c r="AE1142" s="69"/>
      <c r="AF1142" s="69"/>
      <c r="AG1142" s="69"/>
      <c r="AH1142" s="69"/>
      <c r="AI1142" s="69"/>
      <c r="AJ1142" s="69"/>
      <c r="AK1142" s="69"/>
      <c r="AL1142" s="69"/>
      <c r="AM1142" s="69"/>
      <c r="AN1142" s="69"/>
      <c r="AO1142" s="69"/>
      <c r="AP1142" s="69"/>
      <c r="AQ1142" s="69"/>
      <c r="AR1142" s="69"/>
      <c r="AS1142" s="69"/>
      <c r="AT1142" s="69"/>
      <c r="AU1142" s="69"/>
      <c r="AV1142" s="69"/>
      <c r="AW1142" s="69"/>
      <c r="AX1142" s="69"/>
      <c r="AY1142" s="69"/>
      <c r="AZ1142" s="69"/>
      <c r="BA1142" s="69"/>
      <c r="BB1142" s="69"/>
      <c r="BC1142" s="69"/>
    </row>
    <row r="1143">
      <c r="A1143" s="68"/>
      <c r="B1143" s="68"/>
      <c r="C1143" s="68"/>
      <c r="D1143" s="68"/>
      <c r="E1143" s="68"/>
      <c r="F1143" s="68"/>
      <c r="G1143" s="68"/>
      <c r="H1143" s="68"/>
      <c r="I1143" s="69"/>
      <c r="J1143" s="69"/>
      <c r="K1143" s="71"/>
      <c r="L1143" s="69"/>
      <c r="M1143" s="69"/>
      <c r="N1143" s="72"/>
      <c r="O1143" s="69"/>
      <c r="P1143" s="69"/>
      <c r="Q1143" s="69"/>
      <c r="R1143" s="69"/>
      <c r="S1143" s="69"/>
      <c r="T1143" s="69"/>
      <c r="U1143" s="69"/>
      <c r="V1143" s="69"/>
      <c r="W1143" s="69"/>
      <c r="X1143" s="69"/>
      <c r="Y1143" s="69"/>
      <c r="Z1143" s="69"/>
      <c r="AA1143" s="69"/>
      <c r="AB1143" s="69"/>
      <c r="AC1143" s="69"/>
      <c r="AD1143" s="69"/>
      <c r="AE1143" s="69"/>
      <c r="AF1143" s="69"/>
      <c r="AG1143" s="69"/>
      <c r="AH1143" s="69"/>
      <c r="AI1143" s="69"/>
      <c r="AJ1143" s="69"/>
      <c r="AK1143" s="69"/>
      <c r="AL1143" s="69"/>
      <c r="AM1143" s="69"/>
      <c r="AN1143" s="69"/>
      <c r="AO1143" s="69"/>
      <c r="AP1143" s="69"/>
      <c r="AQ1143" s="69"/>
      <c r="AR1143" s="69"/>
      <c r="AS1143" s="69"/>
      <c r="AT1143" s="69"/>
      <c r="AU1143" s="69"/>
      <c r="AV1143" s="69"/>
      <c r="AW1143" s="69"/>
      <c r="AX1143" s="69"/>
      <c r="AY1143" s="69"/>
      <c r="AZ1143" s="69"/>
      <c r="BA1143" s="69"/>
      <c r="BB1143" s="69"/>
      <c r="BC1143" s="69"/>
    </row>
    <row r="1144">
      <c r="A1144" s="68"/>
      <c r="B1144" s="68"/>
      <c r="C1144" s="68"/>
      <c r="D1144" s="68"/>
      <c r="E1144" s="68"/>
      <c r="F1144" s="68"/>
      <c r="G1144" s="68"/>
      <c r="H1144" s="68"/>
      <c r="I1144" s="69"/>
      <c r="J1144" s="69"/>
      <c r="K1144" s="71"/>
      <c r="L1144" s="69"/>
      <c r="M1144" s="69"/>
      <c r="N1144" s="72"/>
      <c r="O1144" s="69"/>
      <c r="P1144" s="69"/>
      <c r="Q1144" s="69"/>
      <c r="R1144" s="69"/>
      <c r="S1144" s="69"/>
      <c r="T1144" s="69"/>
      <c r="U1144" s="69"/>
      <c r="V1144" s="69"/>
      <c r="W1144" s="69"/>
      <c r="X1144" s="69"/>
      <c r="Y1144" s="69"/>
      <c r="Z1144" s="69"/>
      <c r="AA1144" s="69"/>
      <c r="AB1144" s="69"/>
      <c r="AC1144" s="69"/>
      <c r="AD1144" s="69"/>
      <c r="AE1144" s="69"/>
      <c r="AF1144" s="69"/>
      <c r="AG1144" s="69"/>
      <c r="AH1144" s="69"/>
      <c r="AI1144" s="69"/>
      <c r="AJ1144" s="69"/>
      <c r="AK1144" s="69"/>
      <c r="AL1144" s="69"/>
      <c r="AM1144" s="69"/>
      <c r="AN1144" s="69"/>
      <c r="AO1144" s="69"/>
      <c r="AP1144" s="69"/>
      <c r="AQ1144" s="69"/>
      <c r="AR1144" s="69"/>
      <c r="AS1144" s="69"/>
      <c r="AT1144" s="69"/>
      <c r="AU1144" s="69"/>
      <c r="AV1144" s="69"/>
      <c r="AW1144" s="69"/>
      <c r="AX1144" s="69"/>
      <c r="AY1144" s="69"/>
      <c r="AZ1144" s="69"/>
      <c r="BA1144" s="69"/>
      <c r="BB1144" s="69"/>
      <c r="BC1144" s="69"/>
    </row>
    <row r="1145">
      <c r="A1145" s="68"/>
      <c r="B1145" s="68"/>
      <c r="C1145" s="68"/>
      <c r="D1145" s="68"/>
      <c r="E1145" s="68"/>
      <c r="F1145" s="68"/>
      <c r="G1145" s="68"/>
      <c r="H1145" s="68"/>
      <c r="I1145" s="69"/>
      <c r="J1145" s="69"/>
      <c r="K1145" s="71"/>
      <c r="L1145" s="69"/>
      <c r="M1145" s="69"/>
      <c r="N1145" s="72"/>
      <c r="O1145" s="69"/>
      <c r="P1145" s="69"/>
      <c r="Q1145" s="69"/>
      <c r="R1145" s="69"/>
      <c r="S1145" s="69"/>
      <c r="T1145" s="69"/>
      <c r="U1145" s="69"/>
      <c r="V1145" s="69"/>
      <c r="W1145" s="69"/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/>
      <c r="AI1145" s="69"/>
      <c r="AJ1145" s="69"/>
      <c r="AK1145" s="69"/>
      <c r="AL1145" s="69"/>
      <c r="AM1145" s="69"/>
      <c r="AN1145" s="69"/>
      <c r="AO1145" s="69"/>
      <c r="AP1145" s="69"/>
      <c r="AQ1145" s="69"/>
      <c r="AR1145" s="69"/>
      <c r="AS1145" s="69"/>
      <c r="AT1145" s="69"/>
      <c r="AU1145" s="69"/>
      <c r="AV1145" s="69"/>
      <c r="AW1145" s="69"/>
      <c r="AX1145" s="69"/>
      <c r="AY1145" s="69"/>
      <c r="AZ1145" s="69"/>
      <c r="BA1145" s="69"/>
      <c r="BB1145" s="69"/>
      <c r="BC1145" s="69"/>
    </row>
    <row r="1146">
      <c r="A1146" s="68"/>
      <c r="B1146" s="68"/>
      <c r="C1146" s="68"/>
      <c r="D1146" s="68"/>
      <c r="E1146" s="68"/>
      <c r="F1146" s="68"/>
      <c r="G1146" s="68"/>
      <c r="H1146" s="68"/>
      <c r="I1146" s="69"/>
      <c r="J1146" s="69"/>
      <c r="K1146" s="71"/>
      <c r="L1146" s="69"/>
      <c r="M1146" s="69"/>
      <c r="N1146" s="72"/>
      <c r="O1146" s="69"/>
      <c r="P1146" s="69"/>
      <c r="Q1146" s="69"/>
      <c r="R1146" s="69"/>
      <c r="S1146" s="69"/>
      <c r="T1146" s="69"/>
      <c r="U1146" s="69"/>
      <c r="V1146" s="69"/>
      <c r="W1146" s="69"/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/>
      <c r="AI1146" s="69"/>
      <c r="AJ1146" s="69"/>
      <c r="AK1146" s="69"/>
      <c r="AL1146" s="69"/>
      <c r="AM1146" s="69"/>
      <c r="AN1146" s="69"/>
      <c r="AO1146" s="69"/>
      <c r="AP1146" s="69"/>
      <c r="AQ1146" s="69"/>
      <c r="AR1146" s="69"/>
      <c r="AS1146" s="69"/>
      <c r="AT1146" s="69"/>
      <c r="AU1146" s="69"/>
      <c r="AV1146" s="69"/>
      <c r="AW1146" s="69"/>
      <c r="AX1146" s="69"/>
      <c r="AY1146" s="69"/>
      <c r="AZ1146" s="69"/>
      <c r="BA1146" s="69"/>
      <c r="BB1146" s="69"/>
      <c r="BC1146" s="69"/>
    </row>
    <row r="1147">
      <c r="A1147" s="68"/>
      <c r="B1147" s="68"/>
      <c r="C1147" s="68"/>
      <c r="D1147" s="68"/>
      <c r="E1147" s="68"/>
      <c r="F1147" s="68"/>
      <c r="G1147" s="68"/>
      <c r="H1147" s="68"/>
      <c r="I1147" s="69"/>
      <c r="J1147" s="69"/>
      <c r="K1147" s="71"/>
      <c r="L1147" s="69"/>
      <c r="M1147" s="69"/>
      <c r="N1147" s="72"/>
      <c r="O1147" s="69"/>
      <c r="P1147" s="69"/>
      <c r="Q1147" s="69"/>
      <c r="R1147" s="69"/>
      <c r="S1147" s="69"/>
      <c r="T1147" s="69"/>
      <c r="U1147" s="69"/>
      <c r="V1147" s="69"/>
      <c r="W1147" s="69"/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/>
      <c r="AI1147" s="69"/>
      <c r="AJ1147" s="69"/>
      <c r="AK1147" s="69"/>
      <c r="AL1147" s="69"/>
      <c r="AM1147" s="69"/>
      <c r="AN1147" s="69"/>
      <c r="AO1147" s="69"/>
      <c r="AP1147" s="69"/>
      <c r="AQ1147" s="69"/>
      <c r="AR1147" s="69"/>
      <c r="AS1147" s="69"/>
      <c r="AT1147" s="69"/>
      <c r="AU1147" s="69"/>
      <c r="AV1147" s="69"/>
      <c r="AW1147" s="69"/>
      <c r="AX1147" s="69"/>
      <c r="AY1147" s="69"/>
      <c r="AZ1147" s="69"/>
      <c r="BA1147" s="69"/>
      <c r="BB1147" s="69"/>
      <c r="BC1147" s="69"/>
    </row>
    <row r="1148">
      <c r="A1148" s="68"/>
      <c r="B1148" s="68"/>
      <c r="C1148" s="68"/>
      <c r="D1148" s="68"/>
      <c r="E1148" s="68"/>
      <c r="F1148" s="68"/>
      <c r="G1148" s="68"/>
      <c r="H1148" s="68"/>
      <c r="I1148" s="69"/>
      <c r="J1148" s="69"/>
      <c r="K1148" s="71"/>
      <c r="L1148" s="69"/>
      <c r="M1148" s="69"/>
      <c r="N1148" s="72"/>
      <c r="O1148" s="69"/>
      <c r="P1148" s="69"/>
      <c r="Q1148" s="69"/>
      <c r="R1148" s="69"/>
      <c r="S1148" s="69"/>
      <c r="T1148" s="69"/>
      <c r="U1148" s="69"/>
      <c r="V1148" s="69"/>
      <c r="W1148" s="69"/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/>
      <c r="AI1148" s="69"/>
      <c r="AJ1148" s="69"/>
      <c r="AK1148" s="69"/>
      <c r="AL1148" s="69"/>
      <c r="AM1148" s="69"/>
      <c r="AN1148" s="69"/>
      <c r="AO1148" s="69"/>
      <c r="AP1148" s="69"/>
      <c r="AQ1148" s="69"/>
      <c r="AR1148" s="69"/>
      <c r="AS1148" s="69"/>
      <c r="AT1148" s="69"/>
      <c r="AU1148" s="69"/>
      <c r="AV1148" s="69"/>
      <c r="AW1148" s="69"/>
      <c r="AX1148" s="69"/>
      <c r="AY1148" s="69"/>
      <c r="AZ1148" s="69"/>
      <c r="BA1148" s="69"/>
      <c r="BB1148" s="69"/>
      <c r="BC1148" s="69"/>
    </row>
    <row r="1149">
      <c r="A1149" s="68"/>
      <c r="B1149" s="68"/>
      <c r="C1149" s="68"/>
      <c r="D1149" s="68"/>
      <c r="E1149" s="68"/>
      <c r="F1149" s="68"/>
      <c r="G1149" s="68"/>
      <c r="H1149" s="68"/>
      <c r="I1149" s="69"/>
      <c r="J1149" s="69"/>
      <c r="K1149" s="71"/>
      <c r="L1149" s="69"/>
      <c r="M1149" s="69"/>
      <c r="N1149" s="72"/>
      <c r="O1149" s="69"/>
      <c r="P1149" s="69"/>
      <c r="Q1149" s="69"/>
      <c r="R1149" s="69"/>
      <c r="S1149" s="69"/>
      <c r="T1149" s="69"/>
      <c r="U1149" s="69"/>
      <c r="V1149" s="69"/>
      <c r="W1149" s="69"/>
      <c r="X1149" s="69"/>
      <c r="Y1149" s="69"/>
      <c r="Z1149" s="69"/>
      <c r="AA1149" s="69"/>
      <c r="AB1149" s="69"/>
      <c r="AC1149" s="69"/>
      <c r="AD1149" s="69"/>
      <c r="AE1149" s="69"/>
      <c r="AF1149" s="69"/>
      <c r="AG1149" s="69"/>
      <c r="AH1149" s="69"/>
      <c r="AI1149" s="69"/>
      <c r="AJ1149" s="69"/>
      <c r="AK1149" s="69"/>
      <c r="AL1149" s="69"/>
      <c r="AM1149" s="69"/>
      <c r="AN1149" s="69"/>
      <c r="AO1149" s="69"/>
      <c r="AP1149" s="69"/>
      <c r="AQ1149" s="69"/>
      <c r="AR1149" s="69"/>
      <c r="AS1149" s="69"/>
      <c r="AT1149" s="69"/>
      <c r="AU1149" s="69"/>
      <c r="AV1149" s="69"/>
      <c r="AW1149" s="69"/>
      <c r="AX1149" s="69"/>
      <c r="AY1149" s="69"/>
      <c r="AZ1149" s="69"/>
      <c r="BA1149" s="69"/>
      <c r="BB1149" s="69"/>
      <c r="BC1149" s="69"/>
    </row>
    <row r="1150">
      <c r="A1150" s="68"/>
      <c r="B1150" s="68"/>
      <c r="C1150" s="68"/>
      <c r="D1150" s="68"/>
      <c r="E1150" s="68"/>
      <c r="F1150" s="68"/>
      <c r="G1150" s="68"/>
      <c r="H1150" s="68"/>
      <c r="I1150" s="69"/>
      <c r="J1150" s="69"/>
      <c r="K1150" s="71"/>
      <c r="L1150" s="69"/>
      <c r="M1150" s="69"/>
      <c r="N1150" s="72"/>
      <c r="O1150" s="69"/>
      <c r="P1150" s="69"/>
      <c r="Q1150" s="69"/>
      <c r="R1150" s="69"/>
      <c r="S1150" s="69"/>
      <c r="T1150" s="69"/>
      <c r="U1150" s="69"/>
      <c r="V1150" s="69"/>
      <c r="W1150" s="69"/>
      <c r="X1150" s="69"/>
      <c r="Y1150" s="69"/>
      <c r="Z1150" s="69"/>
      <c r="AA1150" s="69"/>
      <c r="AB1150" s="69"/>
      <c r="AC1150" s="69"/>
      <c r="AD1150" s="69"/>
      <c r="AE1150" s="69"/>
      <c r="AF1150" s="69"/>
      <c r="AG1150" s="69"/>
      <c r="AH1150" s="69"/>
      <c r="AI1150" s="69"/>
      <c r="AJ1150" s="69"/>
      <c r="AK1150" s="69"/>
      <c r="AL1150" s="69"/>
      <c r="AM1150" s="69"/>
      <c r="AN1150" s="69"/>
      <c r="AO1150" s="69"/>
      <c r="AP1150" s="69"/>
      <c r="AQ1150" s="69"/>
      <c r="AR1150" s="69"/>
      <c r="AS1150" s="69"/>
      <c r="AT1150" s="69"/>
      <c r="AU1150" s="69"/>
      <c r="AV1150" s="69"/>
      <c r="AW1150" s="69"/>
      <c r="AX1150" s="69"/>
      <c r="AY1150" s="69"/>
      <c r="AZ1150" s="69"/>
      <c r="BA1150" s="69"/>
      <c r="BB1150" s="69"/>
      <c r="BC1150" s="69"/>
    </row>
    <row r="1151">
      <c r="A1151" s="68"/>
      <c r="B1151" s="68"/>
      <c r="C1151" s="68"/>
      <c r="D1151" s="68"/>
      <c r="E1151" s="68"/>
      <c r="F1151" s="68"/>
      <c r="G1151" s="68"/>
      <c r="H1151" s="68"/>
      <c r="I1151" s="69"/>
      <c r="J1151" s="69"/>
      <c r="K1151" s="71"/>
      <c r="L1151" s="69"/>
      <c r="M1151" s="69"/>
      <c r="N1151" s="72"/>
      <c r="O1151" s="69"/>
      <c r="P1151" s="69"/>
      <c r="Q1151" s="69"/>
      <c r="R1151" s="69"/>
      <c r="S1151" s="69"/>
      <c r="T1151" s="69"/>
      <c r="U1151" s="69"/>
      <c r="V1151" s="69"/>
      <c r="W1151" s="69"/>
      <c r="X1151" s="69"/>
      <c r="Y1151" s="69"/>
      <c r="Z1151" s="69"/>
      <c r="AA1151" s="69"/>
      <c r="AB1151" s="69"/>
      <c r="AC1151" s="69"/>
      <c r="AD1151" s="69"/>
      <c r="AE1151" s="69"/>
      <c r="AF1151" s="69"/>
      <c r="AG1151" s="69"/>
      <c r="AH1151" s="69"/>
      <c r="AI1151" s="69"/>
      <c r="AJ1151" s="69"/>
      <c r="AK1151" s="69"/>
      <c r="AL1151" s="69"/>
      <c r="AM1151" s="69"/>
      <c r="AN1151" s="69"/>
      <c r="AO1151" s="69"/>
      <c r="AP1151" s="69"/>
      <c r="AQ1151" s="69"/>
      <c r="AR1151" s="69"/>
      <c r="AS1151" s="69"/>
      <c r="AT1151" s="69"/>
      <c r="AU1151" s="69"/>
      <c r="AV1151" s="69"/>
      <c r="AW1151" s="69"/>
      <c r="AX1151" s="69"/>
      <c r="AY1151" s="69"/>
      <c r="AZ1151" s="69"/>
      <c r="BA1151" s="69"/>
      <c r="BB1151" s="69"/>
      <c r="BC1151" s="69"/>
    </row>
    <row r="1152">
      <c r="A1152" s="68"/>
      <c r="B1152" s="68"/>
      <c r="C1152" s="68"/>
      <c r="D1152" s="68"/>
      <c r="E1152" s="68"/>
      <c r="F1152" s="68"/>
      <c r="G1152" s="68"/>
      <c r="H1152" s="68"/>
      <c r="I1152" s="69"/>
      <c r="J1152" s="69"/>
      <c r="K1152" s="71"/>
      <c r="L1152" s="69"/>
      <c r="M1152" s="69"/>
      <c r="N1152" s="72"/>
      <c r="O1152" s="69"/>
      <c r="P1152" s="69"/>
      <c r="Q1152" s="69"/>
      <c r="R1152" s="69"/>
      <c r="S1152" s="69"/>
      <c r="T1152" s="69"/>
      <c r="U1152" s="69"/>
      <c r="V1152" s="69"/>
      <c r="W1152" s="69"/>
      <c r="X1152" s="69"/>
      <c r="Y1152" s="69"/>
      <c r="Z1152" s="69"/>
      <c r="AA1152" s="69"/>
      <c r="AB1152" s="69"/>
      <c r="AC1152" s="69"/>
      <c r="AD1152" s="69"/>
      <c r="AE1152" s="69"/>
      <c r="AF1152" s="69"/>
      <c r="AG1152" s="69"/>
      <c r="AH1152" s="69"/>
      <c r="AI1152" s="69"/>
      <c r="AJ1152" s="69"/>
      <c r="AK1152" s="69"/>
      <c r="AL1152" s="69"/>
      <c r="AM1152" s="69"/>
      <c r="AN1152" s="69"/>
      <c r="AO1152" s="69"/>
      <c r="AP1152" s="69"/>
      <c r="AQ1152" s="69"/>
      <c r="AR1152" s="69"/>
      <c r="AS1152" s="69"/>
      <c r="AT1152" s="69"/>
      <c r="AU1152" s="69"/>
      <c r="AV1152" s="69"/>
      <c r="AW1152" s="69"/>
      <c r="AX1152" s="69"/>
      <c r="AY1152" s="69"/>
      <c r="AZ1152" s="69"/>
      <c r="BA1152" s="69"/>
      <c r="BB1152" s="69"/>
      <c r="BC1152" s="69"/>
    </row>
    <row r="1153">
      <c r="A1153" s="68"/>
      <c r="B1153" s="68"/>
      <c r="C1153" s="68"/>
      <c r="D1153" s="68"/>
      <c r="E1153" s="68"/>
      <c r="F1153" s="68"/>
      <c r="G1153" s="68"/>
      <c r="H1153" s="68"/>
      <c r="I1153" s="69"/>
      <c r="J1153" s="69"/>
      <c r="K1153" s="71"/>
      <c r="L1153" s="69"/>
      <c r="M1153" s="69"/>
      <c r="N1153" s="72"/>
      <c r="O1153" s="69"/>
      <c r="P1153" s="69"/>
      <c r="Q1153" s="69"/>
      <c r="R1153" s="69"/>
      <c r="S1153" s="69"/>
      <c r="T1153" s="69"/>
      <c r="U1153" s="69"/>
      <c r="V1153" s="69"/>
      <c r="W1153" s="69"/>
      <c r="X1153" s="69"/>
      <c r="Y1153" s="69"/>
      <c r="Z1153" s="69"/>
      <c r="AA1153" s="69"/>
      <c r="AB1153" s="69"/>
      <c r="AC1153" s="69"/>
      <c r="AD1153" s="69"/>
      <c r="AE1153" s="69"/>
      <c r="AF1153" s="69"/>
      <c r="AG1153" s="69"/>
      <c r="AH1153" s="69"/>
      <c r="AI1153" s="69"/>
      <c r="AJ1153" s="69"/>
      <c r="AK1153" s="69"/>
      <c r="AL1153" s="69"/>
      <c r="AM1153" s="69"/>
      <c r="AN1153" s="69"/>
      <c r="AO1153" s="69"/>
      <c r="AP1153" s="69"/>
      <c r="AQ1153" s="69"/>
      <c r="AR1153" s="69"/>
      <c r="AS1153" s="69"/>
      <c r="AT1153" s="69"/>
      <c r="AU1153" s="69"/>
      <c r="AV1153" s="69"/>
      <c r="AW1153" s="69"/>
      <c r="AX1153" s="69"/>
      <c r="AY1153" s="69"/>
      <c r="AZ1153" s="69"/>
      <c r="BA1153" s="69"/>
      <c r="BB1153" s="69"/>
      <c r="BC1153" s="69"/>
    </row>
    <row r="1154">
      <c r="A1154" s="68"/>
      <c r="B1154" s="68"/>
      <c r="C1154" s="68"/>
      <c r="D1154" s="68"/>
      <c r="E1154" s="68"/>
      <c r="F1154" s="68"/>
      <c r="G1154" s="68"/>
      <c r="H1154" s="68"/>
      <c r="I1154" s="69"/>
      <c r="J1154" s="69"/>
      <c r="K1154" s="71"/>
      <c r="L1154" s="69"/>
      <c r="M1154" s="69"/>
      <c r="N1154" s="72"/>
      <c r="O1154" s="69"/>
      <c r="P1154" s="69"/>
      <c r="Q1154" s="69"/>
      <c r="R1154" s="69"/>
      <c r="S1154" s="69"/>
      <c r="T1154" s="69"/>
      <c r="U1154" s="69"/>
      <c r="V1154" s="69"/>
      <c r="W1154" s="69"/>
      <c r="X1154" s="69"/>
      <c r="Y1154" s="69"/>
      <c r="Z1154" s="69"/>
      <c r="AA1154" s="69"/>
      <c r="AB1154" s="69"/>
      <c r="AC1154" s="69"/>
      <c r="AD1154" s="69"/>
      <c r="AE1154" s="69"/>
      <c r="AF1154" s="69"/>
      <c r="AG1154" s="69"/>
      <c r="AH1154" s="69"/>
      <c r="AI1154" s="69"/>
      <c r="AJ1154" s="69"/>
      <c r="AK1154" s="69"/>
      <c r="AL1154" s="69"/>
      <c r="AM1154" s="69"/>
      <c r="AN1154" s="69"/>
      <c r="AO1154" s="69"/>
      <c r="AP1154" s="69"/>
      <c r="AQ1154" s="69"/>
      <c r="AR1154" s="69"/>
      <c r="AS1154" s="69"/>
      <c r="AT1154" s="69"/>
      <c r="AU1154" s="69"/>
      <c r="AV1154" s="69"/>
      <c r="AW1154" s="69"/>
      <c r="AX1154" s="69"/>
      <c r="AY1154" s="69"/>
      <c r="AZ1154" s="69"/>
      <c r="BA1154" s="69"/>
      <c r="BB1154" s="69"/>
      <c r="BC1154" s="69"/>
    </row>
    <row r="1155">
      <c r="A1155" s="68"/>
      <c r="B1155" s="68"/>
      <c r="C1155" s="68"/>
      <c r="D1155" s="68"/>
      <c r="E1155" s="68"/>
      <c r="F1155" s="68"/>
      <c r="G1155" s="68"/>
      <c r="H1155" s="68"/>
      <c r="I1155" s="69"/>
      <c r="J1155" s="69"/>
      <c r="K1155" s="71"/>
      <c r="L1155" s="69"/>
      <c r="M1155" s="69"/>
      <c r="N1155" s="72"/>
      <c r="O1155" s="69"/>
      <c r="P1155" s="69"/>
      <c r="Q1155" s="69"/>
      <c r="R1155" s="69"/>
      <c r="S1155" s="69"/>
      <c r="T1155" s="69"/>
      <c r="U1155" s="69"/>
      <c r="V1155" s="69"/>
      <c r="W1155" s="69"/>
      <c r="X1155" s="69"/>
      <c r="Y1155" s="69"/>
      <c r="Z1155" s="69"/>
      <c r="AA1155" s="69"/>
      <c r="AB1155" s="69"/>
      <c r="AC1155" s="69"/>
      <c r="AD1155" s="69"/>
      <c r="AE1155" s="69"/>
      <c r="AF1155" s="69"/>
      <c r="AG1155" s="69"/>
      <c r="AH1155" s="69"/>
      <c r="AI1155" s="69"/>
      <c r="AJ1155" s="69"/>
      <c r="AK1155" s="69"/>
      <c r="AL1155" s="69"/>
      <c r="AM1155" s="69"/>
      <c r="AN1155" s="69"/>
      <c r="AO1155" s="69"/>
      <c r="AP1155" s="69"/>
      <c r="AQ1155" s="69"/>
      <c r="AR1155" s="69"/>
      <c r="AS1155" s="69"/>
      <c r="AT1155" s="69"/>
      <c r="AU1155" s="69"/>
      <c r="AV1155" s="69"/>
      <c r="AW1155" s="69"/>
      <c r="AX1155" s="69"/>
      <c r="AY1155" s="69"/>
      <c r="AZ1155" s="69"/>
      <c r="BA1155" s="69"/>
      <c r="BB1155" s="69"/>
      <c r="BC1155" s="69"/>
    </row>
    <row r="1156">
      <c r="A1156" s="68"/>
      <c r="B1156" s="68"/>
      <c r="C1156" s="68"/>
      <c r="D1156" s="68"/>
      <c r="E1156" s="68"/>
      <c r="F1156" s="68"/>
      <c r="G1156" s="68"/>
      <c r="H1156" s="68"/>
      <c r="I1156" s="69"/>
      <c r="J1156" s="69"/>
      <c r="K1156" s="71"/>
      <c r="L1156" s="69"/>
      <c r="M1156" s="69"/>
      <c r="N1156" s="72"/>
      <c r="O1156" s="69"/>
      <c r="P1156" s="69"/>
      <c r="Q1156" s="69"/>
      <c r="R1156" s="69"/>
      <c r="S1156" s="69"/>
      <c r="T1156" s="69"/>
      <c r="U1156" s="69"/>
      <c r="V1156" s="69"/>
      <c r="W1156" s="69"/>
      <c r="X1156" s="69"/>
      <c r="Y1156" s="69"/>
      <c r="Z1156" s="69"/>
      <c r="AA1156" s="69"/>
      <c r="AB1156" s="69"/>
      <c r="AC1156" s="69"/>
      <c r="AD1156" s="69"/>
      <c r="AE1156" s="69"/>
      <c r="AF1156" s="69"/>
      <c r="AG1156" s="69"/>
      <c r="AH1156" s="69"/>
      <c r="AI1156" s="69"/>
      <c r="AJ1156" s="69"/>
      <c r="AK1156" s="69"/>
      <c r="AL1156" s="69"/>
      <c r="AM1156" s="69"/>
      <c r="AN1156" s="69"/>
      <c r="AO1156" s="69"/>
      <c r="AP1156" s="69"/>
      <c r="AQ1156" s="69"/>
      <c r="AR1156" s="69"/>
      <c r="AS1156" s="69"/>
      <c r="AT1156" s="69"/>
      <c r="AU1156" s="69"/>
      <c r="AV1156" s="69"/>
      <c r="AW1156" s="69"/>
      <c r="AX1156" s="69"/>
      <c r="AY1156" s="69"/>
      <c r="AZ1156" s="69"/>
      <c r="BA1156" s="69"/>
      <c r="BB1156" s="69"/>
      <c r="BC1156" s="69"/>
    </row>
    <row r="1157">
      <c r="A1157" s="68"/>
      <c r="B1157" s="68"/>
      <c r="C1157" s="68"/>
      <c r="D1157" s="68"/>
      <c r="E1157" s="68"/>
      <c r="F1157" s="68"/>
      <c r="G1157" s="68"/>
      <c r="H1157" s="68"/>
      <c r="I1157" s="69"/>
      <c r="J1157" s="69"/>
      <c r="K1157" s="71"/>
      <c r="L1157" s="69"/>
      <c r="M1157" s="69"/>
      <c r="N1157" s="72"/>
      <c r="O1157" s="69"/>
      <c r="P1157" s="69"/>
      <c r="Q1157" s="69"/>
      <c r="R1157" s="69"/>
      <c r="S1157" s="69"/>
      <c r="T1157" s="69"/>
      <c r="U1157" s="69"/>
      <c r="V1157" s="69"/>
      <c r="W1157" s="69"/>
      <c r="X1157" s="69"/>
      <c r="Y1157" s="69"/>
      <c r="Z1157" s="69"/>
      <c r="AA1157" s="69"/>
      <c r="AB1157" s="69"/>
      <c r="AC1157" s="69"/>
      <c r="AD1157" s="69"/>
      <c r="AE1157" s="69"/>
      <c r="AF1157" s="69"/>
      <c r="AG1157" s="69"/>
      <c r="AH1157" s="69"/>
      <c r="AI1157" s="69"/>
      <c r="AJ1157" s="69"/>
      <c r="AK1157" s="69"/>
      <c r="AL1157" s="69"/>
      <c r="AM1157" s="69"/>
      <c r="AN1157" s="69"/>
      <c r="AO1157" s="69"/>
      <c r="AP1157" s="69"/>
      <c r="AQ1157" s="69"/>
      <c r="AR1157" s="69"/>
      <c r="AS1157" s="69"/>
      <c r="AT1157" s="69"/>
      <c r="AU1157" s="69"/>
      <c r="AV1157" s="69"/>
      <c r="AW1157" s="69"/>
      <c r="AX1157" s="69"/>
      <c r="AY1157" s="69"/>
      <c r="AZ1157" s="69"/>
      <c r="BA1157" s="69"/>
      <c r="BB1157" s="69"/>
      <c r="BC1157" s="69"/>
    </row>
    <row r="1158">
      <c r="A1158" s="68"/>
      <c r="B1158" s="68"/>
      <c r="C1158" s="68"/>
      <c r="D1158" s="68"/>
      <c r="E1158" s="68"/>
      <c r="F1158" s="68"/>
      <c r="G1158" s="68"/>
      <c r="H1158" s="68"/>
      <c r="I1158" s="69"/>
      <c r="J1158" s="69"/>
      <c r="K1158" s="71"/>
      <c r="L1158" s="69"/>
      <c r="M1158" s="69"/>
      <c r="N1158" s="72"/>
      <c r="O1158" s="69"/>
      <c r="P1158" s="69"/>
      <c r="Q1158" s="69"/>
      <c r="R1158" s="69"/>
      <c r="S1158" s="69"/>
      <c r="T1158" s="69"/>
      <c r="U1158" s="69"/>
      <c r="V1158" s="69"/>
      <c r="W1158" s="69"/>
      <c r="X1158" s="69"/>
      <c r="Y1158" s="69"/>
      <c r="Z1158" s="69"/>
      <c r="AA1158" s="69"/>
      <c r="AB1158" s="69"/>
      <c r="AC1158" s="69"/>
      <c r="AD1158" s="69"/>
      <c r="AE1158" s="69"/>
      <c r="AF1158" s="69"/>
      <c r="AG1158" s="69"/>
      <c r="AH1158" s="69"/>
      <c r="AI1158" s="69"/>
      <c r="AJ1158" s="69"/>
      <c r="AK1158" s="69"/>
      <c r="AL1158" s="69"/>
      <c r="AM1158" s="69"/>
      <c r="AN1158" s="69"/>
      <c r="AO1158" s="69"/>
      <c r="AP1158" s="69"/>
      <c r="AQ1158" s="69"/>
      <c r="AR1158" s="69"/>
      <c r="AS1158" s="69"/>
      <c r="AT1158" s="69"/>
      <c r="AU1158" s="69"/>
      <c r="AV1158" s="69"/>
      <c r="AW1158" s="69"/>
      <c r="AX1158" s="69"/>
      <c r="AY1158" s="69"/>
      <c r="AZ1158" s="69"/>
      <c r="BA1158" s="69"/>
      <c r="BB1158" s="69"/>
      <c r="BC1158" s="69"/>
    </row>
    <row r="1159">
      <c r="A1159" s="68"/>
      <c r="B1159" s="68"/>
      <c r="C1159" s="68"/>
      <c r="D1159" s="68"/>
      <c r="E1159" s="68"/>
      <c r="F1159" s="68"/>
      <c r="G1159" s="68"/>
      <c r="H1159" s="68"/>
      <c r="I1159" s="69"/>
      <c r="J1159" s="69"/>
      <c r="K1159" s="71"/>
      <c r="L1159" s="69"/>
      <c r="M1159" s="69"/>
      <c r="N1159" s="72"/>
      <c r="O1159" s="69"/>
      <c r="P1159" s="69"/>
      <c r="Q1159" s="69"/>
      <c r="R1159" s="69"/>
      <c r="S1159" s="69"/>
      <c r="T1159" s="69"/>
      <c r="U1159" s="69"/>
      <c r="V1159" s="69"/>
      <c r="W1159" s="69"/>
      <c r="X1159" s="69"/>
      <c r="Y1159" s="69"/>
      <c r="Z1159" s="69"/>
      <c r="AA1159" s="69"/>
      <c r="AB1159" s="69"/>
      <c r="AC1159" s="69"/>
      <c r="AD1159" s="69"/>
      <c r="AE1159" s="69"/>
      <c r="AF1159" s="69"/>
      <c r="AG1159" s="69"/>
      <c r="AH1159" s="69"/>
      <c r="AI1159" s="69"/>
      <c r="AJ1159" s="69"/>
      <c r="AK1159" s="69"/>
      <c r="AL1159" s="69"/>
      <c r="AM1159" s="69"/>
      <c r="AN1159" s="69"/>
      <c r="AO1159" s="69"/>
      <c r="AP1159" s="69"/>
      <c r="AQ1159" s="69"/>
      <c r="AR1159" s="69"/>
      <c r="AS1159" s="69"/>
      <c r="AT1159" s="69"/>
      <c r="AU1159" s="69"/>
      <c r="AV1159" s="69"/>
      <c r="AW1159" s="69"/>
      <c r="AX1159" s="69"/>
      <c r="AY1159" s="69"/>
      <c r="AZ1159" s="69"/>
      <c r="BA1159" s="69"/>
      <c r="BB1159" s="69"/>
      <c r="BC1159" s="69"/>
    </row>
    <row r="1160">
      <c r="A1160" s="68"/>
      <c r="B1160" s="68"/>
      <c r="C1160" s="68"/>
      <c r="D1160" s="68"/>
      <c r="E1160" s="68"/>
      <c r="F1160" s="68"/>
      <c r="G1160" s="68"/>
      <c r="H1160" s="68"/>
      <c r="I1160" s="69"/>
      <c r="J1160" s="69"/>
      <c r="K1160" s="71"/>
      <c r="L1160" s="69"/>
      <c r="M1160" s="69"/>
      <c r="N1160" s="72"/>
      <c r="O1160" s="69"/>
      <c r="P1160" s="69"/>
      <c r="Q1160" s="69"/>
      <c r="R1160" s="69"/>
      <c r="S1160" s="69"/>
      <c r="T1160" s="69"/>
      <c r="U1160" s="69"/>
      <c r="V1160" s="69"/>
      <c r="W1160" s="69"/>
      <c r="X1160" s="69"/>
      <c r="Y1160" s="69"/>
      <c r="Z1160" s="69"/>
      <c r="AA1160" s="69"/>
      <c r="AB1160" s="69"/>
      <c r="AC1160" s="69"/>
      <c r="AD1160" s="69"/>
      <c r="AE1160" s="69"/>
      <c r="AF1160" s="69"/>
      <c r="AG1160" s="69"/>
      <c r="AH1160" s="69"/>
      <c r="AI1160" s="69"/>
      <c r="AJ1160" s="69"/>
      <c r="AK1160" s="69"/>
      <c r="AL1160" s="69"/>
      <c r="AM1160" s="69"/>
      <c r="AN1160" s="69"/>
      <c r="AO1160" s="69"/>
      <c r="AP1160" s="69"/>
      <c r="AQ1160" s="69"/>
      <c r="AR1160" s="69"/>
      <c r="AS1160" s="69"/>
      <c r="AT1160" s="69"/>
      <c r="AU1160" s="69"/>
      <c r="AV1160" s="69"/>
      <c r="AW1160" s="69"/>
      <c r="AX1160" s="69"/>
      <c r="AY1160" s="69"/>
      <c r="AZ1160" s="69"/>
      <c r="BA1160" s="69"/>
      <c r="BB1160" s="69"/>
      <c r="BC1160" s="69"/>
    </row>
    <row r="1161">
      <c r="A1161" s="68"/>
      <c r="B1161" s="68"/>
      <c r="C1161" s="68"/>
      <c r="D1161" s="68"/>
      <c r="E1161" s="68"/>
      <c r="F1161" s="68"/>
      <c r="G1161" s="68"/>
      <c r="H1161" s="68"/>
      <c r="I1161" s="69"/>
      <c r="J1161" s="69"/>
      <c r="K1161" s="71"/>
      <c r="L1161" s="69"/>
      <c r="M1161" s="69"/>
      <c r="N1161" s="72"/>
      <c r="O1161" s="69"/>
      <c r="P1161" s="69"/>
      <c r="Q1161" s="69"/>
      <c r="R1161" s="69"/>
      <c r="S1161" s="69"/>
      <c r="T1161" s="69"/>
      <c r="U1161" s="69"/>
      <c r="V1161" s="69"/>
      <c r="W1161" s="69"/>
      <c r="X1161" s="69"/>
      <c r="Y1161" s="69"/>
      <c r="Z1161" s="69"/>
      <c r="AA1161" s="69"/>
      <c r="AB1161" s="69"/>
      <c r="AC1161" s="69"/>
      <c r="AD1161" s="69"/>
      <c r="AE1161" s="69"/>
      <c r="AF1161" s="69"/>
      <c r="AG1161" s="69"/>
      <c r="AH1161" s="69"/>
      <c r="AI1161" s="69"/>
      <c r="AJ1161" s="69"/>
      <c r="AK1161" s="69"/>
      <c r="AL1161" s="69"/>
      <c r="AM1161" s="69"/>
      <c r="AN1161" s="69"/>
      <c r="AO1161" s="69"/>
      <c r="AP1161" s="69"/>
      <c r="AQ1161" s="69"/>
      <c r="AR1161" s="69"/>
      <c r="AS1161" s="69"/>
      <c r="AT1161" s="69"/>
      <c r="AU1161" s="69"/>
      <c r="AV1161" s="69"/>
      <c r="AW1161" s="69"/>
      <c r="AX1161" s="69"/>
      <c r="AY1161" s="69"/>
      <c r="AZ1161" s="69"/>
      <c r="BA1161" s="69"/>
      <c r="BB1161" s="69"/>
      <c r="BC1161" s="69"/>
    </row>
    <row r="1162">
      <c r="A1162" s="68"/>
      <c r="B1162" s="68"/>
      <c r="C1162" s="68"/>
      <c r="D1162" s="68"/>
      <c r="E1162" s="68"/>
      <c r="F1162" s="68"/>
      <c r="G1162" s="68"/>
      <c r="H1162" s="68"/>
      <c r="I1162" s="69"/>
      <c r="J1162" s="69"/>
      <c r="K1162" s="71"/>
      <c r="L1162" s="69"/>
      <c r="M1162" s="69"/>
      <c r="N1162" s="72"/>
      <c r="O1162" s="69"/>
      <c r="P1162" s="69"/>
      <c r="Q1162" s="69"/>
      <c r="R1162" s="69"/>
      <c r="S1162" s="69"/>
      <c r="T1162" s="69"/>
      <c r="U1162" s="69"/>
      <c r="V1162" s="69"/>
      <c r="W1162" s="69"/>
      <c r="X1162" s="69"/>
      <c r="Y1162" s="69"/>
      <c r="Z1162" s="69"/>
      <c r="AA1162" s="69"/>
      <c r="AB1162" s="69"/>
      <c r="AC1162" s="69"/>
      <c r="AD1162" s="69"/>
      <c r="AE1162" s="69"/>
      <c r="AF1162" s="69"/>
      <c r="AG1162" s="69"/>
      <c r="AH1162" s="69"/>
      <c r="AI1162" s="69"/>
      <c r="AJ1162" s="69"/>
      <c r="AK1162" s="69"/>
      <c r="AL1162" s="69"/>
      <c r="AM1162" s="69"/>
      <c r="AN1162" s="69"/>
      <c r="AO1162" s="69"/>
      <c r="AP1162" s="69"/>
      <c r="AQ1162" s="69"/>
      <c r="AR1162" s="69"/>
      <c r="AS1162" s="69"/>
      <c r="AT1162" s="69"/>
      <c r="AU1162" s="69"/>
      <c r="AV1162" s="69"/>
      <c r="AW1162" s="69"/>
      <c r="AX1162" s="69"/>
      <c r="AY1162" s="69"/>
      <c r="AZ1162" s="69"/>
      <c r="BA1162" s="69"/>
      <c r="BB1162" s="69"/>
      <c r="BC1162" s="69"/>
    </row>
    <row r="1163">
      <c r="A1163" s="68"/>
      <c r="B1163" s="68"/>
      <c r="C1163" s="68"/>
      <c r="D1163" s="68"/>
      <c r="E1163" s="68"/>
      <c r="F1163" s="68"/>
      <c r="G1163" s="68"/>
      <c r="H1163" s="68"/>
      <c r="I1163" s="69"/>
      <c r="J1163" s="69"/>
      <c r="K1163" s="71"/>
      <c r="L1163" s="69"/>
      <c r="M1163" s="69"/>
      <c r="N1163" s="72"/>
      <c r="O1163" s="69"/>
      <c r="P1163" s="69"/>
      <c r="Q1163" s="69"/>
      <c r="R1163" s="69"/>
      <c r="S1163" s="69"/>
      <c r="T1163" s="69"/>
      <c r="U1163" s="69"/>
      <c r="V1163" s="69"/>
      <c r="W1163" s="69"/>
      <c r="X1163" s="69"/>
      <c r="Y1163" s="69"/>
      <c r="Z1163" s="69"/>
      <c r="AA1163" s="69"/>
      <c r="AB1163" s="69"/>
      <c r="AC1163" s="69"/>
      <c r="AD1163" s="69"/>
      <c r="AE1163" s="69"/>
      <c r="AF1163" s="69"/>
      <c r="AG1163" s="69"/>
      <c r="AH1163" s="69"/>
      <c r="AI1163" s="69"/>
      <c r="AJ1163" s="69"/>
      <c r="AK1163" s="69"/>
      <c r="AL1163" s="69"/>
      <c r="AM1163" s="69"/>
      <c r="AN1163" s="69"/>
      <c r="AO1163" s="69"/>
      <c r="AP1163" s="69"/>
      <c r="AQ1163" s="69"/>
      <c r="AR1163" s="69"/>
      <c r="AS1163" s="69"/>
      <c r="AT1163" s="69"/>
      <c r="AU1163" s="69"/>
      <c r="AV1163" s="69"/>
      <c r="AW1163" s="69"/>
      <c r="AX1163" s="69"/>
      <c r="AY1163" s="69"/>
      <c r="AZ1163" s="69"/>
      <c r="BA1163" s="69"/>
      <c r="BB1163" s="69"/>
      <c r="BC1163" s="69"/>
    </row>
    <row r="1164">
      <c r="A1164" s="68"/>
      <c r="B1164" s="68"/>
      <c r="C1164" s="68"/>
      <c r="D1164" s="68"/>
      <c r="E1164" s="68"/>
      <c r="F1164" s="68"/>
      <c r="G1164" s="68"/>
      <c r="H1164" s="68"/>
      <c r="I1164" s="69"/>
      <c r="J1164" s="69"/>
      <c r="K1164" s="71"/>
      <c r="L1164" s="69"/>
      <c r="M1164" s="69"/>
      <c r="N1164" s="72"/>
      <c r="O1164" s="69"/>
      <c r="P1164" s="69"/>
      <c r="Q1164" s="69"/>
      <c r="R1164" s="69"/>
      <c r="S1164" s="69"/>
      <c r="T1164" s="69"/>
      <c r="U1164" s="69"/>
      <c r="V1164" s="69"/>
      <c r="W1164" s="69"/>
      <c r="X1164" s="69"/>
      <c r="Y1164" s="69"/>
      <c r="Z1164" s="69"/>
      <c r="AA1164" s="69"/>
      <c r="AB1164" s="69"/>
      <c r="AC1164" s="69"/>
      <c r="AD1164" s="69"/>
      <c r="AE1164" s="69"/>
      <c r="AF1164" s="69"/>
      <c r="AG1164" s="69"/>
      <c r="AH1164" s="69"/>
      <c r="AI1164" s="69"/>
      <c r="AJ1164" s="69"/>
      <c r="AK1164" s="69"/>
      <c r="AL1164" s="69"/>
      <c r="AM1164" s="69"/>
      <c r="AN1164" s="69"/>
      <c r="AO1164" s="69"/>
      <c r="AP1164" s="69"/>
      <c r="AQ1164" s="69"/>
      <c r="AR1164" s="69"/>
      <c r="AS1164" s="69"/>
      <c r="AT1164" s="69"/>
      <c r="AU1164" s="69"/>
      <c r="AV1164" s="69"/>
      <c r="AW1164" s="69"/>
      <c r="AX1164" s="69"/>
      <c r="AY1164" s="69"/>
      <c r="AZ1164" s="69"/>
      <c r="BA1164" s="69"/>
      <c r="BB1164" s="69"/>
      <c r="BC1164" s="69"/>
    </row>
    <row r="1165">
      <c r="A1165" s="68"/>
      <c r="B1165" s="68"/>
      <c r="C1165" s="68"/>
      <c r="D1165" s="68"/>
      <c r="E1165" s="68"/>
      <c r="F1165" s="68"/>
      <c r="G1165" s="68"/>
      <c r="H1165" s="68"/>
      <c r="I1165" s="69"/>
      <c r="J1165" s="69"/>
      <c r="K1165" s="71"/>
      <c r="L1165" s="69"/>
      <c r="M1165" s="69"/>
      <c r="N1165" s="72"/>
      <c r="O1165" s="69"/>
      <c r="P1165" s="69"/>
      <c r="Q1165" s="69"/>
      <c r="R1165" s="69"/>
      <c r="S1165" s="69"/>
      <c r="T1165" s="69"/>
      <c r="U1165" s="69"/>
      <c r="V1165" s="69"/>
      <c r="W1165" s="69"/>
      <c r="X1165" s="69"/>
      <c r="Y1165" s="69"/>
      <c r="Z1165" s="69"/>
      <c r="AA1165" s="69"/>
      <c r="AB1165" s="69"/>
      <c r="AC1165" s="69"/>
      <c r="AD1165" s="69"/>
      <c r="AE1165" s="69"/>
      <c r="AF1165" s="69"/>
      <c r="AG1165" s="69"/>
      <c r="AH1165" s="69"/>
      <c r="AI1165" s="69"/>
      <c r="AJ1165" s="69"/>
      <c r="AK1165" s="69"/>
      <c r="AL1165" s="69"/>
      <c r="AM1165" s="69"/>
      <c r="AN1165" s="69"/>
      <c r="AO1165" s="69"/>
      <c r="AP1165" s="69"/>
      <c r="AQ1165" s="69"/>
      <c r="AR1165" s="69"/>
      <c r="AS1165" s="69"/>
      <c r="AT1165" s="69"/>
      <c r="AU1165" s="69"/>
      <c r="AV1165" s="69"/>
      <c r="AW1165" s="69"/>
      <c r="AX1165" s="69"/>
      <c r="AY1165" s="69"/>
      <c r="AZ1165" s="69"/>
      <c r="BA1165" s="69"/>
      <c r="BB1165" s="69"/>
      <c r="BC1165" s="69"/>
    </row>
    <row r="1166">
      <c r="A1166" s="68"/>
      <c r="B1166" s="68"/>
      <c r="C1166" s="68"/>
      <c r="D1166" s="68"/>
      <c r="E1166" s="68"/>
      <c r="F1166" s="68"/>
      <c r="G1166" s="68"/>
      <c r="H1166" s="68"/>
      <c r="I1166" s="69"/>
      <c r="J1166" s="69"/>
      <c r="K1166" s="71"/>
      <c r="L1166" s="69"/>
      <c r="M1166" s="69"/>
      <c r="N1166" s="72"/>
      <c r="O1166" s="69"/>
      <c r="P1166" s="69"/>
      <c r="Q1166" s="69"/>
      <c r="R1166" s="69"/>
      <c r="S1166" s="69"/>
      <c r="T1166" s="69"/>
      <c r="U1166" s="69"/>
      <c r="V1166" s="69"/>
      <c r="W1166" s="69"/>
      <c r="X1166" s="69"/>
      <c r="Y1166" s="69"/>
      <c r="Z1166" s="69"/>
      <c r="AA1166" s="69"/>
      <c r="AB1166" s="69"/>
      <c r="AC1166" s="69"/>
      <c r="AD1166" s="69"/>
      <c r="AE1166" s="69"/>
      <c r="AF1166" s="69"/>
      <c r="AG1166" s="69"/>
      <c r="AH1166" s="69"/>
      <c r="AI1166" s="69"/>
      <c r="AJ1166" s="69"/>
      <c r="AK1166" s="69"/>
      <c r="AL1166" s="69"/>
      <c r="AM1166" s="69"/>
      <c r="AN1166" s="69"/>
      <c r="AO1166" s="69"/>
      <c r="AP1166" s="69"/>
      <c r="AQ1166" s="69"/>
      <c r="AR1166" s="69"/>
      <c r="AS1166" s="69"/>
      <c r="AT1166" s="69"/>
      <c r="AU1166" s="69"/>
      <c r="AV1166" s="69"/>
      <c r="AW1166" s="69"/>
      <c r="AX1166" s="69"/>
      <c r="AY1166" s="69"/>
      <c r="AZ1166" s="69"/>
      <c r="BA1166" s="69"/>
      <c r="BB1166" s="69"/>
      <c r="BC1166" s="69"/>
    </row>
    <row r="1167">
      <c r="A1167" s="68"/>
      <c r="B1167" s="68"/>
      <c r="C1167" s="68"/>
      <c r="D1167" s="68"/>
      <c r="E1167" s="68"/>
      <c r="F1167" s="68"/>
      <c r="G1167" s="68"/>
      <c r="H1167" s="68"/>
      <c r="I1167" s="69"/>
      <c r="J1167" s="69"/>
      <c r="K1167" s="71"/>
      <c r="L1167" s="69"/>
      <c r="M1167" s="69"/>
      <c r="N1167" s="72"/>
      <c r="O1167" s="69"/>
      <c r="P1167" s="69"/>
      <c r="Q1167" s="69"/>
      <c r="R1167" s="69"/>
      <c r="S1167" s="69"/>
      <c r="T1167" s="69"/>
      <c r="U1167" s="69"/>
      <c r="V1167" s="69"/>
      <c r="W1167" s="69"/>
      <c r="X1167" s="69"/>
      <c r="Y1167" s="69"/>
      <c r="Z1167" s="69"/>
      <c r="AA1167" s="69"/>
      <c r="AB1167" s="69"/>
      <c r="AC1167" s="69"/>
      <c r="AD1167" s="69"/>
      <c r="AE1167" s="69"/>
      <c r="AF1167" s="69"/>
      <c r="AG1167" s="69"/>
      <c r="AH1167" s="69"/>
      <c r="AI1167" s="69"/>
      <c r="AJ1167" s="69"/>
      <c r="AK1167" s="69"/>
      <c r="AL1167" s="69"/>
      <c r="AM1167" s="69"/>
      <c r="AN1167" s="69"/>
      <c r="AO1167" s="69"/>
      <c r="AP1167" s="69"/>
      <c r="AQ1167" s="69"/>
      <c r="AR1167" s="69"/>
      <c r="AS1167" s="69"/>
      <c r="AT1167" s="69"/>
      <c r="AU1167" s="69"/>
      <c r="AV1167" s="69"/>
      <c r="AW1167" s="69"/>
      <c r="AX1167" s="69"/>
      <c r="AY1167" s="69"/>
      <c r="AZ1167" s="69"/>
      <c r="BA1167" s="69"/>
      <c r="BB1167" s="69"/>
      <c r="BC1167" s="69"/>
    </row>
    <row r="1168">
      <c r="A1168" s="68"/>
      <c r="B1168" s="68"/>
      <c r="C1168" s="68"/>
      <c r="D1168" s="68"/>
      <c r="E1168" s="68"/>
      <c r="F1168" s="68"/>
      <c r="G1168" s="68"/>
      <c r="H1168" s="68"/>
      <c r="I1168" s="69"/>
      <c r="J1168" s="69"/>
      <c r="K1168" s="71"/>
      <c r="L1168" s="69"/>
      <c r="M1168" s="69"/>
      <c r="N1168" s="72"/>
      <c r="O1168" s="69"/>
      <c r="P1168" s="69"/>
      <c r="Q1168" s="69"/>
      <c r="R1168" s="69"/>
      <c r="S1168" s="69"/>
      <c r="T1168" s="69"/>
      <c r="U1168" s="69"/>
      <c r="V1168" s="69"/>
      <c r="W1168" s="69"/>
      <c r="X1168" s="69"/>
      <c r="Y1168" s="69"/>
      <c r="Z1168" s="69"/>
      <c r="AA1168" s="69"/>
      <c r="AB1168" s="69"/>
      <c r="AC1168" s="69"/>
      <c r="AD1168" s="69"/>
      <c r="AE1168" s="69"/>
      <c r="AF1168" s="69"/>
      <c r="AG1168" s="69"/>
      <c r="AH1168" s="69"/>
      <c r="AI1168" s="69"/>
      <c r="AJ1168" s="69"/>
      <c r="AK1168" s="69"/>
      <c r="AL1168" s="69"/>
      <c r="AM1168" s="69"/>
      <c r="AN1168" s="69"/>
      <c r="AO1168" s="69"/>
      <c r="AP1168" s="69"/>
      <c r="AQ1168" s="69"/>
      <c r="AR1168" s="69"/>
      <c r="AS1168" s="69"/>
      <c r="AT1168" s="69"/>
      <c r="AU1168" s="69"/>
      <c r="AV1168" s="69"/>
      <c r="AW1168" s="69"/>
      <c r="AX1168" s="69"/>
      <c r="AY1168" s="69"/>
      <c r="AZ1168" s="69"/>
      <c r="BA1168" s="69"/>
      <c r="BB1168" s="69"/>
      <c r="BC1168" s="69"/>
    </row>
    <row r="1169">
      <c r="A1169" s="68"/>
      <c r="B1169" s="68"/>
      <c r="C1169" s="68"/>
      <c r="D1169" s="68"/>
      <c r="E1169" s="68"/>
      <c r="F1169" s="68"/>
      <c r="G1169" s="68"/>
      <c r="H1169" s="68"/>
      <c r="I1169" s="69"/>
      <c r="J1169" s="69"/>
      <c r="K1169" s="71"/>
      <c r="L1169" s="69"/>
      <c r="M1169" s="69"/>
      <c r="N1169" s="72"/>
      <c r="O1169" s="69"/>
      <c r="P1169" s="69"/>
      <c r="Q1169" s="69"/>
      <c r="R1169" s="69"/>
      <c r="S1169" s="69"/>
      <c r="T1169" s="69"/>
      <c r="U1169" s="69"/>
      <c r="V1169" s="69"/>
      <c r="W1169" s="69"/>
      <c r="X1169" s="69"/>
      <c r="Y1169" s="69"/>
      <c r="Z1169" s="69"/>
      <c r="AA1169" s="69"/>
      <c r="AB1169" s="69"/>
      <c r="AC1169" s="69"/>
      <c r="AD1169" s="69"/>
      <c r="AE1169" s="69"/>
      <c r="AF1169" s="69"/>
      <c r="AG1169" s="69"/>
      <c r="AH1169" s="69"/>
      <c r="AI1169" s="69"/>
      <c r="AJ1169" s="69"/>
      <c r="AK1169" s="69"/>
      <c r="AL1169" s="69"/>
      <c r="AM1169" s="69"/>
      <c r="AN1169" s="69"/>
      <c r="AO1169" s="69"/>
      <c r="AP1169" s="69"/>
      <c r="AQ1169" s="69"/>
      <c r="AR1169" s="69"/>
      <c r="AS1169" s="69"/>
      <c r="AT1169" s="69"/>
      <c r="AU1169" s="69"/>
      <c r="AV1169" s="69"/>
      <c r="AW1169" s="69"/>
      <c r="AX1169" s="69"/>
      <c r="AY1169" s="69"/>
      <c r="AZ1169" s="69"/>
      <c r="BA1169" s="69"/>
      <c r="BB1169" s="69"/>
      <c r="BC1169" s="69"/>
    </row>
    <row r="1170">
      <c r="A1170" s="68"/>
      <c r="B1170" s="68"/>
      <c r="C1170" s="68"/>
      <c r="D1170" s="68"/>
      <c r="E1170" s="68"/>
      <c r="F1170" s="68"/>
      <c r="G1170" s="68"/>
      <c r="H1170" s="68"/>
      <c r="I1170" s="69"/>
      <c r="J1170" s="69"/>
      <c r="K1170" s="71"/>
      <c r="L1170" s="69"/>
      <c r="M1170" s="69"/>
      <c r="N1170" s="72"/>
      <c r="O1170" s="69"/>
      <c r="P1170" s="69"/>
      <c r="Q1170" s="69"/>
      <c r="R1170" s="69"/>
      <c r="S1170" s="69"/>
      <c r="T1170" s="69"/>
      <c r="U1170" s="69"/>
      <c r="V1170" s="69"/>
      <c r="W1170" s="69"/>
      <c r="X1170" s="69"/>
      <c r="Y1170" s="69"/>
      <c r="Z1170" s="69"/>
      <c r="AA1170" s="69"/>
      <c r="AB1170" s="69"/>
      <c r="AC1170" s="69"/>
      <c r="AD1170" s="69"/>
      <c r="AE1170" s="69"/>
      <c r="AF1170" s="69"/>
      <c r="AG1170" s="69"/>
      <c r="AH1170" s="69"/>
      <c r="AI1170" s="69"/>
      <c r="AJ1170" s="69"/>
      <c r="AK1170" s="69"/>
      <c r="AL1170" s="69"/>
      <c r="AM1170" s="69"/>
      <c r="AN1170" s="69"/>
      <c r="AO1170" s="69"/>
      <c r="AP1170" s="69"/>
      <c r="AQ1170" s="69"/>
      <c r="AR1170" s="69"/>
      <c r="AS1170" s="69"/>
      <c r="AT1170" s="69"/>
      <c r="AU1170" s="69"/>
      <c r="AV1170" s="69"/>
      <c r="AW1170" s="69"/>
      <c r="AX1170" s="69"/>
      <c r="AY1170" s="69"/>
      <c r="AZ1170" s="69"/>
      <c r="BA1170" s="69"/>
      <c r="BB1170" s="69"/>
      <c r="BC1170" s="69"/>
    </row>
    <row r="1171">
      <c r="A1171" s="68"/>
      <c r="B1171" s="68"/>
      <c r="C1171" s="68"/>
      <c r="D1171" s="68"/>
      <c r="E1171" s="68"/>
      <c r="F1171" s="68"/>
      <c r="G1171" s="68"/>
      <c r="H1171" s="68"/>
      <c r="I1171" s="69"/>
      <c r="J1171" s="69"/>
      <c r="K1171" s="71"/>
      <c r="L1171" s="69"/>
      <c r="M1171" s="69"/>
      <c r="N1171" s="72"/>
      <c r="O1171" s="69"/>
      <c r="P1171" s="69"/>
      <c r="Q1171" s="69"/>
      <c r="R1171" s="69"/>
      <c r="S1171" s="69"/>
      <c r="T1171" s="69"/>
      <c r="U1171" s="69"/>
      <c r="V1171" s="69"/>
      <c r="W1171" s="69"/>
      <c r="X1171" s="69"/>
      <c r="Y1171" s="69"/>
      <c r="Z1171" s="69"/>
      <c r="AA1171" s="69"/>
      <c r="AB1171" s="69"/>
      <c r="AC1171" s="69"/>
      <c r="AD1171" s="69"/>
      <c r="AE1171" s="69"/>
      <c r="AF1171" s="69"/>
      <c r="AG1171" s="69"/>
      <c r="AH1171" s="69"/>
      <c r="AI1171" s="69"/>
      <c r="AJ1171" s="69"/>
      <c r="AK1171" s="69"/>
      <c r="AL1171" s="69"/>
      <c r="AM1171" s="69"/>
      <c r="AN1171" s="69"/>
      <c r="AO1171" s="69"/>
      <c r="AP1171" s="69"/>
      <c r="AQ1171" s="69"/>
      <c r="AR1171" s="69"/>
      <c r="AS1171" s="69"/>
      <c r="AT1171" s="69"/>
      <c r="AU1171" s="69"/>
      <c r="AV1171" s="69"/>
      <c r="AW1171" s="69"/>
      <c r="AX1171" s="69"/>
      <c r="AY1171" s="69"/>
      <c r="AZ1171" s="69"/>
      <c r="BA1171" s="69"/>
      <c r="BB1171" s="69"/>
      <c r="BC1171" s="69"/>
    </row>
    <row r="1172">
      <c r="A1172" s="68"/>
      <c r="B1172" s="68"/>
      <c r="C1172" s="68"/>
      <c r="D1172" s="68"/>
      <c r="E1172" s="68"/>
      <c r="F1172" s="68"/>
      <c r="G1172" s="68"/>
      <c r="H1172" s="68"/>
      <c r="I1172" s="69"/>
      <c r="J1172" s="69"/>
      <c r="K1172" s="71"/>
      <c r="L1172" s="69"/>
      <c r="M1172" s="69"/>
      <c r="N1172" s="72"/>
      <c r="O1172" s="69"/>
      <c r="P1172" s="69"/>
      <c r="Q1172" s="69"/>
      <c r="R1172" s="69"/>
      <c r="S1172" s="69"/>
      <c r="T1172" s="69"/>
      <c r="U1172" s="69"/>
      <c r="V1172" s="69"/>
      <c r="W1172" s="69"/>
      <c r="X1172" s="69"/>
      <c r="Y1172" s="69"/>
      <c r="Z1172" s="69"/>
      <c r="AA1172" s="69"/>
      <c r="AB1172" s="69"/>
      <c r="AC1172" s="69"/>
      <c r="AD1172" s="69"/>
      <c r="AE1172" s="69"/>
      <c r="AF1172" s="69"/>
      <c r="AG1172" s="69"/>
      <c r="AH1172" s="69"/>
      <c r="AI1172" s="69"/>
      <c r="AJ1172" s="69"/>
      <c r="AK1172" s="69"/>
      <c r="AL1172" s="69"/>
      <c r="AM1172" s="69"/>
      <c r="AN1172" s="69"/>
      <c r="AO1172" s="69"/>
      <c r="AP1172" s="69"/>
      <c r="AQ1172" s="69"/>
      <c r="AR1172" s="69"/>
      <c r="AS1172" s="69"/>
      <c r="AT1172" s="69"/>
      <c r="AU1172" s="69"/>
      <c r="AV1172" s="69"/>
      <c r="AW1172" s="69"/>
      <c r="AX1172" s="69"/>
      <c r="AY1172" s="69"/>
      <c r="AZ1172" s="69"/>
      <c r="BA1172" s="69"/>
      <c r="BB1172" s="69"/>
      <c r="BC1172" s="69"/>
    </row>
    <row r="1173">
      <c r="A1173" s="68"/>
      <c r="B1173" s="68"/>
      <c r="C1173" s="68"/>
      <c r="D1173" s="68"/>
      <c r="E1173" s="68"/>
      <c r="F1173" s="68"/>
      <c r="G1173" s="68"/>
      <c r="H1173" s="68"/>
      <c r="I1173" s="69"/>
      <c r="J1173" s="69"/>
      <c r="K1173" s="71"/>
      <c r="L1173" s="69"/>
      <c r="M1173" s="69"/>
      <c r="N1173" s="72"/>
      <c r="O1173" s="69"/>
      <c r="P1173" s="69"/>
      <c r="Q1173" s="69"/>
      <c r="R1173" s="69"/>
      <c r="S1173" s="69"/>
      <c r="T1173" s="69"/>
      <c r="U1173" s="69"/>
      <c r="V1173" s="69"/>
      <c r="W1173" s="69"/>
      <c r="X1173" s="69"/>
      <c r="Y1173" s="69"/>
      <c r="Z1173" s="69"/>
      <c r="AA1173" s="69"/>
      <c r="AB1173" s="69"/>
      <c r="AC1173" s="69"/>
      <c r="AD1173" s="69"/>
      <c r="AE1173" s="69"/>
      <c r="AF1173" s="69"/>
      <c r="AG1173" s="69"/>
      <c r="AH1173" s="69"/>
      <c r="AI1173" s="69"/>
      <c r="AJ1173" s="69"/>
      <c r="AK1173" s="69"/>
      <c r="AL1173" s="69"/>
      <c r="AM1173" s="69"/>
      <c r="AN1173" s="69"/>
      <c r="AO1173" s="69"/>
      <c r="AP1173" s="69"/>
      <c r="AQ1173" s="69"/>
      <c r="AR1173" s="69"/>
      <c r="AS1173" s="69"/>
      <c r="AT1173" s="69"/>
      <c r="AU1173" s="69"/>
      <c r="AV1173" s="69"/>
      <c r="AW1173" s="69"/>
      <c r="AX1173" s="69"/>
      <c r="AY1173" s="69"/>
      <c r="AZ1173" s="69"/>
      <c r="BA1173" s="69"/>
      <c r="BB1173" s="69"/>
      <c r="BC1173" s="69"/>
    </row>
    <row r="1174">
      <c r="A1174" s="68"/>
      <c r="B1174" s="68"/>
      <c r="C1174" s="68"/>
      <c r="D1174" s="68"/>
      <c r="E1174" s="68"/>
      <c r="F1174" s="68"/>
      <c r="G1174" s="68"/>
      <c r="H1174" s="68"/>
      <c r="I1174" s="69"/>
      <c r="J1174" s="69"/>
      <c r="K1174" s="71"/>
      <c r="L1174" s="69"/>
      <c r="M1174" s="69"/>
      <c r="N1174" s="72"/>
      <c r="O1174" s="69"/>
      <c r="P1174" s="69"/>
      <c r="Q1174" s="69"/>
      <c r="R1174" s="69"/>
      <c r="S1174" s="69"/>
      <c r="T1174" s="69"/>
      <c r="U1174" s="69"/>
      <c r="V1174" s="69"/>
      <c r="W1174" s="69"/>
      <c r="X1174" s="69"/>
      <c r="Y1174" s="69"/>
      <c r="Z1174" s="69"/>
      <c r="AA1174" s="69"/>
      <c r="AB1174" s="69"/>
      <c r="AC1174" s="69"/>
      <c r="AD1174" s="69"/>
      <c r="AE1174" s="69"/>
      <c r="AF1174" s="69"/>
      <c r="AG1174" s="69"/>
      <c r="AH1174" s="69"/>
      <c r="AI1174" s="69"/>
      <c r="AJ1174" s="69"/>
      <c r="AK1174" s="69"/>
      <c r="AL1174" s="69"/>
      <c r="AM1174" s="69"/>
      <c r="AN1174" s="69"/>
      <c r="AO1174" s="69"/>
      <c r="AP1174" s="69"/>
      <c r="AQ1174" s="69"/>
      <c r="AR1174" s="69"/>
      <c r="AS1174" s="69"/>
      <c r="AT1174" s="69"/>
      <c r="AU1174" s="69"/>
      <c r="AV1174" s="69"/>
      <c r="AW1174" s="69"/>
      <c r="AX1174" s="69"/>
      <c r="AY1174" s="69"/>
      <c r="AZ1174" s="69"/>
      <c r="BA1174" s="69"/>
      <c r="BB1174" s="69"/>
      <c r="BC1174" s="69"/>
    </row>
    <row r="1175">
      <c r="A1175" s="68"/>
      <c r="B1175" s="68"/>
      <c r="C1175" s="68"/>
      <c r="D1175" s="68"/>
      <c r="E1175" s="68"/>
      <c r="F1175" s="68"/>
      <c r="G1175" s="68"/>
      <c r="H1175" s="68"/>
      <c r="I1175" s="69"/>
      <c r="J1175" s="69"/>
      <c r="K1175" s="71"/>
      <c r="L1175" s="69"/>
      <c r="M1175" s="69"/>
      <c r="N1175" s="72"/>
      <c r="O1175" s="69"/>
      <c r="P1175" s="69"/>
      <c r="Q1175" s="69"/>
      <c r="R1175" s="69"/>
      <c r="S1175" s="69"/>
      <c r="T1175" s="69"/>
      <c r="U1175" s="69"/>
      <c r="V1175" s="69"/>
      <c r="W1175" s="69"/>
      <c r="X1175" s="69"/>
      <c r="Y1175" s="69"/>
      <c r="Z1175" s="69"/>
      <c r="AA1175" s="69"/>
      <c r="AB1175" s="69"/>
      <c r="AC1175" s="69"/>
      <c r="AD1175" s="69"/>
      <c r="AE1175" s="69"/>
      <c r="AF1175" s="69"/>
      <c r="AG1175" s="69"/>
      <c r="AH1175" s="69"/>
      <c r="AI1175" s="69"/>
      <c r="AJ1175" s="69"/>
      <c r="AK1175" s="69"/>
      <c r="AL1175" s="69"/>
      <c r="AM1175" s="69"/>
      <c r="AN1175" s="69"/>
      <c r="AO1175" s="69"/>
      <c r="AP1175" s="69"/>
      <c r="AQ1175" s="69"/>
      <c r="AR1175" s="69"/>
      <c r="AS1175" s="69"/>
      <c r="AT1175" s="69"/>
      <c r="AU1175" s="69"/>
      <c r="AV1175" s="69"/>
      <c r="AW1175" s="69"/>
      <c r="AX1175" s="69"/>
      <c r="AY1175" s="69"/>
      <c r="AZ1175" s="69"/>
      <c r="BA1175" s="69"/>
      <c r="BB1175" s="69"/>
      <c r="BC1175" s="69"/>
    </row>
    <row r="1176">
      <c r="A1176" s="68"/>
      <c r="B1176" s="68"/>
      <c r="C1176" s="68"/>
      <c r="D1176" s="68"/>
      <c r="E1176" s="68"/>
      <c r="F1176" s="68"/>
      <c r="G1176" s="68"/>
      <c r="H1176" s="68"/>
      <c r="I1176" s="69"/>
      <c r="J1176" s="69"/>
      <c r="K1176" s="71"/>
      <c r="L1176" s="69"/>
      <c r="M1176" s="69"/>
      <c r="N1176" s="72"/>
      <c r="O1176" s="69"/>
      <c r="P1176" s="69"/>
      <c r="Q1176" s="69"/>
      <c r="R1176" s="69"/>
      <c r="S1176" s="69"/>
      <c r="T1176" s="69"/>
      <c r="U1176" s="69"/>
      <c r="V1176" s="69"/>
      <c r="W1176" s="69"/>
      <c r="X1176" s="69"/>
      <c r="Y1176" s="69"/>
      <c r="Z1176" s="69"/>
      <c r="AA1176" s="69"/>
      <c r="AB1176" s="69"/>
      <c r="AC1176" s="69"/>
      <c r="AD1176" s="69"/>
      <c r="AE1176" s="69"/>
      <c r="AF1176" s="69"/>
      <c r="AG1176" s="69"/>
      <c r="AH1176" s="69"/>
      <c r="AI1176" s="69"/>
      <c r="AJ1176" s="69"/>
      <c r="AK1176" s="69"/>
      <c r="AL1176" s="69"/>
      <c r="AM1176" s="69"/>
      <c r="AN1176" s="69"/>
      <c r="AO1176" s="69"/>
      <c r="AP1176" s="69"/>
      <c r="AQ1176" s="69"/>
      <c r="AR1176" s="69"/>
      <c r="AS1176" s="69"/>
      <c r="AT1176" s="69"/>
      <c r="AU1176" s="69"/>
      <c r="AV1176" s="69"/>
      <c r="AW1176" s="69"/>
      <c r="AX1176" s="69"/>
      <c r="AY1176" s="69"/>
      <c r="AZ1176" s="69"/>
      <c r="BA1176" s="69"/>
      <c r="BB1176" s="69"/>
      <c r="BC1176" s="69"/>
    </row>
    <row r="1177">
      <c r="A1177" s="68"/>
      <c r="B1177" s="68"/>
      <c r="C1177" s="68"/>
      <c r="D1177" s="68"/>
      <c r="E1177" s="68"/>
      <c r="F1177" s="68"/>
      <c r="G1177" s="68"/>
      <c r="H1177" s="68"/>
      <c r="I1177" s="69"/>
      <c r="J1177" s="69"/>
      <c r="K1177" s="71"/>
      <c r="L1177" s="69"/>
      <c r="M1177" s="69"/>
      <c r="N1177" s="72"/>
      <c r="O1177" s="69"/>
      <c r="P1177" s="69"/>
      <c r="Q1177" s="69"/>
      <c r="R1177" s="69"/>
      <c r="S1177" s="69"/>
      <c r="T1177" s="69"/>
      <c r="U1177" s="69"/>
      <c r="V1177" s="69"/>
      <c r="W1177" s="69"/>
      <c r="X1177" s="69"/>
      <c r="Y1177" s="69"/>
      <c r="Z1177" s="69"/>
      <c r="AA1177" s="69"/>
      <c r="AB1177" s="69"/>
      <c r="AC1177" s="69"/>
      <c r="AD1177" s="69"/>
      <c r="AE1177" s="69"/>
      <c r="AF1177" s="69"/>
      <c r="AG1177" s="69"/>
      <c r="AH1177" s="69"/>
      <c r="AI1177" s="69"/>
      <c r="AJ1177" s="69"/>
      <c r="AK1177" s="69"/>
      <c r="AL1177" s="69"/>
      <c r="AM1177" s="69"/>
      <c r="AN1177" s="69"/>
      <c r="AO1177" s="69"/>
      <c r="AP1177" s="69"/>
      <c r="AQ1177" s="69"/>
      <c r="AR1177" s="69"/>
      <c r="AS1177" s="69"/>
      <c r="AT1177" s="69"/>
      <c r="AU1177" s="69"/>
      <c r="AV1177" s="69"/>
      <c r="AW1177" s="69"/>
      <c r="AX1177" s="69"/>
      <c r="AY1177" s="69"/>
      <c r="AZ1177" s="69"/>
      <c r="BA1177" s="69"/>
      <c r="BB1177" s="69"/>
      <c r="BC1177" s="69"/>
    </row>
    <row r="1178">
      <c r="A1178" s="68"/>
      <c r="B1178" s="68"/>
      <c r="C1178" s="68"/>
      <c r="D1178" s="68"/>
      <c r="E1178" s="68"/>
      <c r="F1178" s="68"/>
      <c r="G1178" s="68"/>
      <c r="H1178" s="68"/>
      <c r="I1178" s="69"/>
      <c r="J1178" s="69"/>
      <c r="K1178" s="71"/>
      <c r="L1178" s="69"/>
      <c r="M1178" s="69"/>
      <c r="N1178" s="72"/>
      <c r="O1178" s="69"/>
      <c r="P1178" s="69"/>
      <c r="Q1178" s="69"/>
      <c r="R1178" s="69"/>
      <c r="S1178" s="69"/>
      <c r="T1178" s="69"/>
      <c r="U1178" s="69"/>
      <c r="V1178" s="69"/>
      <c r="W1178" s="69"/>
      <c r="X1178" s="69"/>
      <c r="Y1178" s="69"/>
      <c r="Z1178" s="69"/>
      <c r="AA1178" s="69"/>
      <c r="AB1178" s="69"/>
      <c r="AC1178" s="69"/>
      <c r="AD1178" s="69"/>
      <c r="AE1178" s="69"/>
      <c r="AF1178" s="69"/>
      <c r="AG1178" s="69"/>
      <c r="AH1178" s="69"/>
      <c r="AI1178" s="69"/>
      <c r="AJ1178" s="69"/>
      <c r="AK1178" s="69"/>
      <c r="AL1178" s="69"/>
      <c r="AM1178" s="69"/>
      <c r="AN1178" s="69"/>
      <c r="AO1178" s="69"/>
      <c r="AP1178" s="69"/>
      <c r="AQ1178" s="69"/>
      <c r="AR1178" s="69"/>
      <c r="AS1178" s="69"/>
      <c r="AT1178" s="69"/>
      <c r="AU1178" s="69"/>
      <c r="AV1178" s="69"/>
      <c r="AW1178" s="69"/>
      <c r="AX1178" s="69"/>
      <c r="AY1178" s="69"/>
      <c r="AZ1178" s="69"/>
      <c r="BA1178" s="69"/>
      <c r="BB1178" s="69"/>
      <c r="BC1178" s="69"/>
    </row>
    <row r="1179">
      <c r="A1179" s="68"/>
      <c r="B1179" s="68"/>
      <c r="C1179" s="68"/>
      <c r="D1179" s="68"/>
      <c r="E1179" s="68"/>
      <c r="F1179" s="68"/>
      <c r="G1179" s="68"/>
      <c r="H1179" s="68"/>
      <c r="I1179" s="69"/>
      <c r="J1179" s="69"/>
      <c r="K1179" s="71"/>
      <c r="L1179" s="69"/>
      <c r="M1179" s="69"/>
      <c r="N1179" s="72"/>
      <c r="O1179" s="69"/>
      <c r="P1179" s="69"/>
      <c r="Q1179" s="69"/>
      <c r="R1179" s="69"/>
      <c r="S1179" s="69"/>
      <c r="T1179" s="69"/>
      <c r="U1179" s="69"/>
      <c r="V1179" s="69"/>
      <c r="W1179" s="69"/>
      <c r="X1179" s="69"/>
      <c r="Y1179" s="69"/>
      <c r="Z1179" s="69"/>
      <c r="AA1179" s="69"/>
      <c r="AB1179" s="69"/>
      <c r="AC1179" s="69"/>
      <c r="AD1179" s="69"/>
      <c r="AE1179" s="69"/>
      <c r="AF1179" s="69"/>
      <c r="AG1179" s="69"/>
      <c r="AH1179" s="69"/>
      <c r="AI1179" s="69"/>
      <c r="AJ1179" s="69"/>
      <c r="AK1179" s="69"/>
      <c r="AL1179" s="69"/>
      <c r="AM1179" s="69"/>
      <c r="AN1179" s="69"/>
      <c r="AO1179" s="69"/>
      <c r="AP1179" s="69"/>
      <c r="AQ1179" s="69"/>
      <c r="AR1179" s="69"/>
      <c r="AS1179" s="69"/>
      <c r="AT1179" s="69"/>
      <c r="AU1179" s="69"/>
      <c r="AV1179" s="69"/>
      <c r="AW1179" s="69"/>
      <c r="AX1179" s="69"/>
      <c r="AY1179" s="69"/>
      <c r="AZ1179" s="69"/>
      <c r="BA1179" s="69"/>
      <c r="BB1179" s="69"/>
      <c r="BC1179" s="69"/>
    </row>
    <row r="1180">
      <c r="A1180" s="68"/>
      <c r="B1180" s="68"/>
      <c r="C1180" s="68"/>
      <c r="D1180" s="68"/>
      <c r="E1180" s="68"/>
      <c r="F1180" s="68"/>
      <c r="G1180" s="68"/>
      <c r="H1180" s="68"/>
      <c r="I1180" s="69"/>
      <c r="J1180" s="69"/>
      <c r="K1180" s="71"/>
      <c r="L1180" s="69"/>
      <c r="M1180" s="69"/>
      <c r="N1180" s="72"/>
      <c r="O1180" s="69"/>
      <c r="P1180" s="69"/>
      <c r="Q1180" s="69"/>
      <c r="R1180" s="69"/>
      <c r="S1180" s="69"/>
      <c r="T1180" s="69"/>
      <c r="U1180" s="69"/>
      <c r="V1180" s="69"/>
      <c r="W1180" s="69"/>
      <c r="X1180" s="69"/>
      <c r="Y1180" s="69"/>
      <c r="Z1180" s="69"/>
      <c r="AA1180" s="69"/>
      <c r="AB1180" s="69"/>
      <c r="AC1180" s="69"/>
      <c r="AD1180" s="69"/>
      <c r="AE1180" s="69"/>
      <c r="AF1180" s="69"/>
      <c r="AG1180" s="69"/>
      <c r="AH1180" s="69"/>
      <c r="AI1180" s="69"/>
      <c r="AJ1180" s="69"/>
      <c r="AK1180" s="69"/>
      <c r="AL1180" s="69"/>
      <c r="AM1180" s="69"/>
      <c r="AN1180" s="69"/>
      <c r="AO1180" s="69"/>
      <c r="AP1180" s="69"/>
      <c r="AQ1180" s="69"/>
      <c r="AR1180" s="69"/>
      <c r="AS1180" s="69"/>
      <c r="AT1180" s="69"/>
      <c r="AU1180" s="69"/>
      <c r="AV1180" s="69"/>
      <c r="AW1180" s="69"/>
      <c r="AX1180" s="69"/>
      <c r="AY1180" s="69"/>
      <c r="AZ1180" s="69"/>
      <c r="BA1180" s="69"/>
      <c r="BB1180" s="69"/>
      <c r="BC1180" s="69"/>
    </row>
    <row r="1181">
      <c r="A1181" s="68"/>
      <c r="B1181" s="68"/>
      <c r="C1181" s="68"/>
      <c r="D1181" s="68"/>
      <c r="E1181" s="68"/>
      <c r="F1181" s="68"/>
      <c r="G1181" s="68"/>
      <c r="H1181" s="68"/>
      <c r="I1181" s="69"/>
      <c r="J1181" s="69"/>
      <c r="K1181" s="71"/>
      <c r="L1181" s="69"/>
      <c r="M1181" s="69"/>
      <c r="N1181" s="72"/>
      <c r="O1181" s="69"/>
      <c r="P1181" s="69"/>
      <c r="Q1181" s="69"/>
      <c r="R1181" s="69"/>
      <c r="S1181" s="69"/>
      <c r="T1181" s="69"/>
      <c r="U1181" s="69"/>
      <c r="V1181" s="69"/>
      <c r="W1181" s="69"/>
      <c r="X1181" s="69"/>
      <c r="Y1181" s="69"/>
      <c r="Z1181" s="69"/>
      <c r="AA1181" s="69"/>
      <c r="AB1181" s="69"/>
      <c r="AC1181" s="69"/>
      <c r="AD1181" s="69"/>
      <c r="AE1181" s="69"/>
      <c r="AF1181" s="69"/>
      <c r="AG1181" s="69"/>
      <c r="AH1181" s="69"/>
      <c r="AI1181" s="69"/>
      <c r="AJ1181" s="69"/>
      <c r="AK1181" s="69"/>
      <c r="AL1181" s="69"/>
      <c r="AM1181" s="69"/>
      <c r="AN1181" s="69"/>
      <c r="AO1181" s="69"/>
      <c r="AP1181" s="69"/>
      <c r="AQ1181" s="69"/>
      <c r="AR1181" s="69"/>
      <c r="AS1181" s="69"/>
      <c r="AT1181" s="69"/>
      <c r="AU1181" s="69"/>
      <c r="AV1181" s="69"/>
      <c r="AW1181" s="69"/>
      <c r="AX1181" s="69"/>
      <c r="AY1181" s="69"/>
      <c r="AZ1181" s="69"/>
      <c r="BA1181" s="69"/>
      <c r="BB1181" s="69"/>
      <c r="BC1181" s="69"/>
    </row>
    <row r="1182">
      <c r="A1182" s="68"/>
      <c r="B1182" s="68"/>
      <c r="C1182" s="68"/>
      <c r="D1182" s="68"/>
      <c r="E1182" s="68"/>
      <c r="F1182" s="68"/>
      <c r="G1182" s="68"/>
      <c r="H1182" s="68"/>
      <c r="I1182" s="69"/>
      <c r="J1182" s="69"/>
      <c r="K1182" s="71"/>
      <c r="L1182" s="69"/>
      <c r="M1182" s="69"/>
      <c r="N1182" s="72"/>
      <c r="O1182" s="69"/>
      <c r="P1182" s="69"/>
      <c r="Q1182" s="69"/>
      <c r="R1182" s="69"/>
      <c r="S1182" s="69"/>
      <c r="T1182" s="69"/>
      <c r="U1182" s="69"/>
      <c r="V1182" s="69"/>
      <c r="W1182" s="69"/>
      <c r="X1182" s="69"/>
      <c r="Y1182" s="69"/>
      <c r="Z1182" s="69"/>
      <c r="AA1182" s="69"/>
      <c r="AB1182" s="69"/>
      <c r="AC1182" s="69"/>
      <c r="AD1182" s="69"/>
      <c r="AE1182" s="69"/>
      <c r="AF1182" s="69"/>
      <c r="AG1182" s="69"/>
      <c r="AH1182" s="69"/>
      <c r="AI1182" s="69"/>
      <c r="AJ1182" s="69"/>
      <c r="AK1182" s="69"/>
      <c r="AL1182" s="69"/>
      <c r="AM1182" s="69"/>
      <c r="AN1182" s="69"/>
      <c r="AO1182" s="69"/>
      <c r="AP1182" s="69"/>
      <c r="AQ1182" s="69"/>
      <c r="AR1182" s="69"/>
      <c r="AS1182" s="69"/>
      <c r="AT1182" s="69"/>
      <c r="AU1182" s="69"/>
      <c r="AV1182" s="69"/>
      <c r="AW1182" s="69"/>
      <c r="AX1182" s="69"/>
      <c r="AY1182" s="69"/>
      <c r="AZ1182" s="69"/>
      <c r="BA1182" s="69"/>
      <c r="BB1182" s="69"/>
      <c r="BC1182" s="69"/>
    </row>
    <row r="1183">
      <c r="A1183" s="68"/>
      <c r="B1183" s="68"/>
      <c r="C1183" s="68"/>
      <c r="D1183" s="68"/>
      <c r="E1183" s="68"/>
      <c r="F1183" s="68"/>
      <c r="G1183" s="68"/>
      <c r="H1183" s="68"/>
      <c r="I1183" s="69"/>
      <c r="J1183" s="69"/>
      <c r="K1183" s="71"/>
      <c r="L1183" s="69"/>
      <c r="M1183" s="69"/>
      <c r="N1183" s="72"/>
      <c r="O1183" s="69"/>
      <c r="P1183" s="69"/>
      <c r="Q1183" s="69"/>
      <c r="R1183" s="69"/>
      <c r="S1183" s="69"/>
      <c r="T1183" s="69"/>
      <c r="U1183" s="69"/>
      <c r="V1183" s="69"/>
      <c r="W1183" s="69"/>
      <c r="X1183" s="69"/>
      <c r="Y1183" s="69"/>
      <c r="Z1183" s="69"/>
      <c r="AA1183" s="69"/>
      <c r="AB1183" s="69"/>
      <c r="AC1183" s="69"/>
      <c r="AD1183" s="69"/>
      <c r="AE1183" s="69"/>
      <c r="AF1183" s="69"/>
      <c r="AG1183" s="69"/>
      <c r="AH1183" s="69"/>
      <c r="AI1183" s="69"/>
      <c r="AJ1183" s="69"/>
      <c r="AK1183" s="69"/>
      <c r="AL1183" s="69"/>
      <c r="AM1183" s="69"/>
      <c r="AN1183" s="69"/>
      <c r="AO1183" s="69"/>
      <c r="AP1183" s="69"/>
      <c r="AQ1183" s="69"/>
      <c r="AR1183" s="69"/>
      <c r="AS1183" s="69"/>
      <c r="AT1183" s="69"/>
      <c r="AU1183" s="69"/>
      <c r="AV1183" s="69"/>
      <c r="AW1183" s="69"/>
      <c r="AX1183" s="69"/>
      <c r="AY1183" s="69"/>
      <c r="AZ1183" s="69"/>
      <c r="BA1183" s="69"/>
      <c r="BB1183" s="69"/>
      <c r="BC1183" s="69"/>
    </row>
    <row r="1184">
      <c r="A1184" s="68"/>
      <c r="B1184" s="68"/>
      <c r="C1184" s="68"/>
      <c r="D1184" s="68"/>
      <c r="E1184" s="68"/>
      <c r="F1184" s="68"/>
      <c r="G1184" s="68"/>
      <c r="H1184" s="68"/>
      <c r="I1184" s="69"/>
      <c r="J1184" s="69"/>
      <c r="K1184" s="71"/>
      <c r="L1184" s="69"/>
      <c r="M1184" s="69"/>
      <c r="N1184" s="72"/>
      <c r="O1184" s="69"/>
      <c r="P1184" s="69"/>
      <c r="Q1184" s="69"/>
      <c r="R1184" s="69"/>
      <c r="S1184" s="69"/>
      <c r="T1184" s="69"/>
      <c r="U1184" s="69"/>
      <c r="V1184" s="69"/>
      <c r="W1184" s="69"/>
      <c r="X1184" s="69"/>
      <c r="Y1184" s="69"/>
      <c r="Z1184" s="69"/>
      <c r="AA1184" s="69"/>
      <c r="AB1184" s="69"/>
      <c r="AC1184" s="69"/>
      <c r="AD1184" s="69"/>
      <c r="AE1184" s="69"/>
      <c r="AF1184" s="69"/>
      <c r="AG1184" s="69"/>
      <c r="AH1184" s="69"/>
      <c r="AI1184" s="69"/>
      <c r="AJ1184" s="69"/>
      <c r="AK1184" s="69"/>
      <c r="AL1184" s="69"/>
      <c r="AM1184" s="69"/>
      <c r="AN1184" s="69"/>
      <c r="AO1184" s="69"/>
      <c r="AP1184" s="69"/>
      <c r="AQ1184" s="69"/>
      <c r="AR1184" s="69"/>
      <c r="AS1184" s="69"/>
      <c r="AT1184" s="69"/>
      <c r="AU1184" s="69"/>
      <c r="AV1184" s="69"/>
      <c r="AW1184" s="69"/>
      <c r="AX1184" s="69"/>
      <c r="AY1184" s="69"/>
      <c r="AZ1184" s="69"/>
      <c r="BA1184" s="69"/>
      <c r="BB1184" s="69"/>
      <c r="BC1184" s="69"/>
    </row>
    <row r="1185">
      <c r="A1185" s="68"/>
      <c r="B1185" s="68"/>
      <c r="C1185" s="68"/>
      <c r="D1185" s="68"/>
      <c r="E1185" s="68"/>
      <c r="F1185" s="68"/>
      <c r="G1185" s="68"/>
      <c r="H1185" s="68"/>
      <c r="I1185" s="69"/>
      <c r="J1185" s="69"/>
      <c r="K1185" s="71"/>
      <c r="L1185" s="69"/>
      <c r="M1185" s="69"/>
      <c r="N1185" s="72"/>
      <c r="O1185" s="69"/>
      <c r="P1185" s="69"/>
      <c r="Q1185" s="69"/>
      <c r="R1185" s="69"/>
      <c r="S1185" s="69"/>
      <c r="T1185" s="69"/>
      <c r="U1185" s="69"/>
      <c r="V1185" s="69"/>
      <c r="W1185" s="69"/>
      <c r="X1185" s="69"/>
      <c r="Y1185" s="69"/>
      <c r="Z1185" s="69"/>
      <c r="AA1185" s="69"/>
      <c r="AB1185" s="69"/>
      <c r="AC1185" s="69"/>
      <c r="AD1185" s="69"/>
      <c r="AE1185" s="69"/>
      <c r="AF1185" s="69"/>
      <c r="AG1185" s="69"/>
      <c r="AH1185" s="69"/>
      <c r="AI1185" s="69"/>
      <c r="AJ1185" s="69"/>
      <c r="AK1185" s="69"/>
      <c r="AL1185" s="69"/>
      <c r="AM1185" s="69"/>
      <c r="AN1185" s="69"/>
      <c r="AO1185" s="69"/>
      <c r="AP1185" s="69"/>
      <c r="AQ1185" s="69"/>
      <c r="AR1185" s="69"/>
      <c r="AS1185" s="69"/>
      <c r="AT1185" s="69"/>
      <c r="AU1185" s="69"/>
      <c r="AV1185" s="69"/>
      <c r="AW1185" s="69"/>
      <c r="AX1185" s="69"/>
      <c r="AY1185" s="69"/>
      <c r="AZ1185" s="69"/>
      <c r="BA1185" s="69"/>
      <c r="BB1185" s="69"/>
      <c r="BC1185" s="69"/>
    </row>
    <row r="1186">
      <c r="A1186" s="68"/>
      <c r="B1186" s="68"/>
      <c r="C1186" s="68"/>
      <c r="D1186" s="68"/>
      <c r="E1186" s="68"/>
      <c r="F1186" s="68"/>
      <c r="G1186" s="68"/>
      <c r="H1186" s="68"/>
      <c r="I1186" s="69"/>
      <c r="J1186" s="69"/>
      <c r="K1186" s="71"/>
      <c r="L1186" s="69"/>
      <c r="M1186" s="69"/>
      <c r="N1186" s="72"/>
      <c r="O1186" s="69"/>
      <c r="P1186" s="69"/>
      <c r="Q1186" s="69"/>
      <c r="R1186" s="69"/>
      <c r="S1186" s="69"/>
      <c r="T1186" s="69"/>
      <c r="U1186" s="69"/>
      <c r="V1186" s="69"/>
      <c r="W1186" s="69"/>
      <c r="X1186" s="69"/>
      <c r="Y1186" s="69"/>
      <c r="Z1186" s="69"/>
      <c r="AA1186" s="69"/>
      <c r="AB1186" s="69"/>
      <c r="AC1186" s="69"/>
      <c r="AD1186" s="69"/>
      <c r="AE1186" s="69"/>
      <c r="AF1186" s="69"/>
      <c r="AG1186" s="69"/>
      <c r="AH1186" s="69"/>
      <c r="AI1186" s="69"/>
      <c r="AJ1186" s="69"/>
      <c r="AK1186" s="69"/>
      <c r="AL1186" s="69"/>
      <c r="AM1186" s="69"/>
      <c r="AN1186" s="69"/>
      <c r="AO1186" s="69"/>
      <c r="AP1186" s="69"/>
      <c r="AQ1186" s="69"/>
      <c r="AR1186" s="69"/>
      <c r="AS1186" s="69"/>
      <c r="AT1186" s="69"/>
      <c r="AU1186" s="69"/>
      <c r="AV1186" s="69"/>
      <c r="AW1186" s="69"/>
      <c r="AX1186" s="69"/>
      <c r="AY1186" s="69"/>
      <c r="AZ1186" s="69"/>
      <c r="BA1186" s="69"/>
      <c r="BB1186" s="69"/>
      <c r="BC1186" s="69"/>
    </row>
    <row r="1187">
      <c r="A1187" s="68"/>
      <c r="B1187" s="68"/>
      <c r="C1187" s="68"/>
      <c r="D1187" s="68"/>
      <c r="E1187" s="68"/>
      <c r="F1187" s="68"/>
      <c r="G1187" s="68"/>
      <c r="H1187" s="68"/>
      <c r="I1187" s="69"/>
      <c r="J1187" s="69"/>
      <c r="K1187" s="71"/>
      <c r="L1187" s="69"/>
      <c r="M1187" s="69"/>
      <c r="N1187" s="72"/>
      <c r="O1187" s="69"/>
      <c r="P1187" s="69"/>
      <c r="Q1187" s="69"/>
      <c r="R1187" s="69"/>
      <c r="S1187" s="69"/>
      <c r="T1187" s="69"/>
      <c r="U1187" s="69"/>
      <c r="V1187" s="69"/>
      <c r="W1187" s="69"/>
      <c r="X1187" s="69"/>
      <c r="Y1187" s="69"/>
      <c r="Z1187" s="69"/>
      <c r="AA1187" s="69"/>
      <c r="AB1187" s="69"/>
      <c r="AC1187" s="69"/>
      <c r="AD1187" s="69"/>
      <c r="AE1187" s="69"/>
      <c r="AF1187" s="69"/>
      <c r="AG1187" s="69"/>
      <c r="AH1187" s="69"/>
      <c r="AI1187" s="69"/>
      <c r="AJ1187" s="69"/>
      <c r="AK1187" s="69"/>
      <c r="AL1187" s="69"/>
      <c r="AM1187" s="69"/>
      <c r="AN1187" s="69"/>
      <c r="AO1187" s="69"/>
      <c r="AP1187" s="69"/>
      <c r="AQ1187" s="69"/>
      <c r="AR1187" s="69"/>
      <c r="AS1187" s="69"/>
      <c r="AT1187" s="69"/>
      <c r="AU1187" s="69"/>
      <c r="AV1187" s="69"/>
      <c r="AW1187" s="69"/>
      <c r="AX1187" s="69"/>
      <c r="AY1187" s="69"/>
      <c r="AZ1187" s="69"/>
      <c r="BA1187" s="69"/>
      <c r="BB1187" s="69"/>
      <c r="BC1187" s="69"/>
    </row>
    <row r="1188">
      <c r="A1188" s="68"/>
      <c r="B1188" s="68"/>
      <c r="C1188" s="68"/>
      <c r="D1188" s="68"/>
      <c r="E1188" s="68"/>
      <c r="F1188" s="68"/>
      <c r="G1188" s="68"/>
      <c r="H1188" s="68"/>
      <c r="I1188" s="69"/>
      <c r="J1188" s="69"/>
      <c r="K1188" s="71"/>
      <c r="L1188" s="69"/>
      <c r="M1188" s="69"/>
      <c r="N1188" s="72"/>
      <c r="O1188" s="69"/>
      <c r="P1188" s="69"/>
      <c r="Q1188" s="69"/>
      <c r="R1188" s="69"/>
      <c r="S1188" s="69"/>
      <c r="T1188" s="69"/>
      <c r="U1188" s="69"/>
      <c r="V1188" s="69"/>
      <c r="W1188" s="69"/>
      <c r="X1188" s="69"/>
      <c r="Y1188" s="69"/>
      <c r="Z1188" s="69"/>
      <c r="AA1188" s="69"/>
      <c r="AB1188" s="69"/>
      <c r="AC1188" s="69"/>
      <c r="AD1188" s="69"/>
      <c r="AE1188" s="69"/>
      <c r="AF1188" s="69"/>
      <c r="AG1188" s="69"/>
      <c r="AH1188" s="69"/>
      <c r="AI1188" s="69"/>
      <c r="AJ1188" s="69"/>
      <c r="AK1188" s="69"/>
      <c r="AL1188" s="69"/>
      <c r="AM1188" s="69"/>
      <c r="AN1188" s="69"/>
      <c r="AO1188" s="69"/>
      <c r="AP1188" s="69"/>
      <c r="AQ1188" s="69"/>
      <c r="AR1188" s="69"/>
      <c r="AS1188" s="69"/>
      <c r="AT1188" s="69"/>
      <c r="AU1188" s="69"/>
      <c r="AV1188" s="69"/>
      <c r="AW1188" s="69"/>
      <c r="AX1188" s="69"/>
      <c r="AY1188" s="69"/>
      <c r="AZ1188" s="69"/>
      <c r="BA1188" s="69"/>
      <c r="BB1188" s="69"/>
      <c r="BC1188" s="69"/>
    </row>
    <row r="1189">
      <c r="A1189" s="68"/>
      <c r="B1189" s="68"/>
      <c r="C1189" s="68"/>
      <c r="D1189" s="68"/>
      <c r="E1189" s="68"/>
      <c r="F1189" s="68"/>
      <c r="G1189" s="68"/>
      <c r="H1189" s="68"/>
      <c r="I1189" s="69"/>
      <c r="J1189" s="69"/>
      <c r="K1189" s="71"/>
      <c r="L1189" s="69"/>
      <c r="M1189" s="69"/>
      <c r="N1189" s="72"/>
      <c r="O1189" s="69"/>
      <c r="P1189" s="69"/>
      <c r="Q1189" s="69"/>
      <c r="R1189" s="69"/>
      <c r="S1189" s="69"/>
      <c r="T1189" s="69"/>
      <c r="U1189" s="69"/>
      <c r="V1189" s="69"/>
      <c r="W1189" s="69"/>
      <c r="X1189" s="69"/>
      <c r="Y1189" s="69"/>
      <c r="Z1189" s="69"/>
      <c r="AA1189" s="69"/>
      <c r="AB1189" s="69"/>
      <c r="AC1189" s="69"/>
      <c r="AD1189" s="69"/>
      <c r="AE1189" s="69"/>
      <c r="AF1189" s="69"/>
      <c r="AG1189" s="69"/>
      <c r="AH1189" s="69"/>
      <c r="AI1189" s="69"/>
      <c r="AJ1189" s="69"/>
      <c r="AK1189" s="69"/>
      <c r="AL1189" s="69"/>
      <c r="AM1189" s="69"/>
      <c r="AN1189" s="69"/>
      <c r="AO1189" s="69"/>
      <c r="AP1189" s="69"/>
      <c r="AQ1189" s="69"/>
      <c r="AR1189" s="69"/>
      <c r="AS1189" s="69"/>
      <c r="AT1189" s="69"/>
      <c r="AU1189" s="69"/>
      <c r="AV1189" s="69"/>
      <c r="AW1189" s="69"/>
      <c r="AX1189" s="69"/>
      <c r="AY1189" s="69"/>
      <c r="AZ1189" s="69"/>
      <c r="BA1189" s="69"/>
      <c r="BB1189" s="69"/>
      <c r="BC1189" s="69"/>
    </row>
    <row r="1190">
      <c r="A1190" s="68"/>
      <c r="B1190" s="68"/>
      <c r="C1190" s="68"/>
      <c r="D1190" s="68"/>
      <c r="E1190" s="68"/>
      <c r="F1190" s="68"/>
      <c r="G1190" s="68"/>
      <c r="H1190" s="68"/>
      <c r="I1190" s="69"/>
      <c r="J1190" s="69"/>
      <c r="K1190" s="71"/>
      <c r="L1190" s="69"/>
      <c r="M1190" s="69"/>
      <c r="N1190" s="72"/>
      <c r="O1190" s="69"/>
      <c r="P1190" s="69"/>
      <c r="Q1190" s="69"/>
      <c r="R1190" s="69"/>
      <c r="S1190" s="69"/>
      <c r="T1190" s="69"/>
      <c r="U1190" s="69"/>
      <c r="V1190" s="69"/>
      <c r="W1190" s="69"/>
      <c r="X1190" s="69"/>
      <c r="Y1190" s="69"/>
      <c r="Z1190" s="69"/>
      <c r="AA1190" s="69"/>
      <c r="AB1190" s="69"/>
      <c r="AC1190" s="69"/>
      <c r="AD1190" s="69"/>
      <c r="AE1190" s="69"/>
      <c r="AF1190" s="69"/>
      <c r="AG1190" s="69"/>
      <c r="AH1190" s="69"/>
      <c r="AI1190" s="69"/>
      <c r="AJ1190" s="69"/>
      <c r="AK1190" s="69"/>
      <c r="AL1190" s="69"/>
      <c r="AM1190" s="69"/>
      <c r="AN1190" s="69"/>
      <c r="AO1190" s="69"/>
      <c r="AP1190" s="69"/>
      <c r="AQ1190" s="69"/>
      <c r="AR1190" s="69"/>
      <c r="AS1190" s="69"/>
      <c r="AT1190" s="69"/>
      <c r="AU1190" s="69"/>
      <c r="AV1190" s="69"/>
      <c r="AW1190" s="69"/>
      <c r="AX1190" s="69"/>
      <c r="AY1190" s="69"/>
      <c r="AZ1190" s="69"/>
      <c r="BA1190" s="69"/>
      <c r="BB1190" s="69"/>
      <c r="BC1190" s="69"/>
    </row>
    <row r="1191">
      <c r="A1191" s="68"/>
      <c r="B1191" s="68"/>
      <c r="C1191" s="68"/>
      <c r="D1191" s="68"/>
      <c r="E1191" s="68"/>
      <c r="F1191" s="68"/>
      <c r="G1191" s="68"/>
      <c r="H1191" s="68"/>
      <c r="I1191" s="69"/>
      <c r="J1191" s="69"/>
      <c r="K1191" s="71"/>
      <c r="L1191" s="69"/>
      <c r="M1191" s="69"/>
      <c r="N1191" s="72"/>
      <c r="O1191" s="69"/>
      <c r="P1191" s="69"/>
      <c r="Q1191" s="69"/>
      <c r="R1191" s="69"/>
      <c r="S1191" s="69"/>
      <c r="T1191" s="69"/>
      <c r="U1191" s="69"/>
      <c r="V1191" s="69"/>
      <c r="W1191" s="69"/>
      <c r="X1191" s="69"/>
      <c r="Y1191" s="69"/>
      <c r="Z1191" s="69"/>
      <c r="AA1191" s="69"/>
      <c r="AB1191" s="69"/>
      <c r="AC1191" s="69"/>
      <c r="AD1191" s="69"/>
      <c r="AE1191" s="69"/>
      <c r="AF1191" s="69"/>
      <c r="AG1191" s="69"/>
      <c r="AH1191" s="69"/>
      <c r="AI1191" s="69"/>
      <c r="AJ1191" s="69"/>
      <c r="AK1191" s="69"/>
      <c r="AL1191" s="69"/>
      <c r="AM1191" s="69"/>
      <c r="AN1191" s="69"/>
      <c r="AO1191" s="69"/>
      <c r="AP1191" s="69"/>
      <c r="AQ1191" s="69"/>
      <c r="AR1191" s="69"/>
      <c r="AS1191" s="69"/>
      <c r="AT1191" s="69"/>
      <c r="AU1191" s="69"/>
      <c r="AV1191" s="69"/>
      <c r="AW1191" s="69"/>
      <c r="AX1191" s="69"/>
      <c r="AY1191" s="69"/>
      <c r="AZ1191" s="69"/>
      <c r="BA1191" s="69"/>
      <c r="BB1191" s="69"/>
      <c r="BC1191" s="69"/>
    </row>
    <row r="1192">
      <c r="A1192" s="68"/>
      <c r="B1192" s="68"/>
      <c r="C1192" s="68"/>
      <c r="D1192" s="68"/>
      <c r="E1192" s="68"/>
      <c r="F1192" s="68"/>
      <c r="G1192" s="68"/>
      <c r="H1192" s="68"/>
      <c r="I1192" s="69"/>
      <c r="J1192" s="69"/>
      <c r="K1192" s="71"/>
      <c r="L1192" s="69"/>
      <c r="M1192" s="69"/>
      <c r="N1192" s="72"/>
      <c r="O1192" s="69"/>
      <c r="P1192" s="69"/>
      <c r="Q1192" s="69"/>
      <c r="R1192" s="69"/>
      <c r="S1192" s="69"/>
      <c r="T1192" s="69"/>
      <c r="U1192" s="69"/>
      <c r="V1192" s="69"/>
      <c r="W1192" s="69"/>
      <c r="X1192" s="69"/>
      <c r="Y1192" s="69"/>
      <c r="Z1192" s="69"/>
      <c r="AA1192" s="69"/>
      <c r="AB1192" s="69"/>
      <c r="AC1192" s="69"/>
      <c r="AD1192" s="69"/>
      <c r="AE1192" s="69"/>
      <c r="AF1192" s="69"/>
      <c r="AG1192" s="69"/>
      <c r="AH1192" s="69"/>
      <c r="AI1192" s="69"/>
      <c r="AJ1192" s="69"/>
      <c r="AK1192" s="69"/>
      <c r="AL1192" s="69"/>
      <c r="AM1192" s="69"/>
      <c r="AN1192" s="69"/>
      <c r="AO1192" s="69"/>
      <c r="AP1192" s="69"/>
      <c r="AQ1192" s="69"/>
      <c r="AR1192" s="69"/>
      <c r="AS1192" s="69"/>
      <c r="AT1192" s="69"/>
      <c r="AU1192" s="69"/>
      <c r="AV1192" s="69"/>
      <c r="AW1192" s="69"/>
      <c r="AX1192" s="69"/>
      <c r="AY1192" s="69"/>
      <c r="AZ1192" s="69"/>
      <c r="BA1192" s="69"/>
      <c r="BB1192" s="69"/>
      <c r="BC1192" s="69"/>
    </row>
    <row r="1193">
      <c r="A1193" s="68"/>
      <c r="B1193" s="68"/>
      <c r="C1193" s="68"/>
      <c r="D1193" s="68"/>
      <c r="E1193" s="68"/>
      <c r="F1193" s="68"/>
      <c r="G1193" s="68"/>
      <c r="H1193" s="68"/>
      <c r="I1193" s="69"/>
      <c r="J1193" s="69"/>
      <c r="K1193" s="71"/>
      <c r="L1193" s="69"/>
      <c r="M1193" s="69"/>
      <c r="N1193" s="72"/>
      <c r="O1193" s="69"/>
      <c r="P1193" s="69"/>
      <c r="Q1193" s="69"/>
      <c r="R1193" s="69"/>
      <c r="S1193" s="69"/>
      <c r="T1193" s="69"/>
      <c r="U1193" s="69"/>
      <c r="V1193" s="69"/>
      <c r="W1193" s="69"/>
      <c r="X1193" s="69"/>
      <c r="Y1193" s="69"/>
      <c r="Z1193" s="69"/>
      <c r="AA1193" s="69"/>
      <c r="AB1193" s="69"/>
      <c r="AC1193" s="69"/>
      <c r="AD1193" s="69"/>
      <c r="AE1193" s="69"/>
      <c r="AF1193" s="69"/>
      <c r="AG1193" s="69"/>
      <c r="AH1193" s="69"/>
      <c r="AI1193" s="69"/>
      <c r="AJ1193" s="69"/>
      <c r="AK1193" s="69"/>
      <c r="AL1193" s="69"/>
      <c r="AM1193" s="69"/>
      <c r="AN1193" s="69"/>
      <c r="AO1193" s="69"/>
      <c r="AP1193" s="69"/>
      <c r="AQ1193" s="69"/>
      <c r="AR1193" s="69"/>
      <c r="AS1193" s="69"/>
      <c r="AT1193" s="69"/>
      <c r="AU1193" s="69"/>
      <c r="AV1193" s="69"/>
      <c r="AW1193" s="69"/>
      <c r="AX1193" s="69"/>
      <c r="AY1193" s="69"/>
      <c r="AZ1193" s="69"/>
      <c r="BA1193" s="69"/>
      <c r="BB1193" s="69"/>
      <c r="BC1193" s="69"/>
    </row>
    <row r="1194">
      <c r="A1194" s="68"/>
      <c r="B1194" s="68"/>
      <c r="C1194" s="68"/>
      <c r="D1194" s="68"/>
      <c r="E1194" s="68"/>
      <c r="F1194" s="68"/>
      <c r="G1194" s="68"/>
      <c r="H1194" s="68"/>
      <c r="I1194" s="69"/>
      <c r="J1194" s="69"/>
      <c r="K1194" s="71"/>
      <c r="L1194" s="69"/>
      <c r="M1194" s="69"/>
      <c r="N1194" s="72"/>
      <c r="O1194" s="69"/>
      <c r="P1194" s="69"/>
      <c r="Q1194" s="69"/>
      <c r="R1194" s="69"/>
      <c r="S1194" s="69"/>
      <c r="T1194" s="69"/>
      <c r="U1194" s="69"/>
      <c r="V1194" s="69"/>
      <c r="W1194" s="69"/>
      <c r="X1194" s="69"/>
      <c r="Y1194" s="69"/>
      <c r="Z1194" s="69"/>
      <c r="AA1194" s="69"/>
      <c r="AB1194" s="69"/>
      <c r="AC1194" s="69"/>
      <c r="AD1194" s="69"/>
      <c r="AE1194" s="69"/>
      <c r="AF1194" s="69"/>
      <c r="AG1194" s="69"/>
      <c r="AH1194" s="69"/>
      <c r="AI1194" s="69"/>
      <c r="AJ1194" s="69"/>
      <c r="AK1194" s="69"/>
      <c r="AL1194" s="69"/>
      <c r="AM1194" s="69"/>
      <c r="AN1194" s="69"/>
      <c r="AO1194" s="69"/>
      <c r="AP1194" s="69"/>
      <c r="AQ1194" s="69"/>
      <c r="AR1194" s="69"/>
      <c r="AS1194" s="69"/>
      <c r="AT1194" s="69"/>
      <c r="AU1194" s="69"/>
      <c r="AV1194" s="69"/>
      <c r="AW1194" s="69"/>
      <c r="AX1194" s="69"/>
      <c r="AY1194" s="69"/>
      <c r="AZ1194" s="69"/>
      <c r="BA1194" s="69"/>
      <c r="BB1194" s="69"/>
      <c r="BC1194" s="69"/>
    </row>
    <row r="1195">
      <c r="A1195" s="68"/>
      <c r="B1195" s="68"/>
      <c r="C1195" s="68"/>
      <c r="D1195" s="68"/>
      <c r="E1195" s="68"/>
      <c r="F1195" s="68"/>
      <c r="G1195" s="68"/>
      <c r="H1195" s="68"/>
      <c r="I1195" s="69"/>
      <c r="J1195" s="69"/>
      <c r="K1195" s="71"/>
      <c r="L1195" s="69"/>
      <c r="M1195" s="69"/>
      <c r="N1195" s="72"/>
      <c r="O1195" s="69"/>
      <c r="P1195" s="69"/>
      <c r="Q1195" s="69"/>
      <c r="R1195" s="69"/>
      <c r="S1195" s="69"/>
      <c r="T1195" s="69"/>
      <c r="U1195" s="69"/>
      <c r="V1195" s="69"/>
      <c r="W1195" s="69"/>
      <c r="X1195" s="69"/>
      <c r="Y1195" s="69"/>
      <c r="Z1195" s="69"/>
      <c r="AA1195" s="69"/>
      <c r="AB1195" s="69"/>
      <c r="AC1195" s="69"/>
      <c r="AD1195" s="69"/>
      <c r="AE1195" s="69"/>
      <c r="AF1195" s="69"/>
      <c r="AG1195" s="69"/>
      <c r="AH1195" s="69"/>
      <c r="AI1195" s="69"/>
      <c r="AJ1195" s="69"/>
      <c r="AK1195" s="69"/>
      <c r="AL1195" s="69"/>
      <c r="AM1195" s="69"/>
      <c r="AN1195" s="69"/>
      <c r="AO1195" s="69"/>
      <c r="AP1195" s="69"/>
      <c r="AQ1195" s="69"/>
      <c r="AR1195" s="69"/>
      <c r="AS1195" s="69"/>
      <c r="AT1195" s="69"/>
      <c r="AU1195" s="69"/>
      <c r="AV1195" s="69"/>
      <c r="AW1195" s="69"/>
      <c r="AX1195" s="69"/>
      <c r="AY1195" s="69"/>
      <c r="AZ1195" s="69"/>
      <c r="BA1195" s="69"/>
      <c r="BB1195" s="69"/>
      <c r="BC1195" s="69"/>
    </row>
    <row r="1196">
      <c r="A1196" s="68"/>
      <c r="B1196" s="68"/>
      <c r="C1196" s="68"/>
      <c r="D1196" s="68"/>
      <c r="E1196" s="68"/>
      <c r="F1196" s="68"/>
      <c r="G1196" s="68"/>
      <c r="H1196" s="68"/>
      <c r="I1196" s="69"/>
      <c r="J1196" s="69"/>
      <c r="K1196" s="71"/>
      <c r="L1196" s="69"/>
      <c r="M1196" s="69"/>
      <c r="N1196" s="72"/>
      <c r="O1196" s="69"/>
      <c r="P1196" s="69"/>
      <c r="Q1196" s="69"/>
      <c r="R1196" s="69"/>
      <c r="S1196" s="69"/>
      <c r="T1196" s="69"/>
      <c r="U1196" s="69"/>
      <c r="V1196" s="69"/>
      <c r="W1196" s="69"/>
      <c r="X1196" s="69"/>
      <c r="Y1196" s="69"/>
      <c r="Z1196" s="69"/>
      <c r="AA1196" s="69"/>
      <c r="AB1196" s="69"/>
      <c r="AC1196" s="69"/>
      <c r="AD1196" s="69"/>
      <c r="AE1196" s="69"/>
      <c r="AF1196" s="69"/>
      <c r="AG1196" s="69"/>
      <c r="AH1196" s="69"/>
      <c r="AI1196" s="69"/>
      <c r="AJ1196" s="69"/>
      <c r="AK1196" s="69"/>
      <c r="AL1196" s="69"/>
      <c r="AM1196" s="69"/>
      <c r="AN1196" s="69"/>
      <c r="AO1196" s="69"/>
      <c r="AP1196" s="69"/>
      <c r="AQ1196" s="69"/>
      <c r="AR1196" s="69"/>
      <c r="AS1196" s="69"/>
      <c r="AT1196" s="69"/>
      <c r="AU1196" s="69"/>
      <c r="AV1196" s="69"/>
      <c r="AW1196" s="69"/>
      <c r="AX1196" s="69"/>
      <c r="AY1196" s="69"/>
      <c r="AZ1196" s="69"/>
      <c r="BA1196" s="69"/>
      <c r="BB1196" s="69"/>
      <c r="BC1196" s="69"/>
    </row>
    <row r="1197">
      <c r="A1197" s="68"/>
      <c r="B1197" s="68"/>
      <c r="C1197" s="68"/>
      <c r="D1197" s="68"/>
      <c r="E1197" s="68"/>
      <c r="F1197" s="68"/>
      <c r="G1197" s="68"/>
      <c r="H1197" s="68"/>
      <c r="I1197" s="69"/>
      <c r="J1197" s="69"/>
      <c r="K1197" s="71"/>
      <c r="L1197" s="69"/>
      <c r="M1197" s="69"/>
      <c r="N1197" s="72"/>
      <c r="O1197" s="69"/>
      <c r="P1197" s="69"/>
      <c r="Q1197" s="69"/>
      <c r="R1197" s="69"/>
      <c r="S1197" s="69"/>
      <c r="T1197" s="69"/>
      <c r="U1197" s="69"/>
      <c r="V1197" s="69"/>
      <c r="W1197" s="69"/>
      <c r="X1197" s="69"/>
      <c r="Y1197" s="69"/>
      <c r="Z1197" s="69"/>
      <c r="AA1197" s="69"/>
      <c r="AB1197" s="69"/>
      <c r="AC1197" s="69"/>
      <c r="AD1197" s="69"/>
      <c r="AE1197" s="69"/>
      <c r="AF1197" s="69"/>
      <c r="AG1197" s="69"/>
      <c r="AH1197" s="69"/>
      <c r="AI1197" s="69"/>
      <c r="AJ1197" s="69"/>
      <c r="AK1197" s="69"/>
      <c r="AL1197" s="69"/>
      <c r="AM1197" s="69"/>
      <c r="AN1197" s="69"/>
      <c r="AO1197" s="69"/>
      <c r="AP1197" s="69"/>
      <c r="AQ1197" s="69"/>
      <c r="AR1197" s="69"/>
      <c r="AS1197" s="69"/>
      <c r="AT1197" s="69"/>
      <c r="AU1197" s="69"/>
      <c r="AV1197" s="69"/>
      <c r="AW1197" s="69"/>
      <c r="AX1197" s="69"/>
      <c r="AY1197" s="69"/>
      <c r="AZ1197" s="69"/>
      <c r="BA1197" s="69"/>
      <c r="BB1197" s="69"/>
      <c r="BC1197" s="69"/>
    </row>
    <row r="1198">
      <c r="A1198" s="68"/>
      <c r="B1198" s="68"/>
      <c r="C1198" s="68"/>
      <c r="D1198" s="68"/>
      <c r="E1198" s="68"/>
      <c r="F1198" s="68"/>
      <c r="G1198" s="68"/>
      <c r="H1198" s="68"/>
      <c r="I1198" s="69"/>
      <c r="J1198" s="69"/>
      <c r="K1198" s="71"/>
      <c r="L1198" s="69"/>
      <c r="M1198" s="69"/>
      <c r="N1198" s="72"/>
      <c r="O1198" s="69"/>
      <c r="P1198" s="69"/>
      <c r="Q1198" s="69"/>
      <c r="R1198" s="69"/>
      <c r="S1198" s="69"/>
      <c r="T1198" s="69"/>
      <c r="U1198" s="69"/>
      <c r="V1198" s="69"/>
      <c r="W1198" s="69"/>
      <c r="X1198" s="69"/>
      <c r="Y1198" s="69"/>
      <c r="Z1198" s="69"/>
      <c r="AA1198" s="69"/>
      <c r="AB1198" s="69"/>
      <c r="AC1198" s="69"/>
      <c r="AD1198" s="69"/>
      <c r="AE1198" s="69"/>
      <c r="AF1198" s="69"/>
      <c r="AG1198" s="69"/>
      <c r="AH1198" s="69"/>
      <c r="AI1198" s="69"/>
      <c r="AJ1198" s="69"/>
      <c r="AK1198" s="69"/>
      <c r="AL1198" s="69"/>
      <c r="AM1198" s="69"/>
      <c r="AN1198" s="69"/>
      <c r="AO1198" s="69"/>
      <c r="AP1198" s="69"/>
      <c r="AQ1198" s="69"/>
      <c r="AR1198" s="69"/>
      <c r="AS1198" s="69"/>
      <c r="AT1198" s="69"/>
      <c r="AU1198" s="69"/>
      <c r="AV1198" s="69"/>
      <c r="AW1198" s="69"/>
      <c r="AX1198" s="69"/>
      <c r="AY1198" s="69"/>
      <c r="AZ1198" s="69"/>
      <c r="BA1198" s="69"/>
      <c r="BB1198" s="69"/>
      <c r="BC1198" s="69"/>
    </row>
    <row r="1199">
      <c r="A1199" s="68"/>
      <c r="B1199" s="68"/>
      <c r="C1199" s="68"/>
      <c r="D1199" s="68"/>
      <c r="E1199" s="68"/>
      <c r="F1199" s="68"/>
      <c r="G1199" s="68"/>
      <c r="H1199" s="68"/>
      <c r="I1199" s="69"/>
      <c r="J1199" s="69"/>
      <c r="K1199" s="71"/>
      <c r="L1199" s="69"/>
      <c r="M1199" s="69"/>
      <c r="N1199" s="72"/>
      <c r="O1199" s="69"/>
      <c r="P1199" s="69"/>
      <c r="Q1199" s="69"/>
      <c r="R1199" s="69"/>
      <c r="S1199" s="69"/>
      <c r="T1199" s="69"/>
      <c r="U1199" s="69"/>
      <c r="V1199" s="69"/>
      <c r="W1199" s="69"/>
      <c r="X1199" s="69"/>
      <c r="Y1199" s="69"/>
      <c r="Z1199" s="69"/>
      <c r="AA1199" s="69"/>
      <c r="AB1199" s="69"/>
      <c r="AC1199" s="69"/>
      <c r="AD1199" s="69"/>
      <c r="AE1199" s="69"/>
      <c r="AF1199" s="69"/>
      <c r="AG1199" s="69"/>
      <c r="AH1199" s="69"/>
      <c r="AI1199" s="69"/>
      <c r="AJ1199" s="69"/>
      <c r="AK1199" s="69"/>
      <c r="AL1199" s="69"/>
      <c r="AM1199" s="69"/>
      <c r="AN1199" s="69"/>
      <c r="AO1199" s="69"/>
      <c r="AP1199" s="69"/>
      <c r="AQ1199" s="69"/>
      <c r="AR1199" s="69"/>
      <c r="AS1199" s="69"/>
      <c r="AT1199" s="69"/>
      <c r="AU1199" s="69"/>
      <c r="AV1199" s="69"/>
      <c r="AW1199" s="69"/>
      <c r="AX1199" s="69"/>
      <c r="AY1199" s="69"/>
      <c r="AZ1199" s="69"/>
      <c r="BA1199" s="69"/>
      <c r="BB1199" s="69"/>
      <c r="BC1199" s="69"/>
    </row>
    <row r="1200">
      <c r="A1200" s="68"/>
      <c r="B1200" s="68"/>
      <c r="C1200" s="68"/>
      <c r="D1200" s="68"/>
      <c r="E1200" s="68"/>
      <c r="F1200" s="68"/>
      <c r="G1200" s="68"/>
      <c r="H1200" s="68"/>
      <c r="I1200" s="69"/>
      <c r="J1200" s="69"/>
      <c r="K1200" s="71"/>
      <c r="L1200" s="69"/>
      <c r="M1200" s="69"/>
      <c r="N1200" s="72"/>
      <c r="O1200" s="69"/>
      <c r="P1200" s="69"/>
      <c r="Q1200" s="69"/>
      <c r="R1200" s="69"/>
      <c r="S1200" s="69"/>
      <c r="T1200" s="69"/>
      <c r="U1200" s="69"/>
      <c r="V1200" s="69"/>
      <c r="W1200" s="69"/>
      <c r="X1200" s="69"/>
      <c r="Y1200" s="69"/>
      <c r="Z1200" s="69"/>
      <c r="AA1200" s="69"/>
      <c r="AB1200" s="69"/>
      <c r="AC1200" s="69"/>
      <c r="AD1200" s="69"/>
      <c r="AE1200" s="69"/>
      <c r="AF1200" s="69"/>
      <c r="AG1200" s="69"/>
      <c r="AH1200" s="69"/>
      <c r="AI1200" s="69"/>
      <c r="AJ1200" s="69"/>
      <c r="AK1200" s="69"/>
      <c r="AL1200" s="69"/>
      <c r="AM1200" s="69"/>
      <c r="AN1200" s="69"/>
      <c r="AO1200" s="69"/>
      <c r="AP1200" s="69"/>
      <c r="AQ1200" s="69"/>
      <c r="AR1200" s="69"/>
      <c r="AS1200" s="69"/>
      <c r="AT1200" s="69"/>
      <c r="AU1200" s="69"/>
      <c r="AV1200" s="69"/>
      <c r="AW1200" s="69"/>
      <c r="AX1200" s="69"/>
      <c r="AY1200" s="69"/>
      <c r="AZ1200" s="69"/>
      <c r="BA1200" s="69"/>
      <c r="BB1200" s="69"/>
      <c r="BC1200" s="69"/>
    </row>
    <row r="1201">
      <c r="A1201" s="68"/>
      <c r="B1201" s="68"/>
      <c r="C1201" s="68"/>
      <c r="D1201" s="68"/>
      <c r="E1201" s="68"/>
      <c r="F1201" s="68"/>
      <c r="G1201" s="68"/>
      <c r="H1201" s="68"/>
      <c r="I1201" s="69"/>
      <c r="J1201" s="69"/>
      <c r="K1201" s="71"/>
      <c r="L1201" s="69"/>
      <c r="M1201" s="69"/>
      <c r="N1201" s="72"/>
      <c r="O1201" s="69"/>
      <c r="P1201" s="69"/>
      <c r="Q1201" s="69"/>
      <c r="R1201" s="69"/>
      <c r="S1201" s="69"/>
      <c r="T1201" s="69"/>
      <c r="U1201" s="69"/>
      <c r="V1201" s="69"/>
      <c r="W1201" s="69"/>
      <c r="X1201" s="69"/>
      <c r="Y1201" s="69"/>
      <c r="Z1201" s="69"/>
      <c r="AA1201" s="69"/>
      <c r="AB1201" s="69"/>
      <c r="AC1201" s="69"/>
      <c r="AD1201" s="69"/>
      <c r="AE1201" s="69"/>
      <c r="AF1201" s="69"/>
      <c r="AG1201" s="69"/>
      <c r="AH1201" s="69"/>
      <c r="AI1201" s="69"/>
      <c r="AJ1201" s="69"/>
      <c r="AK1201" s="69"/>
      <c r="AL1201" s="69"/>
      <c r="AM1201" s="69"/>
      <c r="AN1201" s="69"/>
      <c r="AO1201" s="69"/>
      <c r="AP1201" s="69"/>
      <c r="AQ1201" s="69"/>
      <c r="AR1201" s="69"/>
      <c r="AS1201" s="69"/>
      <c r="AT1201" s="69"/>
      <c r="AU1201" s="69"/>
      <c r="AV1201" s="69"/>
      <c r="AW1201" s="69"/>
      <c r="AX1201" s="69"/>
      <c r="AY1201" s="69"/>
      <c r="AZ1201" s="69"/>
      <c r="BA1201" s="69"/>
      <c r="BB1201" s="69"/>
      <c r="BC1201" s="69"/>
    </row>
    <row r="1202">
      <c r="A1202" s="68"/>
      <c r="B1202" s="68"/>
      <c r="C1202" s="68"/>
      <c r="D1202" s="68"/>
      <c r="E1202" s="68"/>
      <c r="F1202" s="68"/>
      <c r="G1202" s="68"/>
      <c r="H1202" s="68"/>
      <c r="I1202" s="69"/>
      <c r="J1202" s="69"/>
      <c r="K1202" s="71"/>
      <c r="L1202" s="69"/>
      <c r="M1202" s="69"/>
      <c r="N1202" s="72"/>
      <c r="O1202" s="69"/>
      <c r="P1202" s="69"/>
      <c r="Q1202" s="69"/>
      <c r="R1202" s="69"/>
      <c r="S1202" s="69"/>
      <c r="T1202" s="69"/>
      <c r="U1202" s="69"/>
      <c r="V1202" s="69"/>
      <c r="W1202" s="69"/>
      <c r="X1202" s="69"/>
      <c r="Y1202" s="69"/>
      <c r="Z1202" s="69"/>
      <c r="AA1202" s="69"/>
      <c r="AB1202" s="69"/>
      <c r="AC1202" s="69"/>
      <c r="AD1202" s="69"/>
      <c r="AE1202" s="69"/>
      <c r="AF1202" s="69"/>
      <c r="AG1202" s="69"/>
      <c r="AH1202" s="69"/>
      <c r="AI1202" s="69"/>
      <c r="AJ1202" s="69"/>
      <c r="AK1202" s="69"/>
      <c r="AL1202" s="69"/>
      <c r="AM1202" s="69"/>
      <c r="AN1202" s="69"/>
      <c r="AO1202" s="69"/>
      <c r="AP1202" s="69"/>
      <c r="AQ1202" s="69"/>
      <c r="AR1202" s="69"/>
      <c r="AS1202" s="69"/>
      <c r="AT1202" s="69"/>
      <c r="AU1202" s="69"/>
      <c r="AV1202" s="69"/>
      <c r="AW1202" s="69"/>
      <c r="AX1202" s="69"/>
      <c r="AY1202" s="69"/>
      <c r="AZ1202" s="69"/>
      <c r="BA1202" s="69"/>
      <c r="BB1202" s="69"/>
      <c r="BC1202" s="69"/>
    </row>
    <row r="1203">
      <c r="A1203" s="68"/>
      <c r="B1203" s="68"/>
      <c r="C1203" s="68"/>
      <c r="D1203" s="68"/>
      <c r="E1203" s="68"/>
      <c r="F1203" s="68"/>
      <c r="G1203" s="68"/>
      <c r="H1203" s="68"/>
      <c r="I1203" s="69"/>
      <c r="J1203" s="69"/>
      <c r="K1203" s="71"/>
      <c r="L1203" s="69"/>
      <c r="M1203" s="69"/>
      <c r="N1203" s="72"/>
      <c r="O1203" s="69"/>
      <c r="P1203" s="69"/>
      <c r="Q1203" s="69"/>
      <c r="R1203" s="69"/>
      <c r="S1203" s="69"/>
      <c r="T1203" s="69"/>
      <c r="U1203" s="69"/>
      <c r="V1203" s="69"/>
      <c r="W1203" s="69"/>
      <c r="X1203" s="69"/>
      <c r="Y1203" s="69"/>
      <c r="Z1203" s="69"/>
      <c r="AA1203" s="69"/>
      <c r="AB1203" s="69"/>
      <c r="AC1203" s="69"/>
      <c r="AD1203" s="69"/>
      <c r="AE1203" s="69"/>
      <c r="AF1203" s="69"/>
      <c r="AG1203" s="69"/>
      <c r="AH1203" s="69"/>
      <c r="AI1203" s="69"/>
      <c r="AJ1203" s="69"/>
      <c r="AK1203" s="69"/>
      <c r="AL1203" s="69"/>
      <c r="AM1203" s="69"/>
      <c r="AN1203" s="69"/>
      <c r="AO1203" s="69"/>
      <c r="AP1203" s="69"/>
      <c r="AQ1203" s="69"/>
      <c r="AR1203" s="69"/>
      <c r="AS1203" s="69"/>
      <c r="AT1203" s="69"/>
      <c r="AU1203" s="69"/>
      <c r="AV1203" s="69"/>
      <c r="AW1203" s="69"/>
      <c r="AX1203" s="69"/>
      <c r="AY1203" s="69"/>
      <c r="AZ1203" s="69"/>
      <c r="BA1203" s="69"/>
      <c r="BB1203" s="69"/>
      <c r="BC1203" s="69"/>
    </row>
    <row r="1204">
      <c r="A1204" s="68"/>
      <c r="B1204" s="68"/>
      <c r="C1204" s="68"/>
      <c r="D1204" s="68"/>
      <c r="E1204" s="68"/>
      <c r="F1204" s="68"/>
      <c r="G1204" s="68"/>
      <c r="H1204" s="68"/>
      <c r="I1204" s="69"/>
      <c r="J1204" s="69"/>
      <c r="K1204" s="71"/>
      <c r="L1204" s="69"/>
      <c r="M1204" s="69"/>
      <c r="N1204" s="72"/>
      <c r="O1204" s="69"/>
      <c r="P1204" s="69"/>
      <c r="Q1204" s="69"/>
      <c r="R1204" s="69"/>
      <c r="S1204" s="69"/>
      <c r="T1204" s="69"/>
      <c r="U1204" s="69"/>
      <c r="V1204" s="69"/>
      <c r="W1204" s="69"/>
      <c r="X1204" s="69"/>
      <c r="Y1204" s="69"/>
      <c r="Z1204" s="69"/>
      <c r="AA1204" s="69"/>
      <c r="AB1204" s="69"/>
      <c r="AC1204" s="69"/>
      <c r="AD1204" s="69"/>
      <c r="AE1204" s="69"/>
      <c r="AF1204" s="69"/>
      <c r="AG1204" s="69"/>
      <c r="AH1204" s="69"/>
      <c r="AI1204" s="69"/>
      <c r="AJ1204" s="69"/>
      <c r="AK1204" s="69"/>
      <c r="AL1204" s="69"/>
      <c r="AM1204" s="69"/>
      <c r="AN1204" s="69"/>
      <c r="AO1204" s="69"/>
      <c r="AP1204" s="69"/>
      <c r="AQ1204" s="69"/>
      <c r="AR1204" s="69"/>
      <c r="AS1204" s="69"/>
      <c r="AT1204" s="69"/>
      <c r="AU1204" s="69"/>
      <c r="AV1204" s="69"/>
      <c r="AW1204" s="69"/>
      <c r="AX1204" s="69"/>
      <c r="AY1204" s="69"/>
      <c r="AZ1204" s="69"/>
      <c r="BA1204" s="69"/>
      <c r="BB1204" s="69"/>
      <c r="BC1204" s="69"/>
    </row>
    <row r="1205">
      <c r="A1205" s="68"/>
      <c r="B1205" s="68"/>
      <c r="C1205" s="68"/>
      <c r="D1205" s="68"/>
      <c r="E1205" s="68"/>
      <c r="F1205" s="68"/>
      <c r="G1205" s="68"/>
      <c r="H1205" s="68"/>
      <c r="I1205" s="69"/>
      <c r="J1205" s="69"/>
      <c r="K1205" s="71"/>
      <c r="L1205" s="69"/>
      <c r="M1205" s="69"/>
      <c r="N1205" s="72"/>
      <c r="O1205" s="69"/>
      <c r="P1205" s="69"/>
      <c r="Q1205" s="69"/>
      <c r="R1205" s="69"/>
      <c r="S1205" s="69"/>
      <c r="T1205" s="69"/>
      <c r="U1205" s="69"/>
      <c r="V1205" s="69"/>
      <c r="W1205" s="69"/>
      <c r="X1205" s="69"/>
      <c r="Y1205" s="69"/>
      <c r="Z1205" s="69"/>
      <c r="AA1205" s="69"/>
      <c r="AB1205" s="69"/>
      <c r="AC1205" s="69"/>
      <c r="AD1205" s="69"/>
      <c r="AE1205" s="69"/>
      <c r="AF1205" s="69"/>
      <c r="AG1205" s="69"/>
      <c r="AH1205" s="69"/>
      <c r="AI1205" s="69"/>
      <c r="AJ1205" s="69"/>
      <c r="AK1205" s="69"/>
      <c r="AL1205" s="69"/>
      <c r="AM1205" s="69"/>
      <c r="AN1205" s="69"/>
      <c r="AO1205" s="69"/>
      <c r="AP1205" s="69"/>
      <c r="AQ1205" s="69"/>
      <c r="AR1205" s="69"/>
      <c r="AS1205" s="69"/>
      <c r="AT1205" s="69"/>
      <c r="AU1205" s="69"/>
      <c r="AV1205" s="69"/>
      <c r="AW1205" s="69"/>
      <c r="AX1205" s="69"/>
      <c r="AY1205" s="69"/>
      <c r="AZ1205" s="69"/>
      <c r="BA1205" s="69"/>
      <c r="BB1205" s="69"/>
      <c r="BC1205" s="69"/>
    </row>
    <row r="1206">
      <c r="A1206" s="68"/>
      <c r="B1206" s="68"/>
      <c r="C1206" s="68"/>
      <c r="D1206" s="68"/>
      <c r="E1206" s="68"/>
      <c r="F1206" s="68"/>
      <c r="G1206" s="68"/>
      <c r="H1206" s="68"/>
      <c r="I1206" s="69"/>
      <c r="J1206" s="69"/>
      <c r="K1206" s="71"/>
      <c r="L1206" s="69"/>
      <c r="M1206" s="69"/>
      <c r="N1206" s="72"/>
      <c r="O1206" s="69"/>
      <c r="P1206" s="69"/>
      <c r="Q1206" s="69"/>
      <c r="R1206" s="69"/>
      <c r="S1206" s="69"/>
      <c r="T1206" s="69"/>
      <c r="U1206" s="69"/>
      <c r="V1206" s="69"/>
      <c r="W1206" s="69"/>
      <c r="X1206" s="69"/>
      <c r="Y1206" s="69"/>
      <c r="Z1206" s="69"/>
      <c r="AA1206" s="69"/>
      <c r="AB1206" s="69"/>
      <c r="AC1206" s="69"/>
      <c r="AD1206" s="69"/>
      <c r="AE1206" s="69"/>
      <c r="AF1206" s="69"/>
      <c r="AG1206" s="69"/>
      <c r="AH1206" s="69"/>
      <c r="AI1206" s="69"/>
      <c r="AJ1206" s="69"/>
      <c r="AK1206" s="69"/>
      <c r="AL1206" s="69"/>
      <c r="AM1206" s="69"/>
      <c r="AN1206" s="69"/>
      <c r="AO1206" s="69"/>
      <c r="AP1206" s="69"/>
      <c r="AQ1206" s="69"/>
      <c r="AR1206" s="69"/>
      <c r="AS1206" s="69"/>
      <c r="AT1206" s="69"/>
      <c r="AU1206" s="69"/>
      <c r="AV1206" s="69"/>
      <c r="AW1206" s="69"/>
      <c r="AX1206" s="69"/>
      <c r="AY1206" s="69"/>
      <c r="AZ1206" s="69"/>
      <c r="BA1206" s="69"/>
      <c r="BB1206" s="69"/>
      <c r="BC1206" s="69"/>
    </row>
    <row r="1207">
      <c r="A1207" s="68"/>
      <c r="B1207" s="68"/>
      <c r="C1207" s="68"/>
      <c r="D1207" s="68"/>
      <c r="E1207" s="68"/>
      <c r="F1207" s="68"/>
      <c r="G1207" s="68"/>
      <c r="H1207" s="68"/>
      <c r="I1207" s="69"/>
      <c r="J1207" s="69"/>
      <c r="K1207" s="71"/>
      <c r="L1207" s="69"/>
      <c r="M1207" s="69"/>
      <c r="N1207" s="72"/>
      <c r="O1207" s="69"/>
      <c r="P1207" s="69"/>
      <c r="Q1207" s="69"/>
      <c r="R1207" s="69"/>
      <c r="S1207" s="69"/>
      <c r="T1207" s="69"/>
      <c r="U1207" s="69"/>
      <c r="V1207" s="69"/>
      <c r="W1207" s="69"/>
      <c r="X1207" s="69"/>
      <c r="Y1207" s="69"/>
      <c r="Z1207" s="69"/>
      <c r="AA1207" s="69"/>
      <c r="AB1207" s="69"/>
      <c r="AC1207" s="69"/>
      <c r="AD1207" s="69"/>
      <c r="AE1207" s="69"/>
      <c r="AF1207" s="69"/>
      <c r="AG1207" s="69"/>
      <c r="AH1207" s="69"/>
      <c r="AI1207" s="69"/>
      <c r="AJ1207" s="69"/>
      <c r="AK1207" s="69"/>
      <c r="AL1207" s="69"/>
      <c r="AM1207" s="69"/>
      <c r="AN1207" s="69"/>
      <c r="AO1207" s="69"/>
      <c r="AP1207" s="69"/>
      <c r="AQ1207" s="69"/>
      <c r="AR1207" s="69"/>
      <c r="AS1207" s="69"/>
      <c r="AT1207" s="69"/>
      <c r="AU1207" s="69"/>
      <c r="AV1207" s="69"/>
      <c r="AW1207" s="69"/>
      <c r="AX1207" s="69"/>
      <c r="AY1207" s="69"/>
      <c r="AZ1207" s="69"/>
      <c r="BA1207" s="69"/>
      <c r="BB1207" s="69"/>
      <c r="BC1207" s="69"/>
    </row>
    <row r="1208">
      <c r="A1208" s="68"/>
      <c r="B1208" s="68"/>
      <c r="C1208" s="68"/>
      <c r="D1208" s="68"/>
      <c r="E1208" s="68"/>
      <c r="F1208" s="68"/>
      <c r="G1208" s="68"/>
      <c r="H1208" s="68"/>
      <c r="I1208" s="69"/>
      <c r="J1208" s="69"/>
      <c r="K1208" s="71"/>
      <c r="L1208" s="69"/>
      <c r="M1208" s="69"/>
      <c r="N1208" s="72"/>
      <c r="O1208" s="69"/>
      <c r="P1208" s="69"/>
      <c r="Q1208" s="69"/>
      <c r="R1208" s="69"/>
      <c r="S1208" s="69"/>
      <c r="T1208" s="69"/>
      <c r="U1208" s="69"/>
      <c r="V1208" s="69"/>
      <c r="W1208" s="69"/>
      <c r="X1208" s="69"/>
      <c r="Y1208" s="69"/>
      <c r="Z1208" s="69"/>
      <c r="AA1208" s="69"/>
      <c r="AB1208" s="69"/>
      <c r="AC1208" s="69"/>
      <c r="AD1208" s="69"/>
      <c r="AE1208" s="69"/>
      <c r="AF1208" s="69"/>
      <c r="AG1208" s="69"/>
      <c r="AH1208" s="69"/>
      <c r="AI1208" s="69"/>
      <c r="AJ1208" s="69"/>
      <c r="AK1208" s="69"/>
      <c r="AL1208" s="69"/>
      <c r="AM1208" s="69"/>
      <c r="AN1208" s="69"/>
      <c r="AO1208" s="69"/>
      <c r="AP1208" s="69"/>
      <c r="AQ1208" s="69"/>
      <c r="AR1208" s="69"/>
      <c r="AS1208" s="69"/>
      <c r="AT1208" s="69"/>
      <c r="AU1208" s="69"/>
      <c r="AV1208" s="69"/>
      <c r="AW1208" s="69"/>
      <c r="AX1208" s="69"/>
      <c r="AY1208" s="69"/>
      <c r="AZ1208" s="69"/>
      <c r="BA1208" s="69"/>
      <c r="BB1208" s="69"/>
      <c r="BC1208" s="69"/>
    </row>
    <row r="1209">
      <c r="A1209" s="68"/>
      <c r="B1209" s="68"/>
      <c r="C1209" s="68"/>
      <c r="D1209" s="68"/>
      <c r="E1209" s="68"/>
      <c r="F1209" s="68"/>
      <c r="G1209" s="68"/>
      <c r="H1209" s="68"/>
      <c r="I1209" s="69"/>
      <c r="J1209" s="69"/>
      <c r="K1209" s="71"/>
      <c r="L1209" s="69"/>
      <c r="M1209" s="69"/>
      <c r="N1209" s="72"/>
      <c r="O1209" s="69"/>
      <c r="P1209" s="69"/>
      <c r="Q1209" s="69"/>
      <c r="R1209" s="69"/>
      <c r="S1209" s="69"/>
      <c r="T1209" s="69"/>
      <c r="U1209" s="69"/>
      <c r="V1209" s="69"/>
      <c r="W1209" s="69"/>
      <c r="X1209" s="69"/>
      <c r="Y1209" s="69"/>
      <c r="Z1209" s="69"/>
      <c r="AA1209" s="69"/>
      <c r="AB1209" s="69"/>
      <c r="AC1209" s="69"/>
      <c r="AD1209" s="69"/>
      <c r="AE1209" s="69"/>
      <c r="AF1209" s="69"/>
      <c r="AG1209" s="69"/>
      <c r="AH1209" s="69"/>
      <c r="AI1209" s="69"/>
      <c r="AJ1209" s="69"/>
      <c r="AK1209" s="69"/>
      <c r="AL1209" s="69"/>
      <c r="AM1209" s="69"/>
      <c r="AN1209" s="69"/>
      <c r="AO1209" s="69"/>
      <c r="AP1209" s="69"/>
      <c r="AQ1209" s="69"/>
      <c r="AR1209" s="69"/>
      <c r="AS1209" s="69"/>
      <c r="AT1209" s="69"/>
      <c r="AU1209" s="69"/>
      <c r="AV1209" s="69"/>
      <c r="AW1209" s="69"/>
      <c r="AX1209" s="69"/>
      <c r="AY1209" s="69"/>
      <c r="AZ1209" s="69"/>
      <c r="BA1209" s="69"/>
      <c r="BB1209" s="69"/>
      <c r="BC1209" s="69"/>
    </row>
    <row r="1210">
      <c r="A1210" s="68"/>
      <c r="B1210" s="68"/>
      <c r="C1210" s="68"/>
      <c r="D1210" s="68"/>
      <c r="E1210" s="68"/>
      <c r="F1210" s="68"/>
      <c r="G1210" s="68"/>
      <c r="H1210" s="68"/>
      <c r="I1210" s="69"/>
      <c r="J1210" s="69"/>
      <c r="K1210" s="71"/>
      <c r="L1210" s="69"/>
      <c r="M1210" s="69"/>
      <c r="N1210" s="72"/>
      <c r="O1210" s="69"/>
      <c r="P1210" s="69"/>
      <c r="Q1210" s="69"/>
      <c r="R1210" s="69"/>
      <c r="S1210" s="69"/>
      <c r="T1210" s="69"/>
      <c r="U1210" s="69"/>
      <c r="V1210" s="69"/>
      <c r="W1210" s="69"/>
      <c r="X1210" s="69"/>
      <c r="Y1210" s="69"/>
      <c r="Z1210" s="69"/>
      <c r="AA1210" s="69"/>
      <c r="AB1210" s="69"/>
      <c r="AC1210" s="69"/>
      <c r="AD1210" s="69"/>
      <c r="AE1210" s="69"/>
      <c r="AF1210" s="69"/>
      <c r="AG1210" s="69"/>
      <c r="AH1210" s="69"/>
      <c r="AI1210" s="69"/>
      <c r="AJ1210" s="69"/>
      <c r="AK1210" s="69"/>
      <c r="AL1210" s="69"/>
      <c r="AM1210" s="69"/>
      <c r="AN1210" s="69"/>
      <c r="AO1210" s="69"/>
      <c r="AP1210" s="69"/>
      <c r="AQ1210" s="69"/>
      <c r="AR1210" s="69"/>
      <c r="AS1210" s="69"/>
      <c r="AT1210" s="69"/>
      <c r="AU1210" s="69"/>
      <c r="AV1210" s="69"/>
      <c r="AW1210" s="69"/>
      <c r="AX1210" s="69"/>
      <c r="AY1210" s="69"/>
      <c r="AZ1210" s="69"/>
      <c r="BA1210" s="69"/>
      <c r="BB1210" s="69"/>
      <c r="BC1210" s="69"/>
    </row>
    <row r="1211">
      <c r="A1211" s="68"/>
      <c r="B1211" s="68"/>
      <c r="C1211" s="68"/>
      <c r="D1211" s="68"/>
      <c r="E1211" s="68"/>
      <c r="F1211" s="68"/>
      <c r="G1211" s="68"/>
      <c r="H1211" s="68"/>
      <c r="I1211" s="69"/>
      <c r="J1211" s="69"/>
      <c r="K1211" s="71"/>
      <c r="L1211" s="69"/>
      <c r="M1211" s="69"/>
      <c r="N1211" s="72"/>
      <c r="O1211" s="69"/>
      <c r="P1211" s="69"/>
      <c r="Q1211" s="69"/>
      <c r="R1211" s="69"/>
      <c r="S1211" s="69"/>
      <c r="T1211" s="69"/>
      <c r="U1211" s="69"/>
      <c r="V1211" s="69"/>
      <c r="W1211" s="69"/>
      <c r="X1211" s="69"/>
      <c r="Y1211" s="69"/>
      <c r="Z1211" s="69"/>
      <c r="AA1211" s="69"/>
      <c r="AB1211" s="69"/>
      <c r="AC1211" s="69"/>
      <c r="AD1211" s="69"/>
      <c r="AE1211" s="69"/>
      <c r="AF1211" s="69"/>
      <c r="AG1211" s="69"/>
      <c r="AH1211" s="69"/>
      <c r="AI1211" s="69"/>
      <c r="AJ1211" s="69"/>
      <c r="AK1211" s="69"/>
      <c r="AL1211" s="69"/>
      <c r="AM1211" s="69"/>
      <c r="AN1211" s="69"/>
      <c r="AO1211" s="69"/>
      <c r="AP1211" s="69"/>
      <c r="AQ1211" s="69"/>
      <c r="AR1211" s="69"/>
      <c r="AS1211" s="69"/>
      <c r="AT1211" s="69"/>
      <c r="AU1211" s="69"/>
      <c r="AV1211" s="69"/>
      <c r="AW1211" s="69"/>
      <c r="AX1211" s="69"/>
      <c r="AY1211" s="69"/>
      <c r="AZ1211" s="69"/>
      <c r="BA1211" s="69"/>
      <c r="BB1211" s="69"/>
      <c r="BC1211" s="69"/>
    </row>
    <row r="1212">
      <c r="A1212" s="68"/>
      <c r="B1212" s="68"/>
      <c r="C1212" s="68"/>
      <c r="D1212" s="68"/>
      <c r="E1212" s="68"/>
      <c r="F1212" s="68"/>
      <c r="G1212" s="68"/>
      <c r="H1212" s="68"/>
      <c r="I1212" s="69"/>
      <c r="J1212" s="69"/>
      <c r="K1212" s="71"/>
      <c r="L1212" s="69"/>
      <c r="M1212" s="69"/>
      <c r="N1212" s="72"/>
      <c r="O1212" s="69"/>
      <c r="P1212" s="69"/>
      <c r="Q1212" s="69"/>
      <c r="R1212" s="69"/>
      <c r="S1212" s="69"/>
      <c r="T1212" s="69"/>
      <c r="U1212" s="69"/>
      <c r="V1212" s="69"/>
      <c r="W1212" s="69"/>
      <c r="X1212" s="69"/>
      <c r="Y1212" s="69"/>
      <c r="Z1212" s="69"/>
      <c r="AA1212" s="69"/>
      <c r="AB1212" s="69"/>
      <c r="AC1212" s="69"/>
      <c r="AD1212" s="69"/>
      <c r="AE1212" s="69"/>
      <c r="AF1212" s="69"/>
      <c r="AG1212" s="69"/>
      <c r="AH1212" s="69"/>
      <c r="AI1212" s="69"/>
      <c r="AJ1212" s="69"/>
      <c r="AK1212" s="69"/>
      <c r="AL1212" s="69"/>
      <c r="AM1212" s="69"/>
      <c r="AN1212" s="69"/>
      <c r="AO1212" s="69"/>
      <c r="AP1212" s="69"/>
      <c r="AQ1212" s="69"/>
      <c r="AR1212" s="69"/>
      <c r="AS1212" s="69"/>
      <c r="AT1212" s="69"/>
      <c r="AU1212" s="69"/>
      <c r="AV1212" s="69"/>
      <c r="AW1212" s="69"/>
      <c r="AX1212" s="69"/>
      <c r="AY1212" s="69"/>
      <c r="AZ1212" s="69"/>
      <c r="BA1212" s="69"/>
      <c r="BB1212" s="69"/>
      <c r="BC1212" s="69"/>
    </row>
    <row r="1213">
      <c r="A1213" s="68"/>
      <c r="B1213" s="68"/>
      <c r="C1213" s="68"/>
      <c r="D1213" s="68"/>
      <c r="E1213" s="68"/>
      <c r="F1213" s="68"/>
      <c r="G1213" s="68"/>
      <c r="H1213" s="68"/>
      <c r="I1213" s="69"/>
      <c r="J1213" s="69"/>
      <c r="K1213" s="71"/>
      <c r="L1213" s="69"/>
      <c r="M1213" s="69"/>
      <c r="N1213" s="72"/>
      <c r="O1213" s="69"/>
      <c r="P1213" s="69"/>
      <c r="Q1213" s="69"/>
      <c r="R1213" s="69"/>
      <c r="S1213" s="69"/>
      <c r="T1213" s="69"/>
      <c r="U1213" s="69"/>
      <c r="V1213" s="69"/>
      <c r="W1213" s="69"/>
      <c r="X1213" s="69"/>
      <c r="Y1213" s="69"/>
      <c r="Z1213" s="69"/>
      <c r="AA1213" s="69"/>
      <c r="AB1213" s="69"/>
      <c r="AC1213" s="69"/>
      <c r="AD1213" s="69"/>
      <c r="AE1213" s="69"/>
      <c r="AF1213" s="69"/>
      <c r="AG1213" s="69"/>
      <c r="AH1213" s="69"/>
      <c r="AI1213" s="69"/>
      <c r="AJ1213" s="69"/>
      <c r="AK1213" s="69"/>
      <c r="AL1213" s="69"/>
      <c r="AM1213" s="69"/>
      <c r="AN1213" s="69"/>
      <c r="AO1213" s="69"/>
      <c r="AP1213" s="69"/>
      <c r="AQ1213" s="69"/>
      <c r="AR1213" s="69"/>
      <c r="AS1213" s="69"/>
      <c r="AT1213" s="69"/>
      <c r="AU1213" s="69"/>
      <c r="AV1213" s="69"/>
      <c r="AW1213" s="69"/>
      <c r="AX1213" s="69"/>
      <c r="AY1213" s="69"/>
      <c r="AZ1213" s="69"/>
      <c r="BA1213" s="69"/>
      <c r="BB1213" s="69"/>
      <c r="BC1213" s="69"/>
    </row>
    <row r="1214">
      <c r="A1214" s="68"/>
      <c r="B1214" s="68"/>
      <c r="C1214" s="68"/>
      <c r="D1214" s="68"/>
      <c r="E1214" s="68"/>
      <c r="F1214" s="68"/>
      <c r="G1214" s="68"/>
      <c r="H1214" s="68"/>
      <c r="I1214" s="69"/>
      <c r="J1214" s="69"/>
      <c r="K1214" s="71"/>
      <c r="L1214" s="69"/>
      <c r="M1214" s="69"/>
      <c r="N1214" s="72"/>
      <c r="O1214" s="69"/>
      <c r="P1214" s="69"/>
      <c r="Q1214" s="69"/>
      <c r="R1214" s="69"/>
      <c r="S1214" s="69"/>
      <c r="T1214" s="69"/>
      <c r="U1214" s="69"/>
      <c r="V1214" s="69"/>
      <c r="W1214" s="69"/>
      <c r="X1214" s="69"/>
      <c r="Y1214" s="69"/>
      <c r="Z1214" s="69"/>
      <c r="AA1214" s="69"/>
      <c r="AB1214" s="69"/>
      <c r="AC1214" s="69"/>
      <c r="AD1214" s="69"/>
      <c r="AE1214" s="69"/>
      <c r="AF1214" s="69"/>
      <c r="AG1214" s="69"/>
      <c r="AH1214" s="69"/>
      <c r="AI1214" s="69"/>
      <c r="AJ1214" s="69"/>
      <c r="AK1214" s="69"/>
      <c r="AL1214" s="69"/>
      <c r="AM1214" s="69"/>
      <c r="AN1214" s="69"/>
      <c r="AO1214" s="69"/>
      <c r="AP1214" s="69"/>
      <c r="AQ1214" s="69"/>
      <c r="AR1214" s="69"/>
      <c r="AS1214" s="69"/>
      <c r="AT1214" s="69"/>
      <c r="AU1214" s="69"/>
      <c r="AV1214" s="69"/>
      <c r="AW1214" s="69"/>
      <c r="AX1214" s="69"/>
      <c r="AY1214" s="69"/>
      <c r="AZ1214" s="69"/>
      <c r="BA1214" s="69"/>
      <c r="BB1214" s="69"/>
      <c r="BC1214" s="69"/>
    </row>
    <row r="1215">
      <c r="A1215" s="68"/>
      <c r="B1215" s="68"/>
      <c r="C1215" s="68"/>
      <c r="D1215" s="68"/>
      <c r="E1215" s="68"/>
      <c r="F1215" s="68"/>
      <c r="G1215" s="68"/>
      <c r="H1215" s="68"/>
      <c r="I1215" s="69"/>
      <c r="J1215" s="69"/>
      <c r="K1215" s="71"/>
      <c r="L1215" s="69"/>
      <c r="M1215" s="69"/>
      <c r="N1215" s="72"/>
      <c r="O1215" s="69"/>
      <c r="P1215" s="69"/>
      <c r="Q1215" s="69"/>
      <c r="R1215" s="69"/>
      <c r="S1215" s="69"/>
      <c r="T1215" s="69"/>
      <c r="U1215" s="69"/>
      <c r="V1215" s="69"/>
      <c r="W1215" s="69"/>
      <c r="X1215" s="69"/>
      <c r="Y1215" s="69"/>
      <c r="Z1215" s="69"/>
      <c r="AA1215" s="69"/>
      <c r="AB1215" s="69"/>
      <c r="AC1215" s="69"/>
      <c r="AD1215" s="69"/>
      <c r="AE1215" s="69"/>
      <c r="AF1215" s="69"/>
      <c r="AG1215" s="69"/>
      <c r="AH1215" s="69"/>
      <c r="AI1215" s="69"/>
      <c r="AJ1215" s="69"/>
      <c r="AK1215" s="69"/>
      <c r="AL1215" s="69"/>
      <c r="AM1215" s="69"/>
      <c r="AN1215" s="69"/>
      <c r="AO1215" s="69"/>
      <c r="AP1215" s="69"/>
      <c r="AQ1215" s="69"/>
      <c r="AR1215" s="69"/>
      <c r="AS1215" s="69"/>
      <c r="AT1215" s="69"/>
      <c r="AU1215" s="69"/>
      <c r="AV1215" s="69"/>
      <c r="AW1215" s="69"/>
      <c r="AX1215" s="69"/>
      <c r="AY1215" s="69"/>
      <c r="AZ1215" s="69"/>
      <c r="BA1215" s="69"/>
      <c r="BB1215" s="69"/>
      <c r="BC1215" s="69"/>
    </row>
    <row r="1216">
      <c r="A1216" s="68"/>
      <c r="B1216" s="68"/>
      <c r="C1216" s="68"/>
      <c r="D1216" s="68"/>
      <c r="E1216" s="68"/>
      <c r="F1216" s="68"/>
      <c r="G1216" s="68"/>
      <c r="H1216" s="68"/>
      <c r="I1216" s="69"/>
      <c r="J1216" s="69"/>
      <c r="K1216" s="71"/>
      <c r="L1216" s="69"/>
      <c r="M1216" s="69"/>
      <c r="N1216" s="72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69"/>
      <c r="AD1216" s="69"/>
      <c r="AE1216" s="69"/>
      <c r="AF1216" s="69"/>
      <c r="AG1216" s="69"/>
      <c r="AH1216" s="69"/>
      <c r="AI1216" s="69"/>
      <c r="AJ1216" s="69"/>
      <c r="AK1216" s="69"/>
      <c r="AL1216" s="69"/>
      <c r="AM1216" s="69"/>
      <c r="AN1216" s="69"/>
      <c r="AO1216" s="69"/>
      <c r="AP1216" s="69"/>
      <c r="AQ1216" s="69"/>
      <c r="AR1216" s="69"/>
      <c r="AS1216" s="69"/>
      <c r="AT1216" s="69"/>
      <c r="AU1216" s="69"/>
      <c r="AV1216" s="69"/>
      <c r="AW1216" s="69"/>
      <c r="AX1216" s="69"/>
      <c r="AY1216" s="69"/>
      <c r="AZ1216" s="69"/>
      <c r="BA1216" s="69"/>
      <c r="BB1216" s="69"/>
      <c r="BC1216" s="69"/>
    </row>
    <row r="1217">
      <c r="A1217" s="68"/>
      <c r="B1217" s="68"/>
      <c r="C1217" s="68"/>
      <c r="D1217" s="68"/>
      <c r="E1217" s="68"/>
      <c r="F1217" s="68"/>
      <c r="G1217" s="68"/>
      <c r="H1217" s="68"/>
      <c r="I1217" s="69"/>
      <c r="J1217" s="69"/>
      <c r="K1217" s="71"/>
      <c r="L1217" s="69"/>
      <c r="M1217" s="69"/>
      <c r="N1217" s="72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  <c r="AA1217" s="69"/>
      <c r="AB1217" s="69"/>
      <c r="AC1217" s="69"/>
      <c r="AD1217" s="69"/>
      <c r="AE1217" s="69"/>
      <c r="AF1217" s="69"/>
      <c r="AG1217" s="69"/>
      <c r="AH1217" s="69"/>
      <c r="AI1217" s="69"/>
      <c r="AJ1217" s="69"/>
      <c r="AK1217" s="69"/>
      <c r="AL1217" s="69"/>
      <c r="AM1217" s="69"/>
      <c r="AN1217" s="69"/>
      <c r="AO1217" s="69"/>
      <c r="AP1217" s="69"/>
      <c r="AQ1217" s="69"/>
      <c r="AR1217" s="69"/>
      <c r="AS1217" s="69"/>
      <c r="AT1217" s="69"/>
      <c r="AU1217" s="69"/>
      <c r="AV1217" s="69"/>
      <c r="AW1217" s="69"/>
      <c r="AX1217" s="69"/>
      <c r="AY1217" s="69"/>
      <c r="AZ1217" s="69"/>
      <c r="BA1217" s="69"/>
      <c r="BB1217" s="69"/>
      <c r="BC1217" s="69"/>
    </row>
    <row r="1218">
      <c r="A1218" s="68"/>
      <c r="B1218" s="68"/>
      <c r="C1218" s="68"/>
      <c r="D1218" s="68"/>
      <c r="E1218" s="68"/>
      <c r="F1218" s="68"/>
      <c r="G1218" s="68"/>
      <c r="H1218" s="68"/>
      <c r="I1218" s="69"/>
      <c r="J1218" s="69"/>
      <c r="K1218" s="71"/>
      <c r="L1218" s="69"/>
      <c r="M1218" s="69"/>
      <c r="N1218" s="72"/>
      <c r="O1218" s="69"/>
      <c r="P1218" s="69"/>
      <c r="Q1218" s="69"/>
      <c r="R1218" s="69"/>
      <c r="S1218" s="69"/>
      <c r="T1218" s="69"/>
      <c r="U1218" s="69"/>
      <c r="V1218" s="69"/>
      <c r="W1218" s="69"/>
      <c r="X1218" s="69"/>
      <c r="Y1218" s="69"/>
      <c r="Z1218" s="69"/>
      <c r="AA1218" s="69"/>
      <c r="AB1218" s="69"/>
      <c r="AC1218" s="69"/>
      <c r="AD1218" s="69"/>
      <c r="AE1218" s="69"/>
      <c r="AF1218" s="69"/>
      <c r="AG1218" s="69"/>
      <c r="AH1218" s="69"/>
      <c r="AI1218" s="69"/>
      <c r="AJ1218" s="69"/>
      <c r="AK1218" s="69"/>
      <c r="AL1218" s="69"/>
      <c r="AM1218" s="69"/>
      <c r="AN1218" s="69"/>
      <c r="AO1218" s="69"/>
      <c r="AP1218" s="69"/>
      <c r="AQ1218" s="69"/>
      <c r="AR1218" s="69"/>
      <c r="AS1218" s="69"/>
      <c r="AT1218" s="69"/>
      <c r="AU1218" s="69"/>
      <c r="AV1218" s="69"/>
      <c r="AW1218" s="69"/>
      <c r="AX1218" s="69"/>
      <c r="AY1218" s="69"/>
      <c r="AZ1218" s="69"/>
      <c r="BA1218" s="69"/>
      <c r="BB1218" s="69"/>
      <c r="BC1218" s="69"/>
    </row>
    <row r="1219">
      <c r="A1219" s="68"/>
      <c r="B1219" s="68"/>
      <c r="C1219" s="68"/>
      <c r="D1219" s="68"/>
      <c r="E1219" s="68"/>
      <c r="F1219" s="68"/>
      <c r="G1219" s="68"/>
      <c r="H1219" s="68"/>
      <c r="I1219" s="69"/>
      <c r="J1219" s="69"/>
      <c r="K1219" s="71"/>
      <c r="L1219" s="69"/>
      <c r="M1219" s="69"/>
      <c r="N1219" s="72"/>
      <c r="O1219" s="69"/>
      <c r="P1219" s="69"/>
      <c r="Q1219" s="69"/>
      <c r="R1219" s="69"/>
      <c r="S1219" s="69"/>
      <c r="T1219" s="69"/>
      <c r="U1219" s="69"/>
      <c r="V1219" s="69"/>
      <c r="W1219" s="69"/>
      <c r="X1219" s="69"/>
      <c r="Y1219" s="69"/>
      <c r="Z1219" s="69"/>
      <c r="AA1219" s="69"/>
      <c r="AB1219" s="69"/>
      <c r="AC1219" s="69"/>
      <c r="AD1219" s="69"/>
      <c r="AE1219" s="69"/>
      <c r="AF1219" s="69"/>
      <c r="AG1219" s="69"/>
      <c r="AH1219" s="69"/>
      <c r="AI1219" s="69"/>
      <c r="AJ1219" s="69"/>
      <c r="AK1219" s="69"/>
      <c r="AL1219" s="69"/>
      <c r="AM1219" s="69"/>
      <c r="AN1219" s="69"/>
      <c r="AO1219" s="69"/>
      <c r="AP1219" s="69"/>
      <c r="AQ1219" s="69"/>
      <c r="AR1219" s="69"/>
      <c r="AS1219" s="69"/>
      <c r="AT1219" s="69"/>
      <c r="AU1219" s="69"/>
      <c r="AV1219" s="69"/>
      <c r="AW1219" s="69"/>
      <c r="AX1219" s="69"/>
      <c r="AY1219" s="69"/>
      <c r="AZ1219" s="69"/>
      <c r="BA1219" s="69"/>
      <c r="BB1219" s="69"/>
      <c r="BC1219" s="69"/>
    </row>
    <row r="1220">
      <c r="A1220" s="68"/>
      <c r="B1220" s="68"/>
      <c r="C1220" s="68"/>
      <c r="D1220" s="68"/>
      <c r="E1220" s="68"/>
      <c r="F1220" s="68"/>
      <c r="G1220" s="68"/>
      <c r="H1220" s="68"/>
      <c r="I1220" s="69"/>
      <c r="J1220" s="69"/>
      <c r="K1220" s="71"/>
      <c r="L1220" s="69"/>
      <c r="M1220" s="69"/>
      <c r="N1220" s="72"/>
      <c r="O1220" s="69"/>
      <c r="P1220" s="69"/>
      <c r="Q1220" s="69"/>
      <c r="R1220" s="69"/>
      <c r="S1220" s="69"/>
      <c r="T1220" s="69"/>
      <c r="U1220" s="69"/>
      <c r="V1220" s="69"/>
      <c r="W1220" s="69"/>
      <c r="X1220" s="69"/>
      <c r="Y1220" s="69"/>
      <c r="Z1220" s="69"/>
      <c r="AA1220" s="69"/>
      <c r="AB1220" s="69"/>
      <c r="AC1220" s="69"/>
      <c r="AD1220" s="69"/>
      <c r="AE1220" s="69"/>
      <c r="AF1220" s="69"/>
      <c r="AG1220" s="69"/>
      <c r="AH1220" s="69"/>
      <c r="AI1220" s="69"/>
      <c r="AJ1220" s="69"/>
      <c r="AK1220" s="69"/>
      <c r="AL1220" s="69"/>
      <c r="AM1220" s="69"/>
      <c r="AN1220" s="69"/>
      <c r="AO1220" s="69"/>
      <c r="AP1220" s="69"/>
      <c r="AQ1220" s="69"/>
      <c r="AR1220" s="69"/>
      <c r="AS1220" s="69"/>
      <c r="AT1220" s="69"/>
      <c r="AU1220" s="69"/>
      <c r="AV1220" s="69"/>
      <c r="AW1220" s="69"/>
      <c r="AX1220" s="69"/>
      <c r="AY1220" s="69"/>
      <c r="AZ1220" s="69"/>
      <c r="BA1220" s="69"/>
      <c r="BB1220" s="69"/>
      <c r="BC1220" s="69"/>
    </row>
    <row r="1221">
      <c r="A1221" s="68"/>
      <c r="B1221" s="68"/>
      <c r="C1221" s="68"/>
      <c r="D1221" s="68"/>
      <c r="E1221" s="68"/>
      <c r="F1221" s="68"/>
      <c r="G1221" s="68"/>
      <c r="H1221" s="68"/>
      <c r="I1221" s="69"/>
      <c r="J1221" s="69"/>
      <c r="K1221" s="71"/>
      <c r="L1221" s="69"/>
      <c r="M1221" s="69"/>
      <c r="N1221" s="72"/>
      <c r="O1221" s="69"/>
      <c r="P1221" s="69"/>
      <c r="Q1221" s="69"/>
      <c r="R1221" s="69"/>
      <c r="S1221" s="69"/>
      <c r="T1221" s="69"/>
      <c r="U1221" s="69"/>
      <c r="V1221" s="69"/>
      <c r="W1221" s="69"/>
      <c r="X1221" s="69"/>
      <c r="Y1221" s="69"/>
      <c r="Z1221" s="69"/>
      <c r="AA1221" s="69"/>
      <c r="AB1221" s="69"/>
      <c r="AC1221" s="69"/>
      <c r="AD1221" s="69"/>
      <c r="AE1221" s="69"/>
      <c r="AF1221" s="69"/>
      <c r="AG1221" s="69"/>
      <c r="AH1221" s="69"/>
      <c r="AI1221" s="69"/>
      <c r="AJ1221" s="69"/>
      <c r="AK1221" s="69"/>
      <c r="AL1221" s="69"/>
      <c r="AM1221" s="69"/>
      <c r="AN1221" s="69"/>
      <c r="AO1221" s="69"/>
      <c r="AP1221" s="69"/>
      <c r="AQ1221" s="69"/>
      <c r="AR1221" s="69"/>
      <c r="AS1221" s="69"/>
      <c r="AT1221" s="69"/>
      <c r="AU1221" s="69"/>
      <c r="AV1221" s="69"/>
      <c r="AW1221" s="69"/>
      <c r="AX1221" s="69"/>
      <c r="AY1221" s="69"/>
      <c r="AZ1221" s="69"/>
      <c r="BA1221" s="69"/>
      <c r="BB1221" s="69"/>
      <c r="BC1221" s="69"/>
    </row>
    <row r="1222">
      <c r="A1222" s="68"/>
      <c r="B1222" s="68"/>
      <c r="C1222" s="68"/>
      <c r="D1222" s="68"/>
      <c r="E1222" s="68"/>
      <c r="F1222" s="68"/>
      <c r="G1222" s="68"/>
      <c r="H1222" s="68"/>
      <c r="I1222" s="69"/>
      <c r="J1222" s="69"/>
      <c r="K1222" s="71"/>
      <c r="L1222" s="69"/>
      <c r="M1222" s="69"/>
      <c r="N1222" s="72"/>
      <c r="O1222" s="69"/>
      <c r="P1222" s="69"/>
      <c r="Q1222" s="69"/>
      <c r="R1222" s="69"/>
      <c r="S1222" s="69"/>
      <c r="T1222" s="69"/>
      <c r="U1222" s="69"/>
      <c r="V1222" s="69"/>
      <c r="W1222" s="69"/>
      <c r="X1222" s="69"/>
      <c r="Y1222" s="69"/>
      <c r="Z1222" s="69"/>
      <c r="AA1222" s="69"/>
      <c r="AB1222" s="69"/>
      <c r="AC1222" s="69"/>
      <c r="AD1222" s="69"/>
      <c r="AE1222" s="69"/>
      <c r="AF1222" s="69"/>
      <c r="AG1222" s="69"/>
      <c r="AH1222" s="69"/>
      <c r="AI1222" s="69"/>
      <c r="AJ1222" s="69"/>
      <c r="AK1222" s="69"/>
      <c r="AL1222" s="69"/>
      <c r="AM1222" s="69"/>
      <c r="AN1222" s="69"/>
      <c r="AO1222" s="69"/>
      <c r="AP1222" s="69"/>
      <c r="AQ1222" s="69"/>
      <c r="AR1222" s="69"/>
      <c r="AS1222" s="69"/>
      <c r="AT1222" s="69"/>
      <c r="AU1222" s="69"/>
      <c r="AV1222" s="69"/>
      <c r="AW1222" s="69"/>
      <c r="AX1222" s="69"/>
      <c r="AY1222" s="69"/>
      <c r="AZ1222" s="69"/>
      <c r="BA1222" s="69"/>
      <c r="BB1222" s="69"/>
      <c r="BC1222" s="69"/>
    </row>
    <row r="1223">
      <c r="A1223" s="68"/>
      <c r="B1223" s="68"/>
      <c r="C1223" s="68"/>
      <c r="D1223" s="68"/>
      <c r="E1223" s="68"/>
      <c r="F1223" s="68"/>
      <c r="G1223" s="68"/>
      <c r="H1223" s="68"/>
      <c r="I1223" s="69"/>
      <c r="J1223" s="69"/>
      <c r="K1223" s="71"/>
      <c r="L1223" s="69"/>
      <c r="M1223" s="69"/>
      <c r="N1223" s="72"/>
      <c r="O1223" s="69"/>
      <c r="P1223" s="69"/>
      <c r="Q1223" s="69"/>
      <c r="R1223" s="69"/>
      <c r="S1223" s="69"/>
      <c r="T1223" s="69"/>
      <c r="U1223" s="69"/>
      <c r="V1223" s="69"/>
      <c r="W1223" s="69"/>
      <c r="X1223" s="69"/>
      <c r="Y1223" s="69"/>
      <c r="Z1223" s="69"/>
      <c r="AA1223" s="69"/>
      <c r="AB1223" s="69"/>
      <c r="AC1223" s="69"/>
      <c r="AD1223" s="69"/>
      <c r="AE1223" s="69"/>
      <c r="AF1223" s="69"/>
      <c r="AG1223" s="69"/>
      <c r="AH1223" s="69"/>
      <c r="AI1223" s="69"/>
      <c r="AJ1223" s="69"/>
      <c r="AK1223" s="69"/>
      <c r="AL1223" s="69"/>
      <c r="AM1223" s="69"/>
      <c r="AN1223" s="69"/>
      <c r="AO1223" s="69"/>
      <c r="AP1223" s="69"/>
      <c r="AQ1223" s="69"/>
      <c r="AR1223" s="69"/>
      <c r="AS1223" s="69"/>
      <c r="AT1223" s="69"/>
      <c r="AU1223" s="69"/>
      <c r="AV1223" s="69"/>
      <c r="AW1223" s="69"/>
      <c r="AX1223" s="69"/>
      <c r="AY1223" s="69"/>
      <c r="AZ1223" s="69"/>
      <c r="BA1223" s="69"/>
      <c r="BB1223" s="69"/>
      <c r="BC1223" s="69"/>
    </row>
    <row r="1224">
      <c r="A1224" s="68"/>
      <c r="B1224" s="68"/>
      <c r="C1224" s="68"/>
      <c r="D1224" s="68"/>
      <c r="E1224" s="68"/>
      <c r="F1224" s="68"/>
      <c r="G1224" s="68"/>
      <c r="H1224" s="68"/>
      <c r="I1224" s="69"/>
      <c r="J1224" s="69"/>
      <c r="K1224" s="71"/>
      <c r="L1224" s="69"/>
      <c r="M1224" s="69"/>
      <c r="N1224" s="72"/>
      <c r="O1224" s="69"/>
      <c r="P1224" s="69"/>
      <c r="Q1224" s="69"/>
      <c r="R1224" s="69"/>
      <c r="S1224" s="69"/>
      <c r="T1224" s="69"/>
      <c r="U1224" s="69"/>
      <c r="V1224" s="69"/>
      <c r="W1224" s="69"/>
      <c r="X1224" s="69"/>
      <c r="Y1224" s="69"/>
      <c r="Z1224" s="69"/>
      <c r="AA1224" s="69"/>
      <c r="AB1224" s="69"/>
      <c r="AC1224" s="69"/>
      <c r="AD1224" s="69"/>
      <c r="AE1224" s="69"/>
      <c r="AF1224" s="69"/>
      <c r="AG1224" s="69"/>
      <c r="AH1224" s="69"/>
      <c r="AI1224" s="69"/>
      <c r="AJ1224" s="69"/>
      <c r="AK1224" s="69"/>
      <c r="AL1224" s="69"/>
      <c r="AM1224" s="69"/>
      <c r="AN1224" s="69"/>
      <c r="AO1224" s="69"/>
      <c r="AP1224" s="69"/>
      <c r="AQ1224" s="69"/>
      <c r="AR1224" s="69"/>
      <c r="AS1224" s="69"/>
      <c r="AT1224" s="69"/>
      <c r="AU1224" s="69"/>
      <c r="AV1224" s="69"/>
      <c r="AW1224" s="69"/>
      <c r="AX1224" s="69"/>
      <c r="AY1224" s="69"/>
      <c r="AZ1224" s="69"/>
      <c r="BA1224" s="69"/>
      <c r="BB1224" s="69"/>
      <c r="BC1224" s="69"/>
    </row>
    <row r="1225">
      <c r="A1225" s="68"/>
      <c r="B1225" s="68"/>
      <c r="C1225" s="68"/>
      <c r="D1225" s="68"/>
      <c r="E1225" s="68"/>
      <c r="F1225" s="68"/>
      <c r="G1225" s="68"/>
      <c r="H1225" s="68"/>
      <c r="I1225" s="69"/>
      <c r="J1225" s="69"/>
      <c r="K1225" s="71"/>
      <c r="L1225" s="69"/>
      <c r="M1225" s="69"/>
      <c r="N1225" s="72"/>
      <c r="O1225" s="69"/>
      <c r="P1225" s="69"/>
      <c r="Q1225" s="69"/>
      <c r="R1225" s="69"/>
      <c r="S1225" s="69"/>
      <c r="T1225" s="69"/>
      <c r="U1225" s="69"/>
      <c r="V1225" s="69"/>
      <c r="W1225" s="69"/>
      <c r="X1225" s="69"/>
      <c r="Y1225" s="69"/>
      <c r="Z1225" s="69"/>
      <c r="AA1225" s="69"/>
      <c r="AB1225" s="69"/>
      <c r="AC1225" s="69"/>
      <c r="AD1225" s="69"/>
      <c r="AE1225" s="69"/>
      <c r="AF1225" s="69"/>
      <c r="AG1225" s="69"/>
      <c r="AH1225" s="69"/>
      <c r="AI1225" s="69"/>
      <c r="AJ1225" s="69"/>
      <c r="AK1225" s="69"/>
      <c r="AL1225" s="69"/>
      <c r="AM1225" s="69"/>
      <c r="AN1225" s="69"/>
      <c r="AO1225" s="69"/>
      <c r="AP1225" s="69"/>
      <c r="AQ1225" s="69"/>
      <c r="AR1225" s="69"/>
      <c r="AS1225" s="69"/>
      <c r="AT1225" s="69"/>
      <c r="AU1225" s="69"/>
      <c r="AV1225" s="69"/>
      <c r="AW1225" s="69"/>
      <c r="AX1225" s="69"/>
      <c r="AY1225" s="69"/>
      <c r="AZ1225" s="69"/>
      <c r="BA1225" s="69"/>
      <c r="BB1225" s="69"/>
      <c r="BC1225" s="69"/>
    </row>
    <row r="1226">
      <c r="A1226" s="68"/>
      <c r="B1226" s="68"/>
      <c r="C1226" s="68"/>
      <c r="D1226" s="68"/>
      <c r="E1226" s="68"/>
      <c r="F1226" s="68"/>
      <c r="G1226" s="68"/>
      <c r="H1226" s="68"/>
      <c r="I1226" s="69"/>
      <c r="J1226" s="69"/>
      <c r="K1226" s="71"/>
      <c r="L1226" s="69"/>
      <c r="M1226" s="69"/>
      <c r="N1226" s="72"/>
      <c r="O1226" s="69"/>
      <c r="P1226" s="69"/>
      <c r="Q1226" s="69"/>
      <c r="R1226" s="69"/>
      <c r="S1226" s="69"/>
      <c r="T1226" s="69"/>
      <c r="U1226" s="69"/>
      <c r="V1226" s="69"/>
      <c r="W1226" s="69"/>
      <c r="X1226" s="69"/>
      <c r="Y1226" s="69"/>
      <c r="Z1226" s="69"/>
      <c r="AA1226" s="69"/>
      <c r="AB1226" s="69"/>
      <c r="AC1226" s="69"/>
      <c r="AD1226" s="69"/>
      <c r="AE1226" s="69"/>
      <c r="AF1226" s="69"/>
      <c r="AG1226" s="69"/>
      <c r="AH1226" s="69"/>
      <c r="AI1226" s="69"/>
      <c r="AJ1226" s="69"/>
      <c r="AK1226" s="69"/>
      <c r="AL1226" s="69"/>
      <c r="AM1226" s="69"/>
      <c r="AN1226" s="69"/>
      <c r="AO1226" s="69"/>
      <c r="AP1226" s="69"/>
      <c r="AQ1226" s="69"/>
      <c r="AR1226" s="69"/>
      <c r="AS1226" s="69"/>
      <c r="AT1226" s="69"/>
      <c r="AU1226" s="69"/>
      <c r="AV1226" s="69"/>
      <c r="AW1226" s="69"/>
      <c r="AX1226" s="69"/>
      <c r="AY1226" s="69"/>
      <c r="AZ1226" s="69"/>
      <c r="BA1226" s="69"/>
      <c r="BB1226" s="69"/>
      <c r="BC1226" s="69"/>
    </row>
    <row r="1227">
      <c r="A1227" s="68"/>
      <c r="B1227" s="68"/>
      <c r="C1227" s="68"/>
      <c r="D1227" s="68"/>
      <c r="E1227" s="68"/>
      <c r="F1227" s="68"/>
      <c r="G1227" s="68"/>
      <c r="H1227" s="68"/>
      <c r="I1227" s="69"/>
      <c r="J1227" s="69"/>
      <c r="K1227" s="71"/>
      <c r="L1227" s="69"/>
      <c r="M1227" s="69"/>
      <c r="N1227" s="72"/>
      <c r="O1227" s="69"/>
      <c r="P1227" s="69"/>
      <c r="Q1227" s="69"/>
      <c r="R1227" s="69"/>
      <c r="S1227" s="69"/>
      <c r="T1227" s="69"/>
      <c r="U1227" s="69"/>
      <c r="V1227" s="69"/>
      <c r="W1227" s="69"/>
      <c r="X1227" s="69"/>
      <c r="Y1227" s="69"/>
      <c r="Z1227" s="69"/>
      <c r="AA1227" s="69"/>
      <c r="AB1227" s="69"/>
      <c r="AC1227" s="69"/>
      <c r="AD1227" s="69"/>
      <c r="AE1227" s="69"/>
      <c r="AF1227" s="69"/>
      <c r="AG1227" s="69"/>
      <c r="AH1227" s="69"/>
      <c r="AI1227" s="69"/>
      <c r="AJ1227" s="69"/>
      <c r="AK1227" s="69"/>
      <c r="AL1227" s="69"/>
      <c r="AM1227" s="69"/>
      <c r="AN1227" s="69"/>
      <c r="AO1227" s="69"/>
      <c r="AP1227" s="69"/>
      <c r="AQ1227" s="69"/>
      <c r="AR1227" s="69"/>
      <c r="AS1227" s="69"/>
      <c r="AT1227" s="69"/>
      <c r="AU1227" s="69"/>
      <c r="AV1227" s="69"/>
      <c r="AW1227" s="69"/>
      <c r="AX1227" s="69"/>
      <c r="AY1227" s="69"/>
      <c r="AZ1227" s="69"/>
      <c r="BA1227" s="69"/>
      <c r="BB1227" s="69"/>
      <c r="BC1227" s="69"/>
    </row>
    <row r="1228">
      <c r="A1228" s="68"/>
      <c r="B1228" s="68"/>
      <c r="C1228" s="68"/>
      <c r="D1228" s="68"/>
      <c r="E1228" s="68"/>
      <c r="F1228" s="68"/>
      <c r="G1228" s="68"/>
      <c r="H1228" s="68"/>
      <c r="I1228" s="69"/>
      <c r="J1228" s="69"/>
      <c r="K1228" s="71"/>
      <c r="L1228" s="69"/>
      <c r="M1228" s="69"/>
      <c r="N1228" s="72"/>
      <c r="O1228" s="69"/>
      <c r="P1228" s="69"/>
      <c r="Q1228" s="69"/>
      <c r="R1228" s="69"/>
      <c r="S1228" s="69"/>
      <c r="T1228" s="69"/>
      <c r="U1228" s="69"/>
      <c r="V1228" s="69"/>
      <c r="W1228" s="69"/>
      <c r="X1228" s="69"/>
      <c r="Y1228" s="69"/>
      <c r="Z1228" s="69"/>
      <c r="AA1228" s="69"/>
      <c r="AB1228" s="69"/>
      <c r="AC1228" s="69"/>
      <c r="AD1228" s="69"/>
      <c r="AE1228" s="69"/>
      <c r="AF1228" s="69"/>
      <c r="AG1228" s="69"/>
      <c r="AH1228" s="69"/>
      <c r="AI1228" s="69"/>
      <c r="AJ1228" s="69"/>
      <c r="AK1228" s="69"/>
      <c r="AL1228" s="69"/>
      <c r="AM1228" s="69"/>
      <c r="AN1228" s="69"/>
      <c r="AO1228" s="69"/>
      <c r="AP1228" s="69"/>
      <c r="AQ1228" s="69"/>
      <c r="AR1228" s="69"/>
      <c r="AS1228" s="69"/>
      <c r="AT1228" s="69"/>
      <c r="AU1228" s="69"/>
      <c r="AV1228" s="69"/>
      <c r="AW1228" s="69"/>
      <c r="AX1228" s="69"/>
      <c r="AY1228" s="69"/>
      <c r="AZ1228" s="69"/>
      <c r="BA1228" s="69"/>
      <c r="BB1228" s="69"/>
      <c r="BC1228" s="69"/>
    </row>
    <row r="1229">
      <c r="A1229" s="68"/>
      <c r="B1229" s="68"/>
      <c r="C1229" s="68"/>
      <c r="D1229" s="68"/>
      <c r="E1229" s="68"/>
      <c r="F1229" s="68"/>
      <c r="G1229" s="68"/>
      <c r="H1229" s="68"/>
      <c r="I1229" s="69"/>
      <c r="J1229" s="69"/>
      <c r="K1229" s="71"/>
      <c r="L1229" s="69"/>
      <c r="M1229" s="69"/>
      <c r="N1229" s="72"/>
      <c r="O1229" s="69"/>
      <c r="P1229" s="69"/>
      <c r="Q1229" s="69"/>
      <c r="R1229" s="69"/>
      <c r="S1229" s="69"/>
      <c r="T1229" s="69"/>
      <c r="U1229" s="69"/>
      <c r="V1229" s="69"/>
      <c r="W1229" s="69"/>
      <c r="X1229" s="69"/>
      <c r="Y1229" s="69"/>
      <c r="Z1229" s="69"/>
      <c r="AA1229" s="69"/>
      <c r="AB1229" s="69"/>
      <c r="AC1229" s="69"/>
      <c r="AD1229" s="69"/>
      <c r="AE1229" s="69"/>
      <c r="AF1229" s="69"/>
      <c r="AG1229" s="69"/>
      <c r="AH1229" s="69"/>
      <c r="AI1229" s="69"/>
      <c r="AJ1229" s="69"/>
      <c r="AK1229" s="69"/>
      <c r="AL1229" s="69"/>
      <c r="AM1229" s="69"/>
      <c r="AN1229" s="69"/>
      <c r="AO1229" s="69"/>
      <c r="AP1229" s="69"/>
      <c r="AQ1229" s="69"/>
      <c r="AR1229" s="69"/>
      <c r="AS1229" s="69"/>
      <c r="AT1229" s="69"/>
      <c r="AU1229" s="69"/>
      <c r="AV1229" s="69"/>
      <c r="AW1229" s="69"/>
      <c r="AX1229" s="69"/>
      <c r="AY1229" s="69"/>
      <c r="AZ1229" s="69"/>
      <c r="BA1229" s="69"/>
      <c r="BB1229" s="69"/>
      <c r="BC1229" s="69"/>
    </row>
    <row r="1230">
      <c r="A1230" s="68"/>
      <c r="B1230" s="68"/>
      <c r="C1230" s="68"/>
      <c r="D1230" s="68"/>
      <c r="E1230" s="68"/>
      <c r="F1230" s="68"/>
      <c r="G1230" s="68"/>
      <c r="H1230" s="68"/>
      <c r="I1230" s="69"/>
      <c r="J1230" s="69"/>
      <c r="K1230" s="71"/>
      <c r="L1230" s="69"/>
      <c r="M1230" s="69"/>
      <c r="N1230" s="72"/>
      <c r="O1230" s="69"/>
      <c r="P1230" s="69"/>
      <c r="Q1230" s="69"/>
      <c r="R1230" s="69"/>
      <c r="S1230" s="69"/>
      <c r="T1230" s="69"/>
      <c r="U1230" s="69"/>
      <c r="V1230" s="69"/>
      <c r="W1230" s="69"/>
      <c r="X1230" s="69"/>
      <c r="Y1230" s="69"/>
      <c r="Z1230" s="69"/>
      <c r="AA1230" s="69"/>
      <c r="AB1230" s="69"/>
      <c r="AC1230" s="69"/>
      <c r="AD1230" s="69"/>
      <c r="AE1230" s="69"/>
      <c r="AF1230" s="69"/>
      <c r="AG1230" s="69"/>
      <c r="AH1230" s="69"/>
      <c r="AI1230" s="69"/>
      <c r="AJ1230" s="69"/>
      <c r="AK1230" s="69"/>
      <c r="AL1230" s="69"/>
      <c r="AM1230" s="69"/>
      <c r="AN1230" s="69"/>
      <c r="AO1230" s="69"/>
      <c r="AP1230" s="69"/>
      <c r="AQ1230" s="69"/>
      <c r="AR1230" s="69"/>
      <c r="AS1230" s="69"/>
      <c r="AT1230" s="69"/>
      <c r="AU1230" s="69"/>
      <c r="AV1230" s="69"/>
      <c r="AW1230" s="69"/>
      <c r="AX1230" s="69"/>
      <c r="AY1230" s="69"/>
      <c r="AZ1230" s="69"/>
      <c r="BA1230" s="69"/>
      <c r="BB1230" s="69"/>
      <c r="BC1230" s="69"/>
    </row>
    <row r="1231">
      <c r="A1231" s="68"/>
      <c r="B1231" s="68"/>
      <c r="C1231" s="68"/>
      <c r="D1231" s="68"/>
      <c r="E1231" s="68"/>
      <c r="F1231" s="68"/>
      <c r="G1231" s="68"/>
      <c r="H1231" s="68"/>
      <c r="I1231" s="69"/>
      <c r="J1231" s="69"/>
      <c r="K1231" s="71"/>
      <c r="L1231" s="69"/>
      <c r="M1231" s="69"/>
      <c r="N1231" s="72"/>
      <c r="O1231" s="69"/>
      <c r="P1231" s="69"/>
      <c r="Q1231" s="69"/>
      <c r="R1231" s="69"/>
      <c r="S1231" s="69"/>
      <c r="T1231" s="69"/>
      <c r="U1231" s="69"/>
      <c r="V1231" s="69"/>
      <c r="W1231" s="69"/>
      <c r="X1231" s="69"/>
      <c r="Y1231" s="69"/>
      <c r="Z1231" s="69"/>
      <c r="AA1231" s="69"/>
      <c r="AB1231" s="69"/>
      <c r="AC1231" s="69"/>
      <c r="AD1231" s="69"/>
      <c r="AE1231" s="69"/>
      <c r="AF1231" s="69"/>
      <c r="AG1231" s="69"/>
      <c r="AH1231" s="69"/>
      <c r="AI1231" s="69"/>
      <c r="AJ1231" s="69"/>
      <c r="AK1231" s="69"/>
      <c r="AL1231" s="69"/>
      <c r="AM1231" s="69"/>
      <c r="AN1231" s="69"/>
      <c r="AO1231" s="69"/>
      <c r="AP1231" s="69"/>
      <c r="AQ1231" s="69"/>
      <c r="AR1231" s="69"/>
      <c r="AS1231" s="69"/>
      <c r="AT1231" s="69"/>
      <c r="AU1231" s="69"/>
      <c r="AV1231" s="69"/>
      <c r="AW1231" s="69"/>
      <c r="AX1231" s="69"/>
      <c r="AY1231" s="69"/>
      <c r="AZ1231" s="69"/>
      <c r="BA1231" s="69"/>
      <c r="BB1231" s="69"/>
      <c r="BC1231" s="69"/>
    </row>
    <row r="1232">
      <c r="A1232" s="68"/>
      <c r="B1232" s="68"/>
      <c r="C1232" s="68"/>
      <c r="D1232" s="68"/>
      <c r="E1232" s="68"/>
      <c r="F1232" s="68"/>
      <c r="G1232" s="68"/>
      <c r="H1232" s="68"/>
      <c r="I1232" s="69"/>
      <c r="J1232" s="69"/>
      <c r="K1232" s="71"/>
      <c r="L1232" s="69"/>
      <c r="M1232" s="69"/>
      <c r="N1232" s="72"/>
      <c r="O1232" s="69"/>
      <c r="P1232" s="69"/>
      <c r="Q1232" s="69"/>
      <c r="R1232" s="69"/>
      <c r="S1232" s="69"/>
      <c r="T1232" s="69"/>
      <c r="U1232" s="69"/>
      <c r="V1232" s="69"/>
      <c r="W1232" s="69"/>
      <c r="X1232" s="69"/>
      <c r="Y1232" s="69"/>
      <c r="Z1232" s="69"/>
      <c r="AA1232" s="69"/>
      <c r="AB1232" s="69"/>
      <c r="AC1232" s="69"/>
      <c r="AD1232" s="69"/>
      <c r="AE1232" s="69"/>
      <c r="AF1232" s="69"/>
      <c r="AG1232" s="69"/>
      <c r="AH1232" s="69"/>
      <c r="AI1232" s="69"/>
      <c r="AJ1232" s="69"/>
      <c r="AK1232" s="69"/>
      <c r="AL1232" s="69"/>
      <c r="AM1232" s="69"/>
      <c r="AN1232" s="69"/>
      <c r="AO1232" s="69"/>
      <c r="AP1232" s="69"/>
      <c r="AQ1232" s="69"/>
      <c r="AR1232" s="69"/>
      <c r="AS1232" s="69"/>
      <c r="AT1232" s="69"/>
      <c r="AU1232" s="69"/>
      <c r="AV1232" s="69"/>
      <c r="AW1232" s="69"/>
      <c r="AX1232" s="69"/>
      <c r="AY1232" s="69"/>
      <c r="AZ1232" s="69"/>
      <c r="BA1232" s="69"/>
      <c r="BB1232" s="69"/>
      <c r="BC1232" s="69"/>
    </row>
    <row r="1233">
      <c r="A1233" s="68"/>
      <c r="B1233" s="68"/>
      <c r="C1233" s="68"/>
      <c r="D1233" s="68"/>
      <c r="E1233" s="68"/>
      <c r="F1233" s="68"/>
      <c r="G1233" s="68"/>
      <c r="H1233" s="68"/>
      <c r="I1233" s="69"/>
      <c r="J1233" s="69"/>
      <c r="K1233" s="71"/>
      <c r="L1233" s="69"/>
      <c r="M1233" s="69"/>
      <c r="N1233" s="72"/>
      <c r="O1233" s="69"/>
      <c r="P1233" s="69"/>
      <c r="Q1233" s="69"/>
      <c r="R1233" s="69"/>
      <c r="S1233" s="69"/>
      <c r="T1233" s="69"/>
      <c r="U1233" s="69"/>
      <c r="V1233" s="69"/>
      <c r="W1233" s="69"/>
      <c r="X1233" s="69"/>
      <c r="Y1233" s="69"/>
      <c r="Z1233" s="69"/>
      <c r="AA1233" s="69"/>
      <c r="AB1233" s="69"/>
      <c r="AC1233" s="69"/>
      <c r="AD1233" s="69"/>
      <c r="AE1233" s="69"/>
      <c r="AF1233" s="69"/>
      <c r="AG1233" s="69"/>
      <c r="AH1233" s="69"/>
      <c r="AI1233" s="69"/>
      <c r="AJ1233" s="69"/>
      <c r="AK1233" s="69"/>
      <c r="AL1233" s="69"/>
      <c r="AM1233" s="69"/>
      <c r="AN1233" s="69"/>
      <c r="AO1233" s="69"/>
      <c r="AP1233" s="69"/>
      <c r="AQ1233" s="69"/>
      <c r="AR1233" s="69"/>
      <c r="AS1233" s="69"/>
      <c r="AT1233" s="69"/>
      <c r="AU1233" s="69"/>
      <c r="AV1233" s="69"/>
      <c r="AW1233" s="69"/>
      <c r="AX1233" s="69"/>
      <c r="AY1233" s="69"/>
      <c r="AZ1233" s="69"/>
      <c r="BA1233" s="69"/>
      <c r="BB1233" s="69"/>
      <c r="BC1233" s="69"/>
    </row>
    <row r="1234">
      <c r="A1234" s="68"/>
      <c r="B1234" s="68"/>
      <c r="C1234" s="68"/>
      <c r="D1234" s="68"/>
      <c r="E1234" s="68"/>
      <c r="F1234" s="68"/>
      <c r="G1234" s="68"/>
      <c r="H1234" s="68"/>
      <c r="I1234" s="69"/>
      <c r="J1234" s="69"/>
      <c r="K1234" s="71"/>
      <c r="L1234" s="69"/>
      <c r="M1234" s="69"/>
      <c r="N1234" s="72"/>
      <c r="O1234" s="69"/>
      <c r="P1234" s="69"/>
      <c r="Q1234" s="69"/>
      <c r="R1234" s="69"/>
      <c r="S1234" s="69"/>
      <c r="T1234" s="69"/>
      <c r="U1234" s="69"/>
      <c r="V1234" s="69"/>
      <c r="W1234" s="69"/>
      <c r="X1234" s="69"/>
      <c r="Y1234" s="69"/>
      <c r="Z1234" s="69"/>
      <c r="AA1234" s="69"/>
      <c r="AB1234" s="69"/>
      <c r="AC1234" s="69"/>
      <c r="AD1234" s="69"/>
      <c r="AE1234" s="69"/>
      <c r="AF1234" s="69"/>
      <c r="AG1234" s="69"/>
      <c r="AH1234" s="69"/>
      <c r="AI1234" s="69"/>
      <c r="AJ1234" s="69"/>
      <c r="AK1234" s="69"/>
      <c r="AL1234" s="69"/>
      <c r="AM1234" s="69"/>
      <c r="AN1234" s="69"/>
      <c r="AO1234" s="69"/>
      <c r="AP1234" s="69"/>
      <c r="AQ1234" s="69"/>
      <c r="AR1234" s="69"/>
      <c r="AS1234" s="69"/>
      <c r="AT1234" s="69"/>
      <c r="AU1234" s="69"/>
      <c r="AV1234" s="69"/>
      <c r="AW1234" s="69"/>
      <c r="AX1234" s="69"/>
      <c r="AY1234" s="69"/>
      <c r="AZ1234" s="69"/>
      <c r="BA1234" s="69"/>
      <c r="BB1234" s="69"/>
      <c r="BC1234" s="69"/>
    </row>
    <row r="1235">
      <c r="A1235" s="68"/>
      <c r="B1235" s="68"/>
      <c r="C1235" s="68"/>
      <c r="D1235" s="68"/>
      <c r="E1235" s="68"/>
      <c r="F1235" s="68"/>
      <c r="G1235" s="68"/>
      <c r="H1235" s="68"/>
      <c r="I1235" s="69"/>
      <c r="J1235" s="69"/>
      <c r="K1235" s="71"/>
      <c r="L1235" s="69"/>
      <c r="M1235" s="69"/>
      <c r="N1235" s="72"/>
      <c r="O1235" s="69"/>
      <c r="P1235" s="69"/>
      <c r="Q1235" s="69"/>
      <c r="R1235" s="69"/>
      <c r="S1235" s="69"/>
      <c r="T1235" s="69"/>
      <c r="U1235" s="69"/>
      <c r="V1235" s="69"/>
      <c r="W1235" s="69"/>
      <c r="X1235" s="69"/>
      <c r="Y1235" s="69"/>
      <c r="Z1235" s="69"/>
      <c r="AA1235" s="69"/>
      <c r="AB1235" s="69"/>
      <c r="AC1235" s="69"/>
      <c r="AD1235" s="69"/>
      <c r="AE1235" s="69"/>
      <c r="AF1235" s="69"/>
      <c r="AG1235" s="69"/>
      <c r="AH1235" s="69"/>
      <c r="AI1235" s="69"/>
      <c r="AJ1235" s="69"/>
      <c r="AK1235" s="69"/>
      <c r="AL1235" s="69"/>
      <c r="AM1235" s="69"/>
      <c r="AN1235" s="69"/>
      <c r="AO1235" s="69"/>
      <c r="AP1235" s="69"/>
      <c r="AQ1235" s="69"/>
      <c r="AR1235" s="69"/>
      <c r="AS1235" s="69"/>
      <c r="AT1235" s="69"/>
      <c r="AU1235" s="69"/>
      <c r="AV1235" s="69"/>
      <c r="AW1235" s="69"/>
      <c r="AX1235" s="69"/>
      <c r="AY1235" s="69"/>
      <c r="AZ1235" s="69"/>
      <c r="BA1235" s="69"/>
      <c r="BB1235" s="69"/>
      <c r="BC1235" s="69"/>
    </row>
    <row r="1236">
      <c r="A1236" s="68"/>
      <c r="B1236" s="68"/>
      <c r="C1236" s="68"/>
      <c r="D1236" s="68"/>
      <c r="E1236" s="68"/>
      <c r="F1236" s="68"/>
      <c r="G1236" s="68"/>
      <c r="H1236" s="68"/>
      <c r="I1236" s="69"/>
      <c r="J1236" s="69"/>
      <c r="K1236" s="71"/>
      <c r="L1236" s="69"/>
      <c r="M1236" s="69"/>
      <c r="N1236" s="72"/>
      <c r="O1236" s="69"/>
      <c r="P1236" s="69"/>
      <c r="Q1236" s="69"/>
      <c r="R1236" s="69"/>
      <c r="S1236" s="69"/>
      <c r="T1236" s="69"/>
      <c r="U1236" s="69"/>
      <c r="V1236" s="69"/>
      <c r="W1236" s="69"/>
      <c r="X1236" s="69"/>
      <c r="Y1236" s="69"/>
      <c r="Z1236" s="69"/>
      <c r="AA1236" s="69"/>
      <c r="AB1236" s="69"/>
      <c r="AC1236" s="69"/>
      <c r="AD1236" s="69"/>
      <c r="AE1236" s="69"/>
      <c r="AF1236" s="69"/>
      <c r="AG1236" s="69"/>
      <c r="AH1236" s="69"/>
      <c r="AI1236" s="69"/>
      <c r="AJ1236" s="69"/>
      <c r="AK1236" s="69"/>
      <c r="AL1236" s="69"/>
      <c r="AM1236" s="69"/>
      <c r="AN1236" s="69"/>
      <c r="AO1236" s="69"/>
      <c r="AP1236" s="69"/>
      <c r="AQ1236" s="69"/>
      <c r="AR1236" s="69"/>
      <c r="AS1236" s="69"/>
      <c r="AT1236" s="69"/>
      <c r="AU1236" s="69"/>
      <c r="AV1236" s="69"/>
      <c r="AW1236" s="69"/>
      <c r="AX1236" s="69"/>
      <c r="AY1236" s="69"/>
      <c r="AZ1236" s="69"/>
      <c r="BA1236" s="69"/>
      <c r="BB1236" s="69"/>
      <c r="BC1236" s="69"/>
    </row>
    <row r="1237">
      <c r="A1237" s="68"/>
      <c r="B1237" s="68"/>
      <c r="C1237" s="68"/>
      <c r="D1237" s="68"/>
      <c r="E1237" s="68"/>
      <c r="F1237" s="68"/>
      <c r="G1237" s="68"/>
      <c r="H1237" s="68"/>
      <c r="I1237" s="69"/>
      <c r="J1237" s="69"/>
      <c r="K1237" s="71"/>
      <c r="L1237" s="69"/>
      <c r="M1237" s="69"/>
      <c r="N1237" s="72"/>
      <c r="O1237" s="69"/>
      <c r="P1237" s="69"/>
      <c r="Q1237" s="69"/>
      <c r="R1237" s="69"/>
      <c r="S1237" s="69"/>
      <c r="T1237" s="69"/>
      <c r="U1237" s="69"/>
      <c r="V1237" s="69"/>
      <c r="W1237" s="69"/>
      <c r="X1237" s="69"/>
      <c r="Y1237" s="69"/>
      <c r="Z1237" s="69"/>
      <c r="AA1237" s="69"/>
      <c r="AB1237" s="69"/>
      <c r="AC1237" s="69"/>
      <c r="AD1237" s="69"/>
      <c r="AE1237" s="69"/>
      <c r="AF1237" s="69"/>
      <c r="AG1237" s="69"/>
      <c r="AH1237" s="69"/>
      <c r="AI1237" s="69"/>
      <c r="AJ1237" s="69"/>
      <c r="AK1237" s="69"/>
      <c r="AL1237" s="69"/>
      <c r="AM1237" s="69"/>
      <c r="AN1237" s="69"/>
      <c r="AO1237" s="69"/>
      <c r="AP1237" s="69"/>
      <c r="AQ1237" s="69"/>
      <c r="AR1237" s="69"/>
      <c r="AS1237" s="69"/>
      <c r="AT1237" s="69"/>
      <c r="AU1237" s="69"/>
      <c r="AV1237" s="69"/>
      <c r="AW1237" s="69"/>
      <c r="AX1237" s="69"/>
      <c r="AY1237" s="69"/>
      <c r="AZ1237" s="69"/>
      <c r="BA1237" s="69"/>
      <c r="BB1237" s="69"/>
      <c r="BC1237" s="69"/>
    </row>
    <row r="1238">
      <c r="A1238" s="68"/>
      <c r="B1238" s="68"/>
      <c r="C1238" s="68"/>
      <c r="D1238" s="68"/>
      <c r="E1238" s="68"/>
      <c r="F1238" s="68"/>
      <c r="G1238" s="68"/>
      <c r="H1238" s="68"/>
      <c r="I1238" s="69"/>
      <c r="J1238" s="69"/>
      <c r="K1238" s="71"/>
      <c r="L1238" s="69"/>
      <c r="M1238" s="69"/>
      <c r="N1238" s="72"/>
      <c r="O1238" s="69"/>
      <c r="P1238" s="69"/>
      <c r="Q1238" s="69"/>
      <c r="R1238" s="69"/>
      <c r="S1238" s="69"/>
      <c r="T1238" s="69"/>
      <c r="U1238" s="69"/>
      <c r="V1238" s="69"/>
      <c r="W1238" s="69"/>
      <c r="X1238" s="69"/>
      <c r="Y1238" s="69"/>
      <c r="Z1238" s="69"/>
      <c r="AA1238" s="69"/>
      <c r="AB1238" s="69"/>
      <c r="AC1238" s="69"/>
      <c r="AD1238" s="69"/>
      <c r="AE1238" s="69"/>
      <c r="AF1238" s="69"/>
      <c r="AG1238" s="69"/>
      <c r="AH1238" s="69"/>
      <c r="AI1238" s="69"/>
      <c r="AJ1238" s="69"/>
      <c r="AK1238" s="69"/>
      <c r="AL1238" s="69"/>
      <c r="AM1238" s="69"/>
      <c r="AN1238" s="69"/>
      <c r="AO1238" s="69"/>
      <c r="AP1238" s="69"/>
      <c r="AQ1238" s="69"/>
      <c r="AR1238" s="69"/>
      <c r="AS1238" s="69"/>
      <c r="AT1238" s="69"/>
      <c r="AU1238" s="69"/>
      <c r="AV1238" s="69"/>
      <c r="AW1238" s="69"/>
      <c r="AX1238" s="69"/>
      <c r="AY1238" s="69"/>
      <c r="AZ1238" s="69"/>
      <c r="BA1238" s="69"/>
      <c r="BB1238" s="69"/>
      <c r="BC1238" s="69"/>
    </row>
    <row r="1239">
      <c r="A1239" s="68"/>
      <c r="B1239" s="68"/>
      <c r="C1239" s="68"/>
      <c r="D1239" s="68"/>
      <c r="E1239" s="68"/>
      <c r="F1239" s="68"/>
      <c r="G1239" s="68"/>
      <c r="H1239" s="68"/>
      <c r="I1239" s="69"/>
      <c r="J1239" s="69"/>
      <c r="K1239" s="71"/>
      <c r="L1239" s="69"/>
      <c r="M1239" s="69"/>
      <c r="N1239" s="72"/>
      <c r="O1239" s="69"/>
      <c r="P1239" s="69"/>
      <c r="Q1239" s="69"/>
      <c r="R1239" s="69"/>
      <c r="S1239" s="69"/>
      <c r="T1239" s="69"/>
      <c r="U1239" s="69"/>
      <c r="V1239" s="69"/>
      <c r="W1239" s="69"/>
      <c r="X1239" s="69"/>
      <c r="Y1239" s="69"/>
      <c r="Z1239" s="69"/>
      <c r="AA1239" s="69"/>
      <c r="AB1239" s="69"/>
      <c r="AC1239" s="69"/>
      <c r="AD1239" s="69"/>
      <c r="AE1239" s="69"/>
      <c r="AF1239" s="69"/>
      <c r="AG1239" s="69"/>
      <c r="AH1239" s="69"/>
      <c r="AI1239" s="69"/>
      <c r="AJ1239" s="69"/>
      <c r="AK1239" s="69"/>
      <c r="AL1239" s="69"/>
      <c r="AM1239" s="69"/>
      <c r="AN1239" s="69"/>
      <c r="AO1239" s="69"/>
      <c r="AP1239" s="69"/>
      <c r="AQ1239" s="69"/>
      <c r="AR1239" s="69"/>
      <c r="AS1239" s="69"/>
      <c r="AT1239" s="69"/>
      <c r="AU1239" s="69"/>
      <c r="AV1239" s="69"/>
      <c r="AW1239" s="69"/>
      <c r="AX1239" s="69"/>
      <c r="AY1239" s="69"/>
      <c r="AZ1239" s="69"/>
      <c r="BA1239" s="69"/>
      <c r="BB1239" s="69"/>
      <c r="BC1239" s="69"/>
    </row>
    <row r="1240">
      <c r="A1240" s="68"/>
      <c r="B1240" s="68"/>
      <c r="C1240" s="68"/>
      <c r="D1240" s="68"/>
      <c r="E1240" s="68"/>
      <c r="F1240" s="68"/>
      <c r="G1240" s="68"/>
      <c r="H1240" s="68"/>
      <c r="I1240" s="69"/>
      <c r="J1240" s="69"/>
      <c r="K1240" s="71"/>
      <c r="L1240" s="69"/>
      <c r="M1240" s="69"/>
      <c r="N1240" s="72"/>
      <c r="O1240" s="69"/>
      <c r="P1240" s="69"/>
      <c r="Q1240" s="69"/>
      <c r="R1240" s="69"/>
      <c r="S1240" s="69"/>
      <c r="T1240" s="69"/>
      <c r="U1240" s="69"/>
      <c r="V1240" s="69"/>
      <c r="W1240" s="69"/>
      <c r="X1240" s="69"/>
      <c r="Y1240" s="69"/>
      <c r="Z1240" s="69"/>
      <c r="AA1240" s="69"/>
      <c r="AB1240" s="69"/>
      <c r="AC1240" s="69"/>
      <c r="AD1240" s="69"/>
      <c r="AE1240" s="69"/>
      <c r="AF1240" s="69"/>
      <c r="AG1240" s="69"/>
      <c r="AH1240" s="69"/>
      <c r="AI1240" s="69"/>
      <c r="AJ1240" s="69"/>
      <c r="AK1240" s="69"/>
      <c r="AL1240" s="69"/>
      <c r="AM1240" s="69"/>
      <c r="AN1240" s="69"/>
      <c r="AO1240" s="69"/>
      <c r="AP1240" s="69"/>
      <c r="AQ1240" s="69"/>
      <c r="AR1240" s="69"/>
      <c r="AS1240" s="69"/>
      <c r="AT1240" s="69"/>
      <c r="AU1240" s="69"/>
      <c r="AV1240" s="69"/>
      <c r="AW1240" s="69"/>
      <c r="AX1240" s="69"/>
      <c r="AY1240" s="69"/>
      <c r="AZ1240" s="69"/>
      <c r="BA1240" s="69"/>
      <c r="BB1240" s="69"/>
      <c r="BC1240" s="69"/>
    </row>
    <row r="1241">
      <c r="A1241" s="68"/>
      <c r="B1241" s="68"/>
      <c r="C1241" s="68"/>
      <c r="D1241" s="68"/>
      <c r="E1241" s="68"/>
      <c r="F1241" s="68"/>
      <c r="G1241" s="68"/>
      <c r="H1241" s="68"/>
      <c r="I1241" s="69"/>
      <c r="J1241" s="69"/>
      <c r="K1241" s="71"/>
      <c r="L1241" s="69"/>
      <c r="M1241" s="69"/>
      <c r="N1241" s="72"/>
      <c r="O1241" s="69"/>
      <c r="P1241" s="69"/>
      <c r="Q1241" s="69"/>
      <c r="R1241" s="69"/>
      <c r="S1241" s="69"/>
      <c r="T1241" s="69"/>
      <c r="U1241" s="69"/>
      <c r="V1241" s="69"/>
      <c r="W1241" s="69"/>
      <c r="X1241" s="69"/>
      <c r="Y1241" s="69"/>
      <c r="Z1241" s="69"/>
      <c r="AA1241" s="69"/>
      <c r="AB1241" s="69"/>
      <c r="AC1241" s="69"/>
      <c r="AD1241" s="69"/>
      <c r="AE1241" s="69"/>
      <c r="AF1241" s="69"/>
      <c r="AG1241" s="69"/>
      <c r="AH1241" s="69"/>
      <c r="AI1241" s="69"/>
      <c r="AJ1241" s="69"/>
      <c r="AK1241" s="69"/>
      <c r="AL1241" s="69"/>
      <c r="AM1241" s="69"/>
      <c r="AN1241" s="69"/>
      <c r="AO1241" s="69"/>
      <c r="AP1241" s="69"/>
      <c r="AQ1241" s="69"/>
      <c r="AR1241" s="69"/>
      <c r="AS1241" s="69"/>
      <c r="AT1241" s="69"/>
      <c r="AU1241" s="69"/>
      <c r="AV1241" s="69"/>
      <c r="AW1241" s="69"/>
      <c r="AX1241" s="69"/>
      <c r="AY1241" s="69"/>
      <c r="AZ1241" s="69"/>
      <c r="BA1241" s="69"/>
      <c r="BB1241" s="69"/>
      <c r="BC1241" s="69"/>
    </row>
    <row r="1242">
      <c r="A1242" s="68"/>
      <c r="B1242" s="68"/>
      <c r="C1242" s="68"/>
      <c r="D1242" s="68"/>
      <c r="E1242" s="68"/>
      <c r="F1242" s="68"/>
      <c r="G1242" s="68"/>
      <c r="H1242" s="68"/>
      <c r="I1242" s="69"/>
      <c r="J1242" s="69"/>
      <c r="K1242" s="71"/>
      <c r="L1242" s="69"/>
      <c r="M1242" s="69"/>
      <c r="N1242" s="72"/>
      <c r="O1242" s="69"/>
      <c r="P1242" s="69"/>
      <c r="Q1242" s="69"/>
      <c r="R1242" s="69"/>
      <c r="S1242" s="69"/>
      <c r="T1242" s="69"/>
      <c r="U1242" s="69"/>
      <c r="V1242" s="69"/>
      <c r="W1242" s="69"/>
      <c r="X1242" s="69"/>
      <c r="Y1242" s="69"/>
      <c r="Z1242" s="69"/>
      <c r="AA1242" s="69"/>
      <c r="AB1242" s="69"/>
      <c r="AC1242" s="69"/>
      <c r="AD1242" s="69"/>
      <c r="AE1242" s="69"/>
      <c r="AF1242" s="69"/>
      <c r="AG1242" s="69"/>
      <c r="AH1242" s="69"/>
      <c r="AI1242" s="69"/>
      <c r="AJ1242" s="69"/>
      <c r="AK1242" s="69"/>
      <c r="AL1242" s="69"/>
      <c r="AM1242" s="69"/>
      <c r="AN1242" s="69"/>
      <c r="AO1242" s="69"/>
      <c r="AP1242" s="69"/>
      <c r="AQ1242" s="69"/>
      <c r="AR1242" s="69"/>
      <c r="AS1242" s="69"/>
      <c r="AT1242" s="69"/>
      <c r="AU1242" s="69"/>
      <c r="AV1242" s="69"/>
      <c r="AW1242" s="69"/>
      <c r="AX1242" s="69"/>
      <c r="AY1242" s="69"/>
      <c r="AZ1242" s="69"/>
      <c r="BA1242" s="69"/>
      <c r="BB1242" s="69"/>
      <c r="BC1242" s="69"/>
    </row>
    <row r="1243">
      <c r="A1243" s="68"/>
      <c r="B1243" s="68"/>
      <c r="C1243" s="68"/>
      <c r="D1243" s="68"/>
      <c r="E1243" s="68"/>
      <c r="F1243" s="68"/>
      <c r="G1243" s="68"/>
      <c r="H1243" s="68"/>
      <c r="I1243" s="69"/>
      <c r="J1243" s="69"/>
      <c r="K1243" s="71"/>
      <c r="L1243" s="69"/>
      <c r="M1243" s="69"/>
      <c r="N1243" s="72"/>
      <c r="O1243" s="69"/>
      <c r="P1243" s="69"/>
      <c r="Q1243" s="69"/>
      <c r="R1243" s="69"/>
      <c r="S1243" s="69"/>
      <c r="T1243" s="69"/>
      <c r="U1243" s="69"/>
      <c r="V1243" s="69"/>
      <c r="W1243" s="69"/>
      <c r="X1243" s="69"/>
      <c r="Y1243" s="69"/>
      <c r="Z1243" s="69"/>
      <c r="AA1243" s="69"/>
      <c r="AB1243" s="69"/>
      <c r="AC1243" s="69"/>
      <c r="AD1243" s="69"/>
      <c r="AE1243" s="69"/>
      <c r="AF1243" s="69"/>
      <c r="AG1243" s="69"/>
      <c r="AH1243" s="69"/>
      <c r="AI1243" s="69"/>
      <c r="AJ1243" s="69"/>
      <c r="AK1243" s="69"/>
      <c r="AL1243" s="69"/>
      <c r="AM1243" s="69"/>
      <c r="AN1243" s="69"/>
      <c r="AO1243" s="69"/>
      <c r="AP1243" s="69"/>
      <c r="AQ1243" s="69"/>
      <c r="AR1243" s="69"/>
      <c r="AS1243" s="69"/>
      <c r="AT1243" s="69"/>
      <c r="AU1243" s="69"/>
      <c r="AV1243" s="69"/>
      <c r="AW1243" s="69"/>
      <c r="AX1243" s="69"/>
      <c r="AY1243" s="69"/>
      <c r="AZ1243" s="69"/>
      <c r="BA1243" s="69"/>
      <c r="BB1243" s="69"/>
      <c r="BC1243" s="69"/>
    </row>
    <row r="1244">
      <c r="A1244" s="68"/>
      <c r="B1244" s="68"/>
      <c r="C1244" s="68"/>
      <c r="D1244" s="68"/>
      <c r="E1244" s="68"/>
      <c r="F1244" s="68"/>
      <c r="G1244" s="68"/>
      <c r="H1244" s="68"/>
      <c r="I1244" s="69"/>
      <c r="J1244" s="69"/>
      <c r="K1244" s="71"/>
      <c r="L1244" s="69"/>
      <c r="M1244" s="69"/>
      <c r="N1244" s="72"/>
      <c r="O1244" s="69"/>
      <c r="P1244" s="69"/>
      <c r="Q1244" s="69"/>
      <c r="R1244" s="69"/>
      <c r="S1244" s="69"/>
      <c r="T1244" s="69"/>
      <c r="U1244" s="69"/>
      <c r="V1244" s="69"/>
      <c r="W1244" s="69"/>
      <c r="X1244" s="69"/>
      <c r="Y1244" s="69"/>
      <c r="Z1244" s="69"/>
      <c r="AA1244" s="69"/>
      <c r="AB1244" s="69"/>
      <c r="AC1244" s="69"/>
      <c r="AD1244" s="69"/>
      <c r="AE1244" s="69"/>
      <c r="AF1244" s="69"/>
      <c r="AG1244" s="69"/>
      <c r="AH1244" s="69"/>
      <c r="AI1244" s="69"/>
      <c r="AJ1244" s="69"/>
      <c r="AK1244" s="69"/>
      <c r="AL1244" s="69"/>
      <c r="AM1244" s="69"/>
      <c r="AN1244" s="69"/>
      <c r="AO1244" s="69"/>
      <c r="AP1244" s="69"/>
      <c r="AQ1244" s="69"/>
      <c r="AR1244" s="69"/>
      <c r="AS1244" s="69"/>
      <c r="AT1244" s="69"/>
      <c r="AU1244" s="69"/>
      <c r="AV1244" s="69"/>
      <c r="AW1244" s="69"/>
      <c r="AX1244" s="69"/>
      <c r="AY1244" s="69"/>
      <c r="AZ1244" s="69"/>
      <c r="BA1244" s="69"/>
      <c r="BB1244" s="69"/>
      <c r="BC1244" s="69"/>
    </row>
    <row r="1245">
      <c r="A1245" s="68"/>
      <c r="B1245" s="68"/>
      <c r="C1245" s="68"/>
      <c r="D1245" s="68"/>
      <c r="E1245" s="68"/>
      <c r="F1245" s="68"/>
      <c r="G1245" s="68"/>
      <c r="H1245" s="68"/>
      <c r="I1245" s="69"/>
      <c r="J1245" s="69"/>
      <c r="K1245" s="71"/>
      <c r="L1245" s="69"/>
      <c r="M1245" s="69"/>
      <c r="N1245" s="72"/>
      <c r="O1245" s="69"/>
      <c r="P1245" s="69"/>
      <c r="Q1245" s="69"/>
      <c r="R1245" s="69"/>
      <c r="S1245" s="69"/>
      <c r="T1245" s="69"/>
      <c r="U1245" s="69"/>
      <c r="V1245" s="69"/>
      <c r="W1245" s="69"/>
      <c r="X1245" s="69"/>
      <c r="Y1245" s="69"/>
      <c r="Z1245" s="69"/>
      <c r="AA1245" s="69"/>
      <c r="AB1245" s="69"/>
      <c r="AC1245" s="69"/>
      <c r="AD1245" s="69"/>
      <c r="AE1245" s="69"/>
      <c r="AF1245" s="69"/>
      <c r="AG1245" s="69"/>
      <c r="AH1245" s="69"/>
      <c r="AI1245" s="69"/>
      <c r="AJ1245" s="69"/>
      <c r="AK1245" s="69"/>
      <c r="AL1245" s="69"/>
      <c r="AM1245" s="69"/>
      <c r="AN1245" s="69"/>
      <c r="AO1245" s="69"/>
      <c r="AP1245" s="69"/>
      <c r="AQ1245" s="69"/>
      <c r="AR1245" s="69"/>
      <c r="AS1245" s="69"/>
      <c r="AT1245" s="69"/>
      <c r="AU1245" s="69"/>
      <c r="AV1245" s="69"/>
      <c r="AW1245" s="69"/>
      <c r="AX1245" s="69"/>
      <c r="AY1245" s="69"/>
      <c r="AZ1245" s="69"/>
      <c r="BA1245" s="69"/>
      <c r="BB1245" s="69"/>
      <c r="BC1245" s="69"/>
    </row>
    <row r="1246">
      <c r="A1246" s="68"/>
      <c r="B1246" s="68"/>
      <c r="C1246" s="68"/>
      <c r="D1246" s="68"/>
      <c r="E1246" s="68"/>
      <c r="F1246" s="68"/>
      <c r="G1246" s="68"/>
      <c r="H1246" s="68"/>
      <c r="I1246" s="69"/>
      <c r="J1246" s="69"/>
      <c r="K1246" s="71"/>
      <c r="L1246" s="69"/>
      <c r="M1246" s="69"/>
      <c r="N1246" s="72"/>
      <c r="O1246" s="69"/>
      <c r="P1246" s="69"/>
      <c r="Q1246" s="69"/>
      <c r="R1246" s="69"/>
      <c r="S1246" s="69"/>
      <c r="T1246" s="69"/>
      <c r="U1246" s="69"/>
      <c r="V1246" s="69"/>
      <c r="W1246" s="69"/>
      <c r="X1246" s="69"/>
      <c r="Y1246" s="69"/>
      <c r="Z1246" s="69"/>
      <c r="AA1246" s="69"/>
      <c r="AB1246" s="69"/>
      <c r="AC1246" s="69"/>
      <c r="AD1246" s="69"/>
      <c r="AE1246" s="69"/>
      <c r="AF1246" s="69"/>
      <c r="AG1246" s="69"/>
      <c r="AH1246" s="69"/>
      <c r="AI1246" s="69"/>
      <c r="AJ1246" s="69"/>
      <c r="AK1246" s="69"/>
      <c r="AL1246" s="69"/>
      <c r="AM1246" s="69"/>
      <c r="AN1246" s="69"/>
      <c r="AO1246" s="69"/>
      <c r="AP1246" s="69"/>
      <c r="AQ1246" s="69"/>
      <c r="AR1246" s="69"/>
      <c r="AS1246" s="69"/>
      <c r="AT1246" s="69"/>
      <c r="AU1246" s="69"/>
      <c r="AV1246" s="69"/>
      <c r="AW1246" s="69"/>
      <c r="AX1246" s="69"/>
      <c r="AY1246" s="69"/>
      <c r="AZ1246" s="69"/>
      <c r="BA1246" s="69"/>
      <c r="BB1246" s="69"/>
      <c r="BC1246" s="69"/>
    </row>
    <row r="1247">
      <c r="A1247" s="68"/>
      <c r="B1247" s="68"/>
      <c r="C1247" s="68"/>
      <c r="D1247" s="68"/>
      <c r="E1247" s="68"/>
      <c r="F1247" s="68"/>
      <c r="G1247" s="68"/>
      <c r="H1247" s="68"/>
      <c r="I1247" s="69"/>
      <c r="J1247" s="69"/>
      <c r="K1247" s="71"/>
      <c r="L1247" s="69"/>
      <c r="M1247" s="69"/>
      <c r="N1247" s="72"/>
      <c r="O1247" s="69"/>
      <c r="P1247" s="69"/>
      <c r="Q1247" s="69"/>
      <c r="R1247" s="69"/>
      <c r="S1247" s="69"/>
      <c r="T1247" s="69"/>
      <c r="U1247" s="69"/>
      <c r="V1247" s="69"/>
      <c r="W1247" s="69"/>
      <c r="X1247" s="69"/>
      <c r="Y1247" s="69"/>
      <c r="Z1247" s="69"/>
      <c r="AA1247" s="69"/>
      <c r="AB1247" s="69"/>
      <c r="AC1247" s="69"/>
      <c r="AD1247" s="69"/>
      <c r="AE1247" s="69"/>
      <c r="AF1247" s="69"/>
      <c r="AG1247" s="69"/>
      <c r="AH1247" s="69"/>
      <c r="AI1247" s="69"/>
      <c r="AJ1247" s="69"/>
      <c r="AK1247" s="69"/>
      <c r="AL1247" s="69"/>
      <c r="AM1247" s="69"/>
      <c r="AN1247" s="69"/>
      <c r="AO1247" s="69"/>
      <c r="AP1247" s="69"/>
      <c r="AQ1247" s="69"/>
      <c r="AR1247" s="69"/>
      <c r="AS1247" s="69"/>
      <c r="AT1247" s="69"/>
      <c r="AU1247" s="69"/>
      <c r="AV1247" s="69"/>
      <c r="AW1247" s="69"/>
      <c r="AX1247" s="69"/>
      <c r="AY1247" s="69"/>
      <c r="AZ1247" s="69"/>
      <c r="BA1247" s="69"/>
      <c r="BB1247" s="69"/>
      <c r="BC1247" s="69"/>
    </row>
    <row r="1248">
      <c r="A1248" s="68"/>
      <c r="B1248" s="68"/>
      <c r="C1248" s="68"/>
      <c r="D1248" s="68"/>
      <c r="E1248" s="68"/>
      <c r="F1248" s="68"/>
      <c r="G1248" s="68"/>
      <c r="H1248" s="68"/>
      <c r="I1248" s="69"/>
      <c r="J1248" s="69"/>
      <c r="K1248" s="71"/>
      <c r="L1248" s="69"/>
      <c r="M1248" s="69"/>
      <c r="N1248" s="72"/>
      <c r="O1248" s="69"/>
      <c r="P1248" s="69"/>
      <c r="Q1248" s="69"/>
      <c r="R1248" s="69"/>
      <c r="S1248" s="69"/>
      <c r="T1248" s="69"/>
      <c r="U1248" s="69"/>
      <c r="V1248" s="69"/>
      <c r="W1248" s="69"/>
      <c r="X1248" s="69"/>
      <c r="Y1248" s="69"/>
      <c r="Z1248" s="69"/>
      <c r="AA1248" s="69"/>
      <c r="AB1248" s="69"/>
      <c r="AC1248" s="69"/>
      <c r="AD1248" s="69"/>
      <c r="AE1248" s="69"/>
      <c r="AF1248" s="69"/>
      <c r="AG1248" s="69"/>
      <c r="AH1248" s="69"/>
      <c r="AI1248" s="69"/>
      <c r="AJ1248" s="69"/>
      <c r="AK1248" s="69"/>
      <c r="AL1248" s="69"/>
      <c r="AM1248" s="69"/>
      <c r="AN1248" s="69"/>
      <c r="AO1248" s="69"/>
      <c r="AP1248" s="69"/>
      <c r="AQ1248" s="69"/>
      <c r="AR1248" s="69"/>
      <c r="AS1248" s="69"/>
      <c r="AT1248" s="69"/>
      <c r="AU1248" s="69"/>
      <c r="AV1248" s="69"/>
      <c r="AW1248" s="69"/>
      <c r="AX1248" s="69"/>
      <c r="AY1248" s="69"/>
      <c r="AZ1248" s="69"/>
      <c r="BA1248" s="69"/>
      <c r="BB1248" s="69"/>
      <c r="BC1248" s="69"/>
    </row>
    <row r="1249">
      <c r="A1249" s="68"/>
      <c r="B1249" s="68"/>
      <c r="C1249" s="68"/>
      <c r="D1249" s="68"/>
      <c r="E1249" s="68"/>
      <c r="F1249" s="68"/>
      <c r="G1249" s="68"/>
      <c r="H1249" s="68"/>
      <c r="I1249" s="69"/>
      <c r="J1249" s="69"/>
      <c r="K1249" s="71"/>
      <c r="L1249" s="69"/>
      <c r="M1249" s="69"/>
      <c r="N1249" s="72"/>
      <c r="O1249" s="69"/>
      <c r="P1249" s="69"/>
      <c r="Q1249" s="69"/>
      <c r="R1249" s="69"/>
      <c r="S1249" s="69"/>
      <c r="T1249" s="69"/>
      <c r="U1249" s="69"/>
      <c r="V1249" s="69"/>
      <c r="W1249" s="69"/>
      <c r="X1249" s="69"/>
      <c r="Y1249" s="69"/>
      <c r="Z1249" s="69"/>
      <c r="AA1249" s="69"/>
      <c r="AB1249" s="69"/>
      <c r="AC1249" s="69"/>
      <c r="AD1249" s="69"/>
      <c r="AE1249" s="69"/>
      <c r="AF1249" s="69"/>
      <c r="AG1249" s="69"/>
      <c r="AH1249" s="69"/>
      <c r="AI1249" s="69"/>
      <c r="AJ1249" s="69"/>
      <c r="AK1249" s="69"/>
      <c r="AL1249" s="69"/>
      <c r="AM1249" s="69"/>
      <c r="AN1249" s="69"/>
      <c r="AO1249" s="69"/>
      <c r="AP1249" s="69"/>
      <c r="AQ1249" s="69"/>
      <c r="AR1249" s="69"/>
      <c r="AS1249" s="69"/>
      <c r="AT1249" s="69"/>
      <c r="AU1249" s="69"/>
      <c r="AV1249" s="69"/>
      <c r="AW1249" s="69"/>
      <c r="AX1249" s="69"/>
      <c r="AY1249" s="69"/>
      <c r="AZ1249" s="69"/>
      <c r="BA1249" s="69"/>
      <c r="BB1249" s="69"/>
      <c r="BC1249" s="69"/>
    </row>
    <row r="1250">
      <c r="A1250" s="68"/>
      <c r="B1250" s="68"/>
      <c r="C1250" s="68"/>
      <c r="D1250" s="68"/>
      <c r="E1250" s="68"/>
      <c r="F1250" s="68"/>
      <c r="G1250" s="68"/>
      <c r="H1250" s="68"/>
      <c r="I1250" s="69"/>
      <c r="J1250" s="69"/>
      <c r="K1250" s="71"/>
      <c r="L1250" s="69"/>
      <c r="M1250" s="69"/>
      <c r="N1250" s="72"/>
      <c r="O1250" s="69"/>
      <c r="P1250" s="69"/>
      <c r="Q1250" s="69"/>
      <c r="R1250" s="69"/>
      <c r="S1250" s="69"/>
      <c r="T1250" s="69"/>
      <c r="U1250" s="69"/>
      <c r="V1250" s="69"/>
      <c r="W1250" s="69"/>
      <c r="X1250" s="69"/>
      <c r="Y1250" s="69"/>
      <c r="Z1250" s="69"/>
      <c r="AA1250" s="69"/>
      <c r="AB1250" s="69"/>
      <c r="AC1250" s="69"/>
      <c r="AD1250" s="69"/>
      <c r="AE1250" s="69"/>
      <c r="AF1250" s="69"/>
      <c r="AG1250" s="69"/>
      <c r="AH1250" s="69"/>
      <c r="AI1250" s="69"/>
      <c r="AJ1250" s="69"/>
      <c r="AK1250" s="69"/>
      <c r="AL1250" s="69"/>
      <c r="AM1250" s="69"/>
      <c r="AN1250" s="69"/>
      <c r="AO1250" s="69"/>
      <c r="AP1250" s="69"/>
      <c r="AQ1250" s="69"/>
      <c r="AR1250" s="69"/>
      <c r="AS1250" s="69"/>
      <c r="AT1250" s="69"/>
      <c r="AU1250" s="69"/>
      <c r="AV1250" s="69"/>
      <c r="AW1250" s="69"/>
      <c r="AX1250" s="69"/>
      <c r="AY1250" s="69"/>
      <c r="AZ1250" s="69"/>
      <c r="BA1250" s="69"/>
      <c r="BB1250" s="69"/>
      <c r="BC1250" s="69"/>
    </row>
    <row r="1251">
      <c r="A1251" s="68"/>
      <c r="B1251" s="68"/>
      <c r="C1251" s="68"/>
      <c r="D1251" s="68"/>
      <c r="E1251" s="68"/>
      <c r="F1251" s="68"/>
      <c r="G1251" s="68"/>
      <c r="H1251" s="68"/>
      <c r="I1251" s="69"/>
      <c r="J1251" s="69"/>
      <c r="K1251" s="71"/>
      <c r="L1251" s="69"/>
      <c r="M1251" s="69"/>
      <c r="N1251" s="72"/>
      <c r="O1251" s="69"/>
      <c r="P1251" s="69"/>
      <c r="Q1251" s="69"/>
      <c r="R1251" s="69"/>
      <c r="S1251" s="69"/>
      <c r="T1251" s="69"/>
      <c r="U1251" s="69"/>
      <c r="V1251" s="69"/>
      <c r="W1251" s="69"/>
      <c r="X1251" s="69"/>
      <c r="Y1251" s="69"/>
      <c r="Z1251" s="69"/>
      <c r="AA1251" s="69"/>
      <c r="AB1251" s="69"/>
      <c r="AC1251" s="69"/>
      <c r="AD1251" s="69"/>
      <c r="AE1251" s="69"/>
      <c r="AF1251" s="69"/>
      <c r="AG1251" s="69"/>
      <c r="AH1251" s="69"/>
      <c r="AI1251" s="69"/>
      <c r="AJ1251" s="69"/>
      <c r="AK1251" s="69"/>
      <c r="AL1251" s="69"/>
      <c r="AM1251" s="69"/>
      <c r="AN1251" s="69"/>
      <c r="AO1251" s="69"/>
      <c r="AP1251" s="69"/>
      <c r="AQ1251" s="69"/>
      <c r="AR1251" s="69"/>
      <c r="AS1251" s="69"/>
      <c r="AT1251" s="69"/>
      <c r="AU1251" s="69"/>
      <c r="AV1251" s="69"/>
      <c r="AW1251" s="69"/>
      <c r="AX1251" s="69"/>
      <c r="AY1251" s="69"/>
      <c r="AZ1251" s="69"/>
      <c r="BA1251" s="69"/>
      <c r="BB1251" s="69"/>
      <c r="BC1251" s="69"/>
    </row>
    <row r="1252">
      <c r="A1252" s="68"/>
      <c r="B1252" s="68"/>
      <c r="C1252" s="68"/>
      <c r="D1252" s="68"/>
      <c r="E1252" s="68"/>
      <c r="F1252" s="68"/>
      <c r="G1252" s="68"/>
      <c r="H1252" s="68"/>
      <c r="I1252" s="69"/>
      <c r="J1252" s="69"/>
      <c r="K1252" s="71"/>
      <c r="L1252" s="69"/>
      <c r="M1252" s="69"/>
      <c r="N1252" s="72"/>
      <c r="O1252" s="69"/>
      <c r="P1252" s="69"/>
      <c r="Q1252" s="69"/>
      <c r="R1252" s="69"/>
      <c r="S1252" s="69"/>
      <c r="T1252" s="69"/>
      <c r="U1252" s="69"/>
      <c r="V1252" s="69"/>
      <c r="W1252" s="69"/>
      <c r="X1252" s="69"/>
      <c r="Y1252" s="69"/>
      <c r="Z1252" s="69"/>
      <c r="AA1252" s="69"/>
      <c r="AB1252" s="69"/>
      <c r="AC1252" s="69"/>
      <c r="AD1252" s="69"/>
      <c r="AE1252" s="69"/>
      <c r="AF1252" s="69"/>
      <c r="AG1252" s="69"/>
      <c r="AH1252" s="69"/>
      <c r="AI1252" s="69"/>
      <c r="AJ1252" s="69"/>
      <c r="AK1252" s="69"/>
      <c r="AL1252" s="69"/>
      <c r="AM1252" s="69"/>
      <c r="AN1252" s="69"/>
      <c r="AO1252" s="69"/>
      <c r="AP1252" s="69"/>
      <c r="AQ1252" s="69"/>
      <c r="AR1252" s="69"/>
      <c r="AS1252" s="69"/>
      <c r="AT1252" s="69"/>
      <c r="AU1252" s="69"/>
      <c r="AV1252" s="69"/>
      <c r="AW1252" s="69"/>
      <c r="AX1252" s="69"/>
      <c r="AY1252" s="69"/>
      <c r="AZ1252" s="69"/>
      <c r="BA1252" s="69"/>
      <c r="BB1252" s="69"/>
      <c r="BC1252" s="69"/>
    </row>
    <row r="1253">
      <c r="A1253" s="68"/>
      <c r="B1253" s="68"/>
      <c r="C1253" s="68"/>
      <c r="D1253" s="68"/>
      <c r="E1253" s="68"/>
      <c r="F1253" s="68"/>
      <c r="G1253" s="68"/>
      <c r="H1253" s="68"/>
      <c r="I1253" s="69"/>
      <c r="J1253" s="69"/>
      <c r="K1253" s="71"/>
      <c r="L1253" s="69"/>
      <c r="M1253" s="69"/>
      <c r="N1253" s="72"/>
      <c r="O1253" s="69"/>
      <c r="P1253" s="69"/>
      <c r="Q1253" s="69"/>
      <c r="R1253" s="69"/>
      <c r="S1253" s="69"/>
      <c r="T1253" s="69"/>
      <c r="U1253" s="69"/>
      <c r="V1253" s="69"/>
      <c r="W1253" s="69"/>
      <c r="X1253" s="69"/>
      <c r="Y1253" s="69"/>
      <c r="Z1253" s="69"/>
      <c r="AA1253" s="69"/>
      <c r="AB1253" s="69"/>
      <c r="AC1253" s="69"/>
      <c r="AD1253" s="69"/>
      <c r="AE1253" s="69"/>
      <c r="AF1253" s="69"/>
      <c r="AG1253" s="69"/>
      <c r="AH1253" s="69"/>
      <c r="AI1253" s="69"/>
      <c r="AJ1253" s="69"/>
      <c r="AK1253" s="69"/>
      <c r="AL1253" s="69"/>
      <c r="AM1253" s="69"/>
      <c r="AN1253" s="69"/>
      <c r="AO1253" s="69"/>
      <c r="AP1253" s="69"/>
      <c r="AQ1253" s="69"/>
      <c r="AR1253" s="69"/>
      <c r="AS1253" s="69"/>
      <c r="AT1253" s="69"/>
      <c r="AU1253" s="69"/>
      <c r="AV1253" s="69"/>
      <c r="AW1253" s="69"/>
      <c r="AX1253" s="69"/>
      <c r="AY1253" s="69"/>
      <c r="AZ1253" s="69"/>
      <c r="BA1253" s="69"/>
      <c r="BB1253" s="69"/>
      <c r="BC1253" s="69"/>
    </row>
    <row r="1254">
      <c r="A1254" s="68"/>
      <c r="B1254" s="68"/>
      <c r="C1254" s="68"/>
      <c r="D1254" s="68"/>
      <c r="E1254" s="68"/>
      <c r="F1254" s="68"/>
      <c r="G1254" s="68"/>
      <c r="H1254" s="68"/>
      <c r="I1254" s="69"/>
      <c r="J1254" s="69"/>
      <c r="K1254" s="71"/>
      <c r="L1254" s="69"/>
      <c r="M1254" s="69"/>
      <c r="N1254" s="72"/>
      <c r="O1254" s="69"/>
      <c r="P1254" s="69"/>
      <c r="Q1254" s="69"/>
      <c r="R1254" s="69"/>
      <c r="S1254" s="69"/>
      <c r="T1254" s="69"/>
      <c r="U1254" s="69"/>
      <c r="V1254" s="69"/>
      <c r="W1254" s="69"/>
      <c r="X1254" s="69"/>
      <c r="Y1254" s="69"/>
      <c r="Z1254" s="69"/>
      <c r="AA1254" s="69"/>
      <c r="AB1254" s="69"/>
      <c r="AC1254" s="69"/>
      <c r="AD1254" s="69"/>
      <c r="AE1254" s="69"/>
      <c r="AF1254" s="69"/>
      <c r="AG1254" s="69"/>
      <c r="AH1254" s="69"/>
      <c r="AI1254" s="69"/>
      <c r="AJ1254" s="69"/>
      <c r="AK1254" s="69"/>
      <c r="AL1254" s="69"/>
      <c r="AM1254" s="69"/>
      <c r="AN1254" s="69"/>
      <c r="AO1254" s="69"/>
      <c r="AP1254" s="69"/>
      <c r="AQ1254" s="69"/>
      <c r="AR1254" s="69"/>
      <c r="AS1254" s="69"/>
      <c r="AT1254" s="69"/>
      <c r="AU1254" s="69"/>
      <c r="AV1254" s="69"/>
      <c r="AW1254" s="69"/>
      <c r="AX1254" s="69"/>
      <c r="AY1254" s="69"/>
      <c r="AZ1254" s="69"/>
      <c r="BA1254" s="69"/>
      <c r="BB1254" s="69"/>
      <c r="BC1254" s="69"/>
    </row>
    <row r="1255">
      <c r="A1255" s="68"/>
      <c r="B1255" s="68"/>
      <c r="C1255" s="68"/>
      <c r="D1255" s="68"/>
      <c r="E1255" s="68"/>
      <c r="F1255" s="68"/>
      <c r="G1255" s="68"/>
      <c r="H1255" s="68"/>
      <c r="I1255" s="69"/>
      <c r="J1255" s="69"/>
      <c r="K1255" s="71"/>
      <c r="L1255" s="69"/>
      <c r="M1255" s="69"/>
      <c r="N1255" s="72"/>
      <c r="O1255" s="69"/>
      <c r="P1255" s="69"/>
      <c r="Q1255" s="69"/>
      <c r="R1255" s="69"/>
      <c r="S1255" s="69"/>
      <c r="T1255" s="69"/>
      <c r="U1255" s="69"/>
      <c r="V1255" s="69"/>
      <c r="W1255" s="69"/>
      <c r="X1255" s="69"/>
      <c r="Y1255" s="69"/>
      <c r="Z1255" s="69"/>
      <c r="AA1255" s="69"/>
      <c r="AB1255" s="69"/>
      <c r="AC1255" s="69"/>
      <c r="AD1255" s="69"/>
      <c r="AE1255" s="69"/>
      <c r="AF1255" s="69"/>
      <c r="AG1255" s="69"/>
      <c r="AH1255" s="69"/>
      <c r="AI1255" s="69"/>
      <c r="AJ1255" s="69"/>
      <c r="AK1255" s="69"/>
      <c r="AL1255" s="69"/>
      <c r="AM1255" s="69"/>
      <c r="AN1255" s="69"/>
      <c r="AO1255" s="69"/>
      <c r="AP1255" s="69"/>
      <c r="AQ1255" s="69"/>
      <c r="AR1255" s="69"/>
      <c r="AS1255" s="69"/>
      <c r="AT1255" s="69"/>
      <c r="AU1255" s="69"/>
      <c r="AV1255" s="69"/>
      <c r="AW1255" s="69"/>
      <c r="AX1255" s="69"/>
      <c r="AY1255" s="69"/>
      <c r="AZ1255" s="69"/>
      <c r="BA1255" s="69"/>
      <c r="BB1255" s="69"/>
      <c r="BC1255" s="69"/>
    </row>
    <row r="1256">
      <c r="A1256" s="68"/>
      <c r="B1256" s="68"/>
      <c r="C1256" s="68"/>
      <c r="D1256" s="68"/>
      <c r="E1256" s="68"/>
      <c r="F1256" s="68"/>
      <c r="G1256" s="68"/>
      <c r="H1256" s="68"/>
      <c r="I1256" s="69"/>
      <c r="J1256" s="69"/>
      <c r="K1256" s="71"/>
      <c r="L1256" s="69"/>
      <c r="M1256" s="69"/>
      <c r="N1256" s="72"/>
      <c r="O1256" s="69"/>
      <c r="P1256" s="69"/>
      <c r="Q1256" s="69"/>
      <c r="R1256" s="69"/>
      <c r="S1256" s="69"/>
      <c r="T1256" s="69"/>
      <c r="U1256" s="69"/>
      <c r="V1256" s="69"/>
      <c r="W1256" s="69"/>
      <c r="X1256" s="69"/>
      <c r="Y1256" s="69"/>
      <c r="Z1256" s="69"/>
      <c r="AA1256" s="69"/>
      <c r="AB1256" s="69"/>
      <c r="AC1256" s="69"/>
      <c r="AD1256" s="69"/>
      <c r="AE1256" s="69"/>
      <c r="AF1256" s="69"/>
      <c r="AG1256" s="69"/>
      <c r="AH1256" s="69"/>
      <c r="AI1256" s="69"/>
      <c r="AJ1256" s="69"/>
      <c r="AK1256" s="69"/>
      <c r="AL1256" s="69"/>
      <c r="AM1256" s="69"/>
      <c r="AN1256" s="69"/>
      <c r="AO1256" s="69"/>
      <c r="AP1256" s="69"/>
      <c r="AQ1256" s="69"/>
      <c r="AR1256" s="69"/>
      <c r="AS1256" s="69"/>
      <c r="AT1256" s="69"/>
      <c r="AU1256" s="69"/>
      <c r="AV1256" s="69"/>
      <c r="AW1256" s="69"/>
      <c r="AX1256" s="69"/>
      <c r="AY1256" s="69"/>
      <c r="AZ1256" s="69"/>
      <c r="BA1256" s="69"/>
      <c r="BB1256" s="69"/>
      <c r="BC1256" s="69"/>
    </row>
    <row r="1257">
      <c r="A1257" s="68"/>
      <c r="B1257" s="68"/>
      <c r="C1257" s="68"/>
      <c r="D1257" s="68"/>
      <c r="E1257" s="68"/>
      <c r="F1257" s="68"/>
      <c r="G1257" s="68"/>
      <c r="H1257" s="68"/>
      <c r="I1257" s="69"/>
      <c r="J1257" s="69"/>
      <c r="K1257" s="71"/>
      <c r="L1257" s="69"/>
      <c r="M1257" s="69"/>
      <c r="N1257" s="72"/>
      <c r="O1257" s="69"/>
      <c r="P1257" s="69"/>
      <c r="Q1257" s="69"/>
      <c r="R1257" s="69"/>
      <c r="S1257" s="69"/>
      <c r="T1257" s="69"/>
      <c r="U1257" s="69"/>
      <c r="V1257" s="69"/>
      <c r="W1257" s="69"/>
      <c r="X1257" s="69"/>
      <c r="Y1257" s="69"/>
      <c r="Z1257" s="69"/>
      <c r="AA1257" s="69"/>
      <c r="AB1257" s="69"/>
      <c r="AC1257" s="69"/>
      <c r="AD1257" s="69"/>
      <c r="AE1257" s="69"/>
      <c r="AF1257" s="69"/>
      <c r="AG1257" s="69"/>
      <c r="AH1257" s="69"/>
      <c r="AI1257" s="69"/>
      <c r="AJ1257" s="69"/>
      <c r="AK1257" s="69"/>
      <c r="AL1257" s="69"/>
      <c r="AM1257" s="69"/>
      <c r="AN1257" s="69"/>
      <c r="AO1257" s="69"/>
      <c r="AP1257" s="69"/>
      <c r="AQ1257" s="69"/>
      <c r="AR1257" s="69"/>
      <c r="AS1257" s="69"/>
      <c r="AT1257" s="69"/>
      <c r="AU1257" s="69"/>
      <c r="AV1257" s="69"/>
      <c r="AW1257" s="69"/>
      <c r="AX1257" s="69"/>
      <c r="AY1257" s="69"/>
      <c r="AZ1257" s="69"/>
      <c r="BA1257" s="69"/>
      <c r="BB1257" s="69"/>
      <c r="BC1257" s="69"/>
    </row>
    <row r="1258">
      <c r="A1258" s="68"/>
      <c r="B1258" s="68"/>
      <c r="C1258" s="68"/>
      <c r="D1258" s="68"/>
      <c r="E1258" s="68"/>
      <c r="F1258" s="68"/>
      <c r="G1258" s="68"/>
      <c r="H1258" s="68"/>
      <c r="I1258" s="69"/>
      <c r="J1258" s="69"/>
      <c r="K1258" s="71"/>
      <c r="L1258" s="69"/>
      <c r="M1258" s="69"/>
      <c r="N1258" s="72"/>
      <c r="O1258" s="69"/>
      <c r="P1258" s="69"/>
      <c r="Q1258" s="69"/>
      <c r="R1258" s="69"/>
      <c r="S1258" s="69"/>
      <c r="T1258" s="69"/>
      <c r="U1258" s="69"/>
      <c r="V1258" s="69"/>
      <c r="W1258" s="69"/>
      <c r="X1258" s="69"/>
      <c r="Y1258" s="69"/>
      <c r="Z1258" s="69"/>
      <c r="AA1258" s="69"/>
      <c r="AB1258" s="69"/>
      <c r="AC1258" s="69"/>
      <c r="AD1258" s="69"/>
      <c r="AE1258" s="69"/>
      <c r="AF1258" s="69"/>
      <c r="AG1258" s="69"/>
      <c r="AH1258" s="69"/>
      <c r="AI1258" s="69"/>
      <c r="AJ1258" s="69"/>
      <c r="AK1258" s="69"/>
      <c r="AL1258" s="69"/>
      <c r="AM1258" s="69"/>
      <c r="AN1258" s="69"/>
      <c r="AO1258" s="69"/>
      <c r="AP1258" s="69"/>
      <c r="AQ1258" s="69"/>
      <c r="AR1258" s="69"/>
      <c r="AS1258" s="69"/>
      <c r="AT1258" s="69"/>
      <c r="AU1258" s="69"/>
      <c r="AV1258" s="69"/>
      <c r="AW1258" s="69"/>
      <c r="AX1258" s="69"/>
      <c r="AY1258" s="69"/>
      <c r="AZ1258" s="69"/>
      <c r="BA1258" s="69"/>
      <c r="BB1258" s="69"/>
      <c r="BC1258" s="69"/>
    </row>
    <row r="1259">
      <c r="A1259" s="68"/>
      <c r="B1259" s="68"/>
      <c r="C1259" s="68"/>
      <c r="D1259" s="68"/>
      <c r="E1259" s="68"/>
      <c r="F1259" s="68"/>
      <c r="G1259" s="68"/>
      <c r="H1259" s="68"/>
      <c r="I1259" s="69"/>
      <c r="J1259" s="69"/>
      <c r="K1259" s="71"/>
      <c r="L1259" s="69"/>
      <c r="M1259" s="69"/>
      <c r="N1259" s="72"/>
      <c r="O1259" s="69"/>
      <c r="P1259" s="69"/>
      <c r="Q1259" s="69"/>
      <c r="R1259" s="69"/>
      <c r="S1259" s="69"/>
      <c r="T1259" s="69"/>
      <c r="U1259" s="69"/>
      <c r="V1259" s="69"/>
      <c r="W1259" s="69"/>
      <c r="X1259" s="69"/>
      <c r="Y1259" s="69"/>
      <c r="Z1259" s="69"/>
      <c r="AA1259" s="69"/>
      <c r="AB1259" s="69"/>
      <c r="AC1259" s="69"/>
      <c r="AD1259" s="69"/>
      <c r="AE1259" s="69"/>
      <c r="AF1259" s="69"/>
      <c r="AG1259" s="69"/>
      <c r="AH1259" s="69"/>
      <c r="AI1259" s="69"/>
      <c r="AJ1259" s="69"/>
      <c r="AK1259" s="69"/>
      <c r="AL1259" s="69"/>
      <c r="AM1259" s="69"/>
      <c r="AN1259" s="69"/>
      <c r="AO1259" s="69"/>
      <c r="AP1259" s="69"/>
      <c r="AQ1259" s="69"/>
      <c r="AR1259" s="69"/>
      <c r="AS1259" s="69"/>
      <c r="AT1259" s="69"/>
      <c r="AU1259" s="69"/>
      <c r="AV1259" s="69"/>
      <c r="AW1259" s="69"/>
      <c r="AX1259" s="69"/>
      <c r="AY1259" s="69"/>
      <c r="AZ1259" s="69"/>
      <c r="BA1259" s="69"/>
      <c r="BB1259" s="69"/>
      <c r="BC1259" s="69"/>
    </row>
    <row r="1260">
      <c r="A1260" s="68"/>
      <c r="B1260" s="68"/>
      <c r="C1260" s="68"/>
      <c r="D1260" s="68"/>
      <c r="E1260" s="68"/>
      <c r="F1260" s="68"/>
      <c r="G1260" s="68"/>
      <c r="H1260" s="68"/>
      <c r="I1260" s="69"/>
      <c r="J1260" s="69"/>
      <c r="K1260" s="71"/>
      <c r="L1260" s="69"/>
      <c r="M1260" s="69"/>
      <c r="N1260" s="72"/>
      <c r="O1260" s="69"/>
      <c r="P1260" s="69"/>
      <c r="Q1260" s="69"/>
      <c r="R1260" s="69"/>
      <c r="S1260" s="69"/>
      <c r="T1260" s="69"/>
      <c r="U1260" s="69"/>
      <c r="V1260" s="69"/>
      <c r="W1260" s="69"/>
      <c r="X1260" s="69"/>
      <c r="Y1260" s="69"/>
      <c r="Z1260" s="69"/>
      <c r="AA1260" s="69"/>
      <c r="AB1260" s="69"/>
      <c r="AC1260" s="69"/>
      <c r="AD1260" s="69"/>
      <c r="AE1260" s="69"/>
      <c r="AF1260" s="69"/>
      <c r="AG1260" s="69"/>
      <c r="AH1260" s="69"/>
      <c r="AI1260" s="69"/>
      <c r="AJ1260" s="69"/>
      <c r="AK1260" s="69"/>
      <c r="AL1260" s="69"/>
      <c r="AM1260" s="69"/>
      <c r="AN1260" s="69"/>
      <c r="AO1260" s="69"/>
      <c r="AP1260" s="69"/>
      <c r="AQ1260" s="69"/>
      <c r="AR1260" s="69"/>
      <c r="AS1260" s="69"/>
      <c r="AT1260" s="69"/>
      <c r="AU1260" s="69"/>
      <c r="AV1260" s="69"/>
      <c r="AW1260" s="69"/>
      <c r="AX1260" s="69"/>
      <c r="AY1260" s="69"/>
      <c r="AZ1260" s="69"/>
      <c r="BA1260" s="69"/>
      <c r="BB1260" s="69"/>
      <c r="BC1260" s="69"/>
    </row>
    <row r="1261">
      <c r="A1261" s="68"/>
      <c r="B1261" s="68"/>
      <c r="C1261" s="68"/>
      <c r="D1261" s="68"/>
      <c r="E1261" s="68"/>
      <c r="F1261" s="68"/>
      <c r="G1261" s="68"/>
      <c r="H1261" s="68"/>
      <c r="I1261" s="69"/>
      <c r="J1261" s="69"/>
      <c r="K1261" s="71"/>
      <c r="L1261" s="69"/>
      <c r="M1261" s="69"/>
      <c r="N1261" s="72"/>
      <c r="O1261" s="69"/>
      <c r="P1261" s="69"/>
      <c r="Q1261" s="69"/>
      <c r="R1261" s="69"/>
      <c r="S1261" s="69"/>
      <c r="T1261" s="69"/>
      <c r="U1261" s="69"/>
      <c r="V1261" s="69"/>
      <c r="W1261" s="69"/>
      <c r="X1261" s="69"/>
      <c r="Y1261" s="69"/>
      <c r="Z1261" s="69"/>
      <c r="AA1261" s="69"/>
      <c r="AB1261" s="69"/>
      <c r="AC1261" s="69"/>
      <c r="AD1261" s="69"/>
      <c r="AE1261" s="69"/>
      <c r="AF1261" s="69"/>
      <c r="AG1261" s="69"/>
      <c r="AH1261" s="69"/>
      <c r="AI1261" s="69"/>
      <c r="AJ1261" s="69"/>
      <c r="AK1261" s="69"/>
      <c r="AL1261" s="69"/>
      <c r="AM1261" s="69"/>
      <c r="AN1261" s="69"/>
      <c r="AO1261" s="69"/>
      <c r="AP1261" s="69"/>
      <c r="AQ1261" s="69"/>
      <c r="AR1261" s="69"/>
      <c r="AS1261" s="69"/>
      <c r="AT1261" s="69"/>
      <c r="AU1261" s="69"/>
      <c r="AV1261" s="69"/>
      <c r="AW1261" s="69"/>
      <c r="AX1261" s="69"/>
      <c r="AY1261" s="69"/>
      <c r="AZ1261" s="69"/>
      <c r="BA1261" s="69"/>
      <c r="BB1261" s="69"/>
      <c r="BC1261" s="69"/>
    </row>
    <row r="1262">
      <c r="A1262" s="68"/>
      <c r="B1262" s="68"/>
      <c r="C1262" s="68"/>
      <c r="D1262" s="68"/>
      <c r="E1262" s="68"/>
      <c r="F1262" s="68"/>
      <c r="G1262" s="68"/>
      <c r="H1262" s="68"/>
      <c r="I1262" s="69"/>
      <c r="J1262" s="69"/>
      <c r="K1262" s="71"/>
      <c r="L1262" s="69"/>
      <c r="M1262" s="69"/>
      <c r="N1262" s="72"/>
      <c r="O1262" s="69"/>
      <c r="P1262" s="69"/>
      <c r="Q1262" s="69"/>
      <c r="R1262" s="69"/>
      <c r="S1262" s="69"/>
      <c r="T1262" s="69"/>
      <c r="U1262" s="69"/>
      <c r="V1262" s="69"/>
      <c r="W1262" s="69"/>
      <c r="X1262" s="69"/>
      <c r="Y1262" s="69"/>
      <c r="Z1262" s="69"/>
      <c r="AA1262" s="69"/>
      <c r="AB1262" s="69"/>
      <c r="AC1262" s="69"/>
      <c r="AD1262" s="69"/>
      <c r="AE1262" s="69"/>
      <c r="AF1262" s="69"/>
      <c r="AG1262" s="69"/>
      <c r="AH1262" s="69"/>
      <c r="AI1262" s="69"/>
      <c r="AJ1262" s="69"/>
      <c r="AK1262" s="69"/>
      <c r="AL1262" s="69"/>
      <c r="AM1262" s="69"/>
      <c r="AN1262" s="69"/>
      <c r="AO1262" s="69"/>
      <c r="AP1262" s="69"/>
      <c r="AQ1262" s="69"/>
      <c r="AR1262" s="69"/>
      <c r="AS1262" s="69"/>
      <c r="AT1262" s="69"/>
      <c r="AU1262" s="69"/>
      <c r="AV1262" s="69"/>
      <c r="AW1262" s="69"/>
      <c r="AX1262" s="69"/>
      <c r="AY1262" s="69"/>
      <c r="AZ1262" s="69"/>
      <c r="BA1262" s="69"/>
      <c r="BB1262" s="69"/>
      <c r="BC1262" s="69"/>
    </row>
    <row r="1263">
      <c r="A1263" s="68"/>
      <c r="B1263" s="68"/>
      <c r="C1263" s="68"/>
      <c r="D1263" s="68"/>
      <c r="E1263" s="68"/>
      <c r="F1263" s="68"/>
      <c r="G1263" s="68"/>
      <c r="H1263" s="68"/>
      <c r="I1263" s="69"/>
      <c r="J1263" s="69"/>
      <c r="K1263" s="71"/>
      <c r="L1263" s="69"/>
      <c r="M1263" s="69"/>
      <c r="N1263" s="72"/>
      <c r="O1263" s="69"/>
      <c r="P1263" s="69"/>
      <c r="Q1263" s="69"/>
      <c r="R1263" s="69"/>
      <c r="S1263" s="69"/>
      <c r="T1263" s="69"/>
      <c r="U1263" s="69"/>
      <c r="V1263" s="69"/>
      <c r="W1263" s="69"/>
      <c r="X1263" s="69"/>
      <c r="Y1263" s="69"/>
      <c r="Z1263" s="69"/>
      <c r="AA1263" s="69"/>
      <c r="AB1263" s="69"/>
      <c r="AC1263" s="69"/>
      <c r="AD1263" s="69"/>
      <c r="AE1263" s="69"/>
      <c r="AF1263" s="69"/>
      <c r="AG1263" s="69"/>
      <c r="AH1263" s="69"/>
      <c r="AI1263" s="69"/>
      <c r="AJ1263" s="69"/>
      <c r="AK1263" s="69"/>
      <c r="AL1263" s="69"/>
      <c r="AM1263" s="69"/>
      <c r="AN1263" s="69"/>
      <c r="AO1263" s="69"/>
      <c r="AP1263" s="69"/>
      <c r="AQ1263" s="69"/>
      <c r="AR1263" s="69"/>
      <c r="AS1263" s="69"/>
      <c r="AT1263" s="69"/>
      <c r="AU1263" s="69"/>
      <c r="AV1263" s="69"/>
      <c r="AW1263" s="69"/>
      <c r="AX1263" s="69"/>
      <c r="AY1263" s="69"/>
      <c r="AZ1263" s="69"/>
      <c r="BA1263" s="69"/>
      <c r="BB1263" s="69"/>
      <c r="BC1263" s="69"/>
    </row>
    <row r="1264">
      <c r="A1264" s="68"/>
      <c r="B1264" s="68"/>
      <c r="C1264" s="68"/>
      <c r="D1264" s="68"/>
      <c r="E1264" s="68"/>
      <c r="F1264" s="68"/>
      <c r="G1264" s="68"/>
      <c r="H1264" s="68"/>
      <c r="I1264" s="69"/>
      <c r="J1264" s="69"/>
      <c r="K1264" s="71"/>
      <c r="L1264" s="69"/>
      <c r="M1264" s="69"/>
      <c r="N1264" s="72"/>
      <c r="O1264" s="69"/>
      <c r="P1264" s="69"/>
      <c r="Q1264" s="69"/>
      <c r="R1264" s="69"/>
      <c r="S1264" s="69"/>
      <c r="T1264" s="69"/>
      <c r="U1264" s="69"/>
      <c r="V1264" s="69"/>
      <c r="W1264" s="69"/>
      <c r="X1264" s="69"/>
      <c r="Y1264" s="69"/>
      <c r="Z1264" s="69"/>
      <c r="AA1264" s="69"/>
      <c r="AB1264" s="69"/>
      <c r="AC1264" s="69"/>
      <c r="AD1264" s="69"/>
      <c r="AE1264" s="69"/>
      <c r="AF1264" s="69"/>
      <c r="AG1264" s="69"/>
      <c r="AH1264" s="69"/>
      <c r="AI1264" s="69"/>
      <c r="AJ1264" s="69"/>
      <c r="AK1264" s="69"/>
      <c r="AL1264" s="69"/>
      <c r="AM1264" s="69"/>
      <c r="AN1264" s="69"/>
      <c r="AO1264" s="69"/>
      <c r="AP1264" s="69"/>
      <c r="AQ1264" s="69"/>
      <c r="AR1264" s="69"/>
      <c r="AS1264" s="69"/>
      <c r="AT1264" s="69"/>
      <c r="AU1264" s="69"/>
      <c r="AV1264" s="69"/>
      <c r="AW1264" s="69"/>
      <c r="AX1264" s="69"/>
      <c r="AY1264" s="69"/>
      <c r="AZ1264" s="69"/>
      <c r="BA1264" s="69"/>
      <c r="BB1264" s="69"/>
      <c r="BC1264" s="69"/>
    </row>
    <row r="1265">
      <c r="A1265" s="68"/>
      <c r="B1265" s="68"/>
      <c r="C1265" s="68"/>
      <c r="D1265" s="68"/>
      <c r="E1265" s="68"/>
      <c r="F1265" s="68"/>
      <c r="G1265" s="68"/>
      <c r="H1265" s="68"/>
      <c r="I1265" s="69"/>
      <c r="J1265" s="69"/>
      <c r="K1265" s="71"/>
      <c r="L1265" s="69"/>
      <c r="M1265" s="69"/>
      <c r="N1265" s="72"/>
      <c r="O1265" s="69"/>
      <c r="P1265" s="69"/>
      <c r="Q1265" s="69"/>
      <c r="R1265" s="69"/>
      <c r="S1265" s="69"/>
      <c r="T1265" s="69"/>
      <c r="U1265" s="69"/>
      <c r="V1265" s="69"/>
      <c r="W1265" s="69"/>
      <c r="X1265" s="69"/>
      <c r="Y1265" s="69"/>
      <c r="Z1265" s="69"/>
      <c r="AA1265" s="69"/>
      <c r="AB1265" s="69"/>
      <c r="AC1265" s="69"/>
      <c r="AD1265" s="69"/>
      <c r="AE1265" s="69"/>
      <c r="AF1265" s="69"/>
      <c r="AG1265" s="69"/>
      <c r="AH1265" s="69"/>
      <c r="AI1265" s="69"/>
      <c r="AJ1265" s="69"/>
      <c r="AK1265" s="69"/>
      <c r="AL1265" s="69"/>
      <c r="AM1265" s="69"/>
      <c r="AN1265" s="69"/>
      <c r="AO1265" s="69"/>
      <c r="AP1265" s="69"/>
      <c r="AQ1265" s="69"/>
      <c r="AR1265" s="69"/>
      <c r="AS1265" s="69"/>
      <c r="AT1265" s="69"/>
      <c r="AU1265" s="69"/>
      <c r="AV1265" s="69"/>
      <c r="AW1265" s="69"/>
      <c r="AX1265" s="69"/>
      <c r="AY1265" s="69"/>
      <c r="AZ1265" s="69"/>
      <c r="BA1265" s="69"/>
      <c r="BB1265" s="69"/>
      <c r="BC1265" s="69"/>
    </row>
    <row r="1266">
      <c r="A1266" s="68"/>
      <c r="B1266" s="68"/>
      <c r="C1266" s="68"/>
      <c r="D1266" s="68"/>
      <c r="E1266" s="68"/>
      <c r="F1266" s="68"/>
      <c r="G1266" s="68"/>
      <c r="H1266" s="68"/>
      <c r="I1266" s="69"/>
      <c r="J1266" s="69"/>
      <c r="K1266" s="71"/>
      <c r="L1266" s="69"/>
      <c r="M1266" s="69"/>
      <c r="N1266" s="72"/>
      <c r="O1266" s="69"/>
      <c r="P1266" s="69"/>
      <c r="Q1266" s="69"/>
      <c r="R1266" s="69"/>
      <c r="S1266" s="69"/>
      <c r="T1266" s="69"/>
      <c r="U1266" s="69"/>
      <c r="V1266" s="69"/>
      <c r="W1266" s="69"/>
      <c r="X1266" s="69"/>
      <c r="Y1266" s="69"/>
      <c r="Z1266" s="69"/>
      <c r="AA1266" s="69"/>
      <c r="AB1266" s="69"/>
      <c r="AC1266" s="69"/>
      <c r="AD1266" s="69"/>
      <c r="AE1266" s="69"/>
      <c r="AF1266" s="69"/>
      <c r="AG1266" s="69"/>
      <c r="AH1266" s="69"/>
      <c r="AI1266" s="69"/>
      <c r="AJ1266" s="69"/>
      <c r="AK1266" s="69"/>
      <c r="AL1266" s="69"/>
      <c r="AM1266" s="69"/>
      <c r="AN1266" s="69"/>
      <c r="AO1266" s="69"/>
      <c r="AP1266" s="69"/>
      <c r="AQ1266" s="69"/>
      <c r="AR1266" s="69"/>
      <c r="AS1266" s="69"/>
      <c r="AT1266" s="69"/>
      <c r="AU1266" s="69"/>
      <c r="AV1266" s="69"/>
      <c r="AW1266" s="69"/>
      <c r="AX1266" s="69"/>
      <c r="AY1266" s="69"/>
      <c r="AZ1266" s="69"/>
      <c r="BA1266" s="69"/>
      <c r="BB1266" s="69"/>
      <c r="BC1266" s="69"/>
    </row>
    <row r="1267">
      <c r="A1267" s="68"/>
      <c r="B1267" s="68"/>
      <c r="C1267" s="68"/>
      <c r="D1267" s="68"/>
      <c r="E1267" s="68"/>
      <c r="F1267" s="68"/>
      <c r="G1267" s="68"/>
      <c r="H1267" s="68"/>
      <c r="I1267" s="69"/>
      <c r="J1267" s="69"/>
      <c r="K1267" s="71"/>
      <c r="L1267" s="69"/>
      <c r="M1267" s="69"/>
      <c r="N1267" s="72"/>
      <c r="O1267" s="69"/>
      <c r="P1267" s="69"/>
      <c r="Q1267" s="69"/>
      <c r="R1267" s="69"/>
      <c r="S1267" s="69"/>
      <c r="T1267" s="69"/>
      <c r="U1267" s="69"/>
      <c r="V1267" s="69"/>
      <c r="W1267" s="69"/>
      <c r="X1267" s="69"/>
      <c r="Y1267" s="69"/>
      <c r="Z1267" s="69"/>
      <c r="AA1267" s="69"/>
      <c r="AB1267" s="69"/>
      <c r="AC1267" s="69"/>
      <c r="AD1267" s="69"/>
      <c r="AE1267" s="69"/>
      <c r="AF1267" s="69"/>
      <c r="AG1267" s="69"/>
      <c r="AH1267" s="69"/>
      <c r="AI1267" s="69"/>
      <c r="AJ1267" s="69"/>
      <c r="AK1267" s="69"/>
      <c r="AL1267" s="69"/>
      <c r="AM1267" s="69"/>
      <c r="AN1267" s="69"/>
      <c r="AO1267" s="69"/>
      <c r="AP1267" s="69"/>
      <c r="AQ1267" s="69"/>
      <c r="AR1267" s="69"/>
      <c r="AS1267" s="69"/>
      <c r="AT1267" s="69"/>
      <c r="AU1267" s="69"/>
      <c r="AV1267" s="69"/>
      <c r="AW1267" s="69"/>
      <c r="AX1267" s="69"/>
      <c r="AY1267" s="69"/>
      <c r="AZ1267" s="69"/>
      <c r="BA1267" s="69"/>
      <c r="BB1267" s="69"/>
      <c r="BC1267" s="69"/>
    </row>
    <row r="1268">
      <c r="A1268" s="68"/>
      <c r="B1268" s="68"/>
      <c r="C1268" s="68"/>
      <c r="D1268" s="68"/>
      <c r="E1268" s="68"/>
      <c r="F1268" s="68"/>
      <c r="G1268" s="68"/>
      <c r="H1268" s="68"/>
      <c r="I1268" s="69"/>
      <c r="J1268" s="69"/>
      <c r="K1268" s="71"/>
      <c r="L1268" s="69"/>
      <c r="M1268" s="69"/>
      <c r="N1268" s="72"/>
      <c r="O1268" s="69"/>
      <c r="P1268" s="69"/>
      <c r="Q1268" s="69"/>
      <c r="R1268" s="69"/>
      <c r="S1268" s="69"/>
      <c r="T1268" s="69"/>
      <c r="U1268" s="69"/>
      <c r="V1268" s="69"/>
      <c r="W1268" s="69"/>
      <c r="X1268" s="69"/>
      <c r="Y1268" s="69"/>
      <c r="Z1268" s="69"/>
      <c r="AA1268" s="69"/>
      <c r="AB1268" s="69"/>
      <c r="AC1268" s="69"/>
      <c r="AD1268" s="69"/>
      <c r="AE1268" s="69"/>
      <c r="AF1268" s="69"/>
      <c r="AG1268" s="69"/>
      <c r="AH1268" s="69"/>
      <c r="AI1268" s="69"/>
      <c r="AJ1268" s="69"/>
      <c r="AK1268" s="69"/>
      <c r="AL1268" s="69"/>
      <c r="AM1268" s="69"/>
      <c r="AN1268" s="69"/>
      <c r="AO1268" s="69"/>
      <c r="AP1268" s="69"/>
      <c r="AQ1268" s="69"/>
      <c r="AR1268" s="69"/>
      <c r="AS1268" s="69"/>
      <c r="AT1268" s="69"/>
      <c r="AU1268" s="69"/>
      <c r="AV1268" s="69"/>
      <c r="AW1268" s="69"/>
      <c r="AX1268" s="69"/>
      <c r="AY1268" s="69"/>
      <c r="AZ1268" s="69"/>
      <c r="BA1268" s="69"/>
      <c r="BB1268" s="69"/>
      <c r="BC1268" s="69"/>
    </row>
    <row r="1269">
      <c r="A1269" s="68"/>
      <c r="B1269" s="68"/>
      <c r="C1269" s="68"/>
      <c r="D1269" s="68"/>
      <c r="E1269" s="68"/>
      <c r="F1269" s="68"/>
      <c r="G1269" s="68"/>
      <c r="H1269" s="68"/>
      <c r="I1269" s="69"/>
      <c r="J1269" s="69"/>
      <c r="K1269" s="71"/>
      <c r="L1269" s="69"/>
      <c r="M1269" s="69"/>
      <c r="N1269" s="72"/>
      <c r="O1269" s="69"/>
      <c r="P1269" s="69"/>
      <c r="Q1269" s="69"/>
      <c r="R1269" s="69"/>
      <c r="S1269" s="69"/>
      <c r="T1269" s="69"/>
      <c r="U1269" s="69"/>
      <c r="V1269" s="69"/>
      <c r="W1269" s="69"/>
      <c r="X1269" s="69"/>
      <c r="Y1269" s="69"/>
      <c r="Z1269" s="69"/>
      <c r="AA1269" s="69"/>
      <c r="AB1269" s="69"/>
      <c r="AC1269" s="69"/>
      <c r="AD1269" s="69"/>
      <c r="AE1269" s="69"/>
      <c r="AF1269" s="69"/>
      <c r="AG1269" s="69"/>
      <c r="AH1269" s="69"/>
      <c r="AI1269" s="69"/>
      <c r="AJ1269" s="69"/>
      <c r="AK1269" s="69"/>
      <c r="AL1269" s="69"/>
      <c r="AM1269" s="69"/>
      <c r="AN1269" s="69"/>
      <c r="AO1269" s="69"/>
      <c r="AP1269" s="69"/>
      <c r="AQ1269" s="69"/>
      <c r="AR1269" s="69"/>
      <c r="AS1269" s="69"/>
      <c r="AT1269" s="69"/>
      <c r="AU1269" s="69"/>
      <c r="AV1269" s="69"/>
      <c r="AW1269" s="69"/>
      <c r="AX1269" s="69"/>
      <c r="AY1269" s="69"/>
      <c r="AZ1269" s="69"/>
      <c r="BA1269" s="69"/>
      <c r="BB1269" s="69"/>
      <c r="BC1269" s="69"/>
    </row>
    <row r="1270">
      <c r="A1270" s="68"/>
      <c r="B1270" s="68"/>
      <c r="C1270" s="68"/>
      <c r="D1270" s="68"/>
      <c r="E1270" s="68"/>
      <c r="F1270" s="68"/>
      <c r="G1270" s="68"/>
      <c r="H1270" s="68"/>
      <c r="I1270" s="69"/>
      <c r="J1270" s="69"/>
      <c r="K1270" s="71"/>
      <c r="L1270" s="69"/>
      <c r="M1270" s="69"/>
      <c r="N1270" s="72"/>
      <c r="O1270" s="69"/>
      <c r="P1270" s="69"/>
      <c r="Q1270" s="69"/>
      <c r="R1270" s="69"/>
      <c r="S1270" s="69"/>
      <c r="T1270" s="69"/>
      <c r="U1270" s="69"/>
      <c r="V1270" s="69"/>
      <c r="W1270" s="69"/>
      <c r="X1270" s="69"/>
      <c r="Y1270" s="69"/>
      <c r="Z1270" s="69"/>
      <c r="AA1270" s="69"/>
      <c r="AB1270" s="69"/>
      <c r="AC1270" s="69"/>
      <c r="AD1270" s="69"/>
      <c r="AE1270" s="69"/>
      <c r="AF1270" s="69"/>
      <c r="AG1270" s="69"/>
      <c r="AH1270" s="69"/>
      <c r="AI1270" s="69"/>
      <c r="AJ1270" s="69"/>
      <c r="AK1270" s="69"/>
      <c r="AL1270" s="69"/>
      <c r="AM1270" s="69"/>
      <c r="AN1270" s="69"/>
      <c r="AO1270" s="69"/>
      <c r="AP1270" s="69"/>
      <c r="AQ1270" s="69"/>
      <c r="AR1270" s="69"/>
      <c r="AS1270" s="69"/>
      <c r="AT1270" s="69"/>
      <c r="AU1270" s="69"/>
      <c r="AV1270" s="69"/>
      <c r="AW1270" s="69"/>
      <c r="AX1270" s="69"/>
      <c r="AY1270" s="69"/>
      <c r="AZ1270" s="69"/>
      <c r="BA1270" s="69"/>
      <c r="BB1270" s="69"/>
      <c r="BC1270" s="69"/>
    </row>
    <row r="1271">
      <c r="A1271" s="68"/>
      <c r="B1271" s="68"/>
      <c r="C1271" s="68"/>
      <c r="D1271" s="68"/>
      <c r="E1271" s="68"/>
      <c r="F1271" s="68"/>
      <c r="G1271" s="68"/>
      <c r="H1271" s="68"/>
      <c r="I1271" s="69"/>
      <c r="J1271" s="69"/>
      <c r="K1271" s="71"/>
      <c r="L1271" s="69"/>
      <c r="M1271" s="69"/>
      <c r="N1271" s="72"/>
      <c r="O1271" s="69"/>
      <c r="P1271" s="69"/>
      <c r="Q1271" s="69"/>
      <c r="R1271" s="69"/>
      <c r="S1271" s="69"/>
      <c r="T1271" s="69"/>
      <c r="U1271" s="69"/>
      <c r="V1271" s="69"/>
      <c r="W1271" s="69"/>
      <c r="X1271" s="69"/>
      <c r="Y1271" s="69"/>
      <c r="Z1271" s="69"/>
      <c r="AA1271" s="69"/>
      <c r="AB1271" s="69"/>
      <c r="AC1271" s="69"/>
      <c r="AD1271" s="69"/>
      <c r="AE1271" s="69"/>
      <c r="AF1271" s="69"/>
      <c r="AG1271" s="69"/>
      <c r="AH1271" s="69"/>
      <c r="AI1271" s="69"/>
      <c r="AJ1271" s="69"/>
      <c r="AK1271" s="69"/>
      <c r="AL1271" s="69"/>
      <c r="AM1271" s="69"/>
      <c r="AN1271" s="69"/>
      <c r="AO1271" s="69"/>
      <c r="AP1271" s="69"/>
      <c r="AQ1271" s="69"/>
      <c r="AR1271" s="69"/>
      <c r="AS1271" s="69"/>
      <c r="AT1271" s="69"/>
      <c r="AU1271" s="69"/>
      <c r="AV1271" s="69"/>
      <c r="AW1271" s="69"/>
      <c r="AX1271" s="69"/>
      <c r="AY1271" s="69"/>
      <c r="AZ1271" s="69"/>
      <c r="BA1271" s="69"/>
      <c r="BB1271" s="69"/>
      <c r="BC1271" s="69"/>
    </row>
    <row r="1272">
      <c r="A1272" s="68"/>
      <c r="B1272" s="68"/>
      <c r="C1272" s="68"/>
      <c r="D1272" s="68"/>
      <c r="E1272" s="68"/>
      <c r="F1272" s="68"/>
      <c r="G1272" s="68"/>
      <c r="H1272" s="68"/>
      <c r="I1272" s="69"/>
      <c r="J1272" s="69"/>
      <c r="K1272" s="71"/>
      <c r="L1272" s="69"/>
      <c r="M1272" s="69"/>
      <c r="N1272" s="72"/>
      <c r="O1272" s="69"/>
      <c r="P1272" s="69"/>
      <c r="Q1272" s="69"/>
      <c r="R1272" s="69"/>
      <c r="S1272" s="69"/>
      <c r="T1272" s="69"/>
      <c r="U1272" s="69"/>
      <c r="V1272" s="69"/>
      <c r="W1272" s="69"/>
      <c r="X1272" s="69"/>
      <c r="Y1272" s="69"/>
      <c r="Z1272" s="69"/>
      <c r="AA1272" s="69"/>
      <c r="AB1272" s="69"/>
      <c r="AC1272" s="69"/>
      <c r="AD1272" s="69"/>
      <c r="AE1272" s="69"/>
      <c r="AF1272" s="69"/>
      <c r="AG1272" s="69"/>
      <c r="AH1272" s="69"/>
      <c r="AI1272" s="69"/>
      <c r="AJ1272" s="69"/>
      <c r="AK1272" s="69"/>
      <c r="AL1272" s="69"/>
      <c r="AM1272" s="69"/>
      <c r="AN1272" s="69"/>
      <c r="AO1272" s="69"/>
      <c r="AP1272" s="69"/>
      <c r="AQ1272" s="69"/>
      <c r="AR1272" s="69"/>
      <c r="AS1272" s="69"/>
      <c r="AT1272" s="69"/>
      <c r="AU1272" s="69"/>
      <c r="AV1272" s="69"/>
      <c r="AW1272" s="69"/>
      <c r="AX1272" s="69"/>
      <c r="AY1272" s="69"/>
      <c r="AZ1272" s="69"/>
      <c r="BA1272" s="69"/>
      <c r="BB1272" s="69"/>
      <c r="BC1272" s="69"/>
    </row>
    <row r="1273">
      <c r="A1273" s="68"/>
      <c r="B1273" s="68"/>
      <c r="C1273" s="68"/>
      <c r="D1273" s="68"/>
      <c r="E1273" s="68"/>
      <c r="F1273" s="68"/>
      <c r="G1273" s="68"/>
      <c r="H1273" s="68"/>
      <c r="I1273" s="69"/>
      <c r="J1273" s="69"/>
      <c r="K1273" s="71"/>
      <c r="L1273" s="69"/>
      <c r="M1273" s="69"/>
      <c r="N1273" s="72"/>
      <c r="O1273" s="69"/>
      <c r="P1273" s="69"/>
      <c r="Q1273" s="69"/>
      <c r="R1273" s="69"/>
      <c r="S1273" s="69"/>
      <c r="T1273" s="69"/>
      <c r="U1273" s="69"/>
      <c r="V1273" s="69"/>
      <c r="W1273" s="69"/>
      <c r="X1273" s="69"/>
      <c r="Y1273" s="69"/>
      <c r="Z1273" s="69"/>
      <c r="AA1273" s="69"/>
      <c r="AB1273" s="69"/>
      <c r="AC1273" s="69"/>
      <c r="AD1273" s="69"/>
      <c r="AE1273" s="69"/>
      <c r="AF1273" s="69"/>
      <c r="AG1273" s="69"/>
      <c r="AH1273" s="69"/>
      <c r="AI1273" s="69"/>
      <c r="AJ1273" s="69"/>
      <c r="AK1273" s="69"/>
      <c r="AL1273" s="69"/>
      <c r="AM1273" s="69"/>
      <c r="AN1273" s="69"/>
      <c r="AO1273" s="69"/>
      <c r="AP1273" s="69"/>
      <c r="AQ1273" s="69"/>
      <c r="AR1273" s="69"/>
      <c r="AS1273" s="69"/>
      <c r="AT1273" s="69"/>
      <c r="AU1273" s="69"/>
      <c r="AV1273" s="69"/>
      <c r="AW1273" s="69"/>
      <c r="AX1273" s="69"/>
      <c r="AY1273" s="69"/>
      <c r="AZ1273" s="69"/>
      <c r="BA1273" s="69"/>
      <c r="BB1273" s="69"/>
      <c r="BC1273" s="69"/>
    </row>
    <row r="1274">
      <c r="A1274" s="68"/>
      <c r="B1274" s="68"/>
      <c r="C1274" s="68"/>
      <c r="D1274" s="68"/>
      <c r="E1274" s="68"/>
      <c r="F1274" s="68"/>
      <c r="G1274" s="68"/>
      <c r="H1274" s="68"/>
      <c r="I1274" s="69"/>
      <c r="J1274" s="69"/>
      <c r="K1274" s="71"/>
      <c r="L1274" s="69"/>
      <c r="M1274" s="69"/>
      <c r="N1274" s="72"/>
      <c r="O1274" s="69"/>
      <c r="P1274" s="69"/>
      <c r="Q1274" s="69"/>
      <c r="R1274" s="69"/>
      <c r="S1274" s="69"/>
      <c r="T1274" s="69"/>
      <c r="U1274" s="69"/>
      <c r="V1274" s="69"/>
      <c r="W1274" s="69"/>
      <c r="X1274" s="69"/>
      <c r="Y1274" s="69"/>
      <c r="Z1274" s="69"/>
      <c r="AA1274" s="69"/>
      <c r="AB1274" s="69"/>
      <c r="AC1274" s="69"/>
      <c r="AD1274" s="69"/>
      <c r="AE1274" s="69"/>
      <c r="AF1274" s="69"/>
      <c r="AG1274" s="69"/>
      <c r="AH1274" s="69"/>
      <c r="AI1274" s="69"/>
      <c r="AJ1274" s="69"/>
      <c r="AK1274" s="69"/>
      <c r="AL1274" s="69"/>
      <c r="AM1274" s="69"/>
      <c r="AN1274" s="69"/>
      <c r="AO1274" s="69"/>
      <c r="AP1274" s="69"/>
      <c r="AQ1274" s="69"/>
      <c r="AR1274" s="69"/>
      <c r="AS1274" s="69"/>
      <c r="AT1274" s="69"/>
      <c r="AU1274" s="69"/>
      <c r="AV1274" s="69"/>
      <c r="AW1274" s="69"/>
      <c r="AX1274" s="69"/>
      <c r="AY1274" s="69"/>
      <c r="AZ1274" s="69"/>
      <c r="BA1274" s="69"/>
      <c r="BB1274" s="69"/>
      <c r="BC1274" s="69"/>
    </row>
    <row r="1275">
      <c r="A1275" s="68"/>
      <c r="B1275" s="68"/>
      <c r="C1275" s="68"/>
      <c r="D1275" s="68"/>
      <c r="E1275" s="68"/>
      <c r="F1275" s="68"/>
      <c r="G1275" s="68"/>
      <c r="H1275" s="68"/>
      <c r="I1275" s="69"/>
      <c r="J1275" s="69"/>
      <c r="K1275" s="71"/>
      <c r="L1275" s="69"/>
      <c r="M1275" s="69"/>
      <c r="N1275" s="72"/>
      <c r="O1275" s="69"/>
      <c r="P1275" s="69"/>
      <c r="Q1275" s="69"/>
      <c r="R1275" s="69"/>
      <c r="S1275" s="69"/>
      <c r="T1275" s="69"/>
      <c r="U1275" s="69"/>
      <c r="V1275" s="69"/>
      <c r="W1275" s="69"/>
      <c r="X1275" s="69"/>
      <c r="Y1275" s="69"/>
      <c r="Z1275" s="69"/>
      <c r="AA1275" s="69"/>
      <c r="AB1275" s="69"/>
      <c r="AC1275" s="69"/>
      <c r="AD1275" s="69"/>
      <c r="AE1275" s="69"/>
      <c r="AF1275" s="69"/>
      <c r="AG1275" s="69"/>
      <c r="AH1275" s="69"/>
      <c r="AI1275" s="69"/>
      <c r="AJ1275" s="69"/>
      <c r="AK1275" s="69"/>
      <c r="AL1275" s="69"/>
      <c r="AM1275" s="69"/>
      <c r="AN1275" s="69"/>
      <c r="AO1275" s="69"/>
      <c r="AP1275" s="69"/>
      <c r="AQ1275" s="69"/>
      <c r="AR1275" s="69"/>
      <c r="AS1275" s="69"/>
      <c r="AT1275" s="69"/>
      <c r="AU1275" s="69"/>
      <c r="AV1275" s="69"/>
      <c r="AW1275" s="69"/>
      <c r="AX1275" s="69"/>
      <c r="AY1275" s="69"/>
      <c r="AZ1275" s="69"/>
      <c r="BA1275" s="69"/>
      <c r="BB1275" s="69"/>
      <c r="BC1275" s="69"/>
    </row>
    <row r="1276">
      <c r="A1276" s="68"/>
      <c r="B1276" s="68"/>
      <c r="C1276" s="68"/>
      <c r="D1276" s="68"/>
      <c r="E1276" s="68"/>
      <c r="F1276" s="68"/>
      <c r="G1276" s="68"/>
      <c r="H1276" s="68"/>
      <c r="I1276" s="69"/>
      <c r="J1276" s="69"/>
      <c r="K1276" s="71"/>
      <c r="L1276" s="69"/>
      <c r="M1276" s="69"/>
      <c r="N1276" s="72"/>
      <c r="O1276" s="69"/>
      <c r="P1276" s="69"/>
      <c r="Q1276" s="69"/>
      <c r="R1276" s="69"/>
      <c r="S1276" s="69"/>
      <c r="T1276" s="69"/>
      <c r="U1276" s="69"/>
      <c r="V1276" s="69"/>
      <c r="W1276" s="69"/>
      <c r="X1276" s="69"/>
      <c r="Y1276" s="69"/>
      <c r="Z1276" s="69"/>
      <c r="AA1276" s="69"/>
      <c r="AB1276" s="69"/>
      <c r="AC1276" s="69"/>
      <c r="AD1276" s="69"/>
      <c r="AE1276" s="69"/>
      <c r="AF1276" s="69"/>
      <c r="AG1276" s="69"/>
      <c r="AH1276" s="69"/>
      <c r="AI1276" s="69"/>
      <c r="AJ1276" s="69"/>
      <c r="AK1276" s="69"/>
      <c r="AL1276" s="69"/>
      <c r="AM1276" s="69"/>
      <c r="AN1276" s="69"/>
      <c r="AO1276" s="69"/>
      <c r="AP1276" s="69"/>
      <c r="AQ1276" s="69"/>
      <c r="AR1276" s="69"/>
      <c r="AS1276" s="69"/>
      <c r="AT1276" s="69"/>
      <c r="AU1276" s="69"/>
      <c r="AV1276" s="69"/>
      <c r="AW1276" s="69"/>
      <c r="AX1276" s="69"/>
      <c r="AY1276" s="69"/>
      <c r="AZ1276" s="69"/>
      <c r="BA1276" s="69"/>
      <c r="BB1276" s="69"/>
      <c r="BC1276" s="69"/>
    </row>
    <row r="1277">
      <c r="A1277" s="68"/>
      <c r="B1277" s="68"/>
      <c r="C1277" s="68"/>
      <c r="D1277" s="68"/>
      <c r="E1277" s="68"/>
      <c r="F1277" s="68"/>
      <c r="G1277" s="68"/>
      <c r="H1277" s="68"/>
      <c r="I1277" s="69"/>
      <c r="J1277" s="69"/>
      <c r="K1277" s="71"/>
      <c r="L1277" s="69"/>
      <c r="M1277" s="69"/>
      <c r="N1277" s="72"/>
      <c r="O1277" s="69"/>
      <c r="P1277" s="69"/>
      <c r="Q1277" s="69"/>
      <c r="R1277" s="69"/>
      <c r="S1277" s="69"/>
      <c r="T1277" s="69"/>
      <c r="U1277" s="69"/>
      <c r="V1277" s="69"/>
      <c r="W1277" s="69"/>
      <c r="X1277" s="69"/>
      <c r="Y1277" s="69"/>
      <c r="Z1277" s="69"/>
      <c r="AA1277" s="69"/>
      <c r="AB1277" s="69"/>
      <c r="AC1277" s="69"/>
      <c r="AD1277" s="69"/>
      <c r="AE1277" s="69"/>
      <c r="AF1277" s="69"/>
      <c r="AG1277" s="69"/>
      <c r="AH1277" s="69"/>
      <c r="AI1277" s="69"/>
      <c r="AJ1277" s="69"/>
      <c r="AK1277" s="69"/>
      <c r="AL1277" s="69"/>
      <c r="AM1277" s="69"/>
      <c r="AN1277" s="69"/>
      <c r="AO1277" s="69"/>
      <c r="AP1277" s="69"/>
      <c r="AQ1277" s="69"/>
      <c r="AR1277" s="69"/>
      <c r="AS1277" s="69"/>
      <c r="AT1277" s="69"/>
      <c r="AU1277" s="69"/>
      <c r="AV1277" s="69"/>
      <c r="AW1277" s="69"/>
      <c r="AX1277" s="69"/>
      <c r="AY1277" s="69"/>
      <c r="AZ1277" s="69"/>
      <c r="BA1277" s="69"/>
      <c r="BB1277" s="69"/>
      <c r="BC1277" s="69"/>
    </row>
    <row r="1278">
      <c r="A1278" s="68"/>
      <c r="B1278" s="68"/>
      <c r="C1278" s="68"/>
      <c r="D1278" s="68"/>
      <c r="E1278" s="68"/>
      <c r="F1278" s="68"/>
      <c r="G1278" s="68"/>
      <c r="H1278" s="68"/>
      <c r="I1278" s="69"/>
      <c r="J1278" s="69"/>
      <c r="K1278" s="71"/>
      <c r="L1278" s="69"/>
      <c r="M1278" s="69"/>
      <c r="N1278" s="72"/>
      <c r="O1278" s="69"/>
      <c r="P1278" s="69"/>
      <c r="Q1278" s="69"/>
      <c r="R1278" s="69"/>
      <c r="S1278" s="69"/>
      <c r="T1278" s="69"/>
      <c r="U1278" s="69"/>
      <c r="V1278" s="69"/>
      <c r="W1278" s="69"/>
      <c r="X1278" s="69"/>
      <c r="Y1278" s="69"/>
      <c r="Z1278" s="69"/>
      <c r="AA1278" s="69"/>
      <c r="AB1278" s="69"/>
      <c r="AC1278" s="69"/>
      <c r="AD1278" s="69"/>
      <c r="AE1278" s="69"/>
      <c r="AF1278" s="69"/>
      <c r="AG1278" s="69"/>
      <c r="AH1278" s="69"/>
      <c r="AI1278" s="69"/>
      <c r="AJ1278" s="69"/>
      <c r="AK1278" s="69"/>
      <c r="AL1278" s="69"/>
      <c r="AM1278" s="69"/>
      <c r="AN1278" s="69"/>
      <c r="AO1278" s="69"/>
      <c r="AP1278" s="69"/>
      <c r="AQ1278" s="69"/>
      <c r="AR1278" s="69"/>
      <c r="AS1278" s="69"/>
      <c r="AT1278" s="69"/>
      <c r="AU1278" s="69"/>
      <c r="AV1278" s="69"/>
      <c r="AW1278" s="69"/>
      <c r="AX1278" s="69"/>
      <c r="AY1278" s="69"/>
      <c r="AZ1278" s="69"/>
      <c r="BA1278" s="69"/>
      <c r="BB1278" s="69"/>
      <c r="BC1278" s="69"/>
    </row>
    <row r="1279">
      <c r="A1279" s="68"/>
      <c r="B1279" s="68"/>
      <c r="C1279" s="68"/>
      <c r="D1279" s="68"/>
      <c r="E1279" s="68"/>
      <c r="F1279" s="68"/>
      <c r="G1279" s="68"/>
      <c r="H1279" s="68"/>
      <c r="I1279" s="69"/>
      <c r="J1279" s="69"/>
      <c r="K1279" s="71"/>
      <c r="L1279" s="69"/>
      <c r="M1279" s="69"/>
      <c r="N1279" s="72"/>
      <c r="O1279" s="69"/>
      <c r="P1279" s="69"/>
      <c r="Q1279" s="69"/>
      <c r="R1279" s="69"/>
      <c r="S1279" s="69"/>
      <c r="T1279" s="69"/>
      <c r="U1279" s="69"/>
      <c r="V1279" s="69"/>
      <c r="W1279" s="69"/>
      <c r="X1279" s="69"/>
      <c r="Y1279" s="69"/>
      <c r="Z1279" s="69"/>
      <c r="AA1279" s="69"/>
      <c r="AB1279" s="69"/>
      <c r="AC1279" s="69"/>
      <c r="AD1279" s="69"/>
      <c r="AE1279" s="69"/>
      <c r="AF1279" s="69"/>
      <c r="AG1279" s="69"/>
      <c r="AH1279" s="69"/>
      <c r="AI1279" s="69"/>
      <c r="AJ1279" s="69"/>
      <c r="AK1279" s="69"/>
      <c r="AL1279" s="69"/>
      <c r="AM1279" s="69"/>
      <c r="AN1279" s="69"/>
      <c r="AO1279" s="69"/>
      <c r="AP1279" s="69"/>
      <c r="AQ1279" s="69"/>
      <c r="AR1279" s="69"/>
      <c r="AS1279" s="69"/>
      <c r="AT1279" s="69"/>
      <c r="AU1279" s="69"/>
      <c r="AV1279" s="69"/>
      <c r="AW1279" s="69"/>
      <c r="AX1279" s="69"/>
      <c r="AY1279" s="69"/>
      <c r="AZ1279" s="69"/>
      <c r="BA1279" s="69"/>
      <c r="BB1279" s="69"/>
      <c r="BC1279" s="69"/>
    </row>
    <row r="1280">
      <c r="A1280" s="68"/>
      <c r="B1280" s="68"/>
      <c r="C1280" s="68"/>
      <c r="D1280" s="68"/>
      <c r="E1280" s="68"/>
      <c r="F1280" s="68"/>
      <c r="G1280" s="68"/>
      <c r="H1280" s="68"/>
      <c r="I1280" s="69"/>
      <c r="J1280" s="69"/>
      <c r="K1280" s="71"/>
      <c r="L1280" s="69"/>
      <c r="M1280" s="69"/>
      <c r="N1280" s="72"/>
      <c r="O1280" s="69"/>
      <c r="P1280" s="69"/>
      <c r="Q1280" s="69"/>
      <c r="R1280" s="69"/>
      <c r="S1280" s="69"/>
      <c r="T1280" s="69"/>
      <c r="U1280" s="69"/>
      <c r="V1280" s="69"/>
      <c r="W1280" s="69"/>
      <c r="X1280" s="69"/>
      <c r="Y1280" s="69"/>
      <c r="Z1280" s="69"/>
      <c r="AA1280" s="69"/>
      <c r="AB1280" s="69"/>
      <c r="AC1280" s="69"/>
      <c r="AD1280" s="69"/>
      <c r="AE1280" s="69"/>
      <c r="AF1280" s="69"/>
      <c r="AG1280" s="69"/>
      <c r="AH1280" s="69"/>
      <c r="AI1280" s="69"/>
      <c r="AJ1280" s="69"/>
      <c r="AK1280" s="69"/>
      <c r="AL1280" s="69"/>
      <c r="AM1280" s="69"/>
      <c r="AN1280" s="69"/>
      <c r="AO1280" s="69"/>
      <c r="AP1280" s="69"/>
      <c r="AQ1280" s="69"/>
      <c r="AR1280" s="69"/>
      <c r="AS1280" s="69"/>
      <c r="AT1280" s="69"/>
      <c r="AU1280" s="69"/>
      <c r="AV1280" s="69"/>
      <c r="AW1280" s="69"/>
      <c r="AX1280" s="69"/>
      <c r="AY1280" s="69"/>
      <c r="AZ1280" s="69"/>
      <c r="BA1280" s="69"/>
      <c r="BB1280" s="69"/>
      <c r="BC1280" s="69"/>
    </row>
    <row r="1281">
      <c r="A1281" s="68"/>
      <c r="B1281" s="68"/>
      <c r="C1281" s="68"/>
      <c r="D1281" s="68"/>
      <c r="E1281" s="68"/>
      <c r="F1281" s="68"/>
      <c r="G1281" s="68"/>
      <c r="H1281" s="68"/>
      <c r="I1281" s="69"/>
      <c r="J1281" s="69"/>
      <c r="K1281" s="71"/>
      <c r="L1281" s="69"/>
      <c r="M1281" s="69"/>
      <c r="N1281" s="72"/>
      <c r="O1281" s="69"/>
      <c r="P1281" s="69"/>
      <c r="Q1281" s="69"/>
      <c r="R1281" s="69"/>
      <c r="S1281" s="69"/>
      <c r="T1281" s="69"/>
      <c r="U1281" s="69"/>
      <c r="V1281" s="69"/>
      <c r="W1281" s="69"/>
      <c r="X1281" s="69"/>
      <c r="Y1281" s="69"/>
      <c r="Z1281" s="69"/>
      <c r="AA1281" s="69"/>
      <c r="AB1281" s="69"/>
      <c r="AC1281" s="69"/>
      <c r="AD1281" s="69"/>
      <c r="AE1281" s="69"/>
      <c r="AF1281" s="69"/>
      <c r="AG1281" s="69"/>
      <c r="AH1281" s="69"/>
      <c r="AI1281" s="69"/>
      <c r="AJ1281" s="69"/>
      <c r="AK1281" s="69"/>
      <c r="AL1281" s="69"/>
      <c r="AM1281" s="69"/>
      <c r="AN1281" s="69"/>
      <c r="AO1281" s="69"/>
      <c r="AP1281" s="69"/>
      <c r="AQ1281" s="69"/>
      <c r="AR1281" s="69"/>
      <c r="AS1281" s="69"/>
      <c r="AT1281" s="69"/>
      <c r="AU1281" s="69"/>
      <c r="AV1281" s="69"/>
      <c r="AW1281" s="69"/>
      <c r="AX1281" s="69"/>
      <c r="AY1281" s="69"/>
      <c r="AZ1281" s="69"/>
      <c r="BA1281" s="69"/>
      <c r="BB1281" s="69"/>
      <c r="BC1281" s="69"/>
    </row>
    <row r="1282">
      <c r="A1282" s="68"/>
      <c r="B1282" s="68"/>
      <c r="C1282" s="68"/>
      <c r="D1282" s="68"/>
      <c r="E1282" s="68"/>
      <c r="F1282" s="68"/>
      <c r="G1282" s="68"/>
      <c r="H1282" s="68"/>
      <c r="I1282" s="69"/>
      <c r="J1282" s="69"/>
      <c r="K1282" s="71"/>
      <c r="L1282" s="69"/>
      <c r="M1282" s="69"/>
      <c r="N1282" s="72"/>
      <c r="O1282" s="69"/>
      <c r="P1282" s="69"/>
      <c r="Q1282" s="69"/>
      <c r="R1282" s="69"/>
      <c r="S1282" s="69"/>
      <c r="T1282" s="69"/>
      <c r="U1282" s="69"/>
      <c r="V1282" s="69"/>
      <c r="W1282" s="69"/>
      <c r="X1282" s="69"/>
      <c r="Y1282" s="69"/>
      <c r="Z1282" s="69"/>
      <c r="AA1282" s="69"/>
      <c r="AB1282" s="69"/>
      <c r="AC1282" s="69"/>
      <c r="AD1282" s="69"/>
      <c r="AE1282" s="69"/>
      <c r="AF1282" s="69"/>
      <c r="AG1282" s="69"/>
      <c r="AH1282" s="69"/>
      <c r="AI1282" s="69"/>
      <c r="AJ1282" s="69"/>
      <c r="AK1282" s="69"/>
      <c r="AL1282" s="69"/>
      <c r="AM1282" s="69"/>
      <c r="AN1282" s="69"/>
      <c r="AO1282" s="69"/>
      <c r="AP1282" s="69"/>
      <c r="AQ1282" s="69"/>
      <c r="AR1282" s="69"/>
      <c r="AS1282" s="69"/>
      <c r="AT1282" s="69"/>
      <c r="AU1282" s="69"/>
      <c r="AV1282" s="69"/>
      <c r="AW1282" s="69"/>
      <c r="AX1282" s="69"/>
      <c r="AY1282" s="69"/>
      <c r="AZ1282" s="69"/>
      <c r="BA1282" s="69"/>
      <c r="BB1282" s="69"/>
      <c r="BC1282" s="69"/>
    </row>
    <row r="1283">
      <c r="A1283" s="68"/>
      <c r="B1283" s="68"/>
      <c r="C1283" s="68"/>
      <c r="D1283" s="68"/>
      <c r="E1283" s="68"/>
      <c r="F1283" s="68"/>
      <c r="G1283" s="68"/>
      <c r="H1283" s="68"/>
      <c r="I1283" s="69"/>
      <c r="J1283" s="69"/>
      <c r="K1283" s="71"/>
      <c r="L1283" s="69"/>
      <c r="M1283" s="69"/>
      <c r="N1283" s="72"/>
      <c r="O1283" s="69"/>
      <c r="P1283" s="69"/>
      <c r="Q1283" s="69"/>
      <c r="R1283" s="69"/>
      <c r="S1283" s="69"/>
      <c r="T1283" s="69"/>
      <c r="U1283" s="69"/>
      <c r="V1283" s="69"/>
      <c r="W1283" s="69"/>
      <c r="X1283" s="69"/>
      <c r="Y1283" s="69"/>
      <c r="Z1283" s="69"/>
      <c r="AA1283" s="69"/>
      <c r="AB1283" s="69"/>
      <c r="AC1283" s="69"/>
      <c r="AD1283" s="69"/>
      <c r="AE1283" s="69"/>
      <c r="AF1283" s="69"/>
      <c r="AG1283" s="69"/>
      <c r="AH1283" s="69"/>
      <c r="AI1283" s="69"/>
      <c r="AJ1283" s="69"/>
      <c r="AK1283" s="69"/>
      <c r="AL1283" s="69"/>
      <c r="AM1283" s="69"/>
      <c r="AN1283" s="69"/>
      <c r="AO1283" s="69"/>
      <c r="AP1283" s="69"/>
      <c r="AQ1283" s="69"/>
      <c r="AR1283" s="69"/>
      <c r="AS1283" s="69"/>
      <c r="AT1283" s="69"/>
      <c r="AU1283" s="69"/>
      <c r="AV1283" s="69"/>
      <c r="AW1283" s="69"/>
      <c r="AX1283" s="69"/>
      <c r="AY1283" s="69"/>
      <c r="AZ1283" s="69"/>
      <c r="BA1283" s="69"/>
      <c r="BB1283" s="69"/>
      <c r="BC1283" s="69"/>
    </row>
    <row r="1284">
      <c r="A1284" s="68"/>
      <c r="B1284" s="68"/>
      <c r="C1284" s="68"/>
      <c r="D1284" s="68"/>
      <c r="E1284" s="68"/>
      <c r="F1284" s="68"/>
      <c r="G1284" s="68"/>
      <c r="H1284" s="68"/>
      <c r="I1284" s="69"/>
      <c r="J1284" s="69"/>
      <c r="K1284" s="71"/>
      <c r="L1284" s="69"/>
      <c r="M1284" s="69"/>
      <c r="N1284" s="72"/>
      <c r="O1284" s="69"/>
      <c r="P1284" s="69"/>
      <c r="Q1284" s="69"/>
      <c r="R1284" s="69"/>
      <c r="S1284" s="69"/>
      <c r="T1284" s="69"/>
      <c r="U1284" s="69"/>
      <c r="V1284" s="69"/>
      <c r="W1284" s="69"/>
      <c r="X1284" s="69"/>
      <c r="Y1284" s="69"/>
      <c r="Z1284" s="69"/>
      <c r="AA1284" s="69"/>
      <c r="AB1284" s="69"/>
      <c r="AC1284" s="69"/>
      <c r="AD1284" s="69"/>
      <c r="AE1284" s="69"/>
      <c r="AF1284" s="69"/>
      <c r="AG1284" s="69"/>
      <c r="AH1284" s="69"/>
      <c r="AI1284" s="69"/>
      <c r="AJ1284" s="69"/>
      <c r="AK1284" s="69"/>
      <c r="AL1284" s="69"/>
      <c r="AM1284" s="69"/>
      <c r="AN1284" s="69"/>
      <c r="AO1284" s="69"/>
      <c r="AP1284" s="69"/>
      <c r="AQ1284" s="69"/>
      <c r="AR1284" s="69"/>
      <c r="AS1284" s="69"/>
      <c r="AT1284" s="69"/>
      <c r="AU1284" s="69"/>
      <c r="AV1284" s="69"/>
      <c r="AW1284" s="69"/>
      <c r="AX1284" s="69"/>
      <c r="AY1284" s="69"/>
      <c r="AZ1284" s="69"/>
      <c r="BA1284" s="69"/>
      <c r="BB1284" s="69"/>
      <c r="BC1284" s="69"/>
    </row>
    <row r="1285">
      <c r="A1285" s="68"/>
      <c r="B1285" s="68"/>
      <c r="C1285" s="68"/>
      <c r="D1285" s="68"/>
      <c r="E1285" s="68"/>
      <c r="F1285" s="68"/>
      <c r="G1285" s="68"/>
      <c r="H1285" s="68"/>
      <c r="I1285" s="69"/>
      <c r="J1285" s="69"/>
      <c r="K1285" s="71"/>
      <c r="L1285" s="69"/>
      <c r="M1285" s="69"/>
      <c r="N1285" s="72"/>
      <c r="O1285" s="69"/>
      <c r="P1285" s="69"/>
      <c r="Q1285" s="69"/>
      <c r="R1285" s="69"/>
      <c r="S1285" s="69"/>
      <c r="T1285" s="69"/>
      <c r="U1285" s="69"/>
      <c r="V1285" s="69"/>
      <c r="W1285" s="69"/>
      <c r="X1285" s="69"/>
      <c r="Y1285" s="69"/>
      <c r="Z1285" s="69"/>
      <c r="AA1285" s="69"/>
      <c r="AB1285" s="69"/>
      <c r="AC1285" s="69"/>
      <c r="AD1285" s="69"/>
      <c r="AE1285" s="69"/>
      <c r="AF1285" s="69"/>
      <c r="AG1285" s="69"/>
      <c r="AH1285" s="69"/>
      <c r="AI1285" s="69"/>
      <c r="AJ1285" s="69"/>
      <c r="AK1285" s="69"/>
      <c r="AL1285" s="69"/>
      <c r="AM1285" s="69"/>
      <c r="AN1285" s="69"/>
      <c r="AO1285" s="69"/>
      <c r="AP1285" s="69"/>
      <c r="AQ1285" s="69"/>
      <c r="AR1285" s="69"/>
      <c r="AS1285" s="69"/>
      <c r="AT1285" s="69"/>
      <c r="AU1285" s="69"/>
      <c r="AV1285" s="69"/>
      <c r="AW1285" s="69"/>
      <c r="AX1285" s="69"/>
      <c r="AY1285" s="69"/>
      <c r="AZ1285" s="69"/>
      <c r="BA1285" s="69"/>
      <c r="BB1285" s="69"/>
      <c r="BC1285" s="69"/>
    </row>
    <row r="1286">
      <c r="A1286" s="68"/>
      <c r="B1286" s="68"/>
      <c r="C1286" s="68"/>
      <c r="D1286" s="68"/>
      <c r="E1286" s="68"/>
      <c r="F1286" s="68"/>
      <c r="G1286" s="68"/>
      <c r="H1286" s="68"/>
      <c r="I1286" s="69"/>
      <c r="J1286" s="69"/>
      <c r="K1286" s="71"/>
      <c r="L1286" s="69"/>
      <c r="M1286" s="69"/>
      <c r="N1286" s="72"/>
      <c r="O1286" s="69"/>
      <c r="P1286" s="69"/>
      <c r="Q1286" s="69"/>
      <c r="R1286" s="69"/>
      <c r="S1286" s="69"/>
      <c r="T1286" s="69"/>
      <c r="U1286" s="69"/>
      <c r="V1286" s="69"/>
      <c r="W1286" s="69"/>
      <c r="X1286" s="69"/>
      <c r="Y1286" s="69"/>
      <c r="Z1286" s="69"/>
      <c r="AA1286" s="69"/>
      <c r="AB1286" s="69"/>
      <c r="AC1286" s="69"/>
      <c r="AD1286" s="69"/>
      <c r="AE1286" s="69"/>
      <c r="AF1286" s="69"/>
      <c r="AG1286" s="69"/>
      <c r="AH1286" s="69"/>
      <c r="AI1286" s="69"/>
      <c r="AJ1286" s="69"/>
      <c r="AK1286" s="69"/>
      <c r="AL1286" s="69"/>
      <c r="AM1286" s="69"/>
      <c r="AN1286" s="69"/>
      <c r="AO1286" s="69"/>
      <c r="AP1286" s="69"/>
      <c r="AQ1286" s="69"/>
      <c r="AR1286" s="69"/>
      <c r="AS1286" s="69"/>
      <c r="AT1286" s="69"/>
      <c r="AU1286" s="69"/>
      <c r="AV1286" s="69"/>
      <c r="AW1286" s="69"/>
      <c r="AX1286" s="69"/>
      <c r="AY1286" s="69"/>
      <c r="AZ1286" s="69"/>
      <c r="BA1286" s="69"/>
      <c r="BB1286" s="69"/>
      <c r="BC1286" s="69"/>
    </row>
    <row r="1287">
      <c r="A1287" s="68"/>
      <c r="B1287" s="68"/>
      <c r="C1287" s="68"/>
      <c r="D1287" s="68"/>
      <c r="E1287" s="68"/>
      <c r="F1287" s="68"/>
      <c r="G1287" s="68"/>
      <c r="H1287" s="68"/>
      <c r="I1287" s="69"/>
      <c r="J1287" s="69"/>
      <c r="K1287" s="71"/>
      <c r="L1287" s="69"/>
      <c r="M1287" s="69"/>
      <c r="N1287" s="72"/>
      <c r="O1287" s="69"/>
      <c r="P1287" s="69"/>
      <c r="Q1287" s="69"/>
      <c r="R1287" s="69"/>
      <c r="S1287" s="69"/>
      <c r="T1287" s="69"/>
      <c r="U1287" s="69"/>
      <c r="V1287" s="69"/>
      <c r="W1287" s="69"/>
      <c r="X1287" s="69"/>
      <c r="Y1287" s="69"/>
      <c r="Z1287" s="69"/>
      <c r="AA1287" s="69"/>
      <c r="AB1287" s="69"/>
      <c r="AC1287" s="69"/>
      <c r="AD1287" s="69"/>
      <c r="AE1287" s="69"/>
      <c r="AF1287" s="69"/>
      <c r="AG1287" s="69"/>
      <c r="AH1287" s="69"/>
      <c r="AI1287" s="69"/>
      <c r="AJ1287" s="69"/>
      <c r="AK1287" s="69"/>
      <c r="AL1287" s="69"/>
      <c r="AM1287" s="69"/>
      <c r="AN1287" s="69"/>
      <c r="AO1287" s="69"/>
      <c r="AP1287" s="69"/>
      <c r="AQ1287" s="69"/>
      <c r="AR1287" s="69"/>
      <c r="AS1287" s="69"/>
      <c r="AT1287" s="69"/>
      <c r="AU1287" s="69"/>
      <c r="AV1287" s="69"/>
      <c r="AW1287" s="69"/>
      <c r="AX1287" s="69"/>
      <c r="AY1287" s="69"/>
      <c r="AZ1287" s="69"/>
      <c r="BA1287" s="69"/>
      <c r="BB1287" s="69"/>
      <c r="BC1287" s="69"/>
    </row>
    <row r="1288">
      <c r="A1288" s="68"/>
      <c r="B1288" s="68"/>
      <c r="C1288" s="68"/>
      <c r="D1288" s="68"/>
      <c r="E1288" s="68"/>
      <c r="F1288" s="68"/>
      <c r="G1288" s="68"/>
      <c r="H1288" s="68"/>
      <c r="I1288" s="69"/>
      <c r="J1288" s="69"/>
      <c r="K1288" s="71"/>
      <c r="L1288" s="69"/>
      <c r="M1288" s="69"/>
      <c r="N1288" s="72"/>
      <c r="O1288" s="69"/>
      <c r="P1288" s="69"/>
      <c r="Q1288" s="69"/>
      <c r="R1288" s="69"/>
      <c r="S1288" s="69"/>
      <c r="T1288" s="69"/>
      <c r="U1288" s="69"/>
      <c r="V1288" s="69"/>
      <c r="W1288" s="69"/>
      <c r="X1288" s="69"/>
      <c r="Y1288" s="69"/>
      <c r="Z1288" s="69"/>
      <c r="AA1288" s="69"/>
      <c r="AB1288" s="69"/>
      <c r="AC1288" s="69"/>
      <c r="AD1288" s="69"/>
      <c r="AE1288" s="69"/>
      <c r="AF1288" s="69"/>
      <c r="AG1288" s="69"/>
      <c r="AH1288" s="69"/>
      <c r="AI1288" s="69"/>
      <c r="AJ1288" s="69"/>
      <c r="AK1288" s="69"/>
      <c r="AL1288" s="69"/>
      <c r="AM1288" s="69"/>
      <c r="AN1288" s="69"/>
      <c r="AO1288" s="69"/>
      <c r="AP1288" s="69"/>
      <c r="AQ1288" s="69"/>
      <c r="AR1288" s="69"/>
      <c r="AS1288" s="69"/>
      <c r="AT1288" s="69"/>
      <c r="AU1288" s="69"/>
      <c r="AV1288" s="69"/>
      <c r="AW1288" s="69"/>
      <c r="AX1288" s="69"/>
      <c r="AY1288" s="69"/>
      <c r="AZ1288" s="69"/>
      <c r="BA1288" s="69"/>
      <c r="BB1288" s="69"/>
      <c r="BC1288" s="69"/>
    </row>
    <row r="1289">
      <c r="A1289" s="68"/>
      <c r="B1289" s="68"/>
      <c r="C1289" s="68"/>
      <c r="D1289" s="68"/>
      <c r="E1289" s="68"/>
      <c r="F1289" s="68"/>
      <c r="G1289" s="68"/>
      <c r="H1289" s="68"/>
      <c r="I1289" s="69"/>
      <c r="J1289" s="69"/>
      <c r="K1289" s="71"/>
      <c r="L1289" s="69"/>
      <c r="M1289" s="69"/>
      <c r="N1289" s="72"/>
      <c r="O1289" s="69"/>
      <c r="P1289" s="69"/>
      <c r="Q1289" s="69"/>
      <c r="R1289" s="69"/>
      <c r="S1289" s="69"/>
      <c r="T1289" s="69"/>
      <c r="U1289" s="69"/>
      <c r="V1289" s="69"/>
      <c r="W1289" s="69"/>
      <c r="X1289" s="69"/>
      <c r="Y1289" s="69"/>
      <c r="Z1289" s="69"/>
      <c r="AA1289" s="69"/>
      <c r="AB1289" s="69"/>
      <c r="AC1289" s="69"/>
      <c r="AD1289" s="69"/>
      <c r="AE1289" s="69"/>
      <c r="AF1289" s="69"/>
      <c r="AG1289" s="69"/>
      <c r="AH1289" s="69"/>
      <c r="AI1289" s="69"/>
      <c r="AJ1289" s="69"/>
      <c r="AK1289" s="69"/>
      <c r="AL1289" s="69"/>
      <c r="AM1289" s="69"/>
      <c r="AN1289" s="69"/>
      <c r="AO1289" s="69"/>
      <c r="AP1289" s="69"/>
      <c r="AQ1289" s="69"/>
      <c r="AR1289" s="69"/>
      <c r="AS1289" s="69"/>
      <c r="AT1289" s="69"/>
      <c r="AU1289" s="69"/>
      <c r="AV1289" s="69"/>
      <c r="AW1289" s="69"/>
      <c r="AX1289" s="69"/>
      <c r="AY1289" s="69"/>
      <c r="AZ1289" s="69"/>
      <c r="BA1289" s="69"/>
      <c r="BB1289" s="69"/>
      <c r="BC1289" s="69"/>
    </row>
    <row r="1290">
      <c r="A1290" s="68"/>
      <c r="B1290" s="68"/>
      <c r="C1290" s="68"/>
      <c r="D1290" s="68"/>
      <c r="E1290" s="68"/>
      <c r="F1290" s="68"/>
      <c r="G1290" s="68"/>
      <c r="H1290" s="68"/>
      <c r="I1290" s="69"/>
      <c r="J1290" s="69"/>
      <c r="K1290" s="71"/>
      <c r="L1290" s="69"/>
      <c r="M1290" s="69"/>
      <c r="N1290" s="72"/>
      <c r="O1290" s="69"/>
      <c r="P1290" s="69"/>
      <c r="Q1290" s="69"/>
      <c r="R1290" s="69"/>
      <c r="S1290" s="69"/>
      <c r="T1290" s="69"/>
      <c r="U1290" s="69"/>
      <c r="V1290" s="69"/>
      <c r="W1290" s="69"/>
      <c r="X1290" s="69"/>
      <c r="Y1290" s="69"/>
      <c r="Z1290" s="69"/>
      <c r="AA1290" s="69"/>
      <c r="AB1290" s="69"/>
      <c r="AC1290" s="69"/>
      <c r="AD1290" s="69"/>
      <c r="AE1290" s="69"/>
      <c r="AF1290" s="69"/>
      <c r="AG1290" s="69"/>
      <c r="AH1290" s="69"/>
      <c r="AI1290" s="69"/>
      <c r="AJ1290" s="69"/>
      <c r="AK1290" s="69"/>
      <c r="AL1290" s="69"/>
      <c r="AM1290" s="69"/>
      <c r="AN1290" s="69"/>
      <c r="AO1290" s="69"/>
      <c r="AP1290" s="69"/>
      <c r="AQ1290" s="69"/>
      <c r="AR1290" s="69"/>
      <c r="AS1290" s="69"/>
      <c r="AT1290" s="69"/>
      <c r="AU1290" s="69"/>
      <c r="AV1290" s="69"/>
      <c r="AW1290" s="69"/>
      <c r="AX1290" s="69"/>
      <c r="AY1290" s="69"/>
      <c r="AZ1290" s="69"/>
      <c r="BA1290" s="69"/>
      <c r="BB1290" s="69"/>
      <c r="BC1290" s="69"/>
    </row>
    <row r="1291">
      <c r="A1291" s="68"/>
      <c r="B1291" s="68"/>
      <c r="C1291" s="68"/>
      <c r="D1291" s="68"/>
      <c r="E1291" s="68"/>
      <c r="F1291" s="68"/>
      <c r="G1291" s="68"/>
      <c r="H1291" s="68"/>
      <c r="I1291" s="69"/>
      <c r="J1291" s="69"/>
      <c r="K1291" s="71"/>
      <c r="L1291" s="69"/>
      <c r="M1291" s="69"/>
      <c r="N1291" s="72"/>
      <c r="O1291" s="69"/>
      <c r="P1291" s="69"/>
      <c r="Q1291" s="69"/>
      <c r="R1291" s="69"/>
      <c r="S1291" s="69"/>
      <c r="T1291" s="69"/>
      <c r="U1291" s="69"/>
      <c r="V1291" s="69"/>
      <c r="W1291" s="69"/>
      <c r="X1291" s="69"/>
      <c r="Y1291" s="69"/>
      <c r="Z1291" s="69"/>
      <c r="AA1291" s="69"/>
      <c r="AB1291" s="69"/>
      <c r="AC1291" s="69"/>
      <c r="AD1291" s="69"/>
      <c r="AE1291" s="69"/>
      <c r="AF1291" s="69"/>
      <c r="AG1291" s="69"/>
      <c r="AH1291" s="69"/>
      <c r="AI1291" s="69"/>
      <c r="AJ1291" s="69"/>
      <c r="AK1291" s="69"/>
      <c r="AL1291" s="69"/>
      <c r="AM1291" s="69"/>
      <c r="AN1291" s="69"/>
      <c r="AO1291" s="69"/>
      <c r="AP1291" s="69"/>
      <c r="AQ1291" s="69"/>
      <c r="AR1291" s="69"/>
      <c r="AS1291" s="69"/>
      <c r="AT1291" s="69"/>
      <c r="AU1291" s="69"/>
      <c r="AV1291" s="69"/>
      <c r="AW1291" s="69"/>
      <c r="AX1291" s="69"/>
      <c r="AY1291" s="69"/>
      <c r="AZ1291" s="69"/>
      <c r="BA1291" s="69"/>
      <c r="BB1291" s="69"/>
      <c r="BC1291" s="69"/>
    </row>
    <row r="1292">
      <c r="A1292" s="68"/>
      <c r="B1292" s="68"/>
      <c r="C1292" s="68"/>
      <c r="D1292" s="68"/>
      <c r="E1292" s="68"/>
      <c r="F1292" s="68"/>
      <c r="G1292" s="68"/>
      <c r="H1292" s="68"/>
      <c r="I1292" s="69"/>
      <c r="J1292" s="69"/>
      <c r="K1292" s="71"/>
      <c r="L1292" s="69"/>
      <c r="M1292" s="69"/>
      <c r="N1292" s="72"/>
      <c r="O1292" s="69"/>
      <c r="P1292" s="69"/>
      <c r="Q1292" s="69"/>
      <c r="R1292" s="69"/>
      <c r="S1292" s="69"/>
      <c r="T1292" s="69"/>
      <c r="U1292" s="69"/>
      <c r="V1292" s="69"/>
      <c r="W1292" s="69"/>
      <c r="X1292" s="69"/>
      <c r="Y1292" s="69"/>
      <c r="Z1292" s="69"/>
      <c r="AA1292" s="69"/>
      <c r="AB1292" s="69"/>
      <c r="AC1292" s="69"/>
      <c r="AD1292" s="69"/>
      <c r="AE1292" s="69"/>
      <c r="AF1292" s="69"/>
      <c r="AG1292" s="69"/>
      <c r="AH1292" s="69"/>
      <c r="AI1292" s="69"/>
      <c r="AJ1292" s="69"/>
      <c r="AK1292" s="69"/>
      <c r="AL1292" s="69"/>
      <c r="AM1292" s="69"/>
      <c r="AN1292" s="69"/>
      <c r="AO1292" s="69"/>
      <c r="AP1292" s="69"/>
      <c r="AQ1292" s="69"/>
      <c r="AR1292" s="69"/>
      <c r="AS1292" s="69"/>
      <c r="AT1292" s="69"/>
      <c r="AU1292" s="69"/>
      <c r="AV1292" s="69"/>
      <c r="AW1292" s="69"/>
      <c r="AX1292" s="69"/>
      <c r="AY1292" s="69"/>
      <c r="AZ1292" s="69"/>
      <c r="BA1292" s="69"/>
      <c r="BB1292" s="69"/>
      <c r="BC1292" s="69"/>
    </row>
    <row r="1293">
      <c r="A1293" s="68"/>
      <c r="B1293" s="68"/>
      <c r="C1293" s="68"/>
      <c r="D1293" s="68"/>
      <c r="E1293" s="68"/>
      <c r="F1293" s="68"/>
      <c r="G1293" s="68"/>
      <c r="H1293" s="68"/>
      <c r="I1293" s="69"/>
      <c r="J1293" s="69"/>
      <c r="K1293" s="71"/>
      <c r="L1293" s="69"/>
      <c r="M1293" s="69"/>
      <c r="N1293" s="72"/>
      <c r="O1293" s="69"/>
      <c r="P1293" s="69"/>
      <c r="Q1293" s="69"/>
      <c r="R1293" s="69"/>
      <c r="S1293" s="69"/>
      <c r="T1293" s="69"/>
      <c r="U1293" s="69"/>
      <c r="V1293" s="69"/>
      <c r="W1293" s="69"/>
      <c r="X1293" s="69"/>
      <c r="Y1293" s="69"/>
      <c r="Z1293" s="69"/>
      <c r="AA1293" s="69"/>
      <c r="AB1293" s="69"/>
      <c r="AC1293" s="69"/>
      <c r="AD1293" s="69"/>
      <c r="AE1293" s="69"/>
      <c r="AF1293" s="69"/>
      <c r="AG1293" s="69"/>
      <c r="AH1293" s="69"/>
      <c r="AI1293" s="69"/>
      <c r="AJ1293" s="69"/>
      <c r="AK1293" s="69"/>
      <c r="AL1293" s="69"/>
      <c r="AM1293" s="69"/>
      <c r="AN1293" s="69"/>
      <c r="AO1293" s="69"/>
      <c r="AP1293" s="69"/>
      <c r="AQ1293" s="69"/>
      <c r="AR1293" s="69"/>
      <c r="AS1293" s="69"/>
      <c r="AT1293" s="69"/>
      <c r="AU1293" s="69"/>
      <c r="AV1293" s="69"/>
      <c r="AW1293" s="69"/>
      <c r="AX1293" s="69"/>
      <c r="AY1293" s="69"/>
      <c r="AZ1293" s="69"/>
      <c r="BA1293" s="69"/>
      <c r="BB1293" s="69"/>
      <c r="BC1293" s="69"/>
    </row>
    <row r="1294">
      <c r="A1294" s="68"/>
      <c r="B1294" s="68"/>
      <c r="C1294" s="68"/>
      <c r="D1294" s="68"/>
      <c r="E1294" s="68"/>
      <c r="F1294" s="68"/>
      <c r="G1294" s="68"/>
      <c r="H1294" s="68"/>
      <c r="I1294" s="69"/>
      <c r="J1294" s="69"/>
      <c r="K1294" s="71"/>
      <c r="L1294" s="69"/>
      <c r="M1294" s="69"/>
      <c r="N1294" s="72"/>
      <c r="O1294" s="69"/>
      <c r="P1294" s="69"/>
      <c r="Q1294" s="69"/>
      <c r="R1294" s="69"/>
      <c r="S1294" s="69"/>
      <c r="T1294" s="69"/>
      <c r="U1294" s="69"/>
      <c r="V1294" s="69"/>
      <c r="W1294" s="69"/>
      <c r="X1294" s="69"/>
      <c r="Y1294" s="69"/>
      <c r="Z1294" s="69"/>
      <c r="AA1294" s="69"/>
      <c r="AB1294" s="69"/>
      <c r="AC1294" s="69"/>
      <c r="AD1294" s="69"/>
      <c r="AE1294" s="69"/>
      <c r="AF1294" s="69"/>
      <c r="AG1294" s="69"/>
      <c r="AH1294" s="69"/>
      <c r="AI1294" s="69"/>
      <c r="AJ1294" s="69"/>
      <c r="AK1294" s="69"/>
      <c r="AL1294" s="69"/>
      <c r="AM1294" s="69"/>
      <c r="AN1294" s="69"/>
      <c r="AO1294" s="69"/>
      <c r="AP1294" s="69"/>
      <c r="AQ1294" s="69"/>
      <c r="AR1294" s="69"/>
      <c r="AS1294" s="69"/>
      <c r="AT1294" s="69"/>
      <c r="AU1294" s="69"/>
      <c r="AV1294" s="69"/>
      <c r="AW1294" s="69"/>
      <c r="AX1294" s="69"/>
      <c r="AY1294" s="69"/>
      <c r="AZ1294" s="69"/>
      <c r="BA1294" s="69"/>
      <c r="BB1294" s="69"/>
      <c r="BC1294" s="69"/>
    </row>
    <row r="1295">
      <c r="A1295" s="68"/>
      <c r="B1295" s="68"/>
      <c r="C1295" s="68"/>
      <c r="D1295" s="68"/>
      <c r="E1295" s="68"/>
      <c r="F1295" s="68"/>
      <c r="G1295" s="68"/>
      <c r="H1295" s="68"/>
      <c r="I1295" s="69"/>
      <c r="J1295" s="69"/>
      <c r="K1295" s="71"/>
      <c r="L1295" s="69"/>
      <c r="M1295" s="69"/>
      <c r="N1295" s="72"/>
      <c r="O1295" s="69"/>
      <c r="P1295" s="69"/>
      <c r="Q1295" s="69"/>
      <c r="R1295" s="69"/>
      <c r="S1295" s="69"/>
      <c r="T1295" s="69"/>
      <c r="U1295" s="69"/>
      <c r="V1295" s="69"/>
      <c r="W1295" s="69"/>
      <c r="X1295" s="69"/>
      <c r="Y1295" s="69"/>
      <c r="Z1295" s="69"/>
      <c r="AA1295" s="69"/>
      <c r="AB1295" s="69"/>
      <c r="AC1295" s="69"/>
      <c r="AD1295" s="69"/>
      <c r="AE1295" s="69"/>
      <c r="AF1295" s="69"/>
      <c r="AG1295" s="69"/>
      <c r="AH1295" s="69"/>
      <c r="AI1295" s="69"/>
      <c r="AJ1295" s="69"/>
      <c r="AK1295" s="69"/>
      <c r="AL1295" s="69"/>
      <c r="AM1295" s="69"/>
      <c r="AN1295" s="69"/>
      <c r="AO1295" s="69"/>
      <c r="AP1295" s="69"/>
      <c r="AQ1295" s="69"/>
      <c r="AR1295" s="69"/>
      <c r="AS1295" s="69"/>
      <c r="AT1295" s="69"/>
      <c r="AU1295" s="69"/>
      <c r="AV1295" s="69"/>
      <c r="AW1295" s="69"/>
      <c r="AX1295" s="69"/>
      <c r="AY1295" s="69"/>
      <c r="AZ1295" s="69"/>
      <c r="BA1295" s="69"/>
      <c r="BB1295" s="69"/>
      <c r="BC1295" s="69"/>
    </row>
    <row r="1296">
      <c r="A1296" s="68"/>
      <c r="B1296" s="68"/>
      <c r="C1296" s="68"/>
      <c r="D1296" s="68"/>
      <c r="E1296" s="68"/>
      <c r="F1296" s="68"/>
      <c r="G1296" s="68"/>
      <c r="H1296" s="68"/>
      <c r="I1296" s="69"/>
      <c r="J1296" s="69"/>
      <c r="K1296" s="71"/>
      <c r="L1296" s="69"/>
      <c r="M1296" s="69"/>
      <c r="N1296" s="72"/>
      <c r="O1296" s="69"/>
      <c r="P1296" s="69"/>
      <c r="Q1296" s="69"/>
      <c r="R1296" s="69"/>
      <c r="S1296" s="69"/>
      <c r="T1296" s="69"/>
      <c r="U1296" s="69"/>
      <c r="V1296" s="69"/>
      <c r="W1296" s="69"/>
      <c r="X1296" s="69"/>
      <c r="Y1296" s="69"/>
      <c r="Z1296" s="69"/>
      <c r="AA1296" s="69"/>
      <c r="AB1296" s="69"/>
      <c r="AC1296" s="69"/>
      <c r="AD1296" s="69"/>
      <c r="AE1296" s="69"/>
      <c r="AF1296" s="69"/>
      <c r="AG1296" s="69"/>
      <c r="AH1296" s="69"/>
      <c r="AI1296" s="69"/>
      <c r="AJ1296" s="69"/>
      <c r="AK1296" s="69"/>
      <c r="AL1296" s="69"/>
      <c r="AM1296" s="69"/>
      <c r="AN1296" s="69"/>
      <c r="AO1296" s="69"/>
      <c r="AP1296" s="69"/>
      <c r="AQ1296" s="69"/>
      <c r="AR1296" s="69"/>
      <c r="AS1296" s="69"/>
      <c r="AT1296" s="69"/>
      <c r="AU1296" s="69"/>
      <c r="AV1296" s="69"/>
      <c r="AW1296" s="69"/>
      <c r="AX1296" s="69"/>
      <c r="AY1296" s="69"/>
      <c r="AZ1296" s="69"/>
      <c r="BA1296" s="69"/>
      <c r="BB1296" s="69"/>
      <c r="BC1296" s="69"/>
    </row>
    <row r="1297">
      <c r="A1297" s="68"/>
      <c r="B1297" s="68"/>
      <c r="C1297" s="68"/>
      <c r="D1297" s="68"/>
      <c r="E1297" s="68"/>
      <c r="F1297" s="68"/>
      <c r="G1297" s="68"/>
      <c r="H1297" s="68"/>
      <c r="I1297" s="69"/>
      <c r="J1297" s="69"/>
      <c r="K1297" s="71"/>
      <c r="L1297" s="69"/>
      <c r="M1297" s="69"/>
      <c r="N1297" s="72"/>
      <c r="O1297" s="69"/>
      <c r="P1297" s="69"/>
      <c r="Q1297" s="69"/>
      <c r="R1297" s="69"/>
      <c r="S1297" s="69"/>
      <c r="T1297" s="69"/>
      <c r="U1297" s="69"/>
      <c r="V1297" s="69"/>
      <c r="W1297" s="69"/>
      <c r="X1297" s="69"/>
      <c r="Y1297" s="69"/>
      <c r="Z1297" s="69"/>
      <c r="AA1297" s="69"/>
      <c r="AB1297" s="69"/>
      <c r="AC1297" s="69"/>
      <c r="AD1297" s="69"/>
      <c r="AE1297" s="69"/>
      <c r="AF1297" s="69"/>
      <c r="AG1297" s="69"/>
      <c r="AH1297" s="69"/>
      <c r="AI1297" s="69"/>
      <c r="AJ1297" s="69"/>
      <c r="AK1297" s="69"/>
      <c r="AL1297" s="69"/>
      <c r="AM1297" s="69"/>
      <c r="AN1297" s="69"/>
      <c r="AO1297" s="69"/>
      <c r="AP1297" s="69"/>
      <c r="AQ1297" s="69"/>
      <c r="AR1297" s="69"/>
      <c r="AS1297" s="69"/>
      <c r="AT1297" s="69"/>
      <c r="AU1297" s="69"/>
      <c r="AV1297" s="69"/>
      <c r="AW1297" s="69"/>
      <c r="AX1297" s="69"/>
      <c r="AY1297" s="69"/>
      <c r="AZ1297" s="69"/>
      <c r="BA1297" s="69"/>
      <c r="BB1297" s="69"/>
      <c r="BC1297" s="69"/>
    </row>
    <row r="1298">
      <c r="A1298" s="68"/>
      <c r="B1298" s="68"/>
      <c r="C1298" s="68"/>
      <c r="D1298" s="68"/>
      <c r="E1298" s="68"/>
      <c r="F1298" s="68"/>
      <c r="G1298" s="68"/>
      <c r="H1298" s="68"/>
      <c r="I1298" s="69"/>
      <c r="J1298" s="69"/>
      <c r="K1298" s="71"/>
      <c r="L1298" s="69"/>
      <c r="M1298" s="69"/>
      <c r="N1298" s="72"/>
      <c r="O1298" s="69"/>
      <c r="P1298" s="69"/>
      <c r="Q1298" s="69"/>
      <c r="R1298" s="69"/>
      <c r="S1298" s="69"/>
      <c r="T1298" s="69"/>
      <c r="U1298" s="69"/>
      <c r="V1298" s="69"/>
      <c r="W1298" s="69"/>
      <c r="X1298" s="69"/>
      <c r="Y1298" s="69"/>
      <c r="Z1298" s="69"/>
      <c r="AA1298" s="69"/>
      <c r="AB1298" s="69"/>
      <c r="AC1298" s="69"/>
      <c r="AD1298" s="69"/>
      <c r="AE1298" s="69"/>
      <c r="AF1298" s="69"/>
      <c r="AG1298" s="69"/>
      <c r="AH1298" s="69"/>
      <c r="AI1298" s="69"/>
      <c r="AJ1298" s="69"/>
      <c r="AK1298" s="69"/>
      <c r="AL1298" s="69"/>
      <c r="AM1298" s="69"/>
      <c r="AN1298" s="69"/>
      <c r="AO1298" s="69"/>
      <c r="AP1298" s="69"/>
      <c r="AQ1298" s="69"/>
      <c r="AR1298" s="69"/>
      <c r="AS1298" s="69"/>
      <c r="AT1298" s="69"/>
      <c r="AU1298" s="69"/>
      <c r="AV1298" s="69"/>
      <c r="AW1298" s="69"/>
      <c r="AX1298" s="69"/>
      <c r="AY1298" s="69"/>
      <c r="AZ1298" s="69"/>
      <c r="BA1298" s="69"/>
      <c r="BB1298" s="69"/>
      <c r="BC1298" s="69"/>
    </row>
    <row r="1299">
      <c r="A1299" s="68"/>
      <c r="B1299" s="68"/>
      <c r="C1299" s="68"/>
      <c r="D1299" s="68"/>
      <c r="E1299" s="68"/>
      <c r="F1299" s="68"/>
      <c r="G1299" s="68"/>
      <c r="H1299" s="68"/>
      <c r="I1299" s="69"/>
      <c r="J1299" s="69"/>
      <c r="K1299" s="71"/>
      <c r="L1299" s="69"/>
      <c r="M1299" s="69"/>
      <c r="N1299" s="72"/>
      <c r="O1299" s="69"/>
      <c r="P1299" s="69"/>
      <c r="Q1299" s="69"/>
      <c r="R1299" s="69"/>
      <c r="S1299" s="69"/>
      <c r="T1299" s="69"/>
      <c r="U1299" s="69"/>
      <c r="V1299" s="69"/>
      <c r="W1299" s="69"/>
      <c r="X1299" s="69"/>
      <c r="Y1299" s="69"/>
      <c r="Z1299" s="69"/>
      <c r="AA1299" s="69"/>
      <c r="AB1299" s="69"/>
      <c r="AC1299" s="69"/>
      <c r="AD1299" s="69"/>
      <c r="AE1299" s="69"/>
      <c r="AF1299" s="69"/>
      <c r="AG1299" s="69"/>
      <c r="AH1299" s="69"/>
      <c r="AI1299" s="69"/>
      <c r="AJ1299" s="69"/>
      <c r="AK1299" s="69"/>
      <c r="AL1299" s="69"/>
      <c r="AM1299" s="69"/>
      <c r="AN1299" s="69"/>
      <c r="AO1299" s="69"/>
      <c r="AP1299" s="69"/>
      <c r="AQ1299" s="69"/>
      <c r="AR1299" s="69"/>
      <c r="AS1299" s="69"/>
      <c r="AT1299" s="69"/>
      <c r="AU1299" s="69"/>
      <c r="AV1299" s="69"/>
      <c r="AW1299" s="69"/>
      <c r="AX1299" s="69"/>
      <c r="AY1299" s="69"/>
      <c r="AZ1299" s="69"/>
      <c r="BA1299" s="69"/>
      <c r="BB1299" s="69"/>
      <c r="BC1299" s="69"/>
    </row>
    <row r="1300">
      <c r="A1300" s="68"/>
      <c r="B1300" s="68"/>
      <c r="C1300" s="68"/>
      <c r="D1300" s="68"/>
      <c r="E1300" s="68"/>
      <c r="F1300" s="68"/>
      <c r="G1300" s="68"/>
      <c r="H1300" s="68"/>
      <c r="I1300" s="69"/>
      <c r="J1300" s="69"/>
      <c r="K1300" s="71"/>
      <c r="L1300" s="69"/>
      <c r="M1300" s="69"/>
      <c r="N1300" s="72"/>
      <c r="O1300" s="69"/>
      <c r="P1300" s="69"/>
      <c r="Q1300" s="69"/>
      <c r="R1300" s="69"/>
      <c r="S1300" s="69"/>
      <c r="T1300" s="69"/>
      <c r="U1300" s="69"/>
      <c r="V1300" s="69"/>
      <c r="W1300" s="69"/>
      <c r="X1300" s="69"/>
      <c r="Y1300" s="69"/>
      <c r="Z1300" s="69"/>
      <c r="AA1300" s="69"/>
      <c r="AB1300" s="69"/>
      <c r="AC1300" s="69"/>
      <c r="AD1300" s="69"/>
      <c r="AE1300" s="69"/>
      <c r="AF1300" s="69"/>
      <c r="AG1300" s="69"/>
      <c r="AH1300" s="69"/>
      <c r="AI1300" s="69"/>
      <c r="AJ1300" s="69"/>
      <c r="AK1300" s="69"/>
      <c r="AL1300" s="69"/>
      <c r="AM1300" s="69"/>
      <c r="AN1300" s="69"/>
      <c r="AO1300" s="69"/>
      <c r="AP1300" s="69"/>
      <c r="AQ1300" s="69"/>
      <c r="AR1300" s="69"/>
      <c r="AS1300" s="69"/>
      <c r="AT1300" s="69"/>
      <c r="AU1300" s="69"/>
      <c r="AV1300" s="69"/>
      <c r="AW1300" s="69"/>
      <c r="AX1300" s="69"/>
      <c r="AY1300" s="69"/>
      <c r="AZ1300" s="69"/>
      <c r="BA1300" s="69"/>
      <c r="BB1300" s="69"/>
      <c r="BC1300" s="69"/>
    </row>
    <row r="1301">
      <c r="A1301" s="68"/>
      <c r="B1301" s="68"/>
      <c r="C1301" s="68"/>
      <c r="D1301" s="68"/>
      <c r="E1301" s="68"/>
      <c r="F1301" s="68"/>
      <c r="G1301" s="68"/>
      <c r="H1301" s="68"/>
      <c r="I1301" s="69"/>
      <c r="J1301" s="69"/>
      <c r="K1301" s="71"/>
      <c r="L1301" s="69"/>
      <c r="M1301" s="69"/>
      <c r="N1301" s="72"/>
      <c r="O1301" s="69"/>
      <c r="P1301" s="69"/>
      <c r="Q1301" s="69"/>
      <c r="R1301" s="69"/>
      <c r="S1301" s="69"/>
      <c r="T1301" s="69"/>
      <c r="U1301" s="69"/>
      <c r="V1301" s="69"/>
      <c r="W1301" s="69"/>
      <c r="X1301" s="69"/>
      <c r="Y1301" s="69"/>
      <c r="Z1301" s="69"/>
      <c r="AA1301" s="69"/>
      <c r="AB1301" s="69"/>
      <c r="AC1301" s="69"/>
      <c r="AD1301" s="69"/>
      <c r="AE1301" s="69"/>
      <c r="AF1301" s="69"/>
      <c r="AG1301" s="69"/>
      <c r="AH1301" s="69"/>
      <c r="AI1301" s="69"/>
      <c r="AJ1301" s="69"/>
      <c r="AK1301" s="69"/>
      <c r="AL1301" s="69"/>
      <c r="AM1301" s="69"/>
      <c r="AN1301" s="69"/>
      <c r="AO1301" s="69"/>
      <c r="AP1301" s="69"/>
      <c r="AQ1301" s="69"/>
      <c r="AR1301" s="69"/>
      <c r="AS1301" s="69"/>
      <c r="AT1301" s="69"/>
      <c r="AU1301" s="69"/>
      <c r="AV1301" s="69"/>
      <c r="AW1301" s="69"/>
      <c r="AX1301" s="69"/>
      <c r="AY1301" s="69"/>
      <c r="AZ1301" s="69"/>
      <c r="BA1301" s="69"/>
      <c r="BB1301" s="69"/>
      <c r="BC1301" s="69"/>
    </row>
    <row r="1302">
      <c r="A1302" s="68"/>
      <c r="B1302" s="68"/>
      <c r="C1302" s="68"/>
      <c r="D1302" s="68"/>
      <c r="E1302" s="68"/>
      <c r="F1302" s="68"/>
      <c r="G1302" s="68"/>
      <c r="H1302" s="68"/>
      <c r="I1302" s="69"/>
      <c r="J1302" s="69"/>
      <c r="K1302" s="71"/>
      <c r="L1302" s="69"/>
      <c r="M1302" s="69"/>
      <c r="N1302" s="72"/>
      <c r="O1302" s="69"/>
      <c r="P1302" s="69"/>
      <c r="Q1302" s="69"/>
      <c r="R1302" s="69"/>
      <c r="S1302" s="69"/>
      <c r="T1302" s="69"/>
      <c r="U1302" s="69"/>
      <c r="V1302" s="69"/>
      <c r="W1302" s="69"/>
      <c r="X1302" s="69"/>
      <c r="Y1302" s="69"/>
      <c r="Z1302" s="69"/>
      <c r="AA1302" s="69"/>
      <c r="AB1302" s="69"/>
      <c r="AC1302" s="69"/>
      <c r="AD1302" s="69"/>
      <c r="AE1302" s="69"/>
      <c r="AF1302" s="69"/>
      <c r="AG1302" s="69"/>
      <c r="AH1302" s="69"/>
      <c r="AI1302" s="69"/>
      <c r="AJ1302" s="69"/>
      <c r="AK1302" s="69"/>
      <c r="AL1302" s="69"/>
      <c r="AM1302" s="69"/>
      <c r="AN1302" s="69"/>
      <c r="AO1302" s="69"/>
      <c r="AP1302" s="69"/>
      <c r="AQ1302" s="69"/>
      <c r="AR1302" s="69"/>
      <c r="AS1302" s="69"/>
      <c r="AT1302" s="69"/>
      <c r="AU1302" s="69"/>
      <c r="AV1302" s="69"/>
      <c r="AW1302" s="69"/>
      <c r="AX1302" s="69"/>
      <c r="AY1302" s="69"/>
      <c r="AZ1302" s="69"/>
      <c r="BA1302" s="69"/>
      <c r="BB1302" s="69"/>
      <c r="BC1302" s="69"/>
    </row>
    <row r="1303">
      <c r="A1303" s="68"/>
      <c r="B1303" s="68"/>
      <c r="C1303" s="68"/>
      <c r="D1303" s="68"/>
      <c r="E1303" s="68"/>
      <c r="F1303" s="68"/>
      <c r="G1303" s="68"/>
      <c r="H1303" s="68"/>
      <c r="I1303" s="69"/>
      <c r="J1303" s="69"/>
      <c r="K1303" s="71"/>
      <c r="L1303" s="69"/>
      <c r="M1303" s="69"/>
      <c r="N1303" s="72"/>
      <c r="O1303" s="69"/>
      <c r="P1303" s="69"/>
      <c r="Q1303" s="69"/>
      <c r="R1303" s="69"/>
      <c r="S1303" s="69"/>
      <c r="T1303" s="69"/>
      <c r="U1303" s="69"/>
      <c r="V1303" s="69"/>
      <c r="W1303" s="69"/>
      <c r="X1303" s="69"/>
      <c r="Y1303" s="69"/>
      <c r="Z1303" s="69"/>
      <c r="AA1303" s="69"/>
      <c r="AB1303" s="69"/>
      <c r="AC1303" s="69"/>
      <c r="AD1303" s="69"/>
      <c r="AE1303" s="69"/>
      <c r="AF1303" s="69"/>
      <c r="AG1303" s="69"/>
      <c r="AH1303" s="69"/>
      <c r="AI1303" s="69"/>
      <c r="AJ1303" s="69"/>
      <c r="AK1303" s="69"/>
      <c r="AL1303" s="69"/>
      <c r="AM1303" s="69"/>
      <c r="AN1303" s="69"/>
      <c r="AO1303" s="69"/>
      <c r="AP1303" s="69"/>
      <c r="AQ1303" s="69"/>
      <c r="AR1303" s="69"/>
      <c r="AS1303" s="69"/>
      <c r="AT1303" s="69"/>
      <c r="AU1303" s="69"/>
      <c r="AV1303" s="69"/>
      <c r="AW1303" s="69"/>
      <c r="AX1303" s="69"/>
      <c r="AY1303" s="69"/>
      <c r="AZ1303" s="69"/>
      <c r="BA1303" s="69"/>
      <c r="BB1303" s="69"/>
      <c r="BC1303" s="69"/>
    </row>
    <row r="1304">
      <c r="A1304" s="68"/>
      <c r="B1304" s="68"/>
      <c r="C1304" s="68"/>
      <c r="D1304" s="68"/>
      <c r="E1304" s="68"/>
      <c r="F1304" s="68"/>
      <c r="G1304" s="68"/>
      <c r="H1304" s="68"/>
      <c r="I1304" s="69"/>
      <c r="J1304" s="69"/>
      <c r="K1304" s="71"/>
      <c r="L1304" s="69"/>
      <c r="M1304" s="69"/>
      <c r="N1304" s="72"/>
      <c r="O1304" s="69"/>
      <c r="P1304" s="69"/>
      <c r="Q1304" s="69"/>
      <c r="R1304" s="69"/>
      <c r="S1304" s="69"/>
      <c r="T1304" s="69"/>
      <c r="U1304" s="69"/>
      <c r="V1304" s="69"/>
      <c r="W1304" s="69"/>
      <c r="X1304" s="69"/>
      <c r="Y1304" s="69"/>
      <c r="Z1304" s="69"/>
      <c r="AA1304" s="69"/>
      <c r="AB1304" s="69"/>
      <c r="AC1304" s="69"/>
      <c r="AD1304" s="69"/>
      <c r="AE1304" s="69"/>
      <c r="AF1304" s="69"/>
      <c r="AG1304" s="69"/>
      <c r="AH1304" s="69"/>
      <c r="AI1304" s="69"/>
      <c r="AJ1304" s="69"/>
      <c r="AK1304" s="69"/>
      <c r="AL1304" s="69"/>
      <c r="AM1304" s="69"/>
      <c r="AN1304" s="69"/>
      <c r="AO1304" s="69"/>
      <c r="AP1304" s="69"/>
      <c r="AQ1304" s="69"/>
      <c r="AR1304" s="69"/>
      <c r="AS1304" s="69"/>
      <c r="AT1304" s="69"/>
      <c r="AU1304" s="69"/>
      <c r="AV1304" s="69"/>
      <c r="AW1304" s="69"/>
      <c r="AX1304" s="69"/>
      <c r="AY1304" s="69"/>
      <c r="AZ1304" s="69"/>
      <c r="BA1304" s="69"/>
      <c r="BB1304" s="69"/>
      <c r="BC1304" s="69"/>
    </row>
    <row r="1305">
      <c r="A1305" s="68"/>
      <c r="B1305" s="68"/>
      <c r="C1305" s="68"/>
      <c r="D1305" s="68"/>
      <c r="E1305" s="68"/>
      <c r="F1305" s="68"/>
      <c r="G1305" s="68"/>
      <c r="H1305" s="68"/>
      <c r="I1305" s="69"/>
      <c r="J1305" s="69"/>
      <c r="K1305" s="71"/>
      <c r="L1305" s="69"/>
      <c r="M1305" s="69"/>
      <c r="N1305" s="72"/>
      <c r="O1305" s="69"/>
      <c r="P1305" s="69"/>
      <c r="Q1305" s="69"/>
      <c r="R1305" s="69"/>
      <c r="S1305" s="69"/>
      <c r="T1305" s="69"/>
      <c r="U1305" s="69"/>
      <c r="V1305" s="69"/>
      <c r="W1305" s="69"/>
      <c r="X1305" s="69"/>
      <c r="Y1305" s="69"/>
      <c r="Z1305" s="69"/>
      <c r="AA1305" s="69"/>
      <c r="AB1305" s="69"/>
      <c r="AC1305" s="69"/>
      <c r="AD1305" s="69"/>
      <c r="AE1305" s="69"/>
      <c r="AF1305" s="69"/>
      <c r="AG1305" s="69"/>
      <c r="AH1305" s="69"/>
      <c r="AI1305" s="69"/>
      <c r="AJ1305" s="69"/>
      <c r="AK1305" s="69"/>
      <c r="AL1305" s="69"/>
      <c r="AM1305" s="69"/>
      <c r="AN1305" s="69"/>
      <c r="AO1305" s="69"/>
      <c r="AP1305" s="69"/>
      <c r="AQ1305" s="69"/>
      <c r="AR1305" s="69"/>
      <c r="AS1305" s="69"/>
      <c r="AT1305" s="69"/>
      <c r="AU1305" s="69"/>
      <c r="AV1305" s="69"/>
      <c r="AW1305" s="69"/>
      <c r="AX1305" s="69"/>
      <c r="AY1305" s="69"/>
      <c r="AZ1305" s="69"/>
      <c r="BA1305" s="69"/>
      <c r="BB1305" s="69"/>
      <c r="BC1305" s="69"/>
    </row>
    <row r="1306">
      <c r="A1306" s="68"/>
      <c r="B1306" s="68"/>
      <c r="C1306" s="68"/>
      <c r="D1306" s="68"/>
      <c r="E1306" s="68"/>
      <c r="F1306" s="68"/>
      <c r="G1306" s="68"/>
      <c r="H1306" s="68"/>
      <c r="I1306" s="69"/>
      <c r="J1306" s="69"/>
      <c r="K1306" s="71"/>
      <c r="L1306" s="69"/>
      <c r="M1306" s="69"/>
      <c r="N1306" s="72"/>
      <c r="O1306" s="69"/>
      <c r="P1306" s="69"/>
      <c r="Q1306" s="69"/>
      <c r="R1306" s="69"/>
      <c r="S1306" s="69"/>
      <c r="T1306" s="69"/>
      <c r="U1306" s="69"/>
      <c r="V1306" s="69"/>
      <c r="W1306" s="69"/>
      <c r="X1306" s="69"/>
      <c r="Y1306" s="69"/>
      <c r="Z1306" s="69"/>
      <c r="AA1306" s="69"/>
      <c r="AB1306" s="69"/>
      <c r="AC1306" s="69"/>
      <c r="AD1306" s="69"/>
      <c r="AE1306" s="69"/>
      <c r="AF1306" s="69"/>
      <c r="AG1306" s="69"/>
      <c r="AH1306" s="69"/>
      <c r="AI1306" s="69"/>
      <c r="AJ1306" s="69"/>
      <c r="AK1306" s="69"/>
      <c r="AL1306" s="69"/>
      <c r="AM1306" s="69"/>
      <c r="AN1306" s="69"/>
      <c r="AO1306" s="69"/>
      <c r="AP1306" s="69"/>
      <c r="AQ1306" s="69"/>
      <c r="AR1306" s="69"/>
      <c r="AS1306" s="69"/>
      <c r="AT1306" s="69"/>
      <c r="AU1306" s="69"/>
      <c r="AV1306" s="69"/>
      <c r="AW1306" s="69"/>
      <c r="AX1306" s="69"/>
      <c r="AY1306" s="69"/>
      <c r="AZ1306" s="69"/>
      <c r="BA1306" s="69"/>
      <c r="BB1306" s="69"/>
      <c r="BC1306" s="69"/>
    </row>
    <row r="1307">
      <c r="A1307" s="68"/>
      <c r="B1307" s="68"/>
      <c r="C1307" s="68"/>
      <c r="D1307" s="68"/>
      <c r="E1307" s="68"/>
      <c r="F1307" s="68"/>
      <c r="G1307" s="68"/>
      <c r="H1307" s="68"/>
      <c r="I1307" s="69"/>
      <c r="J1307" s="69"/>
      <c r="K1307" s="71"/>
      <c r="L1307" s="69"/>
      <c r="M1307" s="69"/>
      <c r="N1307" s="72"/>
      <c r="O1307" s="69"/>
      <c r="P1307" s="69"/>
      <c r="Q1307" s="69"/>
      <c r="R1307" s="69"/>
      <c r="S1307" s="69"/>
      <c r="T1307" s="69"/>
      <c r="U1307" s="69"/>
      <c r="V1307" s="69"/>
      <c r="W1307" s="69"/>
      <c r="X1307" s="69"/>
      <c r="Y1307" s="69"/>
      <c r="Z1307" s="69"/>
      <c r="AA1307" s="69"/>
      <c r="AB1307" s="69"/>
      <c r="AC1307" s="69"/>
      <c r="AD1307" s="69"/>
      <c r="AE1307" s="69"/>
      <c r="AF1307" s="69"/>
      <c r="AG1307" s="69"/>
      <c r="AH1307" s="69"/>
      <c r="AI1307" s="69"/>
      <c r="AJ1307" s="69"/>
      <c r="AK1307" s="69"/>
      <c r="AL1307" s="69"/>
      <c r="AM1307" s="69"/>
      <c r="AN1307" s="69"/>
      <c r="AO1307" s="69"/>
      <c r="AP1307" s="69"/>
      <c r="AQ1307" s="69"/>
      <c r="AR1307" s="69"/>
      <c r="AS1307" s="69"/>
      <c r="AT1307" s="69"/>
      <c r="AU1307" s="69"/>
      <c r="AV1307" s="69"/>
      <c r="AW1307" s="69"/>
      <c r="AX1307" s="69"/>
      <c r="AY1307" s="69"/>
      <c r="AZ1307" s="69"/>
      <c r="BA1307" s="69"/>
      <c r="BB1307" s="69"/>
      <c r="BC1307" s="69"/>
    </row>
    <row r="1308">
      <c r="A1308" s="68"/>
      <c r="B1308" s="68"/>
      <c r="C1308" s="68"/>
      <c r="D1308" s="68"/>
      <c r="E1308" s="68"/>
      <c r="F1308" s="68"/>
      <c r="G1308" s="68"/>
      <c r="H1308" s="68"/>
      <c r="I1308" s="69"/>
      <c r="J1308" s="69"/>
      <c r="K1308" s="71"/>
      <c r="L1308" s="69"/>
      <c r="M1308" s="69"/>
      <c r="N1308" s="72"/>
      <c r="O1308" s="69"/>
      <c r="P1308" s="69"/>
      <c r="Q1308" s="69"/>
      <c r="R1308" s="69"/>
      <c r="S1308" s="69"/>
      <c r="T1308" s="69"/>
      <c r="U1308" s="69"/>
      <c r="V1308" s="69"/>
      <c r="W1308" s="69"/>
      <c r="X1308" s="69"/>
      <c r="Y1308" s="69"/>
      <c r="Z1308" s="69"/>
      <c r="AA1308" s="69"/>
      <c r="AB1308" s="69"/>
      <c r="AC1308" s="69"/>
      <c r="AD1308" s="69"/>
      <c r="AE1308" s="69"/>
      <c r="AF1308" s="69"/>
      <c r="AG1308" s="69"/>
      <c r="AH1308" s="69"/>
      <c r="AI1308" s="69"/>
      <c r="AJ1308" s="69"/>
      <c r="AK1308" s="69"/>
      <c r="AL1308" s="69"/>
      <c r="AM1308" s="69"/>
      <c r="AN1308" s="69"/>
      <c r="AO1308" s="69"/>
      <c r="AP1308" s="69"/>
      <c r="AQ1308" s="69"/>
      <c r="AR1308" s="69"/>
      <c r="AS1308" s="69"/>
      <c r="AT1308" s="69"/>
      <c r="AU1308" s="69"/>
      <c r="AV1308" s="69"/>
      <c r="AW1308" s="69"/>
      <c r="AX1308" s="69"/>
      <c r="AY1308" s="69"/>
      <c r="AZ1308" s="69"/>
      <c r="BA1308" s="69"/>
      <c r="BB1308" s="69"/>
      <c r="BC1308" s="69"/>
    </row>
    <row r="1309">
      <c r="A1309" s="68"/>
      <c r="B1309" s="68"/>
      <c r="C1309" s="68"/>
      <c r="D1309" s="68"/>
      <c r="E1309" s="68"/>
      <c r="F1309" s="68"/>
      <c r="G1309" s="68"/>
      <c r="H1309" s="68"/>
      <c r="I1309" s="69"/>
      <c r="J1309" s="69"/>
      <c r="K1309" s="71"/>
      <c r="L1309" s="69"/>
      <c r="M1309" s="69"/>
      <c r="N1309" s="72"/>
      <c r="O1309" s="69"/>
      <c r="P1309" s="69"/>
      <c r="Q1309" s="69"/>
      <c r="R1309" s="69"/>
      <c r="S1309" s="69"/>
      <c r="T1309" s="69"/>
      <c r="U1309" s="69"/>
      <c r="V1309" s="69"/>
      <c r="W1309" s="69"/>
      <c r="X1309" s="69"/>
      <c r="Y1309" s="69"/>
      <c r="Z1309" s="69"/>
      <c r="AA1309" s="69"/>
      <c r="AB1309" s="69"/>
      <c r="AC1309" s="69"/>
      <c r="AD1309" s="69"/>
      <c r="AE1309" s="69"/>
      <c r="AF1309" s="69"/>
      <c r="AG1309" s="69"/>
      <c r="AH1309" s="69"/>
      <c r="AI1309" s="69"/>
      <c r="AJ1309" s="69"/>
      <c r="AK1309" s="69"/>
      <c r="AL1309" s="69"/>
      <c r="AM1309" s="69"/>
      <c r="AN1309" s="69"/>
      <c r="AO1309" s="69"/>
      <c r="AP1309" s="69"/>
      <c r="AQ1309" s="69"/>
      <c r="AR1309" s="69"/>
      <c r="AS1309" s="69"/>
      <c r="AT1309" s="69"/>
      <c r="AU1309" s="69"/>
      <c r="AV1309" s="69"/>
      <c r="AW1309" s="69"/>
      <c r="AX1309" s="69"/>
      <c r="AY1309" s="69"/>
      <c r="AZ1309" s="69"/>
      <c r="BA1309" s="69"/>
      <c r="BB1309" s="69"/>
      <c r="BC1309" s="69"/>
    </row>
    <row r="1310">
      <c r="A1310" s="68"/>
      <c r="B1310" s="68"/>
      <c r="C1310" s="68"/>
      <c r="D1310" s="68"/>
      <c r="E1310" s="68"/>
      <c r="F1310" s="68"/>
      <c r="G1310" s="68"/>
      <c r="H1310" s="68"/>
      <c r="I1310" s="69"/>
      <c r="J1310" s="69"/>
      <c r="K1310" s="71"/>
      <c r="L1310" s="69"/>
      <c r="M1310" s="69"/>
      <c r="N1310" s="72"/>
      <c r="O1310" s="69"/>
      <c r="P1310" s="69"/>
      <c r="Q1310" s="69"/>
      <c r="R1310" s="69"/>
      <c r="S1310" s="69"/>
      <c r="T1310" s="69"/>
      <c r="U1310" s="69"/>
      <c r="V1310" s="69"/>
      <c r="W1310" s="69"/>
      <c r="X1310" s="69"/>
      <c r="Y1310" s="69"/>
      <c r="Z1310" s="69"/>
      <c r="AA1310" s="69"/>
      <c r="AB1310" s="69"/>
      <c r="AC1310" s="69"/>
      <c r="AD1310" s="69"/>
      <c r="AE1310" s="69"/>
      <c r="AF1310" s="69"/>
      <c r="AG1310" s="69"/>
      <c r="AH1310" s="69"/>
      <c r="AI1310" s="69"/>
      <c r="AJ1310" s="69"/>
      <c r="AK1310" s="69"/>
      <c r="AL1310" s="69"/>
      <c r="AM1310" s="69"/>
      <c r="AN1310" s="69"/>
      <c r="AO1310" s="69"/>
      <c r="AP1310" s="69"/>
      <c r="AQ1310" s="69"/>
      <c r="AR1310" s="69"/>
      <c r="AS1310" s="69"/>
      <c r="AT1310" s="69"/>
      <c r="AU1310" s="69"/>
      <c r="AV1310" s="69"/>
      <c r="AW1310" s="69"/>
      <c r="AX1310" s="69"/>
      <c r="AY1310" s="69"/>
      <c r="AZ1310" s="69"/>
      <c r="BA1310" s="69"/>
      <c r="BB1310" s="69"/>
      <c r="BC1310" s="69"/>
    </row>
    <row r="1311">
      <c r="A1311" s="68"/>
      <c r="B1311" s="68"/>
      <c r="C1311" s="68"/>
      <c r="D1311" s="68"/>
      <c r="E1311" s="68"/>
      <c r="F1311" s="68"/>
      <c r="G1311" s="68"/>
      <c r="H1311" s="68"/>
      <c r="I1311" s="69"/>
      <c r="J1311" s="69"/>
      <c r="K1311" s="71"/>
      <c r="L1311" s="69"/>
      <c r="M1311" s="69"/>
      <c r="N1311" s="72"/>
      <c r="O1311" s="69"/>
      <c r="P1311" s="69"/>
      <c r="Q1311" s="69"/>
      <c r="R1311" s="69"/>
      <c r="S1311" s="69"/>
      <c r="T1311" s="69"/>
      <c r="U1311" s="69"/>
      <c r="V1311" s="69"/>
      <c r="W1311" s="69"/>
      <c r="X1311" s="69"/>
      <c r="Y1311" s="69"/>
      <c r="Z1311" s="69"/>
      <c r="AA1311" s="69"/>
      <c r="AB1311" s="69"/>
      <c r="AC1311" s="69"/>
      <c r="AD1311" s="69"/>
      <c r="AE1311" s="69"/>
      <c r="AF1311" s="69"/>
      <c r="AG1311" s="69"/>
      <c r="AH1311" s="69"/>
      <c r="AI1311" s="69"/>
      <c r="AJ1311" s="69"/>
      <c r="AK1311" s="69"/>
      <c r="AL1311" s="69"/>
      <c r="AM1311" s="69"/>
      <c r="AN1311" s="69"/>
      <c r="AO1311" s="69"/>
      <c r="AP1311" s="69"/>
      <c r="AQ1311" s="69"/>
      <c r="AR1311" s="69"/>
      <c r="AS1311" s="69"/>
      <c r="AT1311" s="69"/>
      <c r="AU1311" s="69"/>
      <c r="AV1311" s="69"/>
      <c r="AW1311" s="69"/>
      <c r="AX1311" s="69"/>
      <c r="AY1311" s="69"/>
      <c r="AZ1311" s="69"/>
      <c r="BA1311" s="69"/>
      <c r="BB1311" s="69"/>
      <c r="BC1311" s="69"/>
    </row>
    <row r="1312">
      <c r="A1312" s="68"/>
      <c r="B1312" s="68"/>
      <c r="C1312" s="68"/>
      <c r="D1312" s="68"/>
      <c r="E1312" s="68"/>
      <c r="F1312" s="68"/>
      <c r="G1312" s="68"/>
      <c r="H1312" s="68"/>
      <c r="I1312" s="69"/>
      <c r="J1312" s="69"/>
      <c r="K1312" s="71"/>
      <c r="L1312" s="69"/>
      <c r="M1312" s="69"/>
      <c r="N1312" s="72"/>
      <c r="O1312" s="69"/>
      <c r="P1312" s="69"/>
      <c r="Q1312" s="69"/>
      <c r="R1312" s="69"/>
      <c r="S1312" s="69"/>
      <c r="T1312" s="69"/>
      <c r="U1312" s="69"/>
      <c r="V1312" s="69"/>
      <c r="W1312" s="69"/>
      <c r="X1312" s="69"/>
      <c r="Y1312" s="69"/>
      <c r="Z1312" s="69"/>
      <c r="AA1312" s="69"/>
      <c r="AB1312" s="69"/>
      <c r="AC1312" s="69"/>
      <c r="AD1312" s="69"/>
      <c r="AE1312" s="69"/>
      <c r="AF1312" s="69"/>
      <c r="AG1312" s="69"/>
      <c r="AH1312" s="69"/>
      <c r="AI1312" s="69"/>
      <c r="AJ1312" s="69"/>
      <c r="AK1312" s="69"/>
      <c r="AL1312" s="69"/>
      <c r="AM1312" s="69"/>
      <c r="AN1312" s="69"/>
      <c r="AO1312" s="69"/>
      <c r="AP1312" s="69"/>
      <c r="AQ1312" s="69"/>
      <c r="AR1312" s="69"/>
      <c r="AS1312" s="69"/>
      <c r="AT1312" s="69"/>
      <c r="AU1312" s="69"/>
      <c r="AV1312" s="69"/>
      <c r="AW1312" s="69"/>
      <c r="AX1312" s="69"/>
      <c r="AY1312" s="69"/>
      <c r="AZ1312" s="69"/>
      <c r="BA1312" s="69"/>
      <c r="BB1312" s="69"/>
      <c r="BC1312" s="69"/>
    </row>
    <row r="1313">
      <c r="A1313" s="68"/>
      <c r="B1313" s="68"/>
      <c r="C1313" s="68"/>
      <c r="D1313" s="68"/>
      <c r="E1313" s="68"/>
      <c r="F1313" s="68"/>
      <c r="G1313" s="68"/>
      <c r="H1313" s="68"/>
      <c r="I1313" s="69"/>
      <c r="J1313" s="69"/>
      <c r="K1313" s="71"/>
      <c r="L1313" s="69"/>
      <c r="M1313" s="69"/>
      <c r="N1313" s="72"/>
      <c r="O1313" s="69"/>
      <c r="P1313" s="69"/>
      <c r="Q1313" s="69"/>
      <c r="R1313" s="69"/>
      <c r="S1313" s="69"/>
      <c r="T1313" s="69"/>
      <c r="U1313" s="69"/>
      <c r="V1313" s="69"/>
      <c r="W1313" s="69"/>
      <c r="X1313" s="69"/>
      <c r="Y1313" s="69"/>
      <c r="Z1313" s="69"/>
      <c r="AA1313" s="69"/>
      <c r="AB1313" s="69"/>
      <c r="AC1313" s="69"/>
      <c r="AD1313" s="69"/>
      <c r="AE1313" s="69"/>
      <c r="AF1313" s="69"/>
      <c r="AG1313" s="69"/>
      <c r="AH1313" s="69"/>
      <c r="AI1313" s="69"/>
      <c r="AJ1313" s="69"/>
      <c r="AK1313" s="69"/>
      <c r="AL1313" s="69"/>
      <c r="AM1313" s="69"/>
      <c r="AN1313" s="69"/>
      <c r="AO1313" s="69"/>
      <c r="AP1313" s="69"/>
      <c r="AQ1313" s="69"/>
      <c r="AR1313" s="69"/>
      <c r="AS1313" s="69"/>
      <c r="AT1313" s="69"/>
      <c r="AU1313" s="69"/>
      <c r="AV1313" s="69"/>
      <c r="AW1313" s="69"/>
      <c r="AX1313" s="69"/>
      <c r="AY1313" s="69"/>
      <c r="AZ1313" s="69"/>
      <c r="BA1313" s="69"/>
      <c r="BB1313" s="69"/>
      <c r="BC1313" s="69"/>
    </row>
    <row r="1314">
      <c r="A1314" s="68"/>
      <c r="B1314" s="68"/>
      <c r="C1314" s="68"/>
      <c r="D1314" s="68"/>
      <c r="E1314" s="68"/>
      <c r="F1314" s="68"/>
      <c r="G1314" s="68"/>
      <c r="H1314" s="68"/>
      <c r="I1314" s="69"/>
      <c r="J1314" s="69"/>
      <c r="K1314" s="71"/>
      <c r="L1314" s="69"/>
      <c r="M1314" s="69"/>
      <c r="N1314" s="72"/>
      <c r="O1314" s="69"/>
      <c r="P1314" s="69"/>
      <c r="Q1314" s="69"/>
      <c r="R1314" s="69"/>
      <c r="S1314" s="69"/>
      <c r="T1314" s="69"/>
      <c r="U1314" s="69"/>
      <c r="V1314" s="69"/>
      <c r="W1314" s="69"/>
      <c r="X1314" s="69"/>
      <c r="Y1314" s="69"/>
      <c r="Z1314" s="69"/>
      <c r="AA1314" s="69"/>
      <c r="AB1314" s="69"/>
      <c r="AC1314" s="69"/>
      <c r="AD1314" s="69"/>
      <c r="AE1314" s="69"/>
      <c r="AF1314" s="69"/>
      <c r="AG1314" s="69"/>
      <c r="AH1314" s="69"/>
      <c r="AI1314" s="69"/>
      <c r="AJ1314" s="69"/>
      <c r="AK1314" s="69"/>
      <c r="AL1314" s="69"/>
      <c r="AM1314" s="69"/>
      <c r="AN1314" s="69"/>
      <c r="AO1314" s="69"/>
      <c r="AP1314" s="69"/>
      <c r="AQ1314" s="69"/>
      <c r="AR1314" s="69"/>
      <c r="AS1314" s="69"/>
      <c r="AT1314" s="69"/>
      <c r="AU1314" s="69"/>
      <c r="AV1314" s="69"/>
      <c r="AW1314" s="69"/>
      <c r="AX1314" s="69"/>
      <c r="AY1314" s="69"/>
      <c r="AZ1314" s="69"/>
      <c r="BA1314" s="69"/>
      <c r="BB1314" s="69"/>
      <c r="BC1314" s="69"/>
    </row>
    <row r="1315">
      <c r="A1315" s="68"/>
      <c r="B1315" s="68"/>
      <c r="C1315" s="68"/>
      <c r="D1315" s="68"/>
      <c r="E1315" s="68"/>
      <c r="F1315" s="68"/>
      <c r="G1315" s="68"/>
      <c r="H1315" s="68"/>
      <c r="I1315" s="69"/>
      <c r="J1315" s="69"/>
      <c r="K1315" s="71"/>
      <c r="L1315" s="69"/>
      <c r="M1315" s="69"/>
      <c r="N1315" s="72"/>
      <c r="O1315" s="69"/>
      <c r="P1315" s="69"/>
      <c r="Q1315" s="69"/>
      <c r="R1315" s="69"/>
      <c r="S1315" s="69"/>
      <c r="T1315" s="69"/>
      <c r="U1315" s="69"/>
      <c r="V1315" s="69"/>
      <c r="W1315" s="69"/>
      <c r="X1315" s="69"/>
      <c r="Y1315" s="69"/>
      <c r="Z1315" s="69"/>
      <c r="AA1315" s="69"/>
      <c r="AB1315" s="69"/>
      <c r="AC1315" s="69"/>
      <c r="AD1315" s="69"/>
      <c r="AE1315" s="69"/>
      <c r="AF1315" s="69"/>
      <c r="AG1315" s="69"/>
      <c r="AH1315" s="69"/>
      <c r="AI1315" s="69"/>
      <c r="AJ1315" s="69"/>
      <c r="AK1315" s="69"/>
      <c r="AL1315" s="69"/>
      <c r="AM1315" s="69"/>
      <c r="AN1315" s="69"/>
      <c r="AO1315" s="69"/>
      <c r="AP1315" s="69"/>
      <c r="AQ1315" s="69"/>
      <c r="AR1315" s="69"/>
      <c r="AS1315" s="69"/>
      <c r="AT1315" s="69"/>
      <c r="AU1315" s="69"/>
      <c r="AV1315" s="69"/>
      <c r="AW1315" s="69"/>
      <c r="AX1315" s="69"/>
      <c r="AY1315" s="69"/>
      <c r="AZ1315" s="69"/>
      <c r="BA1315" s="69"/>
      <c r="BB1315" s="69"/>
      <c r="BC1315" s="69"/>
    </row>
    <row r="1316">
      <c r="A1316" s="68"/>
      <c r="B1316" s="68"/>
      <c r="C1316" s="68"/>
      <c r="D1316" s="68"/>
      <c r="E1316" s="68"/>
      <c r="F1316" s="68"/>
      <c r="G1316" s="68"/>
      <c r="H1316" s="68"/>
      <c r="I1316" s="69"/>
      <c r="J1316" s="69"/>
      <c r="K1316" s="71"/>
      <c r="L1316" s="69"/>
      <c r="M1316" s="69"/>
      <c r="N1316" s="72"/>
      <c r="O1316" s="69"/>
      <c r="P1316" s="69"/>
      <c r="Q1316" s="69"/>
      <c r="R1316" s="69"/>
      <c r="S1316" s="69"/>
      <c r="T1316" s="69"/>
      <c r="U1316" s="69"/>
      <c r="V1316" s="69"/>
      <c r="W1316" s="69"/>
      <c r="X1316" s="69"/>
      <c r="Y1316" s="69"/>
      <c r="Z1316" s="69"/>
      <c r="AA1316" s="69"/>
      <c r="AB1316" s="69"/>
      <c r="AC1316" s="69"/>
      <c r="AD1316" s="69"/>
      <c r="AE1316" s="69"/>
      <c r="AF1316" s="69"/>
      <c r="AG1316" s="69"/>
      <c r="AH1316" s="69"/>
      <c r="AI1316" s="69"/>
      <c r="AJ1316" s="69"/>
      <c r="AK1316" s="69"/>
      <c r="AL1316" s="69"/>
      <c r="AM1316" s="69"/>
      <c r="AN1316" s="69"/>
      <c r="AO1316" s="69"/>
      <c r="AP1316" s="69"/>
      <c r="AQ1316" s="69"/>
      <c r="AR1316" s="69"/>
      <c r="AS1316" s="69"/>
      <c r="AT1316" s="69"/>
      <c r="AU1316" s="69"/>
      <c r="AV1316" s="69"/>
      <c r="AW1316" s="69"/>
      <c r="AX1316" s="69"/>
      <c r="AY1316" s="69"/>
      <c r="AZ1316" s="69"/>
      <c r="BA1316" s="69"/>
      <c r="BB1316" s="69"/>
      <c r="BC1316" s="69"/>
    </row>
    <row r="1317">
      <c r="A1317" s="68"/>
      <c r="B1317" s="68"/>
      <c r="C1317" s="68"/>
      <c r="D1317" s="68"/>
      <c r="E1317" s="68"/>
      <c r="F1317" s="68"/>
      <c r="G1317" s="68"/>
      <c r="H1317" s="68"/>
      <c r="I1317" s="69"/>
      <c r="J1317" s="69"/>
      <c r="K1317" s="71"/>
      <c r="L1317" s="69"/>
      <c r="M1317" s="69"/>
      <c r="N1317" s="72"/>
      <c r="O1317" s="69"/>
      <c r="P1317" s="69"/>
      <c r="Q1317" s="69"/>
      <c r="R1317" s="69"/>
      <c r="S1317" s="69"/>
      <c r="T1317" s="69"/>
      <c r="U1317" s="69"/>
      <c r="V1317" s="69"/>
      <c r="W1317" s="69"/>
      <c r="X1317" s="69"/>
      <c r="Y1317" s="69"/>
      <c r="Z1317" s="69"/>
      <c r="AA1317" s="69"/>
      <c r="AB1317" s="69"/>
      <c r="AC1317" s="69"/>
      <c r="AD1317" s="69"/>
      <c r="AE1317" s="69"/>
      <c r="AF1317" s="69"/>
      <c r="AG1317" s="69"/>
      <c r="AH1317" s="69"/>
      <c r="AI1317" s="69"/>
      <c r="AJ1317" s="69"/>
      <c r="AK1317" s="69"/>
      <c r="AL1317" s="69"/>
      <c r="AM1317" s="69"/>
      <c r="AN1317" s="69"/>
      <c r="AO1317" s="69"/>
      <c r="AP1317" s="69"/>
      <c r="AQ1317" s="69"/>
      <c r="AR1317" s="69"/>
      <c r="AS1317" s="69"/>
      <c r="AT1317" s="69"/>
      <c r="AU1317" s="69"/>
      <c r="AV1317" s="69"/>
      <c r="AW1317" s="69"/>
      <c r="AX1317" s="69"/>
      <c r="AY1317" s="69"/>
      <c r="AZ1317" s="69"/>
      <c r="BA1317" s="69"/>
      <c r="BB1317" s="69"/>
      <c r="BC1317" s="69"/>
    </row>
    <row r="1318">
      <c r="A1318" s="68"/>
      <c r="B1318" s="68"/>
      <c r="C1318" s="68"/>
      <c r="D1318" s="68"/>
      <c r="E1318" s="68"/>
      <c r="F1318" s="68"/>
      <c r="G1318" s="68"/>
      <c r="H1318" s="68"/>
      <c r="I1318" s="69"/>
      <c r="J1318" s="69"/>
      <c r="K1318" s="71"/>
      <c r="L1318" s="69"/>
      <c r="M1318" s="69"/>
      <c r="N1318" s="72"/>
      <c r="O1318" s="69"/>
      <c r="P1318" s="69"/>
      <c r="Q1318" s="69"/>
      <c r="R1318" s="69"/>
      <c r="S1318" s="69"/>
      <c r="T1318" s="69"/>
      <c r="U1318" s="69"/>
      <c r="V1318" s="69"/>
      <c r="W1318" s="69"/>
      <c r="X1318" s="69"/>
      <c r="Y1318" s="69"/>
      <c r="Z1318" s="69"/>
      <c r="AA1318" s="69"/>
      <c r="AB1318" s="69"/>
      <c r="AC1318" s="69"/>
      <c r="AD1318" s="69"/>
      <c r="AE1318" s="69"/>
      <c r="AF1318" s="69"/>
      <c r="AG1318" s="69"/>
      <c r="AH1318" s="69"/>
      <c r="AI1318" s="69"/>
      <c r="AJ1318" s="69"/>
      <c r="AK1318" s="69"/>
      <c r="AL1318" s="69"/>
      <c r="AM1318" s="69"/>
      <c r="AN1318" s="69"/>
      <c r="AO1318" s="69"/>
      <c r="AP1318" s="69"/>
      <c r="AQ1318" s="69"/>
      <c r="AR1318" s="69"/>
      <c r="AS1318" s="69"/>
      <c r="AT1318" s="69"/>
      <c r="AU1318" s="69"/>
      <c r="AV1318" s="69"/>
      <c r="AW1318" s="69"/>
      <c r="AX1318" s="69"/>
      <c r="AY1318" s="69"/>
      <c r="AZ1318" s="69"/>
      <c r="BA1318" s="69"/>
      <c r="BB1318" s="69"/>
      <c r="BC1318" s="69"/>
    </row>
    <row r="1319">
      <c r="A1319" s="68"/>
      <c r="B1319" s="68"/>
      <c r="C1319" s="68"/>
      <c r="D1319" s="68"/>
      <c r="E1319" s="68"/>
      <c r="F1319" s="68"/>
      <c r="G1319" s="68"/>
      <c r="H1319" s="68"/>
      <c r="I1319" s="69"/>
      <c r="J1319" s="69"/>
      <c r="K1319" s="71"/>
      <c r="L1319" s="69"/>
      <c r="M1319" s="69"/>
      <c r="N1319" s="72"/>
      <c r="O1319" s="69"/>
      <c r="P1319" s="69"/>
      <c r="Q1319" s="69"/>
      <c r="R1319" s="69"/>
      <c r="S1319" s="69"/>
      <c r="T1319" s="69"/>
      <c r="U1319" s="69"/>
      <c r="V1319" s="69"/>
      <c r="W1319" s="69"/>
      <c r="X1319" s="69"/>
      <c r="Y1319" s="69"/>
      <c r="Z1319" s="69"/>
      <c r="AA1319" s="69"/>
      <c r="AB1319" s="69"/>
      <c r="AC1319" s="69"/>
      <c r="AD1319" s="69"/>
      <c r="AE1319" s="69"/>
      <c r="AF1319" s="69"/>
      <c r="AG1319" s="69"/>
      <c r="AH1319" s="69"/>
      <c r="AI1319" s="69"/>
      <c r="AJ1319" s="69"/>
      <c r="AK1319" s="69"/>
      <c r="AL1319" s="69"/>
      <c r="AM1319" s="69"/>
      <c r="AN1319" s="69"/>
      <c r="AO1319" s="69"/>
      <c r="AP1319" s="69"/>
      <c r="AQ1319" s="69"/>
      <c r="AR1319" s="69"/>
      <c r="AS1319" s="69"/>
      <c r="AT1319" s="69"/>
      <c r="AU1319" s="69"/>
      <c r="AV1319" s="69"/>
      <c r="AW1319" s="69"/>
      <c r="AX1319" s="69"/>
      <c r="AY1319" s="69"/>
      <c r="AZ1319" s="69"/>
      <c r="BA1319" s="69"/>
      <c r="BB1319" s="69"/>
      <c r="BC1319" s="69"/>
    </row>
    <row r="1320">
      <c r="A1320" s="68"/>
      <c r="B1320" s="68"/>
      <c r="C1320" s="68"/>
      <c r="D1320" s="68"/>
      <c r="E1320" s="68"/>
      <c r="F1320" s="68"/>
      <c r="G1320" s="68"/>
      <c r="H1320" s="68"/>
      <c r="I1320" s="69"/>
      <c r="J1320" s="69"/>
      <c r="K1320" s="71"/>
      <c r="L1320" s="69"/>
      <c r="M1320" s="69"/>
      <c r="N1320" s="72"/>
      <c r="O1320" s="69"/>
      <c r="P1320" s="69"/>
      <c r="Q1320" s="69"/>
      <c r="R1320" s="69"/>
      <c r="S1320" s="69"/>
      <c r="T1320" s="69"/>
      <c r="U1320" s="69"/>
      <c r="V1320" s="69"/>
      <c r="W1320" s="69"/>
      <c r="X1320" s="69"/>
      <c r="Y1320" s="69"/>
      <c r="Z1320" s="69"/>
      <c r="AA1320" s="69"/>
      <c r="AB1320" s="69"/>
      <c r="AC1320" s="69"/>
      <c r="AD1320" s="69"/>
      <c r="AE1320" s="69"/>
      <c r="AF1320" s="69"/>
      <c r="AG1320" s="69"/>
      <c r="AH1320" s="69"/>
      <c r="AI1320" s="69"/>
      <c r="AJ1320" s="69"/>
      <c r="AK1320" s="69"/>
      <c r="AL1320" s="69"/>
      <c r="AM1320" s="69"/>
      <c r="AN1320" s="69"/>
      <c r="AO1320" s="69"/>
      <c r="AP1320" s="69"/>
      <c r="AQ1320" s="69"/>
      <c r="AR1320" s="69"/>
      <c r="AS1320" s="69"/>
      <c r="AT1320" s="69"/>
      <c r="AU1320" s="69"/>
      <c r="AV1320" s="69"/>
      <c r="AW1320" s="69"/>
      <c r="AX1320" s="69"/>
      <c r="AY1320" s="69"/>
      <c r="AZ1320" s="69"/>
      <c r="BA1320" s="69"/>
      <c r="BB1320" s="69"/>
      <c r="BC1320" s="69"/>
    </row>
    <row r="1321">
      <c r="A1321" s="68"/>
      <c r="B1321" s="68"/>
      <c r="C1321" s="68"/>
      <c r="D1321" s="68"/>
      <c r="E1321" s="68"/>
      <c r="F1321" s="68"/>
      <c r="G1321" s="68"/>
      <c r="H1321" s="68"/>
      <c r="I1321" s="69"/>
      <c r="J1321" s="69"/>
      <c r="K1321" s="71"/>
      <c r="L1321" s="69"/>
      <c r="M1321" s="69"/>
      <c r="N1321" s="72"/>
      <c r="O1321" s="69"/>
      <c r="P1321" s="69"/>
      <c r="Q1321" s="69"/>
      <c r="R1321" s="69"/>
      <c r="S1321" s="69"/>
      <c r="T1321" s="69"/>
      <c r="U1321" s="69"/>
      <c r="V1321" s="69"/>
      <c r="W1321" s="69"/>
      <c r="X1321" s="69"/>
      <c r="Y1321" s="69"/>
      <c r="Z1321" s="69"/>
      <c r="AA1321" s="69"/>
      <c r="AB1321" s="69"/>
      <c r="AC1321" s="69"/>
      <c r="AD1321" s="69"/>
      <c r="AE1321" s="69"/>
      <c r="AF1321" s="69"/>
      <c r="AG1321" s="69"/>
      <c r="AH1321" s="69"/>
      <c r="AI1321" s="69"/>
      <c r="AJ1321" s="69"/>
      <c r="AK1321" s="69"/>
      <c r="AL1321" s="69"/>
      <c r="AM1321" s="69"/>
      <c r="AN1321" s="69"/>
      <c r="AO1321" s="69"/>
      <c r="AP1321" s="69"/>
      <c r="AQ1321" s="69"/>
      <c r="AR1321" s="69"/>
      <c r="AS1321" s="69"/>
      <c r="AT1321" s="69"/>
      <c r="AU1321" s="69"/>
      <c r="AV1321" s="69"/>
      <c r="AW1321" s="69"/>
      <c r="AX1321" s="69"/>
      <c r="AY1321" s="69"/>
      <c r="AZ1321" s="69"/>
      <c r="BA1321" s="69"/>
      <c r="BB1321" s="69"/>
      <c r="BC1321" s="69"/>
    </row>
    <row r="1322">
      <c r="A1322" s="68"/>
      <c r="B1322" s="68"/>
      <c r="C1322" s="68"/>
      <c r="D1322" s="68"/>
      <c r="E1322" s="68"/>
      <c r="F1322" s="68"/>
      <c r="G1322" s="68"/>
      <c r="H1322" s="68"/>
      <c r="I1322" s="69"/>
      <c r="J1322" s="69"/>
      <c r="K1322" s="71"/>
      <c r="L1322" s="69"/>
      <c r="M1322" s="69"/>
      <c r="N1322" s="72"/>
      <c r="O1322" s="69"/>
      <c r="P1322" s="69"/>
      <c r="Q1322" s="69"/>
      <c r="R1322" s="69"/>
      <c r="S1322" s="69"/>
      <c r="T1322" s="69"/>
      <c r="U1322" s="69"/>
      <c r="V1322" s="69"/>
      <c r="W1322" s="69"/>
      <c r="X1322" s="69"/>
      <c r="Y1322" s="69"/>
      <c r="Z1322" s="69"/>
      <c r="AA1322" s="69"/>
      <c r="AB1322" s="69"/>
      <c r="AC1322" s="69"/>
      <c r="AD1322" s="69"/>
      <c r="AE1322" s="69"/>
      <c r="AF1322" s="69"/>
      <c r="AG1322" s="69"/>
      <c r="AH1322" s="69"/>
      <c r="AI1322" s="69"/>
      <c r="AJ1322" s="69"/>
      <c r="AK1322" s="69"/>
      <c r="AL1322" s="69"/>
      <c r="AM1322" s="69"/>
      <c r="AN1322" s="69"/>
      <c r="AO1322" s="69"/>
      <c r="AP1322" s="69"/>
      <c r="AQ1322" s="69"/>
      <c r="AR1322" s="69"/>
      <c r="AS1322" s="69"/>
      <c r="AT1322" s="69"/>
      <c r="AU1322" s="69"/>
      <c r="AV1322" s="69"/>
      <c r="AW1322" s="69"/>
      <c r="AX1322" s="69"/>
      <c r="AY1322" s="69"/>
      <c r="AZ1322" s="69"/>
      <c r="BA1322" s="69"/>
      <c r="BB1322" s="69"/>
      <c r="BC1322" s="69"/>
    </row>
    <row r="1323">
      <c r="A1323" s="68"/>
      <c r="B1323" s="68"/>
      <c r="C1323" s="68"/>
      <c r="D1323" s="68"/>
      <c r="E1323" s="68"/>
      <c r="F1323" s="68"/>
      <c r="G1323" s="68"/>
      <c r="H1323" s="68"/>
      <c r="I1323" s="69"/>
      <c r="J1323" s="69"/>
      <c r="K1323" s="71"/>
      <c r="L1323" s="69"/>
      <c r="M1323" s="69"/>
      <c r="N1323" s="72"/>
      <c r="O1323" s="69"/>
      <c r="P1323" s="69"/>
      <c r="Q1323" s="69"/>
      <c r="R1323" s="69"/>
      <c r="S1323" s="69"/>
      <c r="T1323" s="69"/>
      <c r="U1323" s="69"/>
      <c r="V1323" s="69"/>
      <c r="W1323" s="69"/>
      <c r="X1323" s="69"/>
      <c r="Y1323" s="69"/>
      <c r="Z1323" s="69"/>
      <c r="AA1323" s="69"/>
      <c r="AB1323" s="69"/>
      <c r="AC1323" s="69"/>
      <c r="AD1323" s="69"/>
      <c r="AE1323" s="69"/>
      <c r="AF1323" s="69"/>
      <c r="AG1323" s="69"/>
      <c r="AH1323" s="69"/>
      <c r="AI1323" s="69"/>
      <c r="AJ1323" s="69"/>
      <c r="AK1323" s="69"/>
      <c r="AL1323" s="69"/>
      <c r="AM1323" s="69"/>
      <c r="AN1323" s="69"/>
      <c r="AO1323" s="69"/>
      <c r="AP1323" s="69"/>
      <c r="AQ1323" s="69"/>
      <c r="AR1323" s="69"/>
      <c r="AS1323" s="69"/>
      <c r="AT1323" s="69"/>
      <c r="AU1323" s="69"/>
      <c r="AV1323" s="69"/>
      <c r="AW1323" s="69"/>
      <c r="AX1323" s="69"/>
      <c r="AY1323" s="69"/>
      <c r="AZ1323" s="69"/>
      <c r="BA1323" s="69"/>
      <c r="BB1323" s="69"/>
      <c r="BC1323" s="69"/>
    </row>
    <row r="1324">
      <c r="A1324" s="68"/>
      <c r="B1324" s="68"/>
      <c r="C1324" s="68"/>
      <c r="D1324" s="68"/>
      <c r="E1324" s="68"/>
      <c r="F1324" s="68"/>
      <c r="G1324" s="68"/>
      <c r="H1324" s="68"/>
      <c r="I1324" s="69"/>
      <c r="J1324" s="69"/>
      <c r="K1324" s="71"/>
      <c r="L1324" s="69"/>
      <c r="M1324" s="69"/>
      <c r="N1324" s="72"/>
      <c r="O1324" s="69"/>
      <c r="P1324" s="69"/>
      <c r="Q1324" s="69"/>
      <c r="R1324" s="69"/>
      <c r="S1324" s="69"/>
      <c r="T1324" s="69"/>
      <c r="U1324" s="69"/>
      <c r="V1324" s="69"/>
      <c r="W1324" s="69"/>
      <c r="X1324" s="69"/>
      <c r="Y1324" s="69"/>
      <c r="Z1324" s="69"/>
      <c r="AA1324" s="69"/>
      <c r="AB1324" s="69"/>
      <c r="AC1324" s="69"/>
      <c r="AD1324" s="69"/>
      <c r="AE1324" s="69"/>
      <c r="AF1324" s="69"/>
      <c r="AG1324" s="69"/>
      <c r="AH1324" s="69"/>
      <c r="AI1324" s="69"/>
      <c r="AJ1324" s="69"/>
      <c r="AK1324" s="69"/>
      <c r="AL1324" s="69"/>
      <c r="AM1324" s="69"/>
      <c r="AN1324" s="69"/>
      <c r="AO1324" s="69"/>
      <c r="AP1324" s="69"/>
      <c r="AQ1324" s="69"/>
      <c r="AR1324" s="69"/>
      <c r="AS1324" s="69"/>
      <c r="AT1324" s="69"/>
      <c r="AU1324" s="69"/>
      <c r="AV1324" s="69"/>
      <c r="AW1324" s="69"/>
      <c r="AX1324" s="69"/>
      <c r="AY1324" s="69"/>
      <c r="AZ1324" s="69"/>
      <c r="BA1324" s="69"/>
      <c r="BB1324" s="69"/>
      <c r="BC1324" s="69"/>
    </row>
    <row r="1325">
      <c r="A1325" s="68"/>
      <c r="B1325" s="68"/>
      <c r="C1325" s="68"/>
      <c r="D1325" s="68"/>
      <c r="E1325" s="68"/>
      <c r="F1325" s="68"/>
      <c r="G1325" s="68"/>
      <c r="H1325" s="68"/>
      <c r="I1325" s="69"/>
      <c r="J1325" s="69"/>
      <c r="K1325" s="71"/>
      <c r="L1325" s="69"/>
      <c r="M1325" s="69"/>
      <c r="N1325" s="72"/>
      <c r="O1325" s="69"/>
      <c r="P1325" s="69"/>
      <c r="Q1325" s="69"/>
      <c r="R1325" s="69"/>
      <c r="S1325" s="69"/>
      <c r="T1325" s="69"/>
      <c r="U1325" s="69"/>
      <c r="V1325" s="69"/>
      <c r="W1325" s="69"/>
      <c r="X1325" s="69"/>
      <c r="Y1325" s="69"/>
      <c r="Z1325" s="69"/>
      <c r="AA1325" s="69"/>
      <c r="AB1325" s="69"/>
      <c r="AC1325" s="69"/>
      <c r="AD1325" s="69"/>
      <c r="AE1325" s="69"/>
      <c r="AF1325" s="69"/>
      <c r="AG1325" s="69"/>
      <c r="AH1325" s="69"/>
      <c r="AI1325" s="69"/>
      <c r="AJ1325" s="69"/>
      <c r="AK1325" s="69"/>
      <c r="AL1325" s="69"/>
      <c r="AM1325" s="69"/>
      <c r="AN1325" s="69"/>
      <c r="AO1325" s="69"/>
      <c r="AP1325" s="69"/>
      <c r="AQ1325" s="69"/>
      <c r="AR1325" s="69"/>
      <c r="AS1325" s="69"/>
      <c r="AT1325" s="69"/>
      <c r="AU1325" s="69"/>
      <c r="AV1325" s="69"/>
      <c r="AW1325" s="69"/>
      <c r="AX1325" s="69"/>
      <c r="AY1325" s="69"/>
      <c r="AZ1325" s="69"/>
      <c r="BA1325" s="69"/>
      <c r="BB1325" s="69"/>
      <c r="BC1325" s="69"/>
    </row>
    <row r="1326">
      <c r="A1326" s="68"/>
      <c r="B1326" s="68"/>
      <c r="C1326" s="68"/>
      <c r="D1326" s="68"/>
      <c r="E1326" s="68"/>
      <c r="F1326" s="68"/>
      <c r="G1326" s="68"/>
      <c r="H1326" s="68"/>
      <c r="I1326" s="69"/>
      <c r="J1326" s="69"/>
      <c r="K1326" s="71"/>
      <c r="L1326" s="69"/>
      <c r="M1326" s="69"/>
      <c r="N1326" s="72"/>
      <c r="O1326" s="69"/>
      <c r="P1326" s="69"/>
      <c r="Q1326" s="69"/>
      <c r="R1326" s="69"/>
      <c r="S1326" s="69"/>
      <c r="T1326" s="69"/>
      <c r="U1326" s="69"/>
      <c r="V1326" s="69"/>
      <c r="W1326" s="69"/>
      <c r="X1326" s="69"/>
      <c r="Y1326" s="69"/>
      <c r="Z1326" s="69"/>
      <c r="AA1326" s="69"/>
      <c r="AB1326" s="69"/>
      <c r="AC1326" s="69"/>
      <c r="AD1326" s="69"/>
      <c r="AE1326" s="69"/>
      <c r="AF1326" s="69"/>
      <c r="AG1326" s="69"/>
      <c r="AH1326" s="69"/>
      <c r="AI1326" s="69"/>
      <c r="AJ1326" s="69"/>
      <c r="AK1326" s="69"/>
      <c r="AL1326" s="69"/>
      <c r="AM1326" s="69"/>
      <c r="AN1326" s="69"/>
      <c r="AO1326" s="69"/>
      <c r="AP1326" s="69"/>
      <c r="AQ1326" s="69"/>
      <c r="AR1326" s="69"/>
      <c r="AS1326" s="69"/>
      <c r="AT1326" s="69"/>
      <c r="AU1326" s="69"/>
      <c r="AV1326" s="69"/>
      <c r="AW1326" s="69"/>
      <c r="AX1326" s="69"/>
      <c r="AY1326" s="69"/>
      <c r="AZ1326" s="69"/>
      <c r="BA1326" s="69"/>
      <c r="BB1326" s="69"/>
      <c r="BC1326" s="69"/>
    </row>
    <row r="1327">
      <c r="A1327" s="68"/>
      <c r="B1327" s="68"/>
      <c r="C1327" s="68"/>
      <c r="D1327" s="68"/>
      <c r="E1327" s="68"/>
      <c r="F1327" s="68"/>
      <c r="G1327" s="68"/>
      <c r="H1327" s="68"/>
      <c r="I1327" s="69"/>
      <c r="J1327" s="69"/>
      <c r="K1327" s="71"/>
      <c r="L1327" s="69"/>
      <c r="M1327" s="69"/>
      <c r="N1327" s="72"/>
      <c r="O1327" s="69"/>
      <c r="P1327" s="69"/>
      <c r="Q1327" s="69"/>
      <c r="R1327" s="69"/>
      <c r="S1327" s="69"/>
      <c r="T1327" s="69"/>
      <c r="U1327" s="69"/>
      <c r="V1327" s="69"/>
      <c r="W1327" s="69"/>
      <c r="X1327" s="69"/>
      <c r="Y1327" s="69"/>
      <c r="Z1327" s="69"/>
      <c r="AA1327" s="69"/>
      <c r="AB1327" s="69"/>
      <c r="AC1327" s="69"/>
      <c r="AD1327" s="69"/>
      <c r="AE1327" s="69"/>
      <c r="AF1327" s="69"/>
      <c r="AG1327" s="69"/>
      <c r="AH1327" s="69"/>
      <c r="AI1327" s="69"/>
      <c r="AJ1327" s="69"/>
      <c r="AK1327" s="69"/>
      <c r="AL1327" s="69"/>
      <c r="AM1327" s="69"/>
      <c r="AN1327" s="69"/>
      <c r="AO1327" s="69"/>
      <c r="AP1327" s="69"/>
      <c r="AQ1327" s="69"/>
      <c r="AR1327" s="69"/>
      <c r="AS1327" s="69"/>
      <c r="AT1327" s="69"/>
      <c r="AU1327" s="69"/>
      <c r="AV1327" s="69"/>
      <c r="AW1327" s="69"/>
      <c r="AX1327" s="69"/>
      <c r="AY1327" s="69"/>
      <c r="AZ1327" s="69"/>
      <c r="BA1327" s="69"/>
      <c r="BB1327" s="69"/>
      <c r="BC1327" s="69"/>
    </row>
    <row r="1328">
      <c r="A1328" s="68"/>
      <c r="B1328" s="68"/>
      <c r="C1328" s="68"/>
      <c r="D1328" s="68"/>
      <c r="E1328" s="68"/>
      <c r="F1328" s="68"/>
      <c r="G1328" s="68"/>
      <c r="H1328" s="68"/>
      <c r="I1328" s="69"/>
      <c r="J1328" s="69"/>
      <c r="K1328" s="71"/>
      <c r="L1328" s="69"/>
      <c r="M1328" s="69"/>
      <c r="N1328" s="72"/>
      <c r="O1328" s="69"/>
      <c r="P1328" s="69"/>
      <c r="Q1328" s="69"/>
      <c r="R1328" s="69"/>
      <c r="S1328" s="69"/>
      <c r="T1328" s="69"/>
      <c r="U1328" s="69"/>
      <c r="V1328" s="69"/>
      <c r="W1328" s="69"/>
      <c r="X1328" s="69"/>
      <c r="Y1328" s="69"/>
      <c r="Z1328" s="69"/>
      <c r="AA1328" s="69"/>
      <c r="AB1328" s="69"/>
      <c r="AC1328" s="69"/>
      <c r="AD1328" s="69"/>
      <c r="AE1328" s="69"/>
      <c r="AF1328" s="69"/>
      <c r="AG1328" s="69"/>
      <c r="AH1328" s="69"/>
      <c r="AI1328" s="69"/>
      <c r="AJ1328" s="69"/>
      <c r="AK1328" s="69"/>
      <c r="AL1328" s="69"/>
      <c r="AM1328" s="69"/>
      <c r="AN1328" s="69"/>
      <c r="AO1328" s="69"/>
      <c r="AP1328" s="69"/>
      <c r="AQ1328" s="69"/>
      <c r="AR1328" s="69"/>
      <c r="AS1328" s="69"/>
      <c r="AT1328" s="69"/>
      <c r="AU1328" s="69"/>
      <c r="AV1328" s="69"/>
      <c r="AW1328" s="69"/>
      <c r="AX1328" s="69"/>
      <c r="AY1328" s="69"/>
      <c r="AZ1328" s="69"/>
      <c r="BA1328" s="69"/>
      <c r="BB1328" s="69"/>
      <c r="BC1328" s="69"/>
    </row>
    <row r="1329">
      <c r="A1329" s="68"/>
      <c r="B1329" s="68"/>
      <c r="C1329" s="68"/>
      <c r="D1329" s="68"/>
      <c r="E1329" s="68"/>
      <c r="F1329" s="68"/>
      <c r="G1329" s="68"/>
      <c r="H1329" s="68"/>
      <c r="I1329" s="69"/>
      <c r="J1329" s="69"/>
      <c r="K1329" s="71"/>
      <c r="L1329" s="69"/>
      <c r="M1329" s="69"/>
      <c r="N1329" s="72"/>
      <c r="O1329" s="69"/>
      <c r="P1329" s="69"/>
      <c r="Q1329" s="69"/>
      <c r="R1329" s="69"/>
      <c r="S1329" s="69"/>
      <c r="T1329" s="69"/>
      <c r="U1329" s="69"/>
      <c r="V1329" s="69"/>
      <c r="W1329" s="69"/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69"/>
      <c r="AH1329" s="69"/>
      <c r="AI1329" s="69"/>
      <c r="AJ1329" s="69"/>
      <c r="AK1329" s="69"/>
      <c r="AL1329" s="69"/>
      <c r="AM1329" s="69"/>
      <c r="AN1329" s="69"/>
      <c r="AO1329" s="69"/>
      <c r="AP1329" s="69"/>
      <c r="AQ1329" s="69"/>
      <c r="AR1329" s="69"/>
      <c r="AS1329" s="69"/>
      <c r="AT1329" s="69"/>
      <c r="AU1329" s="69"/>
      <c r="AV1329" s="69"/>
      <c r="AW1329" s="69"/>
      <c r="AX1329" s="69"/>
      <c r="AY1329" s="69"/>
      <c r="AZ1329" s="69"/>
      <c r="BA1329" s="69"/>
      <c r="BB1329" s="69"/>
      <c r="BC1329" s="69"/>
    </row>
    <row r="1330">
      <c r="A1330" s="68"/>
      <c r="B1330" s="68"/>
      <c r="C1330" s="68"/>
      <c r="D1330" s="68"/>
      <c r="E1330" s="68"/>
      <c r="F1330" s="68"/>
      <c r="G1330" s="68"/>
      <c r="H1330" s="68"/>
      <c r="I1330" s="69"/>
      <c r="J1330" s="69"/>
      <c r="K1330" s="71"/>
      <c r="L1330" s="69"/>
      <c r="M1330" s="69"/>
      <c r="N1330" s="72"/>
      <c r="O1330" s="69"/>
      <c r="P1330" s="69"/>
      <c r="Q1330" s="69"/>
      <c r="R1330" s="69"/>
      <c r="S1330" s="69"/>
      <c r="T1330" s="69"/>
      <c r="U1330" s="69"/>
      <c r="V1330" s="69"/>
      <c r="W1330" s="69"/>
      <c r="X1330" s="69"/>
      <c r="Y1330" s="69"/>
      <c r="Z1330" s="69"/>
      <c r="AA1330" s="69"/>
      <c r="AB1330" s="69"/>
      <c r="AC1330" s="69"/>
      <c r="AD1330" s="69"/>
      <c r="AE1330" s="69"/>
      <c r="AF1330" s="69"/>
      <c r="AG1330" s="69"/>
      <c r="AH1330" s="69"/>
      <c r="AI1330" s="69"/>
      <c r="AJ1330" s="69"/>
      <c r="AK1330" s="69"/>
      <c r="AL1330" s="69"/>
      <c r="AM1330" s="69"/>
      <c r="AN1330" s="69"/>
      <c r="AO1330" s="69"/>
      <c r="AP1330" s="69"/>
      <c r="AQ1330" s="69"/>
      <c r="AR1330" s="69"/>
      <c r="AS1330" s="69"/>
      <c r="AT1330" s="69"/>
      <c r="AU1330" s="69"/>
      <c r="AV1330" s="69"/>
      <c r="AW1330" s="69"/>
      <c r="AX1330" s="69"/>
      <c r="AY1330" s="69"/>
      <c r="AZ1330" s="69"/>
      <c r="BA1330" s="69"/>
      <c r="BB1330" s="69"/>
      <c r="BC1330" s="69"/>
    </row>
    <row r="1331">
      <c r="A1331" s="68"/>
      <c r="B1331" s="68"/>
      <c r="C1331" s="68"/>
      <c r="D1331" s="68"/>
      <c r="E1331" s="68"/>
      <c r="F1331" s="68"/>
      <c r="G1331" s="68"/>
      <c r="H1331" s="68"/>
      <c r="I1331" s="69"/>
      <c r="J1331" s="69"/>
      <c r="K1331" s="71"/>
      <c r="L1331" s="69"/>
      <c r="M1331" s="69"/>
      <c r="N1331" s="72"/>
      <c r="O1331" s="69"/>
      <c r="P1331" s="69"/>
      <c r="Q1331" s="69"/>
      <c r="R1331" s="69"/>
      <c r="S1331" s="69"/>
      <c r="T1331" s="69"/>
      <c r="U1331" s="69"/>
      <c r="V1331" s="69"/>
      <c r="W1331" s="69"/>
      <c r="X1331" s="69"/>
      <c r="Y1331" s="69"/>
      <c r="Z1331" s="69"/>
      <c r="AA1331" s="69"/>
      <c r="AB1331" s="69"/>
      <c r="AC1331" s="69"/>
      <c r="AD1331" s="69"/>
      <c r="AE1331" s="69"/>
      <c r="AF1331" s="69"/>
      <c r="AG1331" s="69"/>
      <c r="AH1331" s="69"/>
      <c r="AI1331" s="69"/>
      <c r="AJ1331" s="69"/>
      <c r="AK1331" s="69"/>
      <c r="AL1331" s="69"/>
      <c r="AM1331" s="69"/>
      <c r="AN1331" s="69"/>
      <c r="AO1331" s="69"/>
      <c r="AP1331" s="69"/>
      <c r="AQ1331" s="69"/>
      <c r="AR1331" s="69"/>
      <c r="AS1331" s="69"/>
      <c r="AT1331" s="69"/>
      <c r="AU1331" s="69"/>
      <c r="AV1331" s="69"/>
      <c r="AW1331" s="69"/>
      <c r="AX1331" s="69"/>
      <c r="AY1331" s="69"/>
      <c r="AZ1331" s="69"/>
      <c r="BA1331" s="69"/>
      <c r="BB1331" s="69"/>
      <c r="BC1331" s="69"/>
    </row>
    <row r="1332">
      <c r="A1332" s="68"/>
      <c r="B1332" s="68"/>
      <c r="C1332" s="68"/>
      <c r="D1332" s="68"/>
      <c r="E1332" s="68"/>
      <c r="F1332" s="68"/>
      <c r="G1332" s="68"/>
      <c r="H1332" s="68"/>
      <c r="I1332" s="69"/>
      <c r="J1332" s="69"/>
      <c r="K1332" s="71"/>
      <c r="L1332" s="69"/>
      <c r="M1332" s="69"/>
      <c r="N1332" s="72"/>
      <c r="O1332" s="69"/>
      <c r="P1332" s="69"/>
      <c r="Q1332" s="69"/>
      <c r="R1332" s="69"/>
      <c r="S1332" s="69"/>
      <c r="T1332" s="69"/>
      <c r="U1332" s="69"/>
      <c r="V1332" s="69"/>
      <c r="W1332" s="69"/>
      <c r="X1332" s="69"/>
      <c r="Y1332" s="69"/>
      <c r="Z1332" s="69"/>
      <c r="AA1332" s="69"/>
      <c r="AB1332" s="69"/>
      <c r="AC1332" s="69"/>
      <c r="AD1332" s="69"/>
      <c r="AE1332" s="69"/>
      <c r="AF1332" s="69"/>
      <c r="AG1332" s="69"/>
      <c r="AH1332" s="69"/>
      <c r="AI1332" s="69"/>
      <c r="AJ1332" s="69"/>
      <c r="AK1332" s="69"/>
      <c r="AL1332" s="69"/>
      <c r="AM1332" s="69"/>
      <c r="AN1332" s="69"/>
      <c r="AO1332" s="69"/>
      <c r="AP1332" s="69"/>
      <c r="AQ1332" s="69"/>
      <c r="AR1332" s="69"/>
      <c r="AS1332" s="69"/>
      <c r="AT1332" s="69"/>
      <c r="AU1332" s="69"/>
      <c r="AV1332" s="69"/>
      <c r="AW1332" s="69"/>
      <c r="AX1332" s="69"/>
      <c r="AY1332" s="69"/>
      <c r="AZ1332" s="69"/>
      <c r="BA1332" s="69"/>
      <c r="BB1332" s="69"/>
      <c r="BC1332" s="69"/>
    </row>
    <row r="1333">
      <c r="A1333" s="68"/>
      <c r="B1333" s="68"/>
      <c r="C1333" s="68"/>
      <c r="D1333" s="68"/>
      <c r="E1333" s="68"/>
      <c r="F1333" s="68"/>
      <c r="G1333" s="68"/>
      <c r="H1333" s="68"/>
      <c r="I1333" s="69"/>
      <c r="J1333" s="69"/>
      <c r="K1333" s="71"/>
      <c r="L1333" s="69"/>
      <c r="M1333" s="69"/>
      <c r="N1333" s="72"/>
      <c r="O1333" s="69"/>
      <c r="P1333" s="69"/>
      <c r="Q1333" s="69"/>
      <c r="R1333" s="69"/>
      <c r="S1333" s="69"/>
      <c r="T1333" s="69"/>
      <c r="U1333" s="69"/>
      <c r="V1333" s="69"/>
      <c r="W1333" s="69"/>
      <c r="X1333" s="69"/>
      <c r="Y1333" s="69"/>
      <c r="Z1333" s="69"/>
      <c r="AA1333" s="69"/>
      <c r="AB1333" s="69"/>
      <c r="AC1333" s="69"/>
      <c r="AD1333" s="69"/>
      <c r="AE1333" s="69"/>
      <c r="AF1333" s="69"/>
      <c r="AG1333" s="69"/>
      <c r="AH1333" s="69"/>
      <c r="AI1333" s="69"/>
      <c r="AJ1333" s="69"/>
      <c r="AK1333" s="69"/>
      <c r="AL1333" s="69"/>
      <c r="AM1333" s="69"/>
      <c r="AN1333" s="69"/>
      <c r="AO1333" s="69"/>
      <c r="AP1333" s="69"/>
      <c r="AQ1333" s="69"/>
      <c r="AR1333" s="69"/>
      <c r="AS1333" s="69"/>
      <c r="AT1333" s="69"/>
      <c r="AU1333" s="69"/>
      <c r="AV1333" s="69"/>
      <c r="AW1333" s="69"/>
      <c r="AX1333" s="69"/>
      <c r="AY1333" s="69"/>
      <c r="AZ1333" s="69"/>
      <c r="BA1333" s="69"/>
      <c r="BB1333" s="69"/>
      <c r="BC1333" s="69"/>
    </row>
    <row r="1334">
      <c r="A1334" s="68"/>
      <c r="B1334" s="68"/>
      <c r="C1334" s="68"/>
      <c r="D1334" s="68"/>
      <c r="E1334" s="68"/>
      <c r="F1334" s="68"/>
      <c r="G1334" s="68"/>
      <c r="H1334" s="68"/>
      <c r="I1334" s="69"/>
      <c r="J1334" s="69"/>
      <c r="K1334" s="71"/>
      <c r="L1334" s="69"/>
      <c r="M1334" s="69"/>
      <c r="N1334" s="72"/>
      <c r="O1334" s="69"/>
      <c r="P1334" s="69"/>
      <c r="Q1334" s="69"/>
      <c r="R1334" s="69"/>
      <c r="S1334" s="69"/>
      <c r="T1334" s="69"/>
      <c r="U1334" s="69"/>
      <c r="V1334" s="69"/>
      <c r="W1334" s="69"/>
      <c r="X1334" s="69"/>
      <c r="Y1334" s="69"/>
      <c r="Z1334" s="69"/>
      <c r="AA1334" s="69"/>
      <c r="AB1334" s="69"/>
      <c r="AC1334" s="69"/>
      <c r="AD1334" s="69"/>
      <c r="AE1334" s="69"/>
      <c r="AF1334" s="69"/>
      <c r="AG1334" s="69"/>
      <c r="AH1334" s="69"/>
      <c r="AI1334" s="69"/>
      <c r="AJ1334" s="69"/>
      <c r="AK1334" s="69"/>
      <c r="AL1334" s="69"/>
      <c r="AM1334" s="69"/>
      <c r="AN1334" s="69"/>
      <c r="AO1334" s="69"/>
      <c r="AP1334" s="69"/>
      <c r="AQ1334" s="69"/>
      <c r="AR1334" s="69"/>
      <c r="AS1334" s="69"/>
      <c r="AT1334" s="69"/>
      <c r="AU1334" s="69"/>
      <c r="AV1334" s="69"/>
      <c r="AW1334" s="69"/>
      <c r="AX1334" s="69"/>
      <c r="AY1334" s="69"/>
      <c r="AZ1334" s="69"/>
      <c r="BA1334" s="69"/>
      <c r="BB1334" s="69"/>
      <c r="BC1334" s="69"/>
    </row>
    <row r="1335">
      <c r="A1335" s="68"/>
      <c r="B1335" s="68"/>
      <c r="C1335" s="68"/>
      <c r="D1335" s="68"/>
      <c r="E1335" s="68"/>
      <c r="F1335" s="68"/>
      <c r="G1335" s="68"/>
      <c r="H1335" s="68"/>
      <c r="I1335" s="69"/>
      <c r="J1335" s="69"/>
      <c r="K1335" s="71"/>
      <c r="L1335" s="69"/>
      <c r="M1335" s="69"/>
      <c r="N1335" s="72"/>
      <c r="O1335" s="69"/>
      <c r="P1335" s="69"/>
      <c r="Q1335" s="69"/>
      <c r="R1335" s="69"/>
      <c r="S1335" s="69"/>
      <c r="T1335" s="69"/>
      <c r="U1335" s="69"/>
      <c r="V1335" s="69"/>
      <c r="W1335" s="69"/>
      <c r="X1335" s="69"/>
      <c r="Y1335" s="69"/>
      <c r="Z1335" s="69"/>
      <c r="AA1335" s="69"/>
      <c r="AB1335" s="69"/>
      <c r="AC1335" s="69"/>
      <c r="AD1335" s="69"/>
      <c r="AE1335" s="69"/>
      <c r="AF1335" s="69"/>
      <c r="AG1335" s="69"/>
      <c r="AH1335" s="69"/>
      <c r="AI1335" s="69"/>
      <c r="AJ1335" s="69"/>
      <c r="AK1335" s="69"/>
      <c r="AL1335" s="69"/>
      <c r="AM1335" s="69"/>
      <c r="AN1335" s="69"/>
      <c r="AO1335" s="69"/>
      <c r="AP1335" s="69"/>
      <c r="AQ1335" s="69"/>
      <c r="AR1335" s="69"/>
      <c r="AS1335" s="69"/>
      <c r="AT1335" s="69"/>
      <c r="AU1335" s="69"/>
      <c r="AV1335" s="69"/>
      <c r="AW1335" s="69"/>
      <c r="AX1335" s="69"/>
      <c r="AY1335" s="69"/>
      <c r="AZ1335" s="69"/>
      <c r="BA1335" s="69"/>
      <c r="BB1335" s="69"/>
      <c r="BC1335" s="69"/>
    </row>
    <row r="1336">
      <c r="A1336" s="68"/>
      <c r="B1336" s="68"/>
      <c r="C1336" s="68"/>
      <c r="D1336" s="68"/>
      <c r="E1336" s="68"/>
      <c r="F1336" s="68"/>
      <c r="G1336" s="68"/>
      <c r="H1336" s="68"/>
      <c r="I1336" s="69"/>
      <c r="J1336" s="69"/>
      <c r="K1336" s="71"/>
      <c r="L1336" s="69"/>
      <c r="M1336" s="69"/>
      <c r="N1336" s="72"/>
      <c r="O1336" s="69"/>
      <c r="P1336" s="69"/>
      <c r="Q1336" s="69"/>
      <c r="R1336" s="69"/>
      <c r="S1336" s="69"/>
      <c r="T1336" s="69"/>
      <c r="U1336" s="69"/>
      <c r="V1336" s="69"/>
      <c r="W1336" s="69"/>
      <c r="X1336" s="69"/>
      <c r="Y1336" s="69"/>
      <c r="Z1336" s="69"/>
      <c r="AA1336" s="69"/>
      <c r="AB1336" s="69"/>
      <c r="AC1336" s="69"/>
      <c r="AD1336" s="69"/>
      <c r="AE1336" s="69"/>
      <c r="AF1336" s="69"/>
      <c r="AG1336" s="69"/>
      <c r="AH1336" s="69"/>
      <c r="AI1336" s="69"/>
      <c r="AJ1336" s="69"/>
      <c r="AK1336" s="69"/>
      <c r="AL1336" s="69"/>
      <c r="AM1336" s="69"/>
      <c r="AN1336" s="69"/>
      <c r="AO1336" s="69"/>
      <c r="AP1336" s="69"/>
      <c r="AQ1336" s="69"/>
      <c r="AR1336" s="69"/>
      <c r="AS1336" s="69"/>
      <c r="AT1336" s="69"/>
      <c r="AU1336" s="69"/>
      <c r="AV1336" s="69"/>
      <c r="AW1336" s="69"/>
      <c r="AX1336" s="69"/>
      <c r="AY1336" s="69"/>
      <c r="AZ1336" s="69"/>
      <c r="BA1336" s="69"/>
      <c r="BB1336" s="69"/>
      <c r="BC1336" s="69"/>
    </row>
    <row r="1337">
      <c r="A1337" s="68"/>
      <c r="B1337" s="68"/>
      <c r="C1337" s="68"/>
      <c r="D1337" s="68"/>
      <c r="E1337" s="68"/>
      <c r="F1337" s="68"/>
      <c r="G1337" s="68"/>
      <c r="H1337" s="68"/>
      <c r="I1337" s="69"/>
      <c r="J1337" s="69"/>
      <c r="K1337" s="71"/>
      <c r="L1337" s="69"/>
      <c r="M1337" s="69"/>
      <c r="N1337" s="72"/>
      <c r="O1337" s="69"/>
      <c r="P1337" s="69"/>
      <c r="Q1337" s="69"/>
      <c r="R1337" s="69"/>
      <c r="S1337" s="69"/>
      <c r="T1337" s="69"/>
      <c r="U1337" s="69"/>
      <c r="V1337" s="69"/>
      <c r="W1337" s="69"/>
      <c r="X1337" s="69"/>
      <c r="Y1337" s="69"/>
      <c r="Z1337" s="69"/>
      <c r="AA1337" s="69"/>
      <c r="AB1337" s="69"/>
      <c r="AC1337" s="69"/>
      <c r="AD1337" s="69"/>
      <c r="AE1337" s="69"/>
      <c r="AF1337" s="69"/>
      <c r="AG1337" s="69"/>
      <c r="AH1337" s="69"/>
      <c r="AI1337" s="69"/>
      <c r="AJ1337" s="69"/>
      <c r="AK1337" s="69"/>
      <c r="AL1337" s="69"/>
      <c r="AM1337" s="69"/>
      <c r="AN1337" s="69"/>
      <c r="AO1337" s="69"/>
      <c r="AP1337" s="69"/>
      <c r="AQ1337" s="69"/>
      <c r="AR1337" s="69"/>
      <c r="AS1337" s="69"/>
      <c r="AT1337" s="69"/>
      <c r="AU1337" s="69"/>
      <c r="AV1337" s="69"/>
      <c r="AW1337" s="69"/>
      <c r="AX1337" s="69"/>
      <c r="AY1337" s="69"/>
      <c r="AZ1337" s="69"/>
      <c r="BA1337" s="69"/>
      <c r="BB1337" s="69"/>
      <c r="BC1337" s="69"/>
    </row>
    <row r="1338">
      <c r="A1338" s="68"/>
      <c r="B1338" s="68"/>
      <c r="C1338" s="68"/>
      <c r="D1338" s="68"/>
      <c r="E1338" s="68"/>
      <c r="F1338" s="68"/>
      <c r="G1338" s="68"/>
      <c r="H1338" s="68"/>
      <c r="I1338" s="69"/>
      <c r="J1338" s="69"/>
      <c r="K1338" s="71"/>
      <c r="L1338" s="69"/>
      <c r="M1338" s="69"/>
      <c r="N1338" s="72"/>
      <c r="O1338" s="69"/>
      <c r="P1338" s="69"/>
      <c r="Q1338" s="69"/>
      <c r="R1338" s="69"/>
      <c r="S1338" s="69"/>
      <c r="T1338" s="69"/>
      <c r="U1338" s="69"/>
      <c r="V1338" s="69"/>
      <c r="W1338" s="69"/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/>
      <c r="AJ1338" s="69"/>
      <c r="AK1338" s="69"/>
      <c r="AL1338" s="69"/>
      <c r="AM1338" s="69"/>
      <c r="AN1338" s="69"/>
      <c r="AO1338" s="69"/>
      <c r="AP1338" s="69"/>
      <c r="AQ1338" s="69"/>
      <c r="AR1338" s="69"/>
      <c r="AS1338" s="69"/>
      <c r="AT1338" s="69"/>
      <c r="AU1338" s="69"/>
      <c r="AV1338" s="69"/>
      <c r="AW1338" s="69"/>
      <c r="AX1338" s="69"/>
      <c r="AY1338" s="69"/>
      <c r="AZ1338" s="69"/>
      <c r="BA1338" s="69"/>
      <c r="BB1338" s="69"/>
      <c r="BC1338" s="69"/>
    </row>
    <row r="1339">
      <c r="A1339" s="68"/>
      <c r="B1339" s="68"/>
      <c r="C1339" s="68"/>
      <c r="D1339" s="68"/>
      <c r="E1339" s="68"/>
      <c r="F1339" s="68"/>
      <c r="G1339" s="68"/>
      <c r="H1339" s="68"/>
      <c r="I1339" s="69"/>
      <c r="J1339" s="69"/>
      <c r="K1339" s="71"/>
      <c r="L1339" s="69"/>
      <c r="M1339" s="69"/>
      <c r="N1339" s="72"/>
      <c r="O1339" s="69"/>
      <c r="P1339" s="69"/>
      <c r="Q1339" s="69"/>
      <c r="R1339" s="69"/>
      <c r="S1339" s="69"/>
      <c r="T1339" s="69"/>
      <c r="U1339" s="69"/>
      <c r="V1339" s="69"/>
      <c r="W1339" s="69"/>
      <c r="X1339" s="69"/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/>
      <c r="AJ1339" s="69"/>
      <c r="AK1339" s="69"/>
      <c r="AL1339" s="69"/>
      <c r="AM1339" s="69"/>
      <c r="AN1339" s="69"/>
      <c r="AO1339" s="69"/>
      <c r="AP1339" s="69"/>
      <c r="AQ1339" s="69"/>
      <c r="AR1339" s="69"/>
      <c r="AS1339" s="69"/>
      <c r="AT1339" s="69"/>
      <c r="AU1339" s="69"/>
      <c r="AV1339" s="69"/>
      <c r="AW1339" s="69"/>
      <c r="AX1339" s="69"/>
      <c r="AY1339" s="69"/>
      <c r="AZ1339" s="69"/>
      <c r="BA1339" s="69"/>
      <c r="BB1339" s="69"/>
      <c r="BC1339" s="69"/>
    </row>
    <row r="1340">
      <c r="A1340" s="68"/>
      <c r="B1340" s="68"/>
      <c r="C1340" s="68"/>
      <c r="D1340" s="68"/>
      <c r="E1340" s="68"/>
      <c r="F1340" s="68"/>
      <c r="G1340" s="68"/>
      <c r="H1340" s="68"/>
      <c r="I1340" s="69"/>
      <c r="J1340" s="69"/>
      <c r="K1340" s="71"/>
      <c r="L1340" s="69"/>
      <c r="M1340" s="69"/>
      <c r="N1340" s="72"/>
      <c r="O1340" s="69"/>
      <c r="P1340" s="69"/>
      <c r="Q1340" s="69"/>
      <c r="R1340" s="69"/>
      <c r="S1340" s="69"/>
      <c r="T1340" s="69"/>
      <c r="U1340" s="69"/>
      <c r="V1340" s="69"/>
      <c r="W1340" s="69"/>
      <c r="X1340" s="69"/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/>
      <c r="AJ1340" s="69"/>
      <c r="AK1340" s="69"/>
      <c r="AL1340" s="69"/>
      <c r="AM1340" s="69"/>
      <c r="AN1340" s="69"/>
      <c r="AO1340" s="69"/>
      <c r="AP1340" s="69"/>
      <c r="AQ1340" s="69"/>
      <c r="AR1340" s="69"/>
      <c r="AS1340" s="69"/>
      <c r="AT1340" s="69"/>
      <c r="AU1340" s="69"/>
      <c r="AV1340" s="69"/>
      <c r="AW1340" s="69"/>
      <c r="AX1340" s="69"/>
      <c r="AY1340" s="69"/>
      <c r="AZ1340" s="69"/>
      <c r="BA1340" s="69"/>
      <c r="BB1340" s="69"/>
      <c r="BC1340" s="69"/>
    </row>
    <row r="1341">
      <c r="A1341" s="68"/>
      <c r="B1341" s="68"/>
      <c r="C1341" s="68"/>
      <c r="D1341" s="68"/>
      <c r="E1341" s="68"/>
      <c r="F1341" s="68"/>
      <c r="G1341" s="68"/>
      <c r="H1341" s="68"/>
      <c r="I1341" s="69"/>
      <c r="J1341" s="69"/>
      <c r="K1341" s="71"/>
      <c r="L1341" s="69"/>
      <c r="M1341" s="69"/>
      <c r="N1341" s="72"/>
      <c r="O1341" s="69"/>
      <c r="P1341" s="69"/>
      <c r="Q1341" s="69"/>
      <c r="R1341" s="69"/>
      <c r="S1341" s="69"/>
      <c r="T1341" s="69"/>
      <c r="U1341" s="69"/>
      <c r="V1341" s="69"/>
      <c r="W1341" s="69"/>
      <c r="X1341" s="69"/>
      <c r="Y1341" s="69"/>
      <c r="Z1341" s="69"/>
      <c r="AA1341" s="69"/>
      <c r="AB1341" s="69"/>
      <c r="AC1341" s="69"/>
      <c r="AD1341" s="69"/>
      <c r="AE1341" s="69"/>
      <c r="AF1341" s="69"/>
      <c r="AG1341" s="69"/>
      <c r="AH1341" s="69"/>
      <c r="AI1341" s="69"/>
      <c r="AJ1341" s="69"/>
      <c r="AK1341" s="69"/>
      <c r="AL1341" s="69"/>
      <c r="AM1341" s="69"/>
      <c r="AN1341" s="69"/>
      <c r="AO1341" s="69"/>
      <c r="AP1341" s="69"/>
      <c r="AQ1341" s="69"/>
      <c r="AR1341" s="69"/>
      <c r="AS1341" s="69"/>
      <c r="AT1341" s="69"/>
      <c r="AU1341" s="69"/>
      <c r="AV1341" s="69"/>
      <c r="AW1341" s="69"/>
      <c r="AX1341" s="69"/>
      <c r="AY1341" s="69"/>
      <c r="AZ1341" s="69"/>
      <c r="BA1341" s="69"/>
      <c r="BB1341" s="69"/>
      <c r="BC1341" s="69"/>
    </row>
    <row r="1342">
      <c r="A1342" s="68"/>
      <c r="B1342" s="68"/>
      <c r="C1342" s="68"/>
      <c r="D1342" s="68"/>
      <c r="E1342" s="68"/>
      <c r="F1342" s="68"/>
      <c r="G1342" s="68"/>
      <c r="H1342" s="68"/>
      <c r="I1342" s="69"/>
      <c r="J1342" s="69"/>
      <c r="K1342" s="71"/>
      <c r="L1342" s="69"/>
      <c r="M1342" s="69"/>
      <c r="N1342" s="72"/>
      <c r="O1342" s="69"/>
      <c r="P1342" s="69"/>
      <c r="Q1342" s="69"/>
      <c r="R1342" s="69"/>
      <c r="S1342" s="69"/>
      <c r="T1342" s="69"/>
      <c r="U1342" s="69"/>
      <c r="V1342" s="69"/>
      <c r="W1342" s="69"/>
      <c r="X1342" s="69"/>
      <c r="Y1342" s="69"/>
      <c r="Z1342" s="69"/>
      <c r="AA1342" s="69"/>
      <c r="AB1342" s="69"/>
      <c r="AC1342" s="69"/>
      <c r="AD1342" s="69"/>
      <c r="AE1342" s="69"/>
      <c r="AF1342" s="69"/>
      <c r="AG1342" s="69"/>
      <c r="AH1342" s="69"/>
      <c r="AI1342" s="69"/>
      <c r="AJ1342" s="69"/>
      <c r="AK1342" s="69"/>
      <c r="AL1342" s="69"/>
      <c r="AM1342" s="69"/>
      <c r="AN1342" s="69"/>
      <c r="AO1342" s="69"/>
      <c r="AP1342" s="69"/>
      <c r="AQ1342" s="69"/>
      <c r="AR1342" s="69"/>
      <c r="AS1342" s="69"/>
      <c r="AT1342" s="69"/>
      <c r="AU1342" s="69"/>
      <c r="AV1342" s="69"/>
      <c r="AW1342" s="69"/>
      <c r="AX1342" s="69"/>
      <c r="AY1342" s="69"/>
      <c r="AZ1342" s="69"/>
      <c r="BA1342" s="69"/>
      <c r="BB1342" s="69"/>
      <c r="BC1342" s="69"/>
    </row>
    <row r="1343">
      <c r="A1343" s="68"/>
      <c r="B1343" s="68"/>
      <c r="C1343" s="68"/>
      <c r="D1343" s="68"/>
      <c r="E1343" s="68"/>
      <c r="F1343" s="68"/>
      <c r="G1343" s="68"/>
      <c r="H1343" s="68"/>
      <c r="I1343" s="69"/>
      <c r="J1343" s="69"/>
      <c r="K1343" s="71"/>
      <c r="L1343" s="69"/>
      <c r="M1343" s="69"/>
      <c r="N1343" s="72"/>
      <c r="O1343" s="69"/>
      <c r="P1343" s="69"/>
      <c r="Q1343" s="69"/>
      <c r="R1343" s="69"/>
      <c r="S1343" s="69"/>
      <c r="T1343" s="69"/>
      <c r="U1343" s="69"/>
      <c r="V1343" s="69"/>
      <c r="W1343" s="69"/>
      <c r="X1343" s="69"/>
      <c r="Y1343" s="69"/>
      <c r="Z1343" s="69"/>
      <c r="AA1343" s="69"/>
      <c r="AB1343" s="69"/>
      <c r="AC1343" s="69"/>
      <c r="AD1343" s="69"/>
      <c r="AE1343" s="69"/>
      <c r="AF1343" s="69"/>
      <c r="AG1343" s="69"/>
      <c r="AH1343" s="69"/>
      <c r="AI1343" s="69"/>
      <c r="AJ1343" s="69"/>
      <c r="AK1343" s="69"/>
      <c r="AL1343" s="69"/>
      <c r="AM1343" s="69"/>
      <c r="AN1343" s="69"/>
      <c r="AO1343" s="69"/>
      <c r="AP1343" s="69"/>
      <c r="AQ1343" s="69"/>
      <c r="AR1343" s="69"/>
      <c r="AS1343" s="69"/>
      <c r="AT1343" s="69"/>
      <c r="AU1343" s="69"/>
      <c r="AV1343" s="69"/>
      <c r="AW1343" s="69"/>
      <c r="AX1343" s="69"/>
      <c r="AY1343" s="69"/>
      <c r="AZ1343" s="69"/>
      <c r="BA1343" s="69"/>
      <c r="BB1343" s="69"/>
      <c r="BC1343" s="69"/>
    </row>
    <row r="1344">
      <c r="A1344" s="68"/>
      <c r="B1344" s="68"/>
      <c r="C1344" s="68"/>
      <c r="D1344" s="68"/>
      <c r="E1344" s="68"/>
      <c r="F1344" s="68"/>
      <c r="G1344" s="68"/>
      <c r="H1344" s="68"/>
      <c r="I1344" s="69"/>
      <c r="J1344" s="69"/>
      <c r="K1344" s="71"/>
      <c r="L1344" s="69"/>
      <c r="M1344" s="69"/>
      <c r="N1344" s="72"/>
      <c r="O1344" s="69"/>
      <c r="P1344" s="69"/>
      <c r="Q1344" s="69"/>
      <c r="R1344" s="69"/>
      <c r="S1344" s="69"/>
      <c r="T1344" s="69"/>
      <c r="U1344" s="69"/>
      <c r="V1344" s="69"/>
      <c r="W1344" s="69"/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/>
      <c r="AJ1344" s="69"/>
      <c r="AK1344" s="69"/>
      <c r="AL1344" s="69"/>
      <c r="AM1344" s="69"/>
      <c r="AN1344" s="69"/>
      <c r="AO1344" s="69"/>
      <c r="AP1344" s="69"/>
      <c r="AQ1344" s="69"/>
      <c r="AR1344" s="69"/>
      <c r="AS1344" s="69"/>
      <c r="AT1344" s="69"/>
      <c r="AU1344" s="69"/>
      <c r="AV1344" s="69"/>
      <c r="AW1344" s="69"/>
      <c r="AX1344" s="69"/>
      <c r="AY1344" s="69"/>
      <c r="AZ1344" s="69"/>
      <c r="BA1344" s="69"/>
      <c r="BB1344" s="69"/>
      <c r="BC1344" s="69"/>
    </row>
    <row r="1345">
      <c r="A1345" s="68"/>
      <c r="B1345" s="68"/>
      <c r="C1345" s="68"/>
      <c r="D1345" s="68"/>
      <c r="E1345" s="68"/>
      <c r="F1345" s="68"/>
      <c r="G1345" s="68"/>
      <c r="H1345" s="68"/>
      <c r="I1345" s="69"/>
      <c r="J1345" s="69"/>
      <c r="K1345" s="71"/>
      <c r="L1345" s="69"/>
      <c r="M1345" s="69"/>
      <c r="N1345" s="72"/>
      <c r="O1345" s="69"/>
      <c r="P1345" s="69"/>
      <c r="Q1345" s="69"/>
      <c r="R1345" s="69"/>
      <c r="S1345" s="69"/>
      <c r="T1345" s="69"/>
      <c r="U1345" s="69"/>
      <c r="V1345" s="69"/>
      <c r="W1345" s="69"/>
      <c r="X1345" s="69"/>
      <c r="Y1345" s="69"/>
      <c r="Z1345" s="69"/>
      <c r="AA1345" s="69"/>
      <c r="AB1345" s="69"/>
      <c r="AC1345" s="69"/>
      <c r="AD1345" s="69"/>
      <c r="AE1345" s="69"/>
      <c r="AF1345" s="69"/>
      <c r="AG1345" s="69"/>
      <c r="AH1345" s="69"/>
      <c r="AI1345" s="69"/>
      <c r="AJ1345" s="69"/>
      <c r="AK1345" s="69"/>
      <c r="AL1345" s="69"/>
      <c r="AM1345" s="69"/>
      <c r="AN1345" s="69"/>
      <c r="AO1345" s="69"/>
      <c r="AP1345" s="69"/>
      <c r="AQ1345" s="69"/>
      <c r="AR1345" s="69"/>
      <c r="AS1345" s="69"/>
      <c r="AT1345" s="69"/>
      <c r="AU1345" s="69"/>
      <c r="AV1345" s="69"/>
      <c r="AW1345" s="69"/>
      <c r="AX1345" s="69"/>
      <c r="AY1345" s="69"/>
      <c r="AZ1345" s="69"/>
      <c r="BA1345" s="69"/>
      <c r="BB1345" s="69"/>
      <c r="BC1345" s="69"/>
    </row>
    <row r="1346">
      <c r="A1346" s="68"/>
      <c r="B1346" s="68"/>
      <c r="C1346" s="68"/>
      <c r="D1346" s="68"/>
      <c r="E1346" s="68"/>
      <c r="F1346" s="68"/>
      <c r="G1346" s="68"/>
      <c r="H1346" s="68"/>
      <c r="I1346" s="69"/>
      <c r="J1346" s="69"/>
      <c r="K1346" s="71"/>
      <c r="L1346" s="69"/>
      <c r="M1346" s="69"/>
      <c r="N1346" s="72"/>
      <c r="O1346" s="69"/>
      <c r="P1346" s="69"/>
      <c r="Q1346" s="69"/>
      <c r="R1346" s="69"/>
      <c r="S1346" s="69"/>
      <c r="T1346" s="69"/>
      <c r="U1346" s="69"/>
      <c r="V1346" s="69"/>
      <c r="W1346" s="69"/>
      <c r="X1346" s="69"/>
      <c r="Y1346" s="69"/>
      <c r="Z1346" s="69"/>
      <c r="AA1346" s="69"/>
      <c r="AB1346" s="69"/>
      <c r="AC1346" s="69"/>
      <c r="AD1346" s="69"/>
      <c r="AE1346" s="69"/>
      <c r="AF1346" s="69"/>
      <c r="AG1346" s="69"/>
      <c r="AH1346" s="69"/>
      <c r="AI1346" s="69"/>
      <c r="AJ1346" s="69"/>
      <c r="AK1346" s="69"/>
      <c r="AL1346" s="69"/>
      <c r="AM1346" s="69"/>
      <c r="AN1346" s="69"/>
      <c r="AO1346" s="69"/>
      <c r="AP1346" s="69"/>
      <c r="AQ1346" s="69"/>
      <c r="AR1346" s="69"/>
      <c r="AS1346" s="69"/>
      <c r="AT1346" s="69"/>
      <c r="AU1346" s="69"/>
      <c r="AV1346" s="69"/>
      <c r="AW1346" s="69"/>
      <c r="AX1346" s="69"/>
      <c r="AY1346" s="69"/>
      <c r="AZ1346" s="69"/>
      <c r="BA1346" s="69"/>
      <c r="BB1346" s="69"/>
      <c r="BC1346" s="69"/>
    </row>
    <row r="1347">
      <c r="A1347" s="68"/>
      <c r="B1347" s="68"/>
      <c r="C1347" s="68"/>
      <c r="D1347" s="68"/>
      <c r="E1347" s="68"/>
      <c r="F1347" s="68"/>
      <c r="G1347" s="68"/>
      <c r="H1347" s="68"/>
      <c r="I1347" s="69"/>
      <c r="J1347" s="69"/>
      <c r="K1347" s="71"/>
      <c r="L1347" s="69"/>
      <c r="M1347" s="69"/>
      <c r="N1347" s="72"/>
      <c r="O1347" s="69"/>
      <c r="P1347" s="69"/>
      <c r="Q1347" s="69"/>
      <c r="R1347" s="69"/>
      <c r="S1347" s="69"/>
      <c r="T1347" s="69"/>
      <c r="U1347" s="69"/>
      <c r="V1347" s="69"/>
      <c r="W1347" s="69"/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69"/>
      <c r="AH1347" s="69"/>
      <c r="AI1347" s="69"/>
      <c r="AJ1347" s="69"/>
      <c r="AK1347" s="69"/>
      <c r="AL1347" s="69"/>
      <c r="AM1347" s="69"/>
      <c r="AN1347" s="69"/>
      <c r="AO1347" s="69"/>
      <c r="AP1347" s="69"/>
      <c r="AQ1347" s="69"/>
      <c r="AR1347" s="69"/>
      <c r="AS1347" s="69"/>
      <c r="AT1347" s="69"/>
      <c r="AU1347" s="69"/>
      <c r="AV1347" s="69"/>
      <c r="AW1347" s="69"/>
      <c r="AX1347" s="69"/>
      <c r="AY1347" s="69"/>
      <c r="AZ1347" s="69"/>
      <c r="BA1347" s="69"/>
      <c r="BB1347" s="69"/>
      <c r="BC1347" s="69"/>
    </row>
    <row r="1348">
      <c r="A1348" s="68"/>
      <c r="B1348" s="68"/>
      <c r="C1348" s="68"/>
      <c r="D1348" s="68"/>
      <c r="E1348" s="68"/>
      <c r="F1348" s="68"/>
      <c r="G1348" s="68"/>
      <c r="H1348" s="68"/>
      <c r="I1348" s="69"/>
      <c r="J1348" s="69"/>
      <c r="K1348" s="71"/>
      <c r="L1348" s="69"/>
      <c r="M1348" s="69"/>
      <c r="N1348" s="72"/>
      <c r="O1348" s="69"/>
      <c r="P1348" s="69"/>
      <c r="Q1348" s="69"/>
      <c r="R1348" s="69"/>
      <c r="S1348" s="69"/>
      <c r="T1348" s="69"/>
      <c r="U1348" s="69"/>
      <c r="V1348" s="69"/>
      <c r="W1348" s="69"/>
      <c r="X1348" s="69"/>
      <c r="Y1348" s="69"/>
      <c r="Z1348" s="69"/>
      <c r="AA1348" s="69"/>
      <c r="AB1348" s="69"/>
      <c r="AC1348" s="69"/>
      <c r="AD1348" s="69"/>
      <c r="AE1348" s="69"/>
      <c r="AF1348" s="69"/>
      <c r="AG1348" s="69"/>
      <c r="AH1348" s="69"/>
      <c r="AI1348" s="69"/>
      <c r="AJ1348" s="69"/>
      <c r="AK1348" s="69"/>
      <c r="AL1348" s="69"/>
      <c r="AM1348" s="69"/>
      <c r="AN1348" s="69"/>
      <c r="AO1348" s="69"/>
      <c r="AP1348" s="69"/>
      <c r="AQ1348" s="69"/>
      <c r="AR1348" s="69"/>
      <c r="AS1348" s="69"/>
      <c r="AT1348" s="69"/>
      <c r="AU1348" s="69"/>
      <c r="AV1348" s="69"/>
      <c r="AW1348" s="69"/>
      <c r="AX1348" s="69"/>
      <c r="AY1348" s="69"/>
      <c r="AZ1348" s="69"/>
      <c r="BA1348" s="69"/>
      <c r="BB1348" s="69"/>
      <c r="BC1348" s="69"/>
    </row>
    <row r="1349">
      <c r="A1349" s="68"/>
      <c r="B1349" s="68"/>
      <c r="C1349" s="68"/>
      <c r="D1349" s="68"/>
      <c r="E1349" s="68"/>
      <c r="F1349" s="68"/>
      <c r="G1349" s="68"/>
      <c r="H1349" s="68"/>
      <c r="I1349" s="69"/>
      <c r="J1349" s="69"/>
      <c r="K1349" s="71"/>
      <c r="L1349" s="69"/>
      <c r="M1349" s="69"/>
      <c r="N1349" s="72"/>
      <c r="O1349" s="69"/>
      <c r="P1349" s="69"/>
      <c r="Q1349" s="69"/>
      <c r="R1349" s="69"/>
      <c r="S1349" s="69"/>
      <c r="T1349" s="69"/>
      <c r="U1349" s="69"/>
      <c r="V1349" s="69"/>
      <c r="W1349" s="69"/>
      <c r="X1349" s="69"/>
      <c r="Y1349" s="69"/>
      <c r="Z1349" s="69"/>
      <c r="AA1349" s="69"/>
      <c r="AB1349" s="69"/>
      <c r="AC1349" s="69"/>
      <c r="AD1349" s="69"/>
      <c r="AE1349" s="69"/>
      <c r="AF1349" s="69"/>
      <c r="AG1349" s="69"/>
      <c r="AH1349" s="69"/>
      <c r="AI1349" s="69"/>
      <c r="AJ1349" s="69"/>
      <c r="AK1349" s="69"/>
      <c r="AL1349" s="69"/>
      <c r="AM1349" s="69"/>
      <c r="AN1349" s="69"/>
      <c r="AO1349" s="69"/>
      <c r="AP1349" s="69"/>
      <c r="AQ1349" s="69"/>
      <c r="AR1349" s="69"/>
      <c r="AS1349" s="69"/>
      <c r="AT1349" s="69"/>
      <c r="AU1349" s="69"/>
      <c r="AV1349" s="69"/>
      <c r="AW1349" s="69"/>
      <c r="AX1349" s="69"/>
      <c r="AY1349" s="69"/>
      <c r="AZ1349" s="69"/>
      <c r="BA1349" s="69"/>
      <c r="BB1349" s="69"/>
      <c r="BC1349" s="69"/>
    </row>
    <row r="1350">
      <c r="A1350" s="68"/>
      <c r="B1350" s="68"/>
      <c r="C1350" s="68"/>
      <c r="D1350" s="68"/>
      <c r="E1350" s="68"/>
      <c r="F1350" s="68"/>
      <c r="G1350" s="68"/>
      <c r="H1350" s="68"/>
      <c r="I1350" s="69"/>
      <c r="J1350" s="69"/>
      <c r="K1350" s="71"/>
      <c r="L1350" s="69"/>
      <c r="M1350" s="69"/>
      <c r="N1350" s="72"/>
      <c r="O1350" s="69"/>
      <c r="P1350" s="69"/>
      <c r="Q1350" s="69"/>
      <c r="R1350" s="69"/>
      <c r="S1350" s="69"/>
      <c r="T1350" s="69"/>
      <c r="U1350" s="69"/>
      <c r="V1350" s="69"/>
      <c r="W1350" s="69"/>
      <c r="X1350" s="69"/>
      <c r="Y1350" s="69"/>
      <c r="Z1350" s="69"/>
      <c r="AA1350" s="69"/>
      <c r="AB1350" s="69"/>
      <c r="AC1350" s="69"/>
      <c r="AD1350" s="69"/>
      <c r="AE1350" s="69"/>
      <c r="AF1350" s="69"/>
      <c r="AG1350" s="69"/>
      <c r="AH1350" s="69"/>
      <c r="AI1350" s="69"/>
      <c r="AJ1350" s="69"/>
      <c r="AK1350" s="69"/>
      <c r="AL1350" s="69"/>
      <c r="AM1350" s="69"/>
      <c r="AN1350" s="69"/>
      <c r="AO1350" s="69"/>
      <c r="AP1350" s="69"/>
      <c r="AQ1350" s="69"/>
      <c r="AR1350" s="69"/>
      <c r="AS1350" s="69"/>
      <c r="AT1350" s="69"/>
      <c r="AU1350" s="69"/>
      <c r="AV1350" s="69"/>
      <c r="AW1350" s="69"/>
      <c r="AX1350" s="69"/>
      <c r="AY1350" s="69"/>
      <c r="AZ1350" s="69"/>
      <c r="BA1350" s="69"/>
      <c r="BB1350" s="69"/>
      <c r="BC1350" s="69"/>
    </row>
    <row r="1351">
      <c r="A1351" s="68"/>
      <c r="B1351" s="68"/>
      <c r="C1351" s="68"/>
      <c r="D1351" s="68"/>
      <c r="E1351" s="68"/>
      <c r="F1351" s="68"/>
      <c r="G1351" s="68"/>
      <c r="H1351" s="68"/>
      <c r="I1351" s="69"/>
      <c r="J1351" s="69"/>
      <c r="K1351" s="71"/>
      <c r="L1351" s="69"/>
      <c r="M1351" s="69"/>
      <c r="N1351" s="72"/>
      <c r="O1351" s="69"/>
      <c r="P1351" s="69"/>
      <c r="Q1351" s="69"/>
      <c r="R1351" s="69"/>
      <c r="S1351" s="69"/>
      <c r="T1351" s="69"/>
      <c r="U1351" s="69"/>
      <c r="V1351" s="69"/>
      <c r="W1351" s="69"/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/>
      <c r="AJ1351" s="69"/>
      <c r="AK1351" s="69"/>
      <c r="AL1351" s="69"/>
      <c r="AM1351" s="69"/>
      <c r="AN1351" s="69"/>
      <c r="AO1351" s="69"/>
      <c r="AP1351" s="69"/>
      <c r="AQ1351" s="69"/>
      <c r="AR1351" s="69"/>
      <c r="AS1351" s="69"/>
      <c r="AT1351" s="69"/>
      <c r="AU1351" s="69"/>
      <c r="AV1351" s="69"/>
      <c r="AW1351" s="69"/>
      <c r="AX1351" s="69"/>
      <c r="AY1351" s="69"/>
      <c r="AZ1351" s="69"/>
      <c r="BA1351" s="69"/>
      <c r="BB1351" s="69"/>
      <c r="BC1351" s="69"/>
    </row>
    <row r="1352">
      <c r="A1352" s="68"/>
      <c r="B1352" s="68"/>
      <c r="C1352" s="68"/>
      <c r="D1352" s="68"/>
      <c r="E1352" s="68"/>
      <c r="F1352" s="68"/>
      <c r="G1352" s="68"/>
      <c r="H1352" s="68"/>
      <c r="I1352" s="69"/>
      <c r="J1352" s="69"/>
      <c r="K1352" s="71"/>
      <c r="L1352" s="69"/>
      <c r="M1352" s="69"/>
      <c r="N1352" s="72"/>
      <c r="O1352" s="69"/>
      <c r="P1352" s="69"/>
      <c r="Q1352" s="69"/>
      <c r="R1352" s="69"/>
      <c r="S1352" s="69"/>
      <c r="T1352" s="69"/>
      <c r="U1352" s="69"/>
      <c r="V1352" s="69"/>
      <c r="W1352" s="69"/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/>
      <c r="AJ1352" s="69"/>
      <c r="AK1352" s="69"/>
      <c r="AL1352" s="69"/>
      <c r="AM1352" s="69"/>
      <c r="AN1352" s="69"/>
      <c r="AO1352" s="69"/>
      <c r="AP1352" s="69"/>
      <c r="AQ1352" s="69"/>
      <c r="AR1352" s="69"/>
      <c r="AS1352" s="69"/>
      <c r="AT1352" s="69"/>
      <c r="AU1352" s="69"/>
      <c r="AV1352" s="69"/>
      <c r="AW1352" s="69"/>
      <c r="AX1352" s="69"/>
      <c r="AY1352" s="69"/>
      <c r="AZ1352" s="69"/>
      <c r="BA1352" s="69"/>
      <c r="BB1352" s="69"/>
      <c r="BC1352" s="69"/>
    </row>
    <row r="1353">
      <c r="A1353" s="68"/>
      <c r="B1353" s="68"/>
      <c r="C1353" s="68"/>
      <c r="D1353" s="68"/>
      <c r="E1353" s="68"/>
      <c r="F1353" s="68"/>
      <c r="G1353" s="68"/>
      <c r="H1353" s="68"/>
      <c r="I1353" s="69"/>
      <c r="J1353" s="69"/>
      <c r="K1353" s="71"/>
      <c r="L1353" s="69"/>
      <c r="M1353" s="69"/>
      <c r="N1353" s="72"/>
      <c r="O1353" s="69"/>
      <c r="P1353" s="69"/>
      <c r="Q1353" s="69"/>
      <c r="R1353" s="69"/>
      <c r="S1353" s="69"/>
      <c r="T1353" s="69"/>
      <c r="U1353" s="69"/>
      <c r="V1353" s="69"/>
      <c r="W1353" s="69"/>
      <c r="X1353" s="69"/>
      <c r="Y1353" s="69"/>
      <c r="Z1353" s="69"/>
      <c r="AA1353" s="69"/>
      <c r="AB1353" s="69"/>
      <c r="AC1353" s="69"/>
      <c r="AD1353" s="69"/>
      <c r="AE1353" s="69"/>
      <c r="AF1353" s="69"/>
      <c r="AG1353" s="69"/>
      <c r="AH1353" s="69"/>
      <c r="AI1353" s="69"/>
      <c r="AJ1353" s="69"/>
      <c r="AK1353" s="69"/>
      <c r="AL1353" s="69"/>
      <c r="AM1353" s="69"/>
      <c r="AN1353" s="69"/>
      <c r="AO1353" s="69"/>
      <c r="AP1353" s="69"/>
      <c r="AQ1353" s="69"/>
      <c r="AR1353" s="69"/>
      <c r="AS1353" s="69"/>
      <c r="AT1353" s="69"/>
      <c r="AU1353" s="69"/>
      <c r="AV1353" s="69"/>
      <c r="AW1353" s="69"/>
      <c r="AX1353" s="69"/>
      <c r="AY1353" s="69"/>
      <c r="AZ1353" s="69"/>
      <c r="BA1353" s="69"/>
      <c r="BB1353" s="69"/>
      <c r="BC1353" s="69"/>
    </row>
    <row r="1354">
      <c r="A1354" s="68"/>
      <c r="B1354" s="68"/>
      <c r="C1354" s="68"/>
      <c r="D1354" s="68"/>
      <c r="E1354" s="68"/>
      <c r="F1354" s="68"/>
      <c r="G1354" s="68"/>
      <c r="H1354" s="68"/>
      <c r="I1354" s="69"/>
      <c r="J1354" s="69"/>
      <c r="K1354" s="71"/>
      <c r="L1354" s="69"/>
      <c r="M1354" s="69"/>
      <c r="N1354" s="72"/>
      <c r="O1354" s="69"/>
      <c r="P1354" s="69"/>
      <c r="Q1354" s="69"/>
      <c r="R1354" s="69"/>
      <c r="S1354" s="69"/>
      <c r="T1354" s="69"/>
      <c r="U1354" s="69"/>
      <c r="V1354" s="69"/>
      <c r="W1354" s="69"/>
      <c r="X1354" s="69"/>
      <c r="Y1354" s="69"/>
      <c r="Z1354" s="69"/>
      <c r="AA1354" s="69"/>
      <c r="AB1354" s="69"/>
      <c r="AC1354" s="69"/>
      <c r="AD1354" s="69"/>
      <c r="AE1354" s="69"/>
      <c r="AF1354" s="69"/>
      <c r="AG1354" s="69"/>
      <c r="AH1354" s="69"/>
      <c r="AI1354" s="69"/>
      <c r="AJ1354" s="69"/>
      <c r="AK1354" s="69"/>
      <c r="AL1354" s="69"/>
      <c r="AM1354" s="69"/>
      <c r="AN1354" s="69"/>
      <c r="AO1354" s="69"/>
      <c r="AP1354" s="69"/>
      <c r="AQ1354" s="69"/>
      <c r="AR1354" s="69"/>
      <c r="AS1354" s="69"/>
      <c r="AT1354" s="69"/>
      <c r="AU1354" s="69"/>
      <c r="AV1354" s="69"/>
      <c r="AW1354" s="69"/>
      <c r="AX1354" s="69"/>
      <c r="AY1354" s="69"/>
      <c r="AZ1354" s="69"/>
      <c r="BA1354" s="69"/>
      <c r="BB1354" s="69"/>
      <c r="BC1354" s="69"/>
    </row>
    <row r="1355">
      <c r="A1355" s="68"/>
      <c r="B1355" s="68"/>
      <c r="C1355" s="68"/>
      <c r="D1355" s="68"/>
      <c r="E1355" s="68"/>
      <c r="F1355" s="68"/>
      <c r="G1355" s="68"/>
      <c r="H1355" s="68"/>
      <c r="I1355" s="69"/>
      <c r="J1355" s="69"/>
      <c r="K1355" s="71"/>
      <c r="L1355" s="69"/>
      <c r="M1355" s="69"/>
      <c r="N1355" s="72"/>
      <c r="O1355" s="69"/>
      <c r="P1355" s="69"/>
      <c r="Q1355" s="69"/>
      <c r="R1355" s="69"/>
      <c r="S1355" s="69"/>
      <c r="T1355" s="69"/>
      <c r="U1355" s="69"/>
      <c r="V1355" s="69"/>
      <c r="W1355" s="69"/>
      <c r="X1355" s="69"/>
      <c r="Y1355" s="69"/>
      <c r="Z1355" s="69"/>
      <c r="AA1355" s="69"/>
      <c r="AB1355" s="69"/>
      <c r="AC1355" s="69"/>
      <c r="AD1355" s="69"/>
      <c r="AE1355" s="69"/>
      <c r="AF1355" s="69"/>
      <c r="AG1355" s="69"/>
      <c r="AH1355" s="69"/>
      <c r="AI1355" s="69"/>
      <c r="AJ1355" s="69"/>
      <c r="AK1355" s="69"/>
      <c r="AL1355" s="69"/>
      <c r="AM1355" s="69"/>
      <c r="AN1355" s="69"/>
      <c r="AO1355" s="69"/>
      <c r="AP1355" s="69"/>
      <c r="AQ1355" s="69"/>
      <c r="AR1355" s="69"/>
      <c r="AS1355" s="69"/>
      <c r="AT1355" s="69"/>
      <c r="AU1355" s="69"/>
      <c r="AV1355" s="69"/>
      <c r="AW1355" s="69"/>
      <c r="AX1355" s="69"/>
      <c r="AY1355" s="69"/>
      <c r="AZ1355" s="69"/>
      <c r="BA1355" s="69"/>
      <c r="BB1355" s="69"/>
      <c r="BC1355" s="69"/>
    </row>
    <row r="1356">
      <c r="A1356" s="68"/>
      <c r="B1356" s="68"/>
      <c r="C1356" s="68"/>
      <c r="D1356" s="68"/>
      <c r="E1356" s="68"/>
      <c r="F1356" s="68"/>
      <c r="G1356" s="68"/>
      <c r="H1356" s="68"/>
      <c r="I1356" s="69"/>
      <c r="J1356" s="69"/>
      <c r="K1356" s="71"/>
      <c r="L1356" s="69"/>
      <c r="M1356" s="69"/>
      <c r="N1356" s="72"/>
      <c r="O1356" s="69"/>
      <c r="P1356" s="69"/>
      <c r="Q1356" s="69"/>
      <c r="R1356" s="69"/>
      <c r="S1356" s="69"/>
      <c r="T1356" s="69"/>
      <c r="U1356" s="69"/>
      <c r="V1356" s="69"/>
      <c r="W1356" s="69"/>
      <c r="X1356" s="69"/>
      <c r="Y1356" s="69"/>
      <c r="Z1356" s="69"/>
      <c r="AA1356" s="69"/>
      <c r="AB1356" s="69"/>
      <c r="AC1356" s="69"/>
      <c r="AD1356" s="69"/>
      <c r="AE1356" s="69"/>
      <c r="AF1356" s="69"/>
      <c r="AG1356" s="69"/>
      <c r="AH1356" s="69"/>
      <c r="AI1356" s="69"/>
      <c r="AJ1356" s="69"/>
      <c r="AK1356" s="69"/>
      <c r="AL1356" s="69"/>
      <c r="AM1356" s="69"/>
      <c r="AN1356" s="69"/>
      <c r="AO1356" s="69"/>
      <c r="AP1356" s="69"/>
      <c r="AQ1356" s="69"/>
      <c r="AR1356" s="69"/>
      <c r="AS1356" s="69"/>
      <c r="AT1356" s="69"/>
      <c r="AU1356" s="69"/>
      <c r="AV1356" s="69"/>
      <c r="AW1356" s="69"/>
      <c r="AX1356" s="69"/>
      <c r="AY1356" s="69"/>
      <c r="AZ1356" s="69"/>
      <c r="BA1356" s="69"/>
      <c r="BB1356" s="69"/>
      <c r="BC1356" s="69"/>
    </row>
    <row r="1357">
      <c r="A1357" s="68"/>
      <c r="B1357" s="68"/>
      <c r="C1357" s="68"/>
      <c r="D1357" s="68"/>
      <c r="E1357" s="68"/>
      <c r="F1357" s="68"/>
      <c r="G1357" s="68"/>
      <c r="H1357" s="68"/>
      <c r="I1357" s="69"/>
      <c r="J1357" s="69"/>
      <c r="K1357" s="71"/>
      <c r="L1357" s="69"/>
      <c r="M1357" s="69"/>
      <c r="N1357" s="72"/>
      <c r="O1357" s="69"/>
      <c r="P1357" s="69"/>
      <c r="Q1357" s="69"/>
      <c r="R1357" s="69"/>
      <c r="S1357" s="69"/>
      <c r="T1357" s="69"/>
      <c r="U1357" s="69"/>
      <c r="V1357" s="69"/>
      <c r="W1357" s="69"/>
      <c r="X1357" s="69"/>
      <c r="Y1357" s="69"/>
      <c r="Z1357" s="69"/>
      <c r="AA1357" s="69"/>
      <c r="AB1357" s="69"/>
      <c r="AC1357" s="69"/>
      <c r="AD1357" s="69"/>
      <c r="AE1357" s="69"/>
      <c r="AF1357" s="69"/>
      <c r="AG1357" s="69"/>
      <c r="AH1357" s="69"/>
      <c r="AI1357" s="69"/>
      <c r="AJ1357" s="69"/>
      <c r="AK1357" s="69"/>
      <c r="AL1357" s="69"/>
      <c r="AM1357" s="69"/>
      <c r="AN1357" s="69"/>
      <c r="AO1357" s="69"/>
      <c r="AP1357" s="69"/>
      <c r="AQ1357" s="69"/>
      <c r="AR1357" s="69"/>
      <c r="AS1357" s="69"/>
      <c r="AT1357" s="69"/>
      <c r="AU1357" s="69"/>
      <c r="AV1357" s="69"/>
      <c r="AW1357" s="69"/>
      <c r="AX1357" s="69"/>
      <c r="AY1357" s="69"/>
      <c r="AZ1357" s="69"/>
      <c r="BA1357" s="69"/>
      <c r="BB1357" s="69"/>
      <c r="BC1357" s="69"/>
    </row>
    <row r="1358">
      <c r="A1358" s="68"/>
      <c r="B1358" s="68"/>
      <c r="C1358" s="68"/>
      <c r="D1358" s="68"/>
      <c r="E1358" s="68"/>
      <c r="F1358" s="68"/>
      <c r="G1358" s="68"/>
      <c r="H1358" s="68"/>
      <c r="I1358" s="69"/>
      <c r="J1358" s="69"/>
      <c r="K1358" s="71"/>
      <c r="L1358" s="69"/>
      <c r="M1358" s="69"/>
      <c r="N1358" s="72"/>
      <c r="O1358" s="69"/>
      <c r="P1358" s="69"/>
      <c r="Q1358" s="69"/>
      <c r="R1358" s="69"/>
      <c r="S1358" s="69"/>
      <c r="T1358" s="69"/>
      <c r="U1358" s="69"/>
      <c r="V1358" s="69"/>
      <c r="W1358" s="69"/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69"/>
      <c r="AH1358" s="69"/>
      <c r="AI1358" s="69"/>
      <c r="AJ1358" s="69"/>
      <c r="AK1358" s="69"/>
      <c r="AL1358" s="69"/>
      <c r="AM1358" s="69"/>
      <c r="AN1358" s="69"/>
      <c r="AO1358" s="69"/>
      <c r="AP1358" s="69"/>
      <c r="AQ1358" s="69"/>
      <c r="AR1358" s="69"/>
      <c r="AS1358" s="69"/>
      <c r="AT1358" s="69"/>
      <c r="AU1358" s="69"/>
      <c r="AV1358" s="69"/>
      <c r="AW1358" s="69"/>
      <c r="AX1358" s="69"/>
      <c r="AY1358" s="69"/>
      <c r="AZ1358" s="69"/>
      <c r="BA1358" s="69"/>
      <c r="BB1358" s="69"/>
      <c r="BC1358" s="69"/>
    </row>
    <row r="1359">
      <c r="A1359" s="68"/>
      <c r="B1359" s="68"/>
      <c r="C1359" s="68"/>
      <c r="D1359" s="68"/>
      <c r="E1359" s="68"/>
      <c r="F1359" s="68"/>
      <c r="G1359" s="68"/>
      <c r="H1359" s="68"/>
      <c r="I1359" s="69"/>
      <c r="J1359" s="69"/>
      <c r="K1359" s="71"/>
      <c r="L1359" s="69"/>
      <c r="M1359" s="69"/>
      <c r="N1359" s="72"/>
      <c r="O1359" s="69"/>
      <c r="P1359" s="69"/>
      <c r="Q1359" s="69"/>
      <c r="R1359" s="69"/>
      <c r="S1359" s="69"/>
      <c r="T1359" s="69"/>
      <c r="U1359" s="69"/>
      <c r="V1359" s="69"/>
      <c r="W1359" s="69"/>
      <c r="X1359" s="69"/>
      <c r="Y1359" s="69"/>
      <c r="Z1359" s="69"/>
      <c r="AA1359" s="69"/>
      <c r="AB1359" s="69"/>
      <c r="AC1359" s="69"/>
      <c r="AD1359" s="69"/>
      <c r="AE1359" s="69"/>
      <c r="AF1359" s="69"/>
      <c r="AG1359" s="69"/>
      <c r="AH1359" s="69"/>
      <c r="AI1359" s="69"/>
      <c r="AJ1359" s="69"/>
      <c r="AK1359" s="69"/>
      <c r="AL1359" s="69"/>
      <c r="AM1359" s="69"/>
      <c r="AN1359" s="69"/>
      <c r="AO1359" s="69"/>
      <c r="AP1359" s="69"/>
      <c r="AQ1359" s="69"/>
      <c r="AR1359" s="69"/>
      <c r="AS1359" s="69"/>
      <c r="AT1359" s="69"/>
      <c r="AU1359" s="69"/>
      <c r="AV1359" s="69"/>
      <c r="AW1359" s="69"/>
      <c r="AX1359" s="69"/>
      <c r="AY1359" s="69"/>
      <c r="AZ1359" s="69"/>
      <c r="BA1359" s="69"/>
      <c r="BB1359" s="69"/>
      <c r="BC1359" s="69"/>
    </row>
    <row r="1360">
      <c r="A1360" s="68"/>
      <c r="B1360" s="68"/>
      <c r="C1360" s="68"/>
      <c r="D1360" s="68"/>
      <c r="E1360" s="68"/>
      <c r="F1360" s="68"/>
      <c r="G1360" s="68"/>
      <c r="H1360" s="68"/>
      <c r="I1360" s="69"/>
      <c r="J1360" s="69"/>
      <c r="K1360" s="71"/>
      <c r="L1360" s="69"/>
      <c r="M1360" s="69"/>
      <c r="N1360" s="72"/>
      <c r="O1360" s="69"/>
      <c r="P1360" s="69"/>
      <c r="Q1360" s="69"/>
      <c r="R1360" s="69"/>
      <c r="S1360" s="69"/>
      <c r="T1360" s="69"/>
      <c r="U1360" s="69"/>
      <c r="V1360" s="69"/>
      <c r="W1360" s="69"/>
      <c r="X1360" s="69"/>
      <c r="Y1360" s="69"/>
      <c r="Z1360" s="69"/>
      <c r="AA1360" s="69"/>
      <c r="AB1360" s="69"/>
      <c r="AC1360" s="69"/>
      <c r="AD1360" s="69"/>
      <c r="AE1360" s="69"/>
      <c r="AF1360" s="69"/>
      <c r="AG1360" s="69"/>
      <c r="AH1360" s="69"/>
      <c r="AI1360" s="69"/>
      <c r="AJ1360" s="69"/>
      <c r="AK1360" s="69"/>
      <c r="AL1360" s="69"/>
      <c r="AM1360" s="69"/>
      <c r="AN1360" s="69"/>
      <c r="AO1360" s="69"/>
      <c r="AP1360" s="69"/>
      <c r="AQ1360" s="69"/>
      <c r="AR1360" s="69"/>
      <c r="AS1360" s="69"/>
      <c r="AT1360" s="69"/>
      <c r="AU1360" s="69"/>
      <c r="AV1360" s="69"/>
      <c r="AW1360" s="69"/>
      <c r="AX1360" s="69"/>
      <c r="AY1360" s="69"/>
      <c r="AZ1360" s="69"/>
      <c r="BA1360" s="69"/>
      <c r="BB1360" s="69"/>
      <c r="BC1360" s="69"/>
    </row>
    <row r="1361">
      <c r="A1361" s="68"/>
      <c r="B1361" s="68"/>
      <c r="C1361" s="68"/>
      <c r="D1361" s="68"/>
      <c r="E1361" s="68"/>
      <c r="F1361" s="68"/>
      <c r="G1361" s="68"/>
      <c r="H1361" s="68"/>
      <c r="I1361" s="69"/>
      <c r="J1361" s="69"/>
      <c r="K1361" s="71"/>
      <c r="L1361" s="69"/>
      <c r="M1361" s="69"/>
      <c r="N1361" s="72"/>
      <c r="O1361" s="69"/>
      <c r="P1361" s="69"/>
      <c r="Q1361" s="69"/>
      <c r="R1361" s="69"/>
      <c r="S1361" s="69"/>
      <c r="T1361" s="69"/>
      <c r="U1361" s="69"/>
      <c r="V1361" s="69"/>
      <c r="W1361" s="69"/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/>
      <c r="AJ1361" s="69"/>
      <c r="AK1361" s="69"/>
      <c r="AL1361" s="69"/>
      <c r="AM1361" s="69"/>
      <c r="AN1361" s="69"/>
      <c r="AO1361" s="69"/>
      <c r="AP1361" s="69"/>
      <c r="AQ1361" s="69"/>
      <c r="AR1361" s="69"/>
      <c r="AS1361" s="69"/>
      <c r="AT1361" s="69"/>
      <c r="AU1361" s="69"/>
      <c r="AV1361" s="69"/>
      <c r="AW1361" s="69"/>
      <c r="AX1361" s="69"/>
      <c r="AY1361" s="69"/>
      <c r="AZ1361" s="69"/>
      <c r="BA1361" s="69"/>
      <c r="BB1361" s="69"/>
      <c r="BC1361" s="69"/>
    </row>
    <row r="1362">
      <c r="A1362" s="68"/>
      <c r="B1362" s="68"/>
      <c r="C1362" s="68"/>
      <c r="D1362" s="68"/>
      <c r="E1362" s="68"/>
      <c r="F1362" s="68"/>
      <c r="G1362" s="68"/>
      <c r="H1362" s="68"/>
      <c r="I1362" s="69"/>
      <c r="J1362" s="69"/>
      <c r="K1362" s="71"/>
      <c r="L1362" s="69"/>
      <c r="M1362" s="69"/>
      <c r="N1362" s="72"/>
      <c r="O1362" s="69"/>
      <c r="P1362" s="69"/>
      <c r="Q1362" s="69"/>
      <c r="R1362" s="69"/>
      <c r="S1362" s="69"/>
      <c r="T1362" s="69"/>
      <c r="U1362" s="69"/>
      <c r="V1362" s="69"/>
      <c r="W1362" s="69"/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/>
      <c r="AJ1362" s="69"/>
      <c r="AK1362" s="69"/>
      <c r="AL1362" s="69"/>
      <c r="AM1362" s="69"/>
      <c r="AN1362" s="69"/>
      <c r="AO1362" s="69"/>
      <c r="AP1362" s="69"/>
      <c r="AQ1362" s="69"/>
      <c r="AR1362" s="69"/>
      <c r="AS1362" s="69"/>
      <c r="AT1362" s="69"/>
      <c r="AU1362" s="69"/>
      <c r="AV1362" s="69"/>
      <c r="AW1362" s="69"/>
      <c r="AX1362" s="69"/>
      <c r="AY1362" s="69"/>
      <c r="AZ1362" s="69"/>
      <c r="BA1362" s="69"/>
      <c r="BB1362" s="69"/>
      <c r="BC1362" s="69"/>
    </row>
    <row r="1363">
      <c r="A1363" s="68"/>
      <c r="B1363" s="68"/>
      <c r="C1363" s="68"/>
      <c r="D1363" s="68"/>
      <c r="E1363" s="68"/>
      <c r="F1363" s="68"/>
      <c r="G1363" s="68"/>
      <c r="H1363" s="68"/>
      <c r="I1363" s="69"/>
      <c r="J1363" s="69"/>
      <c r="K1363" s="71"/>
      <c r="L1363" s="69"/>
      <c r="M1363" s="69"/>
      <c r="N1363" s="72"/>
      <c r="O1363" s="69"/>
      <c r="P1363" s="69"/>
      <c r="Q1363" s="69"/>
      <c r="R1363" s="69"/>
      <c r="S1363" s="69"/>
      <c r="T1363" s="69"/>
      <c r="U1363" s="69"/>
      <c r="V1363" s="69"/>
      <c r="W1363" s="69"/>
      <c r="X1363" s="69"/>
      <c r="Y1363" s="69"/>
      <c r="Z1363" s="69"/>
      <c r="AA1363" s="69"/>
      <c r="AB1363" s="69"/>
      <c r="AC1363" s="69"/>
      <c r="AD1363" s="69"/>
      <c r="AE1363" s="69"/>
      <c r="AF1363" s="69"/>
      <c r="AG1363" s="69"/>
      <c r="AH1363" s="69"/>
      <c r="AI1363" s="69"/>
      <c r="AJ1363" s="69"/>
      <c r="AK1363" s="69"/>
      <c r="AL1363" s="69"/>
      <c r="AM1363" s="69"/>
      <c r="AN1363" s="69"/>
      <c r="AO1363" s="69"/>
      <c r="AP1363" s="69"/>
      <c r="AQ1363" s="69"/>
      <c r="AR1363" s="69"/>
      <c r="AS1363" s="69"/>
      <c r="AT1363" s="69"/>
      <c r="AU1363" s="69"/>
      <c r="AV1363" s="69"/>
      <c r="AW1363" s="69"/>
      <c r="AX1363" s="69"/>
      <c r="AY1363" s="69"/>
      <c r="AZ1363" s="69"/>
      <c r="BA1363" s="69"/>
      <c r="BB1363" s="69"/>
      <c r="BC1363" s="69"/>
    </row>
    <row r="1364">
      <c r="A1364" s="68"/>
      <c r="B1364" s="68"/>
      <c r="C1364" s="68"/>
      <c r="D1364" s="68"/>
      <c r="E1364" s="68"/>
      <c r="F1364" s="68"/>
      <c r="G1364" s="68"/>
      <c r="H1364" s="68"/>
      <c r="I1364" s="69"/>
      <c r="J1364" s="69"/>
      <c r="K1364" s="71"/>
      <c r="L1364" s="69"/>
      <c r="M1364" s="69"/>
      <c r="N1364" s="72"/>
      <c r="O1364" s="69"/>
      <c r="P1364" s="69"/>
      <c r="Q1364" s="69"/>
      <c r="R1364" s="69"/>
      <c r="S1364" s="69"/>
      <c r="T1364" s="69"/>
      <c r="U1364" s="69"/>
      <c r="V1364" s="69"/>
      <c r="W1364" s="69"/>
      <c r="X1364" s="69"/>
      <c r="Y1364" s="69"/>
      <c r="Z1364" s="69"/>
      <c r="AA1364" s="69"/>
      <c r="AB1364" s="69"/>
      <c r="AC1364" s="69"/>
      <c r="AD1364" s="69"/>
      <c r="AE1364" s="69"/>
      <c r="AF1364" s="69"/>
      <c r="AG1364" s="69"/>
      <c r="AH1364" s="69"/>
      <c r="AI1364" s="69"/>
      <c r="AJ1364" s="69"/>
      <c r="AK1364" s="69"/>
      <c r="AL1364" s="69"/>
      <c r="AM1364" s="69"/>
      <c r="AN1364" s="69"/>
      <c r="AO1364" s="69"/>
      <c r="AP1364" s="69"/>
      <c r="AQ1364" s="69"/>
      <c r="AR1364" s="69"/>
      <c r="AS1364" s="69"/>
      <c r="AT1364" s="69"/>
      <c r="AU1364" s="69"/>
      <c r="AV1364" s="69"/>
      <c r="AW1364" s="69"/>
      <c r="AX1364" s="69"/>
      <c r="AY1364" s="69"/>
      <c r="AZ1364" s="69"/>
      <c r="BA1364" s="69"/>
      <c r="BB1364" s="69"/>
      <c r="BC1364" s="69"/>
    </row>
    <row r="1365">
      <c r="A1365" s="68"/>
      <c r="B1365" s="68"/>
      <c r="C1365" s="68"/>
      <c r="D1365" s="68"/>
      <c r="E1365" s="68"/>
      <c r="F1365" s="68"/>
      <c r="G1365" s="68"/>
      <c r="H1365" s="68"/>
      <c r="I1365" s="69"/>
      <c r="J1365" s="69"/>
      <c r="K1365" s="71"/>
      <c r="L1365" s="69"/>
      <c r="M1365" s="69"/>
      <c r="N1365" s="72"/>
      <c r="O1365" s="69"/>
      <c r="P1365" s="69"/>
      <c r="Q1365" s="69"/>
      <c r="R1365" s="69"/>
      <c r="S1365" s="69"/>
      <c r="T1365" s="69"/>
      <c r="U1365" s="69"/>
      <c r="V1365" s="69"/>
      <c r="W1365" s="69"/>
      <c r="X1365" s="69"/>
      <c r="Y1365" s="69"/>
      <c r="Z1365" s="69"/>
      <c r="AA1365" s="69"/>
      <c r="AB1365" s="69"/>
      <c r="AC1365" s="69"/>
      <c r="AD1365" s="69"/>
      <c r="AE1365" s="69"/>
      <c r="AF1365" s="69"/>
      <c r="AG1365" s="69"/>
      <c r="AH1365" s="69"/>
      <c r="AI1365" s="69"/>
      <c r="AJ1365" s="69"/>
      <c r="AK1365" s="69"/>
      <c r="AL1365" s="69"/>
      <c r="AM1365" s="69"/>
      <c r="AN1365" s="69"/>
      <c r="AO1365" s="69"/>
      <c r="AP1365" s="69"/>
      <c r="AQ1365" s="69"/>
      <c r="AR1365" s="69"/>
      <c r="AS1365" s="69"/>
      <c r="AT1365" s="69"/>
      <c r="AU1365" s="69"/>
      <c r="AV1365" s="69"/>
      <c r="AW1365" s="69"/>
      <c r="AX1365" s="69"/>
      <c r="AY1365" s="69"/>
      <c r="AZ1365" s="69"/>
      <c r="BA1365" s="69"/>
      <c r="BB1365" s="69"/>
      <c r="BC1365" s="69"/>
    </row>
    <row r="1366">
      <c r="A1366" s="68"/>
      <c r="B1366" s="68"/>
      <c r="C1366" s="68"/>
      <c r="D1366" s="68"/>
      <c r="E1366" s="68"/>
      <c r="F1366" s="68"/>
      <c r="G1366" s="68"/>
      <c r="H1366" s="68"/>
      <c r="I1366" s="69"/>
      <c r="J1366" s="69"/>
      <c r="K1366" s="71"/>
      <c r="L1366" s="69"/>
      <c r="M1366" s="69"/>
      <c r="N1366" s="72"/>
      <c r="O1366" s="69"/>
      <c r="P1366" s="69"/>
      <c r="Q1366" s="69"/>
      <c r="R1366" s="69"/>
      <c r="S1366" s="69"/>
      <c r="T1366" s="69"/>
      <c r="U1366" s="69"/>
      <c r="V1366" s="69"/>
      <c r="W1366" s="69"/>
      <c r="X1366" s="69"/>
      <c r="Y1366" s="69"/>
      <c r="Z1366" s="69"/>
      <c r="AA1366" s="69"/>
      <c r="AB1366" s="69"/>
      <c r="AC1366" s="69"/>
      <c r="AD1366" s="69"/>
      <c r="AE1366" s="69"/>
      <c r="AF1366" s="69"/>
      <c r="AG1366" s="69"/>
      <c r="AH1366" s="69"/>
      <c r="AI1366" s="69"/>
      <c r="AJ1366" s="69"/>
      <c r="AK1366" s="69"/>
      <c r="AL1366" s="69"/>
      <c r="AM1366" s="69"/>
      <c r="AN1366" s="69"/>
      <c r="AO1366" s="69"/>
      <c r="AP1366" s="69"/>
      <c r="AQ1366" s="69"/>
      <c r="AR1366" s="69"/>
      <c r="AS1366" s="69"/>
      <c r="AT1366" s="69"/>
      <c r="AU1366" s="69"/>
      <c r="AV1366" s="69"/>
      <c r="AW1366" s="69"/>
      <c r="AX1366" s="69"/>
      <c r="AY1366" s="69"/>
      <c r="AZ1366" s="69"/>
      <c r="BA1366" s="69"/>
      <c r="BB1366" s="69"/>
      <c r="BC1366" s="69"/>
    </row>
    <row r="1367">
      <c r="A1367" s="68"/>
      <c r="B1367" s="68"/>
      <c r="C1367" s="68"/>
      <c r="D1367" s="68"/>
      <c r="E1367" s="68"/>
      <c r="F1367" s="68"/>
      <c r="G1367" s="68"/>
      <c r="H1367" s="68"/>
      <c r="I1367" s="69"/>
      <c r="J1367" s="69"/>
      <c r="K1367" s="71"/>
      <c r="L1367" s="69"/>
      <c r="M1367" s="69"/>
      <c r="N1367" s="72"/>
      <c r="O1367" s="69"/>
      <c r="P1367" s="69"/>
      <c r="Q1367" s="69"/>
      <c r="R1367" s="69"/>
      <c r="S1367" s="69"/>
      <c r="T1367" s="69"/>
      <c r="U1367" s="69"/>
      <c r="V1367" s="69"/>
      <c r="W1367" s="69"/>
      <c r="X1367" s="69"/>
      <c r="Y1367" s="69"/>
      <c r="Z1367" s="69"/>
      <c r="AA1367" s="69"/>
      <c r="AB1367" s="69"/>
      <c r="AC1367" s="69"/>
      <c r="AD1367" s="69"/>
      <c r="AE1367" s="69"/>
      <c r="AF1367" s="69"/>
      <c r="AG1367" s="69"/>
      <c r="AH1367" s="69"/>
      <c r="AI1367" s="69"/>
      <c r="AJ1367" s="69"/>
      <c r="AK1367" s="69"/>
      <c r="AL1367" s="69"/>
      <c r="AM1367" s="69"/>
      <c r="AN1367" s="69"/>
      <c r="AO1367" s="69"/>
      <c r="AP1367" s="69"/>
      <c r="AQ1367" s="69"/>
      <c r="AR1367" s="69"/>
      <c r="AS1367" s="69"/>
      <c r="AT1367" s="69"/>
      <c r="AU1367" s="69"/>
      <c r="AV1367" s="69"/>
      <c r="AW1367" s="69"/>
      <c r="AX1367" s="69"/>
      <c r="AY1367" s="69"/>
      <c r="AZ1367" s="69"/>
      <c r="BA1367" s="69"/>
      <c r="BB1367" s="69"/>
      <c r="BC1367" s="69"/>
    </row>
    <row r="1368">
      <c r="A1368" s="68"/>
      <c r="B1368" s="68"/>
      <c r="C1368" s="68"/>
      <c r="D1368" s="68"/>
      <c r="E1368" s="68"/>
      <c r="F1368" s="68"/>
      <c r="G1368" s="68"/>
      <c r="H1368" s="68"/>
      <c r="I1368" s="69"/>
      <c r="J1368" s="69"/>
      <c r="K1368" s="71"/>
      <c r="L1368" s="69"/>
      <c r="M1368" s="69"/>
      <c r="N1368" s="72"/>
      <c r="O1368" s="69"/>
      <c r="P1368" s="69"/>
      <c r="Q1368" s="69"/>
      <c r="R1368" s="69"/>
      <c r="S1368" s="69"/>
      <c r="T1368" s="69"/>
      <c r="U1368" s="69"/>
      <c r="V1368" s="69"/>
      <c r="W1368" s="69"/>
      <c r="X1368" s="69"/>
      <c r="Y1368" s="69"/>
      <c r="Z1368" s="69"/>
      <c r="AA1368" s="69"/>
      <c r="AB1368" s="69"/>
      <c r="AC1368" s="69"/>
      <c r="AD1368" s="69"/>
      <c r="AE1368" s="69"/>
      <c r="AF1368" s="69"/>
      <c r="AG1368" s="69"/>
      <c r="AH1368" s="69"/>
      <c r="AI1368" s="69"/>
      <c r="AJ1368" s="69"/>
      <c r="AK1368" s="69"/>
      <c r="AL1368" s="69"/>
      <c r="AM1368" s="69"/>
      <c r="AN1368" s="69"/>
      <c r="AO1368" s="69"/>
      <c r="AP1368" s="69"/>
      <c r="AQ1368" s="69"/>
      <c r="AR1368" s="69"/>
      <c r="AS1368" s="69"/>
      <c r="AT1368" s="69"/>
      <c r="AU1368" s="69"/>
      <c r="AV1368" s="69"/>
      <c r="AW1368" s="69"/>
      <c r="AX1368" s="69"/>
      <c r="AY1368" s="69"/>
      <c r="AZ1368" s="69"/>
      <c r="BA1368" s="69"/>
      <c r="BB1368" s="69"/>
      <c r="BC1368" s="69"/>
    </row>
    <row r="1369">
      <c r="A1369" s="68"/>
      <c r="B1369" s="68"/>
      <c r="C1369" s="68"/>
      <c r="D1369" s="68"/>
      <c r="E1369" s="68"/>
      <c r="F1369" s="68"/>
      <c r="G1369" s="68"/>
      <c r="H1369" s="68"/>
      <c r="I1369" s="69"/>
      <c r="J1369" s="69"/>
      <c r="K1369" s="71"/>
      <c r="L1369" s="69"/>
      <c r="M1369" s="69"/>
      <c r="N1369" s="72"/>
      <c r="O1369" s="69"/>
      <c r="P1369" s="69"/>
      <c r="Q1369" s="69"/>
      <c r="R1369" s="69"/>
      <c r="S1369" s="69"/>
      <c r="T1369" s="69"/>
      <c r="U1369" s="69"/>
      <c r="V1369" s="69"/>
      <c r="W1369" s="69"/>
      <c r="X1369" s="69"/>
      <c r="Y1369" s="69"/>
      <c r="Z1369" s="69"/>
      <c r="AA1369" s="69"/>
      <c r="AB1369" s="69"/>
      <c r="AC1369" s="69"/>
      <c r="AD1369" s="69"/>
      <c r="AE1369" s="69"/>
      <c r="AF1369" s="69"/>
      <c r="AG1369" s="69"/>
      <c r="AH1369" s="69"/>
      <c r="AI1369" s="69"/>
      <c r="AJ1369" s="69"/>
      <c r="AK1369" s="69"/>
      <c r="AL1369" s="69"/>
      <c r="AM1369" s="69"/>
      <c r="AN1369" s="69"/>
      <c r="AO1369" s="69"/>
      <c r="AP1369" s="69"/>
      <c r="AQ1369" s="69"/>
      <c r="AR1369" s="69"/>
      <c r="AS1369" s="69"/>
      <c r="AT1369" s="69"/>
      <c r="AU1369" s="69"/>
      <c r="AV1369" s="69"/>
      <c r="AW1369" s="69"/>
      <c r="AX1369" s="69"/>
      <c r="AY1369" s="69"/>
      <c r="AZ1369" s="69"/>
      <c r="BA1369" s="69"/>
      <c r="BB1369" s="69"/>
      <c r="BC1369" s="69"/>
    </row>
    <row r="1370">
      <c r="A1370" s="68"/>
      <c r="B1370" s="68"/>
      <c r="C1370" s="68"/>
      <c r="D1370" s="68"/>
      <c r="E1370" s="68"/>
      <c r="F1370" s="68"/>
      <c r="G1370" s="68"/>
      <c r="H1370" s="68"/>
      <c r="I1370" s="69"/>
      <c r="J1370" s="69"/>
      <c r="K1370" s="71"/>
      <c r="L1370" s="69"/>
      <c r="M1370" s="69"/>
      <c r="N1370" s="72"/>
      <c r="O1370" s="69"/>
      <c r="P1370" s="69"/>
      <c r="Q1370" s="69"/>
      <c r="R1370" s="69"/>
      <c r="S1370" s="69"/>
      <c r="T1370" s="69"/>
      <c r="U1370" s="69"/>
      <c r="V1370" s="69"/>
      <c r="W1370" s="69"/>
      <c r="X1370" s="69"/>
      <c r="Y1370" s="69"/>
      <c r="Z1370" s="69"/>
      <c r="AA1370" s="69"/>
      <c r="AB1370" s="69"/>
      <c r="AC1370" s="69"/>
      <c r="AD1370" s="69"/>
      <c r="AE1370" s="69"/>
      <c r="AF1370" s="69"/>
      <c r="AG1370" s="69"/>
      <c r="AH1370" s="69"/>
      <c r="AI1370" s="69"/>
      <c r="AJ1370" s="69"/>
      <c r="AK1370" s="69"/>
      <c r="AL1370" s="69"/>
      <c r="AM1370" s="69"/>
      <c r="AN1370" s="69"/>
      <c r="AO1370" s="69"/>
      <c r="AP1370" s="69"/>
      <c r="AQ1370" s="69"/>
      <c r="AR1370" s="69"/>
      <c r="AS1370" s="69"/>
      <c r="AT1370" s="69"/>
      <c r="AU1370" s="69"/>
      <c r="AV1370" s="69"/>
      <c r="AW1370" s="69"/>
      <c r="AX1370" s="69"/>
      <c r="AY1370" s="69"/>
      <c r="AZ1370" s="69"/>
      <c r="BA1370" s="69"/>
      <c r="BB1370" s="69"/>
      <c r="BC1370" s="69"/>
    </row>
    <row r="1371">
      <c r="A1371" s="68"/>
      <c r="B1371" s="68"/>
      <c r="C1371" s="68"/>
      <c r="D1371" s="68"/>
      <c r="E1371" s="68"/>
      <c r="F1371" s="68"/>
      <c r="G1371" s="68"/>
      <c r="H1371" s="68"/>
      <c r="I1371" s="69"/>
      <c r="J1371" s="69"/>
      <c r="K1371" s="71"/>
      <c r="L1371" s="69"/>
      <c r="M1371" s="69"/>
      <c r="N1371" s="72"/>
      <c r="O1371" s="69"/>
      <c r="P1371" s="69"/>
      <c r="Q1371" s="69"/>
      <c r="R1371" s="69"/>
      <c r="S1371" s="69"/>
      <c r="T1371" s="69"/>
      <c r="U1371" s="69"/>
      <c r="V1371" s="69"/>
      <c r="W1371" s="69"/>
      <c r="X1371" s="69"/>
      <c r="Y1371" s="69"/>
      <c r="Z1371" s="69"/>
      <c r="AA1371" s="69"/>
      <c r="AB1371" s="69"/>
      <c r="AC1371" s="69"/>
      <c r="AD1371" s="69"/>
      <c r="AE1371" s="69"/>
      <c r="AF1371" s="69"/>
      <c r="AG1371" s="69"/>
      <c r="AH1371" s="69"/>
      <c r="AI1371" s="69"/>
      <c r="AJ1371" s="69"/>
      <c r="AK1371" s="69"/>
      <c r="AL1371" s="69"/>
      <c r="AM1371" s="69"/>
      <c r="AN1371" s="69"/>
      <c r="AO1371" s="69"/>
      <c r="AP1371" s="69"/>
      <c r="AQ1371" s="69"/>
      <c r="AR1371" s="69"/>
      <c r="AS1371" s="69"/>
      <c r="AT1371" s="69"/>
      <c r="AU1371" s="69"/>
      <c r="AV1371" s="69"/>
      <c r="AW1371" s="69"/>
      <c r="AX1371" s="69"/>
      <c r="AY1371" s="69"/>
      <c r="AZ1371" s="69"/>
      <c r="BA1371" s="69"/>
      <c r="BB1371" s="69"/>
      <c r="BC1371" s="69"/>
    </row>
    <row r="1372">
      <c r="A1372" s="68"/>
      <c r="B1372" s="68"/>
      <c r="C1372" s="68"/>
      <c r="D1372" s="68"/>
      <c r="E1372" s="68"/>
      <c r="F1372" s="68"/>
      <c r="G1372" s="68"/>
      <c r="H1372" s="68"/>
      <c r="I1372" s="69"/>
      <c r="J1372" s="69"/>
      <c r="K1372" s="71"/>
      <c r="L1372" s="69"/>
      <c r="M1372" s="69"/>
      <c r="N1372" s="72"/>
      <c r="O1372" s="69"/>
      <c r="P1372" s="69"/>
      <c r="Q1372" s="69"/>
      <c r="R1372" s="69"/>
      <c r="S1372" s="69"/>
      <c r="T1372" s="69"/>
      <c r="U1372" s="69"/>
      <c r="V1372" s="69"/>
      <c r="W1372" s="69"/>
      <c r="X1372" s="69"/>
      <c r="Y1372" s="69"/>
      <c r="Z1372" s="69"/>
      <c r="AA1372" s="69"/>
      <c r="AB1372" s="69"/>
      <c r="AC1372" s="69"/>
      <c r="AD1372" s="69"/>
      <c r="AE1372" s="69"/>
      <c r="AF1372" s="69"/>
      <c r="AG1372" s="69"/>
      <c r="AH1372" s="69"/>
      <c r="AI1372" s="69"/>
      <c r="AJ1372" s="69"/>
      <c r="AK1372" s="69"/>
      <c r="AL1372" s="69"/>
      <c r="AM1372" s="69"/>
      <c r="AN1372" s="69"/>
      <c r="AO1372" s="69"/>
      <c r="AP1372" s="69"/>
      <c r="AQ1372" s="69"/>
      <c r="AR1372" s="69"/>
      <c r="AS1372" s="69"/>
      <c r="AT1372" s="69"/>
      <c r="AU1372" s="69"/>
      <c r="AV1372" s="69"/>
      <c r="AW1372" s="69"/>
      <c r="AX1372" s="69"/>
      <c r="AY1372" s="69"/>
      <c r="AZ1372" s="69"/>
      <c r="BA1372" s="69"/>
      <c r="BB1372" s="69"/>
      <c r="BC1372" s="69"/>
    </row>
    <row r="1373">
      <c r="A1373" s="68"/>
      <c r="B1373" s="68"/>
      <c r="C1373" s="68"/>
      <c r="D1373" s="68"/>
      <c r="E1373" s="68"/>
      <c r="F1373" s="68"/>
      <c r="G1373" s="68"/>
      <c r="H1373" s="68"/>
      <c r="I1373" s="69"/>
      <c r="J1373" s="69"/>
      <c r="K1373" s="71"/>
      <c r="L1373" s="69"/>
      <c r="M1373" s="69"/>
      <c r="N1373" s="72"/>
      <c r="O1373" s="69"/>
      <c r="P1373" s="69"/>
      <c r="Q1373" s="69"/>
      <c r="R1373" s="69"/>
      <c r="S1373" s="69"/>
      <c r="T1373" s="69"/>
      <c r="U1373" s="69"/>
      <c r="V1373" s="69"/>
      <c r="W1373" s="69"/>
      <c r="X1373" s="69"/>
      <c r="Y1373" s="69"/>
      <c r="Z1373" s="69"/>
      <c r="AA1373" s="69"/>
      <c r="AB1373" s="69"/>
      <c r="AC1373" s="69"/>
      <c r="AD1373" s="69"/>
      <c r="AE1373" s="69"/>
      <c r="AF1373" s="69"/>
      <c r="AG1373" s="69"/>
      <c r="AH1373" s="69"/>
      <c r="AI1373" s="69"/>
      <c r="AJ1373" s="69"/>
      <c r="AK1373" s="69"/>
      <c r="AL1373" s="69"/>
      <c r="AM1373" s="69"/>
      <c r="AN1373" s="69"/>
      <c r="AO1373" s="69"/>
      <c r="AP1373" s="69"/>
      <c r="AQ1373" s="69"/>
      <c r="AR1373" s="69"/>
      <c r="AS1373" s="69"/>
      <c r="AT1373" s="69"/>
      <c r="AU1373" s="69"/>
      <c r="AV1373" s="69"/>
      <c r="AW1373" s="69"/>
      <c r="AX1373" s="69"/>
      <c r="AY1373" s="69"/>
      <c r="AZ1373" s="69"/>
      <c r="BA1373" s="69"/>
      <c r="BB1373" s="69"/>
      <c r="BC1373" s="69"/>
    </row>
    <row r="1374">
      <c r="A1374" s="68"/>
      <c r="B1374" s="68"/>
      <c r="C1374" s="68"/>
      <c r="D1374" s="68"/>
      <c r="E1374" s="68"/>
      <c r="F1374" s="68"/>
      <c r="G1374" s="68"/>
      <c r="H1374" s="68"/>
      <c r="I1374" s="69"/>
      <c r="J1374" s="69"/>
      <c r="K1374" s="71"/>
      <c r="L1374" s="69"/>
      <c r="M1374" s="69"/>
      <c r="N1374" s="72"/>
      <c r="O1374" s="69"/>
      <c r="P1374" s="69"/>
      <c r="Q1374" s="69"/>
      <c r="R1374" s="69"/>
      <c r="S1374" s="69"/>
      <c r="T1374" s="69"/>
      <c r="U1374" s="69"/>
      <c r="V1374" s="69"/>
      <c r="W1374" s="69"/>
      <c r="X1374" s="69"/>
      <c r="Y1374" s="69"/>
      <c r="Z1374" s="69"/>
      <c r="AA1374" s="69"/>
      <c r="AB1374" s="69"/>
      <c r="AC1374" s="69"/>
      <c r="AD1374" s="69"/>
      <c r="AE1374" s="69"/>
      <c r="AF1374" s="69"/>
      <c r="AG1374" s="69"/>
      <c r="AH1374" s="69"/>
      <c r="AI1374" s="69"/>
      <c r="AJ1374" s="69"/>
      <c r="AK1374" s="69"/>
      <c r="AL1374" s="69"/>
      <c r="AM1374" s="69"/>
      <c r="AN1374" s="69"/>
      <c r="AO1374" s="69"/>
      <c r="AP1374" s="69"/>
      <c r="AQ1374" s="69"/>
      <c r="AR1374" s="69"/>
      <c r="AS1374" s="69"/>
      <c r="AT1374" s="69"/>
      <c r="AU1374" s="69"/>
      <c r="AV1374" s="69"/>
      <c r="AW1374" s="69"/>
      <c r="AX1374" s="69"/>
      <c r="AY1374" s="69"/>
      <c r="AZ1374" s="69"/>
      <c r="BA1374" s="69"/>
      <c r="BB1374" s="69"/>
      <c r="BC1374" s="69"/>
    </row>
    <row r="1375">
      <c r="A1375" s="68"/>
      <c r="B1375" s="68"/>
      <c r="C1375" s="68"/>
      <c r="D1375" s="68"/>
      <c r="E1375" s="68"/>
      <c r="F1375" s="68"/>
      <c r="G1375" s="68"/>
      <c r="H1375" s="68"/>
      <c r="I1375" s="69"/>
      <c r="J1375" s="69"/>
      <c r="K1375" s="71"/>
      <c r="L1375" s="69"/>
      <c r="M1375" s="69"/>
      <c r="N1375" s="72"/>
      <c r="O1375" s="69"/>
      <c r="P1375" s="69"/>
      <c r="Q1375" s="69"/>
      <c r="R1375" s="69"/>
      <c r="S1375" s="69"/>
      <c r="T1375" s="69"/>
      <c r="U1375" s="69"/>
      <c r="V1375" s="69"/>
      <c r="W1375" s="69"/>
      <c r="X1375" s="69"/>
      <c r="Y1375" s="69"/>
      <c r="Z1375" s="69"/>
      <c r="AA1375" s="69"/>
      <c r="AB1375" s="69"/>
      <c r="AC1375" s="69"/>
      <c r="AD1375" s="69"/>
      <c r="AE1375" s="69"/>
      <c r="AF1375" s="69"/>
      <c r="AG1375" s="69"/>
      <c r="AH1375" s="69"/>
      <c r="AI1375" s="69"/>
      <c r="AJ1375" s="69"/>
      <c r="AK1375" s="69"/>
      <c r="AL1375" s="69"/>
      <c r="AM1375" s="69"/>
      <c r="AN1375" s="69"/>
      <c r="AO1375" s="69"/>
      <c r="AP1375" s="69"/>
      <c r="AQ1375" s="69"/>
      <c r="AR1375" s="69"/>
      <c r="AS1375" s="69"/>
      <c r="AT1375" s="69"/>
      <c r="AU1375" s="69"/>
      <c r="AV1375" s="69"/>
      <c r="AW1375" s="69"/>
      <c r="AX1375" s="69"/>
      <c r="AY1375" s="69"/>
      <c r="AZ1375" s="69"/>
      <c r="BA1375" s="69"/>
      <c r="BB1375" s="69"/>
      <c r="BC1375" s="69"/>
    </row>
    <row r="1376">
      <c r="A1376" s="68"/>
      <c r="B1376" s="68"/>
      <c r="C1376" s="68"/>
      <c r="D1376" s="68"/>
      <c r="E1376" s="68"/>
      <c r="F1376" s="68"/>
      <c r="G1376" s="68"/>
      <c r="H1376" s="68"/>
      <c r="I1376" s="69"/>
      <c r="J1376" s="69"/>
      <c r="K1376" s="71"/>
      <c r="L1376" s="69"/>
      <c r="M1376" s="69"/>
      <c r="N1376" s="72"/>
      <c r="O1376" s="69"/>
      <c r="P1376" s="69"/>
      <c r="Q1376" s="69"/>
      <c r="R1376" s="69"/>
      <c r="S1376" s="69"/>
      <c r="T1376" s="69"/>
      <c r="U1376" s="69"/>
      <c r="V1376" s="69"/>
      <c r="W1376" s="69"/>
      <c r="X1376" s="69"/>
      <c r="Y1376" s="69"/>
      <c r="Z1376" s="69"/>
      <c r="AA1376" s="69"/>
      <c r="AB1376" s="69"/>
      <c r="AC1376" s="69"/>
      <c r="AD1376" s="69"/>
      <c r="AE1376" s="69"/>
      <c r="AF1376" s="69"/>
      <c r="AG1376" s="69"/>
      <c r="AH1376" s="69"/>
      <c r="AI1376" s="69"/>
      <c r="AJ1376" s="69"/>
      <c r="AK1376" s="69"/>
      <c r="AL1376" s="69"/>
      <c r="AM1376" s="69"/>
      <c r="AN1376" s="69"/>
      <c r="AO1376" s="69"/>
      <c r="AP1376" s="69"/>
      <c r="AQ1376" s="69"/>
      <c r="AR1376" s="69"/>
      <c r="AS1376" s="69"/>
      <c r="AT1376" s="69"/>
      <c r="AU1376" s="69"/>
      <c r="AV1376" s="69"/>
      <c r="AW1376" s="69"/>
      <c r="AX1376" s="69"/>
      <c r="AY1376" s="69"/>
      <c r="AZ1376" s="69"/>
      <c r="BA1376" s="69"/>
      <c r="BB1376" s="69"/>
      <c r="BC1376" s="69"/>
    </row>
    <row r="1377">
      <c r="A1377" s="68"/>
      <c r="B1377" s="68"/>
      <c r="C1377" s="68"/>
      <c r="D1377" s="68"/>
      <c r="E1377" s="68"/>
      <c r="F1377" s="68"/>
      <c r="G1377" s="68"/>
      <c r="H1377" s="68"/>
      <c r="I1377" s="69"/>
      <c r="J1377" s="69"/>
      <c r="K1377" s="71"/>
      <c r="L1377" s="69"/>
      <c r="M1377" s="69"/>
      <c r="N1377" s="72"/>
      <c r="O1377" s="69"/>
      <c r="P1377" s="69"/>
      <c r="Q1377" s="69"/>
      <c r="R1377" s="69"/>
      <c r="S1377" s="69"/>
      <c r="T1377" s="69"/>
      <c r="U1377" s="69"/>
      <c r="V1377" s="69"/>
      <c r="W1377" s="69"/>
      <c r="X1377" s="69"/>
      <c r="Y1377" s="69"/>
      <c r="Z1377" s="69"/>
      <c r="AA1377" s="69"/>
      <c r="AB1377" s="69"/>
      <c r="AC1377" s="69"/>
      <c r="AD1377" s="69"/>
      <c r="AE1377" s="69"/>
      <c r="AF1377" s="69"/>
      <c r="AG1377" s="69"/>
      <c r="AH1377" s="69"/>
      <c r="AI1377" s="69"/>
      <c r="AJ1377" s="69"/>
      <c r="AK1377" s="69"/>
      <c r="AL1377" s="69"/>
      <c r="AM1377" s="69"/>
      <c r="AN1377" s="69"/>
      <c r="AO1377" s="69"/>
      <c r="AP1377" s="69"/>
      <c r="AQ1377" s="69"/>
      <c r="AR1377" s="69"/>
      <c r="AS1377" s="69"/>
      <c r="AT1377" s="69"/>
      <c r="AU1377" s="69"/>
      <c r="AV1377" s="69"/>
      <c r="AW1377" s="69"/>
      <c r="AX1377" s="69"/>
      <c r="AY1377" s="69"/>
      <c r="AZ1377" s="69"/>
      <c r="BA1377" s="69"/>
      <c r="BB1377" s="69"/>
      <c r="BC1377" s="69"/>
    </row>
    <row r="1378">
      <c r="A1378" s="68"/>
      <c r="B1378" s="68"/>
      <c r="C1378" s="68"/>
      <c r="D1378" s="68"/>
      <c r="E1378" s="68"/>
      <c r="F1378" s="68"/>
      <c r="G1378" s="68"/>
      <c r="H1378" s="68"/>
      <c r="I1378" s="69"/>
      <c r="J1378" s="69"/>
      <c r="K1378" s="71"/>
      <c r="L1378" s="69"/>
      <c r="M1378" s="69"/>
      <c r="N1378" s="72"/>
      <c r="O1378" s="69"/>
      <c r="P1378" s="69"/>
      <c r="Q1378" s="69"/>
      <c r="R1378" s="69"/>
      <c r="S1378" s="69"/>
      <c r="T1378" s="69"/>
      <c r="U1378" s="69"/>
      <c r="V1378" s="69"/>
      <c r="W1378" s="69"/>
      <c r="X1378" s="69"/>
      <c r="Y1378" s="69"/>
      <c r="Z1378" s="69"/>
      <c r="AA1378" s="69"/>
      <c r="AB1378" s="69"/>
      <c r="AC1378" s="69"/>
      <c r="AD1378" s="69"/>
      <c r="AE1378" s="69"/>
      <c r="AF1378" s="69"/>
      <c r="AG1378" s="69"/>
      <c r="AH1378" s="69"/>
      <c r="AI1378" s="69"/>
      <c r="AJ1378" s="69"/>
      <c r="AK1378" s="69"/>
      <c r="AL1378" s="69"/>
      <c r="AM1378" s="69"/>
      <c r="AN1378" s="69"/>
      <c r="AO1378" s="69"/>
      <c r="AP1378" s="69"/>
      <c r="AQ1378" s="69"/>
      <c r="AR1378" s="69"/>
      <c r="AS1378" s="69"/>
      <c r="AT1378" s="69"/>
      <c r="AU1378" s="69"/>
      <c r="AV1378" s="69"/>
      <c r="AW1378" s="69"/>
      <c r="AX1378" s="69"/>
      <c r="AY1378" s="69"/>
      <c r="AZ1378" s="69"/>
      <c r="BA1378" s="69"/>
      <c r="BB1378" s="69"/>
      <c r="BC1378" s="69"/>
    </row>
    <row r="1379">
      <c r="A1379" s="68"/>
      <c r="B1379" s="68"/>
      <c r="C1379" s="68"/>
      <c r="D1379" s="68"/>
      <c r="E1379" s="68"/>
      <c r="F1379" s="68"/>
      <c r="G1379" s="68"/>
      <c r="H1379" s="68"/>
      <c r="I1379" s="69"/>
      <c r="J1379" s="69"/>
      <c r="K1379" s="71"/>
      <c r="L1379" s="69"/>
      <c r="M1379" s="69"/>
      <c r="N1379" s="72"/>
      <c r="O1379" s="69"/>
      <c r="P1379" s="69"/>
      <c r="Q1379" s="69"/>
      <c r="R1379" s="69"/>
      <c r="S1379" s="69"/>
      <c r="T1379" s="69"/>
      <c r="U1379" s="69"/>
      <c r="V1379" s="69"/>
      <c r="W1379" s="69"/>
      <c r="X1379" s="69"/>
      <c r="Y1379" s="69"/>
      <c r="Z1379" s="69"/>
      <c r="AA1379" s="69"/>
      <c r="AB1379" s="69"/>
      <c r="AC1379" s="69"/>
      <c r="AD1379" s="69"/>
      <c r="AE1379" s="69"/>
      <c r="AF1379" s="69"/>
      <c r="AG1379" s="69"/>
      <c r="AH1379" s="69"/>
      <c r="AI1379" s="69"/>
      <c r="AJ1379" s="69"/>
      <c r="AK1379" s="69"/>
      <c r="AL1379" s="69"/>
      <c r="AM1379" s="69"/>
      <c r="AN1379" s="69"/>
      <c r="AO1379" s="69"/>
      <c r="AP1379" s="69"/>
      <c r="AQ1379" s="69"/>
      <c r="AR1379" s="69"/>
      <c r="AS1379" s="69"/>
      <c r="AT1379" s="69"/>
      <c r="AU1379" s="69"/>
      <c r="AV1379" s="69"/>
      <c r="AW1379" s="69"/>
      <c r="AX1379" s="69"/>
      <c r="AY1379" s="69"/>
      <c r="AZ1379" s="69"/>
      <c r="BA1379" s="69"/>
      <c r="BB1379" s="69"/>
      <c r="BC1379" s="69"/>
    </row>
    <row r="1380">
      <c r="A1380" s="68"/>
      <c r="B1380" s="68"/>
      <c r="C1380" s="68"/>
      <c r="D1380" s="68"/>
      <c r="E1380" s="68"/>
      <c r="F1380" s="68"/>
      <c r="G1380" s="68"/>
      <c r="H1380" s="68"/>
      <c r="I1380" s="69"/>
      <c r="J1380" s="69"/>
      <c r="K1380" s="71"/>
      <c r="L1380" s="69"/>
      <c r="M1380" s="69"/>
      <c r="N1380" s="72"/>
      <c r="O1380" s="69"/>
      <c r="P1380" s="69"/>
      <c r="Q1380" s="69"/>
      <c r="R1380" s="69"/>
      <c r="S1380" s="69"/>
      <c r="T1380" s="69"/>
      <c r="U1380" s="69"/>
      <c r="V1380" s="69"/>
      <c r="W1380" s="69"/>
      <c r="X1380" s="69"/>
      <c r="Y1380" s="69"/>
      <c r="Z1380" s="69"/>
      <c r="AA1380" s="69"/>
      <c r="AB1380" s="69"/>
      <c r="AC1380" s="69"/>
      <c r="AD1380" s="69"/>
      <c r="AE1380" s="69"/>
      <c r="AF1380" s="69"/>
      <c r="AG1380" s="69"/>
      <c r="AH1380" s="69"/>
      <c r="AI1380" s="69"/>
      <c r="AJ1380" s="69"/>
      <c r="AK1380" s="69"/>
      <c r="AL1380" s="69"/>
      <c r="AM1380" s="69"/>
      <c r="AN1380" s="69"/>
      <c r="AO1380" s="69"/>
      <c r="AP1380" s="69"/>
      <c r="AQ1380" s="69"/>
      <c r="AR1380" s="69"/>
      <c r="AS1380" s="69"/>
      <c r="AT1380" s="69"/>
      <c r="AU1380" s="69"/>
      <c r="AV1380" s="69"/>
      <c r="AW1380" s="69"/>
      <c r="AX1380" s="69"/>
      <c r="AY1380" s="69"/>
      <c r="AZ1380" s="69"/>
      <c r="BA1380" s="69"/>
      <c r="BB1380" s="69"/>
      <c r="BC1380" s="69"/>
    </row>
    <row r="1381">
      <c r="A1381" s="68"/>
      <c r="B1381" s="68"/>
      <c r="C1381" s="68"/>
      <c r="D1381" s="68"/>
      <c r="E1381" s="68"/>
      <c r="F1381" s="68"/>
      <c r="G1381" s="68"/>
      <c r="H1381" s="68"/>
      <c r="I1381" s="69"/>
      <c r="J1381" s="69"/>
      <c r="K1381" s="71"/>
      <c r="L1381" s="69"/>
      <c r="M1381" s="69"/>
      <c r="N1381" s="72"/>
      <c r="O1381" s="69"/>
      <c r="P1381" s="69"/>
      <c r="Q1381" s="69"/>
      <c r="R1381" s="69"/>
      <c r="S1381" s="69"/>
      <c r="T1381" s="69"/>
      <c r="U1381" s="69"/>
      <c r="V1381" s="69"/>
      <c r="W1381" s="69"/>
      <c r="X1381" s="69"/>
      <c r="Y1381" s="69"/>
      <c r="Z1381" s="69"/>
      <c r="AA1381" s="69"/>
      <c r="AB1381" s="69"/>
      <c r="AC1381" s="69"/>
      <c r="AD1381" s="69"/>
      <c r="AE1381" s="69"/>
      <c r="AF1381" s="69"/>
      <c r="AG1381" s="69"/>
      <c r="AH1381" s="69"/>
      <c r="AI1381" s="69"/>
      <c r="AJ1381" s="69"/>
      <c r="AK1381" s="69"/>
      <c r="AL1381" s="69"/>
      <c r="AM1381" s="69"/>
      <c r="AN1381" s="69"/>
      <c r="AO1381" s="69"/>
      <c r="AP1381" s="69"/>
      <c r="AQ1381" s="69"/>
      <c r="AR1381" s="69"/>
      <c r="AS1381" s="69"/>
      <c r="AT1381" s="69"/>
      <c r="AU1381" s="69"/>
      <c r="AV1381" s="69"/>
      <c r="AW1381" s="69"/>
      <c r="AX1381" s="69"/>
      <c r="AY1381" s="69"/>
      <c r="AZ1381" s="69"/>
      <c r="BA1381" s="69"/>
      <c r="BB1381" s="69"/>
      <c r="BC1381" s="69"/>
    </row>
    <row r="1382">
      <c r="A1382" s="68"/>
      <c r="B1382" s="68"/>
      <c r="C1382" s="68"/>
      <c r="D1382" s="68"/>
      <c r="E1382" s="68"/>
      <c r="F1382" s="68"/>
      <c r="G1382" s="68"/>
      <c r="H1382" s="68"/>
      <c r="I1382" s="69"/>
      <c r="J1382" s="69"/>
      <c r="K1382" s="71"/>
      <c r="L1382" s="69"/>
      <c r="M1382" s="69"/>
      <c r="N1382" s="72"/>
      <c r="O1382" s="69"/>
      <c r="P1382" s="69"/>
      <c r="Q1382" s="69"/>
      <c r="R1382" s="69"/>
      <c r="S1382" s="69"/>
      <c r="T1382" s="69"/>
      <c r="U1382" s="69"/>
      <c r="V1382" s="69"/>
      <c r="W1382" s="69"/>
      <c r="X1382" s="69"/>
      <c r="Y1382" s="69"/>
      <c r="Z1382" s="69"/>
      <c r="AA1382" s="69"/>
      <c r="AB1382" s="69"/>
      <c r="AC1382" s="69"/>
      <c r="AD1382" s="69"/>
      <c r="AE1382" s="69"/>
      <c r="AF1382" s="69"/>
      <c r="AG1382" s="69"/>
      <c r="AH1382" s="69"/>
      <c r="AI1382" s="69"/>
      <c r="AJ1382" s="69"/>
      <c r="AK1382" s="69"/>
      <c r="AL1382" s="69"/>
      <c r="AM1382" s="69"/>
      <c r="AN1382" s="69"/>
      <c r="AO1382" s="69"/>
      <c r="AP1382" s="69"/>
      <c r="AQ1382" s="69"/>
      <c r="AR1382" s="69"/>
      <c r="AS1382" s="69"/>
      <c r="AT1382" s="69"/>
      <c r="AU1382" s="69"/>
      <c r="AV1382" s="69"/>
      <c r="AW1382" s="69"/>
      <c r="AX1382" s="69"/>
      <c r="AY1382" s="69"/>
      <c r="AZ1382" s="69"/>
      <c r="BA1382" s="69"/>
      <c r="BB1382" s="69"/>
      <c r="BC1382" s="69"/>
    </row>
    <row r="1383">
      <c r="A1383" s="68"/>
      <c r="B1383" s="68"/>
      <c r="C1383" s="68"/>
      <c r="D1383" s="68"/>
      <c r="E1383" s="68"/>
      <c r="F1383" s="68"/>
      <c r="G1383" s="68"/>
      <c r="H1383" s="68"/>
      <c r="I1383" s="69"/>
      <c r="J1383" s="69"/>
      <c r="K1383" s="71"/>
      <c r="L1383" s="69"/>
      <c r="M1383" s="69"/>
      <c r="N1383" s="72"/>
      <c r="O1383" s="69"/>
      <c r="P1383" s="69"/>
      <c r="Q1383" s="69"/>
      <c r="R1383" s="69"/>
      <c r="S1383" s="69"/>
      <c r="T1383" s="69"/>
      <c r="U1383" s="69"/>
      <c r="V1383" s="69"/>
      <c r="W1383" s="69"/>
      <c r="X1383" s="69"/>
      <c r="Y1383" s="69"/>
      <c r="Z1383" s="69"/>
      <c r="AA1383" s="69"/>
      <c r="AB1383" s="69"/>
      <c r="AC1383" s="69"/>
      <c r="AD1383" s="69"/>
      <c r="AE1383" s="69"/>
      <c r="AF1383" s="69"/>
      <c r="AG1383" s="69"/>
      <c r="AH1383" s="69"/>
      <c r="AI1383" s="69"/>
      <c r="AJ1383" s="69"/>
      <c r="AK1383" s="69"/>
      <c r="AL1383" s="69"/>
      <c r="AM1383" s="69"/>
      <c r="AN1383" s="69"/>
      <c r="AO1383" s="69"/>
      <c r="AP1383" s="69"/>
      <c r="AQ1383" s="69"/>
      <c r="AR1383" s="69"/>
      <c r="AS1383" s="69"/>
      <c r="AT1383" s="69"/>
      <c r="AU1383" s="69"/>
      <c r="AV1383" s="69"/>
      <c r="AW1383" s="69"/>
      <c r="AX1383" s="69"/>
      <c r="AY1383" s="69"/>
      <c r="AZ1383" s="69"/>
      <c r="BA1383" s="69"/>
      <c r="BB1383" s="69"/>
      <c r="BC1383" s="69"/>
    </row>
    <row r="1384">
      <c r="A1384" s="68"/>
      <c r="B1384" s="68"/>
      <c r="C1384" s="68"/>
      <c r="D1384" s="68"/>
      <c r="E1384" s="68"/>
      <c r="F1384" s="68"/>
      <c r="G1384" s="68"/>
      <c r="H1384" s="68"/>
      <c r="I1384" s="69"/>
      <c r="J1384" s="69"/>
      <c r="K1384" s="71"/>
      <c r="L1384" s="69"/>
      <c r="M1384" s="69"/>
      <c r="N1384" s="72"/>
      <c r="O1384" s="69"/>
      <c r="P1384" s="69"/>
      <c r="Q1384" s="69"/>
      <c r="R1384" s="69"/>
      <c r="S1384" s="69"/>
      <c r="T1384" s="69"/>
      <c r="U1384" s="69"/>
      <c r="V1384" s="69"/>
      <c r="W1384" s="69"/>
      <c r="X1384" s="69"/>
      <c r="Y1384" s="69"/>
      <c r="Z1384" s="69"/>
      <c r="AA1384" s="69"/>
      <c r="AB1384" s="69"/>
      <c r="AC1384" s="69"/>
      <c r="AD1384" s="69"/>
      <c r="AE1384" s="69"/>
      <c r="AF1384" s="69"/>
      <c r="AG1384" s="69"/>
      <c r="AH1384" s="69"/>
      <c r="AI1384" s="69"/>
      <c r="AJ1384" s="69"/>
      <c r="AK1384" s="69"/>
      <c r="AL1384" s="69"/>
      <c r="AM1384" s="69"/>
      <c r="AN1384" s="69"/>
      <c r="AO1384" s="69"/>
      <c r="AP1384" s="69"/>
      <c r="AQ1384" s="69"/>
      <c r="AR1384" s="69"/>
      <c r="AS1384" s="69"/>
      <c r="AT1384" s="69"/>
      <c r="AU1384" s="69"/>
      <c r="AV1384" s="69"/>
      <c r="AW1384" s="69"/>
      <c r="AX1384" s="69"/>
      <c r="AY1384" s="69"/>
      <c r="AZ1384" s="69"/>
      <c r="BA1384" s="69"/>
      <c r="BB1384" s="69"/>
      <c r="BC1384" s="69"/>
    </row>
    <row r="1385">
      <c r="A1385" s="68"/>
      <c r="B1385" s="68"/>
      <c r="C1385" s="68"/>
      <c r="D1385" s="68"/>
      <c r="E1385" s="68"/>
      <c r="F1385" s="68"/>
      <c r="G1385" s="68"/>
      <c r="H1385" s="68"/>
      <c r="I1385" s="69"/>
      <c r="J1385" s="69"/>
      <c r="K1385" s="71"/>
      <c r="L1385" s="69"/>
      <c r="M1385" s="69"/>
      <c r="N1385" s="72"/>
      <c r="O1385" s="69"/>
      <c r="P1385" s="69"/>
      <c r="Q1385" s="69"/>
      <c r="R1385" s="69"/>
      <c r="S1385" s="69"/>
      <c r="T1385" s="69"/>
      <c r="U1385" s="69"/>
      <c r="V1385" s="69"/>
      <c r="W1385" s="69"/>
      <c r="X1385" s="69"/>
      <c r="Y1385" s="69"/>
      <c r="Z1385" s="69"/>
      <c r="AA1385" s="69"/>
      <c r="AB1385" s="69"/>
      <c r="AC1385" s="69"/>
      <c r="AD1385" s="69"/>
      <c r="AE1385" s="69"/>
      <c r="AF1385" s="69"/>
      <c r="AG1385" s="69"/>
      <c r="AH1385" s="69"/>
      <c r="AI1385" s="69"/>
      <c r="AJ1385" s="69"/>
      <c r="AK1385" s="69"/>
      <c r="AL1385" s="69"/>
      <c r="AM1385" s="69"/>
      <c r="AN1385" s="69"/>
      <c r="AO1385" s="69"/>
      <c r="AP1385" s="69"/>
      <c r="AQ1385" s="69"/>
      <c r="AR1385" s="69"/>
      <c r="AS1385" s="69"/>
      <c r="AT1385" s="69"/>
      <c r="AU1385" s="69"/>
      <c r="AV1385" s="69"/>
      <c r="AW1385" s="69"/>
      <c r="AX1385" s="69"/>
      <c r="AY1385" s="69"/>
      <c r="AZ1385" s="69"/>
      <c r="BA1385" s="69"/>
      <c r="BB1385" s="69"/>
      <c r="BC1385" s="69"/>
    </row>
    <row r="1386">
      <c r="A1386" s="68"/>
      <c r="B1386" s="68"/>
      <c r="C1386" s="68"/>
      <c r="D1386" s="68"/>
      <c r="E1386" s="68"/>
      <c r="F1386" s="68"/>
      <c r="G1386" s="68"/>
      <c r="H1386" s="68"/>
      <c r="I1386" s="69"/>
      <c r="J1386" s="69"/>
      <c r="K1386" s="71"/>
      <c r="L1386" s="69"/>
      <c r="M1386" s="69"/>
      <c r="N1386" s="72"/>
      <c r="O1386" s="69"/>
      <c r="P1386" s="69"/>
      <c r="Q1386" s="69"/>
      <c r="R1386" s="69"/>
      <c r="S1386" s="69"/>
      <c r="T1386" s="69"/>
      <c r="U1386" s="69"/>
      <c r="V1386" s="69"/>
      <c r="W1386" s="69"/>
      <c r="X1386" s="69"/>
      <c r="Y1386" s="69"/>
      <c r="Z1386" s="69"/>
      <c r="AA1386" s="69"/>
      <c r="AB1386" s="69"/>
      <c r="AC1386" s="69"/>
      <c r="AD1386" s="69"/>
      <c r="AE1386" s="69"/>
      <c r="AF1386" s="69"/>
      <c r="AG1386" s="69"/>
      <c r="AH1386" s="69"/>
      <c r="AI1386" s="69"/>
      <c r="AJ1386" s="69"/>
      <c r="AK1386" s="69"/>
      <c r="AL1386" s="69"/>
      <c r="AM1386" s="69"/>
      <c r="AN1386" s="69"/>
      <c r="AO1386" s="69"/>
      <c r="AP1386" s="69"/>
      <c r="AQ1386" s="69"/>
      <c r="AR1386" s="69"/>
      <c r="AS1386" s="69"/>
      <c r="AT1386" s="69"/>
      <c r="AU1386" s="69"/>
      <c r="AV1386" s="69"/>
      <c r="AW1386" s="69"/>
      <c r="AX1386" s="69"/>
      <c r="AY1386" s="69"/>
      <c r="AZ1386" s="69"/>
      <c r="BA1386" s="69"/>
      <c r="BB1386" s="69"/>
      <c r="BC1386" s="69"/>
    </row>
    <row r="1387">
      <c r="A1387" s="68"/>
      <c r="B1387" s="68"/>
      <c r="C1387" s="68"/>
      <c r="D1387" s="68"/>
      <c r="E1387" s="68"/>
      <c r="F1387" s="68"/>
      <c r="G1387" s="68"/>
      <c r="H1387" s="68"/>
      <c r="I1387" s="69"/>
      <c r="J1387" s="69"/>
      <c r="K1387" s="71"/>
      <c r="L1387" s="69"/>
      <c r="M1387" s="69"/>
      <c r="N1387" s="72"/>
      <c r="O1387" s="69"/>
      <c r="P1387" s="69"/>
      <c r="Q1387" s="69"/>
      <c r="R1387" s="69"/>
      <c r="S1387" s="69"/>
      <c r="T1387" s="69"/>
      <c r="U1387" s="69"/>
      <c r="V1387" s="69"/>
      <c r="W1387" s="69"/>
      <c r="X1387" s="69"/>
      <c r="Y1387" s="69"/>
      <c r="Z1387" s="69"/>
      <c r="AA1387" s="69"/>
      <c r="AB1387" s="69"/>
      <c r="AC1387" s="69"/>
      <c r="AD1387" s="69"/>
      <c r="AE1387" s="69"/>
      <c r="AF1387" s="69"/>
      <c r="AG1387" s="69"/>
      <c r="AH1387" s="69"/>
      <c r="AI1387" s="69"/>
      <c r="AJ1387" s="69"/>
      <c r="AK1387" s="69"/>
      <c r="AL1387" s="69"/>
      <c r="AM1387" s="69"/>
      <c r="AN1387" s="69"/>
      <c r="AO1387" s="69"/>
      <c r="AP1387" s="69"/>
      <c r="AQ1387" s="69"/>
      <c r="AR1387" s="69"/>
      <c r="AS1387" s="69"/>
      <c r="AT1387" s="69"/>
      <c r="AU1387" s="69"/>
      <c r="AV1387" s="69"/>
      <c r="AW1387" s="69"/>
      <c r="AX1387" s="69"/>
      <c r="AY1387" s="69"/>
      <c r="AZ1387" s="69"/>
      <c r="BA1387" s="69"/>
      <c r="BB1387" s="69"/>
      <c r="BC1387" s="69"/>
    </row>
    <row r="1388">
      <c r="A1388" s="68"/>
      <c r="B1388" s="68"/>
      <c r="C1388" s="68"/>
      <c r="D1388" s="68"/>
      <c r="E1388" s="68"/>
      <c r="F1388" s="68"/>
      <c r="G1388" s="68"/>
      <c r="H1388" s="68"/>
      <c r="I1388" s="69"/>
      <c r="J1388" s="69"/>
      <c r="K1388" s="71"/>
      <c r="L1388" s="69"/>
      <c r="M1388" s="69"/>
      <c r="N1388" s="72"/>
      <c r="O1388" s="69"/>
      <c r="P1388" s="69"/>
      <c r="Q1388" s="69"/>
      <c r="R1388" s="69"/>
      <c r="S1388" s="69"/>
      <c r="T1388" s="69"/>
      <c r="U1388" s="69"/>
      <c r="V1388" s="69"/>
      <c r="W1388" s="69"/>
      <c r="X1388" s="69"/>
      <c r="Y1388" s="69"/>
      <c r="Z1388" s="69"/>
      <c r="AA1388" s="69"/>
      <c r="AB1388" s="69"/>
      <c r="AC1388" s="69"/>
      <c r="AD1388" s="69"/>
      <c r="AE1388" s="69"/>
      <c r="AF1388" s="69"/>
      <c r="AG1388" s="69"/>
      <c r="AH1388" s="69"/>
      <c r="AI1388" s="69"/>
      <c r="AJ1388" s="69"/>
      <c r="AK1388" s="69"/>
      <c r="AL1388" s="69"/>
      <c r="AM1388" s="69"/>
      <c r="AN1388" s="69"/>
      <c r="AO1388" s="69"/>
      <c r="AP1388" s="69"/>
      <c r="AQ1388" s="69"/>
      <c r="AR1388" s="69"/>
      <c r="AS1388" s="69"/>
      <c r="AT1388" s="69"/>
      <c r="AU1388" s="69"/>
      <c r="AV1388" s="69"/>
      <c r="AW1388" s="69"/>
      <c r="AX1388" s="69"/>
      <c r="AY1388" s="69"/>
      <c r="AZ1388" s="69"/>
      <c r="BA1388" s="69"/>
      <c r="BB1388" s="69"/>
      <c r="BC1388" s="69"/>
    </row>
    <row r="1389">
      <c r="A1389" s="68"/>
      <c r="B1389" s="68"/>
      <c r="C1389" s="68"/>
      <c r="D1389" s="68"/>
      <c r="E1389" s="68"/>
      <c r="F1389" s="68"/>
      <c r="G1389" s="68"/>
      <c r="H1389" s="68"/>
      <c r="I1389" s="69"/>
      <c r="J1389" s="69"/>
      <c r="K1389" s="71"/>
      <c r="L1389" s="69"/>
      <c r="M1389" s="69"/>
      <c r="N1389" s="72"/>
      <c r="O1389" s="69"/>
      <c r="P1389" s="69"/>
      <c r="Q1389" s="69"/>
      <c r="R1389" s="69"/>
      <c r="S1389" s="69"/>
      <c r="T1389" s="69"/>
      <c r="U1389" s="69"/>
      <c r="V1389" s="69"/>
      <c r="W1389" s="69"/>
      <c r="X1389" s="69"/>
      <c r="Y1389" s="69"/>
      <c r="Z1389" s="69"/>
      <c r="AA1389" s="69"/>
      <c r="AB1389" s="69"/>
      <c r="AC1389" s="69"/>
      <c r="AD1389" s="69"/>
      <c r="AE1389" s="69"/>
      <c r="AF1389" s="69"/>
      <c r="AG1389" s="69"/>
      <c r="AH1389" s="69"/>
      <c r="AI1389" s="69"/>
      <c r="AJ1389" s="69"/>
      <c r="AK1389" s="69"/>
      <c r="AL1389" s="69"/>
      <c r="AM1389" s="69"/>
      <c r="AN1389" s="69"/>
      <c r="AO1389" s="69"/>
      <c r="AP1389" s="69"/>
      <c r="AQ1389" s="69"/>
      <c r="AR1389" s="69"/>
      <c r="AS1389" s="69"/>
      <c r="AT1389" s="69"/>
      <c r="AU1389" s="69"/>
      <c r="AV1389" s="69"/>
      <c r="AW1389" s="69"/>
      <c r="AX1389" s="69"/>
      <c r="AY1389" s="69"/>
      <c r="AZ1389" s="69"/>
      <c r="BA1389" s="69"/>
      <c r="BB1389" s="69"/>
      <c r="BC1389" s="69"/>
    </row>
    <row r="1390">
      <c r="A1390" s="68"/>
      <c r="B1390" s="68"/>
      <c r="C1390" s="68"/>
      <c r="D1390" s="68"/>
      <c r="E1390" s="68"/>
      <c r="F1390" s="68"/>
      <c r="G1390" s="68"/>
      <c r="H1390" s="68"/>
      <c r="I1390" s="69"/>
      <c r="J1390" s="69"/>
      <c r="K1390" s="71"/>
      <c r="L1390" s="69"/>
      <c r="M1390" s="69"/>
      <c r="N1390" s="72"/>
      <c r="O1390" s="69"/>
      <c r="P1390" s="69"/>
      <c r="Q1390" s="69"/>
      <c r="R1390" s="69"/>
      <c r="S1390" s="69"/>
      <c r="T1390" s="69"/>
      <c r="U1390" s="69"/>
      <c r="V1390" s="69"/>
      <c r="W1390" s="69"/>
      <c r="X1390" s="69"/>
      <c r="Y1390" s="69"/>
      <c r="Z1390" s="69"/>
      <c r="AA1390" s="69"/>
      <c r="AB1390" s="69"/>
      <c r="AC1390" s="69"/>
      <c r="AD1390" s="69"/>
      <c r="AE1390" s="69"/>
      <c r="AF1390" s="69"/>
      <c r="AG1390" s="69"/>
      <c r="AH1390" s="69"/>
      <c r="AI1390" s="69"/>
      <c r="AJ1390" s="69"/>
      <c r="AK1390" s="69"/>
      <c r="AL1390" s="69"/>
      <c r="AM1390" s="69"/>
      <c r="AN1390" s="69"/>
      <c r="AO1390" s="69"/>
      <c r="AP1390" s="69"/>
      <c r="AQ1390" s="69"/>
      <c r="AR1390" s="69"/>
      <c r="AS1390" s="69"/>
      <c r="AT1390" s="69"/>
      <c r="AU1390" s="69"/>
      <c r="AV1390" s="69"/>
      <c r="AW1390" s="69"/>
      <c r="AX1390" s="69"/>
      <c r="AY1390" s="69"/>
      <c r="AZ1390" s="69"/>
      <c r="BA1390" s="69"/>
      <c r="BB1390" s="69"/>
      <c r="BC1390" s="69"/>
    </row>
    <row r="1391">
      <c r="A1391" s="68"/>
      <c r="B1391" s="68"/>
      <c r="C1391" s="68"/>
      <c r="D1391" s="68"/>
      <c r="E1391" s="68"/>
      <c r="F1391" s="68"/>
      <c r="G1391" s="68"/>
      <c r="H1391" s="68"/>
      <c r="I1391" s="69"/>
      <c r="J1391" s="69"/>
      <c r="K1391" s="71"/>
      <c r="L1391" s="69"/>
      <c r="M1391" s="69"/>
      <c r="N1391" s="72"/>
      <c r="O1391" s="69"/>
      <c r="P1391" s="69"/>
      <c r="Q1391" s="69"/>
      <c r="R1391" s="69"/>
      <c r="S1391" s="69"/>
      <c r="T1391" s="69"/>
      <c r="U1391" s="69"/>
      <c r="V1391" s="69"/>
      <c r="W1391" s="69"/>
      <c r="X1391" s="69"/>
      <c r="Y1391" s="69"/>
      <c r="Z1391" s="69"/>
      <c r="AA1391" s="69"/>
      <c r="AB1391" s="69"/>
      <c r="AC1391" s="69"/>
      <c r="AD1391" s="69"/>
      <c r="AE1391" s="69"/>
      <c r="AF1391" s="69"/>
      <c r="AG1391" s="69"/>
      <c r="AH1391" s="69"/>
      <c r="AI1391" s="69"/>
      <c r="AJ1391" s="69"/>
      <c r="AK1391" s="69"/>
      <c r="AL1391" s="69"/>
      <c r="AM1391" s="69"/>
      <c r="AN1391" s="69"/>
      <c r="AO1391" s="69"/>
      <c r="AP1391" s="69"/>
      <c r="AQ1391" s="69"/>
      <c r="AR1391" s="69"/>
      <c r="AS1391" s="69"/>
      <c r="AT1391" s="69"/>
      <c r="AU1391" s="69"/>
      <c r="AV1391" s="69"/>
      <c r="AW1391" s="69"/>
      <c r="AX1391" s="69"/>
      <c r="AY1391" s="69"/>
      <c r="AZ1391" s="69"/>
      <c r="BA1391" s="69"/>
      <c r="BB1391" s="69"/>
      <c r="BC1391" s="69"/>
    </row>
    <row r="1392">
      <c r="A1392" s="68"/>
      <c r="B1392" s="68"/>
      <c r="C1392" s="68"/>
      <c r="D1392" s="68"/>
      <c r="E1392" s="68"/>
      <c r="F1392" s="68"/>
      <c r="G1392" s="68"/>
      <c r="H1392" s="68"/>
      <c r="I1392" s="69"/>
      <c r="J1392" s="69"/>
      <c r="K1392" s="71"/>
      <c r="L1392" s="69"/>
      <c r="M1392" s="69"/>
      <c r="N1392" s="72"/>
      <c r="O1392" s="69"/>
      <c r="P1392" s="69"/>
      <c r="Q1392" s="69"/>
      <c r="R1392" s="69"/>
      <c r="S1392" s="69"/>
      <c r="T1392" s="69"/>
      <c r="U1392" s="69"/>
      <c r="V1392" s="69"/>
      <c r="W1392" s="69"/>
      <c r="X1392" s="69"/>
      <c r="Y1392" s="69"/>
      <c r="Z1392" s="69"/>
      <c r="AA1392" s="69"/>
      <c r="AB1392" s="69"/>
      <c r="AC1392" s="69"/>
      <c r="AD1392" s="69"/>
      <c r="AE1392" s="69"/>
      <c r="AF1392" s="69"/>
      <c r="AG1392" s="69"/>
      <c r="AH1392" s="69"/>
      <c r="AI1392" s="69"/>
      <c r="AJ1392" s="69"/>
      <c r="AK1392" s="69"/>
      <c r="AL1392" s="69"/>
      <c r="AM1392" s="69"/>
      <c r="AN1392" s="69"/>
      <c r="AO1392" s="69"/>
      <c r="AP1392" s="69"/>
      <c r="AQ1392" s="69"/>
      <c r="AR1392" s="69"/>
      <c r="AS1392" s="69"/>
      <c r="AT1392" s="69"/>
      <c r="AU1392" s="69"/>
      <c r="AV1392" s="69"/>
      <c r="AW1392" s="69"/>
      <c r="AX1392" s="69"/>
      <c r="AY1392" s="69"/>
      <c r="AZ1392" s="69"/>
      <c r="BA1392" s="69"/>
      <c r="BB1392" s="69"/>
      <c r="BC1392" s="69"/>
    </row>
    <row r="1393">
      <c r="A1393" s="68"/>
      <c r="B1393" s="68"/>
      <c r="C1393" s="68"/>
      <c r="D1393" s="68"/>
      <c r="E1393" s="68"/>
      <c r="F1393" s="68"/>
      <c r="G1393" s="68"/>
      <c r="H1393" s="68"/>
      <c r="I1393" s="69"/>
      <c r="J1393" s="69"/>
      <c r="K1393" s="71"/>
      <c r="L1393" s="69"/>
      <c r="M1393" s="69"/>
      <c r="N1393" s="72"/>
      <c r="O1393" s="69"/>
      <c r="P1393" s="69"/>
      <c r="Q1393" s="69"/>
      <c r="R1393" s="69"/>
      <c r="S1393" s="69"/>
      <c r="T1393" s="69"/>
      <c r="U1393" s="69"/>
      <c r="V1393" s="69"/>
      <c r="W1393" s="69"/>
      <c r="X1393" s="69"/>
      <c r="Y1393" s="69"/>
      <c r="Z1393" s="69"/>
      <c r="AA1393" s="69"/>
      <c r="AB1393" s="69"/>
      <c r="AC1393" s="69"/>
      <c r="AD1393" s="69"/>
      <c r="AE1393" s="69"/>
      <c r="AF1393" s="69"/>
      <c r="AG1393" s="69"/>
      <c r="AH1393" s="69"/>
      <c r="AI1393" s="69"/>
      <c r="AJ1393" s="69"/>
      <c r="AK1393" s="69"/>
      <c r="AL1393" s="69"/>
      <c r="AM1393" s="69"/>
      <c r="AN1393" s="69"/>
      <c r="AO1393" s="69"/>
      <c r="AP1393" s="69"/>
      <c r="AQ1393" s="69"/>
      <c r="AR1393" s="69"/>
      <c r="AS1393" s="69"/>
      <c r="AT1393" s="69"/>
      <c r="AU1393" s="69"/>
      <c r="AV1393" s="69"/>
      <c r="AW1393" s="69"/>
      <c r="AX1393" s="69"/>
      <c r="AY1393" s="69"/>
      <c r="AZ1393" s="69"/>
      <c r="BA1393" s="69"/>
      <c r="BB1393" s="69"/>
      <c r="BC1393" s="69"/>
    </row>
    <row r="1394">
      <c r="A1394" s="68"/>
      <c r="B1394" s="68"/>
      <c r="C1394" s="68"/>
      <c r="D1394" s="68"/>
      <c r="E1394" s="68"/>
      <c r="F1394" s="68"/>
      <c r="G1394" s="68"/>
      <c r="H1394" s="68"/>
      <c r="I1394" s="69"/>
      <c r="J1394" s="69"/>
      <c r="K1394" s="71"/>
      <c r="L1394" s="69"/>
      <c r="M1394" s="69"/>
      <c r="N1394" s="72"/>
      <c r="O1394" s="69"/>
      <c r="P1394" s="69"/>
      <c r="Q1394" s="69"/>
      <c r="R1394" s="69"/>
      <c r="S1394" s="69"/>
      <c r="T1394" s="69"/>
      <c r="U1394" s="69"/>
      <c r="V1394" s="69"/>
      <c r="W1394" s="69"/>
      <c r="X1394" s="69"/>
      <c r="Y1394" s="69"/>
      <c r="Z1394" s="69"/>
      <c r="AA1394" s="69"/>
      <c r="AB1394" s="69"/>
      <c r="AC1394" s="69"/>
      <c r="AD1394" s="69"/>
      <c r="AE1394" s="69"/>
      <c r="AF1394" s="69"/>
      <c r="AG1394" s="69"/>
      <c r="AH1394" s="69"/>
      <c r="AI1394" s="69"/>
      <c r="AJ1394" s="69"/>
      <c r="AK1394" s="69"/>
      <c r="AL1394" s="69"/>
      <c r="AM1394" s="69"/>
      <c r="AN1394" s="69"/>
      <c r="AO1394" s="69"/>
      <c r="AP1394" s="69"/>
      <c r="AQ1394" s="69"/>
      <c r="AR1394" s="69"/>
      <c r="AS1394" s="69"/>
      <c r="AT1394" s="69"/>
      <c r="AU1394" s="69"/>
      <c r="AV1394" s="69"/>
      <c r="AW1394" s="69"/>
      <c r="AX1394" s="69"/>
      <c r="AY1394" s="69"/>
      <c r="AZ1394" s="69"/>
      <c r="BA1394" s="69"/>
      <c r="BB1394" s="69"/>
      <c r="BC1394" s="69"/>
    </row>
    <row r="1395">
      <c r="A1395" s="68"/>
      <c r="B1395" s="68"/>
      <c r="C1395" s="68"/>
      <c r="D1395" s="68"/>
      <c r="E1395" s="68"/>
      <c r="F1395" s="68"/>
      <c r="G1395" s="68"/>
      <c r="H1395" s="68"/>
      <c r="I1395" s="69"/>
      <c r="J1395" s="69"/>
      <c r="K1395" s="71"/>
      <c r="L1395" s="69"/>
      <c r="M1395" s="69"/>
      <c r="N1395" s="72"/>
      <c r="O1395" s="69"/>
      <c r="P1395" s="69"/>
      <c r="Q1395" s="69"/>
      <c r="R1395" s="69"/>
      <c r="S1395" s="69"/>
      <c r="T1395" s="69"/>
      <c r="U1395" s="69"/>
      <c r="V1395" s="69"/>
      <c r="W1395" s="69"/>
      <c r="X1395" s="69"/>
      <c r="Y1395" s="69"/>
      <c r="Z1395" s="69"/>
      <c r="AA1395" s="69"/>
      <c r="AB1395" s="69"/>
      <c r="AC1395" s="69"/>
      <c r="AD1395" s="69"/>
      <c r="AE1395" s="69"/>
      <c r="AF1395" s="69"/>
      <c r="AG1395" s="69"/>
      <c r="AH1395" s="69"/>
      <c r="AI1395" s="69"/>
      <c r="AJ1395" s="69"/>
      <c r="AK1395" s="69"/>
      <c r="AL1395" s="69"/>
      <c r="AM1395" s="69"/>
      <c r="AN1395" s="69"/>
      <c r="AO1395" s="69"/>
      <c r="AP1395" s="69"/>
      <c r="AQ1395" s="69"/>
      <c r="AR1395" s="69"/>
      <c r="AS1395" s="69"/>
      <c r="AT1395" s="69"/>
      <c r="AU1395" s="69"/>
      <c r="AV1395" s="69"/>
      <c r="AW1395" s="69"/>
      <c r="AX1395" s="69"/>
      <c r="AY1395" s="69"/>
      <c r="AZ1395" s="69"/>
      <c r="BA1395" s="69"/>
      <c r="BB1395" s="69"/>
      <c r="BC1395" s="69"/>
    </row>
    <row r="1396">
      <c r="A1396" s="68"/>
      <c r="B1396" s="68"/>
      <c r="C1396" s="68"/>
      <c r="D1396" s="68"/>
      <c r="E1396" s="68"/>
      <c r="F1396" s="68"/>
      <c r="G1396" s="68"/>
      <c r="H1396" s="68"/>
      <c r="I1396" s="69"/>
      <c r="J1396" s="69"/>
      <c r="K1396" s="71"/>
      <c r="L1396" s="69"/>
      <c r="M1396" s="69"/>
      <c r="N1396" s="72"/>
      <c r="O1396" s="69"/>
      <c r="P1396" s="69"/>
      <c r="Q1396" s="69"/>
      <c r="R1396" s="69"/>
      <c r="S1396" s="69"/>
      <c r="T1396" s="69"/>
      <c r="U1396" s="69"/>
      <c r="V1396" s="69"/>
      <c r="W1396" s="69"/>
      <c r="X1396" s="69"/>
      <c r="Y1396" s="69"/>
      <c r="Z1396" s="69"/>
      <c r="AA1396" s="69"/>
      <c r="AB1396" s="69"/>
      <c r="AC1396" s="69"/>
      <c r="AD1396" s="69"/>
      <c r="AE1396" s="69"/>
      <c r="AF1396" s="69"/>
      <c r="AG1396" s="69"/>
      <c r="AH1396" s="69"/>
      <c r="AI1396" s="69"/>
      <c r="AJ1396" s="69"/>
      <c r="AK1396" s="69"/>
      <c r="AL1396" s="69"/>
      <c r="AM1396" s="69"/>
      <c r="AN1396" s="69"/>
      <c r="AO1396" s="69"/>
      <c r="AP1396" s="69"/>
      <c r="AQ1396" s="69"/>
      <c r="AR1396" s="69"/>
      <c r="AS1396" s="69"/>
      <c r="AT1396" s="69"/>
      <c r="AU1396" s="69"/>
      <c r="AV1396" s="69"/>
      <c r="AW1396" s="69"/>
      <c r="AX1396" s="69"/>
      <c r="AY1396" s="69"/>
      <c r="AZ1396" s="69"/>
      <c r="BA1396" s="69"/>
      <c r="BB1396" s="69"/>
      <c r="BC1396" s="69"/>
    </row>
    <row r="1397">
      <c r="A1397" s="68"/>
      <c r="B1397" s="68"/>
      <c r="C1397" s="68"/>
      <c r="D1397" s="68"/>
      <c r="E1397" s="68"/>
      <c r="F1397" s="68"/>
      <c r="G1397" s="68"/>
      <c r="H1397" s="68"/>
      <c r="I1397" s="69"/>
      <c r="J1397" s="69"/>
      <c r="K1397" s="71"/>
      <c r="L1397" s="69"/>
      <c r="M1397" s="69"/>
      <c r="N1397" s="72"/>
      <c r="O1397" s="69"/>
      <c r="P1397" s="69"/>
      <c r="Q1397" s="69"/>
      <c r="R1397" s="69"/>
      <c r="S1397" s="69"/>
      <c r="T1397" s="69"/>
      <c r="U1397" s="69"/>
      <c r="V1397" s="69"/>
      <c r="W1397" s="69"/>
      <c r="X1397" s="69"/>
      <c r="Y1397" s="69"/>
      <c r="Z1397" s="69"/>
      <c r="AA1397" s="69"/>
      <c r="AB1397" s="69"/>
      <c r="AC1397" s="69"/>
      <c r="AD1397" s="69"/>
      <c r="AE1397" s="69"/>
      <c r="AF1397" s="69"/>
      <c r="AG1397" s="69"/>
      <c r="AH1397" s="69"/>
      <c r="AI1397" s="69"/>
      <c r="AJ1397" s="69"/>
      <c r="AK1397" s="69"/>
      <c r="AL1397" s="69"/>
      <c r="AM1397" s="69"/>
      <c r="AN1397" s="69"/>
      <c r="AO1397" s="69"/>
      <c r="AP1397" s="69"/>
      <c r="AQ1397" s="69"/>
      <c r="AR1397" s="69"/>
      <c r="AS1397" s="69"/>
      <c r="AT1397" s="69"/>
      <c r="AU1397" s="69"/>
      <c r="AV1397" s="69"/>
      <c r="AW1397" s="69"/>
      <c r="AX1397" s="69"/>
      <c r="AY1397" s="69"/>
      <c r="AZ1397" s="69"/>
      <c r="BA1397" s="69"/>
      <c r="BB1397" s="69"/>
      <c r="BC1397" s="69"/>
    </row>
    <row r="1398">
      <c r="A1398" s="68"/>
      <c r="B1398" s="68"/>
      <c r="C1398" s="68"/>
      <c r="D1398" s="68"/>
      <c r="E1398" s="68"/>
      <c r="F1398" s="68"/>
      <c r="G1398" s="68"/>
      <c r="H1398" s="68"/>
      <c r="I1398" s="69"/>
      <c r="J1398" s="69"/>
      <c r="K1398" s="71"/>
      <c r="L1398" s="69"/>
      <c r="M1398" s="69"/>
      <c r="N1398" s="72"/>
      <c r="O1398" s="69"/>
      <c r="P1398" s="69"/>
      <c r="Q1398" s="69"/>
      <c r="R1398" s="69"/>
      <c r="S1398" s="69"/>
      <c r="T1398" s="69"/>
      <c r="U1398" s="69"/>
      <c r="V1398" s="69"/>
      <c r="W1398" s="69"/>
      <c r="X1398" s="69"/>
      <c r="Y1398" s="69"/>
      <c r="Z1398" s="69"/>
      <c r="AA1398" s="69"/>
      <c r="AB1398" s="69"/>
      <c r="AC1398" s="69"/>
      <c r="AD1398" s="69"/>
      <c r="AE1398" s="69"/>
      <c r="AF1398" s="69"/>
      <c r="AG1398" s="69"/>
      <c r="AH1398" s="69"/>
      <c r="AI1398" s="69"/>
      <c r="AJ1398" s="69"/>
      <c r="AK1398" s="69"/>
      <c r="AL1398" s="69"/>
      <c r="AM1398" s="69"/>
      <c r="AN1398" s="69"/>
      <c r="AO1398" s="69"/>
      <c r="AP1398" s="69"/>
      <c r="AQ1398" s="69"/>
      <c r="AR1398" s="69"/>
      <c r="AS1398" s="69"/>
      <c r="AT1398" s="69"/>
      <c r="AU1398" s="69"/>
      <c r="AV1398" s="69"/>
      <c r="AW1398" s="69"/>
      <c r="AX1398" s="69"/>
      <c r="AY1398" s="69"/>
      <c r="AZ1398" s="69"/>
      <c r="BA1398" s="69"/>
      <c r="BB1398" s="69"/>
      <c r="BC1398" s="69"/>
    </row>
    <row r="1399">
      <c r="A1399" s="68"/>
      <c r="B1399" s="68"/>
      <c r="C1399" s="68"/>
      <c r="D1399" s="68"/>
      <c r="E1399" s="68"/>
      <c r="F1399" s="68"/>
      <c r="G1399" s="68"/>
      <c r="H1399" s="68"/>
      <c r="I1399" s="69"/>
      <c r="J1399" s="69"/>
      <c r="K1399" s="71"/>
      <c r="L1399" s="69"/>
      <c r="M1399" s="69"/>
      <c r="N1399" s="72"/>
      <c r="O1399" s="69"/>
      <c r="P1399" s="69"/>
      <c r="Q1399" s="69"/>
      <c r="R1399" s="69"/>
      <c r="S1399" s="69"/>
      <c r="T1399" s="69"/>
      <c r="U1399" s="69"/>
      <c r="V1399" s="69"/>
      <c r="W1399" s="69"/>
      <c r="X1399" s="69"/>
      <c r="Y1399" s="69"/>
      <c r="Z1399" s="69"/>
      <c r="AA1399" s="69"/>
      <c r="AB1399" s="69"/>
      <c r="AC1399" s="69"/>
      <c r="AD1399" s="69"/>
      <c r="AE1399" s="69"/>
      <c r="AF1399" s="69"/>
      <c r="AG1399" s="69"/>
      <c r="AH1399" s="69"/>
      <c r="AI1399" s="69"/>
      <c r="AJ1399" s="69"/>
      <c r="AK1399" s="69"/>
      <c r="AL1399" s="69"/>
      <c r="AM1399" s="69"/>
      <c r="AN1399" s="69"/>
      <c r="AO1399" s="69"/>
      <c r="AP1399" s="69"/>
      <c r="AQ1399" s="69"/>
      <c r="AR1399" s="69"/>
      <c r="AS1399" s="69"/>
      <c r="AT1399" s="69"/>
      <c r="AU1399" s="69"/>
      <c r="AV1399" s="69"/>
      <c r="AW1399" s="69"/>
      <c r="AX1399" s="69"/>
      <c r="AY1399" s="69"/>
      <c r="AZ1399" s="69"/>
      <c r="BA1399" s="69"/>
      <c r="BB1399" s="69"/>
      <c r="BC1399" s="69"/>
    </row>
    <row r="1400">
      <c r="A1400" s="68"/>
      <c r="B1400" s="68"/>
      <c r="C1400" s="68"/>
      <c r="D1400" s="68"/>
      <c r="E1400" s="68"/>
      <c r="F1400" s="68"/>
      <c r="G1400" s="68"/>
      <c r="H1400" s="68"/>
      <c r="I1400" s="69"/>
      <c r="J1400" s="69"/>
      <c r="K1400" s="71"/>
      <c r="L1400" s="69"/>
      <c r="M1400" s="69"/>
      <c r="N1400" s="72"/>
      <c r="O1400" s="69"/>
      <c r="P1400" s="69"/>
      <c r="Q1400" s="69"/>
      <c r="R1400" s="69"/>
      <c r="S1400" s="69"/>
      <c r="T1400" s="69"/>
      <c r="U1400" s="69"/>
      <c r="V1400" s="69"/>
      <c r="W1400" s="69"/>
      <c r="X1400" s="69"/>
      <c r="Y1400" s="69"/>
      <c r="Z1400" s="69"/>
      <c r="AA1400" s="69"/>
      <c r="AB1400" s="69"/>
      <c r="AC1400" s="69"/>
      <c r="AD1400" s="69"/>
      <c r="AE1400" s="69"/>
      <c r="AF1400" s="69"/>
      <c r="AG1400" s="69"/>
      <c r="AH1400" s="69"/>
      <c r="AI1400" s="69"/>
      <c r="AJ1400" s="69"/>
      <c r="AK1400" s="69"/>
      <c r="AL1400" s="69"/>
      <c r="AM1400" s="69"/>
      <c r="AN1400" s="69"/>
      <c r="AO1400" s="69"/>
      <c r="AP1400" s="69"/>
      <c r="AQ1400" s="69"/>
      <c r="AR1400" s="69"/>
      <c r="AS1400" s="69"/>
      <c r="AT1400" s="69"/>
      <c r="AU1400" s="69"/>
      <c r="AV1400" s="69"/>
      <c r="AW1400" s="69"/>
      <c r="AX1400" s="69"/>
      <c r="AY1400" s="69"/>
      <c r="AZ1400" s="69"/>
      <c r="BA1400" s="69"/>
      <c r="BB1400" s="69"/>
      <c r="BC1400" s="69"/>
    </row>
    <row r="1401">
      <c r="A1401" s="68"/>
      <c r="B1401" s="68"/>
      <c r="C1401" s="68"/>
      <c r="D1401" s="68"/>
      <c r="E1401" s="68"/>
      <c r="F1401" s="68"/>
      <c r="G1401" s="68"/>
      <c r="H1401" s="68"/>
      <c r="I1401" s="69"/>
      <c r="J1401" s="69"/>
      <c r="K1401" s="71"/>
      <c r="L1401" s="69"/>
      <c r="M1401" s="69"/>
      <c r="N1401" s="72"/>
      <c r="O1401" s="69"/>
      <c r="P1401" s="69"/>
      <c r="Q1401" s="69"/>
      <c r="R1401" s="69"/>
      <c r="S1401" s="69"/>
      <c r="T1401" s="69"/>
      <c r="U1401" s="69"/>
      <c r="V1401" s="69"/>
      <c r="W1401" s="69"/>
      <c r="X1401" s="69"/>
      <c r="Y1401" s="69"/>
      <c r="Z1401" s="69"/>
      <c r="AA1401" s="69"/>
      <c r="AB1401" s="69"/>
      <c r="AC1401" s="69"/>
      <c r="AD1401" s="69"/>
      <c r="AE1401" s="69"/>
      <c r="AF1401" s="69"/>
      <c r="AG1401" s="69"/>
      <c r="AH1401" s="69"/>
      <c r="AI1401" s="69"/>
      <c r="AJ1401" s="69"/>
      <c r="AK1401" s="69"/>
      <c r="AL1401" s="69"/>
      <c r="AM1401" s="69"/>
      <c r="AN1401" s="69"/>
      <c r="AO1401" s="69"/>
      <c r="AP1401" s="69"/>
      <c r="AQ1401" s="69"/>
      <c r="AR1401" s="69"/>
      <c r="AS1401" s="69"/>
      <c r="AT1401" s="69"/>
      <c r="AU1401" s="69"/>
      <c r="AV1401" s="69"/>
      <c r="AW1401" s="69"/>
      <c r="AX1401" s="69"/>
      <c r="AY1401" s="69"/>
      <c r="AZ1401" s="69"/>
      <c r="BA1401" s="69"/>
      <c r="BB1401" s="69"/>
      <c r="BC1401" s="69"/>
    </row>
    <row r="1402">
      <c r="A1402" s="68"/>
      <c r="B1402" s="68"/>
      <c r="C1402" s="68"/>
      <c r="D1402" s="68"/>
      <c r="E1402" s="68"/>
      <c r="F1402" s="68"/>
      <c r="G1402" s="68"/>
      <c r="H1402" s="68"/>
      <c r="I1402" s="69"/>
      <c r="J1402" s="69"/>
      <c r="K1402" s="71"/>
      <c r="L1402" s="69"/>
      <c r="M1402" s="69"/>
      <c r="N1402" s="72"/>
      <c r="O1402" s="69"/>
      <c r="P1402" s="69"/>
      <c r="Q1402" s="69"/>
      <c r="R1402" s="69"/>
      <c r="S1402" s="69"/>
      <c r="T1402" s="69"/>
      <c r="U1402" s="69"/>
      <c r="V1402" s="69"/>
      <c r="W1402" s="69"/>
      <c r="X1402" s="69"/>
      <c r="Y1402" s="69"/>
      <c r="Z1402" s="69"/>
      <c r="AA1402" s="69"/>
      <c r="AB1402" s="69"/>
      <c r="AC1402" s="69"/>
      <c r="AD1402" s="69"/>
      <c r="AE1402" s="69"/>
      <c r="AF1402" s="69"/>
      <c r="AG1402" s="69"/>
      <c r="AH1402" s="69"/>
      <c r="AI1402" s="69"/>
      <c r="AJ1402" s="69"/>
      <c r="AK1402" s="69"/>
      <c r="AL1402" s="69"/>
      <c r="AM1402" s="69"/>
      <c r="AN1402" s="69"/>
      <c r="AO1402" s="69"/>
      <c r="AP1402" s="69"/>
      <c r="AQ1402" s="69"/>
      <c r="AR1402" s="69"/>
      <c r="AS1402" s="69"/>
      <c r="AT1402" s="69"/>
      <c r="AU1402" s="69"/>
      <c r="AV1402" s="69"/>
      <c r="AW1402" s="69"/>
      <c r="AX1402" s="69"/>
      <c r="AY1402" s="69"/>
      <c r="AZ1402" s="69"/>
      <c r="BA1402" s="69"/>
      <c r="BB1402" s="69"/>
      <c r="BC1402" s="69"/>
    </row>
    <row r="1403">
      <c r="A1403" s="68"/>
      <c r="B1403" s="68"/>
      <c r="C1403" s="68"/>
      <c r="D1403" s="68"/>
      <c r="E1403" s="68"/>
      <c r="F1403" s="68"/>
      <c r="G1403" s="68"/>
      <c r="H1403" s="68"/>
      <c r="I1403" s="69"/>
      <c r="J1403" s="69"/>
      <c r="K1403" s="71"/>
      <c r="L1403" s="69"/>
      <c r="M1403" s="69"/>
      <c r="N1403" s="72"/>
      <c r="O1403" s="69"/>
      <c r="P1403" s="69"/>
      <c r="Q1403" s="69"/>
      <c r="R1403" s="69"/>
      <c r="S1403" s="69"/>
      <c r="T1403" s="69"/>
      <c r="U1403" s="69"/>
      <c r="V1403" s="69"/>
      <c r="W1403" s="69"/>
      <c r="X1403" s="69"/>
      <c r="Y1403" s="69"/>
      <c r="Z1403" s="69"/>
      <c r="AA1403" s="69"/>
      <c r="AB1403" s="69"/>
      <c r="AC1403" s="69"/>
      <c r="AD1403" s="69"/>
      <c r="AE1403" s="69"/>
      <c r="AF1403" s="69"/>
      <c r="AG1403" s="69"/>
      <c r="AH1403" s="69"/>
      <c r="AI1403" s="69"/>
      <c r="AJ1403" s="69"/>
      <c r="AK1403" s="69"/>
      <c r="AL1403" s="69"/>
      <c r="AM1403" s="69"/>
      <c r="AN1403" s="69"/>
      <c r="AO1403" s="69"/>
      <c r="AP1403" s="69"/>
      <c r="AQ1403" s="69"/>
      <c r="AR1403" s="69"/>
      <c r="AS1403" s="69"/>
      <c r="AT1403" s="69"/>
      <c r="AU1403" s="69"/>
      <c r="AV1403" s="69"/>
      <c r="AW1403" s="69"/>
      <c r="AX1403" s="69"/>
      <c r="AY1403" s="69"/>
      <c r="AZ1403" s="69"/>
      <c r="BA1403" s="69"/>
      <c r="BB1403" s="69"/>
      <c r="BC1403" s="69"/>
    </row>
    <row r="1404">
      <c r="A1404" s="68"/>
      <c r="B1404" s="68"/>
      <c r="C1404" s="68"/>
      <c r="D1404" s="68"/>
      <c r="E1404" s="68"/>
      <c r="F1404" s="68"/>
      <c r="G1404" s="68"/>
      <c r="H1404" s="68"/>
      <c r="I1404" s="69"/>
      <c r="J1404" s="69"/>
      <c r="K1404" s="71"/>
      <c r="L1404" s="69"/>
      <c r="M1404" s="69"/>
      <c r="N1404" s="72"/>
      <c r="O1404" s="69"/>
      <c r="P1404" s="69"/>
      <c r="Q1404" s="69"/>
      <c r="R1404" s="69"/>
      <c r="S1404" s="69"/>
      <c r="T1404" s="69"/>
      <c r="U1404" s="69"/>
      <c r="V1404" s="69"/>
      <c r="W1404" s="69"/>
      <c r="X1404" s="69"/>
      <c r="Y1404" s="69"/>
      <c r="Z1404" s="69"/>
      <c r="AA1404" s="69"/>
      <c r="AB1404" s="69"/>
      <c r="AC1404" s="69"/>
      <c r="AD1404" s="69"/>
      <c r="AE1404" s="69"/>
      <c r="AF1404" s="69"/>
      <c r="AG1404" s="69"/>
      <c r="AH1404" s="69"/>
      <c r="AI1404" s="69"/>
      <c r="AJ1404" s="69"/>
      <c r="AK1404" s="69"/>
      <c r="AL1404" s="69"/>
      <c r="AM1404" s="69"/>
      <c r="AN1404" s="69"/>
      <c r="AO1404" s="69"/>
      <c r="AP1404" s="69"/>
      <c r="AQ1404" s="69"/>
      <c r="AR1404" s="69"/>
      <c r="AS1404" s="69"/>
      <c r="AT1404" s="69"/>
      <c r="AU1404" s="69"/>
      <c r="AV1404" s="69"/>
      <c r="AW1404" s="69"/>
      <c r="AX1404" s="69"/>
      <c r="AY1404" s="69"/>
      <c r="AZ1404" s="69"/>
      <c r="BA1404" s="69"/>
      <c r="BB1404" s="69"/>
      <c r="BC1404" s="69"/>
    </row>
    <row r="1405">
      <c r="A1405" s="68"/>
      <c r="B1405" s="68"/>
      <c r="C1405" s="68"/>
      <c r="D1405" s="68"/>
      <c r="E1405" s="68"/>
      <c r="F1405" s="68"/>
      <c r="G1405" s="68"/>
      <c r="H1405" s="68"/>
      <c r="I1405" s="69"/>
      <c r="J1405" s="69"/>
      <c r="K1405" s="71"/>
      <c r="L1405" s="69"/>
      <c r="M1405" s="69"/>
      <c r="N1405" s="72"/>
      <c r="O1405" s="69"/>
      <c r="P1405" s="69"/>
      <c r="Q1405" s="69"/>
      <c r="R1405" s="69"/>
      <c r="S1405" s="69"/>
      <c r="T1405" s="69"/>
      <c r="U1405" s="69"/>
      <c r="V1405" s="69"/>
      <c r="W1405" s="69"/>
      <c r="X1405" s="69"/>
      <c r="Y1405" s="69"/>
      <c r="Z1405" s="69"/>
      <c r="AA1405" s="69"/>
      <c r="AB1405" s="69"/>
      <c r="AC1405" s="69"/>
      <c r="AD1405" s="69"/>
      <c r="AE1405" s="69"/>
      <c r="AF1405" s="69"/>
      <c r="AG1405" s="69"/>
      <c r="AH1405" s="69"/>
      <c r="AI1405" s="69"/>
      <c r="AJ1405" s="69"/>
      <c r="AK1405" s="69"/>
      <c r="AL1405" s="69"/>
      <c r="AM1405" s="69"/>
      <c r="AN1405" s="69"/>
      <c r="AO1405" s="69"/>
      <c r="AP1405" s="69"/>
      <c r="AQ1405" s="69"/>
      <c r="AR1405" s="69"/>
      <c r="AS1405" s="69"/>
      <c r="AT1405" s="69"/>
      <c r="AU1405" s="69"/>
      <c r="AV1405" s="69"/>
      <c r="AW1405" s="69"/>
      <c r="AX1405" s="69"/>
      <c r="AY1405" s="69"/>
      <c r="AZ1405" s="69"/>
      <c r="BA1405" s="69"/>
      <c r="BB1405" s="69"/>
      <c r="BC1405" s="69"/>
    </row>
    <row r="1406">
      <c r="A1406" s="68"/>
      <c r="B1406" s="68"/>
      <c r="C1406" s="68"/>
      <c r="D1406" s="68"/>
      <c r="E1406" s="68"/>
      <c r="F1406" s="68"/>
      <c r="G1406" s="68"/>
      <c r="H1406" s="68"/>
      <c r="I1406" s="69"/>
      <c r="J1406" s="69"/>
      <c r="K1406" s="71"/>
      <c r="L1406" s="69"/>
      <c r="M1406" s="69"/>
      <c r="N1406" s="72"/>
      <c r="O1406" s="69"/>
      <c r="P1406" s="69"/>
      <c r="Q1406" s="69"/>
      <c r="R1406" s="69"/>
      <c r="S1406" s="69"/>
      <c r="T1406" s="69"/>
      <c r="U1406" s="69"/>
      <c r="V1406" s="69"/>
      <c r="W1406" s="69"/>
      <c r="X1406" s="69"/>
      <c r="Y1406" s="69"/>
      <c r="Z1406" s="69"/>
      <c r="AA1406" s="69"/>
      <c r="AB1406" s="69"/>
      <c r="AC1406" s="69"/>
      <c r="AD1406" s="69"/>
      <c r="AE1406" s="69"/>
      <c r="AF1406" s="69"/>
      <c r="AG1406" s="69"/>
      <c r="AH1406" s="69"/>
      <c r="AI1406" s="69"/>
      <c r="AJ1406" s="69"/>
      <c r="AK1406" s="69"/>
      <c r="AL1406" s="69"/>
      <c r="AM1406" s="69"/>
      <c r="AN1406" s="69"/>
      <c r="AO1406" s="69"/>
      <c r="AP1406" s="69"/>
      <c r="AQ1406" s="69"/>
      <c r="AR1406" s="69"/>
      <c r="AS1406" s="69"/>
      <c r="AT1406" s="69"/>
      <c r="AU1406" s="69"/>
      <c r="AV1406" s="69"/>
      <c r="AW1406" s="69"/>
      <c r="AX1406" s="69"/>
      <c r="AY1406" s="69"/>
      <c r="AZ1406" s="69"/>
      <c r="BA1406" s="69"/>
      <c r="BB1406" s="69"/>
      <c r="BC1406" s="69"/>
    </row>
    <row r="1407">
      <c r="A1407" s="68"/>
      <c r="B1407" s="68"/>
      <c r="C1407" s="68"/>
      <c r="D1407" s="68"/>
      <c r="E1407" s="68"/>
      <c r="F1407" s="68"/>
      <c r="G1407" s="68"/>
      <c r="H1407" s="68"/>
      <c r="I1407" s="69"/>
      <c r="J1407" s="69"/>
      <c r="K1407" s="71"/>
      <c r="L1407" s="69"/>
      <c r="M1407" s="69"/>
      <c r="N1407" s="72"/>
      <c r="O1407" s="69"/>
      <c r="P1407" s="69"/>
      <c r="Q1407" s="69"/>
      <c r="R1407" s="69"/>
      <c r="S1407" s="69"/>
      <c r="T1407" s="69"/>
      <c r="U1407" s="69"/>
      <c r="V1407" s="69"/>
      <c r="W1407" s="69"/>
      <c r="X1407" s="69"/>
      <c r="Y1407" s="69"/>
      <c r="Z1407" s="69"/>
      <c r="AA1407" s="69"/>
      <c r="AB1407" s="69"/>
      <c r="AC1407" s="69"/>
      <c r="AD1407" s="69"/>
      <c r="AE1407" s="69"/>
      <c r="AF1407" s="69"/>
      <c r="AG1407" s="69"/>
      <c r="AH1407" s="69"/>
      <c r="AI1407" s="69"/>
      <c r="AJ1407" s="69"/>
      <c r="AK1407" s="69"/>
      <c r="AL1407" s="69"/>
      <c r="AM1407" s="69"/>
      <c r="AN1407" s="69"/>
      <c r="AO1407" s="69"/>
      <c r="AP1407" s="69"/>
      <c r="AQ1407" s="69"/>
      <c r="AR1407" s="69"/>
      <c r="AS1407" s="69"/>
      <c r="AT1407" s="69"/>
      <c r="AU1407" s="69"/>
      <c r="AV1407" s="69"/>
      <c r="AW1407" s="69"/>
      <c r="AX1407" s="69"/>
      <c r="AY1407" s="69"/>
      <c r="AZ1407" s="69"/>
      <c r="BA1407" s="69"/>
      <c r="BB1407" s="69"/>
      <c r="BC1407" s="69"/>
    </row>
    <row r="1408">
      <c r="A1408" s="68"/>
      <c r="B1408" s="68"/>
      <c r="C1408" s="68"/>
      <c r="D1408" s="68"/>
      <c r="E1408" s="68"/>
      <c r="F1408" s="68"/>
      <c r="G1408" s="68"/>
      <c r="H1408" s="68"/>
      <c r="I1408" s="69"/>
      <c r="J1408" s="69"/>
      <c r="K1408" s="71"/>
      <c r="L1408" s="69"/>
      <c r="M1408" s="69"/>
      <c r="N1408" s="72"/>
      <c r="O1408" s="69"/>
      <c r="P1408" s="69"/>
      <c r="Q1408" s="69"/>
      <c r="R1408" s="69"/>
      <c r="S1408" s="69"/>
      <c r="T1408" s="69"/>
      <c r="U1408" s="69"/>
      <c r="V1408" s="69"/>
      <c r="W1408" s="69"/>
      <c r="X1408" s="69"/>
      <c r="Y1408" s="69"/>
      <c r="Z1408" s="69"/>
      <c r="AA1408" s="69"/>
      <c r="AB1408" s="69"/>
      <c r="AC1408" s="69"/>
      <c r="AD1408" s="69"/>
      <c r="AE1408" s="69"/>
      <c r="AF1408" s="69"/>
      <c r="AG1408" s="69"/>
      <c r="AH1408" s="69"/>
      <c r="AI1408" s="69"/>
      <c r="AJ1408" s="69"/>
      <c r="AK1408" s="69"/>
      <c r="AL1408" s="69"/>
      <c r="AM1408" s="69"/>
      <c r="AN1408" s="69"/>
      <c r="AO1408" s="69"/>
      <c r="AP1408" s="69"/>
      <c r="AQ1408" s="69"/>
      <c r="AR1408" s="69"/>
      <c r="AS1408" s="69"/>
      <c r="AT1408" s="69"/>
      <c r="AU1408" s="69"/>
      <c r="AV1408" s="69"/>
      <c r="AW1408" s="69"/>
      <c r="AX1408" s="69"/>
      <c r="AY1408" s="69"/>
      <c r="AZ1408" s="69"/>
      <c r="BA1408" s="69"/>
      <c r="BB1408" s="69"/>
      <c r="BC1408" s="69"/>
    </row>
    <row r="1409">
      <c r="A1409" s="68"/>
      <c r="B1409" s="68"/>
      <c r="C1409" s="68"/>
      <c r="D1409" s="68"/>
      <c r="E1409" s="68"/>
      <c r="F1409" s="68"/>
      <c r="G1409" s="68"/>
      <c r="H1409" s="68"/>
      <c r="I1409" s="69"/>
      <c r="J1409" s="69"/>
      <c r="K1409" s="71"/>
      <c r="L1409" s="69"/>
      <c r="M1409" s="69"/>
      <c r="N1409" s="72"/>
      <c r="O1409" s="69"/>
      <c r="P1409" s="69"/>
      <c r="Q1409" s="69"/>
      <c r="R1409" s="69"/>
      <c r="S1409" s="69"/>
      <c r="T1409" s="69"/>
      <c r="U1409" s="69"/>
      <c r="V1409" s="69"/>
      <c r="W1409" s="69"/>
      <c r="X1409" s="69"/>
      <c r="Y1409" s="69"/>
      <c r="Z1409" s="69"/>
      <c r="AA1409" s="69"/>
      <c r="AB1409" s="69"/>
      <c r="AC1409" s="69"/>
      <c r="AD1409" s="69"/>
      <c r="AE1409" s="69"/>
      <c r="AF1409" s="69"/>
      <c r="AG1409" s="69"/>
      <c r="AH1409" s="69"/>
      <c r="AI1409" s="69"/>
      <c r="AJ1409" s="69"/>
      <c r="AK1409" s="69"/>
      <c r="AL1409" s="69"/>
      <c r="AM1409" s="69"/>
      <c r="AN1409" s="69"/>
      <c r="AO1409" s="69"/>
      <c r="AP1409" s="69"/>
      <c r="AQ1409" s="69"/>
      <c r="AR1409" s="69"/>
      <c r="AS1409" s="69"/>
      <c r="AT1409" s="69"/>
      <c r="AU1409" s="69"/>
      <c r="AV1409" s="69"/>
      <c r="AW1409" s="69"/>
      <c r="AX1409" s="69"/>
      <c r="AY1409" s="69"/>
      <c r="AZ1409" s="69"/>
      <c r="BA1409" s="69"/>
      <c r="BB1409" s="69"/>
      <c r="BC1409" s="69"/>
    </row>
    <row r="1410">
      <c r="A1410" s="68"/>
      <c r="B1410" s="68"/>
      <c r="C1410" s="68"/>
      <c r="D1410" s="68"/>
      <c r="E1410" s="68"/>
      <c r="F1410" s="68"/>
      <c r="G1410" s="68"/>
      <c r="H1410" s="68"/>
      <c r="I1410" s="69"/>
      <c r="J1410" s="69"/>
      <c r="K1410" s="71"/>
      <c r="L1410" s="69"/>
      <c r="M1410" s="69"/>
      <c r="N1410" s="72"/>
      <c r="O1410" s="69"/>
      <c r="P1410" s="69"/>
      <c r="Q1410" s="69"/>
      <c r="R1410" s="69"/>
      <c r="S1410" s="69"/>
      <c r="T1410" s="69"/>
      <c r="U1410" s="69"/>
      <c r="V1410" s="69"/>
      <c r="W1410" s="69"/>
      <c r="X1410" s="69"/>
      <c r="Y1410" s="69"/>
      <c r="Z1410" s="69"/>
      <c r="AA1410" s="69"/>
      <c r="AB1410" s="69"/>
      <c r="AC1410" s="69"/>
      <c r="AD1410" s="69"/>
      <c r="AE1410" s="69"/>
      <c r="AF1410" s="69"/>
      <c r="AG1410" s="69"/>
      <c r="AH1410" s="69"/>
      <c r="AI1410" s="69"/>
      <c r="AJ1410" s="69"/>
      <c r="AK1410" s="69"/>
      <c r="AL1410" s="69"/>
      <c r="AM1410" s="69"/>
      <c r="AN1410" s="69"/>
      <c r="AO1410" s="69"/>
      <c r="AP1410" s="69"/>
      <c r="AQ1410" s="69"/>
      <c r="AR1410" s="69"/>
      <c r="AS1410" s="69"/>
      <c r="AT1410" s="69"/>
      <c r="AU1410" s="69"/>
      <c r="AV1410" s="69"/>
      <c r="AW1410" s="69"/>
      <c r="AX1410" s="69"/>
      <c r="AY1410" s="69"/>
      <c r="AZ1410" s="69"/>
      <c r="BA1410" s="69"/>
      <c r="BB1410" s="69"/>
      <c r="BC1410" s="69"/>
    </row>
    <row r="1411">
      <c r="A1411" s="68"/>
      <c r="B1411" s="68"/>
      <c r="C1411" s="68"/>
      <c r="D1411" s="68"/>
      <c r="E1411" s="68"/>
      <c r="F1411" s="68"/>
      <c r="G1411" s="68"/>
      <c r="H1411" s="68"/>
      <c r="I1411" s="69"/>
      <c r="J1411" s="69"/>
      <c r="K1411" s="71"/>
      <c r="L1411" s="69"/>
      <c r="M1411" s="69"/>
      <c r="N1411" s="72"/>
      <c r="O1411" s="69"/>
      <c r="P1411" s="69"/>
      <c r="Q1411" s="69"/>
      <c r="R1411" s="69"/>
      <c r="S1411" s="69"/>
      <c r="T1411" s="69"/>
      <c r="U1411" s="69"/>
      <c r="V1411" s="69"/>
      <c r="W1411" s="69"/>
      <c r="X1411" s="69"/>
      <c r="Y1411" s="69"/>
      <c r="Z1411" s="69"/>
      <c r="AA1411" s="69"/>
      <c r="AB1411" s="69"/>
      <c r="AC1411" s="69"/>
      <c r="AD1411" s="69"/>
      <c r="AE1411" s="69"/>
      <c r="AF1411" s="69"/>
      <c r="AG1411" s="69"/>
      <c r="AH1411" s="69"/>
      <c r="AI1411" s="69"/>
      <c r="AJ1411" s="69"/>
      <c r="AK1411" s="69"/>
      <c r="AL1411" s="69"/>
      <c r="AM1411" s="69"/>
      <c r="AN1411" s="69"/>
      <c r="AO1411" s="69"/>
      <c r="AP1411" s="69"/>
      <c r="AQ1411" s="69"/>
      <c r="AR1411" s="69"/>
      <c r="AS1411" s="69"/>
      <c r="AT1411" s="69"/>
      <c r="AU1411" s="69"/>
      <c r="AV1411" s="69"/>
      <c r="AW1411" s="69"/>
      <c r="AX1411" s="69"/>
      <c r="AY1411" s="69"/>
      <c r="AZ1411" s="69"/>
      <c r="BA1411" s="69"/>
      <c r="BB1411" s="69"/>
      <c r="BC1411" s="69"/>
    </row>
    <row r="1412">
      <c r="A1412" s="68"/>
      <c r="B1412" s="68"/>
      <c r="C1412" s="68"/>
      <c r="D1412" s="68"/>
      <c r="E1412" s="68"/>
      <c r="F1412" s="68"/>
      <c r="G1412" s="68"/>
      <c r="H1412" s="68"/>
      <c r="I1412" s="69"/>
      <c r="J1412" s="69"/>
      <c r="K1412" s="71"/>
      <c r="L1412" s="69"/>
      <c r="M1412" s="69"/>
      <c r="N1412" s="72"/>
      <c r="O1412" s="69"/>
      <c r="P1412" s="69"/>
      <c r="Q1412" s="69"/>
      <c r="R1412" s="69"/>
      <c r="S1412" s="69"/>
      <c r="T1412" s="69"/>
      <c r="U1412" s="69"/>
      <c r="V1412" s="69"/>
      <c r="W1412" s="69"/>
      <c r="X1412" s="69"/>
      <c r="Y1412" s="69"/>
      <c r="Z1412" s="69"/>
      <c r="AA1412" s="69"/>
      <c r="AB1412" s="69"/>
      <c r="AC1412" s="69"/>
      <c r="AD1412" s="69"/>
      <c r="AE1412" s="69"/>
      <c r="AF1412" s="69"/>
      <c r="AG1412" s="69"/>
      <c r="AH1412" s="69"/>
      <c r="AI1412" s="69"/>
      <c r="AJ1412" s="69"/>
      <c r="AK1412" s="69"/>
      <c r="AL1412" s="69"/>
      <c r="AM1412" s="69"/>
      <c r="AN1412" s="69"/>
      <c r="AO1412" s="69"/>
      <c r="AP1412" s="69"/>
      <c r="AQ1412" s="69"/>
      <c r="AR1412" s="69"/>
      <c r="AS1412" s="69"/>
      <c r="AT1412" s="69"/>
      <c r="AU1412" s="69"/>
      <c r="AV1412" s="69"/>
      <c r="AW1412" s="69"/>
      <c r="AX1412" s="69"/>
      <c r="AY1412" s="69"/>
      <c r="AZ1412" s="69"/>
      <c r="BA1412" s="69"/>
      <c r="BB1412" s="69"/>
      <c r="BC1412" s="69"/>
    </row>
    <row r="1413">
      <c r="A1413" s="68"/>
      <c r="B1413" s="68"/>
      <c r="C1413" s="68"/>
      <c r="D1413" s="68"/>
      <c r="E1413" s="68"/>
      <c r="F1413" s="68"/>
      <c r="G1413" s="68"/>
      <c r="H1413" s="68"/>
      <c r="I1413" s="69"/>
      <c r="J1413" s="69"/>
      <c r="K1413" s="71"/>
      <c r="L1413" s="69"/>
      <c r="M1413" s="69"/>
      <c r="N1413" s="72"/>
      <c r="O1413" s="69"/>
      <c r="P1413" s="69"/>
      <c r="Q1413" s="69"/>
      <c r="R1413" s="69"/>
      <c r="S1413" s="69"/>
      <c r="T1413" s="69"/>
      <c r="U1413" s="69"/>
      <c r="V1413" s="69"/>
      <c r="W1413" s="69"/>
      <c r="X1413" s="69"/>
      <c r="Y1413" s="69"/>
      <c r="Z1413" s="69"/>
      <c r="AA1413" s="69"/>
      <c r="AB1413" s="69"/>
      <c r="AC1413" s="69"/>
      <c r="AD1413" s="69"/>
      <c r="AE1413" s="69"/>
      <c r="AF1413" s="69"/>
      <c r="AG1413" s="69"/>
      <c r="AH1413" s="69"/>
      <c r="AI1413" s="69"/>
      <c r="AJ1413" s="69"/>
      <c r="AK1413" s="69"/>
      <c r="AL1413" s="69"/>
      <c r="AM1413" s="69"/>
      <c r="AN1413" s="69"/>
      <c r="AO1413" s="69"/>
      <c r="AP1413" s="69"/>
      <c r="AQ1413" s="69"/>
      <c r="AR1413" s="69"/>
      <c r="AS1413" s="69"/>
      <c r="AT1413" s="69"/>
      <c r="AU1413" s="69"/>
      <c r="AV1413" s="69"/>
      <c r="AW1413" s="69"/>
      <c r="AX1413" s="69"/>
      <c r="AY1413" s="69"/>
      <c r="AZ1413" s="69"/>
      <c r="BA1413" s="69"/>
      <c r="BB1413" s="69"/>
      <c r="BC1413" s="69"/>
    </row>
    <row r="1414">
      <c r="A1414" s="68"/>
      <c r="B1414" s="68"/>
      <c r="C1414" s="68"/>
      <c r="D1414" s="68"/>
      <c r="E1414" s="68"/>
      <c r="F1414" s="68"/>
      <c r="G1414" s="68"/>
      <c r="H1414" s="68"/>
      <c r="I1414" s="69"/>
      <c r="J1414" s="69"/>
      <c r="K1414" s="71"/>
      <c r="L1414" s="69"/>
      <c r="M1414" s="69"/>
      <c r="N1414" s="72"/>
      <c r="O1414" s="69"/>
      <c r="P1414" s="69"/>
      <c r="Q1414" s="69"/>
      <c r="R1414" s="69"/>
      <c r="S1414" s="69"/>
      <c r="T1414" s="69"/>
      <c r="U1414" s="69"/>
      <c r="V1414" s="69"/>
      <c r="W1414" s="69"/>
      <c r="X1414" s="69"/>
      <c r="Y1414" s="69"/>
      <c r="Z1414" s="69"/>
      <c r="AA1414" s="69"/>
      <c r="AB1414" s="69"/>
      <c r="AC1414" s="69"/>
      <c r="AD1414" s="69"/>
      <c r="AE1414" s="69"/>
      <c r="AF1414" s="69"/>
      <c r="AG1414" s="69"/>
      <c r="AH1414" s="69"/>
      <c r="AI1414" s="69"/>
      <c r="AJ1414" s="69"/>
      <c r="AK1414" s="69"/>
      <c r="AL1414" s="69"/>
      <c r="AM1414" s="69"/>
      <c r="AN1414" s="69"/>
      <c r="AO1414" s="69"/>
      <c r="AP1414" s="69"/>
      <c r="AQ1414" s="69"/>
      <c r="AR1414" s="69"/>
      <c r="AS1414" s="69"/>
      <c r="AT1414" s="69"/>
      <c r="AU1414" s="69"/>
      <c r="AV1414" s="69"/>
      <c r="AW1414" s="69"/>
      <c r="AX1414" s="69"/>
      <c r="AY1414" s="69"/>
      <c r="AZ1414" s="69"/>
      <c r="BA1414" s="69"/>
      <c r="BB1414" s="69"/>
      <c r="BC1414" s="69"/>
    </row>
    <row r="1415">
      <c r="A1415" s="68"/>
      <c r="B1415" s="68"/>
      <c r="C1415" s="68"/>
      <c r="D1415" s="68"/>
      <c r="E1415" s="68"/>
      <c r="F1415" s="68"/>
      <c r="G1415" s="68"/>
      <c r="H1415" s="68"/>
      <c r="I1415" s="69"/>
      <c r="J1415" s="69"/>
      <c r="K1415" s="71"/>
      <c r="L1415" s="69"/>
      <c r="M1415" s="69"/>
      <c r="N1415" s="72"/>
      <c r="O1415" s="69"/>
      <c r="P1415" s="69"/>
      <c r="Q1415" s="69"/>
      <c r="R1415" s="69"/>
      <c r="S1415" s="69"/>
      <c r="T1415" s="69"/>
      <c r="U1415" s="69"/>
      <c r="V1415" s="69"/>
      <c r="W1415" s="69"/>
      <c r="X1415" s="69"/>
      <c r="Y1415" s="69"/>
      <c r="Z1415" s="69"/>
      <c r="AA1415" s="69"/>
      <c r="AB1415" s="69"/>
      <c r="AC1415" s="69"/>
      <c r="AD1415" s="69"/>
      <c r="AE1415" s="69"/>
      <c r="AF1415" s="69"/>
      <c r="AG1415" s="69"/>
      <c r="AH1415" s="69"/>
      <c r="AI1415" s="69"/>
      <c r="AJ1415" s="69"/>
      <c r="AK1415" s="69"/>
      <c r="AL1415" s="69"/>
      <c r="AM1415" s="69"/>
      <c r="AN1415" s="69"/>
      <c r="AO1415" s="69"/>
      <c r="AP1415" s="69"/>
      <c r="AQ1415" s="69"/>
      <c r="AR1415" s="69"/>
      <c r="AS1415" s="69"/>
      <c r="AT1415" s="69"/>
      <c r="AU1415" s="69"/>
      <c r="AV1415" s="69"/>
      <c r="AW1415" s="69"/>
      <c r="AX1415" s="69"/>
      <c r="AY1415" s="69"/>
      <c r="AZ1415" s="69"/>
      <c r="BA1415" s="69"/>
      <c r="BB1415" s="69"/>
      <c r="BC1415" s="69"/>
    </row>
    <row r="1416">
      <c r="A1416" s="68"/>
      <c r="B1416" s="68"/>
      <c r="C1416" s="68"/>
      <c r="D1416" s="68"/>
      <c r="E1416" s="68"/>
      <c r="F1416" s="68"/>
      <c r="G1416" s="68"/>
      <c r="H1416" s="68"/>
      <c r="I1416" s="69"/>
      <c r="J1416" s="69"/>
      <c r="K1416" s="71"/>
      <c r="L1416" s="69"/>
      <c r="M1416" s="69"/>
      <c r="N1416" s="72"/>
      <c r="O1416" s="69"/>
      <c r="P1416" s="69"/>
      <c r="Q1416" s="69"/>
      <c r="R1416" s="69"/>
      <c r="S1416" s="69"/>
      <c r="T1416" s="69"/>
      <c r="U1416" s="69"/>
      <c r="V1416" s="69"/>
      <c r="W1416" s="69"/>
      <c r="X1416" s="69"/>
      <c r="Y1416" s="69"/>
      <c r="Z1416" s="69"/>
      <c r="AA1416" s="69"/>
      <c r="AB1416" s="69"/>
      <c r="AC1416" s="69"/>
      <c r="AD1416" s="69"/>
      <c r="AE1416" s="69"/>
      <c r="AF1416" s="69"/>
      <c r="AG1416" s="69"/>
      <c r="AH1416" s="69"/>
      <c r="AI1416" s="69"/>
      <c r="AJ1416" s="69"/>
      <c r="AK1416" s="69"/>
      <c r="AL1416" s="69"/>
      <c r="AM1416" s="69"/>
      <c r="AN1416" s="69"/>
      <c r="AO1416" s="69"/>
      <c r="AP1416" s="69"/>
      <c r="AQ1416" s="69"/>
      <c r="AR1416" s="69"/>
      <c r="AS1416" s="69"/>
      <c r="AT1416" s="69"/>
      <c r="AU1416" s="69"/>
      <c r="AV1416" s="69"/>
      <c r="AW1416" s="69"/>
      <c r="AX1416" s="69"/>
      <c r="AY1416" s="69"/>
      <c r="AZ1416" s="69"/>
      <c r="BA1416" s="69"/>
      <c r="BB1416" s="69"/>
      <c r="BC1416" s="69"/>
    </row>
    <row r="1417">
      <c r="A1417" s="68"/>
      <c r="B1417" s="68"/>
      <c r="C1417" s="68"/>
      <c r="D1417" s="68"/>
      <c r="E1417" s="68"/>
      <c r="F1417" s="68"/>
      <c r="G1417" s="68"/>
      <c r="H1417" s="68"/>
      <c r="I1417" s="69"/>
      <c r="J1417" s="69"/>
      <c r="K1417" s="71"/>
      <c r="L1417" s="69"/>
      <c r="M1417" s="69"/>
      <c r="N1417" s="72"/>
      <c r="O1417" s="69"/>
      <c r="P1417" s="69"/>
      <c r="Q1417" s="69"/>
      <c r="R1417" s="69"/>
      <c r="S1417" s="69"/>
      <c r="T1417" s="69"/>
      <c r="U1417" s="69"/>
      <c r="V1417" s="69"/>
      <c r="W1417" s="69"/>
      <c r="X1417" s="69"/>
      <c r="Y1417" s="69"/>
      <c r="Z1417" s="69"/>
      <c r="AA1417" s="69"/>
      <c r="AB1417" s="69"/>
      <c r="AC1417" s="69"/>
      <c r="AD1417" s="69"/>
      <c r="AE1417" s="69"/>
      <c r="AF1417" s="69"/>
      <c r="AG1417" s="69"/>
      <c r="AH1417" s="69"/>
      <c r="AI1417" s="69"/>
      <c r="AJ1417" s="69"/>
      <c r="AK1417" s="69"/>
      <c r="AL1417" s="69"/>
      <c r="AM1417" s="69"/>
      <c r="AN1417" s="69"/>
      <c r="AO1417" s="69"/>
      <c r="AP1417" s="69"/>
      <c r="AQ1417" s="69"/>
      <c r="AR1417" s="69"/>
      <c r="AS1417" s="69"/>
      <c r="AT1417" s="69"/>
      <c r="AU1417" s="69"/>
      <c r="AV1417" s="69"/>
      <c r="AW1417" s="69"/>
      <c r="AX1417" s="69"/>
      <c r="AY1417" s="69"/>
      <c r="AZ1417" s="69"/>
      <c r="BA1417" s="69"/>
      <c r="BB1417" s="69"/>
      <c r="BC1417" s="69"/>
    </row>
    <row r="1418">
      <c r="A1418" s="68"/>
      <c r="B1418" s="68"/>
      <c r="C1418" s="68"/>
      <c r="D1418" s="68"/>
      <c r="E1418" s="68"/>
      <c r="F1418" s="68"/>
      <c r="G1418" s="68"/>
      <c r="H1418" s="68"/>
      <c r="I1418" s="69"/>
      <c r="J1418" s="69"/>
      <c r="K1418" s="71"/>
      <c r="L1418" s="69"/>
      <c r="M1418" s="69"/>
      <c r="N1418" s="72"/>
      <c r="O1418" s="69"/>
      <c r="P1418" s="69"/>
      <c r="Q1418" s="69"/>
      <c r="R1418" s="69"/>
      <c r="S1418" s="69"/>
      <c r="T1418" s="69"/>
      <c r="U1418" s="69"/>
      <c r="V1418" s="69"/>
      <c r="W1418" s="69"/>
      <c r="X1418" s="69"/>
      <c r="Y1418" s="69"/>
      <c r="Z1418" s="69"/>
      <c r="AA1418" s="69"/>
      <c r="AB1418" s="69"/>
      <c r="AC1418" s="69"/>
      <c r="AD1418" s="69"/>
      <c r="AE1418" s="69"/>
      <c r="AF1418" s="69"/>
      <c r="AG1418" s="69"/>
      <c r="AH1418" s="69"/>
      <c r="AI1418" s="69"/>
      <c r="AJ1418" s="69"/>
      <c r="AK1418" s="69"/>
      <c r="AL1418" s="69"/>
      <c r="AM1418" s="69"/>
      <c r="AN1418" s="69"/>
      <c r="AO1418" s="69"/>
      <c r="AP1418" s="69"/>
      <c r="AQ1418" s="69"/>
      <c r="AR1418" s="69"/>
      <c r="AS1418" s="69"/>
      <c r="AT1418" s="69"/>
      <c r="AU1418" s="69"/>
      <c r="AV1418" s="69"/>
      <c r="AW1418" s="69"/>
      <c r="AX1418" s="69"/>
      <c r="AY1418" s="69"/>
      <c r="AZ1418" s="69"/>
      <c r="BA1418" s="69"/>
      <c r="BB1418" s="69"/>
      <c r="BC1418" s="69"/>
    </row>
    <row r="1419">
      <c r="A1419" s="68"/>
      <c r="B1419" s="68"/>
      <c r="C1419" s="68"/>
      <c r="D1419" s="68"/>
      <c r="E1419" s="68"/>
      <c r="F1419" s="68"/>
      <c r="G1419" s="68"/>
      <c r="H1419" s="68"/>
      <c r="I1419" s="69"/>
      <c r="J1419" s="69"/>
      <c r="K1419" s="71"/>
      <c r="L1419" s="69"/>
      <c r="M1419" s="69"/>
      <c r="N1419" s="72"/>
      <c r="O1419" s="69"/>
      <c r="P1419" s="69"/>
      <c r="Q1419" s="69"/>
      <c r="R1419" s="69"/>
      <c r="S1419" s="69"/>
      <c r="T1419" s="69"/>
      <c r="U1419" s="69"/>
      <c r="V1419" s="69"/>
      <c r="W1419" s="69"/>
      <c r="X1419" s="69"/>
      <c r="Y1419" s="69"/>
      <c r="Z1419" s="69"/>
      <c r="AA1419" s="69"/>
      <c r="AB1419" s="69"/>
      <c r="AC1419" s="69"/>
      <c r="AD1419" s="69"/>
      <c r="AE1419" s="69"/>
      <c r="AF1419" s="69"/>
      <c r="AG1419" s="69"/>
      <c r="AH1419" s="69"/>
      <c r="AI1419" s="69"/>
      <c r="AJ1419" s="69"/>
      <c r="AK1419" s="69"/>
      <c r="AL1419" s="69"/>
      <c r="AM1419" s="69"/>
      <c r="AN1419" s="69"/>
      <c r="AO1419" s="69"/>
      <c r="AP1419" s="69"/>
      <c r="AQ1419" s="69"/>
      <c r="AR1419" s="69"/>
      <c r="AS1419" s="69"/>
      <c r="AT1419" s="69"/>
      <c r="AU1419" s="69"/>
      <c r="AV1419" s="69"/>
      <c r="AW1419" s="69"/>
      <c r="AX1419" s="69"/>
      <c r="AY1419" s="69"/>
      <c r="AZ1419" s="69"/>
      <c r="BA1419" s="69"/>
      <c r="BB1419" s="69"/>
      <c r="BC1419" s="69"/>
    </row>
    <row r="1420">
      <c r="A1420" s="68"/>
      <c r="B1420" s="68"/>
      <c r="C1420" s="68"/>
      <c r="D1420" s="68"/>
      <c r="E1420" s="68"/>
      <c r="F1420" s="68"/>
      <c r="G1420" s="68"/>
      <c r="H1420" s="68"/>
      <c r="I1420" s="69"/>
      <c r="J1420" s="69"/>
      <c r="K1420" s="71"/>
      <c r="L1420" s="69"/>
      <c r="M1420" s="69"/>
      <c r="N1420" s="72"/>
      <c r="O1420" s="69"/>
      <c r="P1420" s="69"/>
      <c r="Q1420" s="69"/>
      <c r="R1420" s="69"/>
      <c r="S1420" s="69"/>
      <c r="T1420" s="69"/>
      <c r="U1420" s="69"/>
      <c r="V1420" s="69"/>
      <c r="W1420" s="69"/>
      <c r="X1420" s="69"/>
      <c r="Y1420" s="69"/>
      <c r="Z1420" s="69"/>
      <c r="AA1420" s="69"/>
      <c r="AB1420" s="69"/>
      <c r="AC1420" s="69"/>
      <c r="AD1420" s="69"/>
      <c r="AE1420" s="69"/>
      <c r="AF1420" s="69"/>
      <c r="AG1420" s="69"/>
      <c r="AH1420" s="69"/>
      <c r="AI1420" s="69"/>
      <c r="AJ1420" s="69"/>
      <c r="AK1420" s="69"/>
      <c r="AL1420" s="69"/>
      <c r="AM1420" s="69"/>
      <c r="AN1420" s="69"/>
      <c r="AO1420" s="69"/>
      <c r="AP1420" s="69"/>
      <c r="AQ1420" s="69"/>
      <c r="AR1420" s="69"/>
      <c r="AS1420" s="69"/>
      <c r="AT1420" s="69"/>
      <c r="AU1420" s="69"/>
      <c r="AV1420" s="69"/>
      <c r="AW1420" s="69"/>
      <c r="AX1420" s="69"/>
      <c r="AY1420" s="69"/>
      <c r="AZ1420" s="69"/>
      <c r="BA1420" s="69"/>
      <c r="BB1420" s="69"/>
      <c r="BC1420" s="69"/>
    </row>
    <row r="1421">
      <c r="A1421" s="68"/>
      <c r="B1421" s="68"/>
      <c r="C1421" s="68"/>
      <c r="D1421" s="68"/>
      <c r="E1421" s="68"/>
      <c r="F1421" s="68"/>
      <c r="G1421" s="68"/>
      <c r="H1421" s="68"/>
      <c r="I1421" s="69"/>
      <c r="J1421" s="69"/>
      <c r="K1421" s="71"/>
      <c r="L1421" s="69"/>
      <c r="M1421" s="69"/>
      <c r="N1421" s="72"/>
      <c r="O1421" s="69"/>
      <c r="P1421" s="69"/>
      <c r="Q1421" s="69"/>
      <c r="R1421" s="69"/>
      <c r="S1421" s="69"/>
      <c r="T1421" s="69"/>
      <c r="U1421" s="69"/>
      <c r="V1421" s="69"/>
      <c r="W1421" s="69"/>
      <c r="X1421" s="69"/>
      <c r="Y1421" s="69"/>
      <c r="Z1421" s="69"/>
      <c r="AA1421" s="69"/>
      <c r="AB1421" s="69"/>
      <c r="AC1421" s="69"/>
      <c r="AD1421" s="69"/>
      <c r="AE1421" s="69"/>
      <c r="AF1421" s="69"/>
      <c r="AG1421" s="69"/>
      <c r="AH1421" s="69"/>
      <c r="AI1421" s="69"/>
      <c r="AJ1421" s="69"/>
      <c r="AK1421" s="69"/>
      <c r="AL1421" s="69"/>
      <c r="AM1421" s="69"/>
      <c r="AN1421" s="69"/>
      <c r="AO1421" s="69"/>
      <c r="AP1421" s="69"/>
      <c r="AQ1421" s="69"/>
      <c r="AR1421" s="69"/>
      <c r="AS1421" s="69"/>
      <c r="AT1421" s="69"/>
      <c r="AU1421" s="69"/>
      <c r="AV1421" s="69"/>
      <c r="AW1421" s="69"/>
      <c r="AX1421" s="69"/>
      <c r="AY1421" s="69"/>
      <c r="AZ1421" s="69"/>
      <c r="BA1421" s="69"/>
      <c r="BB1421" s="69"/>
      <c r="BC1421" s="69"/>
    </row>
    <row r="1422">
      <c r="A1422" s="68"/>
      <c r="B1422" s="68"/>
      <c r="C1422" s="68"/>
      <c r="D1422" s="68"/>
      <c r="E1422" s="68"/>
      <c r="F1422" s="68"/>
      <c r="G1422" s="68"/>
      <c r="H1422" s="68"/>
      <c r="I1422" s="69"/>
      <c r="J1422" s="69"/>
      <c r="K1422" s="71"/>
      <c r="L1422" s="69"/>
      <c r="M1422" s="69"/>
      <c r="N1422" s="72"/>
      <c r="O1422" s="69"/>
      <c r="P1422" s="69"/>
      <c r="Q1422" s="69"/>
      <c r="R1422" s="69"/>
      <c r="S1422" s="69"/>
      <c r="T1422" s="69"/>
      <c r="U1422" s="69"/>
      <c r="V1422" s="69"/>
      <c r="W1422" s="69"/>
      <c r="X1422" s="69"/>
      <c r="Y1422" s="69"/>
      <c r="Z1422" s="69"/>
      <c r="AA1422" s="69"/>
      <c r="AB1422" s="69"/>
      <c r="AC1422" s="69"/>
      <c r="AD1422" s="69"/>
      <c r="AE1422" s="69"/>
      <c r="AF1422" s="69"/>
      <c r="AG1422" s="69"/>
      <c r="AH1422" s="69"/>
      <c r="AI1422" s="69"/>
      <c r="AJ1422" s="69"/>
      <c r="AK1422" s="69"/>
      <c r="AL1422" s="69"/>
      <c r="AM1422" s="69"/>
      <c r="AN1422" s="69"/>
      <c r="AO1422" s="69"/>
      <c r="AP1422" s="69"/>
      <c r="AQ1422" s="69"/>
      <c r="AR1422" s="69"/>
      <c r="AS1422" s="69"/>
      <c r="AT1422" s="69"/>
      <c r="AU1422" s="69"/>
      <c r="AV1422" s="69"/>
      <c r="AW1422" s="69"/>
      <c r="AX1422" s="69"/>
      <c r="AY1422" s="69"/>
      <c r="AZ1422" s="69"/>
      <c r="BA1422" s="69"/>
      <c r="BB1422" s="69"/>
      <c r="BC1422" s="69"/>
    </row>
    <row r="1423">
      <c r="A1423" s="68"/>
      <c r="B1423" s="68"/>
      <c r="C1423" s="68"/>
      <c r="D1423" s="68"/>
      <c r="E1423" s="68"/>
      <c r="F1423" s="68"/>
      <c r="G1423" s="68"/>
      <c r="H1423" s="68"/>
      <c r="I1423" s="69"/>
      <c r="J1423" s="69"/>
      <c r="K1423" s="71"/>
      <c r="L1423" s="69"/>
      <c r="M1423" s="69"/>
      <c r="N1423" s="72"/>
      <c r="O1423" s="69"/>
      <c r="P1423" s="69"/>
      <c r="Q1423" s="69"/>
      <c r="R1423" s="69"/>
      <c r="S1423" s="69"/>
      <c r="T1423" s="69"/>
      <c r="U1423" s="69"/>
      <c r="V1423" s="69"/>
      <c r="W1423" s="69"/>
      <c r="X1423" s="69"/>
      <c r="Y1423" s="69"/>
      <c r="Z1423" s="69"/>
      <c r="AA1423" s="69"/>
      <c r="AB1423" s="69"/>
      <c r="AC1423" s="69"/>
      <c r="AD1423" s="69"/>
      <c r="AE1423" s="69"/>
      <c r="AF1423" s="69"/>
      <c r="AG1423" s="69"/>
      <c r="AH1423" s="69"/>
      <c r="AI1423" s="69"/>
      <c r="AJ1423" s="69"/>
      <c r="AK1423" s="69"/>
      <c r="AL1423" s="69"/>
      <c r="AM1423" s="69"/>
      <c r="AN1423" s="69"/>
      <c r="AO1423" s="69"/>
      <c r="AP1423" s="69"/>
      <c r="AQ1423" s="69"/>
      <c r="AR1423" s="69"/>
      <c r="AS1423" s="69"/>
      <c r="AT1423" s="69"/>
      <c r="AU1423" s="69"/>
      <c r="AV1423" s="69"/>
      <c r="AW1423" s="69"/>
      <c r="AX1423" s="69"/>
      <c r="AY1423" s="69"/>
      <c r="AZ1423" s="69"/>
      <c r="BA1423" s="69"/>
      <c r="BB1423" s="69"/>
      <c r="BC1423" s="69"/>
    </row>
    <row r="1424">
      <c r="A1424" s="68"/>
      <c r="B1424" s="68"/>
      <c r="C1424" s="68"/>
      <c r="D1424" s="68"/>
      <c r="E1424" s="68"/>
      <c r="F1424" s="68"/>
      <c r="G1424" s="68"/>
      <c r="H1424" s="68"/>
      <c r="I1424" s="69"/>
      <c r="J1424" s="69"/>
      <c r="K1424" s="71"/>
      <c r="L1424" s="69"/>
      <c r="M1424" s="69"/>
      <c r="N1424" s="72"/>
      <c r="O1424" s="69"/>
      <c r="P1424" s="69"/>
      <c r="Q1424" s="69"/>
      <c r="R1424" s="69"/>
      <c r="S1424" s="69"/>
      <c r="T1424" s="69"/>
      <c r="U1424" s="69"/>
      <c r="V1424" s="69"/>
      <c r="W1424" s="69"/>
      <c r="X1424" s="69"/>
      <c r="Y1424" s="69"/>
      <c r="Z1424" s="69"/>
      <c r="AA1424" s="69"/>
      <c r="AB1424" s="69"/>
      <c r="AC1424" s="69"/>
      <c r="AD1424" s="69"/>
      <c r="AE1424" s="69"/>
      <c r="AF1424" s="69"/>
      <c r="AG1424" s="69"/>
      <c r="AH1424" s="69"/>
      <c r="AI1424" s="69"/>
      <c r="AJ1424" s="69"/>
      <c r="AK1424" s="69"/>
      <c r="AL1424" s="69"/>
      <c r="AM1424" s="69"/>
      <c r="AN1424" s="69"/>
      <c r="AO1424" s="69"/>
      <c r="AP1424" s="69"/>
      <c r="AQ1424" s="69"/>
      <c r="AR1424" s="69"/>
      <c r="AS1424" s="69"/>
      <c r="AT1424" s="69"/>
      <c r="AU1424" s="69"/>
      <c r="AV1424" s="69"/>
      <c r="AW1424" s="69"/>
      <c r="AX1424" s="69"/>
      <c r="AY1424" s="69"/>
      <c r="AZ1424" s="69"/>
      <c r="BA1424" s="69"/>
      <c r="BB1424" s="69"/>
      <c r="BC1424" s="69"/>
    </row>
    <row r="1425">
      <c r="A1425" s="68"/>
      <c r="B1425" s="68"/>
      <c r="C1425" s="68"/>
      <c r="D1425" s="68"/>
      <c r="E1425" s="68"/>
      <c r="F1425" s="68"/>
      <c r="G1425" s="68"/>
      <c r="H1425" s="68"/>
      <c r="I1425" s="69"/>
      <c r="J1425" s="69"/>
      <c r="K1425" s="71"/>
      <c r="L1425" s="69"/>
      <c r="M1425" s="69"/>
      <c r="N1425" s="72"/>
      <c r="O1425" s="69"/>
      <c r="P1425" s="69"/>
      <c r="Q1425" s="69"/>
      <c r="R1425" s="69"/>
      <c r="S1425" s="69"/>
      <c r="T1425" s="69"/>
      <c r="U1425" s="69"/>
      <c r="V1425" s="69"/>
      <c r="W1425" s="69"/>
      <c r="X1425" s="69"/>
      <c r="Y1425" s="69"/>
      <c r="Z1425" s="69"/>
      <c r="AA1425" s="69"/>
      <c r="AB1425" s="69"/>
      <c r="AC1425" s="69"/>
      <c r="AD1425" s="69"/>
      <c r="AE1425" s="69"/>
      <c r="AF1425" s="69"/>
      <c r="AG1425" s="69"/>
      <c r="AH1425" s="69"/>
      <c r="AI1425" s="69"/>
      <c r="AJ1425" s="69"/>
      <c r="AK1425" s="69"/>
      <c r="AL1425" s="69"/>
      <c r="AM1425" s="69"/>
      <c r="AN1425" s="69"/>
      <c r="AO1425" s="69"/>
      <c r="AP1425" s="69"/>
      <c r="AQ1425" s="69"/>
      <c r="AR1425" s="69"/>
      <c r="AS1425" s="69"/>
      <c r="AT1425" s="69"/>
      <c r="AU1425" s="69"/>
      <c r="AV1425" s="69"/>
      <c r="AW1425" s="69"/>
      <c r="AX1425" s="69"/>
      <c r="AY1425" s="69"/>
      <c r="AZ1425" s="69"/>
      <c r="BA1425" s="69"/>
      <c r="BB1425" s="69"/>
      <c r="BC1425" s="69"/>
    </row>
    <row r="1426">
      <c r="A1426" s="68"/>
      <c r="B1426" s="68"/>
      <c r="C1426" s="68"/>
      <c r="D1426" s="68"/>
      <c r="E1426" s="68"/>
      <c r="F1426" s="68"/>
      <c r="G1426" s="68"/>
      <c r="H1426" s="68"/>
      <c r="I1426" s="69"/>
      <c r="J1426" s="69"/>
      <c r="K1426" s="71"/>
      <c r="L1426" s="69"/>
      <c r="M1426" s="69"/>
      <c r="N1426" s="72"/>
      <c r="O1426" s="69"/>
      <c r="P1426" s="69"/>
      <c r="Q1426" s="69"/>
      <c r="R1426" s="69"/>
      <c r="S1426" s="69"/>
      <c r="T1426" s="69"/>
      <c r="U1426" s="69"/>
      <c r="V1426" s="69"/>
      <c r="W1426" s="69"/>
      <c r="X1426" s="69"/>
      <c r="Y1426" s="69"/>
      <c r="Z1426" s="69"/>
      <c r="AA1426" s="69"/>
      <c r="AB1426" s="69"/>
      <c r="AC1426" s="69"/>
      <c r="AD1426" s="69"/>
      <c r="AE1426" s="69"/>
      <c r="AF1426" s="69"/>
      <c r="AG1426" s="69"/>
      <c r="AH1426" s="69"/>
      <c r="AI1426" s="69"/>
      <c r="AJ1426" s="69"/>
      <c r="AK1426" s="69"/>
      <c r="AL1426" s="69"/>
      <c r="AM1426" s="69"/>
      <c r="AN1426" s="69"/>
      <c r="AO1426" s="69"/>
      <c r="AP1426" s="69"/>
      <c r="AQ1426" s="69"/>
      <c r="AR1426" s="69"/>
      <c r="AS1426" s="69"/>
      <c r="AT1426" s="69"/>
      <c r="AU1426" s="69"/>
      <c r="AV1426" s="69"/>
      <c r="AW1426" s="69"/>
      <c r="AX1426" s="69"/>
      <c r="AY1426" s="69"/>
      <c r="AZ1426" s="69"/>
      <c r="BA1426" s="69"/>
      <c r="BB1426" s="69"/>
      <c r="BC1426" s="69"/>
    </row>
    <row r="1427">
      <c r="A1427" s="68"/>
      <c r="B1427" s="68"/>
      <c r="C1427" s="68"/>
      <c r="D1427" s="68"/>
      <c r="E1427" s="68"/>
      <c r="F1427" s="68"/>
      <c r="G1427" s="68"/>
      <c r="H1427" s="68"/>
      <c r="I1427" s="69"/>
      <c r="J1427" s="69"/>
      <c r="K1427" s="71"/>
      <c r="L1427" s="69"/>
      <c r="M1427" s="69"/>
      <c r="N1427" s="72"/>
      <c r="O1427" s="69"/>
      <c r="P1427" s="69"/>
      <c r="Q1427" s="69"/>
      <c r="R1427" s="69"/>
      <c r="S1427" s="69"/>
      <c r="T1427" s="69"/>
      <c r="U1427" s="69"/>
      <c r="V1427" s="69"/>
      <c r="W1427" s="69"/>
      <c r="X1427" s="69"/>
      <c r="Y1427" s="69"/>
      <c r="Z1427" s="69"/>
      <c r="AA1427" s="69"/>
      <c r="AB1427" s="69"/>
      <c r="AC1427" s="69"/>
      <c r="AD1427" s="69"/>
      <c r="AE1427" s="69"/>
      <c r="AF1427" s="69"/>
      <c r="AG1427" s="69"/>
      <c r="AH1427" s="69"/>
      <c r="AI1427" s="69"/>
      <c r="AJ1427" s="69"/>
      <c r="AK1427" s="69"/>
      <c r="AL1427" s="69"/>
      <c r="AM1427" s="69"/>
      <c r="AN1427" s="69"/>
      <c r="AO1427" s="69"/>
      <c r="AP1427" s="69"/>
      <c r="AQ1427" s="69"/>
      <c r="AR1427" s="69"/>
      <c r="AS1427" s="69"/>
      <c r="AT1427" s="69"/>
      <c r="AU1427" s="69"/>
      <c r="AV1427" s="69"/>
      <c r="AW1427" s="69"/>
      <c r="AX1427" s="69"/>
      <c r="AY1427" s="69"/>
      <c r="AZ1427" s="69"/>
      <c r="BA1427" s="69"/>
      <c r="BB1427" s="69"/>
      <c r="BC1427" s="69"/>
    </row>
    <row r="1428">
      <c r="A1428" s="68"/>
      <c r="B1428" s="68"/>
      <c r="C1428" s="68"/>
      <c r="D1428" s="68"/>
      <c r="E1428" s="68"/>
      <c r="F1428" s="68"/>
      <c r="G1428" s="68"/>
      <c r="H1428" s="68"/>
      <c r="I1428" s="69"/>
      <c r="J1428" s="69"/>
      <c r="K1428" s="71"/>
      <c r="L1428" s="69"/>
      <c r="M1428" s="69"/>
      <c r="N1428" s="72"/>
      <c r="O1428" s="69"/>
      <c r="P1428" s="69"/>
      <c r="Q1428" s="69"/>
      <c r="R1428" s="69"/>
      <c r="S1428" s="69"/>
      <c r="T1428" s="69"/>
      <c r="U1428" s="69"/>
      <c r="V1428" s="69"/>
      <c r="W1428" s="69"/>
      <c r="X1428" s="69"/>
      <c r="Y1428" s="69"/>
      <c r="Z1428" s="69"/>
      <c r="AA1428" s="69"/>
      <c r="AB1428" s="69"/>
      <c r="AC1428" s="69"/>
      <c r="AD1428" s="69"/>
      <c r="AE1428" s="69"/>
      <c r="AF1428" s="69"/>
      <c r="AG1428" s="69"/>
      <c r="AH1428" s="69"/>
      <c r="AI1428" s="69"/>
      <c r="AJ1428" s="69"/>
      <c r="AK1428" s="69"/>
      <c r="AL1428" s="69"/>
      <c r="AM1428" s="69"/>
      <c r="AN1428" s="69"/>
      <c r="AO1428" s="69"/>
      <c r="AP1428" s="69"/>
      <c r="AQ1428" s="69"/>
      <c r="AR1428" s="69"/>
      <c r="AS1428" s="69"/>
      <c r="AT1428" s="69"/>
      <c r="AU1428" s="69"/>
      <c r="AV1428" s="69"/>
      <c r="AW1428" s="69"/>
      <c r="AX1428" s="69"/>
      <c r="AY1428" s="69"/>
      <c r="AZ1428" s="69"/>
      <c r="BA1428" s="69"/>
      <c r="BB1428" s="69"/>
      <c r="BC1428" s="69"/>
    </row>
    <row r="1429">
      <c r="A1429" s="68"/>
      <c r="B1429" s="68"/>
      <c r="C1429" s="68"/>
      <c r="D1429" s="68"/>
      <c r="E1429" s="68"/>
      <c r="F1429" s="68"/>
      <c r="G1429" s="68"/>
      <c r="H1429" s="68"/>
      <c r="I1429" s="69"/>
      <c r="J1429" s="69"/>
      <c r="K1429" s="71"/>
      <c r="L1429" s="69"/>
      <c r="M1429" s="69"/>
      <c r="N1429" s="72"/>
      <c r="O1429" s="69"/>
      <c r="P1429" s="69"/>
      <c r="Q1429" s="69"/>
      <c r="R1429" s="69"/>
      <c r="S1429" s="69"/>
      <c r="T1429" s="69"/>
      <c r="U1429" s="69"/>
      <c r="V1429" s="69"/>
      <c r="W1429" s="69"/>
      <c r="X1429" s="69"/>
      <c r="Y1429" s="69"/>
      <c r="Z1429" s="69"/>
      <c r="AA1429" s="69"/>
      <c r="AB1429" s="69"/>
      <c r="AC1429" s="69"/>
      <c r="AD1429" s="69"/>
      <c r="AE1429" s="69"/>
      <c r="AF1429" s="69"/>
      <c r="AG1429" s="69"/>
      <c r="AH1429" s="69"/>
      <c r="AI1429" s="69"/>
      <c r="AJ1429" s="69"/>
      <c r="AK1429" s="69"/>
      <c r="AL1429" s="69"/>
      <c r="AM1429" s="69"/>
      <c r="AN1429" s="69"/>
      <c r="AO1429" s="69"/>
      <c r="AP1429" s="69"/>
      <c r="AQ1429" s="69"/>
      <c r="AR1429" s="69"/>
      <c r="AS1429" s="69"/>
      <c r="AT1429" s="69"/>
      <c r="AU1429" s="69"/>
      <c r="AV1429" s="69"/>
      <c r="AW1429" s="69"/>
      <c r="AX1429" s="69"/>
      <c r="AY1429" s="69"/>
      <c r="AZ1429" s="69"/>
      <c r="BA1429" s="69"/>
      <c r="BB1429" s="69"/>
      <c r="BC1429" s="69"/>
    </row>
    <row r="1430">
      <c r="A1430" s="68"/>
      <c r="B1430" s="68"/>
      <c r="C1430" s="68"/>
      <c r="D1430" s="68"/>
      <c r="E1430" s="68"/>
      <c r="F1430" s="68"/>
      <c r="G1430" s="68"/>
      <c r="H1430" s="68"/>
      <c r="I1430" s="69"/>
      <c r="J1430" s="69"/>
      <c r="K1430" s="71"/>
      <c r="L1430" s="69"/>
      <c r="M1430" s="69"/>
      <c r="N1430" s="72"/>
      <c r="O1430" s="69"/>
      <c r="P1430" s="69"/>
      <c r="Q1430" s="69"/>
      <c r="R1430" s="69"/>
      <c r="S1430" s="69"/>
      <c r="T1430" s="69"/>
      <c r="U1430" s="69"/>
      <c r="V1430" s="69"/>
      <c r="W1430" s="69"/>
      <c r="X1430" s="69"/>
      <c r="Y1430" s="69"/>
      <c r="Z1430" s="69"/>
      <c r="AA1430" s="69"/>
      <c r="AB1430" s="69"/>
      <c r="AC1430" s="69"/>
      <c r="AD1430" s="69"/>
      <c r="AE1430" s="69"/>
      <c r="AF1430" s="69"/>
      <c r="AG1430" s="69"/>
      <c r="AH1430" s="69"/>
      <c r="AI1430" s="69"/>
      <c r="AJ1430" s="69"/>
      <c r="AK1430" s="69"/>
      <c r="AL1430" s="69"/>
      <c r="AM1430" s="69"/>
      <c r="AN1430" s="69"/>
      <c r="AO1430" s="69"/>
      <c r="AP1430" s="69"/>
      <c r="AQ1430" s="69"/>
      <c r="AR1430" s="69"/>
      <c r="AS1430" s="69"/>
      <c r="AT1430" s="69"/>
      <c r="AU1430" s="69"/>
      <c r="AV1430" s="69"/>
      <c r="AW1430" s="69"/>
      <c r="AX1430" s="69"/>
      <c r="AY1430" s="69"/>
      <c r="AZ1430" s="69"/>
      <c r="BA1430" s="69"/>
      <c r="BB1430" s="69"/>
      <c r="BC1430" s="69"/>
    </row>
    <row r="1431">
      <c r="A1431" s="68"/>
      <c r="B1431" s="68"/>
      <c r="C1431" s="68"/>
      <c r="D1431" s="68"/>
      <c r="E1431" s="68"/>
      <c r="F1431" s="68"/>
      <c r="G1431" s="68"/>
      <c r="H1431" s="68"/>
      <c r="I1431" s="69"/>
      <c r="J1431" s="69"/>
      <c r="K1431" s="71"/>
      <c r="L1431" s="69"/>
      <c r="M1431" s="69"/>
      <c r="N1431" s="72"/>
      <c r="O1431" s="69"/>
      <c r="P1431" s="69"/>
      <c r="Q1431" s="69"/>
      <c r="R1431" s="69"/>
      <c r="S1431" s="69"/>
      <c r="T1431" s="69"/>
      <c r="U1431" s="69"/>
      <c r="V1431" s="69"/>
      <c r="W1431" s="69"/>
      <c r="X1431" s="69"/>
      <c r="Y1431" s="69"/>
      <c r="Z1431" s="69"/>
      <c r="AA1431" s="69"/>
      <c r="AB1431" s="69"/>
      <c r="AC1431" s="69"/>
      <c r="AD1431" s="69"/>
      <c r="AE1431" s="69"/>
      <c r="AF1431" s="69"/>
      <c r="AG1431" s="69"/>
      <c r="AH1431" s="69"/>
      <c r="AI1431" s="69"/>
      <c r="AJ1431" s="69"/>
      <c r="AK1431" s="69"/>
      <c r="AL1431" s="69"/>
      <c r="AM1431" s="69"/>
      <c r="AN1431" s="69"/>
      <c r="AO1431" s="69"/>
      <c r="AP1431" s="69"/>
      <c r="AQ1431" s="69"/>
      <c r="AR1431" s="69"/>
      <c r="AS1431" s="69"/>
      <c r="AT1431" s="69"/>
      <c r="AU1431" s="69"/>
      <c r="AV1431" s="69"/>
      <c r="AW1431" s="69"/>
      <c r="AX1431" s="69"/>
      <c r="AY1431" s="69"/>
      <c r="AZ1431" s="69"/>
      <c r="BA1431" s="69"/>
      <c r="BB1431" s="69"/>
      <c r="BC1431" s="69"/>
    </row>
    <row r="1432">
      <c r="A1432" s="68"/>
      <c r="B1432" s="68"/>
      <c r="C1432" s="68"/>
      <c r="D1432" s="68"/>
      <c r="E1432" s="68"/>
      <c r="F1432" s="68"/>
      <c r="G1432" s="68"/>
      <c r="H1432" s="68"/>
      <c r="I1432" s="69"/>
      <c r="J1432" s="69"/>
      <c r="K1432" s="71"/>
      <c r="L1432" s="69"/>
      <c r="M1432" s="69"/>
      <c r="N1432" s="72"/>
      <c r="O1432" s="69"/>
      <c r="P1432" s="69"/>
      <c r="Q1432" s="69"/>
      <c r="R1432" s="69"/>
      <c r="S1432" s="69"/>
      <c r="T1432" s="69"/>
      <c r="U1432" s="69"/>
      <c r="V1432" s="69"/>
      <c r="W1432" s="69"/>
      <c r="X1432" s="69"/>
      <c r="Y1432" s="69"/>
      <c r="Z1432" s="69"/>
      <c r="AA1432" s="69"/>
      <c r="AB1432" s="69"/>
      <c r="AC1432" s="69"/>
      <c r="AD1432" s="69"/>
      <c r="AE1432" s="69"/>
      <c r="AF1432" s="69"/>
      <c r="AG1432" s="69"/>
      <c r="AH1432" s="69"/>
      <c r="AI1432" s="69"/>
      <c r="AJ1432" s="69"/>
      <c r="AK1432" s="69"/>
      <c r="AL1432" s="69"/>
      <c r="AM1432" s="69"/>
      <c r="AN1432" s="69"/>
      <c r="AO1432" s="69"/>
      <c r="AP1432" s="69"/>
      <c r="AQ1432" s="69"/>
      <c r="AR1432" s="69"/>
      <c r="AS1432" s="69"/>
      <c r="AT1432" s="69"/>
      <c r="AU1432" s="69"/>
      <c r="AV1432" s="69"/>
      <c r="AW1432" s="69"/>
      <c r="AX1432" s="69"/>
      <c r="AY1432" s="69"/>
      <c r="AZ1432" s="69"/>
      <c r="BA1432" s="69"/>
      <c r="BB1432" s="69"/>
      <c r="BC1432" s="69"/>
    </row>
    <row r="1433">
      <c r="A1433" s="68"/>
      <c r="B1433" s="68"/>
      <c r="C1433" s="68"/>
      <c r="D1433" s="68"/>
      <c r="E1433" s="68"/>
      <c r="F1433" s="68"/>
      <c r="G1433" s="68"/>
      <c r="H1433" s="68"/>
      <c r="I1433" s="69"/>
      <c r="J1433" s="69"/>
      <c r="K1433" s="71"/>
      <c r="L1433" s="69"/>
      <c r="M1433" s="69"/>
      <c r="N1433" s="72"/>
      <c r="O1433" s="69"/>
      <c r="P1433" s="69"/>
      <c r="Q1433" s="69"/>
      <c r="R1433" s="69"/>
      <c r="S1433" s="69"/>
      <c r="T1433" s="69"/>
      <c r="U1433" s="69"/>
      <c r="V1433" s="69"/>
      <c r="W1433" s="69"/>
      <c r="X1433" s="69"/>
      <c r="Y1433" s="69"/>
      <c r="Z1433" s="69"/>
      <c r="AA1433" s="69"/>
      <c r="AB1433" s="69"/>
      <c r="AC1433" s="69"/>
      <c r="AD1433" s="69"/>
      <c r="AE1433" s="69"/>
      <c r="AF1433" s="69"/>
      <c r="AG1433" s="69"/>
      <c r="AH1433" s="69"/>
      <c r="AI1433" s="69"/>
      <c r="AJ1433" s="69"/>
      <c r="AK1433" s="69"/>
      <c r="AL1433" s="69"/>
      <c r="AM1433" s="69"/>
      <c r="AN1433" s="69"/>
      <c r="AO1433" s="69"/>
      <c r="AP1433" s="69"/>
      <c r="AQ1433" s="69"/>
      <c r="AR1433" s="69"/>
      <c r="AS1433" s="69"/>
      <c r="AT1433" s="69"/>
      <c r="AU1433" s="69"/>
      <c r="AV1433" s="69"/>
      <c r="AW1433" s="69"/>
      <c r="AX1433" s="69"/>
      <c r="AY1433" s="69"/>
      <c r="AZ1433" s="69"/>
      <c r="BA1433" s="69"/>
      <c r="BB1433" s="69"/>
      <c r="BC1433" s="69"/>
    </row>
    <row r="1434">
      <c r="A1434" s="68"/>
      <c r="B1434" s="68"/>
      <c r="C1434" s="68"/>
      <c r="D1434" s="68"/>
      <c r="E1434" s="68"/>
      <c r="F1434" s="68"/>
      <c r="G1434" s="68"/>
      <c r="H1434" s="68"/>
      <c r="I1434" s="69"/>
      <c r="J1434" s="69"/>
      <c r="K1434" s="71"/>
      <c r="L1434" s="69"/>
      <c r="M1434" s="69"/>
      <c r="N1434" s="72"/>
      <c r="O1434" s="69"/>
      <c r="P1434" s="69"/>
      <c r="Q1434" s="69"/>
      <c r="R1434" s="69"/>
      <c r="S1434" s="69"/>
      <c r="T1434" s="69"/>
      <c r="U1434" s="69"/>
      <c r="V1434" s="69"/>
      <c r="W1434" s="69"/>
      <c r="X1434" s="69"/>
      <c r="Y1434" s="69"/>
      <c r="Z1434" s="69"/>
      <c r="AA1434" s="69"/>
      <c r="AB1434" s="69"/>
      <c r="AC1434" s="69"/>
      <c r="AD1434" s="69"/>
      <c r="AE1434" s="69"/>
      <c r="AF1434" s="69"/>
      <c r="AG1434" s="69"/>
      <c r="AH1434" s="69"/>
      <c r="AI1434" s="69"/>
      <c r="AJ1434" s="69"/>
      <c r="AK1434" s="69"/>
      <c r="AL1434" s="69"/>
      <c r="AM1434" s="69"/>
      <c r="AN1434" s="69"/>
      <c r="AO1434" s="69"/>
      <c r="AP1434" s="69"/>
      <c r="AQ1434" s="69"/>
      <c r="AR1434" s="69"/>
      <c r="AS1434" s="69"/>
      <c r="AT1434" s="69"/>
      <c r="AU1434" s="69"/>
      <c r="AV1434" s="69"/>
      <c r="AW1434" s="69"/>
      <c r="AX1434" s="69"/>
      <c r="AY1434" s="69"/>
      <c r="AZ1434" s="69"/>
      <c r="BA1434" s="69"/>
      <c r="BB1434" s="69"/>
      <c r="BC1434" s="69"/>
    </row>
    <row r="1435">
      <c r="A1435" s="68"/>
      <c r="B1435" s="68"/>
      <c r="C1435" s="68"/>
      <c r="D1435" s="68"/>
      <c r="E1435" s="68"/>
      <c r="F1435" s="68"/>
      <c r="G1435" s="68"/>
      <c r="H1435" s="68"/>
      <c r="I1435" s="69"/>
      <c r="J1435" s="69"/>
      <c r="K1435" s="71"/>
      <c r="L1435" s="69"/>
      <c r="M1435" s="69"/>
      <c r="N1435" s="72"/>
      <c r="O1435" s="69"/>
      <c r="P1435" s="69"/>
      <c r="Q1435" s="69"/>
      <c r="R1435" s="69"/>
      <c r="S1435" s="69"/>
      <c r="T1435" s="69"/>
      <c r="U1435" s="69"/>
      <c r="V1435" s="69"/>
      <c r="W1435" s="69"/>
      <c r="X1435" s="69"/>
      <c r="Y1435" s="69"/>
      <c r="Z1435" s="69"/>
      <c r="AA1435" s="69"/>
      <c r="AB1435" s="69"/>
      <c r="AC1435" s="69"/>
      <c r="AD1435" s="69"/>
      <c r="AE1435" s="69"/>
      <c r="AF1435" s="69"/>
      <c r="AG1435" s="69"/>
      <c r="AH1435" s="69"/>
      <c r="AI1435" s="69"/>
      <c r="AJ1435" s="69"/>
      <c r="AK1435" s="69"/>
      <c r="AL1435" s="69"/>
      <c r="AM1435" s="69"/>
      <c r="AN1435" s="69"/>
      <c r="AO1435" s="69"/>
      <c r="AP1435" s="69"/>
      <c r="AQ1435" s="69"/>
      <c r="AR1435" s="69"/>
      <c r="AS1435" s="69"/>
      <c r="AT1435" s="69"/>
      <c r="AU1435" s="69"/>
      <c r="AV1435" s="69"/>
      <c r="AW1435" s="69"/>
      <c r="AX1435" s="69"/>
      <c r="AY1435" s="69"/>
      <c r="AZ1435" s="69"/>
      <c r="BA1435" s="69"/>
      <c r="BB1435" s="69"/>
      <c r="BC1435" s="69"/>
    </row>
    <row r="1436">
      <c r="A1436" s="68"/>
      <c r="B1436" s="68"/>
      <c r="C1436" s="68"/>
      <c r="D1436" s="68"/>
      <c r="E1436" s="68"/>
      <c r="F1436" s="68"/>
      <c r="G1436" s="68"/>
      <c r="H1436" s="68"/>
      <c r="I1436" s="69"/>
      <c r="J1436" s="69"/>
      <c r="K1436" s="71"/>
      <c r="L1436" s="69"/>
      <c r="M1436" s="69"/>
      <c r="N1436" s="72"/>
      <c r="O1436" s="69"/>
      <c r="P1436" s="69"/>
      <c r="Q1436" s="69"/>
      <c r="R1436" s="69"/>
      <c r="S1436" s="69"/>
      <c r="T1436" s="69"/>
      <c r="U1436" s="69"/>
      <c r="V1436" s="69"/>
      <c r="W1436" s="69"/>
      <c r="X1436" s="69"/>
      <c r="Y1436" s="69"/>
      <c r="Z1436" s="69"/>
      <c r="AA1436" s="69"/>
      <c r="AB1436" s="69"/>
      <c r="AC1436" s="69"/>
      <c r="AD1436" s="69"/>
      <c r="AE1436" s="69"/>
      <c r="AF1436" s="69"/>
      <c r="AG1436" s="69"/>
      <c r="AH1436" s="69"/>
      <c r="AI1436" s="69"/>
      <c r="AJ1436" s="69"/>
      <c r="AK1436" s="69"/>
      <c r="AL1436" s="69"/>
      <c r="AM1436" s="69"/>
      <c r="AN1436" s="69"/>
      <c r="AO1436" s="69"/>
      <c r="AP1436" s="69"/>
      <c r="AQ1436" s="69"/>
      <c r="AR1436" s="69"/>
      <c r="AS1436" s="69"/>
      <c r="AT1436" s="69"/>
      <c r="AU1436" s="69"/>
      <c r="AV1436" s="69"/>
      <c r="AW1436" s="69"/>
      <c r="AX1436" s="69"/>
      <c r="AY1436" s="69"/>
      <c r="AZ1436" s="69"/>
      <c r="BA1436" s="69"/>
      <c r="BB1436" s="69"/>
      <c r="BC1436" s="69"/>
    </row>
    <row r="1437">
      <c r="A1437" s="68"/>
      <c r="B1437" s="68"/>
      <c r="C1437" s="68"/>
      <c r="D1437" s="68"/>
      <c r="E1437" s="68"/>
      <c r="F1437" s="68"/>
      <c r="G1437" s="68"/>
      <c r="H1437" s="68"/>
      <c r="I1437" s="69"/>
      <c r="J1437" s="69"/>
      <c r="K1437" s="71"/>
      <c r="L1437" s="69"/>
      <c r="M1437" s="69"/>
      <c r="N1437" s="72"/>
      <c r="O1437" s="69"/>
      <c r="P1437" s="69"/>
      <c r="Q1437" s="69"/>
      <c r="R1437" s="69"/>
      <c r="S1437" s="69"/>
      <c r="T1437" s="69"/>
      <c r="U1437" s="69"/>
      <c r="V1437" s="69"/>
      <c r="W1437" s="69"/>
      <c r="X1437" s="69"/>
      <c r="Y1437" s="69"/>
      <c r="Z1437" s="69"/>
      <c r="AA1437" s="69"/>
      <c r="AB1437" s="69"/>
      <c r="AC1437" s="69"/>
      <c r="AD1437" s="69"/>
      <c r="AE1437" s="69"/>
      <c r="AF1437" s="69"/>
      <c r="AG1437" s="69"/>
      <c r="AH1437" s="69"/>
      <c r="AI1437" s="69"/>
      <c r="AJ1437" s="69"/>
      <c r="AK1437" s="69"/>
      <c r="AL1437" s="69"/>
      <c r="AM1437" s="69"/>
      <c r="AN1437" s="69"/>
      <c r="AO1437" s="69"/>
      <c r="AP1437" s="69"/>
      <c r="AQ1437" s="69"/>
      <c r="AR1437" s="69"/>
      <c r="AS1437" s="69"/>
      <c r="AT1437" s="69"/>
      <c r="AU1437" s="69"/>
      <c r="AV1437" s="69"/>
      <c r="AW1437" s="69"/>
      <c r="AX1437" s="69"/>
      <c r="AY1437" s="69"/>
      <c r="AZ1437" s="69"/>
      <c r="BA1437" s="69"/>
      <c r="BB1437" s="69"/>
      <c r="BC1437" s="69"/>
    </row>
    <row r="1438">
      <c r="A1438" s="68"/>
      <c r="B1438" s="68"/>
      <c r="C1438" s="68"/>
      <c r="D1438" s="68"/>
      <c r="E1438" s="68"/>
      <c r="F1438" s="68"/>
      <c r="G1438" s="68"/>
      <c r="H1438" s="68"/>
      <c r="I1438" s="69"/>
      <c r="J1438" s="69"/>
      <c r="K1438" s="71"/>
      <c r="L1438" s="69"/>
      <c r="M1438" s="69"/>
      <c r="N1438" s="72"/>
      <c r="O1438" s="69"/>
      <c r="P1438" s="69"/>
      <c r="Q1438" s="69"/>
      <c r="R1438" s="69"/>
      <c r="S1438" s="69"/>
      <c r="T1438" s="69"/>
      <c r="U1438" s="69"/>
      <c r="V1438" s="69"/>
      <c r="W1438" s="69"/>
      <c r="X1438" s="69"/>
      <c r="Y1438" s="69"/>
      <c r="Z1438" s="69"/>
      <c r="AA1438" s="69"/>
      <c r="AB1438" s="69"/>
      <c r="AC1438" s="69"/>
      <c r="AD1438" s="69"/>
      <c r="AE1438" s="69"/>
      <c r="AF1438" s="69"/>
      <c r="AG1438" s="69"/>
      <c r="AH1438" s="69"/>
      <c r="AI1438" s="69"/>
      <c r="AJ1438" s="69"/>
      <c r="AK1438" s="69"/>
      <c r="AL1438" s="69"/>
      <c r="AM1438" s="69"/>
      <c r="AN1438" s="69"/>
      <c r="AO1438" s="69"/>
      <c r="AP1438" s="69"/>
      <c r="AQ1438" s="69"/>
      <c r="AR1438" s="69"/>
      <c r="AS1438" s="69"/>
      <c r="AT1438" s="69"/>
      <c r="AU1438" s="69"/>
      <c r="AV1438" s="69"/>
      <c r="AW1438" s="69"/>
      <c r="AX1438" s="69"/>
      <c r="AY1438" s="69"/>
      <c r="AZ1438" s="69"/>
      <c r="BA1438" s="69"/>
      <c r="BB1438" s="69"/>
      <c r="BC1438" s="69"/>
    </row>
    <row r="1439">
      <c r="A1439" s="68"/>
      <c r="B1439" s="68"/>
      <c r="C1439" s="68"/>
      <c r="D1439" s="68"/>
      <c r="E1439" s="68"/>
      <c r="F1439" s="68"/>
      <c r="G1439" s="68"/>
      <c r="H1439" s="68"/>
      <c r="I1439" s="69"/>
      <c r="J1439" s="69"/>
      <c r="K1439" s="71"/>
      <c r="L1439" s="69"/>
      <c r="M1439" s="69"/>
      <c r="N1439" s="72"/>
      <c r="O1439" s="69"/>
      <c r="P1439" s="69"/>
      <c r="Q1439" s="69"/>
      <c r="R1439" s="69"/>
      <c r="S1439" s="69"/>
      <c r="T1439" s="69"/>
      <c r="U1439" s="69"/>
      <c r="V1439" s="69"/>
      <c r="W1439" s="69"/>
      <c r="X1439" s="69"/>
      <c r="Y1439" s="69"/>
      <c r="Z1439" s="69"/>
      <c r="AA1439" s="69"/>
      <c r="AB1439" s="69"/>
      <c r="AC1439" s="69"/>
      <c r="AD1439" s="69"/>
      <c r="AE1439" s="69"/>
      <c r="AF1439" s="69"/>
      <c r="AG1439" s="69"/>
      <c r="AH1439" s="69"/>
      <c r="AI1439" s="69"/>
      <c r="AJ1439" s="69"/>
      <c r="AK1439" s="69"/>
      <c r="AL1439" s="69"/>
      <c r="AM1439" s="69"/>
      <c r="AN1439" s="69"/>
      <c r="AO1439" s="69"/>
      <c r="AP1439" s="69"/>
      <c r="AQ1439" s="69"/>
      <c r="AR1439" s="69"/>
      <c r="AS1439" s="69"/>
      <c r="AT1439" s="69"/>
      <c r="AU1439" s="69"/>
      <c r="AV1439" s="69"/>
      <c r="AW1439" s="69"/>
      <c r="AX1439" s="69"/>
      <c r="AY1439" s="69"/>
      <c r="AZ1439" s="69"/>
      <c r="BA1439" s="69"/>
      <c r="BB1439" s="69"/>
      <c r="BC1439" s="69"/>
    </row>
    <row r="1440">
      <c r="A1440" s="68"/>
      <c r="B1440" s="68"/>
      <c r="C1440" s="68"/>
      <c r="D1440" s="68"/>
      <c r="E1440" s="68"/>
      <c r="F1440" s="68"/>
      <c r="G1440" s="68"/>
      <c r="H1440" s="68"/>
      <c r="I1440" s="69"/>
      <c r="J1440" s="69"/>
      <c r="K1440" s="71"/>
      <c r="L1440" s="69"/>
      <c r="M1440" s="69"/>
      <c r="N1440" s="72"/>
      <c r="O1440" s="69"/>
      <c r="P1440" s="69"/>
      <c r="Q1440" s="69"/>
      <c r="R1440" s="69"/>
      <c r="S1440" s="69"/>
      <c r="T1440" s="69"/>
      <c r="U1440" s="69"/>
      <c r="V1440" s="69"/>
      <c r="W1440" s="69"/>
      <c r="X1440" s="69"/>
      <c r="Y1440" s="69"/>
      <c r="Z1440" s="69"/>
      <c r="AA1440" s="69"/>
      <c r="AB1440" s="69"/>
      <c r="AC1440" s="69"/>
      <c r="AD1440" s="69"/>
      <c r="AE1440" s="69"/>
      <c r="AF1440" s="69"/>
      <c r="AG1440" s="69"/>
      <c r="AH1440" s="69"/>
      <c r="AI1440" s="69"/>
      <c r="AJ1440" s="69"/>
      <c r="AK1440" s="69"/>
      <c r="AL1440" s="69"/>
      <c r="AM1440" s="69"/>
      <c r="AN1440" s="69"/>
      <c r="AO1440" s="69"/>
      <c r="AP1440" s="69"/>
      <c r="AQ1440" s="69"/>
      <c r="AR1440" s="69"/>
      <c r="AS1440" s="69"/>
      <c r="AT1440" s="69"/>
      <c r="AU1440" s="69"/>
      <c r="AV1440" s="69"/>
      <c r="AW1440" s="69"/>
      <c r="AX1440" s="69"/>
      <c r="AY1440" s="69"/>
      <c r="AZ1440" s="69"/>
      <c r="BA1440" s="69"/>
      <c r="BB1440" s="69"/>
      <c r="BC1440" s="69"/>
    </row>
    <row r="1441">
      <c r="A1441" s="68"/>
      <c r="B1441" s="68"/>
      <c r="C1441" s="68"/>
      <c r="D1441" s="68"/>
      <c r="E1441" s="68"/>
      <c r="F1441" s="68"/>
      <c r="G1441" s="68"/>
      <c r="H1441" s="68"/>
      <c r="I1441" s="69"/>
      <c r="J1441" s="69"/>
      <c r="K1441" s="71"/>
      <c r="L1441" s="69"/>
      <c r="M1441" s="69"/>
      <c r="N1441" s="72"/>
      <c r="O1441" s="69"/>
      <c r="P1441" s="69"/>
      <c r="Q1441" s="69"/>
      <c r="R1441" s="69"/>
      <c r="S1441" s="69"/>
      <c r="T1441" s="69"/>
      <c r="U1441" s="69"/>
      <c r="V1441" s="69"/>
      <c r="W1441" s="69"/>
      <c r="X1441" s="69"/>
      <c r="Y1441" s="69"/>
      <c r="Z1441" s="69"/>
      <c r="AA1441" s="69"/>
      <c r="AB1441" s="69"/>
      <c r="AC1441" s="69"/>
      <c r="AD1441" s="69"/>
      <c r="AE1441" s="69"/>
      <c r="AF1441" s="69"/>
      <c r="AG1441" s="69"/>
      <c r="AH1441" s="69"/>
      <c r="AI1441" s="69"/>
      <c r="AJ1441" s="69"/>
      <c r="AK1441" s="69"/>
      <c r="AL1441" s="69"/>
      <c r="AM1441" s="69"/>
      <c r="AN1441" s="69"/>
      <c r="AO1441" s="69"/>
      <c r="AP1441" s="69"/>
      <c r="AQ1441" s="69"/>
      <c r="AR1441" s="69"/>
      <c r="AS1441" s="69"/>
      <c r="AT1441" s="69"/>
      <c r="AU1441" s="69"/>
      <c r="AV1441" s="69"/>
      <c r="AW1441" s="69"/>
      <c r="AX1441" s="69"/>
      <c r="AY1441" s="69"/>
      <c r="AZ1441" s="69"/>
      <c r="BA1441" s="69"/>
      <c r="BB1441" s="69"/>
      <c r="BC1441" s="69"/>
    </row>
    <row r="1442">
      <c r="A1442" s="68"/>
      <c r="B1442" s="68"/>
      <c r="C1442" s="68"/>
      <c r="D1442" s="68"/>
      <c r="E1442" s="68"/>
      <c r="F1442" s="68"/>
      <c r="G1442" s="68"/>
      <c r="H1442" s="68"/>
      <c r="I1442" s="69"/>
      <c r="J1442" s="69"/>
      <c r="K1442" s="71"/>
      <c r="L1442" s="69"/>
      <c r="M1442" s="69"/>
      <c r="N1442" s="72"/>
      <c r="O1442" s="69"/>
      <c r="P1442" s="69"/>
      <c r="Q1442" s="69"/>
      <c r="R1442" s="69"/>
      <c r="S1442" s="69"/>
      <c r="T1442" s="69"/>
      <c r="U1442" s="69"/>
      <c r="V1442" s="69"/>
      <c r="W1442" s="69"/>
      <c r="X1442" s="69"/>
      <c r="Y1442" s="69"/>
      <c r="Z1442" s="69"/>
      <c r="AA1442" s="69"/>
      <c r="AB1442" s="69"/>
      <c r="AC1442" s="69"/>
      <c r="AD1442" s="69"/>
      <c r="AE1442" s="69"/>
      <c r="AF1442" s="69"/>
      <c r="AG1442" s="69"/>
      <c r="AH1442" s="69"/>
      <c r="AI1442" s="69"/>
      <c r="AJ1442" s="69"/>
      <c r="AK1442" s="69"/>
      <c r="AL1442" s="69"/>
      <c r="AM1442" s="69"/>
      <c r="AN1442" s="69"/>
      <c r="AO1442" s="69"/>
      <c r="AP1442" s="69"/>
      <c r="AQ1442" s="69"/>
      <c r="AR1442" s="69"/>
      <c r="AS1442" s="69"/>
      <c r="AT1442" s="69"/>
      <c r="AU1442" s="69"/>
      <c r="AV1442" s="69"/>
      <c r="AW1442" s="69"/>
      <c r="AX1442" s="69"/>
      <c r="AY1442" s="69"/>
      <c r="AZ1442" s="69"/>
      <c r="BA1442" s="69"/>
      <c r="BB1442" s="69"/>
      <c r="BC1442" s="69"/>
    </row>
    <row r="1443">
      <c r="A1443" s="68"/>
      <c r="B1443" s="68"/>
      <c r="C1443" s="68"/>
      <c r="D1443" s="68"/>
      <c r="E1443" s="68"/>
      <c r="F1443" s="68"/>
      <c r="G1443" s="68"/>
      <c r="H1443" s="68"/>
      <c r="I1443" s="69"/>
      <c r="J1443" s="69"/>
      <c r="K1443" s="71"/>
      <c r="L1443" s="69"/>
      <c r="M1443" s="69"/>
      <c r="N1443" s="72"/>
      <c r="O1443" s="69"/>
      <c r="P1443" s="69"/>
      <c r="Q1443" s="69"/>
      <c r="R1443" s="69"/>
      <c r="S1443" s="69"/>
      <c r="T1443" s="69"/>
      <c r="U1443" s="69"/>
      <c r="V1443" s="69"/>
      <c r="W1443" s="69"/>
      <c r="X1443" s="69"/>
      <c r="Y1443" s="69"/>
      <c r="Z1443" s="69"/>
      <c r="AA1443" s="69"/>
      <c r="AB1443" s="69"/>
      <c r="AC1443" s="69"/>
      <c r="AD1443" s="69"/>
      <c r="AE1443" s="69"/>
      <c r="AF1443" s="69"/>
      <c r="AG1443" s="69"/>
      <c r="AH1443" s="69"/>
      <c r="AI1443" s="69"/>
      <c r="AJ1443" s="69"/>
      <c r="AK1443" s="69"/>
      <c r="AL1443" s="69"/>
      <c r="AM1443" s="69"/>
      <c r="AN1443" s="69"/>
      <c r="AO1443" s="69"/>
      <c r="AP1443" s="69"/>
      <c r="AQ1443" s="69"/>
      <c r="AR1443" s="69"/>
      <c r="AS1443" s="69"/>
      <c r="AT1443" s="69"/>
      <c r="AU1443" s="69"/>
      <c r="AV1443" s="69"/>
      <c r="AW1443" s="69"/>
      <c r="AX1443" s="69"/>
      <c r="AY1443" s="69"/>
      <c r="AZ1443" s="69"/>
      <c r="BA1443" s="69"/>
      <c r="BB1443" s="69"/>
      <c r="BC1443" s="69"/>
    </row>
    <row r="1444">
      <c r="A1444" s="68"/>
      <c r="B1444" s="68"/>
      <c r="C1444" s="68"/>
      <c r="D1444" s="68"/>
      <c r="E1444" s="68"/>
      <c r="F1444" s="68"/>
      <c r="G1444" s="68"/>
      <c r="H1444" s="68"/>
      <c r="I1444" s="69"/>
      <c r="J1444" s="69"/>
      <c r="K1444" s="71"/>
      <c r="L1444" s="69"/>
      <c r="M1444" s="69"/>
      <c r="N1444" s="72"/>
      <c r="O1444" s="69"/>
      <c r="P1444" s="69"/>
      <c r="Q1444" s="69"/>
      <c r="R1444" s="69"/>
      <c r="S1444" s="69"/>
      <c r="T1444" s="69"/>
      <c r="U1444" s="69"/>
      <c r="V1444" s="69"/>
      <c r="W1444" s="69"/>
      <c r="X1444" s="69"/>
      <c r="Y1444" s="69"/>
      <c r="Z1444" s="69"/>
      <c r="AA1444" s="69"/>
      <c r="AB1444" s="69"/>
      <c r="AC1444" s="69"/>
      <c r="AD1444" s="69"/>
      <c r="AE1444" s="69"/>
      <c r="AF1444" s="69"/>
      <c r="AG1444" s="69"/>
      <c r="AH1444" s="69"/>
      <c r="AI1444" s="69"/>
      <c r="AJ1444" s="69"/>
      <c r="AK1444" s="69"/>
      <c r="AL1444" s="69"/>
      <c r="AM1444" s="69"/>
      <c r="AN1444" s="69"/>
      <c r="AO1444" s="69"/>
      <c r="AP1444" s="69"/>
      <c r="AQ1444" s="69"/>
      <c r="AR1444" s="69"/>
      <c r="AS1444" s="69"/>
      <c r="AT1444" s="69"/>
      <c r="AU1444" s="69"/>
      <c r="AV1444" s="69"/>
      <c r="AW1444" s="69"/>
      <c r="AX1444" s="69"/>
      <c r="AY1444" s="69"/>
      <c r="AZ1444" s="69"/>
      <c r="BA1444" s="69"/>
      <c r="BB1444" s="69"/>
      <c r="BC1444" s="69"/>
    </row>
    <row r="1445">
      <c r="A1445" s="68"/>
      <c r="B1445" s="68"/>
      <c r="C1445" s="68"/>
      <c r="D1445" s="68"/>
      <c r="E1445" s="68"/>
      <c r="F1445" s="68"/>
      <c r="G1445" s="68"/>
      <c r="H1445" s="68"/>
      <c r="I1445" s="69"/>
      <c r="J1445" s="69"/>
      <c r="K1445" s="71"/>
      <c r="L1445" s="69"/>
      <c r="M1445" s="69"/>
      <c r="N1445" s="72"/>
      <c r="O1445" s="69"/>
      <c r="P1445" s="69"/>
      <c r="Q1445" s="69"/>
      <c r="R1445" s="69"/>
      <c r="S1445" s="69"/>
      <c r="T1445" s="69"/>
      <c r="U1445" s="69"/>
      <c r="V1445" s="69"/>
      <c r="W1445" s="69"/>
      <c r="X1445" s="69"/>
      <c r="Y1445" s="69"/>
      <c r="Z1445" s="69"/>
      <c r="AA1445" s="69"/>
      <c r="AB1445" s="69"/>
      <c r="AC1445" s="69"/>
      <c r="AD1445" s="69"/>
      <c r="AE1445" s="69"/>
      <c r="AF1445" s="69"/>
      <c r="AG1445" s="69"/>
      <c r="AH1445" s="69"/>
      <c r="AI1445" s="69"/>
      <c r="AJ1445" s="69"/>
      <c r="AK1445" s="69"/>
      <c r="AL1445" s="69"/>
      <c r="AM1445" s="69"/>
      <c r="AN1445" s="69"/>
      <c r="AO1445" s="69"/>
      <c r="AP1445" s="69"/>
      <c r="AQ1445" s="69"/>
      <c r="AR1445" s="69"/>
      <c r="AS1445" s="69"/>
      <c r="AT1445" s="69"/>
      <c r="AU1445" s="69"/>
      <c r="AV1445" s="69"/>
      <c r="AW1445" s="69"/>
      <c r="AX1445" s="69"/>
      <c r="AY1445" s="69"/>
      <c r="AZ1445" s="69"/>
      <c r="BA1445" s="69"/>
      <c r="BB1445" s="69"/>
      <c r="BC1445" s="69"/>
    </row>
    <row r="1446">
      <c r="A1446" s="68"/>
      <c r="B1446" s="68"/>
      <c r="C1446" s="68"/>
      <c r="D1446" s="68"/>
      <c r="E1446" s="68"/>
      <c r="F1446" s="68"/>
      <c r="G1446" s="68"/>
      <c r="H1446" s="68"/>
      <c r="I1446" s="69"/>
      <c r="J1446" s="69"/>
      <c r="K1446" s="71"/>
      <c r="L1446" s="69"/>
      <c r="M1446" s="69"/>
      <c r="N1446" s="72"/>
      <c r="O1446" s="69"/>
      <c r="P1446" s="69"/>
      <c r="Q1446" s="69"/>
      <c r="R1446" s="69"/>
      <c r="S1446" s="69"/>
      <c r="T1446" s="69"/>
      <c r="U1446" s="69"/>
      <c r="V1446" s="69"/>
      <c r="W1446" s="69"/>
      <c r="X1446" s="69"/>
      <c r="Y1446" s="69"/>
      <c r="Z1446" s="69"/>
      <c r="AA1446" s="69"/>
      <c r="AB1446" s="69"/>
      <c r="AC1446" s="69"/>
      <c r="AD1446" s="69"/>
      <c r="AE1446" s="69"/>
      <c r="AF1446" s="69"/>
      <c r="AG1446" s="69"/>
      <c r="AH1446" s="69"/>
      <c r="AI1446" s="69"/>
      <c r="AJ1446" s="69"/>
      <c r="AK1446" s="69"/>
      <c r="AL1446" s="69"/>
      <c r="AM1446" s="69"/>
      <c r="AN1446" s="69"/>
      <c r="AO1446" s="69"/>
      <c r="AP1446" s="69"/>
      <c r="AQ1446" s="69"/>
      <c r="AR1446" s="69"/>
      <c r="AS1446" s="69"/>
      <c r="AT1446" s="69"/>
      <c r="AU1446" s="69"/>
      <c r="AV1446" s="69"/>
      <c r="AW1446" s="69"/>
      <c r="AX1446" s="69"/>
      <c r="AY1446" s="69"/>
      <c r="AZ1446" s="69"/>
      <c r="BA1446" s="69"/>
      <c r="BB1446" s="69"/>
      <c r="BC1446" s="69"/>
    </row>
    <row r="1447">
      <c r="A1447" s="68"/>
      <c r="B1447" s="68"/>
      <c r="C1447" s="68"/>
      <c r="D1447" s="68"/>
      <c r="E1447" s="68"/>
      <c r="F1447" s="68"/>
      <c r="G1447" s="68"/>
      <c r="H1447" s="68"/>
      <c r="I1447" s="69"/>
      <c r="J1447" s="69"/>
      <c r="K1447" s="71"/>
      <c r="L1447" s="69"/>
      <c r="M1447" s="69"/>
      <c r="N1447" s="72"/>
      <c r="O1447" s="69"/>
      <c r="P1447" s="69"/>
      <c r="Q1447" s="69"/>
      <c r="R1447" s="69"/>
      <c r="S1447" s="69"/>
      <c r="T1447" s="69"/>
      <c r="U1447" s="69"/>
      <c r="V1447" s="69"/>
      <c r="W1447" s="69"/>
      <c r="X1447" s="69"/>
      <c r="Y1447" s="69"/>
      <c r="Z1447" s="69"/>
      <c r="AA1447" s="69"/>
      <c r="AB1447" s="69"/>
      <c r="AC1447" s="69"/>
      <c r="AD1447" s="69"/>
      <c r="AE1447" s="69"/>
      <c r="AF1447" s="69"/>
      <c r="AG1447" s="69"/>
      <c r="AH1447" s="69"/>
      <c r="AI1447" s="69"/>
      <c r="AJ1447" s="69"/>
      <c r="AK1447" s="69"/>
      <c r="AL1447" s="69"/>
      <c r="AM1447" s="69"/>
      <c r="AN1447" s="69"/>
      <c r="AO1447" s="69"/>
      <c r="AP1447" s="69"/>
      <c r="AQ1447" s="69"/>
      <c r="AR1447" s="69"/>
      <c r="AS1447" s="69"/>
      <c r="AT1447" s="69"/>
      <c r="AU1447" s="69"/>
      <c r="AV1447" s="69"/>
      <c r="AW1447" s="69"/>
      <c r="AX1447" s="69"/>
      <c r="AY1447" s="69"/>
      <c r="AZ1447" s="69"/>
      <c r="BA1447" s="69"/>
      <c r="BB1447" s="69"/>
      <c r="BC1447" s="69"/>
    </row>
    <row r="1448">
      <c r="A1448" s="68"/>
      <c r="B1448" s="68"/>
      <c r="C1448" s="68"/>
      <c r="D1448" s="68"/>
      <c r="E1448" s="68"/>
      <c r="F1448" s="68"/>
      <c r="G1448" s="68"/>
      <c r="H1448" s="68"/>
      <c r="I1448" s="69"/>
      <c r="J1448" s="69"/>
      <c r="K1448" s="71"/>
      <c r="L1448" s="69"/>
      <c r="M1448" s="69"/>
      <c r="N1448" s="72"/>
      <c r="O1448" s="69"/>
      <c r="P1448" s="69"/>
      <c r="Q1448" s="69"/>
      <c r="R1448" s="69"/>
      <c r="S1448" s="69"/>
      <c r="T1448" s="69"/>
      <c r="U1448" s="69"/>
      <c r="V1448" s="69"/>
      <c r="W1448" s="69"/>
      <c r="X1448" s="69"/>
      <c r="Y1448" s="69"/>
      <c r="Z1448" s="69"/>
      <c r="AA1448" s="69"/>
      <c r="AB1448" s="69"/>
      <c r="AC1448" s="69"/>
      <c r="AD1448" s="69"/>
      <c r="AE1448" s="69"/>
      <c r="AF1448" s="69"/>
      <c r="AG1448" s="69"/>
      <c r="AH1448" s="69"/>
      <c r="AI1448" s="69"/>
      <c r="AJ1448" s="69"/>
      <c r="AK1448" s="69"/>
      <c r="AL1448" s="69"/>
      <c r="AM1448" s="69"/>
      <c r="AN1448" s="69"/>
      <c r="AO1448" s="69"/>
      <c r="AP1448" s="69"/>
      <c r="AQ1448" s="69"/>
      <c r="AR1448" s="69"/>
      <c r="AS1448" s="69"/>
      <c r="AT1448" s="69"/>
      <c r="AU1448" s="69"/>
      <c r="AV1448" s="69"/>
      <c r="AW1448" s="69"/>
      <c r="AX1448" s="69"/>
      <c r="AY1448" s="69"/>
      <c r="AZ1448" s="69"/>
      <c r="BA1448" s="69"/>
      <c r="BB1448" s="69"/>
      <c r="BC1448" s="69"/>
    </row>
    <row r="1449">
      <c r="A1449" s="68"/>
      <c r="B1449" s="68"/>
      <c r="C1449" s="68"/>
      <c r="D1449" s="68"/>
      <c r="E1449" s="68"/>
      <c r="F1449" s="68"/>
      <c r="G1449" s="68"/>
      <c r="H1449" s="68"/>
      <c r="I1449" s="69"/>
      <c r="J1449" s="69"/>
      <c r="K1449" s="71"/>
      <c r="L1449" s="69"/>
      <c r="M1449" s="69"/>
      <c r="N1449" s="72"/>
      <c r="O1449" s="69"/>
      <c r="P1449" s="69"/>
      <c r="Q1449" s="69"/>
      <c r="R1449" s="69"/>
      <c r="S1449" s="69"/>
      <c r="T1449" s="69"/>
      <c r="U1449" s="69"/>
      <c r="V1449" s="69"/>
      <c r="W1449" s="69"/>
      <c r="X1449" s="69"/>
      <c r="Y1449" s="69"/>
      <c r="Z1449" s="69"/>
      <c r="AA1449" s="69"/>
      <c r="AB1449" s="69"/>
      <c r="AC1449" s="69"/>
      <c r="AD1449" s="69"/>
      <c r="AE1449" s="69"/>
      <c r="AF1449" s="69"/>
      <c r="AG1449" s="69"/>
      <c r="AH1449" s="69"/>
      <c r="AI1449" s="69"/>
      <c r="AJ1449" s="69"/>
      <c r="AK1449" s="69"/>
      <c r="AL1449" s="69"/>
      <c r="AM1449" s="69"/>
      <c r="AN1449" s="69"/>
      <c r="AO1449" s="69"/>
      <c r="AP1449" s="69"/>
      <c r="AQ1449" s="69"/>
      <c r="AR1449" s="69"/>
      <c r="AS1449" s="69"/>
      <c r="AT1449" s="69"/>
      <c r="AU1449" s="69"/>
      <c r="AV1449" s="69"/>
      <c r="AW1449" s="69"/>
      <c r="AX1449" s="69"/>
      <c r="AY1449" s="69"/>
      <c r="AZ1449" s="69"/>
      <c r="BA1449" s="69"/>
      <c r="BB1449" s="69"/>
      <c r="BC1449" s="69"/>
    </row>
    <row r="1450">
      <c r="A1450" s="68"/>
      <c r="B1450" s="68"/>
      <c r="C1450" s="68"/>
      <c r="D1450" s="68"/>
      <c r="E1450" s="68"/>
      <c r="F1450" s="68"/>
      <c r="G1450" s="68"/>
      <c r="H1450" s="68"/>
      <c r="I1450" s="69"/>
      <c r="J1450" s="69"/>
      <c r="K1450" s="71"/>
      <c r="L1450" s="69"/>
      <c r="M1450" s="69"/>
      <c r="N1450" s="72"/>
      <c r="O1450" s="69"/>
      <c r="P1450" s="69"/>
      <c r="Q1450" s="69"/>
      <c r="R1450" s="69"/>
      <c r="S1450" s="69"/>
      <c r="T1450" s="69"/>
      <c r="U1450" s="69"/>
      <c r="V1450" s="69"/>
      <c r="W1450" s="69"/>
      <c r="X1450" s="69"/>
      <c r="Y1450" s="69"/>
      <c r="Z1450" s="69"/>
      <c r="AA1450" s="69"/>
      <c r="AB1450" s="69"/>
      <c r="AC1450" s="69"/>
      <c r="AD1450" s="69"/>
      <c r="AE1450" s="69"/>
      <c r="AF1450" s="69"/>
      <c r="AG1450" s="69"/>
      <c r="AH1450" s="69"/>
      <c r="AI1450" s="69"/>
      <c r="AJ1450" s="69"/>
      <c r="AK1450" s="69"/>
      <c r="AL1450" s="69"/>
      <c r="AM1450" s="69"/>
      <c r="AN1450" s="69"/>
      <c r="AO1450" s="69"/>
      <c r="AP1450" s="69"/>
      <c r="AQ1450" s="69"/>
      <c r="AR1450" s="69"/>
      <c r="AS1450" s="69"/>
      <c r="AT1450" s="69"/>
      <c r="AU1450" s="69"/>
      <c r="AV1450" s="69"/>
      <c r="AW1450" s="69"/>
      <c r="AX1450" s="69"/>
      <c r="AY1450" s="69"/>
      <c r="AZ1450" s="69"/>
      <c r="BA1450" s="69"/>
      <c r="BB1450" s="69"/>
      <c r="BC1450" s="69"/>
    </row>
    <row r="1451">
      <c r="A1451" s="68"/>
      <c r="B1451" s="68"/>
      <c r="C1451" s="68"/>
      <c r="D1451" s="68"/>
      <c r="E1451" s="68"/>
      <c r="F1451" s="68"/>
      <c r="G1451" s="68"/>
      <c r="H1451" s="68"/>
      <c r="I1451" s="69"/>
      <c r="J1451" s="69"/>
      <c r="K1451" s="71"/>
      <c r="L1451" s="69"/>
      <c r="M1451" s="69"/>
      <c r="N1451" s="72"/>
      <c r="O1451" s="69"/>
      <c r="P1451" s="69"/>
      <c r="Q1451" s="69"/>
      <c r="R1451" s="69"/>
      <c r="S1451" s="69"/>
      <c r="T1451" s="69"/>
      <c r="U1451" s="69"/>
      <c r="V1451" s="69"/>
      <c r="W1451" s="69"/>
      <c r="X1451" s="69"/>
      <c r="Y1451" s="69"/>
      <c r="Z1451" s="69"/>
      <c r="AA1451" s="69"/>
      <c r="AB1451" s="69"/>
      <c r="AC1451" s="69"/>
      <c r="AD1451" s="69"/>
      <c r="AE1451" s="69"/>
      <c r="AF1451" s="69"/>
      <c r="AG1451" s="69"/>
      <c r="AH1451" s="69"/>
      <c r="AI1451" s="69"/>
      <c r="AJ1451" s="69"/>
      <c r="AK1451" s="69"/>
      <c r="AL1451" s="69"/>
      <c r="AM1451" s="69"/>
      <c r="AN1451" s="69"/>
      <c r="AO1451" s="69"/>
      <c r="AP1451" s="69"/>
      <c r="AQ1451" s="69"/>
      <c r="AR1451" s="69"/>
      <c r="AS1451" s="69"/>
      <c r="AT1451" s="69"/>
      <c r="AU1451" s="69"/>
      <c r="AV1451" s="69"/>
      <c r="AW1451" s="69"/>
      <c r="AX1451" s="69"/>
      <c r="AY1451" s="69"/>
      <c r="AZ1451" s="69"/>
      <c r="BA1451" s="69"/>
      <c r="BB1451" s="69"/>
      <c r="BC1451" s="69"/>
    </row>
    <row r="1452">
      <c r="A1452" s="68"/>
      <c r="B1452" s="68"/>
      <c r="C1452" s="68"/>
      <c r="D1452" s="68"/>
      <c r="E1452" s="68"/>
      <c r="F1452" s="68"/>
      <c r="G1452" s="68"/>
      <c r="H1452" s="68"/>
      <c r="I1452" s="69"/>
      <c r="J1452" s="69"/>
      <c r="K1452" s="71"/>
      <c r="L1452" s="69"/>
      <c r="M1452" s="69"/>
      <c r="N1452" s="72"/>
      <c r="O1452" s="69"/>
      <c r="P1452" s="69"/>
      <c r="Q1452" s="69"/>
      <c r="R1452" s="69"/>
      <c r="S1452" s="69"/>
      <c r="T1452" s="69"/>
      <c r="U1452" s="69"/>
      <c r="V1452" s="69"/>
      <c r="W1452" s="69"/>
      <c r="X1452" s="69"/>
      <c r="Y1452" s="69"/>
      <c r="Z1452" s="69"/>
      <c r="AA1452" s="69"/>
      <c r="AB1452" s="69"/>
      <c r="AC1452" s="69"/>
      <c r="AD1452" s="69"/>
      <c r="AE1452" s="69"/>
      <c r="AF1452" s="69"/>
      <c r="AG1452" s="69"/>
      <c r="AH1452" s="69"/>
      <c r="AI1452" s="69"/>
      <c r="AJ1452" s="69"/>
      <c r="AK1452" s="69"/>
      <c r="AL1452" s="69"/>
      <c r="AM1452" s="69"/>
      <c r="AN1452" s="69"/>
      <c r="AO1452" s="69"/>
      <c r="AP1452" s="69"/>
      <c r="AQ1452" s="69"/>
      <c r="AR1452" s="69"/>
      <c r="AS1452" s="69"/>
      <c r="AT1452" s="69"/>
      <c r="AU1452" s="69"/>
      <c r="AV1452" s="69"/>
      <c r="AW1452" s="69"/>
      <c r="AX1452" s="69"/>
      <c r="AY1452" s="69"/>
      <c r="AZ1452" s="69"/>
      <c r="BA1452" s="69"/>
      <c r="BB1452" s="69"/>
      <c r="BC1452" s="69"/>
    </row>
    <row r="1453">
      <c r="A1453" s="68"/>
      <c r="B1453" s="68"/>
      <c r="C1453" s="68"/>
      <c r="D1453" s="68"/>
      <c r="E1453" s="68"/>
      <c r="F1453" s="68"/>
      <c r="G1453" s="68"/>
      <c r="H1453" s="68"/>
      <c r="I1453" s="69"/>
      <c r="J1453" s="69"/>
      <c r="K1453" s="71"/>
      <c r="L1453" s="69"/>
      <c r="M1453" s="69"/>
      <c r="N1453" s="72"/>
      <c r="O1453" s="69"/>
      <c r="P1453" s="69"/>
      <c r="Q1453" s="69"/>
      <c r="R1453" s="69"/>
      <c r="S1453" s="69"/>
      <c r="T1453" s="69"/>
      <c r="U1453" s="69"/>
      <c r="V1453" s="69"/>
      <c r="W1453" s="69"/>
      <c r="X1453" s="69"/>
      <c r="Y1453" s="69"/>
      <c r="Z1453" s="69"/>
      <c r="AA1453" s="69"/>
      <c r="AB1453" s="69"/>
      <c r="AC1453" s="69"/>
      <c r="AD1453" s="69"/>
      <c r="AE1453" s="69"/>
      <c r="AF1453" s="69"/>
      <c r="AG1453" s="69"/>
      <c r="AH1453" s="69"/>
      <c r="AI1453" s="69"/>
      <c r="AJ1453" s="69"/>
      <c r="AK1453" s="69"/>
      <c r="AL1453" s="69"/>
      <c r="AM1453" s="69"/>
      <c r="AN1453" s="69"/>
      <c r="AO1453" s="69"/>
      <c r="AP1453" s="69"/>
      <c r="AQ1453" s="69"/>
      <c r="AR1453" s="69"/>
      <c r="AS1453" s="69"/>
      <c r="AT1453" s="69"/>
      <c r="AU1453" s="69"/>
      <c r="AV1453" s="69"/>
      <c r="AW1453" s="69"/>
      <c r="AX1453" s="69"/>
      <c r="AY1453" s="69"/>
      <c r="AZ1453" s="69"/>
      <c r="BA1453" s="69"/>
      <c r="BB1453" s="69"/>
      <c r="BC1453" s="69"/>
    </row>
    <row r="1454">
      <c r="A1454" s="68"/>
      <c r="B1454" s="68"/>
      <c r="C1454" s="68"/>
      <c r="D1454" s="68"/>
      <c r="E1454" s="68"/>
      <c r="F1454" s="68"/>
      <c r="G1454" s="68"/>
      <c r="H1454" s="68"/>
      <c r="I1454" s="69"/>
      <c r="J1454" s="69"/>
      <c r="K1454" s="71"/>
      <c r="L1454" s="69"/>
      <c r="M1454" s="69"/>
      <c r="N1454" s="72"/>
      <c r="O1454" s="69"/>
      <c r="P1454" s="69"/>
      <c r="Q1454" s="69"/>
      <c r="R1454" s="69"/>
      <c r="S1454" s="69"/>
      <c r="T1454" s="69"/>
      <c r="U1454" s="69"/>
      <c r="V1454" s="69"/>
      <c r="W1454" s="69"/>
      <c r="X1454" s="69"/>
      <c r="Y1454" s="69"/>
      <c r="Z1454" s="69"/>
      <c r="AA1454" s="69"/>
      <c r="AB1454" s="69"/>
      <c r="AC1454" s="69"/>
      <c r="AD1454" s="69"/>
      <c r="AE1454" s="69"/>
      <c r="AF1454" s="69"/>
      <c r="AG1454" s="69"/>
      <c r="AH1454" s="69"/>
      <c r="AI1454" s="69"/>
      <c r="AJ1454" s="69"/>
      <c r="AK1454" s="69"/>
      <c r="AL1454" s="69"/>
      <c r="AM1454" s="69"/>
      <c r="AN1454" s="69"/>
      <c r="AO1454" s="69"/>
      <c r="AP1454" s="69"/>
      <c r="AQ1454" s="69"/>
      <c r="AR1454" s="69"/>
      <c r="AS1454" s="69"/>
      <c r="AT1454" s="69"/>
      <c r="AU1454" s="69"/>
      <c r="AV1454" s="69"/>
      <c r="AW1454" s="69"/>
      <c r="AX1454" s="69"/>
      <c r="AY1454" s="69"/>
      <c r="AZ1454" s="69"/>
      <c r="BA1454" s="69"/>
      <c r="BB1454" s="69"/>
      <c r="BC1454" s="69"/>
    </row>
    <row r="1455">
      <c r="A1455" s="68"/>
      <c r="B1455" s="68"/>
      <c r="C1455" s="68"/>
      <c r="D1455" s="68"/>
      <c r="E1455" s="68"/>
      <c r="F1455" s="68"/>
      <c r="G1455" s="68"/>
      <c r="H1455" s="68"/>
      <c r="I1455" s="69"/>
      <c r="J1455" s="69"/>
      <c r="K1455" s="71"/>
      <c r="L1455" s="69"/>
      <c r="M1455" s="69"/>
      <c r="N1455" s="72"/>
      <c r="O1455" s="69"/>
      <c r="P1455" s="69"/>
      <c r="Q1455" s="69"/>
      <c r="R1455" s="69"/>
      <c r="S1455" s="69"/>
      <c r="T1455" s="69"/>
      <c r="U1455" s="69"/>
      <c r="V1455" s="69"/>
      <c r="W1455" s="69"/>
      <c r="X1455" s="69"/>
      <c r="Y1455" s="69"/>
      <c r="Z1455" s="69"/>
      <c r="AA1455" s="69"/>
      <c r="AB1455" s="69"/>
      <c r="AC1455" s="69"/>
      <c r="AD1455" s="69"/>
      <c r="AE1455" s="69"/>
      <c r="AF1455" s="69"/>
      <c r="AG1455" s="69"/>
      <c r="AH1455" s="69"/>
      <c r="AI1455" s="69"/>
      <c r="AJ1455" s="69"/>
      <c r="AK1455" s="69"/>
      <c r="AL1455" s="69"/>
      <c r="AM1455" s="69"/>
      <c r="AN1455" s="69"/>
      <c r="AO1455" s="69"/>
      <c r="AP1455" s="69"/>
      <c r="AQ1455" s="69"/>
      <c r="AR1455" s="69"/>
      <c r="AS1455" s="69"/>
      <c r="AT1455" s="69"/>
      <c r="AU1455" s="69"/>
      <c r="AV1455" s="69"/>
      <c r="AW1455" s="69"/>
      <c r="AX1455" s="69"/>
      <c r="AY1455" s="69"/>
      <c r="AZ1455" s="69"/>
      <c r="BA1455" s="69"/>
      <c r="BB1455" s="69"/>
      <c r="BC1455" s="69"/>
    </row>
    <row r="1456">
      <c r="A1456" s="68"/>
      <c r="B1456" s="68"/>
      <c r="C1456" s="68"/>
      <c r="D1456" s="68"/>
      <c r="E1456" s="68"/>
      <c r="F1456" s="68"/>
      <c r="G1456" s="68"/>
      <c r="H1456" s="68"/>
      <c r="I1456" s="69"/>
      <c r="J1456" s="69"/>
      <c r="K1456" s="71"/>
      <c r="L1456" s="69"/>
      <c r="M1456" s="69"/>
      <c r="N1456" s="72"/>
      <c r="O1456" s="69"/>
      <c r="P1456" s="69"/>
      <c r="Q1456" s="69"/>
      <c r="R1456" s="69"/>
      <c r="S1456" s="69"/>
      <c r="T1456" s="69"/>
      <c r="U1456" s="69"/>
      <c r="V1456" s="69"/>
      <c r="W1456" s="69"/>
      <c r="X1456" s="69"/>
      <c r="Y1456" s="69"/>
      <c r="Z1456" s="69"/>
      <c r="AA1456" s="69"/>
      <c r="AB1456" s="69"/>
      <c r="AC1456" s="69"/>
      <c r="AD1456" s="69"/>
      <c r="AE1456" s="69"/>
      <c r="AF1456" s="69"/>
      <c r="AG1456" s="69"/>
      <c r="AH1456" s="69"/>
      <c r="AI1456" s="69"/>
      <c r="AJ1456" s="69"/>
      <c r="AK1456" s="69"/>
      <c r="AL1456" s="69"/>
      <c r="AM1456" s="69"/>
      <c r="AN1456" s="69"/>
      <c r="AO1456" s="69"/>
      <c r="AP1456" s="69"/>
      <c r="AQ1456" s="69"/>
      <c r="AR1456" s="69"/>
      <c r="AS1456" s="69"/>
      <c r="AT1456" s="69"/>
      <c r="AU1456" s="69"/>
      <c r="AV1456" s="69"/>
      <c r="AW1456" s="69"/>
      <c r="AX1456" s="69"/>
      <c r="AY1456" s="69"/>
      <c r="AZ1456" s="69"/>
      <c r="BA1456" s="69"/>
      <c r="BB1456" s="69"/>
      <c r="BC1456" s="69"/>
    </row>
    <row r="1457">
      <c r="A1457" s="68"/>
      <c r="B1457" s="68"/>
      <c r="C1457" s="68"/>
      <c r="D1457" s="68"/>
      <c r="E1457" s="68"/>
      <c r="F1457" s="68"/>
      <c r="G1457" s="68"/>
      <c r="H1457" s="68"/>
      <c r="I1457" s="69"/>
      <c r="J1457" s="69"/>
      <c r="K1457" s="71"/>
      <c r="L1457" s="69"/>
      <c r="M1457" s="69"/>
      <c r="N1457" s="72"/>
      <c r="O1457" s="69"/>
      <c r="P1457" s="69"/>
      <c r="Q1457" s="69"/>
      <c r="R1457" s="69"/>
      <c r="S1457" s="69"/>
      <c r="T1457" s="69"/>
      <c r="U1457" s="69"/>
      <c r="V1457" s="69"/>
      <c r="W1457" s="69"/>
      <c r="X1457" s="69"/>
      <c r="Y1457" s="69"/>
      <c r="Z1457" s="69"/>
      <c r="AA1457" s="69"/>
      <c r="AB1457" s="69"/>
      <c r="AC1457" s="69"/>
      <c r="AD1457" s="69"/>
      <c r="AE1457" s="69"/>
      <c r="AF1457" s="69"/>
      <c r="AG1457" s="69"/>
      <c r="AH1457" s="69"/>
      <c r="AI1457" s="69"/>
      <c r="AJ1457" s="69"/>
      <c r="AK1457" s="69"/>
      <c r="AL1457" s="69"/>
      <c r="AM1457" s="69"/>
      <c r="AN1457" s="69"/>
      <c r="AO1457" s="69"/>
      <c r="AP1457" s="69"/>
      <c r="AQ1457" s="69"/>
      <c r="AR1457" s="69"/>
      <c r="AS1457" s="69"/>
      <c r="AT1457" s="69"/>
      <c r="AU1457" s="69"/>
      <c r="AV1457" s="69"/>
      <c r="AW1457" s="69"/>
      <c r="AX1457" s="69"/>
      <c r="AY1457" s="69"/>
      <c r="AZ1457" s="69"/>
      <c r="BA1457" s="69"/>
      <c r="BB1457" s="69"/>
      <c r="BC1457" s="69"/>
    </row>
    <row r="1458">
      <c r="A1458" s="68"/>
      <c r="B1458" s="68"/>
      <c r="C1458" s="68"/>
      <c r="D1458" s="68"/>
      <c r="E1458" s="68"/>
      <c r="F1458" s="68"/>
      <c r="G1458" s="68"/>
      <c r="H1458" s="68"/>
      <c r="I1458" s="69"/>
      <c r="J1458" s="69"/>
      <c r="K1458" s="71"/>
      <c r="L1458" s="69"/>
      <c r="M1458" s="69"/>
      <c r="N1458" s="72"/>
      <c r="O1458" s="69"/>
      <c r="P1458" s="69"/>
      <c r="Q1458" s="69"/>
      <c r="R1458" s="69"/>
      <c r="S1458" s="69"/>
      <c r="T1458" s="69"/>
      <c r="U1458" s="69"/>
      <c r="V1458" s="69"/>
      <c r="W1458" s="69"/>
      <c r="X1458" s="69"/>
      <c r="Y1458" s="69"/>
      <c r="Z1458" s="69"/>
      <c r="AA1458" s="69"/>
      <c r="AB1458" s="69"/>
      <c r="AC1458" s="69"/>
      <c r="AD1458" s="69"/>
      <c r="AE1458" s="69"/>
      <c r="AF1458" s="69"/>
      <c r="AG1458" s="69"/>
      <c r="AH1458" s="69"/>
      <c r="AI1458" s="69"/>
      <c r="AJ1458" s="69"/>
      <c r="AK1458" s="69"/>
      <c r="AL1458" s="69"/>
      <c r="AM1458" s="69"/>
      <c r="AN1458" s="69"/>
      <c r="AO1458" s="69"/>
      <c r="AP1458" s="69"/>
      <c r="AQ1458" s="69"/>
      <c r="AR1458" s="69"/>
      <c r="AS1458" s="69"/>
      <c r="AT1458" s="69"/>
      <c r="AU1458" s="69"/>
      <c r="AV1458" s="69"/>
      <c r="AW1458" s="69"/>
      <c r="AX1458" s="69"/>
      <c r="AY1458" s="69"/>
      <c r="AZ1458" s="69"/>
      <c r="BA1458" s="69"/>
      <c r="BB1458" s="69"/>
      <c r="BC1458" s="69"/>
    </row>
    <row r="1459">
      <c r="A1459" s="68"/>
      <c r="B1459" s="68"/>
      <c r="C1459" s="68"/>
      <c r="D1459" s="68"/>
      <c r="E1459" s="68"/>
      <c r="F1459" s="68"/>
      <c r="G1459" s="68"/>
      <c r="H1459" s="68"/>
      <c r="I1459" s="69"/>
      <c r="J1459" s="69"/>
      <c r="K1459" s="71"/>
      <c r="L1459" s="69"/>
      <c r="M1459" s="69"/>
      <c r="N1459" s="72"/>
      <c r="O1459" s="69"/>
      <c r="P1459" s="69"/>
      <c r="Q1459" s="69"/>
      <c r="R1459" s="69"/>
      <c r="S1459" s="69"/>
      <c r="T1459" s="69"/>
      <c r="U1459" s="69"/>
      <c r="V1459" s="69"/>
      <c r="W1459" s="69"/>
      <c r="X1459" s="69"/>
      <c r="Y1459" s="69"/>
      <c r="Z1459" s="69"/>
      <c r="AA1459" s="69"/>
      <c r="AB1459" s="69"/>
      <c r="AC1459" s="69"/>
      <c r="AD1459" s="69"/>
      <c r="AE1459" s="69"/>
      <c r="AF1459" s="69"/>
      <c r="AG1459" s="69"/>
      <c r="AH1459" s="69"/>
      <c r="AI1459" s="69"/>
      <c r="AJ1459" s="69"/>
      <c r="AK1459" s="69"/>
      <c r="AL1459" s="69"/>
      <c r="AM1459" s="69"/>
      <c r="AN1459" s="69"/>
      <c r="AO1459" s="69"/>
      <c r="AP1459" s="69"/>
      <c r="AQ1459" s="69"/>
      <c r="AR1459" s="69"/>
      <c r="AS1459" s="69"/>
      <c r="AT1459" s="69"/>
      <c r="AU1459" s="69"/>
      <c r="AV1459" s="69"/>
      <c r="AW1459" s="69"/>
      <c r="AX1459" s="69"/>
      <c r="AY1459" s="69"/>
      <c r="AZ1459" s="69"/>
      <c r="BA1459" s="69"/>
      <c r="BB1459" s="69"/>
      <c r="BC1459" s="69"/>
    </row>
    <row r="1460">
      <c r="A1460" s="68"/>
      <c r="B1460" s="68"/>
      <c r="C1460" s="68"/>
      <c r="D1460" s="68"/>
      <c r="E1460" s="68"/>
      <c r="F1460" s="68"/>
      <c r="G1460" s="68"/>
      <c r="H1460" s="68"/>
      <c r="I1460" s="69"/>
      <c r="J1460" s="69"/>
      <c r="K1460" s="71"/>
      <c r="L1460" s="69"/>
      <c r="M1460" s="69"/>
      <c r="N1460" s="72"/>
      <c r="O1460" s="69"/>
      <c r="P1460" s="69"/>
      <c r="Q1460" s="69"/>
      <c r="R1460" s="69"/>
      <c r="S1460" s="69"/>
      <c r="T1460" s="69"/>
      <c r="U1460" s="69"/>
      <c r="V1460" s="69"/>
      <c r="W1460" s="69"/>
      <c r="X1460" s="69"/>
      <c r="Y1460" s="69"/>
      <c r="Z1460" s="69"/>
      <c r="AA1460" s="69"/>
      <c r="AB1460" s="69"/>
      <c r="AC1460" s="69"/>
      <c r="AD1460" s="69"/>
      <c r="AE1460" s="69"/>
      <c r="AF1460" s="69"/>
      <c r="AG1460" s="69"/>
      <c r="AH1460" s="69"/>
      <c r="AI1460" s="69"/>
      <c r="AJ1460" s="69"/>
      <c r="AK1460" s="69"/>
      <c r="AL1460" s="69"/>
      <c r="AM1460" s="69"/>
      <c r="AN1460" s="69"/>
      <c r="AO1460" s="69"/>
      <c r="AP1460" s="69"/>
      <c r="AQ1460" s="69"/>
      <c r="AR1460" s="69"/>
      <c r="AS1460" s="69"/>
      <c r="AT1460" s="69"/>
      <c r="AU1460" s="69"/>
      <c r="AV1460" s="69"/>
      <c r="AW1460" s="69"/>
      <c r="AX1460" s="69"/>
      <c r="AY1460" s="69"/>
      <c r="AZ1460" s="69"/>
      <c r="BA1460" s="69"/>
      <c r="BB1460" s="69"/>
      <c r="BC1460" s="69"/>
    </row>
    <row r="1461">
      <c r="A1461" s="68"/>
      <c r="B1461" s="68"/>
      <c r="C1461" s="68"/>
      <c r="D1461" s="68"/>
      <c r="E1461" s="68"/>
      <c r="F1461" s="68"/>
      <c r="G1461" s="68"/>
      <c r="H1461" s="68"/>
      <c r="I1461" s="69"/>
      <c r="J1461" s="69"/>
      <c r="K1461" s="71"/>
      <c r="L1461" s="69"/>
      <c r="M1461" s="69"/>
      <c r="N1461" s="72"/>
      <c r="O1461" s="69"/>
      <c r="P1461" s="69"/>
      <c r="Q1461" s="69"/>
      <c r="R1461" s="69"/>
      <c r="S1461" s="69"/>
      <c r="T1461" s="69"/>
      <c r="U1461" s="69"/>
      <c r="V1461" s="69"/>
      <c r="W1461" s="69"/>
      <c r="X1461" s="69"/>
      <c r="Y1461" s="69"/>
      <c r="Z1461" s="69"/>
      <c r="AA1461" s="69"/>
      <c r="AB1461" s="69"/>
      <c r="AC1461" s="69"/>
      <c r="AD1461" s="69"/>
      <c r="AE1461" s="69"/>
      <c r="AF1461" s="69"/>
      <c r="AG1461" s="69"/>
      <c r="AH1461" s="69"/>
      <c r="AI1461" s="69"/>
      <c r="AJ1461" s="69"/>
      <c r="AK1461" s="69"/>
      <c r="AL1461" s="69"/>
      <c r="AM1461" s="69"/>
      <c r="AN1461" s="69"/>
      <c r="AO1461" s="69"/>
      <c r="AP1461" s="69"/>
      <c r="AQ1461" s="69"/>
      <c r="AR1461" s="69"/>
      <c r="AS1461" s="69"/>
      <c r="AT1461" s="69"/>
      <c r="AU1461" s="69"/>
      <c r="AV1461" s="69"/>
      <c r="AW1461" s="69"/>
      <c r="AX1461" s="69"/>
      <c r="AY1461" s="69"/>
      <c r="AZ1461" s="69"/>
      <c r="BA1461" s="69"/>
      <c r="BB1461" s="69"/>
      <c r="BC1461" s="69"/>
    </row>
    <row r="1462">
      <c r="A1462" s="68"/>
      <c r="B1462" s="68"/>
      <c r="C1462" s="68"/>
      <c r="D1462" s="68"/>
      <c r="E1462" s="68"/>
      <c r="F1462" s="68"/>
      <c r="G1462" s="68"/>
      <c r="H1462" s="68"/>
      <c r="I1462" s="69"/>
      <c r="J1462" s="69"/>
      <c r="K1462" s="71"/>
      <c r="L1462" s="69"/>
      <c r="M1462" s="69"/>
      <c r="N1462" s="72"/>
      <c r="O1462" s="69"/>
      <c r="P1462" s="69"/>
      <c r="Q1462" s="69"/>
      <c r="R1462" s="69"/>
      <c r="S1462" s="69"/>
      <c r="T1462" s="69"/>
      <c r="U1462" s="69"/>
      <c r="V1462" s="69"/>
      <c r="W1462" s="69"/>
      <c r="X1462" s="69"/>
      <c r="Y1462" s="69"/>
      <c r="Z1462" s="69"/>
      <c r="AA1462" s="69"/>
      <c r="AB1462" s="69"/>
      <c r="AC1462" s="69"/>
      <c r="AD1462" s="69"/>
      <c r="AE1462" s="69"/>
      <c r="AF1462" s="69"/>
      <c r="AG1462" s="69"/>
      <c r="AH1462" s="69"/>
      <c r="AI1462" s="69"/>
      <c r="AJ1462" s="69"/>
      <c r="AK1462" s="69"/>
      <c r="AL1462" s="69"/>
      <c r="AM1462" s="69"/>
      <c r="AN1462" s="69"/>
      <c r="AO1462" s="69"/>
      <c r="AP1462" s="69"/>
      <c r="AQ1462" s="69"/>
      <c r="AR1462" s="69"/>
      <c r="AS1462" s="69"/>
      <c r="AT1462" s="69"/>
      <c r="AU1462" s="69"/>
      <c r="AV1462" s="69"/>
      <c r="AW1462" s="69"/>
      <c r="AX1462" s="69"/>
      <c r="AY1462" s="69"/>
      <c r="AZ1462" s="69"/>
      <c r="BA1462" s="69"/>
      <c r="BB1462" s="69"/>
      <c r="BC1462" s="69"/>
    </row>
    <row r="1463">
      <c r="A1463" s="68"/>
      <c r="B1463" s="68"/>
      <c r="C1463" s="68"/>
      <c r="D1463" s="68"/>
      <c r="E1463" s="68"/>
      <c r="F1463" s="68"/>
      <c r="G1463" s="68"/>
      <c r="H1463" s="68"/>
      <c r="I1463" s="69"/>
      <c r="J1463" s="69"/>
      <c r="K1463" s="71"/>
      <c r="L1463" s="69"/>
      <c r="M1463" s="69"/>
      <c r="N1463" s="72"/>
      <c r="O1463" s="69"/>
      <c r="P1463" s="69"/>
      <c r="Q1463" s="69"/>
      <c r="R1463" s="69"/>
      <c r="S1463" s="69"/>
      <c r="T1463" s="69"/>
      <c r="U1463" s="69"/>
      <c r="V1463" s="69"/>
      <c r="W1463" s="69"/>
      <c r="X1463" s="69"/>
      <c r="Y1463" s="69"/>
      <c r="Z1463" s="69"/>
      <c r="AA1463" s="69"/>
      <c r="AB1463" s="69"/>
      <c r="AC1463" s="69"/>
      <c r="AD1463" s="69"/>
      <c r="AE1463" s="69"/>
      <c r="AF1463" s="69"/>
      <c r="AG1463" s="69"/>
      <c r="AH1463" s="69"/>
      <c r="AI1463" s="69"/>
      <c r="AJ1463" s="69"/>
      <c r="AK1463" s="69"/>
      <c r="AL1463" s="69"/>
      <c r="AM1463" s="69"/>
      <c r="AN1463" s="69"/>
      <c r="AO1463" s="69"/>
      <c r="AP1463" s="69"/>
      <c r="AQ1463" s="69"/>
      <c r="AR1463" s="69"/>
      <c r="AS1463" s="69"/>
      <c r="AT1463" s="69"/>
      <c r="AU1463" s="69"/>
      <c r="AV1463" s="69"/>
      <c r="AW1463" s="69"/>
      <c r="AX1463" s="69"/>
      <c r="AY1463" s="69"/>
      <c r="AZ1463" s="69"/>
      <c r="BA1463" s="69"/>
      <c r="BB1463" s="69"/>
      <c r="BC1463" s="69"/>
    </row>
    <row r="1464">
      <c r="A1464" s="68"/>
      <c r="B1464" s="68"/>
      <c r="C1464" s="68"/>
      <c r="D1464" s="68"/>
      <c r="E1464" s="68"/>
      <c r="F1464" s="68"/>
      <c r="G1464" s="68"/>
      <c r="H1464" s="68"/>
      <c r="I1464" s="69"/>
      <c r="J1464" s="69"/>
      <c r="K1464" s="71"/>
      <c r="L1464" s="69"/>
      <c r="M1464" s="69"/>
      <c r="N1464" s="72"/>
      <c r="O1464" s="69"/>
      <c r="P1464" s="69"/>
      <c r="Q1464" s="69"/>
      <c r="R1464" s="69"/>
      <c r="S1464" s="69"/>
      <c r="T1464" s="69"/>
      <c r="U1464" s="69"/>
      <c r="V1464" s="69"/>
      <c r="W1464" s="69"/>
      <c r="X1464" s="69"/>
      <c r="Y1464" s="69"/>
      <c r="Z1464" s="69"/>
      <c r="AA1464" s="69"/>
      <c r="AB1464" s="69"/>
      <c r="AC1464" s="69"/>
      <c r="AD1464" s="69"/>
      <c r="AE1464" s="69"/>
      <c r="AF1464" s="69"/>
      <c r="AG1464" s="69"/>
      <c r="AH1464" s="69"/>
      <c r="AI1464" s="69"/>
      <c r="AJ1464" s="69"/>
      <c r="AK1464" s="69"/>
      <c r="AL1464" s="69"/>
      <c r="AM1464" s="69"/>
      <c r="AN1464" s="69"/>
      <c r="AO1464" s="69"/>
      <c r="AP1464" s="69"/>
      <c r="AQ1464" s="69"/>
      <c r="AR1464" s="69"/>
      <c r="AS1464" s="69"/>
      <c r="AT1464" s="69"/>
      <c r="AU1464" s="69"/>
      <c r="AV1464" s="69"/>
      <c r="AW1464" s="69"/>
      <c r="AX1464" s="69"/>
      <c r="AY1464" s="69"/>
      <c r="AZ1464" s="69"/>
      <c r="BA1464" s="69"/>
      <c r="BB1464" s="69"/>
      <c r="BC1464" s="69"/>
    </row>
    <row r="1465">
      <c r="A1465" s="68"/>
      <c r="B1465" s="68"/>
      <c r="C1465" s="68"/>
      <c r="D1465" s="68"/>
      <c r="E1465" s="68"/>
      <c r="F1465" s="68"/>
      <c r="G1465" s="68"/>
      <c r="H1465" s="68"/>
      <c r="I1465" s="69"/>
      <c r="J1465" s="69"/>
      <c r="K1465" s="71"/>
      <c r="L1465" s="69"/>
      <c r="M1465" s="69"/>
      <c r="N1465" s="72"/>
      <c r="O1465" s="69"/>
      <c r="P1465" s="69"/>
      <c r="Q1465" s="69"/>
      <c r="R1465" s="69"/>
      <c r="S1465" s="69"/>
      <c r="T1465" s="69"/>
      <c r="U1465" s="69"/>
      <c r="V1465" s="69"/>
      <c r="W1465" s="69"/>
      <c r="X1465" s="69"/>
      <c r="Y1465" s="69"/>
      <c r="Z1465" s="69"/>
      <c r="AA1465" s="69"/>
      <c r="AB1465" s="69"/>
      <c r="AC1465" s="69"/>
      <c r="AD1465" s="69"/>
      <c r="AE1465" s="69"/>
      <c r="AF1465" s="69"/>
      <c r="AG1465" s="69"/>
      <c r="AH1465" s="69"/>
      <c r="AI1465" s="69"/>
      <c r="AJ1465" s="69"/>
      <c r="AK1465" s="69"/>
      <c r="AL1465" s="69"/>
      <c r="AM1465" s="69"/>
      <c r="AN1465" s="69"/>
      <c r="AO1465" s="69"/>
      <c r="AP1465" s="69"/>
      <c r="AQ1465" s="69"/>
      <c r="AR1465" s="69"/>
      <c r="AS1465" s="69"/>
      <c r="AT1465" s="69"/>
      <c r="AU1465" s="69"/>
      <c r="AV1465" s="69"/>
      <c r="AW1465" s="69"/>
      <c r="AX1465" s="69"/>
      <c r="AY1465" s="69"/>
      <c r="AZ1465" s="69"/>
      <c r="BA1465" s="69"/>
      <c r="BB1465" s="69"/>
      <c r="BC1465" s="69"/>
    </row>
    <row r="1466">
      <c r="A1466" s="68"/>
      <c r="B1466" s="68"/>
      <c r="C1466" s="68"/>
      <c r="D1466" s="68"/>
      <c r="E1466" s="68"/>
      <c r="F1466" s="68"/>
      <c r="G1466" s="68"/>
      <c r="H1466" s="68"/>
      <c r="I1466" s="69"/>
      <c r="J1466" s="69"/>
      <c r="K1466" s="71"/>
      <c r="L1466" s="69"/>
      <c r="M1466" s="69"/>
      <c r="N1466" s="72"/>
      <c r="O1466" s="69"/>
      <c r="P1466" s="69"/>
      <c r="Q1466" s="69"/>
      <c r="R1466" s="69"/>
      <c r="S1466" s="69"/>
      <c r="T1466" s="69"/>
      <c r="U1466" s="69"/>
      <c r="V1466" s="69"/>
      <c r="W1466" s="69"/>
      <c r="X1466" s="69"/>
      <c r="Y1466" s="69"/>
      <c r="Z1466" s="69"/>
      <c r="AA1466" s="69"/>
      <c r="AB1466" s="69"/>
      <c r="AC1466" s="69"/>
      <c r="AD1466" s="69"/>
      <c r="AE1466" s="69"/>
      <c r="AF1466" s="69"/>
      <c r="AG1466" s="69"/>
      <c r="AH1466" s="69"/>
      <c r="AI1466" s="69"/>
      <c r="AJ1466" s="69"/>
      <c r="AK1466" s="69"/>
      <c r="AL1466" s="69"/>
      <c r="AM1466" s="69"/>
      <c r="AN1466" s="69"/>
      <c r="AO1466" s="69"/>
      <c r="AP1466" s="69"/>
      <c r="AQ1466" s="69"/>
      <c r="AR1466" s="69"/>
      <c r="AS1466" s="69"/>
      <c r="AT1466" s="69"/>
      <c r="AU1466" s="69"/>
      <c r="AV1466" s="69"/>
      <c r="AW1466" s="69"/>
      <c r="AX1466" s="69"/>
      <c r="AY1466" s="69"/>
      <c r="AZ1466" s="69"/>
      <c r="BA1466" s="69"/>
      <c r="BB1466" s="69"/>
      <c r="BC1466" s="69"/>
    </row>
    <row r="1467">
      <c r="A1467" s="68"/>
      <c r="B1467" s="68"/>
      <c r="C1467" s="68"/>
      <c r="D1467" s="68"/>
      <c r="E1467" s="68"/>
      <c r="F1467" s="68"/>
      <c r="G1467" s="68"/>
      <c r="H1467" s="68"/>
      <c r="I1467" s="69"/>
      <c r="J1467" s="69"/>
      <c r="K1467" s="71"/>
      <c r="L1467" s="69"/>
      <c r="M1467" s="69"/>
      <c r="N1467" s="72"/>
      <c r="O1467" s="69"/>
      <c r="P1467" s="69"/>
      <c r="Q1467" s="69"/>
      <c r="R1467" s="69"/>
      <c r="S1467" s="69"/>
      <c r="T1467" s="69"/>
      <c r="U1467" s="69"/>
      <c r="V1467" s="69"/>
      <c r="W1467" s="69"/>
      <c r="X1467" s="69"/>
      <c r="Y1467" s="69"/>
      <c r="Z1467" s="69"/>
      <c r="AA1467" s="69"/>
      <c r="AB1467" s="69"/>
      <c r="AC1467" s="69"/>
      <c r="AD1467" s="69"/>
      <c r="AE1467" s="69"/>
      <c r="AF1467" s="69"/>
      <c r="AG1467" s="69"/>
      <c r="AH1467" s="69"/>
      <c r="AI1467" s="69"/>
      <c r="AJ1467" s="69"/>
      <c r="AK1467" s="69"/>
      <c r="AL1467" s="69"/>
      <c r="AM1467" s="69"/>
      <c r="AN1467" s="69"/>
      <c r="AO1467" s="69"/>
      <c r="AP1467" s="69"/>
      <c r="AQ1467" s="69"/>
      <c r="AR1467" s="69"/>
      <c r="AS1467" s="69"/>
      <c r="AT1467" s="69"/>
      <c r="AU1467" s="69"/>
      <c r="AV1467" s="69"/>
      <c r="AW1467" s="69"/>
      <c r="AX1467" s="69"/>
      <c r="AY1467" s="69"/>
      <c r="AZ1467" s="69"/>
      <c r="BA1467" s="69"/>
      <c r="BB1467" s="69"/>
      <c r="BC1467" s="69"/>
    </row>
    <row r="1468">
      <c r="A1468" s="68"/>
      <c r="B1468" s="68"/>
      <c r="C1468" s="68"/>
      <c r="D1468" s="68"/>
      <c r="E1468" s="68"/>
      <c r="F1468" s="68"/>
      <c r="G1468" s="68"/>
      <c r="H1468" s="68"/>
      <c r="I1468" s="69"/>
      <c r="J1468" s="69"/>
      <c r="K1468" s="71"/>
      <c r="L1468" s="69"/>
      <c r="M1468" s="69"/>
      <c r="N1468" s="72"/>
      <c r="O1468" s="69"/>
      <c r="P1468" s="69"/>
      <c r="Q1468" s="69"/>
      <c r="R1468" s="69"/>
      <c r="S1468" s="69"/>
      <c r="T1468" s="69"/>
      <c r="U1468" s="69"/>
      <c r="V1468" s="69"/>
      <c r="W1468" s="69"/>
      <c r="X1468" s="69"/>
      <c r="Y1468" s="69"/>
      <c r="Z1468" s="69"/>
      <c r="AA1468" s="69"/>
      <c r="AB1468" s="69"/>
      <c r="AC1468" s="69"/>
      <c r="AD1468" s="69"/>
      <c r="AE1468" s="69"/>
      <c r="AF1468" s="69"/>
      <c r="AG1468" s="69"/>
      <c r="AH1468" s="69"/>
      <c r="AI1468" s="69"/>
      <c r="AJ1468" s="69"/>
      <c r="AK1468" s="69"/>
      <c r="AL1468" s="69"/>
      <c r="AM1468" s="69"/>
      <c r="AN1468" s="69"/>
      <c r="AO1468" s="69"/>
      <c r="AP1468" s="69"/>
      <c r="AQ1468" s="69"/>
      <c r="AR1468" s="69"/>
      <c r="AS1468" s="69"/>
      <c r="AT1468" s="69"/>
      <c r="AU1468" s="69"/>
      <c r="AV1468" s="69"/>
      <c r="AW1468" s="69"/>
      <c r="AX1468" s="69"/>
      <c r="AY1468" s="69"/>
      <c r="AZ1468" s="69"/>
      <c r="BA1468" s="69"/>
      <c r="BB1468" s="69"/>
      <c r="BC1468" s="69"/>
    </row>
    <row r="1469">
      <c r="A1469" s="68"/>
      <c r="B1469" s="68"/>
      <c r="C1469" s="68"/>
      <c r="D1469" s="68"/>
      <c r="E1469" s="68"/>
      <c r="F1469" s="68"/>
      <c r="G1469" s="68"/>
      <c r="H1469" s="68"/>
      <c r="I1469" s="69"/>
      <c r="J1469" s="69"/>
      <c r="K1469" s="71"/>
      <c r="L1469" s="69"/>
      <c r="M1469" s="69"/>
      <c r="N1469" s="72"/>
      <c r="O1469" s="69"/>
      <c r="P1469" s="69"/>
      <c r="Q1469" s="69"/>
      <c r="R1469" s="69"/>
      <c r="S1469" s="69"/>
      <c r="T1469" s="69"/>
      <c r="U1469" s="69"/>
      <c r="V1469" s="69"/>
      <c r="W1469" s="69"/>
      <c r="X1469" s="69"/>
      <c r="Y1469" s="69"/>
      <c r="Z1469" s="69"/>
      <c r="AA1469" s="69"/>
      <c r="AB1469" s="69"/>
      <c r="AC1469" s="69"/>
      <c r="AD1469" s="69"/>
      <c r="AE1469" s="69"/>
      <c r="AF1469" s="69"/>
      <c r="AG1469" s="69"/>
      <c r="AH1469" s="69"/>
      <c r="AI1469" s="69"/>
      <c r="AJ1469" s="69"/>
      <c r="AK1469" s="69"/>
      <c r="AL1469" s="69"/>
      <c r="AM1469" s="69"/>
      <c r="AN1469" s="69"/>
      <c r="AO1469" s="69"/>
      <c r="AP1469" s="69"/>
      <c r="AQ1469" s="69"/>
      <c r="AR1469" s="69"/>
      <c r="AS1469" s="69"/>
      <c r="AT1469" s="69"/>
      <c r="AU1469" s="69"/>
      <c r="AV1469" s="69"/>
      <c r="AW1469" s="69"/>
      <c r="AX1469" s="69"/>
      <c r="AY1469" s="69"/>
      <c r="AZ1469" s="69"/>
      <c r="BA1469" s="69"/>
      <c r="BB1469" s="69"/>
      <c r="BC1469" s="69"/>
    </row>
    <row r="1470">
      <c r="A1470" s="68"/>
      <c r="B1470" s="68"/>
      <c r="C1470" s="68"/>
      <c r="D1470" s="68"/>
      <c r="E1470" s="68"/>
      <c r="F1470" s="68"/>
      <c r="G1470" s="68"/>
      <c r="H1470" s="68"/>
      <c r="I1470" s="69"/>
      <c r="J1470" s="69"/>
      <c r="K1470" s="71"/>
      <c r="L1470" s="69"/>
      <c r="M1470" s="69"/>
      <c r="N1470" s="72"/>
      <c r="O1470" s="69"/>
      <c r="P1470" s="69"/>
      <c r="Q1470" s="69"/>
      <c r="R1470" s="69"/>
      <c r="S1470" s="69"/>
      <c r="T1470" s="69"/>
      <c r="U1470" s="69"/>
      <c r="V1470" s="69"/>
      <c r="W1470" s="69"/>
      <c r="X1470" s="69"/>
      <c r="Y1470" s="69"/>
      <c r="Z1470" s="69"/>
      <c r="AA1470" s="69"/>
      <c r="AB1470" s="69"/>
      <c r="AC1470" s="69"/>
      <c r="AD1470" s="69"/>
      <c r="AE1470" s="69"/>
      <c r="AF1470" s="69"/>
      <c r="AG1470" s="69"/>
      <c r="AH1470" s="69"/>
      <c r="AI1470" s="69"/>
      <c r="AJ1470" s="69"/>
      <c r="AK1470" s="69"/>
      <c r="AL1470" s="69"/>
      <c r="AM1470" s="69"/>
      <c r="AN1470" s="69"/>
      <c r="AO1470" s="69"/>
      <c r="AP1470" s="69"/>
      <c r="AQ1470" s="69"/>
      <c r="AR1470" s="69"/>
      <c r="AS1470" s="69"/>
      <c r="AT1470" s="69"/>
      <c r="AU1470" s="69"/>
      <c r="AV1470" s="69"/>
      <c r="AW1470" s="69"/>
      <c r="AX1470" s="69"/>
      <c r="AY1470" s="69"/>
      <c r="AZ1470" s="69"/>
      <c r="BA1470" s="69"/>
      <c r="BB1470" s="69"/>
      <c r="BC1470" s="69"/>
    </row>
    <row r="1471">
      <c r="A1471" s="68"/>
      <c r="B1471" s="68"/>
      <c r="C1471" s="68"/>
      <c r="D1471" s="68"/>
      <c r="E1471" s="68"/>
      <c r="F1471" s="68"/>
      <c r="G1471" s="68"/>
      <c r="H1471" s="68"/>
      <c r="I1471" s="69"/>
      <c r="J1471" s="69"/>
      <c r="K1471" s="71"/>
      <c r="L1471" s="69"/>
      <c r="M1471" s="69"/>
      <c r="N1471" s="72"/>
      <c r="O1471" s="69"/>
      <c r="P1471" s="69"/>
      <c r="Q1471" s="69"/>
      <c r="R1471" s="69"/>
      <c r="S1471" s="69"/>
      <c r="T1471" s="69"/>
      <c r="U1471" s="69"/>
      <c r="V1471" s="69"/>
      <c r="W1471" s="69"/>
      <c r="X1471" s="69"/>
      <c r="Y1471" s="69"/>
      <c r="Z1471" s="69"/>
      <c r="AA1471" s="69"/>
      <c r="AB1471" s="69"/>
      <c r="AC1471" s="69"/>
      <c r="AD1471" s="69"/>
      <c r="AE1471" s="69"/>
      <c r="AF1471" s="69"/>
      <c r="AG1471" s="69"/>
      <c r="AH1471" s="69"/>
      <c r="AI1471" s="69"/>
      <c r="AJ1471" s="69"/>
      <c r="AK1471" s="69"/>
      <c r="AL1471" s="69"/>
      <c r="AM1471" s="69"/>
      <c r="AN1471" s="69"/>
      <c r="AO1471" s="69"/>
      <c r="AP1471" s="69"/>
      <c r="AQ1471" s="69"/>
      <c r="AR1471" s="69"/>
      <c r="AS1471" s="69"/>
      <c r="AT1471" s="69"/>
      <c r="AU1471" s="69"/>
      <c r="AV1471" s="69"/>
      <c r="AW1471" s="69"/>
      <c r="AX1471" s="69"/>
      <c r="AY1471" s="69"/>
      <c r="AZ1471" s="69"/>
      <c r="BA1471" s="69"/>
      <c r="BB1471" s="69"/>
      <c r="BC1471" s="69"/>
    </row>
    <row r="1472">
      <c r="A1472" s="68"/>
      <c r="B1472" s="68"/>
      <c r="C1472" s="68"/>
      <c r="D1472" s="68"/>
      <c r="E1472" s="68"/>
      <c r="F1472" s="68"/>
      <c r="G1472" s="68"/>
      <c r="H1472" s="68"/>
      <c r="I1472" s="69"/>
      <c r="J1472" s="69"/>
      <c r="K1472" s="71"/>
      <c r="L1472" s="69"/>
      <c r="M1472" s="69"/>
      <c r="N1472" s="72"/>
      <c r="O1472" s="69"/>
      <c r="P1472" s="69"/>
      <c r="Q1472" s="69"/>
      <c r="R1472" s="69"/>
      <c r="S1472" s="69"/>
      <c r="T1472" s="69"/>
      <c r="U1472" s="69"/>
      <c r="V1472" s="69"/>
      <c r="W1472" s="69"/>
      <c r="X1472" s="69"/>
      <c r="Y1472" s="69"/>
      <c r="Z1472" s="69"/>
      <c r="AA1472" s="69"/>
      <c r="AB1472" s="69"/>
      <c r="AC1472" s="69"/>
      <c r="AD1472" s="69"/>
      <c r="AE1472" s="69"/>
      <c r="AF1472" s="69"/>
      <c r="AG1472" s="69"/>
      <c r="AH1472" s="69"/>
      <c r="AI1472" s="69"/>
      <c r="AJ1472" s="69"/>
      <c r="AK1472" s="69"/>
      <c r="AL1472" s="69"/>
      <c r="AM1472" s="69"/>
      <c r="AN1472" s="69"/>
      <c r="AO1472" s="69"/>
      <c r="AP1472" s="69"/>
      <c r="AQ1472" s="69"/>
      <c r="AR1472" s="69"/>
      <c r="AS1472" s="69"/>
      <c r="AT1472" s="69"/>
      <c r="AU1472" s="69"/>
      <c r="AV1472" s="69"/>
      <c r="AW1472" s="69"/>
      <c r="AX1472" s="69"/>
      <c r="AY1472" s="69"/>
      <c r="AZ1472" s="69"/>
      <c r="BA1472" s="69"/>
      <c r="BB1472" s="69"/>
      <c r="BC1472" s="69"/>
    </row>
    <row r="1473">
      <c r="A1473" s="68"/>
      <c r="B1473" s="68"/>
      <c r="C1473" s="68"/>
      <c r="D1473" s="68"/>
      <c r="E1473" s="68"/>
      <c r="F1473" s="68"/>
      <c r="G1473" s="68"/>
      <c r="H1473" s="68"/>
      <c r="I1473" s="69"/>
      <c r="J1473" s="69"/>
      <c r="K1473" s="71"/>
      <c r="L1473" s="69"/>
      <c r="M1473" s="69"/>
      <c r="N1473" s="72"/>
      <c r="O1473" s="69"/>
      <c r="P1473" s="69"/>
      <c r="Q1473" s="69"/>
      <c r="R1473" s="69"/>
      <c r="S1473" s="69"/>
      <c r="T1473" s="69"/>
      <c r="U1473" s="69"/>
      <c r="V1473" s="69"/>
      <c r="W1473" s="69"/>
      <c r="X1473" s="69"/>
      <c r="Y1473" s="69"/>
      <c r="Z1473" s="69"/>
      <c r="AA1473" s="69"/>
      <c r="AB1473" s="69"/>
      <c r="AC1473" s="69"/>
      <c r="AD1473" s="69"/>
      <c r="AE1473" s="69"/>
      <c r="AF1473" s="69"/>
      <c r="AG1473" s="69"/>
      <c r="AH1473" s="69"/>
      <c r="AI1473" s="69"/>
      <c r="AJ1473" s="69"/>
      <c r="AK1473" s="69"/>
      <c r="AL1473" s="69"/>
      <c r="AM1473" s="69"/>
      <c r="AN1473" s="69"/>
      <c r="AO1473" s="69"/>
      <c r="AP1473" s="69"/>
      <c r="AQ1473" s="69"/>
      <c r="AR1473" s="69"/>
      <c r="AS1473" s="69"/>
      <c r="AT1473" s="69"/>
      <c r="AU1473" s="69"/>
      <c r="AV1473" s="69"/>
      <c r="AW1473" s="69"/>
      <c r="AX1473" s="69"/>
      <c r="AY1473" s="69"/>
      <c r="AZ1473" s="69"/>
      <c r="BA1473" s="69"/>
      <c r="BB1473" s="69"/>
      <c r="BC1473" s="69"/>
    </row>
    <row r="1474">
      <c r="A1474" s="68"/>
      <c r="B1474" s="68"/>
      <c r="C1474" s="68"/>
      <c r="D1474" s="68"/>
      <c r="E1474" s="68"/>
      <c r="F1474" s="68"/>
      <c r="G1474" s="68"/>
      <c r="H1474" s="68"/>
      <c r="I1474" s="69"/>
      <c r="J1474" s="69"/>
      <c r="K1474" s="71"/>
      <c r="L1474" s="69"/>
      <c r="M1474" s="69"/>
      <c r="N1474" s="72"/>
      <c r="O1474" s="69"/>
      <c r="P1474" s="69"/>
      <c r="Q1474" s="69"/>
      <c r="R1474" s="69"/>
      <c r="S1474" s="69"/>
      <c r="T1474" s="69"/>
      <c r="U1474" s="69"/>
      <c r="V1474" s="69"/>
      <c r="W1474" s="69"/>
      <c r="X1474" s="69"/>
      <c r="Y1474" s="69"/>
      <c r="Z1474" s="69"/>
      <c r="AA1474" s="69"/>
      <c r="AB1474" s="69"/>
      <c r="AC1474" s="69"/>
      <c r="AD1474" s="69"/>
      <c r="AE1474" s="69"/>
      <c r="AF1474" s="69"/>
      <c r="AG1474" s="69"/>
      <c r="AH1474" s="69"/>
      <c r="AI1474" s="69"/>
      <c r="AJ1474" s="69"/>
      <c r="AK1474" s="69"/>
      <c r="AL1474" s="69"/>
      <c r="AM1474" s="69"/>
      <c r="AN1474" s="69"/>
      <c r="AO1474" s="69"/>
      <c r="AP1474" s="69"/>
      <c r="AQ1474" s="69"/>
      <c r="AR1474" s="69"/>
      <c r="AS1474" s="69"/>
      <c r="AT1474" s="69"/>
      <c r="AU1474" s="69"/>
      <c r="AV1474" s="69"/>
      <c r="AW1474" s="69"/>
      <c r="AX1474" s="69"/>
      <c r="AY1474" s="69"/>
      <c r="AZ1474" s="69"/>
      <c r="BA1474" s="69"/>
      <c r="BB1474" s="69"/>
      <c r="BC1474" s="69"/>
    </row>
    <row r="1475">
      <c r="A1475" s="68"/>
      <c r="B1475" s="68"/>
      <c r="C1475" s="68"/>
      <c r="D1475" s="68"/>
      <c r="E1475" s="68"/>
      <c r="F1475" s="68"/>
      <c r="G1475" s="68"/>
      <c r="H1475" s="68"/>
      <c r="I1475" s="69"/>
      <c r="J1475" s="69"/>
      <c r="K1475" s="71"/>
      <c r="L1475" s="69"/>
      <c r="M1475" s="69"/>
      <c r="N1475" s="72"/>
      <c r="O1475" s="69"/>
      <c r="P1475" s="69"/>
      <c r="Q1475" s="69"/>
      <c r="R1475" s="69"/>
      <c r="S1475" s="69"/>
      <c r="T1475" s="69"/>
      <c r="U1475" s="69"/>
      <c r="V1475" s="69"/>
      <c r="W1475" s="69"/>
      <c r="X1475" s="69"/>
      <c r="Y1475" s="69"/>
      <c r="Z1475" s="69"/>
      <c r="AA1475" s="69"/>
      <c r="AB1475" s="69"/>
      <c r="AC1475" s="69"/>
      <c r="AD1475" s="69"/>
      <c r="AE1475" s="69"/>
      <c r="AF1475" s="69"/>
      <c r="AG1475" s="69"/>
      <c r="AH1475" s="69"/>
      <c r="AI1475" s="69"/>
      <c r="AJ1475" s="69"/>
      <c r="AK1475" s="69"/>
      <c r="AL1475" s="69"/>
      <c r="AM1475" s="69"/>
      <c r="AN1475" s="69"/>
      <c r="AO1475" s="69"/>
      <c r="AP1475" s="69"/>
      <c r="AQ1475" s="69"/>
      <c r="AR1475" s="69"/>
      <c r="AS1475" s="69"/>
      <c r="AT1475" s="69"/>
      <c r="AU1475" s="69"/>
      <c r="AV1475" s="69"/>
      <c r="AW1475" s="69"/>
      <c r="AX1475" s="69"/>
      <c r="AY1475" s="69"/>
      <c r="AZ1475" s="69"/>
      <c r="BA1475" s="69"/>
      <c r="BB1475" s="69"/>
      <c r="BC1475" s="69"/>
    </row>
    <row r="1476">
      <c r="A1476" s="68"/>
      <c r="B1476" s="68"/>
      <c r="C1476" s="68"/>
      <c r="D1476" s="68"/>
      <c r="E1476" s="68"/>
      <c r="F1476" s="68"/>
      <c r="G1476" s="68"/>
      <c r="H1476" s="68"/>
      <c r="I1476" s="69"/>
      <c r="J1476" s="69"/>
      <c r="K1476" s="71"/>
      <c r="L1476" s="69"/>
      <c r="M1476" s="69"/>
      <c r="N1476" s="72"/>
      <c r="O1476" s="69"/>
      <c r="P1476" s="69"/>
      <c r="Q1476" s="69"/>
      <c r="R1476" s="69"/>
      <c r="S1476" s="69"/>
      <c r="T1476" s="69"/>
      <c r="U1476" s="69"/>
      <c r="V1476" s="69"/>
      <c r="W1476" s="69"/>
      <c r="X1476" s="69"/>
      <c r="Y1476" s="69"/>
      <c r="Z1476" s="69"/>
      <c r="AA1476" s="69"/>
      <c r="AB1476" s="69"/>
      <c r="AC1476" s="69"/>
      <c r="AD1476" s="69"/>
      <c r="AE1476" s="69"/>
      <c r="AF1476" s="69"/>
      <c r="AG1476" s="69"/>
      <c r="AH1476" s="69"/>
      <c r="AI1476" s="69"/>
      <c r="AJ1476" s="69"/>
      <c r="AK1476" s="69"/>
      <c r="AL1476" s="69"/>
      <c r="AM1476" s="69"/>
      <c r="AN1476" s="69"/>
      <c r="AO1476" s="69"/>
      <c r="AP1476" s="69"/>
      <c r="AQ1476" s="69"/>
      <c r="AR1476" s="69"/>
      <c r="AS1476" s="69"/>
      <c r="AT1476" s="69"/>
      <c r="AU1476" s="69"/>
      <c r="AV1476" s="69"/>
      <c r="AW1476" s="69"/>
      <c r="AX1476" s="69"/>
      <c r="AY1476" s="69"/>
      <c r="AZ1476" s="69"/>
      <c r="BA1476" s="69"/>
      <c r="BB1476" s="69"/>
      <c r="BC1476" s="69"/>
    </row>
    <row r="1477">
      <c r="A1477" s="68"/>
      <c r="B1477" s="68"/>
      <c r="C1477" s="68"/>
      <c r="D1477" s="68"/>
      <c r="E1477" s="68"/>
      <c r="F1477" s="68"/>
      <c r="G1477" s="68"/>
      <c r="H1477" s="68"/>
      <c r="I1477" s="69"/>
      <c r="J1477" s="69"/>
      <c r="K1477" s="71"/>
      <c r="L1477" s="69"/>
      <c r="M1477" s="69"/>
      <c r="N1477" s="72"/>
      <c r="O1477" s="69"/>
      <c r="P1477" s="69"/>
      <c r="Q1477" s="69"/>
      <c r="R1477" s="69"/>
      <c r="S1477" s="69"/>
      <c r="T1477" s="69"/>
      <c r="U1477" s="69"/>
      <c r="V1477" s="69"/>
      <c r="W1477" s="69"/>
      <c r="X1477" s="69"/>
      <c r="Y1477" s="69"/>
      <c r="Z1477" s="69"/>
      <c r="AA1477" s="69"/>
      <c r="AB1477" s="69"/>
      <c r="AC1477" s="69"/>
      <c r="AD1477" s="69"/>
      <c r="AE1477" s="69"/>
      <c r="AF1477" s="69"/>
      <c r="AG1477" s="69"/>
      <c r="AH1477" s="69"/>
      <c r="AI1477" s="69"/>
      <c r="AJ1477" s="69"/>
      <c r="AK1477" s="69"/>
      <c r="AL1477" s="69"/>
      <c r="AM1477" s="69"/>
      <c r="AN1477" s="69"/>
      <c r="AO1477" s="69"/>
      <c r="AP1477" s="69"/>
      <c r="AQ1477" s="69"/>
      <c r="AR1477" s="69"/>
      <c r="AS1477" s="69"/>
      <c r="AT1477" s="69"/>
      <c r="AU1477" s="69"/>
      <c r="AV1477" s="69"/>
      <c r="AW1477" s="69"/>
      <c r="AX1477" s="69"/>
      <c r="AY1477" s="69"/>
      <c r="AZ1477" s="69"/>
      <c r="BA1477" s="69"/>
      <c r="BB1477" s="69"/>
      <c r="BC1477" s="69"/>
    </row>
    <row r="1478">
      <c r="A1478" s="68"/>
      <c r="B1478" s="68"/>
      <c r="C1478" s="68"/>
      <c r="D1478" s="68"/>
      <c r="E1478" s="68"/>
      <c r="F1478" s="68"/>
      <c r="G1478" s="68"/>
      <c r="H1478" s="68"/>
      <c r="I1478" s="69"/>
      <c r="J1478" s="69"/>
      <c r="K1478" s="71"/>
      <c r="L1478" s="69"/>
      <c r="M1478" s="69"/>
      <c r="N1478" s="72"/>
      <c r="O1478" s="69"/>
      <c r="P1478" s="69"/>
      <c r="Q1478" s="69"/>
      <c r="R1478" s="69"/>
      <c r="S1478" s="69"/>
      <c r="T1478" s="69"/>
      <c r="U1478" s="69"/>
      <c r="V1478" s="69"/>
      <c r="W1478" s="69"/>
      <c r="X1478" s="69"/>
      <c r="Y1478" s="69"/>
      <c r="Z1478" s="69"/>
      <c r="AA1478" s="69"/>
      <c r="AB1478" s="69"/>
      <c r="AC1478" s="69"/>
      <c r="AD1478" s="69"/>
      <c r="AE1478" s="69"/>
      <c r="AF1478" s="69"/>
      <c r="AG1478" s="69"/>
      <c r="AH1478" s="69"/>
      <c r="AI1478" s="69"/>
      <c r="AJ1478" s="69"/>
      <c r="AK1478" s="69"/>
      <c r="AL1478" s="69"/>
      <c r="AM1478" s="69"/>
      <c r="AN1478" s="69"/>
      <c r="AO1478" s="69"/>
      <c r="AP1478" s="69"/>
      <c r="AQ1478" s="69"/>
      <c r="AR1478" s="69"/>
      <c r="AS1478" s="69"/>
      <c r="AT1478" s="69"/>
      <c r="AU1478" s="69"/>
      <c r="AV1478" s="69"/>
      <c r="AW1478" s="69"/>
      <c r="AX1478" s="69"/>
      <c r="AY1478" s="69"/>
      <c r="AZ1478" s="69"/>
      <c r="BA1478" s="69"/>
      <c r="BB1478" s="69"/>
      <c r="BC1478" s="69"/>
    </row>
    <row r="1479">
      <c r="A1479" s="68"/>
      <c r="B1479" s="68"/>
      <c r="C1479" s="68"/>
      <c r="D1479" s="68"/>
      <c r="E1479" s="68"/>
      <c r="F1479" s="68"/>
      <c r="G1479" s="68"/>
      <c r="H1479" s="68"/>
      <c r="I1479" s="69"/>
      <c r="J1479" s="69"/>
      <c r="K1479" s="71"/>
      <c r="L1479" s="69"/>
      <c r="M1479" s="69"/>
      <c r="N1479" s="72"/>
      <c r="O1479" s="69"/>
      <c r="P1479" s="69"/>
      <c r="Q1479" s="69"/>
      <c r="R1479" s="69"/>
      <c r="S1479" s="69"/>
      <c r="T1479" s="69"/>
      <c r="U1479" s="69"/>
      <c r="V1479" s="69"/>
      <c r="W1479" s="69"/>
      <c r="X1479" s="69"/>
      <c r="Y1479" s="69"/>
      <c r="Z1479" s="69"/>
      <c r="AA1479" s="69"/>
      <c r="AB1479" s="69"/>
      <c r="AC1479" s="69"/>
      <c r="AD1479" s="69"/>
      <c r="AE1479" s="69"/>
      <c r="AF1479" s="69"/>
      <c r="AG1479" s="69"/>
      <c r="AH1479" s="69"/>
      <c r="AI1479" s="69"/>
      <c r="AJ1479" s="69"/>
      <c r="AK1479" s="69"/>
      <c r="AL1479" s="69"/>
      <c r="AM1479" s="69"/>
      <c r="AN1479" s="69"/>
      <c r="AO1479" s="69"/>
      <c r="AP1479" s="69"/>
      <c r="AQ1479" s="69"/>
      <c r="AR1479" s="69"/>
      <c r="AS1479" s="69"/>
      <c r="AT1479" s="69"/>
      <c r="AU1479" s="69"/>
      <c r="AV1479" s="69"/>
      <c r="AW1479" s="69"/>
      <c r="AX1479" s="69"/>
      <c r="AY1479" s="69"/>
      <c r="AZ1479" s="69"/>
      <c r="BA1479" s="69"/>
      <c r="BB1479" s="69"/>
      <c r="BC1479" s="69"/>
    </row>
    <row r="1480">
      <c r="A1480" s="68"/>
      <c r="B1480" s="68"/>
      <c r="C1480" s="68"/>
      <c r="D1480" s="68"/>
      <c r="E1480" s="68"/>
      <c r="F1480" s="68"/>
      <c r="G1480" s="68"/>
      <c r="H1480" s="68"/>
      <c r="I1480" s="69"/>
      <c r="J1480" s="69"/>
      <c r="K1480" s="71"/>
      <c r="L1480" s="69"/>
      <c r="M1480" s="69"/>
      <c r="N1480" s="72"/>
      <c r="O1480" s="69"/>
      <c r="P1480" s="69"/>
      <c r="Q1480" s="69"/>
      <c r="R1480" s="69"/>
      <c r="S1480" s="69"/>
      <c r="T1480" s="69"/>
      <c r="U1480" s="69"/>
      <c r="V1480" s="69"/>
      <c r="W1480" s="69"/>
      <c r="X1480" s="69"/>
      <c r="Y1480" s="69"/>
      <c r="Z1480" s="69"/>
      <c r="AA1480" s="69"/>
      <c r="AB1480" s="69"/>
      <c r="AC1480" s="69"/>
      <c r="AD1480" s="69"/>
      <c r="AE1480" s="69"/>
      <c r="AF1480" s="69"/>
      <c r="AG1480" s="69"/>
      <c r="AH1480" s="69"/>
      <c r="AI1480" s="69"/>
      <c r="AJ1480" s="69"/>
      <c r="AK1480" s="69"/>
      <c r="AL1480" s="69"/>
      <c r="AM1480" s="69"/>
      <c r="AN1480" s="69"/>
      <c r="AO1480" s="69"/>
      <c r="AP1480" s="69"/>
      <c r="AQ1480" s="69"/>
      <c r="AR1480" s="69"/>
      <c r="AS1480" s="69"/>
      <c r="AT1480" s="69"/>
      <c r="AU1480" s="69"/>
      <c r="AV1480" s="69"/>
      <c r="AW1480" s="69"/>
      <c r="AX1480" s="69"/>
      <c r="AY1480" s="69"/>
      <c r="AZ1480" s="69"/>
      <c r="BA1480" s="69"/>
      <c r="BB1480" s="69"/>
      <c r="BC1480" s="69"/>
    </row>
    <row r="1481">
      <c r="A1481" s="68"/>
      <c r="B1481" s="68"/>
      <c r="C1481" s="68"/>
      <c r="D1481" s="68"/>
      <c r="E1481" s="68"/>
      <c r="F1481" s="68"/>
      <c r="G1481" s="68"/>
      <c r="H1481" s="68"/>
      <c r="I1481" s="69"/>
      <c r="J1481" s="69"/>
      <c r="K1481" s="71"/>
      <c r="L1481" s="69"/>
      <c r="M1481" s="69"/>
      <c r="N1481" s="72"/>
      <c r="O1481" s="69"/>
      <c r="P1481" s="69"/>
      <c r="Q1481" s="69"/>
      <c r="R1481" s="69"/>
      <c r="S1481" s="69"/>
      <c r="T1481" s="69"/>
      <c r="U1481" s="69"/>
      <c r="V1481" s="69"/>
      <c r="W1481" s="69"/>
      <c r="X1481" s="69"/>
      <c r="Y1481" s="69"/>
      <c r="Z1481" s="69"/>
      <c r="AA1481" s="69"/>
      <c r="AB1481" s="69"/>
      <c r="AC1481" s="69"/>
      <c r="AD1481" s="69"/>
      <c r="AE1481" s="69"/>
      <c r="AF1481" s="69"/>
      <c r="AG1481" s="69"/>
      <c r="AH1481" s="69"/>
      <c r="AI1481" s="69"/>
      <c r="AJ1481" s="69"/>
      <c r="AK1481" s="69"/>
      <c r="AL1481" s="69"/>
      <c r="AM1481" s="69"/>
      <c r="AN1481" s="69"/>
      <c r="AO1481" s="69"/>
      <c r="AP1481" s="69"/>
      <c r="AQ1481" s="69"/>
      <c r="AR1481" s="69"/>
      <c r="AS1481" s="69"/>
      <c r="AT1481" s="69"/>
      <c r="AU1481" s="69"/>
      <c r="AV1481" s="69"/>
      <c r="AW1481" s="69"/>
      <c r="AX1481" s="69"/>
      <c r="AY1481" s="69"/>
      <c r="AZ1481" s="69"/>
      <c r="BA1481" s="69"/>
      <c r="BB1481" s="69"/>
      <c r="BC1481" s="69"/>
    </row>
    <row r="1482">
      <c r="A1482" s="68"/>
      <c r="B1482" s="68"/>
      <c r="C1482" s="68"/>
      <c r="D1482" s="68"/>
      <c r="E1482" s="68"/>
      <c r="F1482" s="68"/>
      <c r="G1482" s="68"/>
      <c r="H1482" s="68"/>
      <c r="I1482" s="69"/>
      <c r="J1482" s="69"/>
      <c r="K1482" s="71"/>
      <c r="L1482" s="69"/>
      <c r="M1482" s="69"/>
      <c r="N1482" s="72"/>
      <c r="O1482" s="69"/>
      <c r="P1482" s="69"/>
      <c r="Q1482" s="69"/>
      <c r="R1482" s="69"/>
      <c r="S1482" s="69"/>
      <c r="T1482" s="69"/>
      <c r="U1482" s="69"/>
      <c r="V1482" s="69"/>
      <c r="W1482" s="69"/>
      <c r="X1482" s="69"/>
      <c r="Y1482" s="69"/>
      <c r="Z1482" s="69"/>
      <c r="AA1482" s="69"/>
      <c r="AB1482" s="69"/>
      <c r="AC1482" s="69"/>
      <c r="AD1482" s="69"/>
      <c r="AE1482" s="69"/>
      <c r="AF1482" s="69"/>
      <c r="AG1482" s="69"/>
      <c r="AH1482" s="69"/>
      <c r="AI1482" s="69"/>
      <c r="AJ1482" s="69"/>
      <c r="AK1482" s="69"/>
      <c r="AL1482" s="69"/>
      <c r="AM1482" s="69"/>
      <c r="AN1482" s="69"/>
      <c r="AO1482" s="69"/>
      <c r="AP1482" s="69"/>
      <c r="AQ1482" s="69"/>
      <c r="AR1482" s="69"/>
      <c r="AS1482" s="69"/>
      <c r="AT1482" s="69"/>
      <c r="AU1482" s="69"/>
      <c r="AV1482" s="69"/>
      <c r="AW1482" s="69"/>
      <c r="AX1482" s="69"/>
      <c r="AY1482" s="69"/>
      <c r="AZ1482" s="69"/>
      <c r="BA1482" s="69"/>
      <c r="BB1482" s="69"/>
      <c r="BC1482" s="69"/>
    </row>
    <row r="1483">
      <c r="A1483" s="68"/>
      <c r="B1483" s="68"/>
      <c r="C1483" s="68"/>
      <c r="D1483" s="68"/>
      <c r="E1483" s="68"/>
      <c r="F1483" s="68"/>
      <c r="G1483" s="68"/>
      <c r="H1483" s="68"/>
      <c r="I1483" s="69"/>
      <c r="J1483" s="69"/>
      <c r="K1483" s="71"/>
      <c r="L1483" s="69"/>
      <c r="M1483" s="69"/>
      <c r="N1483" s="72"/>
      <c r="O1483" s="69"/>
      <c r="P1483" s="69"/>
      <c r="Q1483" s="69"/>
      <c r="R1483" s="69"/>
      <c r="S1483" s="69"/>
      <c r="T1483" s="69"/>
      <c r="U1483" s="69"/>
      <c r="V1483" s="69"/>
      <c r="W1483" s="69"/>
      <c r="X1483" s="69"/>
      <c r="Y1483" s="69"/>
      <c r="Z1483" s="69"/>
      <c r="AA1483" s="69"/>
      <c r="AB1483" s="69"/>
      <c r="AC1483" s="69"/>
      <c r="AD1483" s="69"/>
      <c r="AE1483" s="69"/>
      <c r="AF1483" s="69"/>
      <c r="AG1483" s="69"/>
      <c r="AH1483" s="69"/>
      <c r="AI1483" s="69"/>
      <c r="AJ1483" s="69"/>
      <c r="AK1483" s="69"/>
      <c r="AL1483" s="69"/>
      <c r="AM1483" s="69"/>
      <c r="AN1483" s="69"/>
      <c r="AO1483" s="69"/>
      <c r="AP1483" s="69"/>
      <c r="AQ1483" s="69"/>
      <c r="AR1483" s="69"/>
      <c r="AS1483" s="69"/>
      <c r="AT1483" s="69"/>
      <c r="AU1483" s="69"/>
      <c r="AV1483" s="69"/>
      <c r="AW1483" s="69"/>
      <c r="AX1483" s="69"/>
      <c r="AY1483" s="69"/>
      <c r="AZ1483" s="69"/>
      <c r="BA1483" s="69"/>
      <c r="BB1483" s="69"/>
      <c r="BC1483" s="69"/>
    </row>
    <row r="1484">
      <c r="A1484" s="68"/>
      <c r="B1484" s="68"/>
      <c r="C1484" s="68"/>
      <c r="D1484" s="68"/>
      <c r="E1484" s="68"/>
      <c r="F1484" s="68"/>
      <c r="G1484" s="68"/>
      <c r="H1484" s="68"/>
      <c r="I1484" s="69"/>
      <c r="J1484" s="69"/>
      <c r="K1484" s="71"/>
      <c r="L1484" s="69"/>
      <c r="M1484" s="69"/>
      <c r="N1484" s="72"/>
      <c r="O1484" s="69"/>
      <c r="P1484" s="69"/>
      <c r="Q1484" s="69"/>
      <c r="R1484" s="69"/>
      <c r="S1484" s="69"/>
      <c r="T1484" s="69"/>
      <c r="U1484" s="69"/>
      <c r="V1484" s="69"/>
      <c r="W1484" s="69"/>
      <c r="X1484" s="69"/>
      <c r="Y1484" s="69"/>
      <c r="Z1484" s="69"/>
      <c r="AA1484" s="69"/>
      <c r="AB1484" s="69"/>
      <c r="AC1484" s="69"/>
      <c r="AD1484" s="69"/>
      <c r="AE1484" s="69"/>
      <c r="AF1484" s="69"/>
      <c r="AG1484" s="69"/>
      <c r="AH1484" s="69"/>
      <c r="AI1484" s="69"/>
      <c r="AJ1484" s="69"/>
      <c r="AK1484" s="69"/>
      <c r="AL1484" s="69"/>
      <c r="AM1484" s="69"/>
      <c r="AN1484" s="69"/>
      <c r="AO1484" s="69"/>
      <c r="AP1484" s="69"/>
      <c r="AQ1484" s="69"/>
      <c r="AR1484" s="69"/>
      <c r="AS1484" s="69"/>
      <c r="AT1484" s="69"/>
      <c r="AU1484" s="69"/>
      <c r="AV1484" s="69"/>
      <c r="AW1484" s="69"/>
      <c r="AX1484" s="69"/>
      <c r="AY1484" s="69"/>
      <c r="AZ1484" s="69"/>
      <c r="BA1484" s="69"/>
      <c r="BB1484" s="69"/>
      <c r="BC1484" s="69"/>
    </row>
    <row r="1485">
      <c r="A1485" s="68"/>
      <c r="B1485" s="68"/>
      <c r="C1485" s="68"/>
      <c r="D1485" s="68"/>
      <c r="E1485" s="68"/>
      <c r="F1485" s="68"/>
      <c r="G1485" s="68"/>
      <c r="H1485" s="68"/>
      <c r="I1485" s="69"/>
      <c r="J1485" s="69"/>
      <c r="K1485" s="71"/>
      <c r="L1485" s="69"/>
      <c r="M1485" s="69"/>
      <c r="N1485" s="72"/>
      <c r="O1485" s="69"/>
      <c r="P1485" s="69"/>
      <c r="Q1485" s="69"/>
      <c r="R1485" s="69"/>
      <c r="S1485" s="69"/>
      <c r="T1485" s="69"/>
      <c r="U1485" s="69"/>
      <c r="V1485" s="69"/>
      <c r="W1485" s="69"/>
      <c r="X1485" s="69"/>
      <c r="Y1485" s="69"/>
      <c r="Z1485" s="69"/>
      <c r="AA1485" s="69"/>
      <c r="AB1485" s="69"/>
      <c r="AC1485" s="69"/>
      <c r="AD1485" s="69"/>
      <c r="AE1485" s="69"/>
      <c r="AF1485" s="69"/>
      <c r="AG1485" s="69"/>
      <c r="AH1485" s="69"/>
      <c r="AI1485" s="69"/>
      <c r="AJ1485" s="69"/>
      <c r="AK1485" s="69"/>
      <c r="AL1485" s="69"/>
      <c r="AM1485" s="69"/>
      <c r="AN1485" s="69"/>
      <c r="AO1485" s="69"/>
      <c r="AP1485" s="69"/>
      <c r="AQ1485" s="69"/>
      <c r="AR1485" s="69"/>
      <c r="AS1485" s="69"/>
      <c r="AT1485" s="69"/>
      <c r="AU1485" s="69"/>
      <c r="AV1485" s="69"/>
      <c r="AW1485" s="69"/>
      <c r="AX1485" s="69"/>
      <c r="AY1485" s="69"/>
      <c r="AZ1485" s="69"/>
      <c r="BA1485" s="69"/>
      <c r="BB1485" s="69"/>
      <c r="BC1485" s="69"/>
    </row>
    <row r="1486">
      <c r="A1486" s="68"/>
      <c r="B1486" s="68"/>
      <c r="C1486" s="68"/>
      <c r="D1486" s="68"/>
      <c r="E1486" s="68"/>
      <c r="F1486" s="68"/>
      <c r="G1486" s="68"/>
      <c r="H1486" s="68"/>
      <c r="I1486" s="69"/>
      <c r="J1486" s="69"/>
      <c r="K1486" s="71"/>
      <c r="L1486" s="69"/>
      <c r="M1486" s="69"/>
      <c r="N1486" s="72"/>
      <c r="O1486" s="69"/>
      <c r="P1486" s="69"/>
      <c r="Q1486" s="69"/>
      <c r="R1486" s="69"/>
      <c r="S1486" s="69"/>
      <c r="T1486" s="69"/>
      <c r="U1486" s="69"/>
      <c r="V1486" s="69"/>
      <c r="W1486" s="69"/>
      <c r="X1486" s="69"/>
      <c r="Y1486" s="69"/>
      <c r="Z1486" s="69"/>
      <c r="AA1486" s="69"/>
      <c r="AB1486" s="69"/>
      <c r="AC1486" s="69"/>
      <c r="AD1486" s="69"/>
      <c r="AE1486" s="69"/>
      <c r="AF1486" s="69"/>
      <c r="AG1486" s="69"/>
      <c r="AH1486" s="69"/>
      <c r="AI1486" s="69"/>
      <c r="AJ1486" s="69"/>
      <c r="AK1486" s="69"/>
      <c r="AL1486" s="69"/>
      <c r="AM1486" s="69"/>
      <c r="AN1486" s="69"/>
      <c r="AO1486" s="69"/>
      <c r="AP1486" s="69"/>
      <c r="AQ1486" s="69"/>
      <c r="AR1486" s="69"/>
      <c r="AS1486" s="69"/>
      <c r="AT1486" s="69"/>
      <c r="AU1486" s="69"/>
      <c r="AV1486" s="69"/>
      <c r="AW1486" s="69"/>
      <c r="AX1486" s="69"/>
      <c r="AY1486" s="69"/>
      <c r="AZ1486" s="69"/>
      <c r="BA1486" s="69"/>
      <c r="BB1486" s="69"/>
      <c r="BC1486" s="69"/>
    </row>
    <row r="1487">
      <c r="A1487" s="68"/>
      <c r="B1487" s="68"/>
      <c r="C1487" s="68"/>
      <c r="D1487" s="68"/>
      <c r="E1487" s="68"/>
      <c r="F1487" s="68"/>
      <c r="G1487" s="68"/>
      <c r="H1487" s="68"/>
      <c r="I1487" s="69"/>
      <c r="J1487" s="69"/>
      <c r="K1487" s="71"/>
      <c r="L1487" s="69"/>
      <c r="M1487" s="69"/>
      <c r="N1487" s="72"/>
      <c r="O1487" s="69"/>
      <c r="P1487" s="69"/>
      <c r="Q1487" s="69"/>
      <c r="R1487" s="69"/>
      <c r="S1487" s="69"/>
      <c r="T1487" s="69"/>
      <c r="U1487" s="69"/>
      <c r="V1487" s="69"/>
      <c r="W1487" s="69"/>
      <c r="X1487" s="69"/>
      <c r="Y1487" s="69"/>
      <c r="Z1487" s="69"/>
      <c r="AA1487" s="69"/>
      <c r="AB1487" s="69"/>
      <c r="AC1487" s="69"/>
      <c r="AD1487" s="69"/>
      <c r="AE1487" s="69"/>
      <c r="AF1487" s="69"/>
      <c r="AG1487" s="69"/>
      <c r="AH1487" s="69"/>
      <c r="AI1487" s="69"/>
      <c r="AJ1487" s="69"/>
      <c r="AK1487" s="69"/>
      <c r="AL1487" s="69"/>
      <c r="AM1487" s="69"/>
      <c r="AN1487" s="69"/>
      <c r="AO1487" s="69"/>
      <c r="AP1487" s="69"/>
      <c r="AQ1487" s="69"/>
      <c r="AR1487" s="69"/>
      <c r="AS1487" s="69"/>
      <c r="AT1487" s="69"/>
      <c r="AU1487" s="69"/>
      <c r="AV1487" s="69"/>
      <c r="AW1487" s="69"/>
      <c r="AX1487" s="69"/>
      <c r="AY1487" s="69"/>
      <c r="AZ1487" s="69"/>
      <c r="BA1487" s="69"/>
      <c r="BB1487" s="69"/>
      <c r="BC1487" s="69"/>
    </row>
    <row r="1488">
      <c r="A1488" s="68"/>
      <c r="B1488" s="68"/>
      <c r="C1488" s="68"/>
      <c r="D1488" s="68"/>
      <c r="E1488" s="68"/>
      <c r="F1488" s="68"/>
      <c r="G1488" s="68"/>
      <c r="H1488" s="68"/>
      <c r="I1488" s="69"/>
      <c r="J1488" s="69"/>
      <c r="K1488" s="71"/>
      <c r="L1488" s="69"/>
      <c r="M1488" s="69"/>
      <c r="N1488" s="72"/>
      <c r="O1488" s="69"/>
      <c r="P1488" s="69"/>
      <c r="Q1488" s="69"/>
      <c r="R1488" s="69"/>
      <c r="S1488" s="69"/>
      <c r="T1488" s="69"/>
      <c r="U1488" s="69"/>
      <c r="V1488" s="69"/>
      <c r="W1488" s="69"/>
      <c r="X1488" s="69"/>
      <c r="Y1488" s="69"/>
      <c r="Z1488" s="69"/>
      <c r="AA1488" s="69"/>
      <c r="AB1488" s="69"/>
      <c r="AC1488" s="69"/>
      <c r="AD1488" s="69"/>
      <c r="AE1488" s="69"/>
      <c r="AF1488" s="69"/>
      <c r="AG1488" s="69"/>
      <c r="AH1488" s="69"/>
      <c r="AI1488" s="69"/>
      <c r="AJ1488" s="69"/>
      <c r="AK1488" s="69"/>
      <c r="AL1488" s="69"/>
      <c r="AM1488" s="69"/>
      <c r="AN1488" s="69"/>
      <c r="AO1488" s="69"/>
      <c r="AP1488" s="69"/>
      <c r="AQ1488" s="69"/>
      <c r="AR1488" s="69"/>
      <c r="AS1488" s="69"/>
      <c r="AT1488" s="69"/>
      <c r="AU1488" s="69"/>
      <c r="AV1488" s="69"/>
      <c r="AW1488" s="69"/>
      <c r="AX1488" s="69"/>
      <c r="AY1488" s="69"/>
      <c r="AZ1488" s="69"/>
      <c r="BA1488" s="69"/>
      <c r="BB1488" s="69"/>
      <c r="BC1488" s="69"/>
    </row>
    <row r="1489">
      <c r="A1489" s="68"/>
      <c r="B1489" s="68"/>
      <c r="C1489" s="68"/>
      <c r="D1489" s="68"/>
      <c r="E1489" s="68"/>
      <c r="F1489" s="68"/>
      <c r="G1489" s="68"/>
      <c r="H1489" s="68"/>
      <c r="I1489" s="69"/>
      <c r="J1489" s="69"/>
      <c r="K1489" s="71"/>
      <c r="L1489" s="69"/>
      <c r="M1489" s="69"/>
      <c r="N1489" s="72"/>
      <c r="O1489" s="69"/>
      <c r="P1489" s="69"/>
      <c r="Q1489" s="69"/>
      <c r="R1489" s="69"/>
      <c r="S1489" s="69"/>
      <c r="T1489" s="69"/>
      <c r="U1489" s="69"/>
      <c r="V1489" s="69"/>
      <c r="W1489" s="69"/>
      <c r="X1489" s="69"/>
      <c r="Y1489" s="69"/>
      <c r="Z1489" s="69"/>
      <c r="AA1489" s="69"/>
      <c r="AB1489" s="69"/>
      <c r="AC1489" s="69"/>
      <c r="AD1489" s="69"/>
      <c r="AE1489" s="69"/>
      <c r="AF1489" s="69"/>
      <c r="AG1489" s="69"/>
      <c r="AH1489" s="69"/>
      <c r="AI1489" s="69"/>
      <c r="AJ1489" s="69"/>
      <c r="AK1489" s="69"/>
      <c r="AL1489" s="69"/>
      <c r="AM1489" s="69"/>
      <c r="AN1489" s="69"/>
      <c r="AO1489" s="69"/>
      <c r="AP1489" s="69"/>
      <c r="AQ1489" s="69"/>
      <c r="AR1489" s="69"/>
      <c r="AS1489" s="69"/>
      <c r="AT1489" s="69"/>
      <c r="AU1489" s="69"/>
      <c r="AV1489" s="69"/>
      <c r="AW1489" s="69"/>
      <c r="AX1489" s="69"/>
      <c r="AY1489" s="69"/>
      <c r="AZ1489" s="69"/>
      <c r="BA1489" s="69"/>
      <c r="BB1489" s="69"/>
      <c r="BC1489" s="69"/>
    </row>
    <row r="1490">
      <c r="A1490" s="68"/>
      <c r="B1490" s="68"/>
      <c r="C1490" s="68"/>
      <c r="D1490" s="68"/>
      <c r="E1490" s="68"/>
      <c r="F1490" s="68"/>
      <c r="G1490" s="68"/>
      <c r="H1490" s="68"/>
      <c r="I1490" s="69"/>
      <c r="J1490" s="69"/>
      <c r="K1490" s="71"/>
      <c r="L1490" s="69"/>
      <c r="M1490" s="69"/>
      <c r="N1490" s="72"/>
      <c r="O1490" s="69"/>
      <c r="P1490" s="69"/>
      <c r="Q1490" s="69"/>
      <c r="R1490" s="69"/>
      <c r="S1490" s="69"/>
      <c r="T1490" s="69"/>
      <c r="U1490" s="69"/>
      <c r="V1490" s="69"/>
      <c r="W1490" s="69"/>
      <c r="X1490" s="69"/>
      <c r="Y1490" s="69"/>
      <c r="Z1490" s="69"/>
      <c r="AA1490" s="69"/>
      <c r="AB1490" s="69"/>
      <c r="AC1490" s="69"/>
      <c r="AD1490" s="69"/>
      <c r="AE1490" s="69"/>
      <c r="AF1490" s="69"/>
      <c r="AG1490" s="69"/>
      <c r="AH1490" s="69"/>
      <c r="AI1490" s="69"/>
      <c r="AJ1490" s="69"/>
      <c r="AK1490" s="69"/>
      <c r="AL1490" s="69"/>
      <c r="AM1490" s="69"/>
      <c r="AN1490" s="69"/>
      <c r="AO1490" s="69"/>
      <c r="AP1490" s="69"/>
      <c r="AQ1490" s="69"/>
      <c r="AR1490" s="69"/>
      <c r="AS1490" s="69"/>
      <c r="AT1490" s="69"/>
      <c r="AU1490" s="69"/>
      <c r="AV1490" s="69"/>
      <c r="AW1490" s="69"/>
      <c r="AX1490" s="69"/>
      <c r="AY1490" s="69"/>
      <c r="AZ1490" s="69"/>
      <c r="BA1490" s="69"/>
      <c r="BB1490" s="69"/>
      <c r="BC1490" s="69"/>
    </row>
    <row r="1491">
      <c r="A1491" s="68"/>
      <c r="B1491" s="68"/>
      <c r="C1491" s="68"/>
      <c r="D1491" s="68"/>
      <c r="E1491" s="68"/>
      <c r="F1491" s="68"/>
      <c r="G1491" s="68"/>
      <c r="H1491" s="68"/>
      <c r="I1491" s="69"/>
      <c r="J1491" s="69"/>
      <c r="K1491" s="71"/>
      <c r="L1491" s="69"/>
      <c r="M1491" s="69"/>
      <c r="N1491" s="72"/>
      <c r="O1491" s="69"/>
      <c r="P1491" s="69"/>
      <c r="Q1491" s="69"/>
      <c r="R1491" s="69"/>
      <c r="S1491" s="69"/>
      <c r="T1491" s="69"/>
      <c r="U1491" s="69"/>
      <c r="V1491" s="69"/>
      <c r="W1491" s="69"/>
      <c r="X1491" s="69"/>
      <c r="Y1491" s="69"/>
      <c r="Z1491" s="69"/>
      <c r="AA1491" s="69"/>
      <c r="AB1491" s="69"/>
      <c r="AC1491" s="69"/>
      <c r="AD1491" s="69"/>
      <c r="AE1491" s="69"/>
      <c r="AF1491" s="69"/>
      <c r="AG1491" s="69"/>
      <c r="AH1491" s="69"/>
      <c r="AI1491" s="69"/>
      <c r="AJ1491" s="69"/>
      <c r="AK1491" s="69"/>
      <c r="AL1491" s="69"/>
      <c r="AM1491" s="69"/>
      <c r="AN1491" s="69"/>
      <c r="AO1491" s="69"/>
      <c r="AP1491" s="69"/>
      <c r="AQ1491" s="69"/>
      <c r="AR1491" s="69"/>
      <c r="AS1491" s="69"/>
      <c r="AT1491" s="69"/>
      <c r="AU1491" s="69"/>
      <c r="AV1491" s="69"/>
      <c r="AW1491" s="69"/>
      <c r="AX1491" s="69"/>
      <c r="AY1491" s="69"/>
      <c r="AZ1491" s="69"/>
      <c r="BA1491" s="69"/>
      <c r="BB1491" s="69"/>
      <c r="BC1491" s="69"/>
    </row>
    <row r="1492">
      <c r="A1492" s="68"/>
      <c r="B1492" s="68"/>
      <c r="C1492" s="68"/>
      <c r="D1492" s="68"/>
      <c r="E1492" s="68"/>
      <c r="F1492" s="68"/>
      <c r="G1492" s="68"/>
      <c r="H1492" s="68"/>
      <c r="I1492" s="69"/>
      <c r="J1492" s="69"/>
      <c r="K1492" s="71"/>
      <c r="L1492" s="69"/>
      <c r="M1492" s="69"/>
      <c r="N1492" s="72"/>
      <c r="O1492" s="69"/>
      <c r="P1492" s="69"/>
      <c r="Q1492" s="69"/>
      <c r="R1492" s="69"/>
      <c r="S1492" s="69"/>
      <c r="T1492" s="69"/>
      <c r="U1492" s="69"/>
      <c r="V1492" s="69"/>
      <c r="W1492" s="69"/>
      <c r="X1492" s="69"/>
      <c r="Y1492" s="69"/>
      <c r="Z1492" s="69"/>
      <c r="AA1492" s="69"/>
      <c r="AB1492" s="69"/>
      <c r="AC1492" s="69"/>
      <c r="AD1492" s="69"/>
      <c r="AE1492" s="69"/>
      <c r="AF1492" s="69"/>
      <c r="AG1492" s="69"/>
      <c r="AH1492" s="69"/>
      <c r="AI1492" s="69"/>
      <c r="AJ1492" s="69"/>
      <c r="AK1492" s="69"/>
      <c r="AL1492" s="69"/>
      <c r="AM1492" s="69"/>
      <c r="AN1492" s="69"/>
      <c r="AO1492" s="69"/>
      <c r="AP1492" s="69"/>
      <c r="AQ1492" s="69"/>
      <c r="AR1492" s="69"/>
      <c r="AS1492" s="69"/>
      <c r="AT1492" s="69"/>
      <c r="AU1492" s="69"/>
      <c r="AV1492" s="69"/>
      <c r="AW1492" s="69"/>
      <c r="AX1492" s="69"/>
      <c r="AY1492" s="69"/>
      <c r="AZ1492" s="69"/>
      <c r="BA1492" s="69"/>
      <c r="BB1492" s="69"/>
      <c r="BC1492" s="69"/>
    </row>
    <row r="1493">
      <c r="A1493" s="68"/>
      <c r="B1493" s="68"/>
      <c r="C1493" s="68"/>
      <c r="D1493" s="68"/>
      <c r="E1493" s="68"/>
      <c r="F1493" s="68"/>
      <c r="G1493" s="68"/>
      <c r="H1493" s="68"/>
      <c r="I1493" s="69"/>
      <c r="J1493" s="69"/>
      <c r="K1493" s="71"/>
      <c r="L1493" s="69"/>
      <c r="M1493" s="69"/>
      <c r="N1493" s="72"/>
      <c r="O1493" s="69"/>
      <c r="P1493" s="69"/>
      <c r="Q1493" s="69"/>
      <c r="R1493" s="69"/>
      <c r="S1493" s="69"/>
      <c r="T1493" s="69"/>
      <c r="U1493" s="69"/>
      <c r="V1493" s="69"/>
      <c r="W1493" s="69"/>
      <c r="X1493" s="69"/>
      <c r="Y1493" s="69"/>
      <c r="Z1493" s="69"/>
      <c r="AA1493" s="69"/>
      <c r="AB1493" s="69"/>
      <c r="AC1493" s="69"/>
      <c r="AD1493" s="69"/>
      <c r="AE1493" s="69"/>
      <c r="AF1493" s="69"/>
      <c r="AG1493" s="69"/>
      <c r="AH1493" s="69"/>
      <c r="AI1493" s="69"/>
      <c r="AJ1493" s="69"/>
      <c r="AK1493" s="69"/>
      <c r="AL1493" s="69"/>
      <c r="AM1493" s="69"/>
      <c r="AN1493" s="69"/>
      <c r="AO1493" s="69"/>
      <c r="AP1493" s="69"/>
      <c r="AQ1493" s="69"/>
      <c r="AR1493" s="69"/>
      <c r="AS1493" s="69"/>
      <c r="AT1493" s="69"/>
      <c r="AU1493" s="69"/>
      <c r="AV1493" s="69"/>
      <c r="AW1493" s="69"/>
      <c r="AX1493" s="69"/>
      <c r="AY1493" s="69"/>
      <c r="AZ1493" s="69"/>
      <c r="BA1493" s="69"/>
      <c r="BB1493" s="69"/>
      <c r="BC1493" s="69"/>
    </row>
    <row r="1494">
      <c r="A1494" s="68"/>
      <c r="B1494" s="68"/>
      <c r="C1494" s="68"/>
      <c r="D1494" s="68"/>
      <c r="E1494" s="68"/>
      <c r="F1494" s="68"/>
      <c r="G1494" s="68"/>
      <c r="H1494" s="68"/>
      <c r="I1494" s="69"/>
      <c r="J1494" s="69"/>
      <c r="K1494" s="71"/>
      <c r="L1494" s="69"/>
      <c r="M1494" s="69"/>
      <c r="N1494" s="72"/>
      <c r="O1494" s="69"/>
      <c r="P1494" s="69"/>
      <c r="Q1494" s="69"/>
      <c r="R1494" s="69"/>
      <c r="S1494" s="69"/>
      <c r="T1494" s="69"/>
      <c r="U1494" s="69"/>
      <c r="V1494" s="69"/>
      <c r="W1494" s="69"/>
      <c r="X1494" s="69"/>
      <c r="Y1494" s="69"/>
      <c r="Z1494" s="69"/>
      <c r="AA1494" s="69"/>
      <c r="AB1494" s="69"/>
      <c r="AC1494" s="69"/>
      <c r="AD1494" s="69"/>
      <c r="AE1494" s="69"/>
      <c r="AF1494" s="69"/>
      <c r="AG1494" s="69"/>
      <c r="AH1494" s="69"/>
      <c r="AI1494" s="69"/>
      <c r="AJ1494" s="69"/>
      <c r="AK1494" s="69"/>
      <c r="AL1494" s="69"/>
      <c r="AM1494" s="69"/>
      <c r="AN1494" s="69"/>
      <c r="AO1494" s="69"/>
      <c r="AP1494" s="69"/>
      <c r="AQ1494" s="69"/>
      <c r="AR1494" s="69"/>
      <c r="AS1494" s="69"/>
      <c r="AT1494" s="69"/>
      <c r="AU1494" s="69"/>
      <c r="AV1494" s="69"/>
      <c r="AW1494" s="69"/>
      <c r="AX1494" s="69"/>
      <c r="AY1494" s="69"/>
      <c r="AZ1494" s="69"/>
      <c r="BA1494" s="69"/>
      <c r="BB1494" s="69"/>
      <c r="BC1494" s="69"/>
    </row>
    <row r="1495">
      <c r="A1495" s="68"/>
      <c r="B1495" s="68"/>
      <c r="C1495" s="68"/>
      <c r="D1495" s="68"/>
      <c r="E1495" s="68"/>
      <c r="F1495" s="68"/>
      <c r="G1495" s="68"/>
      <c r="H1495" s="68"/>
      <c r="I1495" s="69"/>
      <c r="J1495" s="69"/>
      <c r="K1495" s="71"/>
      <c r="L1495" s="69"/>
      <c r="M1495" s="69"/>
      <c r="N1495" s="72"/>
      <c r="O1495" s="69"/>
      <c r="P1495" s="69"/>
      <c r="Q1495" s="69"/>
      <c r="R1495" s="69"/>
      <c r="S1495" s="69"/>
      <c r="T1495" s="69"/>
      <c r="U1495" s="69"/>
      <c r="V1495" s="69"/>
      <c r="W1495" s="69"/>
      <c r="X1495" s="69"/>
      <c r="Y1495" s="69"/>
      <c r="Z1495" s="69"/>
      <c r="AA1495" s="69"/>
      <c r="AB1495" s="69"/>
      <c r="AC1495" s="69"/>
      <c r="AD1495" s="69"/>
      <c r="AE1495" s="69"/>
      <c r="AF1495" s="69"/>
      <c r="AG1495" s="69"/>
      <c r="AH1495" s="69"/>
      <c r="AI1495" s="69"/>
      <c r="AJ1495" s="69"/>
      <c r="AK1495" s="69"/>
      <c r="AL1495" s="69"/>
      <c r="AM1495" s="69"/>
      <c r="AN1495" s="69"/>
      <c r="AO1495" s="69"/>
      <c r="AP1495" s="69"/>
      <c r="AQ1495" s="69"/>
      <c r="AR1495" s="69"/>
      <c r="AS1495" s="69"/>
      <c r="AT1495" s="69"/>
      <c r="AU1495" s="69"/>
      <c r="AV1495" s="69"/>
      <c r="AW1495" s="69"/>
      <c r="AX1495" s="69"/>
      <c r="AY1495" s="69"/>
      <c r="AZ1495" s="69"/>
      <c r="BA1495" s="69"/>
      <c r="BB1495" s="69"/>
      <c r="BC1495" s="69"/>
    </row>
    <row r="1496">
      <c r="A1496" s="68"/>
      <c r="B1496" s="68"/>
      <c r="C1496" s="68"/>
      <c r="D1496" s="68"/>
      <c r="E1496" s="68"/>
      <c r="F1496" s="68"/>
      <c r="G1496" s="68"/>
      <c r="H1496" s="68"/>
      <c r="I1496" s="69"/>
      <c r="J1496" s="69"/>
      <c r="K1496" s="71"/>
      <c r="L1496" s="69"/>
      <c r="M1496" s="69"/>
      <c r="N1496" s="72"/>
      <c r="O1496" s="69"/>
      <c r="P1496" s="69"/>
      <c r="Q1496" s="69"/>
      <c r="R1496" s="69"/>
      <c r="S1496" s="69"/>
      <c r="T1496" s="69"/>
      <c r="U1496" s="69"/>
      <c r="V1496" s="69"/>
      <c r="W1496" s="69"/>
      <c r="X1496" s="69"/>
      <c r="Y1496" s="69"/>
      <c r="Z1496" s="69"/>
      <c r="AA1496" s="69"/>
      <c r="AB1496" s="69"/>
      <c r="AC1496" s="69"/>
      <c r="AD1496" s="69"/>
      <c r="AE1496" s="69"/>
      <c r="AF1496" s="69"/>
      <c r="AG1496" s="69"/>
      <c r="AH1496" s="69"/>
      <c r="AI1496" s="69"/>
      <c r="AJ1496" s="69"/>
      <c r="AK1496" s="69"/>
      <c r="AL1496" s="69"/>
      <c r="AM1496" s="69"/>
      <c r="AN1496" s="69"/>
      <c r="AO1496" s="69"/>
      <c r="AP1496" s="69"/>
      <c r="AQ1496" s="69"/>
      <c r="AR1496" s="69"/>
      <c r="AS1496" s="69"/>
      <c r="AT1496" s="69"/>
      <c r="AU1496" s="69"/>
      <c r="AV1496" s="69"/>
      <c r="AW1496" s="69"/>
      <c r="AX1496" s="69"/>
      <c r="AY1496" s="69"/>
      <c r="AZ1496" s="69"/>
      <c r="BA1496" s="69"/>
      <c r="BB1496" s="69"/>
      <c r="BC1496" s="69"/>
    </row>
    <row r="1497">
      <c r="A1497" s="68"/>
      <c r="B1497" s="68"/>
      <c r="C1497" s="68"/>
      <c r="D1497" s="68"/>
      <c r="E1497" s="68"/>
      <c r="F1497" s="68"/>
      <c r="G1497" s="68"/>
      <c r="H1497" s="68"/>
      <c r="I1497" s="69"/>
      <c r="J1497" s="69"/>
      <c r="K1497" s="71"/>
      <c r="L1497" s="69"/>
      <c r="M1497" s="69"/>
      <c r="N1497" s="72"/>
      <c r="O1497" s="69"/>
      <c r="P1497" s="69"/>
      <c r="Q1497" s="69"/>
      <c r="R1497" s="69"/>
      <c r="S1497" s="69"/>
      <c r="T1497" s="69"/>
      <c r="U1497" s="69"/>
      <c r="V1497" s="69"/>
      <c r="W1497" s="69"/>
      <c r="X1497" s="69"/>
      <c r="Y1497" s="69"/>
      <c r="Z1497" s="69"/>
      <c r="AA1497" s="69"/>
      <c r="AB1497" s="69"/>
      <c r="AC1497" s="69"/>
      <c r="AD1497" s="69"/>
      <c r="AE1497" s="69"/>
      <c r="AF1497" s="69"/>
      <c r="AG1497" s="69"/>
      <c r="AH1497" s="69"/>
      <c r="AI1497" s="69"/>
      <c r="AJ1497" s="69"/>
      <c r="AK1497" s="69"/>
      <c r="AL1497" s="69"/>
      <c r="AM1497" s="69"/>
      <c r="AN1497" s="69"/>
      <c r="AO1497" s="69"/>
      <c r="AP1497" s="69"/>
      <c r="AQ1497" s="69"/>
      <c r="AR1497" s="69"/>
      <c r="AS1497" s="69"/>
      <c r="AT1497" s="69"/>
      <c r="AU1497" s="69"/>
      <c r="AV1497" s="69"/>
      <c r="AW1497" s="69"/>
      <c r="AX1497" s="69"/>
      <c r="AY1497" s="69"/>
      <c r="AZ1497" s="69"/>
      <c r="BA1497" s="69"/>
      <c r="BB1497" s="69"/>
      <c r="BC1497" s="69"/>
    </row>
    <row r="1498">
      <c r="A1498" s="68"/>
      <c r="B1498" s="68"/>
      <c r="C1498" s="68"/>
      <c r="D1498" s="68"/>
      <c r="E1498" s="68"/>
      <c r="F1498" s="68"/>
      <c r="G1498" s="68"/>
      <c r="H1498" s="68"/>
      <c r="I1498" s="69"/>
      <c r="J1498" s="69"/>
      <c r="K1498" s="71"/>
      <c r="L1498" s="69"/>
      <c r="M1498" s="69"/>
      <c r="N1498" s="72"/>
      <c r="O1498" s="69"/>
      <c r="P1498" s="69"/>
      <c r="Q1498" s="69"/>
      <c r="R1498" s="69"/>
      <c r="S1498" s="69"/>
      <c r="T1498" s="69"/>
      <c r="U1498" s="69"/>
      <c r="V1498" s="69"/>
      <c r="W1498" s="69"/>
      <c r="X1498" s="69"/>
      <c r="Y1498" s="69"/>
      <c r="Z1498" s="69"/>
      <c r="AA1498" s="69"/>
      <c r="AB1498" s="69"/>
      <c r="AC1498" s="69"/>
      <c r="AD1498" s="69"/>
      <c r="AE1498" s="69"/>
      <c r="AF1498" s="69"/>
      <c r="AG1498" s="69"/>
      <c r="AH1498" s="69"/>
      <c r="AI1498" s="69"/>
      <c r="AJ1498" s="69"/>
      <c r="AK1498" s="69"/>
      <c r="AL1498" s="69"/>
      <c r="AM1498" s="69"/>
      <c r="AN1498" s="69"/>
      <c r="AO1498" s="69"/>
      <c r="AP1498" s="69"/>
      <c r="AQ1498" s="69"/>
      <c r="AR1498" s="69"/>
      <c r="AS1498" s="69"/>
      <c r="AT1498" s="69"/>
      <c r="AU1498" s="69"/>
      <c r="AV1498" s="69"/>
      <c r="AW1498" s="69"/>
      <c r="AX1498" s="69"/>
      <c r="AY1498" s="69"/>
      <c r="AZ1498" s="69"/>
      <c r="BA1498" s="69"/>
      <c r="BB1498" s="69"/>
      <c r="BC1498" s="69"/>
    </row>
    <row r="1499">
      <c r="A1499" s="68"/>
      <c r="B1499" s="68"/>
      <c r="C1499" s="68"/>
      <c r="D1499" s="68"/>
      <c r="E1499" s="68"/>
      <c r="F1499" s="68"/>
      <c r="G1499" s="68"/>
      <c r="H1499" s="68"/>
      <c r="I1499" s="69"/>
      <c r="J1499" s="69"/>
      <c r="K1499" s="71"/>
      <c r="L1499" s="69"/>
      <c r="M1499" s="69"/>
      <c r="N1499" s="72"/>
      <c r="O1499" s="69"/>
      <c r="P1499" s="69"/>
      <c r="Q1499" s="69"/>
      <c r="R1499" s="69"/>
      <c r="S1499" s="69"/>
      <c r="T1499" s="69"/>
      <c r="U1499" s="69"/>
      <c r="V1499" s="69"/>
      <c r="W1499" s="69"/>
      <c r="X1499" s="69"/>
      <c r="Y1499" s="69"/>
      <c r="Z1499" s="69"/>
      <c r="AA1499" s="69"/>
      <c r="AB1499" s="69"/>
      <c r="AC1499" s="69"/>
      <c r="AD1499" s="69"/>
      <c r="AE1499" s="69"/>
      <c r="AF1499" s="69"/>
      <c r="AG1499" s="69"/>
      <c r="AH1499" s="69"/>
      <c r="AI1499" s="69"/>
      <c r="AJ1499" s="69"/>
      <c r="AK1499" s="69"/>
      <c r="AL1499" s="69"/>
      <c r="AM1499" s="69"/>
      <c r="AN1499" s="69"/>
      <c r="AO1499" s="69"/>
      <c r="AP1499" s="69"/>
      <c r="AQ1499" s="69"/>
      <c r="AR1499" s="69"/>
      <c r="AS1499" s="69"/>
      <c r="AT1499" s="69"/>
      <c r="AU1499" s="69"/>
      <c r="AV1499" s="69"/>
      <c r="AW1499" s="69"/>
      <c r="AX1499" s="69"/>
      <c r="AY1499" s="69"/>
      <c r="AZ1499" s="69"/>
      <c r="BA1499" s="69"/>
      <c r="BB1499" s="69"/>
      <c r="BC1499" s="69"/>
    </row>
    <row r="1500">
      <c r="A1500" s="68"/>
      <c r="B1500" s="68"/>
      <c r="C1500" s="68"/>
      <c r="D1500" s="68"/>
      <c r="E1500" s="68"/>
      <c r="F1500" s="68"/>
      <c r="G1500" s="68"/>
      <c r="H1500" s="68"/>
      <c r="I1500" s="69"/>
      <c r="J1500" s="69"/>
      <c r="K1500" s="71"/>
      <c r="L1500" s="69"/>
      <c r="M1500" s="69"/>
      <c r="N1500" s="72"/>
      <c r="O1500" s="69"/>
      <c r="P1500" s="69"/>
      <c r="Q1500" s="69"/>
      <c r="R1500" s="69"/>
      <c r="S1500" s="69"/>
      <c r="T1500" s="69"/>
      <c r="U1500" s="69"/>
      <c r="V1500" s="69"/>
      <c r="W1500" s="69"/>
      <c r="X1500" s="69"/>
      <c r="Y1500" s="69"/>
      <c r="Z1500" s="69"/>
      <c r="AA1500" s="69"/>
      <c r="AB1500" s="69"/>
      <c r="AC1500" s="69"/>
      <c r="AD1500" s="69"/>
      <c r="AE1500" s="69"/>
      <c r="AF1500" s="69"/>
      <c r="AG1500" s="69"/>
      <c r="AH1500" s="69"/>
      <c r="AI1500" s="69"/>
      <c r="AJ1500" s="69"/>
      <c r="AK1500" s="69"/>
      <c r="AL1500" s="69"/>
      <c r="AM1500" s="69"/>
      <c r="AN1500" s="69"/>
      <c r="AO1500" s="69"/>
      <c r="AP1500" s="69"/>
      <c r="AQ1500" s="69"/>
      <c r="AR1500" s="69"/>
      <c r="AS1500" s="69"/>
      <c r="AT1500" s="69"/>
      <c r="AU1500" s="69"/>
      <c r="AV1500" s="69"/>
      <c r="AW1500" s="69"/>
      <c r="AX1500" s="69"/>
      <c r="AY1500" s="69"/>
      <c r="AZ1500" s="69"/>
      <c r="BA1500" s="69"/>
      <c r="BB1500" s="69"/>
      <c r="BC1500" s="69"/>
    </row>
    <row r="1501">
      <c r="A1501" s="68"/>
      <c r="B1501" s="68"/>
      <c r="C1501" s="68"/>
      <c r="D1501" s="68"/>
      <c r="E1501" s="68"/>
      <c r="F1501" s="68"/>
      <c r="G1501" s="68"/>
      <c r="H1501" s="68"/>
      <c r="I1501" s="69"/>
      <c r="J1501" s="69"/>
      <c r="K1501" s="71"/>
      <c r="L1501" s="69"/>
      <c r="M1501" s="69"/>
      <c r="N1501" s="72"/>
      <c r="O1501" s="69"/>
      <c r="P1501" s="69"/>
      <c r="Q1501" s="69"/>
      <c r="R1501" s="69"/>
      <c r="S1501" s="69"/>
      <c r="T1501" s="69"/>
      <c r="U1501" s="69"/>
      <c r="V1501" s="69"/>
      <c r="W1501" s="69"/>
      <c r="X1501" s="69"/>
      <c r="Y1501" s="69"/>
      <c r="Z1501" s="69"/>
      <c r="AA1501" s="69"/>
      <c r="AB1501" s="69"/>
      <c r="AC1501" s="69"/>
      <c r="AD1501" s="69"/>
      <c r="AE1501" s="69"/>
      <c r="AF1501" s="69"/>
      <c r="AG1501" s="69"/>
      <c r="AH1501" s="69"/>
      <c r="AI1501" s="69"/>
      <c r="AJ1501" s="69"/>
      <c r="AK1501" s="69"/>
      <c r="AL1501" s="69"/>
      <c r="AM1501" s="69"/>
      <c r="AN1501" s="69"/>
      <c r="AO1501" s="69"/>
      <c r="AP1501" s="69"/>
      <c r="AQ1501" s="69"/>
      <c r="AR1501" s="69"/>
      <c r="AS1501" s="69"/>
      <c r="AT1501" s="69"/>
      <c r="AU1501" s="69"/>
      <c r="AV1501" s="69"/>
      <c r="AW1501" s="69"/>
      <c r="AX1501" s="69"/>
      <c r="AY1501" s="69"/>
      <c r="AZ1501" s="69"/>
      <c r="BA1501" s="69"/>
      <c r="BB1501" s="69"/>
      <c r="BC1501" s="69"/>
    </row>
    <row r="1502">
      <c r="A1502" s="68"/>
      <c r="B1502" s="68"/>
      <c r="C1502" s="68"/>
      <c r="D1502" s="68"/>
      <c r="E1502" s="68"/>
      <c r="F1502" s="68"/>
      <c r="G1502" s="68"/>
      <c r="H1502" s="68"/>
      <c r="I1502" s="69"/>
      <c r="J1502" s="69"/>
      <c r="K1502" s="71"/>
      <c r="L1502" s="69"/>
      <c r="M1502" s="69"/>
      <c r="N1502" s="72"/>
      <c r="O1502" s="69"/>
      <c r="P1502" s="69"/>
      <c r="Q1502" s="69"/>
      <c r="R1502" s="69"/>
      <c r="S1502" s="69"/>
      <c r="T1502" s="69"/>
      <c r="U1502" s="69"/>
      <c r="V1502" s="69"/>
      <c r="W1502" s="69"/>
      <c r="X1502" s="69"/>
      <c r="Y1502" s="69"/>
      <c r="Z1502" s="69"/>
      <c r="AA1502" s="69"/>
      <c r="AB1502" s="69"/>
      <c r="AC1502" s="69"/>
      <c r="AD1502" s="69"/>
      <c r="AE1502" s="69"/>
      <c r="AF1502" s="69"/>
      <c r="AG1502" s="69"/>
      <c r="AH1502" s="69"/>
      <c r="AI1502" s="69"/>
      <c r="AJ1502" s="69"/>
      <c r="AK1502" s="69"/>
      <c r="AL1502" s="69"/>
      <c r="AM1502" s="69"/>
      <c r="AN1502" s="69"/>
      <c r="AO1502" s="69"/>
      <c r="AP1502" s="69"/>
      <c r="AQ1502" s="69"/>
      <c r="AR1502" s="69"/>
      <c r="AS1502" s="69"/>
      <c r="AT1502" s="69"/>
      <c r="AU1502" s="69"/>
      <c r="AV1502" s="69"/>
      <c r="AW1502" s="69"/>
      <c r="AX1502" s="69"/>
      <c r="AY1502" s="69"/>
      <c r="AZ1502" s="69"/>
      <c r="BA1502" s="69"/>
      <c r="BB1502" s="69"/>
      <c r="BC1502" s="69"/>
    </row>
    <row r="1503">
      <c r="A1503" s="68"/>
      <c r="B1503" s="68"/>
      <c r="C1503" s="68"/>
      <c r="D1503" s="68"/>
      <c r="E1503" s="68"/>
      <c r="F1503" s="68"/>
      <c r="G1503" s="68"/>
      <c r="H1503" s="68"/>
      <c r="I1503" s="69"/>
      <c r="J1503" s="69"/>
      <c r="K1503" s="71"/>
      <c r="L1503" s="69"/>
      <c r="M1503" s="69"/>
      <c r="N1503" s="72"/>
      <c r="O1503" s="69"/>
      <c r="P1503" s="69"/>
      <c r="Q1503" s="69"/>
      <c r="R1503" s="69"/>
      <c r="S1503" s="69"/>
      <c r="T1503" s="69"/>
      <c r="U1503" s="69"/>
      <c r="V1503" s="69"/>
      <c r="W1503" s="69"/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/>
      <c r="AI1503" s="69"/>
      <c r="AJ1503" s="69"/>
      <c r="AK1503" s="69"/>
      <c r="AL1503" s="69"/>
      <c r="AM1503" s="69"/>
      <c r="AN1503" s="69"/>
      <c r="AO1503" s="69"/>
      <c r="AP1503" s="69"/>
      <c r="AQ1503" s="69"/>
      <c r="AR1503" s="69"/>
      <c r="AS1503" s="69"/>
      <c r="AT1503" s="69"/>
      <c r="AU1503" s="69"/>
      <c r="AV1503" s="69"/>
      <c r="AW1503" s="69"/>
      <c r="AX1503" s="69"/>
      <c r="AY1503" s="69"/>
      <c r="AZ1503" s="69"/>
      <c r="BA1503" s="69"/>
      <c r="BB1503" s="69"/>
      <c r="BC1503" s="69"/>
    </row>
    <row r="1504">
      <c r="A1504" s="68"/>
      <c r="B1504" s="68"/>
      <c r="C1504" s="68"/>
      <c r="D1504" s="68"/>
      <c r="E1504" s="68"/>
      <c r="F1504" s="68"/>
      <c r="G1504" s="68"/>
      <c r="H1504" s="68"/>
      <c r="I1504" s="69"/>
      <c r="J1504" s="69"/>
      <c r="K1504" s="71"/>
      <c r="L1504" s="69"/>
      <c r="M1504" s="69"/>
      <c r="N1504" s="72"/>
      <c r="O1504" s="69"/>
      <c r="P1504" s="69"/>
      <c r="Q1504" s="69"/>
      <c r="R1504" s="69"/>
      <c r="S1504" s="69"/>
      <c r="T1504" s="69"/>
      <c r="U1504" s="69"/>
      <c r="V1504" s="69"/>
      <c r="W1504" s="69"/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/>
      <c r="AI1504" s="69"/>
      <c r="AJ1504" s="69"/>
      <c r="AK1504" s="69"/>
      <c r="AL1504" s="69"/>
      <c r="AM1504" s="69"/>
      <c r="AN1504" s="69"/>
      <c r="AO1504" s="69"/>
      <c r="AP1504" s="69"/>
      <c r="AQ1504" s="69"/>
      <c r="AR1504" s="69"/>
      <c r="AS1504" s="69"/>
      <c r="AT1504" s="69"/>
      <c r="AU1504" s="69"/>
      <c r="AV1504" s="69"/>
      <c r="AW1504" s="69"/>
      <c r="AX1504" s="69"/>
      <c r="AY1504" s="69"/>
      <c r="AZ1504" s="69"/>
      <c r="BA1504" s="69"/>
      <c r="BB1504" s="69"/>
      <c r="BC1504" s="69"/>
    </row>
    <row r="1505">
      <c r="A1505" s="68"/>
      <c r="B1505" s="68"/>
      <c r="C1505" s="68"/>
      <c r="D1505" s="68"/>
      <c r="E1505" s="68"/>
      <c r="F1505" s="68"/>
      <c r="G1505" s="68"/>
      <c r="H1505" s="68"/>
      <c r="I1505" s="69"/>
      <c r="J1505" s="69"/>
      <c r="K1505" s="71"/>
      <c r="L1505" s="69"/>
      <c r="M1505" s="69"/>
      <c r="N1505" s="72"/>
      <c r="O1505" s="69"/>
      <c r="P1505" s="69"/>
      <c r="Q1505" s="69"/>
      <c r="R1505" s="69"/>
      <c r="S1505" s="69"/>
      <c r="T1505" s="69"/>
      <c r="U1505" s="69"/>
      <c r="V1505" s="69"/>
      <c r="W1505" s="69"/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/>
      <c r="AI1505" s="69"/>
      <c r="AJ1505" s="69"/>
      <c r="AK1505" s="69"/>
      <c r="AL1505" s="69"/>
      <c r="AM1505" s="69"/>
      <c r="AN1505" s="69"/>
      <c r="AO1505" s="69"/>
      <c r="AP1505" s="69"/>
      <c r="AQ1505" s="69"/>
      <c r="AR1505" s="69"/>
      <c r="AS1505" s="69"/>
      <c r="AT1505" s="69"/>
      <c r="AU1505" s="69"/>
      <c r="AV1505" s="69"/>
      <c r="AW1505" s="69"/>
      <c r="AX1505" s="69"/>
      <c r="AY1505" s="69"/>
      <c r="AZ1505" s="69"/>
      <c r="BA1505" s="69"/>
      <c r="BB1505" s="69"/>
      <c r="BC1505" s="69"/>
    </row>
    <row r="1506">
      <c r="A1506" s="68"/>
      <c r="B1506" s="68"/>
      <c r="C1506" s="68"/>
      <c r="D1506" s="68"/>
      <c r="E1506" s="68"/>
      <c r="F1506" s="68"/>
      <c r="G1506" s="68"/>
      <c r="H1506" s="68"/>
      <c r="I1506" s="69"/>
      <c r="J1506" s="69"/>
      <c r="K1506" s="71"/>
      <c r="L1506" s="69"/>
      <c r="M1506" s="69"/>
      <c r="N1506" s="72"/>
      <c r="O1506" s="69"/>
      <c r="P1506" s="69"/>
      <c r="Q1506" s="69"/>
      <c r="R1506" s="69"/>
      <c r="S1506" s="69"/>
      <c r="T1506" s="69"/>
      <c r="U1506" s="69"/>
      <c r="V1506" s="69"/>
      <c r="W1506" s="69"/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/>
      <c r="AI1506" s="69"/>
      <c r="AJ1506" s="69"/>
      <c r="AK1506" s="69"/>
      <c r="AL1506" s="69"/>
      <c r="AM1506" s="69"/>
      <c r="AN1506" s="69"/>
      <c r="AO1506" s="69"/>
      <c r="AP1506" s="69"/>
      <c r="AQ1506" s="69"/>
      <c r="AR1506" s="69"/>
      <c r="AS1506" s="69"/>
      <c r="AT1506" s="69"/>
      <c r="AU1506" s="69"/>
      <c r="AV1506" s="69"/>
      <c r="AW1506" s="69"/>
      <c r="AX1506" s="69"/>
      <c r="AY1506" s="69"/>
      <c r="AZ1506" s="69"/>
      <c r="BA1506" s="69"/>
      <c r="BB1506" s="69"/>
      <c r="BC1506" s="69"/>
    </row>
    <row r="1507">
      <c r="A1507" s="68"/>
      <c r="B1507" s="68"/>
      <c r="C1507" s="68"/>
      <c r="D1507" s="68"/>
      <c r="E1507" s="68"/>
      <c r="F1507" s="68"/>
      <c r="G1507" s="68"/>
      <c r="H1507" s="68"/>
      <c r="I1507" s="69"/>
      <c r="J1507" s="69"/>
      <c r="K1507" s="71"/>
      <c r="L1507" s="69"/>
      <c r="M1507" s="69"/>
      <c r="N1507" s="72"/>
      <c r="O1507" s="69"/>
      <c r="P1507" s="69"/>
      <c r="Q1507" s="69"/>
      <c r="R1507" s="69"/>
      <c r="S1507" s="69"/>
      <c r="T1507" s="69"/>
      <c r="U1507" s="69"/>
      <c r="V1507" s="69"/>
      <c r="W1507" s="69"/>
      <c r="X1507" s="69"/>
      <c r="Y1507" s="69"/>
      <c r="Z1507" s="69"/>
      <c r="AA1507" s="69"/>
      <c r="AB1507" s="69"/>
      <c r="AC1507" s="69"/>
      <c r="AD1507" s="69"/>
      <c r="AE1507" s="69"/>
      <c r="AF1507" s="69"/>
      <c r="AG1507" s="69"/>
      <c r="AH1507" s="69"/>
      <c r="AI1507" s="69"/>
      <c r="AJ1507" s="69"/>
      <c r="AK1507" s="69"/>
      <c r="AL1507" s="69"/>
      <c r="AM1507" s="69"/>
      <c r="AN1507" s="69"/>
      <c r="AO1507" s="69"/>
      <c r="AP1507" s="69"/>
      <c r="AQ1507" s="69"/>
      <c r="AR1507" s="69"/>
      <c r="AS1507" s="69"/>
      <c r="AT1507" s="69"/>
      <c r="AU1507" s="69"/>
      <c r="AV1507" s="69"/>
      <c r="AW1507" s="69"/>
      <c r="AX1507" s="69"/>
      <c r="AY1507" s="69"/>
      <c r="AZ1507" s="69"/>
      <c r="BA1507" s="69"/>
      <c r="BB1507" s="69"/>
      <c r="BC1507" s="69"/>
    </row>
    <row r="1508">
      <c r="A1508" s="68"/>
      <c r="B1508" s="68"/>
      <c r="C1508" s="68"/>
      <c r="D1508" s="68"/>
      <c r="E1508" s="68"/>
      <c r="F1508" s="68"/>
      <c r="G1508" s="68"/>
      <c r="H1508" s="68"/>
      <c r="I1508" s="69"/>
      <c r="J1508" s="69"/>
      <c r="K1508" s="71"/>
      <c r="L1508" s="69"/>
      <c r="M1508" s="69"/>
      <c r="N1508" s="72"/>
      <c r="O1508" s="69"/>
      <c r="P1508" s="69"/>
      <c r="Q1508" s="69"/>
      <c r="R1508" s="69"/>
      <c r="S1508" s="69"/>
      <c r="T1508" s="69"/>
      <c r="U1508" s="69"/>
      <c r="V1508" s="69"/>
      <c r="W1508" s="69"/>
      <c r="X1508" s="69"/>
      <c r="Y1508" s="69"/>
      <c r="Z1508" s="69"/>
      <c r="AA1508" s="69"/>
      <c r="AB1508" s="69"/>
      <c r="AC1508" s="69"/>
      <c r="AD1508" s="69"/>
      <c r="AE1508" s="69"/>
      <c r="AF1508" s="69"/>
      <c r="AG1508" s="69"/>
      <c r="AH1508" s="69"/>
      <c r="AI1508" s="69"/>
      <c r="AJ1508" s="69"/>
      <c r="AK1508" s="69"/>
      <c r="AL1508" s="69"/>
      <c r="AM1508" s="69"/>
      <c r="AN1508" s="69"/>
      <c r="AO1508" s="69"/>
      <c r="AP1508" s="69"/>
      <c r="AQ1508" s="69"/>
      <c r="AR1508" s="69"/>
      <c r="AS1508" s="69"/>
      <c r="AT1508" s="69"/>
      <c r="AU1508" s="69"/>
      <c r="AV1508" s="69"/>
      <c r="AW1508" s="69"/>
      <c r="AX1508" s="69"/>
      <c r="AY1508" s="69"/>
      <c r="AZ1508" s="69"/>
      <c r="BA1508" s="69"/>
      <c r="BB1508" s="69"/>
      <c r="BC1508" s="69"/>
    </row>
    <row r="1509">
      <c r="A1509" s="68"/>
      <c r="B1509" s="68"/>
      <c r="C1509" s="68"/>
      <c r="D1509" s="68"/>
      <c r="E1509" s="68"/>
      <c r="F1509" s="68"/>
      <c r="G1509" s="68"/>
      <c r="H1509" s="68"/>
      <c r="I1509" s="69"/>
      <c r="J1509" s="69"/>
      <c r="K1509" s="71"/>
      <c r="L1509" s="69"/>
      <c r="M1509" s="69"/>
      <c r="N1509" s="72"/>
      <c r="O1509" s="69"/>
      <c r="P1509" s="69"/>
      <c r="Q1509" s="69"/>
      <c r="R1509" s="69"/>
      <c r="S1509" s="69"/>
      <c r="T1509" s="69"/>
      <c r="U1509" s="69"/>
      <c r="V1509" s="69"/>
      <c r="W1509" s="69"/>
      <c r="X1509" s="69"/>
      <c r="Y1509" s="69"/>
      <c r="Z1509" s="69"/>
      <c r="AA1509" s="69"/>
      <c r="AB1509" s="69"/>
      <c r="AC1509" s="69"/>
      <c r="AD1509" s="69"/>
      <c r="AE1509" s="69"/>
      <c r="AF1509" s="69"/>
      <c r="AG1509" s="69"/>
      <c r="AH1509" s="69"/>
      <c r="AI1509" s="69"/>
      <c r="AJ1509" s="69"/>
      <c r="AK1509" s="69"/>
      <c r="AL1509" s="69"/>
      <c r="AM1509" s="69"/>
      <c r="AN1509" s="69"/>
      <c r="AO1509" s="69"/>
      <c r="AP1509" s="69"/>
      <c r="AQ1509" s="69"/>
      <c r="AR1509" s="69"/>
      <c r="AS1509" s="69"/>
      <c r="AT1509" s="69"/>
      <c r="AU1509" s="69"/>
      <c r="AV1509" s="69"/>
      <c r="AW1509" s="69"/>
      <c r="AX1509" s="69"/>
      <c r="AY1509" s="69"/>
      <c r="AZ1509" s="69"/>
      <c r="BA1509" s="69"/>
      <c r="BB1509" s="69"/>
      <c r="BC1509" s="69"/>
    </row>
    <row r="1510">
      <c r="A1510" s="68"/>
      <c r="B1510" s="68"/>
      <c r="C1510" s="68"/>
      <c r="D1510" s="68"/>
      <c r="E1510" s="68"/>
      <c r="F1510" s="68"/>
      <c r="G1510" s="68"/>
      <c r="H1510" s="68"/>
      <c r="I1510" s="69"/>
      <c r="J1510" s="69"/>
      <c r="K1510" s="71"/>
      <c r="L1510" s="69"/>
      <c r="M1510" s="69"/>
      <c r="N1510" s="72"/>
      <c r="O1510" s="69"/>
      <c r="P1510" s="69"/>
      <c r="Q1510" s="69"/>
      <c r="R1510" s="69"/>
      <c r="S1510" s="69"/>
      <c r="T1510" s="69"/>
      <c r="U1510" s="69"/>
      <c r="V1510" s="69"/>
      <c r="W1510" s="69"/>
      <c r="X1510" s="69"/>
      <c r="Y1510" s="69"/>
      <c r="Z1510" s="69"/>
      <c r="AA1510" s="69"/>
      <c r="AB1510" s="69"/>
      <c r="AC1510" s="69"/>
      <c r="AD1510" s="69"/>
      <c r="AE1510" s="69"/>
      <c r="AF1510" s="69"/>
      <c r="AG1510" s="69"/>
      <c r="AH1510" s="69"/>
      <c r="AI1510" s="69"/>
      <c r="AJ1510" s="69"/>
      <c r="AK1510" s="69"/>
      <c r="AL1510" s="69"/>
      <c r="AM1510" s="69"/>
      <c r="AN1510" s="69"/>
      <c r="AO1510" s="69"/>
      <c r="AP1510" s="69"/>
      <c r="AQ1510" s="69"/>
      <c r="AR1510" s="69"/>
      <c r="AS1510" s="69"/>
      <c r="AT1510" s="69"/>
      <c r="AU1510" s="69"/>
      <c r="AV1510" s="69"/>
      <c r="AW1510" s="69"/>
      <c r="AX1510" s="69"/>
      <c r="AY1510" s="69"/>
      <c r="AZ1510" s="69"/>
      <c r="BA1510" s="69"/>
      <c r="BB1510" s="69"/>
      <c r="BC1510" s="69"/>
    </row>
    <row r="1511">
      <c r="A1511" s="68"/>
      <c r="B1511" s="68"/>
      <c r="C1511" s="68"/>
      <c r="D1511" s="68"/>
      <c r="E1511" s="68"/>
      <c r="F1511" s="68"/>
      <c r="G1511" s="68"/>
      <c r="H1511" s="68"/>
      <c r="I1511" s="69"/>
      <c r="J1511" s="69"/>
      <c r="K1511" s="71"/>
      <c r="L1511" s="69"/>
      <c r="M1511" s="69"/>
      <c r="N1511" s="72"/>
      <c r="O1511" s="69"/>
      <c r="P1511" s="69"/>
      <c r="Q1511" s="69"/>
      <c r="R1511" s="69"/>
      <c r="S1511" s="69"/>
      <c r="T1511" s="69"/>
      <c r="U1511" s="69"/>
      <c r="V1511" s="69"/>
      <c r="W1511" s="69"/>
      <c r="X1511" s="69"/>
      <c r="Y1511" s="69"/>
      <c r="Z1511" s="69"/>
      <c r="AA1511" s="69"/>
      <c r="AB1511" s="69"/>
      <c r="AC1511" s="69"/>
      <c r="AD1511" s="69"/>
      <c r="AE1511" s="69"/>
      <c r="AF1511" s="69"/>
      <c r="AG1511" s="69"/>
      <c r="AH1511" s="69"/>
      <c r="AI1511" s="69"/>
      <c r="AJ1511" s="69"/>
      <c r="AK1511" s="69"/>
      <c r="AL1511" s="69"/>
      <c r="AM1511" s="69"/>
      <c r="AN1511" s="69"/>
      <c r="AO1511" s="69"/>
      <c r="AP1511" s="69"/>
      <c r="AQ1511" s="69"/>
      <c r="AR1511" s="69"/>
      <c r="AS1511" s="69"/>
      <c r="AT1511" s="69"/>
      <c r="AU1511" s="69"/>
      <c r="AV1511" s="69"/>
      <c r="AW1511" s="69"/>
      <c r="AX1511" s="69"/>
      <c r="AY1511" s="69"/>
      <c r="AZ1511" s="69"/>
      <c r="BA1511" s="69"/>
      <c r="BB1511" s="69"/>
      <c r="BC1511" s="69"/>
    </row>
    <row r="1512">
      <c r="A1512" s="68"/>
      <c r="B1512" s="68"/>
      <c r="C1512" s="68"/>
      <c r="D1512" s="68"/>
      <c r="E1512" s="68"/>
      <c r="F1512" s="68"/>
      <c r="G1512" s="68"/>
      <c r="H1512" s="68"/>
      <c r="I1512" s="69"/>
      <c r="J1512" s="69"/>
      <c r="K1512" s="71"/>
      <c r="L1512" s="69"/>
      <c r="M1512" s="69"/>
      <c r="N1512" s="72"/>
      <c r="O1512" s="69"/>
      <c r="P1512" s="69"/>
      <c r="Q1512" s="69"/>
      <c r="R1512" s="69"/>
      <c r="S1512" s="69"/>
      <c r="T1512" s="69"/>
      <c r="U1512" s="69"/>
      <c r="V1512" s="69"/>
      <c r="W1512" s="69"/>
      <c r="X1512" s="69"/>
      <c r="Y1512" s="69"/>
      <c r="Z1512" s="69"/>
      <c r="AA1512" s="69"/>
      <c r="AB1512" s="69"/>
      <c r="AC1512" s="69"/>
      <c r="AD1512" s="69"/>
      <c r="AE1512" s="69"/>
      <c r="AF1512" s="69"/>
      <c r="AG1512" s="69"/>
      <c r="AH1512" s="69"/>
      <c r="AI1512" s="69"/>
      <c r="AJ1512" s="69"/>
      <c r="AK1512" s="69"/>
      <c r="AL1512" s="69"/>
      <c r="AM1512" s="69"/>
      <c r="AN1512" s="69"/>
      <c r="AO1512" s="69"/>
      <c r="AP1512" s="69"/>
      <c r="AQ1512" s="69"/>
      <c r="AR1512" s="69"/>
      <c r="AS1512" s="69"/>
      <c r="AT1512" s="69"/>
      <c r="AU1512" s="69"/>
      <c r="AV1512" s="69"/>
      <c r="AW1512" s="69"/>
      <c r="AX1512" s="69"/>
      <c r="AY1512" s="69"/>
      <c r="AZ1512" s="69"/>
      <c r="BA1512" s="69"/>
      <c r="BB1512" s="69"/>
      <c r="BC1512" s="69"/>
    </row>
    <row r="1513">
      <c r="A1513" s="68"/>
      <c r="B1513" s="68"/>
      <c r="C1513" s="68"/>
      <c r="D1513" s="68"/>
      <c r="E1513" s="68"/>
      <c r="F1513" s="68"/>
      <c r="G1513" s="68"/>
      <c r="H1513" s="68"/>
      <c r="I1513" s="69"/>
      <c r="J1513" s="69"/>
      <c r="K1513" s="71"/>
      <c r="L1513" s="69"/>
      <c r="M1513" s="69"/>
      <c r="N1513" s="72"/>
      <c r="O1513" s="69"/>
      <c r="P1513" s="69"/>
      <c r="Q1513" s="69"/>
      <c r="R1513" s="69"/>
      <c r="S1513" s="69"/>
      <c r="T1513" s="69"/>
      <c r="U1513" s="69"/>
      <c r="V1513" s="69"/>
      <c r="W1513" s="69"/>
      <c r="X1513" s="69"/>
      <c r="Y1513" s="69"/>
      <c r="Z1513" s="69"/>
      <c r="AA1513" s="69"/>
      <c r="AB1513" s="69"/>
      <c r="AC1513" s="69"/>
      <c r="AD1513" s="69"/>
      <c r="AE1513" s="69"/>
      <c r="AF1513" s="69"/>
      <c r="AG1513" s="69"/>
      <c r="AH1513" s="69"/>
      <c r="AI1513" s="69"/>
      <c r="AJ1513" s="69"/>
      <c r="AK1513" s="69"/>
      <c r="AL1513" s="69"/>
      <c r="AM1513" s="69"/>
      <c r="AN1513" s="69"/>
      <c r="AO1513" s="69"/>
      <c r="AP1513" s="69"/>
      <c r="AQ1513" s="69"/>
      <c r="AR1513" s="69"/>
      <c r="AS1513" s="69"/>
      <c r="AT1513" s="69"/>
      <c r="AU1513" s="69"/>
      <c r="AV1513" s="69"/>
      <c r="AW1513" s="69"/>
      <c r="AX1513" s="69"/>
      <c r="AY1513" s="69"/>
      <c r="AZ1513" s="69"/>
      <c r="BA1513" s="69"/>
      <c r="BB1513" s="69"/>
      <c r="BC1513" s="69"/>
    </row>
    <row r="1514">
      <c r="A1514" s="68"/>
      <c r="B1514" s="68"/>
      <c r="C1514" s="68"/>
      <c r="D1514" s="68"/>
      <c r="E1514" s="68"/>
      <c r="F1514" s="68"/>
      <c r="G1514" s="68"/>
      <c r="H1514" s="68"/>
      <c r="I1514" s="69"/>
      <c r="J1514" s="69"/>
      <c r="K1514" s="71"/>
      <c r="L1514" s="69"/>
      <c r="M1514" s="69"/>
      <c r="N1514" s="72"/>
      <c r="O1514" s="69"/>
      <c r="P1514" s="69"/>
      <c r="Q1514" s="69"/>
      <c r="R1514" s="69"/>
      <c r="S1514" s="69"/>
      <c r="T1514" s="69"/>
      <c r="U1514" s="69"/>
      <c r="V1514" s="69"/>
      <c r="W1514" s="69"/>
      <c r="X1514" s="69"/>
      <c r="Y1514" s="69"/>
      <c r="Z1514" s="69"/>
      <c r="AA1514" s="69"/>
      <c r="AB1514" s="69"/>
      <c r="AC1514" s="69"/>
      <c r="AD1514" s="69"/>
      <c r="AE1514" s="69"/>
      <c r="AF1514" s="69"/>
      <c r="AG1514" s="69"/>
      <c r="AH1514" s="69"/>
      <c r="AI1514" s="69"/>
      <c r="AJ1514" s="69"/>
      <c r="AK1514" s="69"/>
      <c r="AL1514" s="69"/>
      <c r="AM1514" s="69"/>
      <c r="AN1514" s="69"/>
      <c r="AO1514" s="69"/>
      <c r="AP1514" s="69"/>
      <c r="AQ1514" s="69"/>
      <c r="AR1514" s="69"/>
      <c r="AS1514" s="69"/>
      <c r="AT1514" s="69"/>
      <c r="AU1514" s="69"/>
      <c r="AV1514" s="69"/>
      <c r="AW1514" s="69"/>
      <c r="AX1514" s="69"/>
      <c r="AY1514" s="69"/>
      <c r="AZ1514" s="69"/>
      <c r="BA1514" s="69"/>
      <c r="BB1514" s="69"/>
      <c r="BC1514" s="69"/>
    </row>
    <row r="1515">
      <c r="A1515" s="68"/>
      <c r="B1515" s="68"/>
      <c r="C1515" s="68"/>
      <c r="D1515" s="68"/>
      <c r="E1515" s="68"/>
      <c r="F1515" s="68"/>
      <c r="G1515" s="68"/>
      <c r="H1515" s="68"/>
      <c r="I1515" s="69"/>
      <c r="J1515" s="69"/>
      <c r="K1515" s="71"/>
      <c r="L1515" s="69"/>
      <c r="M1515" s="69"/>
      <c r="N1515" s="72"/>
      <c r="O1515" s="69"/>
      <c r="P1515" s="69"/>
      <c r="Q1515" s="69"/>
      <c r="R1515" s="69"/>
      <c r="S1515" s="69"/>
      <c r="T1515" s="69"/>
      <c r="U1515" s="69"/>
      <c r="V1515" s="69"/>
      <c r="W1515" s="69"/>
      <c r="X1515" s="69"/>
      <c r="Y1515" s="69"/>
      <c r="Z1515" s="69"/>
      <c r="AA1515" s="69"/>
      <c r="AB1515" s="69"/>
      <c r="AC1515" s="69"/>
      <c r="AD1515" s="69"/>
      <c r="AE1515" s="69"/>
      <c r="AF1515" s="69"/>
      <c r="AG1515" s="69"/>
      <c r="AH1515" s="69"/>
      <c r="AI1515" s="69"/>
      <c r="AJ1515" s="69"/>
      <c r="AK1515" s="69"/>
      <c r="AL1515" s="69"/>
      <c r="AM1515" s="69"/>
      <c r="AN1515" s="69"/>
      <c r="AO1515" s="69"/>
      <c r="AP1515" s="69"/>
      <c r="AQ1515" s="69"/>
      <c r="AR1515" s="69"/>
      <c r="AS1515" s="69"/>
      <c r="AT1515" s="69"/>
      <c r="AU1515" s="69"/>
      <c r="AV1515" s="69"/>
      <c r="AW1515" s="69"/>
      <c r="AX1515" s="69"/>
      <c r="AY1515" s="69"/>
      <c r="AZ1515" s="69"/>
      <c r="BA1515" s="69"/>
      <c r="BB1515" s="69"/>
      <c r="BC1515" s="69"/>
    </row>
    <row r="1516">
      <c r="A1516" s="68"/>
      <c r="B1516" s="68"/>
      <c r="C1516" s="68"/>
      <c r="D1516" s="68"/>
      <c r="E1516" s="68"/>
      <c r="F1516" s="68"/>
      <c r="G1516" s="68"/>
      <c r="H1516" s="68"/>
      <c r="I1516" s="69"/>
      <c r="J1516" s="69"/>
      <c r="K1516" s="71"/>
      <c r="L1516" s="69"/>
      <c r="M1516" s="69"/>
      <c r="N1516" s="72"/>
      <c r="O1516" s="69"/>
      <c r="P1516" s="69"/>
      <c r="Q1516" s="69"/>
      <c r="R1516" s="69"/>
      <c r="S1516" s="69"/>
      <c r="T1516" s="69"/>
      <c r="U1516" s="69"/>
      <c r="V1516" s="69"/>
      <c r="W1516" s="69"/>
      <c r="X1516" s="69"/>
      <c r="Y1516" s="69"/>
      <c r="Z1516" s="69"/>
      <c r="AA1516" s="69"/>
      <c r="AB1516" s="69"/>
      <c r="AC1516" s="69"/>
      <c r="AD1516" s="69"/>
      <c r="AE1516" s="69"/>
      <c r="AF1516" s="69"/>
      <c r="AG1516" s="69"/>
      <c r="AH1516" s="69"/>
      <c r="AI1516" s="69"/>
      <c r="AJ1516" s="69"/>
      <c r="AK1516" s="69"/>
      <c r="AL1516" s="69"/>
      <c r="AM1516" s="69"/>
      <c r="AN1516" s="69"/>
      <c r="AO1516" s="69"/>
      <c r="AP1516" s="69"/>
      <c r="AQ1516" s="69"/>
      <c r="AR1516" s="69"/>
      <c r="AS1516" s="69"/>
      <c r="AT1516" s="69"/>
      <c r="AU1516" s="69"/>
      <c r="AV1516" s="69"/>
      <c r="AW1516" s="69"/>
      <c r="AX1516" s="69"/>
      <c r="AY1516" s="69"/>
      <c r="AZ1516" s="69"/>
      <c r="BA1516" s="69"/>
      <c r="BB1516" s="69"/>
      <c r="BC1516" s="69"/>
    </row>
    <row r="1517">
      <c r="A1517" s="68"/>
      <c r="B1517" s="68"/>
      <c r="C1517" s="68"/>
      <c r="D1517" s="68"/>
      <c r="E1517" s="68"/>
      <c r="F1517" s="68"/>
      <c r="G1517" s="68"/>
      <c r="H1517" s="68"/>
      <c r="I1517" s="69"/>
      <c r="J1517" s="69"/>
      <c r="K1517" s="71"/>
      <c r="L1517" s="69"/>
      <c r="M1517" s="69"/>
      <c r="N1517" s="72"/>
      <c r="O1517" s="69"/>
      <c r="P1517" s="69"/>
      <c r="Q1517" s="69"/>
      <c r="R1517" s="69"/>
      <c r="S1517" s="69"/>
      <c r="T1517" s="69"/>
      <c r="U1517" s="69"/>
      <c r="V1517" s="69"/>
      <c r="W1517" s="69"/>
      <c r="X1517" s="69"/>
      <c r="Y1517" s="69"/>
      <c r="Z1517" s="69"/>
      <c r="AA1517" s="69"/>
      <c r="AB1517" s="69"/>
      <c r="AC1517" s="69"/>
      <c r="AD1517" s="69"/>
      <c r="AE1517" s="69"/>
      <c r="AF1517" s="69"/>
      <c r="AG1517" s="69"/>
      <c r="AH1517" s="69"/>
      <c r="AI1517" s="69"/>
      <c r="AJ1517" s="69"/>
      <c r="AK1517" s="69"/>
      <c r="AL1517" s="69"/>
      <c r="AM1517" s="69"/>
      <c r="AN1517" s="69"/>
      <c r="AO1517" s="69"/>
      <c r="AP1517" s="69"/>
      <c r="AQ1517" s="69"/>
      <c r="AR1517" s="69"/>
      <c r="AS1517" s="69"/>
      <c r="AT1517" s="69"/>
      <c r="AU1517" s="69"/>
      <c r="AV1517" s="69"/>
      <c r="AW1517" s="69"/>
      <c r="AX1517" s="69"/>
      <c r="AY1517" s="69"/>
      <c r="AZ1517" s="69"/>
      <c r="BA1517" s="69"/>
      <c r="BB1517" s="69"/>
      <c r="BC1517" s="69"/>
    </row>
    <row r="1518">
      <c r="A1518" s="68"/>
      <c r="B1518" s="68"/>
      <c r="C1518" s="68"/>
      <c r="D1518" s="68"/>
      <c r="E1518" s="68"/>
      <c r="F1518" s="68"/>
      <c r="G1518" s="68"/>
      <c r="H1518" s="68"/>
      <c r="I1518" s="69"/>
      <c r="J1518" s="69"/>
      <c r="K1518" s="71"/>
      <c r="L1518" s="69"/>
      <c r="M1518" s="69"/>
      <c r="N1518" s="72"/>
      <c r="O1518" s="69"/>
      <c r="P1518" s="69"/>
      <c r="Q1518" s="69"/>
      <c r="R1518" s="69"/>
      <c r="S1518" s="69"/>
      <c r="T1518" s="69"/>
      <c r="U1518" s="69"/>
      <c r="V1518" s="69"/>
      <c r="W1518" s="69"/>
      <c r="X1518" s="69"/>
      <c r="Y1518" s="69"/>
      <c r="Z1518" s="69"/>
      <c r="AA1518" s="69"/>
      <c r="AB1518" s="69"/>
      <c r="AC1518" s="69"/>
      <c r="AD1518" s="69"/>
      <c r="AE1518" s="69"/>
      <c r="AF1518" s="69"/>
      <c r="AG1518" s="69"/>
      <c r="AH1518" s="69"/>
      <c r="AI1518" s="69"/>
      <c r="AJ1518" s="69"/>
      <c r="AK1518" s="69"/>
      <c r="AL1518" s="69"/>
      <c r="AM1518" s="69"/>
      <c r="AN1518" s="69"/>
      <c r="AO1518" s="69"/>
      <c r="AP1518" s="69"/>
      <c r="AQ1518" s="69"/>
      <c r="AR1518" s="69"/>
      <c r="AS1518" s="69"/>
      <c r="AT1518" s="69"/>
      <c r="AU1518" s="69"/>
      <c r="AV1518" s="69"/>
      <c r="AW1518" s="69"/>
      <c r="AX1518" s="69"/>
      <c r="AY1518" s="69"/>
      <c r="AZ1518" s="69"/>
      <c r="BA1518" s="69"/>
      <c r="BB1518" s="69"/>
      <c r="BC1518" s="69"/>
    </row>
    <row r="1519">
      <c r="A1519" s="68"/>
      <c r="B1519" s="68"/>
      <c r="C1519" s="68"/>
      <c r="D1519" s="68"/>
      <c r="E1519" s="68"/>
      <c r="F1519" s="68"/>
      <c r="G1519" s="68"/>
      <c r="H1519" s="68"/>
      <c r="I1519" s="69"/>
      <c r="J1519" s="69"/>
      <c r="K1519" s="71"/>
      <c r="L1519" s="69"/>
      <c r="M1519" s="69"/>
      <c r="N1519" s="72"/>
      <c r="O1519" s="69"/>
      <c r="P1519" s="69"/>
      <c r="Q1519" s="69"/>
      <c r="R1519" s="69"/>
      <c r="S1519" s="69"/>
      <c r="T1519" s="69"/>
      <c r="U1519" s="69"/>
      <c r="V1519" s="69"/>
      <c r="W1519" s="69"/>
      <c r="X1519" s="69"/>
      <c r="Y1519" s="69"/>
      <c r="Z1519" s="69"/>
      <c r="AA1519" s="69"/>
      <c r="AB1519" s="69"/>
      <c r="AC1519" s="69"/>
      <c r="AD1519" s="69"/>
      <c r="AE1519" s="69"/>
      <c r="AF1519" s="69"/>
      <c r="AG1519" s="69"/>
      <c r="AH1519" s="69"/>
      <c r="AI1519" s="69"/>
      <c r="AJ1519" s="69"/>
      <c r="AK1519" s="69"/>
      <c r="AL1519" s="69"/>
      <c r="AM1519" s="69"/>
      <c r="AN1519" s="69"/>
      <c r="AO1519" s="69"/>
      <c r="AP1519" s="69"/>
      <c r="AQ1519" s="69"/>
      <c r="AR1519" s="69"/>
      <c r="AS1519" s="69"/>
      <c r="AT1519" s="69"/>
      <c r="AU1519" s="69"/>
      <c r="AV1519" s="69"/>
      <c r="AW1519" s="69"/>
      <c r="AX1519" s="69"/>
      <c r="AY1519" s="69"/>
      <c r="AZ1519" s="69"/>
      <c r="BA1519" s="69"/>
      <c r="BB1519" s="69"/>
      <c r="BC1519" s="69"/>
    </row>
    <row r="1520">
      <c r="A1520" s="68"/>
      <c r="B1520" s="68"/>
      <c r="C1520" s="68"/>
      <c r="D1520" s="68"/>
      <c r="E1520" s="68"/>
      <c r="F1520" s="68"/>
      <c r="G1520" s="68"/>
      <c r="H1520" s="68"/>
      <c r="I1520" s="69"/>
      <c r="J1520" s="69"/>
      <c r="K1520" s="71"/>
      <c r="L1520" s="69"/>
      <c r="M1520" s="69"/>
      <c r="N1520" s="72"/>
      <c r="O1520" s="69"/>
      <c r="P1520" s="69"/>
      <c r="Q1520" s="69"/>
      <c r="R1520" s="69"/>
      <c r="S1520" s="69"/>
      <c r="T1520" s="69"/>
      <c r="U1520" s="69"/>
      <c r="V1520" s="69"/>
      <c r="W1520" s="69"/>
      <c r="X1520" s="69"/>
      <c r="Y1520" s="69"/>
      <c r="Z1520" s="69"/>
      <c r="AA1520" s="69"/>
      <c r="AB1520" s="69"/>
      <c r="AC1520" s="69"/>
      <c r="AD1520" s="69"/>
      <c r="AE1520" s="69"/>
      <c r="AF1520" s="69"/>
      <c r="AG1520" s="69"/>
      <c r="AH1520" s="69"/>
      <c r="AI1520" s="69"/>
      <c r="AJ1520" s="69"/>
      <c r="AK1520" s="69"/>
      <c r="AL1520" s="69"/>
      <c r="AM1520" s="69"/>
      <c r="AN1520" s="69"/>
      <c r="AO1520" s="69"/>
      <c r="AP1520" s="69"/>
      <c r="AQ1520" s="69"/>
      <c r="AR1520" s="69"/>
      <c r="AS1520" s="69"/>
      <c r="AT1520" s="69"/>
      <c r="AU1520" s="69"/>
      <c r="AV1520" s="69"/>
      <c r="AW1520" s="69"/>
      <c r="AX1520" s="69"/>
      <c r="AY1520" s="69"/>
      <c r="AZ1520" s="69"/>
      <c r="BA1520" s="69"/>
      <c r="BB1520" s="69"/>
      <c r="BC1520" s="69"/>
    </row>
    <row r="1521">
      <c r="A1521" s="68"/>
      <c r="B1521" s="68"/>
      <c r="C1521" s="68"/>
      <c r="D1521" s="68"/>
      <c r="E1521" s="68"/>
      <c r="F1521" s="68"/>
      <c r="G1521" s="68"/>
      <c r="H1521" s="68"/>
      <c r="I1521" s="69"/>
      <c r="J1521" s="69"/>
      <c r="K1521" s="71"/>
      <c r="L1521" s="69"/>
      <c r="M1521" s="69"/>
      <c r="N1521" s="72"/>
      <c r="O1521" s="69"/>
      <c r="P1521" s="69"/>
      <c r="Q1521" s="69"/>
      <c r="R1521" s="69"/>
      <c r="S1521" s="69"/>
      <c r="T1521" s="69"/>
      <c r="U1521" s="69"/>
      <c r="V1521" s="69"/>
      <c r="W1521" s="69"/>
      <c r="X1521" s="69"/>
      <c r="Y1521" s="69"/>
      <c r="Z1521" s="69"/>
      <c r="AA1521" s="69"/>
      <c r="AB1521" s="69"/>
      <c r="AC1521" s="69"/>
      <c r="AD1521" s="69"/>
      <c r="AE1521" s="69"/>
      <c r="AF1521" s="69"/>
      <c r="AG1521" s="69"/>
      <c r="AH1521" s="69"/>
      <c r="AI1521" s="69"/>
      <c r="AJ1521" s="69"/>
      <c r="AK1521" s="69"/>
      <c r="AL1521" s="69"/>
      <c r="AM1521" s="69"/>
      <c r="AN1521" s="69"/>
      <c r="AO1521" s="69"/>
      <c r="AP1521" s="69"/>
      <c r="AQ1521" s="69"/>
      <c r="AR1521" s="69"/>
      <c r="AS1521" s="69"/>
      <c r="AT1521" s="69"/>
      <c r="AU1521" s="69"/>
      <c r="AV1521" s="69"/>
      <c r="AW1521" s="69"/>
      <c r="AX1521" s="69"/>
      <c r="AY1521" s="69"/>
      <c r="AZ1521" s="69"/>
      <c r="BA1521" s="69"/>
      <c r="BB1521" s="69"/>
      <c r="BC1521" s="69"/>
    </row>
    <row r="1522">
      <c r="A1522" s="68"/>
      <c r="B1522" s="68"/>
      <c r="C1522" s="68"/>
      <c r="D1522" s="68"/>
      <c r="E1522" s="68"/>
      <c r="F1522" s="68"/>
      <c r="G1522" s="68"/>
      <c r="H1522" s="68"/>
      <c r="I1522" s="69"/>
      <c r="J1522" s="69"/>
      <c r="K1522" s="71"/>
      <c r="L1522" s="69"/>
      <c r="M1522" s="69"/>
      <c r="N1522" s="72"/>
      <c r="O1522" s="69"/>
      <c r="P1522" s="69"/>
      <c r="Q1522" s="69"/>
      <c r="R1522" s="69"/>
      <c r="S1522" s="69"/>
      <c r="T1522" s="69"/>
      <c r="U1522" s="69"/>
      <c r="V1522" s="69"/>
      <c r="W1522" s="69"/>
      <c r="X1522" s="69"/>
      <c r="Y1522" s="69"/>
      <c r="Z1522" s="69"/>
      <c r="AA1522" s="69"/>
      <c r="AB1522" s="69"/>
      <c r="AC1522" s="69"/>
      <c r="AD1522" s="69"/>
      <c r="AE1522" s="69"/>
      <c r="AF1522" s="69"/>
      <c r="AG1522" s="69"/>
      <c r="AH1522" s="69"/>
      <c r="AI1522" s="69"/>
      <c r="AJ1522" s="69"/>
      <c r="AK1522" s="69"/>
      <c r="AL1522" s="69"/>
      <c r="AM1522" s="69"/>
      <c r="AN1522" s="69"/>
      <c r="AO1522" s="69"/>
      <c r="AP1522" s="69"/>
      <c r="AQ1522" s="69"/>
      <c r="AR1522" s="69"/>
      <c r="AS1522" s="69"/>
      <c r="AT1522" s="69"/>
      <c r="AU1522" s="69"/>
      <c r="AV1522" s="69"/>
      <c r="AW1522" s="69"/>
      <c r="AX1522" s="69"/>
      <c r="AY1522" s="69"/>
      <c r="AZ1522" s="69"/>
      <c r="BA1522" s="69"/>
      <c r="BB1522" s="69"/>
      <c r="BC1522" s="69"/>
    </row>
    <row r="1523">
      <c r="A1523" s="68"/>
      <c r="B1523" s="68"/>
      <c r="C1523" s="68"/>
      <c r="D1523" s="68"/>
      <c r="E1523" s="68"/>
      <c r="F1523" s="68"/>
      <c r="G1523" s="68"/>
      <c r="H1523" s="68"/>
      <c r="I1523" s="69"/>
      <c r="J1523" s="69"/>
      <c r="K1523" s="71"/>
      <c r="L1523" s="69"/>
      <c r="M1523" s="69"/>
      <c r="N1523" s="72"/>
      <c r="O1523" s="69"/>
      <c r="P1523" s="69"/>
      <c r="Q1523" s="69"/>
      <c r="R1523" s="69"/>
      <c r="S1523" s="69"/>
      <c r="T1523" s="69"/>
      <c r="U1523" s="69"/>
      <c r="V1523" s="69"/>
      <c r="W1523" s="69"/>
      <c r="X1523" s="69"/>
      <c r="Y1523" s="69"/>
      <c r="Z1523" s="69"/>
      <c r="AA1523" s="69"/>
      <c r="AB1523" s="69"/>
      <c r="AC1523" s="69"/>
      <c r="AD1523" s="69"/>
      <c r="AE1523" s="69"/>
      <c r="AF1523" s="69"/>
      <c r="AG1523" s="69"/>
      <c r="AH1523" s="69"/>
      <c r="AI1523" s="69"/>
      <c r="AJ1523" s="69"/>
      <c r="AK1523" s="69"/>
      <c r="AL1523" s="69"/>
      <c r="AM1523" s="69"/>
      <c r="AN1523" s="69"/>
      <c r="AO1523" s="69"/>
      <c r="AP1523" s="69"/>
      <c r="AQ1523" s="69"/>
      <c r="AR1523" s="69"/>
      <c r="AS1523" s="69"/>
      <c r="AT1523" s="69"/>
      <c r="AU1523" s="69"/>
      <c r="AV1523" s="69"/>
      <c r="AW1523" s="69"/>
      <c r="AX1523" s="69"/>
      <c r="AY1523" s="69"/>
      <c r="AZ1523" s="69"/>
      <c r="BA1523" s="69"/>
      <c r="BB1523" s="69"/>
      <c r="BC1523" s="69"/>
    </row>
    <row r="1524">
      <c r="A1524" s="68"/>
      <c r="B1524" s="68"/>
      <c r="C1524" s="68"/>
      <c r="D1524" s="68"/>
      <c r="E1524" s="68"/>
      <c r="F1524" s="68"/>
      <c r="G1524" s="68"/>
      <c r="H1524" s="68"/>
      <c r="I1524" s="69"/>
      <c r="J1524" s="69"/>
      <c r="K1524" s="71"/>
      <c r="L1524" s="69"/>
      <c r="M1524" s="69"/>
      <c r="N1524" s="72"/>
      <c r="O1524" s="69"/>
      <c r="P1524" s="69"/>
      <c r="Q1524" s="69"/>
      <c r="R1524" s="69"/>
      <c r="S1524" s="69"/>
      <c r="T1524" s="69"/>
      <c r="U1524" s="69"/>
      <c r="V1524" s="69"/>
      <c r="W1524" s="69"/>
      <c r="X1524" s="69"/>
      <c r="Y1524" s="69"/>
      <c r="Z1524" s="69"/>
      <c r="AA1524" s="69"/>
      <c r="AB1524" s="69"/>
      <c r="AC1524" s="69"/>
      <c r="AD1524" s="69"/>
      <c r="AE1524" s="69"/>
      <c r="AF1524" s="69"/>
      <c r="AG1524" s="69"/>
      <c r="AH1524" s="69"/>
      <c r="AI1524" s="69"/>
      <c r="AJ1524" s="69"/>
      <c r="AK1524" s="69"/>
      <c r="AL1524" s="69"/>
      <c r="AM1524" s="69"/>
      <c r="AN1524" s="69"/>
      <c r="AO1524" s="69"/>
      <c r="AP1524" s="69"/>
      <c r="AQ1524" s="69"/>
      <c r="AR1524" s="69"/>
      <c r="AS1524" s="69"/>
      <c r="AT1524" s="69"/>
      <c r="AU1524" s="69"/>
      <c r="AV1524" s="69"/>
      <c r="AW1524" s="69"/>
      <c r="AX1524" s="69"/>
      <c r="AY1524" s="69"/>
      <c r="AZ1524" s="69"/>
      <c r="BA1524" s="69"/>
      <c r="BB1524" s="69"/>
      <c r="BC1524" s="69"/>
    </row>
    <row r="1525">
      <c r="A1525" s="68"/>
      <c r="B1525" s="68"/>
      <c r="C1525" s="68"/>
      <c r="D1525" s="68"/>
      <c r="E1525" s="68"/>
      <c r="F1525" s="68"/>
      <c r="G1525" s="68"/>
      <c r="H1525" s="68"/>
      <c r="I1525" s="69"/>
      <c r="J1525" s="69"/>
      <c r="K1525" s="71"/>
      <c r="L1525" s="69"/>
      <c r="M1525" s="69"/>
      <c r="N1525" s="72"/>
      <c r="O1525" s="69"/>
      <c r="P1525" s="69"/>
      <c r="Q1525" s="69"/>
      <c r="R1525" s="69"/>
      <c r="S1525" s="69"/>
      <c r="T1525" s="69"/>
      <c r="U1525" s="69"/>
      <c r="V1525" s="69"/>
      <c r="W1525" s="69"/>
      <c r="X1525" s="69"/>
      <c r="Y1525" s="69"/>
      <c r="Z1525" s="69"/>
      <c r="AA1525" s="69"/>
      <c r="AB1525" s="69"/>
      <c r="AC1525" s="69"/>
      <c r="AD1525" s="69"/>
      <c r="AE1525" s="69"/>
      <c r="AF1525" s="69"/>
      <c r="AG1525" s="69"/>
      <c r="AH1525" s="69"/>
      <c r="AI1525" s="69"/>
      <c r="AJ1525" s="69"/>
      <c r="AK1525" s="69"/>
      <c r="AL1525" s="69"/>
      <c r="AM1525" s="69"/>
      <c r="AN1525" s="69"/>
      <c r="AO1525" s="69"/>
      <c r="AP1525" s="69"/>
      <c r="AQ1525" s="69"/>
      <c r="AR1525" s="69"/>
      <c r="AS1525" s="69"/>
      <c r="AT1525" s="69"/>
      <c r="AU1525" s="69"/>
      <c r="AV1525" s="69"/>
      <c r="AW1525" s="69"/>
      <c r="AX1525" s="69"/>
      <c r="AY1525" s="69"/>
      <c r="AZ1525" s="69"/>
      <c r="BA1525" s="69"/>
      <c r="BB1525" s="69"/>
      <c r="BC1525" s="69"/>
    </row>
    <row r="1526">
      <c r="A1526" s="68"/>
      <c r="B1526" s="68"/>
      <c r="C1526" s="68"/>
      <c r="D1526" s="68"/>
      <c r="E1526" s="68"/>
      <c r="F1526" s="68"/>
      <c r="G1526" s="68"/>
      <c r="H1526" s="68"/>
      <c r="I1526" s="69"/>
      <c r="J1526" s="69"/>
      <c r="K1526" s="71"/>
      <c r="L1526" s="69"/>
      <c r="M1526" s="69"/>
      <c r="N1526" s="72"/>
      <c r="O1526" s="69"/>
      <c r="P1526" s="69"/>
      <c r="Q1526" s="69"/>
      <c r="R1526" s="69"/>
      <c r="S1526" s="69"/>
      <c r="T1526" s="69"/>
      <c r="U1526" s="69"/>
      <c r="V1526" s="69"/>
      <c r="W1526" s="69"/>
      <c r="X1526" s="69"/>
      <c r="Y1526" s="69"/>
      <c r="Z1526" s="69"/>
      <c r="AA1526" s="69"/>
      <c r="AB1526" s="69"/>
      <c r="AC1526" s="69"/>
      <c r="AD1526" s="69"/>
      <c r="AE1526" s="69"/>
      <c r="AF1526" s="69"/>
      <c r="AG1526" s="69"/>
      <c r="AH1526" s="69"/>
      <c r="AI1526" s="69"/>
      <c r="AJ1526" s="69"/>
      <c r="AK1526" s="69"/>
      <c r="AL1526" s="69"/>
      <c r="AM1526" s="69"/>
      <c r="AN1526" s="69"/>
      <c r="AO1526" s="69"/>
      <c r="AP1526" s="69"/>
      <c r="AQ1526" s="69"/>
      <c r="AR1526" s="69"/>
      <c r="AS1526" s="69"/>
      <c r="AT1526" s="69"/>
      <c r="AU1526" s="69"/>
      <c r="AV1526" s="69"/>
      <c r="AW1526" s="69"/>
      <c r="AX1526" s="69"/>
      <c r="AY1526" s="69"/>
      <c r="AZ1526" s="69"/>
      <c r="BA1526" s="69"/>
      <c r="BB1526" s="69"/>
      <c r="BC1526" s="69"/>
    </row>
    <row r="1527">
      <c r="A1527" s="68"/>
      <c r="B1527" s="68"/>
      <c r="C1527" s="68"/>
      <c r="D1527" s="68"/>
      <c r="E1527" s="68"/>
      <c r="F1527" s="68"/>
      <c r="G1527" s="68"/>
      <c r="H1527" s="68"/>
      <c r="I1527" s="69"/>
      <c r="J1527" s="69"/>
      <c r="K1527" s="71"/>
      <c r="L1527" s="69"/>
      <c r="M1527" s="69"/>
      <c r="N1527" s="72"/>
      <c r="O1527" s="69"/>
      <c r="P1527" s="69"/>
      <c r="Q1527" s="69"/>
      <c r="R1527" s="69"/>
      <c r="S1527" s="69"/>
      <c r="T1527" s="69"/>
      <c r="U1527" s="69"/>
      <c r="V1527" s="69"/>
      <c r="W1527" s="69"/>
      <c r="X1527" s="69"/>
      <c r="Y1527" s="69"/>
      <c r="Z1527" s="69"/>
      <c r="AA1527" s="69"/>
      <c r="AB1527" s="69"/>
      <c r="AC1527" s="69"/>
      <c r="AD1527" s="69"/>
      <c r="AE1527" s="69"/>
      <c r="AF1527" s="69"/>
      <c r="AG1527" s="69"/>
      <c r="AH1527" s="69"/>
      <c r="AI1527" s="69"/>
      <c r="AJ1527" s="69"/>
      <c r="AK1527" s="69"/>
      <c r="AL1527" s="69"/>
      <c r="AM1527" s="69"/>
      <c r="AN1527" s="69"/>
      <c r="AO1527" s="69"/>
      <c r="AP1527" s="69"/>
      <c r="AQ1527" s="69"/>
      <c r="AR1527" s="69"/>
      <c r="AS1527" s="69"/>
      <c r="AT1527" s="69"/>
      <c r="AU1527" s="69"/>
      <c r="AV1527" s="69"/>
      <c r="AW1527" s="69"/>
      <c r="AX1527" s="69"/>
      <c r="AY1527" s="69"/>
      <c r="AZ1527" s="69"/>
      <c r="BA1527" s="69"/>
      <c r="BB1527" s="69"/>
      <c r="BC1527" s="69"/>
    </row>
    <row r="1528">
      <c r="A1528" s="68"/>
      <c r="B1528" s="68"/>
      <c r="C1528" s="68"/>
      <c r="D1528" s="68"/>
      <c r="E1528" s="68"/>
      <c r="F1528" s="68"/>
      <c r="G1528" s="68"/>
      <c r="H1528" s="68"/>
      <c r="I1528" s="69"/>
      <c r="J1528" s="69"/>
      <c r="K1528" s="71"/>
      <c r="L1528" s="69"/>
      <c r="M1528" s="69"/>
      <c r="N1528" s="72"/>
      <c r="O1528" s="69"/>
      <c r="P1528" s="69"/>
      <c r="Q1528" s="69"/>
      <c r="R1528" s="69"/>
      <c r="S1528" s="69"/>
      <c r="T1528" s="69"/>
      <c r="U1528" s="69"/>
      <c r="V1528" s="69"/>
      <c r="W1528" s="69"/>
      <c r="X1528" s="69"/>
      <c r="Y1528" s="69"/>
      <c r="Z1528" s="69"/>
      <c r="AA1528" s="69"/>
      <c r="AB1528" s="69"/>
      <c r="AC1528" s="69"/>
      <c r="AD1528" s="69"/>
      <c r="AE1528" s="69"/>
      <c r="AF1528" s="69"/>
      <c r="AG1528" s="69"/>
      <c r="AH1528" s="69"/>
      <c r="AI1528" s="69"/>
      <c r="AJ1528" s="69"/>
      <c r="AK1528" s="69"/>
      <c r="AL1528" s="69"/>
      <c r="AM1528" s="69"/>
      <c r="AN1528" s="69"/>
      <c r="AO1528" s="69"/>
      <c r="AP1528" s="69"/>
      <c r="AQ1528" s="69"/>
      <c r="AR1528" s="69"/>
      <c r="AS1528" s="69"/>
      <c r="AT1528" s="69"/>
      <c r="AU1528" s="69"/>
      <c r="AV1528" s="69"/>
      <c r="AW1528" s="69"/>
      <c r="AX1528" s="69"/>
      <c r="AY1528" s="69"/>
      <c r="AZ1528" s="69"/>
      <c r="BA1528" s="69"/>
      <c r="BB1528" s="69"/>
      <c r="BC1528" s="69"/>
    </row>
    <row r="1529">
      <c r="A1529" s="68"/>
      <c r="B1529" s="68"/>
      <c r="C1529" s="68"/>
      <c r="D1529" s="68"/>
      <c r="E1529" s="68"/>
      <c r="F1529" s="68"/>
      <c r="G1529" s="68"/>
      <c r="H1529" s="68"/>
      <c r="I1529" s="69"/>
      <c r="J1529" s="69"/>
      <c r="K1529" s="71"/>
      <c r="L1529" s="69"/>
      <c r="M1529" s="69"/>
      <c r="N1529" s="72"/>
      <c r="O1529" s="69"/>
      <c r="P1529" s="69"/>
      <c r="Q1529" s="69"/>
      <c r="R1529" s="69"/>
      <c r="S1529" s="69"/>
      <c r="T1529" s="69"/>
      <c r="U1529" s="69"/>
      <c r="V1529" s="69"/>
      <c r="W1529" s="69"/>
      <c r="X1529" s="69"/>
      <c r="Y1529" s="69"/>
      <c r="Z1529" s="69"/>
      <c r="AA1529" s="69"/>
      <c r="AB1529" s="69"/>
      <c r="AC1529" s="69"/>
      <c r="AD1529" s="69"/>
      <c r="AE1529" s="69"/>
      <c r="AF1529" s="69"/>
      <c r="AG1529" s="69"/>
      <c r="AH1529" s="69"/>
      <c r="AI1529" s="69"/>
      <c r="AJ1529" s="69"/>
      <c r="AK1529" s="69"/>
      <c r="AL1529" s="69"/>
      <c r="AM1529" s="69"/>
      <c r="AN1529" s="69"/>
      <c r="AO1529" s="69"/>
      <c r="AP1529" s="69"/>
      <c r="AQ1529" s="69"/>
      <c r="AR1529" s="69"/>
      <c r="AS1529" s="69"/>
      <c r="AT1529" s="69"/>
      <c r="AU1529" s="69"/>
      <c r="AV1529" s="69"/>
      <c r="AW1529" s="69"/>
      <c r="AX1529" s="69"/>
      <c r="AY1529" s="69"/>
      <c r="AZ1529" s="69"/>
      <c r="BA1529" s="69"/>
      <c r="BB1529" s="69"/>
      <c r="BC1529" s="69"/>
    </row>
    <row r="1530">
      <c r="A1530" s="68"/>
      <c r="B1530" s="68"/>
      <c r="C1530" s="68"/>
      <c r="D1530" s="68"/>
      <c r="E1530" s="68"/>
      <c r="F1530" s="68"/>
      <c r="G1530" s="68"/>
      <c r="H1530" s="68"/>
      <c r="I1530" s="69"/>
      <c r="J1530" s="69"/>
      <c r="K1530" s="71"/>
      <c r="L1530" s="69"/>
      <c r="M1530" s="69"/>
      <c r="N1530" s="72"/>
      <c r="O1530" s="69"/>
      <c r="P1530" s="69"/>
      <c r="Q1530" s="69"/>
      <c r="R1530" s="69"/>
      <c r="S1530" s="69"/>
      <c r="T1530" s="69"/>
      <c r="U1530" s="69"/>
      <c r="V1530" s="69"/>
      <c r="W1530" s="69"/>
      <c r="X1530" s="69"/>
      <c r="Y1530" s="69"/>
      <c r="Z1530" s="69"/>
      <c r="AA1530" s="69"/>
      <c r="AB1530" s="69"/>
      <c r="AC1530" s="69"/>
      <c r="AD1530" s="69"/>
      <c r="AE1530" s="69"/>
      <c r="AF1530" s="69"/>
      <c r="AG1530" s="69"/>
      <c r="AH1530" s="69"/>
      <c r="AI1530" s="69"/>
      <c r="AJ1530" s="69"/>
      <c r="AK1530" s="69"/>
      <c r="AL1530" s="69"/>
      <c r="AM1530" s="69"/>
      <c r="AN1530" s="69"/>
      <c r="AO1530" s="69"/>
      <c r="AP1530" s="69"/>
      <c r="AQ1530" s="69"/>
      <c r="AR1530" s="69"/>
      <c r="AS1530" s="69"/>
      <c r="AT1530" s="69"/>
      <c r="AU1530" s="69"/>
      <c r="AV1530" s="69"/>
      <c r="AW1530" s="69"/>
      <c r="AX1530" s="69"/>
      <c r="AY1530" s="69"/>
      <c r="AZ1530" s="69"/>
      <c r="BA1530" s="69"/>
      <c r="BB1530" s="69"/>
      <c r="BC1530" s="69"/>
    </row>
    <row r="1531">
      <c r="A1531" s="68"/>
      <c r="B1531" s="68"/>
      <c r="C1531" s="68"/>
      <c r="D1531" s="68"/>
      <c r="E1531" s="68"/>
      <c r="F1531" s="68"/>
      <c r="G1531" s="68"/>
      <c r="H1531" s="68"/>
      <c r="I1531" s="69"/>
      <c r="J1531" s="69"/>
      <c r="K1531" s="71"/>
      <c r="L1531" s="69"/>
      <c r="M1531" s="69"/>
      <c r="N1531" s="72"/>
      <c r="O1531" s="69"/>
      <c r="P1531" s="69"/>
      <c r="Q1531" s="69"/>
      <c r="R1531" s="69"/>
      <c r="S1531" s="69"/>
      <c r="T1531" s="69"/>
      <c r="U1531" s="69"/>
      <c r="V1531" s="69"/>
      <c r="W1531" s="69"/>
      <c r="X1531" s="69"/>
      <c r="Y1531" s="69"/>
      <c r="Z1531" s="69"/>
      <c r="AA1531" s="69"/>
      <c r="AB1531" s="69"/>
      <c r="AC1531" s="69"/>
      <c r="AD1531" s="69"/>
      <c r="AE1531" s="69"/>
      <c r="AF1531" s="69"/>
      <c r="AG1531" s="69"/>
      <c r="AH1531" s="69"/>
      <c r="AI1531" s="69"/>
      <c r="AJ1531" s="69"/>
      <c r="AK1531" s="69"/>
      <c r="AL1531" s="69"/>
      <c r="AM1531" s="69"/>
      <c r="AN1531" s="69"/>
      <c r="AO1531" s="69"/>
      <c r="AP1531" s="69"/>
      <c r="AQ1531" s="69"/>
      <c r="AR1531" s="69"/>
      <c r="AS1531" s="69"/>
      <c r="AT1531" s="69"/>
      <c r="AU1531" s="69"/>
      <c r="AV1531" s="69"/>
      <c r="AW1531" s="69"/>
      <c r="AX1531" s="69"/>
      <c r="AY1531" s="69"/>
      <c r="AZ1531" s="69"/>
      <c r="BA1531" s="69"/>
      <c r="BB1531" s="69"/>
      <c r="BC1531" s="69"/>
    </row>
    <row r="1532">
      <c r="A1532" s="68"/>
      <c r="B1532" s="68"/>
      <c r="C1532" s="68"/>
      <c r="D1532" s="68"/>
      <c r="E1532" s="68"/>
      <c r="F1532" s="68"/>
      <c r="G1532" s="68"/>
      <c r="H1532" s="68"/>
      <c r="I1532" s="69"/>
      <c r="J1532" s="69"/>
      <c r="K1532" s="71"/>
      <c r="L1532" s="69"/>
      <c r="M1532" s="69"/>
      <c r="N1532" s="72"/>
      <c r="O1532" s="69"/>
      <c r="P1532" s="69"/>
      <c r="Q1532" s="69"/>
      <c r="R1532" s="69"/>
      <c r="S1532" s="69"/>
      <c r="T1532" s="69"/>
      <c r="U1532" s="69"/>
      <c r="V1532" s="69"/>
      <c r="W1532" s="69"/>
      <c r="X1532" s="69"/>
      <c r="Y1532" s="69"/>
      <c r="Z1532" s="69"/>
      <c r="AA1532" s="69"/>
      <c r="AB1532" s="69"/>
      <c r="AC1532" s="69"/>
      <c r="AD1532" s="69"/>
      <c r="AE1532" s="69"/>
      <c r="AF1532" s="69"/>
      <c r="AG1532" s="69"/>
      <c r="AH1532" s="69"/>
      <c r="AI1532" s="69"/>
      <c r="AJ1532" s="69"/>
      <c r="AK1532" s="69"/>
      <c r="AL1532" s="69"/>
      <c r="AM1532" s="69"/>
      <c r="AN1532" s="69"/>
      <c r="AO1532" s="69"/>
      <c r="AP1532" s="69"/>
      <c r="AQ1532" s="69"/>
      <c r="AR1532" s="69"/>
      <c r="AS1532" s="69"/>
      <c r="AT1532" s="69"/>
      <c r="AU1532" s="69"/>
      <c r="AV1532" s="69"/>
      <c r="AW1532" s="69"/>
      <c r="AX1532" s="69"/>
      <c r="AY1532" s="69"/>
      <c r="AZ1532" s="69"/>
      <c r="BA1532" s="69"/>
      <c r="BB1532" s="69"/>
      <c r="BC1532" s="69"/>
    </row>
    <row r="1533">
      <c r="A1533" s="68"/>
      <c r="B1533" s="68"/>
      <c r="C1533" s="68"/>
      <c r="D1533" s="68"/>
      <c r="E1533" s="68"/>
      <c r="F1533" s="68"/>
      <c r="G1533" s="68"/>
      <c r="H1533" s="68"/>
      <c r="I1533" s="69"/>
      <c r="J1533" s="69"/>
      <c r="K1533" s="71"/>
      <c r="L1533" s="69"/>
      <c r="M1533" s="69"/>
      <c r="N1533" s="72"/>
      <c r="O1533" s="69"/>
      <c r="P1533" s="69"/>
      <c r="Q1533" s="69"/>
      <c r="R1533" s="69"/>
      <c r="S1533" s="69"/>
      <c r="T1533" s="69"/>
      <c r="U1533" s="69"/>
      <c r="V1533" s="69"/>
      <c r="W1533" s="69"/>
      <c r="X1533" s="69"/>
      <c r="Y1533" s="69"/>
      <c r="Z1533" s="69"/>
      <c r="AA1533" s="69"/>
      <c r="AB1533" s="69"/>
      <c r="AC1533" s="69"/>
      <c r="AD1533" s="69"/>
      <c r="AE1533" s="69"/>
      <c r="AF1533" s="69"/>
      <c r="AG1533" s="69"/>
      <c r="AH1533" s="69"/>
      <c r="AI1533" s="69"/>
      <c r="AJ1533" s="69"/>
      <c r="AK1533" s="69"/>
      <c r="AL1533" s="69"/>
      <c r="AM1533" s="69"/>
      <c r="AN1533" s="69"/>
      <c r="AO1533" s="69"/>
      <c r="AP1533" s="69"/>
      <c r="AQ1533" s="69"/>
      <c r="AR1533" s="69"/>
      <c r="AS1533" s="69"/>
      <c r="AT1533" s="69"/>
      <c r="AU1533" s="69"/>
      <c r="AV1533" s="69"/>
      <c r="AW1533" s="69"/>
      <c r="AX1533" s="69"/>
      <c r="AY1533" s="69"/>
      <c r="AZ1533" s="69"/>
      <c r="BA1533" s="69"/>
      <c r="BB1533" s="69"/>
      <c r="BC1533" s="69"/>
    </row>
    <row r="1534">
      <c r="A1534" s="68"/>
      <c r="B1534" s="68"/>
      <c r="C1534" s="68"/>
      <c r="D1534" s="68"/>
      <c r="E1534" s="68"/>
      <c r="F1534" s="68"/>
      <c r="G1534" s="68"/>
      <c r="H1534" s="68"/>
      <c r="I1534" s="69"/>
      <c r="J1534" s="69"/>
      <c r="K1534" s="71"/>
      <c r="L1534" s="69"/>
      <c r="M1534" s="69"/>
      <c r="N1534" s="72"/>
      <c r="O1534" s="69"/>
      <c r="P1534" s="69"/>
      <c r="Q1534" s="69"/>
      <c r="R1534" s="69"/>
      <c r="S1534" s="69"/>
      <c r="T1534" s="69"/>
      <c r="U1534" s="69"/>
      <c r="V1534" s="69"/>
      <c r="W1534" s="69"/>
      <c r="X1534" s="69"/>
      <c r="Y1534" s="69"/>
      <c r="Z1534" s="69"/>
      <c r="AA1534" s="69"/>
      <c r="AB1534" s="69"/>
      <c r="AC1534" s="69"/>
      <c r="AD1534" s="69"/>
      <c r="AE1534" s="69"/>
      <c r="AF1534" s="69"/>
      <c r="AG1534" s="69"/>
      <c r="AH1534" s="69"/>
      <c r="AI1534" s="69"/>
      <c r="AJ1534" s="69"/>
      <c r="AK1534" s="69"/>
      <c r="AL1534" s="69"/>
      <c r="AM1534" s="69"/>
      <c r="AN1534" s="69"/>
      <c r="AO1534" s="69"/>
      <c r="AP1534" s="69"/>
      <c r="AQ1534" s="69"/>
      <c r="AR1534" s="69"/>
      <c r="AS1534" s="69"/>
      <c r="AT1534" s="69"/>
      <c r="AU1534" s="69"/>
      <c r="AV1534" s="69"/>
      <c r="AW1534" s="69"/>
      <c r="AX1534" s="69"/>
      <c r="AY1534" s="69"/>
      <c r="AZ1534" s="69"/>
      <c r="BA1534" s="69"/>
      <c r="BB1534" s="69"/>
      <c r="BC1534" s="69"/>
    </row>
    <row r="1535">
      <c r="A1535" s="68"/>
      <c r="B1535" s="68"/>
      <c r="C1535" s="68"/>
      <c r="D1535" s="68"/>
      <c r="E1535" s="68"/>
      <c r="F1535" s="68"/>
      <c r="G1535" s="68"/>
      <c r="H1535" s="68"/>
      <c r="I1535" s="69"/>
      <c r="J1535" s="69"/>
      <c r="K1535" s="71"/>
      <c r="L1535" s="69"/>
      <c r="M1535" s="69"/>
      <c r="N1535" s="72"/>
      <c r="O1535" s="69"/>
      <c r="P1535" s="69"/>
      <c r="Q1535" s="69"/>
      <c r="R1535" s="69"/>
      <c r="S1535" s="69"/>
      <c r="T1535" s="69"/>
      <c r="U1535" s="69"/>
      <c r="V1535" s="69"/>
      <c r="W1535" s="69"/>
      <c r="X1535" s="69"/>
      <c r="Y1535" s="69"/>
      <c r="Z1535" s="69"/>
      <c r="AA1535" s="69"/>
      <c r="AB1535" s="69"/>
      <c r="AC1535" s="69"/>
      <c r="AD1535" s="69"/>
      <c r="AE1535" s="69"/>
      <c r="AF1535" s="69"/>
      <c r="AG1535" s="69"/>
      <c r="AH1535" s="69"/>
      <c r="AI1535" s="69"/>
      <c r="AJ1535" s="69"/>
      <c r="AK1535" s="69"/>
      <c r="AL1535" s="69"/>
      <c r="AM1535" s="69"/>
      <c r="AN1535" s="69"/>
      <c r="AO1535" s="69"/>
      <c r="AP1535" s="69"/>
      <c r="AQ1535" s="69"/>
      <c r="AR1535" s="69"/>
      <c r="AS1535" s="69"/>
      <c r="AT1535" s="69"/>
      <c r="AU1535" s="69"/>
      <c r="AV1535" s="69"/>
      <c r="AW1535" s="69"/>
      <c r="AX1535" s="69"/>
      <c r="AY1535" s="69"/>
      <c r="AZ1535" s="69"/>
      <c r="BA1535" s="69"/>
      <c r="BB1535" s="69"/>
      <c r="BC1535" s="69"/>
    </row>
    <row r="1536">
      <c r="A1536" s="68"/>
      <c r="B1536" s="68"/>
      <c r="C1536" s="68"/>
      <c r="D1536" s="68"/>
      <c r="E1536" s="68"/>
      <c r="F1536" s="68"/>
      <c r="G1536" s="68"/>
      <c r="H1536" s="68"/>
      <c r="I1536" s="69"/>
      <c r="J1536" s="69"/>
      <c r="K1536" s="71"/>
      <c r="L1536" s="69"/>
      <c r="M1536" s="69"/>
      <c r="N1536" s="72"/>
      <c r="O1536" s="69"/>
      <c r="P1536" s="69"/>
      <c r="Q1536" s="69"/>
      <c r="R1536" s="69"/>
      <c r="S1536" s="69"/>
      <c r="T1536" s="69"/>
      <c r="U1536" s="69"/>
      <c r="V1536" s="69"/>
      <c r="W1536" s="69"/>
      <c r="X1536" s="69"/>
      <c r="Y1536" s="69"/>
      <c r="Z1536" s="69"/>
      <c r="AA1536" s="69"/>
      <c r="AB1536" s="69"/>
      <c r="AC1536" s="69"/>
      <c r="AD1536" s="69"/>
      <c r="AE1536" s="69"/>
      <c r="AF1536" s="69"/>
      <c r="AG1536" s="69"/>
      <c r="AH1536" s="69"/>
      <c r="AI1536" s="69"/>
      <c r="AJ1536" s="69"/>
      <c r="AK1536" s="69"/>
      <c r="AL1536" s="69"/>
      <c r="AM1536" s="69"/>
      <c r="AN1536" s="69"/>
      <c r="AO1536" s="69"/>
      <c r="AP1536" s="69"/>
      <c r="AQ1536" s="69"/>
      <c r="AR1536" s="69"/>
      <c r="AS1536" s="69"/>
      <c r="AT1536" s="69"/>
      <c r="AU1536" s="69"/>
      <c r="AV1536" s="69"/>
      <c r="AW1536" s="69"/>
      <c r="AX1536" s="69"/>
      <c r="AY1536" s="69"/>
      <c r="AZ1536" s="69"/>
      <c r="BA1536" s="69"/>
      <c r="BB1536" s="69"/>
      <c r="BC1536" s="69"/>
    </row>
    <row r="1537">
      <c r="A1537" s="68"/>
      <c r="B1537" s="68"/>
      <c r="C1537" s="68"/>
      <c r="D1537" s="68"/>
      <c r="E1537" s="68"/>
      <c r="F1537" s="68"/>
      <c r="G1537" s="68"/>
      <c r="H1537" s="68"/>
      <c r="I1537" s="69"/>
      <c r="J1537" s="69"/>
      <c r="K1537" s="71"/>
      <c r="L1537" s="69"/>
      <c r="M1537" s="69"/>
      <c r="N1537" s="72"/>
      <c r="O1537" s="69"/>
      <c r="P1537" s="69"/>
      <c r="Q1537" s="69"/>
      <c r="R1537" s="69"/>
      <c r="S1537" s="69"/>
      <c r="T1537" s="69"/>
      <c r="U1537" s="69"/>
      <c r="V1537" s="69"/>
      <c r="W1537" s="69"/>
      <c r="X1537" s="69"/>
      <c r="Y1537" s="69"/>
      <c r="Z1537" s="69"/>
      <c r="AA1537" s="69"/>
      <c r="AB1537" s="69"/>
      <c r="AC1537" s="69"/>
      <c r="AD1537" s="69"/>
      <c r="AE1537" s="69"/>
      <c r="AF1537" s="69"/>
      <c r="AG1537" s="69"/>
      <c r="AH1537" s="69"/>
      <c r="AI1537" s="69"/>
      <c r="AJ1537" s="69"/>
      <c r="AK1537" s="69"/>
      <c r="AL1537" s="69"/>
      <c r="AM1537" s="69"/>
      <c r="AN1537" s="69"/>
      <c r="AO1537" s="69"/>
      <c r="AP1537" s="69"/>
      <c r="AQ1537" s="69"/>
      <c r="AR1537" s="69"/>
      <c r="AS1537" s="69"/>
      <c r="AT1537" s="69"/>
      <c r="AU1537" s="69"/>
      <c r="AV1537" s="69"/>
      <c r="AW1537" s="69"/>
      <c r="AX1537" s="69"/>
      <c r="AY1537" s="69"/>
      <c r="AZ1537" s="69"/>
      <c r="BA1537" s="69"/>
      <c r="BB1537" s="69"/>
      <c r="BC1537" s="69"/>
    </row>
    <row r="1538">
      <c r="A1538" s="68"/>
      <c r="B1538" s="68"/>
      <c r="C1538" s="68"/>
      <c r="D1538" s="68"/>
      <c r="E1538" s="68"/>
      <c r="F1538" s="68"/>
      <c r="G1538" s="68"/>
      <c r="H1538" s="68"/>
      <c r="I1538" s="69"/>
      <c r="J1538" s="69"/>
      <c r="K1538" s="71"/>
      <c r="L1538" s="69"/>
      <c r="M1538" s="69"/>
      <c r="N1538" s="72"/>
      <c r="O1538" s="69"/>
      <c r="P1538" s="69"/>
      <c r="Q1538" s="69"/>
      <c r="R1538" s="69"/>
      <c r="S1538" s="69"/>
      <c r="T1538" s="69"/>
      <c r="U1538" s="69"/>
      <c r="V1538" s="69"/>
      <c r="W1538" s="69"/>
      <c r="X1538" s="69"/>
      <c r="Y1538" s="69"/>
      <c r="Z1538" s="69"/>
      <c r="AA1538" s="69"/>
      <c r="AB1538" s="69"/>
      <c r="AC1538" s="69"/>
      <c r="AD1538" s="69"/>
      <c r="AE1538" s="69"/>
      <c r="AF1538" s="69"/>
      <c r="AG1538" s="69"/>
      <c r="AH1538" s="69"/>
      <c r="AI1538" s="69"/>
      <c r="AJ1538" s="69"/>
      <c r="AK1538" s="69"/>
      <c r="AL1538" s="69"/>
      <c r="AM1538" s="69"/>
      <c r="AN1538" s="69"/>
      <c r="AO1538" s="69"/>
      <c r="AP1538" s="69"/>
      <c r="AQ1538" s="69"/>
      <c r="AR1538" s="69"/>
      <c r="AS1538" s="69"/>
      <c r="AT1538" s="69"/>
      <c r="AU1538" s="69"/>
      <c r="AV1538" s="69"/>
      <c r="AW1538" s="69"/>
      <c r="AX1538" s="69"/>
      <c r="AY1538" s="69"/>
      <c r="AZ1538" s="69"/>
      <c r="BA1538" s="69"/>
      <c r="BB1538" s="69"/>
      <c r="BC1538" s="69"/>
    </row>
    <row r="1539">
      <c r="A1539" s="68"/>
      <c r="B1539" s="68"/>
      <c r="C1539" s="68"/>
      <c r="D1539" s="68"/>
      <c r="E1539" s="68"/>
      <c r="F1539" s="68"/>
      <c r="G1539" s="68"/>
      <c r="H1539" s="68"/>
      <c r="I1539" s="69"/>
      <c r="J1539" s="69"/>
      <c r="K1539" s="71"/>
      <c r="L1539" s="69"/>
      <c r="M1539" s="69"/>
      <c r="N1539" s="72"/>
      <c r="O1539" s="69"/>
      <c r="P1539" s="69"/>
      <c r="Q1539" s="69"/>
      <c r="R1539" s="69"/>
      <c r="S1539" s="69"/>
      <c r="T1539" s="69"/>
      <c r="U1539" s="69"/>
      <c r="V1539" s="69"/>
      <c r="W1539" s="69"/>
      <c r="X1539" s="69"/>
      <c r="Y1539" s="69"/>
      <c r="Z1539" s="69"/>
      <c r="AA1539" s="69"/>
      <c r="AB1539" s="69"/>
      <c r="AC1539" s="69"/>
      <c r="AD1539" s="69"/>
      <c r="AE1539" s="69"/>
      <c r="AF1539" s="69"/>
      <c r="AG1539" s="69"/>
      <c r="AH1539" s="69"/>
      <c r="AI1539" s="69"/>
      <c r="AJ1539" s="69"/>
      <c r="AK1539" s="69"/>
      <c r="AL1539" s="69"/>
      <c r="AM1539" s="69"/>
      <c r="AN1539" s="69"/>
      <c r="AO1539" s="69"/>
      <c r="AP1539" s="69"/>
      <c r="AQ1539" s="69"/>
      <c r="AR1539" s="69"/>
      <c r="AS1539" s="69"/>
      <c r="AT1539" s="69"/>
      <c r="AU1539" s="69"/>
      <c r="AV1539" s="69"/>
      <c r="AW1539" s="69"/>
      <c r="AX1539" s="69"/>
      <c r="AY1539" s="69"/>
      <c r="AZ1539" s="69"/>
      <c r="BA1539" s="69"/>
      <c r="BB1539" s="69"/>
      <c r="BC1539" s="69"/>
    </row>
    <row r="1540">
      <c r="A1540" s="68"/>
      <c r="B1540" s="68"/>
      <c r="C1540" s="68"/>
      <c r="D1540" s="68"/>
      <c r="E1540" s="68"/>
      <c r="F1540" s="68"/>
      <c r="G1540" s="68"/>
      <c r="H1540" s="68"/>
      <c r="I1540" s="69"/>
      <c r="J1540" s="69"/>
      <c r="K1540" s="71"/>
      <c r="L1540" s="69"/>
      <c r="M1540" s="69"/>
      <c r="N1540" s="72"/>
      <c r="O1540" s="69"/>
      <c r="P1540" s="69"/>
      <c r="Q1540" s="69"/>
      <c r="R1540" s="69"/>
      <c r="S1540" s="69"/>
      <c r="T1540" s="69"/>
      <c r="U1540" s="69"/>
      <c r="V1540" s="69"/>
      <c r="W1540" s="69"/>
      <c r="X1540" s="69"/>
      <c r="Y1540" s="69"/>
      <c r="Z1540" s="69"/>
      <c r="AA1540" s="69"/>
      <c r="AB1540" s="69"/>
      <c r="AC1540" s="69"/>
      <c r="AD1540" s="69"/>
      <c r="AE1540" s="69"/>
      <c r="AF1540" s="69"/>
      <c r="AG1540" s="69"/>
      <c r="AH1540" s="69"/>
      <c r="AI1540" s="69"/>
      <c r="AJ1540" s="69"/>
      <c r="AK1540" s="69"/>
      <c r="AL1540" s="69"/>
      <c r="AM1540" s="69"/>
      <c r="AN1540" s="69"/>
      <c r="AO1540" s="69"/>
      <c r="AP1540" s="69"/>
      <c r="AQ1540" s="69"/>
      <c r="AR1540" s="69"/>
      <c r="AS1540" s="69"/>
      <c r="AT1540" s="69"/>
      <c r="AU1540" s="69"/>
      <c r="AV1540" s="69"/>
      <c r="AW1540" s="69"/>
      <c r="AX1540" s="69"/>
      <c r="AY1540" s="69"/>
      <c r="AZ1540" s="69"/>
      <c r="BA1540" s="69"/>
      <c r="BB1540" s="69"/>
      <c r="BC1540" s="69"/>
    </row>
    <row r="1541">
      <c r="A1541" s="68"/>
      <c r="B1541" s="68"/>
      <c r="C1541" s="68"/>
      <c r="D1541" s="68"/>
      <c r="E1541" s="68"/>
      <c r="F1541" s="68"/>
      <c r="G1541" s="68"/>
      <c r="H1541" s="68"/>
      <c r="I1541" s="69"/>
      <c r="J1541" s="69"/>
      <c r="K1541" s="71"/>
      <c r="L1541" s="69"/>
      <c r="M1541" s="69"/>
      <c r="N1541" s="72"/>
      <c r="O1541" s="69"/>
      <c r="P1541" s="69"/>
      <c r="Q1541" s="69"/>
      <c r="R1541" s="69"/>
      <c r="S1541" s="69"/>
      <c r="T1541" s="69"/>
      <c r="U1541" s="69"/>
      <c r="V1541" s="69"/>
      <c r="W1541" s="69"/>
      <c r="X1541" s="69"/>
      <c r="Y1541" s="69"/>
      <c r="Z1541" s="69"/>
      <c r="AA1541" s="69"/>
      <c r="AB1541" s="69"/>
      <c r="AC1541" s="69"/>
      <c r="AD1541" s="69"/>
      <c r="AE1541" s="69"/>
      <c r="AF1541" s="69"/>
      <c r="AG1541" s="69"/>
      <c r="AH1541" s="69"/>
      <c r="AI1541" s="69"/>
      <c r="AJ1541" s="69"/>
      <c r="AK1541" s="69"/>
      <c r="AL1541" s="69"/>
      <c r="AM1541" s="69"/>
      <c r="AN1541" s="69"/>
      <c r="AO1541" s="69"/>
      <c r="AP1541" s="69"/>
      <c r="AQ1541" s="69"/>
      <c r="AR1541" s="69"/>
      <c r="AS1541" s="69"/>
      <c r="AT1541" s="69"/>
      <c r="AU1541" s="69"/>
      <c r="AV1541" s="69"/>
      <c r="AW1541" s="69"/>
      <c r="AX1541" s="69"/>
      <c r="AY1541" s="69"/>
      <c r="AZ1541" s="69"/>
      <c r="BA1541" s="69"/>
      <c r="BB1541" s="69"/>
      <c r="BC1541" s="69"/>
    </row>
    <row r="1542">
      <c r="A1542" s="68"/>
      <c r="B1542" s="68"/>
      <c r="C1542" s="68"/>
      <c r="D1542" s="68"/>
      <c r="E1542" s="68"/>
      <c r="F1542" s="68"/>
      <c r="G1542" s="68"/>
      <c r="H1542" s="68"/>
      <c r="I1542" s="69"/>
      <c r="J1542" s="69"/>
      <c r="K1542" s="71"/>
      <c r="L1542" s="69"/>
      <c r="M1542" s="69"/>
      <c r="N1542" s="72"/>
      <c r="O1542" s="69"/>
      <c r="P1542" s="69"/>
      <c r="Q1542" s="69"/>
      <c r="R1542" s="69"/>
      <c r="S1542" s="69"/>
      <c r="T1542" s="69"/>
      <c r="U1542" s="69"/>
      <c r="V1542" s="69"/>
      <c r="W1542" s="69"/>
      <c r="X1542" s="69"/>
      <c r="Y1542" s="69"/>
      <c r="Z1542" s="69"/>
      <c r="AA1542" s="69"/>
      <c r="AB1542" s="69"/>
      <c r="AC1542" s="69"/>
      <c r="AD1542" s="69"/>
      <c r="AE1542" s="69"/>
      <c r="AF1542" s="69"/>
      <c r="AG1542" s="69"/>
      <c r="AH1542" s="69"/>
      <c r="AI1542" s="69"/>
      <c r="AJ1542" s="69"/>
      <c r="AK1542" s="69"/>
      <c r="AL1542" s="69"/>
      <c r="AM1542" s="69"/>
      <c r="AN1542" s="69"/>
      <c r="AO1542" s="69"/>
      <c r="AP1542" s="69"/>
      <c r="AQ1542" s="69"/>
      <c r="AR1542" s="69"/>
      <c r="AS1542" s="69"/>
      <c r="AT1542" s="69"/>
      <c r="AU1542" s="69"/>
      <c r="AV1542" s="69"/>
      <c r="AW1542" s="69"/>
      <c r="AX1542" s="69"/>
      <c r="AY1542" s="69"/>
      <c r="AZ1542" s="69"/>
      <c r="BA1542" s="69"/>
      <c r="BB1542" s="69"/>
      <c r="BC1542" s="69"/>
    </row>
    <row r="1543">
      <c r="A1543" s="68"/>
      <c r="B1543" s="68"/>
      <c r="C1543" s="68"/>
      <c r="D1543" s="68"/>
      <c r="E1543" s="68"/>
      <c r="F1543" s="68"/>
      <c r="G1543" s="68"/>
      <c r="H1543" s="68"/>
      <c r="I1543" s="69"/>
      <c r="J1543" s="69"/>
      <c r="K1543" s="71"/>
      <c r="L1543" s="69"/>
      <c r="M1543" s="69"/>
      <c r="N1543" s="72"/>
      <c r="O1543" s="69"/>
      <c r="P1543" s="69"/>
      <c r="Q1543" s="69"/>
      <c r="R1543" s="69"/>
      <c r="S1543" s="69"/>
      <c r="T1543" s="69"/>
      <c r="U1543" s="69"/>
      <c r="V1543" s="69"/>
      <c r="W1543" s="69"/>
      <c r="X1543" s="69"/>
      <c r="Y1543" s="69"/>
      <c r="Z1543" s="69"/>
      <c r="AA1543" s="69"/>
      <c r="AB1543" s="69"/>
      <c r="AC1543" s="69"/>
      <c r="AD1543" s="69"/>
      <c r="AE1543" s="69"/>
      <c r="AF1543" s="69"/>
      <c r="AG1543" s="69"/>
      <c r="AH1543" s="69"/>
      <c r="AI1543" s="69"/>
      <c r="AJ1543" s="69"/>
      <c r="AK1543" s="69"/>
      <c r="AL1543" s="69"/>
      <c r="AM1543" s="69"/>
      <c r="AN1543" s="69"/>
      <c r="AO1543" s="69"/>
      <c r="AP1543" s="69"/>
      <c r="AQ1543" s="69"/>
      <c r="AR1543" s="69"/>
      <c r="AS1543" s="69"/>
      <c r="AT1543" s="69"/>
      <c r="AU1543" s="69"/>
      <c r="AV1543" s="69"/>
      <c r="AW1543" s="69"/>
      <c r="AX1543" s="69"/>
      <c r="AY1543" s="69"/>
      <c r="AZ1543" s="69"/>
      <c r="BA1543" s="69"/>
      <c r="BB1543" s="69"/>
      <c r="BC1543" s="69"/>
    </row>
    <row r="1544">
      <c r="A1544" s="68"/>
      <c r="B1544" s="68"/>
      <c r="C1544" s="68"/>
      <c r="D1544" s="68"/>
      <c r="E1544" s="68"/>
      <c r="F1544" s="68"/>
      <c r="G1544" s="68"/>
      <c r="H1544" s="68"/>
      <c r="I1544" s="69"/>
      <c r="J1544" s="69"/>
      <c r="K1544" s="71"/>
      <c r="L1544" s="69"/>
      <c r="M1544" s="69"/>
      <c r="N1544" s="72"/>
      <c r="O1544" s="69"/>
      <c r="P1544" s="69"/>
      <c r="Q1544" s="69"/>
      <c r="R1544" s="69"/>
      <c r="S1544" s="69"/>
      <c r="T1544" s="69"/>
      <c r="U1544" s="69"/>
      <c r="V1544" s="69"/>
      <c r="W1544" s="69"/>
      <c r="X1544" s="69"/>
      <c r="Y1544" s="69"/>
      <c r="Z1544" s="69"/>
      <c r="AA1544" s="69"/>
      <c r="AB1544" s="69"/>
      <c r="AC1544" s="69"/>
      <c r="AD1544" s="69"/>
      <c r="AE1544" s="69"/>
      <c r="AF1544" s="69"/>
      <c r="AG1544" s="69"/>
      <c r="AH1544" s="69"/>
      <c r="AI1544" s="69"/>
      <c r="AJ1544" s="69"/>
      <c r="AK1544" s="69"/>
      <c r="AL1544" s="69"/>
      <c r="AM1544" s="69"/>
      <c r="AN1544" s="69"/>
      <c r="AO1544" s="69"/>
      <c r="AP1544" s="69"/>
      <c r="AQ1544" s="69"/>
      <c r="AR1544" s="69"/>
      <c r="AS1544" s="69"/>
      <c r="AT1544" s="69"/>
      <c r="AU1544" s="69"/>
      <c r="AV1544" s="69"/>
      <c r="AW1544" s="69"/>
      <c r="AX1544" s="69"/>
      <c r="AY1544" s="69"/>
      <c r="AZ1544" s="69"/>
      <c r="BA1544" s="69"/>
      <c r="BB1544" s="69"/>
      <c r="BC1544" s="69"/>
    </row>
    <row r="1545">
      <c r="A1545" s="68"/>
      <c r="B1545" s="68"/>
      <c r="C1545" s="68"/>
      <c r="D1545" s="68"/>
      <c r="E1545" s="68"/>
      <c r="F1545" s="68"/>
      <c r="G1545" s="68"/>
      <c r="H1545" s="68"/>
      <c r="I1545" s="69"/>
      <c r="J1545" s="69"/>
      <c r="K1545" s="71"/>
      <c r="L1545" s="69"/>
      <c r="M1545" s="69"/>
      <c r="N1545" s="72"/>
      <c r="O1545" s="69"/>
      <c r="P1545" s="69"/>
      <c r="Q1545" s="69"/>
      <c r="R1545" s="69"/>
      <c r="S1545" s="69"/>
      <c r="T1545" s="69"/>
      <c r="U1545" s="69"/>
      <c r="V1545" s="69"/>
      <c r="W1545" s="69"/>
      <c r="X1545" s="69"/>
      <c r="Y1545" s="69"/>
      <c r="Z1545" s="69"/>
      <c r="AA1545" s="69"/>
      <c r="AB1545" s="69"/>
      <c r="AC1545" s="69"/>
      <c r="AD1545" s="69"/>
      <c r="AE1545" s="69"/>
      <c r="AF1545" s="69"/>
      <c r="AG1545" s="69"/>
      <c r="AH1545" s="69"/>
      <c r="AI1545" s="69"/>
      <c r="AJ1545" s="69"/>
      <c r="AK1545" s="69"/>
      <c r="AL1545" s="69"/>
      <c r="AM1545" s="69"/>
      <c r="AN1545" s="69"/>
      <c r="AO1545" s="69"/>
      <c r="AP1545" s="69"/>
      <c r="AQ1545" s="69"/>
      <c r="AR1545" s="69"/>
      <c r="AS1545" s="69"/>
      <c r="AT1545" s="69"/>
      <c r="AU1545" s="69"/>
      <c r="AV1545" s="69"/>
      <c r="AW1545" s="69"/>
      <c r="AX1545" s="69"/>
      <c r="AY1545" s="69"/>
      <c r="AZ1545" s="69"/>
      <c r="BA1545" s="69"/>
      <c r="BB1545" s="69"/>
      <c r="BC1545" s="69"/>
    </row>
    <row r="1546">
      <c r="A1546" s="68"/>
      <c r="B1546" s="68"/>
      <c r="C1546" s="68"/>
      <c r="D1546" s="68"/>
      <c r="E1546" s="68"/>
      <c r="F1546" s="68"/>
      <c r="G1546" s="68"/>
      <c r="H1546" s="68"/>
      <c r="I1546" s="69"/>
      <c r="J1546" s="69"/>
      <c r="K1546" s="71"/>
      <c r="L1546" s="69"/>
      <c r="M1546" s="69"/>
      <c r="N1546" s="72"/>
      <c r="O1546" s="69"/>
      <c r="P1546" s="69"/>
      <c r="Q1546" s="69"/>
      <c r="R1546" s="69"/>
      <c r="S1546" s="69"/>
      <c r="T1546" s="69"/>
      <c r="U1546" s="69"/>
      <c r="V1546" s="69"/>
      <c r="W1546" s="69"/>
      <c r="X1546" s="69"/>
      <c r="Y1546" s="69"/>
      <c r="Z1546" s="69"/>
      <c r="AA1546" s="69"/>
      <c r="AB1546" s="69"/>
      <c r="AC1546" s="69"/>
      <c r="AD1546" s="69"/>
      <c r="AE1546" s="69"/>
      <c r="AF1546" s="69"/>
      <c r="AG1546" s="69"/>
      <c r="AH1546" s="69"/>
      <c r="AI1546" s="69"/>
      <c r="AJ1546" s="69"/>
      <c r="AK1546" s="69"/>
      <c r="AL1546" s="69"/>
      <c r="AM1546" s="69"/>
      <c r="AN1546" s="69"/>
      <c r="AO1546" s="69"/>
      <c r="AP1546" s="69"/>
      <c r="AQ1546" s="69"/>
      <c r="AR1546" s="69"/>
      <c r="AS1546" s="69"/>
      <c r="AT1546" s="69"/>
      <c r="AU1546" s="69"/>
      <c r="AV1546" s="69"/>
      <c r="AW1546" s="69"/>
      <c r="AX1546" s="69"/>
      <c r="AY1546" s="69"/>
      <c r="AZ1546" s="69"/>
      <c r="BA1546" s="69"/>
      <c r="BB1546" s="69"/>
      <c r="BC1546" s="69"/>
    </row>
    <row r="1547">
      <c r="A1547" s="68"/>
      <c r="B1547" s="68"/>
      <c r="C1547" s="68"/>
      <c r="D1547" s="68"/>
      <c r="E1547" s="68"/>
      <c r="F1547" s="68"/>
      <c r="G1547" s="68"/>
      <c r="H1547" s="68"/>
      <c r="I1547" s="69"/>
      <c r="J1547" s="69"/>
      <c r="K1547" s="71"/>
      <c r="L1547" s="69"/>
      <c r="M1547" s="69"/>
      <c r="N1547" s="72"/>
      <c r="O1547" s="69"/>
      <c r="P1547" s="69"/>
      <c r="Q1547" s="69"/>
      <c r="R1547" s="69"/>
      <c r="S1547" s="69"/>
      <c r="T1547" s="69"/>
      <c r="U1547" s="69"/>
      <c r="V1547" s="69"/>
      <c r="W1547" s="69"/>
      <c r="X1547" s="69"/>
      <c r="Y1547" s="69"/>
      <c r="Z1547" s="69"/>
      <c r="AA1547" s="69"/>
      <c r="AB1547" s="69"/>
      <c r="AC1547" s="69"/>
      <c r="AD1547" s="69"/>
      <c r="AE1547" s="69"/>
      <c r="AF1547" s="69"/>
      <c r="AG1547" s="69"/>
      <c r="AH1547" s="69"/>
      <c r="AI1547" s="69"/>
      <c r="AJ1547" s="69"/>
      <c r="AK1547" s="69"/>
      <c r="AL1547" s="69"/>
      <c r="AM1547" s="69"/>
      <c r="AN1547" s="69"/>
      <c r="AO1547" s="69"/>
      <c r="AP1547" s="69"/>
      <c r="AQ1547" s="69"/>
      <c r="AR1547" s="69"/>
      <c r="AS1547" s="69"/>
      <c r="AT1547" s="69"/>
      <c r="AU1547" s="69"/>
      <c r="AV1547" s="69"/>
      <c r="AW1547" s="69"/>
      <c r="AX1547" s="69"/>
      <c r="AY1547" s="69"/>
      <c r="AZ1547" s="69"/>
      <c r="BA1547" s="69"/>
      <c r="BB1547" s="69"/>
      <c r="BC1547" s="69"/>
    </row>
    <row r="1548">
      <c r="A1548" s="68"/>
      <c r="B1548" s="68"/>
      <c r="C1548" s="68"/>
      <c r="D1548" s="68"/>
      <c r="E1548" s="68"/>
      <c r="F1548" s="68"/>
      <c r="G1548" s="68"/>
      <c r="H1548" s="68"/>
      <c r="I1548" s="69"/>
      <c r="J1548" s="69"/>
      <c r="K1548" s="71"/>
      <c r="L1548" s="69"/>
      <c r="M1548" s="69"/>
      <c r="N1548" s="72"/>
      <c r="O1548" s="69"/>
      <c r="P1548" s="69"/>
      <c r="Q1548" s="69"/>
      <c r="R1548" s="69"/>
      <c r="S1548" s="69"/>
      <c r="T1548" s="69"/>
      <c r="U1548" s="69"/>
      <c r="V1548" s="69"/>
      <c r="W1548" s="69"/>
      <c r="X1548" s="69"/>
      <c r="Y1548" s="69"/>
      <c r="Z1548" s="69"/>
      <c r="AA1548" s="69"/>
      <c r="AB1548" s="69"/>
      <c r="AC1548" s="69"/>
      <c r="AD1548" s="69"/>
      <c r="AE1548" s="69"/>
      <c r="AF1548" s="69"/>
      <c r="AG1548" s="69"/>
      <c r="AH1548" s="69"/>
      <c r="AI1548" s="69"/>
      <c r="AJ1548" s="69"/>
      <c r="AK1548" s="69"/>
      <c r="AL1548" s="69"/>
      <c r="AM1548" s="69"/>
      <c r="AN1548" s="69"/>
      <c r="AO1548" s="69"/>
      <c r="AP1548" s="69"/>
      <c r="AQ1548" s="69"/>
      <c r="AR1548" s="69"/>
      <c r="AS1548" s="69"/>
      <c r="AT1548" s="69"/>
      <c r="AU1548" s="69"/>
      <c r="AV1548" s="69"/>
      <c r="AW1548" s="69"/>
      <c r="AX1548" s="69"/>
      <c r="AY1548" s="69"/>
      <c r="AZ1548" s="69"/>
      <c r="BA1548" s="69"/>
      <c r="BB1548" s="69"/>
      <c r="BC1548" s="69"/>
    </row>
    <row r="1549">
      <c r="A1549" s="68"/>
      <c r="B1549" s="68"/>
      <c r="C1549" s="68"/>
      <c r="D1549" s="68"/>
      <c r="E1549" s="68"/>
      <c r="F1549" s="68"/>
      <c r="G1549" s="68"/>
      <c r="H1549" s="68"/>
      <c r="I1549" s="69"/>
      <c r="J1549" s="69"/>
      <c r="K1549" s="71"/>
      <c r="L1549" s="69"/>
      <c r="M1549" s="69"/>
      <c r="N1549" s="72"/>
      <c r="O1549" s="69"/>
      <c r="P1549" s="69"/>
      <c r="Q1549" s="69"/>
      <c r="R1549" s="69"/>
      <c r="S1549" s="69"/>
      <c r="T1549" s="69"/>
      <c r="U1549" s="69"/>
      <c r="V1549" s="69"/>
      <c r="W1549" s="69"/>
      <c r="X1549" s="69"/>
      <c r="Y1549" s="69"/>
      <c r="Z1549" s="69"/>
      <c r="AA1549" s="69"/>
      <c r="AB1549" s="69"/>
      <c r="AC1549" s="69"/>
      <c r="AD1549" s="69"/>
      <c r="AE1549" s="69"/>
      <c r="AF1549" s="69"/>
      <c r="AG1549" s="69"/>
      <c r="AH1549" s="69"/>
      <c r="AI1549" s="69"/>
      <c r="AJ1549" s="69"/>
      <c r="AK1549" s="69"/>
      <c r="AL1549" s="69"/>
      <c r="AM1549" s="69"/>
      <c r="AN1549" s="69"/>
      <c r="AO1549" s="69"/>
      <c r="AP1549" s="69"/>
      <c r="AQ1549" s="69"/>
      <c r="AR1549" s="69"/>
      <c r="AS1549" s="69"/>
      <c r="AT1549" s="69"/>
      <c r="AU1549" s="69"/>
      <c r="AV1549" s="69"/>
      <c r="AW1549" s="69"/>
      <c r="AX1549" s="69"/>
      <c r="AY1549" s="69"/>
      <c r="AZ1549" s="69"/>
      <c r="BA1549" s="69"/>
      <c r="BB1549" s="69"/>
      <c r="BC1549" s="69"/>
    </row>
    <row r="1550">
      <c r="A1550" s="68"/>
      <c r="B1550" s="68"/>
      <c r="C1550" s="68"/>
      <c r="D1550" s="68"/>
      <c r="E1550" s="68"/>
      <c r="F1550" s="68"/>
      <c r="G1550" s="68"/>
      <c r="H1550" s="68"/>
      <c r="I1550" s="69"/>
      <c r="J1550" s="69"/>
      <c r="K1550" s="71"/>
      <c r="L1550" s="69"/>
      <c r="M1550" s="69"/>
      <c r="N1550" s="72"/>
      <c r="O1550" s="69"/>
      <c r="P1550" s="69"/>
      <c r="Q1550" s="69"/>
      <c r="R1550" s="69"/>
      <c r="S1550" s="69"/>
      <c r="T1550" s="69"/>
      <c r="U1550" s="69"/>
      <c r="V1550" s="69"/>
      <c r="W1550" s="69"/>
      <c r="X1550" s="69"/>
      <c r="Y1550" s="69"/>
      <c r="Z1550" s="69"/>
      <c r="AA1550" s="69"/>
      <c r="AB1550" s="69"/>
      <c r="AC1550" s="69"/>
      <c r="AD1550" s="69"/>
      <c r="AE1550" s="69"/>
      <c r="AF1550" s="69"/>
      <c r="AG1550" s="69"/>
      <c r="AH1550" s="69"/>
      <c r="AI1550" s="69"/>
      <c r="AJ1550" s="69"/>
      <c r="AK1550" s="69"/>
      <c r="AL1550" s="69"/>
      <c r="AM1550" s="69"/>
      <c r="AN1550" s="69"/>
      <c r="AO1550" s="69"/>
      <c r="AP1550" s="69"/>
      <c r="AQ1550" s="69"/>
      <c r="AR1550" s="69"/>
      <c r="AS1550" s="69"/>
      <c r="AT1550" s="69"/>
      <c r="AU1550" s="69"/>
      <c r="AV1550" s="69"/>
      <c r="AW1550" s="69"/>
      <c r="AX1550" s="69"/>
      <c r="AY1550" s="69"/>
      <c r="AZ1550" s="69"/>
      <c r="BA1550" s="69"/>
      <c r="BB1550" s="69"/>
      <c r="BC1550" s="69"/>
    </row>
    <row r="1551">
      <c r="A1551" s="68"/>
      <c r="B1551" s="68"/>
      <c r="C1551" s="68"/>
      <c r="D1551" s="68"/>
      <c r="E1551" s="68"/>
      <c r="F1551" s="68"/>
      <c r="G1551" s="68"/>
      <c r="H1551" s="68"/>
      <c r="I1551" s="69"/>
      <c r="J1551" s="69"/>
      <c r="K1551" s="71"/>
      <c r="L1551" s="69"/>
      <c r="M1551" s="69"/>
      <c r="N1551" s="72"/>
      <c r="O1551" s="69"/>
      <c r="P1551" s="69"/>
      <c r="Q1551" s="69"/>
      <c r="R1551" s="69"/>
      <c r="S1551" s="69"/>
      <c r="T1551" s="69"/>
      <c r="U1551" s="69"/>
      <c r="V1551" s="69"/>
      <c r="W1551" s="69"/>
      <c r="X1551" s="69"/>
      <c r="Y1551" s="69"/>
      <c r="Z1551" s="69"/>
      <c r="AA1551" s="69"/>
      <c r="AB1551" s="69"/>
      <c r="AC1551" s="69"/>
      <c r="AD1551" s="69"/>
      <c r="AE1551" s="69"/>
      <c r="AF1551" s="69"/>
      <c r="AG1551" s="69"/>
      <c r="AH1551" s="69"/>
      <c r="AI1551" s="69"/>
      <c r="AJ1551" s="69"/>
      <c r="AK1551" s="69"/>
      <c r="AL1551" s="69"/>
      <c r="AM1551" s="69"/>
      <c r="AN1551" s="69"/>
      <c r="AO1551" s="69"/>
      <c r="AP1551" s="69"/>
      <c r="AQ1551" s="69"/>
      <c r="AR1551" s="69"/>
      <c r="AS1551" s="69"/>
      <c r="AT1551" s="69"/>
      <c r="AU1551" s="69"/>
      <c r="AV1551" s="69"/>
      <c r="AW1551" s="69"/>
      <c r="AX1551" s="69"/>
      <c r="AY1551" s="69"/>
      <c r="AZ1551" s="69"/>
      <c r="BA1551" s="69"/>
      <c r="BB1551" s="69"/>
      <c r="BC1551" s="69"/>
    </row>
    <row r="1552">
      <c r="A1552" s="68"/>
      <c r="B1552" s="68"/>
      <c r="C1552" s="68"/>
      <c r="D1552" s="68"/>
      <c r="E1552" s="68"/>
      <c r="F1552" s="68"/>
      <c r="G1552" s="68"/>
      <c r="H1552" s="68"/>
      <c r="I1552" s="69"/>
      <c r="J1552" s="69"/>
      <c r="K1552" s="71"/>
      <c r="L1552" s="69"/>
      <c r="M1552" s="69"/>
      <c r="N1552" s="72"/>
      <c r="O1552" s="69"/>
      <c r="P1552" s="69"/>
      <c r="Q1552" s="69"/>
      <c r="R1552" s="69"/>
      <c r="S1552" s="69"/>
      <c r="T1552" s="69"/>
      <c r="U1552" s="69"/>
      <c r="V1552" s="69"/>
      <c r="W1552" s="69"/>
      <c r="X1552" s="69"/>
      <c r="Y1552" s="69"/>
      <c r="Z1552" s="69"/>
      <c r="AA1552" s="69"/>
      <c r="AB1552" s="69"/>
      <c r="AC1552" s="69"/>
      <c r="AD1552" s="69"/>
      <c r="AE1552" s="69"/>
      <c r="AF1552" s="69"/>
      <c r="AG1552" s="69"/>
      <c r="AH1552" s="69"/>
      <c r="AI1552" s="69"/>
      <c r="AJ1552" s="69"/>
      <c r="AK1552" s="69"/>
      <c r="AL1552" s="69"/>
      <c r="AM1552" s="69"/>
      <c r="AN1552" s="69"/>
      <c r="AO1552" s="69"/>
      <c r="AP1552" s="69"/>
      <c r="AQ1552" s="69"/>
      <c r="AR1552" s="69"/>
      <c r="AS1552" s="69"/>
      <c r="AT1552" s="69"/>
      <c r="AU1552" s="69"/>
      <c r="AV1552" s="69"/>
      <c r="AW1552" s="69"/>
      <c r="AX1552" s="69"/>
      <c r="AY1552" s="69"/>
      <c r="AZ1552" s="69"/>
      <c r="BA1552" s="69"/>
      <c r="BB1552" s="69"/>
      <c r="BC1552" s="69"/>
    </row>
    <row r="1553">
      <c r="A1553" s="68"/>
      <c r="B1553" s="68"/>
      <c r="C1553" s="68"/>
      <c r="D1553" s="68"/>
      <c r="E1553" s="68"/>
      <c r="F1553" s="68"/>
      <c r="G1553" s="68"/>
      <c r="H1553" s="68"/>
      <c r="I1553" s="69"/>
      <c r="J1553" s="69"/>
      <c r="K1553" s="71"/>
      <c r="L1553" s="69"/>
      <c r="M1553" s="69"/>
      <c r="N1553" s="72"/>
      <c r="O1553" s="69"/>
      <c r="P1553" s="69"/>
      <c r="Q1553" s="69"/>
      <c r="R1553" s="69"/>
      <c r="S1553" s="69"/>
      <c r="T1553" s="69"/>
      <c r="U1553" s="69"/>
      <c r="V1553" s="69"/>
      <c r="W1553" s="69"/>
      <c r="X1553" s="69"/>
      <c r="Y1553" s="69"/>
      <c r="Z1553" s="69"/>
      <c r="AA1553" s="69"/>
      <c r="AB1553" s="69"/>
      <c r="AC1553" s="69"/>
      <c r="AD1553" s="69"/>
      <c r="AE1553" s="69"/>
      <c r="AF1553" s="69"/>
      <c r="AG1553" s="69"/>
      <c r="AH1553" s="69"/>
      <c r="AI1553" s="69"/>
      <c r="AJ1553" s="69"/>
      <c r="AK1553" s="69"/>
      <c r="AL1553" s="69"/>
      <c r="AM1553" s="69"/>
      <c r="AN1553" s="69"/>
      <c r="AO1553" s="69"/>
      <c r="AP1553" s="69"/>
      <c r="AQ1553" s="69"/>
      <c r="AR1553" s="69"/>
      <c r="AS1553" s="69"/>
      <c r="AT1553" s="69"/>
      <c r="AU1553" s="69"/>
      <c r="AV1553" s="69"/>
      <c r="AW1553" s="69"/>
      <c r="AX1553" s="69"/>
      <c r="AY1553" s="69"/>
      <c r="AZ1553" s="69"/>
      <c r="BA1553" s="69"/>
      <c r="BB1553" s="69"/>
      <c r="BC1553" s="69"/>
    </row>
    <row r="1554">
      <c r="A1554" s="68"/>
      <c r="B1554" s="68"/>
      <c r="C1554" s="68"/>
      <c r="D1554" s="68"/>
      <c r="E1554" s="68"/>
      <c r="F1554" s="68"/>
      <c r="G1554" s="68"/>
      <c r="H1554" s="68"/>
      <c r="I1554" s="69"/>
      <c r="J1554" s="69"/>
      <c r="K1554" s="71"/>
      <c r="L1554" s="69"/>
      <c r="M1554" s="69"/>
      <c r="N1554" s="72"/>
      <c r="O1554" s="69"/>
      <c r="P1554" s="69"/>
      <c r="Q1554" s="69"/>
      <c r="R1554" s="69"/>
      <c r="S1554" s="69"/>
      <c r="T1554" s="69"/>
      <c r="U1554" s="69"/>
      <c r="V1554" s="69"/>
      <c r="W1554" s="69"/>
      <c r="X1554" s="69"/>
      <c r="Y1554" s="69"/>
      <c r="Z1554" s="69"/>
      <c r="AA1554" s="69"/>
      <c r="AB1554" s="69"/>
      <c r="AC1554" s="69"/>
      <c r="AD1554" s="69"/>
      <c r="AE1554" s="69"/>
      <c r="AF1554" s="69"/>
      <c r="AG1554" s="69"/>
      <c r="AH1554" s="69"/>
      <c r="AI1554" s="69"/>
      <c r="AJ1554" s="69"/>
      <c r="AK1554" s="69"/>
      <c r="AL1554" s="69"/>
      <c r="AM1554" s="69"/>
      <c r="AN1554" s="69"/>
      <c r="AO1554" s="69"/>
      <c r="AP1554" s="69"/>
      <c r="AQ1554" s="69"/>
      <c r="AR1554" s="69"/>
      <c r="AS1554" s="69"/>
      <c r="AT1554" s="69"/>
      <c r="AU1554" s="69"/>
      <c r="AV1554" s="69"/>
      <c r="AW1554" s="69"/>
      <c r="AX1554" s="69"/>
      <c r="AY1554" s="69"/>
      <c r="AZ1554" s="69"/>
      <c r="BA1554" s="69"/>
      <c r="BB1554" s="69"/>
      <c r="BC1554" s="69"/>
    </row>
    <row r="1555">
      <c r="A1555" s="68"/>
      <c r="B1555" s="68"/>
      <c r="C1555" s="68"/>
      <c r="D1555" s="68"/>
      <c r="E1555" s="68"/>
      <c r="F1555" s="68"/>
      <c r="G1555" s="68"/>
      <c r="H1555" s="68"/>
      <c r="I1555" s="69"/>
      <c r="J1555" s="69"/>
      <c r="K1555" s="71"/>
      <c r="L1555" s="69"/>
      <c r="M1555" s="69"/>
      <c r="N1555" s="72"/>
      <c r="O1555" s="69"/>
      <c r="P1555" s="69"/>
      <c r="Q1555" s="69"/>
      <c r="R1555" s="69"/>
      <c r="S1555" s="69"/>
      <c r="T1555" s="69"/>
      <c r="U1555" s="69"/>
      <c r="V1555" s="69"/>
      <c r="W1555" s="69"/>
      <c r="X1555" s="69"/>
      <c r="Y1555" s="69"/>
      <c r="Z1555" s="69"/>
      <c r="AA1555" s="69"/>
      <c r="AB1555" s="69"/>
      <c r="AC1555" s="69"/>
      <c r="AD1555" s="69"/>
      <c r="AE1555" s="69"/>
      <c r="AF1555" s="69"/>
      <c r="AG1555" s="69"/>
      <c r="AH1555" s="69"/>
      <c r="AI1555" s="69"/>
      <c r="AJ1555" s="69"/>
      <c r="AK1555" s="69"/>
      <c r="AL1555" s="69"/>
      <c r="AM1555" s="69"/>
      <c r="AN1555" s="69"/>
      <c r="AO1555" s="69"/>
      <c r="AP1555" s="69"/>
      <c r="AQ1555" s="69"/>
      <c r="AR1555" s="69"/>
      <c r="AS1555" s="69"/>
      <c r="AT1555" s="69"/>
      <c r="AU1555" s="69"/>
      <c r="AV1555" s="69"/>
      <c r="AW1555" s="69"/>
      <c r="AX1555" s="69"/>
      <c r="AY1555" s="69"/>
      <c r="AZ1555" s="69"/>
      <c r="BA1555" s="69"/>
      <c r="BB1555" s="69"/>
      <c r="BC1555" s="69"/>
    </row>
    <row r="1556">
      <c r="A1556" s="68"/>
      <c r="B1556" s="68"/>
      <c r="C1556" s="68"/>
      <c r="D1556" s="68"/>
      <c r="E1556" s="68"/>
      <c r="F1556" s="68"/>
      <c r="G1556" s="68"/>
      <c r="H1556" s="68"/>
      <c r="I1556" s="69"/>
      <c r="J1556" s="69"/>
      <c r="K1556" s="71"/>
      <c r="L1556" s="69"/>
      <c r="M1556" s="69"/>
      <c r="N1556" s="72"/>
      <c r="O1556" s="69"/>
      <c r="P1556" s="69"/>
      <c r="Q1556" s="69"/>
      <c r="R1556" s="69"/>
      <c r="S1556" s="69"/>
      <c r="T1556" s="69"/>
      <c r="U1556" s="69"/>
      <c r="V1556" s="69"/>
      <c r="W1556" s="69"/>
      <c r="X1556" s="69"/>
      <c r="Y1556" s="69"/>
      <c r="Z1556" s="69"/>
      <c r="AA1556" s="69"/>
      <c r="AB1556" s="69"/>
      <c r="AC1556" s="69"/>
      <c r="AD1556" s="69"/>
      <c r="AE1556" s="69"/>
      <c r="AF1556" s="69"/>
      <c r="AG1556" s="69"/>
      <c r="AH1556" s="69"/>
      <c r="AI1556" s="69"/>
      <c r="AJ1556" s="69"/>
      <c r="AK1556" s="69"/>
      <c r="AL1556" s="69"/>
      <c r="AM1556" s="69"/>
      <c r="AN1556" s="69"/>
      <c r="AO1556" s="69"/>
      <c r="AP1556" s="69"/>
      <c r="AQ1556" s="69"/>
      <c r="AR1556" s="69"/>
      <c r="AS1556" s="69"/>
      <c r="AT1556" s="69"/>
      <c r="AU1556" s="69"/>
      <c r="AV1556" s="69"/>
      <c r="AW1556" s="69"/>
      <c r="AX1556" s="69"/>
      <c r="AY1556" s="69"/>
      <c r="AZ1556" s="69"/>
      <c r="BA1556" s="69"/>
      <c r="BB1556" s="69"/>
      <c r="BC1556" s="69"/>
    </row>
    <row r="1557">
      <c r="A1557" s="68"/>
      <c r="B1557" s="68"/>
      <c r="C1557" s="68"/>
      <c r="D1557" s="68"/>
      <c r="E1557" s="68"/>
      <c r="F1557" s="68"/>
      <c r="G1557" s="68"/>
      <c r="H1557" s="68"/>
      <c r="I1557" s="69"/>
      <c r="J1557" s="69"/>
      <c r="K1557" s="71"/>
      <c r="L1557" s="69"/>
      <c r="M1557" s="69"/>
      <c r="N1557" s="72"/>
      <c r="O1557" s="69"/>
      <c r="P1557" s="69"/>
      <c r="Q1557" s="69"/>
      <c r="R1557" s="69"/>
      <c r="S1557" s="69"/>
      <c r="T1557" s="69"/>
      <c r="U1557" s="69"/>
      <c r="V1557" s="69"/>
      <c r="W1557" s="69"/>
      <c r="X1557" s="69"/>
      <c r="Y1557" s="69"/>
      <c r="Z1557" s="69"/>
      <c r="AA1557" s="69"/>
      <c r="AB1557" s="69"/>
      <c r="AC1557" s="69"/>
      <c r="AD1557" s="69"/>
      <c r="AE1557" s="69"/>
      <c r="AF1557" s="69"/>
      <c r="AG1557" s="69"/>
      <c r="AH1557" s="69"/>
      <c r="AI1557" s="69"/>
      <c r="AJ1557" s="69"/>
      <c r="AK1557" s="69"/>
      <c r="AL1557" s="69"/>
      <c r="AM1557" s="69"/>
      <c r="AN1557" s="69"/>
      <c r="AO1557" s="69"/>
      <c r="AP1557" s="69"/>
      <c r="AQ1557" s="69"/>
      <c r="AR1557" s="69"/>
      <c r="AS1557" s="69"/>
      <c r="AT1557" s="69"/>
      <c r="AU1557" s="69"/>
      <c r="AV1557" s="69"/>
      <c r="AW1557" s="69"/>
      <c r="AX1557" s="69"/>
      <c r="AY1557" s="69"/>
      <c r="AZ1557" s="69"/>
      <c r="BA1557" s="69"/>
      <c r="BB1557" s="69"/>
      <c r="BC1557" s="69"/>
    </row>
    <row r="1558">
      <c r="A1558" s="68"/>
      <c r="B1558" s="68"/>
      <c r="C1558" s="68"/>
      <c r="D1558" s="68"/>
      <c r="E1558" s="68"/>
      <c r="F1558" s="68"/>
      <c r="G1558" s="68"/>
      <c r="H1558" s="68"/>
      <c r="I1558" s="69"/>
      <c r="J1558" s="69"/>
      <c r="K1558" s="71"/>
      <c r="L1558" s="69"/>
      <c r="M1558" s="69"/>
      <c r="N1558" s="72"/>
      <c r="O1558" s="69"/>
      <c r="P1558" s="69"/>
      <c r="Q1558" s="69"/>
      <c r="R1558" s="69"/>
      <c r="S1558" s="69"/>
      <c r="T1558" s="69"/>
      <c r="U1558" s="69"/>
      <c r="V1558" s="69"/>
      <c r="W1558" s="69"/>
      <c r="X1558" s="69"/>
      <c r="Y1558" s="69"/>
      <c r="Z1558" s="69"/>
      <c r="AA1558" s="69"/>
      <c r="AB1558" s="69"/>
      <c r="AC1558" s="69"/>
      <c r="AD1558" s="69"/>
      <c r="AE1558" s="69"/>
      <c r="AF1558" s="69"/>
      <c r="AG1558" s="69"/>
      <c r="AH1558" s="69"/>
      <c r="AI1558" s="69"/>
      <c r="AJ1558" s="69"/>
      <c r="AK1558" s="69"/>
      <c r="AL1558" s="69"/>
      <c r="AM1558" s="69"/>
      <c r="AN1558" s="69"/>
      <c r="AO1558" s="69"/>
      <c r="AP1558" s="69"/>
      <c r="AQ1558" s="69"/>
      <c r="AR1558" s="69"/>
      <c r="AS1558" s="69"/>
      <c r="AT1558" s="69"/>
      <c r="AU1558" s="69"/>
      <c r="AV1558" s="69"/>
      <c r="AW1558" s="69"/>
      <c r="AX1558" s="69"/>
      <c r="AY1558" s="69"/>
      <c r="AZ1558" s="69"/>
      <c r="BA1558" s="69"/>
      <c r="BB1558" s="69"/>
      <c r="BC1558" s="69"/>
    </row>
    <row r="1559">
      <c r="A1559" s="68"/>
      <c r="B1559" s="68"/>
      <c r="C1559" s="68"/>
      <c r="D1559" s="68"/>
      <c r="E1559" s="68"/>
      <c r="F1559" s="68"/>
      <c r="G1559" s="68"/>
      <c r="H1559" s="68"/>
      <c r="I1559" s="69"/>
      <c r="J1559" s="69"/>
      <c r="K1559" s="71"/>
      <c r="L1559" s="69"/>
      <c r="M1559" s="69"/>
      <c r="N1559" s="72"/>
      <c r="O1559" s="69"/>
      <c r="P1559" s="69"/>
      <c r="Q1559" s="69"/>
      <c r="R1559" s="69"/>
      <c r="S1559" s="69"/>
      <c r="T1559" s="69"/>
      <c r="U1559" s="69"/>
      <c r="V1559" s="69"/>
      <c r="W1559" s="69"/>
      <c r="X1559" s="69"/>
      <c r="Y1559" s="69"/>
      <c r="Z1559" s="69"/>
      <c r="AA1559" s="69"/>
      <c r="AB1559" s="69"/>
      <c r="AC1559" s="69"/>
      <c r="AD1559" s="69"/>
      <c r="AE1559" s="69"/>
      <c r="AF1559" s="69"/>
      <c r="AG1559" s="69"/>
      <c r="AH1559" s="69"/>
      <c r="AI1559" s="69"/>
      <c r="AJ1559" s="69"/>
      <c r="AK1559" s="69"/>
      <c r="AL1559" s="69"/>
      <c r="AM1559" s="69"/>
      <c r="AN1559" s="69"/>
      <c r="AO1559" s="69"/>
      <c r="AP1559" s="69"/>
      <c r="AQ1559" s="69"/>
      <c r="AR1559" s="69"/>
      <c r="AS1559" s="69"/>
      <c r="AT1559" s="69"/>
      <c r="AU1559" s="69"/>
      <c r="AV1559" s="69"/>
      <c r="AW1559" s="69"/>
      <c r="AX1559" s="69"/>
      <c r="AY1559" s="69"/>
      <c r="AZ1559" s="69"/>
      <c r="BA1559" s="69"/>
      <c r="BB1559" s="69"/>
      <c r="BC1559" s="69"/>
    </row>
    <row r="1560">
      <c r="A1560" s="68"/>
      <c r="B1560" s="68"/>
      <c r="C1560" s="68"/>
      <c r="D1560" s="68"/>
      <c r="E1560" s="68"/>
      <c r="F1560" s="68"/>
      <c r="G1560" s="68"/>
      <c r="H1560" s="68"/>
      <c r="I1560" s="69"/>
      <c r="J1560" s="69"/>
      <c r="K1560" s="71"/>
      <c r="L1560" s="69"/>
      <c r="M1560" s="69"/>
      <c r="N1560" s="72"/>
      <c r="O1560" s="69"/>
      <c r="P1560" s="69"/>
      <c r="Q1560" s="69"/>
      <c r="R1560" s="69"/>
      <c r="S1560" s="69"/>
      <c r="T1560" s="69"/>
      <c r="U1560" s="69"/>
      <c r="V1560" s="69"/>
      <c r="W1560" s="69"/>
      <c r="X1560" s="69"/>
      <c r="Y1560" s="69"/>
      <c r="Z1560" s="69"/>
      <c r="AA1560" s="69"/>
      <c r="AB1560" s="69"/>
      <c r="AC1560" s="69"/>
      <c r="AD1560" s="69"/>
      <c r="AE1560" s="69"/>
      <c r="AF1560" s="69"/>
      <c r="AG1560" s="69"/>
      <c r="AH1560" s="69"/>
      <c r="AI1560" s="69"/>
      <c r="AJ1560" s="69"/>
      <c r="AK1560" s="69"/>
      <c r="AL1560" s="69"/>
      <c r="AM1560" s="69"/>
      <c r="AN1560" s="69"/>
      <c r="AO1560" s="69"/>
      <c r="AP1560" s="69"/>
      <c r="AQ1560" s="69"/>
      <c r="AR1560" s="69"/>
      <c r="AS1560" s="69"/>
      <c r="AT1560" s="69"/>
      <c r="AU1560" s="69"/>
      <c r="AV1560" s="69"/>
      <c r="AW1560" s="69"/>
      <c r="AX1560" s="69"/>
      <c r="AY1560" s="69"/>
      <c r="AZ1560" s="69"/>
      <c r="BA1560" s="69"/>
      <c r="BB1560" s="69"/>
      <c r="BC1560" s="69"/>
    </row>
    <row r="1561">
      <c r="A1561" s="68"/>
      <c r="B1561" s="68"/>
      <c r="C1561" s="68"/>
      <c r="D1561" s="68"/>
      <c r="E1561" s="68"/>
      <c r="F1561" s="68"/>
      <c r="G1561" s="68"/>
      <c r="H1561" s="68"/>
      <c r="I1561" s="69"/>
      <c r="J1561" s="69"/>
      <c r="K1561" s="71"/>
      <c r="L1561" s="69"/>
      <c r="M1561" s="69"/>
      <c r="N1561" s="72"/>
      <c r="O1561" s="69"/>
      <c r="P1561" s="69"/>
      <c r="Q1561" s="69"/>
      <c r="R1561" s="69"/>
      <c r="S1561" s="69"/>
      <c r="T1561" s="69"/>
      <c r="U1561" s="69"/>
      <c r="V1561" s="69"/>
      <c r="W1561" s="69"/>
      <c r="X1561" s="69"/>
      <c r="Y1561" s="69"/>
      <c r="Z1561" s="69"/>
      <c r="AA1561" s="69"/>
      <c r="AB1561" s="69"/>
      <c r="AC1561" s="69"/>
      <c r="AD1561" s="69"/>
      <c r="AE1561" s="69"/>
      <c r="AF1561" s="69"/>
      <c r="AG1561" s="69"/>
      <c r="AH1561" s="69"/>
      <c r="AI1561" s="69"/>
      <c r="AJ1561" s="69"/>
      <c r="AK1561" s="69"/>
      <c r="AL1561" s="69"/>
      <c r="AM1561" s="69"/>
      <c r="AN1561" s="69"/>
      <c r="AO1561" s="69"/>
      <c r="AP1561" s="69"/>
      <c r="AQ1561" s="69"/>
      <c r="AR1561" s="69"/>
      <c r="AS1561" s="69"/>
      <c r="AT1561" s="69"/>
      <c r="AU1561" s="69"/>
      <c r="AV1561" s="69"/>
      <c r="AW1561" s="69"/>
      <c r="AX1561" s="69"/>
      <c r="AY1561" s="69"/>
      <c r="AZ1561" s="69"/>
      <c r="BA1561" s="69"/>
      <c r="BB1561" s="69"/>
      <c r="BC1561" s="69"/>
    </row>
    <row r="1562">
      <c r="A1562" s="68"/>
      <c r="B1562" s="68"/>
      <c r="C1562" s="68"/>
      <c r="D1562" s="68"/>
      <c r="E1562" s="68"/>
      <c r="F1562" s="68"/>
      <c r="G1562" s="68"/>
      <c r="H1562" s="68"/>
      <c r="I1562" s="69"/>
      <c r="J1562" s="69"/>
      <c r="K1562" s="71"/>
      <c r="L1562" s="69"/>
      <c r="M1562" s="69"/>
      <c r="N1562" s="72"/>
      <c r="O1562" s="69"/>
      <c r="P1562" s="69"/>
      <c r="Q1562" s="69"/>
      <c r="R1562" s="69"/>
      <c r="S1562" s="69"/>
      <c r="T1562" s="69"/>
      <c r="U1562" s="69"/>
      <c r="V1562" s="69"/>
      <c r="W1562" s="69"/>
      <c r="X1562" s="69"/>
      <c r="Y1562" s="69"/>
      <c r="Z1562" s="69"/>
      <c r="AA1562" s="69"/>
      <c r="AB1562" s="69"/>
      <c r="AC1562" s="69"/>
      <c r="AD1562" s="69"/>
      <c r="AE1562" s="69"/>
      <c r="AF1562" s="69"/>
      <c r="AG1562" s="69"/>
      <c r="AH1562" s="69"/>
      <c r="AI1562" s="69"/>
      <c r="AJ1562" s="69"/>
      <c r="AK1562" s="69"/>
      <c r="AL1562" s="69"/>
      <c r="AM1562" s="69"/>
      <c r="AN1562" s="69"/>
      <c r="AO1562" s="69"/>
      <c r="AP1562" s="69"/>
      <c r="AQ1562" s="69"/>
      <c r="AR1562" s="69"/>
      <c r="AS1562" s="69"/>
      <c r="AT1562" s="69"/>
      <c r="AU1562" s="69"/>
      <c r="AV1562" s="69"/>
      <c r="AW1562" s="69"/>
      <c r="AX1562" s="69"/>
      <c r="AY1562" s="69"/>
      <c r="AZ1562" s="69"/>
      <c r="BA1562" s="69"/>
      <c r="BB1562" s="69"/>
      <c r="BC1562" s="69"/>
    </row>
    <row r="1563">
      <c r="A1563" s="68"/>
      <c r="B1563" s="68"/>
      <c r="C1563" s="68"/>
      <c r="D1563" s="68"/>
      <c r="E1563" s="68"/>
      <c r="F1563" s="68"/>
      <c r="G1563" s="68"/>
      <c r="H1563" s="68"/>
      <c r="I1563" s="69"/>
      <c r="J1563" s="69"/>
      <c r="K1563" s="71"/>
      <c r="L1563" s="69"/>
      <c r="M1563" s="69"/>
      <c r="N1563" s="72"/>
      <c r="O1563" s="69"/>
      <c r="P1563" s="69"/>
      <c r="Q1563" s="69"/>
      <c r="R1563" s="69"/>
      <c r="S1563" s="69"/>
      <c r="T1563" s="69"/>
      <c r="U1563" s="69"/>
      <c r="V1563" s="69"/>
      <c r="W1563" s="69"/>
      <c r="X1563" s="69"/>
      <c r="Y1563" s="69"/>
      <c r="Z1563" s="69"/>
      <c r="AA1563" s="69"/>
      <c r="AB1563" s="69"/>
      <c r="AC1563" s="69"/>
      <c r="AD1563" s="69"/>
      <c r="AE1563" s="69"/>
      <c r="AF1563" s="69"/>
      <c r="AG1563" s="69"/>
      <c r="AH1563" s="69"/>
      <c r="AI1563" s="69"/>
      <c r="AJ1563" s="69"/>
      <c r="AK1563" s="69"/>
      <c r="AL1563" s="69"/>
      <c r="AM1563" s="69"/>
      <c r="AN1563" s="69"/>
      <c r="AO1563" s="69"/>
      <c r="AP1563" s="69"/>
      <c r="AQ1563" s="69"/>
      <c r="AR1563" s="69"/>
      <c r="AS1563" s="69"/>
      <c r="AT1563" s="69"/>
      <c r="AU1563" s="69"/>
      <c r="AV1563" s="69"/>
      <c r="AW1563" s="69"/>
      <c r="AX1563" s="69"/>
      <c r="AY1563" s="69"/>
      <c r="AZ1563" s="69"/>
      <c r="BA1563" s="69"/>
      <c r="BB1563" s="69"/>
      <c r="BC1563" s="69"/>
    </row>
    <row r="1564">
      <c r="A1564" s="68"/>
      <c r="B1564" s="68"/>
      <c r="C1564" s="68"/>
      <c r="D1564" s="68"/>
      <c r="E1564" s="68"/>
      <c r="F1564" s="68"/>
      <c r="G1564" s="68"/>
      <c r="H1564" s="68"/>
      <c r="I1564" s="69"/>
      <c r="J1564" s="69"/>
      <c r="K1564" s="71"/>
      <c r="L1564" s="69"/>
      <c r="M1564" s="69"/>
      <c r="N1564" s="72"/>
      <c r="O1564" s="69"/>
      <c r="P1564" s="69"/>
      <c r="Q1564" s="69"/>
      <c r="R1564" s="69"/>
      <c r="S1564" s="69"/>
      <c r="T1564" s="69"/>
      <c r="U1564" s="69"/>
      <c r="V1564" s="69"/>
      <c r="W1564" s="69"/>
      <c r="X1564" s="69"/>
      <c r="Y1564" s="69"/>
      <c r="Z1564" s="69"/>
      <c r="AA1564" s="69"/>
      <c r="AB1564" s="69"/>
      <c r="AC1564" s="69"/>
      <c r="AD1564" s="69"/>
      <c r="AE1564" s="69"/>
      <c r="AF1564" s="69"/>
      <c r="AG1564" s="69"/>
      <c r="AH1564" s="69"/>
      <c r="AI1564" s="69"/>
      <c r="AJ1564" s="69"/>
      <c r="AK1564" s="69"/>
      <c r="AL1564" s="69"/>
      <c r="AM1564" s="69"/>
      <c r="AN1564" s="69"/>
      <c r="AO1564" s="69"/>
      <c r="AP1564" s="69"/>
      <c r="AQ1564" s="69"/>
      <c r="AR1564" s="69"/>
      <c r="AS1564" s="69"/>
      <c r="AT1564" s="69"/>
      <c r="AU1564" s="69"/>
      <c r="AV1564" s="69"/>
      <c r="AW1564" s="69"/>
      <c r="AX1564" s="69"/>
      <c r="AY1564" s="69"/>
      <c r="AZ1564" s="69"/>
      <c r="BA1564" s="69"/>
      <c r="BB1564" s="69"/>
      <c r="BC1564" s="69"/>
    </row>
    <row r="1565">
      <c r="A1565" s="68"/>
      <c r="B1565" s="68"/>
      <c r="C1565" s="68"/>
      <c r="D1565" s="68"/>
      <c r="E1565" s="68"/>
      <c r="F1565" s="68"/>
      <c r="G1565" s="68"/>
      <c r="H1565" s="68"/>
      <c r="I1565" s="69"/>
      <c r="J1565" s="69"/>
      <c r="K1565" s="71"/>
      <c r="L1565" s="69"/>
      <c r="M1565" s="69"/>
      <c r="N1565" s="72"/>
      <c r="O1565" s="69"/>
      <c r="P1565" s="69"/>
      <c r="Q1565" s="69"/>
      <c r="R1565" s="69"/>
      <c r="S1565" s="69"/>
      <c r="T1565" s="69"/>
      <c r="U1565" s="69"/>
      <c r="V1565" s="69"/>
      <c r="W1565" s="69"/>
      <c r="X1565" s="69"/>
      <c r="Y1565" s="69"/>
      <c r="Z1565" s="69"/>
      <c r="AA1565" s="69"/>
      <c r="AB1565" s="69"/>
      <c r="AC1565" s="69"/>
      <c r="AD1565" s="69"/>
      <c r="AE1565" s="69"/>
      <c r="AF1565" s="69"/>
      <c r="AG1565" s="69"/>
      <c r="AH1565" s="69"/>
      <c r="AI1565" s="69"/>
      <c r="AJ1565" s="69"/>
      <c r="AK1565" s="69"/>
      <c r="AL1565" s="69"/>
      <c r="AM1565" s="69"/>
      <c r="AN1565" s="69"/>
      <c r="AO1565" s="69"/>
      <c r="AP1565" s="69"/>
      <c r="AQ1565" s="69"/>
      <c r="AR1565" s="69"/>
      <c r="AS1565" s="69"/>
      <c r="AT1565" s="69"/>
      <c r="AU1565" s="69"/>
      <c r="AV1565" s="69"/>
      <c r="AW1565" s="69"/>
      <c r="AX1565" s="69"/>
      <c r="AY1565" s="69"/>
      <c r="AZ1565" s="69"/>
      <c r="BA1565" s="69"/>
      <c r="BB1565" s="69"/>
      <c r="BC1565" s="69"/>
    </row>
    <row r="1566">
      <c r="A1566" s="68"/>
      <c r="B1566" s="68"/>
      <c r="C1566" s="68"/>
      <c r="D1566" s="68"/>
      <c r="E1566" s="68"/>
      <c r="F1566" s="68"/>
      <c r="G1566" s="68"/>
      <c r="H1566" s="68"/>
      <c r="I1566" s="69"/>
      <c r="J1566" s="69"/>
      <c r="K1566" s="71"/>
      <c r="L1566" s="69"/>
      <c r="M1566" s="69"/>
      <c r="N1566" s="72"/>
      <c r="O1566" s="69"/>
      <c r="P1566" s="69"/>
      <c r="Q1566" s="69"/>
      <c r="R1566" s="69"/>
      <c r="S1566" s="69"/>
      <c r="T1566" s="69"/>
      <c r="U1566" s="69"/>
      <c r="V1566" s="69"/>
      <c r="W1566" s="69"/>
      <c r="X1566" s="69"/>
      <c r="Y1566" s="69"/>
      <c r="Z1566" s="69"/>
      <c r="AA1566" s="69"/>
      <c r="AB1566" s="69"/>
      <c r="AC1566" s="69"/>
      <c r="AD1566" s="69"/>
      <c r="AE1566" s="69"/>
      <c r="AF1566" s="69"/>
      <c r="AG1566" s="69"/>
      <c r="AH1566" s="69"/>
      <c r="AI1566" s="69"/>
      <c r="AJ1566" s="69"/>
      <c r="AK1566" s="69"/>
      <c r="AL1566" s="69"/>
      <c r="AM1566" s="69"/>
      <c r="AN1566" s="69"/>
      <c r="AO1566" s="69"/>
      <c r="AP1566" s="69"/>
      <c r="AQ1566" s="69"/>
      <c r="AR1566" s="69"/>
      <c r="AS1566" s="69"/>
      <c r="AT1566" s="69"/>
      <c r="AU1566" s="69"/>
      <c r="AV1566" s="69"/>
      <c r="AW1566" s="69"/>
      <c r="AX1566" s="69"/>
      <c r="AY1566" s="69"/>
      <c r="AZ1566" s="69"/>
      <c r="BA1566" s="69"/>
      <c r="BB1566" s="69"/>
      <c r="BC1566" s="69"/>
    </row>
    <row r="1567">
      <c r="A1567" s="68"/>
      <c r="B1567" s="68"/>
      <c r="C1567" s="68"/>
      <c r="D1567" s="68"/>
      <c r="E1567" s="68"/>
      <c r="F1567" s="68"/>
      <c r="G1567" s="68"/>
      <c r="H1567" s="68"/>
      <c r="I1567" s="69"/>
      <c r="J1567" s="69"/>
      <c r="K1567" s="71"/>
      <c r="L1567" s="69"/>
      <c r="M1567" s="69"/>
      <c r="N1567" s="72"/>
      <c r="O1567" s="69"/>
      <c r="P1567" s="69"/>
      <c r="Q1567" s="69"/>
      <c r="R1567" s="69"/>
      <c r="S1567" s="69"/>
      <c r="T1567" s="69"/>
      <c r="U1567" s="69"/>
      <c r="V1567" s="69"/>
      <c r="W1567" s="69"/>
      <c r="X1567" s="69"/>
      <c r="Y1567" s="69"/>
      <c r="Z1567" s="69"/>
      <c r="AA1567" s="69"/>
      <c r="AB1567" s="69"/>
      <c r="AC1567" s="69"/>
      <c r="AD1567" s="69"/>
      <c r="AE1567" s="69"/>
      <c r="AF1567" s="69"/>
      <c r="AG1567" s="69"/>
      <c r="AH1567" s="69"/>
      <c r="AI1567" s="69"/>
      <c r="AJ1567" s="69"/>
      <c r="AK1567" s="69"/>
      <c r="AL1567" s="69"/>
      <c r="AM1567" s="69"/>
      <c r="AN1567" s="69"/>
      <c r="AO1567" s="69"/>
      <c r="AP1567" s="69"/>
      <c r="AQ1567" s="69"/>
      <c r="AR1567" s="69"/>
      <c r="AS1567" s="69"/>
      <c r="AT1567" s="69"/>
      <c r="AU1567" s="69"/>
      <c r="AV1567" s="69"/>
      <c r="AW1567" s="69"/>
      <c r="AX1567" s="69"/>
      <c r="AY1567" s="69"/>
      <c r="AZ1567" s="69"/>
      <c r="BA1567" s="69"/>
      <c r="BB1567" s="69"/>
      <c r="BC1567" s="69"/>
    </row>
    <row r="1568">
      <c r="A1568" s="68"/>
      <c r="B1568" s="68"/>
      <c r="C1568" s="68"/>
      <c r="D1568" s="68"/>
      <c r="E1568" s="68"/>
      <c r="F1568" s="68"/>
      <c r="G1568" s="68"/>
      <c r="H1568" s="68"/>
      <c r="I1568" s="69"/>
      <c r="J1568" s="69"/>
      <c r="K1568" s="71"/>
      <c r="L1568" s="69"/>
      <c r="M1568" s="69"/>
      <c r="N1568" s="72"/>
      <c r="O1568" s="69"/>
      <c r="P1568" s="69"/>
      <c r="Q1568" s="69"/>
      <c r="R1568" s="69"/>
      <c r="S1568" s="69"/>
      <c r="T1568" s="69"/>
      <c r="U1568" s="69"/>
      <c r="V1568" s="69"/>
      <c r="W1568" s="69"/>
      <c r="X1568" s="69"/>
      <c r="Y1568" s="69"/>
      <c r="Z1568" s="69"/>
      <c r="AA1568" s="69"/>
      <c r="AB1568" s="69"/>
      <c r="AC1568" s="69"/>
      <c r="AD1568" s="69"/>
      <c r="AE1568" s="69"/>
      <c r="AF1568" s="69"/>
      <c r="AG1568" s="69"/>
      <c r="AH1568" s="69"/>
      <c r="AI1568" s="69"/>
      <c r="AJ1568" s="69"/>
      <c r="AK1568" s="69"/>
      <c r="AL1568" s="69"/>
      <c r="AM1568" s="69"/>
      <c r="AN1568" s="69"/>
      <c r="AO1568" s="69"/>
      <c r="AP1568" s="69"/>
      <c r="AQ1568" s="69"/>
      <c r="AR1568" s="69"/>
      <c r="AS1568" s="69"/>
      <c r="AT1568" s="69"/>
      <c r="AU1568" s="69"/>
      <c r="AV1568" s="69"/>
      <c r="AW1568" s="69"/>
      <c r="AX1568" s="69"/>
      <c r="AY1568" s="69"/>
      <c r="AZ1568" s="69"/>
      <c r="BA1568" s="69"/>
      <c r="BB1568" s="69"/>
      <c r="BC1568" s="69"/>
    </row>
    <row r="1569">
      <c r="A1569" s="68"/>
      <c r="B1569" s="68"/>
      <c r="C1569" s="68"/>
      <c r="D1569" s="68"/>
      <c r="E1569" s="68"/>
      <c r="F1569" s="68"/>
      <c r="G1569" s="68"/>
      <c r="H1569" s="68"/>
      <c r="I1569" s="69"/>
      <c r="J1569" s="69"/>
      <c r="K1569" s="71"/>
      <c r="L1569" s="69"/>
      <c r="M1569" s="69"/>
      <c r="N1569" s="72"/>
      <c r="O1569" s="69"/>
      <c r="P1569" s="69"/>
      <c r="Q1569" s="69"/>
      <c r="R1569" s="69"/>
      <c r="S1569" s="69"/>
      <c r="T1569" s="69"/>
      <c r="U1569" s="69"/>
      <c r="V1569" s="69"/>
      <c r="W1569" s="69"/>
      <c r="X1569" s="69"/>
      <c r="Y1569" s="69"/>
      <c r="Z1569" s="69"/>
      <c r="AA1569" s="69"/>
      <c r="AB1569" s="69"/>
      <c r="AC1569" s="69"/>
      <c r="AD1569" s="69"/>
      <c r="AE1569" s="69"/>
      <c r="AF1569" s="69"/>
      <c r="AG1569" s="69"/>
      <c r="AH1569" s="69"/>
      <c r="AI1569" s="69"/>
      <c r="AJ1569" s="69"/>
      <c r="AK1569" s="69"/>
      <c r="AL1569" s="69"/>
      <c r="AM1569" s="69"/>
      <c r="AN1569" s="69"/>
      <c r="AO1569" s="69"/>
      <c r="AP1569" s="69"/>
      <c r="AQ1569" s="69"/>
      <c r="AR1569" s="69"/>
      <c r="AS1569" s="69"/>
      <c r="AT1569" s="69"/>
      <c r="AU1569" s="69"/>
      <c r="AV1569" s="69"/>
      <c r="AW1569" s="69"/>
      <c r="AX1569" s="69"/>
      <c r="AY1569" s="69"/>
      <c r="AZ1569" s="69"/>
      <c r="BA1569" s="69"/>
      <c r="BB1569" s="69"/>
      <c r="BC1569" s="69"/>
    </row>
    <row r="1570">
      <c r="A1570" s="68"/>
      <c r="B1570" s="68"/>
      <c r="C1570" s="68"/>
      <c r="D1570" s="68"/>
      <c r="E1570" s="68"/>
      <c r="F1570" s="68"/>
      <c r="G1570" s="68"/>
      <c r="H1570" s="68"/>
      <c r="I1570" s="69"/>
      <c r="J1570" s="69"/>
      <c r="K1570" s="71"/>
      <c r="L1570" s="69"/>
      <c r="M1570" s="69"/>
      <c r="N1570" s="72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69"/>
      <c r="AD1570" s="69"/>
      <c r="AE1570" s="69"/>
      <c r="AF1570" s="69"/>
      <c r="AG1570" s="69"/>
      <c r="AH1570" s="69"/>
      <c r="AI1570" s="69"/>
      <c r="AJ1570" s="69"/>
      <c r="AK1570" s="69"/>
      <c r="AL1570" s="69"/>
      <c r="AM1570" s="69"/>
      <c r="AN1570" s="69"/>
      <c r="AO1570" s="69"/>
      <c r="AP1570" s="69"/>
      <c r="AQ1570" s="69"/>
      <c r="AR1570" s="69"/>
      <c r="AS1570" s="69"/>
      <c r="AT1570" s="69"/>
      <c r="AU1570" s="69"/>
      <c r="AV1570" s="69"/>
      <c r="AW1570" s="69"/>
      <c r="AX1570" s="69"/>
      <c r="AY1570" s="69"/>
      <c r="AZ1570" s="69"/>
      <c r="BA1570" s="69"/>
      <c r="BB1570" s="69"/>
      <c r="BC1570" s="69"/>
    </row>
    <row r="1571">
      <c r="A1571" s="68"/>
      <c r="B1571" s="68"/>
      <c r="C1571" s="68"/>
      <c r="D1571" s="68"/>
      <c r="E1571" s="68"/>
      <c r="F1571" s="68"/>
      <c r="G1571" s="68"/>
      <c r="H1571" s="68"/>
      <c r="I1571" s="69"/>
      <c r="J1571" s="69"/>
      <c r="K1571" s="71"/>
      <c r="L1571" s="69"/>
      <c r="M1571" s="69"/>
      <c r="N1571" s="72"/>
      <c r="O1571" s="69"/>
      <c r="P1571" s="69"/>
      <c r="Q1571" s="69"/>
      <c r="R1571" s="69"/>
      <c r="S1571" s="69"/>
      <c r="T1571" s="69"/>
      <c r="U1571" s="69"/>
      <c r="V1571" s="69"/>
      <c r="W1571" s="69"/>
      <c r="X1571" s="69"/>
      <c r="Y1571" s="69"/>
      <c r="Z1571" s="69"/>
      <c r="AA1571" s="69"/>
      <c r="AB1571" s="69"/>
      <c r="AC1571" s="69"/>
      <c r="AD1571" s="69"/>
      <c r="AE1571" s="69"/>
      <c r="AF1571" s="69"/>
      <c r="AG1571" s="69"/>
      <c r="AH1571" s="69"/>
      <c r="AI1571" s="69"/>
      <c r="AJ1571" s="69"/>
      <c r="AK1571" s="69"/>
      <c r="AL1571" s="69"/>
      <c r="AM1571" s="69"/>
      <c r="AN1571" s="69"/>
      <c r="AO1571" s="69"/>
      <c r="AP1571" s="69"/>
      <c r="AQ1571" s="69"/>
      <c r="AR1571" s="69"/>
      <c r="AS1571" s="69"/>
      <c r="AT1571" s="69"/>
      <c r="AU1571" s="69"/>
      <c r="AV1571" s="69"/>
      <c r="AW1571" s="69"/>
      <c r="AX1571" s="69"/>
      <c r="AY1571" s="69"/>
      <c r="AZ1571" s="69"/>
      <c r="BA1571" s="69"/>
      <c r="BB1571" s="69"/>
      <c r="BC1571" s="69"/>
    </row>
    <row r="1572">
      <c r="A1572" s="68"/>
      <c r="B1572" s="68"/>
      <c r="C1572" s="68"/>
      <c r="D1572" s="68"/>
      <c r="E1572" s="68"/>
      <c r="F1572" s="68"/>
      <c r="G1572" s="68"/>
      <c r="H1572" s="68"/>
      <c r="I1572" s="69"/>
      <c r="J1572" s="69"/>
      <c r="K1572" s="71"/>
      <c r="L1572" s="69"/>
      <c r="M1572" s="69"/>
      <c r="N1572" s="72"/>
      <c r="O1572" s="69"/>
      <c r="P1572" s="69"/>
      <c r="Q1572" s="69"/>
      <c r="R1572" s="69"/>
      <c r="S1572" s="69"/>
      <c r="T1572" s="69"/>
      <c r="U1572" s="69"/>
      <c r="V1572" s="69"/>
      <c r="W1572" s="69"/>
      <c r="X1572" s="69"/>
      <c r="Y1572" s="69"/>
      <c r="Z1572" s="69"/>
      <c r="AA1572" s="69"/>
      <c r="AB1572" s="69"/>
      <c r="AC1572" s="69"/>
      <c r="AD1572" s="69"/>
      <c r="AE1572" s="69"/>
      <c r="AF1572" s="69"/>
      <c r="AG1572" s="69"/>
      <c r="AH1572" s="69"/>
      <c r="AI1572" s="69"/>
      <c r="AJ1572" s="69"/>
      <c r="AK1572" s="69"/>
      <c r="AL1572" s="69"/>
      <c r="AM1572" s="69"/>
      <c r="AN1572" s="69"/>
      <c r="AO1572" s="69"/>
      <c r="AP1572" s="69"/>
      <c r="AQ1572" s="69"/>
      <c r="AR1572" s="69"/>
      <c r="AS1572" s="69"/>
      <c r="AT1572" s="69"/>
      <c r="AU1572" s="69"/>
      <c r="AV1572" s="69"/>
      <c r="AW1572" s="69"/>
      <c r="AX1572" s="69"/>
      <c r="AY1572" s="69"/>
      <c r="AZ1572" s="69"/>
      <c r="BA1572" s="69"/>
      <c r="BB1572" s="69"/>
      <c r="BC1572" s="69"/>
    </row>
    <row r="1573">
      <c r="A1573" s="68"/>
      <c r="B1573" s="68"/>
      <c r="C1573" s="68"/>
      <c r="D1573" s="68"/>
      <c r="E1573" s="68"/>
      <c r="F1573" s="68"/>
      <c r="G1573" s="68"/>
      <c r="H1573" s="68"/>
      <c r="I1573" s="69"/>
      <c r="J1573" s="69"/>
      <c r="K1573" s="71"/>
      <c r="L1573" s="69"/>
      <c r="M1573" s="69"/>
      <c r="N1573" s="72"/>
      <c r="O1573" s="69"/>
      <c r="P1573" s="69"/>
      <c r="Q1573" s="69"/>
      <c r="R1573" s="69"/>
      <c r="S1573" s="69"/>
      <c r="T1573" s="69"/>
      <c r="U1573" s="69"/>
      <c r="V1573" s="69"/>
      <c r="W1573" s="69"/>
      <c r="X1573" s="69"/>
      <c r="Y1573" s="69"/>
      <c r="Z1573" s="69"/>
      <c r="AA1573" s="69"/>
      <c r="AB1573" s="69"/>
      <c r="AC1573" s="69"/>
      <c r="AD1573" s="69"/>
      <c r="AE1573" s="69"/>
      <c r="AF1573" s="69"/>
      <c r="AG1573" s="69"/>
      <c r="AH1573" s="69"/>
      <c r="AI1573" s="69"/>
      <c r="AJ1573" s="69"/>
      <c r="AK1573" s="69"/>
      <c r="AL1573" s="69"/>
      <c r="AM1573" s="69"/>
      <c r="AN1573" s="69"/>
      <c r="AO1573" s="69"/>
      <c r="AP1573" s="69"/>
      <c r="AQ1573" s="69"/>
      <c r="AR1573" s="69"/>
      <c r="AS1573" s="69"/>
      <c r="AT1573" s="69"/>
      <c r="AU1573" s="69"/>
      <c r="AV1573" s="69"/>
      <c r="AW1573" s="69"/>
      <c r="AX1573" s="69"/>
      <c r="AY1573" s="69"/>
      <c r="AZ1573" s="69"/>
      <c r="BA1573" s="69"/>
      <c r="BB1573" s="69"/>
      <c r="BC1573" s="69"/>
    </row>
    <row r="1574">
      <c r="A1574" s="68"/>
      <c r="B1574" s="68"/>
      <c r="C1574" s="68"/>
      <c r="D1574" s="68"/>
      <c r="E1574" s="68"/>
      <c r="F1574" s="68"/>
      <c r="G1574" s="68"/>
      <c r="H1574" s="68"/>
      <c r="I1574" s="69"/>
      <c r="J1574" s="69"/>
      <c r="K1574" s="71"/>
      <c r="L1574" s="69"/>
      <c r="M1574" s="69"/>
      <c r="N1574" s="72"/>
      <c r="O1574" s="69"/>
      <c r="P1574" s="69"/>
      <c r="Q1574" s="69"/>
      <c r="R1574" s="69"/>
      <c r="S1574" s="69"/>
      <c r="T1574" s="69"/>
      <c r="U1574" s="69"/>
      <c r="V1574" s="69"/>
      <c r="W1574" s="69"/>
      <c r="X1574" s="69"/>
      <c r="Y1574" s="69"/>
      <c r="Z1574" s="69"/>
      <c r="AA1574" s="69"/>
      <c r="AB1574" s="69"/>
      <c r="AC1574" s="69"/>
      <c r="AD1574" s="69"/>
      <c r="AE1574" s="69"/>
      <c r="AF1574" s="69"/>
      <c r="AG1574" s="69"/>
      <c r="AH1574" s="69"/>
      <c r="AI1574" s="69"/>
      <c r="AJ1574" s="69"/>
      <c r="AK1574" s="69"/>
      <c r="AL1574" s="69"/>
      <c r="AM1574" s="69"/>
      <c r="AN1574" s="69"/>
      <c r="AO1574" s="69"/>
      <c r="AP1574" s="69"/>
      <c r="AQ1574" s="69"/>
      <c r="AR1574" s="69"/>
      <c r="AS1574" s="69"/>
      <c r="AT1574" s="69"/>
      <c r="AU1574" s="69"/>
      <c r="AV1574" s="69"/>
      <c r="AW1574" s="69"/>
      <c r="AX1574" s="69"/>
      <c r="AY1574" s="69"/>
      <c r="AZ1574" s="69"/>
      <c r="BA1574" s="69"/>
      <c r="BB1574" s="69"/>
      <c r="BC1574" s="69"/>
    </row>
    <row r="1575">
      <c r="A1575" s="68"/>
      <c r="B1575" s="68"/>
      <c r="C1575" s="68"/>
      <c r="D1575" s="68"/>
      <c r="E1575" s="68"/>
      <c r="F1575" s="68"/>
      <c r="G1575" s="68"/>
      <c r="H1575" s="68"/>
      <c r="I1575" s="69"/>
      <c r="J1575" s="69"/>
      <c r="K1575" s="71"/>
      <c r="L1575" s="69"/>
      <c r="M1575" s="69"/>
      <c r="N1575" s="72"/>
      <c r="O1575" s="69"/>
      <c r="P1575" s="69"/>
      <c r="Q1575" s="69"/>
      <c r="R1575" s="69"/>
      <c r="S1575" s="69"/>
      <c r="T1575" s="69"/>
      <c r="U1575" s="69"/>
      <c r="V1575" s="69"/>
      <c r="W1575" s="69"/>
      <c r="X1575" s="69"/>
      <c r="Y1575" s="69"/>
      <c r="Z1575" s="69"/>
      <c r="AA1575" s="69"/>
      <c r="AB1575" s="69"/>
      <c r="AC1575" s="69"/>
      <c r="AD1575" s="69"/>
      <c r="AE1575" s="69"/>
      <c r="AF1575" s="69"/>
      <c r="AG1575" s="69"/>
      <c r="AH1575" s="69"/>
      <c r="AI1575" s="69"/>
      <c r="AJ1575" s="69"/>
      <c r="AK1575" s="69"/>
      <c r="AL1575" s="69"/>
      <c r="AM1575" s="69"/>
      <c r="AN1575" s="69"/>
      <c r="AO1575" s="69"/>
      <c r="AP1575" s="69"/>
      <c r="AQ1575" s="69"/>
      <c r="AR1575" s="69"/>
      <c r="AS1575" s="69"/>
      <c r="AT1575" s="69"/>
      <c r="AU1575" s="69"/>
      <c r="AV1575" s="69"/>
      <c r="AW1575" s="69"/>
      <c r="AX1575" s="69"/>
      <c r="AY1575" s="69"/>
      <c r="AZ1575" s="69"/>
      <c r="BA1575" s="69"/>
      <c r="BB1575" s="69"/>
      <c r="BC1575" s="69"/>
    </row>
    <row r="1576">
      <c r="A1576" s="68"/>
      <c r="B1576" s="68"/>
      <c r="C1576" s="68"/>
      <c r="D1576" s="68"/>
      <c r="E1576" s="68"/>
      <c r="F1576" s="68"/>
      <c r="G1576" s="68"/>
      <c r="H1576" s="68"/>
      <c r="I1576" s="69"/>
      <c r="J1576" s="69"/>
      <c r="K1576" s="71"/>
      <c r="L1576" s="69"/>
      <c r="M1576" s="69"/>
      <c r="N1576" s="72"/>
      <c r="O1576" s="69"/>
      <c r="P1576" s="69"/>
      <c r="Q1576" s="69"/>
      <c r="R1576" s="69"/>
      <c r="S1576" s="69"/>
      <c r="T1576" s="69"/>
      <c r="U1576" s="69"/>
      <c r="V1576" s="69"/>
      <c r="W1576" s="69"/>
      <c r="X1576" s="69"/>
      <c r="Y1576" s="69"/>
      <c r="Z1576" s="69"/>
      <c r="AA1576" s="69"/>
      <c r="AB1576" s="69"/>
      <c r="AC1576" s="69"/>
      <c r="AD1576" s="69"/>
      <c r="AE1576" s="69"/>
      <c r="AF1576" s="69"/>
      <c r="AG1576" s="69"/>
      <c r="AH1576" s="69"/>
      <c r="AI1576" s="69"/>
      <c r="AJ1576" s="69"/>
      <c r="AK1576" s="69"/>
      <c r="AL1576" s="69"/>
      <c r="AM1576" s="69"/>
      <c r="AN1576" s="69"/>
      <c r="AO1576" s="69"/>
      <c r="AP1576" s="69"/>
      <c r="AQ1576" s="69"/>
      <c r="AR1576" s="69"/>
      <c r="AS1576" s="69"/>
      <c r="AT1576" s="69"/>
      <c r="AU1576" s="69"/>
      <c r="AV1576" s="69"/>
      <c r="AW1576" s="69"/>
      <c r="AX1576" s="69"/>
      <c r="AY1576" s="69"/>
      <c r="AZ1576" s="69"/>
      <c r="BA1576" s="69"/>
      <c r="BB1576" s="69"/>
      <c r="BC1576" s="69"/>
    </row>
    <row r="1577">
      <c r="A1577" s="68"/>
      <c r="B1577" s="68"/>
      <c r="C1577" s="68"/>
      <c r="D1577" s="68"/>
      <c r="E1577" s="68"/>
      <c r="F1577" s="68"/>
      <c r="G1577" s="68"/>
      <c r="H1577" s="68"/>
      <c r="I1577" s="69"/>
      <c r="J1577" s="69"/>
      <c r="K1577" s="71"/>
      <c r="L1577" s="69"/>
      <c r="M1577" s="69"/>
      <c r="N1577" s="72"/>
      <c r="O1577" s="69"/>
      <c r="P1577" s="69"/>
      <c r="Q1577" s="69"/>
      <c r="R1577" s="69"/>
      <c r="S1577" s="69"/>
      <c r="T1577" s="69"/>
      <c r="U1577" s="69"/>
      <c r="V1577" s="69"/>
      <c r="W1577" s="69"/>
      <c r="X1577" s="69"/>
      <c r="Y1577" s="69"/>
      <c r="Z1577" s="69"/>
      <c r="AA1577" s="69"/>
      <c r="AB1577" s="69"/>
      <c r="AC1577" s="69"/>
      <c r="AD1577" s="69"/>
      <c r="AE1577" s="69"/>
      <c r="AF1577" s="69"/>
      <c r="AG1577" s="69"/>
      <c r="AH1577" s="69"/>
      <c r="AI1577" s="69"/>
      <c r="AJ1577" s="69"/>
      <c r="AK1577" s="69"/>
      <c r="AL1577" s="69"/>
      <c r="AM1577" s="69"/>
      <c r="AN1577" s="69"/>
      <c r="AO1577" s="69"/>
      <c r="AP1577" s="69"/>
      <c r="AQ1577" s="69"/>
      <c r="AR1577" s="69"/>
      <c r="AS1577" s="69"/>
      <c r="AT1577" s="69"/>
      <c r="AU1577" s="69"/>
      <c r="AV1577" s="69"/>
      <c r="AW1577" s="69"/>
      <c r="AX1577" s="69"/>
      <c r="AY1577" s="69"/>
      <c r="AZ1577" s="69"/>
      <c r="BA1577" s="69"/>
      <c r="BB1577" s="69"/>
      <c r="BC1577" s="69"/>
    </row>
    <row r="1578">
      <c r="A1578" s="68"/>
      <c r="B1578" s="68"/>
      <c r="C1578" s="68"/>
      <c r="D1578" s="68"/>
      <c r="E1578" s="68"/>
      <c r="F1578" s="68"/>
      <c r="G1578" s="68"/>
      <c r="H1578" s="68"/>
      <c r="I1578" s="69"/>
      <c r="J1578" s="69"/>
      <c r="K1578" s="71"/>
      <c r="L1578" s="69"/>
      <c r="M1578" s="69"/>
      <c r="N1578" s="72"/>
      <c r="O1578" s="69"/>
      <c r="P1578" s="69"/>
      <c r="Q1578" s="69"/>
      <c r="R1578" s="69"/>
      <c r="S1578" s="69"/>
      <c r="T1578" s="69"/>
      <c r="U1578" s="69"/>
      <c r="V1578" s="69"/>
      <c r="W1578" s="69"/>
      <c r="X1578" s="69"/>
      <c r="Y1578" s="69"/>
      <c r="Z1578" s="69"/>
      <c r="AA1578" s="69"/>
      <c r="AB1578" s="69"/>
      <c r="AC1578" s="69"/>
      <c r="AD1578" s="69"/>
      <c r="AE1578" s="69"/>
      <c r="AF1578" s="69"/>
      <c r="AG1578" s="69"/>
      <c r="AH1578" s="69"/>
      <c r="AI1578" s="69"/>
      <c r="AJ1578" s="69"/>
      <c r="AK1578" s="69"/>
      <c r="AL1578" s="69"/>
      <c r="AM1578" s="69"/>
      <c r="AN1578" s="69"/>
      <c r="AO1578" s="69"/>
      <c r="AP1578" s="69"/>
      <c r="AQ1578" s="69"/>
      <c r="AR1578" s="69"/>
      <c r="AS1578" s="69"/>
      <c r="AT1578" s="69"/>
      <c r="AU1578" s="69"/>
      <c r="AV1578" s="69"/>
      <c r="AW1578" s="69"/>
      <c r="AX1578" s="69"/>
      <c r="AY1578" s="69"/>
      <c r="AZ1578" s="69"/>
      <c r="BA1578" s="69"/>
      <c r="BB1578" s="69"/>
      <c r="BC1578" s="69"/>
    </row>
    <row r="1579">
      <c r="A1579" s="68"/>
      <c r="B1579" s="68"/>
      <c r="C1579" s="68"/>
      <c r="D1579" s="68"/>
      <c r="E1579" s="68"/>
      <c r="F1579" s="68"/>
      <c r="G1579" s="68"/>
      <c r="H1579" s="68"/>
      <c r="I1579" s="69"/>
      <c r="J1579" s="69"/>
      <c r="K1579" s="71"/>
      <c r="L1579" s="69"/>
      <c r="M1579" s="69"/>
      <c r="N1579" s="72"/>
      <c r="O1579" s="69"/>
      <c r="P1579" s="69"/>
      <c r="Q1579" s="69"/>
      <c r="R1579" s="69"/>
      <c r="S1579" s="69"/>
      <c r="T1579" s="69"/>
      <c r="U1579" s="69"/>
      <c r="V1579" s="69"/>
      <c r="W1579" s="69"/>
      <c r="X1579" s="69"/>
      <c r="Y1579" s="69"/>
      <c r="Z1579" s="69"/>
      <c r="AA1579" s="69"/>
      <c r="AB1579" s="69"/>
      <c r="AC1579" s="69"/>
      <c r="AD1579" s="69"/>
      <c r="AE1579" s="69"/>
      <c r="AF1579" s="69"/>
      <c r="AG1579" s="69"/>
      <c r="AH1579" s="69"/>
      <c r="AI1579" s="69"/>
      <c r="AJ1579" s="69"/>
      <c r="AK1579" s="69"/>
      <c r="AL1579" s="69"/>
      <c r="AM1579" s="69"/>
      <c r="AN1579" s="69"/>
      <c r="AO1579" s="69"/>
      <c r="AP1579" s="69"/>
      <c r="AQ1579" s="69"/>
      <c r="AR1579" s="69"/>
      <c r="AS1579" s="69"/>
      <c r="AT1579" s="69"/>
      <c r="AU1579" s="69"/>
      <c r="AV1579" s="69"/>
      <c r="AW1579" s="69"/>
      <c r="AX1579" s="69"/>
      <c r="AY1579" s="69"/>
      <c r="AZ1579" s="69"/>
      <c r="BA1579" s="69"/>
      <c r="BB1579" s="69"/>
      <c r="BC1579" s="69"/>
    </row>
    <row r="1580">
      <c r="A1580" s="68"/>
      <c r="B1580" s="68"/>
      <c r="C1580" s="68"/>
      <c r="D1580" s="68"/>
      <c r="E1580" s="68"/>
      <c r="F1580" s="68"/>
      <c r="G1580" s="68"/>
      <c r="H1580" s="68"/>
      <c r="I1580" s="69"/>
      <c r="J1580" s="69"/>
      <c r="K1580" s="71"/>
      <c r="L1580" s="69"/>
      <c r="M1580" s="69"/>
      <c r="N1580" s="72"/>
      <c r="O1580" s="69"/>
      <c r="P1580" s="69"/>
      <c r="Q1580" s="69"/>
      <c r="R1580" s="69"/>
      <c r="S1580" s="69"/>
      <c r="T1580" s="69"/>
      <c r="U1580" s="69"/>
      <c r="V1580" s="69"/>
      <c r="W1580" s="69"/>
      <c r="X1580" s="69"/>
      <c r="Y1580" s="69"/>
      <c r="Z1580" s="69"/>
      <c r="AA1580" s="69"/>
      <c r="AB1580" s="69"/>
      <c r="AC1580" s="69"/>
      <c r="AD1580" s="69"/>
      <c r="AE1580" s="69"/>
      <c r="AF1580" s="69"/>
      <c r="AG1580" s="69"/>
      <c r="AH1580" s="69"/>
      <c r="AI1580" s="69"/>
      <c r="AJ1580" s="69"/>
      <c r="AK1580" s="69"/>
      <c r="AL1580" s="69"/>
      <c r="AM1580" s="69"/>
      <c r="AN1580" s="69"/>
      <c r="AO1580" s="69"/>
      <c r="AP1580" s="69"/>
      <c r="AQ1580" s="69"/>
      <c r="AR1580" s="69"/>
      <c r="AS1580" s="69"/>
      <c r="AT1580" s="69"/>
      <c r="AU1580" s="69"/>
      <c r="AV1580" s="69"/>
      <c r="AW1580" s="69"/>
      <c r="AX1580" s="69"/>
      <c r="AY1580" s="69"/>
      <c r="AZ1580" s="69"/>
      <c r="BA1580" s="69"/>
      <c r="BB1580" s="69"/>
      <c r="BC1580" s="69"/>
    </row>
    <row r="1581">
      <c r="A1581" s="68"/>
      <c r="B1581" s="68"/>
      <c r="C1581" s="68"/>
      <c r="D1581" s="68"/>
      <c r="E1581" s="68"/>
      <c r="F1581" s="68"/>
      <c r="G1581" s="68"/>
      <c r="H1581" s="68"/>
      <c r="I1581" s="69"/>
      <c r="J1581" s="69"/>
      <c r="K1581" s="71"/>
      <c r="L1581" s="69"/>
      <c r="M1581" s="69"/>
      <c r="N1581" s="72"/>
      <c r="O1581" s="69"/>
      <c r="P1581" s="69"/>
      <c r="Q1581" s="69"/>
      <c r="R1581" s="69"/>
      <c r="S1581" s="69"/>
      <c r="T1581" s="69"/>
      <c r="U1581" s="69"/>
      <c r="V1581" s="69"/>
      <c r="W1581" s="69"/>
      <c r="X1581" s="69"/>
      <c r="Y1581" s="69"/>
      <c r="Z1581" s="69"/>
      <c r="AA1581" s="69"/>
      <c r="AB1581" s="69"/>
      <c r="AC1581" s="69"/>
      <c r="AD1581" s="69"/>
      <c r="AE1581" s="69"/>
      <c r="AF1581" s="69"/>
      <c r="AG1581" s="69"/>
      <c r="AH1581" s="69"/>
      <c r="AI1581" s="69"/>
      <c r="AJ1581" s="69"/>
      <c r="AK1581" s="69"/>
      <c r="AL1581" s="69"/>
      <c r="AM1581" s="69"/>
      <c r="AN1581" s="69"/>
      <c r="AO1581" s="69"/>
      <c r="AP1581" s="69"/>
      <c r="AQ1581" s="69"/>
      <c r="AR1581" s="69"/>
      <c r="AS1581" s="69"/>
      <c r="AT1581" s="69"/>
      <c r="AU1581" s="69"/>
      <c r="AV1581" s="69"/>
      <c r="AW1581" s="69"/>
      <c r="AX1581" s="69"/>
      <c r="AY1581" s="69"/>
      <c r="AZ1581" s="69"/>
      <c r="BA1581" s="69"/>
      <c r="BB1581" s="69"/>
      <c r="BC1581" s="69"/>
    </row>
    <row r="1582">
      <c r="A1582" s="68"/>
      <c r="B1582" s="68"/>
      <c r="C1582" s="68"/>
      <c r="D1582" s="68"/>
      <c r="E1582" s="68"/>
      <c r="F1582" s="68"/>
      <c r="G1582" s="68"/>
      <c r="H1582" s="68"/>
      <c r="I1582" s="69"/>
      <c r="J1582" s="69"/>
      <c r="K1582" s="71"/>
      <c r="L1582" s="69"/>
      <c r="M1582" s="69"/>
      <c r="N1582" s="72"/>
      <c r="O1582" s="69"/>
      <c r="P1582" s="69"/>
      <c r="Q1582" s="69"/>
      <c r="R1582" s="69"/>
      <c r="S1582" s="69"/>
      <c r="T1582" s="69"/>
      <c r="U1582" s="69"/>
      <c r="V1582" s="69"/>
      <c r="W1582" s="69"/>
      <c r="X1582" s="69"/>
      <c r="Y1582" s="69"/>
      <c r="Z1582" s="69"/>
      <c r="AA1582" s="69"/>
      <c r="AB1582" s="69"/>
      <c r="AC1582" s="69"/>
      <c r="AD1582" s="69"/>
      <c r="AE1582" s="69"/>
      <c r="AF1582" s="69"/>
      <c r="AG1582" s="69"/>
      <c r="AH1582" s="69"/>
      <c r="AI1582" s="69"/>
      <c r="AJ1582" s="69"/>
      <c r="AK1582" s="69"/>
      <c r="AL1582" s="69"/>
      <c r="AM1582" s="69"/>
      <c r="AN1582" s="69"/>
      <c r="AO1582" s="69"/>
      <c r="AP1582" s="69"/>
      <c r="AQ1582" s="69"/>
      <c r="AR1582" s="69"/>
      <c r="AS1582" s="69"/>
      <c r="AT1582" s="69"/>
      <c r="AU1582" s="69"/>
      <c r="AV1582" s="69"/>
      <c r="AW1582" s="69"/>
      <c r="AX1582" s="69"/>
      <c r="AY1582" s="69"/>
      <c r="AZ1582" s="69"/>
      <c r="BA1582" s="69"/>
      <c r="BB1582" s="69"/>
      <c r="BC1582" s="69"/>
    </row>
    <row r="1583">
      <c r="A1583" s="68"/>
      <c r="B1583" s="68"/>
      <c r="C1583" s="68"/>
      <c r="D1583" s="68"/>
      <c r="E1583" s="68"/>
      <c r="F1583" s="68"/>
      <c r="G1583" s="68"/>
      <c r="H1583" s="68"/>
      <c r="I1583" s="69"/>
      <c r="J1583" s="69"/>
      <c r="K1583" s="71"/>
      <c r="L1583" s="69"/>
      <c r="M1583" s="69"/>
      <c r="N1583" s="72"/>
      <c r="O1583" s="69"/>
      <c r="P1583" s="69"/>
      <c r="Q1583" s="69"/>
      <c r="R1583" s="69"/>
      <c r="S1583" s="69"/>
      <c r="T1583" s="69"/>
      <c r="U1583" s="69"/>
      <c r="V1583" s="69"/>
      <c r="W1583" s="69"/>
      <c r="X1583" s="69"/>
      <c r="Y1583" s="69"/>
      <c r="Z1583" s="69"/>
      <c r="AA1583" s="69"/>
      <c r="AB1583" s="69"/>
      <c r="AC1583" s="69"/>
      <c r="AD1583" s="69"/>
      <c r="AE1583" s="69"/>
      <c r="AF1583" s="69"/>
      <c r="AG1583" s="69"/>
      <c r="AH1583" s="69"/>
      <c r="AI1583" s="69"/>
      <c r="AJ1583" s="69"/>
      <c r="AK1583" s="69"/>
      <c r="AL1583" s="69"/>
      <c r="AM1583" s="69"/>
      <c r="AN1583" s="69"/>
      <c r="AO1583" s="69"/>
      <c r="AP1583" s="69"/>
      <c r="AQ1583" s="69"/>
      <c r="AR1583" s="69"/>
      <c r="AS1583" s="69"/>
      <c r="AT1583" s="69"/>
      <c r="AU1583" s="69"/>
      <c r="AV1583" s="69"/>
      <c r="AW1583" s="69"/>
      <c r="AX1583" s="69"/>
      <c r="AY1583" s="69"/>
      <c r="AZ1583" s="69"/>
      <c r="BA1583" s="69"/>
      <c r="BB1583" s="69"/>
      <c r="BC1583" s="69"/>
    </row>
    <row r="1584">
      <c r="A1584" s="68"/>
      <c r="B1584" s="68"/>
      <c r="C1584" s="68"/>
      <c r="D1584" s="68"/>
      <c r="E1584" s="68"/>
      <c r="F1584" s="68"/>
      <c r="G1584" s="68"/>
      <c r="H1584" s="68"/>
      <c r="I1584" s="69"/>
      <c r="J1584" s="69"/>
      <c r="K1584" s="71"/>
      <c r="L1584" s="69"/>
      <c r="M1584" s="69"/>
      <c r="N1584" s="72"/>
      <c r="O1584" s="69"/>
      <c r="P1584" s="69"/>
      <c r="Q1584" s="69"/>
      <c r="R1584" s="69"/>
      <c r="S1584" s="69"/>
      <c r="T1584" s="69"/>
      <c r="U1584" s="69"/>
      <c r="V1584" s="69"/>
      <c r="W1584" s="69"/>
      <c r="X1584" s="69"/>
      <c r="Y1584" s="69"/>
      <c r="Z1584" s="69"/>
      <c r="AA1584" s="69"/>
      <c r="AB1584" s="69"/>
      <c r="AC1584" s="69"/>
      <c r="AD1584" s="69"/>
      <c r="AE1584" s="69"/>
      <c r="AF1584" s="69"/>
      <c r="AG1584" s="69"/>
      <c r="AH1584" s="69"/>
      <c r="AI1584" s="69"/>
      <c r="AJ1584" s="69"/>
      <c r="AK1584" s="69"/>
      <c r="AL1584" s="69"/>
      <c r="AM1584" s="69"/>
      <c r="AN1584" s="69"/>
      <c r="AO1584" s="69"/>
      <c r="AP1584" s="69"/>
      <c r="AQ1584" s="69"/>
      <c r="AR1584" s="69"/>
      <c r="AS1584" s="69"/>
      <c r="AT1584" s="69"/>
      <c r="AU1584" s="69"/>
      <c r="AV1584" s="69"/>
      <c r="AW1584" s="69"/>
      <c r="AX1584" s="69"/>
      <c r="AY1584" s="69"/>
      <c r="AZ1584" s="69"/>
      <c r="BA1584" s="69"/>
      <c r="BB1584" s="69"/>
      <c r="BC1584" s="69"/>
    </row>
    <row r="1585">
      <c r="A1585" s="68"/>
      <c r="B1585" s="68"/>
      <c r="C1585" s="68"/>
      <c r="D1585" s="68"/>
      <c r="E1585" s="68"/>
      <c r="F1585" s="68"/>
      <c r="G1585" s="68"/>
      <c r="H1585" s="68"/>
      <c r="I1585" s="69"/>
      <c r="J1585" s="69"/>
      <c r="K1585" s="71"/>
      <c r="L1585" s="69"/>
      <c r="M1585" s="69"/>
      <c r="N1585" s="72"/>
      <c r="O1585" s="69"/>
      <c r="P1585" s="69"/>
      <c r="Q1585" s="69"/>
      <c r="R1585" s="69"/>
      <c r="S1585" s="69"/>
      <c r="T1585" s="69"/>
      <c r="U1585" s="69"/>
      <c r="V1585" s="69"/>
      <c r="W1585" s="69"/>
      <c r="X1585" s="69"/>
      <c r="Y1585" s="69"/>
      <c r="Z1585" s="69"/>
      <c r="AA1585" s="69"/>
      <c r="AB1585" s="69"/>
      <c r="AC1585" s="69"/>
      <c r="AD1585" s="69"/>
      <c r="AE1585" s="69"/>
      <c r="AF1585" s="69"/>
      <c r="AG1585" s="69"/>
      <c r="AH1585" s="69"/>
      <c r="AI1585" s="69"/>
      <c r="AJ1585" s="69"/>
      <c r="AK1585" s="69"/>
      <c r="AL1585" s="69"/>
      <c r="AM1585" s="69"/>
      <c r="AN1585" s="69"/>
      <c r="AO1585" s="69"/>
      <c r="AP1585" s="69"/>
      <c r="AQ1585" s="69"/>
      <c r="AR1585" s="69"/>
      <c r="AS1585" s="69"/>
      <c r="AT1585" s="69"/>
      <c r="AU1585" s="69"/>
      <c r="AV1585" s="69"/>
      <c r="AW1585" s="69"/>
      <c r="AX1585" s="69"/>
      <c r="AY1585" s="69"/>
      <c r="AZ1585" s="69"/>
      <c r="BA1585" s="69"/>
      <c r="BB1585" s="69"/>
      <c r="BC1585" s="69"/>
    </row>
    <row r="1586">
      <c r="A1586" s="68"/>
      <c r="B1586" s="68"/>
      <c r="C1586" s="68"/>
      <c r="D1586" s="68"/>
      <c r="E1586" s="68"/>
      <c r="F1586" s="68"/>
      <c r="G1586" s="68"/>
      <c r="H1586" s="68"/>
      <c r="I1586" s="69"/>
      <c r="J1586" s="69"/>
      <c r="K1586" s="71"/>
      <c r="L1586" s="69"/>
      <c r="M1586" s="69"/>
      <c r="N1586" s="72"/>
      <c r="O1586" s="69"/>
      <c r="P1586" s="69"/>
      <c r="Q1586" s="69"/>
      <c r="R1586" s="69"/>
      <c r="S1586" s="69"/>
      <c r="T1586" s="69"/>
      <c r="U1586" s="69"/>
      <c r="V1586" s="69"/>
      <c r="W1586" s="69"/>
      <c r="X1586" s="69"/>
      <c r="Y1586" s="69"/>
      <c r="Z1586" s="69"/>
      <c r="AA1586" s="69"/>
      <c r="AB1586" s="69"/>
      <c r="AC1586" s="69"/>
      <c r="AD1586" s="69"/>
      <c r="AE1586" s="69"/>
      <c r="AF1586" s="69"/>
      <c r="AG1586" s="69"/>
      <c r="AH1586" s="69"/>
      <c r="AI1586" s="69"/>
      <c r="AJ1586" s="69"/>
      <c r="AK1586" s="69"/>
      <c r="AL1586" s="69"/>
      <c r="AM1586" s="69"/>
      <c r="AN1586" s="69"/>
      <c r="AO1586" s="69"/>
      <c r="AP1586" s="69"/>
      <c r="AQ1586" s="69"/>
      <c r="AR1586" s="69"/>
      <c r="AS1586" s="69"/>
      <c r="AT1586" s="69"/>
      <c r="AU1586" s="69"/>
      <c r="AV1586" s="69"/>
      <c r="AW1586" s="69"/>
      <c r="AX1586" s="69"/>
      <c r="AY1586" s="69"/>
      <c r="AZ1586" s="69"/>
      <c r="BA1586" s="69"/>
      <c r="BB1586" s="69"/>
      <c r="BC1586" s="69"/>
    </row>
    <row r="1587">
      <c r="A1587" s="68"/>
      <c r="B1587" s="68"/>
      <c r="C1587" s="68"/>
      <c r="D1587" s="68"/>
      <c r="E1587" s="68"/>
      <c r="F1587" s="68"/>
      <c r="G1587" s="68"/>
      <c r="H1587" s="68"/>
      <c r="I1587" s="69"/>
      <c r="J1587" s="69"/>
      <c r="K1587" s="71"/>
      <c r="L1587" s="69"/>
      <c r="M1587" s="69"/>
      <c r="N1587" s="72"/>
      <c r="O1587" s="69"/>
      <c r="P1587" s="69"/>
      <c r="Q1587" s="69"/>
      <c r="R1587" s="69"/>
      <c r="S1587" s="69"/>
      <c r="T1587" s="69"/>
      <c r="U1587" s="69"/>
      <c r="V1587" s="69"/>
      <c r="W1587" s="69"/>
      <c r="X1587" s="69"/>
      <c r="Y1587" s="69"/>
      <c r="Z1587" s="69"/>
      <c r="AA1587" s="69"/>
      <c r="AB1587" s="69"/>
      <c r="AC1587" s="69"/>
      <c r="AD1587" s="69"/>
      <c r="AE1587" s="69"/>
      <c r="AF1587" s="69"/>
      <c r="AG1587" s="69"/>
      <c r="AH1587" s="69"/>
      <c r="AI1587" s="69"/>
      <c r="AJ1587" s="69"/>
      <c r="AK1587" s="69"/>
      <c r="AL1587" s="69"/>
      <c r="AM1587" s="69"/>
      <c r="AN1587" s="69"/>
      <c r="AO1587" s="69"/>
      <c r="AP1587" s="69"/>
      <c r="AQ1587" s="69"/>
      <c r="AR1587" s="69"/>
      <c r="AS1587" s="69"/>
      <c r="AT1587" s="69"/>
      <c r="AU1587" s="69"/>
      <c r="AV1587" s="69"/>
      <c r="AW1587" s="69"/>
      <c r="AX1587" s="69"/>
      <c r="AY1587" s="69"/>
      <c r="AZ1587" s="69"/>
      <c r="BA1587" s="69"/>
      <c r="BB1587" s="69"/>
      <c r="BC1587" s="69"/>
    </row>
    <row r="1588">
      <c r="A1588" s="68"/>
      <c r="B1588" s="68"/>
      <c r="C1588" s="68"/>
      <c r="D1588" s="68"/>
      <c r="E1588" s="68"/>
      <c r="F1588" s="68"/>
      <c r="G1588" s="68"/>
      <c r="H1588" s="68"/>
      <c r="I1588" s="69"/>
      <c r="J1588" s="69"/>
      <c r="K1588" s="71"/>
      <c r="L1588" s="69"/>
      <c r="M1588" s="69"/>
      <c r="N1588" s="72"/>
      <c r="O1588" s="69"/>
      <c r="P1588" s="69"/>
      <c r="Q1588" s="69"/>
      <c r="R1588" s="69"/>
      <c r="S1588" s="69"/>
      <c r="T1588" s="69"/>
      <c r="U1588" s="69"/>
      <c r="V1588" s="69"/>
      <c r="W1588" s="69"/>
      <c r="X1588" s="69"/>
      <c r="Y1588" s="69"/>
      <c r="Z1588" s="69"/>
      <c r="AA1588" s="69"/>
      <c r="AB1588" s="69"/>
      <c r="AC1588" s="69"/>
      <c r="AD1588" s="69"/>
      <c r="AE1588" s="69"/>
      <c r="AF1588" s="69"/>
      <c r="AG1588" s="69"/>
      <c r="AH1588" s="69"/>
      <c r="AI1588" s="69"/>
      <c r="AJ1588" s="69"/>
      <c r="AK1588" s="69"/>
      <c r="AL1588" s="69"/>
      <c r="AM1588" s="69"/>
      <c r="AN1588" s="69"/>
      <c r="AO1588" s="69"/>
      <c r="AP1588" s="69"/>
      <c r="AQ1588" s="69"/>
      <c r="AR1588" s="69"/>
      <c r="AS1588" s="69"/>
      <c r="AT1588" s="69"/>
      <c r="AU1588" s="69"/>
      <c r="AV1588" s="69"/>
      <c r="AW1588" s="69"/>
      <c r="AX1588" s="69"/>
      <c r="AY1588" s="69"/>
      <c r="AZ1588" s="69"/>
      <c r="BA1588" s="69"/>
      <c r="BB1588" s="69"/>
      <c r="BC1588" s="69"/>
    </row>
    <row r="1589">
      <c r="A1589" s="68"/>
      <c r="B1589" s="68"/>
      <c r="C1589" s="68"/>
      <c r="D1589" s="68"/>
      <c r="E1589" s="68"/>
      <c r="F1589" s="68"/>
      <c r="G1589" s="68"/>
      <c r="H1589" s="68"/>
      <c r="I1589" s="69"/>
      <c r="J1589" s="69"/>
      <c r="K1589" s="71"/>
      <c r="L1589" s="69"/>
      <c r="M1589" s="69"/>
      <c r="N1589" s="72"/>
      <c r="O1589" s="69"/>
      <c r="P1589" s="69"/>
      <c r="Q1589" s="69"/>
      <c r="R1589" s="69"/>
      <c r="S1589" s="69"/>
      <c r="T1589" s="69"/>
      <c r="U1589" s="69"/>
      <c r="V1589" s="69"/>
      <c r="W1589" s="69"/>
      <c r="X1589" s="69"/>
      <c r="Y1589" s="69"/>
      <c r="Z1589" s="69"/>
      <c r="AA1589" s="69"/>
      <c r="AB1589" s="69"/>
      <c r="AC1589" s="69"/>
      <c r="AD1589" s="69"/>
      <c r="AE1589" s="69"/>
      <c r="AF1589" s="69"/>
      <c r="AG1589" s="69"/>
      <c r="AH1589" s="69"/>
      <c r="AI1589" s="69"/>
      <c r="AJ1589" s="69"/>
      <c r="AK1589" s="69"/>
      <c r="AL1589" s="69"/>
      <c r="AM1589" s="69"/>
      <c r="AN1589" s="69"/>
      <c r="AO1589" s="69"/>
      <c r="AP1589" s="69"/>
      <c r="AQ1589" s="69"/>
      <c r="AR1589" s="69"/>
      <c r="AS1589" s="69"/>
      <c r="AT1589" s="69"/>
      <c r="AU1589" s="69"/>
      <c r="AV1589" s="69"/>
      <c r="AW1589" s="69"/>
      <c r="AX1589" s="69"/>
      <c r="AY1589" s="69"/>
      <c r="AZ1589" s="69"/>
      <c r="BA1589" s="69"/>
      <c r="BB1589" s="69"/>
      <c r="BC1589" s="69"/>
    </row>
    <row r="1590">
      <c r="A1590" s="68"/>
      <c r="B1590" s="68"/>
      <c r="C1590" s="68"/>
      <c r="D1590" s="68"/>
      <c r="E1590" s="68"/>
      <c r="F1590" s="68"/>
      <c r="G1590" s="68"/>
      <c r="H1590" s="68"/>
      <c r="I1590" s="69"/>
      <c r="J1590" s="69"/>
      <c r="K1590" s="71"/>
      <c r="L1590" s="69"/>
      <c r="M1590" s="69"/>
      <c r="N1590" s="72"/>
      <c r="O1590" s="69"/>
      <c r="P1590" s="69"/>
      <c r="Q1590" s="69"/>
      <c r="R1590" s="69"/>
      <c r="S1590" s="69"/>
      <c r="T1590" s="69"/>
      <c r="U1590" s="69"/>
      <c r="V1590" s="69"/>
      <c r="W1590" s="69"/>
      <c r="X1590" s="69"/>
      <c r="Y1590" s="69"/>
      <c r="Z1590" s="69"/>
      <c r="AA1590" s="69"/>
      <c r="AB1590" s="69"/>
      <c r="AC1590" s="69"/>
      <c r="AD1590" s="69"/>
      <c r="AE1590" s="69"/>
      <c r="AF1590" s="69"/>
      <c r="AG1590" s="69"/>
      <c r="AH1590" s="69"/>
      <c r="AI1590" s="69"/>
      <c r="AJ1590" s="69"/>
      <c r="AK1590" s="69"/>
      <c r="AL1590" s="69"/>
      <c r="AM1590" s="69"/>
      <c r="AN1590" s="69"/>
      <c r="AO1590" s="69"/>
      <c r="AP1590" s="69"/>
      <c r="AQ1590" s="69"/>
      <c r="AR1590" s="69"/>
      <c r="AS1590" s="69"/>
      <c r="AT1590" s="69"/>
      <c r="AU1590" s="69"/>
      <c r="AV1590" s="69"/>
      <c r="AW1590" s="69"/>
      <c r="AX1590" s="69"/>
      <c r="AY1590" s="69"/>
      <c r="AZ1590" s="69"/>
      <c r="BA1590" s="69"/>
      <c r="BB1590" s="69"/>
      <c r="BC1590" s="69"/>
    </row>
    <row r="1591">
      <c r="A1591" s="68"/>
      <c r="B1591" s="68"/>
      <c r="C1591" s="68"/>
      <c r="D1591" s="68"/>
      <c r="E1591" s="68"/>
      <c r="F1591" s="68"/>
      <c r="G1591" s="68"/>
      <c r="H1591" s="68"/>
      <c r="I1591" s="69"/>
      <c r="J1591" s="69"/>
      <c r="K1591" s="71"/>
      <c r="L1591" s="69"/>
      <c r="M1591" s="69"/>
      <c r="N1591" s="72"/>
      <c r="O1591" s="69"/>
      <c r="P1591" s="69"/>
      <c r="Q1591" s="69"/>
      <c r="R1591" s="69"/>
      <c r="S1591" s="69"/>
      <c r="T1591" s="69"/>
      <c r="U1591" s="69"/>
      <c r="V1591" s="69"/>
      <c r="W1591" s="69"/>
      <c r="X1591" s="69"/>
      <c r="Y1591" s="69"/>
      <c r="Z1591" s="69"/>
      <c r="AA1591" s="69"/>
      <c r="AB1591" s="69"/>
      <c r="AC1591" s="69"/>
      <c r="AD1591" s="69"/>
      <c r="AE1591" s="69"/>
      <c r="AF1591" s="69"/>
      <c r="AG1591" s="69"/>
      <c r="AH1591" s="69"/>
      <c r="AI1591" s="69"/>
      <c r="AJ1591" s="69"/>
      <c r="AK1591" s="69"/>
      <c r="AL1591" s="69"/>
      <c r="AM1591" s="69"/>
      <c r="AN1591" s="69"/>
      <c r="AO1591" s="69"/>
      <c r="AP1591" s="69"/>
      <c r="AQ1591" s="69"/>
      <c r="AR1591" s="69"/>
      <c r="AS1591" s="69"/>
      <c r="AT1591" s="69"/>
      <c r="AU1591" s="69"/>
      <c r="AV1591" s="69"/>
      <c r="AW1591" s="69"/>
      <c r="AX1591" s="69"/>
      <c r="AY1591" s="69"/>
      <c r="AZ1591" s="69"/>
      <c r="BA1591" s="69"/>
      <c r="BB1591" s="69"/>
      <c r="BC1591" s="69"/>
    </row>
    <row r="1592">
      <c r="A1592" s="68"/>
      <c r="B1592" s="68"/>
      <c r="C1592" s="68"/>
      <c r="D1592" s="68"/>
      <c r="E1592" s="68"/>
      <c r="F1592" s="68"/>
      <c r="G1592" s="68"/>
      <c r="H1592" s="68"/>
      <c r="I1592" s="69"/>
      <c r="J1592" s="69"/>
      <c r="K1592" s="71"/>
      <c r="L1592" s="69"/>
      <c r="M1592" s="69"/>
      <c r="N1592" s="72"/>
      <c r="O1592" s="69"/>
      <c r="P1592" s="69"/>
      <c r="Q1592" s="69"/>
      <c r="R1592" s="69"/>
      <c r="S1592" s="69"/>
      <c r="T1592" s="69"/>
      <c r="U1592" s="69"/>
      <c r="V1592" s="69"/>
      <c r="W1592" s="69"/>
      <c r="X1592" s="69"/>
      <c r="Y1592" s="69"/>
      <c r="Z1592" s="69"/>
      <c r="AA1592" s="69"/>
      <c r="AB1592" s="69"/>
      <c r="AC1592" s="69"/>
      <c r="AD1592" s="69"/>
      <c r="AE1592" s="69"/>
      <c r="AF1592" s="69"/>
      <c r="AG1592" s="69"/>
      <c r="AH1592" s="69"/>
      <c r="AI1592" s="69"/>
      <c r="AJ1592" s="69"/>
      <c r="AK1592" s="69"/>
      <c r="AL1592" s="69"/>
      <c r="AM1592" s="69"/>
      <c r="AN1592" s="69"/>
      <c r="AO1592" s="69"/>
      <c r="AP1592" s="69"/>
      <c r="AQ1592" s="69"/>
      <c r="AR1592" s="69"/>
      <c r="AS1592" s="69"/>
      <c r="AT1592" s="69"/>
      <c r="AU1592" s="69"/>
      <c r="AV1592" s="69"/>
      <c r="AW1592" s="69"/>
      <c r="AX1592" s="69"/>
      <c r="AY1592" s="69"/>
      <c r="AZ1592" s="69"/>
      <c r="BA1592" s="69"/>
      <c r="BB1592" s="69"/>
      <c r="BC1592" s="69"/>
    </row>
    <row r="1593">
      <c r="A1593" s="68"/>
      <c r="B1593" s="68"/>
      <c r="C1593" s="68"/>
      <c r="D1593" s="68"/>
      <c r="E1593" s="68"/>
      <c r="F1593" s="68"/>
      <c r="G1593" s="68"/>
      <c r="H1593" s="68"/>
      <c r="I1593" s="69"/>
      <c r="J1593" s="69"/>
      <c r="K1593" s="71"/>
      <c r="L1593" s="69"/>
      <c r="M1593" s="69"/>
      <c r="N1593" s="72"/>
      <c r="O1593" s="69"/>
      <c r="P1593" s="69"/>
      <c r="Q1593" s="69"/>
      <c r="R1593" s="69"/>
      <c r="S1593" s="69"/>
      <c r="T1593" s="69"/>
      <c r="U1593" s="69"/>
      <c r="V1593" s="69"/>
      <c r="W1593" s="69"/>
      <c r="X1593" s="69"/>
      <c r="Y1593" s="69"/>
      <c r="Z1593" s="69"/>
      <c r="AA1593" s="69"/>
      <c r="AB1593" s="69"/>
      <c r="AC1593" s="69"/>
      <c r="AD1593" s="69"/>
      <c r="AE1593" s="69"/>
      <c r="AF1593" s="69"/>
      <c r="AG1593" s="69"/>
      <c r="AH1593" s="69"/>
      <c r="AI1593" s="69"/>
      <c r="AJ1593" s="69"/>
      <c r="AK1593" s="69"/>
      <c r="AL1593" s="69"/>
      <c r="AM1593" s="69"/>
      <c r="AN1593" s="69"/>
      <c r="AO1593" s="69"/>
      <c r="AP1593" s="69"/>
      <c r="AQ1593" s="69"/>
      <c r="AR1593" s="69"/>
      <c r="AS1593" s="69"/>
      <c r="AT1593" s="69"/>
      <c r="AU1593" s="69"/>
      <c r="AV1593" s="69"/>
      <c r="AW1593" s="69"/>
      <c r="AX1593" s="69"/>
      <c r="AY1593" s="69"/>
      <c r="AZ1593" s="69"/>
      <c r="BA1593" s="69"/>
      <c r="BB1593" s="69"/>
      <c r="BC1593" s="69"/>
    </row>
    <row r="1594">
      <c r="A1594" s="68"/>
      <c r="B1594" s="68"/>
      <c r="C1594" s="68"/>
      <c r="D1594" s="68"/>
      <c r="E1594" s="68"/>
      <c r="F1594" s="68"/>
      <c r="G1594" s="68"/>
      <c r="H1594" s="68"/>
      <c r="I1594" s="69"/>
      <c r="J1594" s="69"/>
      <c r="K1594" s="71"/>
      <c r="L1594" s="69"/>
      <c r="M1594" s="69"/>
      <c r="N1594" s="72"/>
      <c r="O1594" s="69"/>
      <c r="P1594" s="69"/>
      <c r="Q1594" s="69"/>
      <c r="R1594" s="69"/>
      <c r="S1594" s="69"/>
      <c r="T1594" s="69"/>
      <c r="U1594" s="69"/>
      <c r="V1594" s="69"/>
      <c r="W1594" s="69"/>
      <c r="X1594" s="69"/>
      <c r="Y1594" s="69"/>
      <c r="Z1594" s="69"/>
      <c r="AA1594" s="69"/>
      <c r="AB1594" s="69"/>
      <c r="AC1594" s="69"/>
      <c r="AD1594" s="69"/>
      <c r="AE1594" s="69"/>
      <c r="AF1594" s="69"/>
      <c r="AG1594" s="69"/>
      <c r="AH1594" s="69"/>
      <c r="AI1594" s="69"/>
      <c r="AJ1594" s="69"/>
      <c r="AK1594" s="69"/>
      <c r="AL1594" s="69"/>
      <c r="AM1594" s="69"/>
      <c r="AN1594" s="69"/>
      <c r="AO1594" s="69"/>
      <c r="AP1594" s="69"/>
      <c r="AQ1594" s="69"/>
      <c r="AR1594" s="69"/>
      <c r="AS1594" s="69"/>
      <c r="AT1594" s="69"/>
      <c r="AU1594" s="69"/>
      <c r="AV1594" s="69"/>
      <c r="AW1594" s="69"/>
      <c r="AX1594" s="69"/>
      <c r="AY1594" s="69"/>
      <c r="AZ1594" s="69"/>
      <c r="BA1594" s="69"/>
      <c r="BB1594" s="69"/>
      <c r="BC1594" s="69"/>
    </row>
    <row r="1595">
      <c r="A1595" s="68"/>
      <c r="B1595" s="68"/>
      <c r="C1595" s="68"/>
      <c r="D1595" s="68"/>
      <c r="E1595" s="68"/>
      <c r="F1595" s="68"/>
      <c r="G1595" s="68"/>
      <c r="H1595" s="68"/>
      <c r="I1595" s="69"/>
      <c r="J1595" s="69"/>
      <c r="K1595" s="71"/>
      <c r="L1595" s="69"/>
      <c r="M1595" s="69"/>
      <c r="N1595" s="72"/>
      <c r="O1595" s="69"/>
      <c r="P1595" s="69"/>
      <c r="Q1595" s="69"/>
      <c r="R1595" s="69"/>
      <c r="S1595" s="69"/>
      <c r="T1595" s="69"/>
      <c r="U1595" s="69"/>
      <c r="V1595" s="69"/>
      <c r="W1595" s="69"/>
      <c r="X1595" s="69"/>
      <c r="Y1595" s="69"/>
      <c r="Z1595" s="69"/>
      <c r="AA1595" s="69"/>
      <c r="AB1595" s="69"/>
      <c r="AC1595" s="69"/>
      <c r="AD1595" s="69"/>
      <c r="AE1595" s="69"/>
      <c r="AF1595" s="69"/>
      <c r="AG1595" s="69"/>
      <c r="AH1595" s="69"/>
      <c r="AI1595" s="69"/>
      <c r="AJ1595" s="69"/>
      <c r="AK1595" s="69"/>
      <c r="AL1595" s="69"/>
      <c r="AM1595" s="69"/>
      <c r="AN1595" s="69"/>
      <c r="AO1595" s="69"/>
      <c r="AP1595" s="69"/>
      <c r="AQ1595" s="69"/>
      <c r="AR1595" s="69"/>
      <c r="AS1595" s="69"/>
      <c r="AT1595" s="69"/>
      <c r="AU1595" s="69"/>
      <c r="AV1595" s="69"/>
      <c r="AW1595" s="69"/>
      <c r="AX1595" s="69"/>
      <c r="AY1595" s="69"/>
      <c r="AZ1595" s="69"/>
      <c r="BA1595" s="69"/>
      <c r="BB1595" s="69"/>
      <c r="BC1595" s="69"/>
    </row>
    <row r="1596">
      <c r="A1596" s="68"/>
      <c r="B1596" s="68"/>
      <c r="C1596" s="68"/>
      <c r="D1596" s="68"/>
      <c r="E1596" s="68"/>
      <c r="F1596" s="68"/>
      <c r="G1596" s="68"/>
      <c r="H1596" s="68"/>
      <c r="I1596" s="69"/>
      <c r="J1596" s="69"/>
      <c r="K1596" s="71"/>
      <c r="L1596" s="69"/>
      <c r="M1596" s="69"/>
      <c r="N1596" s="72"/>
      <c r="O1596" s="69"/>
      <c r="P1596" s="69"/>
      <c r="Q1596" s="69"/>
      <c r="R1596" s="69"/>
      <c r="S1596" s="69"/>
      <c r="T1596" s="69"/>
      <c r="U1596" s="69"/>
      <c r="V1596" s="69"/>
      <c r="W1596" s="69"/>
      <c r="X1596" s="69"/>
      <c r="Y1596" s="69"/>
      <c r="Z1596" s="69"/>
      <c r="AA1596" s="69"/>
      <c r="AB1596" s="69"/>
      <c r="AC1596" s="69"/>
      <c r="AD1596" s="69"/>
      <c r="AE1596" s="69"/>
      <c r="AF1596" s="69"/>
      <c r="AG1596" s="69"/>
      <c r="AH1596" s="69"/>
      <c r="AI1596" s="69"/>
      <c r="AJ1596" s="69"/>
      <c r="AK1596" s="69"/>
      <c r="AL1596" s="69"/>
      <c r="AM1596" s="69"/>
      <c r="AN1596" s="69"/>
      <c r="AO1596" s="69"/>
      <c r="AP1596" s="69"/>
      <c r="AQ1596" s="69"/>
      <c r="AR1596" s="69"/>
      <c r="AS1596" s="69"/>
      <c r="AT1596" s="69"/>
      <c r="AU1596" s="69"/>
      <c r="AV1596" s="69"/>
      <c r="AW1596" s="69"/>
      <c r="AX1596" s="69"/>
      <c r="AY1596" s="69"/>
      <c r="AZ1596" s="69"/>
      <c r="BA1596" s="69"/>
      <c r="BB1596" s="69"/>
      <c r="BC1596" s="69"/>
    </row>
    <row r="1597">
      <c r="A1597" s="68"/>
      <c r="B1597" s="68"/>
      <c r="C1597" s="68"/>
      <c r="D1597" s="68"/>
      <c r="E1597" s="68"/>
      <c r="F1597" s="68"/>
      <c r="G1597" s="68"/>
      <c r="H1597" s="68"/>
      <c r="I1597" s="69"/>
      <c r="J1597" s="69"/>
      <c r="K1597" s="71"/>
      <c r="L1597" s="69"/>
      <c r="M1597" s="69"/>
      <c r="N1597" s="72"/>
      <c r="O1597" s="69"/>
      <c r="P1597" s="69"/>
      <c r="Q1597" s="69"/>
      <c r="R1597" s="69"/>
      <c r="S1597" s="69"/>
      <c r="T1597" s="69"/>
      <c r="U1597" s="69"/>
      <c r="V1597" s="69"/>
      <c r="W1597" s="69"/>
      <c r="X1597" s="69"/>
      <c r="Y1597" s="69"/>
      <c r="Z1597" s="69"/>
      <c r="AA1597" s="69"/>
      <c r="AB1597" s="69"/>
      <c r="AC1597" s="69"/>
      <c r="AD1597" s="69"/>
      <c r="AE1597" s="69"/>
      <c r="AF1597" s="69"/>
      <c r="AG1597" s="69"/>
      <c r="AH1597" s="69"/>
      <c r="AI1597" s="69"/>
      <c r="AJ1597" s="69"/>
      <c r="AK1597" s="69"/>
      <c r="AL1597" s="69"/>
      <c r="AM1597" s="69"/>
      <c r="AN1597" s="69"/>
      <c r="AO1597" s="69"/>
      <c r="AP1597" s="69"/>
      <c r="AQ1597" s="69"/>
      <c r="AR1597" s="69"/>
      <c r="AS1597" s="69"/>
      <c r="AT1597" s="69"/>
      <c r="AU1597" s="69"/>
      <c r="AV1597" s="69"/>
      <c r="AW1597" s="69"/>
      <c r="AX1597" s="69"/>
      <c r="AY1597" s="69"/>
      <c r="AZ1597" s="69"/>
      <c r="BA1597" s="69"/>
      <c r="BB1597" s="69"/>
      <c r="BC1597" s="69"/>
    </row>
    <row r="1598">
      <c r="A1598" s="68"/>
      <c r="B1598" s="68"/>
      <c r="C1598" s="68"/>
      <c r="D1598" s="68"/>
      <c r="E1598" s="68"/>
      <c r="F1598" s="68"/>
      <c r="G1598" s="68"/>
      <c r="H1598" s="68"/>
      <c r="I1598" s="69"/>
      <c r="J1598" s="69"/>
      <c r="K1598" s="71"/>
      <c r="L1598" s="69"/>
      <c r="M1598" s="69"/>
      <c r="N1598" s="72"/>
      <c r="O1598" s="69"/>
      <c r="P1598" s="69"/>
      <c r="Q1598" s="69"/>
      <c r="R1598" s="69"/>
      <c r="S1598" s="69"/>
      <c r="T1598" s="69"/>
      <c r="U1598" s="69"/>
      <c r="V1598" s="69"/>
      <c r="W1598" s="69"/>
      <c r="X1598" s="69"/>
      <c r="Y1598" s="69"/>
      <c r="Z1598" s="69"/>
      <c r="AA1598" s="69"/>
      <c r="AB1598" s="69"/>
      <c r="AC1598" s="69"/>
      <c r="AD1598" s="69"/>
      <c r="AE1598" s="69"/>
      <c r="AF1598" s="69"/>
      <c r="AG1598" s="69"/>
      <c r="AH1598" s="69"/>
      <c r="AI1598" s="69"/>
      <c r="AJ1598" s="69"/>
      <c r="AK1598" s="69"/>
      <c r="AL1598" s="69"/>
      <c r="AM1598" s="69"/>
      <c r="AN1598" s="69"/>
      <c r="AO1598" s="69"/>
      <c r="AP1598" s="69"/>
      <c r="AQ1598" s="69"/>
      <c r="AR1598" s="69"/>
      <c r="AS1598" s="69"/>
      <c r="AT1598" s="69"/>
      <c r="AU1598" s="69"/>
      <c r="AV1598" s="69"/>
      <c r="AW1598" s="69"/>
      <c r="AX1598" s="69"/>
      <c r="AY1598" s="69"/>
      <c r="AZ1598" s="69"/>
      <c r="BA1598" s="69"/>
      <c r="BB1598" s="69"/>
      <c r="BC1598" s="69"/>
    </row>
    <row r="1599">
      <c r="A1599" s="68"/>
      <c r="B1599" s="68"/>
      <c r="C1599" s="68"/>
      <c r="D1599" s="68"/>
      <c r="E1599" s="68"/>
      <c r="F1599" s="68"/>
      <c r="G1599" s="68"/>
      <c r="H1599" s="68"/>
      <c r="I1599" s="69"/>
      <c r="J1599" s="69"/>
      <c r="K1599" s="71"/>
      <c r="L1599" s="69"/>
      <c r="M1599" s="69"/>
      <c r="N1599" s="72"/>
      <c r="O1599" s="69"/>
      <c r="P1599" s="69"/>
      <c r="Q1599" s="69"/>
      <c r="R1599" s="69"/>
      <c r="S1599" s="69"/>
      <c r="T1599" s="69"/>
      <c r="U1599" s="69"/>
      <c r="V1599" s="69"/>
      <c r="W1599" s="69"/>
      <c r="X1599" s="69"/>
      <c r="Y1599" s="69"/>
      <c r="Z1599" s="69"/>
      <c r="AA1599" s="69"/>
      <c r="AB1599" s="69"/>
      <c r="AC1599" s="69"/>
      <c r="AD1599" s="69"/>
      <c r="AE1599" s="69"/>
      <c r="AF1599" s="69"/>
      <c r="AG1599" s="69"/>
      <c r="AH1599" s="69"/>
      <c r="AI1599" s="69"/>
      <c r="AJ1599" s="69"/>
      <c r="AK1599" s="69"/>
      <c r="AL1599" s="69"/>
      <c r="AM1599" s="69"/>
      <c r="AN1599" s="69"/>
      <c r="AO1599" s="69"/>
      <c r="AP1599" s="69"/>
      <c r="AQ1599" s="69"/>
      <c r="AR1599" s="69"/>
      <c r="AS1599" s="69"/>
      <c r="AT1599" s="69"/>
      <c r="AU1599" s="69"/>
      <c r="AV1599" s="69"/>
      <c r="AW1599" s="69"/>
      <c r="AX1599" s="69"/>
      <c r="AY1599" s="69"/>
      <c r="AZ1599" s="69"/>
      <c r="BA1599" s="69"/>
      <c r="BB1599" s="69"/>
      <c r="BC1599" s="69"/>
    </row>
    <row r="1600">
      <c r="A1600" s="68"/>
      <c r="B1600" s="68"/>
      <c r="C1600" s="68"/>
      <c r="D1600" s="68"/>
      <c r="E1600" s="68"/>
      <c r="F1600" s="68"/>
      <c r="G1600" s="68"/>
      <c r="H1600" s="68"/>
      <c r="I1600" s="69"/>
      <c r="J1600" s="69"/>
      <c r="K1600" s="71"/>
      <c r="L1600" s="69"/>
      <c r="M1600" s="69"/>
      <c r="N1600" s="72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  <c r="AA1600" s="69"/>
      <c r="AB1600" s="69"/>
      <c r="AC1600" s="69"/>
      <c r="AD1600" s="69"/>
      <c r="AE1600" s="69"/>
      <c r="AF1600" s="69"/>
      <c r="AG1600" s="69"/>
      <c r="AH1600" s="69"/>
      <c r="AI1600" s="69"/>
      <c r="AJ1600" s="69"/>
      <c r="AK1600" s="69"/>
      <c r="AL1600" s="69"/>
      <c r="AM1600" s="69"/>
      <c r="AN1600" s="69"/>
      <c r="AO1600" s="69"/>
      <c r="AP1600" s="69"/>
      <c r="AQ1600" s="69"/>
      <c r="AR1600" s="69"/>
      <c r="AS1600" s="69"/>
      <c r="AT1600" s="69"/>
      <c r="AU1600" s="69"/>
      <c r="AV1600" s="69"/>
      <c r="AW1600" s="69"/>
      <c r="AX1600" s="69"/>
      <c r="AY1600" s="69"/>
      <c r="AZ1600" s="69"/>
      <c r="BA1600" s="69"/>
      <c r="BB1600" s="69"/>
      <c r="BC1600" s="69"/>
    </row>
    <row r="1601">
      <c r="A1601" s="68"/>
      <c r="B1601" s="68"/>
      <c r="C1601" s="68"/>
      <c r="D1601" s="68"/>
      <c r="E1601" s="68"/>
      <c r="F1601" s="68"/>
      <c r="G1601" s="68"/>
      <c r="H1601" s="68"/>
      <c r="I1601" s="69"/>
      <c r="J1601" s="69"/>
      <c r="K1601" s="71"/>
      <c r="L1601" s="69"/>
      <c r="M1601" s="69"/>
      <c r="N1601" s="72"/>
      <c r="O1601" s="69"/>
      <c r="P1601" s="69"/>
      <c r="Q1601" s="69"/>
      <c r="R1601" s="69"/>
      <c r="S1601" s="69"/>
      <c r="T1601" s="69"/>
      <c r="U1601" s="69"/>
      <c r="V1601" s="69"/>
      <c r="W1601" s="69"/>
      <c r="X1601" s="69"/>
      <c r="Y1601" s="69"/>
      <c r="Z1601" s="69"/>
      <c r="AA1601" s="69"/>
      <c r="AB1601" s="69"/>
      <c r="AC1601" s="69"/>
      <c r="AD1601" s="69"/>
      <c r="AE1601" s="69"/>
      <c r="AF1601" s="69"/>
      <c r="AG1601" s="69"/>
      <c r="AH1601" s="69"/>
      <c r="AI1601" s="69"/>
      <c r="AJ1601" s="69"/>
      <c r="AK1601" s="69"/>
      <c r="AL1601" s="69"/>
      <c r="AM1601" s="69"/>
      <c r="AN1601" s="69"/>
      <c r="AO1601" s="69"/>
      <c r="AP1601" s="69"/>
      <c r="AQ1601" s="69"/>
      <c r="AR1601" s="69"/>
      <c r="AS1601" s="69"/>
      <c r="AT1601" s="69"/>
      <c r="AU1601" s="69"/>
      <c r="AV1601" s="69"/>
      <c r="AW1601" s="69"/>
      <c r="AX1601" s="69"/>
      <c r="AY1601" s="69"/>
      <c r="AZ1601" s="69"/>
      <c r="BA1601" s="69"/>
      <c r="BB1601" s="69"/>
      <c r="BC1601" s="69"/>
    </row>
    <row r="1602">
      <c r="A1602" s="68"/>
      <c r="B1602" s="68"/>
      <c r="C1602" s="68"/>
      <c r="D1602" s="68"/>
      <c r="E1602" s="68"/>
      <c r="F1602" s="68"/>
      <c r="G1602" s="68"/>
      <c r="H1602" s="68"/>
      <c r="I1602" s="69"/>
      <c r="J1602" s="69"/>
      <c r="K1602" s="71"/>
      <c r="L1602" s="69"/>
      <c r="M1602" s="69"/>
      <c r="N1602" s="72"/>
      <c r="O1602" s="69"/>
      <c r="P1602" s="69"/>
      <c r="Q1602" s="69"/>
      <c r="R1602" s="69"/>
      <c r="S1602" s="69"/>
      <c r="T1602" s="69"/>
      <c r="U1602" s="69"/>
      <c r="V1602" s="69"/>
      <c r="W1602" s="69"/>
      <c r="X1602" s="69"/>
      <c r="Y1602" s="69"/>
      <c r="Z1602" s="69"/>
      <c r="AA1602" s="69"/>
      <c r="AB1602" s="69"/>
      <c r="AC1602" s="69"/>
      <c r="AD1602" s="69"/>
      <c r="AE1602" s="69"/>
      <c r="AF1602" s="69"/>
      <c r="AG1602" s="69"/>
      <c r="AH1602" s="69"/>
      <c r="AI1602" s="69"/>
      <c r="AJ1602" s="69"/>
      <c r="AK1602" s="69"/>
      <c r="AL1602" s="69"/>
      <c r="AM1602" s="69"/>
      <c r="AN1602" s="69"/>
      <c r="AO1602" s="69"/>
      <c r="AP1602" s="69"/>
      <c r="AQ1602" s="69"/>
      <c r="AR1602" s="69"/>
      <c r="AS1602" s="69"/>
      <c r="AT1602" s="69"/>
      <c r="AU1602" s="69"/>
      <c r="AV1602" s="69"/>
      <c r="AW1602" s="69"/>
      <c r="AX1602" s="69"/>
      <c r="AY1602" s="69"/>
      <c r="AZ1602" s="69"/>
      <c r="BA1602" s="69"/>
      <c r="BB1602" s="69"/>
      <c r="BC1602" s="69"/>
    </row>
    <row r="1603">
      <c r="A1603" s="68"/>
      <c r="B1603" s="68"/>
      <c r="C1603" s="68"/>
      <c r="D1603" s="68"/>
      <c r="E1603" s="68"/>
      <c r="F1603" s="68"/>
      <c r="G1603" s="68"/>
      <c r="H1603" s="68"/>
      <c r="I1603" s="69"/>
      <c r="J1603" s="69"/>
      <c r="K1603" s="71"/>
      <c r="L1603" s="69"/>
      <c r="M1603" s="69"/>
      <c r="N1603" s="72"/>
      <c r="O1603" s="69"/>
      <c r="P1603" s="69"/>
      <c r="Q1603" s="69"/>
      <c r="R1603" s="69"/>
      <c r="S1603" s="69"/>
      <c r="T1603" s="69"/>
      <c r="U1603" s="69"/>
      <c r="V1603" s="69"/>
      <c r="W1603" s="69"/>
      <c r="X1603" s="69"/>
      <c r="Y1603" s="69"/>
      <c r="Z1603" s="69"/>
      <c r="AA1603" s="69"/>
      <c r="AB1603" s="69"/>
      <c r="AC1603" s="69"/>
      <c r="AD1603" s="69"/>
      <c r="AE1603" s="69"/>
      <c r="AF1603" s="69"/>
      <c r="AG1603" s="69"/>
      <c r="AH1603" s="69"/>
      <c r="AI1603" s="69"/>
      <c r="AJ1603" s="69"/>
      <c r="AK1603" s="69"/>
      <c r="AL1603" s="69"/>
      <c r="AM1603" s="69"/>
      <c r="AN1603" s="69"/>
      <c r="AO1603" s="69"/>
      <c r="AP1603" s="69"/>
      <c r="AQ1603" s="69"/>
      <c r="AR1603" s="69"/>
      <c r="AS1603" s="69"/>
      <c r="AT1603" s="69"/>
      <c r="AU1603" s="69"/>
      <c r="AV1603" s="69"/>
      <c r="AW1603" s="69"/>
      <c r="AX1603" s="69"/>
      <c r="AY1603" s="69"/>
      <c r="AZ1603" s="69"/>
      <c r="BA1603" s="69"/>
      <c r="BB1603" s="69"/>
      <c r="BC1603" s="69"/>
    </row>
    <row r="1604">
      <c r="A1604" s="68"/>
      <c r="B1604" s="68"/>
      <c r="C1604" s="68"/>
      <c r="D1604" s="68"/>
      <c r="E1604" s="68"/>
      <c r="F1604" s="68"/>
      <c r="G1604" s="68"/>
      <c r="H1604" s="68"/>
      <c r="I1604" s="69"/>
      <c r="J1604" s="69"/>
      <c r="K1604" s="71"/>
      <c r="L1604" s="69"/>
      <c r="M1604" s="69"/>
      <c r="N1604" s="72"/>
      <c r="O1604" s="69"/>
      <c r="P1604" s="69"/>
      <c r="Q1604" s="69"/>
      <c r="R1604" s="69"/>
      <c r="S1604" s="69"/>
      <c r="T1604" s="69"/>
      <c r="U1604" s="69"/>
      <c r="V1604" s="69"/>
      <c r="W1604" s="69"/>
      <c r="X1604" s="69"/>
      <c r="Y1604" s="69"/>
      <c r="Z1604" s="69"/>
      <c r="AA1604" s="69"/>
      <c r="AB1604" s="69"/>
      <c r="AC1604" s="69"/>
      <c r="AD1604" s="69"/>
      <c r="AE1604" s="69"/>
      <c r="AF1604" s="69"/>
      <c r="AG1604" s="69"/>
      <c r="AH1604" s="69"/>
      <c r="AI1604" s="69"/>
      <c r="AJ1604" s="69"/>
      <c r="AK1604" s="69"/>
      <c r="AL1604" s="69"/>
      <c r="AM1604" s="69"/>
      <c r="AN1604" s="69"/>
      <c r="AO1604" s="69"/>
      <c r="AP1604" s="69"/>
      <c r="AQ1604" s="69"/>
      <c r="AR1604" s="69"/>
      <c r="AS1604" s="69"/>
      <c r="AT1604" s="69"/>
      <c r="AU1604" s="69"/>
      <c r="AV1604" s="69"/>
      <c r="AW1604" s="69"/>
      <c r="AX1604" s="69"/>
      <c r="AY1604" s="69"/>
      <c r="AZ1604" s="69"/>
      <c r="BA1604" s="69"/>
      <c r="BB1604" s="69"/>
      <c r="BC1604" s="69"/>
    </row>
    <row r="1605">
      <c r="A1605" s="68"/>
      <c r="B1605" s="68"/>
      <c r="C1605" s="68"/>
      <c r="D1605" s="68"/>
      <c r="E1605" s="68"/>
      <c r="F1605" s="68"/>
      <c r="G1605" s="68"/>
      <c r="H1605" s="68"/>
      <c r="I1605" s="69"/>
      <c r="J1605" s="69"/>
      <c r="K1605" s="71"/>
      <c r="L1605" s="69"/>
      <c r="M1605" s="69"/>
      <c r="N1605" s="72"/>
      <c r="O1605" s="69"/>
      <c r="P1605" s="69"/>
      <c r="Q1605" s="69"/>
      <c r="R1605" s="69"/>
      <c r="S1605" s="69"/>
      <c r="T1605" s="69"/>
      <c r="U1605" s="69"/>
      <c r="V1605" s="69"/>
      <c r="W1605" s="69"/>
      <c r="X1605" s="69"/>
      <c r="Y1605" s="69"/>
      <c r="Z1605" s="69"/>
      <c r="AA1605" s="69"/>
      <c r="AB1605" s="69"/>
      <c r="AC1605" s="69"/>
      <c r="AD1605" s="69"/>
      <c r="AE1605" s="69"/>
      <c r="AF1605" s="69"/>
      <c r="AG1605" s="69"/>
      <c r="AH1605" s="69"/>
      <c r="AI1605" s="69"/>
      <c r="AJ1605" s="69"/>
      <c r="AK1605" s="69"/>
      <c r="AL1605" s="69"/>
      <c r="AM1605" s="69"/>
      <c r="AN1605" s="69"/>
      <c r="AO1605" s="69"/>
      <c r="AP1605" s="69"/>
      <c r="AQ1605" s="69"/>
      <c r="AR1605" s="69"/>
      <c r="AS1605" s="69"/>
      <c r="AT1605" s="69"/>
      <c r="AU1605" s="69"/>
      <c r="AV1605" s="69"/>
      <c r="AW1605" s="69"/>
      <c r="AX1605" s="69"/>
      <c r="AY1605" s="69"/>
      <c r="AZ1605" s="69"/>
      <c r="BA1605" s="69"/>
      <c r="BB1605" s="69"/>
      <c r="BC1605" s="69"/>
    </row>
    <row r="1606">
      <c r="A1606" s="68"/>
      <c r="B1606" s="68"/>
      <c r="C1606" s="68"/>
      <c r="D1606" s="68"/>
      <c r="E1606" s="68"/>
      <c r="F1606" s="68"/>
      <c r="G1606" s="68"/>
      <c r="H1606" s="68"/>
      <c r="I1606" s="69"/>
      <c r="J1606" s="69"/>
      <c r="K1606" s="71"/>
      <c r="L1606" s="69"/>
      <c r="M1606" s="69"/>
      <c r="N1606" s="72"/>
      <c r="O1606" s="69"/>
      <c r="P1606" s="69"/>
      <c r="Q1606" s="69"/>
      <c r="R1606" s="69"/>
      <c r="S1606" s="69"/>
      <c r="T1606" s="69"/>
      <c r="U1606" s="69"/>
      <c r="V1606" s="69"/>
      <c r="W1606" s="69"/>
      <c r="X1606" s="69"/>
      <c r="Y1606" s="69"/>
      <c r="Z1606" s="69"/>
      <c r="AA1606" s="69"/>
      <c r="AB1606" s="69"/>
      <c r="AC1606" s="69"/>
      <c r="AD1606" s="69"/>
      <c r="AE1606" s="69"/>
      <c r="AF1606" s="69"/>
      <c r="AG1606" s="69"/>
      <c r="AH1606" s="69"/>
      <c r="AI1606" s="69"/>
      <c r="AJ1606" s="69"/>
      <c r="AK1606" s="69"/>
      <c r="AL1606" s="69"/>
      <c r="AM1606" s="69"/>
      <c r="AN1606" s="69"/>
      <c r="AO1606" s="69"/>
      <c r="AP1606" s="69"/>
      <c r="AQ1606" s="69"/>
      <c r="AR1606" s="69"/>
      <c r="AS1606" s="69"/>
      <c r="AT1606" s="69"/>
      <c r="AU1606" s="69"/>
      <c r="AV1606" s="69"/>
      <c r="AW1606" s="69"/>
      <c r="AX1606" s="69"/>
      <c r="AY1606" s="69"/>
      <c r="AZ1606" s="69"/>
      <c r="BA1606" s="69"/>
      <c r="BB1606" s="69"/>
      <c r="BC1606" s="69"/>
    </row>
    <row r="1607">
      <c r="A1607" s="68"/>
      <c r="B1607" s="68"/>
      <c r="C1607" s="68"/>
      <c r="D1607" s="68"/>
      <c r="E1607" s="68"/>
      <c r="F1607" s="68"/>
      <c r="G1607" s="68"/>
      <c r="H1607" s="68"/>
      <c r="I1607" s="69"/>
      <c r="J1607" s="69"/>
      <c r="K1607" s="71"/>
      <c r="L1607" s="69"/>
      <c r="M1607" s="69"/>
      <c r="N1607" s="72"/>
      <c r="O1607" s="69"/>
      <c r="P1607" s="69"/>
      <c r="Q1607" s="69"/>
      <c r="R1607" s="69"/>
      <c r="S1607" s="69"/>
      <c r="T1607" s="69"/>
      <c r="U1607" s="69"/>
      <c r="V1607" s="69"/>
      <c r="W1607" s="69"/>
      <c r="X1607" s="69"/>
      <c r="Y1607" s="69"/>
      <c r="Z1607" s="69"/>
      <c r="AA1607" s="69"/>
      <c r="AB1607" s="69"/>
      <c r="AC1607" s="69"/>
      <c r="AD1607" s="69"/>
      <c r="AE1607" s="69"/>
      <c r="AF1607" s="69"/>
      <c r="AG1607" s="69"/>
      <c r="AH1607" s="69"/>
      <c r="AI1607" s="69"/>
      <c r="AJ1607" s="69"/>
      <c r="AK1607" s="69"/>
      <c r="AL1607" s="69"/>
      <c r="AM1607" s="69"/>
      <c r="AN1607" s="69"/>
      <c r="AO1607" s="69"/>
      <c r="AP1607" s="69"/>
      <c r="AQ1607" s="69"/>
      <c r="AR1607" s="69"/>
      <c r="AS1607" s="69"/>
      <c r="AT1607" s="69"/>
      <c r="AU1607" s="69"/>
      <c r="AV1607" s="69"/>
      <c r="AW1607" s="69"/>
      <c r="AX1607" s="69"/>
      <c r="AY1607" s="69"/>
      <c r="AZ1607" s="69"/>
      <c r="BA1607" s="69"/>
      <c r="BB1607" s="69"/>
      <c r="BC1607" s="69"/>
    </row>
    <row r="1608">
      <c r="A1608" s="68"/>
      <c r="B1608" s="68"/>
      <c r="C1608" s="68"/>
      <c r="D1608" s="68"/>
      <c r="E1608" s="68"/>
      <c r="F1608" s="68"/>
      <c r="G1608" s="68"/>
      <c r="H1608" s="68"/>
      <c r="I1608" s="69"/>
      <c r="J1608" s="69"/>
      <c r="K1608" s="71"/>
      <c r="L1608" s="69"/>
      <c r="M1608" s="69"/>
      <c r="N1608" s="72"/>
      <c r="O1608" s="69"/>
      <c r="P1608" s="69"/>
      <c r="Q1608" s="69"/>
      <c r="R1608" s="69"/>
      <c r="S1608" s="69"/>
      <c r="T1608" s="69"/>
      <c r="U1608" s="69"/>
      <c r="V1608" s="69"/>
      <c r="W1608" s="69"/>
      <c r="X1608" s="69"/>
      <c r="Y1608" s="69"/>
      <c r="Z1608" s="69"/>
      <c r="AA1608" s="69"/>
      <c r="AB1608" s="69"/>
      <c r="AC1608" s="69"/>
      <c r="AD1608" s="69"/>
      <c r="AE1608" s="69"/>
      <c r="AF1608" s="69"/>
      <c r="AG1608" s="69"/>
      <c r="AH1608" s="69"/>
      <c r="AI1608" s="69"/>
      <c r="AJ1608" s="69"/>
      <c r="AK1608" s="69"/>
      <c r="AL1608" s="69"/>
      <c r="AM1608" s="69"/>
      <c r="AN1608" s="69"/>
      <c r="AO1608" s="69"/>
      <c r="AP1608" s="69"/>
      <c r="AQ1608" s="69"/>
      <c r="AR1608" s="69"/>
      <c r="AS1608" s="69"/>
      <c r="AT1608" s="69"/>
      <c r="AU1608" s="69"/>
      <c r="AV1608" s="69"/>
      <c r="AW1608" s="69"/>
      <c r="AX1608" s="69"/>
      <c r="AY1608" s="69"/>
      <c r="AZ1608" s="69"/>
      <c r="BA1608" s="69"/>
      <c r="BB1608" s="69"/>
      <c r="BC1608" s="69"/>
    </row>
    <row r="1609">
      <c r="A1609" s="68"/>
      <c r="B1609" s="68"/>
      <c r="C1609" s="68"/>
      <c r="D1609" s="68"/>
      <c r="E1609" s="68"/>
      <c r="F1609" s="68"/>
      <c r="G1609" s="68"/>
      <c r="H1609" s="68"/>
      <c r="I1609" s="69"/>
      <c r="J1609" s="69"/>
      <c r="K1609" s="71"/>
      <c r="L1609" s="69"/>
      <c r="M1609" s="69"/>
      <c r="N1609" s="72"/>
      <c r="O1609" s="69"/>
      <c r="P1609" s="69"/>
      <c r="Q1609" s="69"/>
      <c r="R1609" s="69"/>
      <c r="S1609" s="69"/>
      <c r="T1609" s="69"/>
      <c r="U1609" s="69"/>
      <c r="V1609" s="69"/>
      <c r="W1609" s="69"/>
      <c r="X1609" s="69"/>
      <c r="Y1609" s="69"/>
      <c r="Z1609" s="69"/>
      <c r="AA1609" s="69"/>
      <c r="AB1609" s="69"/>
      <c r="AC1609" s="69"/>
      <c r="AD1609" s="69"/>
      <c r="AE1609" s="69"/>
      <c r="AF1609" s="69"/>
      <c r="AG1609" s="69"/>
      <c r="AH1609" s="69"/>
      <c r="AI1609" s="69"/>
      <c r="AJ1609" s="69"/>
      <c r="AK1609" s="69"/>
      <c r="AL1609" s="69"/>
      <c r="AM1609" s="69"/>
      <c r="AN1609" s="69"/>
      <c r="AO1609" s="69"/>
      <c r="AP1609" s="69"/>
      <c r="AQ1609" s="69"/>
      <c r="AR1609" s="69"/>
      <c r="AS1609" s="69"/>
      <c r="AT1609" s="69"/>
      <c r="AU1609" s="69"/>
      <c r="AV1609" s="69"/>
      <c r="AW1609" s="69"/>
      <c r="AX1609" s="69"/>
      <c r="AY1609" s="69"/>
      <c r="AZ1609" s="69"/>
      <c r="BA1609" s="69"/>
      <c r="BB1609" s="69"/>
      <c r="BC1609" s="69"/>
    </row>
    <row r="1610">
      <c r="A1610" s="68"/>
      <c r="B1610" s="68"/>
      <c r="C1610" s="68"/>
      <c r="D1610" s="68"/>
      <c r="E1610" s="68"/>
      <c r="F1610" s="68"/>
      <c r="G1610" s="68"/>
      <c r="H1610" s="68"/>
      <c r="I1610" s="69"/>
      <c r="J1610" s="69"/>
      <c r="K1610" s="71"/>
      <c r="L1610" s="69"/>
      <c r="M1610" s="69"/>
      <c r="N1610" s="72"/>
      <c r="O1610" s="69"/>
      <c r="P1610" s="69"/>
      <c r="Q1610" s="69"/>
      <c r="R1610" s="69"/>
      <c r="S1610" s="69"/>
      <c r="T1610" s="69"/>
      <c r="U1610" s="69"/>
      <c r="V1610" s="69"/>
      <c r="W1610" s="69"/>
      <c r="X1610" s="69"/>
      <c r="Y1610" s="69"/>
      <c r="Z1610" s="69"/>
      <c r="AA1610" s="69"/>
      <c r="AB1610" s="69"/>
      <c r="AC1610" s="69"/>
      <c r="AD1610" s="69"/>
      <c r="AE1610" s="69"/>
      <c r="AF1610" s="69"/>
      <c r="AG1610" s="69"/>
      <c r="AH1610" s="69"/>
      <c r="AI1610" s="69"/>
      <c r="AJ1610" s="69"/>
      <c r="AK1610" s="69"/>
      <c r="AL1610" s="69"/>
      <c r="AM1610" s="69"/>
      <c r="AN1610" s="69"/>
      <c r="AO1610" s="69"/>
      <c r="AP1610" s="69"/>
      <c r="AQ1610" s="69"/>
      <c r="AR1610" s="69"/>
      <c r="AS1610" s="69"/>
      <c r="AT1610" s="69"/>
      <c r="AU1610" s="69"/>
      <c r="AV1610" s="69"/>
      <c r="AW1610" s="69"/>
      <c r="AX1610" s="69"/>
      <c r="AY1610" s="69"/>
      <c r="AZ1610" s="69"/>
      <c r="BA1610" s="69"/>
      <c r="BB1610" s="69"/>
      <c r="BC1610" s="69"/>
    </row>
    <row r="1611">
      <c r="A1611" s="68"/>
      <c r="B1611" s="68"/>
      <c r="C1611" s="68"/>
      <c r="D1611" s="68"/>
      <c r="E1611" s="68"/>
      <c r="F1611" s="68"/>
      <c r="G1611" s="68"/>
      <c r="H1611" s="68"/>
      <c r="I1611" s="69"/>
      <c r="J1611" s="69"/>
      <c r="K1611" s="71"/>
      <c r="L1611" s="69"/>
      <c r="M1611" s="69"/>
      <c r="N1611" s="72"/>
      <c r="O1611" s="69"/>
      <c r="P1611" s="69"/>
      <c r="Q1611" s="69"/>
      <c r="R1611" s="69"/>
      <c r="S1611" s="69"/>
      <c r="T1611" s="69"/>
      <c r="U1611" s="69"/>
      <c r="V1611" s="69"/>
      <c r="W1611" s="69"/>
      <c r="X1611" s="69"/>
      <c r="Y1611" s="69"/>
      <c r="Z1611" s="69"/>
      <c r="AA1611" s="69"/>
      <c r="AB1611" s="69"/>
      <c r="AC1611" s="69"/>
      <c r="AD1611" s="69"/>
      <c r="AE1611" s="69"/>
      <c r="AF1611" s="69"/>
      <c r="AG1611" s="69"/>
      <c r="AH1611" s="69"/>
      <c r="AI1611" s="69"/>
      <c r="AJ1611" s="69"/>
      <c r="AK1611" s="69"/>
      <c r="AL1611" s="69"/>
      <c r="AM1611" s="69"/>
      <c r="AN1611" s="69"/>
      <c r="AO1611" s="69"/>
      <c r="AP1611" s="69"/>
      <c r="AQ1611" s="69"/>
      <c r="AR1611" s="69"/>
      <c r="AS1611" s="69"/>
      <c r="AT1611" s="69"/>
      <c r="AU1611" s="69"/>
      <c r="AV1611" s="69"/>
      <c r="AW1611" s="69"/>
      <c r="AX1611" s="69"/>
      <c r="AY1611" s="69"/>
      <c r="AZ1611" s="69"/>
      <c r="BA1611" s="69"/>
      <c r="BB1611" s="69"/>
      <c r="BC1611" s="69"/>
    </row>
    <row r="1612">
      <c r="A1612" s="68"/>
      <c r="B1612" s="68"/>
      <c r="C1612" s="68"/>
      <c r="D1612" s="68"/>
      <c r="E1612" s="68"/>
      <c r="F1612" s="68"/>
      <c r="G1612" s="68"/>
      <c r="H1612" s="68"/>
      <c r="I1612" s="69"/>
      <c r="J1612" s="69"/>
      <c r="K1612" s="71"/>
      <c r="L1612" s="69"/>
      <c r="M1612" s="69"/>
      <c r="N1612" s="72"/>
      <c r="O1612" s="69"/>
      <c r="P1612" s="69"/>
      <c r="Q1612" s="69"/>
      <c r="R1612" s="69"/>
      <c r="S1612" s="69"/>
      <c r="T1612" s="69"/>
      <c r="U1612" s="69"/>
      <c r="V1612" s="69"/>
      <c r="W1612" s="69"/>
      <c r="X1612" s="69"/>
      <c r="Y1612" s="69"/>
      <c r="Z1612" s="69"/>
      <c r="AA1612" s="69"/>
      <c r="AB1612" s="69"/>
      <c r="AC1612" s="69"/>
      <c r="AD1612" s="69"/>
      <c r="AE1612" s="69"/>
      <c r="AF1612" s="69"/>
      <c r="AG1612" s="69"/>
      <c r="AH1612" s="69"/>
      <c r="AI1612" s="69"/>
      <c r="AJ1612" s="69"/>
      <c r="AK1612" s="69"/>
      <c r="AL1612" s="69"/>
      <c r="AM1612" s="69"/>
      <c r="AN1612" s="69"/>
      <c r="AO1612" s="69"/>
      <c r="AP1612" s="69"/>
      <c r="AQ1612" s="69"/>
      <c r="AR1612" s="69"/>
      <c r="AS1612" s="69"/>
      <c r="AT1612" s="69"/>
      <c r="AU1612" s="69"/>
      <c r="AV1612" s="69"/>
      <c r="AW1612" s="69"/>
      <c r="AX1612" s="69"/>
      <c r="AY1612" s="69"/>
      <c r="AZ1612" s="69"/>
      <c r="BA1612" s="69"/>
      <c r="BB1612" s="69"/>
      <c r="BC1612" s="69"/>
    </row>
    <row r="1613">
      <c r="A1613" s="68"/>
      <c r="B1613" s="68"/>
      <c r="C1613" s="68"/>
      <c r="D1613" s="68"/>
      <c r="E1613" s="68"/>
      <c r="F1613" s="68"/>
      <c r="G1613" s="68"/>
      <c r="H1613" s="68"/>
      <c r="I1613" s="69"/>
      <c r="J1613" s="69"/>
      <c r="K1613" s="71"/>
      <c r="L1613" s="69"/>
      <c r="M1613" s="69"/>
      <c r="N1613" s="72"/>
      <c r="O1613" s="69"/>
      <c r="P1613" s="69"/>
      <c r="Q1613" s="69"/>
      <c r="R1613" s="69"/>
      <c r="S1613" s="69"/>
      <c r="T1613" s="69"/>
      <c r="U1613" s="69"/>
      <c r="V1613" s="69"/>
      <c r="W1613" s="69"/>
      <c r="X1613" s="69"/>
      <c r="Y1613" s="69"/>
      <c r="Z1613" s="69"/>
      <c r="AA1613" s="69"/>
      <c r="AB1613" s="69"/>
      <c r="AC1613" s="69"/>
      <c r="AD1613" s="69"/>
      <c r="AE1613" s="69"/>
      <c r="AF1613" s="69"/>
      <c r="AG1613" s="69"/>
      <c r="AH1613" s="69"/>
      <c r="AI1613" s="69"/>
      <c r="AJ1613" s="69"/>
      <c r="AK1613" s="69"/>
      <c r="AL1613" s="69"/>
      <c r="AM1613" s="69"/>
      <c r="AN1613" s="69"/>
      <c r="AO1613" s="69"/>
      <c r="AP1613" s="69"/>
      <c r="AQ1613" s="69"/>
      <c r="AR1613" s="69"/>
      <c r="AS1613" s="69"/>
      <c r="AT1613" s="69"/>
      <c r="AU1613" s="69"/>
      <c r="AV1613" s="69"/>
      <c r="AW1613" s="69"/>
      <c r="AX1613" s="69"/>
      <c r="AY1613" s="69"/>
      <c r="AZ1613" s="69"/>
      <c r="BA1613" s="69"/>
      <c r="BB1613" s="69"/>
      <c r="BC1613" s="69"/>
    </row>
    <row r="1614">
      <c r="A1614" s="68"/>
      <c r="B1614" s="68"/>
      <c r="C1614" s="68"/>
      <c r="D1614" s="68"/>
      <c r="E1614" s="68"/>
      <c r="F1614" s="68"/>
      <c r="G1614" s="68"/>
      <c r="H1614" s="68"/>
      <c r="I1614" s="69"/>
      <c r="J1614" s="69"/>
      <c r="K1614" s="71"/>
      <c r="L1614" s="69"/>
      <c r="M1614" s="69"/>
      <c r="N1614" s="72"/>
      <c r="O1614" s="69"/>
      <c r="P1614" s="69"/>
      <c r="Q1614" s="69"/>
      <c r="R1614" s="69"/>
      <c r="S1614" s="69"/>
      <c r="T1614" s="69"/>
      <c r="U1614" s="69"/>
      <c r="V1614" s="69"/>
      <c r="W1614" s="69"/>
      <c r="X1614" s="69"/>
      <c r="Y1614" s="69"/>
      <c r="Z1614" s="69"/>
      <c r="AA1614" s="69"/>
      <c r="AB1614" s="69"/>
      <c r="AC1614" s="69"/>
      <c r="AD1614" s="69"/>
      <c r="AE1614" s="69"/>
      <c r="AF1614" s="69"/>
      <c r="AG1614" s="69"/>
      <c r="AH1614" s="69"/>
      <c r="AI1614" s="69"/>
      <c r="AJ1614" s="69"/>
      <c r="AK1614" s="69"/>
      <c r="AL1614" s="69"/>
      <c r="AM1614" s="69"/>
      <c r="AN1614" s="69"/>
      <c r="AO1614" s="69"/>
      <c r="AP1614" s="69"/>
      <c r="AQ1614" s="69"/>
      <c r="AR1614" s="69"/>
      <c r="AS1614" s="69"/>
      <c r="AT1614" s="69"/>
      <c r="AU1614" s="69"/>
      <c r="AV1614" s="69"/>
      <c r="AW1614" s="69"/>
      <c r="AX1614" s="69"/>
      <c r="AY1614" s="69"/>
      <c r="AZ1614" s="69"/>
      <c r="BA1614" s="69"/>
      <c r="BB1614" s="69"/>
      <c r="BC1614" s="69"/>
    </row>
    <row r="1615">
      <c r="A1615" s="68"/>
      <c r="B1615" s="68"/>
      <c r="C1615" s="68"/>
      <c r="D1615" s="68"/>
      <c r="E1615" s="68"/>
      <c r="F1615" s="68"/>
      <c r="G1615" s="68"/>
      <c r="H1615" s="68"/>
      <c r="I1615" s="69"/>
      <c r="J1615" s="69"/>
      <c r="K1615" s="71"/>
      <c r="L1615" s="69"/>
      <c r="M1615" s="69"/>
      <c r="N1615" s="72"/>
      <c r="O1615" s="69"/>
      <c r="P1615" s="69"/>
      <c r="Q1615" s="69"/>
      <c r="R1615" s="69"/>
      <c r="S1615" s="69"/>
      <c r="T1615" s="69"/>
      <c r="U1615" s="69"/>
      <c r="V1615" s="69"/>
      <c r="W1615" s="69"/>
      <c r="X1615" s="69"/>
      <c r="Y1615" s="69"/>
      <c r="Z1615" s="69"/>
      <c r="AA1615" s="69"/>
      <c r="AB1615" s="69"/>
      <c r="AC1615" s="69"/>
      <c r="AD1615" s="69"/>
      <c r="AE1615" s="69"/>
      <c r="AF1615" s="69"/>
      <c r="AG1615" s="69"/>
      <c r="AH1615" s="69"/>
      <c r="AI1615" s="69"/>
      <c r="AJ1615" s="69"/>
      <c r="AK1615" s="69"/>
      <c r="AL1615" s="69"/>
      <c r="AM1615" s="69"/>
      <c r="AN1615" s="69"/>
      <c r="AO1615" s="69"/>
      <c r="AP1615" s="69"/>
      <c r="AQ1615" s="69"/>
      <c r="AR1615" s="69"/>
      <c r="AS1615" s="69"/>
      <c r="AT1615" s="69"/>
      <c r="AU1615" s="69"/>
      <c r="AV1615" s="69"/>
      <c r="AW1615" s="69"/>
      <c r="AX1615" s="69"/>
      <c r="AY1615" s="69"/>
      <c r="AZ1615" s="69"/>
      <c r="BA1615" s="69"/>
      <c r="BB1615" s="69"/>
      <c r="BC1615" s="69"/>
    </row>
    <row r="1616">
      <c r="A1616" s="68"/>
      <c r="B1616" s="68"/>
      <c r="C1616" s="68"/>
      <c r="D1616" s="68"/>
      <c r="E1616" s="68"/>
      <c r="F1616" s="68"/>
      <c r="G1616" s="68"/>
      <c r="H1616" s="68"/>
      <c r="I1616" s="69"/>
      <c r="J1616" s="69"/>
      <c r="K1616" s="71"/>
      <c r="L1616" s="69"/>
      <c r="M1616" s="69"/>
      <c r="N1616" s="72"/>
      <c r="O1616" s="69"/>
      <c r="P1616" s="69"/>
      <c r="Q1616" s="69"/>
      <c r="R1616" s="69"/>
      <c r="S1616" s="69"/>
      <c r="T1616" s="69"/>
      <c r="U1616" s="69"/>
      <c r="V1616" s="69"/>
      <c r="W1616" s="69"/>
      <c r="X1616" s="69"/>
      <c r="Y1616" s="69"/>
      <c r="Z1616" s="69"/>
      <c r="AA1616" s="69"/>
      <c r="AB1616" s="69"/>
      <c r="AC1616" s="69"/>
      <c r="AD1616" s="69"/>
      <c r="AE1616" s="69"/>
      <c r="AF1616" s="69"/>
      <c r="AG1616" s="69"/>
      <c r="AH1616" s="69"/>
      <c r="AI1616" s="69"/>
      <c r="AJ1616" s="69"/>
      <c r="AK1616" s="69"/>
      <c r="AL1616" s="69"/>
      <c r="AM1616" s="69"/>
      <c r="AN1616" s="69"/>
      <c r="AO1616" s="69"/>
      <c r="AP1616" s="69"/>
      <c r="AQ1616" s="69"/>
      <c r="AR1616" s="69"/>
      <c r="AS1616" s="69"/>
      <c r="AT1616" s="69"/>
      <c r="AU1616" s="69"/>
      <c r="AV1616" s="69"/>
      <c r="AW1616" s="69"/>
      <c r="AX1616" s="69"/>
      <c r="AY1616" s="69"/>
      <c r="AZ1616" s="69"/>
      <c r="BA1616" s="69"/>
      <c r="BB1616" s="69"/>
      <c r="BC1616" s="69"/>
    </row>
    <row r="1617">
      <c r="A1617" s="68"/>
      <c r="B1617" s="68"/>
      <c r="C1617" s="68"/>
      <c r="D1617" s="68"/>
      <c r="E1617" s="68"/>
      <c r="F1617" s="68"/>
      <c r="G1617" s="68"/>
      <c r="H1617" s="68"/>
      <c r="I1617" s="69"/>
      <c r="J1617" s="69"/>
      <c r="K1617" s="71"/>
      <c r="L1617" s="69"/>
      <c r="M1617" s="69"/>
      <c r="N1617" s="72"/>
      <c r="O1617" s="69"/>
      <c r="P1617" s="69"/>
      <c r="Q1617" s="69"/>
      <c r="R1617" s="69"/>
      <c r="S1617" s="69"/>
      <c r="T1617" s="69"/>
      <c r="U1617" s="69"/>
      <c r="V1617" s="69"/>
      <c r="W1617" s="69"/>
      <c r="X1617" s="69"/>
      <c r="Y1617" s="69"/>
      <c r="Z1617" s="69"/>
      <c r="AA1617" s="69"/>
      <c r="AB1617" s="69"/>
      <c r="AC1617" s="69"/>
      <c r="AD1617" s="69"/>
      <c r="AE1617" s="69"/>
      <c r="AF1617" s="69"/>
      <c r="AG1617" s="69"/>
      <c r="AH1617" s="69"/>
      <c r="AI1617" s="69"/>
      <c r="AJ1617" s="69"/>
      <c r="AK1617" s="69"/>
      <c r="AL1617" s="69"/>
      <c r="AM1617" s="69"/>
      <c r="AN1617" s="69"/>
      <c r="AO1617" s="69"/>
      <c r="AP1617" s="69"/>
      <c r="AQ1617" s="69"/>
      <c r="AR1617" s="69"/>
      <c r="AS1617" s="69"/>
      <c r="AT1617" s="69"/>
      <c r="AU1617" s="69"/>
      <c r="AV1617" s="69"/>
      <c r="AW1617" s="69"/>
      <c r="AX1617" s="69"/>
      <c r="AY1617" s="69"/>
      <c r="AZ1617" s="69"/>
      <c r="BA1617" s="69"/>
      <c r="BB1617" s="69"/>
      <c r="BC1617" s="69"/>
    </row>
    <row r="1618">
      <c r="A1618" s="68"/>
      <c r="B1618" s="68"/>
      <c r="C1618" s="68"/>
      <c r="D1618" s="68"/>
      <c r="E1618" s="68"/>
      <c r="F1618" s="68"/>
      <c r="G1618" s="68"/>
      <c r="H1618" s="68"/>
      <c r="I1618" s="69"/>
      <c r="J1618" s="69"/>
      <c r="K1618" s="71"/>
      <c r="L1618" s="69"/>
      <c r="M1618" s="69"/>
      <c r="N1618" s="72"/>
      <c r="O1618" s="69"/>
      <c r="P1618" s="69"/>
      <c r="Q1618" s="69"/>
      <c r="R1618" s="69"/>
      <c r="S1618" s="69"/>
      <c r="T1618" s="69"/>
      <c r="U1618" s="69"/>
      <c r="V1618" s="69"/>
      <c r="W1618" s="69"/>
      <c r="X1618" s="69"/>
      <c r="Y1618" s="69"/>
      <c r="Z1618" s="69"/>
      <c r="AA1618" s="69"/>
      <c r="AB1618" s="69"/>
      <c r="AC1618" s="69"/>
      <c r="AD1618" s="69"/>
      <c r="AE1618" s="69"/>
      <c r="AF1618" s="69"/>
      <c r="AG1618" s="69"/>
      <c r="AH1618" s="69"/>
      <c r="AI1618" s="69"/>
      <c r="AJ1618" s="69"/>
      <c r="AK1618" s="69"/>
      <c r="AL1618" s="69"/>
      <c r="AM1618" s="69"/>
      <c r="AN1618" s="69"/>
      <c r="AO1618" s="69"/>
      <c r="AP1618" s="69"/>
      <c r="AQ1618" s="69"/>
      <c r="AR1618" s="69"/>
      <c r="AS1618" s="69"/>
      <c r="AT1618" s="69"/>
      <c r="AU1618" s="69"/>
      <c r="AV1618" s="69"/>
      <c r="AW1618" s="69"/>
      <c r="AX1618" s="69"/>
      <c r="AY1618" s="69"/>
      <c r="AZ1618" s="69"/>
      <c r="BA1618" s="69"/>
      <c r="BB1618" s="69"/>
      <c r="BC1618" s="69"/>
    </row>
    <row r="1619">
      <c r="A1619" s="68"/>
      <c r="B1619" s="68"/>
      <c r="C1619" s="68"/>
      <c r="D1619" s="68"/>
      <c r="E1619" s="68"/>
      <c r="F1619" s="68"/>
      <c r="G1619" s="68"/>
      <c r="H1619" s="68"/>
      <c r="I1619" s="69"/>
      <c r="J1619" s="69"/>
      <c r="K1619" s="71"/>
      <c r="L1619" s="69"/>
      <c r="M1619" s="69"/>
      <c r="N1619" s="72"/>
      <c r="O1619" s="69"/>
      <c r="P1619" s="69"/>
      <c r="Q1619" s="69"/>
      <c r="R1619" s="69"/>
      <c r="S1619" s="69"/>
      <c r="T1619" s="69"/>
      <c r="U1619" s="69"/>
      <c r="V1619" s="69"/>
      <c r="W1619" s="69"/>
      <c r="X1619" s="69"/>
      <c r="Y1619" s="69"/>
      <c r="Z1619" s="69"/>
      <c r="AA1619" s="69"/>
      <c r="AB1619" s="69"/>
      <c r="AC1619" s="69"/>
      <c r="AD1619" s="69"/>
      <c r="AE1619" s="69"/>
      <c r="AF1619" s="69"/>
      <c r="AG1619" s="69"/>
      <c r="AH1619" s="69"/>
      <c r="AI1619" s="69"/>
      <c r="AJ1619" s="69"/>
      <c r="AK1619" s="69"/>
      <c r="AL1619" s="69"/>
      <c r="AM1619" s="69"/>
      <c r="AN1619" s="69"/>
      <c r="AO1619" s="69"/>
      <c r="AP1619" s="69"/>
      <c r="AQ1619" s="69"/>
      <c r="AR1619" s="69"/>
      <c r="AS1619" s="69"/>
      <c r="AT1619" s="69"/>
      <c r="AU1619" s="69"/>
      <c r="AV1619" s="69"/>
      <c r="AW1619" s="69"/>
      <c r="AX1619" s="69"/>
      <c r="AY1619" s="69"/>
      <c r="AZ1619" s="69"/>
      <c r="BA1619" s="69"/>
      <c r="BB1619" s="69"/>
      <c r="BC1619" s="69"/>
    </row>
    <row r="1620">
      <c r="A1620" s="68"/>
      <c r="B1620" s="68"/>
      <c r="C1620" s="68"/>
      <c r="D1620" s="68"/>
      <c r="E1620" s="68"/>
      <c r="F1620" s="68"/>
      <c r="G1620" s="68"/>
      <c r="H1620" s="68"/>
      <c r="I1620" s="69"/>
      <c r="J1620" s="69"/>
      <c r="K1620" s="71"/>
      <c r="L1620" s="69"/>
      <c r="M1620" s="69"/>
      <c r="N1620" s="72"/>
      <c r="O1620" s="69"/>
      <c r="P1620" s="69"/>
      <c r="Q1620" s="69"/>
      <c r="R1620" s="69"/>
      <c r="S1620" s="69"/>
      <c r="T1620" s="69"/>
      <c r="U1620" s="69"/>
      <c r="V1620" s="69"/>
      <c r="W1620" s="69"/>
      <c r="X1620" s="69"/>
      <c r="Y1620" s="69"/>
      <c r="Z1620" s="69"/>
      <c r="AA1620" s="69"/>
      <c r="AB1620" s="69"/>
      <c r="AC1620" s="69"/>
      <c r="AD1620" s="69"/>
      <c r="AE1620" s="69"/>
      <c r="AF1620" s="69"/>
      <c r="AG1620" s="69"/>
      <c r="AH1620" s="69"/>
      <c r="AI1620" s="69"/>
      <c r="AJ1620" s="69"/>
      <c r="AK1620" s="69"/>
      <c r="AL1620" s="69"/>
      <c r="AM1620" s="69"/>
      <c r="AN1620" s="69"/>
      <c r="AO1620" s="69"/>
      <c r="AP1620" s="69"/>
      <c r="AQ1620" s="69"/>
      <c r="AR1620" s="69"/>
      <c r="AS1620" s="69"/>
      <c r="AT1620" s="69"/>
      <c r="AU1620" s="69"/>
      <c r="AV1620" s="69"/>
      <c r="AW1620" s="69"/>
      <c r="AX1620" s="69"/>
      <c r="AY1620" s="69"/>
      <c r="AZ1620" s="69"/>
      <c r="BA1620" s="69"/>
      <c r="BB1620" s="69"/>
      <c r="BC1620" s="69"/>
    </row>
    <row r="1621">
      <c r="A1621" s="68"/>
      <c r="B1621" s="68"/>
      <c r="C1621" s="68"/>
      <c r="D1621" s="68"/>
      <c r="E1621" s="68"/>
      <c r="F1621" s="68"/>
      <c r="G1621" s="68"/>
      <c r="H1621" s="68"/>
      <c r="I1621" s="69"/>
      <c r="J1621" s="69"/>
      <c r="K1621" s="71"/>
      <c r="L1621" s="69"/>
      <c r="M1621" s="69"/>
      <c r="N1621" s="72"/>
      <c r="O1621" s="69"/>
      <c r="P1621" s="69"/>
      <c r="Q1621" s="69"/>
      <c r="R1621" s="69"/>
      <c r="S1621" s="69"/>
      <c r="T1621" s="69"/>
      <c r="U1621" s="69"/>
      <c r="V1621" s="69"/>
      <c r="W1621" s="69"/>
      <c r="X1621" s="69"/>
      <c r="Y1621" s="69"/>
      <c r="Z1621" s="69"/>
      <c r="AA1621" s="69"/>
      <c r="AB1621" s="69"/>
      <c r="AC1621" s="69"/>
      <c r="AD1621" s="69"/>
      <c r="AE1621" s="69"/>
      <c r="AF1621" s="69"/>
      <c r="AG1621" s="69"/>
      <c r="AH1621" s="69"/>
      <c r="AI1621" s="69"/>
      <c r="AJ1621" s="69"/>
      <c r="AK1621" s="69"/>
      <c r="AL1621" s="69"/>
      <c r="AM1621" s="69"/>
      <c r="AN1621" s="69"/>
      <c r="AO1621" s="69"/>
      <c r="AP1621" s="69"/>
      <c r="AQ1621" s="69"/>
      <c r="AR1621" s="69"/>
      <c r="AS1621" s="69"/>
      <c r="AT1621" s="69"/>
      <c r="AU1621" s="69"/>
      <c r="AV1621" s="69"/>
      <c r="AW1621" s="69"/>
      <c r="AX1621" s="69"/>
      <c r="AY1621" s="69"/>
      <c r="AZ1621" s="69"/>
      <c r="BA1621" s="69"/>
      <c r="BB1621" s="69"/>
      <c r="BC1621" s="69"/>
    </row>
    <row r="1622">
      <c r="A1622" s="68"/>
      <c r="B1622" s="68"/>
      <c r="C1622" s="68"/>
      <c r="D1622" s="68"/>
      <c r="E1622" s="68"/>
      <c r="F1622" s="68"/>
      <c r="G1622" s="68"/>
      <c r="H1622" s="68"/>
      <c r="I1622" s="69"/>
      <c r="J1622" s="69"/>
      <c r="K1622" s="71"/>
      <c r="L1622" s="69"/>
      <c r="M1622" s="69"/>
      <c r="N1622" s="72"/>
      <c r="O1622" s="69"/>
      <c r="P1622" s="69"/>
      <c r="Q1622" s="69"/>
      <c r="R1622" s="69"/>
      <c r="S1622" s="69"/>
      <c r="T1622" s="69"/>
      <c r="U1622" s="69"/>
      <c r="V1622" s="69"/>
      <c r="W1622" s="69"/>
      <c r="X1622" s="69"/>
      <c r="Y1622" s="69"/>
      <c r="Z1622" s="69"/>
      <c r="AA1622" s="69"/>
      <c r="AB1622" s="69"/>
      <c r="AC1622" s="69"/>
      <c r="AD1622" s="69"/>
      <c r="AE1622" s="69"/>
      <c r="AF1622" s="69"/>
      <c r="AG1622" s="69"/>
      <c r="AH1622" s="69"/>
      <c r="AI1622" s="69"/>
      <c r="AJ1622" s="69"/>
      <c r="AK1622" s="69"/>
      <c r="AL1622" s="69"/>
      <c r="AM1622" s="69"/>
      <c r="AN1622" s="69"/>
      <c r="AO1622" s="69"/>
      <c r="AP1622" s="69"/>
      <c r="AQ1622" s="69"/>
      <c r="AR1622" s="69"/>
      <c r="AS1622" s="69"/>
      <c r="AT1622" s="69"/>
      <c r="AU1622" s="69"/>
      <c r="AV1622" s="69"/>
      <c r="AW1622" s="69"/>
      <c r="AX1622" s="69"/>
      <c r="AY1622" s="69"/>
      <c r="AZ1622" s="69"/>
      <c r="BA1622" s="69"/>
      <c r="BB1622" s="69"/>
      <c r="BC1622" s="69"/>
    </row>
    <row r="1623">
      <c r="A1623" s="68"/>
      <c r="B1623" s="68"/>
      <c r="C1623" s="68"/>
      <c r="D1623" s="68"/>
      <c r="E1623" s="68"/>
      <c r="F1623" s="68"/>
      <c r="G1623" s="68"/>
      <c r="H1623" s="68"/>
      <c r="I1623" s="69"/>
      <c r="J1623" s="69"/>
      <c r="K1623" s="71"/>
      <c r="L1623" s="69"/>
      <c r="M1623" s="69"/>
      <c r="N1623" s="72"/>
      <c r="O1623" s="69"/>
      <c r="P1623" s="69"/>
      <c r="Q1623" s="69"/>
      <c r="R1623" s="69"/>
      <c r="S1623" s="69"/>
      <c r="T1623" s="69"/>
      <c r="U1623" s="69"/>
      <c r="V1623" s="69"/>
      <c r="W1623" s="69"/>
      <c r="X1623" s="69"/>
      <c r="Y1623" s="69"/>
      <c r="Z1623" s="69"/>
      <c r="AA1623" s="69"/>
      <c r="AB1623" s="69"/>
      <c r="AC1623" s="69"/>
      <c r="AD1623" s="69"/>
      <c r="AE1623" s="69"/>
      <c r="AF1623" s="69"/>
      <c r="AG1623" s="69"/>
      <c r="AH1623" s="69"/>
      <c r="AI1623" s="69"/>
      <c r="AJ1623" s="69"/>
      <c r="AK1623" s="69"/>
      <c r="AL1623" s="69"/>
      <c r="AM1623" s="69"/>
      <c r="AN1623" s="69"/>
      <c r="AO1623" s="69"/>
      <c r="AP1623" s="69"/>
      <c r="AQ1623" s="69"/>
      <c r="AR1623" s="69"/>
      <c r="AS1623" s="69"/>
      <c r="AT1623" s="69"/>
      <c r="AU1623" s="69"/>
      <c r="AV1623" s="69"/>
      <c r="AW1623" s="69"/>
      <c r="AX1623" s="69"/>
      <c r="AY1623" s="69"/>
      <c r="AZ1623" s="69"/>
      <c r="BA1623" s="69"/>
      <c r="BB1623" s="69"/>
      <c r="BC1623" s="69"/>
    </row>
    <row r="1624">
      <c r="A1624" s="68"/>
      <c r="B1624" s="68"/>
      <c r="C1624" s="68"/>
      <c r="D1624" s="68"/>
      <c r="E1624" s="68"/>
      <c r="F1624" s="68"/>
      <c r="G1624" s="68"/>
      <c r="H1624" s="68"/>
      <c r="I1624" s="69"/>
      <c r="J1624" s="69"/>
      <c r="K1624" s="71"/>
      <c r="L1624" s="69"/>
      <c r="M1624" s="69"/>
      <c r="N1624" s="72"/>
      <c r="O1624" s="69"/>
      <c r="P1624" s="69"/>
      <c r="Q1624" s="69"/>
      <c r="R1624" s="69"/>
      <c r="S1624" s="69"/>
      <c r="T1624" s="69"/>
      <c r="U1624" s="69"/>
      <c r="V1624" s="69"/>
      <c r="W1624" s="69"/>
      <c r="X1624" s="69"/>
      <c r="Y1624" s="69"/>
      <c r="Z1624" s="69"/>
      <c r="AA1624" s="69"/>
      <c r="AB1624" s="69"/>
      <c r="AC1624" s="69"/>
      <c r="AD1624" s="69"/>
      <c r="AE1624" s="69"/>
      <c r="AF1624" s="69"/>
      <c r="AG1624" s="69"/>
      <c r="AH1624" s="69"/>
      <c r="AI1624" s="69"/>
      <c r="AJ1624" s="69"/>
      <c r="AK1624" s="69"/>
      <c r="AL1624" s="69"/>
      <c r="AM1624" s="69"/>
      <c r="AN1624" s="69"/>
      <c r="AO1624" s="69"/>
      <c r="AP1624" s="69"/>
      <c r="AQ1624" s="69"/>
      <c r="AR1624" s="69"/>
      <c r="AS1624" s="69"/>
      <c r="AT1624" s="69"/>
      <c r="AU1624" s="69"/>
      <c r="AV1624" s="69"/>
      <c r="AW1624" s="69"/>
      <c r="AX1624" s="69"/>
      <c r="AY1624" s="69"/>
      <c r="AZ1624" s="69"/>
      <c r="BA1624" s="69"/>
      <c r="BB1624" s="69"/>
      <c r="BC1624" s="69"/>
    </row>
    <row r="1625">
      <c r="A1625" s="68"/>
      <c r="B1625" s="68"/>
      <c r="C1625" s="68"/>
      <c r="D1625" s="68"/>
      <c r="E1625" s="68"/>
      <c r="F1625" s="68"/>
      <c r="G1625" s="68"/>
      <c r="H1625" s="68"/>
      <c r="I1625" s="69"/>
      <c r="J1625" s="69"/>
      <c r="K1625" s="71"/>
      <c r="L1625" s="69"/>
      <c r="M1625" s="69"/>
      <c r="N1625" s="72"/>
      <c r="O1625" s="69"/>
      <c r="P1625" s="69"/>
      <c r="Q1625" s="69"/>
      <c r="R1625" s="69"/>
      <c r="S1625" s="69"/>
      <c r="T1625" s="69"/>
      <c r="U1625" s="69"/>
      <c r="V1625" s="69"/>
      <c r="W1625" s="69"/>
      <c r="X1625" s="69"/>
      <c r="Y1625" s="69"/>
      <c r="Z1625" s="69"/>
      <c r="AA1625" s="69"/>
      <c r="AB1625" s="69"/>
      <c r="AC1625" s="69"/>
      <c r="AD1625" s="69"/>
      <c r="AE1625" s="69"/>
      <c r="AF1625" s="69"/>
      <c r="AG1625" s="69"/>
      <c r="AH1625" s="69"/>
      <c r="AI1625" s="69"/>
      <c r="AJ1625" s="69"/>
      <c r="AK1625" s="69"/>
      <c r="AL1625" s="69"/>
      <c r="AM1625" s="69"/>
      <c r="AN1625" s="69"/>
      <c r="AO1625" s="69"/>
      <c r="AP1625" s="69"/>
      <c r="AQ1625" s="69"/>
      <c r="AR1625" s="69"/>
      <c r="AS1625" s="69"/>
      <c r="AT1625" s="69"/>
      <c r="AU1625" s="69"/>
      <c r="AV1625" s="69"/>
      <c r="AW1625" s="69"/>
      <c r="AX1625" s="69"/>
      <c r="AY1625" s="69"/>
      <c r="AZ1625" s="69"/>
      <c r="BA1625" s="69"/>
      <c r="BB1625" s="69"/>
      <c r="BC1625" s="69"/>
    </row>
    <row r="1626">
      <c r="A1626" s="68"/>
      <c r="B1626" s="68"/>
      <c r="C1626" s="68"/>
      <c r="D1626" s="68"/>
      <c r="E1626" s="68"/>
      <c r="F1626" s="68"/>
      <c r="G1626" s="68"/>
      <c r="H1626" s="68"/>
      <c r="I1626" s="69"/>
      <c r="J1626" s="69"/>
      <c r="K1626" s="71"/>
      <c r="L1626" s="69"/>
      <c r="M1626" s="69"/>
      <c r="N1626" s="72"/>
      <c r="O1626" s="69"/>
      <c r="P1626" s="69"/>
      <c r="Q1626" s="69"/>
      <c r="R1626" s="69"/>
      <c r="S1626" s="69"/>
      <c r="T1626" s="69"/>
      <c r="U1626" s="69"/>
      <c r="V1626" s="69"/>
      <c r="W1626" s="69"/>
      <c r="X1626" s="69"/>
      <c r="Y1626" s="69"/>
      <c r="Z1626" s="69"/>
      <c r="AA1626" s="69"/>
      <c r="AB1626" s="69"/>
      <c r="AC1626" s="69"/>
      <c r="AD1626" s="69"/>
      <c r="AE1626" s="69"/>
      <c r="AF1626" s="69"/>
      <c r="AG1626" s="69"/>
      <c r="AH1626" s="69"/>
      <c r="AI1626" s="69"/>
      <c r="AJ1626" s="69"/>
      <c r="AK1626" s="69"/>
      <c r="AL1626" s="69"/>
      <c r="AM1626" s="69"/>
      <c r="AN1626" s="69"/>
      <c r="AO1626" s="69"/>
      <c r="AP1626" s="69"/>
      <c r="AQ1626" s="69"/>
      <c r="AR1626" s="69"/>
      <c r="AS1626" s="69"/>
      <c r="AT1626" s="69"/>
      <c r="AU1626" s="69"/>
      <c r="AV1626" s="69"/>
      <c r="AW1626" s="69"/>
      <c r="AX1626" s="69"/>
      <c r="AY1626" s="69"/>
      <c r="AZ1626" s="69"/>
      <c r="BA1626" s="69"/>
      <c r="BB1626" s="69"/>
      <c r="BC1626" s="69"/>
    </row>
    <row r="1627">
      <c r="A1627" s="68"/>
      <c r="B1627" s="68"/>
      <c r="C1627" s="68"/>
      <c r="D1627" s="68"/>
      <c r="E1627" s="68"/>
      <c r="F1627" s="68"/>
      <c r="G1627" s="68"/>
      <c r="H1627" s="68"/>
      <c r="I1627" s="69"/>
      <c r="J1627" s="69"/>
      <c r="K1627" s="71"/>
      <c r="L1627" s="69"/>
      <c r="M1627" s="69"/>
      <c r="N1627" s="72"/>
      <c r="O1627" s="69"/>
      <c r="P1627" s="69"/>
      <c r="Q1627" s="69"/>
      <c r="R1627" s="69"/>
      <c r="S1627" s="69"/>
      <c r="T1627" s="69"/>
      <c r="U1627" s="69"/>
      <c r="V1627" s="69"/>
      <c r="W1627" s="69"/>
      <c r="X1627" s="69"/>
      <c r="Y1627" s="69"/>
      <c r="Z1627" s="69"/>
      <c r="AA1627" s="69"/>
      <c r="AB1627" s="69"/>
      <c r="AC1627" s="69"/>
      <c r="AD1627" s="69"/>
      <c r="AE1627" s="69"/>
      <c r="AF1627" s="69"/>
      <c r="AG1627" s="69"/>
      <c r="AH1627" s="69"/>
      <c r="AI1627" s="69"/>
      <c r="AJ1627" s="69"/>
      <c r="AK1627" s="69"/>
      <c r="AL1627" s="69"/>
      <c r="AM1627" s="69"/>
      <c r="AN1627" s="69"/>
      <c r="AO1627" s="69"/>
      <c r="AP1627" s="69"/>
      <c r="AQ1627" s="69"/>
      <c r="AR1627" s="69"/>
      <c r="AS1627" s="69"/>
      <c r="AT1627" s="69"/>
      <c r="AU1627" s="69"/>
      <c r="AV1627" s="69"/>
      <c r="AW1627" s="69"/>
      <c r="AX1627" s="69"/>
      <c r="AY1627" s="69"/>
      <c r="AZ1627" s="69"/>
      <c r="BA1627" s="69"/>
      <c r="BB1627" s="69"/>
      <c r="BC1627" s="69"/>
    </row>
    <row r="1628">
      <c r="A1628" s="68"/>
      <c r="B1628" s="68"/>
      <c r="C1628" s="68"/>
      <c r="D1628" s="68"/>
      <c r="E1628" s="68"/>
      <c r="F1628" s="68"/>
      <c r="G1628" s="68"/>
      <c r="H1628" s="68"/>
      <c r="I1628" s="69"/>
      <c r="J1628" s="69"/>
      <c r="K1628" s="71"/>
      <c r="L1628" s="69"/>
      <c r="M1628" s="69"/>
      <c r="N1628" s="72"/>
      <c r="O1628" s="69"/>
      <c r="P1628" s="69"/>
      <c r="Q1628" s="69"/>
      <c r="R1628" s="69"/>
      <c r="S1628" s="69"/>
      <c r="T1628" s="69"/>
      <c r="U1628" s="69"/>
      <c r="V1628" s="69"/>
      <c r="W1628" s="69"/>
      <c r="X1628" s="69"/>
      <c r="Y1628" s="69"/>
      <c r="Z1628" s="69"/>
      <c r="AA1628" s="69"/>
      <c r="AB1628" s="69"/>
      <c r="AC1628" s="69"/>
      <c r="AD1628" s="69"/>
      <c r="AE1628" s="69"/>
      <c r="AF1628" s="69"/>
      <c r="AG1628" s="69"/>
      <c r="AH1628" s="69"/>
      <c r="AI1628" s="69"/>
      <c r="AJ1628" s="69"/>
      <c r="AK1628" s="69"/>
      <c r="AL1628" s="69"/>
      <c r="AM1628" s="69"/>
      <c r="AN1628" s="69"/>
      <c r="AO1628" s="69"/>
      <c r="AP1628" s="69"/>
      <c r="AQ1628" s="69"/>
      <c r="AR1628" s="69"/>
      <c r="AS1628" s="69"/>
      <c r="AT1628" s="69"/>
      <c r="AU1628" s="69"/>
      <c r="AV1628" s="69"/>
      <c r="AW1628" s="69"/>
      <c r="AX1628" s="69"/>
      <c r="AY1628" s="69"/>
      <c r="AZ1628" s="69"/>
      <c r="BA1628" s="69"/>
      <c r="BB1628" s="69"/>
      <c r="BC1628" s="69"/>
    </row>
    <row r="1629">
      <c r="A1629" s="68"/>
      <c r="B1629" s="68"/>
      <c r="C1629" s="68"/>
      <c r="D1629" s="68"/>
      <c r="E1629" s="68"/>
      <c r="F1629" s="68"/>
      <c r="G1629" s="68"/>
      <c r="H1629" s="68"/>
      <c r="I1629" s="69"/>
      <c r="J1629" s="69"/>
      <c r="K1629" s="71"/>
      <c r="L1629" s="69"/>
      <c r="M1629" s="69"/>
      <c r="N1629" s="72"/>
      <c r="O1629" s="69"/>
      <c r="P1629" s="69"/>
      <c r="Q1629" s="69"/>
      <c r="R1629" s="69"/>
      <c r="S1629" s="69"/>
      <c r="T1629" s="69"/>
      <c r="U1629" s="69"/>
      <c r="V1629" s="69"/>
      <c r="W1629" s="69"/>
      <c r="X1629" s="69"/>
      <c r="Y1629" s="69"/>
      <c r="Z1629" s="69"/>
      <c r="AA1629" s="69"/>
      <c r="AB1629" s="69"/>
      <c r="AC1629" s="69"/>
      <c r="AD1629" s="69"/>
      <c r="AE1629" s="69"/>
      <c r="AF1629" s="69"/>
      <c r="AG1629" s="69"/>
      <c r="AH1629" s="69"/>
      <c r="AI1629" s="69"/>
      <c r="AJ1629" s="69"/>
      <c r="AK1629" s="69"/>
      <c r="AL1629" s="69"/>
      <c r="AM1629" s="69"/>
      <c r="AN1629" s="69"/>
      <c r="AO1629" s="69"/>
      <c r="AP1629" s="69"/>
      <c r="AQ1629" s="69"/>
      <c r="AR1629" s="69"/>
      <c r="AS1629" s="69"/>
      <c r="AT1629" s="69"/>
      <c r="AU1629" s="69"/>
      <c r="AV1629" s="69"/>
      <c r="AW1629" s="69"/>
      <c r="AX1629" s="69"/>
      <c r="AY1629" s="69"/>
      <c r="AZ1629" s="69"/>
      <c r="BA1629" s="69"/>
      <c r="BB1629" s="69"/>
      <c r="BC1629" s="69"/>
    </row>
    <row r="1630">
      <c r="A1630" s="68"/>
      <c r="B1630" s="68"/>
      <c r="C1630" s="68"/>
      <c r="D1630" s="68"/>
      <c r="E1630" s="68"/>
      <c r="F1630" s="68"/>
      <c r="G1630" s="68"/>
      <c r="H1630" s="68"/>
      <c r="I1630" s="69"/>
      <c r="J1630" s="69"/>
      <c r="K1630" s="71"/>
      <c r="L1630" s="69"/>
      <c r="M1630" s="69"/>
      <c r="N1630" s="72"/>
      <c r="O1630" s="69"/>
      <c r="P1630" s="69"/>
      <c r="Q1630" s="69"/>
      <c r="R1630" s="69"/>
      <c r="S1630" s="69"/>
      <c r="T1630" s="69"/>
      <c r="U1630" s="69"/>
      <c r="V1630" s="69"/>
      <c r="W1630" s="69"/>
      <c r="X1630" s="69"/>
      <c r="Y1630" s="69"/>
      <c r="Z1630" s="69"/>
      <c r="AA1630" s="69"/>
      <c r="AB1630" s="69"/>
      <c r="AC1630" s="69"/>
      <c r="AD1630" s="69"/>
      <c r="AE1630" s="69"/>
      <c r="AF1630" s="69"/>
      <c r="AG1630" s="69"/>
      <c r="AH1630" s="69"/>
      <c r="AI1630" s="69"/>
      <c r="AJ1630" s="69"/>
      <c r="AK1630" s="69"/>
      <c r="AL1630" s="69"/>
      <c r="AM1630" s="69"/>
      <c r="AN1630" s="69"/>
      <c r="AO1630" s="69"/>
      <c r="AP1630" s="69"/>
      <c r="AQ1630" s="69"/>
      <c r="AR1630" s="69"/>
      <c r="AS1630" s="69"/>
      <c r="AT1630" s="69"/>
      <c r="AU1630" s="69"/>
      <c r="AV1630" s="69"/>
      <c r="AW1630" s="69"/>
      <c r="AX1630" s="69"/>
      <c r="AY1630" s="69"/>
      <c r="AZ1630" s="69"/>
      <c r="BA1630" s="69"/>
      <c r="BB1630" s="69"/>
      <c r="BC1630" s="69"/>
    </row>
    <row r="1631">
      <c r="A1631" s="68"/>
      <c r="B1631" s="68"/>
      <c r="C1631" s="68"/>
      <c r="D1631" s="68"/>
      <c r="E1631" s="68"/>
      <c r="F1631" s="68"/>
      <c r="G1631" s="68"/>
      <c r="H1631" s="68"/>
      <c r="I1631" s="69"/>
      <c r="J1631" s="69"/>
      <c r="K1631" s="71"/>
      <c r="L1631" s="69"/>
      <c r="M1631" s="69"/>
      <c r="N1631" s="72"/>
      <c r="O1631" s="69"/>
      <c r="P1631" s="69"/>
      <c r="Q1631" s="69"/>
      <c r="R1631" s="69"/>
      <c r="S1631" s="69"/>
      <c r="T1631" s="69"/>
      <c r="U1631" s="69"/>
      <c r="V1631" s="69"/>
      <c r="W1631" s="69"/>
      <c r="X1631" s="69"/>
      <c r="Y1631" s="69"/>
      <c r="Z1631" s="69"/>
      <c r="AA1631" s="69"/>
      <c r="AB1631" s="69"/>
      <c r="AC1631" s="69"/>
      <c r="AD1631" s="69"/>
      <c r="AE1631" s="69"/>
      <c r="AF1631" s="69"/>
      <c r="AG1631" s="69"/>
      <c r="AH1631" s="69"/>
      <c r="AI1631" s="69"/>
      <c r="AJ1631" s="69"/>
      <c r="AK1631" s="69"/>
      <c r="AL1631" s="69"/>
      <c r="AM1631" s="69"/>
      <c r="AN1631" s="69"/>
      <c r="AO1631" s="69"/>
      <c r="AP1631" s="69"/>
      <c r="AQ1631" s="69"/>
      <c r="AR1631" s="69"/>
      <c r="AS1631" s="69"/>
      <c r="AT1631" s="69"/>
      <c r="AU1631" s="69"/>
      <c r="AV1631" s="69"/>
      <c r="AW1631" s="69"/>
      <c r="AX1631" s="69"/>
      <c r="AY1631" s="69"/>
      <c r="AZ1631" s="69"/>
      <c r="BA1631" s="69"/>
      <c r="BB1631" s="69"/>
      <c r="BC1631" s="69"/>
    </row>
    <row r="1632">
      <c r="A1632" s="68"/>
      <c r="B1632" s="68"/>
      <c r="C1632" s="68"/>
      <c r="D1632" s="68"/>
      <c r="E1632" s="68"/>
      <c r="F1632" s="68"/>
      <c r="G1632" s="68"/>
      <c r="H1632" s="68"/>
      <c r="I1632" s="69"/>
      <c r="J1632" s="69"/>
      <c r="K1632" s="71"/>
      <c r="L1632" s="69"/>
      <c r="M1632" s="69"/>
      <c r="N1632" s="72"/>
      <c r="O1632" s="69"/>
      <c r="P1632" s="69"/>
      <c r="Q1632" s="69"/>
      <c r="R1632" s="69"/>
      <c r="S1632" s="69"/>
      <c r="T1632" s="69"/>
      <c r="U1632" s="69"/>
      <c r="V1632" s="69"/>
      <c r="W1632" s="69"/>
      <c r="X1632" s="69"/>
      <c r="Y1632" s="69"/>
      <c r="Z1632" s="69"/>
      <c r="AA1632" s="69"/>
      <c r="AB1632" s="69"/>
      <c r="AC1632" s="69"/>
      <c r="AD1632" s="69"/>
      <c r="AE1632" s="69"/>
      <c r="AF1632" s="69"/>
      <c r="AG1632" s="69"/>
      <c r="AH1632" s="69"/>
      <c r="AI1632" s="69"/>
      <c r="AJ1632" s="69"/>
      <c r="AK1632" s="69"/>
      <c r="AL1632" s="69"/>
      <c r="AM1632" s="69"/>
      <c r="AN1632" s="69"/>
      <c r="AO1632" s="69"/>
      <c r="AP1632" s="69"/>
      <c r="AQ1632" s="69"/>
      <c r="AR1632" s="69"/>
      <c r="AS1632" s="69"/>
      <c r="AT1632" s="69"/>
      <c r="AU1632" s="69"/>
      <c r="AV1632" s="69"/>
      <c r="AW1632" s="69"/>
      <c r="AX1632" s="69"/>
      <c r="AY1632" s="69"/>
      <c r="AZ1632" s="69"/>
      <c r="BA1632" s="69"/>
      <c r="BB1632" s="69"/>
      <c r="BC1632" s="69"/>
    </row>
    <row r="1633">
      <c r="A1633" s="68"/>
      <c r="B1633" s="68"/>
      <c r="C1633" s="68"/>
      <c r="D1633" s="68"/>
      <c r="E1633" s="68"/>
      <c r="F1633" s="68"/>
      <c r="G1633" s="68"/>
      <c r="H1633" s="68"/>
      <c r="I1633" s="69"/>
      <c r="J1633" s="69"/>
      <c r="K1633" s="71"/>
      <c r="L1633" s="69"/>
      <c r="M1633" s="69"/>
      <c r="N1633" s="72"/>
      <c r="O1633" s="69"/>
      <c r="P1633" s="69"/>
      <c r="Q1633" s="69"/>
      <c r="R1633" s="69"/>
      <c r="S1633" s="69"/>
      <c r="T1633" s="69"/>
      <c r="U1633" s="69"/>
      <c r="V1633" s="69"/>
      <c r="W1633" s="69"/>
      <c r="X1633" s="69"/>
      <c r="Y1633" s="69"/>
      <c r="Z1633" s="69"/>
      <c r="AA1633" s="69"/>
      <c r="AB1633" s="69"/>
      <c r="AC1633" s="69"/>
      <c r="AD1633" s="69"/>
      <c r="AE1633" s="69"/>
      <c r="AF1633" s="69"/>
      <c r="AG1633" s="69"/>
      <c r="AH1633" s="69"/>
      <c r="AI1633" s="69"/>
      <c r="AJ1633" s="69"/>
      <c r="AK1633" s="69"/>
      <c r="AL1633" s="69"/>
      <c r="AM1633" s="69"/>
      <c r="AN1633" s="69"/>
      <c r="AO1633" s="69"/>
      <c r="AP1633" s="69"/>
      <c r="AQ1633" s="69"/>
      <c r="AR1633" s="69"/>
      <c r="AS1633" s="69"/>
      <c r="AT1633" s="69"/>
      <c r="AU1633" s="69"/>
      <c r="AV1633" s="69"/>
      <c r="AW1633" s="69"/>
      <c r="AX1633" s="69"/>
      <c r="AY1633" s="69"/>
      <c r="AZ1633" s="69"/>
      <c r="BA1633" s="69"/>
      <c r="BB1633" s="69"/>
      <c r="BC1633" s="69"/>
    </row>
    <row r="1634">
      <c r="A1634" s="68"/>
      <c r="B1634" s="68"/>
      <c r="C1634" s="68"/>
      <c r="D1634" s="68"/>
      <c r="E1634" s="68"/>
      <c r="F1634" s="68"/>
      <c r="G1634" s="68"/>
      <c r="H1634" s="68"/>
      <c r="I1634" s="69"/>
      <c r="J1634" s="69"/>
      <c r="K1634" s="71"/>
      <c r="L1634" s="69"/>
      <c r="M1634" s="69"/>
      <c r="N1634" s="72"/>
      <c r="O1634" s="69"/>
      <c r="P1634" s="69"/>
      <c r="Q1634" s="69"/>
      <c r="R1634" s="69"/>
      <c r="S1634" s="69"/>
      <c r="T1634" s="69"/>
      <c r="U1634" s="69"/>
      <c r="V1634" s="69"/>
      <c r="W1634" s="69"/>
      <c r="X1634" s="69"/>
      <c r="Y1634" s="69"/>
      <c r="Z1634" s="69"/>
      <c r="AA1634" s="69"/>
      <c r="AB1634" s="69"/>
      <c r="AC1634" s="69"/>
      <c r="AD1634" s="69"/>
      <c r="AE1634" s="69"/>
      <c r="AF1634" s="69"/>
      <c r="AG1634" s="69"/>
      <c r="AH1634" s="69"/>
      <c r="AI1634" s="69"/>
      <c r="AJ1634" s="69"/>
      <c r="AK1634" s="69"/>
      <c r="AL1634" s="69"/>
      <c r="AM1634" s="69"/>
      <c r="AN1634" s="69"/>
      <c r="AO1634" s="69"/>
      <c r="AP1634" s="69"/>
      <c r="AQ1634" s="69"/>
      <c r="AR1634" s="69"/>
      <c r="AS1634" s="69"/>
      <c r="AT1634" s="69"/>
      <c r="AU1634" s="69"/>
      <c r="AV1634" s="69"/>
      <c r="AW1634" s="69"/>
      <c r="AX1634" s="69"/>
      <c r="AY1634" s="69"/>
      <c r="AZ1634" s="69"/>
      <c r="BA1634" s="69"/>
      <c r="BB1634" s="69"/>
      <c r="BC1634" s="69"/>
    </row>
    <row r="1635">
      <c r="A1635" s="68"/>
      <c r="B1635" s="68"/>
      <c r="C1635" s="68"/>
      <c r="D1635" s="68"/>
      <c r="E1635" s="68"/>
      <c r="F1635" s="68"/>
      <c r="G1635" s="68"/>
      <c r="H1635" s="68"/>
      <c r="I1635" s="69"/>
      <c r="J1635" s="69"/>
      <c r="K1635" s="71"/>
      <c r="L1635" s="69"/>
      <c r="M1635" s="69"/>
      <c r="N1635" s="72"/>
      <c r="O1635" s="69"/>
      <c r="P1635" s="69"/>
      <c r="Q1635" s="69"/>
      <c r="R1635" s="69"/>
      <c r="S1635" s="69"/>
      <c r="T1635" s="69"/>
      <c r="U1635" s="69"/>
      <c r="V1635" s="69"/>
      <c r="W1635" s="69"/>
      <c r="X1635" s="69"/>
      <c r="Y1635" s="69"/>
      <c r="Z1635" s="69"/>
      <c r="AA1635" s="69"/>
      <c r="AB1635" s="69"/>
      <c r="AC1635" s="69"/>
      <c r="AD1635" s="69"/>
      <c r="AE1635" s="69"/>
      <c r="AF1635" s="69"/>
      <c r="AG1635" s="69"/>
      <c r="AH1635" s="69"/>
      <c r="AI1635" s="69"/>
      <c r="AJ1635" s="69"/>
      <c r="AK1635" s="69"/>
      <c r="AL1635" s="69"/>
      <c r="AM1635" s="69"/>
      <c r="AN1635" s="69"/>
      <c r="AO1635" s="69"/>
      <c r="AP1635" s="69"/>
      <c r="AQ1635" s="69"/>
      <c r="AR1635" s="69"/>
      <c r="AS1635" s="69"/>
      <c r="AT1635" s="69"/>
      <c r="AU1635" s="69"/>
      <c r="AV1635" s="69"/>
      <c r="AW1635" s="69"/>
      <c r="AX1635" s="69"/>
      <c r="AY1635" s="69"/>
      <c r="AZ1635" s="69"/>
      <c r="BA1635" s="69"/>
      <c r="BB1635" s="69"/>
      <c r="BC1635" s="69"/>
    </row>
    <row r="1636">
      <c r="A1636" s="68"/>
      <c r="B1636" s="68"/>
      <c r="C1636" s="68"/>
      <c r="D1636" s="68"/>
      <c r="E1636" s="68"/>
      <c r="F1636" s="68"/>
      <c r="G1636" s="68"/>
      <c r="H1636" s="68"/>
      <c r="I1636" s="69"/>
      <c r="J1636" s="69"/>
      <c r="K1636" s="71"/>
      <c r="L1636" s="69"/>
      <c r="M1636" s="69"/>
      <c r="N1636" s="72"/>
      <c r="O1636" s="69"/>
      <c r="P1636" s="69"/>
      <c r="Q1636" s="69"/>
      <c r="R1636" s="69"/>
      <c r="S1636" s="69"/>
      <c r="T1636" s="69"/>
      <c r="U1636" s="69"/>
      <c r="V1636" s="69"/>
      <c r="W1636" s="69"/>
      <c r="X1636" s="69"/>
      <c r="Y1636" s="69"/>
      <c r="Z1636" s="69"/>
      <c r="AA1636" s="69"/>
      <c r="AB1636" s="69"/>
      <c r="AC1636" s="69"/>
      <c r="AD1636" s="69"/>
      <c r="AE1636" s="69"/>
      <c r="AF1636" s="69"/>
      <c r="AG1636" s="69"/>
      <c r="AH1636" s="69"/>
      <c r="AI1636" s="69"/>
      <c r="AJ1636" s="69"/>
      <c r="AK1636" s="69"/>
      <c r="AL1636" s="69"/>
      <c r="AM1636" s="69"/>
      <c r="AN1636" s="69"/>
      <c r="AO1636" s="69"/>
      <c r="AP1636" s="69"/>
      <c r="AQ1636" s="69"/>
      <c r="AR1636" s="69"/>
      <c r="AS1636" s="69"/>
      <c r="AT1636" s="69"/>
      <c r="AU1636" s="69"/>
      <c r="AV1636" s="69"/>
      <c r="AW1636" s="69"/>
      <c r="AX1636" s="69"/>
      <c r="AY1636" s="69"/>
      <c r="AZ1636" s="69"/>
      <c r="BA1636" s="69"/>
      <c r="BB1636" s="69"/>
      <c r="BC1636" s="69"/>
    </row>
    <row r="1637">
      <c r="A1637" s="68"/>
      <c r="B1637" s="68"/>
      <c r="C1637" s="68"/>
      <c r="D1637" s="68"/>
      <c r="E1637" s="68"/>
      <c r="F1637" s="68"/>
      <c r="G1637" s="68"/>
      <c r="H1637" s="68"/>
      <c r="I1637" s="69"/>
      <c r="J1637" s="69"/>
      <c r="K1637" s="71"/>
      <c r="L1637" s="69"/>
      <c r="M1637" s="69"/>
      <c r="N1637" s="72"/>
      <c r="O1637" s="69"/>
      <c r="P1637" s="69"/>
      <c r="Q1637" s="69"/>
      <c r="R1637" s="69"/>
      <c r="S1637" s="69"/>
      <c r="T1637" s="69"/>
      <c r="U1637" s="69"/>
      <c r="V1637" s="69"/>
      <c r="W1637" s="69"/>
      <c r="X1637" s="69"/>
      <c r="Y1637" s="69"/>
      <c r="Z1637" s="69"/>
      <c r="AA1637" s="69"/>
      <c r="AB1637" s="69"/>
      <c r="AC1637" s="69"/>
      <c r="AD1637" s="69"/>
      <c r="AE1637" s="69"/>
      <c r="AF1637" s="69"/>
      <c r="AG1637" s="69"/>
      <c r="AH1637" s="69"/>
      <c r="AI1637" s="69"/>
      <c r="AJ1637" s="69"/>
      <c r="AK1637" s="69"/>
      <c r="AL1637" s="69"/>
      <c r="AM1637" s="69"/>
      <c r="AN1637" s="69"/>
      <c r="AO1637" s="69"/>
      <c r="AP1637" s="69"/>
      <c r="AQ1637" s="69"/>
      <c r="AR1637" s="69"/>
      <c r="AS1637" s="69"/>
      <c r="AT1637" s="69"/>
      <c r="AU1637" s="69"/>
      <c r="AV1637" s="69"/>
      <c r="AW1637" s="69"/>
      <c r="AX1637" s="69"/>
      <c r="AY1637" s="69"/>
      <c r="AZ1637" s="69"/>
      <c r="BA1637" s="69"/>
      <c r="BB1637" s="69"/>
      <c r="BC1637" s="69"/>
    </row>
    <row r="1638">
      <c r="A1638" s="68"/>
      <c r="B1638" s="68"/>
      <c r="C1638" s="68"/>
      <c r="D1638" s="68"/>
      <c r="E1638" s="68"/>
      <c r="F1638" s="68"/>
      <c r="G1638" s="68"/>
      <c r="H1638" s="68"/>
      <c r="I1638" s="69"/>
      <c r="J1638" s="69"/>
      <c r="K1638" s="71"/>
      <c r="L1638" s="69"/>
      <c r="M1638" s="69"/>
      <c r="N1638" s="72"/>
      <c r="O1638" s="69"/>
      <c r="P1638" s="69"/>
      <c r="Q1638" s="69"/>
      <c r="R1638" s="69"/>
      <c r="S1638" s="69"/>
      <c r="T1638" s="69"/>
      <c r="U1638" s="69"/>
      <c r="V1638" s="69"/>
      <c r="W1638" s="69"/>
      <c r="X1638" s="69"/>
      <c r="Y1638" s="69"/>
      <c r="Z1638" s="69"/>
      <c r="AA1638" s="69"/>
      <c r="AB1638" s="69"/>
      <c r="AC1638" s="69"/>
      <c r="AD1638" s="69"/>
      <c r="AE1638" s="69"/>
      <c r="AF1638" s="69"/>
      <c r="AG1638" s="69"/>
      <c r="AH1638" s="69"/>
      <c r="AI1638" s="69"/>
      <c r="AJ1638" s="69"/>
      <c r="AK1638" s="69"/>
      <c r="AL1638" s="69"/>
      <c r="AM1638" s="69"/>
      <c r="AN1638" s="69"/>
      <c r="AO1638" s="69"/>
      <c r="AP1638" s="69"/>
      <c r="AQ1638" s="69"/>
      <c r="AR1638" s="69"/>
      <c r="AS1638" s="69"/>
      <c r="AT1638" s="69"/>
      <c r="AU1638" s="69"/>
      <c r="AV1638" s="69"/>
      <c r="AW1638" s="69"/>
      <c r="AX1638" s="69"/>
      <c r="AY1638" s="69"/>
      <c r="AZ1638" s="69"/>
      <c r="BA1638" s="69"/>
      <c r="BB1638" s="69"/>
      <c r="BC1638" s="69"/>
    </row>
    <row r="1639">
      <c r="A1639" s="68"/>
      <c r="B1639" s="68"/>
      <c r="C1639" s="68"/>
      <c r="D1639" s="68"/>
      <c r="E1639" s="68"/>
      <c r="F1639" s="68"/>
      <c r="G1639" s="68"/>
      <c r="H1639" s="68"/>
      <c r="I1639" s="69"/>
      <c r="J1639" s="69"/>
      <c r="K1639" s="71"/>
      <c r="L1639" s="69"/>
      <c r="M1639" s="69"/>
      <c r="N1639" s="72"/>
      <c r="O1639" s="69"/>
      <c r="P1639" s="69"/>
      <c r="Q1639" s="69"/>
      <c r="R1639" s="69"/>
      <c r="S1639" s="69"/>
      <c r="T1639" s="69"/>
      <c r="U1639" s="69"/>
      <c r="V1639" s="69"/>
      <c r="W1639" s="69"/>
      <c r="X1639" s="69"/>
      <c r="Y1639" s="69"/>
      <c r="Z1639" s="69"/>
      <c r="AA1639" s="69"/>
      <c r="AB1639" s="69"/>
      <c r="AC1639" s="69"/>
      <c r="AD1639" s="69"/>
      <c r="AE1639" s="69"/>
      <c r="AF1639" s="69"/>
      <c r="AG1639" s="69"/>
      <c r="AH1639" s="69"/>
      <c r="AI1639" s="69"/>
      <c r="AJ1639" s="69"/>
      <c r="AK1639" s="69"/>
      <c r="AL1639" s="69"/>
      <c r="AM1639" s="69"/>
      <c r="AN1639" s="69"/>
      <c r="AO1639" s="69"/>
      <c r="AP1639" s="69"/>
      <c r="AQ1639" s="69"/>
      <c r="AR1639" s="69"/>
      <c r="AS1639" s="69"/>
      <c r="AT1639" s="69"/>
      <c r="AU1639" s="69"/>
      <c r="AV1639" s="69"/>
      <c r="AW1639" s="69"/>
      <c r="AX1639" s="69"/>
      <c r="AY1639" s="69"/>
      <c r="AZ1639" s="69"/>
      <c r="BA1639" s="69"/>
      <c r="BB1639" s="69"/>
      <c r="BC1639" s="69"/>
    </row>
    <row r="1640">
      <c r="A1640" s="68"/>
      <c r="B1640" s="68"/>
      <c r="C1640" s="68"/>
      <c r="D1640" s="68"/>
      <c r="E1640" s="68"/>
      <c r="F1640" s="68"/>
      <c r="G1640" s="68"/>
      <c r="H1640" s="68"/>
      <c r="I1640" s="69"/>
      <c r="J1640" s="69"/>
      <c r="K1640" s="71"/>
      <c r="L1640" s="69"/>
      <c r="M1640" s="69"/>
      <c r="N1640" s="72"/>
      <c r="O1640" s="69"/>
      <c r="P1640" s="69"/>
      <c r="Q1640" s="69"/>
      <c r="R1640" s="69"/>
      <c r="S1640" s="69"/>
      <c r="T1640" s="69"/>
      <c r="U1640" s="69"/>
      <c r="V1640" s="69"/>
      <c r="W1640" s="69"/>
      <c r="X1640" s="69"/>
      <c r="Y1640" s="69"/>
      <c r="Z1640" s="69"/>
      <c r="AA1640" s="69"/>
      <c r="AB1640" s="69"/>
      <c r="AC1640" s="69"/>
      <c r="AD1640" s="69"/>
      <c r="AE1640" s="69"/>
      <c r="AF1640" s="69"/>
      <c r="AG1640" s="69"/>
      <c r="AH1640" s="69"/>
      <c r="AI1640" s="69"/>
      <c r="AJ1640" s="69"/>
      <c r="AK1640" s="69"/>
      <c r="AL1640" s="69"/>
      <c r="AM1640" s="69"/>
      <c r="AN1640" s="69"/>
      <c r="AO1640" s="69"/>
      <c r="AP1640" s="69"/>
      <c r="AQ1640" s="69"/>
      <c r="AR1640" s="69"/>
      <c r="AS1640" s="69"/>
      <c r="AT1640" s="69"/>
      <c r="AU1640" s="69"/>
      <c r="AV1640" s="69"/>
      <c r="AW1640" s="69"/>
      <c r="AX1640" s="69"/>
      <c r="AY1640" s="69"/>
      <c r="AZ1640" s="69"/>
      <c r="BA1640" s="69"/>
      <c r="BB1640" s="69"/>
      <c r="BC1640" s="69"/>
    </row>
    <row r="1641">
      <c r="A1641" s="68"/>
      <c r="B1641" s="68"/>
      <c r="C1641" s="68"/>
      <c r="D1641" s="68"/>
      <c r="E1641" s="68"/>
      <c r="F1641" s="68"/>
      <c r="G1641" s="68"/>
      <c r="H1641" s="68"/>
      <c r="I1641" s="69"/>
      <c r="J1641" s="69"/>
      <c r="K1641" s="71"/>
      <c r="L1641" s="69"/>
      <c r="M1641" s="69"/>
      <c r="N1641" s="72"/>
      <c r="O1641" s="69"/>
      <c r="P1641" s="69"/>
      <c r="Q1641" s="69"/>
      <c r="R1641" s="69"/>
      <c r="S1641" s="69"/>
      <c r="T1641" s="69"/>
      <c r="U1641" s="69"/>
      <c r="V1641" s="69"/>
      <c r="W1641" s="69"/>
      <c r="X1641" s="69"/>
      <c r="Y1641" s="69"/>
      <c r="Z1641" s="69"/>
      <c r="AA1641" s="69"/>
      <c r="AB1641" s="69"/>
      <c r="AC1641" s="69"/>
      <c r="AD1641" s="69"/>
      <c r="AE1641" s="69"/>
      <c r="AF1641" s="69"/>
      <c r="AG1641" s="69"/>
      <c r="AH1641" s="69"/>
      <c r="AI1641" s="69"/>
      <c r="AJ1641" s="69"/>
      <c r="AK1641" s="69"/>
      <c r="AL1641" s="69"/>
      <c r="AM1641" s="69"/>
      <c r="AN1641" s="69"/>
      <c r="AO1641" s="69"/>
      <c r="AP1641" s="69"/>
      <c r="AQ1641" s="69"/>
      <c r="AR1641" s="69"/>
      <c r="AS1641" s="69"/>
      <c r="AT1641" s="69"/>
      <c r="AU1641" s="69"/>
      <c r="AV1641" s="69"/>
      <c r="AW1641" s="69"/>
      <c r="AX1641" s="69"/>
      <c r="AY1641" s="69"/>
      <c r="AZ1641" s="69"/>
      <c r="BA1641" s="69"/>
      <c r="BB1641" s="69"/>
      <c r="BC1641" s="69"/>
    </row>
    <row r="1642">
      <c r="A1642" s="68"/>
      <c r="B1642" s="68"/>
      <c r="C1642" s="68"/>
      <c r="D1642" s="68"/>
      <c r="E1642" s="68"/>
      <c r="F1642" s="68"/>
      <c r="G1642" s="68"/>
      <c r="H1642" s="68"/>
      <c r="I1642" s="69"/>
      <c r="J1642" s="69"/>
      <c r="K1642" s="71"/>
      <c r="L1642" s="69"/>
      <c r="M1642" s="69"/>
      <c r="N1642" s="72"/>
      <c r="O1642" s="69"/>
      <c r="P1642" s="69"/>
      <c r="Q1642" s="69"/>
      <c r="R1642" s="69"/>
      <c r="S1642" s="69"/>
      <c r="T1642" s="69"/>
      <c r="U1642" s="69"/>
      <c r="V1642" s="69"/>
      <c r="W1642" s="69"/>
      <c r="X1642" s="69"/>
      <c r="Y1642" s="69"/>
      <c r="Z1642" s="69"/>
      <c r="AA1642" s="69"/>
      <c r="AB1642" s="69"/>
      <c r="AC1642" s="69"/>
      <c r="AD1642" s="69"/>
      <c r="AE1642" s="69"/>
      <c r="AF1642" s="69"/>
      <c r="AG1642" s="69"/>
      <c r="AH1642" s="69"/>
      <c r="AI1642" s="69"/>
      <c r="AJ1642" s="69"/>
      <c r="AK1642" s="69"/>
      <c r="AL1642" s="69"/>
      <c r="AM1642" s="69"/>
      <c r="AN1642" s="69"/>
      <c r="AO1642" s="69"/>
      <c r="AP1642" s="69"/>
      <c r="AQ1642" s="69"/>
      <c r="AR1642" s="69"/>
      <c r="AS1642" s="69"/>
      <c r="AT1642" s="69"/>
      <c r="AU1642" s="69"/>
      <c r="AV1642" s="69"/>
      <c r="AW1642" s="69"/>
      <c r="AX1642" s="69"/>
      <c r="AY1642" s="69"/>
      <c r="AZ1642" s="69"/>
      <c r="BA1642" s="69"/>
      <c r="BB1642" s="69"/>
      <c r="BC1642" s="69"/>
    </row>
    <row r="1643">
      <c r="A1643" s="68"/>
      <c r="B1643" s="68"/>
      <c r="C1643" s="68"/>
      <c r="D1643" s="68"/>
      <c r="E1643" s="68"/>
      <c r="F1643" s="68"/>
      <c r="G1643" s="68"/>
      <c r="H1643" s="68"/>
      <c r="I1643" s="69"/>
      <c r="J1643" s="69"/>
      <c r="K1643" s="71"/>
      <c r="L1643" s="69"/>
      <c r="M1643" s="69"/>
      <c r="N1643" s="72"/>
      <c r="O1643" s="69"/>
      <c r="P1643" s="69"/>
      <c r="Q1643" s="69"/>
      <c r="R1643" s="69"/>
      <c r="S1643" s="69"/>
      <c r="T1643" s="69"/>
      <c r="U1643" s="69"/>
      <c r="V1643" s="69"/>
      <c r="W1643" s="69"/>
      <c r="X1643" s="69"/>
      <c r="Y1643" s="69"/>
      <c r="Z1643" s="69"/>
      <c r="AA1643" s="69"/>
      <c r="AB1643" s="69"/>
      <c r="AC1643" s="69"/>
      <c r="AD1643" s="69"/>
      <c r="AE1643" s="69"/>
      <c r="AF1643" s="69"/>
      <c r="AG1643" s="69"/>
      <c r="AH1643" s="69"/>
      <c r="AI1643" s="69"/>
      <c r="AJ1643" s="69"/>
      <c r="AK1643" s="69"/>
      <c r="AL1643" s="69"/>
      <c r="AM1643" s="69"/>
      <c r="AN1643" s="69"/>
      <c r="AO1643" s="69"/>
      <c r="AP1643" s="69"/>
      <c r="AQ1643" s="69"/>
      <c r="AR1643" s="69"/>
      <c r="AS1643" s="69"/>
      <c r="AT1643" s="69"/>
      <c r="AU1643" s="69"/>
      <c r="AV1643" s="69"/>
      <c r="AW1643" s="69"/>
      <c r="AX1643" s="69"/>
      <c r="AY1643" s="69"/>
      <c r="AZ1643" s="69"/>
      <c r="BA1643" s="69"/>
      <c r="BB1643" s="69"/>
      <c r="BC1643" s="69"/>
    </row>
    <row r="1644">
      <c r="A1644" s="68"/>
      <c r="B1644" s="68"/>
      <c r="C1644" s="68"/>
      <c r="D1644" s="68"/>
      <c r="E1644" s="68"/>
      <c r="F1644" s="68"/>
      <c r="G1644" s="68"/>
      <c r="H1644" s="68"/>
      <c r="I1644" s="69"/>
      <c r="J1644" s="69"/>
      <c r="K1644" s="71"/>
      <c r="L1644" s="69"/>
      <c r="M1644" s="69"/>
      <c r="N1644" s="72"/>
      <c r="O1644" s="69"/>
      <c r="P1644" s="69"/>
      <c r="Q1644" s="69"/>
      <c r="R1644" s="69"/>
      <c r="S1644" s="69"/>
      <c r="T1644" s="69"/>
      <c r="U1644" s="69"/>
      <c r="V1644" s="69"/>
      <c r="W1644" s="69"/>
      <c r="X1644" s="69"/>
      <c r="Y1644" s="69"/>
      <c r="Z1644" s="69"/>
      <c r="AA1644" s="69"/>
      <c r="AB1644" s="69"/>
      <c r="AC1644" s="69"/>
      <c r="AD1644" s="69"/>
      <c r="AE1644" s="69"/>
      <c r="AF1644" s="69"/>
      <c r="AG1644" s="69"/>
      <c r="AH1644" s="69"/>
      <c r="AI1644" s="69"/>
      <c r="AJ1644" s="69"/>
      <c r="AK1644" s="69"/>
      <c r="AL1644" s="69"/>
      <c r="AM1644" s="69"/>
      <c r="AN1644" s="69"/>
      <c r="AO1644" s="69"/>
      <c r="AP1644" s="69"/>
      <c r="AQ1644" s="69"/>
      <c r="AR1644" s="69"/>
      <c r="AS1644" s="69"/>
      <c r="AT1644" s="69"/>
      <c r="AU1644" s="69"/>
      <c r="AV1644" s="69"/>
      <c r="AW1644" s="69"/>
      <c r="AX1644" s="69"/>
      <c r="AY1644" s="69"/>
      <c r="AZ1644" s="69"/>
      <c r="BA1644" s="69"/>
      <c r="BB1644" s="69"/>
      <c r="BC1644" s="69"/>
    </row>
    <row r="1645">
      <c r="A1645" s="68"/>
      <c r="B1645" s="68"/>
      <c r="C1645" s="68"/>
      <c r="D1645" s="68"/>
      <c r="E1645" s="68"/>
      <c r="F1645" s="68"/>
      <c r="G1645" s="68"/>
      <c r="H1645" s="68"/>
      <c r="I1645" s="69"/>
      <c r="J1645" s="69"/>
      <c r="K1645" s="71"/>
      <c r="L1645" s="69"/>
      <c r="M1645" s="69"/>
      <c r="N1645" s="72"/>
      <c r="O1645" s="69"/>
      <c r="P1645" s="69"/>
      <c r="Q1645" s="69"/>
      <c r="R1645" s="69"/>
      <c r="S1645" s="69"/>
      <c r="T1645" s="69"/>
      <c r="U1645" s="69"/>
      <c r="V1645" s="69"/>
      <c r="W1645" s="69"/>
      <c r="X1645" s="69"/>
      <c r="Y1645" s="69"/>
      <c r="Z1645" s="69"/>
      <c r="AA1645" s="69"/>
      <c r="AB1645" s="69"/>
      <c r="AC1645" s="69"/>
      <c r="AD1645" s="69"/>
      <c r="AE1645" s="69"/>
      <c r="AF1645" s="69"/>
      <c r="AG1645" s="69"/>
      <c r="AH1645" s="69"/>
      <c r="AI1645" s="69"/>
      <c r="AJ1645" s="69"/>
      <c r="AK1645" s="69"/>
      <c r="AL1645" s="69"/>
      <c r="AM1645" s="69"/>
      <c r="AN1645" s="69"/>
      <c r="AO1645" s="69"/>
      <c r="AP1645" s="69"/>
      <c r="AQ1645" s="69"/>
      <c r="AR1645" s="69"/>
      <c r="AS1645" s="69"/>
      <c r="AT1645" s="69"/>
      <c r="AU1645" s="69"/>
      <c r="AV1645" s="69"/>
      <c r="AW1645" s="69"/>
      <c r="AX1645" s="69"/>
      <c r="AY1645" s="69"/>
      <c r="AZ1645" s="69"/>
      <c r="BA1645" s="69"/>
      <c r="BB1645" s="69"/>
      <c r="BC1645" s="69"/>
    </row>
    <row r="1646">
      <c r="A1646" s="68"/>
      <c r="B1646" s="68"/>
      <c r="C1646" s="68"/>
      <c r="D1646" s="68"/>
      <c r="E1646" s="68"/>
      <c r="F1646" s="68"/>
      <c r="G1646" s="68"/>
      <c r="H1646" s="68"/>
      <c r="I1646" s="69"/>
      <c r="J1646" s="69"/>
      <c r="K1646" s="71"/>
      <c r="L1646" s="69"/>
      <c r="M1646" s="69"/>
      <c r="N1646" s="72"/>
      <c r="O1646" s="69"/>
      <c r="P1646" s="69"/>
      <c r="Q1646" s="69"/>
      <c r="R1646" s="69"/>
      <c r="S1646" s="69"/>
      <c r="T1646" s="69"/>
      <c r="U1646" s="69"/>
      <c r="V1646" s="69"/>
      <c r="W1646" s="69"/>
      <c r="X1646" s="69"/>
      <c r="Y1646" s="69"/>
      <c r="Z1646" s="69"/>
      <c r="AA1646" s="69"/>
      <c r="AB1646" s="69"/>
      <c r="AC1646" s="69"/>
      <c r="AD1646" s="69"/>
      <c r="AE1646" s="69"/>
      <c r="AF1646" s="69"/>
      <c r="AG1646" s="69"/>
      <c r="AH1646" s="69"/>
      <c r="AI1646" s="69"/>
      <c r="AJ1646" s="69"/>
      <c r="AK1646" s="69"/>
      <c r="AL1646" s="69"/>
      <c r="AM1646" s="69"/>
      <c r="AN1646" s="69"/>
      <c r="AO1646" s="69"/>
      <c r="AP1646" s="69"/>
      <c r="AQ1646" s="69"/>
      <c r="AR1646" s="69"/>
      <c r="AS1646" s="69"/>
      <c r="AT1646" s="69"/>
      <c r="AU1646" s="69"/>
      <c r="AV1646" s="69"/>
      <c r="AW1646" s="69"/>
      <c r="AX1646" s="69"/>
      <c r="AY1646" s="69"/>
      <c r="AZ1646" s="69"/>
      <c r="BA1646" s="69"/>
      <c r="BB1646" s="69"/>
      <c r="BC1646" s="69"/>
    </row>
    <row r="1647">
      <c r="A1647" s="68"/>
      <c r="B1647" s="68"/>
      <c r="C1647" s="68"/>
      <c r="D1647" s="68"/>
      <c r="E1647" s="68"/>
      <c r="F1647" s="68"/>
      <c r="G1647" s="68"/>
      <c r="H1647" s="68"/>
      <c r="I1647" s="69"/>
      <c r="J1647" s="69"/>
      <c r="K1647" s="71"/>
      <c r="L1647" s="69"/>
      <c r="M1647" s="69"/>
      <c r="N1647" s="72"/>
      <c r="O1647" s="69"/>
      <c r="P1647" s="69"/>
      <c r="Q1647" s="69"/>
      <c r="R1647" s="69"/>
      <c r="S1647" s="69"/>
      <c r="T1647" s="69"/>
      <c r="U1647" s="69"/>
      <c r="V1647" s="69"/>
      <c r="W1647" s="69"/>
      <c r="X1647" s="69"/>
      <c r="Y1647" s="69"/>
      <c r="Z1647" s="69"/>
      <c r="AA1647" s="69"/>
      <c r="AB1647" s="69"/>
      <c r="AC1647" s="69"/>
      <c r="AD1647" s="69"/>
      <c r="AE1647" s="69"/>
      <c r="AF1647" s="69"/>
      <c r="AG1647" s="69"/>
      <c r="AH1647" s="69"/>
      <c r="AI1647" s="69"/>
      <c r="AJ1647" s="69"/>
      <c r="AK1647" s="69"/>
      <c r="AL1647" s="69"/>
      <c r="AM1647" s="69"/>
      <c r="AN1647" s="69"/>
      <c r="AO1647" s="69"/>
      <c r="AP1647" s="69"/>
      <c r="AQ1647" s="69"/>
      <c r="AR1647" s="69"/>
      <c r="AS1647" s="69"/>
      <c r="AT1647" s="69"/>
      <c r="AU1647" s="69"/>
      <c r="AV1647" s="69"/>
      <c r="AW1647" s="69"/>
      <c r="AX1647" s="69"/>
      <c r="AY1647" s="69"/>
      <c r="AZ1647" s="69"/>
      <c r="BA1647" s="69"/>
      <c r="BB1647" s="69"/>
      <c r="BC1647" s="69"/>
    </row>
    <row r="1648">
      <c r="A1648" s="68"/>
      <c r="B1648" s="68"/>
      <c r="C1648" s="68"/>
      <c r="D1648" s="68"/>
      <c r="E1648" s="68"/>
      <c r="F1648" s="68"/>
      <c r="G1648" s="68"/>
      <c r="H1648" s="68"/>
      <c r="I1648" s="69"/>
      <c r="J1648" s="69"/>
      <c r="K1648" s="71"/>
      <c r="L1648" s="69"/>
      <c r="M1648" s="69"/>
      <c r="N1648" s="72"/>
      <c r="O1648" s="69"/>
      <c r="P1648" s="69"/>
      <c r="Q1648" s="69"/>
      <c r="R1648" s="69"/>
      <c r="S1648" s="69"/>
      <c r="T1648" s="69"/>
      <c r="U1648" s="69"/>
      <c r="V1648" s="69"/>
      <c r="W1648" s="69"/>
      <c r="X1648" s="69"/>
      <c r="Y1648" s="69"/>
      <c r="Z1648" s="69"/>
      <c r="AA1648" s="69"/>
      <c r="AB1648" s="69"/>
      <c r="AC1648" s="69"/>
      <c r="AD1648" s="69"/>
      <c r="AE1648" s="69"/>
      <c r="AF1648" s="69"/>
      <c r="AG1648" s="69"/>
      <c r="AH1648" s="69"/>
      <c r="AI1648" s="69"/>
      <c r="AJ1648" s="69"/>
      <c r="AK1648" s="69"/>
      <c r="AL1648" s="69"/>
      <c r="AM1648" s="69"/>
      <c r="AN1648" s="69"/>
      <c r="AO1648" s="69"/>
      <c r="AP1648" s="69"/>
      <c r="AQ1648" s="69"/>
      <c r="AR1648" s="69"/>
      <c r="AS1648" s="69"/>
      <c r="AT1648" s="69"/>
      <c r="AU1648" s="69"/>
      <c r="AV1648" s="69"/>
      <c r="AW1648" s="69"/>
      <c r="AX1648" s="69"/>
      <c r="AY1648" s="69"/>
      <c r="AZ1648" s="69"/>
      <c r="BA1648" s="69"/>
      <c r="BB1648" s="69"/>
      <c r="BC1648" s="69"/>
    </row>
    <row r="1649">
      <c r="A1649" s="68"/>
      <c r="B1649" s="68"/>
      <c r="C1649" s="68"/>
      <c r="D1649" s="68"/>
      <c r="E1649" s="68"/>
      <c r="F1649" s="68"/>
      <c r="G1649" s="68"/>
      <c r="H1649" s="68"/>
      <c r="I1649" s="69"/>
      <c r="J1649" s="69"/>
      <c r="K1649" s="71"/>
      <c r="L1649" s="69"/>
      <c r="M1649" s="69"/>
      <c r="N1649" s="72"/>
      <c r="O1649" s="69"/>
      <c r="P1649" s="69"/>
      <c r="Q1649" s="69"/>
      <c r="R1649" s="69"/>
      <c r="S1649" s="69"/>
      <c r="T1649" s="69"/>
      <c r="U1649" s="69"/>
      <c r="V1649" s="69"/>
      <c r="W1649" s="69"/>
      <c r="X1649" s="69"/>
      <c r="Y1649" s="69"/>
      <c r="Z1649" s="69"/>
      <c r="AA1649" s="69"/>
      <c r="AB1649" s="69"/>
      <c r="AC1649" s="69"/>
      <c r="AD1649" s="69"/>
      <c r="AE1649" s="69"/>
      <c r="AF1649" s="69"/>
      <c r="AG1649" s="69"/>
      <c r="AH1649" s="69"/>
      <c r="AI1649" s="69"/>
      <c r="AJ1649" s="69"/>
      <c r="AK1649" s="69"/>
      <c r="AL1649" s="69"/>
      <c r="AM1649" s="69"/>
      <c r="AN1649" s="69"/>
      <c r="AO1649" s="69"/>
      <c r="AP1649" s="69"/>
      <c r="AQ1649" s="69"/>
      <c r="AR1649" s="69"/>
      <c r="AS1649" s="69"/>
      <c r="AT1649" s="69"/>
      <c r="AU1649" s="69"/>
      <c r="AV1649" s="69"/>
      <c r="AW1649" s="69"/>
      <c r="AX1649" s="69"/>
      <c r="AY1649" s="69"/>
      <c r="AZ1649" s="69"/>
      <c r="BA1649" s="69"/>
      <c r="BB1649" s="69"/>
      <c r="BC1649" s="69"/>
    </row>
    <row r="1650">
      <c r="A1650" s="68"/>
      <c r="B1650" s="68"/>
      <c r="C1650" s="68"/>
      <c r="D1650" s="68"/>
      <c r="E1650" s="68"/>
      <c r="F1650" s="68"/>
      <c r="G1650" s="68"/>
      <c r="H1650" s="68"/>
      <c r="I1650" s="69"/>
      <c r="J1650" s="69"/>
      <c r="K1650" s="71"/>
      <c r="L1650" s="69"/>
      <c r="M1650" s="69"/>
      <c r="N1650" s="72"/>
      <c r="O1650" s="69"/>
      <c r="P1650" s="69"/>
      <c r="Q1650" s="69"/>
      <c r="R1650" s="69"/>
      <c r="S1650" s="69"/>
      <c r="T1650" s="69"/>
      <c r="U1650" s="69"/>
      <c r="V1650" s="69"/>
      <c r="W1650" s="69"/>
      <c r="X1650" s="69"/>
      <c r="Y1650" s="69"/>
      <c r="Z1650" s="69"/>
      <c r="AA1650" s="69"/>
      <c r="AB1650" s="69"/>
      <c r="AC1650" s="69"/>
      <c r="AD1650" s="69"/>
      <c r="AE1650" s="69"/>
      <c r="AF1650" s="69"/>
      <c r="AG1650" s="69"/>
      <c r="AH1650" s="69"/>
      <c r="AI1650" s="69"/>
      <c r="AJ1650" s="69"/>
      <c r="AK1650" s="69"/>
      <c r="AL1650" s="69"/>
      <c r="AM1650" s="69"/>
      <c r="AN1650" s="69"/>
      <c r="AO1650" s="69"/>
      <c r="AP1650" s="69"/>
      <c r="AQ1650" s="69"/>
      <c r="AR1650" s="69"/>
      <c r="AS1650" s="69"/>
      <c r="AT1650" s="69"/>
      <c r="AU1650" s="69"/>
      <c r="AV1650" s="69"/>
      <c r="AW1650" s="69"/>
      <c r="AX1650" s="69"/>
      <c r="AY1650" s="69"/>
      <c r="AZ1650" s="69"/>
      <c r="BA1650" s="69"/>
      <c r="BB1650" s="69"/>
      <c r="BC1650" s="69"/>
    </row>
    <row r="1651">
      <c r="A1651" s="68"/>
      <c r="B1651" s="68"/>
      <c r="C1651" s="68"/>
      <c r="D1651" s="68"/>
      <c r="E1651" s="68"/>
      <c r="F1651" s="68"/>
      <c r="G1651" s="68"/>
      <c r="H1651" s="68"/>
      <c r="I1651" s="69"/>
      <c r="J1651" s="69"/>
      <c r="K1651" s="71"/>
      <c r="L1651" s="69"/>
      <c r="M1651" s="69"/>
      <c r="N1651" s="72"/>
      <c r="O1651" s="69"/>
      <c r="P1651" s="69"/>
      <c r="Q1651" s="69"/>
      <c r="R1651" s="69"/>
      <c r="S1651" s="69"/>
      <c r="T1651" s="69"/>
      <c r="U1651" s="69"/>
      <c r="V1651" s="69"/>
      <c r="W1651" s="69"/>
      <c r="X1651" s="69"/>
      <c r="Y1651" s="69"/>
      <c r="Z1651" s="69"/>
      <c r="AA1651" s="69"/>
      <c r="AB1651" s="69"/>
      <c r="AC1651" s="69"/>
      <c r="AD1651" s="69"/>
      <c r="AE1651" s="69"/>
      <c r="AF1651" s="69"/>
      <c r="AG1651" s="69"/>
      <c r="AH1651" s="69"/>
      <c r="AI1651" s="69"/>
      <c r="AJ1651" s="69"/>
      <c r="AK1651" s="69"/>
      <c r="AL1651" s="69"/>
      <c r="AM1651" s="69"/>
      <c r="AN1651" s="69"/>
      <c r="AO1651" s="69"/>
      <c r="AP1651" s="69"/>
      <c r="AQ1651" s="69"/>
      <c r="AR1651" s="69"/>
      <c r="AS1651" s="69"/>
      <c r="AT1651" s="69"/>
      <c r="AU1651" s="69"/>
      <c r="AV1651" s="69"/>
      <c r="AW1651" s="69"/>
      <c r="AX1651" s="69"/>
      <c r="AY1651" s="69"/>
      <c r="AZ1651" s="69"/>
      <c r="BA1651" s="69"/>
      <c r="BB1651" s="69"/>
      <c r="BC1651" s="69"/>
    </row>
    <row r="1652">
      <c r="A1652" s="68"/>
      <c r="B1652" s="68"/>
      <c r="C1652" s="68"/>
      <c r="D1652" s="68"/>
      <c r="E1652" s="68"/>
      <c r="F1652" s="68"/>
      <c r="G1652" s="68"/>
      <c r="H1652" s="68"/>
      <c r="I1652" s="69"/>
      <c r="J1652" s="69"/>
      <c r="K1652" s="71"/>
      <c r="L1652" s="69"/>
      <c r="M1652" s="69"/>
      <c r="N1652" s="72"/>
      <c r="O1652" s="69"/>
      <c r="P1652" s="69"/>
      <c r="Q1652" s="69"/>
      <c r="R1652" s="69"/>
      <c r="S1652" s="69"/>
      <c r="T1652" s="69"/>
      <c r="U1652" s="69"/>
      <c r="V1652" s="69"/>
      <c r="W1652" s="69"/>
      <c r="X1652" s="69"/>
      <c r="Y1652" s="69"/>
      <c r="Z1652" s="69"/>
      <c r="AA1652" s="69"/>
      <c r="AB1652" s="69"/>
      <c r="AC1652" s="69"/>
      <c r="AD1652" s="69"/>
      <c r="AE1652" s="69"/>
      <c r="AF1652" s="69"/>
      <c r="AG1652" s="69"/>
      <c r="AH1652" s="69"/>
      <c r="AI1652" s="69"/>
      <c r="AJ1652" s="69"/>
      <c r="AK1652" s="69"/>
      <c r="AL1652" s="69"/>
      <c r="AM1652" s="69"/>
      <c r="AN1652" s="69"/>
      <c r="AO1652" s="69"/>
      <c r="AP1652" s="69"/>
      <c r="AQ1652" s="69"/>
      <c r="AR1652" s="69"/>
      <c r="AS1652" s="69"/>
      <c r="AT1652" s="69"/>
      <c r="AU1652" s="69"/>
      <c r="AV1652" s="69"/>
      <c r="AW1652" s="69"/>
      <c r="AX1652" s="69"/>
      <c r="AY1652" s="69"/>
      <c r="AZ1652" s="69"/>
      <c r="BA1652" s="69"/>
      <c r="BB1652" s="69"/>
      <c r="BC1652" s="69"/>
    </row>
    <row r="1653">
      <c r="A1653" s="68"/>
      <c r="B1653" s="68"/>
      <c r="C1653" s="68"/>
      <c r="D1653" s="68"/>
      <c r="E1653" s="68"/>
      <c r="F1653" s="68"/>
      <c r="G1653" s="68"/>
      <c r="H1653" s="68"/>
      <c r="I1653" s="69"/>
      <c r="J1653" s="69"/>
      <c r="K1653" s="71"/>
      <c r="L1653" s="69"/>
      <c r="M1653" s="69"/>
      <c r="N1653" s="72"/>
      <c r="O1653" s="69"/>
      <c r="P1653" s="69"/>
      <c r="Q1653" s="69"/>
      <c r="R1653" s="69"/>
      <c r="S1653" s="69"/>
      <c r="T1653" s="69"/>
      <c r="U1653" s="69"/>
      <c r="V1653" s="69"/>
      <c r="W1653" s="69"/>
      <c r="X1653" s="69"/>
      <c r="Y1653" s="69"/>
      <c r="Z1653" s="69"/>
      <c r="AA1653" s="69"/>
      <c r="AB1653" s="69"/>
      <c r="AC1653" s="69"/>
      <c r="AD1653" s="69"/>
      <c r="AE1653" s="69"/>
      <c r="AF1653" s="69"/>
      <c r="AG1653" s="69"/>
      <c r="AH1653" s="69"/>
      <c r="AI1653" s="69"/>
      <c r="AJ1653" s="69"/>
      <c r="AK1653" s="69"/>
      <c r="AL1653" s="69"/>
      <c r="AM1653" s="69"/>
      <c r="AN1653" s="69"/>
      <c r="AO1653" s="69"/>
      <c r="AP1653" s="69"/>
      <c r="AQ1653" s="69"/>
      <c r="AR1653" s="69"/>
      <c r="AS1653" s="69"/>
      <c r="AT1653" s="69"/>
      <c r="AU1653" s="69"/>
      <c r="AV1653" s="69"/>
      <c r="AW1653" s="69"/>
      <c r="AX1653" s="69"/>
      <c r="AY1653" s="69"/>
      <c r="AZ1653" s="69"/>
      <c r="BA1653" s="69"/>
      <c r="BB1653" s="69"/>
      <c r="BC1653" s="69"/>
    </row>
    <row r="1654">
      <c r="A1654" s="68"/>
      <c r="B1654" s="68"/>
      <c r="C1654" s="68"/>
      <c r="D1654" s="68"/>
      <c r="E1654" s="68"/>
      <c r="F1654" s="68"/>
      <c r="G1654" s="68"/>
      <c r="H1654" s="68"/>
      <c r="I1654" s="69"/>
      <c r="J1654" s="69"/>
      <c r="K1654" s="71"/>
      <c r="L1654" s="69"/>
      <c r="M1654" s="69"/>
      <c r="N1654" s="72"/>
      <c r="O1654" s="69"/>
      <c r="P1654" s="69"/>
      <c r="Q1654" s="69"/>
      <c r="R1654" s="69"/>
      <c r="S1654" s="69"/>
      <c r="T1654" s="69"/>
      <c r="U1654" s="69"/>
      <c r="V1654" s="69"/>
      <c r="W1654" s="69"/>
      <c r="X1654" s="69"/>
      <c r="Y1654" s="69"/>
      <c r="Z1654" s="69"/>
      <c r="AA1654" s="69"/>
      <c r="AB1654" s="69"/>
      <c r="AC1654" s="69"/>
      <c r="AD1654" s="69"/>
      <c r="AE1654" s="69"/>
      <c r="AF1654" s="69"/>
      <c r="AG1654" s="69"/>
      <c r="AH1654" s="69"/>
      <c r="AI1654" s="69"/>
      <c r="AJ1654" s="69"/>
      <c r="AK1654" s="69"/>
      <c r="AL1654" s="69"/>
      <c r="AM1654" s="69"/>
      <c r="AN1654" s="69"/>
      <c r="AO1654" s="69"/>
      <c r="AP1654" s="69"/>
      <c r="AQ1654" s="69"/>
      <c r="AR1654" s="69"/>
      <c r="AS1654" s="69"/>
      <c r="AT1654" s="69"/>
      <c r="AU1654" s="69"/>
      <c r="AV1654" s="69"/>
      <c r="AW1654" s="69"/>
      <c r="AX1654" s="69"/>
      <c r="AY1654" s="69"/>
      <c r="AZ1654" s="69"/>
      <c r="BA1654" s="69"/>
      <c r="BB1654" s="69"/>
      <c r="BC1654" s="69"/>
    </row>
    <row r="1655">
      <c r="A1655" s="68"/>
      <c r="B1655" s="68"/>
      <c r="C1655" s="68"/>
      <c r="D1655" s="68"/>
      <c r="E1655" s="68"/>
      <c r="F1655" s="68"/>
      <c r="G1655" s="68"/>
      <c r="H1655" s="68"/>
      <c r="I1655" s="69"/>
      <c r="J1655" s="69"/>
      <c r="K1655" s="71"/>
      <c r="L1655" s="69"/>
      <c r="M1655" s="69"/>
      <c r="N1655" s="72"/>
      <c r="O1655" s="69"/>
      <c r="P1655" s="69"/>
      <c r="Q1655" s="69"/>
      <c r="R1655" s="69"/>
      <c r="S1655" s="69"/>
      <c r="T1655" s="69"/>
      <c r="U1655" s="69"/>
      <c r="V1655" s="69"/>
      <c r="W1655" s="69"/>
      <c r="X1655" s="69"/>
      <c r="Y1655" s="69"/>
      <c r="Z1655" s="69"/>
      <c r="AA1655" s="69"/>
      <c r="AB1655" s="69"/>
      <c r="AC1655" s="69"/>
      <c r="AD1655" s="69"/>
      <c r="AE1655" s="69"/>
      <c r="AF1655" s="69"/>
      <c r="AG1655" s="69"/>
      <c r="AH1655" s="69"/>
      <c r="AI1655" s="69"/>
      <c r="AJ1655" s="69"/>
      <c r="AK1655" s="69"/>
      <c r="AL1655" s="69"/>
      <c r="AM1655" s="69"/>
      <c r="AN1655" s="69"/>
      <c r="AO1655" s="69"/>
      <c r="AP1655" s="69"/>
      <c r="AQ1655" s="69"/>
      <c r="AR1655" s="69"/>
      <c r="AS1655" s="69"/>
      <c r="AT1655" s="69"/>
      <c r="AU1655" s="69"/>
      <c r="AV1655" s="69"/>
      <c r="AW1655" s="69"/>
      <c r="AX1655" s="69"/>
      <c r="AY1655" s="69"/>
      <c r="AZ1655" s="69"/>
      <c r="BA1655" s="69"/>
      <c r="BB1655" s="69"/>
      <c r="BC1655" s="69"/>
    </row>
    <row r="1656">
      <c r="A1656" s="68"/>
      <c r="B1656" s="68"/>
      <c r="C1656" s="68"/>
      <c r="D1656" s="68"/>
      <c r="E1656" s="68"/>
      <c r="F1656" s="68"/>
      <c r="G1656" s="68"/>
      <c r="H1656" s="68"/>
      <c r="I1656" s="69"/>
      <c r="J1656" s="69"/>
      <c r="K1656" s="71"/>
      <c r="L1656" s="69"/>
      <c r="M1656" s="69"/>
      <c r="N1656" s="72"/>
      <c r="O1656" s="69"/>
      <c r="P1656" s="69"/>
      <c r="Q1656" s="69"/>
      <c r="R1656" s="69"/>
      <c r="S1656" s="69"/>
      <c r="T1656" s="69"/>
      <c r="U1656" s="69"/>
      <c r="V1656" s="69"/>
      <c r="W1656" s="69"/>
      <c r="X1656" s="69"/>
      <c r="Y1656" s="69"/>
      <c r="Z1656" s="69"/>
      <c r="AA1656" s="69"/>
      <c r="AB1656" s="69"/>
      <c r="AC1656" s="69"/>
      <c r="AD1656" s="69"/>
      <c r="AE1656" s="69"/>
      <c r="AF1656" s="69"/>
      <c r="AG1656" s="69"/>
      <c r="AH1656" s="69"/>
      <c r="AI1656" s="69"/>
      <c r="AJ1656" s="69"/>
      <c r="AK1656" s="69"/>
      <c r="AL1656" s="69"/>
      <c r="AM1656" s="69"/>
      <c r="AN1656" s="69"/>
      <c r="AO1656" s="69"/>
      <c r="AP1656" s="69"/>
      <c r="AQ1656" s="69"/>
      <c r="AR1656" s="69"/>
      <c r="AS1656" s="69"/>
      <c r="AT1656" s="69"/>
      <c r="AU1656" s="69"/>
      <c r="AV1656" s="69"/>
      <c r="AW1656" s="69"/>
      <c r="AX1656" s="69"/>
      <c r="AY1656" s="69"/>
      <c r="AZ1656" s="69"/>
      <c r="BA1656" s="69"/>
      <c r="BB1656" s="69"/>
      <c r="BC1656" s="69"/>
    </row>
    <row r="1657">
      <c r="A1657" s="68"/>
      <c r="B1657" s="68"/>
      <c r="C1657" s="68"/>
      <c r="D1657" s="68"/>
      <c r="E1657" s="68"/>
      <c r="F1657" s="68"/>
      <c r="G1657" s="68"/>
      <c r="H1657" s="68"/>
      <c r="I1657" s="69"/>
      <c r="J1657" s="69"/>
      <c r="K1657" s="71"/>
      <c r="L1657" s="69"/>
      <c r="M1657" s="69"/>
      <c r="N1657" s="72"/>
      <c r="O1657" s="69"/>
      <c r="P1657" s="69"/>
      <c r="Q1657" s="69"/>
      <c r="R1657" s="69"/>
      <c r="S1657" s="69"/>
      <c r="T1657" s="69"/>
      <c r="U1657" s="69"/>
      <c r="V1657" s="69"/>
      <c r="W1657" s="69"/>
      <c r="X1657" s="69"/>
      <c r="Y1657" s="69"/>
      <c r="Z1657" s="69"/>
      <c r="AA1657" s="69"/>
      <c r="AB1657" s="69"/>
      <c r="AC1657" s="69"/>
      <c r="AD1657" s="69"/>
      <c r="AE1657" s="69"/>
      <c r="AF1657" s="69"/>
      <c r="AG1657" s="69"/>
      <c r="AH1657" s="69"/>
      <c r="AI1657" s="69"/>
      <c r="AJ1657" s="69"/>
      <c r="AK1657" s="69"/>
      <c r="AL1657" s="69"/>
      <c r="AM1657" s="69"/>
      <c r="AN1657" s="69"/>
      <c r="AO1657" s="69"/>
      <c r="AP1657" s="69"/>
      <c r="AQ1657" s="69"/>
      <c r="AR1657" s="69"/>
      <c r="AS1657" s="69"/>
      <c r="AT1657" s="69"/>
      <c r="AU1657" s="69"/>
      <c r="AV1657" s="69"/>
      <c r="AW1657" s="69"/>
      <c r="AX1657" s="69"/>
      <c r="AY1657" s="69"/>
      <c r="AZ1657" s="69"/>
      <c r="BA1657" s="69"/>
      <c r="BB1657" s="69"/>
      <c r="BC1657" s="69"/>
    </row>
    <row r="1658">
      <c r="A1658" s="68"/>
      <c r="B1658" s="68"/>
      <c r="C1658" s="68"/>
      <c r="D1658" s="68"/>
      <c r="E1658" s="68"/>
      <c r="F1658" s="68"/>
      <c r="G1658" s="68"/>
      <c r="H1658" s="68"/>
      <c r="I1658" s="69"/>
      <c r="J1658" s="69"/>
      <c r="K1658" s="71"/>
      <c r="L1658" s="69"/>
      <c r="M1658" s="69"/>
      <c r="N1658" s="72"/>
      <c r="O1658" s="69"/>
      <c r="P1658" s="69"/>
      <c r="Q1658" s="69"/>
      <c r="R1658" s="69"/>
      <c r="S1658" s="69"/>
      <c r="T1658" s="69"/>
      <c r="U1658" s="69"/>
      <c r="V1658" s="69"/>
      <c r="W1658" s="69"/>
      <c r="X1658" s="69"/>
      <c r="Y1658" s="69"/>
      <c r="Z1658" s="69"/>
      <c r="AA1658" s="69"/>
      <c r="AB1658" s="69"/>
      <c r="AC1658" s="69"/>
      <c r="AD1658" s="69"/>
      <c r="AE1658" s="69"/>
      <c r="AF1658" s="69"/>
      <c r="AG1658" s="69"/>
      <c r="AH1658" s="69"/>
      <c r="AI1658" s="69"/>
      <c r="AJ1658" s="69"/>
      <c r="AK1658" s="69"/>
      <c r="AL1658" s="69"/>
      <c r="AM1658" s="69"/>
      <c r="AN1658" s="69"/>
      <c r="AO1658" s="69"/>
      <c r="AP1658" s="69"/>
      <c r="AQ1658" s="69"/>
      <c r="AR1658" s="69"/>
      <c r="AS1658" s="69"/>
      <c r="AT1658" s="69"/>
      <c r="AU1658" s="69"/>
      <c r="AV1658" s="69"/>
      <c r="AW1658" s="69"/>
      <c r="AX1658" s="69"/>
      <c r="AY1658" s="69"/>
      <c r="AZ1658" s="69"/>
      <c r="BA1658" s="69"/>
      <c r="BB1658" s="69"/>
      <c r="BC1658" s="69"/>
    </row>
    <row r="1659">
      <c r="A1659" s="68"/>
      <c r="B1659" s="68"/>
      <c r="C1659" s="68"/>
      <c r="D1659" s="68"/>
      <c r="E1659" s="68"/>
      <c r="F1659" s="68"/>
      <c r="G1659" s="68"/>
      <c r="H1659" s="68"/>
      <c r="I1659" s="69"/>
      <c r="J1659" s="69"/>
      <c r="K1659" s="71"/>
      <c r="L1659" s="69"/>
      <c r="M1659" s="69"/>
      <c r="N1659" s="72"/>
      <c r="O1659" s="69"/>
      <c r="P1659" s="69"/>
      <c r="Q1659" s="69"/>
      <c r="R1659" s="69"/>
      <c r="S1659" s="69"/>
      <c r="T1659" s="69"/>
      <c r="U1659" s="69"/>
      <c r="V1659" s="69"/>
      <c r="W1659" s="69"/>
      <c r="X1659" s="69"/>
      <c r="Y1659" s="69"/>
      <c r="Z1659" s="69"/>
      <c r="AA1659" s="69"/>
      <c r="AB1659" s="69"/>
      <c r="AC1659" s="69"/>
      <c r="AD1659" s="69"/>
      <c r="AE1659" s="69"/>
      <c r="AF1659" s="69"/>
      <c r="AG1659" s="69"/>
      <c r="AH1659" s="69"/>
      <c r="AI1659" s="69"/>
      <c r="AJ1659" s="69"/>
      <c r="AK1659" s="69"/>
      <c r="AL1659" s="69"/>
      <c r="AM1659" s="69"/>
      <c r="AN1659" s="69"/>
      <c r="AO1659" s="69"/>
      <c r="AP1659" s="69"/>
      <c r="AQ1659" s="69"/>
      <c r="AR1659" s="69"/>
      <c r="AS1659" s="69"/>
      <c r="AT1659" s="69"/>
      <c r="AU1659" s="69"/>
      <c r="AV1659" s="69"/>
      <c r="AW1659" s="69"/>
      <c r="AX1659" s="69"/>
      <c r="AY1659" s="69"/>
      <c r="AZ1659" s="69"/>
      <c r="BA1659" s="69"/>
      <c r="BB1659" s="69"/>
      <c r="BC1659" s="69"/>
    </row>
    <row r="1660">
      <c r="A1660" s="68"/>
      <c r="B1660" s="68"/>
      <c r="C1660" s="68"/>
      <c r="D1660" s="68"/>
      <c r="E1660" s="68"/>
      <c r="F1660" s="68"/>
      <c r="G1660" s="68"/>
      <c r="H1660" s="68"/>
      <c r="I1660" s="69"/>
      <c r="J1660" s="69"/>
      <c r="K1660" s="71"/>
      <c r="L1660" s="69"/>
      <c r="M1660" s="69"/>
      <c r="N1660" s="72"/>
      <c r="O1660" s="69"/>
      <c r="P1660" s="69"/>
      <c r="Q1660" s="69"/>
      <c r="R1660" s="69"/>
      <c r="S1660" s="69"/>
      <c r="T1660" s="69"/>
      <c r="U1660" s="69"/>
      <c r="V1660" s="69"/>
      <c r="W1660" s="69"/>
      <c r="X1660" s="69"/>
      <c r="Y1660" s="69"/>
      <c r="Z1660" s="69"/>
      <c r="AA1660" s="69"/>
      <c r="AB1660" s="69"/>
      <c r="AC1660" s="69"/>
      <c r="AD1660" s="69"/>
      <c r="AE1660" s="69"/>
      <c r="AF1660" s="69"/>
      <c r="AG1660" s="69"/>
      <c r="AH1660" s="69"/>
      <c r="AI1660" s="69"/>
      <c r="AJ1660" s="69"/>
      <c r="AK1660" s="69"/>
      <c r="AL1660" s="69"/>
      <c r="AM1660" s="69"/>
      <c r="AN1660" s="69"/>
      <c r="AO1660" s="69"/>
      <c r="AP1660" s="69"/>
      <c r="AQ1660" s="69"/>
      <c r="AR1660" s="69"/>
      <c r="AS1660" s="69"/>
      <c r="AT1660" s="69"/>
      <c r="AU1660" s="69"/>
      <c r="AV1660" s="69"/>
      <c r="AW1660" s="69"/>
      <c r="AX1660" s="69"/>
      <c r="AY1660" s="69"/>
      <c r="AZ1660" s="69"/>
      <c r="BA1660" s="69"/>
      <c r="BB1660" s="69"/>
      <c r="BC1660" s="69"/>
    </row>
    <row r="1661">
      <c r="A1661" s="68"/>
      <c r="B1661" s="68"/>
      <c r="C1661" s="68"/>
      <c r="D1661" s="68"/>
      <c r="E1661" s="68"/>
      <c r="F1661" s="68"/>
      <c r="G1661" s="68"/>
      <c r="H1661" s="68"/>
      <c r="I1661" s="69"/>
      <c r="J1661" s="69"/>
      <c r="K1661" s="71"/>
      <c r="L1661" s="69"/>
      <c r="M1661" s="69"/>
      <c r="N1661" s="72"/>
      <c r="O1661" s="69"/>
      <c r="P1661" s="69"/>
      <c r="Q1661" s="69"/>
      <c r="R1661" s="69"/>
      <c r="S1661" s="69"/>
      <c r="T1661" s="69"/>
      <c r="U1661" s="69"/>
      <c r="V1661" s="69"/>
      <c r="W1661" s="69"/>
      <c r="X1661" s="69"/>
      <c r="Y1661" s="69"/>
      <c r="Z1661" s="69"/>
      <c r="AA1661" s="69"/>
      <c r="AB1661" s="69"/>
      <c r="AC1661" s="69"/>
      <c r="AD1661" s="69"/>
      <c r="AE1661" s="69"/>
      <c r="AF1661" s="69"/>
      <c r="AG1661" s="69"/>
      <c r="AH1661" s="69"/>
      <c r="AI1661" s="69"/>
      <c r="AJ1661" s="69"/>
      <c r="AK1661" s="69"/>
      <c r="AL1661" s="69"/>
      <c r="AM1661" s="69"/>
      <c r="AN1661" s="69"/>
      <c r="AO1661" s="69"/>
      <c r="AP1661" s="69"/>
      <c r="AQ1661" s="69"/>
      <c r="AR1661" s="69"/>
      <c r="AS1661" s="69"/>
      <c r="AT1661" s="69"/>
      <c r="AU1661" s="69"/>
      <c r="AV1661" s="69"/>
      <c r="AW1661" s="69"/>
      <c r="AX1661" s="69"/>
      <c r="AY1661" s="69"/>
      <c r="AZ1661" s="69"/>
      <c r="BA1661" s="69"/>
      <c r="BB1661" s="69"/>
      <c r="BC1661" s="69"/>
    </row>
    <row r="1662">
      <c r="A1662" s="68"/>
      <c r="B1662" s="68"/>
      <c r="C1662" s="68"/>
      <c r="D1662" s="68"/>
      <c r="E1662" s="68"/>
      <c r="F1662" s="68"/>
      <c r="G1662" s="68"/>
      <c r="H1662" s="68"/>
      <c r="I1662" s="69"/>
      <c r="J1662" s="69"/>
      <c r="K1662" s="71"/>
      <c r="L1662" s="69"/>
      <c r="M1662" s="69"/>
      <c r="N1662" s="72"/>
      <c r="O1662" s="69"/>
      <c r="P1662" s="69"/>
      <c r="Q1662" s="69"/>
      <c r="R1662" s="69"/>
      <c r="S1662" s="69"/>
      <c r="T1662" s="69"/>
      <c r="U1662" s="69"/>
      <c r="V1662" s="69"/>
      <c r="W1662" s="69"/>
      <c r="X1662" s="69"/>
      <c r="Y1662" s="69"/>
      <c r="Z1662" s="69"/>
      <c r="AA1662" s="69"/>
      <c r="AB1662" s="69"/>
      <c r="AC1662" s="69"/>
      <c r="AD1662" s="69"/>
      <c r="AE1662" s="69"/>
      <c r="AF1662" s="69"/>
      <c r="AG1662" s="69"/>
      <c r="AH1662" s="69"/>
      <c r="AI1662" s="69"/>
      <c r="AJ1662" s="69"/>
      <c r="AK1662" s="69"/>
      <c r="AL1662" s="69"/>
      <c r="AM1662" s="69"/>
      <c r="AN1662" s="69"/>
      <c r="AO1662" s="69"/>
      <c r="AP1662" s="69"/>
      <c r="AQ1662" s="69"/>
      <c r="AR1662" s="69"/>
      <c r="AS1662" s="69"/>
      <c r="AT1662" s="69"/>
      <c r="AU1662" s="69"/>
      <c r="AV1662" s="69"/>
      <c r="AW1662" s="69"/>
      <c r="AX1662" s="69"/>
      <c r="AY1662" s="69"/>
      <c r="AZ1662" s="69"/>
      <c r="BA1662" s="69"/>
      <c r="BB1662" s="69"/>
      <c r="BC1662" s="69"/>
    </row>
    <row r="1663">
      <c r="A1663" s="68"/>
      <c r="B1663" s="68"/>
      <c r="C1663" s="68"/>
      <c r="D1663" s="68"/>
      <c r="E1663" s="68"/>
      <c r="F1663" s="68"/>
      <c r="G1663" s="68"/>
      <c r="H1663" s="68"/>
      <c r="I1663" s="69"/>
      <c r="J1663" s="69"/>
      <c r="K1663" s="71"/>
      <c r="L1663" s="69"/>
      <c r="M1663" s="69"/>
      <c r="N1663" s="72"/>
      <c r="O1663" s="69"/>
      <c r="P1663" s="69"/>
      <c r="Q1663" s="69"/>
      <c r="R1663" s="69"/>
      <c r="S1663" s="69"/>
      <c r="T1663" s="69"/>
      <c r="U1663" s="69"/>
      <c r="V1663" s="69"/>
      <c r="W1663" s="69"/>
      <c r="X1663" s="69"/>
      <c r="Y1663" s="69"/>
      <c r="Z1663" s="69"/>
      <c r="AA1663" s="69"/>
      <c r="AB1663" s="69"/>
      <c r="AC1663" s="69"/>
      <c r="AD1663" s="69"/>
      <c r="AE1663" s="69"/>
      <c r="AF1663" s="69"/>
      <c r="AG1663" s="69"/>
      <c r="AH1663" s="69"/>
      <c r="AI1663" s="69"/>
      <c r="AJ1663" s="69"/>
      <c r="AK1663" s="69"/>
      <c r="AL1663" s="69"/>
      <c r="AM1663" s="69"/>
      <c r="AN1663" s="69"/>
      <c r="AO1663" s="69"/>
      <c r="AP1663" s="69"/>
      <c r="AQ1663" s="69"/>
      <c r="AR1663" s="69"/>
      <c r="AS1663" s="69"/>
      <c r="AT1663" s="69"/>
      <c r="AU1663" s="69"/>
      <c r="AV1663" s="69"/>
      <c r="AW1663" s="69"/>
      <c r="AX1663" s="69"/>
      <c r="AY1663" s="69"/>
      <c r="AZ1663" s="69"/>
      <c r="BA1663" s="69"/>
      <c r="BB1663" s="69"/>
      <c r="BC1663" s="69"/>
    </row>
    <row r="1664">
      <c r="A1664" s="68"/>
      <c r="B1664" s="68"/>
      <c r="C1664" s="68"/>
      <c r="D1664" s="68"/>
      <c r="E1664" s="68"/>
      <c r="F1664" s="68"/>
      <c r="G1664" s="68"/>
      <c r="H1664" s="68"/>
      <c r="I1664" s="69"/>
      <c r="J1664" s="69"/>
      <c r="K1664" s="71"/>
      <c r="L1664" s="69"/>
      <c r="M1664" s="69"/>
      <c r="N1664" s="72"/>
      <c r="O1664" s="69"/>
      <c r="P1664" s="69"/>
      <c r="Q1664" s="69"/>
      <c r="R1664" s="69"/>
      <c r="S1664" s="69"/>
      <c r="T1664" s="69"/>
      <c r="U1664" s="69"/>
      <c r="V1664" s="69"/>
      <c r="W1664" s="69"/>
      <c r="X1664" s="69"/>
      <c r="Y1664" s="69"/>
      <c r="Z1664" s="69"/>
      <c r="AA1664" s="69"/>
      <c r="AB1664" s="69"/>
      <c r="AC1664" s="69"/>
      <c r="AD1664" s="69"/>
      <c r="AE1664" s="69"/>
      <c r="AF1664" s="69"/>
      <c r="AG1664" s="69"/>
      <c r="AH1664" s="69"/>
      <c r="AI1664" s="69"/>
      <c r="AJ1664" s="69"/>
      <c r="AK1664" s="69"/>
      <c r="AL1664" s="69"/>
      <c r="AM1664" s="69"/>
      <c r="AN1664" s="69"/>
      <c r="AO1664" s="69"/>
      <c r="AP1664" s="69"/>
      <c r="AQ1664" s="69"/>
      <c r="AR1664" s="69"/>
      <c r="AS1664" s="69"/>
      <c r="AT1664" s="69"/>
      <c r="AU1664" s="69"/>
      <c r="AV1664" s="69"/>
      <c r="AW1664" s="69"/>
      <c r="AX1664" s="69"/>
      <c r="AY1664" s="69"/>
      <c r="AZ1664" s="69"/>
      <c r="BA1664" s="69"/>
      <c r="BB1664" s="69"/>
      <c r="BC1664" s="69"/>
    </row>
    <row r="1665">
      <c r="A1665" s="68"/>
      <c r="B1665" s="68"/>
      <c r="C1665" s="68"/>
      <c r="D1665" s="68"/>
      <c r="E1665" s="68"/>
      <c r="F1665" s="68"/>
      <c r="G1665" s="68"/>
      <c r="H1665" s="68"/>
      <c r="I1665" s="69"/>
      <c r="J1665" s="69"/>
      <c r="K1665" s="71"/>
      <c r="L1665" s="69"/>
      <c r="M1665" s="69"/>
      <c r="N1665" s="72"/>
      <c r="O1665" s="69"/>
      <c r="P1665" s="69"/>
      <c r="Q1665" s="69"/>
      <c r="R1665" s="69"/>
      <c r="S1665" s="69"/>
      <c r="T1665" s="69"/>
      <c r="U1665" s="69"/>
      <c r="V1665" s="69"/>
      <c r="W1665" s="69"/>
      <c r="X1665" s="69"/>
      <c r="Y1665" s="69"/>
      <c r="Z1665" s="69"/>
      <c r="AA1665" s="69"/>
      <c r="AB1665" s="69"/>
      <c r="AC1665" s="69"/>
      <c r="AD1665" s="69"/>
      <c r="AE1665" s="69"/>
      <c r="AF1665" s="69"/>
      <c r="AG1665" s="69"/>
      <c r="AH1665" s="69"/>
      <c r="AI1665" s="69"/>
      <c r="AJ1665" s="69"/>
      <c r="AK1665" s="69"/>
      <c r="AL1665" s="69"/>
      <c r="AM1665" s="69"/>
      <c r="AN1665" s="69"/>
      <c r="AO1665" s="69"/>
      <c r="AP1665" s="69"/>
      <c r="AQ1665" s="69"/>
      <c r="AR1665" s="69"/>
      <c r="AS1665" s="69"/>
      <c r="AT1665" s="69"/>
      <c r="AU1665" s="69"/>
      <c r="AV1665" s="69"/>
      <c r="AW1665" s="69"/>
      <c r="AX1665" s="69"/>
      <c r="AY1665" s="69"/>
      <c r="AZ1665" s="69"/>
      <c r="BA1665" s="69"/>
      <c r="BB1665" s="69"/>
      <c r="BC1665" s="69"/>
    </row>
    <row r="1666">
      <c r="A1666" s="68"/>
      <c r="B1666" s="68"/>
      <c r="C1666" s="68"/>
      <c r="D1666" s="68"/>
      <c r="E1666" s="68"/>
      <c r="F1666" s="68"/>
      <c r="G1666" s="68"/>
      <c r="H1666" s="68"/>
      <c r="I1666" s="69"/>
      <c r="J1666" s="69"/>
      <c r="K1666" s="71"/>
      <c r="L1666" s="69"/>
      <c r="M1666" s="69"/>
      <c r="N1666" s="72"/>
      <c r="O1666" s="69"/>
      <c r="P1666" s="69"/>
      <c r="Q1666" s="69"/>
      <c r="R1666" s="69"/>
      <c r="S1666" s="69"/>
      <c r="T1666" s="69"/>
      <c r="U1666" s="69"/>
      <c r="V1666" s="69"/>
      <c r="W1666" s="69"/>
      <c r="X1666" s="69"/>
      <c r="Y1666" s="69"/>
      <c r="Z1666" s="69"/>
      <c r="AA1666" s="69"/>
      <c r="AB1666" s="69"/>
      <c r="AC1666" s="69"/>
      <c r="AD1666" s="69"/>
      <c r="AE1666" s="69"/>
      <c r="AF1666" s="69"/>
      <c r="AG1666" s="69"/>
      <c r="AH1666" s="69"/>
      <c r="AI1666" s="69"/>
      <c r="AJ1666" s="69"/>
      <c r="AK1666" s="69"/>
      <c r="AL1666" s="69"/>
      <c r="AM1666" s="69"/>
      <c r="AN1666" s="69"/>
      <c r="AO1666" s="69"/>
      <c r="AP1666" s="69"/>
      <c r="AQ1666" s="69"/>
      <c r="AR1666" s="69"/>
      <c r="AS1666" s="69"/>
      <c r="AT1666" s="69"/>
      <c r="AU1666" s="69"/>
      <c r="AV1666" s="69"/>
      <c r="AW1666" s="69"/>
      <c r="AX1666" s="69"/>
      <c r="AY1666" s="69"/>
      <c r="AZ1666" s="69"/>
      <c r="BA1666" s="69"/>
      <c r="BB1666" s="69"/>
      <c r="BC1666" s="69"/>
    </row>
    <row r="1667">
      <c r="A1667" s="68"/>
      <c r="B1667" s="68"/>
      <c r="C1667" s="68"/>
      <c r="D1667" s="68"/>
      <c r="E1667" s="68"/>
      <c r="F1667" s="68"/>
      <c r="G1667" s="68"/>
      <c r="H1667" s="68"/>
      <c r="I1667" s="69"/>
      <c r="J1667" s="69"/>
      <c r="K1667" s="71"/>
      <c r="L1667" s="69"/>
      <c r="M1667" s="69"/>
      <c r="N1667" s="72"/>
      <c r="O1667" s="69"/>
      <c r="P1667" s="69"/>
      <c r="Q1667" s="69"/>
      <c r="R1667" s="69"/>
      <c r="S1667" s="69"/>
      <c r="T1667" s="69"/>
      <c r="U1667" s="69"/>
      <c r="V1667" s="69"/>
      <c r="W1667" s="69"/>
      <c r="X1667" s="69"/>
      <c r="Y1667" s="69"/>
      <c r="Z1667" s="69"/>
      <c r="AA1667" s="69"/>
      <c r="AB1667" s="69"/>
      <c r="AC1667" s="69"/>
      <c r="AD1667" s="69"/>
      <c r="AE1667" s="69"/>
      <c r="AF1667" s="69"/>
      <c r="AG1667" s="69"/>
      <c r="AH1667" s="69"/>
      <c r="AI1667" s="69"/>
      <c r="AJ1667" s="69"/>
      <c r="AK1667" s="69"/>
      <c r="AL1667" s="69"/>
      <c r="AM1667" s="69"/>
      <c r="AN1667" s="69"/>
      <c r="AO1667" s="69"/>
      <c r="AP1667" s="69"/>
      <c r="AQ1667" s="69"/>
      <c r="AR1667" s="69"/>
      <c r="AS1667" s="69"/>
      <c r="AT1667" s="69"/>
      <c r="AU1667" s="69"/>
      <c r="AV1667" s="69"/>
      <c r="AW1667" s="69"/>
      <c r="AX1667" s="69"/>
      <c r="AY1667" s="69"/>
      <c r="AZ1667" s="69"/>
      <c r="BA1667" s="69"/>
      <c r="BB1667" s="69"/>
      <c r="BC1667" s="69"/>
    </row>
    <row r="1668">
      <c r="A1668" s="68"/>
      <c r="B1668" s="68"/>
      <c r="C1668" s="68"/>
      <c r="D1668" s="68"/>
      <c r="E1668" s="68"/>
      <c r="F1668" s="68"/>
      <c r="G1668" s="68"/>
      <c r="H1668" s="68"/>
      <c r="I1668" s="69"/>
      <c r="J1668" s="69"/>
      <c r="K1668" s="71"/>
      <c r="L1668" s="69"/>
      <c r="M1668" s="69"/>
      <c r="N1668" s="72"/>
      <c r="O1668" s="69"/>
      <c r="P1668" s="69"/>
      <c r="Q1668" s="69"/>
      <c r="R1668" s="69"/>
      <c r="S1668" s="69"/>
      <c r="T1668" s="69"/>
      <c r="U1668" s="69"/>
      <c r="V1668" s="69"/>
      <c r="W1668" s="69"/>
      <c r="X1668" s="69"/>
      <c r="Y1668" s="69"/>
      <c r="Z1668" s="69"/>
      <c r="AA1668" s="69"/>
      <c r="AB1668" s="69"/>
      <c r="AC1668" s="69"/>
      <c r="AD1668" s="69"/>
      <c r="AE1668" s="69"/>
      <c r="AF1668" s="69"/>
      <c r="AG1668" s="69"/>
      <c r="AH1668" s="69"/>
      <c r="AI1668" s="69"/>
      <c r="AJ1668" s="69"/>
      <c r="AK1668" s="69"/>
      <c r="AL1668" s="69"/>
      <c r="AM1668" s="69"/>
      <c r="AN1668" s="69"/>
      <c r="AO1668" s="69"/>
      <c r="AP1668" s="69"/>
      <c r="AQ1668" s="69"/>
      <c r="AR1668" s="69"/>
      <c r="AS1668" s="69"/>
      <c r="AT1668" s="69"/>
      <c r="AU1668" s="69"/>
      <c r="AV1668" s="69"/>
      <c r="AW1668" s="69"/>
      <c r="AX1668" s="69"/>
      <c r="AY1668" s="69"/>
      <c r="AZ1668" s="69"/>
      <c r="BA1668" s="69"/>
      <c r="BB1668" s="69"/>
      <c r="BC1668" s="69"/>
    </row>
    <row r="1669">
      <c r="A1669" s="68"/>
      <c r="B1669" s="68"/>
      <c r="C1669" s="68"/>
      <c r="D1669" s="68"/>
      <c r="E1669" s="68"/>
      <c r="F1669" s="68"/>
      <c r="G1669" s="68"/>
      <c r="H1669" s="68"/>
      <c r="I1669" s="69"/>
      <c r="J1669" s="69"/>
      <c r="K1669" s="71"/>
      <c r="L1669" s="69"/>
      <c r="M1669" s="69"/>
      <c r="N1669" s="72"/>
      <c r="O1669" s="69"/>
      <c r="P1669" s="69"/>
      <c r="Q1669" s="69"/>
      <c r="R1669" s="69"/>
      <c r="S1669" s="69"/>
      <c r="T1669" s="69"/>
      <c r="U1669" s="69"/>
      <c r="V1669" s="69"/>
      <c r="W1669" s="69"/>
      <c r="X1669" s="69"/>
      <c r="Y1669" s="69"/>
      <c r="Z1669" s="69"/>
      <c r="AA1669" s="69"/>
      <c r="AB1669" s="69"/>
      <c r="AC1669" s="69"/>
      <c r="AD1669" s="69"/>
      <c r="AE1669" s="69"/>
      <c r="AF1669" s="69"/>
      <c r="AG1669" s="69"/>
      <c r="AH1669" s="69"/>
      <c r="AI1669" s="69"/>
      <c r="AJ1669" s="69"/>
      <c r="AK1669" s="69"/>
      <c r="AL1669" s="69"/>
      <c r="AM1669" s="69"/>
      <c r="AN1669" s="69"/>
      <c r="AO1669" s="69"/>
      <c r="AP1669" s="69"/>
      <c r="AQ1669" s="69"/>
      <c r="AR1669" s="69"/>
      <c r="AS1669" s="69"/>
      <c r="AT1669" s="69"/>
      <c r="AU1669" s="69"/>
      <c r="AV1669" s="69"/>
      <c r="AW1669" s="69"/>
      <c r="AX1669" s="69"/>
      <c r="AY1669" s="69"/>
      <c r="AZ1669" s="69"/>
      <c r="BA1669" s="69"/>
      <c r="BB1669" s="69"/>
      <c r="BC1669" s="69"/>
    </row>
    <row r="1670">
      <c r="A1670" s="68"/>
      <c r="B1670" s="68"/>
      <c r="C1670" s="68"/>
      <c r="D1670" s="68"/>
      <c r="E1670" s="68"/>
      <c r="F1670" s="68"/>
      <c r="G1670" s="68"/>
      <c r="H1670" s="68"/>
      <c r="I1670" s="69"/>
      <c r="J1670" s="69"/>
      <c r="K1670" s="71"/>
      <c r="L1670" s="69"/>
      <c r="M1670" s="69"/>
      <c r="N1670" s="72"/>
      <c r="O1670" s="69"/>
      <c r="P1670" s="69"/>
      <c r="Q1670" s="69"/>
      <c r="R1670" s="69"/>
      <c r="S1670" s="69"/>
      <c r="T1670" s="69"/>
      <c r="U1670" s="69"/>
      <c r="V1670" s="69"/>
      <c r="W1670" s="69"/>
      <c r="X1670" s="69"/>
      <c r="Y1670" s="69"/>
      <c r="Z1670" s="69"/>
      <c r="AA1670" s="69"/>
      <c r="AB1670" s="69"/>
      <c r="AC1670" s="69"/>
      <c r="AD1670" s="69"/>
      <c r="AE1670" s="69"/>
      <c r="AF1670" s="69"/>
      <c r="AG1670" s="69"/>
      <c r="AH1670" s="69"/>
      <c r="AI1670" s="69"/>
      <c r="AJ1670" s="69"/>
      <c r="AK1670" s="69"/>
      <c r="AL1670" s="69"/>
      <c r="AM1670" s="69"/>
      <c r="AN1670" s="69"/>
      <c r="AO1670" s="69"/>
      <c r="AP1670" s="69"/>
      <c r="AQ1670" s="69"/>
      <c r="AR1670" s="69"/>
      <c r="AS1670" s="69"/>
      <c r="AT1670" s="69"/>
      <c r="AU1670" s="69"/>
      <c r="AV1670" s="69"/>
      <c r="AW1670" s="69"/>
      <c r="AX1670" s="69"/>
      <c r="AY1670" s="69"/>
      <c r="AZ1670" s="69"/>
      <c r="BA1670" s="69"/>
      <c r="BB1670" s="69"/>
      <c r="BC1670" s="69"/>
    </row>
    <row r="1671">
      <c r="A1671" s="68"/>
      <c r="B1671" s="68"/>
      <c r="C1671" s="68"/>
      <c r="D1671" s="68"/>
      <c r="E1671" s="68"/>
      <c r="F1671" s="68"/>
      <c r="G1671" s="68"/>
      <c r="H1671" s="68"/>
      <c r="I1671" s="69"/>
      <c r="J1671" s="69"/>
      <c r="K1671" s="71"/>
      <c r="L1671" s="69"/>
      <c r="M1671" s="69"/>
      <c r="N1671" s="72"/>
      <c r="O1671" s="69"/>
      <c r="P1671" s="69"/>
      <c r="Q1671" s="69"/>
      <c r="R1671" s="69"/>
      <c r="S1671" s="69"/>
      <c r="T1671" s="69"/>
      <c r="U1671" s="69"/>
      <c r="V1671" s="69"/>
      <c r="W1671" s="69"/>
      <c r="X1671" s="69"/>
      <c r="Y1671" s="69"/>
      <c r="Z1671" s="69"/>
      <c r="AA1671" s="69"/>
      <c r="AB1671" s="69"/>
      <c r="AC1671" s="69"/>
      <c r="AD1671" s="69"/>
      <c r="AE1671" s="69"/>
      <c r="AF1671" s="69"/>
      <c r="AG1671" s="69"/>
      <c r="AH1671" s="69"/>
      <c r="AI1671" s="69"/>
      <c r="AJ1671" s="69"/>
      <c r="AK1671" s="69"/>
      <c r="AL1671" s="69"/>
      <c r="AM1671" s="69"/>
      <c r="AN1671" s="69"/>
      <c r="AO1671" s="69"/>
      <c r="AP1671" s="69"/>
      <c r="AQ1671" s="69"/>
      <c r="AR1671" s="69"/>
      <c r="AS1671" s="69"/>
      <c r="AT1671" s="69"/>
      <c r="AU1671" s="69"/>
      <c r="AV1671" s="69"/>
      <c r="AW1671" s="69"/>
      <c r="AX1671" s="69"/>
      <c r="AY1671" s="69"/>
      <c r="AZ1671" s="69"/>
      <c r="BA1671" s="69"/>
      <c r="BB1671" s="69"/>
      <c r="BC1671" s="69"/>
    </row>
    <row r="1672">
      <c r="A1672" s="68"/>
      <c r="B1672" s="68"/>
      <c r="C1672" s="68"/>
      <c r="D1672" s="68"/>
      <c r="E1672" s="68"/>
      <c r="F1672" s="68"/>
      <c r="G1672" s="68"/>
      <c r="H1672" s="68"/>
      <c r="I1672" s="69"/>
      <c r="J1672" s="69"/>
      <c r="K1672" s="71"/>
      <c r="L1672" s="69"/>
      <c r="M1672" s="69"/>
      <c r="N1672" s="72"/>
      <c r="O1672" s="69"/>
      <c r="P1672" s="69"/>
      <c r="Q1672" s="69"/>
      <c r="R1672" s="69"/>
      <c r="S1672" s="69"/>
      <c r="T1672" s="69"/>
      <c r="U1672" s="69"/>
      <c r="V1672" s="69"/>
      <c r="W1672" s="69"/>
      <c r="X1672" s="69"/>
      <c r="Y1672" s="69"/>
      <c r="Z1672" s="69"/>
      <c r="AA1672" s="69"/>
      <c r="AB1672" s="69"/>
      <c r="AC1672" s="69"/>
      <c r="AD1672" s="69"/>
      <c r="AE1672" s="69"/>
      <c r="AF1672" s="69"/>
      <c r="AG1672" s="69"/>
      <c r="AH1672" s="69"/>
      <c r="AI1672" s="69"/>
      <c r="AJ1672" s="69"/>
      <c r="AK1672" s="69"/>
      <c r="AL1672" s="69"/>
      <c r="AM1672" s="69"/>
      <c r="AN1672" s="69"/>
      <c r="AO1672" s="69"/>
      <c r="AP1672" s="69"/>
      <c r="AQ1672" s="69"/>
      <c r="AR1672" s="69"/>
      <c r="AS1672" s="69"/>
      <c r="AT1672" s="69"/>
      <c r="AU1672" s="69"/>
      <c r="AV1672" s="69"/>
      <c r="AW1672" s="69"/>
      <c r="AX1672" s="69"/>
      <c r="AY1672" s="69"/>
      <c r="AZ1672" s="69"/>
      <c r="BA1672" s="69"/>
      <c r="BB1672" s="69"/>
      <c r="BC1672" s="69"/>
    </row>
    <row r="1673">
      <c r="A1673" s="68"/>
      <c r="B1673" s="68"/>
      <c r="C1673" s="68"/>
      <c r="D1673" s="68"/>
      <c r="E1673" s="68"/>
      <c r="F1673" s="68"/>
      <c r="G1673" s="68"/>
      <c r="H1673" s="68"/>
      <c r="I1673" s="69"/>
      <c r="J1673" s="69"/>
      <c r="K1673" s="71"/>
      <c r="L1673" s="69"/>
      <c r="M1673" s="69"/>
      <c r="N1673" s="72"/>
      <c r="O1673" s="69"/>
      <c r="P1673" s="69"/>
      <c r="Q1673" s="69"/>
      <c r="R1673" s="69"/>
      <c r="S1673" s="69"/>
      <c r="T1673" s="69"/>
      <c r="U1673" s="69"/>
      <c r="V1673" s="69"/>
      <c r="W1673" s="69"/>
      <c r="X1673" s="69"/>
      <c r="Y1673" s="69"/>
      <c r="Z1673" s="69"/>
      <c r="AA1673" s="69"/>
      <c r="AB1673" s="69"/>
      <c r="AC1673" s="69"/>
      <c r="AD1673" s="69"/>
      <c r="AE1673" s="69"/>
      <c r="AF1673" s="69"/>
      <c r="AG1673" s="69"/>
      <c r="AH1673" s="69"/>
      <c r="AI1673" s="69"/>
      <c r="AJ1673" s="69"/>
      <c r="AK1673" s="69"/>
      <c r="AL1673" s="69"/>
      <c r="AM1673" s="69"/>
      <c r="AN1673" s="69"/>
      <c r="AO1673" s="69"/>
      <c r="AP1673" s="69"/>
      <c r="AQ1673" s="69"/>
      <c r="AR1673" s="69"/>
      <c r="AS1673" s="69"/>
      <c r="AT1673" s="69"/>
      <c r="AU1673" s="69"/>
      <c r="AV1673" s="69"/>
      <c r="AW1673" s="69"/>
      <c r="AX1673" s="69"/>
      <c r="AY1673" s="69"/>
      <c r="AZ1673" s="69"/>
      <c r="BA1673" s="69"/>
      <c r="BB1673" s="69"/>
      <c r="BC1673" s="69"/>
    </row>
    <row r="1674">
      <c r="A1674" s="68"/>
      <c r="B1674" s="68"/>
      <c r="C1674" s="68"/>
      <c r="D1674" s="68"/>
      <c r="E1674" s="68"/>
      <c r="F1674" s="68"/>
      <c r="G1674" s="68"/>
      <c r="H1674" s="68"/>
      <c r="I1674" s="69"/>
      <c r="J1674" s="69"/>
      <c r="K1674" s="71"/>
      <c r="L1674" s="69"/>
      <c r="M1674" s="69"/>
      <c r="N1674" s="72"/>
      <c r="O1674" s="69"/>
      <c r="P1674" s="69"/>
      <c r="Q1674" s="69"/>
      <c r="R1674" s="69"/>
      <c r="S1674" s="69"/>
      <c r="T1674" s="69"/>
      <c r="U1674" s="69"/>
      <c r="V1674" s="69"/>
      <c r="W1674" s="69"/>
      <c r="X1674" s="69"/>
      <c r="Y1674" s="69"/>
      <c r="Z1674" s="69"/>
      <c r="AA1674" s="69"/>
      <c r="AB1674" s="69"/>
      <c r="AC1674" s="69"/>
      <c r="AD1674" s="69"/>
      <c r="AE1674" s="69"/>
      <c r="AF1674" s="69"/>
      <c r="AG1674" s="69"/>
      <c r="AH1674" s="69"/>
      <c r="AI1674" s="69"/>
      <c r="AJ1674" s="69"/>
      <c r="AK1674" s="69"/>
      <c r="AL1674" s="69"/>
      <c r="AM1674" s="69"/>
      <c r="AN1674" s="69"/>
      <c r="AO1674" s="69"/>
      <c r="AP1674" s="69"/>
      <c r="AQ1674" s="69"/>
      <c r="AR1674" s="69"/>
      <c r="AS1674" s="69"/>
      <c r="AT1674" s="69"/>
      <c r="AU1674" s="69"/>
      <c r="AV1674" s="69"/>
      <c r="AW1674" s="69"/>
      <c r="AX1674" s="69"/>
      <c r="AY1674" s="69"/>
      <c r="AZ1674" s="69"/>
      <c r="BA1674" s="69"/>
      <c r="BB1674" s="69"/>
      <c r="BC1674" s="69"/>
    </row>
    <row r="1675">
      <c r="A1675" s="68"/>
      <c r="B1675" s="68"/>
      <c r="C1675" s="68"/>
      <c r="D1675" s="68"/>
      <c r="E1675" s="68"/>
      <c r="F1675" s="68"/>
      <c r="G1675" s="68"/>
      <c r="H1675" s="68"/>
      <c r="I1675" s="69"/>
      <c r="J1675" s="69"/>
      <c r="K1675" s="71"/>
      <c r="L1675" s="69"/>
      <c r="M1675" s="69"/>
      <c r="N1675" s="72"/>
      <c r="O1675" s="69"/>
      <c r="P1675" s="69"/>
      <c r="Q1675" s="69"/>
      <c r="R1675" s="69"/>
      <c r="S1675" s="69"/>
      <c r="T1675" s="69"/>
      <c r="U1675" s="69"/>
      <c r="V1675" s="69"/>
      <c r="W1675" s="69"/>
      <c r="X1675" s="69"/>
      <c r="Y1675" s="69"/>
      <c r="Z1675" s="69"/>
      <c r="AA1675" s="69"/>
      <c r="AB1675" s="69"/>
      <c r="AC1675" s="69"/>
      <c r="AD1675" s="69"/>
      <c r="AE1675" s="69"/>
      <c r="AF1675" s="69"/>
      <c r="AG1675" s="69"/>
      <c r="AH1675" s="69"/>
      <c r="AI1675" s="69"/>
      <c r="AJ1675" s="69"/>
      <c r="AK1675" s="69"/>
      <c r="AL1675" s="69"/>
      <c r="AM1675" s="69"/>
      <c r="AN1675" s="69"/>
      <c r="AO1675" s="69"/>
      <c r="AP1675" s="69"/>
      <c r="AQ1675" s="69"/>
      <c r="AR1675" s="69"/>
      <c r="AS1675" s="69"/>
      <c r="AT1675" s="69"/>
      <c r="AU1675" s="69"/>
      <c r="AV1675" s="69"/>
      <c r="AW1675" s="69"/>
      <c r="AX1675" s="69"/>
      <c r="AY1675" s="69"/>
      <c r="AZ1675" s="69"/>
      <c r="BA1675" s="69"/>
      <c r="BB1675" s="69"/>
      <c r="BC1675" s="69"/>
    </row>
    <row r="1676">
      <c r="A1676" s="68"/>
      <c r="B1676" s="68"/>
      <c r="C1676" s="68"/>
      <c r="D1676" s="68"/>
      <c r="E1676" s="68"/>
      <c r="F1676" s="68"/>
      <c r="G1676" s="68"/>
      <c r="H1676" s="68"/>
      <c r="I1676" s="69"/>
      <c r="J1676" s="69"/>
      <c r="K1676" s="71"/>
      <c r="L1676" s="69"/>
      <c r="M1676" s="69"/>
      <c r="N1676" s="72"/>
      <c r="O1676" s="69"/>
      <c r="P1676" s="69"/>
      <c r="Q1676" s="69"/>
      <c r="R1676" s="69"/>
      <c r="S1676" s="69"/>
      <c r="T1676" s="69"/>
      <c r="U1676" s="69"/>
      <c r="V1676" s="69"/>
      <c r="W1676" s="69"/>
      <c r="X1676" s="69"/>
      <c r="Y1676" s="69"/>
      <c r="Z1676" s="69"/>
      <c r="AA1676" s="69"/>
      <c r="AB1676" s="69"/>
      <c r="AC1676" s="69"/>
      <c r="AD1676" s="69"/>
      <c r="AE1676" s="69"/>
      <c r="AF1676" s="69"/>
      <c r="AG1676" s="69"/>
      <c r="AH1676" s="69"/>
      <c r="AI1676" s="69"/>
      <c r="AJ1676" s="69"/>
      <c r="AK1676" s="69"/>
      <c r="AL1676" s="69"/>
      <c r="AM1676" s="69"/>
      <c r="AN1676" s="69"/>
      <c r="AO1676" s="69"/>
      <c r="AP1676" s="69"/>
      <c r="AQ1676" s="69"/>
      <c r="AR1676" s="69"/>
      <c r="AS1676" s="69"/>
      <c r="AT1676" s="69"/>
      <c r="AU1676" s="69"/>
      <c r="AV1676" s="69"/>
      <c r="AW1676" s="69"/>
      <c r="AX1676" s="69"/>
      <c r="AY1676" s="69"/>
      <c r="AZ1676" s="69"/>
      <c r="BA1676" s="69"/>
      <c r="BB1676" s="69"/>
      <c r="BC1676" s="69"/>
    </row>
    <row r="1677">
      <c r="A1677" s="68"/>
      <c r="B1677" s="68"/>
      <c r="C1677" s="68"/>
      <c r="D1677" s="68"/>
      <c r="E1677" s="68"/>
      <c r="F1677" s="68"/>
      <c r="G1677" s="68"/>
      <c r="H1677" s="68"/>
      <c r="I1677" s="69"/>
      <c r="J1677" s="69"/>
      <c r="K1677" s="71"/>
      <c r="L1677" s="69"/>
      <c r="M1677" s="69"/>
      <c r="N1677" s="72"/>
      <c r="O1677" s="69"/>
      <c r="P1677" s="69"/>
      <c r="Q1677" s="69"/>
      <c r="R1677" s="69"/>
      <c r="S1677" s="69"/>
      <c r="T1677" s="69"/>
      <c r="U1677" s="69"/>
      <c r="V1677" s="69"/>
      <c r="W1677" s="69"/>
      <c r="X1677" s="69"/>
      <c r="Y1677" s="69"/>
      <c r="Z1677" s="69"/>
      <c r="AA1677" s="69"/>
      <c r="AB1677" s="69"/>
      <c r="AC1677" s="69"/>
      <c r="AD1677" s="69"/>
      <c r="AE1677" s="69"/>
      <c r="AF1677" s="69"/>
      <c r="AG1677" s="69"/>
      <c r="AH1677" s="69"/>
      <c r="AI1677" s="69"/>
      <c r="AJ1677" s="69"/>
      <c r="AK1677" s="69"/>
      <c r="AL1677" s="69"/>
      <c r="AM1677" s="69"/>
      <c r="AN1677" s="69"/>
      <c r="AO1677" s="69"/>
      <c r="AP1677" s="69"/>
      <c r="AQ1677" s="69"/>
      <c r="AR1677" s="69"/>
      <c r="AS1677" s="69"/>
      <c r="AT1677" s="69"/>
      <c r="AU1677" s="69"/>
      <c r="AV1677" s="69"/>
      <c r="AW1677" s="69"/>
      <c r="AX1677" s="69"/>
      <c r="AY1677" s="69"/>
      <c r="AZ1677" s="69"/>
      <c r="BA1677" s="69"/>
      <c r="BB1677" s="69"/>
      <c r="BC1677" s="69"/>
    </row>
    <row r="1678">
      <c r="A1678" s="68"/>
      <c r="B1678" s="68"/>
      <c r="C1678" s="68"/>
      <c r="D1678" s="68"/>
      <c r="E1678" s="68"/>
      <c r="F1678" s="68"/>
      <c r="G1678" s="68"/>
      <c r="H1678" s="68"/>
      <c r="I1678" s="69"/>
      <c r="J1678" s="69"/>
      <c r="K1678" s="71"/>
      <c r="L1678" s="69"/>
      <c r="M1678" s="69"/>
      <c r="N1678" s="72"/>
      <c r="O1678" s="69"/>
      <c r="P1678" s="69"/>
      <c r="Q1678" s="69"/>
      <c r="R1678" s="69"/>
      <c r="S1678" s="69"/>
      <c r="T1678" s="69"/>
      <c r="U1678" s="69"/>
      <c r="V1678" s="69"/>
      <c r="W1678" s="69"/>
      <c r="X1678" s="69"/>
      <c r="Y1678" s="69"/>
      <c r="Z1678" s="69"/>
      <c r="AA1678" s="69"/>
      <c r="AB1678" s="69"/>
      <c r="AC1678" s="69"/>
      <c r="AD1678" s="69"/>
      <c r="AE1678" s="69"/>
      <c r="AF1678" s="69"/>
      <c r="AG1678" s="69"/>
      <c r="AH1678" s="69"/>
      <c r="AI1678" s="69"/>
      <c r="AJ1678" s="69"/>
      <c r="AK1678" s="69"/>
      <c r="AL1678" s="69"/>
      <c r="AM1678" s="69"/>
      <c r="AN1678" s="69"/>
      <c r="AO1678" s="69"/>
      <c r="AP1678" s="69"/>
      <c r="AQ1678" s="69"/>
      <c r="AR1678" s="69"/>
      <c r="AS1678" s="69"/>
      <c r="AT1678" s="69"/>
      <c r="AU1678" s="69"/>
      <c r="AV1678" s="69"/>
      <c r="AW1678" s="69"/>
      <c r="AX1678" s="69"/>
      <c r="AY1678" s="69"/>
      <c r="AZ1678" s="69"/>
      <c r="BA1678" s="69"/>
      <c r="BB1678" s="69"/>
      <c r="BC1678" s="69"/>
    </row>
    <row r="1679">
      <c r="A1679" s="68"/>
      <c r="B1679" s="68"/>
      <c r="C1679" s="68"/>
      <c r="D1679" s="68"/>
      <c r="E1679" s="68"/>
      <c r="F1679" s="68"/>
      <c r="G1679" s="68"/>
      <c r="H1679" s="68"/>
      <c r="I1679" s="69"/>
      <c r="J1679" s="69"/>
      <c r="K1679" s="71"/>
      <c r="L1679" s="69"/>
      <c r="M1679" s="69"/>
      <c r="N1679" s="72"/>
      <c r="O1679" s="69"/>
      <c r="P1679" s="69"/>
      <c r="Q1679" s="69"/>
      <c r="R1679" s="69"/>
      <c r="S1679" s="69"/>
      <c r="T1679" s="69"/>
      <c r="U1679" s="69"/>
      <c r="V1679" s="69"/>
      <c r="W1679" s="69"/>
      <c r="X1679" s="69"/>
      <c r="Y1679" s="69"/>
      <c r="Z1679" s="69"/>
      <c r="AA1679" s="69"/>
      <c r="AB1679" s="69"/>
      <c r="AC1679" s="69"/>
      <c r="AD1679" s="69"/>
      <c r="AE1679" s="69"/>
      <c r="AF1679" s="69"/>
      <c r="AG1679" s="69"/>
      <c r="AH1679" s="69"/>
      <c r="AI1679" s="69"/>
      <c r="AJ1679" s="69"/>
      <c r="AK1679" s="69"/>
      <c r="AL1679" s="69"/>
      <c r="AM1679" s="69"/>
      <c r="AN1679" s="69"/>
      <c r="AO1679" s="69"/>
      <c r="AP1679" s="69"/>
      <c r="AQ1679" s="69"/>
      <c r="AR1679" s="69"/>
      <c r="AS1679" s="69"/>
      <c r="AT1679" s="69"/>
      <c r="AU1679" s="69"/>
      <c r="AV1679" s="69"/>
      <c r="AW1679" s="69"/>
      <c r="AX1679" s="69"/>
      <c r="AY1679" s="69"/>
      <c r="AZ1679" s="69"/>
      <c r="BA1679" s="69"/>
      <c r="BB1679" s="69"/>
      <c r="BC1679" s="69"/>
    </row>
    <row r="1680">
      <c r="A1680" s="68"/>
      <c r="B1680" s="68"/>
      <c r="C1680" s="68"/>
      <c r="D1680" s="68"/>
      <c r="E1680" s="68"/>
      <c r="F1680" s="68"/>
      <c r="G1680" s="68"/>
      <c r="H1680" s="68"/>
      <c r="I1680" s="69"/>
      <c r="J1680" s="69"/>
      <c r="K1680" s="71"/>
      <c r="L1680" s="69"/>
      <c r="M1680" s="69"/>
      <c r="N1680" s="72"/>
      <c r="O1680" s="69"/>
      <c r="P1680" s="69"/>
      <c r="Q1680" s="69"/>
      <c r="R1680" s="69"/>
      <c r="S1680" s="69"/>
      <c r="T1680" s="69"/>
      <c r="U1680" s="69"/>
      <c r="V1680" s="69"/>
      <c r="W1680" s="69"/>
      <c r="X1680" s="69"/>
      <c r="Y1680" s="69"/>
      <c r="Z1680" s="69"/>
      <c r="AA1680" s="69"/>
      <c r="AB1680" s="69"/>
      <c r="AC1680" s="69"/>
      <c r="AD1680" s="69"/>
      <c r="AE1680" s="69"/>
      <c r="AF1680" s="69"/>
      <c r="AG1680" s="69"/>
      <c r="AH1680" s="69"/>
      <c r="AI1680" s="69"/>
      <c r="AJ1680" s="69"/>
      <c r="AK1680" s="69"/>
      <c r="AL1680" s="69"/>
      <c r="AM1680" s="69"/>
      <c r="AN1680" s="69"/>
      <c r="AO1680" s="69"/>
      <c r="AP1680" s="69"/>
      <c r="AQ1680" s="69"/>
      <c r="AR1680" s="69"/>
      <c r="AS1680" s="69"/>
      <c r="AT1680" s="69"/>
      <c r="AU1680" s="69"/>
      <c r="AV1680" s="69"/>
      <c r="AW1680" s="69"/>
      <c r="AX1680" s="69"/>
      <c r="AY1680" s="69"/>
      <c r="AZ1680" s="69"/>
      <c r="BA1680" s="69"/>
      <c r="BB1680" s="69"/>
      <c r="BC1680" s="69"/>
    </row>
    <row r="1681">
      <c r="A1681" s="68"/>
      <c r="B1681" s="68"/>
      <c r="C1681" s="68"/>
      <c r="D1681" s="68"/>
      <c r="E1681" s="68"/>
      <c r="F1681" s="68"/>
      <c r="G1681" s="68"/>
      <c r="H1681" s="68"/>
      <c r="I1681" s="69"/>
      <c r="J1681" s="69"/>
      <c r="K1681" s="71"/>
      <c r="L1681" s="69"/>
      <c r="M1681" s="69"/>
      <c r="N1681" s="72"/>
      <c r="O1681" s="69"/>
      <c r="P1681" s="69"/>
      <c r="Q1681" s="69"/>
      <c r="R1681" s="69"/>
      <c r="S1681" s="69"/>
      <c r="T1681" s="69"/>
      <c r="U1681" s="69"/>
      <c r="V1681" s="69"/>
      <c r="W1681" s="69"/>
      <c r="X1681" s="69"/>
      <c r="Y1681" s="69"/>
      <c r="Z1681" s="69"/>
      <c r="AA1681" s="69"/>
      <c r="AB1681" s="69"/>
      <c r="AC1681" s="69"/>
      <c r="AD1681" s="69"/>
      <c r="AE1681" s="69"/>
      <c r="AF1681" s="69"/>
      <c r="AG1681" s="69"/>
      <c r="AH1681" s="69"/>
      <c r="AI1681" s="69"/>
      <c r="AJ1681" s="69"/>
      <c r="AK1681" s="69"/>
      <c r="AL1681" s="69"/>
      <c r="AM1681" s="69"/>
      <c r="AN1681" s="69"/>
      <c r="AO1681" s="69"/>
      <c r="AP1681" s="69"/>
      <c r="AQ1681" s="69"/>
      <c r="AR1681" s="69"/>
      <c r="AS1681" s="69"/>
      <c r="AT1681" s="69"/>
      <c r="AU1681" s="69"/>
      <c r="AV1681" s="69"/>
      <c r="AW1681" s="69"/>
      <c r="AX1681" s="69"/>
      <c r="AY1681" s="69"/>
      <c r="AZ1681" s="69"/>
      <c r="BA1681" s="69"/>
      <c r="BB1681" s="69"/>
      <c r="BC1681" s="69"/>
    </row>
    <row r="1682">
      <c r="A1682" s="68"/>
      <c r="B1682" s="68"/>
      <c r="C1682" s="68"/>
      <c r="D1682" s="68"/>
      <c r="E1682" s="68"/>
      <c r="F1682" s="68"/>
      <c r="G1682" s="68"/>
      <c r="H1682" s="68"/>
      <c r="I1682" s="69"/>
      <c r="J1682" s="69"/>
      <c r="K1682" s="71"/>
      <c r="L1682" s="69"/>
      <c r="M1682" s="69"/>
      <c r="N1682" s="72"/>
      <c r="O1682" s="69"/>
      <c r="P1682" s="69"/>
      <c r="Q1682" s="69"/>
      <c r="R1682" s="69"/>
      <c r="S1682" s="69"/>
      <c r="T1682" s="69"/>
      <c r="U1682" s="69"/>
      <c r="V1682" s="69"/>
      <c r="W1682" s="69"/>
      <c r="X1682" s="69"/>
      <c r="Y1682" s="69"/>
      <c r="Z1682" s="69"/>
      <c r="AA1682" s="69"/>
      <c r="AB1682" s="69"/>
      <c r="AC1682" s="69"/>
      <c r="AD1682" s="69"/>
      <c r="AE1682" s="69"/>
      <c r="AF1682" s="69"/>
      <c r="AG1682" s="69"/>
      <c r="AH1682" s="69"/>
      <c r="AI1682" s="69"/>
      <c r="AJ1682" s="69"/>
      <c r="AK1682" s="69"/>
      <c r="AL1682" s="69"/>
      <c r="AM1682" s="69"/>
      <c r="AN1682" s="69"/>
      <c r="AO1682" s="69"/>
      <c r="AP1682" s="69"/>
      <c r="AQ1682" s="69"/>
      <c r="AR1682" s="69"/>
      <c r="AS1682" s="69"/>
      <c r="AT1682" s="69"/>
      <c r="AU1682" s="69"/>
      <c r="AV1682" s="69"/>
      <c r="AW1682" s="69"/>
      <c r="AX1682" s="69"/>
      <c r="AY1682" s="69"/>
      <c r="AZ1682" s="69"/>
      <c r="BA1682" s="69"/>
      <c r="BB1682" s="69"/>
      <c r="BC1682" s="69"/>
    </row>
    <row r="1683">
      <c r="A1683" s="68"/>
      <c r="B1683" s="68"/>
      <c r="C1683" s="68"/>
      <c r="D1683" s="68"/>
      <c r="E1683" s="68"/>
      <c r="F1683" s="68"/>
      <c r="G1683" s="68"/>
      <c r="H1683" s="68"/>
      <c r="I1683" s="69"/>
      <c r="J1683" s="69"/>
      <c r="K1683" s="71"/>
      <c r="L1683" s="69"/>
      <c r="M1683" s="69"/>
      <c r="N1683" s="72"/>
      <c r="O1683" s="69"/>
      <c r="P1683" s="69"/>
      <c r="Q1683" s="69"/>
      <c r="R1683" s="69"/>
      <c r="S1683" s="69"/>
      <c r="T1683" s="69"/>
      <c r="U1683" s="69"/>
      <c r="V1683" s="69"/>
      <c r="W1683" s="69"/>
      <c r="X1683" s="69"/>
      <c r="Y1683" s="69"/>
      <c r="Z1683" s="69"/>
      <c r="AA1683" s="69"/>
      <c r="AB1683" s="69"/>
      <c r="AC1683" s="69"/>
      <c r="AD1683" s="69"/>
      <c r="AE1683" s="69"/>
      <c r="AF1683" s="69"/>
      <c r="AG1683" s="69"/>
      <c r="AH1683" s="69"/>
      <c r="AI1683" s="69"/>
      <c r="AJ1683" s="69"/>
      <c r="AK1683" s="69"/>
      <c r="AL1683" s="69"/>
      <c r="AM1683" s="69"/>
      <c r="AN1683" s="69"/>
      <c r="AO1683" s="69"/>
      <c r="AP1683" s="69"/>
      <c r="AQ1683" s="69"/>
      <c r="AR1683" s="69"/>
      <c r="AS1683" s="69"/>
      <c r="AT1683" s="69"/>
      <c r="AU1683" s="69"/>
      <c r="AV1683" s="69"/>
      <c r="AW1683" s="69"/>
      <c r="AX1683" s="69"/>
      <c r="AY1683" s="69"/>
      <c r="AZ1683" s="69"/>
      <c r="BA1683" s="69"/>
      <c r="BB1683" s="69"/>
      <c r="BC1683" s="69"/>
    </row>
    <row r="1684">
      <c r="A1684" s="68"/>
      <c r="B1684" s="68"/>
      <c r="C1684" s="68"/>
      <c r="D1684" s="68"/>
      <c r="E1684" s="68"/>
      <c r="F1684" s="68"/>
      <c r="G1684" s="68"/>
      <c r="H1684" s="68"/>
      <c r="I1684" s="69"/>
      <c r="J1684" s="69"/>
      <c r="K1684" s="71"/>
      <c r="L1684" s="69"/>
      <c r="M1684" s="69"/>
      <c r="N1684" s="72"/>
      <c r="O1684" s="69"/>
      <c r="P1684" s="69"/>
      <c r="Q1684" s="69"/>
      <c r="R1684" s="69"/>
      <c r="S1684" s="69"/>
      <c r="T1684" s="69"/>
      <c r="U1684" s="69"/>
      <c r="V1684" s="69"/>
      <c r="W1684" s="69"/>
      <c r="X1684" s="69"/>
      <c r="Y1684" s="69"/>
      <c r="Z1684" s="69"/>
      <c r="AA1684" s="69"/>
      <c r="AB1684" s="69"/>
      <c r="AC1684" s="69"/>
      <c r="AD1684" s="69"/>
      <c r="AE1684" s="69"/>
      <c r="AF1684" s="69"/>
      <c r="AG1684" s="69"/>
      <c r="AH1684" s="69"/>
      <c r="AI1684" s="69"/>
      <c r="AJ1684" s="69"/>
      <c r="AK1684" s="69"/>
      <c r="AL1684" s="69"/>
      <c r="AM1684" s="69"/>
      <c r="AN1684" s="69"/>
      <c r="AO1684" s="69"/>
      <c r="AP1684" s="69"/>
      <c r="AQ1684" s="69"/>
      <c r="AR1684" s="69"/>
      <c r="AS1684" s="69"/>
      <c r="AT1684" s="69"/>
      <c r="AU1684" s="69"/>
      <c r="AV1684" s="69"/>
      <c r="AW1684" s="69"/>
      <c r="AX1684" s="69"/>
      <c r="AY1684" s="69"/>
      <c r="AZ1684" s="69"/>
      <c r="BA1684" s="69"/>
      <c r="BB1684" s="69"/>
      <c r="BC1684" s="69"/>
    </row>
    <row r="1685">
      <c r="A1685" s="68"/>
      <c r="B1685" s="68"/>
      <c r="C1685" s="68"/>
      <c r="D1685" s="68"/>
      <c r="E1685" s="68"/>
      <c r="F1685" s="68"/>
      <c r="G1685" s="68"/>
      <c r="H1685" s="68"/>
      <c r="I1685" s="69"/>
      <c r="J1685" s="69"/>
      <c r="K1685" s="71"/>
      <c r="L1685" s="69"/>
      <c r="M1685" s="69"/>
      <c r="N1685" s="72"/>
      <c r="O1685" s="69"/>
      <c r="P1685" s="69"/>
      <c r="Q1685" s="69"/>
      <c r="R1685" s="69"/>
      <c r="S1685" s="69"/>
      <c r="T1685" s="69"/>
      <c r="U1685" s="69"/>
      <c r="V1685" s="69"/>
      <c r="W1685" s="69"/>
      <c r="X1685" s="69"/>
      <c r="Y1685" s="69"/>
      <c r="Z1685" s="69"/>
      <c r="AA1685" s="69"/>
      <c r="AB1685" s="69"/>
      <c r="AC1685" s="69"/>
      <c r="AD1685" s="69"/>
      <c r="AE1685" s="69"/>
      <c r="AF1685" s="69"/>
      <c r="AG1685" s="69"/>
      <c r="AH1685" s="69"/>
      <c r="AI1685" s="69"/>
      <c r="AJ1685" s="69"/>
      <c r="AK1685" s="69"/>
      <c r="AL1685" s="69"/>
      <c r="AM1685" s="69"/>
      <c r="AN1685" s="69"/>
      <c r="AO1685" s="69"/>
      <c r="AP1685" s="69"/>
      <c r="AQ1685" s="69"/>
      <c r="AR1685" s="69"/>
      <c r="AS1685" s="69"/>
      <c r="AT1685" s="69"/>
      <c r="AU1685" s="69"/>
      <c r="AV1685" s="69"/>
      <c r="AW1685" s="69"/>
      <c r="AX1685" s="69"/>
      <c r="AY1685" s="69"/>
      <c r="AZ1685" s="69"/>
      <c r="BA1685" s="69"/>
      <c r="BB1685" s="69"/>
      <c r="BC1685" s="69"/>
    </row>
    <row r="1686">
      <c r="A1686" s="68"/>
      <c r="B1686" s="68"/>
      <c r="C1686" s="68"/>
      <c r="D1686" s="68"/>
      <c r="E1686" s="68"/>
      <c r="F1686" s="68"/>
      <c r="G1686" s="68"/>
      <c r="H1686" s="68"/>
      <c r="I1686" s="69"/>
      <c r="J1686" s="69"/>
      <c r="K1686" s="71"/>
      <c r="L1686" s="69"/>
      <c r="M1686" s="69"/>
      <c r="N1686" s="72"/>
      <c r="O1686" s="69"/>
      <c r="P1686" s="69"/>
      <c r="Q1686" s="69"/>
      <c r="R1686" s="69"/>
      <c r="S1686" s="69"/>
      <c r="T1686" s="69"/>
      <c r="U1686" s="69"/>
      <c r="V1686" s="69"/>
      <c r="W1686" s="69"/>
      <c r="X1686" s="69"/>
      <c r="Y1686" s="69"/>
      <c r="Z1686" s="69"/>
      <c r="AA1686" s="69"/>
      <c r="AB1686" s="69"/>
      <c r="AC1686" s="69"/>
      <c r="AD1686" s="69"/>
      <c r="AE1686" s="69"/>
      <c r="AF1686" s="69"/>
      <c r="AG1686" s="69"/>
      <c r="AH1686" s="69"/>
      <c r="AI1686" s="69"/>
      <c r="AJ1686" s="69"/>
      <c r="AK1686" s="69"/>
      <c r="AL1686" s="69"/>
      <c r="AM1686" s="69"/>
      <c r="AN1686" s="69"/>
      <c r="AO1686" s="69"/>
      <c r="AP1686" s="69"/>
      <c r="AQ1686" s="69"/>
      <c r="AR1686" s="69"/>
      <c r="AS1686" s="69"/>
      <c r="AT1686" s="69"/>
      <c r="AU1686" s="69"/>
      <c r="AV1686" s="69"/>
      <c r="AW1686" s="69"/>
      <c r="AX1686" s="69"/>
      <c r="AY1686" s="69"/>
      <c r="AZ1686" s="69"/>
      <c r="BA1686" s="69"/>
      <c r="BB1686" s="69"/>
      <c r="BC1686" s="69"/>
    </row>
    <row r="1687">
      <c r="A1687" s="68"/>
      <c r="B1687" s="68"/>
      <c r="C1687" s="68"/>
      <c r="D1687" s="68"/>
      <c r="E1687" s="68"/>
      <c r="F1687" s="68"/>
      <c r="G1687" s="68"/>
      <c r="H1687" s="68"/>
      <c r="I1687" s="69"/>
      <c r="J1687" s="69"/>
      <c r="K1687" s="71"/>
      <c r="L1687" s="69"/>
      <c r="M1687" s="69"/>
      <c r="N1687" s="72"/>
      <c r="O1687" s="69"/>
      <c r="P1687" s="69"/>
      <c r="Q1687" s="69"/>
      <c r="R1687" s="69"/>
      <c r="S1687" s="69"/>
      <c r="T1687" s="69"/>
      <c r="U1687" s="69"/>
      <c r="V1687" s="69"/>
      <c r="W1687" s="69"/>
      <c r="X1687" s="69"/>
      <c r="Y1687" s="69"/>
      <c r="Z1687" s="69"/>
      <c r="AA1687" s="69"/>
      <c r="AB1687" s="69"/>
      <c r="AC1687" s="69"/>
      <c r="AD1687" s="69"/>
      <c r="AE1687" s="69"/>
      <c r="AF1687" s="69"/>
      <c r="AG1687" s="69"/>
      <c r="AH1687" s="69"/>
      <c r="AI1687" s="69"/>
      <c r="AJ1687" s="69"/>
      <c r="AK1687" s="69"/>
      <c r="AL1687" s="69"/>
      <c r="AM1687" s="69"/>
      <c r="AN1687" s="69"/>
      <c r="AO1687" s="69"/>
      <c r="AP1687" s="69"/>
      <c r="AQ1687" s="69"/>
      <c r="AR1687" s="69"/>
      <c r="AS1687" s="69"/>
      <c r="AT1687" s="69"/>
      <c r="AU1687" s="69"/>
      <c r="AV1687" s="69"/>
      <c r="AW1687" s="69"/>
      <c r="AX1687" s="69"/>
      <c r="AY1687" s="69"/>
      <c r="AZ1687" s="69"/>
      <c r="BA1687" s="69"/>
      <c r="BB1687" s="69"/>
      <c r="BC1687" s="69"/>
    </row>
    <row r="1688">
      <c r="A1688" s="68"/>
      <c r="B1688" s="68"/>
      <c r="C1688" s="68"/>
      <c r="D1688" s="68"/>
      <c r="E1688" s="68"/>
      <c r="F1688" s="68"/>
      <c r="G1688" s="68"/>
      <c r="H1688" s="68"/>
      <c r="I1688" s="69"/>
      <c r="J1688" s="69"/>
      <c r="K1688" s="71"/>
      <c r="L1688" s="69"/>
      <c r="M1688" s="69"/>
      <c r="N1688" s="72"/>
      <c r="O1688" s="69"/>
      <c r="P1688" s="69"/>
      <c r="Q1688" s="69"/>
      <c r="R1688" s="69"/>
      <c r="S1688" s="69"/>
      <c r="T1688" s="69"/>
      <c r="U1688" s="69"/>
      <c r="V1688" s="69"/>
      <c r="W1688" s="69"/>
      <c r="X1688" s="69"/>
      <c r="Y1688" s="69"/>
      <c r="Z1688" s="69"/>
      <c r="AA1688" s="69"/>
      <c r="AB1688" s="69"/>
      <c r="AC1688" s="69"/>
      <c r="AD1688" s="69"/>
      <c r="AE1688" s="69"/>
      <c r="AF1688" s="69"/>
      <c r="AG1688" s="69"/>
      <c r="AH1688" s="69"/>
      <c r="AI1688" s="69"/>
      <c r="AJ1688" s="69"/>
      <c r="AK1688" s="69"/>
      <c r="AL1688" s="69"/>
      <c r="AM1688" s="69"/>
      <c r="AN1688" s="69"/>
      <c r="AO1688" s="69"/>
      <c r="AP1688" s="69"/>
      <c r="AQ1688" s="69"/>
      <c r="AR1688" s="69"/>
      <c r="AS1688" s="69"/>
      <c r="AT1688" s="69"/>
      <c r="AU1688" s="69"/>
      <c r="AV1688" s="69"/>
      <c r="AW1688" s="69"/>
      <c r="AX1688" s="69"/>
      <c r="AY1688" s="69"/>
      <c r="AZ1688" s="69"/>
      <c r="BA1688" s="69"/>
      <c r="BB1688" s="69"/>
      <c r="BC1688" s="69"/>
    </row>
    <row r="1689">
      <c r="A1689" s="68"/>
      <c r="B1689" s="68"/>
      <c r="C1689" s="68"/>
      <c r="D1689" s="68"/>
      <c r="E1689" s="68"/>
      <c r="F1689" s="68"/>
      <c r="G1689" s="68"/>
      <c r="H1689" s="68"/>
      <c r="I1689" s="69"/>
      <c r="J1689" s="69"/>
      <c r="K1689" s="71"/>
      <c r="L1689" s="69"/>
      <c r="M1689" s="69"/>
      <c r="N1689" s="72"/>
      <c r="O1689" s="69"/>
      <c r="P1689" s="69"/>
      <c r="Q1689" s="69"/>
      <c r="R1689" s="69"/>
      <c r="S1689" s="69"/>
      <c r="T1689" s="69"/>
      <c r="U1689" s="69"/>
      <c r="V1689" s="69"/>
      <c r="W1689" s="69"/>
      <c r="X1689" s="69"/>
      <c r="Y1689" s="69"/>
      <c r="Z1689" s="69"/>
      <c r="AA1689" s="69"/>
      <c r="AB1689" s="69"/>
      <c r="AC1689" s="69"/>
      <c r="AD1689" s="69"/>
      <c r="AE1689" s="69"/>
      <c r="AF1689" s="69"/>
      <c r="AG1689" s="69"/>
      <c r="AH1689" s="69"/>
      <c r="AI1689" s="69"/>
      <c r="AJ1689" s="69"/>
      <c r="AK1689" s="69"/>
      <c r="AL1689" s="69"/>
      <c r="AM1689" s="69"/>
      <c r="AN1689" s="69"/>
      <c r="AO1689" s="69"/>
      <c r="AP1689" s="69"/>
      <c r="AQ1689" s="69"/>
      <c r="AR1689" s="69"/>
      <c r="AS1689" s="69"/>
      <c r="AT1689" s="69"/>
      <c r="AU1689" s="69"/>
      <c r="AV1689" s="69"/>
      <c r="AW1689" s="69"/>
      <c r="AX1689" s="69"/>
      <c r="AY1689" s="69"/>
      <c r="AZ1689" s="69"/>
      <c r="BA1689" s="69"/>
      <c r="BB1689" s="69"/>
      <c r="BC1689" s="69"/>
    </row>
    <row r="1690">
      <c r="A1690" s="68"/>
      <c r="B1690" s="68"/>
      <c r="C1690" s="68"/>
      <c r="D1690" s="68"/>
      <c r="E1690" s="68"/>
      <c r="F1690" s="68"/>
      <c r="G1690" s="68"/>
      <c r="H1690" s="68"/>
      <c r="I1690" s="69"/>
      <c r="J1690" s="69"/>
      <c r="K1690" s="71"/>
      <c r="L1690" s="69"/>
      <c r="M1690" s="69"/>
      <c r="N1690" s="72"/>
      <c r="O1690" s="69"/>
      <c r="P1690" s="69"/>
      <c r="Q1690" s="69"/>
      <c r="R1690" s="69"/>
      <c r="S1690" s="69"/>
      <c r="T1690" s="69"/>
      <c r="U1690" s="69"/>
      <c r="V1690" s="69"/>
      <c r="W1690" s="69"/>
      <c r="X1690" s="69"/>
      <c r="Y1690" s="69"/>
      <c r="Z1690" s="69"/>
      <c r="AA1690" s="69"/>
      <c r="AB1690" s="69"/>
      <c r="AC1690" s="69"/>
      <c r="AD1690" s="69"/>
      <c r="AE1690" s="69"/>
      <c r="AF1690" s="69"/>
      <c r="AG1690" s="69"/>
      <c r="AH1690" s="69"/>
      <c r="AI1690" s="69"/>
      <c r="AJ1690" s="69"/>
      <c r="AK1690" s="69"/>
      <c r="AL1690" s="69"/>
      <c r="AM1690" s="69"/>
      <c r="AN1690" s="69"/>
      <c r="AO1690" s="69"/>
      <c r="AP1690" s="69"/>
      <c r="AQ1690" s="69"/>
      <c r="AR1690" s="69"/>
      <c r="AS1690" s="69"/>
      <c r="AT1690" s="69"/>
      <c r="AU1690" s="69"/>
      <c r="AV1690" s="69"/>
      <c r="AW1690" s="69"/>
      <c r="AX1690" s="69"/>
      <c r="AY1690" s="69"/>
      <c r="AZ1690" s="69"/>
      <c r="BA1690" s="69"/>
      <c r="BB1690" s="69"/>
      <c r="BC1690" s="69"/>
    </row>
    <row r="1691">
      <c r="A1691" s="68"/>
      <c r="B1691" s="68"/>
      <c r="C1691" s="68"/>
      <c r="D1691" s="68"/>
      <c r="E1691" s="68"/>
      <c r="F1691" s="68"/>
      <c r="G1691" s="68"/>
      <c r="H1691" s="68"/>
      <c r="I1691" s="69"/>
      <c r="J1691" s="69"/>
      <c r="K1691" s="71"/>
      <c r="L1691" s="69"/>
      <c r="M1691" s="69"/>
      <c r="N1691" s="72"/>
      <c r="O1691" s="69"/>
      <c r="P1691" s="69"/>
      <c r="Q1691" s="69"/>
      <c r="R1691" s="69"/>
      <c r="S1691" s="69"/>
      <c r="T1691" s="69"/>
      <c r="U1691" s="69"/>
      <c r="V1691" s="69"/>
      <c r="W1691" s="69"/>
      <c r="X1691" s="69"/>
      <c r="Y1691" s="69"/>
      <c r="Z1691" s="69"/>
      <c r="AA1691" s="69"/>
      <c r="AB1691" s="69"/>
      <c r="AC1691" s="69"/>
      <c r="AD1691" s="69"/>
      <c r="AE1691" s="69"/>
      <c r="AF1691" s="69"/>
      <c r="AG1691" s="69"/>
      <c r="AH1691" s="69"/>
      <c r="AI1691" s="69"/>
      <c r="AJ1691" s="69"/>
      <c r="AK1691" s="69"/>
      <c r="AL1691" s="69"/>
      <c r="AM1691" s="69"/>
      <c r="AN1691" s="69"/>
      <c r="AO1691" s="69"/>
      <c r="AP1691" s="69"/>
      <c r="AQ1691" s="69"/>
      <c r="AR1691" s="69"/>
      <c r="AS1691" s="69"/>
      <c r="AT1691" s="69"/>
      <c r="AU1691" s="69"/>
      <c r="AV1691" s="69"/>
      <c r="AW1691" s="69"/>
      <c r="AX1691" s="69"/>
      <c r="AY1691" s="69"/>
      <c r="AZ1691" s="69"/>
      <c r="BA1691" s="69"/>
      <c r="BB1691" s="69"/>
      <c r="BC1691" s="69"/>
    </row>
    <row r="1692">
      <c r="A1692" s="68"/>
      <c r="B1692" s="68"/>
      <c r="C1692" s="68"/>
      <c r="D1692" s="68"/>
      <c r="E1692" s="68"/>
      <c r="F1692" s="68"/>
      <c r="G1692" s="68"/>
      <c r="H1692" s="68"/>
      <c r="I1692" s="69"/>
      <c r="J1692" s="69"/>
      <c r="K1692" s="71"/>
      <c r="L1692" s="69"/>
      <c r="M1692" s="69"/>
      <c r="N1692" s="72"/>
      <c r="O1692" s="69"/>
      <c r="P1692" s="69"/>
      <c r="Q1692" s="69"/>
      <c r="R1692" s="69"/>
      <c r="S1692" s="69"/>
      <c r="T1692" s="69"/>
      <c r="U1692" s="69"/>
      <c r="V1692" s="69"/>
      <c r="W1692" s="69"/>
      <c r="X1692" s="69"/>
      <c r="Y1692" s="69"/>
      <c r="Z1692" s="69"/>
      <c r="AA1692" s="69"/>
      <c r="AB1692" s="69"/>
      <c r="AC1692" s="69"/>
      <c r="AD1692" s="69"/>
      <c r="AE1692" s="69"/>
      <c r="AF1692" s="69"/>
      <c r="AG1692" s="69"/>
      <c r="AH1692" s="69"/>
      <c r="AI1692" s="69"/>
      <c r="AJ1692" s="69"/>
      <c r="AK1692" s="69"/>
      <c r="AL1692" s="69"/>
      <c r="AM1692" s="69"/>
      <c r="AN1692" s="69"/>
      <c r="AO1692" s="69"/>
      <c r="AP1692" s="69"/>
      <c r="AQ1692" s="69"/>
      <c r="AR1692" s="69"/>
      <c r="AS1692" s="69"/>
      <c r="AT1692" s="69"/>
      <c r="AU1692" s="69"/>
      <c r="AV1692" s="69"/>
      <c r="AW1692" s="69"/>
      <c r="AX1692" s="69"/>
      <c r="AY1692" s="69"/>
      <c r="AZ1692" s="69"/>
      <c r="BA1692" s="69"/>
      <c r="BB1692" s="69"/>
      <c r="BC1692" s="69"/>
    </row>
    <row r="1693">
      <c r="A1693" s="68"/>
      <c r="B1693" s="68"/>
      <c r="C1693" s="68"/>
      <c r="D1693" s="68"/>
      <c r="E1693" s="68"/>
      <c r="F1693" s="68"/>
      <c r="G1693" s="68"/>
      <c r="H1693" s="68"/>
      <c r="I1693" s="69"/>
      <c r="J1693" s="69"/>
      <c r="K1693" s="71"/>
      <c r="L1693" s="69"/>
      <c r="M1693" s="69"/>
      <c r="N1693" s="72"/>
      <c r="O1693" s="69"/>
      <c r="P1693" s="69"/>
      <c r="Q1693" s="69"/>
      <c r="R1693" s="69"/>
      <c r="S1693" s="69"/>
      <c r="T1693" s="69"/>
      <c r="U1693" s="69"/>
      <c r="V1693" s="69"/>
      <c r="W1693" s="69"/>
      <c r="X1693" s="69"/>
      <c r="Y1693" s="69"/>
      <c r="Z1693" s="69"/>
      <c r="AA1693" s="69"/>
      <c r="AB1693" s="69"/>
      <c r="AC1693" s="69"/>
      <c r="AD1693" s="69"/>
      <c r="AE1693" s="69"/>
      <c r="AF1693" s="69"/>
      <c r="AG1693" s="69"/>
      <c r="AH1693" s="69"/>
      <c r="AI1693" s="69"/>
      <c r="AJ1693" s="69"/>
      <c r="AK1693" s="69"/>
      <c r="AL1693" s="69"/>
      <c r="AM1693" s="69"/>
      <c r="AN1693" s="69"/>
      <c r="AO1693" s="69"/>
      <c r="AP1693" s="69"/>
      <c r="AQ1693" s="69"/>
      <c r="AR1693" s="69"/>
      <c r="AS1693" s="69"/>
      <c r="AT1693" s="69"/>
      <c r="AU1693" s="69"/>
      <c r="AV1693" s="69"/>
      <c r="AW1693" s="69"/>
      <c r="AX1693" s="69"/>
      <c r="AY1693" s="69"/>
      <c r="AZ1693" s="69"/>
      <c r="BA1693" s="69"/>
      <c r="BB1693" s="69"/>
      <c r="BC1693" s="69"/>
    </row>
    <row r="1694">
      <c r="A1694" s="68"/>
      <c r="B1694" s="68"/>
      <c r="C1694" s="68"/>
      <c r="D1694" s="68"/>
      <c r="E1694" s="68"/>
      <c r="F1694" s="68"/>
      <c r="G1694" s="68"/>
      <c r="H1694" s="68"/>
      <c r="I1694" s="69"/>
      <c r="J1694" s="69"/>
      <c r="K1694" s="71"/>
      <c r="L1694" s="69"/>
      <c r="M1694" s="69"/>
      <c r="N1694" s="72"/>
      <c r="O1694" s="69"/>
      <c r="P1694" s="69"/>
      <c r="Q1694" s="69"/>
      <c r="R1694" s="69"/>
      <c r="S1694" s="69"/>
      <c r="T1694" s="69"/>
      <c r="U1694" s="69"/>
      <c r="V1694" s="69"/>
      <c r="W1694" s="69"/>
      <c r="X1694" s="69"/>
      <c r="Y1694" s="69"/>
      <c r="Z1694" s="69"/>
      <c r="AA1694" s="69"/>
      <c r="AB1694" s="69"/>
      <c r="AC1694" s="69"/>
      <c r="AD1694" s="69"/>
      <c r="AE1694" s="69"/>
      <c r="AF1694" s="69"/>
      <c r="AG1694" s="69"/>
      <c r="AH1694" s="69"/>
      <c r="AI1694" s="69"/>
      <c r="AJ1694" s="69"/>
      <c r="AK1694" s="69"/>
      <c r="AL1694" s="69"/>
      <c r="AM1694" s="69"/>
      <c r="AN1694" s="69"/>
      <c r="AO1694" s="69"/>
      <c r="AP1694" s="69"/>
      <c r="AQ1694" s="69"/>
      <c r="AR1694" s="69"/>
      <c r="AS1694" s="69"/>
      <c r="AT1694" s="69"/>
      <c r="AU1694" s="69"/>
      <c r="AV1694" s="69"/>
      <c r="AW1694" s="69"/>
      <c r="AX1694" s="69"/>
      <c r="AY1694" s="69"/>
      <c r="AZ1694" s="69"/>
      <c r="BA1694" s="69"/>
      <c r="BB1694" s="69"/>
      <c r="BC1694" s="69"/>
    </row>
    <row r="1695">
      <c r="A1695" s="68"/>
      <c r="B1695" s="68"/>
      <c r="C1695" s="68"/>
      <c r="D1695" s="68"/>
      <c r="E1695" s="68"/>
      <c r="F1695" s="68"/>
      <c r="G1695" s="68"/>
      <c r="H1695" s="68"/>
      <c r="I1695" s="69"/>
      <c r="J1695" s="69"/>
      <c r="K1695" s="71"/>
      <c r="L1695" s="69"/>
      <c r="M1695" s="69"/>
      <c r="N1695" s="72"/>
      <c r="O1695" s="69"/>
      <c r="P1695" s="69"/>
      <c r="Q1695" s="69"/>
      <c r="R1695" s="69"/>
      <c r="S1695" s="69"/>
      <c r="T1695" s="69"/>
      <c r="U1695" s="69"/>
      <c r="V1695" s="69"/>
      <c r="W1695" s="69"/>
      <c r="X1695" s="69"/>
      <c r="Y1695" s="69"/>
      <c r="Z1695" s="69"/>
      <c r="AA1695" s="69"/>
      <c r="AB1695" s="69"/>
      <c r="AC1695" s="69"/>
      <c r="AD1695" s="69"/>
      <c r="AE1695" s="69"/>
      <c r="AF1695" s="69"/>
      <c r="AG1695" s="69"/>
      <c r="AH1695" s="69"/>
      <c r="AI1695" s="69"/>
      <c r="AJ1695" s="69"/>
      <c r="AK1695" s="69"/>
      <c r="AL1695" s="69"/>
      <c r="AM1695" s="69"/>
      <c r="AN1695" s="69"/>
      <c r="AO1695" s="69"/>
      <c r="AP1695" s="69"/>
      <c r="AQ1695" s="69"/>
      <c r="AR1695" s="69"/>
      <c r="AS1695" s="69"/>
      <c r="AT1695" s="69"/>
      <c r="AU1695" s="69"/>
      <c r="AV1695" s="69"/>
      <c r="AW1695" s="69"/>
      <c r="AX1695" s="69"/>
      <c r="AY1695" s="69"/>
      <c r="AZ1695" s="69"/>
      <c r="BA1695" s="69"/>
      <c r="BB1695" s="69"/>
      <c r="BC1695" s="69"/>
    </row>
    <row r="1696">
      <c r="A1696" s="68"/>
      <c r="B1696" s="68"/>
      <c r="C1696" s="68"/>
      <c r="D1696" s="68"/>
      <c r="E1696" s="68"/>
      <c r="F1696" s="68"/>
      <c r="G1696" s="68"/>
      <c r="H1696" s="68"/>
      <c r="I1696" s="69"/>
      <c r="J1696" s="69"/>
      <c r="K1696" s="71"/>
      <c r="L1696" s="69"/>
      <c r="M1696" s="69"/>
      <c r="N1696" s="72"/>
      <c r="O1696" s="69"/>
      <c r="P1696" s="69"/>
      <c r="Q1696" s="69"/>
      <c r="R1696" s="69"/>
      <c r="S1696" s="69"/>
      <c r="T1696" s="69"/>
      <c r="U1696" s="69"/>
      <c r="V1696" s="69"/>
      <c r="W1696" s="69"/>
      <c r="X1696" s="69"/>
      <c r="Y1696" s="69"/>
      <c r="Z1696" s="69"/>
      <c r="AA1696" s="69"/>
      <c r="AB1696" s="69"/>
      <c r="AC1696" s="69"/>
      <c r="AD1696" s="69"/>
      <c r="AE1696" s="69"/>
      <c r="AF1696" s="69"/>
      <c r="AG1696" s="69"/>
      <c r="AH1696" s="69"/>
      <c r="AI1696" s="69"/>
      <c r="AJ1696" s="69"/>
      <c r="AK1696" s="69"/>
      <c r="AL1696" s="69"/>
      <c r="AM1696" s="69"/>
      <c r="AN1696" s="69"/>
      <c r="AO1696" s="69"/>
      <c r="AP1696" s="69"/>
      <c r="AQ1696" s="69"/>
      <c r="AR1696" s="69"/>
      <c r="AS1696" s="69"/>
      <c r="AT1696" s="69"/>
      <c r="AU1696" s="69"/>
      <c r="AV1696" s="69"/>
      <c r="AW1696" s="69"/>
      <c r="AX1696" s="69"/>
      <c r="AY1696" s="69"/>
      <c r="AZ1696" s="69"/>
      <c r="BA1696" s="69"/>
      <c r="BB1696" s="69"/>
      <c r="BC1696" s="69"/>
    </row>
    <row r="1697">
      <c r="A1697" s="68"/>
      <c r="B1697" s="68"/>
      <c r="C1697" s="68"/>
      <c r="D1697" s="68"/>
      <c r="E1697" s="68"/>
      <c r="F1697" s="68"/>
      <c r="G1697" s="68"/>
      <c r="H1697" s="68"/>
      <c r="I1697" s="69"/>
      <c r="J1697" s="69"/>
      <c r="K1697" s="71"/>
      <c r="L1697" s="69"/>
      <c r="M1697" s="69"/>
      <c r="N1697" s="72"/>
      <c r="O1697" s="69"/>
      <c r="P1697" s="69"/>
      <c r="Q1697" s="69"/>
      <c r="R1697" s="69"/>
      <c r="S1697" s="69"/>
      <c r="T1697" s="69"/>
      <c r="U1697" s="69"/>
      <c r="V1697" s="69"/>
      <c r="W1697" s="69"/>
      <c r="X1697" s="69"/>
      <c r="Y1697" s="69"/>
      <c r="Z1697" s="69"/>
      <c r="AA1697" s="69"/>
      <c r="AB1697" s="69"/>
      <c r="AC1697" s="69"/>
      <c r="AD1697" s="69"/>
      <c r="AE1697" s="69"/>
      <c r="AF1697" s="69"/>
      <c r="AG1697" s="69"/>
      <c r="AH1697" s="69"/>
      <c r="AI1697" s="69"/>
      <c r="AJ1697" s="69"/>
      <c r="AK1697" s="69"/>
      <c r="AL1697" s="69"/>
      <c r="AM1697" s="69"/>
      <c r="AN1697" s="69"/>
      <c r="AO1697" s="69"/>
      <c r="AP1697" s="69"/>
      <c r="AQ1697" s="69"/>
      <c r="AR1697" s="69"/>
      <c r="AS1697" s="69"/>
      <c r="AT1697" s="69"/>
      <c r="AU1697" s="69"/>
      <c r="AV1697" s="69"/>
      <c r="AW1697" s="69"/>
      <c r="AX1697" s="69"/>
      <c r="AY1697" s="69"/>
      <c r="AZ1697" s="69"/>
      <c r="BA1697" s="69"/>
      <c r="BB1697" s="69"/>
      <c r="BC1697" s="69"/>
    </row>
    <row r="1698">
      <c r="A1698" s="68"/>
      <c r="B1698" s="68"/>
      <c r="C1698" s="68"/>
      <c r="D1698" s="68"/>
      <c r="E1698" s="68"/>
      <c r="F1698" s="68"/>
      <c r="G1698" s="68"/>
      <c r="H1698" s="68"/>
      <c r="I1698" s="69"/>
      <c r="J1698" s="69"/>
      <c r="K1698" s="71"/>
      <c r="L1698" s="69"/>
      <c r="M1698" s="69"/>
      <c r="N1698" s="72"/>
      <c r="O1698" s="69"/>
      <c r="P1698" s="69"/>
      <c r="Q1698" s="69"/>
      <c r="R1698" s="69"/>
      <c r="S1698" s="69"/>
      <c r="T1698" s="69"/>
      <c r="U1698" s="69"/>
      <c r="V1698" s="69"/>
      <c r="W1698" s="69"/>
      <c r="X1698" s="69"/>
      <c r="Y1698" s="69"/>
      <c r="Z1698" s="69"/>
      <c r="AA1698" s="69"/>
      <c r="AB1698" s="69"/>
      <c r="AC1698" s="69"/>
      <c r="AD1698" s="69"/>
      <c r="AE1698" s="69"/>
      <c r="AF1698" s="69"/>
      <c r="AG1698" s="69"/>
      <c r="AH1698" s="69"/>
      <c r="AI1698" s="69"/>
      <c r="AJ1698" s="69"/>
      <c r="AK1698" s="69"/>
      <c r="AL1698" s="69"/>
      <c r="AM1698" s="69"/>
      <c r="AN1698" s="69"/>
      <c r="AO1698" s="69"/>
      <c r="AP1698" s="69"/>
      <c r="AQ1698" s="69"/>
      <c r="AR1698" s="69"/>
      <c r="AS1698" s="69"/>
      <c r="AT1698" s="69"/>
      <c r="AU1698" s="69"/>
      <c r="AV1698" s="69"/>
      <c r="AW1698" s="69"/>
      <c r="AX1698" s="69"/>
      <c r="AY1698" s="69"/>
      <c r="AZ1698" s="69"/>
      <c r="BA1698" s="69"/>
      <c r="BB1698" s="69"/>
      <c r="BC1698" s="69"/>
    </row>
    <row r="1699">
      <c r="A1699" s="68"/>
      <c r="B1699" s="68"/>
      <c r="C1699" s="68"/>
      <c r="D1699" s="68"/>
      <c r="E1699" s="68"/>
      <c r="F1699" s="68"/>
      <c r="G1699" s="68"/>
      <c r="H1699" s="68"/>
      <c r="I1699" s="69"/>
      <c r="J1699" s="69"/>
      <c r="K1699" s="71"/>
      <c r="L1699" s="69"/>
      <c r="M1699" s="69"/>
      <c r="N1699" s="72"/>
      <c r="O1699" s="69"/>
      <c r="P1699" s="69"/>
      <c r="Q1699" s="69"/>
      <c r="R1699" s="69"/>
      <c r="S1699" s="69"/>
      <c r="T1699" s="69"/>
      <c r="U1699" s="69"/>
      <c r="V1699" s="69"/>
      <c r="W1699" s="69"/>
      <c r="X1699" s="69"/>
      <c r="Y1699" s="69"/>
      <c r="Z1699" s="69"/>
      <c r="AA1699" s="69"/>
      <c r="AB1699" s="69"/>
      <c r="AC1699" s="69"/>
      <c r="AD1699" s="69"/>
      <c r="AE1699" s="69"/>
      <c r="AF1699" s="69"/>
      <c r="AG1699" s="69"/>
      <c r="AH1699" s="69"/>
      <c r="AI1699" s="69"/>
      <c r="AJ1699" s="69"/>
      <c r="AK1699" s="69"/>
      <c r="AL1699" s="69"/>
      <c r="AM1699" s="69"/>
      <c r="AN1699" s="69"/>
      <c r="AO1699" s="69"/>
      <c r="AP1699" s="69"/>
      <c r="AQ1699" s="69"/>
      <c r="AR1699" s="69"/>
      <c r="AS1699" s="69"/>
      <c r="AT1699" s="69"/>
      <c r="AU1699" s="69"/>
      <c r="AV1699" s="69"/>
      <c r="AW1699" s="69"/>
      <c r="AX1699" s="69"/>
      <c r="AY1699" s="69"/>
      <c r="AZ1699" s="69"/>
      <c r="BA1699" s="69"/>
      <c r="BB1699" s="69"/>
      <c r="BC1699" s="69"/>
    </row>
    <row r="1700">
      <c r="A1700" s="68"/>
      <c r="B1700" s="68"/>
      <c r="C1700" s="68"/>
      <c r="D1700" s="68"/>
      <c r="E1700" s="68"/>
      <c r="F1700" s="68"/>
      <c r="G1700" s="68"/>
      <c r="H1700" s="68"/>
      <c r="I1700" s="69"/>
      <c r="J1700" s="69"/>
      <c r="K1700" s="71"/>
      <c r="L1700" s="69"/>
      <c r="M1700" s="69"/>
      <c r="N1700" s="72"/>
      <c r="O1700" s="69"/>
      <c r="P1700" s="69"/>
      <c r="Q1700" s="69"/>
      <c r="R1700" s="69"/>
      <c r="S1700" s="69"/>
      <c r="T1700" s="69"/>
      <c r="U1700" s="69"/>
      <c r="V1700" s="69"/>
      <c r="W1700" s="69"/>
      <c r="X1700" s="69"/>
      <c r="Y1700" s="69"/>
      <c r="Z1700" s="69"/>
      <c r="AA1700" s="69"/>
      <c r="AB1700" s="69"/>
      <c r="AC1700" s="69"/>
      <c r="AD1700" s="69"/>
      <c r="AE1700" s="69"/>
      <c r="AF1700" s="69"/>
      <c r="AG1700" s="69"/>
      <c r="AH1700" s="69"/>
      <c r="AI1700" s="69"/>
      <c r="AJ1700" s="69"/>
      <c r="AK1700" s="69"/>
      <c r="AL1700" s="69"/>
      <c r="AM1700" s="69"/>
      <c r="AN1700" s="69"/>
      <c r="AO1700" s="69"/>
      <c r="AP1700" s="69"/>
      <c r="AQ1700" s="69"/>
      <c r="AR1700" s="69"/>
      <c r="AS1700" s="69"/>
      <c r="AT1700" s="69"/>
      <c r="AU1700" s="69"/>
      <c r="AV1700" s="69"/>
      <c r="AW1700" s="69"/>
      <c r="AX1700" s="69"/>
      <c r="AY1700" s="69"/>
      <c r="AZ1700" s="69"/>
      <c r="BA1700" s="69"/>
      <c r="BB1700" s="69"/>
      <c r="BC1700" s="69"/>
    </row>
    <row r="1701">
      <c r="A1701" s="68"/>
      <c r="B1701" s="68"/>
      <c r="C1701" s="68"/>
      <c r="D1701" s="68"/>
      <c r="E1701" s="68"/>
      <c r="F1701" s="68"/>
      <c r="G1701" s="68"/>
      <c r="H1701" s="68"/>
      <c r="I1701" s="69"/>
      <c r="J1701" s="69"/>
      <c r="K1701" s="71"/>
      <c r="L1701" s="69"/>
      <c r="M1701" s="69"/>
      <c r="N1701" s="72"/>
      <c r="O1701" s="69"/>
      <c r="P1701" s="69"/>
      <c r="Q1701" s="69"/>
      <c r="R1701" s="69"/>
      <c r="S1701" s="69"/>
      <c r="T1701" s="69"/>
      <c r="U1701" s="69"/>
      <c r="V1701" s="69"/>
      <c r="W1701" s="69"/>
      <c r="X1701" s="69"/>
      <c r="Y1701" s="69"/>
      <c r="Z1701" s="69"/>
      <c r="AA1701" s="69"/>
      <c r="AB1701" s="69"/>
      <c r="AC1701" s="69"/>
      <c r="AD1701" s="69"/>
      <c r="AE1701" s="69"/>
      <c r="AF1701" s="69"/>
      <c r="AG1701" s="69"/>
      <c r="AH1701" s="69"/>
      <c r="AI1701" s="69"/>
      <c r="AJ1701" s="69"/>
      <c r="AK1701" s="69"/>
      <c r="AL1701" s="69"/>
      <c r="AM1701" s="69"/>
      <c r="AN1701" s="69"/>
      <c r="AO1701" s="69"/>
      <c r="AP1701" s="69"/>
      <c r="AQ1701" s="69"/>
      <c r="AR1701" s="69"/>
      <c r="AS1701" s="69"/>
      <c r="AT1701" s="69"/>
      <c r="AU1701" s="69"/>
      <c r="AV1701" s="69"/>
      <c r="AW1701" s="69"/>
      <c r="AX1701" s="69"/>
      <c r="AY1701" s="69"/>
      <c r="AZ1701" s="69"/>
      <c r="BA1701" s="69"/>
      <c r="BB1701" s="69"/>
      <c r="BC1701" s="69"/>
    </row>
    <row r="1702">
      <c r="A1702" s="68"/>
      <c r="B1702" s="68"/>
      <c r="C1702" s="68"/>
      <c r="D1702" s="68"/>
      <c r="E1702" s="68"/>
      <c r="F1702" s="68"/>
      <c r="G1702" s="68"/>
      <c r="H1702" s="68"/>
      <c r="I1702" s="69"/>
      <c r="J1702" s="69"/>
      <c r="K1702" s="71"/>
      <c r="L1702" s="69"/>
      <c r="M1702" s="69"/>
      <c r="N1702" s="72"/>
      <c r="O1702" s="69"/>
      <c r="P1702" s="69"/>
      <c r="Q1702" s="69"/>
      <c r="R1702" s="69"/>
      <c r="S1702" s="69"/>
      <c r="T1702" s="69"/>
      <c r="U1702" s="69"/>
      <c r="V1702" s="69"/>
      <c r="W1702" s="69"/>
      <c r="X1702" s="69"/>
      <c r="Y1702" s="69"/>
      <c r="Z1702" s="69"/>
      <c r="AA1702" s="69"/>
      <c r="AB1702" s="69"/>
      <c r="AC1702" s="69"/>
      <c r="AD1702" s="69"/>
      <c r="AE1702" s="69"/>
      <c r="AF1702" s="69"/>
      <c r="AG1702" s="69"/>
      <c r="AH1702" s="69"/>
      <c r="AI1702" s="69"/>
      <c r="AJ1702" s="69"/>
      <c r="AK1702" s="69"/>
      <c r="AL1702" s="69"/>
      <c r="AM1702" s="69"/>
      <c r="AN1702" s="69"/>
      <c r="AO1702" s="69"/>
      <c r="AP1702" s="69"/>
      <c r="AQ1702" s="69"/>
      <c r="AR1702" s="69"/>
      <c r="AS1702" s="69"/>
      <c r="AT1702" s="69"/>
      <c r="AU1702" s="69"/>
      <c r="AV1702" s="69"/>
      <c r="AW1702" s="69"/>
      <c r="AX1702" s="69"/>
      <c r="AY1702" s="69"/>
      <c r="AZ1702" s="69"/>
      <c r="BA1702" s="69"/>
      <c r="BB1702" s="69"/>
      <c r="BC1702" s="69"/>
    </row>
    <row r="1703">
      <c r="A1703" s="68"/>
      <c r="B1703" s="68"/>
      <c r="C1703" s="68"/>
      <c r="D1703" s="68"/>
      <c r="E1703" s="68"/>
      <c r="F1703" s="68"/>
      <c r="G1703" s="68"/>
      <c r="H1703" s="68"/>
      <c r="I1703" s="69"/>
      <c r="J1703" s="69"/>
      <c r="K1703" s="71"/>
      <c r="L1703" s="69"/>
      <c r="M1703" s="69"/>
      <c r="N1703" s="72"/>
      <c r="O1703" s="69"/>
      <c r="P1703" s="69"/>
      <c r="Q1703" s="69"/>
      <c r="R1703" s="69"/>
      <c r="S1703" s="69"/>
      <c r="T1703" s="69"/>
      <c r="U1703" s="69"/>
      <c r="V1703" s="69"/>
      <c r="W1703" s="69"/>
      <c r="X1703" s="69"/>
      <c r="Y1703" s="69"/>
      <c r="Z1703" s="69"/>
      <c r="AA1703" s="69"/>
      <c r="AB1703" s="69"/>
      <c r="AC1703" s="69"/>
      <c r="AD1703" s="69"/>
      <c r="AE1703" s="69"/>
      <c r="AF1703" s="69"/>
      <c r="AG1703" s="69"/>
      <c r="AH1703" s="69"/>
      <c r="AI1703" s="69"/>
      <c r="AJ1703" s="69"/>
      <c r="AK1703" s="69"/>
      <c r="AL1703" s="69"/>
      <c r="AM1703" s="69"/>
      <c r="AN1703" s="69"/>
      <c r="AO1703" s="69"/>
      <c r="AP1703" s="69"/>
      <c r="AQ1703" s="69"/>
      <c r="AR1703" s="69"/>
      <c r="AS1703" s="69"/>
      <c r="AT1703" s="69"/>
      <c r="AU1703" s="69"/>
      <c r="AV1703" s="69"/>
      <c r="AW1703" s="69"/>
      <c r="AX1703" s="69"/>
      <c r="AY1703" s="69"/>
      <c r="AZ1703" s="69"/>
      <c r="BA1703" s="69"/>
      <c r="BB1703" s="69"/>
      <c r="BC1703" s="69"/>
    </row>
    <row r="1704">
      <c r="A1704" s="68"/>
      <c r="B1704" s="68"/>
      <c r="C1704" s="68"/>
      <c r="D1704" s="68"/>
      <c r="E1704" s="68"/>
      <c r="F1704" s="68"/>
      <c r="G1704" s="68"/>
      <c r="H1704" s="68"/>
      <c r="I1704" s="69"/>
      <c r="J1704" s="69"/>
      <c r="K1704" s="71"/>
      <c r="L1704" s="69"/>
      <c r="M1704" s="69"/>
      <c r="N1704" s="72"/>
      <c r="O1704" s="69"/>
      <c r="P1704" s="69"/>
      <c r="Q1704" s="69"/>
      <c r="R1704" s="69"/>
      <c r="S1704" s="69"/>
      <c r="T1704" s="69"/>
      <c r="U1704" s="69"/>
      <c r="V1704" s="69"/>
      <c r="W1704" s="69"/>
      <c r="X1704" s="69"/>
      <c r="Y1704" s="69"/>
      <c r="Z1704" s="69"/>
      <c r="AA1704" s="69"/>
      <c r="AB1704" s="69"/>
      <c r="AC1704" s="69"/>
      <c r="AD1704" s="69"/>
      <c r="AE1704" s="69"/>
      <c r="AF1704" s="69"/>
      <c r="AG1704" s="69"/>
      <c r="AH1704" s="69"/>
      <c r="AI1704" s="69"/>
      <c r="AJ1704" s="69"/>
      <c r="AK1704" s="69"/>
      <c r="AL1704" s="69"/>
      <c r="AM1704" s="69"/>
      <c r="AN1704" s="69"/>
      <c r="AO1704" s="69"/>
      <c r="AP1704" s="69"/>
      <c r="AQ1704" s="69"/>
      <c r="AR1704" s="69"/>
      <c r="AS1704" s="69"/>
      <c r="AT1704" s="69"/>
      <c r="AU1704" s="69"/>
      <c r="AV1704" s="69"/>
      <c r="AW1704" s="69"/>
      <c r="AX1704" s="69"/>
      <c r="AY1704" s="69"/>
      <c r="AZ1704" s="69"/>
      <c r="BA1704" s="69"/>
      <c r="BB1704" s="69"/>
      <c r="BC1704" s="69"/>
    </row>
    <row r="1705">
      <c r="A1705" s="68"/>
      <c r="B1705" s="68"/>
      <c r="C1705" s="68"/>
      <c r="D1705" s="68"/>
      <c r="E1705" s="68"/>
      <c r="F1705" s="68"/>
      <c r="G1705" s="68"/>
      <c r="H1705" s="68"/>
      <c r="I1705" s="69"/>
      <c r="J1705" s="69"/>
      <c r="K1705" s="71"/>
      <c r="L1705" s="69"/>
      <c r="M1705" s="69"/>
      <c r="N1705" s="72"/>
      <c r="O1705" s="69"/>
      <c r="P1705" s="69"/>
      <c r="Q1705" s="69"/>
      <c r="R1705" s="69"/>
      <c r="S1705" s="69"/>
      <c r="T1705" s="69"/>
      <c r="U1705" s="69"/>
      <c r="V1705" s="69"/>
      <c r="W1705" s="69"/>
      <c r="X1705" s="69"/>
      <c r="Y1705" s="69"/>
      <c r="Z1705" s="69"/>
      <c r="AA1705" s="69"/>
      <c r="AB1705" s="69"/>
      <c r="AC1705" s="69"/>
      <c r="AD1705" s="69"/>
      <c r="AE1705" s="69"/>
      <c r="AF1705" s="69"/>
      <c r="AG1705" s="69"/>
      <c r="AH1705" s="69"/>
      <c r="AI1705" s="69"/>
      <c r="AJ1705" s="69"/>
      <c r="AK1705" s="69"/>
      <c r="AL1705" s="69"/>
      <c r="AM1705" s="69"/>
      <c r="AN1705" s="69"/>
      <c r="AO1705" s="69"/>
      <c r="AP1705" s="69"/>
      <c r="AQ1705" s="69"/>
      <c r="AR1705" s="69"/>
      <c r="AS1705" s="69"/>
      <c r="AT1705" s="69"/>
      <c r="AU1705" s="69"/>
      <c r="AV1705" s="69"/>
      <c r="AW1705" s="69"/>
      <c r="AX1705" s="69"/>
      <c r="AY1705" s="69"/>
      <c r="AZ1705" s="69"/>
      <c r="BA1705" s="69"/>
      <c r="BB1705" s="69"/>
      <c r="BC1705" s="69"/>
    </row>
    <row r="1706">
      <c r="A1706" s="68"/>
      <c r="B1706" s="68"/>
      <c r="C1706" s="68"/>
      <c r="D1706" s="68"/>
      <c r="E1706" s="68"/>
      <c r="F1706" s="68"/>
      <c r="G1706" s="68"/>
      <c r="H1706" s="68"/>
      <c r="I1706" s="69"/>
      <c r="J1706" s="69"/>
      <c r="K1706" s="71"/>
      <c r="L1706" s="69"/>
      <c r="M1706" s="69"/>
      <c r="N1706" s="72"/>
      <c r="O1706" s="69"/>
      <c r="P1706" s="69"/>
      <c r="Q1706" s="69"/>
      <c r="R1706" s="69"/>
      <c r="S1706" s="69"/>
      <c r="T1706" s="69"/>
      <c r="U1706" s="69"/>
      <c r="V1706" s="69"/>
      <c r="W1706" s="69"/>
      <c r="X1706" s="69"/>
      <c r="Y1706" s="69"/>
      <c r="Z1706" s="69"/>
      <c r="AA1706" s="69"/>
      <c r="AB1706" s="69"/>
      <c r="AC1706" s="69"/>
      <c r="AD1706" s="69"/>
      <c r="AE1706" s="69"/>
      <c r="AF1706" s="69"/>
      <c r="AG1706" s="69"/>
      <c r="AH1706" s="69"/>
      <c r="AI1706" s="69"/>
      <c r="AJ1706" s="69"/>
      <c r="AK1706" s="69"/>
      <c r="AL1706" s="69"/>
      <c r="AM1706" s="69"/>
      <c r="AN1706" s="69"/>
      <c r="AO1706" s="69"/>
      <c r="AP1706" s="69"/>
      <c r="AQ1706" s="69"/>
      <c r="AR1706" s="69"/>
      <c r="AS1706" s="69"/>
      <c r="AT1706" s="69"/>
      <c r="AU1706" s="69"/>
      <c r="AV1706" s="69"/>
      <c r="AW1706" s="69"/>
      <c r="AX1706" s="69"/>
      <c r="AY1706" s="69"/>
      <c r="AZ1706" s="69"/>
      <c r="BA1706" s="69"/>
      <c r="BB1706" s="69"/>
      <c r="BC1706" s="69"/>
    </row>
    <row r="1707">
      <c r="A1707" s="68"/>
      <c r="B1707" s="68"/>
      <c r="C1707" s="68"/>
      <c r="D1707" s="68"/>
      <c r="E1707" s="68"/>
      <c r="F1707" s="68"/>
      <c r="G1707" s="68"/>
      <c r="H1707" s="68"/>
      <c r="I1707" s="69"/>
      <c r="J1707" s="69"/>
      <c r="K1707" s="71"/>
      <c r="L1707" s="69"/>
      <c r="M1707" s="69"/>
      <c r="N1707" s="72"/>
      <c r="O1707" s="69"/>
      <c r="P1707" s="69"/>
      <c r="Q1707" s="69"/>
      <c r="R1707" s="69"/>
      <c r="S1707" s="69"/>
      <c r="T1707" s="69"/>
      <c r="U1707" s="69"/>
      <c r="V1707" s="69"/>
      <c r="W1707" s="69"/>
      <c r="X1707" s="69"/>
      <c r="Y1707" s="69"/>
      <c r="Z1707" s="69"/>
      <c r="AA1707" s="69"/>
      <c r="AB1707" s="69"/>
      <c r="AC1707" s="69"/>
      <c r="AD1707" s="69"/>
      <c r="AE1707" s="69"/>
      <c r="AF1707" s="69"/>
      <c r="AG1707" s="69"/>
      <c r="AH1707" s="69"/>
      <c r="AI1707" s="69"/>
      <c r="AJ1707" s="69"/>
      <c r="AK1707" s="69"/>
      <c r="AL1707" s="69"/>
      <c r="AM1707" s="69"/>
      <c r="AN1707" s="69"/>
      <c r="AO1707" s="69"/>
      <c r="AP1707" s="69"/>
      <c r="AQ1707" s="69"/>
      <c r="AR1707" s="69"/>
      <c r="AS1707" s="69"/>
      <c r="AT1707" s="69"/>
      <c r="AU1707" s="69"/>
      <c r="AV1707" s="69"/>
      <c r="AW1707" s="69"/>
      <c r="AX1707" s="69"/>
      <c r="AY1707" s="69"/>
      <c r="AZ1707" s="69"/>
      <c r="BA1707" s="69"/>
      <c r="BB1707" s="69"/>
      <c r="BC1707" s="69"/>
    </row>
    <row r="1708">
      <c r="A1708" s="68"/>
      <c r="B1708" s="68"/>
      <c r="C1708" s="68"/>
      <c r="D1708" s="68"/>
      <c r="E1708" s="68"/>
      <c r="F1708" s="68"/>
      <c r="G1708" s="68"/>
      <c r="H1708" s="68"/>
      <c r="I1708" s="69"/>
      <c r="J1708" s="69"/>
      <c r="K1708" s="71"/>
      <c r="L1708" s="69"/>
      <c r="M1708" s="69"/>
      <c r="N1708" s="72"/>
      <c r="O1708" s="69"/>
      <c r="P1708" s="69"/>
      <c r="Q1708" s="69"/>
      <c r="R1708" s="69"/>
      <c r="S1708" s="69"/>
      <c r="T1708" s="69"/>
      <c r="U1708" s="69"/>
      <c r="V1708" s="69"/>
      <c r="W1708" s="69"/>
      <c r="X1708" s="69"/>
      <c r="Y1708" s="69"/>
      <c r="Z1708" s="69"/>
      <c r="AA1708" s="69"/>
      <c r="AB1708" s="69"/>
      <c r="AC1708" s="69"/>
      <c r="AD1708" s="69"/>
      <c r="AE1708" s="69"/>
      <c r="AF1708" s="69"/>
      <c r="AG1708" s="69"/>
      <c r="AH1708" s="69"/>
      <c r="AI1708" s="69"/>
      <c r="AJ1708" s="69"/>
      <c r="AK1708" s="69"/>
      <c r="AL1708" s="69"/>
      <c r="AM1708" s="69"/>
      <c r="AN1708" s="69"/>
      <c r="AO1708" s="69"/>
      <c r="AP1708" s="69"/>
      <c r="AQ1708" s="69"/>
      <c r="AR1708" s="69"/>
      <c r="AS1708" s="69"/>
      <c r="AT1708" s="69"/>
      <c r="AU1708" s="69"/>
      <c r="AV1708" s="69"/>
      <c r="AW1708" s="69"/>
      <c r="AX1708" s="69"/>
      <c r="AY1708" s="69"/>
      <c r="AZ1708" s="69"/>
      <c r="BA1708" s="69"/>
      <c r="BB1708" s="69"/>
      <c r="BC1708" s="69"/>
    </row>
    <row r="1709">
      <c r="A1709" s="68"/>
      <c r="B1709" s="68"/>
      <c r="C1709" s="68"/>
      <c r="D1709" s="68"/>
      <c r="E1709" s="68"/>
      <c r="F1709" s="68"/>
      <c r="G1709" s="68"/>
      <c r="H1709" s="68"/>
      <c r="I1709" s="69"/>
      <c r="J1709" s="69"/>
      <c r="K1709" s="71"/>
      <c r="L1709" s="69"/>
      <c r="M1709" s="69"/>
      <c r="N1709" s="72"/>
      <c r="O1709" s="69"/>
      <c r="P1709" s="69"/>
      <c r="Q1709" s="69"/>
      <c r="R1709" s="69"/>
      <c r="S1709" s="69"/>
      <c r="T1709" s="69"/>
      <c r="U1709" s="69"/>
      <c r="V1709" s="69"/>
      <c r="W1709" s="69"/>
      <c r="X1709" s="69"/>
      <c r="Y1709" s="69"/>
      <c r="Z1709" s="69"/>
      <c r="AA1709" s="69"/>
      <c r="AB1709" s="69"/>
      <c r="AC1709" s="69"/>
      <c r="AD1709" s="69"/>
      <c r="AE1709" s="69"/>
      <c r="AF1709" s="69"/>
      <c r="AG1709" s="69"/>
      <c r="AH1709" s="69"/>
      <c r="AI1709" s="69"/>
      <c r="AJ1709" s="69"/>
      <c r="AK1709" s="69"/>
      <c r="AL1709" s="69"/>
      <c r="AM1709" s="69"/>
      <c r="AN1709" s="69"/>
      <c r="AO1709" s="69"/>
      <c r="AP1709" s="69"/>
      <c r="AQ1709" s="69"/>
      <c r="AR1709" s="69"/>
      <c r="AS1709" s="69"/>
      <c r="AT1709" s="69"/>
      <c r="AU1709" s="69"/>
      <c r="AV1709" s="69"/>
      <c r="AW1709" s="69"/>
      <c r="AX1709" s="69"/>
      <c r="AY1709" s="69"/>
      <c r="AZ1709" s="69"/>
      <c r="BA1709" s="69"/>
      <c r="BB1709" s="69"/>
      <c r="BC1709" s="69"/>
    </row>
    <row r="1710">
      <c r="A1710" s="68"/>
      <c r="B1710" s="68"/>
      <c r="C1710" s="68"/>
      <c r="D1710" s="68"/>
      <c r="E1710" s="68"/>
      <c r="F1710" s="68"/>
      <c r="G1710" s="68"/>
      <c r="H1710" s="68"/>
      <c r="I1710" s="69"/>
      <c r="J1710" s="69"/>
      <c r="K1710" s="71"/>
      <c r="L1710" s="69"/>
      <c r="M1710" s="69"/>
      <c r="N1710" s="72"/>
      <c r="O1710" s="69"/>
      <c r="P1710" s="69"/>
      <c r="Q1710" s="69"/>
      <c r="R1710" s="69"/>
      <c r="S1710" s="69"/>
      <c r="T1710" s="69"/>
      <c r="U1710" s="69"/>
      <c r="V1710" s="69"/>
      <c r="W1710" s="69"/>
      <c r="X1710" s="69"/>
      <c r="Y1710" s="69"/>
      <c r="Z1710" s="69"/>
      <c r="AA1710" s="69"/>
      <c r="AB1710" s="69"/>
      <c r="AC1710" s="69"/>
      <c r="AD1710" s="69"/>
      <c r="AE1710" s="69"/>
      <c r="AF1710" s="69"/>
      <c r="AG1710" s="69"/>
      <c r="AH1710" s="69"/>
      <c r="AI1710" s="69"/>
      <c r="AJ1710" s="69"/>
      <c r="AK1710" s="69"/>
      <c r="AL1710" s="69"/>
      <c r="AM1710" s="69"/>
      <c r="AN1710" s="69"/>
      <c r="AO1710" s="69"/>
      <c r="AP1710" s="69"/>
      <c r="AQ1710" s="69"/>
      <c r="AR1710" s="69"/>
      <c r="AS1710" s="69"/>
      <c r="AT1710" s="69"/>
      <c r="AU1710" s="69"/>
      <c r="AV1710" s="69"/>
      <c r="AW1710" s="69"/>
      <c r="AX1710" s="69"/>
      <c r="AY1710" s="69"/>
      <c r="AZ1710" s="69"/>
      <c r="BA1710" s="69"/>
      <c r="BB1710" s="69"/>
      <c r="BC1710" s="69"/>
    </row>
    <row r="1711">
      <c r="A1711" s="68"/>
      <c r="B1711" s="68"/>
      <c r="C1711" s="68"/>
      <c r="D1711" s="68"/>
      <c r="E1711" s="68"/>
      <c r="F1711" s="68"/>
      <c r="G1711" s="68"/>
      <c r="H1711" s="68"/>
      <c r="I1711" s="69"/>
      <c r="J1711" s="69"/>
      <c r="K1711" s="71"/>
      <c r="L1711" s="69"/>
      <c r="M1711" s="69"/>
      <c r="N1711" s="72"/>
      <c r="O1711" s="69"/>
      <c r="P1711" s="69"/>
      <c r="Q1711" s="69"/>
      <c r="R1711" s="69"/>
      <c r="S1711" s="69"/>
      <c r="T1711" s="69"/>
      <c r="U1711" s="69"/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/>
      <c r="AI1711" s="69"/>
      <c r="AJ1711" s="69"/>
      <c r="AK1711" s="69"/>
      <c r="AL1711" s="69"/>
      <c r="AM1711" s="69"/>
      <c r="AN1711" s="69"/>
      <c r="AO1711" s="69"/>
      <c r="AP1711" s="69"/>
      <c r="AQ1711" s="69"/>
      <c r="AR1711" s="69"/>
      <c r="AS1711" s="69"/>
      <c r="AT1711" s="69"/>
      <c r="AU1711" s="69"/>
      <c r="AV1711" s="69"/>
      <c r="AW1711" s="69"/>
      <c r="AX1711" s="69"/>
      <c r="AY1711" s="69"/>
      <c r="AZ1711" s="69"/>
      <c r="BA1711" s="69"/>
      <c r="BB1711" s="69"/>
      <c r="BC1711" s="69"/>
    </row>
    <row r="1712">
      <c r="A1712" s="68"/>
      <c r="B1712" s="68"/>
      <c r="C1712" s="68"/>
      <c r="D1712" s="68"/>
      <c r="E1712" s="68"/>
      <c r="F1712" s="68"/>
      <c r="G1712" s="68"/>
      <c r="H1712" s="68"/>
      <c r="I1712" s="69"/>
      <c r="J1712" s="69"/>
      <c r="K1712" s="71"/>
      <c r="L1712" s="69"/>
      <c r="M1712" s="69"/>
      <c r="N1712" s="72"/>
      <c r="O1712" s="69"/>
      <c r="P1712" s="69"/>
      <c r="Q1712" s="69"/>
      <c r="R1712" s="69"/>
      <c r="S1712" s="69"/>
      <c r="T1712" s="69"/>
      <c r="U1712" s="69"/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/>
      <c r="AI1712" s="69"/>
      <c r="AJ1712" s="69"/>
      <c r="AK1712" s="69"/>
      <c r="AL1712" s="69"/>
      <c r="AM1712" s="69"/>
      <c r="AN1712" s="69"/>
      <c r="AO1712" s="69"/>
      <c r="AP1712" s="69"/>
      <c r="AQ1712" s="69"/>
      <c r="AR1712" s="69"/>
      <c r="AS1712" s="69"/>
      <c r="AT1712" s="69"/>
      <c r="AU1712" s="69"/>
      <c r="AV1712" s="69"/>
      <c r="AW1712" s="69"/>
      <c r="AX1712" s="69"/>
      <c r="AY1712" s="69"/>
      <c r="AZ1712" s="69"/>
      <c r="BA1712" s="69"/>
      <c r="BB1712" s="69"/>
      <c r="BC1712" s="69"/>
    </row>
    <row r="1713">
      <c r="A1713" s="68"/>
      <c r="B1713" s="68"/>
      <c r="C1713" s="68"/>
      <c r="D1713" s="68"/>
      <c r="E1713" s="68"/>
      <c r="F1713" s="68"/>
      <c r="G1713" s="68"/>
      <c r="H1713" s="68"/>
      <c r="I1713" s="69"/>
      <c r="J1713" s="69"/>
      <c r="K1713" s="71"/>
      <c r="L1713" s="69"/>
      <c r="M1713" s="69"/>
      <c r="N1713" s="72"/>
      <c r="O1713" s="69"/>
      <c r="P1713" s="69"/>
      <c r="Q1713" s="69"/>
      <c r="R1713" s="69"/>
      <c r="S1713" s="69"/>
      <c r="T1713" s="69"/>
      <c r="U1713" s="69"/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/>
      <c r="AI1713" s="69"/>
      <c r="AJ1713" s="69"/>
      <c r="AK1713" s="69"/>
      <c r="AL1713" s="69"/>
      <c r="AM1713" s="69"/>
      <c r="AN1713" s="69"/>
      <c r="AO1713" s="69"/>
      <c r="AP1713" s="69"/>
      <c r="AQ1713" s="69"/>
      <c r="AR1713" s="69"/>
      <c r="AS1713" s="69"/>
      <c r="AT1713" s="69"/>
      <c r="AU1713" s="69"/>
      <c r="AV1713" s="69"/>
      <c r="AW1713" s="69"/>
      <c r="AX1713" s="69"/>
      <c r="AY1713" s="69"/>
      <c r="AZ1713" s="69"/>
      <c r="BA1713" s="69"/>
      <c r="BB1713" s="69"/>
      <c r="BC1713" s="69"/>
    </row>
    <row r="1714">
      <c r="A1714" s="68"/>
      <c r="B1714" s="68"/>
      <c r="C1714" s="68"/>
      <c r="D1714" s="68"/>
      <c r="E1714" s="68"/>
      <c r="F1714" s="68"/>
      <c r="G1714" s="68"/>
      <c r="H1714" s="68"/>
      <c r="I1714" s="69"/>
      <c r="J1714" s="69"/>
      <c r="K1714" s="71"/>
      <c r="L1714" s="69"/>
      <c r="M1714" s="69"/>
      <c r="N1714" s="72"/>
      <c r="O1714" s="69"/>
      <c r="P1714" s="69"/>
      <c r="Q1714" s="69"/>
      <c r="R1714" s="69"/>
      <c r="S1714" s="69"/>
      <c r="T1714" s="69"/>
      <c r="U1714" s="69"/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/>
      <c r="AI1714" s="69"/>
      <c r="AJ1714" s="69"/>
      <c r="AK1714" s="69"/>
      <c r="AL1714" s="69"/>
      <c r="AM1714" s="69"/>
      <c r="AN1714" s="69"/>
      <c r="AO1714" s="69"/>
      <c r="AP1714" s="69"/>
      <c r="AQ1714" s="69"/>
      <c r="AR1714" s="69"/>
      <c r="AS1714" s="69"/>
      <c r="AT1714" s="69"/>
      <c r="AU1714" s="69"/>
      <c r="AV1714" s="69"/>
      <c r="AW1714" s="69"/>
      <c r="AX1714" s="69"/>
      <c r="AY1714" s="69"/>
      <c r="AZ1714" s="69"/>
      <c r="BA1714" s="69"/>
      <c r="BB1714" s="69"/>
      <c r="BC1714" s="69"/>
    </row>
    <row r="1715">
      <c r="A1715" s="68"/>
      <c r="B1715" s="68"/>
      <c r="C1715" s="68"/>
      <c r="D1715" s="68"/>
      <c r="E1715" s="68"/>
      <c r="F1715" s="68"/>
      <c r="G1715" s="68"/>
      <c r="H1715" s="68"/>
      <c r="I1715" s="69"/>
      <c r="J1715" s="69"/>
      <c r="K1715" s="71"/>
      <c r="L1715" s="69"/>
      <c r="M1715" s="69"/>
      <c r="N1715" s="72"/>
      <c r="O1715" s="69"/>
      <c r="P1715" s="69"/>
      <c r="Q1715" s="69"/>
      <c r="R1715" s="69"/>
      <c r="S1715" s="69"/>
      <c r="T1715" s="69"/>
      <c r="U1715" s="69"/>
      <c r="V1715" s="69"/>
      <c r="W1715" s="69"/>
      <c r="X1715" s="69"/>
      <c r="Y1715" s="69"/>
      <c r="Z1715" s="69"/>
      <c r="AA1715" s="69"/>
      <c r="AB1715" s="69"/>
      <c r="AC1715" s="69"/>
      <c r="AD1715" s="69"/>
      <c r="AE1715" s="69"/>
      <c r="AF1715" s="69"/>
      <c r="AG1715" s="69"/>
      <c r="AH1715" s="69"/>
      <c r="AI1715" s="69"/>
      <c r="AJ1715" s="69"/>
      <c r="AK1715" s="69"/>
      <c r="AL1715" s="69"/>
      <c r="AM1715" s="69"/>
      <c r="AN1715" s="69"/>
      <c r="AO1715" s="69"/>
      <c r="AP1715" s="69"/>
      <c r="AQ1715" s="69"/>
      <c r="AR1715" s="69"/>
      <c r="AS1715" s="69"/>
      <c r="AT1715" s="69"/>
      <c r="AU1715" s="69"/>
      <c r="AV1715" s="69"/>
      <c r="AW1715" s="69"/>
      <c r="AX1715" s="69"/>
      <c r="AY1715" s="69"/>
      <c r="AZ1715" s="69"/>
      <c r="BA1715" s="69"/>
      <c r="BB1715" s="69"/>
      <c r="BC1715" s="69"/>
    </row>
    <row r="1716">
      <c r="A1716" s="68"/>
      <c r="B1716" s="68"/>
      <c r="C1716" s="68"/>
      <c r="D1716" s="68"/>
      <c r="E1716" s="68"/>
      <c r="F1716" s="68"/>
      <c r="G1716" s="68"/>
      <c r="H1716" s="68"/>
      <c r="I1716" s="69"/>
      <c r="J1716" s="69"/>
      <c r="K1716" s="71"/>
      <c r="L1716" s="69"/>
      <c r="M1716" s="69"/>
      <c r="N1716" s="72"/>
      <c r="O1716" s="69"/>
      <c r="P1716" s="69"/>
      <c r="Q1716" s="69"/>
      <c r="R1716" s="69"/>
      <c r="S1716" s="69"/>
      <c r="T1716" s="69"/>
      <c r="U1716" s="69"/>
      <c r="V1716" s="69"/>
      <c r="W1716" s="69"/>
      <c r="X1716" s="69"/>
      <c r="Y1716" s="69"/>
      <c r="Z1716" s="69"/>
      <c r="AA1716" s="69"/>
      <c r="AB1716" s="69"/>
      <c r="AC1716" s="69"/>
      <c r="AD1716" s="69"/>
      <c r="AE1716" s="69"/>
      <c r="AF1716" s="69"/>
      <c r="AG1716" s="69"/>
      <c r="AH1716" s="69"/>
      <c r="AI1716" s="69"/>
      <c r="AJ1716" s="69"/>
      <c r="AK1716" s="69"/>
      <c r="AL1716" s="69"/>
      <c r="AM1716" s="69"/>
      <c r="AN1716" s="69"/>
      <c r="AO1716" s="69"/>
      <c r="AP1716" s="69"/>
      <c r="AQ1716" s="69"/>
      <c r="AR1716" s="69"/>
      <c r="AS1716" s="69"/>
      <c r="AT1716" s="69"/>
      <c r="AU1716" s="69"/>
      <c r="AV1716" s="69"/>
      <c r="AW1716" s="69"/>
      <c r="AX1716" s="69"/>
      <c r="AY1716" s="69"/>
      <c r="AZ1716" s="69"/>
      <c r="BA1716" s="69"/>
      <c r="BB1716" s="69"/>
      <c r="BC1716" s="69"/>
    </row>
    <row r="1717">
      <c r="A1717" s="68"/>
      <c r="B1717" s="68"/>
      <c r="C1717" s="68"/>
      <c r="D1717" s="68"/>
      <c r="E1717" s="68"/>
      <c r="F1717" s="68"/>
      <c r="G1717" s="68"/>
      <c r="H1717" s="68"/>
      <c r="I1717" s="69"/>
      <c r="J1717" s="69"/>
      <c r="K1717" s="71"/>
      <c r="L1717" s="69"/>
      <c r="M1717" s="69"/>
      <c r="N1717" s="72"/>
      <c r="O1717" s="69"/>
      <c r="P1717" s="69"/>
      <c r="Q1717" s="69"/>
      <c r="R1717" s="69"/>
      <c r="S1717" s="69"/>
      <c r="T1717" s="69"/>
      <c r="U1717" s="69"/>
      <c r="V1717" s="69"/>
      <c r="W1717" s="69"/>
      <c r="X1717" s="69"/>
      <c r="Y1717" s="69"/>
      <c r="Z1717" s="69"/>
      <c r="AA1717" s="69"/>
      <c r="AB1717" s="69"/>
      <c r="AC1717" s="69"/>
      <c r="AD1717" s="69"/>
      <c r="AE1717" s="69"/>
      <c r="AF1717" s="69"/>
      <c r="AG1717" s="69"/>
      <c r="AH1717" s="69"/>
      <c r="AI1717" s="69"/>
      <c r="AJ1717" s="69"/>
      <c r="AK1717" s="69"/>
      <c r="AL1717" s="69"/>
      <c r="AM1717" s="69"/>
      <c r="AN1717" s="69"/>
      <c r="AO1717" s="69"/>
      <c r="AP1717" s="69"/>
      <c r="AQ1717" s="69"/>
      <c r="AR1717" s="69"/>
      <c r="AS1717" s="69"/>
      <c r="AT1717" s="69"/>
      <c r="AU1717" s="69"/>
      <c r="AV1717" s="69"/>
      <c r="AW1717" s="69"/>
      <c r="AX1717" s="69"/>
      <c r="AY1717" s="69"/>
      <c r="AZ1717" s="69"/>
      <c r="BA1717" s="69"/>
      <c r="BB1717" s="69"/>
      <c r="BC1717" s="69"/>
    </row>
    <row r="1718">
      <c r="A1718" s="68"/>
      <c r="B1718" s="68"/>
      <c r="C1718" s="68"/>
      <c r="D1718" s="68"/>
      <c r="E1718" s="68"/>
      <c r="F1718" s="68"/>
      <c r="G1718" s="68"/>
      <c r="H1718" s="68"/>
      <c r="I1718" s="69"/>
      <c r="J1718" s="69"/>
      <c r="K1718" s="71"/>
      <c r="L1718" s="69"/>
      <c r="M1718" s="69"/>
      <c r="N1718" s="72"/>
      <c r="O1718" s="69"/>
      <c r="P1718" s="69"/>
      <c r="Q1718" s="69"/>
      <c r="R1718" s="69"/>
      <c r="S1718" s="69"/>
      <c r="T1718" s="69"/>
      <c r="U1718" s="69"/>
      <c r="V1718" s="69"/>
      <c r="W1718" s="69"/>
      <c r="X1718" s="69"/>
      <c r="Y1718" s="69"/>
      <c r="Z1718" s="69"/>
      <c r="AA1718" s="69"/>
      <c r="AB1718" s="69"/>
      <c r="AC1718" s="69"/>
      <c r="AD1718" s="69"/>
      <c r="AE1718" s="69"/>
      <c r="AF1718" s="69"/>
      <c r="AG1718" s="69"/>
      <c r="AH1718" s="69"/>
      <c r="AI1718" s="69"/>
      <c r="AJ1718" s="69"/>
      <c r="AK1718" s="69"/>
      <c r="AL1718" s="69"/>
      <c r="AM1718" s="69"/>
      <c r="AN1718" s="69"/>
      <c r="AO1718" s="69"/>
      <c r="AP1718" s="69"/>
      <c r="AQ1718" s="69"/>
      <c r="AR1718" s="69"/>
      <c r="AS1718" s="69"/>
      <c r="AT1718" s="69"/>
      <c r="AU1718" s="69"/>
      <c r="AV1718" s="69"/>
      <c r="AW1718" s="69"/>
      <c r="AX1718" s="69"/>
      <c r="AY1718" s="69"/>
      <c r="AZ1718" s="69"/>
      <c r="BA1718" s="69"/>
      <c r="BB1718" s="69"/>
      <c r="BC1718" s="69"/>
    </row>
    <row r="1719">
      <c r="A1719" s="68"/>
      <c r="B1719" s="68"/>
      <c r="C1719" s="68"/>
      <c r="D1719" s="68"/>
      <c r="E1719" s="68"/>
      <c r="F1719" s="68"/>
      <c r="G1719" s="68"/>
      <c r="H1719" s="68"/>
      <c r="I1719" s="69"/>
      <c r="J1719" s="69"/>
      <c r="K1719" s="71"/>
      <c r="L1719" s="69"/>
      <c r="M1719" s="69"/>
      <c r="N1719" s="72"/>
      <c r="O1719" s="69"/>
      <c r="P1719" s="69"/>
      <c r="Q1719" s="69"/>
      <c r="R1719" s="69"/>
      <c r="S1719" s="69"/>
      <c r="T1719" s="69"/>
      <c r="U1719" s="69"/>
      <c r="V1719" s="69"/>
      <c r="W1719" s="69"/>
      <c r="X1719" s="69"/>
      <c r="Y1719" s="69"/>
      <c r="Z1719" s="69"/>
      <c r="AA1719" s="69"/>
      <c r="AB1719" s="69"/>
      <c r="AC1719" s="69"/>
      <c r="AD1719" s="69"/>
      <c r="AE1719" s="69"/>
      <c r="AF1719" s="69"/>
      <c r="AG1719" s="69"/>
      <c r="AH1719" s="69"/>
      <c r="AI1719" s="69"/>
      <c r="AJ1719" s="69"/>
      <c r="AK1719" s="69"/>
      <c r="AL1719" s="69"/>
      <c r="AM1719" s="69"/>
      <c r="AN1719" s="69"/>
      <c r="AO1719" s="69"/>
      <c r="AP1719" s="69"/>
      <c r="AQ1719" s="69"/>
      <c r="AR1719" s="69"/>
      <c r="AS1719" s="69"/>
      <c r="AT1719" s="69"/>
      <c r="AU1719" s="69"/>
      <c r="AV1719" s="69"/>
      <c r="AW1719" s="69"/>
      <c r="AX1719" s="69"/>
      <c r="AY1719" s="69"/>
      <c r="AZ1719" s="69"/>
      <c r="BA1719" s="69"/>
      <c r="BB1719" s="69"/>
      <c r="BC1719" s="69"/>
    </row>
    <row r="1720">
      <c r="A1720" s="68"/>
      <c r="B1720" s="68"/>
      <c r="C1720" s="68"/>
      <c r="D1720" s="68"/>
      <c r="E1720" s="68"/>
      <c r="F1720" s="68"/>
      <c r="G1720" s="68"/>
      <c r="H1720" s="68"/>
      <c r="I1720" s="69"/>
      <c r="J1720" s="69"/>
      <c r="K1720" s="71"/>
      <c r="L1720" s="69"/>
      <c r="M1720" s="69"/>
      <c r="N1720" s="72"/>
      <c r="O1720" s="69"/>
      <c r="P1720" s="69"/>
      <c r="Q1720" s="69"/>
      <c r="R1720" s="69"/>
      <c r="S1720" s="69"/>
      <c r="T1720" s="69"/>
      <c r="U1720" s="69"/>
      <c r="V1720" s="69"/>
      <c r="W1720" s="69"/>
      <c r="X1720" s="69"/>
      <c r="Y1720" s="69"/>
      <c r="Z1720" s="69"/>
      <c r="AA1720" s="69"/>
      <c r="AB1720" s="69"/>
      <c r="AC1720" s="69"/>
      <c r="AD1720" s="69"/>
      <c r="AE1720" s="69"/>
      <c r="AF1720" s="69"/>
      <c r="AG1720" s="69"/>
      <c r="AH1720" s="69"/>
      <c r="AI1720" s="69"/>
      <c r="AJ1720" s="69"/>
      <c r="AK1720" s="69"/>
      <c r="AL1720" s="69"/>
      <c r="AM1720" s="69"/>
      <c r="AN1720" s="69"/>
      <c r="AO1720" s="69"/>
      <c r="AP1720" s="69"/>
      <c r="AQ1720" s="69"/>
      <c r="AR1720" s="69"/>
      <c r="AS1720" s="69"/>
      <c r="AT1720" s="69"/>
      <c r="AU1720" s="69"/>
      <c r="AV1720" s="69"/>
      <c r="AW1720" s="69"/>
      <c r="AX1720" s="69"/>
      <c r="AY1720" s="69"/>
      <c r="AZ1720" s="69"/>
      <c r="BA1720" s="69"/>
      <c r="BB1720" s="69"/>
      <c r="BC1720" s="69"/>
    </row>
    <row r="1721">
      <c r="A1721" s="68"/>
      <c r="B1721" s="68"/>
      <c r="C1721" s="68"/>
      <c r="D1721" s="68"/>
      <c r="E1721" s="68"/>
      <c r="F1721" s="68"/>
      <c r="G1721" s="68"/>
      <c r="H1721" s="68"/>
      <c r="I1721" s="69"/>
      <c r="J1721" s="69"/>
      <c r="K1721" s="71"/>
      <c r="L1721" s="69"/>
      <c r="M1721" s="69"/>
      <c r="N1721" s="72"/>
      <c r="O1721" s="69"/>
      <c r="P1721" s="69"/>
      <c r="Q1721" s="69"/>
      <c r="R1721" s="69"/>
      <c r="S1721" s="69"/>
      <c r="T1721" s="69"/>
      <c r="U1721" s="69"/>
      <c r="V1721" s="69"/>
      <c r="W1721" s="69"/>
      <c r="X1721" s="69"/>
      <c r="Y1721" s="69"/>
      <c r="Z1721" s="69"/>
      <c r="AA1721" s="69"/>
      <c r="AB1721" s="69"/>
      <c r="AC1721" s="69"/>
      <c r="AD1721" s="69"/>
      <c r="AE1721" s="69"/>
      <c r="AF1721" s="69"/>
      <c r="AG1721" s="69"/>
      <c r="AH1721" s="69"/>
      <c r="AI1721" s="69"/>
      <c r="AJ1721" s="69"/>
      <c r="AK1721" s="69"/>
      <c r="AL1721" s="69"/>
      <c r="AM1721" s="69"/>
      <c r="AN1721" s="69"/>
      <c r="AO1721" s="69"/>
      <c r="AP1721" s="69"/>
      <c r="AQ1721" s="69"/>
      <c r="AR1721" s="69"/>
      <c r="AS1721" s="69"/>
      <c r="AT1721" s="69"/>
      <c r="AU1721" s="69"/>
      <c r="AV1721" s="69"/>
      <c r="AW1721" s="69"/>
      <c r="AX1721" s="69"/>
      <c r="AY1721" s="69"/>
      <c r="AZ1721" s="69"/>
      <c r="BA1721" s="69"/>
      <c r="BB1721" s="69"/>
      <c r="BC1721" s="69"/>
    </row>
    <row r="1722">
      <c r="A1722" s="68"/>
      <c r="B1722" s="68"/>
      <c r="C1722" s="68"/>
      <c r="D1722" s="68"/>
      <c r="E1722" s="68"/>
      <c r="F1722" s="68"/>
      <c r="G1722" s="68"/>
      <c r="H1722" s="68"/>
      <c r="I1722" s="69"/>
      <c r="J1722" s="69"/>
      <c r="K1722" s="71"/>
      <c r="L1722" s="69"/>
      <c r="M1722" s="69"/>
      <c r="N1722" s="72"/>
      <c r="O1722" s="69"/>
      <c r="P1722" s="69"/>
      <c r="Q1722" s="69"/>
      <c r="R1722" s="69"/>
      <c r="S1722" s="69"/>
      <c r="T1722" s="69"/>
      <c r="U1722" s="69"/>
      <c r="V1722" s="69"/>
      <c r="W1722" s="69"/>
      <c r="X1722" s="69"/>
      <c r="Y1722" s="69"/>
      <c r="Z1722" s="69"/>
      <c r="AA1722" s="69"/>
      <c r="AB1722" s="69"/>
      <c r="AC1722" s="69"/>
      <c r="AD1722" s="69"/>
      <c r="AE1722" s="69"/>
      <c r="AF1722" s="69"/>
      <c r="AG1722" s="69"/>
      <c r="AH1722" s="69"/>
      <c r="AI1722" s="69"/>
      <c r="AJ1722" s="69"/>
      <c r="AK1722" s="69"/>
      <c r="AL1722" s="69"/>
      <c r="AM1722" s="69"/>
      <c r="AN1722" s="69"/>
      <c r="AO1722" s="69"/>
      <c r="AP1722" s="69"/>
      <c r="AQ1722" s="69"/>
      <c r="AR1722" s="69"/>
      <c r="AS1722" s="69"/>
      <c r="AT1722" s="69"/>
      <c r="AU1722" s="69"/>
      <c r="AV1722" s="69"/>
      <c r="AW1722" s="69"/>
      <c r="AX1722" s="69"/>
      <c r="AY1722" s="69"/>
      <c r="AZ1722" s="69"/>
      <c r="BA1722" s="69"/>
      <c r="BB1722" s="69"/>
      <c r="BC1722" s="69"/>
    </row>
    <row r="1723">
      <c r="A1723" s="68"/>
      <c r="B1723" s="68"/>
      <c r="C1723" s="68"/>
      <c r="D1723" s="68"/>
      <c r="E1723" s="68"/>
      <c r="F1723" s="68"/>
      <c r="G1723" s="68"/>
      <c r="H1723" s="68"/>
      <c r="I1723" s="69"/>
      <c r="J1723" s="69"/>
      <c r="K1723" s="71"/>
      <c r="L1723" s="69"/>
      <c r="M1723" s="69"/>
      <c r="N1723" s="72"/>
      <c r="O1723" s="69"/>
      <c r="P1723" s="69"/>
      <c r="Q1723" s="69"/>
      <c r="R1723" s="69"/>
      <c r="S1723" s="69"/>
      <c r="T1723" s="69"/>
      <c r="U1723" s="69"/>
      <c r="V1723" s="69"/>
      <c r="W1723" s="69"/>
      <c r="X1723" s="69"/>
      <c r="Y1723" s="69"/>
      <c r="Z1723" s="69"/>
      <c r="AA1723" s="69"/>
      <c r="AB1723" s="69"/>
      <c r="AC1723" s="69"/>
      <c r="AD1723" s="69"/>
      <c r="AE1723" s="69"/>
      <c r="AF1723" s="69"/>
      <c r="AG1723" s="69"/>
      <c r="AH1723" s="69"/>
      <c r="AI1723" s="69"/>
      <c r="AJ1723" s="69"/>
      <c r="AK1723" s="69"/>
      <c r="AL1723" s="69"/>
      <c r="AM1723" s="69"/>
      <c r="AN1723" s="69"/>
      <c r="AO1723" s="69"/>
      <c r="AP1723" s="69"/>
      <c r="AQ1723" s="69"/>
      <c r="AR1723" s="69"/>
      <c r="AS1723" s="69"/>
      <c r="AT1723" s="69"/>
      <c r="AU1723" s="69"/>
      <c r="AV1723" s="69"/>
      <c r="AW1723" s="69"/>
      <c r="AX1723" s="69"/>
      <c r="AY1723" s="69"/>
      <c r="AZ1723" s="69"/>
      <c r="BA1723" s="69"/>
      <c r="BB1723" s="69"/>
      <c r="BC1723" s="69"/>
    </row>
    <row r="1724">
      <c r="A1724" s="68"/>
      <c r="B1724" s="68"/>
      <c r="C1724" s="68"/>
      <c r="D1724" s="68"/>
      <c r="E1724" s="68"/>
      <c r="F1724" s="68"/>
      <c r="G1724" s="68"/>
      <c r="H1724" s="68"/>
      <c r="I1724" s="69"/>
      <c r="J1724" s="69"/>
      <c r="K1724" s="71"/>
      <c r="L1724" s="69"/>
      <c r="M1724" s="69"/>
      <c r="N1724" s="72"/>
      <c r="O1724" s="69"/>
      <c r="P1724" s="69"/>
      <c r="Q1724" s="69"/>
      <c r="R1724" s="69"/>
      <c r="S1724" s="69"/>
      <c r="T1724" s="69"/>
      <c r="U1724" s="69"/>
      <c r="V1724" s="69"/>
      <c r="W1724" s="69"/>
      <c r="X1724" s="69"/>
      <c r="Y1724" s="69"/>
      <c r="Z1724" s="69"/>
      <c r="AA1724" s="69"/>
      <c r="AB1724" s="69"/>
      <c r="AC1724" s="69"/>
      <c r="AD1724" s="69"/>
      <c r="AE1724" s="69"/>
      <c r="AF1724" s="69"/>
      <c r="AG1724" s="69"/>
      <c r="AH1724" s="69"/>
      <c r="AI1724" s="69"/>
      <c r="AJ1724" s="69"/>
      <c r="AK1724" s="69"/>
      <c r="AL1724" s="69"/>
      <c r="AM1724" s="69"/>
      <c r="AN1724" s="69"/>
      <c r="AO1724" s="69"/>
      <c r="AP1724" s="69"/>
      <c r="AQ1724" s="69"/>
      <c r="AR1724" s="69"/>
      <c r="AS1724" s="69"/>
      <c r="AT1724" s="69"/>
      <c r="AU1724" s="69"/>
      <c r="AV1724" s="69"/>
      <c r="AW1724" s="69"/>
      <c r="AX1724" s="69"/>
      <c r="AY1724" s="69"/>
      <c r="AZ1724" s="69"/>
      <c r="BA1724" s="69"/>
      <c r="BB1724" s="69"/>
      <c r="BC1724" s="69"/>
    </row>
    <row r="1725">
      <c r="A1725" s="68"/>
      <c r="B1725" s="68"/>
      <c r="C1725" s="68"/>
      <c r="D1725" s="68"/>
      <c r="E1725" s="68"/>
      <c r="F1725" s="68"/>
      <c r="G1725" s="68"/>
      <c r="H1725" s="68"/>
      <c r="I1725" s="69"/>
      <c r="J1725" s="69"/>
      <c r="K1725" s="71"/>
      <c r="L1725" s="69"/>
      <c r="M1725" s="69"/>
      <c r="N1725" s="72"/>
      <c r="O1725" s="69"/>
      <c r="P1725" s="69"/>
      <c r="Q1725" s="69"/>
      <c r="R1725" s="69"/>
      <c r="S1725" s="69"/>
      <c r="T1725" s="69"/>
      <c r="U1725" s="69"/>
      <c r="V1725" s="69"/>
      <c r="W1725" s="69"/>
      <c r="X1725" s="69"/>
      <c r="Y1725" s="69"/>
      <c r="Z1725" s="69"/>
      <c r="AA1725" s="69"/>
      <c r="AB1725" s="69"/>
      <c r="AC1725" s="69"/>
      <c r="AD1725" s="69"/>
      <c r="AE1725" s="69"/>
      <c r="AF1725" s="69"/>
      <c r="AG1725" s="69"/>
      <c r="AH1725" s="69"/>
      <c r="AI1725" s="69"/>
      <c r="AJ1725" s="69"/>
      <c r="AK1725" s="69"/>
      <c r="AL1725" s="69"/>
      <c r="AM1725" s="69"/>
      <c r="AN1725" s="69"/>
      <c r="AO1725" s="69"/>
      <c r="AP1725" s="69"/>
      <c r="AQ1725" s="69"/>
      <c r="AR1725" s="69"/>
      <c r="AS1725" s="69"/>
      <c r="AT1725" s="69"/>
      <c r="AU1725" s="69"/>
      <c r="AV1725" s="69"/>
      <c r="AW1725" s="69"/>
      <c r="AX1725" s="69"/>
      <c r="AY1725" s="69"/>
      <c r="AZ1725" s="69"/>
      <c r="BA1725" s="69"/>
      <c r="BB1725" s="69"/>
      <c r="BC1725" s="69"/>
    </row>
    <row r="1726">
      <c r="A1726" s="68"/>
      <c r="B1726" s="68"/>
      <c r="C1726" s="68"/>
      <c r="D1726" s="68"/>
      <c r="E1726" s="68"/>
      <c r="F1726" s="68"/>
      <c r="G1726" s="68"/>
      <c r="H1726" s="68"/>
      <c r="I1726" s="69"/>
      <c r="J1726" s="69"/>
      <c r="K1726" s="71"/>
      <c r="L1726" s="69"/>
      <c r="M1726" s="69"/>
      <c r="N1726" s="72"/>
      <c r="O1726" s="69"/>
      <c r="P1726" s="69"/>
      <c r="Q1726" s="69"/>
      <c r="R1726" s="69"/>
      <c r="S1726" s="69"/>
      <c r="T1726" s="69"/>
      <c r="U1726" s="69"/>
      <c r="V1726" s="69"/>
      <c r="W1726" s="69"/>
      <c r="X1726" s="69"/>
      <c r="Y1726" s="69"/>
      <c r="Z1726" s="69"/>
      <c r="AA1726" s="69"/>
      <c r="AB1726" s="69"/>
      <c r="AC1726" s="69"/>
      <c r="AD1726" s="69"/>
      <c r="AE1726" s="69"/>
      <c r="AF1726" s="69"/>
      <c r="AG1726" s="69"/>
      <c r="AH1726" s="69"/>
      <c r="AI1726" s="69"/>
      <c r="AJ1726" s="69"/>
      <c r="AK1726" s="69"/>
      <c r="AL1726" s="69"/>
      <c r="AM1726" s="69"/>
      <c r="AN1726" s="69"/>
      <c r="AO1726" s="69"/>
      <c r="AP1726" s="69"/>
      <c r="AQ1726" s="69"/>
      <c r="AR1726" s="69"/>
      <c r="AS1726" s="69"/>
      <c r="AT1726" s="69"/>
      <c r="AU1726" s="69"/>
      <c r="AV1726" s="69"/>
      <c r="AW1726" s="69"/>
      <c r="AX1726" s="69"/>
      <c r="AY1726" s="69"/>
      <c r="AZ1726" s="69"/>
      <c r="BA1726" s="69"/>
      <c r="BB1726" s="69"/>
      <c r="BC1726" s="69"/>
    </row>
    <row r="1727">
      <c r="A1727" s="68"/>
      <c r="B1727" s="68"/>
      <c r="C1727" s="68"/>
      <c r="D1727" s="68"/>
      <c r="E1727" s="68"/>
      <c r="F1727" s="68"/>
      <c r="G1727" s="68"/>
      <c r="H1727" s="68"/>
      <c r="I1727" s="69"/>
      <c r="J1727" s="69"/>
      <c r="K1727" s="71"/>
      <c r="L1727" s="69"/>
      <c r="M1727" s="69"/>
      <c r="N1727" s="72"/>
      <c r="O1727" s="69"/>
      <c r="P1727" s="69"/>
      <c r="Q1727" s="69"/>
      <c r="R1727" s="69"/>
      <c r="S1727" s="69"/>
      <c r="T1727" s="69"/>
      <c r="U1727" s="69"/>
      <c r="V1727" s="69"/>
      <c r="W1727" s="69"/>
      <c r="X1727" s="69"/>
      <c r="Y1727" s="69"/>
      <c r="Z1727" s="69"/>
      <c r="AA1727" s="69"/>
      <c r="AB1727" s="69"/>
      <c r="AC1727" s="69"/>
      <c r="AD1727" s="69"/>
      <c r="AE1727" s="69"/>
      <c r="AF1727" s="69"/>
      <c r="AG1727" s="69"/>
      <c r="AH1727" s="69"/>
      <c r="AI1727" s="69"/>
      <c r="AJ1727" s="69"/>
      <c r="AK1727" s="69"/>
      <c r="AL1727" s="69"/>
      <c r="AM1727" s="69"/>
      <c r="AN1727" s="69"/>
      <c r="AO1727" s="69"/>
      <c r="AP1727" s="69"/>
      <c r="AQ1727" s="69"/>
      <c r="AR1727" s="69"/>
      <c r="AS1727" s="69"/>
      <c r="AT1727" s="69"/>
      <c r="AU1727" s="69"/>
      <c r="AV1727" s="69"/>
      <c r="AW1727" s="69"/>
      <c r="AX1727" s="69"/>
      <c r="AY1727" s="69"/>
      <c r="AZ1727" s="69"/>
      <c r="BA1727" s="69"/>
      <c r="BB1727" s="69"/>
      <c r="BC1727" s="69"/>
    </row>
    <row r="1728">
      <c r="A1728" s="68"/>
      <c r="B1728" s="68"/>
      <c r="C1728" s="68"/>
      <c r="D1728" s="68"/>
      <c r="E1728" s="68"/>
      <c r="F1728" s="68"/>
      <c r="G1728" s="68"/>
      <c r="H1728" s="68"/>
      <c r="I1728" s="69"/>
      <c r="J1728" s="69"/>
      <c r="K1728" s="71"/>
      <c r="L1728" s="69"/>
      <c r="M1728" s="69"/>
      <c r="N1728" s="72"/>
      <c r="O1728" s="69"/>
      <c r="P1728" s="69"/>
      <c r="Q1728" s="69"/>
      <c r="R1728" s="69"/>
      <c r="S1728" s="69"/>
      <c r="T1728" s="69"/>
      <c r="U1728" s="69"/>
      <c r="V1728" s="69"/>
      <c r="W1728" s="69"/>
      <c r="X1728" s="69"/>
      <c r="Y1728" s="69"/>
      <c r="Z1728" s="69"/>
      <c r="AA1728" s="69"/>
      <c r="AB1728" s="69"/>
      <c r="AC1728" s="69"/>
      <c r="AD1728" s="69"/>
      <c r="AE1728" s="69"/>
      <c r="AF1728" s="69"/>
      <c r="AG1728" s="69"/>
      <c r="AH1728" s="69"/>
      <c r="AI1728" s="69"/>
      <c r="AJ1728" s="69"/>
      <c r="AK1728" s="69"/>
      <c r="AL1728" s="69"/>
      <c r="AM1728" s="69"/>
      <c r="AN1728" s="69"/>
      <c r="AO1728" s="69"/>
      <c r="AP1728" s="69"/>
      <c r="AQ1728" s="69"/>
      <c r="AR1728" s="69"/>
      <c r="AS1728" s="69"/>
      <c r="AT1728" s="69"/>
      <c r="AU1728" s="69"/>
      <c r="AV1728" s="69"/>
      <c r="AW1728" s="69"/>
      <c r="AX1728" s="69"/>
      <c r="AY1728" s="69"/>
      <c r="AZ1728" s="69"/>
      <c r="BA1728" s="69"/>
      <c r="BB1728" s="69"/>
      <c r="BC1728" s="69"/>
    </row>
    <row r="1729">
      <c r="A1729" s="68"/>
      <c r="B1729" s="68"/>
      <c r="C1729" s="68"/>
      <c r="D1729" s="68"/>
      <c r="E1729" s="68"/>
      <c r="F1729" s="68"/>
      <c r="G1729" s="68"/>
      <c r="H1729" s="68"/>
      <c r="I1729" s="69"/>
      <c r="J1729" s="69"/>
      <c r="K1729" s="71"/>
      <c r="L1729" s="69"/>
      <c r="M1729" s="69"/>
      <c r="N1729" s="72"/>
      <c r="O1729" s="69"/>
      <c r="P1729" s="69"/>
      <c r="Q1729" s="69"/>
      <c r="R1729" s="69"/>
      <c r="S1729" s="69"/>
      <c r="T1729" s="69"/>
      <c r="U1729" s="69"/>
      <c r="V1729" s="69"/>
      <c r="W1729" s="69"/>
      <c r="X1729" s="69"/>
      <c r="Y1729" s="69"/>
      <c r="Z1729" s="69"/>
      <c r="AA1729" s="69"/>
      <c r="AB1729" s="69"/>
      <c r="AC1729" s="69"/>
      <c r="AD1729" s="69"/>
      <c r="AE1729" s="69"/>
      <c r="AF1729" s="69"/>
      <c r="AG1729" s="69"/>
      <c r="AH1729" s="69"/>
      <c r="AI1729" s="69"/>
      <c r="AJ1729" s="69"/>
      <c r="AK1729" s="69"/>
      <c r="AL1729" s="69"/>
      <c r="AM1729" s="69"/>
      <c r="AN1729" s="69"/>
      <c r="AO1729" s="69"/>
      <c r="AP1729" s="69"/>
      <c r="AQ1729" s="69"/>
      <c r="AR1729" s="69"/>
      <c r="AS1729" s="69"/>
      <c r="AT1729" s="69"/>
      <c r="AU1729" s="69"/>
      <c r="AV1729" s="69"/>
      <c r="AW1729" s="69"/>
      <c r="AX1729" s="69"/>
      <c r="AY1729" s="69"/>
      <c r="AZ1729" s="69"/>
      <c r="BA1729" s="69"/>
      <c r="BB1729" s="69"/>
      <c r="BC1729" s="69"/>
    </row>
    <row r="1730">
      <c r="A1730" s="68"/>
      <c r="B1730" s="68"/>
      <c r="C1730" s="68"/>
      <c r="D1730" s="68"/>
      <c r="E1730" s="68"/>
      <c r="F1730" s="68"/>
      <c r="G1730" s="68"/>
      <c r="H1730" s="68"/>
      <c r="I1730" s="69"/>
      <c r="J1730" s="69"/>
      <c r="K1730" s="71"/>
      <c r="L1730" s="69"/>
      <c r="M1730" s="69"/>
      <c r="N1730" s="72"/>
      <c r="O1730" s="69"/>
      <c r="P1730" s="69"/>
      <c r="Q1730" s="69"/>
      <c r="R1730" s="69"/>
      <c r="S1730" s="69"/>
      <c r="T1730" s="69"/>
      <c r="U1730" s="69"/>
      <c r="V1730" s="69"/>
      <c r="W1730" s="69"/>
      <c r="X1730" s="69"/>
      <c r="Y1730" s="69"/>
      <c r="Z1730" s="69"/>
      <c r="AA1730" s="69"/>
      <c r="AB1730" s="69"/>
      <c r="AC1730" s="69"/>
      <c r="AD1730" s="69"/>
      <c r="AE1730" s="69"/>
      <c r="AF1730" s="69"/>
      <c r="AG1730" s="69"/>
      <c r="AH1730" s="69"/>
      <c r="AI1730" s="69"/>
      <c r="AJ1730" s="69"/>
      <c r="AK1730" s="69"/>
      <c r="AL1730" s="69"/>
      <c r="AM1730" s="69"/>
      <c r="AN1730" s="69"/>
      <c r="AO1730" s="69"/>
      <c r="AP1730" s="69"/>
      <c r="AQ1730" s="69"/>
      <c r="AR1730" s="69"/>
      <c r="AS1730" s="69"/>
      <c r="AT1730" s="69"/>
      <c r="AU1730" s="69"/>
      <c r="AV1730" s="69"/>
      <c r="AW1730" s="69"/>
      <c r="AX1730" s="69"/>
      <c r="AY1730" s="69"/>
      <c r="AZ1730" s="69"/>
      <c r="BA1730" s="69"/>
      <c r="BB1730" s="69"/>
      <c r="BC1730" s="69"/>
    </row>
    <row r="1731">
      <c r="A1731" s="68"/>
      <c r="B1731" s="68"/>
      <c r="C1731" s="68"/>
      <c r="D1731" s="68"/>
      <c r="E1731" s="68"/>
      <c r="F1731" s="68"/>
      <c r="G1731" s="68"/>
      <c r="H1731" s="68"/>
      <c r="I1731" s="69"/>
      <c r="J1731" s="69"/>
      <c r="K1731" s="71"/>
      <c r="L1731" s="69"/>
      <c r="M1731" s="69"/>
      <c r="N1731" s="72"/>
      <c r="O1731" s="69"/>
      <c r="P1731" s="69"/>
      <c r="Q1731" s="69"/>
      <c r="R1731" s="69"/>
      <c r="S1731" s="69"/>
      <c r="T1731" s="69"/>
      <c r="U1731" s="69"/>
      <c r="V1731" s="69"/>
      <c r="W1731" s="69"/>
      <c r="X1731" s="69"/>
      <c r="Y1731" s="69"/>
      <c r="Z1731" s="69"/>
      <c r="AA1731" s="69"/>
      <c r="AB1731" s="69"/>
      <c r="AC1731" s="69"/>
      <c r="AD1731" s="69"/>
      <c r="AE1731" s="69"/>
      <c r="AF1731" s="69"/>
      <c r="AG1731" s="69"/>
      <c r="AH1731" s="69"/>
      <c r="AI1731" s="69"/>
      <c r="AJ1731" s="69"/>
      <c r="AK1731" s="69"/>
      <c r="AL1731" s="69"/>
      <c r="AM1731" s="69"/>
      <c r="AN1731" s="69"/>
      <c r="AO1731" s="69"/>
      <c r="AP1731" s="69"/>
      <c r="AQ1731" s="69"/>
      <c r="AR1731" s="69"/>
      <c r="AS1731" s="69"/>
      <c r="AT1731" s="69"/>
      <c r="AU1731" s="69"/>
      <c r="AV1731" s="69"/>
      <c r="AW1731" s="69"/>
      <c r="AX1731" s="69"/>
      <c r="AY1731" s="69"/>
      <c r="AZ1731" s="69"/>
      <c r="BA1731" s="69"/>
      <c r="BB1731" s="69"/>
      <c r="BC1731" s="69"/>
    </row>
    <row r="1732">
      <c r="A1732" s="68"/>
      <c r="B1732" s="68"/>
      <c r="C1732" s="68"/>
      <c r="D1732" s="68"/>
      <c r="E1732" s="68"/>
      <c r="F1732" s="68"/>
      <c r="G1732" s="68"/>
      <c r="H1732" s="68"/>
      <c r="I1732" s="69"/>
      <c r="J1732" s="69"/>
      <c r="K1732" s="71"/>
      <c r="L1732" s="69"/>
      <c r="M1732" s="69"/>
      <c r="N1732" s="72"/>
      <c r="O1732" s="69"/>
      <c r="P1732" s="69"/>
      <c r="Q1732" s="69"/>
      <c r="R1732" s="69"/>
      <c r="S1732" s="69"/>
      <c r="T1732" s="69"/>
      <c r="U1732" s="69"/>
      <c r="V1732" s="69"/>
      <c r="W1732" s="69"/>
      <c r="X1732" s="69"/>
      <c r="Y1732" s="69"/>
      <c r="Z1732" s="69"/>
      <c r="AA1732" s="69"/>
      <c r="AB1732" s="69"/>
      <c r="AC1732" s="69"/>
      <c r="AD1732" s="69"/>
      <c r="AE1732" s="69"/>
      <c r="AF1732" s="69"/>
      <c r="AG1732" s="69"/>
      <c r="AH1732" s="69"/>
      <c r="AI1732" s="69"/>
      <c r="AJ1732" s="69"/>
      <c r="AK1732" s="69"/>
      <c r="AL1732" s="69"/>
      <c r="AM1732" s="69"/>
      <c r="AN1732" s="69"/>
      <c r="AO1732" s="69"/>
      <c r="AP1732" s="69"/>
      <c r="AQ1732" s="69"/>
      <c r="AR1732" s="69"/>
      <c r="AS1732" s="69"/>
      <c r="AT1732" s="69"/>
      <c r="AU1732" s="69"/>
      <c r="AV1732" s="69"/>
      <c r="AW1732" s="69"/>
      <c r="AX1732" s="69"/>
      <c r="AY1732" s="69"/>
      <c r="AZ1732" s="69"/>
      <c r="BA1732" s="69"/>
      <c r="BB1732" s="69"/>
      <c r="BC1732" s="69"/>
    </row>
    <row r="1733">
      <c r="A1733" s="68"/>
      <c r="B1733" s="68"/>
      <c r="C1733" s="68"/>
      <c r="D1733" s="68"/>
      <c r="E1733" s="68"/>
      <c r="F1733" s="68"/>
      <c r="G1733" s="68"/>
      <c r="H1733" s="68"/>
      <c r="I1733" s="69"/>
      <c r="J1733" s="69"/>
      <c r="K1733" s="71"/>
      <c r="L1733" s="69"/>
      <c r="M1733" s="69"/>
      <c r="N1733" s="72"/>
      <c r="O1733" s="69"/>
      <c r="P1733" s="69"/>
      <c r="Q1733" s="69"/>
      <c r="R1733" s="69"/>
      <c r="S1733" s="69"/>
      <c r="T1733" s="69"/>
      <c r="U1733" s="69"/>
      <c r="V1733" s="69"/>
      <c r="W1733" s="69"/>
      <c r="X1733" s="69"/>
      <c r="Y1733" s="69"/>
      <c r="Z1733" s="69"/>
      <c r="AA1733" s="69"/>
      <c r="AB1733" s="69"/>
      <c r="AC1733" s="69"/>
      <c r="AD1733" s="69"/>
      <c r="AE1733" s="69"/>
      <c r="AF1733" s="69"/>
      <c r="AG1733" s="69"/>
      <c r="AH1733" s="69"/>
      <c r="AI1733" s="69"/>
      <c r="AJ1733" s="69"/>
      <c r="AK1733" s="69"/>
      <c r="AL1733" s="69"/>
      <c r="AM1733" s="69"/>
      <c r="AN1733" s="69"/>
      <c r="AO1733" s="69"/>
      <c r="AP1733" s="69"/>
      <c r="AQ1733" s="69"/>
      <c r="AR1733" s="69"/>
      <c r="AS1733" s="69"/>
      <c r="AT1733" s="69"/>
      <c r="AU1733" s="69"/>
      <c r="AV1733" s="69"/>
      <c r="AW1733" s="69"/>
      <c r="AX1733" s="69"/>
      <c r="AY1733" s="69"/>
      <c r="AZ1733" s="69"/>
      <c r="BA1733" s="69"/>
      <c r="BB1733" s="69"/>
      <c r="BC1733" s="69"/>
    </row>
    <row r="1734">
      <c r="A1734" s="68"/>
      <c r="B1734" s="68"/>
      <c r="C1734" s="68"/>
      <c r="D1734" s="68"/>
      <c r="E1734" s="68"/>
      <c r="F1734" s="68"/>
      <c r="G1734" s="68"/>
      <c r="H1734" s="68"/>
      <c r="I1734" s="69"/>
      <c r="J1734" s="69"/>
      <c r="K1734" s="71"/>
      <c r="L1734" s="69"/>
      <c r="M1734" s="69"/>
      <c r="N1734" s="72"/>
      <c r="O1734" s="69"/>
      <c r="P1734" s="69"/>
      <c r="Q1734" s="69"/>
      <c r="R1734" s="69"/>
      <c r="S1734" s="69"/>
      <c r="T1734" s="69"/>
      <c r="U1734" s="69"/>
      <c r="V1734" s="69"/>
      <c r="W1734" s="69"/>
      <c r="X1734" s="69"/>
      <c r="Y1734" s="69"/>
      <c r="Z1734" s="69"/>
      <c r="AA1734" s="69"/>
      <c r="AB1734" s="69"/>
      <c r="AC1734" s="69"/>
      <c r="AD1734" s="69"/>
      <c r="AE1734" s="69"/>
      <c r="AF1734" s="69"/>
      <c r="AG1734" s="69"/>
      <c r="AH1734" s="69"/>
      <c r="AI1734" s="69"/>
      <c r="AJ1734" s="69"/>
      <c r="AK1734" s="69"/>
      <c r="AL1734" s="69"/>
      <c r="AM1734" s="69"/>
      <c r="AN1734" s="69"/>
      <c r="AO1734" s="69"/>
      <c r="AP1734" s="69"/>
      <c r="AQ1734" s="69"/>
      <c r="AR1734" s="69"/>
      <c r="AS1734" s="69"/>
      <c r="AT1734" s="69"/>
      <c r="AU1734" s="69"/>
      <c r="AV1734" s="69"/>
      <c r="AW1734" s="69"/>
      <c r="AX1734" s="69"/>
      <c r="AY1734" s="69"/>
      <c r="AZ1734" s="69"/>
      <c r="BA1734" s="69"/>
      <c r="BB1734" s="69"/>
      <c r="BC1734" s="69"/>
    </row>
    <row r="1735">
      <c r="A1735" s="68"/>
      <c r="B1735" s="68"/>
      <c r="C1735" s="68"/>
      <c r="D1735" s="68"/>
      <c r="E1735" s="68"/>
      <c r="F1735" s="68"/>
      <c r="G1735" s="68"/>
      <c r="H1735" s="68"/>
      <c r="I1735" s="69"/>
      <c r="J1735" s="69"/>
      <c r="K1735" s="71"/>
      <c r="L1735" s="69"/>
      <c r="M1735" s="69"/>
      <c r="N1735" s="72"/>
      <c r="O1735" s="69"/>
      <c r="P1735" s="69"/>
      <c r="Q1735" s="69"/>
      <c r="R1735" s="69"/>
      <c r="S1735" s="69"/>
      <c r="T1735" s="69"/>
      <c r="U1735" s="69"/>
      <c r="V1735" s="69"/>
      <c r="W1735" s="69"/>
      <c r="X1735" s="69"/>
      <c r="Y1735" s="69"/>
      <c r="Z1735" s="69"/>
      <c r="AA1735" s="69"/>
      <c r="AB1735" s="69"/>
      <c r="AC1735" s="69"/>
      <c r="AD1735" s="69"/>
      <c r="AE1735" s="69"/>
      <c r="AF1735" s="69"/>
      <c r="AG1735" s="69"/>
      <c r="AH1735" s="69"/>
      <c r="AI1735" s="69"/>
      <c r="AJ1735" s="69"/>
      <c r="AK1735" s="69"/>
      <c r="AL1735" s="69"/>
      <c r="AM1735" s="69"/>
      <c r="AN1735" s="69"/>
      <c r="AO1735" s="69"/>
      <c r="AP1735" s="69"/>
      <c r="AQ1735" s="69"/>
      <c r="AR1735" s="69"/>
      <c r="AS1735" s="69"/>
      <c r="AT1735" s="69"/>
      <c r="AU1735" s="69"/>
      <c r="AV1735" s="69"/>
      <c r="AW1735" s="69"/>
      <c r="AX1735" s="69"/>
      <c r="AY1735" s="69"/>
      <c r="AZ1735" s="69"/>
      <c r="BA1735" s="69"/>
      <c r="BB1735" s="69"/>
      <c r="BC1735" s="69"/>
    </row>
    <row r="1736">
      <c r="A1736" s="68"/>
      <c r="B1736" s="68"/>
      <c r="C1736" s="68"/>
      <c r="D1736" s="68"/>
      <c r="E1736" s="68"/>
      <c r="F1736" s="68"/>
      <c r="G1736" s="68"/>
      <c r="H1736" s="68"/>
      <c r="I1736" s="69"/>
      <c r="J1736" s="69"/>
      <c r="K1736" s="71"/>
      <c r="L1736" s="69"/>
      <c r="M1736" s="69"/>
      <c r="N1736" s="72"/>
      <c r="O1736" s="69"/>
      <c r="P1736" s="69"/>
      <c r="Q1736" s="69"/>
      <c r="R1736" s="69"/>
      <c r="S1736" s="69"/>
      <c r="T1736" s="69"/>
      <c r="U1736" s="69"/>
      <c r="V1736" s="69"/>
      <c r="W1736" s="69"/>
      <c r="X1736" s="69"/>
      <c r="Y1736" s="69"/>
      <c r="Z1736" s="69"/>
      <c r="AA1736" s="69"/>
      <c r="AB1736" s="69"/>
      <c r="AC1736" s="69"/>
      <c r="AD1736" s="69"/>
      <c r="AE1736" s="69"/>
      <c r="AF1736" s="69"/>
      <c r="AG1736" s="69"/>
      <c r="AH1736" s="69"/>
      <c r="AI1736" s="69"/>
      <c r="AJ1736" s="69"/>
      <c r="AK1736" s="69"/>
      <c r="AL1736" s="69"/>
      <c r="AM1736" s="69"/>
      <c r="AN1736" s="69"/>
      <c r="AO1736" s="69"/>
      <c r="AP1736" s="69"/>
      <c r="AQ1736" s="69"/>
      <c r="AR1736" s="69"/>
      <c r="AS1736" s="69"/>
      <c r="AT1736" s="69"/>
      <c r="AU1736" s="69"/>
      <c r="AV1736" s="69"/>
      <c r="AW1736" s="69"/>
      <c r="AX1736" s="69"/>
      <c r="AY1736" s="69"/>
      <c r="AZ1736" s="69"/>
      <c r="BA1736" s="69"/>
      <c r="BB1736" s="69"/>
      <c r="BC1736" s="69"/>
    </row>
    <row r="1737">
      <c r="A1737" s="68"/>
      <c r="B1737" s="68"/>
      <c r="C1737" s="68"/>
      <c r="D1737" s="68"/>
      <c r="E1737" s="68"/>
      <c r="F1737" s="68"/>
      <c r="G1737" s="68"/>
      <c r="H1737" s="68"/>
      <c r="I1737" s="69"/>
      <c r="J1737" s="69"/>
      <c r="K1737" s="71"/>
      <c r="L1737" s="69"/>
      <c r="M1737" s="69"/>
      <c r="N1737" s="72"/>
      <c r="O1737" s="69"/>
      <c r="P1737" s="69"/>
      <c r="Q1737" s="69"/>
      <c r="R1737" s="69"/>
      <c r="S1737" s="69"/>
      <c r="T1737" s="69"/>
      <c r="U1737" s="69"/>
      <c r="V1737" s="69"/>
      <c r="W1737" s="69"/>
      <c r="X1737" s="69"/>
      <c r="Y1737" s="69"/>
      <c r="Z1737" s="69"/>
      <c r="AA1737" s="69"/>
      <c r="AB1737" s="69"/>
      <c r="AC1737" s="69"/>
      <c r="AD1737" s="69"/>
      <c r="AE1737" s="69"/>
      <c r="AF1737" s="69"/>
      <c r="AG1737" s="69"/>
      <c r="AH1737" s="69"/>
      <c r="AI1737" s="69"/>
      <c r="AJ1737" s="69"/>
      <c r="AK1737" s="69"/>
      <c r="AL1737" s="69"/>
      <c r="AM1737" s="69"/>
      <c r="AN1737" s="69"/>
      <c r="AO1737" s="69"/>
      <c r="AP1737" s="69"/>
      <c r="AQ1737" s="69"/>
      <c r="AR1737" s="69"/>
      <c r="AS1737" s="69"/>
      <c r="AT1737" s="69"/>
      <c r="AU1737" s="69"/>
      <c r="AV1737" s="69"/>
      <c r="AW1737" s="69"/>
      <c r="AX1737" s="69"/>
      <c r="AY1737" s="69"/>
      <c r="AZ1737" s="69"/>
      <c r="BA1737" s="69"/>
      <c r="BB1737" s="69"/>
      <c r="BC1737" s="69"/>
    </row>
    <row r="1738">
      <c r="A1738" s="68"/>
      <c r="B1738" s="68"/>
      <c r="C1738" s="68"/>
      <c r="D1738" s="68"/>
      <c r="E1738" s="68"/>
      <c r="F1738" s="68"/>
      <c r="G1738" s="68"/>
      <c r="H1738" s="68"/>
      <c r="I1738" s="69"/>
      <c r="J1738" s="69"/>
      <c r="K1738" s="71"/>
      <c r="L1738" s="69"/>
      <c r="M1738" s="69"/>
      <c r="N1738" s="72"/>
      <c r="O1738" s="69"/>
      <c r="P1738" s="69"/>
      <c r="Q1738" s="69"/>
      <c r="R1738" s="69"/>
      <c r="S1738" s="69"/>
      <c r="T1738" s="69"/>
      <c r="U1738" s="69"/>
      <c r="V1738" s="69"/>
      <c r="W1738" s="69"/>
      <c r="X1738" s="69"/>
      <c r="Y1738" s="69"/>
      <c r="Z1738" s="69"/>
      <c r="AA1738" s="69"/>
      <c r="AB1738" s="69"/>
      <c r="AC1738" s="69"/>
      <c r="AD1738" s="69"/>
      <c r="AE1738" s="69"/>
      <c r="AF1738" s="69"/>
      <c r="AG1738" s="69"/>
      <c r="AH1738" s="69"/>
      <c r="AI1738" s="69"/>
      <c r="AJ1738" s="69"/>
      <c r="AK1738" s="69"/>
      <c r="AL1738" s="69"/>
      <c r="AM1738" s="69"/>
      <c r="AN1738" s="69"/>
      <c r="AO1738" s="69"/>
      <c r="AP1738" s="69"/>
      <c r="AQ1738" s="69"/>
      <c r="AR1738" s="69"/>
      <c r="AS1738" s="69"/>
      <c r="AT1738" s="69"/>
      <c r="AU1738" s="69"/>
      <c r="AV1738" s="69"/>
      <c r="AW1738" s="69"/>
      <c r="AX1738" s="69"/>
      <c r="AY1738" s="69"/>
      <c r="AZ1738" s="69"/>
      <c r="BA1738" s="69"/>
      <c r="BB1738" s="69"/>
      <c r="BC1738" s="69"/>
    </row>
    <row r="1739">
      <c r="A1739" s="68"/>
      <c r="B1739" s="68"/>
      <c r="C1739" s="68"/>
      <c r="D1739" s="68"/>
      <c r="E1739" s="68"/>
      <c r="F1739" s="68"/>
      <c r="G1739" s="68"/>
      <c r="H1739" s="68"/>
      <c r="I1739" s="69"/>
      <c r="J1739" s="69"/>
      <c r="K1739" s="71"/>
      <c r="L1739" s="69"/>
      <c r="M1739" s="69"/>
      <c r="N1739" s="72"/>
      <c r="O1739" s="69"/>
      <c r="P1739" s="69"/>
      <c r="Q1739" s="69"/>
      <c r="R1739" s="69"/>
      <c r="S1739" s="69"/>
      <c r="T1739" s="69"/>
      <c r="U1739" s="69"/>
      <c r="V1739" s="69"/>
      <c r="W1739" s="69"/>
      <c r="X1739" s="69"/>
      <c r="Y1739" s="69"/>
      <c r="Z1739" s="69"/>
      <c r="AA1739" s="69"/>
      <c r="AB1739" s="69"/>
      <c r="AC1739" s="69"/>
      <c r="AD1739" s="69"/>
      <c r="AE1739" s="69"/>
      <c r="AF1739" s="69"/>
      <c r="AG1739" s="69"/>
      <c r="AH1739" s="69"/>
      <c r="AI1739" s="69"/>
      <c r="AJ1739" s="69"/>
      <c r="AK1739" s="69"/>
      <c r="AL1739" s="69"/>
      <c r="AM1739" s="69"/>
      <c r="AN1739" s="69"/>
      <c r="AO1739" s="69"/>
      <c r="AP1739" s="69"/>
      <c r="AQ1739" s="69"/>
      <c r="AR1739" s="69"/>
      <c r="AS1739" s="69"/>
      <c r="AT1739" s="69"/>
      <c r="AU1739" s="69"/>
      <c r="AV1739" s="69"/>
      <c r="AW1739" s="69"/>
      <c r="AX1739" s="69"/>
      <c r="AY1739" s="69"/>
      <c r="AZ1739" s="69"/>
      <c r="BA1739" s="69"/>
      <c r="BB1739" s="69"/>
      <c r="BC1739" s="69"/>
    </row>
    <row r="1740">
      <c r="A1740" s="68"/>
      <c r="B1740" s="68"/>
      <c r="C1740" s="68"/>
      <c r="D1740" s="68"/>
      <c r="E1740" s="68"/>
      <c r="F1740" s="68"/>
      <c r="G1740" s="68"/>
      <c r="H1740" s="68"/>
      <c r="I1740" s="69"/>
      <c r="J1740" s="69"/>
      <c r="K1740" s="71"/>
      <c r="L1740" s="69"/>
      <c r="M1740" s="69"/>
      <c r="N1740" s="72"/>
      <c r="O1740" s="69"/>
      <c r="P1740" s="69"/>
      <c r="Q1740" s="69"/>
      <c r="R1740" s="69"/>
      <c r="S1740" s="69"/>
      <c r="T1740" s="69"/>
      <c r="U1740" s="69"/>
      <c r="V1740" s="69"/>
      <c r="W1740" s="69"/>
      <c r="X1740" s="69"/>
      <c r="Y1740" s="69"/>
      <c r="Z1740" s="69"/>
      <c r="AA1740" s="69"/>
      <c r="AB1740" s="69"/>
      <c r="AC1740" s="69"/>
      <c r="AD1740" s="69"/>
      <c r="AE1740" s="69"/>
      <c r="AF1740" s="69"/>
      <c r="AG1740" s="69"/>
      <c r="AH1740" s="69"/>
      <c r="AI1740" s="69"/>
      <c r="AJ1740" s="69"/>
      <c r="AK1740" s="69"/>
      <c r="AL1740" s="69"/>
      <c r="AM1740" s="69"/>
      <c r="AN1740" s="69"/>
      <c r="AO1740" s="69"/>
      <c r="AP1740" s="69"/>
      <c r="AQ1740" s="69"/>
      <c r="AR1740" s="69"/>
      <c r="AS1740" s="69"/>
      <c r="AT1740" s="69"/>
      <c r="AU1740" s="69"/>
      <c r="AV1740" s="69"/>
      <c r="AW1740" s="69"/>
      <c r="AX1740" s="69"/>
      <c r="AY1740" s="69"/>
      <c r="AZ1740" s="69"/>
      <c r="BA1740" s="69"/>
      <c r="BB1740" s="69"/>
      <c r="BC1740" s="69"/>
    </row>
    <row r="1741">
      <c r="A1741" s="68"/>
      <c r="B1741" s="68"/>
      <c r="C1741" s="68"/>
      <c r="D1741" s="68"/>
      <c r="E1741" s="68"/>
      <c r="F1741" s="68"/>
      <c r="G1741" s="68"/>
      <c r="H1741" s="68"/>
      <c r="I1741" s="69"/>
      <c r="J1741" s="69"/>
      <c r="K1741" s="71"/>
      <c r="L1741" s="69"/>
      <c r="M1741" s="69"/>
      <c r="N1741" s="72"/>
      <c r="O1741" s="69"/>
      <c r="P1741" s="69"/>
      <c r="Q1741" s="69"/>
      <c r="R1741" s="69"/>
      <c r="S1741" s="69"/>
      <c r="T1741" s="69"/>
      <c r="U1741" s="69"/>
      <c r="V1741" s="69"/>
      <c r="W1741" s="69"/>
      <c r="X1741" s="69"/>
      <c r="Y1741" s="69"/>
      <c r="Z1741" s="69"/>
      <c r="AA1741" s="69"/>
      <c r="AB1741" s="69"/>
      <c r="AC1741" s="69"/>
      <c r="AD1741" s="69"/>
      <c r="AE1741" s="69"/>
      <c r="AF1741" s="69"/>
      <c r="AG1741" s="69"/>
      <c r="AH1741" s="69"/>
      <c r="AI1741" s="69"/>
      <c r="AJ1741" s="69"/>
      <c r="AK1741" s="69"/>
      <c r="AL1741" s="69"/>
      <c r="AM1741" s="69"/>
      <c r="AN1741" s="69"/>
      <c r="AO1741" s="69"/>
      <c r="AP1741" s="69"/>
      <c r="AQ1741" s="69"/>
      <c r="AR1741" s="69"/>
      <c r="AS1741" s="69"/>
      <c r="AT1741" s="69"/>
      <c r="AU1741" s="69"/>
      <c r="AV1741" s="69"/>
      <c r="AW1741" s="69"/>
      <c r="AX1741" s="69"/>
      <c r="AY1741" s="69"/>
      <c r="AZ1741" s="69"/>
      <c r="BA1741" s="69"/>
      <c r="BB1741" s="69"/>
      <c r="BC1741" s="69"/>
    </row>
    <row r="1742">
      <c r="A1742" s="68"/>
      <c r="B1742" s="68"/>
      <c r="C1742" s="68"/>
      <c r="D1742" s="68"/>
      <c r="E1742" s="68"/>
      <c r="F1742" s="68"/>
      <c r="G1742" s="68"/>
      <c r="H1742" s="68"/>
      <c r="I1742" s="69"/>
      <c r="J1742" s="69"/>
      <c r="K1742" s="71"/>
      <c r="L1742" s="69"/>
      <c r="M1742" s="69"/>
      <c r="N1742" s="72"/>
      <c r="O1742" s="69"/>
      <c r="P1742" s="69"/>
      <c r="Q1742" s="69"/>
      <c r="R1742" s="69"/>
      <c r="S1742" s="69"/>
      <c r="T1742" s="69"/>
      <c r="U1742" s="69"/>
      <c r="V1742" s="69"/>
      <c r="W1742" s="69"/>
      <c r="X1742" s="69"/>
      <c r="Y1742" s="69"/>
      <c r="Z1742" s="69"/>
      <c r="AA1742" s="69"/>
      <c r="AB1742" s="69"/>
      <c r="AC1742" s="69"/>
      <c r="AD1742" s="69"/>
      <c r="AE1742" s="69"/>
      <c r="AF1742" s="69"/>
      <c r="AG1742" s="69"/>
      <c r="AH1742" s="69"/>
      <c r="AI1742" s="69"/>
      <c r="AJ1742" s="69"/>
      <c r="AK1742" s="69"/>
      <c r="AL1742" s="69"/>
      <c r="AM1742" s="69"/>
      <c r="AN1742" s="69"/>
      <c r="AO1742" s="69"/>
      <c r="AP1742" s="69"/>
      <c r="AQ1742" s="69"/>
      <c r="AR1742" s="69"/>
      <c r="AS1742" s="69"/>
      <c r="AT1742" s="69"/>
      <c r="AU1742" s="69"/>
      <c r="AV1742" s="69"/>
      <c r="AW1742" s="69"/>
      <c r="AX1742" s="69"/>
      <c r="AY1742" s="69"/>
      <c r="AZ1742" s="69"/>
      <c r="BA1742" s="69"/>
      <c r="BB1742" s="69"/>
      <c r="BC1742" s="69"/>
    </row>
    <row r="1743">
      <c r="A1743" s="68"/>
      <c r="B1743" s="68"/>
      <c r="C1743" s="68"/>
      <c r="D1743" s="68"/>
      <c r="E1743" s="68"/>
      <c r="F1743" s="68"/>
      <c r="G1743" s="68"/>
      <c r="H1743" s="68"/>
      <c r="I1743" s="69"/>
      <c r="J1743" s="69"/>
      <c r="K1743" s="71"/>
      <c r="L1743" s="69"/>
      <c r="M1743" s="69"/>
      <c r="N1743" s="72"/>
      <c r="O1743" s="69"/>
      <c r="P1743" s="69"/>
      <c r="Q1743" s="69"/>
      <c r="R1743" s="69"/>
      <c r="S1743" s="69"/>
      <c r="T1743" s="69"/>
      <c r="U1743" s="69"/>
      <c r="V1743" s="69"/>
      <c r="W1743" s="69"/>
      <c r="X1743" s="69"/>
      <c r="Y1743" s="69"/>
      <c r="Z1743" s="69"/>
      <c r="AA1743" s="69"/>
      <c r="AB1743" s="69"/>
      <c r="AC1743" s="69"/>
      <c r="AD1743" s="69"/>
      <c r="AE1743" s="69"/>
      <c r="AF1743" s="69"/>
      <c r="AG1743" s="69"/>
      <c r="AH1743" s="69"/>
      <c r="AI1743" s="69"/>
      <c r="AJ1743" s="69"/>
      <c r="AK1743" s="69"/>
      <c r="AL1743" s="69"/>
      <c r="AM1743" s="69"/>
      <c r="AN1743" s="69"/>
      <c r="AO1743" s="69"/>
      <c r="AP1743" s="69"/>
      <c r="AQ1743" s="69"/>
      <c r="AR1743" s="69"/>
      <c r="AS1743" s="69"/>
      <c r="AT1743" s="69"/>
      <c r="AU1743" s="69"/>
      <c r="AV1743" s="69"/>
      <c r="AW1743" s="69"/>
      <c r="AX1743" s="69"/>
      <c r="AY1743" s="69"/>
      <c r="AZ1743" s="69"/>
      <c r="BA1743" s="69"/>
      <c r="BB1743" s="69"/>
      <c r="BC1743" s="69"/>
    </row>
    <row r="1744">
      <c r="A1744" s="68"/>
      <c r="B1744" s="68"/>
      <c r="C1744" s="68"/>
      <c r="D1744" s="68"/>
      <c r="E1744" s="68"/>
      <c r="F1744" s="68"/>
      <c r="G1744" s="68"/>
      <c r="H1744" s="68"/>
      <c r="I1744" s="69"/>
      <c r="J1744" s="69"/>
      <c r="K1744" s="71"/>
      <c r="L1744" s="69"/>
      <c r="M1744" s="69"/>
      <c r="N1744" s="72"/>
      <c r="O1744" s="69"/>
      <c r="P1744" s="69"/>
      <c r="Q1744" s="69"/>
      <c r="R1744" s="69"/>
      <c r="S1744" s="69"/>
      <c r="T1744" s="69"/>
      <c r="U1744" s="69"/>
      <c r="V1744" s="69"/>
      <c r="W1744" s="69"/>
      <c r="X1744" s="69"/>
      <c r="Y1744" s="69"/>
      <c r="Z1744" s="69"/>
      <c r="AA1744" s="69"/>
      <c r="AB1744" s="69"/>
      <c r="AC1744" s="69"/>
      <c r="AD1744" s="69"/>
      <c r="AE1744" s="69"/>
      <c r="AF1744" s="69"/>
      <c r="AG1744" s="69"/>
      <c r="AH1744" s="69"/>
      <c r="AI1744" s="69"/>
      <c r="AJ1744" s="69"/>
      <c r="AK1744" s="69"/>
      <c r="AL1744" s="69"/>
      <c r="AM1744" s="69"/>
      <c r="AN1744" s="69"/>
      <c r="AO1744" s="69"/>
      <c r="AP1744" s="69"/>
      <c r="AQ1744" s="69"/>
      <c r="AR1744" s="69"/>
      <c r="AS1744" s="69"/>
      <c r="AT1744" s="69"/>
      <c r="AU1744" s="69"/>
      <c r="AV1744" s="69"/>
      <c r="AW1744" s="69"/>
      <c r="AX1744" s="69"/>
      <c r="AY1744" s="69"/>
      <c r="AZ1744" s="69"/>
      <c r="BA1744" s="69"/>
      <c r="BB1744" s="69"/>
      <c r="BC1744" s="69"/>
    </row>
    <row r="1745">
      <c r="A1745" s="68"/>
      <c r="B1745" s="68"/>
      <c r="C1745" s="68"/>
      <c r="D1745" s="68"/>
      <c r="E1745" s="68"/>
      <c r="F1745" s="68"/>
      <c r="G1745" s="68"/>
      <c r="H1745" s="68"/>
      <c r="I1745" s="69"/>
      <c r="J1745" s="69"/>
      <c r="K1745" s="71"/>
      <c r="L1745" s="69"/>
      <c r="M1745" s="69"/>
      <c r="N1745" s="72"/>
      <c r="O1745" s="69"/>
      <c r="P1745" s="69"/>
      <c r="Q1745" s="69"/>
      <c r="R1745" s="69"/>
      <c r="S1745" s="69"/>
      <c r="T1745" s="69"/>
      <c r="U1745" s="69"/>
      <c r="V1745" s="69"/>
      <c r="W1745" s="69"/>
      <c r="X1745" s="69"/>
      <c r="Y1745" s="69"/>
      <c r="Z1745" s="69"/>
      <c r="AA1745" s="69"/>
      <c r="AB1745" s="69"/>
      <c r="AC1745" s="69"/>
      <c r="AD1745" s="69"/>
      <c r="AE1745" s="69"/>
      <c r="AF1745" s="69"/>
      <c r="AG1745" s="69"/>
      <c r="AH1745" s="69"/>
      <c r="AI1745" s="69"/>
      <c r="AJ1745" s="69"/>
      <c r="AK1745" s="69"/>
      <c r="AL1745" s="69"/>
      <c r="AM1745" s="69"/>
      <c r="AN1745" s="69"/>
      <c r="AO1745" s="69"/>
      <c r="AP1745" s="69"/>
      <c r="AQ1745" s="69"/>
      <c r="AR1745" s="69"/>
      <c r="AS1745" s="69"/>
      <c r="AT1745" s="69"/>
      <c r="AU1745" s="69"/>
      <c r="AV1745" s="69"/>
      <c r="AW1745" s="69"/>
      <c r="AX1745" s="69"/>
      <c r="AY1745" s="69"/>
      <c r="AZ1745" s="69"/>
      <c r="BA1745" s="69"/>
      <c r="BB1745" s="69"/>
      <c r="BC1745" s="69"/>
    </row>
    <row r="1746">
      <c r="A1746" s="68"/>
      <c r="B1746" s="68"/>
      <c r="C1746" s="68"/>
      <c r="D1746" s="68"/>
      <c r="E1746" s="68"/>
      <c r="F1746" s="68"/>
      <c r="G1746" s="68"/>
      <c r="H1746" s="68"/>
      <c r="I1746" s="69"/>
      <c r="J1746" s="69"/>
      <c r="K1746" s="71"/>
      <c r="L1746" s="69"/>
      <c r="M1746" s="69"/>
      <c r="N1746" s="72"/>
      <c r="O1746" s="69"/>
      <c r="P1746" s="69"/>
      <c r="Q1746" s="69"/>
      <c r="R1746" s="69"/>
      <c r="S1746" s="69"/>
      <c r="T1746" s="69"/>
      <c r="U1746" s="69"/>
      <c r="V1746" s="69"/>
      <c r="W1746" s="69"/>
      <c r="X1746" s="69"/>
      <c r="Y1746" s="69"/>
      <c r="Z1746" s="69"/>
      <c r="AA1746" s="69"/>
      <c r="AB1746" s="69"/>
      <c r="AC1746" s="69"/>
      <c r="AD1746" s="69"/>
      <c r="AE1746" s="69"/>
      <c r="AF1746" s="69"/>
      <c r="AG1746" s="69"/>
      <c r="AH1746" s="69"/>
      <c r="AI1746" s="69"/>
      <c r="AJ1746" s="69"/>
      <c r="AK1746" s="69"/>
      <c r="AL1746" s="69"/>
      <c r="AM1746" s="69"/>
      <c r="AN1746" s="69"/>
      <c r="AO1746" s="69"/>
      <c r="AP1746" s="69"/>
      <c r="AQ1746" s="69"/>
      <c r="AR1746" s="69"/>
      <c r="AS1746" s="69"/>
      <c r="AT1746" s="69"/>
      <c r="AU1746" s="69"/>
      <c r="AV1746" s="69"/>
      <c r="AW1746" s="69"/>
      <c r="AX1746" s="69"/>
      <c r="AY1746" s="69"/>
      <c r="AZ1746" s="69"/>
      <c r="BA1746" s="69"/>
      <c r="BB1746" s="69"/>
      <c r="BC1746" s="69"/>
    </row>
    <row r="1747">
      <c r="A1747" s="68"/>
      <c r="B1747" s="68"/>
      <c r="C1747" s="68"/>
      <c r="D1747" s="68"/>
      <c r="E1747" s="68"/>
      <c r="F1747" s="68"/>
      <c r="G1747" s="68"/>
      <c r="H1747" s="68"/>
      <c r="I1747" s="69"/>
      <c r="J1747" s="69"/>
      <c r="K1747" s="71"/>
      <c r="L1747" s="69"/>
      <c r="M1747" s="69"/>
      <c r="N1747" s="72"/>
      <c r="O1747" s="69"/>
      <c r="P1747" s="69"/>
      <c r="Q1747" s="69"/>
      <c r="R1747" s="69"/>
      <c r="S1747" s="69"/>
      <c r="T1747" s="69"/>
      <c r="U1747" s="69"/>
      <c r="V1747" s="69"/>
      <c r="W1747" s="69"/>
      <c r="X1747" s="69"/>
      <c r="Y1747" s="69"/>
      <c r="Z1747" s="69"/>
      <c r="AA1747" s="69"/>
      <c r="AB1747" s="69"/>
      <c r="AC1747" s="69"/>
      <c r="AD1747" s="69"/>
      <c r="AE1747" s="69"/>
      <c r="AF1747" s="69"/>
      <c r="AG1747" s="69"/>
      <c r="AH1747" s="69"/>
      <c r="AI1747" s="69"/>
      <c r="AJ1747" s="69"/>
      <c r="AK1747" s="69"/>
      <c r="AL1747" s="69"/>
      <c r="AM1747" s="69"/>
      <c r="AN1747" s="69"/>
      <c r="AO1747" s="69"/>
      <c r="AP1747" s="69"/>
      <c r="AQ1747" s="69"/>
      <c r="AR1747" s="69"/>
      <c r="AS1747" s="69"/>
      <c r="AT1747" s="69"/>
      <c r="AU1747" s="69"/>
      <c r="AV1747" s="69"/>
      <c r="AW1747" s="69"/>
      <c r="AX1747" s="69"/>
      <c r="AY1747" s="69"/>
      <c r="AZ1747" s="69"/>
      <c r="BA1747" s="69"/>
      <c r="BB1747" s="69"/>
      <c r="BC1747" s="69"/>
    </row>
    <row r="1748">
      <c r="A1748" s="68"/>
      <c r="B1748" s="68"/>
      <c r="C1748" s="68"/>
      <c r="D1748" s="68"/>
      <c r="E1748" s="68"/>
      <c r="F1748" s="68"/>
      <c r="G1748" s="68"/>
      <c r="H1748" s="68"/>
      <c r="I1748" s="69"/>
      <c r="J1748" s="69"/>
      <c r="K1748" s="71"/>
      <c r="L1748" s="69"/>
      <c r="M1748" s="69"/>
      <c r="N1748" s="72"/>
      <c r="O1748" s="69"/>
      <c r="P1748" s="69"/>
      <c r="Q1748" s="69"/>
      <c r="R1748" s="69"/>
      <c r="S1748" s="69"/>
      <c r="T1748" s="69"/>
      <c r="U1748" s="69"/>
      <c r="V1748" s="69"/>
      <c r="W1748" s="69"/>
      <c r="X1748" s="69"/>
      <c r="Y1748" s="69"/>
      <c r="Z1748" s="69"/>
      <c r="AA1748" s="69"/>
      <c r="AB1748" s="69"/>
      <c r="AC1748" s="69"/>
      <c r="AD1748" s="69"/>
      <c r="AE1748" s="69"/>
      <c r="AF1748" s="69"/>
      <c r="AG1748" s="69"/>
      <c r="AH1748" s="69"/>
      <c r="AI1748" s="69"/>
      <c r="AJ1748" s="69"/>
      <c r="AK1748" s="69"/>
      <c r="AL1748" s="69"/>
      <c r="AM1748" s="69"/>
      <c r="AN1748" s="69"/>
      <c r="AO1748" s="69"/>
      <c r="AP1748" s="69"/>
      <c r="AQ1748" s="69"/>
      <c r="AR1748" s="69"/>
      <c r="AS1748" s="69"/>
      <c r="AT1748" s="69"/>
      <c r="AU1748" s="69"/>
      <c r="AV1748" s="69"/>
      <c r="AW1748" s="69"/>
      <c r="AX1748" s="69"/>
      <c r="AY1748" s="69"/>
      <c r="AZ1748" s="69"/>
      <c r="BA1748" s="69"/>
      <c r="BB1748" s="69"/>
      <c r="BC1748" s="69"/>
    </row>
    <row r="1749">
      <c r="A1749" s="68"/>
      <c r="B1749" s="68"/>
      <c r="C1749" s="68"/>
      <c r="D1749" s="68"/>
      <c r="E1749" s="68"/>
      <c r="F1749" s="68"/>
      <c r="G1749" s="68"/>
      <c r="H1749" s="68"/>
      <c r="I1749" s="69"/>
      <c r="J1749" s="69"/>
      <c r="K1749" s="71"/>
      <c r="L1749" s="69"/>
      <c r="M1749" s="69"/>
      <c r="N1749" s="72"/>
      <c r="O1749" s="69"/>
      <c r="P1749" s="69"/>
      <c r="Q1749" s="69"/>
      <c r="R1749" s="69"/>
      <c r="S1749" s="69"/>
      <c r="T1749" s="69"/>
      <c r="U1749" s="69"/>
      <c r="V1749" s="69"/>
      <c r="W1749" s="69"/>
      <c r="X1749" s="69"/>
      <c r="Y1749" s="69"/>
      <c r="Z1749" s="69"/>
      <c r="AA1749" s="69"/>
      <c r="AB1749" s="69"/>
      <c r="AC1749" s="69"/>
      <c r="AD1749" s="69"/>
      <c r="AE1749" s="69"/>
      <c r="AF1749" s="69"/>
      <c r="AG1749" s="69"/>
      <c r="AH1749" s="69"/>
      <c r="AI1749" s="69"/>
      <c r="AJ1749" s="69"/>
      <c r="AK1749" s="69"/>
      <c r="AL1749" s="69"/>
      <c r="AM1749" s="69"/>
      <c r="AN1749" s="69"/>
      <c r="AO1749" s="69"/>
      <c r="AP1749" s="69"/>
      <c r="AQ1749" s="69"/>
      <c r="AR1749" s="69"/>
      <c r="AS1749" s="69"/>
      <c r="AT1749" s="69"/>
      <c r="AU1749" s="69"/>
      <c r="AV1749" s="69"/>
      <c r="AW1749" s="69"/>
      <c r="AX1749" s="69"/>
      <c r="AY1749" s="69"/>
      <c r="AZ1749" s="69"/>
      <c r="BA1749" s="69"/>
      <c r="BB1749" s="69"/>
      <c r="BC1749" s="69"/>
    </row>
    <row r="1750">
      <c r="A1750" s="68"/>
      <c r="B1750" s="68"/>
      <c r="C1750" s="68"/>
      <c r="D1750" s="68"/>
      <c r="E1750" s="68"/>
      <c r="F1750" s="68"/>
      <c r="G1750" s="68"/>
      <c r="H1750" s="68"/>
      <c r="I1750" s="69"/>
      <c r="J1750" s="69"/>
      <c r="K1750" s="71"/>
      <c r="L1750" s="69"/>
      <c r="M1750" s="69"/>
      <c r="N1750" s="72"/>
      <c r="O1750" s="69"/>
      <c r="P1750" s="69"/>
      <c r="Q1750" s="69"/>
      <c r="R1750" s="69"/>
      <c r="S1750" s="69"/>
      <c r="T1750" s="69"/>
      <c r="U1750" s="69"/>
      <c r="V1750" s="69"/>
      <c r="W1750" s="69"/>
      <c r="X1750" s="69"/>
      <c r="Y1750" s="69"/>
      <c r="Z1750" s="69"/>
      <c r="AA1750" s="69"/>
      <c r="AB1750" s="69"/>
      <c r="AC1750" s="69"/>
      <c r="AD1750" s="69"/>
      <c r="AE1750" s="69"/>
      <c r="AF1750" s="69"/>
      <c r="AG1750" s="69"/>
      <c r="AH1750" s="69"/>
      <c r="AI1750" s="69"/>
      <c r="AJ1750" s="69"/>
      <c r="AK1750" s="69"/>
      <c r="AL1750" s="69"/>
      <c r="AM1750" s="69"/>
      <c r="AN1750" s="69"/>
      <c r="AO1750" s="69"/>
      <c r="AP1750" s="69"/>
      <c r="AQ1750" s="69"/>
      <c r="AR1750" s="69"/>
      <c r="AS1750" s="69"/>
      <c r="AT1750" s="69"/>
      <c r="AU1750" s="69"/>
      <c r="AV1750" s="69"/>
      <c r="AW1750" s="69"/>
      <c r="AX1750" s="69"/>
      <c r="AY1750" s="69"/>
      <c r="AZ1750" s="69"/>
      <c r="BA1750" s="69"/>
      <c r="BB1750" s="69"/>
      <c r="BC1750" s="69"/>
    </row>
    <row r="1751">
      <c r="A1751" s="68"/>
      <c r="B1751" s="68"/>
      <c r="C1751" s="68"/>
      <c r="D1751" s="68"/>
      <c r="E1751" s="68"/>
      <c r="F1751" s="68"/>
      <c r="G1751" s="68"/>
      <c r="H1751" s="68"/>
      <c r="I1751" s="69"/>
      <c r="J1751" s="69"/>
      <c r="K1751" s="71"/>
      <c r="L1751" s="69"/>
      <c r="M1751" s="69"/>
      <c r="N1751" s="72"/>
      <c r="O1751" s="69"/>
      <c r="P1751" s="69"/>
      <c r="Q1751" s="69"/>
      <c r="R1751" s="69"/>
      <c r="S1751" s="69"/>
      <c r="T1751" s="69"/>
      <c r="U1751" s="69"/>
      <c r="V1751" s="69"/>
      <c r="W1751" s="69"/>
      <c r="X1751" s="69"/>
      <c r="Y1751" s="69"/>
      <c r="Z1751" s="69"/>
      <c r="AA1751" s="69"/>
      <c r="AB1751" s="69"/>
      <c r="AC1751" s="69"/>
      <c r="AD1751" s="69"/>
      <c r="AE1751" s="69"/>
      <c r="AF1751" s="69"/>
      <c r="AG1751" s="69"/>
      <c r="AH1751" s="69"/>
      <c r="AI1751" s="69"/>
      <c r="AJ1751" s="69"/>
      <c r="AK1751" s="69"/>
      <c r="AL1751" s="69"/>
      <c r="AM1751" s="69"/>
      <c r="AN1751" s="69"/>
      <c r="AO1751" s="69"/>
      <c r="AP1751" s="69"/>
      <c r="AQ1751" s="69"/>
      <c r="AR1751" s="69"/>
      <c r="AS1751" s="69"/>
      <c r="AT1751" s="69"/>
      <c r="AU1751" s="69"/>
      <c r="AV1751" s="69"/>
      <c r="AW1751" s="69"/>
      <c r="AX1751" s="69"/>
      <c r="AY1751" s="69"/>
      <c r="AZ1751" s="69"/>
      <c r="BA1751" s="69"/>
      <c r="BB1751" s="69"/>
      <c r="BC1751" s="69"/>
    </row>
    <row r="1752">
      <c r="A1752" s="68"/>
      <c r="B1752" s="68"/>
      <c r="C1752" s="68"/>
      <c r="D1752" s="68"/>
      <c r="E1752" s="68"/>
      <c r="F1752" s="68"/>
      <c r="G1752" s="68"/>
      <c r="H1752" s="68"/>
      <c r="I1752" s="69"/>
      <c r="J1752" s="69"/>
      <c r="K1752" s="71"/>
      <c r="L1752" s="69"/>
      <c r="M1752" s="69"/>
      <c r="N1752" s="72"/>
      <c r="O1752" s="69"/>
      <c r="P1752" s="69"/>
      <c r="Q1752" s="69"/>
      <c r="R1752" s="69"/>
      <c r="S1752" s="69"/>
      <c r="T1752" s="69"/>
      <c r="U1752" s="69"/>
      <c r="V1752" s="69"/>
      <c r="W1752" s="69"/>
      <c r="X1752" s="69"/>
      <c r="Y1752" s="69"/>
      <c r="Z1752" s="69"/>
      <c r="AA1752" s="69"/>
      <c r="AB1752" s="69"/>
      <c r="AC1752" s="69"/>
      <c r="AD1752" s="69"/>
      <c r="AE1752" s="69"/>
      <c r="AF1752" s="69"/>
      <c r="AG1752" s="69"/>
      <c r="AH1752" s="69"/>
      <c r="AI1752" s="69"/>
      <c r="AJ1752" s="69"/>
      <c r="AK1752" s="69"/>
      <c r="AL1752" s="69"/>
      <c r="AM1752" s="69"/>
      <c r="AN1752" s="69"/>
      <c r="AO1752" s="69"/>
      <c r="AP1752" s="69"/>
      <c r="AQ1752" s="69"/>
      <c r="AR1752" s="69"/>
      <c r="AS1752" s="69"/>
      <c r="AT1752" s="69"/>
      <c r="AU1752" s="69"/>
      <c r="AV1752" s="69"/>
      <c r="AW1752" s="69"/>
      <c r="AX1752" s="69"/>
      <c r="AY1752" s="69"/>
      <c r="AZ1752" s="69"/>
      <c r="BA1752" s="69"/>
      <c r="BB1752" s="69"/>
      <c r="BC1752" s="69"/>
    </row>
    <row r="1753">
      <c r="A1753" s="68"/>
      <c r="B1753" s="68"/>
      <c r="C1753" s="68"/>
      <c r="D1753" s="68"/>
      <c r="E1753" s="68"/>
      <c r="F1753" s="68"/>
      <c r="G1753" s="68"/>
      <c r="H1753" s="68"/>
      <c r="I1753" s="69"/>
      <c r="J1753" s="69"/>
      <c r="K1753" s="71"/>
      <c r="L1753" s="69"/>
      <c r="M1753" s="69"/>
      <c r="N1753" s="72"/>
      <c r="O1753" s="69"/>
      <c r="P1753" s="69"/>
      <c r="Q1753" s="69"/>
      <c r="R1753" s="69"/>
      <c r="S1753" s="69"/>
      <c r="T1753" s="69"/>
      <c r="U1753" s="69"/>
      <c r="V1753" s="69"/>
      <c r="W1753" s="69"/>
      <c r="X1753" s="69"/>
      <c r="Y1753" s="69"/>
      <c r="Z1753" s="69"/>
      <c r="AA1753" s="69"/>
      <c r="AB1753" s="69"/>
      <c r="AC1753" s="69"/>
      <c r="AD1753" s="69"/>
      <c r="AE1753" s="69"/>
      <c r="AF1753" s="69"/>
      <c r="AG1753" s="69"/>
      <c r="AH1753" s="69"/>
      <c r="AI1753" s="69"/>
      <c r="AJ1753" s="69"/>
      <c r="AK1753" s="69"/>
      <c r="AL1753" s="69"/>
      <c r="AM1753" s="69"/>
      <c r="AN1753" s="69"/>
      <c r="AO1753" s="69"/>
      <c r="AP1753" s="69"/>
      <c r="AQ1753" s="69"/>
      <c r="AR1753" s="69"/>
      <c r="AS1753" s="69"/>
      <c r="AT1753" s="69"/>
      <c r="AU1753" s="69"/>
      <c r="AV1753" s="69"/>
      <c r="AW1753" s="69"/>
      <c r="AX1753" s="69"/>
      <c r="AY1753" s="69"/>
      <c r="AZ1753" s="69"/>
      <c r="BA1753" s="69"/>
      <c r="BB1753" s="69"/>
      <c r="BC1753" s="69"/>
    </row>
    <row r="1754">
      <c r="A1754" s="68"/>
      <c r="B1754" s="68"/>
      <c r="C1754" s="68"/>
      <c r="D1754" s="68"/>
      <c r="E1754" s="68"/>
      <c r="F1754" s="68"/>
      <c r="G1754" s="68"/>
      <c r="H1754" s="68"/>
      <c r="I1754" s="69"/>
      <c r="J1754" s="69"/>
      <c r="K1754" s="71"/>
      <c r="L1754" s="69"/>
      <c r="M1754" s="69"/>
      <c r="N1754" s="72"/>
      <c r="O1754" s="69"/>
      <c r="P1754" s="69"/>
      <c r="Q1754" s="69"/>
      <c r="R1754" s="69"/>
      <c r="S1754" s="69"/>
      <c r="T1754" s="69"/>
      <c r="U1754" s="69"/>
      <c r="V1754" s="69"/>
      <c r="W1754" s="69"/>
      <c r="X1754" s="69"/>
      <c r="Y1754" s="69"/>
      <c r="Z1754" s="69"/>
      <c r="AA1754" s="69"/>
      <c r="AB1754" s="69"/>
      <c r="AC1754" s="69"/>
      <c r="AD1754" s="69"/>
      <c r="AE1754" s="69"/>
      <c r="AF1754" s="69"/>
      <c r="AG1754" s="69"/>
      <c r="AH1754" s="69"/>
      <c r="AI1754" s="69"/>
      <c r="AJ1754" s="69"/>
      <c r="AK1754" s="69"/>
      <c r="AL1754" s="69"/>
      <c r="AM1754" s="69"/>
      <c r="AN1754" s="69"/>
      <c r="AO1754" s="69"/>
      <c r="AP1754" s="69"/>
      <c r="AQ1754" s="69"/>
      <c r="AR1754" s="69"/>
      <c r="AS1754" s="69"/>
      <c r="AT1754" s="69"/>
      <c r="AU1754" s="69"/>
      <c r="AV1754" s="69"/>
      <c r="AW1754" s="69"/>
      <c r="AX1754" s="69"/>
      <c r="AY1754" s="69"/>
      <c r="AZ1754" s="69"/>
      <c r="BA1754" s="69"/>
      <c r="BB1754" s="69"/>
      <c r="BC1754" s="69"/>
    </row>
    <row r="1755">
      <c r="A1755" s="68"/>
      <c r="B1755" s="68"/>
      <c r="C1755" s="68"/>
      <c r="D1755" s="68"/>
      <c r="E1755" s="68"/>
      <c r="F1755" s="68"/>
      <c r="G1755" s="68"/>
      <c r="H1755" s="68"/>
      <c r="I1755" s="69"/>
      <c r="J1755" s="69"/>
      <c r="K1755" s="71"/>
      <c r="L1755" s="69"/>
      <c r="M1755" s="69"/>
      <c r="N1755" s="72"/>
      <c r="O1755" s="69"/>
      <c r="P1755" s="69"/>
      <c r="Q1755" s="69"/>
      <c r="R1755" s="69"/>
      <c r="S1755" s="69"/>
      <c r="T1755" s="69"/>
      <c r="U1755" s="69"/>
      <c r="V1755" s="69"/>
      <c r="W1755" s="69"/>
      <c r="X1755" s="69"/>
      <c r="Y1755" s="69"/>
      <c r="Z1755" s="69"/>
      <c r="AA1755" s="69"/>
      <c r="AB1755" s="69"/>
      <c r="AC1755" s="69"/>
      <c r="AD1755" s="69"/>
      <c r="AE1755" s="69"/>
      <c r="AF1755" s="69"/>
      <c r="AG1755" s="69"/>
      <c r="AH1755" s="69"/>
      <c r="AI1755" s="69"/>
      <c r="AJ1755" s="69"/>
      <c r="AK1755" s="69"/>
      <c r="AL1755" s="69"/>
      <c r="AM1755" s="69"/>
      <c r="AN1755" s="69"/>
      <c r="AO1755" s="69"/>
      <c r="AP1755" s="69"/>
      <c r="AQ1755" s="69"/>
      <c r="AR1755" s="69"/>
      <c r="AS1755" s="69"/>
      <c r="AT1755" s="69"/>
      <c r="AU1755" s="69"/>
      <c r="AV1755" s="69"/>
      <c r="AW1755" s="69"/>
      <c r="AX1755" s="69"/>
      <c r="AY1755" s="69"/>
      <c r="AZ1755" s="69"/>
      <c r="BA1755" s="69"/>
      <c r="BB1755" s="69"/>
      <c r="BC1755" s="69"/>
    </row>
    <row r="1756">
      <c r="A1756" s="68"/>
      <c r="B1756" s="68"/>
      <c r="C1756" s="68"/>
      <c r="D1756" s="68"/>
      <c r="E1756" s="68"/>
      <c r="F1756" s="68"/>
      <c r="G1756" s="68"/>
      <c r="H1756" s="68"/>
      <c r="I1756" s="69"/>
      <c r="J1756" s="69"/>
      <c r="K1756" s="71"/>
      <c r="L1756" s="69"/>
      <c r="M1756" s="69"/>
      <c r="N1756" s="72"/>
      <c r="O1756" s="69"/>
      <c r="P1756" s="69"/>
      <c r="Q1756" s="69"/>
      <c r="R1756" s="69"/>
      <c r="S1756" s="69"/>
      <c r="T1756" s="69"/>
      <c r="U1756" s="69"/>
      <c r="V1756" s="69"/>
      <c r="W1756" s="69"/>
      <c r="X1756" s="69"/>
      <c r="Y1756" s="69"/>
      <c r="Z1756" s="69"/>
      <c r="AA1756" s="69"/>
      <c r="AB1756" s="69"/>
      <c r="AC1756" s="69"/>
      <c r="AD1756" s="69"/>
      <c r="AE1756" s="69"/>
      <c r="AF1756" s="69"/>
      <c r="AG1756" s="69"/>
      <c r="AH1756" s="69"/>
      <c r="AI1756" s="69"/>
      <c r="AJ1756" s="69"/>
      <c r="AK1756" s="69"/>
      <c r="AL1756" s="69"/>
      <c r="AM1756" s="69"/>
      <c r="AN1756" s="69"/>
      <c r="AO1756" s="69"/>
      <c r="AP1756" s="69"/>
      <c r="AQ1756" s="69"/>
      <c r="AR1756" s="69"/>
      <c r="AS1756" s="69"/>
      <c r="AT1756" s="69"/>
      <c r="AU1756" s="69"/>
      <c r="AV1756" s="69"/>
      <c r="AW1756" s="69"/>
      <c r="AX1756" s="69"/>
      <c r="AY1756" s="69"/>
      <c r="AZ1756" s="69"/>
      <c r="BA1756" s="69"/>
      <c r="BB1756" s="69"/>
      <c r="BC1756" s="69"/>
    </row>
    <row r="1757">
      <c r="A1757" s="68"/>
      <c r="B1757" s="68"/>
      <c r="C1757" s="68"/>
      <c r="D1757" s="68"/>
      <c r="E1757" s="68"/>
      <c r="F1757" s="68"/>
      <c r="G1757" s="68"/>
      <c r="H1757" s="68"/>
      <c r="I1757" s="69"/>
      <c r="J1757" s="69"/>
      <c r="K1757" s="71"/>
      <c r="L1757" s="69"/>
      <c r="M1757" s="69"/>
      <c r="N1757" s="72"/>
      <c r="O1757" s="69"/>
      <c r="P1757" s="69"/>
      <c r="Q1757" s="69"/>
      <c r="R1757" s="69"/>
      <c r="S1757" s="69"/>
      <c r="T1757" s="69"/>
      <c r="U1757" s="69"/>
      <c r="V1757" s="69"/>
      <c r="W1757" s="69"/>
      <c r="X1757" s="69"/>
      <c r="Y1757" s="69"/>
      <c r="Z1757" s="69"/>
      <c r="AA1757" s="69"/>
      <c r="AB1757" s="69"/>
      <c r="AC1757" s="69"/>
      <c r="AD1757" s="69"/>
      <c r="AE1757" s="69"/>
      <c r="AF1757" s="69"/>
      <c r="AG1757" s="69"/>
      <c r="AH1757" s="69"/>
      <c r="AI1757" s="69"/>
      <c r="AJ1757" s="69"/>
      <c r="AK1757" s="69"/>
      <c r="AL1757" s="69"/>
      <c r="AM1757" s="69"/>
      <c r="AN1757" s="69"/>
      <c r="AO1757" s="69"/>
      <c r="AP1757" s="69"/>
      <c r="AQ1757" s="69"/>
      <c r="AR1757" s="69"/>
      <c r="AS1757" s="69"/>
      <c r="AT1757" s="69"/>
      <c r="AU1757" s="69"/>
      <c r="AV1757" s="69"/>
      <c r="AW1757" s="69"/>
      <c r="AX1757" s="69"/>
      <c r="AY1757" s="69"/>
      <c r="AZ1757" s="69"/>
      <c r="BA1757" s="69"/>
      <c r="BB1757" s="69"/>
      <c r="BC1757" s="69"/>
    </row>
    <row r="1758">
      <c r="A1758" s="68"/>
      <c r="B1758" s="68"/>
      <c r="C1758" s="68"/>
      <c r="D1758" s="68"/>
      <c r="E1758" s="68"/>
      <c r="F1758" s="68"/>
      <c r="G1758" s="68"/>
      <c r="H1758" s="68"/>
      <c r="I1758" s="69"/>
      <c r="J1758" s="69"/>
      <c r="K1758" s="71"/>
      <c r="L1758" s="69"/>
      <c r="M1758" s="69"/>
      <c r="N1758" s="72"/>
      <c r="O1758" s="69"/>
      <c r="P1758" s="69"/>
      <c r="Q1758" s="69"/>
      <c r="R1758" s="69"/>
      <c r="S1758" s="69"/>
      <c r="T1758" s="69"/>
      <c r="U1758" s="69"/>
      <c r="V1758" s="69"/>
      <c r="W1758" s="69"/>
      <c r="X1758" s="69"/>
      <c r="Y1758" s="69"/>
      <c r="Z1758" s="69"/>
      <c r="AA1758" s="69"/>
      <c r="AB1758" s="69"/>
      <c r="AC1758" s="69"/>
      <c r="AD1758" s="69"/>
      <c r="AE1758" s="69"/>
      <c r="AF1758" s="69"/>
      <c r="AG1758" s="69"/>
      <c r="AH1758" s="69"/>
      <c r="AI1758" s="69"/>
      <c r="AJ1758" s="69"/>
      <c r="AK1758" s="69"/>
      <c r="AL1758" s="69"/>
      <c r="AM1758" s="69"/>
      <c r="AN1758" s="69"/>
      <c r="AO1758" s="69"/>
      <c r="AP1758" s="69"/>
      <c r="AQ1758" s="69"/>
      <c r="AR1758" s="69"/>
      <c r="AS1758" s="69"/>
      <c r="AT1758" s="69"/>
      <c r="AU1758" s="69"/>
      <c r="AV1758" s="69"/>
      <c r="AW1758" s="69"/>
      <c r="AX1758" s="69"/>
      <c r="AY1758" s="69"/>
      <c r="AZ1758" s="69"/>
      <c r="BA1758" s="69"/>
      <c r="BB1758" s="69"/>
      <c r="BC1758" s="69"/>
    </row>
    <row r="1759">
      <c r="A1759" s="68"/>
      <c r="B1759" s="68"/>
      <c r="C1759" s="68"/>
      <c r="D1759" s="68"/>
      <c r="E1759" s="68"/>
      <c r="F1759" s="68"/>
      <c r="G1759" s="68"/>
      <c r="H1759" s="68"/>
      <c r="I1759" s="69"/>
      <c r="J1759" s="69"/>
      <c r="K1759" s="71"/>
      <c r="L1759" s="69"/>
      <c r="M1759" s="69"/>
      <c r="N1759" s="72"/>
      <c r="O1759" s="69"/>
      <c r="P1759" s="69"/>
      <c r="Q1759" s="69"/>
      <c r="R1759" s="69"/>
      <c r="S1759" s="69"/>
      <c r="T1759" s="69"/>
      <c r="U1759" s="69"/>
      <c r="V1759" s="69"/>
      <c r="W1759" s="69"/>
      <c r="X1759" s="69"/>
      <c r="Y1759" s="69"/>
      <c r="Z1759" s="69"/>
      <c r="AA1759" s="69"/>
      <c r="AB1759" s="69"/>
      <c r="AC1759" s="69"/>
      <c r="AD1759" s="69"/>
      <c r="AE1759" s="69"/>
      <c r="AF1759" s="69"/>
      <c r="AG1759" s="69"/>
      <c r="AH1759" s="69"/>
      <c r="AI1759" s="69"/>
      <c r="AJ1759" s="69"/>
      <c r="AK1759" s="69"/>
      <c r="AL1759" s="69"/>
      <c r="AM1759" s="69"/>
      <c r="AN1759" s="69"/>
      <c r="AO1759" s="69"/>
      <c r="AP1759" s="69"/>
      <c r="AQ1759" s="69"/>
      <c r="AR1759" s="69"/>
      <c r="AS1759" s="69"/>
      <c r="AT1759" s="69"/>
      <c r="AU1759" s="69"/>
      <c r="AV1759" s="69"/>
      <c r="AW1759" s="69"/>
      <c r="AX1759" s="69"/>
      <c r="AY1759" s="69"/>
      <c r="AZ1759" s="69"/>
      <c r="BA1759" s="69"/>
      <c r="BB1759" s="69"/>
      <c r="BC1759" s="69"/>
    </row>
    <row r="1760">
      <c r="A1760" s="68"/>
      <c r="B1760" s="68"/>
      <c r="C1760" s="68"/>
      <c r="D1760" s="68"/>
      <c r="E1760" s="68"/>
      <c r="F1760" s="68"/>
      <c r="G1760" s="68"/>
      <c r="H1760" s="68"/>
      <c r="I1760" s="69"/>
      <c r="J1760" s="69"/>
      <c r="K1760" s="71"/>
      <c r="L1760" s="69"/>
      <c r="M1760" s="69"/>
      <c r="N1760" s="72"/>
      <c r="O1760" s="69"/>
      <c r="P1760" s="69"/>
      <c r="Q1760" s="69"/>
      <c r="R1760" s="69"/>
      <c r="S1760" s="69"/>
      <c r="T1760" s="69"/>
      <c r="U1760" s="69"/>
      <c r="V1760" s="69"/>
      <c r="W1760" s="69"/>
      <c r="X1760" s="69"/>
      <c r="Y1760" s="69"/>
      <c r="Z1760" s="69"/>
      <c r="AA1760" s="69"/>
      <c r="AB1760" s="69"/>
      <c r="AC1760" s="69"/>
      <c r="AD1760" s="69"/>
      <c r="AE1760" s="69"/>
      <c r="AF1760" s="69"/>
      <c r="AG1760" s="69"/>
      <c r="AH1760" s="69"/>
      <c r="AI1760" s="69"/>
      <c r="AJ1760" s="69"/>
      <c r="AK1760" s="69"/>
      <c r="AL1760" s="69"/>
      <c r="AM1760" s="69"/>
      <c r="AN1760" s="69"/>
      <c r="AO1760" s="69"/>
      <c r="AP1760" s="69"/>
      <c r="AQ1760" s="69"/>
      <c r="AR1760" s="69"/>
      <c r="AS1760" s="69"/>
      <c r="AT1760" s="69"/>
      <c r="AU1760" s="69"/>
      <c r="AV1760" s="69"/>
      <c r="AW1760" s="69"/>
      <c r="AX1760" s="69"/>
      <c r="AY1760" s="69"/>
      <c r="AZ1760" s="69"/>
      <c r="BA1760" s="69"/>
      <c r="BB1760" s="69"/>
      <c r="BC1760" s="69"/>
    </row>
    <row r="1761">
      <c r="A1761" s="68"/>
      <c r="B1761" s="68"/>
      <c r="C1761" s="68"/>
      <c r="D1761" s="68"/>
      <c r="E1761" s="68"/>
      <c r="F1761" s="68"/>
      <c r="G1761" s="68"/>
      <c r="H1761" s="68"/>
      <c r="I1761" s="69"/>
      <c r="J1761" s="69"/>
      <c r="K1761" s="71"/>
      <c r="L1761" s="69"/>
      <c r="M1761" s="69"/>
      <c r="N1761" s="72"/>
      <c r="O1761" s="69"/>
      <c r="P1761" s="69"/>
      <c r="Q1761" s="69"/>
      <c r="R1761" s="69"/>
      <c r="S1761" s="69"/>
      <c r="T1761" s="69"/>
      <c r="U1761" s="69"/>
      <c r="V1761" s="69"/>
      <c r="W1761" s="69"/>
      <c r="X1761" s="69"/>
      <c r="Y1761" s="69"/>
      <c r="Z1761" s="69"/>
      <c r="AA1761" s="69"/>
      <c r="AB1761" s="69"/>
      <c r="AC1761" s="69"/>
      <c r="AD1761" s="69"/>
      <c r="AE1761" s="69"/>
      <c r="AF1761" s="69"/>
      <c r="AG1761" s="69"/>
      <c r="AH1761" s="69"/>
      <c r="AI1761" s="69"/>
      <c r="AJ1761" s="69"/>
      <c r="AK1761" s="69"/>
      <c r="AL1761" s="69"/>
      <c r="AM1761" s="69"/>
      <c r="AN1761" s="69"/>
      <c r="AO1761" s="69"/>
      <c r="AP1761" s="69"/>
      <c r="AQ1761" s="69"/>
      <c r="AR1761" s="69"/>
      <c r="AS1761" s="69"/>
      <c r="AT1761" s="69"/>
      <c r="AU1761" s="69"/>
      <c r="AV1761" s="69"/>
      <c r="AW1761" s="69"/>
      <c r="AX1761" s="69"/>
      <c r="AY1761" s="69"/>
      <c r="AZ1761" s="69"/>
      <c r="BA1761" s="69"/>
      <c r="BB1761" s="69"/>
      <c r="BC1761" s="69"/>
    </row>
    <row r="1762">
      <c r="A1762" s="68"/>
      <c r="B1762" s="68"/>
      <c r="C1762" s="68"/>
      <c r="D1762" s="68"/>
      <c r="E1762" s="68"/>
      <c r="F1762" s="68"/>
      <c r="G1762" s="68"/>
      <c r="H1762" s="68"/>
      <c r="I1762" s="69"/>
      <c r="J1762" s="69"/>
      <c r="K1762" s="71"/>
      <c r="L1762" s="69"/>
      <c r="M1762" s="69"/>
      <c r="N1762" s="72"/>
      <c r="O1762" s="69"/>
      <c r="P1762" s="69"/>
      <c r="Q1762" s="69"/>
      <c r="R1762" s="69"/>
      <c r="S1762" s="69"/>
      <c r="T1762" s="69"/>
      <c r="U1762" s="69"/>
      <c r="V1762" s="69"/>
      <c r="W1762" s="69"/>
      <c r="X1762" s="69"/>
      <c r="Y1762" s="69"/>
      <c r="Z1762" s="69"/>
      <c r="AA1762" s="69"/>
      <c r="AB1762" s="69"/>
      <c r="AC1762" s="69"/>
      <c r="AD1762" s="69"/>
      <c r="AE1762" s="69"/>
      <c r="AF1762" s="69"/>
      <c r="AG1762" s="69"/>
      <c r="AH1762" s="69"/>
      <c r="AI1762" s="69"/>
      <c r="AJ1762" s="69"/>
      <c r="AK1762" s="69"/>
      <c r="AL1762" s="69"/>
      <c r="AM1762" s="69"/>
      <c r="AN1762" s="69"/>
      <c r="AO1762" s="69"/>
      <c r="AP1762" s="69"/>
      <c r="AQ1762" s="69"/>
      <c r="AR1762" s="69"/>
      <c r="AS1762" s="69"/>
      <c r="AT1762" s="69"/>
      <c r="AU1762" s="69"/>
      <c r="AV1762" s="69"/>
      <c r="AW1762" s="69"/>
      <c r="AX1762" s="69"/>
      <c r="AY1762" s="69"/>
      <c r="AZ1762" s="69"/>
      <c r="BA1762" s="69"/>
      <c r="BB1762" s="69"/>
      <c r="BC1762" s="69"/>
    </row>
    <row r="1763">
      <c r="A1763" s="68"/>
      <c r="B1763" s="68"/>
      <c r="C1763" s="68"/>
      <c r="D1763" s="68"/>
      <c r="E1763" s="68"/>
      <c r="F1763" s="68"/>
      <c r="G1763" s="68"/>
      <c r="H1763" s="68"/>
      <c r="I1763" s="69"/>
      <c r="J1763" s="69"/>
      <c r="K1763" s="71"/>
      <c r="L1763" s="69"/>
      <c r="M1763" s="69"/>
      <c r="N1763" s="72"/>
      <c r="O1763" s="69"/>
      <c r="P1763" s="69"/>
      <c r="Q1763" s="69"/>
      <c r="R1763" s="69"/>
      <c r="S1763" s="69"/>
      <c r="T1763" s="69"/>
      <c r="U1763" s="69"/>
      <c r="V1763" s="69"/>
      <c r="W1763" s="69"/>
      <c r="X1763" s="69"/>
      <c r="Y1763" s="69"/>
      <c r="Z1763" s="69"/>
      <c r="AA1763" s="69"/>
      <c r="AB1763" s="69"/>
      <c r="AC1763" s="69"/>
      <c r="AD1763" s="69"/>
      <c r="AE1763" s="69"/>
      <c r="AF1763" s="69"/>
      <c r="AG1763" s="69"/>
      <c r="AH1763" s="69"/>
      <c r="AI1763" s="69"/>
      <c r="AJ1763" s="69"/>
      <c r="AK1763" s="69"/>
      <c r="AL1763" s="69"/>
      <c r="AM1763" s="69"/>
      <c r="AN1763" s="69"/>
      <c r="AO1763" s="69"/>
      <c r="AP1763" s="69"/>
      <c r="AQ1763" s="69"/>
      <c r="AR1763" s="69"/>
      <c r="AS1763" s="69"/>
      <c r="AT1763" s="69"/>
      <c r="AU1763" s="69"/>
      <c r="AV1763" s="69"/>
      <c r="AW1763" s="69"/>
      <c r="AX1763" s="69"/>
      <c r="AY1763" s="69"/>
      <c r="AZ1763" s="69"/>
      <c r="BA1763" s="69"/>
      <c r="BB1763" s="69"/>
      <c r="BC1763" s="69"/>
    </row>
    <row r="1764">
      <c r="A1764" s="68"/>
      <c r="B1764" s="68"/>
      <c r="C1764" s="68"/>
      <c r="D1764" s="68"/>
      <c r="E1764" s="68"/>
      <c r="F1764" s="68"/>
      <c r="G1764" s="68"/>
      <c r="H1764" s="68"/>
      <c r="I1764" s="69"/>
      <c r="J1764" s="69"/>
      <c r="K1764" s="71"/>
      <c r="L1764" s="69"/>
      <c r="M1764" s="69"/>
      <c r="N1764" s="72"/>
      <c r="O1764" s="69"/>
      <c r="P1764" s="69"/>
      <c r="Q1764" s="69"/>
      <c r="R1764" s="69"/>
      <c r="S1764" s="69"/>
      <c r="T1764" s="69"/>
      <c r="U1764" s="69"/>
      <c r="V1764" s="69"/>
      <c r="W1764" s="69"/>
      <c r="X1764" s="69"/>
      <c r="Y1764" s="69"/>
      <c r="Z1764" s="69"/>
      <c r="AA1764" s="69"/>
      <c r="AB1764" s="69"/>
      <c r="AC1764" s="69"/>
      <c r="AD1764" s="69"/>
      <c r="AE1764" s="69"/>
      <c r="AF1764" s="69"/>
      <c r="AG1764" s="69"/>
      <c r="AH1764" s="69"/>
      <c r="AI1764" s="69"/>
      <c r="AJ1764" s="69"/>
      <c r="AK1764" s="69"/>
      <c r="AL1764" s="69"/>
      <c r="AM1764" s="69"/>
      <c r="AN1764" s="69"/>
      <c r="AO1764" s="69"/>
      <c r="AP1764" s="69"/>
      <c r="AQ1764" s="69"/>
      <c r="AR1764" s="69"/>
      <c r="AS1764" s="69"/>
      <c r="AT1764" s="69"/>
      <c r="AU1764" s="69"/>
      <c r="AV1764" s="69"/>
      <c r="AW1764" s="69"/>
      <c r="AX1764" s="69"/>
      <c r="AY1764" s="69"/>
      <c r="AZ1764" s="69"/>
      <c r="BA1764" s="69"/>
      <c r="BB1764" s="69"/>
      <c r="BC1764" s="69"/>
    </row>
    <row r="1765">
      <c r="A1765" s="68"/>
      <c r="B1765" s="68"/>
      <c r="C1765" s="68"/>
      <c r="D1765" s="68"/>
      <c r="E1765" s="68"/>
      <c r="F1765" s="68"/>
      <c r="G1765" s="68"/>
      <c r="H1765" s="68"/>
      <c r="I1765" s="69"/>
      <c r="J1765" s="69"/>
      <c r="K1765" s="71"/>
      <c r="L1765" s="69"/>
      <c r="M1765" s="69"/>
      <c r="N1765" s="72"/>
      <c r="O1765" s="69"/>
      <c r="P1765" s="69"/>
      <c r="Q1765" s="69"/>
      <c r="R1765" s="69"/>
      <c r="S1765" s="69"/>
      <c r="T1765" s="69"/>
      <c r="U1765" s="69"/>
      <c r="V1765" s="69"/>
      <c r="W1765" s="69"/>
      <c r="X1765" s="69"/>
      <c r="Y1765" s="69"/>
      <c r="Z1765" s="69"/>
      <c r="AA1765" s="69"/>
      <c r="AB1765" s="69"/>
      <c r="AC1765" s="69"/>
      <c r="AD1765" s="69"/>
      <c r="AE1765" s="69"/>
      <c r="AF1765" s="69"/>
      <c r="AG1765" s="69"/>
      <c r="AH1765" s="69"/>
      <c r="AI1765" s="69"/>
      <c r="AJ1765" s="69"/>
      <c r="AK1765" s="69"/>
      <c r="AL1765" s="69"/>
      <c r="AM1765" s="69"/>
      <c r="AN1765" s="69"/>
      <c r="AO1765" s="69"/>
      <c r="AP1765" s="69"/>
      <c r="AQ1765" s="69"/>
      <c r="AR1765" s="69"/>
      <c r="AS1765" s="69"/>
      <c r="AT1765" s="69"/>
      <c r="AU1765" s="69"/>
      <c r="AV1765" s="69"/>
      <c r="AW1765" s="69"/>
      <c r="AX1765" s="69"/>
      <c r="AY1765" s="69"/>
      <c r="AZ1765" s="69"/>
      <c r="BA1765" s="69"/>
      <c r="BB1765" s="69"/>
      <c r="BC1765" s="69"/>
    </row>
    <row r="1766">
      <c r="A1766" s="68"/>
      <c r="B1766" s="68"/>
      <c r="C1766" s="68"/>
      <c r="D1766" s="68"/>
      <c r="E1766" s="68"/>
      <c r="F1766" s="68"/>
      <c r="G1766" s="68"/>
      <c r="H1766" s="68"/>
      <c r="I1766" s="69"/>
      <c r="J1766" s="69"/>
      <c r="K1766" s="71"/>
      <c r="L1766" s="69"/>
      <c r="M1766" s="69"/>
      <c r="N1766" s="72"/>
      <c r="O1766" s="69"/>
      <c r="P1766" s="69"/>
      <c r="Q1766" s="69"/>
      <c r="R1766" s="69"/>
      <c r="S1766" s="69"/>
      <c r="T1766" s="69"/>
      <c r="U1766" s="69"/>
      <c r="V1766" s="69"/>
      <c r="W1766" s="69"/>
      <c r="X1766" s="69"/>
      <c r="Y1766" s="69"/>
      <c r="Z1766" s="69"/>
      <c r="AA1766" s="69"/>
      <c r="AB1766" s="69"/>
      <c r="AC1766" s="69"/>
      <c r="AD1766" s="69"/>
      <c r="AE1766" s="69"/>
      <c r="AF1766" s="69"/>
      <c r="AG1766" s="69"/>
      <c r="AH1766" s="69"/>
      <c r="AI1766" s="69"/>
      <c r="AJ1766" s="69"/>
      <c r="AK1766" s="69"/>
      <c r="AL1766" s="69"/>
      <c r="AM1766" s="69"/>
      <c r="AN1766" s="69"/>
      <c r="AO1766" s="69"/>
      <c r="AP1766" s="69"/>
      <c r="AQ1766" s="69"/>
      <c r="AR1766" s="69"/>
      <c r="AS1766" s="69"/>
      <c r="AT1766" s="69"/>
      <c r="AU1766" s="69"/>
      <c r="AV1766" s="69"/>
      <c r="AW1766" s="69"/>
      <c r="AX1766" s="69"/>
      <c r="AY1766" s="69"/>
      <c r="AZ1766" s="69"/>
      <c r="BA1766" s="69"/>
      <c r="BB1766" s="69"/>
      <c r="BC1766" s="69"/>
    </row>
    <row r="1767">
      <c r="A1767" s="68"/>
      <c r="B1767" s="68"/>
      <c r="C1767" s="68"/>
      <c r="D1767" s="68"/>
      <c r="E1767" s="68"/>
      <c r="F1767" s="68"/>
      <c r="G1767" s="68"/>
      <c r="H1767" s="68"/>
      <c r="I1767" s="69"/>
      <c r="J1767" s="69"/>
      <c r="K1767" s="71"/>
      <c r="L1767" s="69"/>
      <c r="M1767" s="69"/>
      <c r="N1767" s="72"/>
      <c r="O1767" s="69"/>
      <c r="P1767" s="69"/>
      <c r="Q1767" s="69"/>
      <c r="R1767" s="69"/>
      <c r="S1767" s="69"/>
      <c r="T1767" s="69"/>
      <c r="U1767" s="69"/>
      <c r="V1767" s="69"/>
      <c r="W1767" s="69"/>
      <c r="X1767" s="69"/>
      <c r="Y1767" s="69"/>
      <c r="Z1767" s="69"/>
      <c r="AA1767" s="69"/>
      <c r="AB1767" s="69"/>
      <c r="AC1767" s="69"/>
      <c r="AD1767" s="69"/>
      <c r="AE1767" s="69"/>
      <c r="AF1767" s="69"/>
      <c r="AG1767" s="69"/>
      <c r="AH1767" s="69"/>
      <c r="AI1767" s="69"/>
      <c r="AJ1767" s="69"/>
      <c r="AK1767" s="69"/>
      <c r="AL1767" s="69"/>
      <c r="AM1767" s="69"/>
      <c r="AN1767" s="69"/>
      <c r="AO1767" s="69"/>
      <c r="AP1767" s="69"/>
      <c r="AQ1767" s="69"/>
      <c r="AR1767" s="69"/>
      <c r="AS1767" s="69"/>
      <c r="AT1767" s="69"/>
      <c r="AU1767" s="69"/>
      <c r="AV1767" s="69"/>
      <c r="AW1767" s="69"/>
      <c r="AX1767" s="69"/>
      <c r="AY1767" s="69"/>
      <c r="AZ1767" s="69"/>
      <c r="BA1767" s="69"/>
      <c r="BB1767" s="69"/>
      <c r="BC1767" s="69"/>
    </row>
    <row r="1768">
      <c r="A1768" s="68"/>
      <c r="B1768" s="68"/>
      <c r="C1768" s="68"/>
      <c r="D1768" s="68"/>
      <c r="E1768" s="68"/>
      <c r="F1768" s="68"/>
      <c r="G1768" s="68"/>
      <c r="H1768" s="68"/>
      <c r="I1768" s="69"/>
      <c r="J1768" s="69"/>
      <c r="K1768" s="71"/>
      <c r="L1768" s="69"/>
      <c r="M1768" s="69"/>
      <c r="N1768" s="72"/>
      <c r="O1768" s="69"/>
      <c r="P1768" s="69"/>
      <c r="Q1768" s="69"/>
      <c r="R1768" s="69"/>
      <c r="S1768" s="69"/>
      <c r="T1768" s="69"/>
      <c r="U1768" s="69"/>
      <c r="V1768" s="69"/>
      <c r="W1768" s="69"/>
      <c r="X1768" s="69"/>
      <c r="Y1768" s="69"/>
      <c r="Z1768" s="69"/>
      <c r="AA1768" s="69"/>
      <c r="AB1768" s="69"/>
      <c r="AC1768" s="69"/>
      <c r="AD1768" s="69"/>
      <c r="AE1768" s="69"/>
      <c r="AF1768" s="69"/>
      <c r="AG1768" s="69"/>
      <c r="AH1768" s="69"/>
      <c r="AI1768" s="69"/>
      <c r="AJ1768" s="69"/>
      <c r="AK1768" s="69"/>
      <c r="AL1768" s="69"/>
      <c r="AM1768" s="69"/>
      <c r="AN1768" s="69"/>
      <c r="AO1768" s="69"/>
      <c r="AP1768" s="69"/>
      <c r="AQ1768" s="69"/>
      <c r="AR1768" s="69"/>
      <c r="AS1768" s="69"/>
      <c r="AT1768" s="69"/>
      <c r="AU1768" s="69"/>
      <c r="AV1768" s="69"/>
      <c r="AW1768" s="69"/>
      <c r="AX1768" s="69"/>
      <c r="AY1768" s="69"/>
      <c r="AZ1768" s="69"/>
      <c r="BA1768" s="69"/>
      <c r="BB1768" s="69"/>
      <c r="BC1768" s="69"/>
    </row>
    <row r="1769">
      <c r="A1769" s="68"/>
      <c r="B1769" s="68"/>
      <c r="C1769" s="68"/>
      <c r="D1769" s="68"/>
      <c r="E1769" s="68"/>
      <c r="F1769" s="68"/>
      <c r="G1769" s="68"/>
      <c r="H1769" s="68"/>
      <c r="I1769" s="69"/>
      <c r="J1769" s="69"/>
      <c r="K1769" s="71"/>
      <c r="L1769" s="69"/>
      <c r="M1769" s="69"/>
      <c r="N1769" s="72"/>
      <c r="O1769" s="69"/>
      <c r="P1769" s="69"/>
      <c r="Q1769" s="69"/>
      <c r="R1769" s="69"/>
      <c r="S1769" s="69"/>
      <c r="T1769" s="69"/>
      <c r="U1769" s="69"/>
      <c r="V1769" s="69"/>
      <c r="W1769" s="69"/>
      <c r="X1769" s="69"/>
      <c r="Y1769" s="69"/>
      <c r="Z1769" s="69"/>
      <c r="AA1769" s="69"/>
      <c r="AB1769" s="69"/>
      <c r="AC1769" s="69"/>
      <c r="AD1769" s="69"/>
      <c r="AE1769" s="69"/>
      <c r="AF1769" s="69"/>
      <c r="AG1769" s="69"/>
      <c r="AH1769" s="69"/>
      <c r="AI1769" s="69"/>
      <c r="AJ1769" s="69"/>
      <c r="AK1769" s="69"/>
      <c r="AL1769" s="69"/>
      <c r="AM1769" s="69"/>
      <c r="AN1769" s="69"/>
      <c r="AO1769" s="69"/>
      <c r="AP1769" s="69"/>
      <c r="AQ1769" s="69"/>
      <c r="AR1769" s="69"/>
      <c r="AS1769" s="69"/>
      <c r="AT1769" s="69"/>
      <c r="AU1769" s="69"/>
      <c r="AV1769" s="69"/>
      <c r="AW1769" s="69"/>
      <c r="AX1769" s="69"/>
      <c r="AY1769" s="69"/>
      <c r="AZ1769" s="69"/>
      <c r="BA1769" s="69"/>
      <c r="BB1769" s="69"/>
      <c r="BC1769" s="69"/>
    </row>
    <row r="1770">
      <c r="A1770" s="68"/>
      <c r="B1770" s="68"/>
      <c r="C1770" s="68"/>
      <c r="D1770" s="68"/>
      <c r="E1770" s="68"/>
      <c r="F1770" s="68"/>
      <c r="G1770" s="68"/>
      <c r="H1770" s="68"/>
      <c r="I1770" s="69"/>
      <c r="J1770" s="69"/>
      <c r="K1770" s="71"/>
      <c r="L1770" s="69"/>
      <c r="M1770" s="69"/>
      <c r="N1770" s="72"/>
      <c r="O1770" s="69"/>
      <c r="P1770" s="69"/>
      <c r="Q1770" s="69"/>
      <c r="R1770" s="69"/>
      <c r="S1770" s="69"/>
      <c r="T1770" s="69"/>
      <c r="U1770" s="69"/>
      <c r="V1770" s="69"/>
      <c r="W1770" s="69"/>
      <c r="X1770" s="69"/>
      <c r="Y1770" s="69"/>
      <c r="Z1770" s="69"/>
      <c r="AA1770" s="69"/>
      <c r="AB1770" s="69"/>
      <c r="AC1770" s="69"/>
      <c r="AD1770" s="69"/>
      <c r="AE1770" s="69"/>
      <c r="AF1770" s="69"/>
      <c r="AG1770" s="69"/>
      <c r="AH1770" s="69"/>
      <c r="AI1770" s="69"/>
      <c r="AJ1770" s="69"/>
      <c r="AK1770" s="69"/>
      <c r="AL1770" s="69"/>
      <c r="AM1770" s="69"/>
      <c r="AN1770" s="69"/>
      <c r="AO1770" s="69"/>
      <c r="AP1770" s="69"/>
      <c r="AQ1770" s="69"/>
      <c r="AR1770" s="69"/>
      <c r="AS1770" s="69"/>
      <c r="AT1770" s="69"/>
      <c r="AU1770" s="69"/>
      <c r="AV1770" s="69"/>
      <c r="AW1770" s="69"/>
      <c r="AX1770" s="69"/>
      <c r="AY1770" s="69"/>
      <c r="AZ1770" s="69"/>
      <c r="BA1770" s="69"/>
      <c r="BB1770" s="69"/>
      <c r="BC1770" s="69"/>
    </row>
    <row r="1771">
      <c r="A1771" s="68"/>
      <c r="B1771" s="68"/>
      <c r="C1771" s="68"/>
      <c r="D1771" s="68"/>
      <c r="E1771" s="68"/>
      <c r="F1771" s="68"/>
      <c r="G1771" s="68"/>
      <c r="H1771" s="68"/>
      <c r="I1771" s="69"/>
      <c r="J1771" s="69"/>
      <c r="K1771" s="71"/>
      <c r="L1771" s="69"/>
      <c r="M1771" s="69"/>
      <c r="N1771" s="72"/>
      <c r="O1771" s="69"/>
      <c r="P1771" s="69"/>
      <c r="Q1771" s="69"/>
      <c r="R1771" s="69"/>
      <c r="S1771" s="69"/>
      <c r="T1771" s="69"/>
      <c r="U1771" s="69"/>
      <c r="V1771" s="69"/>
      <c r="W1771" s="69"/>
      <c r="X1771" s="69"/>
      <c r="Y1771" s="69"/>
      <c r="Z1771" s="69"/>
      <c r="AA1771" s="69"/>
      <c r="AB1771" s="69"/>
      <c r="AC1771" s="69"/>
      <c r="AD1771" s="69"/>
      <c r="AE1771" s="69"/>
      <c r="AF1771" s="69"/>
      <c r="AG1771" s="69"/>
      <c r="AH1771" s="69"/>
      <c r="AI1771" s="69"/>
      <c r="AJ1771" s="69"/>
      <c r="AK1771" s="69"/>
      <c r="AL1771" s="69"/>
      <c r="AM1771" s="69"/>
      <c r="AN1771" s="69"/>
      <c r="AO1771" s="69"/>
      <c r="AP1771" s="69"/>
      <c r="AQ1771" s="69"/>
      <c r="AR1771" s="69"/>
      <c r="AS1771" s="69"/>
      <c r="AT1771" s="69"/>
      <c r="AU1771" s="69"/>
      <c r="AV1771" s="69"/>
      <c r="AW1771" s="69"/>
      <c r="AX1771" s="69"/>
      <c r="AY1771" s="69"/>
      <c r="AZ1771" s="69"/>
      <c r="BA1771" s="69"/>
      <c r="BB1771" s="69"/>
      <c r="BC1771" s="69"/>
    </row>
    <row r="1772">
      <c r="A1772" s="68"/>
      <c r="B1772" s="68"/>
      <c r="C1772" s="68"/>
      <c r="D1772" s="68"/>
      <c r="E1772" s="68"/>
      <c r="F1772" s="68"/>
      <c r="G1772" s="68"/>
      <c r="H1772" s="68"/>
      <c r="I1772" s="69"/>
      <c r="J1772" s="69"/>
      <c r="K1772" s="71"/>
      <c r="L1772" s="69"/>
      <c r="M1772" s="69"/>
      <c r="N1772" s="72"/>
      <c r="O1772" s="69"/>
      <c r="P1772" s="69"/>
      <c r="Q1772" s="69"/>
      <c r="R1772" s="69"/>
      <c r="S1772" s="69"/>
      <c r="T1772" s="69"/>
      <c r="U1772" s="69"/>
      <c r="V1772" s="69"/>
      <c r="W1772" s="69"/>
      <c r="X1772" s="69"/>
      <c r="Y1772" s="69"/>
      <c r="Z1772" s="69"/>
      <c r="AA1772" s="69"/>
      <c r="AB1772" s="69"/>
      <c r="AC1772" s="69"/>
      <c r="AD1772" s="69"/>
      <c r="AE1772" s="69"/>
      <c r="AF1772" s="69"/>
      <c r="AG1772" s="69"/>
      <c r="AH1772" s="69"/>
      <c r="AI1772" s="69"/>
      <c r="AJ1772" s="69"/>
      <c r="AK1772" s="69"/>
      <c r="AL1772" s="69"/>
      <c r="AM1772" s="69"/>
      <c r="AN1772" s="69"/>
      <c r="AO1772" s="69"/>
      <c r="AP1772" s="69"/>
      <c r="AQ1772" s="69"/>
      <c r="AR1772" s="69"/>
      <c r="AS1772" s="69"/>
      <c r="AT1772" s="69"/>
      <c r="AU1772" s="69"/>
      <c r="AV1772" s="69"/>
      <c r="AW1772" s="69"/>
      <c r="AX1772" s="69"/>
      <c r="AY1772" s="69"/>
      <c r="AZ1772" s="69"/>
      <c r="BA1772" s="69"/>
      <c r="BB1772" s="69"/>
      <c r="BC1772" s="69"/>
    </row>
    <row r="1773">
      <c r="A1773" s="68"/>
      <c r="B1773" s="68"/>
      <c r="C1773" s="68"/>
      <c r="D1773" s="68"/>
      <c r="E1773" s="68"/>
      <c r="F1773" s="68"/>
      <c r="G1773" s="68"/>
      <c r="H1773" s="68"/>
      <c r="I1773" s="69"/>
      <c r="J1773" s="69"/>
      <c r="K1773" s="71"/>
      <c r="L1773" s="69"/>
      <c r="M1773" s="69"/>
      <c r="N1773" s="72"/>
      <c r="O1773" s="69"/>
      <c r="P1773" s="69"/>
      <c r="Q1773" s="69"/>
      <c r="R1773" s="69"/>
      <c r="S1773" s="69"/>
      <c r="T1773" s="69"/>
      <c r="U1773" s="69"/>
      <c r="V1773" s="69"/>
      <c r="W1773" s="69"/>
      <c r="X1773" s="69"/>
      <c r="Y1773" s="69"/>
      <c r="Z1773" s="69"/>
      <c r="AA1773" s="69"/>
      <c r="AB1773" s="69"/>
      <c r="AC1773" s="69"/>
      <c r="AD1773" s="69"/>
      <c r="AE1773" s="69"/>
      <c r="AF1773" s="69"/>
      <c r="AG1773" s="69"/>
      <c r="AH1773" s="69"/>
      <c r="AI1773" s="69"/>
      <c r="AJ1773" s="69"/>
      <c r="AK1773" s="69"/>
      <c r="AL1773" s="69"/>
      <c r="AM1773" s="69"/>
      <c r="AN1773" s="69"/>
      <c r="AO1773" s="69"/>
      <c r="AP1773" s="69"/>
      <c r="AQ1773" s="69"/>
      <c r="AR1773" s="69"/>
      <c r="AS1773" s="69"/>
      <c r="AT1773" s="69"/>
      <c r="AU1773" s="69"/>
      <c r="AV1773" s="69"/>
      <c r="AW1773" s="69"/>
      <c r="AX1773" s="69"/>
      <c r="AY1773" s="69"/>
      <c r="AZ1773" s="69"/>
      <c r="BA1773" s="69"/>
      <c r="BB1773" s="69"/>
      <c r="BC1773" s="69"/>
    </row>
    <row r="1774">
      <c r="A1774" s="68"/>
      <c r="B1774" s="68"/>
      <c r="C1774" s="68"/>
      <c r="D1774" s="68"/>
      <c r="E1774" s="68"/>
      <c r="F1774" s="68"/>
      <c r="G1774" s="68"/>
      <c r="H1774" s="68"/>
      <c r="I1774" s="69"/>
      <c r="J1774" s="69"/>
      <c r="K1774" s="71"/>
      <c r="L1774" s="69"/>
      <c r="M1774" s="69"/>
      <c r="N1774" s="72"/>
      <c r="O1774" s="69"/>
      <c r="P1774" s="69"/>
      <c r="Q1774" s="69"/>
      <c r="R1774" s="69"/>
      <c r="S1774" s="69"/>
      <c r="T1774" s="69"/>
      <c r="U1774" s="69"/>
      <c r="V1774" s="69"/>
      <c r="W1774" s="69"/>
      <c r="X1774" s="69"/>
      <c r="Y1774" s="69"/>
      <c r="Z1774" s="69"/>
      <c r="AA1774" s="69"/>
      <c r="AB1774" s="69"/>
      <c r="AC1774" s="69"/>
      <c r="AD1774" s="69"/>
      <c r="AE1774" s="69"/>
      <c r="AF1774" s="69"/>
      <c r="AG1774" s="69"/>
      <c r="AH1774" s="69"/>
      <c r="AI1774" s="69"/>
      <c r="AJ1774" s="69"/>
      <c r="AK1774" s="69"/>
      <c r="AL1774" s="69"/>
      <c r="AM1774" s="69"/>
      <c r="AN1774" s="69"/>
      <c r="AO1774" s="69"/>
      <c r="AP1774" s="69"/>
      <c r="AQ1774" s="69"/>
      <c r="AR1774" s="69"/>
      <c r="AS1774" s="69"/>
      <c r="AT1774" s="69"/>
      <c r="AU1774" s="69"/>
      <c r="AV1774" s="69"/>
      <c r="AW1774" s="69"/>
      <c r="AX1774" s="69"/>
      <c r="AY1774" s="69"/>
      <c r="AZ1774" s="69"/>
      <c r="BA1774" s="69"/>
      <c r="BB1774" s="69"/>
      <c r="BC1774" s="69"/>
    </row>
    <row r="1775">
      <c r="A1775" s="68"/>
      <c r="B1775" s="68"/>
      <c r="C1775" s="68"/>
      <c r="D1775" s="68"/>
      <c r="E1775" s="68"/>
      <c r="F1775" s="68"/>
      <c r="G1775" s="68"/>
      <c r="H1775" s="68"/>
      <c r="I1775" s="69"/>
      <c r="J1775" s="69"/>
      <c r="K1775" s="71"/>
      <c r="L1775" s="69"/>
      <c r="M1775" s="69"/>
      <c r="N1775" s="72"/>
      <c r="O1775" s="69"/>
      <c r="P1775" s="69"/>
      <c r="Q1775" s="69"/>
      <c r="R1775" s="69"/>
      <c r="S1775" s="69"/>
      <c r="T1775" s="69"/>
      <c r="U1775" s="69"/>
      <c r="V1775" s="69"/>
      <c r="W1775" s="69"/>
      <c r="X1775" s="69"/>
      <c r="Y1775" s="69"/>
      <c r="Z1775" s="69"/>
      <c r="AA1775" s="69"/>
      <c r="AB1775" s="69"/>
      <c r="AC1775" s="69"/>
      <c r="AD1775" s="69"/>
      <c r="AE1775" s="69"/>
      <c r="AF1775" s="69"/>
      <c r="AG1775" s="69"/>
      <c r="AH1775" s="69"/>
      <c r="AI1775" s="69"/>
      <c r="AJ1775" s="69"/>
      <c r="AK1775" s="69"/>
      <c r="AL1775" s="69"/>
      <c r="AM1775" s="69"/>
      <c r="AN1775" s="69"/>
      <c r="AO1775" s="69"/>
      <c r="AP1775" s="69"/>
      <c r="AQ1775" s="69"/>
      <c r="AR1775" s="69"/>
      <c r="AS1775" s="69"/>
      <c r="AT1775" s="69"/>
      <c r="AU1775" s="69"/>
      <c r="AV1775" s="69"/>
      <c r="AW1775" s="69"/>
      <c r="AX1775" s="69"/>
      <c r="AY1775" s="69"/>
      <c r="AZ1775" s="69"/>
      <c r="BA1775" s="69"/>
      <c r="BB1775" s="69"/>
      <c r="BC1775" s="69"/>
    </row>
    <row r="1776">
      <c r="A1776" s="68"/>
      <c r="B1776" s="68"/>
      <c r="C1776" s="68"/>
      <c r="D1776" s="68"/>
      <c r="E1776" s="68"/>
      <c r="F1776" s="68"/>
      <c r="G1776" s="68"/>
      <c r="H1776" s="68"/>
      <c r="I1776" s="69"/>
      <c r="J1776" s="69"/>
      <c r="K1776" s="71"/>
      <c r="L1776" s="69"/>
      <c r="M1776" s="69"/>
      <c r="N1776" s="72"/>
      <c r="O1776" s="69"/>
      <c r="P1776" s="69"/>
      <c r="Q1776" s="69"/>
      <c r="R1776" s="69"/>
      <c r="S1776" s="69"/>
      <c r="T1776" s="69"/>
      <c r="U1776" s="69"/>
      <c r="V1776" s="69"/>
      <c r="W1776" s="69"/>
      <c r="X1776" s="69"/>
      <c r="Y1776" s="69"/>
      <c r="Z1776" s="69"/>
      <c r="AA1776" s="69"/>
      <c r="AB1776" s="69"/>
      <c r="AC1776" s="69"/>
      <c r="AD1776" s="69"/>
      <c r="AE1776" s="69"/>
      <c r="AF1776" s="69"/>
      <c r="AG1776" s="69"/>
      <c r="AH1776" s="69"/>
      <c r="AI1776" s="69"/>
      <c r="AJ1776" s="69"/>
      <c r="AK1776" s="69"/>
      <c r="AL1776" s="69"/>
      <c r="AM1776" s="69"/>
      <c r="AN1776" s="69"/>
      <c r="AO1776" s="69"/>
      <c r="AP1776" s="69"/>
      <c r="AQ1776" s="69"/>
      <c r="AR1776" s="69"/>
      <c r="AS1776" s="69"/>
      <c r="AT1776" s="69"/>
      <c r="AU1776" s="69"/>
      <c r="AV1776" s="69"/>
      <c r="AW1776" s="69"/>
      <c r="AX1776" s="69"/>
      <c r="AY1776" s="69"/>
      <c r="AZ1776" s="69"/>
      <c r="BA1776" s="69"/>
      <c r="BB1776" s="69"/>
      <c r="BC1776" s="69"/>
    </row>
    <row r="1777">
      <c r="A1777" s="68"/>
      <c r="B1777" s="68"/>
      <c r="C1777" s="68"/>
      <c r="D1777" s="68"/>
      <c r="E1777" s="68"/>
      <c r="F1777" s="68"/>
      <c r="G1777" s="68"/>
      <c r="H1777" s="68"/>
      <c r="I1777" s="69"/>
      <c r="J1777" s="69"/>
      <c r="K1777" s="71"/>
      <c r="L1777" s="69"/>
      <c r="M1777" s="69"/>
      <c r="N1777" s="72"/>
      <c r="O1777" s="69"/>
      <c r="P1777" s="69"/>
      <c r="Q1777" s="69"/>
      <c r="R1777" s="69"/>
      <c r="S1777" s="69"/>
      <c r="T1777" s="69"/>
      <c r="U1777" s="69"/>
      <c r="V1777" s="69"/>
      <c r="W1777" s="69"/>
      <c r="X1777" s="69"/>
      <c r="Y1777" s="69"/>
      <c r="Z1777" s="69"/>
      <c r="AA1777" s="69"/>
      <c r="AB1777" s="69"/>
      <c r="AC1777" s="69"/>
      <c r="AD1777" s="69"/>
      <c r="AE1777" s="69"/>
      <c r="AF1777" s="69"/>
      <c r="AG1777" s="69"/>
      <c r="AH1777" s="69"/>
      <c r="AI1777" s="69"/>
      <c r="AJ1777" s="69"/>
      <c r="AK1777" s="69"/>
      <c r="AL1777" s="69"/>
      <c r="AM1777" s="69"/>
      <c r="AN1777" s="69"/>
      <c r="AO1777" s="69"/>
      <c r="AP1777" s="69"/>
      <c r="AQ1777" s="69"/>
      <c r="AR1777" s="69"/>
      <c r="AS1777" s="69"/>
      <c r="AT1777" s="69"/>
      <c r="AU1777" s="69"/>
      <c r="AV1777" s="69"/>
      <c r="AW1777" s="69"/>
      <c r="AX1777" s="69"/>
      <c r="AY1777" s="69"/>
      <c r="AZ1777" s="69"/>
      <c r="BA1777" s="69"/>
      <c r="BB1777" s="69"/>
      <c r="BC1777" s="69"/>
    </row>
    <row r="1778">
      <c r="A1778" s="68"/>
      <c r="B1778" s="68"/>
      <c r="C1778" s="68"/>
      <c r="D1778" s="68"/>
      <c r="E1778" s="68"/>
      <c r="F1778" s="68"/>
      <c r="G1778" s="68"/>
      <c r="H1778" s="68"/>
      <c r="I1778" s="69"/>
      <c r="J1778" s="69"/>
      <c r="K1778" s="71"/>
      <c r="L1778" s="69"/>
      <c r="M1778" s="69"/>
      <c r="N1778" s="72"/>
      <c r="O1778" s="69"/>
      <c r="P1778" s="69"/>
      <c r="Q1778" s="69"/>
      <c r="R1778" s="69"/>
      <c r="S1778" s="69"/>
      <c r="T1778" s="69"/>
      <c r="U1778" s="69"/>
      <c r="V1778" s="69"/>
      <c r="W1778" s="69"/>
      <c r="X1778" s="69"/>
      <c r="Y1778" s="69"/>
      <c r="Z1778" s="69"/>
      <c r="AA1778" s="69"/>
      <c r="AB1778" s="69"/>
      <c r="AC1778" s="69"/>
      <c r="AD1778" s="69"/>
      <c r="AE1778" s="69"/>
      <c r="AF1778" s="69"/>
      <c r="AG1778" s="69"/>
      <c r="AH1778" s="69"/>
      <c r="AI1778" s="69"/>
      <c r="AJ1778" s="69"/>
      <c r="AK1778" s="69"/>
      <c r="AL1778" s="69"/>
      <c r="AM1778" s="69"/>
      <c r="AN1778" s="69"/>
      <c r="AO1778" s="69"/>
      <c r="AP1778" s="69"/>
      <c r="AQ1778" s="69"/>
      <c r="AR1778" s="69"/>
      <c r="AS1778" s="69"/>
      <c r="AT1778" s="69"/>
      <c r="AU1778" s="69"/>
      <c r="AV1778" s="69"/>
      <c r="AW1778" s="69"/>
      <c r="AX1778" s="69"/>
      <c r="AY1778" s="69"/>
      <c r="AZ1778" s="69"/>
      <c r="BA1778" s="69"/>
      <c r="BB1778" s="69"/>
      <c r="BC1778" s="69"/>
    </row>
    <row r="1779">
      <c r="A1779" s="68"/>
      <c r="B1779" s="68"/>
      <c r="C1779" s="68"/>
      <c r="D1779" s="68"/>
      <c r="E1779" s="68"/>
      <c r="F1779" s="68"/>
      <c r="G1779" s="68"/>
      <c r="H1779" s="68"/>
      <c r="I1779" s="69"/>
      <c r="J1779" s="69"/>
      <c r="K1779" s="71"/>
      <c r="L1779" s="69"/>
      <c r="M1779" s="69"/>
      <c r="N1779" s="72"/>
      <c r="O1779" s="69"/>
      <c r="P1779" s="69"/>
      <c r="Q1779" s="69"/>
      <c r="R1779" s="69"/>
      <c r="S1779" s="69"/>
      <c r="T1779" s="69"/>
      <c r="U1779" s="69"/>
      <c r="V1779" s="69"/>
      <c r="W1779" s="69"/>
      <c r="X1779" s="69"/>
      <c r="Y1779" s="69"/>
      <c r="Z1779" s="69"/>
      <c r="AA1779" s="69"/>
      <c r="AB1779" s="69"/>
      <c r="AC1779" s="69"/>
      <c r="AD1779" s="69"/>
      <c r="AE1779" s="69"/>
      <c r="AF1779" s="69"/>
      <c r="AG1779" s="69"/>
      <c r="AH1779" s="69"/>
      <c r="AI1779" s="69"/>
      <c r="AJ1779" s="69"/>
      <c r="AK1779" s="69"/>
      <c r="AL1779" s="69"/>
      <c r="AM1779" s="69"/>
      <c r="AN1779" s="69"/>
      <c r="AO1779" s="69"/>
      <c r="AP1779" s="69"/>
      <c r="AQ1779" s="69"/>
      <c r="AR1779" s="69"/>
      <c r="AS1779" s="69"/>
      <c r="AT1779" s="69"/>
      <c r="AU1779" s="69"/>
      <c r="AV1779" s="69"/>
      <c r="AW1779" s="69"/>
      <c r="AX1779" s="69"/>
      <c r="AY1779" s="69"/>
      <c r="AZ1779" s="69"/>
      <c r="BA1779" s="69"/>
      <c r="BB1779" s="69"/>
      <c r="BC1779" s="69"/>
    </row>
    <row r="1780">
      <c r="A1780" s="68"/>
      <c r="B1780" s="68"/>
      <c r="C1780" s="68"/>
      <c r="D1780" s="68"/>
      <c r="E1780" s="68"/>
      <c r="F1780" s="68"/>
      <c r="G1780" s="68"/>
      <c r="H1780" s="68"/>
      <c r="I1780" s="69"/>
      <c r="J1780" s="69"/>
      <c r="K1780" s="71"/>
      <c r="L1780" s="69"/>
      <c r="M1780" s="69"/>
      <c r="N1780" s="72"/>
      <c r="O1780" s="69"/>
      <c r="P1780" s="69"/>
      <c r="Q1780" s="69"/>
      <c r="R1780" s="69"/>
      <c r="S1780" s="69"/>
      <c r="T1780" s="69"/>
      <c r="U1780" s="69"/>
      <c r="V1780" s="69"/>
      <c r="W1780" s="69"/>
      <c r="X1780" s="69"/>
      <c r="Y1780" s="69"/>
      <c r="Z1780" s="69"/>
      <c r="AA1780" s="69"/>
      <c r="AB1780" s="69"/>
      <c r="AC1780" s="69"/>
      <c r="AD1780" s="69"/>
      <c r="AE1780" s="69"/>
      <c r="AF1780" s="69"/>
      <c r="AG1780" s="69"/>
      <c r="AH1780" s="69"/>
      <c r="AI1780" s="69"/>
      <c r="AJ1780" s="69"/>
      <c r="AK1780" s="69"/>
      <c r="AL1780" s="69"/>
      <c r="AM1780" s="69"/>
      <c r="AN1780" s="69"/>
      <c r="AO1780" s="69"/>
      <c r="AP1780" s="69"/>
      <c r="AQ1780" s="69"/>
      <c r="AR1780" s="69"/>
      <c r="AS1780" s="69"/>
      <c r="AT1780" s="69"/>
      <c r="AU1780" s="69"/>
      <c r="AV1780" s="69"/>
      <c r="AW1780" s="69"/>
      <c r="AX1780" s="69"/>
      <c r="AY1780" s="69"/>
      <c r="AZ1780" s="69"/>
      <c r="BA1780" s="69"/>
      <c r="BB1780" s="69"/>
      <c r="BC1780" s="69"/>
    </row>
    <row r="1781">
      <c r="A1781" s="68"/>
      <c r="B1781" s="68"/>
      <c r="C1781" s="68"/>
      <c r="D1781" s="68"/>
      <c r="E1781" s="68"/>
      <c r="F1781" s="68"/>
      <c r="G1781" s="68"/>
      <c r="H1781" s="68"/>
      <c r="I1781" s="69"/>
      <c r="J1781" s="69"/>
      <c r="K1781" s="71"/>
      <c r="L1781" s="69"/>
      <c r="M1781" s="69"/>
      <c r="N1781" s="72"/>
      <c r="O1781" s="69"/>
      <c r="P1781" s="69"/>
      <c r="Q1781" s="69"/>
      <c r="R1781" s="69"/>
      <c r="S1781" s="69"/>
      <c r="T1781" s="69"/>
      <c r="U1781" s="69"/>
      <c r="V1781" s="69"/>
      <c r="W1781" s="69"/>
      <c r="X1781" s="69"/>
      <c r="Y1781" s="69"/>
      <c r="Z1781" s="69"/>
      <c r="AA1781" s="69"/>
      <c r="AB1781" s="69"/>
      <c r="AC1781" s="69"/>
      <c r="AD1781" s="69"/>
      <c r="AE1781" s="69"/>
      <c r="AF1781" s="69"/>
      <c r="AG1781" s="69"/>
      <c r="AH1781" s="69"/>
      <c r="AI1781" s="69"/>
      <c r="AJ1781" s="69"/>
      <c r="AK1781" s="69"/>
      <c r="AL1781" s="69"/>
      <c r="AM1781" s="69"/>
      <c r="AN1781" s="69"/>
      <c r="AO1781" s="69"/>
      <c r="AP1781" s="69"/>
      <c r="AQ1781" s="69"/>
      <c r="AR1781" s="69"/>
      <c r="AS1781" s="69"/>
      <c r="AT1781" s="69"/>
      <c r="AU1781" s="69"/>
      <c r="AV1781" s="69"/>
      <c r="AW1781" s="69"/>
      <c r="AX1781" s="69"/>
      <c r="AY1781" s="69"/>
      <c r="AZ1781" s="69"/>
      <c r="BA1781" s="69"/>
      <c r="BB1781" s="69"/>
      <c r="BC1781" s="69"/>
    </row>
    <row r="1782">
      <c r="A1782" s="68"/>
      <c r="B1782" s="68"/>
      <c r="C1782" s="68"/>
      <c r="D1782" s="68"/>
      <c r="E1782" s="68"/>
      <c r="F1782" s="68"/>
      <c r="G1782" s="68"/>
      <c r="H1782" s="68"/>
      <c r="I1782" s="69"/>
      <c r="J1782" s="69"/>
      <c r="K1782" s="71"/>
      <c r="L1782" s="69"/>
      <c r="M1782" s="69"/>
      <c r="N1782" s="72"/>
      <c r="O1782" s="69"/>
      <c r="P1782" s="69"/>
      <c r="Q1782" s="69"/>
      <c r="R1782" s="69"/>
      <c r="S1782" s="69"/>
      <c r="T1782" s="69"/>
      <c r="U1782" s="69"/>
      <c r="V1782" s="69"/>
      <c r="W1782" s="69"/>
      <c r="X1782" s="69"/>
      <c r="Y1782" s="69"/>
      <c r="Z1782" s="69"/>
      <c r="AA1782" s="69"/>
      <c r="AB1782" s="69"/>
      <c r="AC1782" s="69"/>
      <c r="AD1782" s="69"/>
      <c r="AE1782" s="69"/>
      <c r="AF1782" s="69"/>
      <c r="AG1782" s="69"/>
      <c r="AH1782" s="69"/>
      <c r="AI1782" s="69"/>
      <c r="AJ1782" s="69"/>
      <c r="AK1782" s="69"/>
      <c r="AL1782" s="69"/>
      <c r="AM1782" s="69"/>
      <c r="AN1782" s="69"/>
      <c r="AO1782" s="69"/>
      <c r="AP1782" s="69"/>
      <c r="AQ1782" s="69"/>
      <c r="AR1782" s="69"/>
      <c r="AS1782" s="69"/>
      <c r="AT1782" s="69"/>
      <c r="AU1782" s="69"/>
      <c r="AV1782" s="69"/>
      <c r="AW1782" s="69"/>
      <c r="AX1782" s="69"/>
      <c r="AY1782" s="69"/>
      <c r="AZ1782" s="69"/>
      <c r="BA1782" s="69"/>
      <c r="BB1782" s="69"/>
      <c r="BC1782" s="69"/>
    </row>
    <row r="1783">
      <c r="A1783" s="68"/>
      <c r="B1783" s="68"/>
      <c r="C1783" s="68"/>
      <c r="D1783" s="68"/>
      <c r="E1783" s="68"/>
      <c r="F1783" s="68"/>
      <c r="G1783" s="68"/>
      <c r="H1783" s="68"/>
      <c r="I1783" s="69"/>
      <c r="J1783" s="69"/>
      <c r="K1783" s="71"/>
      <c r="L1783" s="69"/>
      <c r="M1783" s="69"/>
      <c r="N1783" s="72"/>
      <c r="O1783" s="69"/>
      <c r="P1783" s="69"/>
      <c r="Q1783" s="69"/>
      <c r="R1783" s="69"/>
      <c r="S1783" s="69"/>
      <c r="T1783" s="69"/>
      <c r="U1783" s="69"/>
      <c r="V1783" s="69"/>
      <c r="W1783" s="69"/>
      <c r="X1783" s="69"/>
      <c r="Y1783" s="69"/>
      <c r="Z1783" s="69"/>
      <c r="AA1783" s="69"/>
      <c r="AB1783" s="69"/>
      <c r="AC1783" s="69"/>
      <c r="AD1783" s="69"/>
      <c r="AE1783" s="69"/>
      <c r="AF1783" s="69"/>
      <c r="AG1783" s="69"/>
      <c r="AH1783" s="69"/>
      <c r="AI1783" s="69"/>
      <c r="AJ1783" s="69"/>
      <c r="AK1783" s="69"/>
      <c r="AL1783" s="69"/>
      <c r="AM1783" s="69"/>
      <c r="AN1783" s="69"/>
      <c r="AO1783" s="69"/>
      <c r="AP1783" s="69"/>
      <c r="AQ1783" s="69"/>
      <c r="AR1783" s="69"/>
      <c r="AS1783" s="69"/>
      <c r="AT1783" s="69"/>
      <c r="AU1783" s="69"/>
      <c r="AV1783" s="69"/>
      <c r="AW1783" s="69"/>
      <c r="AX1783" s="69"/>
      <c r="AY1783" s="69"/>
      <c r="AZ1783" s="69"/>
      <c r="BA1783" s="69"/>
      <c r="BB1783" s="69"/>
      <c r="BC1783" s="69"/>
    </row>
    <row r="1784">
      <c r="A1784" s="68"/>
      <c r="B1784" s="68"/>
      <c r="C1784" s="68"/>
      <c r="D1784" s="68"/>
      <c r="E1784" s="68"/>
      <c r="F1784" s="68"/>
      <c r="G1784" s="68"/>
      <c r="H1784" s="68"/>
      <c r="I1784" s="69"/>
      <c r="J1784" s="69"/>
      <c r="K1784" s="71"/>
      <c r="L1784" s="69"/>
      <c r="M1784" s="69"/>
      <c r="N1784" s="72"/>
      <c r="O1784" s="69"/>
      <c r="P1784" s="69"/>
      <c r="Q1784" s="69"/>
      <c r="R1784" s="69"/>
      <c r="S1784" s="69"/>
      <c r="T1784" s="69"/>
      <c r="U1784" s="69"/>
      <c r="V1784" s="69"/>
      <c r="W1784" s="69"/>
      <c r="X1784" s="69"/>
      <c r="Y1784" s="69"/>
      <c r="Z1784" s="69"/>
      <c r="AA1784" s="69"/>
      <c r="AB1784" s="69"/>
      <c r="AC1784" s="69"/>
      <c r="AD1784" s="69"/>
      <c r="AE1784" s="69"/>
      <c r="AF1784" s="69"/>
      <c r="AG1784" s="69"/>
      <c r="AH1784" s="69"/>
      <c r="AI1784" s="69"/>
      <c r="AJ1784" s="69"/>
      <c r="AK1784" s="69"/>
      <c r="AL1784" s="69"/>
      <c r="AM1784" s="69"/>
      <c r="AN1784" s="69"/>
      <c r="AO1784" s="69"/>
      <c r="AP1784" s="69"/>
      <c r="AQ1784" s="69"/>
      <c r="AR1784" s="69"/>
      <c r="AS1784" s="69"/>
      <c r="AT1784" s="69"/>
      <c r="AU1784" s="69"/>
      <c r="AV1784" s="69"/>
      <c r="AW1784" s="69"/>
      <c r="AX1784" s="69"/>
      <c r="AY1784" s="69"/>
      <c r="AZ1784" s="69"/>
      <c r="BA1784" s="69"/>
      <c r="BB1784" s="69"/>
      <c r="BC1784" s="69"/>
    </row>
    <row r="1785">
      <c r="A1785" s="68"/>
      <c r="B1785" s="68"/>
      <c r="C1785" s="68"/>
      <c r="D1785" s="68"/>
      <c r="E1785" s="68"/>
      <c r="F1785" s="68"/>
      <c r="G1785" s="68"/>
      <c r="H1785" s="68"/>
      <c r="I1785" s="69"/>
      <c r="J1785" s="69"/>
      <c r="K1785" s="71"/>
      <c r="L1785" s="69"/>
      <c r="M1785" s="69"/>
      <c r="N1785" s="72"/>
      <c r="O1785" s="69"/>
      <c r="P1785" s="69"/>
      <c r="Q1785" s="69"/>
      <c r="R1785" s="69"/>
      <c r="S1785" s="69"/>
      <c r="T1785" s="69"/>
      <c r="U1785" s="69"/>
      <c r="V1785" s="69"/>
      <c r="W1785" s="69"/>
      <c r="X1785" s="69"/>
      <c r="Y1785" s="69"/>
      <c r="Z1785" s="69"/>
      <c r="AA1785" s="69"/>
      <c r="AB1785" s="69"/>
      <c r="AC1785" s="69"/>
      <c r="AD1785" s="69"/>
      <c r="AE1785" s="69"/>
      <c r="AF1785" s="69"/>
      <c r="AG1785" s="69"/>
      <c r="AH1785" s="69"/>
      <c r="AI1785" s="69"/>
      <c r="AJ1785" s="69"/>
      <c r="AK1785" s="69"/>
      <c r="AL1785" s="69"/>
      <c r="AM1785" s="69"/>
      <c r="AN1785" s="69"/>
      <c r="AO1785" s="69"/>
      <c r="AP1785" s="69"/>
      <c r="AQ1785" s="69"/>
      <c r="AR1785" s="69"/>
      <c r="AS1785" s="69"/>
      <c r="AT1785" s="69"/>
      <c r="AU1785" s="69"/>
      <c r="AV1785" s="69"/>
      <c r="AW1785" s="69"/>
      <c r="AX1785" s="69"/>
      <c r="AY1785" s="69"/>
      <c r="AZ1785" s="69"/>
      <c r="BA1785" s="69"/>
      <c r="BB1785" s="69"/>
      <c r="BC1785" s="69"/>
    </row>
    <row r="1786">
      <c r="A1786" s="68"/>
      <c r="B1786" s="68"/>
      <c r="C1786" s="68"/>
      <c r="D1786" s="68"/>
      <c r="E1786" s="68"/>
      <c r="F1786" s="68"/>
      <c r="G1786" s="68"/>
      <c r="H1786" s="68"/>
      <c r="I1786" s="69"/>
      <c r="J1786" s="69"/>
      <c r="K1786" s="71"/>
      <c r="L1786" s="69"/>
      <c r="M1786" s="69"/>
      <c r="N1786" s="72"/>
      <c r="O1786" s="69"/>
      <c r="P1786" s="69"/>
      <c r="Q1786" s="69"/>
      <c r="R1786" s="69"/>
      <c r="S1786" s="69"/>
      <c r="T1786" s="69"/>
      <c r="U1786" s="69"/>
      <c r="V1786" s="69"/>
      <c r="W1786" s="69"/>
      <c r="X1786" s="69"/>
      <c r="Y1786" s="69"/>
      <c r="Z1786" s="69"/>
      <c r="AA1786" s="69"/>
      <c r="AB1786" s="69"/>
      <c r="AC1786" s="69"/>
      <c r="AD1786" s="69"/>
      <c r="AE1786" s="69"/>
      <c r="AF1786" s="69"/>
      <c r="AG1786" s="69"/>
      <c r="AH1786" s="69"/>
      <c r="AI1786" s="69"/>
      <c r="AJ1786" s="69"/>
      <c r="AK1786" s="69"/>
      <c r="AL1786" s="69"/>
      <c r="AM1786" s="69"/>
      <c r="AN1786" s="69"/>
      <c r="AO1786" s="69"/>
      <c r="AP1786" s="69"/>
      <c r="AQ1786" s="69"/>
      <c r="AR1786" s="69"/>
      <c r="AS1786" s="69"/>
      <c r="AT1786" s="69"/>
      <c r="AU1786" s="69"/>
      <c r="AV1786" s="69"/>
      <c r="AW1786" s="69"/>
      <c r="AX1786" s="69"/>
      <c r="AY1786" s="69"/>
      <c r="AZ1786" s="69"/>
      <c r="BA1786" s="69"/>
      <c r="BB1786" s="69"/>
      <c r="BC1786" s="69"/>
    </row>
    <row r="1787">
      <c r="A1787" s="68"/>
      <c r="B1787" s="68"/>
      <c r="C1787" s="68"/>
      <c r="D1787" s="68"/>
      <c r="E1787" s="68"/>
      <c r="F1787" s="68"/>
      <c r="G1787" s="68"/>
      <c r="H1787" s="68"/>
      <c r="I1787" s="69"/>
      <c r="J1787" s="69"/>
      <c r="K1787" s="71"/>
      <c r="L1787" s="69"/>
      <c r="M1787" s="69"/>
      <c r="N1787" s="72"/>
      <c r="O1787" s="69"/>
      <c r="P1787" s="69"/>
      <c r="Q1787" s="69"/>
      <c r="R1787" s="69"/>
      <c r="S1787" s="69"/>
      <c r="T1787" s="69"/>
      <c r="U1787" s="69"/>
      <c r="V1787" s="69"/>
      <c r="W1787" s="69"/>
      <c r="X1787" s="69"/>
      <c r="Y1787" s="69"/>
      <c r="Z1787" s="69"/>
      <c r="AA1787" s="69"/>
      <c r="AB1787" s="69"/>
      <c r="AC1787" s="69"/>
      <c r="AD1787" s="69"/>
      <c r="AE1787" s="69"/>
      <c r="AF1787" s="69"/>
      <c r="AG1787" s="69"/>
      <c r="AH1787" s="69"/>
      <c r="AI1787" s="69"/>
      <c r="AJ1787" s="69"/>
      <c r="AK1787" s="69"/>
      <c r="AL1787" s="69"/>
      <c r="AM1787" s="69"/>
      <c r="AN1787" s="69"/>
      <c r="AO1787" s="69"/>
      <c r="AP1787" s="69"/>
      <c r="AQ1787" s="69"/>
      <c r="AR1787" s="69"/>
      <c r="AS1787" s="69"/>
      <c r="AT1787" s="69"/>
      <c r="AU1787" s="69"/>
      <c r="AV1787" s="69"/>
      <c r="AW1787" s="69"/>
      <c r="AX1787" s="69"/>
      <c r="AY1787" s="69"/>
      <c r="AZ1787" s="69"/>
      <c r="BA1787" s="69"/>
      <c r="BB1787" s="69"/>
      <c r="BC1787" s="69"/>
    </row>
    <row r="1788">
      <c r="A1788" s="68"/>
      <c r="B1788" s="68"/>
      <c r="C1788" s="68"/>
      <c r="D1788" s="68"/>
      <c r="E1788" s="68"/>
      <c r="F1788" s="68"/>
      <c r="G1788" s="68"/>
      <c r="H1788" s="68"/>
      <c r="I1788" s="69"/>
      <c r="J1788" s="69"/>
      <c r="K1788" s="71"/>
      <c r="L1788" s="69"/>
      <c r="M1788" s="69"/>
      <c r="N1788" s="72"/>
      <c r="O1788" s="69"/>
      <c r="P1788" s="69"/>
      <c r="Q1788" s="69"/>
      <c r="R1788" s="69"/>
      <c r="S1788" s="69"/>
      <c r="T1788" s="69"/>
      <c r="U1788" s="69"/>
      <c r="V1788" s="69"/>
      <c r="W1788" s="69"/>
      <c r="X1788" s="69"/>
      <c r="Y1788" s="69"/>
      <c r="Z1788" s="69"/>
      <c r="AA1788" s="69"/>
      <c r="AB1788" s="69"/>
      <c r="AC1788" s="69"/>
      <c r="AD1788" s="69"/>
      <c r="AE1788" s="69"/>
      <c r="AF1788" s="69"/>
      <c r="AG1788" s="69"/>
      <c r="AH1788" s="69"/>
      <c r="AI1788" s="69"/>
      <c r="AJ1788" s="69"/>
      <c r="AK1788" s="69"/>
      <c r="AL1788" s="69"/>
      <c r="AM1788" s="69"/>
      <c r="AN1788" s="69"/>
      <c r="AO1788" s="69"/>
      <c r="AP1788" s="69"/>
      <c r="AQ1788" s="69"/>
      <c r="AR1788" s="69"/>
      <c r="AS1788" s="69"/>
      <c r="AT1788" s="69"/>
      <c r="AU1788" s="69"/>
      <c r="AV1788" s="69"/>
      <c r="AW1788" s="69"/>
      <c r="AX1788" s="69"/>
      <c r="AY1788" s="69"/>
      <c r="AZ1788" s="69"/>
      <c r="BA1788" s="69"/>
      <c r="BB1788" s="69"/>
      <c r="BC1788" s="69"/>
    </row>
    <row r="1789">
      <c r="A1789" s="68"/>
      <c r="B1789" s="68"/>
      <c r="C1789" s="68"/>
      <c r="D1789" s="68"/>
      <c r="E1789" s="68"/>
      <c r="F1789" s="68"/>
      <c r="G1789" s="68"/>
      <c r="H1789" s="68"/>
      <c r="I1789" s="69"/>
      <c r="J1789" s="69"/>
      <c r="K1789" s="71"/>
      <c r="L1789" s="69"/>
      <c r="M1789" s="69"/>
      <c r="N1789" s="72"/>
      <c r="O1789" s="69"/>
      <c r="P1789" s="69"/>
      <c r="Q1789" s="69"/>
      <c r="R1789" s="69"/>
      <c r="S1789" s="69"/>
      <c r="T1789" s="69"/>
      <c r="U1789" s="69"/>
      <c r="V1789" s="69"/>
      <c r="W1789" s="69"/>
      <c r="X1789" s="69"/>
      <c r="Y1789" s="69"/>
      <c r="Z1789" s="69"/>
      <c r="AA1789" s="69"/>
      <c r="AB1789" s="69"/>
      <c r="AC1789" s="69"/>
      <c r="AD1789" s="69"/>
      <c r="AE1789" s="69"/>
      <c r="AF1789" s="69"/>
      <c r="AG1789" s="69"/>
      <c r="AH1789" s="69"/>
      <c r="AI1789" s="69"/>
      <c r="AJ1789" s="69"/>
      <c r="AK1789" s="69"/>
      <c r="AL1789" s="69"/>
      <c r="AM1789" s="69"/>
      <c r="AN1789" s="69"/>
      <c r="AO1789" s="69"/>
      <c r="AP1789" s="69"/>
      <c r="AQ1789" s="69"/>
      <c r="AR1789" s="69"/>
      <c r="AS1789" s="69"/>
      <c r="AT1789" s="69"/>
      <c r="AU1789" s="69"/>
      <c r="AV1789" s="69"/>
      <c r="AW1789" s="69"/>
      <c r="AX1789" s="69"/>
      <c r="AY1789" s="69"/>
      <c r="AZ1789" s="69"/>
      <c r="BA1789" s="69"/>
      <c r="BB1789" s="69"/>
      <c r="BC1789" s="69"/>
    </row>
    <row r="1790">
      <c r="A1790" s="68"/>
      <c r="B1790" s="68"/>
      <c r="C1790" s="68"/>
      <c r="D1790" s="68"/>
      <c r="E1790" s="68"/>
      <c r="F1790" s="68"/>
      <c r="G1790" s="68"/>
      <c r="H1790" s="68"/>
      <c r="I1790" s="69"/>
      <c r="J1790" s="69"/>
      <c r="K1790" s="71"/>
      <c r="L1790" s="69"/>
      <c r="M1790" s="69"/>
      <c r="N1790" s="72"/>
      <c r="O1790" s="69"/>
      <c r="P1790" s="69"/>
      <c r="Q1790" s="69"/>
      <c r="R1790" s="69"/>
      <c r="S1790" s="69"/>
      <c r="T1790" s="69"/>
      <c r="U1790" s="69"/>
      <c r="V1790" s="69"/>
      <c r="W1790" s="69"/>
      <c r="X1790" s="69"/>
      <c r="Y1790" s="69"/>
      <c r="Z1790" s="69"/>
      <c r="AA1790" s="69"/>
      <c r="AB1790" s="69"/>
      <c r="AC1790" s="69"/>
      <c r="AD1790" s="69"/>
      <c r="AE1790" s="69"/>
      <c r="AF1790" s="69"/>
      <c r="AG1790" s="69"/>
      <c r="AH1790" s="69"/>
      <c r="AI1790" s="69"/>
      <c r="AJ1790" s="69"/>
      <c r="AK1790" s="69"/>
      <c r="AL1790" s="69"/>
      <c r="AM1790" s="69"/>
      <c r="AN1790" s="69"/>
      <c r="AO1790" s="69"/>
      <c r="AP1790" s="69"/>
      <c r="AQ1790" s="69"/>
      <c r="AR1790" s="69"/>
      <c r="AS1790" s="69"/>
      <c r="AT1790" s="69"/>
      <c r="AU1790" s="69"/>
      <c r="AV1790" s="69"/>
      <c r="AW1790" s="69"/>
      <c r="AX1790" s="69"/>
      <c r="AY1790" s="69"/>
      <c r="AZ1790" s="69"/>
      <c r="BA1790" s="69"/>
      <c r="BB1790" s="69"/>
      <c r="BC1790" s="69"/>
    </row>
    <row r="1791">
      <c r="A1791" s="68"/>
      <c r="B1791" s="68"/>
      <c r="C1791" s="68"/>
      <c r="D1791" s="68"/>
      <c r="E1791" s="68"/>
      <c r="F1791" s="68"/>
      <c r="G1791" s="68"/>
      <c r="H1791" s="68"/>
      <c r="I1791" s="69"/>
      <c r="J1791" s="69"/>
      <c r="K1791" s="71"/>
      <c r="L1791" s="69"/>
      <c r="M1791" s="69"/>
      <c r="N1791" s="72"/>
      <c r="O1791" s="69"/>
      <c r="P1791" s="69"/>
      <c r="Q1791" s="69"/>
      <c r="R1791" s="69"/>
      <c r="S1791" s="69"/>
      <c r="T1791" s="69"/>
      <c r="U1791" s="69"/>
      <c r="V1791" s="69"/>
      <c r="W1791" s="69"/>
      <c r="X1791" s="69"/>
      <c r="Y1791" s="69"/>
      <c r="Z1791" s="69"/>
      <c r="AA1791" s="69"/>
      <c r="AB1791" s="69"/>
      <c r="AC1791" s="69"/>
      <c r="AD1791" s="69"/>
      <c r="AE1791" s="69"/>
      <c r="AF1791" s="69"/>
      <c r="AG1791" s="69"/>
      <c r="AH1791" s="69"/>
      <c r="AI1791" s="69"/>
      <c r="AJ1791" s="69"/>
      <c r="AK1791" s="69"/>
      <c r="AL1791" s="69"/>
      <c r="AM1791" s="69"/>
      <c r="AN1791" s="69"/>
      <c r="AO1791" s="69"/>
      <c r="AP1791" s="69"/>
      <c r="AQ1791" s="69"/>
      <c r="AR1791" s="69"/>
      <c r="AS1791" s="69"/>
      <c r="AT1791" s="69"/>
      <c r="AU1791" s="69"/>
      <c r="AV1791" s="69"/>
      <c r="AW1791" s="69"/>
      <c r="AX1791" s="69"/>
      <c r="AY1791" s="69"/>
      <c r="AZ1791" s="69"/>
      <c r="BA1791" s="69"/>
      <c r="BB1791" s="69"/>
      <c r="BC1791" s="69"/>
    </row>
    <row r="1792">
      <c r="A1792" s="68"/>
      <c r="B1792" s="68"/>
      <c r="C1792" s="68"/>
      <c r="D1792" s="68"/>
      <c r="E1792" s="68"/>
      <c r="F1792" s="68"/>
      <c r="G1792" s="68"/>
      <c r="H1792" s="68"/>
      <c r="I1792" s="69"/>
      <c r="J1792" s="69"/>
      <c r="K1792" s="71"/>
      <c r="L1792" s="69"/>
      <c r="M1792" s="69"/>
      <c r="N1792" s="72"/>
      <c r="O1792" s="69"/>
      <c r="P1792" s="69"/>
      <c r="Q1792" s="69"/>
      <c r="R1792" s="69"/>
      <c r="S1792" s="69"/>
      <c r="T1792" s="69"/>
      <c r="U1792" s="69"/>
      <c r="V1792" s="69"/>
      <c r="W1792" s="69"/>
      <c r="X1792" s="69"/>
      <c r="Y1792" s="69"/>
      <c r="Z1792" s="69"/>
      <c r="AA1792" s="69"/>
      <c r="AB1792" s="69"/>
      <c r="AC1792" s="69"/>
      <c r="AD1792" s="69"/>
      <c r="AE1792" s="69"/>
      <c r="AF1792" s="69"/>
      <c r="AG1792" s="69"/>
      <c r="AH1792" s="69"/>
      <c r="AI1792" s="69"/>
      <c r="AJ1792" s="69"/>
      <c r="AK1792" s="69"/>
      <c r="AL1792" s="69"/>
      <c r="AM1792" s="69"/>
      <c r="AN1792" s="69"/>
      <c r="AO1792" s="69"/>
      <c r="AP1792" s="69"/>
      <c r="AQ1792" s="69"/>
      <c r="AR1792" s="69"/>
      <c r="AS1792" s="69"/>
      <c r="AT1792" s="69"/>
      <c r="AU1792" s="69"/>
      <c r="AV1792" s="69"/>
      <c r="AW1792" s="69"/>
      <c r="AX1792" s="69"/>
      <c r="AY1792" s="69"/>
      <c r="AZ1792" s="69"/>
      <c r="BA1792" s="69"/>
      <c r="BB1792" s="69"/>
      <c r="BC1792" s="69"/>
    </row>
    <row r="1793">
      <c r="A1793" s="68"/>
      <c r="B1793" s="68"/>
      <c r="C1793" s="68"/>
      <c r="D1793" s="68"/>
      <c r="E1793" s="68"/>
      <c r="F1793" s="68"/>
      <c r="G1793" s="68"/>
      <c r="H1793" s="68"/>
      <c r="I1793" s="69"/>
      <c r="J1793" s="69"/>
      <c r="K1793" s="71"/>
      <c r="L1793" s="69"/>
      <c r="M1793" s="69"/>
      <c r="N1793" s="72"/>
      <c r="O1793" s="69"/>
      <c r="P1793" s="69"/>
      <c r="Q1793" s="69"/>
      <c r="R1793" s="69"/>
      <c r="S1793" s="69"/>
      <c r="T1793" s="69"/>
      <c r="U1793" s="69"/>
      <c r="V1793" s="69"/>
      <c r="W1793" s="69"/>
      <c r="X1793" s="69"/>
      <c r="Y1793" s="69"/>
      <c r="Z1793" s="69"/>
      <c r="AA1793" s="69"/>
      <c r="AB1793" s="69"/>
      <c r="AC1793" s="69"/>
      <c r="AD1793" s="69"/>
      <c r="AE1793" s="69"/>
      <c r="AF1793" s="69"/>
      <c r="AG1793" s="69"/>
      <c r="AH1793" s="69"/>
      <c r="AI1793" s="69"/>
      <c r="AJ1793" s="69"/>
      <c r="AK1793" s="69"/>
      <c r="AL1793" s="69"/>
      <c r="AM1793" s="69"/>
      <c r="AN1793" s="69"/>
      <c r="AO1793" s="69"/>
      <c r="AP1793" s="69"/>
      <c r="AQ1793" s="69"/>
      <c r="AR1793" s="69"/>
      <c r="AS1793" s="69"/>
      <c r="AT1793" s="69"/>
      <c r="AU1793" s="69"/>
      <c r="AV1793" s="69"/>
      <c r="AW1793" s="69"/>
      <c r="AX1793" s="69"/>
      <c r="AY1793" s="69"/>
      <c r="AZ1793" s="69"/>
      <c r="BA1793" s="69"/>
      <c r="BB1793" s="69"/>
      <c r="BC1793" s="69"/>
    </row>
    <row r="1794">
      <c r="A1794" s="68"/>
      <c r="B1794" s="68"/>
      <c r="C1794" s="68"/>
      <c r="D1794" s="68"/>
      <c r="E1794" s="68"/>
      <c r="F1794" s="68"/>
      <c r="G1794" s="68"/>
      <c r="H1794" s="68"/>
      <c r="I1794" s="69"/>
      <c r="J1794" s="69"/>
      <c r="K1794" s="71"/>
      <c r="L1794" s="69"/>
      <c r="M1794" s="69"/>
      <c r="N1794" s="72"/>
      <c r="O1794" s="69"/>
      <c r="P1794" s="69"/>
      <c r="Q1794" s="69"/>
      <c r="R1794" s="69"/>
      <c r="S1794" s="69"/>
      <c r="T1794" s="69"/>
      <c r="U1794" s="69"/>
      <c r="V1794" s="69"/>
      <c r="W1794" s="69"/>
      <c r="X1794" s="69"/>
      <c r="Y1794" s="69"/>
      <c r="Z1794" s="69"/>
      <c r="AA1794" s="69"/>
      <c r="AB1794" s="69"/>
      <c r="AC1794" s="69"/>
      <c r="AD1794" s="69"/>
      <c r="AE1794" s="69"/>
      <c r="AF1794" s="69"/>
      <c r="AG1794" s="69"/>
      <c r="AH1794" s="69"/>
      <c r="AI1794" s="69"/>
      <c r="AJ1794" s="69"/>
      <c r="AK1794" s="69"/>
      <c r="AL1794" s="69"/>
      <c r="AM1794" s="69"/>
      <c r="AN1794" s="69"/>
      <c r="AO1794" s="69"/>
      <c r="AP1794" s="69"/>
      <c r="AQ1794" s="69"/>
      <c r="AR1794" s="69"/>
      <c r="AS1794" s="69"/>
      <c r="AT1794" s="69"/>
      <c r="AU1794" s="69"/>
      <c r="AV1794" s="69"/>
      <c r="AW1794" s="69"/>
      <c r="AX1794" s="69"/>
      <c r="AY1794" s="69"/>
      <c r="AZ1794" s="69"/>
      <c r="BA1794" s="69"/>
      <c r="BB1794" s="69"/>
      <c r="BC1794" s="69"/>
    </row>
    <row r="1795">
      <c r="A1795" s="68"/>
      <c r="B1795" s="68"/>
      <c r="C1795" s="68"/>
      <c r="D1795" s="68"/>
      <c r="E1795" s="68"/>
      <c r="F1795" s="68"/>
      <c r="G1795" s="68"/>
      <c r="H1795" s="68"/>
      <c r="I1795" s="69"/>
      <c r="J1795" s="69"/>
      <c r="K1795" s="71"/>
      <c r="L1795" s="69"/>
      <c r="M1795" s="69"/>
      <c r="N1795" s="72"/>
      <c r="O1795" s="69"/>
      <c r="P1795" s="69"/>
      <c r="Q1795" s="69"/>
      <c r="R1795" s="69"/>
      <c r="S1795" s="69"/>
      <c r="T1795" s="69"/>
      <c r="U1795" s="69"/>
      <c r="V1795" s="69"/>
      <c r="W1795" s="69"/>
      <c r="X1795" s="69"/>
      <c r="Y1795" s="69"/>
      <c r="Z1795" s="69"/>
      <c r="AA1795" s="69"/>
      <c r="AB1795" s="69"/>
      <c r="AC1795" s="69"/>
      <c r="AD1795" s="69"/>
      <c r="AE1795" s="69"/>
      <c r="AF1795" s="69"/>
      <c r="AG1795" s="69"/>
      <c r="AH1795" s="69"/>
      <c r="AI1795" s="69"/>
      <c r="AJ1795" s="69"/>
      <c r="AK1795" s="69"/>
      <c r="AL1795" s="69"/>
      <c r="AM1795" s="69"/>
      <c r="AN1795" s="69"/>
      <c r="AO1795" s="69"/>
      <c r="AP1795" s="69"/>
      <c r="AQ1795" s="69"/>
      <c r="AR1795" s="69"/>
      <c r="AS1795" s="69"/>
      <c r="AT1795" s="69"/>
      <c r="AU1795" s="69"/>
      <c r="AV1795" s="69"/>
      <c r="AW1795" s="69"/>
      <c r="AX1795" s="69"/>
      <c r="AY1795" s="69"/>
      <c r="AZ1795" s="69"/>
      <c r="BA1795" s="69"/>
      <c r="BB1795" s="69"/>
      <c r="BC1795" s="69"/>
    </row>
    <row r="1796">
      <c r="A1796" s="68"/>
      <c r="B1796" s="68"/>
      <c r="C1796" s="68"/>
      <c r="D1796" s="68"/>
      <c r="E1796" s="68"/>
      <c r="F1796" s="68"/>
      <c r="G1796" s="68"/>
      <c r="H1796" s="68"/>
      <c r="I1796" s="69"/>
      <c r="J1796" s="69"/>
      <c r="K1796" s="71"/>
      <c r="L1796" s="69"/>
      <c r="M1796" s="69"/>
      <c r="N1796" s="72"/>
      <c r="O1796" s="69"/>
      <c r="P1796" s="69"/>
      <c r="Q1796" s="69"/>
      <c r="R1796" s="69"/>
      <c r="S1796" s="69"/>
      <c r="T1796" s="69"/>
      <c r="U1796" s="69"/>
      <c r="V1796" s="69"/>
      <c r="W1796" s="69"/>
      <c r="X1796" s="69"/>
      <c r="Y1796" s="69"/>
      <c r="Z1796" s="69"/>
      <c r="AA1796" s="69"/>
      <c r="AB1796" s="69"/>
      <c r="AC1796" s="69"/>
      <c r="AD1796" s="69"/>
      <c r="AE1796" s="69"/>
      <c r="AF1796" s="69"/>
      <c r="AG1796" s="69"/>
      <c r="AH1796" s="69"/>
      <c r="AI1796" s="69"/>
      <c r="AJ1796" s="69"/>
      <c r="AK1796" s="69"/>
      <c r="AL1796" s="69"/>
      <c r="AM1796" s="69"/>
      <c r="AN1796" s="69"/>
      <c r="AO1796" s="69"/>
      <c r="AP1796" s="69"/>
      <c r="AQ1796" s="69"/>
      <c r="AR1796" s="69"/>
      <c r="AS1796" s="69"/>
      <c r="AT1796" s="69"/>
      <c r="AU1796" s="69"/>
      <c r="AV1796" s="69"/>
      <c r="AW1796" s="69"/>
      <c r="AX1796" s="69"/>
      <c r="AY1796" s="69"/>
      <c r="AZ1796" s="69"/>
      <c r="BA1796" s="69"/>
      <c r="BB1796" s="69"/>
      <c r="BC1796" s="69"/>
    </row>
    <row r="1797">
      <c r="A1797" s="68"/>
      <c r="B1797" s="68"/>
      <c r="C1797" s="68"/>
      <c r="D1797" s="68"/>
      <c r="E1797" s="68"/>
      <c r="F1797" s="68"/>
      <c r="G1797" s="68"/>
      <c r="H1797" s="68"/>
      <c r="I1797" s="69"/>
      <c r="J1797" s="69"/>
      <c r="K1797" s="71"/>
      <c r="L1797" s="69"/>
      <c r="M1797" s="69"/>
      <c r="N1797" s="72"/>
      <c r="O1797" s="69"/>
      <c r="P1797" s="69"/>
      <c r="Q1797" s="69"/>
      <c r="R1797" s="69"/>
      <c r="S1797" s="69"/>
      <c r="T1797" s="69"/>
      <c r="U1797" s="69"/>
      <c r="V1797" s="69"/>
      <c r="W1797" s="69"/>
      <c r="X1797" s="69"/>
      <c r="Y1797" s="69"/>
      <c r="Z1797" s="69"/>
      <c r="AA1797" s="69"/>
      <c r="AB1797" s="69"/>
      <c r="AC1797" s="69"/>
      <c r="AD1797" s="69"/>
      <c r="AE1797" s="69"/>
      <c r="AF1797" s="69"/>
      <c r="AG1797" s="69"/>
      <c r="AH1797" s="69"/>
      <c r="AI1797" s="69"/>
      <c r="AJ1797" s="69"/>
      <c r="AK1797" s="69"/>
      <c r="AL1797" s="69"/>
      <c r="AM1797" s="69"/>
      <c r="AN1797" s="69"/>
      <c r="AO1797" s="69"/>
      <c r="AP1797" s="69"/>
      <c r="AQ1797" s="69"/>
      <c r="AR1797" s="69"/>
      <c r="AS1797" s="69"/>
      <c r="AT1797" s="69"/>
      <c r="AU1797" s="69"/>
      <c r="AV1797" s="69"/>
      <c r="AW1797" s="69"/>
      <c r="AX1797" s="69"/>
      <c r="AY1797" s="69"/>
      <c r="AZ1797" s="69"/>
      <c r="BA1797" s="69"/>
      <c r="BB1797" s="69"/>
      <c r="BC1797" s="69"/>
    </row>
    <row r="1798">
      <c r="A1798" s="68"/>
      <c r="B1798" s="68"/>
      <c r="C1798" s="68"/>
      <c r="D1798" s="68"/>
      <c r="E1798" s="68"/>
      <c r="F1798" s="68"/>
      <c r="G1798" s="68"/>
      <c r="H1798" s="68"/>
      <c r="I1798" s="69"/>
      <c r="J1798" s="69"/>
      <c r="K1798" s="71"/>
      <c r="L1798" s="69"/>
      <c r="M1798" s="69"/>
      <c r="N1798" s="72"/>
      <c r="O1798" s="69"/>
      <c r="P1798" s="69"/>
      <c r="Q1798" s="69"/>
      <c r="R1798" s="69"/>
      <c r="S1798" s="69"/>
      <c r="T1798" s="69"/>
      <c r="U1798" s="69"/>
      <c r="V1798" s="69"/>
      <c r="W1798" s="69"/>
      <c r="X1798" s="69"/>
      <c r="Y1798" s="69"/>
      <c r="Z1798" s="69"/>
      <c r="AA1798" s="69"/>
      <c r="AB1798" s="69"/>
      <c r="AC1798" s="69"/>
      <c r="AD1798" s="69"/>
      <c r="AE1798" s="69"/>
      <c r="AF1798" s="69"/>
      <c r="AG1798" s="69"/>
      <c r="AH1798" s="69"/>
      <c r="AI1798" s="69"/>
      <c r="AJ1798" s="69"/>
      <c r="AK1798" s="69"/>
      <c r="AL1798" s="69"/>
      <c r="AM1798" s="69"/>
      <c r="AN1798" s="69"/>
      <c r="AO1798" s="69"/>
      <c r="AP1798" s="69"/>
      <c r="AQ1798" s="69"/>
      <c r="AR1798" s="69"/>
      <c r="AS1798" s="69"/>
      <c r="AT1798" s="69"/>
      <c r="AU1798" s="69"/>
      <c r="AV1798" s="69"/>
      <c r="AW1798" s="69"/>
      <c r="AX1798" s="69"/>
      <c r="AY1798" s="69"/>
      <c r="AZ1798" s="69"/>
      <c r="BA1798" s="69"/>
      <c r="BB1798" s="69"/>
      <c r="BC1798" s="69"/>
    </row>
    <row r="1799">
      <c r="A1799" s="68"/>
      <c r="B1799" s="68"/>
      <c r="C1799" s="68"/>
      <c r="D1799" s="68"/>
      <c r="E1799" s="68"/>
      <c r="F1799" s="68"/>
      <c r="G1799" s="68"/>
      <c r="H1799" s="68"/>
      <c r="I1799" s="69"/>
      <c r="J1799" s="69"/>
      <c r="K1799" s="71"/>
      <c r="L1799" s="69"/>
      <c r="M1799" s="69"/>
      <c r="N1799" s="72"/>
      <c r="O1799" s="69"/>
      <c r="P1799" s="69"/>
      <c r="Q1799" s="69"/>
      <c r="R1799" s="69"/>
      <c r="S1799" s="69"/>
      <c r="T1799" s="69"/>
      <c r="U1799" s="69"/>
      <c r="V1799" s="69"/>
      <c r="W1799" s="69"/>
      <c r="X1799" s="69"/>
      <c r="Y1799" s="69"/>
      <c r="Z1799" s="69"/>
      <c r="AA1799" s="69"/>
      <c r="AB1799" s="69"/>
      <c r="AC1799" s="69"/>
      <c r="AD1799" s="69"/>
      <c r="AE1799" s="69"/>
      <c r="AF1799" s="69"/>
      <c r="AG1799" s="69"/>
      <c r="AH1799" s="69"/>
      <c r="AI1799" s="69"/>
      <c r="AJ1799" s="69"/>
      <c r="AK1799" s="69"/>
      <c r="AL1799" s="69"/>
      <c r="AM1799" s="69"/>
      <c r="AN1799" s="69"/>
      <c r="AO1799" s="69"/>
      <c r="AP1799" s="69"/>
      <c r="AQ1799" s="69"/>
      <c r="AR1799" s="69"/>
      <c r="AS1799" s="69"/>
      <c r="AT1799" s="69"/>
      <c r="AU1799" s="69"/>
      <c r="AV1799" s="69"/>
      <c r="AW1799" s="69"/>
      <c r="AX1799" s="69"/>
      <c r="AY1799" s="69"/>
      <c r="AZ1799" s="69"/>
      <c r="BA1799" s="69"/>
      <c r="BB1799" s="69"/>
      <c r="BC1799" s="69"/>
    </row>
    <row r="1800">
      <c r="A1800" s="68"/>
      <c r="B1800" s="68"/>
      <c r="C1800" s="68"/>
      <c r="D1800" s="68"/>
      <c r="E1800" s="68"/>
      <c r="F1800" s="68"/>
      <c r="G1800" s="68"/>
      <c r="H1800" s="68"/>
      <c r="I1800" s="69"/>
      <c r="J1800" s="69"/>
      <c r="K1800" s="71"/>
      <c r="L1800" s="69"/>
      <c r="M1800" s="69"/>
      <c r="N1800" s="72"/>
      <c r="O1800" s="69"/>
      <c r="P1800" s="69"/>
      <c r="Q1800" s="69"/>
      <c r="R1800" s="69"/>
      <c r="S1800" s="69"/>
      <c r="T1800" s="69"/>
      <c r="U1800" s="69"/>
      <c r="V1800" s="69"/>
      <c r="W1800" s="69"/>
      <c r="X1800" s="69"/>
      <c r="Y1800" s="69"/>
      <c r="Z1800" s="69"/>
      <c r="AA1800" s="69"/>
      <c r="AB1800" s="69"/>
      <c r="AC1800" s="69"/>
      <c r="AD1800" s="69"/>
      <c r="AE1800" s="69"/>
      <c r="AF1800" s="69"/>
      <c r="AG1800" s="69"/>
      <c r="AH1800" s="69"/>
      <c r="AI1800" s="69"/>
      <c r="AJ1800" s="69"/>
      <c r="AK1800" s="69"/>
      <c r="AL1800" s="69"/>
      <c r="AM1800" s="69"/>
      <c r="AN1800" s="69"/>
      <c r="AO1800" s="69"/>
      <c r="AP1800" s="69"/>
      <c r="AQ1800" s="69"/>
      <c r="AR1800" s="69"/>
      <c r="AS1800" s="69"/>
      <c r="AT1800" s="69"/>
      <c r="AU1800" s="69"/>
      <c r="AV1800" s="69"/>
      <c r="AW1800" s="69"/>
      <c r="AX1800" s="69"/>
      <c r="AY1800" s="69"/>
      <c r="AZ1800" s="69"/>
      <c r="BA1800" s="69"/>
      <c r="BB1800" s="69"/>
      <c r="BC1800" s="69"/>
    </row>
    <row r="1801">
      <c r="A1801" s="68"/>
      <c r="B1801" s="68"/>
      <c r="C1801" s="68"/>
      <c r="D1801" s="68"/>
      <c r="E1801" s="68"/>
      <c r="F1801" s="68"/>
      <c r="G1801" s="68"/>
      <c r="H1801" s="68"/>
      <c r="I1801" s="69"/>
      <c r="J1801" s="69"/>
      <c r="K1801" s="71"/>
      <c r="L1801" s="69"/>
      <c r="M1801" s="69"/>
      <c r="N1801" s="72"/>
      <c r="O1801" s="69"/>
      <c r="P1801" s="69"/>
      <c r="Q1801" s="69"/>
      <c r="R1801" s="69"/>
      <c r="S1801" s="69"/>
      <c r="T1801" s="69"/>
      <c r="U1801" s="69"/>
      <c r="V1801" s="69"/>
      <c r="W1801" s="69"/>
      <c r="X1801" s="69"/>
      <c r="Y1801" s="69"/>
      <c r="Z1801" s="69"/>
      <c r="AA1801" s="69"/>
      <c r="AB1801" s="69"/>
      <c r="AC1801" s="69"/>
      <c r="AD1801" s="69"/>
      <c r="AE1801" s="69"/>
      <c r="AF1801" s="69"/>
      <c r="AG1801" s="69"/>
      <c r="AH1801" s="69"/>
      <c r="AI1801" s="69"/>
      <c r="AJ1801" s="69"/>
      <c r="AK1801" s="69"/>
      <c r="AL1801" s="69"/>
      <c r="AM1801" s="69"/>
      <c r="AN1801" s="69"/>
      <c r="AO1801" s="69"/>
      <c r="AP1801" s="69"/>
      <c r="AQ1801" s="69"/>
      <c r="AR1801" s="69"/>
      <c r="AS1801" s="69"/>
      <c r="AT1801" s="69"/>
      <c r="AU1801" s="69"/>
      <c r="AV1801" s="69"/>
      <c r="AW1801" s="69"/>
      <c r="AX1801" s="69"/>
      <c r="AY1801" s="69"/>
      <c r="AZ1801" s="69"/>
      <c r="BA1801" s="69"/>
      <c r="BB1801" s="69"/>
      <c r="BC1801" s="69"/>
    </row>
    <row r="1802">
      <c r="A1802" s="68"/>
      <c r="B1802" s="68"/>
      <c r="C1802" s="68"/>
      <c r="D1802" s="68"/>
      <c r="E1802" s="68"/>
      <c r="F1802" s="68"/>
      <c r="G1802" s="68"/>
      <c r="H1802" s="68"/>
      <c r="I1802" s="69"/>
      <c r="J1802" s="69"/>
      <c r="K1802" s="71"/>
      <c r="L1802" s="69"/>
      <c r="M1802" s="69"/>
      <c r="N1802" s="72"/>
      <c r="O1802" s="69"/>
      <c r="P1802" s="69"/>
      <c r="Q1802" s="69"/>
      <c r="R1802" s="69"/>
      <c r="S1802" s="69"/>
      <c r="T1802" s="69"/>
      <c r="U1802" s="69"/>
      <c r="V1802" s="69"/>
      <c r="W1802" s="69"/>
      <c r="X1802" s="69"/>
      <c r="Y1802" s="69"/>
      <c r="Z1802" s="69"/>
      <c r="AA1802" s="69"/>
      <c r="AB1802" s="69"/>
      <c r="AC1802" s="69"/>
      <c r="AD1802" s="69"/>
      <c r="AE1802" s="69"/>
      <c r="AF1802" s="69"/>
      <c r="AG1802" s="69"/>
      <c r="AH1802" s="69"/>
      <c r="AI1802" s="69"/>
      <c r="AJ1802" s="69"/>
      <c r="AK1802" s="69"/>
      <c r="AL1802" s="69"/>
      <c r="AM1802" s="69"/>
      <c r="AN1802" s="69"/>
      <c r="AO1802" s="69"/>
      <c r="AP1802" s="69"/>
      <c r="AQ1802" s="69"/>
      <c r="AR1802" s="69"/>
      <c r="AS1802" s="69"/>
      <c r="AT1802" s="69"/>
      <c r="AU1802" s="69"/>
      <c r="AV1802" s="69"/>
      <c r="AW1802" s="69"/>
      <c r="AX1802" s="69"/>
      <c r="AY1802" s="69"/>
      <c r="AZ1802" s="69"/>
      <c r="BA1802" s="69"/>
      <c r="BB1802" s="69"/>
      <c r="BC1802" s="69"/>
    </row>
    <row r="1803">
      <c r="A1803" s="68"/>
      <c r="B1803" s="68"/>
      <c r="C1803" s="68"/>
      <c r="D1803" s="68"/>
      <c r="E1803" s="68"/>
      <c r="F1803" s="68"/>
      <c r="G1803" s="68"/>
      <c r="H1803" s="68"/>
      <c r="I1803" s="69"/>
      <c r="J1803" s="69"/>
      <c r="K1803" s="71"/>
      <c r="L1803" s="69"/>
      <c r="M1803" s="69"/>
      <c r="N1803" s="72"/>
      <c r="O1803" s="69"/>
      <c r="P1803" s="69"/>
      <c r="Q1803" s="69"/>
      <c r="R1803" s="69"/>
      <c r="S1803" s="69"/>
      <c r="T1803" s="69"/>
      <c r="U1803" s="69"/>
      <c r="V1803" s="69"/>
      <c r="W1803" s="69"/>
      <c r="X1803" s="69"/>
      <c r="Y1803" s="69"/>
      <c r="Z1803" s="69"/>
      <c r="AA1803" s="69"/>
      <c r="AB1803" s="69"/>
      <c r="AC1803" s="69"/>
      <c r="AD1803" s="69"/>
      <c r="AE1803" s="69"/>
      <c r="AF1803" s="69"/>
      <c r="AG1803" s="69"/>
      <c r="AH1803" s="69"/>
      <c r="AI1803" s="69"/>
      <c r="AJ1803" s="69"/>
      <c r="AK1803" s="69"/>
      <c r="AL1803" s="69"/>
      <c r="AM1803" s="69"/>
      <c r="AN1803" s="69"/>
      <c r="AO1803" s="69"/>
      <c r="AP1803" s="69"/>
      <c r="AQ1803" s="69"/>
      <c r="AR1803" s="69"/>
      <c r="AS1803" s="69"/>
      <c r="AT1803" s="69"/>
      <c r="AU1803" s="69"/>
      <c r="AV1803" s="69"/>
      <c r="AW1803" s="69"/>
      <c r="AX1803" s="69"/>
      <c r="AY1803" s="69"/>
      <c r="AZ1803" s="69"/>
      <c r="BA1803" s="69"/>
      <c r="BB1803" s="69"/>
      <c r="BC1803" s="69"/>
    </row>
    <row r="1804">
      <c r="A1804" s="68"/>
      <c r="B1804" s="68"/>
      <c r="C1804" s="68"/>
      <c r="D1804" s="68"/>
      <c r="E1804" s="68"/>
      <c r="F1804" s="68"/>
      <c r="G1804" s="68"/>
      <c r="H1804" s="68"/>
      <c r="I1804" s="69"/>
      <c r="J1804" s="69"/>
      <c r="K1804" s="71"/>
      <c r="L1804" s="69"/>
      <c r="M1804" s="69"/>
      <c r="N1804" s="72"/>
      <c r="O1804" s="69"/>
      <c r="P1804" s="69"/>
      <c r="Q1804" s="69"/>
      <c r="R1804" s="69"/>
      <c r="S1804" s="69"/>
      <c r="T1804" s="69"/>
      <c r="U1804" s="69"/>
      <c r="V1804" s="69"/>
      <c r="W1804" s="69"/>
      <c r="X1804" s="69"/>
      <c r="Y1804" s="69"/>
      <c r="Z1804" s="69"/>
      <c r="AA1804" s="69"/>
      <c r="AB1804" s="69"/>
      <c r="AC1804" s="69"/>
      <c r="AD1804" s="69"/>
      <c r="AE1804" s="69"/>
      <c r="AF1804" s="69"/>
      <c r="AG1804" s="69"/>
      <c r="AH1804" s="69"/>
      <c r="AI1804" s="69"/>
      <c r="AJ1804" s="69"/>
      <c r="AK1804" s="69"/>
      <c r="AL1804" s="69"/>
      <c r="AM1804" s="69"/>
      <c r="AN1804" s="69"/>
      <c r="AO1804" s="69"/>
      <c r="AP1804" s="69"/>
      <c r="AQ1804" s="69"/>
      <c r="AR1804" s="69"/>
      <c r="AS1804" s="69"/>
      <c r="AT1804" s="69"/>
      <c r="AU1804" s="69"/>
      <c r="AV1804" s="69"/>
      <c r="AW1804" s="69"/>
      <c r="AX1804" s="69"/>
      <c r="AY1804" s="69"/>
      <c r="AZ1804" s="69"/>
      <c r="BA1804" s="69"/>
      <c r="BB1804" s="69"/>
      <c r="BC1804" s="69"/>
    </row>
    <row r="1805">
      <c r="A1805" s="68"/>
      <c r="B1805" s="68"/>
      <c r="C1805" s="68"/>
      <c r="D1805" s="68"/>
      <c r="E1805" s="68"/>
      <c r="F1805" s="68"/>
      <c r="G1805" s="68"/>
      <c r="H1805" s="68"/>
      <c r="I1805" s="69"/>
      <c r="J1805" s="69"/>
      <c r="K1805" s="71"/>
      <c r="L1805" s="69"/>
      <c r="M1805" s="69"/>
      <c r="N1805" s="72"/>
      <c r="O1805" s="69"/>
      <c r="P1805" s="69"/>
      <c r="Q1805" s="69"/>
      <c r="R1805" s="69"/>
      <c r="S1805" s="69"/>
      <c r="T1805" s="69"/>
      <c r="U1805" s="69"/>
      <c r="V1805" s="69"/>
      <c r="W1805" s="69"/>
      <c r="X1805" s="69"/>
      <c r="Y1805" s="69"/>
      <c r="Z1805" s="69"/>
      <c r="AA1805" s="69"/>
      <c r="AB1805" s="69"/>
      <c r="AC1805" s="69"/>
      <c r="AD1805" s="69"/>
      <c r="AE1805" s="69"/>
      <c r="AF1805" s="69"/>
      <c r="AG1805" s="69"/>
      <c r="AH1805" s="69"/>
      <c r="AI1805" s="69"/>
      <c r="AJ1805" s="69"/>
      <c r="AK1805" s="69"/>
      <c r="AL1805" s="69"/>
      <c r="AM1805" s="69"/>
      <c r="AN1805" s="69"/>
      <c r="AO1805" s="69"/>
      <c r="AP1805" s="69"/>
      <c r="AQ1805" s="69"/>
      <c r="AR1805" s="69"/>
      <c r="AS1805" s="69"/>
      <c r="AT1805" s="69"/>
      <c r="AU1805" s="69"/>
      <c r="AV1805" s="69"/>
      <c r="AW1805" s="69"/>
      <c r="AX1805" s="69"/>
      <c r="AY1805" s="69"/>
      <c r="AZ1805" s="69"/>
      <c r="BA1805" s="69"/>
      <c r="BB1805" s="69"/>
      <c r="BC1805" s="69"/>
    </row>
    <row r="1806">
      <c r="A1806" s="68"/>
      <c r="B1806" s="68"/>
      <c r="C1806" s="68"/>
      <c r="D1806" s="68"/>
      <c r="E1806" s="68"/>
      <c r="F1806" s="68"/>
      <c r="G1806" s="68"/>
      <c r="H1806" s="68"/>
      <c r="I1806" s="69"/>
      <c r="J1806" s="69"/>
      <c r="K1806" s="71"/>
      <c r="L1806" s="69"/>
      <c r="M1806" s="69"/>
      <c r="N1806" s="72"/>
      <c r="O1806" s="69"/>
      <c r="P1806" s="69"/>
      <c r="Q1806" s="69"/>
      <c r="R1806" s="69"/>
      <c r="S1806" s="69"/>
      <c r="T1806" s="69"/>
      <c r="U1806" s="69"/>
      <c r="V1806" s="69"/>
      <c r="W1806" s="69"/>
      <c r="X1806" s="69"/>
      <c r="Y1806" s="69"/>
      <c r="Z1806" s="69"/>
      <c r="AA1806" s="69"/>
      <c r="AB1806" s="69"/>
      <c r="AC1806" s="69"/>
      <c r="AD1806" s="69"/>
      <c r="AE1806" s="69"/>
      <c r="AF1806" s="69"/>
      <c r="AG1806" s="69"/>
      <c r="AH1806" s="69"/>
      <c r="AI1806" s="69"/>
      <c r="AJ1806" s="69"/>
      <c r="AK1806" s="69"/>
      <c r="AL1806" s="69"/>
      <c r="AM1806" s="69"/>
      <c r="AN1806" s="69"/>
      <c r="AO1806" s="69"/>
      <c r="AP1806" s="69"/>
      <c r="AQ1806" s="69"/>
      <c r="AR1806" s="69"/>
      <c r="AS1806" s="69"/>
      <c r="AT1806" s="69"/>
      <c r="AU1806" s="69"/>
      <c r="AV1806" s="69"/>
      <c r="AW1806" s="69"/>
      <c r="AX1806" s="69"/>
      <c r="AY1806" s="69"/>
      <c r="AZ1806" s="69"/>
      <c r="BA1806" s="69"/>
      <c r="BB1806" s="69"/>
      <c r="BC1806" s="69"/>
    </row>
    <row r="1807">
      <c r="A1807" s="68"/>
      <c r="B1807" s="68"/>
      <c r="C1807" s="68"/>
      <c r="D1807" s="68"/>
      <c r="E1807" s="68"/>
      <c r="F1807" s="68"/>
      <c r="G1807" s="68"/>
      <c r="H1807" s="68"/>
      <c r="I1807" s="69"/>
      <c r="J1807" s="69"/>
      <c r="K1807" s="71"/>
      <c r="L1807" s="69"/>
      <c r="M1807" s="69"/>
      <c r="N1807" s="72"/>
      <c r="O1807" s="69"/>
      <c r="P1807" s="69"/>
      <c r="Q1807" s="69"/>
      <c r="R1807" s="69"/>
      <c r="S1807" s="69"/>
      <c r="T1807" s="69"/>
      <c r="U1807" s="69"/>
      <c r="V1807" s="69"/>
      <c r="W1807" s="69"/>
      <c r="X1807" s="69"/>
      <c r="Y1807" s="69"/>
      <c r="Z1807" s="69"/>
      <c r="AA1807" s="69"/>
      <c r="AB1807" s="69"/>
      <c r="AC1807" s="69"/>
      <c r="AD1807" s="69"/>
      <c r="AE1807" s="69"/>
      <c r="AF1807" s="69"/>
      <c r="AG1807" s="69"/>
      <c r="AH1807" s="69"/>
      <c r="AI1807" s="69"/>
      <c r="AJ1807" s="69"/>
      <c r="AK1807" s="69"/>
      <c r="AL1807" s="69"/>
      <c r="AM1807" s="69"/>
      <c r="AN1807" s="69"/>
      <c r="AO1807" s="69"/>
      <c r="AP1807" s="69"/>
      <c r="AQ1807" s="69"/>
      <c r="AR1807" s="69"/>
      <c r="AS1807" s="69"/>
      <c r="AT1807" s="69"/>
      <c r="AU1807" s="69"/>
      <c r="AV1807" s="69"/>
      <c r="AW1807" s="69"/>
      <c r="AX1807" s="69"/>
      <c r="AY1807" s="69"/>
      <c r="AZ1807" s="69"/>
      <c r="BA1807" s="69"/>
      <c r="BB1807" s="69"/>
      <c r="BC1807" s="69"/>
    </row>
    <row r="1808">
      <c r="A1808" s="68"/>
      <c r="B1808" s="68"/>
      <c r="C1808" s="68"/>
      <c r="D1808" s="68"/>
      <c r="E1808" s="68"/>
      <c r="F1808" s="68"/>
      <c r="G1808" s="68"/>
      <c r="H1808" s="68"/>
      <c r="I1808" s="69"/>
      <c r="J1808" s="69"/>
      <c r="K1808" s="71"/>
      <c r="L1808" s="69"/>
      <c r="M1808" s="69"/>
      <c r="N1808" s="72"/>
      <c r="O1808" s="69"/>
      <c r="P1808" s="69"/>
      <c r="Q1808" s="69"/>
      <c r="R1808" s="69"/>
      <c r="S1808" s="69"/>
      <c r="T1808" s="69"/>
      <c r="U1808" s="69"/>
      <c r="V1808" s="69"/>
      <c r="W1808" s="69"/>
      <c r="X1808" s="69"/>
      <c r="Y1808" s="69"/>
      <c r="Z1808" s="69"/>
      <c r="AA1808" s="69"/>
      <c r="AB1808" s="69"/>
      <c r="AC1808" s="69"/>
      <c r="AD1808" s="69"/>
      <c r="AE1808" s="69"/>
      <c r="AF1808" s="69"/>
      <c r="AG1808" s="69"/>
      <c r="AH1808" s="69"/>
      <c r="AI1808" s="69"/>
      <c r="AJ1808" s="69"/>
      <c r="AK1808" s="69"/>
      <c r="AL1808" s="69"/>
      <c r="AM1808" s="69"/>
      <c r="AN1808" s="69"/>
      <c r="AO1808" s="69"/>
      <c r="AP1808" s="69"/>
      <c r="AQ1808" s="69"/>
      <c r="AR1808" s="69"/>
      <c r="AS1808" s="69"/>
      <c r="AT1808" s="69"/>
      <c r="AU1808" s="69"/>
      <c r="AV1808" s="69"/>
      <c r="AW1808" s="69"/>
      <c r="AX1808" s="69"/>
      <c r="AY1808" s="69"/>
      <c r="AZ1808" s="69"/>
      <c r="BA1808" s="69"/>
      <c r="BB1808" s="69"/>
      <c r="BC1808" s="69"/>
    </row>
    <row r="1809">
      <c r="A1809" s="68"/>
      <c r="B1809" s="68"/>
      <c r="C1809" s="68"/>
      <c r="D1809" s="68"/>
      <c r="E1809" s="68"/>
      <c r="F1809" s="68"/>
      <c r="G1809" s="68"/>
      <c r="H1809" s="68"/>
      <c r="I1809" s="69"/>
      <c r="J1809" s="69"/>
      <c r="K1809" s="71"/>
      <c r="L1809" s="69"/>
      <c r="M1809" s="69"/>
      <c r="N1809" s="72"/>
      <c r="O1809" s="69"/>
      <c r="P1809" s="69"/>
      <c r="Q1809" s="69"/>
      <c r="R1809" s="69"/>
      <c r="S1809" s="69"/>
      <c r="T1809" s="69"/>
      <c r="U1809" s="69"/>
      <c r="V1809" s="69"/>
      <c r="W1809" s="69"/>
      <c r="X1809" s="69"/>
      <c r="Y1809" s="69"/>
      <c r="Z1809" s="69"/>
      <c r="AA1809" s="69"/>
      <c r="AB1809" s="69"/>
      <c r="AC1809" s="69"/>
      <c r="AD1809" s="69"/>
      <c r="AE1809" s="69"/>
      <c r="AF1809" s="69"/>
      <c r="AG1809" s="69"/>
      <c r="AH1809" s="69"/>
      <c r="AI1809" s="69"/>
      <c r="AJ1809" s="69"/>
      <c r="AK1809" s="69"/>
      <c r="AL1809" s="69"/>
      <c r="AM1809" s="69"/>
      <c r="AN1809" s="69"/>
      <c r="AO1809" s="69"/>
      <c r="AP1809" s="69"/>
      <c r="AQ1809" s="69"/>
      <c r="AR1809" s="69"/>
      <c r="AS1809" s="69"/>
      <c r="AT1809" s="69"/>
      <c r="AU1809" s="69"/>
      <c r="AV1809" s="69"/>
      <c r="AW1809" s="69"/>
      <c r="AX1809" s="69"/>
      <c r="AY1809" s="69"/>
      <c r="AZ1809" s="69"/>
      <c r="BA1809" s="69"/>
      <c r="BB1809" s="69"/>
      <c r="BC1809" s="69"/>
    </row>
    <row r="1810">
      <c r="A1810" s="68"/>
      <c r="B1810" s="68"/>
      <c r="C1810" s="68"/>
      <c r="D1810" s="68"/>
      <c r="E1810" s="68"/>
      <c r="F1810" s="68"/>
      <c r="G1810" s="68"/>
      <c r="H1810" s="68"/>
      <c r="I1810" s="69"/>
      <c r="J1810" s="69"/>
      <c r="K1810" s="71"/>
      <c r="L1810" s="69"/>
      <c r="M1810" s="69"/>
      <c r="N1810" s="72"/>
      <c r="O1810" s="69"/>
      <c r="P1810" s="69"/>
      <c r="Q1810" s="69"/>
      <c r="R1810" s="69"/>
      <c r="S1810" s="69"/>
      <c r="T1810" s="69"/>
      <c r="U1810" s="69"/>
      <c r="V1810" s="69"/>
      <c r="W1810" s="69"/>
      <c r="X1810" s="69"/>
      <c r="Y1810" s="69"/>
      <c r="Z1810" s="69"/>
      <c r="AA1810" s="69"/>
      <c r="AB1810" s="69"/>
      <c r="AC1810" s="69"/>
      <c r="AD1810" s="69"/>
      <c r="AE1810" s="69"/>
      <c r="AF1810" s="69"/>
      <c r="AG1810" s="69"/>
      <c r="AH1810" s="69"/>
      <c r="AI1810" s="69"/>
      <c r="AJ1810" s="69"/>
      <c r="AK1810" s="69"/>
      <c r="AL1810" s="69"/>
      <c r="AM1810" s="69"/>
      <c r="AN1810" s="69"/>
      <c r="AO1810" s="69"/>
      <c r="AP1810" s="69"/>
      <c r="AQ1810" s="69"/>
      <c r="AR1810" s="69"/>
      <c r="AS1810" s="69"/>
      <c r="AT1810" s="69"/>
      <c r="AU1810" s="69"/>
      <c r="AV1810" s="69"/>
      <c r="AW1810" s="69"/>
      <c r="AX1810" s="69"/>
      <c r="AY1810" s="69"/>
      <c r="AZ1810" s="69"/>
      <c r="BA1810" s="69"/>
      <c r="BB1810" s="69"/>
      <c r="BC1810" s="69"/>
    </row>
    <row r="1811">
      <c r="A1811" s="68"/>
      <c r="B1811" s="68"/>
      <c r="C1811" s="68"/>
      <c r="D1811" s="68"/>
      <c r="E1811" s="68"/>
      <c r="F1811" s="68"/>
      <c r="G1811" s="68"/>
      <c r="H1811" s="68"/>
      <c r="I1811" s="69"/>
      <c r="J1811" s="69"/>
      <c r="K1811" s="71"/>
      <c r="L1811" s="69"/>
      <c r="M1811" s="69"/>
      <c r="N1811" s="72"/>
      <c r="O1811" s="69"/>
      <c r="P1811" s="69"/>
      <c r="Q1811" s="69"/>
      <c r="R1811" s="69"/>
      <c r="S1811" s="69"/>
      <c r="T1811" s="69"/>
      <c r="U1811" s="69"/>
      <c r="V1811" s="69"/>
      <c r="W1811" s="69"/>
      <c r="X1811" s="69"/>
      <c r="Y1811" s="69"/>
      <c r="Z1811" s="69"/>
      <c r="AA1811" s="69"/>
      <c r="AB1811" s="69"/>
      <c r="AC1811" s="69"/>
      <c r="AD1811" s="69"/>
      <c r="AE1811" s="69"/>
      <c r="AF1811" s="69"/>
      <c r="AG1811" s="69"/>
      <c r="AH1811" s="69"/>
      <c r="AI1811" s="69"/>
      <c r="AJ1811" s="69"/>
      <c r="AK1811" s="69"/>
      <c r="AL1811" s="69"/>
      <c r="AM1811" s="69"/>
      <c r="AN1811" s="69"/>
      <c r="AO1811" s="69"/>
      <c r="AP1811" s="69"/>
      <c r="AQ1811" s="69"/>
      <c r="AR1811" s="69"/>
      <c r="AS1811" s="69"/>
      <c r="AT1811" s="69"/>
      <c r="AU1811" s="69"/>
      <c r="AV1811" s="69"/>
      <c r="AW1811" s="69"/>
      <c r="AX1811" s="69"/>
      <c r="AY1811" s="69"/>
      <c r="AZ1811" s="69"/>
      <c r="BA1811" s="69"/>
      <c r="BB1811" s="69"/>
      <c r="BC1811" s="69"/>
    </row>
    <row r="1812">
      <c r="A1812" s="68"/>
      <c r="B1812" s="68"/>
      <c r="C1812" s="68"/>
      <c r="D1812" s="68"/>
      <c r="E1812" s="68"/>
      <c r="F1812" s="68"/>
      <c r="G1812" s="68"/>
      <c r="H1812" s="68"/>
      <c r="I1812" s="69"/>
      <c r="J1812" s="69"/>
      <c r="K1812" s="71"/>
      <c r="L1812" s="69"/>
      <c r="M1812" s="69"/>
      <c r="N1812" s="72"/>
      <c r="O1812" s="69"/>
      <c r="P1812" s="69"/>
      <c r="Q1812" s="69"/>
      <c r="R1812" s="69"/>
      <c r="S1812" s="69"/>
      <c r="T1812" s="69"/>
      <c r="U1812" s="69"/>
      <c r="V1812" s="69"/>
      <c r="W1812" s="69"/>
      <c r="X1812" s="69"/>
      <c r="Y1812" s="69"/>
      <c r="Z1812" s="69"/>
      <c r="AA1812" s="69"/>
      <c r="AB1812" s="69"/>
      <c r="AC1812" s="69"/>
      <c r="AD1812" s="69"/>
      <c r="AE1812" s="69"/>
      <c r="AF1812" s="69"/>
      <c r="AG1812" s="69"/>
      <c r="AH1812" s="69"/>
      <c r="AI1812" s="69"/>
      <c r="AJ1812" s="69"/>
      <c r="AK1812" s="69"/>
      <c r="AL1812" s="69"/>
      <c r="AM1812" s="69"/>
      <c r="AN1812" s="69"/>
      <c r="AO1812" s="69"/>
      <c r="AP1812" s="69"/>
      <c r="AQ1812" s="69"/>
      <c r="AR1812" s="69"/>
      <c r="AS1812" s="69"/>
      <c r="AT1812" s="69"/>
      <c r="AU1812" s="69"/>
      <c r="AV1812" s="69"/>
      <c r="AW1812" s="69"/>
      <c r="AX1812" s="69"/>
      <c r="AY1812" s="69"/>
      <c r="AZ1812" s="69"/>
      <c r="BA1812" s="69"/>
      <c r="BB1812" s="69"/>
      <c r="BC1812" s="69"/>
    </row>
    <row r="1813">
      <c r="A1813" s="68"/>
      <c r="B1813" s="68"/>
      <c r="C1813" s="68"/>
      <c r="D1813" s="68"/>
      <c r="E1813" s="68"/>
      <c r="F1813" s="68"/>
      <c r="G1813" s="68"/>
      <c r="H1813" s="68"/>
      <c r="I1813" s="69"/>
      <c r="J1813" s="69"/>
      <c r="K1813" s="71"/>
      <c r="L1813" s="69"/>
      <c r="M1813" s="69"/>
      <c r="N1813" s="72"/>
      <c r="O1813" s="69"/>
      <c r="P1813" s="69"/>
      <c r="Q1813" s="69"/>
      <c r="R1813" s="69"/>
      <c r="S1813" s="69"/>
      <c r="T1813" s="69"/>
      <c r="U1813" s="69"/>
      <c r="V1813" s="69"/>
      <c r="W1813" s="69"/>
      <c r="X1813" s="69"/>
      <c r="Y1813" s="69"/>
      <c r="Z1813" s="69"/>
      <c r="AA1813" s="69"/>
      <c r="AB1813" s="69"/>
      <c r="AC1813" s="69"/>
      <c r="AD1813" s="69"/>
      <c r="AE1813" s="69"/>
      <c r="AF1813" s="69"/>
      <c r="AG1813" s="69"/>
      <c r="AH1813" s="69"/>
      <c r="AI1813" s="69"/>
      <c r="AJ1813" s="69"/>
      <c r="AK1813" s="69"/>
      <c r="AL1813" s="69"/>
      <c r="AM1813" s="69"/>
      <c r="AN1813" s="69"/>
      <c r="AO1813" s="69"/>
      <c r="AP1813" s="69"/>
      <c r="AQ1813" s="69"/>
      <c r="AR1813" s="69"/>
      <c r="AS1813" s="69"/>
      <c r="AT1813" s="69"/>
      <c r="AU1813" s="69"/>
      <c r="AV1813" s="69"/>
      <c r="AW1813" s="69"/>
      <c r="AX1813" s="69"/>
      <c r="AY1813" s="69"/>
      <c r="AZ1813" s="69"/>
      <c r="BA1813" s="69"/>
      <c r="BB1813" s="69"/>
      <c r="BC1813" s="69"/>
    </row>
    <row r="1814">
      <c r="A1814" s="68"/>
      <c r="B1814" s="68"/>
      <c r="C1814" s="68"/>
      <c r="D1814" s="68"/>
      <c r="E1814" s="68"/>
      <c r="F1814" s="68"/>
      <c r="G1814" s="68"/>
      <c r="H1814" s="68"/>
      <c r="I1814" s="69"/>
      <c r="J1814" s="69"/>
      <c r="K1814" s="71"/>
      <c r="L1814" s="69"/>
      <c r="M1814" s="69"/>
      <c r="N1814" s="72"/>
      <c r="O1814" s="69"/>
      <c r="P1814" s="69"/>
      <c r="Q1814" s="69"/>
      <c r="R1814" s="69"/>
      <c r="S1814" s="69"/>
      <c r="T1814" s="69"/>
      <c r="U1814" s="69"/>
      <c r="V1814" s="69"/>
      <c r="W1814" s="69"/>
      <c r="X1814" s="69"/>
      <c r="Y1814" s="69"/>
      <c r="Z1814" s="69"/>
      <c r="AA1814" s="69"/>
      <c r="AB1814" s="69"/>
      <c r="AC1814" s="69"/>
      <c r="AD1814" s="69"/>
      <c r="AE1814" s="69"/>
      <c r="AF1814" s="69"/>
      <c r="AG1814" s="69"/>
      <c r="AH1814" s="69"/>
      <c r="AI1814" s="69"/>
      <c r="AJ1814" s="69"/>
      <c r="AK1814" s="69"/>
      <c r="AL1814" s="69"/>
      <c r="AM1814" s="69"/>
      <c r="AN1814" s="69"/>
      <c r="AO1814" s="69"/>
      <c r="AP1814" s="69"/>
      <c r="AQ1814" s="69"/>
      <c r="AR1814" s="69"/>
      <c r="AS1814" s="69"/>
      <c r="AT1814" s="69"/>
      <c r="AU1814" s="69"/>
      <c r="AV1814" s="69"/>
      <c r="AW1814" s="69"/>
      <c r="AX1814" s="69"/>
      <c r="AY1814" s="69"/>
      <c r="AZ1814" s="69"/>
      <c r="BA1814" s="69"/>
      <c r="BB1814" s="69"/>
      <c r="BC1814" s="69"/>
    </row>
    <row r="1815">
      <c r="A1815" s="68"/>
      <c r="B1815" s="68"/>
      <c r="C1815" s="68"/>
      <c r="D1815" s="68"/>
      <c r="E1815" s="68"/>
      <c r="F1815" s="68"/>
      <c r="G1815" s="68"/>
      <c r="H1815" s="68"/>
      <c r="I1815" s="69"/>
      <c r="J1815" s="69"/>
      <c r="K1815" s="71"/>
      <c r="L1815" s="69"/>
      <c r="M1815" s="69"/>
      <c r="N1815" s="72"/>
      <c r="O1815" s="69"/>
      <c r="P1815" s="69"/>
      <c r="Q1815" s="69"/>
      <c r="R1815" s="69"/>
      <c r="S1815" s="69"/>
      <c r="T1815" s="69"/>
      <c r="U1815" s="69"/>
      <c r="V1815" s="69"/>
      <c r="W1815" s="69"/>
      <c r="X1815" s="69"/>
      <c r="Y1815" s="69"/>
      <c r="Z1815" s="69"/>
      <c r="AA1815" s="69"/>
      <c r="AB1815" s="69"/>
      <c r="AC1815" s="69"/>
      <c r="AD1815" s="69"/>
      <c r="AE1815" s="69"/>
      <c r="AF1815" s="69"/>
      <c r="AG1815" s="69"/>
      <c r="AH1815" s="69"/>
      <c r="AI1815" s="69"/>
      <c r="AJ1815" s="69"/>
      <c r="AK1815" s="69"/>
      <c r="AL1815" s="69"/>
      <c r="AM1815" s="69"/>
      <c r="AN1815" s="69"/>
      <c r="AO1815" s="69"/>
      <c r="AP1815" s="69"/>
      <c r="AQ1815" s="69"/>
      <c r="AR1815" s="69"/>
      <c r="AS1815" s="69"/>
      <c r="AT1815" s="69"/>
      <c r="AU1815" s="69"/>
      <c r="AV1815" s="69"/>
      <c r="AW1815" s="69"/>
      <c r="AX1815" s="69"/>
      <c r="AY1815" s="69"/>
      <c r="AZ1815" s="69"/>
      <c r="BA1815" s="69"/>
      <c r="BB1815" s="69"/>
      <c r="BC1815" s="69"/>
    </row>
    <row r="1816">
      <c r="A1816" s="68"/>
      <c r="B1816" s="68"/>
      <c r="C1816" s="68"/>
      <c r="D1816" s="68"/>
      <c r="E1816" s="68"/>
      <c r="F1816" s="68"/>
      <c r="G1816" s="68"/>
      <c r="H1816" s="68"/>
      <c r="I1816" s="69"/>
      <c r="J1816" s="69"/>
      <c r="K1816" s="71"/>
      <c r="L1816" s="69"/>
      <c r="M1816" s="69"/>
      <c r="N1816" s="72"/>
      <c r="O1816" s="69"/>
      <c r="P1816" s="69"/>
      <c r="Q1816" s="69"/>
      <c r="R1816" s="69"/>
      <c r="S1816" s="69"/>
      <c r="T1816" s="69"/>
      <c r="U1816" s="69"/>
      <c r="V1816" s="69"/>
      <c r="W1816" s="69"/>
      <c r="X1816" s="69"/>
      <c r="Y1816" s="69"/>
      <c r="Z1816" s="69"/>
      <c r="AA1816" s="69"/>
      <c r="AB1816" s="69"/>
      <c r="AC1816" s="69"/>
      <c r="AD1816" s="69"/>
      <c r="AE1816" s="69"/>
      <c r="AF1816" s="69"/>
      <c r="AG1816" s="69"/>
      <c r="AH1816" s="69"/>
      <c r="AI1816" s="69"/>
      <c r="AJ1816" s="69"/>
      <c r="AK1816" s="69"/>
      <c r="AL1816" s="69"/>
      <c r="AM1816" s="69"/>
      <c r="AN1816" s="69"/>
      <c r="AO1816" s="69"/>
      <c r="AP1816" s="69"/>
      <c r="AQ1816" s="69"/>
      <c r="AR1816" s="69"/>
      <c r="AS1816" s="69"/>
      <c r="AT1816" s="69"/>
      <c r="AU1816" s="69"/>
      <c r="AV1816" s="69"/>
      <c r="AW1816" s="69"/>
      <c r="AX1816" s="69"/>
      <c r="AY1816" s="69"/>
      <c r="AZ1816" s="69"/>
      <c r="BA1816" s="69"/>
      <c r="BB1816" s="69"/>
      <c r="BC1816" s="69"/>
    </row>
    <row r="1817">
      <c r="A1817" s="68"/>
      <c r="B1817" s="68"/>
      <c r="C1817" s="68"/>
      <c r="D1817" s="68"/>
      <c r="E1817" s="68"/>
      <c r="F1817" s="68"/>
      <c r="G1817" s="68"/>
      <c r="H1817" s="68"/>
      <c r="I1817" s="69"/>
      <c r="J1817" s="69"/>
      <c r="K1817" s="71"/>
      <c r="L1817" s="69"/>
      <c r="M1817" s="69"/>
      <c r="N1817" s="72"/>
      <c r="O1817" s="69"/>
      <c r="P1817" s="69"/>
      <c r="Q1817" s="69"/>
      <c r="R1817" s="69"/>
      <c r="S1817" s="69"/>
      <c r="T1817" s="69"/>
      <c r="U1817" s="69"/>
      <c r="V1817" s="69"/>
      <c r="W1817" s="69"/>
      <c r="X1817" s="69"/>
      <c r="Y1817" s="69"/>
      <c r="Z1817" s="69"/>
      <c r="AA1817" s="69"/>
      <c r="AB1817" s="69"/>
      <c r="AC1817" s="69"/>
      <c r="AD1817" s="69"/>
      <c r="AE1817" s="69"/>
      <c r="AF1817" s="69"/>
      <c r="AG1817" s="69"/>
      <c r="AH1817" s="69"/>
      <c r="AI1817" s="69"/>
      <c r="AJ1817" s="69"/>
      <c r="AK1817" s="69"/>
      <c r="AL1817" s="69"/>
      <c r="AM1817" s="69"/>
      <c r="AN1817" s="69"/>
      <c r="AO1817" s="69"/>
      <c r="AP1817" s="69"/>
      <c r="AQ1817" s="69"/>
      <c r="AR1817" s="69"/>
      <c r="AS1817" s="69"/>
      <c r="AT1817" s="69"/>
      <c r="AU1817" s="69"/>
      <c r="AV1817" s="69"/>
      <c r="AW1817" s="69"/>
      <c r="AX1817" s="69"/>
      <c r="AY1817" s="69"/>
      <c r="AZ1817" s="69"/>
      <c r="BA1817" s="69"/>
      <c r="BB1817" s="69"/>
      <c r="BC1817" s="69"/>
    </row>
    <row r="1818">
      <c r="A1818" s="68"/>
      <c r="B1818" s="68"/>
      <c r="C1818" s="68"/>
      <c r="D1818" s="68"/>
      <c r="E1818" s="68"/>
      <c r="F1818" s="68"/>
      <c r="G1818" s="68"/>
      <c r="H1818" s="68"/>
      <c r="I1818" s="69"/>
      <c r="J1818" s="69"/>
      <c r="K1818" s="71"/>
      <c r="L1818" s="69"/>
      <c r="M1818" s="69"/>
      <c r="N1818" s="72"/>
      <c r="O1818" s="69"/>
      <c r="P1818" s="69"/>
      <c r="Q1818" s="69"/>
      <c r="R1818" s="69"/>
      <c r="S1818" s="69"/>
      <c r="T1818" s="69"/>
      <c r="U1818" s="69"/>
      <c r="V1818" s="69"/>
      <c r="W1818" s="69"/>
      <c r="X1818" s="69"/>
      <c r="Y1818" s="69"/>
      <c r="Z1818" s="69"/>
      <c r="AA1818" s="69"/>
      <c r="AB1818" s="69"/>
      <c r="AC1818" s="69"/>
      <c r="AD1818" s="69"/>
      <c r="AE1818" s="69"/>
      <c r="AF1818" s="69"/>
      <c r="AG1818" s="69"/>
      <c r="AH1818" s="69"/>
      <c r="AI1818" s="69"/>
      <c r="AJ1818" s="69"/>
      <c r="AK1818" s="69"/>
      <c r="AL1818" s="69"/>
      <c r="AM1818" s="69"/>
      <c r="AN1818" s="69"/>
      <c r="AO1818" s="69"/>
      <c r="AP1818" s="69"/>
      <c r="AQ1818" s="69"/>
      <c r="AR1818" s="69"/>
      <c r="AS1818" s="69"/>
      <c r="AT1818" s="69"/>
      <c r="AU1818" s="69"/>
      <c r="AV1818" s="69"/>
      <c r="AW1818" s="69"/>
      <c r="AX1818" s="69"/>
      <c r="AY1818" s="69"/>
      <c r="AZ1818" s="69"/>
      <c r="BA1818" s="69"/>
      <c r="BB1818" s="69"/>
      <c r="BC1818" s="69"/>
    </row>
    <row r="1819">
      <c r="A1819" s="68"/>
      <c r="B1819" s="68"/>
      <c r="C1819" s="68"/>
      <c r="D1819" s="68"/>
      <c r="E1819" s="68"/>
      <c r="F1819" s="68"/>
      <c r="G1819" s="68"/>
      <c r="H1819" s="68"/>
      <c r="I1819" s="69"/>
      <c r="J1819" s="69"/>
      <c r="K1819" s="71"/>
      <c r="L1819" s="69"/>
      <c r="M1819" s="69"/>
      <c r="N1819" s="72"/>
      <c r="O1819" s="69"/>
      <c r="P1819" s="69"/>
      <c r="Q1819" s="69"/>
      <c r="R1819" s="69"/>
      <c r="S1819" s="69"/>
      <c r="T1819" s="69"/>
      <c r="U1819" s="69"/>
      <c r="V1819" s="69"/>
      <c r="W1819" s="69"/>
      <c r="X1819" s="69"/>
      <c r="Y1819" s="69"/>
      <c r="Z1819" s="69"/>
      <c r="AA1819" s="69"/>
      <c r="AB1819" s="69"/>
      <c r="AC1819" s="69"/>
      <c r="AD1819" s="69"/>
      <c r="AE1819" s="69"/>
      <c r="AF1819" s="69"/>
      <c r="AG1819" s="69"/>
      <c r="AH1819" s="69"/>
      <c r="AI1819" s="69"/>
      <c r="AJ1819" s="69"/>
      <c r="AK1819" s="69"/>
      <c r="AL1819" s="69"/>
      <c r="AM1819" s="69"/>
      <c r="AN1819" s="69"/>
      <c r="AO1819" s="69"/>
      <c r="AP1819" s="69"/>
      <c r="AQ1819" s="69"/>
      <c r="AR1819" s="69"/>
      <c r="AS1819" s="69"/>
      <c r="AT1819" s="69"/>
      <c r="AU1819" s="69"/>
      <c r="AV1819" s="69"/>
      <c r="AW1819" s="69"/>
      <c r="AX1819" s="69"/>
      <c r="AY1819" s="69"/>
      <c r="AZ1819" s="69"/>
      <c r="BA1819" s="69"/>
      <c r="BB1819" s="69"/>
      <c r="BC1819" s="69"/>
    </row>
    <row r="1820">
      <c r="A1820" s="68"/>
      <c r="B1820" s="68"/>
      <c r="C1820" s="68"/>
      <c r="D1820" s="68"/>
      <c r="E1820" s="68"/>
      <c r="F1820" s="68"/>
      <c r="G1820" s="68"/>
      <c r="H1820" s="68"/>
      <c r="I1820" s="69"/>
      <c r="J1820" s="69"/>
      <c r="K1820" s="71"/>
      <c r="L1820" s="69"/>
      <c r="M1820" s="69"/>
      <c r="N1820" s="72"/>
      <c r="O1820" s="69"/>
      <c r="P1820" s="69"/>
      <c r="Q1820" s="69"/>
      <c r="R1820" s="69"/>
      <c r="S1820" s="69"/>
      <c r="T1820" s="69"/>
      <c r="U1820" s="69"/>
      <c r="V1820" s="69"/>
      <c r="W1820" s="69"/>
      <c r="X1820" s="69"/>
      <c r="Y1820" s="69"/>
      <c r="Z1820" s="69"/>
      <c r="AA1820" s="69"/>
      <c r="AB1820" s="69"/>
      <c r="AC1820" s="69"/>
      <c r="AD1820" s="69"/>
      <c r="AE1820" s="69"/>
      <c r="AF1820" s="69"/>
      <c r="AG1820" s="69"/>
      <c r="AH1820" s="69"/>
      <c r="AI1820" s="69"/>
      <c r="AJ1820" s="69"/>
      <c r="AK1820" s="69"/>
      <c r="AL1820" s="69"/>
      <c r="AM1820" s="69"/>
      <c r="AN1820" s="69"/>
      <c r="AO1820" s="69"/>
      <c r="AP1820" s="69"/>
      <c r="AQ1820" s="69"/>
      <c r="AR1820" s="69"/>
      <c r="AS1820" s="69"/>
      <c r="AT1820" s="69"/>
      <c r="AU1820" s="69"/>
      <c r="AV1820" s="69"/>
      <c r="AW1820" s="69"/>
      <c r="AX1820" s="69"/>
      <c r="AY1820" s="69"/>
      <c r="AZ1820" s="69"/>
      <c r="BA1820" s="69"/>
      <c r="BB1820" s="69"/>
      <c r="BC1820" s="69"/>
    </row>
    <row r="1821">
      <c r="A1821" s="68"/>
      <c r="B1821" s="68"/>
      <c r="C1821" s="68"/>
      <c r="D1821" s="68"/>
      <c r="E1821" s="68"/>
      <c r="F1821" s="68"/>
      <c r="G1821" s="68"/>
      <c r="H1821" s="68"/>
      <c r="I1821" s="69"/>
      <c r="J1821" s="69"/>
      <c r="K1821" s="71"/>
      <c r="L1821" s="69"/>
      <c r="M1821" s="69"/>
      <c r="N1821" s="72"/>
      <c r="O1821" s="69"/>
      <c r="P1821" s="69"/>
      <c r="Q1821" s="69"/>
      <c r="R1821" s="69"/>
      <c r="S1821" s="69"/>
      <c r="T1821" s="69"/>
      <c r="U1821" s="69"/>
      <c r="V1821" s="69"/>
      <c r="W1821" s="69"/>
      <c r="X1821" s="69"/>
      <c r="Y1821" s="69"/>
      <c r="Z1821" s="69"/>
      <c r="AA1821" s="69"/>
      <c r="AB1821" s="69"/>
      <c r="AC1821" s="69"/>
      <c r="AD1821" s="69"/>
      <c r="AE1821" s="69"/>
      <c r="AF1821" s="69"/>
      <c r="AG1821" s="69"/>
      <c r="AH1821" s="69"/>
      <c r="AI1821" s="69"/>
      <c r="AJ1821" s="69"/>
      <c r="AK1821" s="69"/>
      <c r="AL1821" s="69"/>
      <c r="AM1821" s="69"/>
      <c r="AN1821" s="69"/>
      <c r="AO1821" s="69"/>
      <c r="AP1821" s="69"/>
      <c r="AQ1821" s="69"/>
      <c r="AR1821" s="69"/>
      <c r="AS1821" s="69"/>
      <c r="AT1821" s="69"/>
      <c r="AU1821" s="69"/>
      <c r="AV1821" s="69"/>
      <c r="AW1821" s="69"/>
      <c r="AX1821" s="69"/>
      <c r="AY1821" s="69"/>
      <c r="AZ1821" s="69"/>
      <c r="BA1821" s="69"/>
      <c r="BB1821" s="69"/>
      <c r="BC1821" s="69"/>
    </row>
    <row r="1822">
      <c r="A1822" s="68"/>
      <c r="B1822" s="68"/>
      <c r="C1822" s="68"/>
      <c r="D1822" s="68"/>
      <c r="E1822" s="68"/>
      <c r="F1822" s="68"/>
      <c r="G1822" s="68"/>
      <c r="H1822" s="68"/>
      <c r="I1822" s="69"/>
      <c r="J1822" s="69"/>
      <c r="K1822" s="71"/>
      <c r="L1822" s="69"/>
      <c r="M1822" s="69"/>
      <c r="N1822" s="72"/>
      <c r="O1822" s="69"/>
      <c r="P1822" s="69"/>
      <c r="Q1822" s="69"/>
      <c r="R1822" s="69"/>
      <c r="S1822" s="69"/>
      <c r="T1822" s="69"/>
      <c r="U1822" s="69"/>
      <c r="V1822" s="69"/>
      <c r="W1822" s="69"/>
      <c r="X1822" s="69"/>
      <c r="Y1822" s="69"/>
      <c r="Z1822" s="69"/>
      <c r="AA1822" s="69"/>
      <c r="AB1822" s="69"/>
      <c r="AC1822" s="69"/>
      <c r="AD1822" s="69"/>
      <c r="AE1822" s="69"/>
      <c r="AF1822" s="69"/>
      <c r="AG1822" s="69"/>
      <c r="AH1822" s="69"/>
      <c r="AI1822" s="69"/>
      <c r="AJ1822" s="69"/>
      <c r="AK1822" s="69"/>
      <c r="AL1822" s="69"/>
      <c r="AM1822" s="69"/>
      <c r="AN1822" s="69"/>
      <c r="AO1822" s="69"/>
      <c r="AP1822" s="69"/>
      <c r="AQ1822" s="69"/>
      <c r="AR1822" s="69"/>
      <c r="AS1822" s="69"/>
      <c r="AT1822" s="69"/>
      <c r="AU1822" s="69"/>
      <c r="AV1822" s="69"/>
      <c r="AW1822" s="69"/>
      <c r="AX1822" s="69"/>
      <c r="AY1822" s="69"/>
      <c r="AZ1822" s="69"/>
      <c r="BA1822" s="69"/>
      <c r="BB1822" s="69"/>
      <c r="BC1822" s="69"/>
    </row>
    <row r="1823">
      <c r="A1823" s="68"/>
      <c r="B1823" s="68"/>
      <c r="C1823" s="68"/>
      <c r="D1823" s="68"/>
      <c r="E1823" s="68"/>
      <c r="F1823" s="68"/>
      <c r="G1823" s="68"/>
      <c r="H1823" s="68"/>
      <c r="I1823" s="69"/>
      <c r="J1823" s="69"/>
      <c r="K1823" s="71"/>
      <c r="L1823" s="69"/>
      <c r="M1823" s="69"/>
      <c r="N1823" s="72"/>
      <c r="O1823" s="69"/>
      <c r="P1823" s="69"/>
      <c r="Q1823" s="69"/>
      <c r="R1823" s="69"/>
      <c r="S1823" s="69"/>
      <c r="T1823" s="69"/>
      <c r="U1823" s="69"/>
      <c r="V1823" s="69"/>
      <c r="W1823" s="69"/>
      <c r="X1823" s="69"/>
      <c r="Y1823" s="69"/>
      <c r="Z1823" s="69"/>
      <c r="AA1823" s="69"/>
      <c r="AB1823" s="69"/>
      <c r="AC1823" s="69"/>
      <c r="AD1823" s="69"/>
      <c r="AE1823" s="69"/>
      <c r="AF1823" s="69"/>
      <c r="AG1823" s="69"/>
      <c r="AH1823" s="69"/>
      <c r="AI1823" s="69"/>
      <c r="AJ1823" s="69"/>
      <c r="AK1823" s="69"/>
      <c r="AL1823" s="69"/>
      <c r="AM1823" s="69"/>
      <c r="AN1823" s="69"/>
      <c r="AO1823" s="69"/>
      <c r="AP1823" s="69"/>
      <c r="AQ1823" s="69"/>
      <c r="AR1823" s="69"/>
      <c r="AS1823" s="69"/>
      <c r="AT1823" s="69"/>
      <c r="AU1823" s="69"/>
      <c r="AV1823" s="69"/>
      <c r="AW1823" s="69"/>
      <c r="AX1823" s="69"/>
      <c r="AY1823" s="69"/>
      <c r="AZ1823" s="69"/>
      <c r="BA1823" s="69"/>
      <c r="BB1823" s="69"/>
      <c r="BC1823" s="69"/>
    </row>
    <row r="1824">
      <c r="A1824" s="68"/>
      <c r="B1824" s="68"/>
      <c r="C1824" s="68"/>
      <c r="D1824" s="68"/>
      <c r="E1824" s="68"/>
      <c r="F1824" s="68"/>
      <c r="G1824" s="68"/>
      <c r="H1824" s="68"/>
      <c r="I1824" s="69"/>
      <c r="J1824" s="69"/>
      <c r="K1824" s="71"/>
      <c r="L1824" s="69"/>
      <c r="M1824" s="69"/>
      <c r="N1824" s="72"/>
      <c r="O1824" s="69"/>
      <c r="P1824" s="69"/>
      <c r="Q1824" s="69"/>
      <c r="R1824" s="69"/>
      <c r="S1824" s="69"/>
      <c r="T1824" s="69"/>
      <c r="U1824" s="69"/>
      <c r="V1824" s="69"/>
      <c r="W1824" s="69"/>
      <c r="X1824" s="69"/>
      <c r="Y1824" s="69"/>
      <c r="Z1824" s="69"/>
      <c r="AA1824" s="69"/>
      <c r="AB1824" s="69"/>
      <c r="AC1824" s="69"/>
      <c r="AD1824" s="69"/>
      <c r="AE1824" s="69"/>
      <c r="AF1824" s="69"/>
      <c r="AG1824" s="69"/>
      <c r="AH1824" s="69"/>
      <c r="AI1824" s="69"/>
      <c r="AJ1824" s="69"/>
      <c r="AK1824" s="69"/>
      <c r="AL1824" s="69"/>
      <c r="AM1824" s="69"/>
      <c r="AN1824" s="69"/>
      <c r="AO1824" s="69"/>
      <c r="AP1824" s="69"/>
      <c r="AQ1824" s="69"/>
      <c r="AR1824" s="69"/>
      <c r="AS1824" s="69"/>
      <c r="AT1824" s="69"/>
      <c r="AU1824" s="69"/>
      <c r="AV1824" s="69"/>
      <c r="AW1824" s="69"/>
      <c r="AX1824" s="69"/>
      <c r="AY1824" s="69"/>
      <c r="AZ1824" s="69"/>
      <c r="BA1824" s="69"/>
      <c r="BB1824" s="69"/>
      <c r="BC1824" s="69"/>
    </row>
    <row r="1825">
      <c r="A1825" s="68"/>
      <c r="B1825" s="68"/>
      <c r="C1825" s="68"/>
      <c r="D1825" s="68"/>
      <c r="E1825" s="68"/>
      <c r="F1825" s="68"/>
      <c r="G1825" s="68"/>
      <c r="H1825" s="68"/>
      <c r="I1825" s="69"/>
      <c r="J1825" s="69"/>
      <c r="K1825" s="71"/>
      <c r="L1825" s="69"/>
      <c r="M1825" s="69"/>
      <c r="N1825" s="72"/>
      <c r="O1825" s="69"/>
      <c r="P1825" s="69"/>
      <c r="Q1825" s="69"/>
      <c r="R1825" s="69"/>
      <c r="S1825" s="69"/>
      <c r="T1825" s="69"/>
      <c r="U1825" s="69"/>
      <c r="V1825" s="69"/>
      <c r="W1825" s="69"/>
      <c r="X1825" s="69"/>
      <c r="Y1825" s="69"/>
      <c r="Z1825" s="69"/>
      <c r="AA1825" s="69"/>
      <c r="AB1825" s="69"/>
      <c r="AC1825" s="69"/>
      <c r="AD1825" s="69"/>
      <c r="AE1825" s="69"/>
      <c r="AF1825" s="69"/>
      <c r="AG1825" s="69"/>
      <c r="AH1825" s="69"/>
      <c r="AI1825" s="69"/>
      <c r="AJ1825" s="69"/>
      <c r="AK1825" s="69"/>
      <c r="AL1825" s="69"/>
      <c r="AM1825" s="69"/>
      <c r="AN1825" s="69"/>
      <c r="AO1825" s="69"/>
      <c r="AP1825" s="69"/>
      <c r="AQ1825" s="69"/>
      <c r="AR1825" s="69"/>
      <c r="AS1825" s="69"/>
      <c r="AT1825" s="69"/>
      <c r="AU1825" s="69"/>
      <c r="AV1825" s="69"/>
      <c r="AW1825" s="69"/>
      <c r="AX1825" s="69"/>
      <c r="AY1825" s="69"/>
      <c r="AZ1825" s="69"/>
      <c r="BA1825" s="69"/>
      <c r="BB1825" s="69"/>
      <c r="BC1825" s="69"/>
    </row>
    <row r="1826">
      <c r="A1826" s="68"/>
      <c r="B1826" s="68"/>
      <c r="C1826" s="68"/>
      <c r="D1826" s="68"/>
      <c r="E1826" s="68"/>
      <c r="F1826" s="68"/>
      <c r="G1826" s="68"/>
      <c r="H1826" s="68"/>
      <c r="I1826" s="69"/>
      <c r="J1826" s="69"/>
      <c r="K1826" s="71"/>
      <c r="L1826" s="69"/>
      <c r="M1826" s="69"/>
      <c r="N1826" s="72"/>
      <c r="O1826" s="69"/>
      <c r="P1826" s="69"/>
      <c r="Q1826" s="69"/>
      <c r="R1826" s="69"/>
      <c r="S1826" s="69"/>
      <c r="T1826" s="69"/>
      <c r="U1826" s="69"/>
      <c r="V1826" s="69"/>
      <c r="W1826" s="69"/>
      <c r="X1826" s="69"/>
      <c r="Y1826" s="69"/>
      <c r="Z1826" s="69"/>
      <c r="AA1826" s="69"/>
      <c r="AB1826" s="69"/>
      <c r="AC1826" s="69"/>
      <c r="AD1826" s="69"/>
      <c r="AE1826" s="69"/>
      <c r="AF1826" s="69"/>
      <c r="AG1826" s="69"/>
      <c r="AH1826" s="69"/>
      <c r="AI1826" s="69"/>
      <c r="AJ1826" s="69"/>
      <c r="AK1826" s="69"/>
      <c r="AL1826" s="69"/>
      <c r="AM1826" s="69"/>
      <c r="AN1826" s="69"/>
      <c r="AO1826" s="69"/>
      <c r="AP1826" s="69"/>
      <c r="AQ1826" s="69"/>
      <c r="AR1826" s="69"/>
      <c r="AS1826" s="69"/>
      <c r="AT1826" s="69"/>
      <c r="AU1826" s="69"/>
      <c r="AV1826" s="69"/>
      <c r="AW1826" s="69"/>
      <c r="AX1826" s="69"/>
      <c r="AY1826" s="69"/>
      <c r="AZ1826" s="69"/>
      <c r="BA1826" s="69"/>
      <c r="BB1826" s="69"/>
      <c r="BC1826" s="69"/>
    </row>
    <row r="1827">
      <c r="A1827" s="68"/>
      <c r="B1827" s="68"/>
      <c r="C1827" s="68"/>
      <c r="D1827" s="68"/>
      <c r="E1827" s="68"/>
      <c r="F1827" s="68"/>
      <c r="G1827" s="68"/>
      <c r="H1827" s="68"/>
      <c r="I1827" s="69"/>
      <c r="J1827" s="69"/>
      <c r="K1827" s="71"/>
      <c r="L1827" s="69"/>
      <c r="M1827" s="69"/>
      <c r="N1827" s="72"/>
      <c r="O1827" s="69"/>
      <c r="P1827" s="69"/>
      <c r="Q1827" s="69"/>
      <c r="R1827" s="69"/>
      <c r="S1827" s="69"/>
      <c r="T1827" s="69"/>
      <c r="U1827" s="69"/>
      <c r="V1827" s="69"/>
      <c r="W1827" s="69"/>
      <c r="X1827" s="69"/>
      <c r="Y1827" s="69"/>
      <c r="Z1827" s="69"/>
      <c r="AA1827" s="69"/>
      <c r="AB1827" s="69"/>
      <c r="AC1827" s="69"/>
      <c r="AD1827" s="69"/>
      <c r="AE1827" s="69"/>
      <c r="AF1827" s="69"/>
      <c r="AG1827" s="69"/>
      <c r="AH1827" s="69"/>
      <c r="AI1827" s="69"/>
      <c r="AJ1827" s="69"/>
      <c r="AK1827" s="69"/>
      <c r="AL1827" s="69"/>
      <c r="AM1827" s="69"/>
      <c r="AN1827" s="69"/>
      <c r="AO1827" s="69"/>
      <c r="AP1827" s="69"/>
      <c r="AQ1827" s="69"/>
      <c r="AR1827" s="69"/>
      <c r="AS1827" s="69"/>
      <c r="AT1827" s="69"/>
      <c r="AU1827" s="69"/>
      <c r="AV1827" s="69"/>
      <c r="AW1827" s="69"/>
      <c r="AX1827" s="69"/>
      <c r="AY1827" s="69"/>
      <c r="AZ1827" s="69"/>
      <c r="BA1827" s="69"/>
      <c r="BB1827" s="69"/>
      <c r="BC1827" s="69"/>
    </row>
    <row r="1828">
      <c r="A1828" s="68"/>
      <c r="B1828" s="68"/>
      <c r="C1828" s="68"/>
      <c r="D1828" s="68"/>
      <c r="E1828" s="68"/>
      <c r="F1828" s="68"/>
      <c r="G1828" s="68"/>
      <c r="H1828" s="68"/>
      <c r="I1828" s="69"/>
      <c r="J1828" s="69"/>
      <c r="K1828" s="71"/>
      <c r="L1828" s="69"/>
      <c r="M1828" s="69"/>
      <c r="N1828" s="72"/>
      <c r="O1828" s="69"/>
      <c r="P1828" s="69"/>
      <c r="Q1828" s="69"/>
      <c r="R1828" s="69"/>
      <c r="S1828" s="69"/>
      <c r="T1828" s="69"/>
      <c r="U1828" s="69"/>
      <c r="V1828" s="69"/>
      <c r="W1828" s="69"/>
      <c r="X1828" s="69"/>
      <c r="Y1828" s="69"/>
      <c r="Z1828" s="69"/>
      <c r="AA1828" s="69"/>
      <c r="AB1828" s="69"/>
      <c r="AC1828" s="69"/>
      <c r="AD1828" s="69"/>
      <c r="AE1828" s="69"/>
      <c r="AF1828" s="69"/>
      <c r="AG1828" s="69"/>
      <c r="AH1828" s="69"/>
      <c r="AI1828" s="69"/>
      <c r="AJ1828" s="69"/>
      <c r="AK1828" s="69"/>
      <c r="AL1828" s="69"/>
      <c r="AM1828" s="69"/>
      <c r="AN1828" s="69"/>
      <c r="AO1828" s="69"/>
      <c r="AP1828" s="69"/>
      <c r="AQ1828" s="69"/>
      <c r="AR1828" s="69"/>
      <c r="AS1828" s="69"/>
      <c r="AT1828" s="69"/>
      <c r="AU1828" s="69"/>
      <c r="AV1828" s="69"/>
      <c r="AW1828" s="69"/>
      <c r="AX1828" s="69"/>
      <c r="AY1828" s="69"/>
      <c r="AZ1828" s="69"/>
      <c r="BA1828" s="69"/>
      <c r="BB1828" s="69"/>
      <c r="BC1828" s="69"/>
    </row>
    <row r="1829">
      <c r="A1829" s="68"/>
      <c r="B1829" s="68"/>
      <c r="C1829" s="68"/>
      <c r="D1829" s="68"/>
      <c r="E1829" s="68"/>
      <c r="F1829" s="68"/>
      <c r="G1829" s="68"/>
      <c r="H1829" s="68"/>
      <c r="I1829" s="69"/>
      <c r="J1829" s="69"/>
      <c r="K1829" s="71"/>
      <c r="L1829" s="69"/>
      <c r="M1829" s="69"/>
      <c r="N1829" s="72"/>
      <c r="O1829" s="69"/>
      <c r="P1829" s="69"/>
      <c r="Q1829" s="69"/>
      <c r="R1829" s="69"/>
      <c r="S1829" s="69"/>
      <c r="T1829" s="69"/>
      <c r="U1829" s="69"/>
      <c r="V1829" s="69"/>
      <c r="W1829" s="69"/>
      <c r="X1829" s="69"/>
      <c r="Y1829" s="69"/>
      <c r="Z1829" s="69"/>
      <c r="AA1829" s="69"/>
      <c r="AB1829" s="69"/>
      <c r="AC1829" s="69"/>
      <c r="AD1829" s="69"/>
      <c r="AE1829" s="69"/>
      <c r="AF1829" s="69"/>
      <c r="AG1829" s="69"/>
      <c r="AH1829" s="69"/>
      <c r="AI1829" s="69"/>
      <c r="AJ1829" s="69"/>
      <c r="AK1829" s="69"/>
      <c r="AL1829" s="69"/>
      <c r="AM1829" s="69"/>
      <c r="AN1829" s="69"/>
      <c r="AO1829" s="69"/>
      <c r="AP1829" s="69"/>
      <c r="AQ1829" s="69"/>
      <c r="AR1829" s="69"/>
      <c r="AS1829" s="69"/>
      <c r="AT1829" s="69"/>
      <c r="AU1829" s="69"/>
      <c r="AV1829" s="69"/>
      <c r="AW1829" s="69"/>
      <c r="AX1829" s="69"/>
      <c r="AY1829" s="69"/>
      <c r="AZ1829" s="69"/>
      <c r="BA1829" s="69"/>
      <c r="BB1829" s="69"/>
      <c r="BC1829" s="69"/>
    </row>
    <row r="1830">
      <c r="A1830" s="68"/>
      <c r="B1830" s="68"/>
      <c r="C1830" s="68"/>
      <c r="D1830" s="68"/>
      <c r="E1830" s="68"/>
      <c r="F1830" s="68"/>
      <c r="G1830" s="68"/>
      <c r="H1830" s="68"/>
      <c r="I1830" s="69"/>
      <c r="J1830" s="69"/>
      <c r="K1830" s="71"/>
      <c r="L1830" s="69"/>
      <c r="M1830" s="69"/>
      <c r="N1830" s="72"/>
      <c r="O1830" s="69"/>
      <c r="P1830" s="69"/>
      <c r="Q1830" s="69"/>
      <c r="R1830" s="69"/>
      <c r="S1830" s="69"/>
      <c r="T1830" s="69"/>
      <c r="U1830" s="69"/>
      <c r="V1830" s="69"/>
      <c r="W1830" s="69"/>
      <c r="X1830" s="69"/>
      <c r="Y1830" s="69"/>
      <c r="Z1830" s="69"/>
      <c r="AA1830" s="69"/>
      <c r="AB1830" s="69"/>
      <c r="AC1830" s="69"/>
      <c r="AD1830" s="69"/>
      <c r="AE1830" s="69"/>
      <c r="AF1830" s="69"/>
      <c r="AG1830" s="69"/>
      <c r="AH1830" s="69"/>
      <c r="AI1830" s="69"/>
      <c r="AJ1830" s="69"/>
      <c r="AK1830" s="69"/>
      <c r="AL1830" s="69"/>
      <c r="AM1830" s="69"/>
      <c r="AN1830" s="69"/>
      <c r="AO1830" s="69"/>
      <c r="AP1830" s="69"/>
      <c r="AQ1830" s="69"/>
      <c r="AR1830" s="69"/>
      <c r="AS1830" s="69"/>
      <c r="AT1830" s="69"/>
      <c r="AU1830" s="69"/>
      <c r="AV1830" s="69"/>
      <c r="AW1830" s="69"/>
      <c r="AX1830" s="69"/>
      <c r="AY1830" s="69"/>
      <c r="AZ1830" s="69"/>
      <c r="BA1830" s="69"/>
      <c r="BB1830" s="69"/>
      <c r="BC1830" s="69"/>
    </row>
    <row r="1831">
      <c r="A1831" s="68"/>
      <c r="B1831" s="68"/>
      <c r="C1831" s="68"/>
      <c r="D1831" s="68"/>
      <c r="E1831" s="68"/>
      <c r="F1831" s="68"/>
      <c r="G1831" s="68"/>
      <c r="H1831" s="68"/>
      <c r="I1831" s="69"/>
      <c r="J1831" s="69"/>
      <c r="K1831" s="71"/>
      <c r="L1831" s="69"/>
      <c r="M1831" s="69"/>
      <c r="N1831" s="72"/>
      <c r="O1831" s="69"/>
      <c r="P1831" s="69"/>
      <c r="Q1831" s="69"/>
      <c r="R1831" s="69"/>
      <c r="S1831" s="69"/>
      <c r="T1831" s="69"/>
      <c r="U1831" s="69"/>
      <c r="V1831" s="69"/>
      <c r="W1831" s="69"/>
      <c r="X1831" s="69"/>
      <c r="Y1831" s="69"/>
      <c r="Z1831" s="69"/>
      <c r="AA1831" s="69"/>
      <c r="AB1831" s="69"/>
      <c r="AC1831" s="69"/>
      <c r="AD1831" s="69"/>
      <c r="AE1831" s="69"/>
      <c r="AF1831" s="69"/>
      <c r="AG1831" s="69"/>
      <c r="AH1831" s="69"/>
      <c r="AI1831" s="69"/>
      <c r="AJ1831" s="69"/>
      <c r="AK1831" s="69"/>
      <c r="AL1831" s="69"/>
      <c r="AM1831" s="69"/>
      <c r="AN1831" s="69"/>
      <c r="AO1831" s="69"/>
      <c r="AP1831" s="69"/>
      <c r="AQ1831" s="69"/>
      <c r="AR1831" s="69"/>
      <c r="AS1831" s="69"/>
      <c r="AT1831" s="69"/>
      <c r="AU1831" s="69"/>
      <c r="AV1831" s="69"/>
      <c r="AW1831" s="69"/>
      <c r="AX1831" s="69"/>
      <c r="AY1831" s="69"/>
      <c r="AZ1831" s="69"/>
      <c r="BA1831" s="69"/>
      <c r="BB1831" s="69"/>
      <c r="BC1831" s="69"/>
    </row>
    <row r="1832">
      <c r="A1832" s="68"/>
      <c r="B1832" s="68"/>
      <c r="C1832" s="68"/>
      <c r="D1832" s="68"/>
      <c r="E1832" s="68"/>
      <c r="F1832" s="68"/>
      <c r="G1832" s="68"/>
      <c r="H1832" s="68"/>
      <c r="I1832" s="69"/>
      <c r="J1832" s="69"/>
      <c r="K1832" s="71"/>
      <c r="L1832" s="69"/>
      <c r="M1832" s="69"/>
      <c r="N1832" s="72"/>
      <c r="O1832" s="69"/>
      <c r="P1832" s="69"/>
      <c r="Q1832" s="69"/>
      <c r="R1832" s="69"/>
      <c r="S1832" s="69"/>
      <c r="T1832" s="69"/>
      <c r="U1832" s="69"/>
      <c r="V1832" s="69"/>
      <c r="W1832" s="69"/>
      <c r="X1832" s="69"/>
      <c r="Y1832" s="69"/>
      <c r="Z1832" s="69"/>
      <c r="AA1832" s="69"/>
      <c r="AB1832" s="69"/>
      <c r="AC1832" s="69"/>
      <c r="AD1832" s="69"/>
      <c r="AE1832" s="69"/>
      <c r="AF1832" s="69"/>
      <c r="AG1832" s="69"/>
      <c r="AH1832" s="69"/>
      <c r="AI1832" s="69"/>
      <c r="AJ1832" s="69"/>
      <c r="AK1832" s="69"/>
      <c r="AL1832" s="69"/>
      <c r="AM1832" s="69"/>
      <c r="AN1832" s="69"/>
      <c r="AO1832" s="69"/>
      <c r="AP1832" s="69"/>
      <c r="AQ1832" s="69"/>
      <c r="AR1832" s="69"/>
      <c r="AS1832" s="69"/>
      <c r="AT1832" s="69"/>
      <c r="AU1832" s="69"/>
      <c r="AV1832" s="69"/>
      <c r="AW1832" s="69"/>
      <c r="AX1832" s="69"/>
      <c r="AY1832" s="69"/>
      <c r="AZ1832" s="69"/>
      <c r="BA1832" s="69"/>
      <c r="BB1832" s="69"/>
      <c r="BC1832" s="69"/>
    </row>
    <row r="1833">
      <c r="A1833" s="68"/>
      <c r="B1833" s="68"/>
      <c r="C1833" s="68"/>
      <c r="D1833" s="68"/>
      <c r="E1833" s="68"/>
      <c r="F1833" s="68"/>
      <c r="G1833" s="68"/>
      <c r="H1833" s="68"/>
      <c r="I1833" s="69"/>
      <c r="J1833" s="69"/>
      <c r="K1833" s="71"/>
      <c r="L1833" s="69"/>
      <c r="M1833" s="69"/>
      <c r="N1833" s="72"/>
      <c r="O1833" s="69"/>
      <c r="P1833" s="69"/>
      <c r="Q1833" s="69"/>
      <c r="R1833" s="69"/>
      <c r="S1833" s="69"/>
      <c r="T1833" s="69"/>
      <c r="U1833" s="69"/>
      <c r="V1833" s="69"/>
      <c r="W1833" s="69"/>
      <c r="X1833" s="69"/>
      <c r="Y1833" s="69"/>
      <c r="Z1833" s="69"/>
      <c r="AA1833" s="69"/>
      <c r="AB1833" s="69"/>
      <c r="AC1833" s="69"/>
      <c r="AD1833" s="69"/>
      <c r="AE1833" s="69"/>
      <c r="AF1833" s="69"/>
      <c r="AG1833" s="69"/>
      <c r="AH1833" s="69"/>
      <c r="AI1833" s="69"/>
      <c r="AJ1833" s="69"/>
      <c r="AK1833" s="69"/>
      <c r="AL1833" s="69"/>
      <c r="AM1833" s="69"/>
      <c r="AN1833" s="69"/>
      <c r="AO1833" s="69"/>
      <c r="AP1833" s="69"/>
      <c r="AQ1833" s="69"/>
      <c r="AR1833" s="69"/>
      <c r="AS1833" s="69"/>
      <c r="AT1833" s="69"/>
      <c r="AU1833" s="69"/>
      <c r="AV1833" s="69"/>
      <c r="AW1833" s="69"/>
      <c r="AX1833" s="69"/>
      <c r="AY1833" s="69"/>
      <c r="AZ1833" s="69"/>
      <c r="BA1833" s="69"/>
      <c r="BB1833" s="69"/>
      <c r="BC1833" s="69"/>
    </row>
    <row r="1834">
      <c r="A1834" s="68"/>
      <c r="B1834" s="68"/>
      <c r="C1834" s="68"/>
      <c r="D1834" s="68"/>
      <c r="E1834" s="68"/>
      <c r="F1834" s="68"/>
      <c r="G1834" s="68"/>
      <c r="H1834" s="68"/>
      <c r="I1834" s="69"/>
      <c r="J1834" s="69"/>
      <c r="K1834" s="71"/>
      <c r="L1834" s="69"/>
      <c r="M1834" s="69"/>
      <c r="N1834" s="72"/>
      <c r="O1834" s="69"/>
      <c r="P1834" s="69"/>
      <c r="Q1834" s="69"/>
      <c r="R1834" s="69"/>
      <c r="S1834" s="69"/>
      <c r="T1834" s="69"/>
      <c r="U1834" s="69"/>
      <c r="V1834" s="69"/>
      <c r="W1834" s="69"/>
      <c r="X1834" s="69"/>
      <c r="Y1834" s="69"/>
      <c r="Z1834" s="69"/>
      <c r="AA1834" s="69"/>
      <c r="AB1834" s="69"/>
      <c r="AC1834" s="69"/>
      <c r="AD1834" s="69"/>
      <c r="AE1834" s="69"/>
      <c r="AF1834" s="69"/>
      <c r="AG1834" s="69"/>
      <c r="AH1834" s="69"/>
      <c r="AI1834" s="69"/>
      <c r="AJ1834" s="69"/>
      <c r="AK1834" s="69"/>
      <c r="AL1834" s="69"/>
      <c r="AM1834" s="69"/>
      <c r="AN1834" s="69"/>
      <c r="AO1834" s="69"/>
      <c r="AP1834" s="69"/>
      <c r="AQ1834" s="69"/>
      <c r="AR1834" s="69"/>
      <c r="AS1834" s="69"/>
      <c r="AT1834" s="69"/>
      <c r="AU1834" s="69"/>
      <c r="AV1834" s="69"/>
      <c r="AW1834" s="69"/>
      <c r="AX1834" s="69"/>
      <c r="AY1834" s="69"/>
      <c r="AZ1834" s="69"/>
      <c r="BA1834" s="69"/>
      <c r="BB1834" s="69"/>
      <c r="BC1834" s="69"/>
    </row>
    <row r="1835">
      <c r="A1835" s="68"/>
      <c r="B1835" s="68"/>
      <c r="C1835" s="68"/>
      <c r="D1835" s="68"/>
      <c r="E1835" s="68"/>
      <c r="F1835" s="68"/>
      <c r="G1835" s="68"/>
      <c r="H1835" s="68"/>
      <c r="I1835" s="69"/>
      <c r="J1835" s="69"/>
      <c r="K1835" s="71"/>
      <c r="L1835" s="69"/>
      <c r="M1835" s="69"/>
      <c r="N1835" s="72"/>
      <c r="O1835" s="69"/>
      <c r="P1835" s="69"/>
      <c r="Q1835" s="69"/>
      <c r="R1835" s="69"/>
      <c r="S1835" s="69"/>
      <c r="T1835" s="69"/>
      <c r="U1835" s="69"/>
      <c r="V1835" s="69"/>
      <c r="W1835" s="69"/>
      <c r="X1835" s="69"/>
      <c r="Y1835" s="69"/>
      <c r="Z1835" s="69"/>
      <c r="AA1835" s="69"/>
      <c r="AB1835" s="69"/>
      <c r="AC1835" s="69"/>
      <c r="AD1835" s="69"/>
      <c r="AE1835" s="69"/>
      <c r="AF1835" s="69"/>
      <c r="AG1835" s="69"/>
      <c r="AH1835" s="69"/>
      <c r="AI1835" s="69"/>
      <c r="AJ1835" s="69"/>
      <c r="AK1835" s="69"/>
      <c r="AL1835" s="69"/>
      <c r="AM1835" s="69"/>
      <c r="AN1835" s="69"/>
      <c r="AO1835" s="69"/>
      <c r="AP1835" s="69"/>
      <c r="AQ1835" s="69"/>
      <c r="AR1835" s="69"/>
      <c r="AS1835" s="69"/>
      <c r="AT1835" s="69"/>
      <c r="AU1835" s="69"/>
      <c r="AV1835" s="69"/>
      <c r="AW1835" s="69"/>
      <c r="AX1835" s="69"/>
      <c r="AY1835" s="69"/>
      <c r="AZ1835" s="69"/>
      <c r="BA1835" s="69"/>
      <c r="BB1835" s="69"/>
      <c r="BC1835" s="69"/>
    </row>
    <row r="1836">
      <c r="A1836" s="68"/>
      <c r="B1836" s="68"/>
      <c r="C1836" s="68"/>
      <c r="D1836" s="68"/>
      <c r="E1836" s="68"/>
      <c r="F1836" s="68"/>
      <c r="G1836" s="68"/>
      <c r="H1836" s="68"/>
      <c r="I1836" s="69"/>
      <c r="J1836" s="69"/>
      <c r="K1836" s="71"/>
      <c r="L1836" s="69"/>
      <c r="M1836" s="69"/>
      <c r="N1836" s="72"/>
      <c r="O1836" s="69"/>
      <c r="P1836" s="69"/>
      <c r="Q1836" s="69"/>
      <c r="R1836" s="69"/>
      <c r="S1836" s="69"/>
      <c r="T1836" s="69"/>
      <c r="U1836" s="69"/>
      <c r="V1836" s="69"/>
      <c r="W1836" s="69"/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/>
      <c r="AI1836" s="69"/>
      <c r="AJ1836" s="69"/>
      <c r="AK1836" s="69"/>
      <c r="AL1836" s="69"/>
      <c r="AM1836" s="69"/>
      <c r="AN1836" s="69"/>
      <c r="AO1836" s="69"/>
      <c r="AP1836" s="69"/>
      <c r="AQ1836" s="69"/>
      <c r="AR1836" s="69"/>
      <c r="AS1836" s="69"/>
      <c r="AT1836" s="69"/>
      <c r="AU1836" s="69"/>
      <c r="AV1836" s="69"/>
      <c r="AW1836" s="69"/>
      <c r="AX1836" s="69"/>
      <c r="AY1836" s="69"/>
      <c r="AZ1836" s="69"/>
      <c r="BA1836" s="69"/>
      <c r="BB1836" s="69"/>
      <c r="BC1836" s="69"/>
    </row>
    <row r="1837">
      <c r="A1837" s="68"/>
      <c r="B1837" s="68"/>
      <c r="C1837" s="68"/>
      <c r="D1837" s="68"/>
      <c r="E1837" s="68"/>
      <c r="F1837" s="68"/>
      <c r="G1837" s="68"/>
      <c r="H1837" s="68"/>
      <c r="I1837" s="69"/>
      <c r="J1837" s="69"/>
      <c r="K1837" s="71"/>
      <c r="L1837" s="69"/>
      <c r="M1837" s="69"/>
      <c r="N1837" s="72"/>
      <c r="O1837" s="69"/>
      <c r="P1837" s="69"/>
      <c r="Q1837" s="69"/>
      <c r="R1837" s="69"/>
      <c r="S1837" s="69"/>
      <c r="T1837" s="69"/>
      <c r="U1837" s="69"/>
      <c r="V1837" s="69"/>
      <c r="W1837" s="69"/>
      <c r="X1837" s="69"/>
      <c r="Y1837" s="69"/>
      <c r="Z1837" s="69"/>
      <c r="AA1837" s="69"/>
      <c r="AB1837" s="69"/>
      <c r="AC1837" s="69"/>
      <c r="AD1837" s="69"/>
      <c r="AE1837" s="69"/>
      <c r="AF1837" s="69"/>
      <c r="AG1837" s="69"/>
      <c r="AH1837" s="69"/>
      <c r="AI1837" s="69"/>
      <c r="AJ1837" s="69"/>
      <c r="AK1837" s="69"/>
      <c r="AL1837" s="69"/>
      <c r="AM1837" s="69"/>
      <c r="AN1837" s="69"/>
      <c r="AO1837" s="69"/>
      <c r="AP1837" s="69"/>
      <c r="AQ1837" s="69"/>
      <c r="AR1837" s="69"/>
      <c r="AS1837" s="69"/>
      <c r="AT1837" s="69"/>
      <c r="AU1837" s="69"/>
      <c r="AV1837" s="69"/>
      <c r="AW1837" s="69"/>
      <c r="AX1837" s="69"/>
      <c r="AY1837" s="69"/>
      <c r="AZ1837" s="69"/>
      <c r="BA1837" s="69"/>
      <c r="BB1837" s="69"/>
      <c r="BC1837" s="69"/>
    </row>
    <row r="1838">
      <c r="A1838" s="68"/>
      <c r="B1838" s="68"/>
      <c r="C1838" s="68"/>
      <c r="D1838" s="68"/>
      <c r="E1838" s="68"/>
      <c r="F1838" s="68"/>
      <c r="G1838" s="68"/>
      <c r="H1838" s="68"/>
      <c r="I1838" s="69"/>
      <c r="J1838" s="69"/>
      <c r="K1838" s="71"/>
      <c r="L1838" s="69"/>
      <c r="M1838" s="69"/>
      <c r="N1838" s="72"/>
      <c r="O1838" s="69"/>
      <c r="P1838" s="69"/>
      <c r="Q1838" s="69"/>
      <c r="R1838" s="69"/>
      <c r="S1838" s="69"/>
      <c r="T1838" s="69"/>
      <c r="U1838" s="69"/>
      <c r="V1838" s="69"/>
      <c r="W1838" s="69"/>
      <c r="X1838" s="69"/>
      <c r="Y1838" s="69"/>
      <c r="Z1838" s="69"/>
      <c r="AA1838" s="69"/>
      <c r="AB1838" s="69"/>
      <c r="AC1838" s="69"/>
      <c r="AD1838" s="69"/>
      <c r="AE1838" s="69"/>
      <c r="AF1838" s="69"/>
      <c r="AG1838" s="69"/>
      <c r="AH1838" s="69"/>
      <c r="AI1838" s="69"/>
      <c r="AJ1838" s="69"/>
      <c r="AK1838" s="69"/>
      <c r="AL1838" s="69"/>
      <c r="AM1838" s="69"/>
      <c r="AN1838" s="69"/>
      <c r="AO1838" s="69"/>
      <c r="AP1838" s="69"/>
      <c r="AQ1838" s="69"/>
      <c r="AR1838" s="69"/>
      <c r="AS1838" s="69"/>
      <c r="AT1838" s="69"/>
      <c r="AU1838" s="69"/>
      <c r="AV1838" s="69"/>
      <c r="AW1838" s="69"/>
      <c r="AX1838" s="69"/>
      <c r="AY1838" s="69"/>
      <c r="AZ1838" s="69"/>
      <c r="BA1838" s="69"/>
      <c r="BB1838" s="69"/>
      <c r="BC1838" s="69"/>
    </row>
    <row r="1839">
      <c r="A1839" s="68"/>
      <c r="B1839" s="68"/>
      <c r="C1839" s="68"/>
      <c r="D1839" s="68"/>
      <c r="E1839" s="68"/>
      <c r="F1839" s="68"/>
      <c r="G1839" s="68"/>
      <c r="H1839" s="68"/>
      <c r="I1839" s="69"/>
      <c r="J1839" s="69"/>
      <c r="K1839" s="71"/>
      <c r="L1839" s="69"/>
      <c r="M1839" s="69"/>
      <c r="N1839" s="72"/>
      <c r="O1839" s="69"/>
      <c r="P1839" s="69"/>
      <c r="Q1839" s="69"/>
      <c r="R1839" s="69"/>
      <c r="S1839" s="69"/>
      <c r="T1839" s="69"/>
      <c r="U1839" s="69"/>
      <c r="V1839" s="69"/>
      <c r="W1839" s="69"/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/>
      <c r="AI1839" s="69"/>
      <c r="AJ1839" s="69"/>
      <c r="AK1839" s="69"/>
      <c r="AL1839" s="69"/>
      <c r="AM1839" s="69"/>
      <c r="AN1839" s="69"/>
      <c r="AO1839" s="69"/>
      <c r="AP1839" s="69"/>
      <c r="AQ1839" s="69"/>
      <c r="AR1839" s="69"/>
      <c r="AS1839" s="69"/>
      <c r="AT1839" s="69"/>
      <c r="AU1839" s="69"/>
      <c r="AV1839" s="69"/>
      <c r="AW1839" s="69"/>
      <c r="AX1839" s="69"/>
      <c r="AY1839" s="69"/>
      <c r="AZ1839" s="69"/>
      <c r="BA1839" s="69"/>
      <c r="BB1839" s="69"/>
      <c r="BC1839" s="69"/>
    </row>
    <row r="1840">
      <c r="A1840" s="68"/>
      <c r="B1840" s="68"/>
      <c r="C1840" s="68"/>
      <c r="D1840" s="68"/>
      <c r="E1840" s="68"/>
      <c r="F1840" s="68"/>
      <c r="G1840" s="68"/>
      <c r="H1840" s="68"/>
      <c r="I1840" s="69"/>
      <c r="J1840" s="69"/>
      <c r="K1840" s="71"/>
      <c r="L1840" s="69"/>
      <c r="M1840" s="69"/>
      <c r="N1840" s="72"/>
      <c r="O1840" s="69"/>
      <c r="P1840" s="69"/>
      <c r="Q1840" s="69"/>
      <c r="R1840" s="69"/>
      <c r="S1840" s="69"/>
      <c r="T1840" s="69"/>
      <c r="U1840" s="69"/>
      <c r="V1840" s="69"/>
      <c r="W1840" s="69"/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/>
      <c r="AI1840" s="69"/>
      <c r="AJ1840" s="69"/>
      <c r="AK1840" s="69"/>
      <c r="AL1840" s="69"/>
      <c r="AM1840" s="69"/>
      <c r="AN1840" s="69"/>
      <c r="AO1840" s="69"/>
      <c r="AP1840" s="69"/>
      <c r="AQ1840" s="69"/>
      <c r="AR1840" s="69"/>
      <c r="AS1840" s="69"/>
      <c r="AT1840" s="69"/>
      <c r="AU1840" s="69"/>
      <c r="AV1840" s="69"/>
      <c r="AW1840" s="69"/>
      <c r="AX1840" s="69"/>
      <c r="AY1840" s="69"/>
      <c r="AZ1840" s="69"/>
      <c r="BA1840" s="69"/>
      <c r="BB1840" s="69"/>
      <c r="BC1840" s="69"/>
    </row>
    <row r="1841">
      <c r="A1841" s="68"/>
      <c r="B1841" s="68"/>
      <c r="C1841" s="68"/>
      <c r="D1841" s="68"/>
      <c r="E1841" s="68"/>
      <c r="F1841" s="68"/>
      <c r="G1841" s="68"/>
      <c r="H1841" s="68"/>
      <c r="I1841" s="69"/>
      <c r="J1841" s="69"/>
      <c r="K1841" s="71"/>
      <c r="L1841" s="69"/>
      <c r="M1841" s="69"/>
      <c r="N1841" s="72"/>
      <c r="O1841" s="69"/>
      <c r="P1841" s="69"/>
      <c r="Q1841" s="69"/>
      <c r="R1841" s="69"/>
      <c r="S1841" s="69"/>
      <c r="T1841" s="69"/>
      <c r="U1841" s="69"/>
      <c r="V1841" s="69"/>
      <c r="W1841" s="69"/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/>
      <c r="AI1841" s="69"/>
      <c r="AJ1841" s="69"/>
      <c r="AK1841" s="69"/>
      <c r="AL1841" s="69"/>
      <c r="AM1841" s="69"/>
      <c r="AN1841" s="69"/>
      <c r="AO1841" s="69"/>
      <c r="AP1841" s="69"/>
      <c r="AQ1841" s="69"/>
      <c r="AR1841" s="69"/>
      <c r="AS1841" s="69"/>
      <c r="AT1841" s="69"/>
      <c r="AU1841" s="69"/>
      <c r="AV1841" s="69"/>
      <c r="AW1841" s="69"/>
      <c r="AX1841" s="69"/>
      <c r="AY1841" s="69"/>
      <c r="AZ1841" s="69"/>
      <c r="BA1841" s="69"/>
      <c r="BB1841" s="69"/>
      <c r="BC1841" s="69"/>
    </row>
    <row r="1842">
      <c r="A1842" s="68"/>
      <c r="B1842" s="68"/>
      <c r="C1842" s="68"/>
      <c r="D1842" s="68"/>
      <c r="E1842" s="68"/>
      <c r="F1842" s="68"/>
      <c r="G1842" s="68"/>
      <c r="H1842" s="68"/>
      <c r="I1842" s="69"/>
      <c r="J1842" s="69"/>
      <c r="K1842" s="71"/>
      <c r="L1842" s="69"/>
      <c r="M1842" s="69"/>
      <c r="N1842" s="72"/>
      <c r="O1842" s="69"/>
      <c r="P1842" s="69"/>
      <c r="Q1842" s="69"/>
      <c r="R1842" s="69"/>
      <c r="S1842" s="69"/>
      <c r="T1842" s="69"/>
      <c r="U1842" s="69"/>
      <c r="V1842" s="69"/>
      <c r="W1842" s="69"/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/>
      <c r="AI1842" s="69"/>
      <c r="AJ1842" s="69"/>
      <c r="AK1842" s="69"/>
      <c r="AL1842" s="69"/>
      <c r="AM1842" s="69"/>
      <c r="AN1842" s="69"/>
      <c r="AO1842" s="69"/>
      <c r="AP1842" s="69"/>
      <c r="AQ1842" s="69"/>
      <c r="AR1842" s="69"/>
      <c r="AS1842" s="69"/>
      <c r="AT1842" s="69"/>
      <c r="AU1842" s="69"/>
      <c r="AV1842" s="69"/>
      <c r="AW1842" s="69"/>
      <c r="AX1842" s="69"/>
      <c r="AY1842" s="69"/>
      <c r="AZ1842" s="69"/>
      <c r="BA1842" s="69"/>
      <c r="BB1842" s="69"/>
      <c r="BC1842" s="69"/>
    </row>
    <row r="1843">
      <c r="A1843" s="68"/>
      <c r="B1843" s="68"/>
      <c r="C1843" s="68"/>
      <c r="D1843" s="68"/>
      <c r="E1843" s="68"/>
      <c r="F1843" s="68"/>
      <c r="G1843" s="68"/>
      <c r="H1843" s="68"/>
      <c r="I1843" s="69"/>
      <c r="J1843" s="69"/>
      <c r="K1843" s="71"/>
      <c r="L1843" s="69"/>
      <c r="M1843" s="69"/>
      <c r="N1843" s="72"/>
      <c r="O1843" s="69"/>
      <c r="P1843" s="69"/>
      <c r="Q1843" s="69"/>
      <c r="R1843" s="69"/>
      <c r="S1843" s="69"/>
      <c r="T1843" s="69"/>
      <c r="U1843" s="69"/>
      <c r="V1843" s="69"/>
      <c r="W1843" s="69"/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/>
      <c r="AI1843" s="69"/>
      <c r="AJ1843" s="69"/>
      <c r="AK1843" s="69"/>
      <c r="AL1843" s="69"/>
      <c r="AM1843" s="69"/>
      <c r="AN1843" s="69"/>
      <c r="AO1843" s="69"/>
      <c r="AP1843" s="69"/>
      <c r="AQ1843" s="69"/>
      <c r="AR1843" s="69"/>
      <c r="AS1843" s="69"/>
      <c r="AT1843" s="69"/>
      <c r="AU1843" s="69"/>
      <c r="AV1843" s="69"/>
      <c r="AW1843" s="69"/>
      <c r="AX1843" s="69"/>
      <c r="AY1843" s="69"/>
      <c r="AZ1843" s="69"/>
      <c r="BA1843" s="69"/>
      <c r="BB1843" s="69"/>
      <c r="BC1843" s="69"/>
    </row>
    <row r="1844">
      <c r="A1844" s="68"/>
      <c r="B1844" s="68"/>
      <c r="C1844" s="68"/>
      <c r="D1844" s="68"/>
      <c r="E1844" s="68"/>
      <c r="F1844" s="68"/>
      <c r="G1844" s="68"/>
      <c r="H1844" s="68"/>
      <c r="I1844" s="69"/>
      <c r="J1844" s="69"/>
      <c r="K1844" s="71"/>
      <c r="L1844" s="69"/>
      <c r="M1844" s="69"/>
      <c r="N1844" s="72"/>
      <c r="O1844" s="69"/>
      <c r="P1844" s="69"/>
      <c r="Q1844" s="69"/>
      <c r="R1844" s="69"/>
      <c r="S1844" s="69"/>
      <c r="T1844" s="69"/>
      <c r="U1844" s="69"/>
      <c r="V1844" s="69"/>
      <c r="W1844" s="69"/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/>
      <c r="AI1844" s="69"/>
      <c r="AJ1844" s="69"/>
      <c r="AK1844" s="69"/>
      <c r="AL1844" s="69"/>
      <c r="AM1844" s="69"/>
      <c r="AN1844" s="69"/>
      <c r="AO1844" s="69"/>
      <c r="AP1844" s="69"/>
      <c r="AQ1844" s="69"/>
      <c r="AR1844" s="69"/>
      <c r="AS1844" s="69"/>
      <c r="AT1844" s="69"/>
      <c r="AU1844" s="69"/>
      <c r="AV1844" s="69"/>
      <c r="AW1844" s="69"/>
      <c r="AX1844" s="69"/>
      <c r="AY1844" s="69"/>
      <c r="AZ1844" s="69"/>
      <c r="BA1844" s="69"/>
      <c r="BB1844" s="69"/>
      <c r="BC1844" s="69"/>
    </row>
    <row r="1845">
      <c r="A1845" s="68"/>
      <c r="B1845" s="68"/>
      <c r="C1845" s="68"/>
      <c r="D1845" s="68"/>
      <c r="E1845" s="68"/>
      <c r="F1845" s="68"/>
      <c r="G1845" s="68"/>
      <c r="H1845" s="68"/>
      <c r="I1845" s="69"/>
      <c r="J1845" s="69"/>
      <c r="K1845" s="71"/>
      <c r="L1845" s="69"/>
      <c r="M1845" s="69"/>
      <c r="N1845" s="72"/>
      <c r="O1845" s="69"/>
      <c r="P1845" s="69"/>
      <c r="Q1845" s="69"/>
      <c r="R1845" s="69"/>
      <c r="S1845" s="69"/>
      <c r="T1845" s="69"/>
      <c r="U1845" s="69"/>
      <c r="V1845" s="69"/>
      <c r="W1845" s="69"/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/>
      <c r="AI1845" s="69"/>
      <c r="AJ1845" s="69"/>
      <c r="AK1845" s="69"/>
      <c r="AL1845" s="69"/>
      <c r="AM1845" s="69"/>
      <c r="AN1845" s="69"/>
      <c r="AO1845" s="69"/>
      <c r="AP1845" s="69"/>
      <c r="AQ1845" s="69"/>
      <c r="AR1845" s="69"/>
      <c r="AS1845" s="69"/>
      <c r="AT1845" s="69"/>
      <c r="AU1845" s="69"/>
      <c r="AV1845" s="69"/>
      <c r="AW1845" s="69"/>
      <c r="AX1845" s="69"/>
      <c r="AY1845" s="69"/>
      <c r="AZ1845" s="69"/>
      <c r="BA1845" s="69"/>
      <c r="BB1845" s="69"/>
      <c r="BC1845" s="69"/>
    </row>
    <row r="1846">
      <c r="A1846" s="68"/>
      <c r="B1846" s="68"/>
      <c r="C1846" s="68"/>
      <c r="D1846" s="68"/>
      <c r="E1846" s="68"/>
      <c r="F1846" s="68"/>
      <c r="G1846" s="68"/>
      <c r="H1846" s="68"/>
      <c r="I1846" s="69"/>
      <c r="J1846" s="69"/>
      <c r="K1846" s="71"/>
      <c r="L1846" s="69"/>
      <c r="M1846" s="69"/>
      <c r="N1846" s="72"/>
      <c r="O1846" s="69"/>
      <c r="P1846" s="69"/>
      <c r="Q1846" s="69"/>
      <c r="R1846" s="69"/>
      <c r="S1846" s="69"/>
      <c r="T1846" s="69"/>
      <c r="U1846" s="69"/>
      <c r="V1846" s="69"/>
      <c r="W1846" s="69"/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/>
      <c r="AI1846" s="69"/>
      <c r="AJ1846" s="69"/>
      <c r="AK1846" s="69"/>
      <c r="AL1846" s="69"/>
      <c r="AM1846" s="69"/>
      <c r="AN1846" s="69"/>
      <c r="AO1846" s="69"/>
      <c r="AP1846" s="69"/>
      <c r="AQ1846" s="69"/>
      <c r="AR1846" s="69"/>
      <c r="AS1846" s="69"/>
      <c r="AT1846" s="69"/>
      <c r="AU1846" s="69"/>
      <c r="AV1846" s="69"/>
      <c r="AW1846" s="69"/>
      <c r="AX1846" s="69"/>
      <c r="AY1846" s="69"/>
      <c r="AZ1846" s="69"/>
      <c r="BA1846" s="69"/>
      <c r="BB1846" s="69"/>
      <c r="BC1846" s="69"/>
    </row>
    <row r="1847">
      <c r="A1847" s="68"/>
      <c r="B1847" s="68"/>
      <c r="C1847" s="68"/>
      <c r="D1847" s="68"/>
      <c r="E1847" s="68"/>
      <c r="F1847" s="68"/>
      <c r="G1847" s="68"/>
      <c r="H1847" s="68"/>
      <c r="I1847" s="69"/>
      <c r="J1847" s="69"/>
      <c r="K1847" s="71"/>
      <c r="L1847" s="69"/>
      <c r="M1847" s="69"/>
      <c r="N1847" s="72"/>
      <c r="O1847" s="69"/>
      <c r="P1847" s="69"/>
      <c r="Q1847" s="69"/>
      <c r="R1847" s="69"/>
      <c r="S1847" s="69"/>
      <c r="T1847" s="69"/>
      <c r="U1847" s="69"/>
      <c r="V1847" s="69"/>
      <c r="W1847" s="69"/>
      <c r="X1847" s="69"/>
      <c r="Y1847" s="69"/>
      <c r="Z1847" s="69"/>
      <c r="AA1847" s="69"/>
      <c r="AB1847" s="69"/>
      <c r="AC1847" s="69"/>
      <c r="AD1847" s="69"/>
      <c r="AE1847" s="69"/>
      <c r="AF1847" s="69"/>
      <c r="AG1847" s="69"/>
      <c r="AH1847" s="69"/>
      <c r="AI1847" s="69"/>
      <c r="AJ1847" s="69"/>
      <c r="AK1847" s="69"/>
      <c r="AL1847" s="69"/>
      <c r="AM1847" s="69"/>
      <c r="AN1847" s="69"/>
      <c r="AO1847" s="69"/>
      <c r="AP1847" s="69"/>
      <c r="AQ1847" s="69"/>
      <c r="AR1847" s="69"/>
      <c r="AS1847" s="69"/>
      <c r="AT1847" s="69"/>
      <c r="AU1847" s="69"/>
      <c r="AV1847" s="69"/>
      <c r="AW1847" s="69"/>
      <c r="AX1847" s="69"/>
      <c r="AY1847" s="69"/>
      <c r="AZ1847" s="69"/>
      <c r="BA1847" s="69"/>
      <c r="BB1847" s="69"/>
      <c r="BC1847" s="69"/>
    </row>
    <row r="1848">
      <c r="A1848" s="68"/>
      <c r="B1848" s="68"/>
      <c r="C1848" s="68"/>
      <c r="D1848" s="68"/>
      <c r="E1848" s="68"/>
      <c r="F1848" s="68"/>
      <c r="G1848" s="68"/>
      <c r="H1848" s="68"/>
      <c r="I1848" s="69"/>
      <c r="J1848" s="69"/>
      <c r="K1848" s="71"/>
      <c r="L1848" s="69"/>
      <c r="M1848" s="69"/>
      <c r="N1848" s="72"/>
      <c r="O1848" s="69"/>
      <c r="P1848" s="69"/>
      <c r="Q1848" s="69"/>
      <c r="R1848" s="69"/>
      <c r="S1848" s="69"/>
      <c r="T1848" s="69"/>
      <c r="U1848" s="69"/>
      <c r="V1848" s="69"/>
      <c r="W1848" s="69"/>
      <c r="X1848" s="69"/>
      <c r="Y1848" s="69"/>
      <c r="Z1848" s="69"/>
      <c r="AA1848" s="69"/>
      <c r="AB1848" s="69"/>
      <c r="AC1848" s="69"/>
      <c r="AD1848" s="69"/>
      <c r="AE1848" s="69"/>
      <c r="AF1848" s="69"/>
      <c r="AG1848" s="69"/>
      <c r="AH1848" s="69"/>
      <c r="AI1848" s="69"/>
      <c r="AJ1848" s="69"/>
      <c r="AK1848" s="69"/>
      <c r="AL1848" s="69"/>
      <c r="AM1848" s="69"/>
      <c r="AN1848" s="69"/>
      <c r="AO1848" s="69"/>
      <c r="AP1848" s="69"/>
      <c r="AQ1848" s="69"/>
      <c r="AR1848" s="69"/>
      <c r="AS1848" s="69"/>
      <c r="AT1848" s="69"/>
      <c r="AU1848" s="69"/>
      <c r="AV1848" s="69"/>
      <c r="AW1848" s="69"/>
      <c r="AX1848" s="69"/>
      <c r="AY1848" s="69"/>
      <c r="AZ1848" s="69"/>
      <c r="BA1848" s="69"/>
      <c r="BB1848" s="69"/>
      <c r="BC1848" s="69"/>
    </row>
    <row r="1849">
      <c r="A1849" s="68"/>
      <c r="B1849" s="68"/>
      <c r="C1849" s="68"/>
      <c r="D1849" s="68"/>
      <c r="E1849" s="68"/>
      <c r="F1849" s="68"/>
      <c r="G1849" s="68"/>
      <c r="H1849" s="68"/>
      <c r="I1849" s="69"/>
      <c r="J1849" s="69"/>
      <c r="K1849" s="71"/>
      <c r="L1849" s="69"/>
      <c r="M1849" s="69"/>
      <c r="N1849" s="72"/>
      <c r="O1849" s="69"/>
      <c r="P1849" s="69"/>
      <c r="Q1849" s="69"/>
      <c r="R1849" s="69"/>
      <c r="S1849" s="69"/>
      <c r="T1849" s="69"/>
      <c r="U1849" s="69"/>
      <c r="V1849" s="69"/>
      <c r="W1849" s="69"/>
      <c r="X1849" s="69"/>
      <c r="Y1849" s="69"/>
      <c r="Z1849" s="69"/>
      <c r="AA1849" s="69"/>
      <c r="AB1849" s="69"/>
      <c r="AC1849" s="69"/>
      <c r="AD1849" s="69"/>
      <c r="AE1849" s="69"/>
      <c r="AF1849" s="69"/>
      <c r="AG1849" s="69"/>
      <c r="AH1849" s="69"/>
      <c r="AI1849" s="69"/>
      <c r="AJ1849" s="69"/>
      <c r="AK1849" s="69"/>
      <c r="AL1849" s="69"/>
      <c r="AM1849" s="69"/>
      <c r="AN1849" s="69"/>
      <c r="AO1849" s="69"/>
      <c r="AP1849" s="69"/>
      <c r="AQ1849" s="69"/>
      <c r="AR1849" s="69"/>
      <c r="AS1849" s="69"/>
      <c r="AT1849" s="69"/>
      <c r="AU1849" s="69"/>
      <c r="AV1849" s="69"/>
      <c r="AW1849" s="69"/>
      <c r="AX1849" s="69"/>
      <c r="AY1849" s="69"/>
      <c r="AZ1849" s="69"/>
      <c r="BA1849" s="69"/>
      <c r="BB1849" s="69"/>
      <c r="BC1849" s="69"/>
    </row>
    <row r="1850">
      <c r="A1850" s="68"/>
      <c r="B1850" s="68"/>
      <c r="C1850" s="68"/>
      <c r="D1850" s="68"/>
      <c r="E1850" s="68"/>
      <c r="F1850" s="68"/>
      <c r="G1850" s="68"/>
      <c r="H1850" s="68"/>
      <c r="I1850" s="69"/>
      <c r="J1850" s="69"/>
      <c r="K1850" s="71"/>
      <c r="L1850" s="69"/>
      <c r="M1850" s="69"/>
      <c r="N1850" s="72"/>
      <c r="O1850" s="69"/>
      <c r="P1850" s="69"/>
      <c r="Q1850" s="69"/>
      <c r="R1850" s="69"/>
      <c r="S1850" s="69"/>
      <c r="T1850" s="69"/>
      <c r="U1850" s="69"/>
      <c r="V1850" s="69"/>
      <c r="W1850" s="69"/>
      <c r="X1850" s="69"/>
      <c r="Y1850" s="69"/>
      <c r="Z1850" s="69"/>
      <c r="AA1850" s="69"/>
      <c r="AB1850" s="69"/>
      <c r="AC1850" s="69"/>
      <c r="AD1850" s="69"/>
      <c r="AE1850" s="69"/>
      <c r="AF1850" s="69"/>
      <c r="AG1850" s="69"/>
      <c r="AH1850" s="69"/>
      <c r="AI1850" s="69"/>
      <c r="AJ1850" s="69"/>
      <c r="AK1850" s="69"/>
      <c r="AL1850" s="69"/>
      <c r="AM1850" s="69"/>
      <c r="AN1850" s="69"/>
      <c r="AO1850" s="69"/>
      <c r="AP1850" s="69"/>
      <c r="AQ1850" s="69"/>
      <c r="AR1850" s="69"/>
      <c r="AS1850" s="69"/>
      <c r="AT1850" s="69"/>
      <c r="AU1850" s="69"/>
      <c r="AV1850" s="69"/>
      <c r="AW1850" s="69"/>
      <c r="AX1850" s="69"/>
      <c r="AY1850" s="69"/>
      <c r="AZ1850" s="69"/>
      <c r="BA1850" s="69"/>
      <c r="BB1850" s="69"/>
      <c r="BC1850" s="69"/>
    </row>
    <row r="1851">
      <c r="A1851" s="68"/>
      <c r="B1851" s="68"/>
      <c r="C1851" s="68"/>
      <c r="D1851" s="68"/>
      <c r="E1851" s="68"/>
      <c r="F1851" s="68"/>
      <c r="G1851" s="68"/>
      <c r="H1851" s="68"/>
      <c r="I1851" s="69"/>
      <c r="J1851" s="69"/>
      <c r="K1851" s="71"/>
      <c r="L1851" s="69"/>
      <c r="M1851" s="69"/>
      <c r="N1851" s="72"/>
      <c r="O1851" s="69"/>
      <c r="P1851" s="69"/>
      <c r="Q1851" s="69"/>
      <c r="R1851" s="69"/>
      <c r="S1851" s="69"/>
      <c r="T1851" s="69"/>
      <c r="U1851" s="69"/>
      <c r="V1851" s="69"/>
      <c r="W1851" s="69"/>
      <c r="X1851" s="69"/>
      <c r="Y1851" s="69"/>
      <c r="Z1851" s="69"/>
      <c r="AA1851" s="69"/>
      <c r="AB1851" s="69"/>
      <c r="AC1851" s="69"/>
      <c r="AD1851" s="69"/>
      <c r="AE1851" s="69"/>
      <c r="AF1851" s="69"/>
      <c r="AG1851" s="69"/>
      <c r="AH1851" s="69"/>
      <c r="AI1851" s="69"/>
      <c r="AJ1851" s="69"/>
      <c r="AK1851" s="69"/>
      <c r="AL1851" s="69"/>
      <c r="AM1851" s="69"/>
      <c r="AN1851" s="69"/>
      <c r="AO1851" s="69"/>
      <c r="AP1851" s="69"/>
      <c r="AQ1851" s="69"/>
      <c r="AR1851" s="69"/>
      <c r="AS1851" s="69"/>
      <c r="AT1851" s="69"/>
      <c r="AU1851" s="69"/>
      <c r="AV1851" s="69"/>
      <c r="AW1851" s="69"/>
      <c r="AX1851" s="69"/>
      <c r="AY1851" s="69"/>
      <c r="AZ1851" s="69"/>
      <c r="BA1851" s="69"/>
      <c r="BB1851" s="69"/>
      <c r="BC1851" s="69"/>
    </row>
    <row r="1852">
      <c r="A1852" s="68"/>
      <c r="B1852" s="68"/>
      <c r="C1852" s="68"/>
      <c r="D1852" s="68"/>
      <c r="E1852" s="68"/>
      <c r="F1852" s="68"/>
      <c r="G1852" s="68"/>
      <c r="H1852" s="68"/>
      <c r="I1852" s="69"/>
      <c r="J1852" s="69"/>
      <c r="K1852" s="71"/>
      <c r="L1852" s="69"/>
      <c r="M1852" s="69"/>
      <c r="N1852" s="72"/>
      <c r="O1852" s="69"/>
      <c r="P1852" s="69"/>
      <c r="Q1852" s="69"/>
      <c r="R1852" s="69"/>
      <c r="S1852" s="69"/>
      <c r="T1852" s="69"/>
      <c r="U1852" s="69"/>
      <c r="V1852" s="69"/>
      <c r="W1852" s="69"/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/>
      <c r="AI1852" s="69"/>
      <c r="AJ1852" s="69"/>
      <c r="AK1852" s="69"/>
      <c r="AL1852" s="69"/>
      <c r="AM1852" s="69"/>
      <c r="AN1852" s="69"/>
      <c r="AO1852" s="69"/>
      <c r="AP1852" s="69"/>
      <c r="AQ1852" s="69"/>
      <c r="AR1852" s="69"/>
      <c r="AS1852" s="69"/>
      <c r="AT1852" s="69"/>
      <c r="AU1852" s="69"/>
      <c r="AV1852" s="69"/>
      <c r="AW1852" s="69"/>
      <c r="AX1852" s="69"/>
      <c r="AY1852" s="69"/>
      <c r="AZ1852" s="69"/>
      <c r="BA1852" s="69"/>
      <c r="BB1852" s="69"/>
      <c r="BC1852" s="69"/>
    </row>
    <row r="1853">
      <c r="A1853" s="68"/>
      <c r="B1853" s="68"/>
      <c r="C1853" s="68"/>
      <c r="D1853" s="68"/>
      <c r="E1853" s="68"/>
      <c r="F1853" s="68"/>
      <c r="G1853" s="68"/>
      <c r="H1853" s="68"/>
      <c r="I1853" s="69"/>
      <c r="J1853" s="69"/>
      <c r="K1853" s="71"/>
      <c r="L1853" s="69"/>
      <c r="M1853" s="69"/>
      <c r="N1853" s="72"/>
      <c r="O1853" s="69"/>
      <c r="P1853" s="69"/>
      <c r="Q1853" s="69"/>
      <c r="R1853" s="69"/>
      <c r="S1853" s="69"/>
      <c r="T1853" s="69"/>
      <c r="U1853" s="69"/>
      <c r="V1853" s="69"/>
      <c r="W1853" s="69"/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/>
      <c r="AI1853" s="69"/>
      <c r="AJ1853" s="69"/>
      <c r="AK1853" s="69"/>
      <c r="AL1853" s="69"/>
      <c r="AM1853" s="69"/>
      <c r="AN1853" s="69"/>
      <c r="AO1853" s="69"/>
      <c r="AP1853" s="69"/>
      <c r="AQ1853" s="69"/>
      <c r="AR1853" s="69"/>
      <c r="AS1853" s="69"/>
      <c r="AT1853" s="69"/>
      <c r="AU1853" s="69"/>
      <c r="AV1853" s="69"/>
      <c r="AW1853" s="69"/>
      <c r="AX1853" s="69"/>
      <c r="AY1853" s="69"/>
      <c r="AZ1853" s="69"/>
      <c r="BA1853" s="69"/>
      <c r="BB1853" s="69"/>
      <c r="BC1853" s="69"/>
    </row>
    <row r="1854">
      <c r="A1854" s="68"/>
      <c r="B1854" s="68"/>
      <c r="C1854" s="68"/>
      <c r="D1854" s="68"/>
      <c r="E1854" s="68"/>
      <c r="F1854" s="68"/>
      <c r="G1854" s="68"/>
      <c r="H1854" s="68"/>
      <c r="I1854" s="69"/>
      <c r="J1854" s="69"/>
      <c r="K1854" s="71"/>
      <c r="L1854" s="69"/>
      <c r="M1854" s="69"/>
      <c r="N1854" s="72"/>
      <c r="O1854" s="69"/>
      <c r="P1854" s="69"/>
      <c r="Q1854" s="69"/>
      <c r="R1854" s="69"/>
      <c r="S1854" s="69"/>
      <c r="T1854" s="69"/>
      <c r="U1854" s="69"/>
      <c r="V1854" s="69"/>
      <c r="W1854" s="69"/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/>
      <c r="AI1854" s="69"/>
      <c r="AJ1854" s="69"/>
      <c r="AK1854" s="69"/>
      <c r="AL1854" s="69"/>
      <c r="AM1854" s="69"/>
      <c r="AN1854" s="69"/>
      <c r="AO1854" s="69"/>
      <c r="AP1854" s="69"/>
      <c r="AQ1854" s="69"/>
      <c r="AR1854" s="69"/>
      <c r="AS1854" s="69"/>
      <c r="AT1854" s="69"/>
      <c r="AU1854" s="69"/>
      <c r="AV1854" s="69"/>
      <c r="AW1854" s="69"/>
      <c r="AX1854" s="69"/>
      <c r="AY1854" s="69"/>
      <c r="AZ1854" s="69"/>
      <c r="BA1854" s="69"/>
      <c r="BB1854" s="69"/>
      <c r="BC1854" s="69"/>
    </row>
    <row r="1855">
      <c r="A1855" s="68"/>
      <c r="B1855" s="68"/>
      <c r="C1855" s="68"/>
      <c r="D1855" s="68"/>
      <c r="E1855" s="68"/>
      <c r="F1855" s="68"/>
      <c r="G1855" s="68"/>
      <c r="H1855" s="68"/>
      <c r="I1855" s="69"/>
      <c r="J1855" s="69"/>
      <c r="K1855" s="71"/>
      <c r="L1855" s="69"/>
      <c r="M1855" s="69"/>
      <c r="N1855" s="72"/>
      <c r="O1855" s="69"/>
      <c r="P1855" s="69"/>
      <c r="Q1855" s="69"/>
      <c r="R1855" s="69"/>
      <c r="S1855" s="69"/>
      <c r="T1855" s="69"/>
      <c r="U1855" s="69"/>
      <c r="V1855" s="69"/>
      <c r="W1855" s="69"/>
      <c r="X1855" s="69"/>
      <c r="Y1855" s="69"/>
      <c r="Z1855" s="69"/>
      <c r="AA1855" s="69"/>
      <c r="AB1855" s="69"/>
      <c r="AC1855" s="69"/>
      <c r="AD1855" s="69"/>
      <c r="AE1855" s="69"/>
      <c r="AF1855" s="69"/>
      <c r="AG1855" s="69"/>
      <c r="AH1855" s="69"/>
      <c r="AI1855" s="69"/>
      <c r="AJ1855" s="69"/>
      <c r="AK1855" s="69"/>
      <c r="AL1855" s="69"/>
      <c r="AM1855" s="69"/>
      <c r="AN1855" s="69"/>
      <c r="AO1855" s="69"/>
      <c r="AP1855" s="69"/>
      <c r="AQ1855" s="69"/>
      <c r="AR1855" s="69"/>
      <c r="AS1855" s="69"/>
      <c r="AT1855" s="69"/>
      <c r="AU1855" s="69"/>
      <c r="AV1855" s="69"/>
      <c r="AW1855" s="69"/>
      <c r="AX1855" s="69"/>
      <c r="AY1855" s="69"/>
      <c r="AZ1855" s="69"/>
      <c r="BA1855" s="69"/>
      <c r="BB1855" s="69"/>
      <c r="BC1855" s="69"/>
    </row>
    <row r="1856">
      <c r="A1856" s="68"/>
      <c r="B1856" s="68"/>
      <c r="C1856" s="68"/>
      <c r="D1856" s="68"/>
      <c r="E1856" s="68"/>
      <c r="F1856" s="68"/>
      <c r="G1856" s="68"/>
      <c r="H1856" s="68"/>
      <c r="I1856" s="69"/>
      <c r="J1856" s="69"/>
      <c r="K1856" s="71"/>
      <c r="L1856" s="69"/>
      <c r="M1856" s="69"/>
      <c r="N1856" s="72"/>
      <c r="O1856" s="69"/>
      <c r="P1856" s="69"/>
      <c r="Q1856" s="69"/>
      <c r="R1856" s="69"/>
      <c r="S1856" s="69"/>
      <c r="T1856" s="69"/>
      <c r="U1856" s="69"/>
      <c r="V1856" s="69"/>
      <c r="W1856" s="69"/>
      <c r="X1856" s="69"/>
      <c r="Y1856" s="69"/>
      <c r="Z1856" s="69"/>
      <c r="AA1856" s="69"/>
      <c r="AB1856" s="69"/>
      <c r="AC1856" s="69"/>
      <c r="AD1856" s="69"/>
      <c r="AE1856" s="69"/>
      <c r="AF1856" s="69"/>
      <c r="AG1856" s="69"/>
      <c r="AH1856" s="69"/>
      <c r="AI1856" s="69"/>
      <c r="AJ1856" s="69"/>
      <c r="AK1856" s="69"/>
      <c r="AL1856" s="69"/>
      <c r="AM1856" s="69"/>
      <c r="AN1856" s="69"/>
      <c r="AO1856" s="69"/>
      <c r="AP1856" s="69"/>
      <c r="AQ1856" s="69"/>
      <c r="AR1856" s="69"/>
      <c r="AS1856" s="69"/>
      <c r="AT1856" s="69"/>
      <c r="AU1856" s="69"/>
      <c r="AV1856" s="69"/>
      <c r="AW1856" s="69"/>
      <c r="AX1856" s="69"/>
      <c r="AY1856" s="69"/>
      <c r="AZ1856" s="69"/>
      <c r="BA1856" s="69"/>
      <c r="BB1856" s="69"/>
      <c r="BC1856" s="69"/>
    </row>
    <row r="1857">
      <c r="A1857" s="68"/>
      <c r="B1857" s="68"/>
      <c r="C1857" s="68"/>
      <c r="D1857" s="68"/>
      <c r="E1857" s="68"/>
      <c r="F1857" s="68"/>
      <c r="G1857" s="68"/>
      <c r="H1857" s="68"/>
      <c r="I1857" s="69"/>
      <c r="J1857" s="69"/>
      <c r="K1857" s="71"/>
      <c r="L1857" s="69"/>
      <c r="M1857" s="69"/>
      <c r="N1857" s="72"/>
      <c r="O1857" s="69"/>
      <c r="P1857" s="69"/>
      <c r="Q1857" s="69"/>
      <c r="R1857" s="69"/>
      <c r="S1857" s="69"/>
      <c r="T1857" s="69"/>
      <c r="U1857" s="69"/>
      <c r="V1857" s="69"/>
      <c r="W1857" s="69"/>
      <c r="X1857" s="69"/>
      <c r="Y1857" s="69"/>
      <c r="Z1857" s="69"/>
      <c r="AA1857" s="69"/>
      <c r="AB1857" s="69"/>
      <c r="AC1857" s="69"/>
      <c r="AD1857" s="69"/>
      <c r="AE1857" s="69"/>
      <c r="AF1857" s="69"/>
      <c r="AG1857" s="69"/>
      <c r="AH1857" s="69"/>
      <c r="AI1857" s="69"/>
      <c r="AJ1857" s="69"/>
      <c r="AK1857" s="69"/>
      <c r="AL1857" s="69"/>
      <c r="AM1857" s="69"/>
      <c r="AN1857" s="69"/>
      <c r="AO1857" s="69"/>
      <c r="AP1857" s="69"/>
      <c r="AQ1857" s="69"/>
      <c r="AR1857" s="69"/>
      <c r="AS1857" s="69"/>
      <c r="AT1857" s="69"/>
      <c r="AU1857" s="69"/>
      <c r="AV1857" s="69"/>
      <c r="AW1857" s="69"/>
      <c r="AX1857" s="69"/>
      <c r="AY1857" s="69"/>
      <c r="AZ1857" s="69"/>
      <c r="BA1857" s="69"/>
      <c r="BB1857" s="69"/>
      <c r="BC1857" s="69"/>
    </row>
    <row r="1858">
      <c r="A1858" s="68"/>
      <c r="B1858" s="68"/>
      <c r="C1858" s="68"/>
      <c r="D1858" s="68"/>
      <c r="E1858" s="68"/>
      <c r="F1858" s="68"/>
      <c r="G1858" s="68"/>
      <c r="H1858" s="68"/>
      <c r="I1858" s="69"/>
      <c r="J1858" s="69"/>
      <c r="K1858" s="71"/>
      <c r="L1858" s="69"/>
      <c r="M1858" s="69"/>
      <c r="N1858" s="72"/>
      <c r="O1858" s="69"/>
      <c r="P1858" s="69"/>
      <c r="Q1858" s="69"/>
      <c r="R1858" s="69"/>
      <c r="S1858" s="69"/>
      <c r="T1858" s="69"/>
      <c r="U1858" s="69"/>
      <c r="V1858" s="69"/>
      <c r="W1858" s="69"/>
      <c r="X1858" s="69"/>
      <c r="Y1858" s="69"/>
      <c r="Z1858" s="69"/>
      <c r="AA1858" s="69"/>
      <c r="AB1858" s="69"/>
      <c r="AC1858" s="69"/>
      <c r="AD1858" s="69"/>
      <c r="AE1858" s="69"/>
      <c r="AF1858" s="69"/>
      <c r="AG1858" s="69"/>
      <c r="AH1858" s="69"/>
      <c r="AI1858" s="69"/>
      <c r="AJ1858" s="69"/>
      <c r="AK1858" s="69"/>
      <c r="AL1858" s="69"/>
      <c r="AM1858" s="69"/>
      <c r="AN1858" s="69"/>
      <c r="AO1858" s="69"/>
      <c r="AP1858" s="69"/>
      <c r="AQ1858" s="69"/>
      <c r="AR1858" s="69"/>
      <c r="AS1858" s="69"/>
      <c r="AT1858" s="69"/>
      <c r="AU1858" s="69"/>
      <c r="AV1858" s="69"/>
      <c r="AW1858" s="69"/>
      <c r="AX1858" s="69"/>
      <c r="AY1858" s="69"/>
      <c r="AZ1858" s="69"/>
      <c r="BA1858" s="69"/>
      <c r="BB1858" s="69"/>
      <c r="BC1858" s="69"/>
    </row>
    <row r="1859">
      <c r="A1859" s="68"/>
      <c r="B1859" s="68"/>
      <c r="C1859" s="68"/>
      <c r="D1859" s="68"/>
      <c r="E1859" s="68"/>
      <c r="F1859" s="68"/>
      <c r="G1859" s="68"/>
      <c r="H1859" s="68"/>
      <c r="I1859" s="69"/>
      <c r="J1859" s="69"/>
      <c r="K1859" s="71"/>
      <c r="L1859" s="69"/>
      <c r="M1859" s="69"/>
      <c r="N1859" s="72"/>
      <c r="O1859" s="69"/>
      <c r="P1859" s="69"/>
      <c r="Q1859" s="69"/>
      <c r="R1859" s="69"/>
      <c r="S1859" s="69"/>
      <c r="T1859" s="69"/>
      <c r="U1859" s="69"/>
      <c r="V1859" s="69"/>
      <c r="W1859" s="69"/>
      <c r="X1859" s="69"/>
      <c r="Y1859" s="69"/>
      <c r="Z1859" s="69"/>
      <c r="AA1859" s="69"/>
      <c r="AB1859" s="69"/>
      <c r="AC1859" s="69"/>
      <c r="AD1859" s="69"/>
      <c r="AE1859" s="69"/>
      <c r="AF1859" s="69"/>
      <c r="AG1859" s="69"/>
      <c r="AH1859" s="69"/>
      <c r="AI1859" s="69"/>
      <c r="AJ1859" s="69"/>
      <c r="AK1859" s="69"/>
      <c r="AL1859" s="69"/>
      <c r="AM1859" s="69"/>
      <c r="AN1859" s="69"/>
      <c r="AO1859" s="69"/>
      <c r="AP1859" s="69"/>
      <c r="AQ1859" s="69"/>
      <c r="AR1859" s="69"/>
      <c r="AS1859" s="69"/>
      <c r="AT1859" s="69"/>
      <c r="AU1859" s="69"/>
      <c r="AV1859" s="69"/>
      <c r="AW1859" s="69"/>
      <c r="AX1859" s="69"/>
      <c r="AY1859" s="69"/>
      <c r="AZ1859" s="69"/>
      <c r="BA1859" s="69"/>
      <c r="BB1859" s="69"/>
      <c r="BC1859" s="69"/>
    </row>
    <row r="1860">
      <c r="A1860" s="68"/>
      <c r="B1860" s="68"/>
      <c r="C1860" s="68"/>
      <c r="D1860" s="68"/>
      <c r="E1860" s="68"/>
      <c r="F1860" s="68"/>
      <c r="G1860" s="68"/>
      <c r="H1860" s="68"/>
      <c r="I1860" s="69"/>
      <c r="J1860" s="69"/>
      <c r="K1860" s="71"/>
      <c r="L1860" s="69"/>
      <c r="M1860" s="69"/>
      <c r="N1860" s="72"/>
      <c r="O1860" s="69"/>
      <c r="P1860" s="69"/>
      <c r="Q1860" s="69"/>
      <c r="R1860" s="69"/>
      <c r="S1860" s="69"/>
      <c r="T1860" s="69"/>
      <c r="U1860" s="69"/>
      <c r="V1860" s="69"/>
      <c r="W1860" s="69"/>
      <c r="X1860" s="69"/>
      <c r="Y1860" s="69"/>
      <c r="Z1860" s="69"/>
      <c r="AA1860" s="69"/>
      <c r="AB1860" s="69"/>
      <c r="AC1860" s="69"/>
      <c r="AD1860" s="69"/>
      <c r="AE1860" s="69"/>
      <c r="AF1860" s="69"/>
      <c r="AG1860" s="69"/>
      <c r="AH1860" s="69"/>
      <c r="AI1860" s="69"/>
      <c r="AJ1860" s="69"/>
      <c r="AK1860" s="69"/>
      <c r="AL1860" s="69"/>
      <c r="AM1860" s="69"/>
      <c r="AN1860" s="69"/>
      <c r="AO1860" s="69"/>
      <c r="AP1860" s="69"/>
      <c r="AQ1860" s="69"/>
      <c r="AR1860" s="69"/>
      <c r="AS1860" s="69"/>
      <c r="AT1860" s="69"/>
      <c r="AU1860" s="69"/>
      <c r="AV1860" s="69"/>
      <c r="AW1860" s="69"/>
      <c r="AX1860" s="69"/>
      <c r="AY1860" s="69"/>
      <c r="AZ1860" s="69"/>
      <c r="BA1860" s="69"/>
      <c r="BB1860" s="69"/>
      <c r="BC1860" s="69"/>
    </row>
    <row r="1861">
      <c r="A1861" s="68"/>
      <c r="B1861" s="68"/>
      <c r="C1861" s="68"/>
      <c r="D1861" s="68"/>
      <c r="E1861" s="68"/>
      <c r="F1861" s="68"/>
      <c r="G1861" s="68"/>
      <c r="H1861" s="68"/>
      <c r="I1861" s="69"/>
      <c r="J1861" s="69"/>
      <c r="K1861" s="71"/>
      <c r="L1861" s="69"/>
      <c r="M1861" s="69"/>
      <c r="N1861" s="72"/>
      <c r="O1861" s="69"/>
      <c r="P1861" s="69"/>
      <c r="Q1861" s="69"/>
      <c r="R1861" s="69"/>
      <c r="S1861" s="69"/>
      <c r="T1861" s="69"/>
      <c r="U1861" s="69"/>
      <c r="V1861" s="69"/>
      <c r="W1861" s="69"/>
      <c r="X1861" s="69"/>
      <c r="Y1861" s="69"/>
      <c r="Z1861" s="69"/>
      <c r="AA1861" s="69"/>
      <c r="AB1861" s="69"/>
      <c r="AC1861" s="69"/>
      <c r="AD1861" s="69"/>
      <c r="AE1861" s="69"/>
      <c r="AF1861" s="69"/>
      <c r="AG1861" s="69"/>
      <c r="AH1861" s="69"/>
      <c r="AI1861" s="69"/>
      <c r="AJ1861" s="69"/>
      <c r="AK1861" s="69"/>
      <c r="AL1861" s="69"/>
      <c r="AM1861" s="69"/>
      <c r="AN1861" s="69"/>
      <c r="AO1861" s="69"/>
      <c r="AP1861" s="69"/>
      <c r="AQ1861" s="69"/>
      <c r="AR1861" s="69"/>
      <c r="AS1861" s="69"/>
      <c r="AT1861" s="69"/>
      <c r="AU1861" s="69"/>
      <c r="AV1861" s="69"/>
      <c r="AW1861" s="69"/>
      <c r="AX1861" s="69"/>
      <c r="AY1861" s="69"/>
      <c r="AZ1861" s="69"/>
      <c r="BA1861" s="69"/>
      <c r="BB1861" s="69"/>
      <c r="BC1861" s="69"/>
    </row>
    <row r="1862">
      <c r="A1862" s="68"/>
      <c r="B1862" s="68"/>
      <c r="C1862" s="68"/>
      <c r="D1862" s="68"/>
      <c r="E1862" s="68"/>
      <c r="F1862" s="68"/>
      <c r="G1862" s="68"/>
      <c r="H1862" s="68"/>
      <c r="I1862" s="69"/>
      <c r="J1862" s="69"/>
      <c r="K1862" s="71"/>
      <c r="L1862" s="69"/>
      <c r="M1862" s="69"/>
      <c r="N1862" s="72"/>
      <c r="O1862" s="69"/>
      <c r="P1862" s="69"/>
      <c r="Q1862" s="69"/>
      <c r="R1862" s="69"/>
      <c r="S1862" s="69"/>
      <c r="T1862" s="69"/>
      <c r="U1862" s="69"/>
      <c r="V1862" s="69"/>
      <c r="W1862" s="69"/>
      <c r="X1862" s="69"/>
      <c r="Y1862" s="69"/>
      <c r="Z1862" s="69"/>
      <c r="AA1862" s="69"/>
      <c r="AB1862" s="69"/>
      <c r="AC1862" s="69"/>
      <c r="AD1862" s="69"/>
      <c r="AE1862" s="69"/>
      <c r="AF1862" s="69"/>
      <c r="AG1862" s="69"/>
      <c r="AH1862" s="69"/>
      <c r="AI1862" s="69"/>
      <c r="AJ1862" s="69"/>
      <c r="AK1862" s="69"/>
      <c r="AL1862" s="69"/>
      <c r="AM1862" s="69"/>
      <c r="AN1862" s="69"/>
      <c r="AO1862" s="69"/>
      <c r="AP1862" s="69"/>
      <c r="AQ1862" s="69"/>
      <c r="AR1862" s="69"/>
      <c r="AS1862" s="69"/>
      <c r="AT1862" s="69"/>
      <c r="AU1862" s="69"/>
      <c r="AV1862" s="69"/>
      <c r="AW1862" s="69"/>
      <c r="AX1862" s="69"/>
      <c r="AY1862" s="69"/>
      <c r="AZ1862" s="69"/>
      <c r="BA1862" s="69"/>
      <c r="BB1862" s="69"/>
      <c r="BC1862" s="69"/>
    </row>
    <row r="1863">
      <c r="A1863" s="68"/>
      <c r="B1863" s="68"/>
      <c r="C1863" s="68"/>
      <c r="D1863" s="68"/>
      <c r="E1863" s="68"/>
      <c r="F1863" s="68"/>
      <c r="G1863" s="68"/>
      <c r="H1863" s="68"/>
      <c r="I1863" s="69"/>
      <c r="J1863" s="69"/>
      <c r="K1863" s="71"/>
      <c r="L1863" s="69"/>
      <c r="M1863" s="69"/>
      <c r="N1863" s="72"/>
      <c r="O1863" s="69"/>
      <c r="P1863" s="69"/>
      <c r="Q1863" s="69"/>
      <c r="R1863" s="69"/>
      <c r="S1863" s="69"/>
      <c r="T1863" s="69"/>
      <c r="U1863" s="69"/>
      <c r="V1863" s="69"/>
      <c r="W1863" s="69"/>
      <c r="X1863" s="69"/>
      <c r="Y1863" s="69"/>
      <c r="Z1863" s="69"/>
      <c r="AA1863" s="69"/>
      <c r="AB1863" s="69"/>
      <c r="AC1863" s="69"/>
      <c r="AD1863" s="69"/>
      <c r="AE1863" s="69"/>
      <c r="AF1863" s="69"/>
      <c r="AG1863" s="69"/>
      <c r="AH1863" s="69"/>
      <c r="AI1863" s="69"/>
      <c r="AJ1863" s="69"/>
      <c r="AK1863" s="69"/>
      <c r="AL1863" s="69"/>
      <c r="AM1863" s="69"/>
      <c r="AN1863" s="69"/>
      <c r="AO1863" s="69"/>
      <c r="AP1863" s="69"/>
      <c r="AQ1863" s="69"/>
      <c r="AR1863" s="69"/>
      <c r="AS1863" s="69"/>
      <c r="AT1863" s="69"/>
      <c r="AU1863" s="69"/>
      <c r="AV1863" s="69"/>
      <c r="AW1863" s="69"/>
      <c r="AX1863" s="69"/>
      <c r="AY1863" s="69"/>
      <c r="AZ1863" s="69"/>
      <c r="BA1863" s="69"/>
      <c r="BB1863" s="69"/>
      <c r="BC1863" s="69"/>
    </row>
    <row r="1864">
      <c r="A1864" s="68"/>
      <c r="B1864" s="68"/>
      <c r="C1864" s="68"/>
      <c r="D1864" s="68"/>
      <c r="E1864" s="68"/>
      <c r="F1864" s="68"/>
      <c r="G1864" s="68"/>
      <c r="H1864" s="68"/>
      <c r="I1864" s="69"/>
      <c r="J1864" s="69"/>
      <c r="K1864" s="71"/>
      <c r="L1864" s="69"/>
      <c r="M1864" s="69"/>
      <c r="N1864" s="72"/>
      <c r="O1864" s="69"/>
      <c r="P1864" s="69"/>
      <c r="Q1864" s="69"/>
      <c r="R1864" s="69"/>
      <c r="S1864" s="69"/>
      <c r="T1864" s="69"/>
      <c r="U1864" s="69"/>
      <c r="V1864" s="69"/>
      <c r="W1864" s="69"/>
      <c r="X1864" s="69"/>
      <c r="Y1864" s="69"/>
      <c r="Z1864" s="69"/>
      <c r="AA1864" s="69"/>
      <c r="AB1864" s="69"/>
      <c r="AC1864" s="69"/>
      <c r="AD1864" s="69"/>
      <c r="AE1864" s="69"/>
      <c r="AF1864" s="69"/>
      <c r="AG1864" s="69"/>
      <c r="AH1864" s="69"/>
      <c r="AI1864" s="69"/>
      <c r="AJ1864" s="69"/>
      <c r="AK1864" s="69"/>
      <c r="AL1864" s="69"/>
      <c r="AM1864" s="69"/>
      <c r="AN1864" s="69"/>
      <c r="AO1864" s="69"/>
      <c r="AP1864" s="69"/>
      <c r="AQ1864" s="69"/>
      <c r="AR1864" s="69"/>
      <c r="AS1864" s="69"/>
      <c r="AT1864" s="69"/>
      <c r="AU1864" s="69"/>
      <c r="AV1864" s="69"/>
      <c r="AW1864" s="69"/>
      <c r="AX1864" s="69"/>
      <c r="AY1864" s="69"/>
      <c r="AZ1864" s="69"/>
      <c r="BA1864" s="69"/>
      <c r="BB1864" s="69"/>
      <c r="BC1864" s="69"/>
    </row>
    <row r="1865">
      <c r="A1865" s="68"/>
      <c r="B1865" s="68"/>
      <c r="C1865" s="68"/>
      <c r="D1865" s="68"/>
      <c r="E1865" s="68"/>
      <c r="F1865" s="68"/>
      <c r="G1865" s="68"/>
      <c r="H1865" s="68"/>
      <c r="I1865" s="69"/>
      <c r="J1865" s="69"/>
      <c r="K1865" s="71"/>
      <c r="L1865" s="69"/>
      <c r="M1865" s="69"/>
      <c r="N1865" s="72"/>
      <c r="O1865" s="69"/>
      <c r="P1865" s="69"/>
      <c r="Q1865" s="69"/>
      <c r="R1865" s="69"/>
      <c r="S1865" s="69"/>
      <c r="T1865" s="69"/>
      <c r="U1865" s="69"/>
      <c r="V1865" s="69"/>
      <c r="W1865" s="69"/>
      <c r="X1865" s="69"/>
      <c r="Y1865" s="69"/>
      <c r="Z1865" s="69"/>
      <c r="AA1865" s="69"/>
      <c r="AB1865" s="69"/>
      <c r="AC1865" s="69"/>
      <c r="AD1865" s="69"/>
      <c r="AE1865" s="69"/>
      <c r="AF1865" s="69"/>
      <c r="AG1865" s="69"/>
      <c r="AH1865" s="69"/>
      <c r="AI1865" s="69"/>
      <c r="AJ1865" s="69"/>
      <c r="AK1865" s="69"/>
      <c r="AL1865" s="69"/>
      <c r="AM1865" s="69"/>
      <c r="AN1865" s="69"/>
      <c r="AO1865" s="69"/>
      <c r="AP1865" s="69"/>
      <c r="AQ1865" s="69"/>
      <c r="AR1865" s="69"/>
      <c r="AS1865" s="69"/>
      <c r="AT1865" s="69"/>
      <c r="AU1865" s="69"/>
      <c r="AV1865" s="69"/>
      <c r="AW1865" s="69"/>
      <c r="AX1865" s="69"/>
      <c r="AY1865" s="69"/>
      <c r="AZ1865" s="69"/>
      <c r="BA1865" s="69"/>
      <c r="BB1865" s="69"/>
      <c r="BC1865" s="69"/>
    </row>
    <row r="1866">
      <c r="A1866" s="68"/>
      <c r="B1866" s="68"/>
      <c r="C1866" s="68"/>
      <c r="D1866" s="68"/>
      <c r="E1866" s="68"/>
      <c r="F1866" s="68"/>
      <c r="G1866" s="68"/>
      <c r="H1866" s="68"/>
      <c r="I1866" s="69"/>
      <c r="J1866" s="69"/>
      <c r="K1866" s="71"/>
      <c r="L1866" s="69"/>
      <c r="M1866" s="69"/>
      <c r="N1866" s="72"/>
      <c r="O1866" s="69"/>
      <c r="P1866" s="69"/>
      <c r="Q1866" s="69"/>
      <c r="R1866" s="69"/>
      <c r="S1866" s="69"/>
      <c r="T1866" s="69"/>
      <c r="U1866" s="69"/>
      <c r="V1866" s="69"/>
      <c r="W1866" s="69"/>
      <c r="X1866" s="69"/>
      <c r="Y1866" s="69"/>
      <c r="Z1866" s="69"/>
      <c r="AA1866" s="69"/>
      <c r="AB1866" s="69"/>
      <c r="AC1866" s="69"/>
      <c r="AD1866" s="69"/>
      <c r="AE1866" s="69"/>
      <c r="AF1866" s="69"/>
      <c r="AG1866" s="69"/>
      <c r="AH1866" s="69"/>
      <c r="AI1866" s="69"/>
      <c r="AJ1866" s="69"/>
      <c r="AK1866" s="69"/>
      <c r="AL1866" s="69"/>
      <c r="AM1866" s="69"/>
      <c r="AN1866" s="69"/>
      <c r="AO1866" s="69"/>
      <c r="AP1866" s="69"/>
      <c r="AQ1866" s="69"/>
      <c r="AR1866" s="69"/>
      <c r="AS1866" s="69"/>
      <c r="AT1866" s="69"/>
      <c r="AU1866" s="69"/>
      <c r="AV1866" s="69"/>
      <c r="AW1866" s="69"/>
      <c r="AX1866" s="69"/>
      <c r="AY1866" s="69"/>
      <c r="AZ1866" s="69"/>
      <c r="BA1866" s="69"/>
      <c r="BB1866" s="69"/>
      <c r="BC1866" s="69"/>
    </row>
    <row r="1867">
      <c r="A1867" s="68"/>
      <c r="B1867" s="68"/>
      <c r="C1867" s="68"/>
      <c r="D1867" s="68"/>
      <c r="E1867" s="68"/>
      <c r="F1867" s="68"/>
      <c r="G1867" s="68"/>
      <c r="H1867" s="68"/>
      <c r="I1867" s="69"/>
      <c r="J1867" s="69"/>
      <c r="K1867" s="71"/>
      <c r="L1867" s="69"/>
      <c r="M1867" s="69"/>
      <c r="N1867" s="72"/>
      <c r="O1867" s="69"/>
      <c r="P1867" s="69"/>
      <c r="Q1867" s="69"/>
      <c r="R1867" s="69"/>
      <c r="S1867" s="69"/>
      <c r="T1867" s="69"/>
      <c r="U1867" s="69"/>
      <c r="V1867" s="69"/>
      <c r="W1867" s="69"/>
      <c r="X1867" s="69"/>
      <c r="Y1867" s="69"/>
      <c r="Z1867" s="69"/>
      <c r="AA1867" s="69"/>
      <c r="AB1867" s="69"/>
      <c r="AC1867" s="69"/>
      <c r="AD1867" s="69"/>
      <c r="AE1867" s="69"/>
      <c r="AF1867" s="69"/>
      <c r="AG1867" s="69"/>
      <c r="AH1867" s="69"/>
      <c r="AI1867" s="69"/>
      <c r="AJ1867" s="69"/>
      <c r="AK1867" s="69"/>
      <c r="AL1867" s="69"/>
      <c r="AM1867" s="69"/>
      <c r="AN1867" s="69"/>
      <c r="AO1867" s="69"/>
      <c r="AP1867" s="69"/>
      <c r="AQ1867" s="69"/>
      <c r="AR1867" s="69"/>
      <c r="AS1867" s="69"/>
      <c r="AT1867" s="69"/>
      <c r="AU1867" s="69"/>
      <c r="AV1867" s="69"/>
      <c r="AW1867" s="69"/>
      <c r="AX1867" s="69"/>
      <c r="AY1867" s="69"/>
      <c r="AZ1867" s="69"/>
      <c r="BA1867" s="69"/>
      <c r="BB1867" s="69"/>
      <c r="BC1867" s="69"/>
    </row>
    <row r="1868">
      <c r="A1868" s="68"/>
      <c r="B1868" s="68"/>
      <c r="C1868" s="68"/>
      <c r="D1868" s="68"/>
      <c r="E1868" s="68"/>
      <c r="F1868" s="68"/>
      <c r="G1868" s="68"/>
      <c r="H1868" s="68"/>
      <c r="I1868" s="69"/>
      <c r="J1868" s="69"/>
      <c r="K1868" s="71"/>
      <c r="L1868" s="69"/>
      <c r="M1868" s="69"/>
      <c r="N1868" s="72"/>
      <c r="O1868" s="69"/>
      <c r="P1868" s="69"/>
      <c r="Q1868" s="69"/>
      <c r="R1868" s="69"/>
      <c r="S1868" s="69"/>
      <c r="T1868" s="69"/>
      <c r="U1868" s="69"/>
      <c r="V1868" s="69"/>
      <c r="W1868" s="69"/>
      <c r="X1868" s="69"/>
      <c r="Y1868" s="69"/>
      <c r="Z1868" s="69"/>
      <c r="AA1868" s="69"/>
      <c r="AB1868" s="69"/>
      <c r="AC1868" s="69"/>
      <c r="AD1868" s="69"/>
      <c r="AE1868" s="69"/>
      <c r="AF1868" s="69"/>
      <c r="AG1868" s="69"/>
      <c r="AH1868" s="69"/>
      <c r="AI1868" s="69"/>
      <c r="AJ1868" s="69"/>
      <c r="AK1868" s="69"/>
      <c r="AL1868" s="69"/>
      <c r="AM1868" s="69"/>
      <c r="AN1868" s="69"/>
      <c r="AO1868" s="69"/>
      <c r="AP1868" s="69"/>
      <c r="AQ1868" s="69"/>
      <c r="AR1868" s="69"/>
      <c r="AS1868" s="69"/>
      <c r="AT1868" s="69"/>
      <c r="AU1868" s="69"/>
      <c r="AV1868" s="69"/>
      <c r="AW1868" s="69"/>
      <c r="AX1868" s="69"/>
      <c r="AY1868" s="69"/>
      <c r="AZ1868" s="69"/>
      <c r="BA1868" s="69"/>
      <c r="BB1868" s="69"/>
      <c r="BC1868" s="69"/>
    </row>
    <row r="1869">
      <c r="A1869" s="68"/>
      <c r="B1869" s="68"/>
      <c r="C1869" s="68"/>
      <c r="D1869" s="68"/>
      <c r="E1869" s="68"/>
      <c r="F1869" s="68"/>
      <c r="G1869" s="68"/>
      <c r="H1869" s="68"/>
      <c r="I1869" s="69"/>
      <c r="J1869" s="69"/>
      <c r="K1869" s="71"/>
      <c r="L1869" s="69"/>
      <c r="M1869" s="69"/>
      <c r="N1869" s="72"/>
      <c r="O1869" s="69"/>
      <c r="P1869" s="69"/>
      <c r="Q1869" s="69"/>
      <c r="R1869" s="69"/>
      <c r="S1869" s="69"/>
      <c r="T1869" s="69"/>
      <c r="U1869" s="69"/>
      <c r="V1869" s="69"/>
      <c r="W1869" s="69"/>
      <c r="X1869" s="69"/>
      <c r="Y1869" s="69"/>
      <c r="Z1869" s="69"/>
      <c r="AA1869" s="69"/>
      <c r="AB1869" s="69"/>
      <c r="AC1869" s="69"/>
      <c r="AD1869" s="69"/>
      <c r="AE1869" s="69"/>
      <c r="AF1869" s="69"/>
      <c r="AG1869" s="69"/>
      <c r="AH1869" s="69"/>
      <c r="AI1869" s="69"/>
      <c r="AJ1869" s="69"/>
      <c r="AK1869" s="69"/>
      <c r="AL1869" s="69"/>
      <c r="AM1869" s="69"/>
      <c r="AN1869" s="69"/>
      <c r="AO1869" s="69"/>
      <c r="AP1869" s="69"/>
      <c r="AQ1869" s="69"/>
      <c r="AR1869" s="69"/>
      <c r="AS1869" s="69"/>
      <c r="AT1869" s="69"/>
      <c r="AU1869" s="69"/>
      <c r="AV1869" s="69"/>
      <c r="AW1869" s="69"/>
      <c r="AX1869" s="69"/>
      <c r="AY1869" s="69"/>
      <c r="AZ1869" s="69"/>
      <c r="BA1869" s="69"/>
      <c r="BB1869" s="69"/>
      <c r="BC1869" s="69"/>
    </row>
    <row r="1870">
      <c r="A1870" s="68"/>
      <c r="B1870" s="68"/>
      <c r="C1870" s="68"/>
      <c r="D1870" s="68"/>
      <c r="E1870" s="68"/>
      <c r="F1870" s="68"/>
      <c r="G1870" s="68"/>
      <c r="H1870" s="68"/>
      <c r="I1870" s="69"/>
      <c r="J1870" s="69"/>
      <c r="K1870" s="71"/>
      <c r="L1870" s="69"/>
      <c r="M1870" s="69"/>
      <c r="N1870" s="72"/>
      <c r="O1870" s="69"/>
      <c r="P1870" s="69"/>
      <c r="Q1870" s="69"/>
      <c r="R1870" s="69"/>
      <c r="S1870" s="69"/>
      <c r="T1870" s="69"/>
      <c r="U1870" s="69"/>
      <c r="V1870" s="69"/>
      <c r="W1870" s="69"/>
      <c r="X1870" s="69"/>
      <c r="Y1870" s="69"/>
      <c r="Z1870" s="69"/>
      <c r="AA1870" s="69"/>
      <c r="AB1870" s="69"/>
      <c r="AC1870" s="69"/>
      <c r="AD1870" s="69"/>
      <c r="AE1870" s="69"/>
      <c r="AF1870" s="69"/>
      <c r="AG1870" s="69"/>
      <c r="AH1870" s="69"/>
      <c r="AI1870" s="69"/>
      <c r="AJ1870" s="69"/>
      <c r="AK1870" s="69"/>
      <c r="AL1870" s="69"/>
      <c r="AM1870" s="69"/>
      <c r="AN1870" s="69"/>
      <c r="AO1870" s="69"/>
      <c r="AP1870" s="69"/>
      <c r="AQ1870" s="69"/>
      <c r="AR1870" s="69"/>
      <c r="AS1870" s="69"/>
      <c r="AT1870" s="69"/>
      <c r="AU1870" s="69"/>
      <c r="AV1870" s="69"/>
      <c r="AW1870" s="69"/>
      <c r="AX1870" s="69"/>
      <c r="AY1870" s="69"/>
      <c r="AZ1870" s="69"/>
      <c r="BA1870" s="69"/>
      <c r="BB1870" s="69"/>
      <c r="BC1870" s="69"/>
    </row>
    <row r="1871">
      <c r="A1871" s="68"/>
      <c r="B1871" s="68"/>
      <c r="C1871" s="68"/>
      <c r="D1871" s="68"/>
      <c r="E1871" s="68"/>
      <c r="F1871" s="68"/>
      <c r="G1871" s="68"/>
      <c r="H1871" s="68"/>
      <c r="I1871" s="69"/>
      <c r="J1871" s="69"/>
      <c r="K1871" s="71"/>
      <c r="L1871" s="69"/>
      <c r="M1871" s="69"/>
      <c r="N1871" s="72"/>
      <c r="O1871" s="69"/>
      <c r="P1871" s="69"/>
      <c r="Q1871" s="69"/>
      <c r="R1871" s="69"/>
      <c r="S1871" s="69"/>
      <c r="T1871" s="69"/>
      <c r="U1871" s="69"/>
      <c r="V1871" s="69"/>
      <c r="W1871" s="69"/>
      <c r="X1871" s="69"/>
      <c r="Y1871" s="69"/>
      <c r="Z1871" s="69"/>
      <c r="AA1871" s="69"/>
      <c r="AB1871" s="69"/>
      <c r="AC1871" s="69"/>
      <c r="AD1871" s="69"/>
      <c r="AE1871" s="69"/>
      <c r="AF1871" s="69"/>
      <c r="AG1871" s="69"/>
      <c r="AH1871" s="69"/>
      <c r="AI1871" s="69"/>
      <c r="AJ1871" s="69"/>
      <c r="AK1871" s="69"/>
      <c r="AL1871" s="69"/>
      <c r="AM1871" s="69"/>
      <c r="AN1871" s="69"/>
      <c r="AO1871" s="69"/>
      <c r="AP1871" s="69"/>
      <c r="AQ1871" s="69"/>
      <c r="AR1871" s="69"/>
      <c r="AS1871" s="69"/>
      <c r="AT1871" s="69"/>
      <c r="AU1871" s="69"/>
      <c r="AV1871" s="69"/>
      <c r="AW1871" s="69"/>
      <c r="AX1871" s="69"/>
      <c r="AY1871" s="69"/>
      <c r="AZ1871" s="69"/>
      <c r="BA1871" s="69"/>
      <c r="BB1871" s="69"/>
      <c r="BC1871" s="69"/>
    </row>
    <row r="1872">
      <c r="A1872" s="68"/>
      <c r="B1872" s="68"/>
      <c r="C1872" s="68"/>
      <c r="D1872" s="68"/>
      <c r="E1872" s="68"/>
      <c r="F1872" s="68"/>
      <c r="G1872" s="68"/>
      <c r="H1872" s="68"/>
      <c r="I1872" s="69"/>
      <c r="J1872" s="69"/>
      <c r="K1872" s="71"/>
      <c r="L1872" s="69"/>
      <c r="M1872" s="69"/>
      <c r="N1872" s="72"/>
      <c r="O1872" s="69"/>
      <c r="P1872" s="69"/>
      <c r="Q1872" s="69"/>
      <c r="R1872" s="69"/>
      <c r="S1872" s="69"/>
      <c r="T1872" s="69"/>
      <c r="U1872" s="69"/>
      <c r="V1872" s="69"/>
      <c r="W1872" s="69"/>
      <c r="X1872" s="69"/>
      <c r="Y1872" s="69"/>
      <c r="Z1872" s="69"/>
      <c r="AA1872" s="69"/>
      <c r="AB1872" s="69"/>
      <c r="AC1872" s="69"/>
      <c r="AD1872" s="69"/>
      <c r="AE1872" s="69"/>
      <c r="AF1872" s="69"/>
      <c r="AG1872" s="69"/>
      <c r="AH1872" s="69"/>
      <c r="AI1872" s="69"/>
      <c r="AJ1872" s="69"/>
      <c r="AK1872" s="69"/>
      <c r="AL1872" s="69"/>
      <c r="AM1872" s="69"/>
      <c r="AN1872" s="69"/>
      <c r="AO1872" s="69"/>
      <c r="AP1872" s="69"/>
      <c r="AQ1872" s="69"/>
      <c r="AR1872" s="69"/>
      <c r="AS1872" s="69"/>
      <c r="AT1872" s="69"/>
      <c r="AU1872" s="69"/>
      <c r="AV1872" s="69"/>
      <c r="AW1872" s="69"/>
      <c r="AX1872" s="69"/>
      <c r="AY1872" s="69"/>
      <c r="AZ1872" s="69"/>
      <c r="BA1872" s="69"/>
      <c r="BB1872" s="69"/>
      <c r="BC1872" s="69"/>
    </row>
    <row r="1873">
      <c r="A1873" s="68"/>
      <c r="B1873" s="68"/>
      <c r="C1873" s="68"/>
      <c r="D1873" s="68"/>
      <c r="E1873" s="68"/>
      <c r="F1873" s="68"/>
      <c r="G1873" s="68"/>
      <c r="H1873" s="68"/>
      <c r="I1873" s="69"/>
      <c r="J1873" s="69"/>
      <c r="K1873" s="71"/>
      <c r="L1873" s="69"/>
      <c r="M1873" s="69"/>
      <c r="N1873" s="72"/>
      <c r="O1873" s="69"/>
      <c r="P1873" s="69"/>
      <c r="Q1873" s="69"/>
      <c r="R1873" s="69"/>
      <c r="S1873" s="69"/>
      <c r="T1873" s="69"/>
      <c r="U1873" s="69"/>
      <c r="V1873" s="69"/>
      <c r="W1873" s="69"/>
      <c r="X1873" s="69"/>
      <c r="Y1873" s="69"/>
      <c r="Z1873" s="69"/>
      <c r="AA1873" s="69"/>
      <c r="AB1873" s="69"/>
      <c r="AC1873" s="69"/>
      <c r="AD1873" s="69"/>
      <c r="AE1873" s="69"/>
      <c r="AF1873" s="69"/>
      <c r="AG1873" s="69"/>
      <c r="AH1873" s="69"/>
      <c r="AI1873" s="69"/>
      <c r="AJ1873" s="69"/>
      <c r="AK1873" s="69"/>
      <c r="AL1873" s="69"/>
      <c r="AM1873" s="69"/>
      <c r="AN1873" s="69"/>
      <c r="AO1873" s="69"/>
      <c r="AP1873" s="69"/>
      <c r="AQ1873" s="69"/>
      <c r="AR1873" s="69"/>
      <c r="AS1873" s="69"/>
      <c r="AT1873" s="69"/>
      <c r="AU1873" s="69"/>
      <c r="AV1873" s="69"/>
      <c r="AW1873" s="69"/>
      <c r="AX1873" s="69"/>
      <c r="AY1873" s="69"/>
      <c r="AZ1873" s="69"/>
      <c r="BA1873" s="69"/>
      <c r="BB1873" s="69"/>
      <c r="BC1873" s="69"/>
    </row>
    <row r="1874">
      <c r="A1874" s="68"/>
      <c r="B1874" s="68"/>
      <c r="C1874" s="68"/>
      <c r="D1874" s="68"/>
      <c r="E1874" s="68"/>
      <c r="F1874" s="68"/>
      <c r="G1874" s="68"/>
      <c r="H1874" s="68"/>
      <c r="I1874" s="69"/>
      <c r="J1874" s="69"/>
      <c r="K1874" s="71"/>
      <c r="L1874" s="69"/>
      <c r="M1874" s="69"/>
      <c r="N1874" s="72"/>
      <c r="O1874" s="69"/>
      <c r="P1874" s="69"/>
      <c r="Q1874" s="69"/>
      <c r="R1874" s="69"/>
      <c r="S1874" s="69"/>
      <c r="T1874" s="69"/>
      <c r="U1874" s="69"/>
      <c r="V1874" s="69"/>
      <c r="W1874" s="69"/>
      <c r="X1874" s="69"/>
      <c r="Y1874" s="69"/>
      <c r="Z1874" s="69"/>
      <c r="AA1874" s="69"/>
      <c r="AB1874" s="69"/>
      <c r="AC1874" s="69"/>
      <c r="AD1874" s="69"/>
      <c r="AE1874" s="69"/>
      <c r="AF1874" s="69"/>
      <c r="AG1874" s="69"/>
      <c r="AH1874" s="69"/>
      <c r="AI1874" s="69"/>
      <c r="AJ1874" s="69"/>
      <c r="AK1874" s="69"/>
      <c r="AL1874" s="69"/>
      <c r="AM1874" s="69"/>
      <c r="AN1874" s="69"/>
      <c r="AO1874" s="69"/>
      <c r="AP1874" s="69"/>
      <c r="AQ1874" s="69"/>
      <c r="AR1874" s="69"/>
      <c r="AS1874" s="69"/>
      <c r="AT1874" s="69"/>
      <c r="AU1874" s="69"/>
      <c r="AV1874" s="69"/>
      <c r="AW1874" s="69"/>
      <c r="AX1874" s="69"/>
      <c r="AY1874" s="69"/>
      <c r="AZ1874" s="69"/>
      <c r="BA1874" s="69"/>
      <c r="BB1874" s="69"/>
      <c r="BC1874" s="69"/>
    </row>
    <row r="1875">
      <c r="A1875" s="68"/>
      <c r="B1875" s="68"/>
      <c r="C1875" s="68"/>
      <c r="D1875" s="68"/>
      <c r="E1875" s="68"/>
      <c r="F1875" s="68"/>
      <c r="G1875" s="68"/>
      <c r="H1875" s="68"/>
      <c r="I1875" s="69"/>
      <c r="J1875" s="69"/>
      <c r="K1875" s="71"/>
      <c r="L1875" s="69"/>
      <c r="M1875" s="69"/>
      <c r="N1875" s="72"/>
      <c r="O1875" s="69"/>
      <c r="P1875" s="69"/>
      <c r="Q1875" s="69"/>
      <c r="R1875" s="69"/>
      <c r="S1875" s="69"/>
      <c r="T1875" s="69"/>
      <c r="U1875" s="69"/>
      <c r="V1875" s="69"/>
      <c r="W1875" s="69"/>
      <c r="X1875" s="69"/>
      <c r="Y1875" s="69"/>
      <c r="Z1875" s="69"/>
      <c r="AA1875" s="69"/>
      <c r="AB1875" s="69"/>
      <c r="AC1875" s="69"/>
      <c r="AD1875" s="69"/>
      <c r="AE1875" s="69"/>
      <c r="AF1875" s="69"/>
      <c r="AG1875" s="69"/>
      <c r="AH1875" s="69"/>
      <c r="AI1875" s="69"/>
      <c r="AJ1875" s="69"/>
      <c r="AK1875" s="69"/>
      <c r="AL1875" s="69"/>
      <c r="AM1875" s="69"/>
      <c r="AN1875" s="69"/>
      <c r="AO1875" s="69"/>
      <c r="AP1875" s="69"/>
      <c r="AQ1875" s="69"/>
      <c r="AR1875" s="69"/>
      <c r="AS1875" s="69"/>
      <c r="AT1875" s="69"/>
      <c r="AU1875" s="69"/>
      <c r="AV1875" s="69"/>
      <c r="AW1875" s="69"/>
      <c r="AX1875" s="69"/>
      <c r="AY1875" s="69"/>
      <c r="AZ1875" s="69"/>
      <c r="BA1875" s="69"/>
      <c r="BB1875" s="69"/>
      <c r="BC1875" s="69"/>
    </row>
    <row r="1876">
      <c r="A1876" s="68"/>
      <c r="B1876" s="68"/>
      <c r="C1876" s="68"/>
      <c r="D1876" s="68"/>
      <c r="E1876" s="68"/>
      <c r="F1876" s="68"/>
      <c r="G1876" s="68"/>
      <c r="H1876" s="68"/>
      <c r="I1876" s="69"/>
      <c r="J1876" s="69"/>
      <c r="K1876" s="71"/>
      <c r="L1876" s="69"/>
      <c r="M1876" s="69"/>
      <c r="N1876" s="72"/>
      <c r="O1876" s="69"/>
      <c r="P1876" s="69"/>
      <c r="Q1876" s="69"/>
      <c r="R1876" s="69"/>
      <c r="S1876" s="69"/>
      <c r="T1876" s="69"/>
      <c r="U1876" s="69"/>
      <c r="V1876" s="69"/>
      <c r="W1876" s="69"/>
      <c r="X1876" s="69"/>
      <c r="Y1876" s="69"/>
      <c r="Z1876" s="69"/>
      <c r="AA1876" s="69"/>
      <c r="AB1876" s="69"/>
      <c r="AC1876" s="69"/>
      <c r="AD1876" s="69"/>
      <c r="AE1876" s="69"/>
      <c r="AF1876" s="69"/>
      <c r="AG1876" s="69"/>
      <c r="AH1876" s="69"/>
      <c r="AI1876" s="69"/>
      <c r="AJ1876" s="69"/>
      <c r="AK1876" s="69"/>
      <c r="AL1876" s="69"/>
      <c r="AM1876" s="69"/>
      <c r="AN1876" s="69"/>
      <c r="AO1876" s="69"/>
      <c r="AP1876" s="69"/>
      <c r="AQ1876" s="69"/>
      <c r="AR1876" s="69"/>
      <c r="AS1876" s="69"/>
      <c r="AT1876" s="69"/>
      <c r="AU1876" s="69"/>
      <c r="AV1876" s="69"/>
      <c r="AW1876" s="69"/>
      <c r="AX1876" s="69"/>
      <c r="AY1876" s="69"/>
      <c r="AZ1876" s="69"/>
      <c r="BA1876" s="69"/>
      <c r="BB1876" s="69"/>
      <c r="BC1876" s="69"/>
    </row>
    <row r="1877">
      <c r="A1877" s="68"/>
      <c r="B1877" s="68"/>
      <c r="C1877" s="68"/>
      <c r="D1877" s="68"/>
      <c r="E1877" s="68"/>
      <c r="F1877" s="68"/>
      <c r="G1877" s="68"/>
      <c r="H1877" s="68"/>
      <c r="I1877" s="69"/>
      <c r="J1877" s="69"/>
      <c r="K1877" s="71"/>
      <c r="L1877" s="69"/>
      <c r="M1877" s="69"/>
      <c r="N1877" s="72"/>
      <c r="O1877" s="69"/>
      <c r="P1877" s="69"/>
      <c r="Q1877" s="69"/>
      <c r="R1877" s="69"/>
      <c r="S1877" s="69"/>
      <c r="T1877" s="69"/>
      <c r="U1877" s="69"/>
      <c r="V1877" s="69"/>
      <c r="W1877" s="69"/>
      <c r="X1877" s="69"/>
      <c r="Y1877" s="69"/>
      <c r="Z1877" s="69"/>
      <c r="AA1877" s="69"/>
      <c r="AB1877" s="69"/>
      <c r="AC1877" s="69"/>
      <c r="AD1877" s="69"/>
      <c r="AE1877" s="69"/>
      <c r="AF1877" s="69"/>
      <c r="AG1877" s="69"/>
      <c r="AH1877" s="69"/>
      <c r="AI1877" s="69"/>
      <c r="AJ1877" s="69"/>
      <c r="AK1877" s="69"/>
      <c r="AL1877" s="69"/>
      <c r="AM1877" s="69"/>
      <c r="AN1877" s="69"/>
      <c r="AO1877" s="69"/>
      <c r="AP1877" s="69"/>
      <c r="AQ1877" s="69"/>
      <c r="AR1877" s="69"/>
      <c r="AS1877" s="69"/>
      <c r="AT1877" s="69"/>
      <c r="AU1877" s="69"/>
      <c r="AV1877" s="69"/>
      <c r="AW1877" s="69"/>
      <c r="AX1877" s="69"/>
      <c r="AY1877" s="69"/>
      <c r="AZ1877" s="69"/>
      <c r="BA1877" s="69"/>
      <c r="BB1877" s="69"/>
      <c r="BC1877" s="69"/>
    </row>
    <row r="1878">
      <c r="A1878" s="68"/>
      <c r="B1878" s="68"/>
      <c r="C1878" s="68"/>
      <c r="D1878" s="68"/>
      <c r="E1878" s="68"/>
      <c r="F1878" s="68"/>
      <c r="G1878" s="68"/>
      <c r="H1878" s="68"/>
      <c r="I1878" s="69"/>
      <c r="J1878" s="69"/>
      <c r="K1878" s="71"/>
      <c r="L1878" s="69"/>
      <c r="M1878" s="69"/>
      <c r="N1878" s="72"/>
      <c r="O1878" s="69"/>
      <c r="P1878" s="69"/>
      <c r="Q1878" s="69"/>
      <c r="R1878" s="69"/>
      <c r="S1878" s="69"/>
      <c r="T1878" s="69"/>
      <c r="U1878" s="69"/>
      <c r="V1878" s="69"/>
      <c r="W1878" s="69"/>
      <c r="X1878" s="69"/>
      <c r="Y1878" s="69"/>
      <c r="Z1878" s="69"/>
      <c r="AA1878" s="69"/>
      <c r="AB1878" s="69"/>
      <c r="AC1878" s="69"/>
      <c r="AD1878" s="69"/>
      <c r="AE1878" s="69"/>
      <c r="AF1878" s="69"/>
      <c r="AG1878" s="69"/>
      <c r="AH1878" s="69"/>
      <c r="AI1878" s="69"/>
      <c r="AJ1878" s="69"/>
      <c r="AK1878" s="69"/>
      <c r="AL1878" s="69"/>
      <c r="AM1878" s="69"/>
      <c r="AN1878" s="69"/>
      <c r="AO1878" s="69"/>
      <c r="AP1878" s="69"/>
      <c r="AQ1878" s="69"/>
      <c r="AR1878" s="69"/>
      <c r="AS1878" s="69"/>
      <c r="AT1878" s="69"/>
      <c r="AU1878" s="69"/>
      <c r="AV1878" s="69"/>
      <c r="AW1878" s="69"/>
      <c r="AX1878" s="69"/>
      <c r="AY1878" s="69"/>
      <c r="AZ1878" s="69"/>
      <c r="BA1878" s="69"/>
      <c r="BB1878" s="69"/>
      <c r="BC1878" s="69"/>
    </row>
    <row r="1879">
      <c r="A1879" s="68"/>
      <c r="B1879" s="68"/>
      <c r="C1879" s="68"/>
      <c r="D1879" s="68"/>
      <c r="E1879" s="68"/>
      <c r="F1879" s="68"/>
      <c r="G1879" s="68"/>
      <c r="H1879" s="68"/>
      <c r="I1879" s="69"/>
      <c r="J1879" s="69"/>
      <c r="K1879" s="71"/>
      <c r="L1879" s="69"/>
      <c r="M1879" s="69"/>
      <c r="N1879" s="72"/>
      <c r="O1879" s="69"/>
      <c r="P1879" s="69"/>
      <c r="Q1879" s="69"/>
      <c r="R1879" s="69"/>
      <c r="S1879" s="69"/>
      <c r="T1879" s="69"/>
      <c r="U1879" s="69"/>
      <c r="V1879" s="69"/>
      <c r="W1879" s="69"/>
      <c r="X1879" s="69"/>
      <c r="Y1879" s="69"/>
      <c r="Z1879" s="69"/>
      <c r="AA1879" s="69"/>
      <c r="AB1879" s="69"/>
      <c r="AC1879" s="69"/>
      <c r="AD1879" s="69"/>
      <c r="AE1879" s="69"/>
      <c r="AF1879" s="69"/>
      <c r="AG1879" s="69"/>
      <c r="AH1879" s="69"/>
      <c r="AI1879" s="69"/>
      <c r="AJ1879" s="69"/>
      <c r="AK1879" s="69"/>
      <c r="AL1879" s="69"/>
      <c r="AM1879" s="69"/>
      <c r="AN1879" s="69"/>
      <c r="AO1879" s="69"/>
      <c r="AP1879" s="69"/>
      <c r="AQ1879" s="69"/>
      <c r="AR1879" s="69"/>
      <c r="AS1879" s="69"/>
      <c r="AT1879" s="69"/>
      <c r="AU1879" s="69"/>
      <c r="AV1879" s="69"/>
      <c r="AW1879" s="69"/>
      <c r="AX1879" s="69"/>
      <c r="AY1879" s="69"/>
      <c r="AZ1879" s="69"/>
      <c r="BA1879" s="69"/>
      <c r="BB1879" s="69"/>
      <c r="BC1879" s="69"/>
    </row>
    <row r="1880">
      <c r="A1880" s="68"/>
      <c r="B1880" s="68"/>
      <c r="C1880" s="68"/>
      <c r="D1880" s="68"/>
      <c r="E1880" s="68"/>
      <c r="F1880" s="68"/>
      <c r="G1880" s="68"/>
      <c r="H1880" s="68"/>
      <c r="I1880" s="69"/>
      <c r="J1880" s="69"/>
      <c r="K1880" s="71"/>
      <c r="L1880" s="69"/>
      <c r="M1880" s="69"/>
      <c r="N1880" s="72"/>
      <c r="O1880" s="69"/>
      <c r="P1880" s="69"/>
      <c r="Q1880" s="69"/>
      <c r="R1880" s="69"/>
      <c r="S1880" s="69"/>
      <c r="T1880" s="69"/>
      <c r="U1880" s="69"/>
      <c r="V1880" s="69"/>
      <c r="W1880" s="69"/>
      <c r="X1880" s="69"/>
      <c r="Y1880" s="69"/>
      <c r="Z1880" s="69"/>
      <c r="AA1880" s="69"/>
      <c r="AB1880" s="69"/>
      <c r="AC1880" s="69"/>
      <c r="AD1880" s="69"/>
      <c r="AE1880" s="69"/>
      <c r="AF1880" s="69"/>
      <c r="AG1880" s="69"/>
      <c r="AH1880" s="69"/>
      <c r="AI1880" s="69"/>
      <c r="AJ1880" s="69"/>
      <c r="AK1880" s="69"/>
      <c r="AL1880" s="69"/>
      <c r="AM1880" s="69"/>
      <c r="AN1880" s="69"/>
      <c r="AO1880" s="69"/>
      <c r="AP1880" s="69"/>
      <c r="AQ1880" s="69"/>
      <c r="AR1880" s="69"/>
      <c r="AS1880" s="69"/>
      <c r="AT1880" s="69"/>
      <c r="AU1880" s="69"/>
      <c r="AV1880" s="69"/>
      <c r="AW1880" s="69"/>
      <c r="AX1880" s="69"/>
      <c r="AY1880" s="69"/>
      <c r="AZ1880" s="69"/>
      <c r="BA1880" s="69"/>
      <c r="BB1880" s="69"/>
      <c r="BC1880" s="69"/>
    </row>
    <row r="1881">
      <c r="A1881" s="68"/>
      <c r="B1881" s="68"/>
      <c r="C1881" s="68"/>
      <c r="D1881" s="68"/>
      <c r="E1881" s="68"/>
      <c r="F1881" s="68"/>
      <c r="G1881" s="68"/>
      <c r="H1881" s="68"/>
      <c r="I1881" s="69"/>
      <c r="J1881" s="69"/>
      <c r="K1881" s="71"/>
      <c r="L1881" s="69"/>
      <c r="M1881" s="69"/>
      <c r="N1881" s="72"/>
      <c r="O1881" s="69"/>
      <c r="P1881" s="69"/>
      <c r="Q1881" s="69"/>
      <c r="R1881" s="69"/>
      <c r="S1881" s="69"/>
      <c r="T1881" s="69"/>
      <c r="U1881" s="69"/>
      <c r="V1881" s="69"/>
      <c r="W1881" s="69"/>
      <c r="X1881" s="69"/>
      <c r="Y1881" s="69"/>
      <c r="Z1881" s="69"/>
      <c r="AA1881" s="69"/>
      <c r="AB1881" s="69"/>
      <c r="AC1881" s="69"/>
      <c r="AD1881" s="69"/>
      <c r="AE1881" s="69"/>
      <c r="AF1881" s="69"/>
      <c r="AG1881" s="69"/>
      <c r="AH1881" s="69"/>
      <c r="AI1881" s="69"/>
      <c r="AJ1881" s="69"/>
      <c r="AK1881" s="69"/>
      <c r="AL1881" s="69"/>
      <c r="AM1881" s="69"/>
      <c r="AN1881" s="69"/>
      <c r="AO1881" s="69"/>
      <c r="AP1881" s="69"/>
      <c r="AQ1881" s="69"/>
      <c r="AR1881" s="69"/>
      <c r="AS1881" s="69"/>
      <c r="AT1881" s="69"/>
      <c r="AU1881" s="69"/>
      <c r="AV1881" s="69"/>
      <c r="AW1881" s="69"/>
      <c r="AX1881" s="69"/>
      <c r="AY1881" s="69"/>
      <c r="AZ1881" s="69"/>
      <c r="BA1881" s="69"/>
      <c r="BB1881" s="69"/>
      <c r="BC1881" s="69"/>
    </row>
    <row r="1882">
      <c r="A1882" s="68"/>
      <c r="B1882" s="68"/>
      <c r="C1882" s="68"/>
      <c r="D1882" s="68"/>
      <c r="E1882" s="68"/>
      <c r="F1882" s="68"/>
      <c r="G1882" s="68"/>
      <c r="H1882" s="68"/>
      <c r="I1882" s="69"/>
      <c r="J1882" s="69"/>
      <c r="K1882" s="71"/>
      <c r="L1882" s="69"/>
      <c r="M1882" s="69"/>
      <c r="N1882" s="72"/>
      <c r="O1882" s="69"/>
      <c r="P1882" s="69"/>
      <c r="Q1882" s="69"/>
      <c r="R1882" s="69"/>
      <c r="S1882" s="69"/>
      <c r="T1882" s="69"/>
      <c r="U1882" s="69"/>
      <c r="V1882" s="69"/>
      <c r="W1882" s="69"/>
      <c r="X1882" s="69"/>
      <c r="Y1882" s="69"/>
      <c r="Z1882" s="69"/>
      <c r="AA1882" s="69"/>
      <c r="AB1882" s="69"/>
      <c r="AC1882" s="69"/>
      <c r="AD1882" s="69"/>
      <c r="AE1882" s="69"/>
      <c r="AF1882" s="69"/>
      <c r="AG1882" s="69"/>
      <c r="AH1882" s="69"/>
      <c r="AI1882" s="69"/>
      <c r="AJ1882" s="69"/>
      <c r="AK1882" s="69"/>
      <c r="AL1882" s="69"/>
      <c r="AM1882" s="69"/>
      <c r="AN1882" s="69"/>
      <c r="AO1882" s="69"/>
      <c r="AP1882" s="69"/>
      <c r="AQ1882" s="69"/>
      <c r="AR1882" s="69"/>
      <c r="AS1882" s="69"/>
      <c r="AT1882" s="69"/>
      <c r="AU1882" s="69"/>
      <c r="AV1882" s="69"/>
      <c r="AW1882" s="69"/>
      <c r="AX1882" s="69"/>
      <c r="AY1882" s="69"/>
      <c r="AZ1882" s="69"/>
      <c r="BA1882" s="69"/>
      <c r="BB1882" s="69"/>
      <c r="BC1882" s="69"/>
    </row>
    <row r="1883">
      <c r="A1883" s="68"/>
      <c r="B1883" s="68"/>
      <c r="C1883" s="68"/>
      <c r="D1883" s="68"/>
      <c r="E1883" s="68"/>
      <c r="F1883" s="68"/>
      <c r="G1883" s="68"/>
      <c r="H1883" s="68"/>
      <c r="I1883" s="69"/>
      <c r="J1883" s="69"/>
      <c r="K1883" s="71"/>
      <c r="L1883" s="69"/>
      <c r="M1883" s="69"/>
      <c r="N1883" s="72"/>
      <c r="O1883" s="69"/>
      <c r="P1883" s="69"/>
      <c r="Q1883" s="69"/>
      <c r="R1883" s="69"/>
      <c r="S1883" s="69"/>
      <c r="T1883" s="69"/>
      <c r="U1883" s="69"/>
      <c r="V1883" s="69"/>
      <c r="W1883" s="69"/>
      <c r="X1883" s="69"/>
      <c r="Y1883" s="69"/>
      <c r="Z1883" s="69"/>
      <c r="AA1883" s="69"/>
      <c r="AB1883" s="69"/>
      <c r="AC1883" s="69"/>
      <c r="AD1883" s="69"/>
      <c r="AE1883" s="69"/>
      <c r="AF1883" s="69"/>
      <c r="AG1883" s="69"/>
      <c r="AH1883" s="69"/>
      <c r="AI1883" s="69"/>
      <c r="AJ1883" s="69"/>
      <c r="AK1883" s="69"/>
      <c r="AL1883" s="69"/>
      <c r="AM1883" s="69"/>
      <c r="AN1883" s="69"/>
      <c r="AO1883" s="69"/>
      <c r="AP1883" s="69"/>
      <c r="AQ1883" s="69"/>
      <c r="AR1883" s="69"/>
      <c r="AS1883" s="69"/>
      <c r="AT1883" s="69"/>
      <c r="AU1883" s="69"/>
      <c r="AV1883" s="69"/>
      <c r="AW1883" s="69"/>
      <c r="AX1883" s="69"/>
      <c r="AY1883" s="69"/>
      <c r="AZ1883" s="69"/>
      <c r="BA1883" s="69"/>
      <c r="BB1883" s="69"/>
      <c r="BC1883" s="69"/>
    </row>
    <row r="1884">
      <c r="A1884" s="68"/>
      <c r="B1884" s="68"/>
      <c r="C1884" s="68"/>
      <c r="D1884" s="68"/>
      <c r="E1884" s="68"/>
      <c r="F1884" s="68"/>
      <c r="G1884" s="68"/>
      <c r="H1884" s="68"/>
      <c r="I1884" s="69"/>
      <c r="J1884" s="69"/>
      <c r="K1884" s="71"/>
      <c r="L1884" s="69"/>
      <c r="M1884" s="69"/>
      <c r="N1884" s="72"/>
      <c r="O1884" s="69"/>
      <c r="P1884" s="69"/>
      <c r="Q1884" s="69"/>
      <c r="R1884" s="69"/>
      <c r="S1884" s="69"/>
      <c r="T1884" s="69"/>
      <c r="U1884" s="69"/>
      <c r="V1884" s="69"/>
      <c r="W1884" s="69"/>
      <c r="X1884" s="69"/>
      <c r="Y1884" s="69"/>
      <c r="Z1884" s="69"/>
      <c r="AA1884" s="69"/>
      <c r="AB1884" s="69"/>
      <c r="AC1884" s="69"/>
      <c r="AD1884" s="69"/>
      <c r="AE1884" s="69"/>
      <c r="AF1884" s="69"/>
      <c r="AG1884" s="69"/>
      <c r="AH1884" s="69"/>
      <c r="AI1884" s="69"/>
      <c r="AJ1884" s="69"/>
      <c r="AK1884" s="69"/>
      <c r="AL1884" s="69"/>
      <c r="AM1884" s="69"/>
      <c r="AN1884" s="69"/>
      <c r="AO1884" s="69"/>
      <c r="AP1884" s="69"/>
      <c r="AQ1884" s="69"/>
      <c r="AR1884" s="69"/>
      <c r="AS1884" s="69"/>
      <c r="AT1884" s="69"/>
      <c r="AU1884" s="69"/>
      <c r="AV1884" s="69"/>
      <c r="AW1884" s="69"/>
      <c r="AX1884" s="69"/>
      <c r="AY1884" s="69"/>
      <c r="AZ1884" s="69"/>
      <c r="BA1884" s="69"/>
      <c r="BB1884" s="69"/>
      <c r="BC1884" s="69"/>
    </row>
    <row r="1885">
      <c r="A1885" s="68"/>
      <c r="B1885" s="68"/>
      <c r="C1885" s="68"/>
      <c r="D1885" s="68"/>
      <c r="E1885" s="68"/>
      <c r="F1885" s="68"/>
      <c r="G1885" s="68"/>
      <c r="H1885" s="68"/>
      <c r="I1885" s="69"/>
      <c r="J1885" s="69"/>
      <c r="K1885" s="71"/>
      <c r="L1885" s="69"/>
      <c r="M1885" s="69"/>
      <c r="N1885" s="72"/>
      <c r="O1885" s="69"/>
      <c r="P1885" s="69"/>
      <c r="Q1885" s="69"/>
      <c r="R1885" s="69"/>
      <c r="S1885" s="69"/>
      <c r="T1885" s="69"/>
      <c r="U1885" s="69"/>
      <c r="V1885" s="69"/>
      <c r="W1885" s="69"/>
      <c r="X1885" s="69"/>
      <c r="Y1885" s="69"/>
      <c r="Z1885" s="69"/>
      <c r="AA1885" s="69"/>
      <c r="AB1885" s="69"/>
      <c r="AC1885" s="69"/>
      <c r="AD1885" s="69"/>
      <c r="AE1885" s="69"/>
      <c r="AF1885" s="69"/>
      <c r="AG1885" s="69"/>
      <c r="AH1885" s="69"/>
      <c r="AI1885" s="69"/>
      <c r="AJ1885" s="69"/>
      <c r="AK1885" s="69"/>
      <c r="AL1885" s="69"/>
      <c r="AM1885" s="69"/>
      <c r="AN1885" s="69"/>
      <c r="AO1885" s="69"/>
      <c r="AP1885" s="69"/>
      <c r="AQ1885" s="69"/>
      <c r="AR1885" s="69"/>
      <c r="AS1885" s="69"/>
      <c r="AT1885" s="69"/>
      <c r="AU1885" s="69"/>
      <c r="AV1885" s="69"/>
      <c r="AW1885" s="69"/>
      <c r="AX1885" s="69"/>
      <c r="AY1885" s="69"/>
      <c r="AZ1885" s="69"/>
      <c r="BA1885" s="69"/>
      <c r="BB1885" s="69"/>
      <c r="BC1885" s="69"/>
    </row>
    <row r="1886">
      <c r="A1886" s="68"/>
      <c r="B1886" s="68"/>
      <c r="C1886" s="68"/>
      <c r="D1886" s="68"/>
      <c r="E1886" s="68"/>
      <c r="F1886" s="68"/>
      <c r="G1886" s="68"/>
      <c r="H1886" s="68"/>
      <c r="I1886" s="69"/>
      <c r="J1886" s="69"/>
      <c r="K1886" s="71"/>
      <c r="L1886" s="69"/>
      <c r="M1886" s="69"/>
      <c r="N1886" s="72"/>
      <c r="O1886" s="69"/>
      <c r="P1886" s="69"/>
      <c r="Q1886" s="69"/>
      <c r="R1886" s="69"/>
      <c r="S1886" s="69"/>
      <c r="T1886" s="69"/>
      <c r="U1886" s="69"/>
      <c r="V1886" s="69"/>
      <c r="W1886" s="69"/>
      <c r="X1886" s="69"/>
      <c r="Y1886" s="69"/>
      <c r="Z1886" s="69"/>
      <c r="AA1886" s="69"/>
      <c r="AB1886" s="69"/>
      <c r="AC1886" s="69"/>
      <c r="AD1886" s="69"/>
      <c r="AE1886" s="69"/>
      <c r="AF1886" s="69"/>
      <c r="AG1886" s="69"/>
      <c r="AH1886" s="69"/>
      <c r="AI1886" s="69"/>
      <c r="AJ1886" s="69"/>
      <c r="AK1886" s="69"/>
      <c r="AL1886" s="69"/>
      <c r="AM1886" s="69"/>
      <c r="AN1886" s="69"/>
      <c r="AO1886" s="69"/>
      <c r="AP1886" s="69"/>
      <c r="AQ1886" s="69"/>
      <c r="AR1886" s="69"/>
      <c r="AS1886" s="69"/>
      <c r="AT1886" s="69"/>
      <c r="AU1886" s="69"/>
      <c r="AV1886" s="69"/>
      <c r="AW1886" s="69"/>
      <c r="AX1886" s="69"/>
      <c r="AY1886" s="69"/>
      <c r="AZ1886" s="69"/>
      <c r="BA1886" s="69"/>
      <c r="BB1886" s="69"/>
      <c r="BC1886" s="69"/>
    </row>
    <row r="1887">
      <c r="A1887" s="68"/>
      <c r="B1887" s="68"/>
      <c r="C1887" s="68"/>
      <c r="D1887" s="68"/>
      <c r="E1887" s="68"/>
      <c r="F1887" s="68"/>
      <c r="G1887" s="68"/>
      <c r="H1887" s="68"/>
      <c r="I1887" s="69"/>
      <c r="J1887" s="69"/>
      <c r="K1887" s="71"/>
      <c r="L1887" s="69"/>
      <c r="M1887" s="69"/>
      <c r="N1887" s="72"/>
      <c r="O1887" s="69"/>
      <c r="P1887" s="69"/>
      <c r="Q1887" s="69"/>
      <c r="R1887" s="69"/>
      <c r="S1887" s="69"/>
      <c r="T1887" s="69"/>
      <c r="U1887" s="69"/>
      <c r="V1887" s="69"/>
      <c r="W1887" s="69"/>
      <c r="X1887" s="69"/>
      <c r="Y1887" s="69"/>
      <c r="Z1887" s="69"/>
      <c r="AA1887" s="69"/>
      <c r="AB1887" s="69"/>
      <c r="AC1887" s="69"/>
      <c r="AD1887" s="69"/>
      <c r="AE1887" s="69"/>
      <c r="AF1887" s="69"/>
      <c r="AG1887" s="69"/>
      <c r="AH1887" s="69"/>
      <c r="AI1887" s="69"/>
      <c r="AJ1887" s="69"/>
      <c r="AK1887" s="69"/>
      <c r="AL1887" s="69"/>
      <c r="AM1887" s="69"/>
      <c r="AN1887" s="69"/>
      <c r="AO1887" s="69"/>
      <c r="AP1887" s="69"/>
      <c r="AQ1887" s="69"/>
      <c r="AR1887" s="69"/>
      <c r="AS1887" s="69"/>
      <c r="AT1887" s="69"/>
      <c r="AU1887" s="69"/>
      <c r="AV1887" s="69"/>
      <c r="AW1887" s="69"/>
      <c r="AX1887" s="69"/>
      <c r="AY1887" s="69"/>
      <c r="AZ1887" s="69"/>
      <c r="BA1887" s="69"/>
      <c r="BB1887" s="69"/>
      <c r="BC1887" s="69"/>
    </row>
    <row r="1888">
      <c r="A1888" s="68"/>
      <c r="B1888" s="68"/>
      <c r="C1888" s="68"/>
      <c r="D1888" s="68"/>
      <c r="E1888" s="68"/>
      <c r="F1888" s="68"/>
      <c r="G1888" s="68"/>
      <c r="H1888" s="68"/>
      <c r="I1888" s="69"/>
      <c r="J1888" s="69"/>
      <c r="K1888" s="71"/>
      <c r="L1888" s="69"/>
      <c r="M1888" s="69"/>
      <c r="N1888" s="72"/>
      <c r="O1888" s="69"/>
      <c r="P1888" s="69"/>
      <c r="Q1888" s="69"/>
      <c r="R1888" s="69"/>
      <c r="S1888" s="69"/>
      <c r="T1888" s="69"/>
      <c r="U1888" s="69"/>
      <c r="V1888" s="69"/>
      <c r="W1888" s="69"/>
      <c r="X1888" s="69"/>
      <c r="Y1888" s="69"/>
      <c r="Z1888" s="69"/>
      <c r="AA1888" s="69"/>
      <c r="AB1888" s="69"/>
      <c r="AC1888" s="69"/>
      <c r="AD1888" s="69"/>
      <c r="AE1888" s="69"/>
      <c r="AF1888" s="69"/>
      <c r="AG1888" s="69"/>
      <c r="AH1888" s="69"/>
      <c r="AI1888" s="69"/>
      <c r="AJ1888" s="69"/>
      <c r="AK1888" s="69"/>
      <c r="AL1888" s="69"/>
      <c r="AM1888" s="69"/>
      <c r="AN1888" s="69"/>
      <c r="AO1888" s="69"/>
      <c r="AP1888" s="69"/>
      <c r="AQ1888" s="69"/>
      <c r="AR1888" s="69"/>
      <c r="AS1888" s="69"/>
      <c r="AT1888" s="69"/>
      <c r="AU1888" s="69"/>
      <c r="AV1888" s="69"/>
      <c r="AW1888" s="69"/>
      <c r="AX1888" s="69"/>
      <c r="AY1888" s="69"/>
      <c r="AZ1888" s="69"/>
      <c r="BA1888" s="69"/>
      <c r="BB1888" s="69"/>
      <c r="BC1888" s="69"/>
    </row>
    <row r="1889">
      <c r="A1889" s="68"/>
      <c r="B1889" s="68"/>
      <c r="C1889" s="68"/>
      <c r="D1889" s="68"/>
      <c r="E1889" s="68"/>
      <c r="F1889" s="68"/>
      <c r="G1889" s="68"/>
      <c r="H1889" s="68"/>
      <c r="I1889" s="69"/>
      <c r="J1889" s="69"/>
      <c r="K1889" s="71"/>
      <c r="L1889" s="69"/>
      <c r="M1889" s="69"/>
      <c r="N1889" s="72"/>
      <c r="O1889" s="69"/>
      <c r="P1889" s="69"/>
      <c r="Q1889" s="69"/>
      <c r="R1889" s="69"/>
      <c r="S1889" s="69"/>
      <c r="T1889" s="69"/>
      <c r="U1889" s="69"/>
      <c r="V1889" s="69"/>
      <c r="W1889" s="69"/>
      <c r="X1889" s="69"/>
      <c r="Y1889" s="69"/>
      <c r="Z1889" s="69"/>
      <c r="AA1889" s="69"/>
      <c r="AB1889" s="69"/>
      <c r="AC1889" s="69"/>
      <c r="AD1889" s="69"/>
      <c r="AE1889" s="69"/>
      <c r="AF1889" s="69"/>
      <c r="AG1889" s="69"/>
      <c r="AH1889" s="69"/>
      <c r="AI1889" s="69"/>
      <c r="AJ1889" s="69"/>
      <c r="AK1889" s="69"/>
      <c r="AL1889" s="69"/>
      <c r="AM1889" s="69"/>
      <c r="AN1889" s="69"/>
      <c r="AO1889" s="69"/>
      <c r="AP1889" s="69"/>
      <c r="AQ1889" s="69"/>
      <c r="AR1889" s="69"/>
      <c r="AS1889" s="69"/>
      <c r="AT1889" s="69"/>
      <c r="AU1889" s="69"/>
      <c r="AV1889" s="69"/>
      <c r="AW1889" s="69"/>
      <c r="AX1889" s="69"/>
      <c r="AY1889" s="69"/>
      <c r="AZ1889" s="69"/>
      <c r="BA1889" s="69"/>
      <c r="BB1889" s="69"/>
      <c r="BC1889" s="69"/>
    </row>
    <row r="1890">
      <c r="A1890" s="68"/>
      <c r="B1890" s="68"/>
      <c r="C1890" s="68"/>
      <c r="D1890" s="68"/>
      <c r="E1890" s="68"/>
      <c r="F1890" s="68"/>
      <c r="G1890" s="68"/>
      <c r="H1890" s="68"/>
      <c r="I1890" s="69"/>
      <c r="J1890" s="69"/>
      <c r="K1890" s="71"/>
      <c r="L1890" s="69"/>
      <c r="M1890" s="69"/>
      <c r="N1890" s="72"/>
      <c r="O1890" s="69"/>
      <c r="P1890" s="69"/>
      <c r="Q1890" s="69"/>
      <c r="R1890" s="69"/>
      <c r="S1890" s="69"/>
      <c r="T1890" s="69"/>
      <c r="U1890" s="69"/>
      <c r="V1890" s="69"/>
      <c r="W1890" s="69"/>
      <c r="X1890" s="69"/>
      <c r="Y1890" s="69"/>
      <c r="Z1890" s="69"/>
      <c r="AA1890" s="69"/>
      <c r="AB1890" s="69"/>
      <c r="AC1890" s="69"/>
      <c r="AD1890" s="69"/>
      <c r="AE1890" s="69"/>
      <c r="AF1890" s="69"/>
      <c r="AG1890" s="69"/>
      <c r="AH1890" s="69"/>
      <c r="AI1890" s="69"/>
      <c r="AJ1890" s="69"/>
      <c r="AK1890" s="69"/>
      <c r="AL1890" s="69"/>
      <c r="AM1890" s="69"/>
      <c r="AN1890" s="69"/>
      <c r="AO1890" s="69"/>
      <c r="AP1890" s="69"/>
      <c r="AQ1890" s="69"/>
      <c r="AR1890" s="69"/>
      <c r="AS1890" s="69"/>
      <c r="AT1890" s="69"/>
      <c r="AU1890" s="69"/>
      <c r="AV1890" s="69"/>
      <c r="AW1890" s="69"/>
      <c r="AX1890" s="69"/>
      <c r="AY1890" s="69"/>
      <c r="AZ1890" s="69"/>
      <c r="BA1890" s="69"/>
      <c r="BB1890" s="69"/>
      <c r="BC1890" s="69"/>
    </row>
    <row r="1891">
      <c r="A1891" s="68"/>
      <c r="B1891" s="68"/>
      <c r="C1891" s="68"/>
      <c r="D1891" s="68"/>
      <c r="E1891" s="68"/>
      <c r="F1891" s="68"/>
      <c r="G1891" s="68"/>
      <c r="H1891" s="68"/>
      <c r="I1891" s="69"/>
      <c r="J1891" s="69"/>
      <c r="K1891" s="71"/>
      <c r="L1891" s="69"/>
      <c r="M1891" s="69"/>
      <c r="N1891" s="72"/>
      <c r="O1891" s="69"/>
      <c r="P1891" s="69"/>
      <c r="Q1891" s="69"/>
      <c r="R1891" s="69"/>
      <c r="S1891" s="69"/>
      <c r="T1891" s="69"/>
      <c r="U1891" s="69"/>
      <c r="V1891" s="69"/>
      <c r="W1891" s="69"/>
      <c r="X1891" s="69"/>
      <c r="Y1891" s="69"/>
      <c r="Z1891" s="69"/>
      <c r="AA1891" s="69"/>
      <c r="AB1891" s="69"/>
      <c r="AC1891" s="69"/>
      <c r="AD1891" s="69"/>
      <c r="AE1891" s="69"/>
      <c r="AF1891" s="69"/>
      <c r="AG1891" s="69"/>
      <c r="AH1891" s="69"/>
      <c r="AI1891" s="69"/>
      <c r="AJ1891" s="69"/>
      <c r="AK1891" s="69"/>
      <c r="AL1891" s="69"/>
      <c r="AM1891" s="69"/>
      <c r="AN1891" s="69"/>
      <c r="AO1891" s="69"/>
      <c r="AP1891" s="69"/>
      <c r="AQ1891" s="69"/>
      <c r="AR1891" s="69"/>
      <c r="AS1891" s="69"/>
      <c r="AT1891" s="69"/>
      <c r="AU1891" s="69"/>
      <c r="AV1891" s="69"/>
      <c r="AW1891" s="69"/>
      <c r="AX1891" s="69"/>
      <c r="AY1891" s="69"/>
      <c r="AZ1891" s="69"/>
      <c r="BA1891" s="69"/>
      <c r="BB1891" s="69"/>
      <c r="BC1891" s="69"/>
    </row>
    <row r="1892">
      <c r="A1892" s="68"/>
      <c r="B1892" s="68"/>
      <c r="C1892" s="68"/>
      <c r="D1892" s="68"/>
      <c r="E1892" s="68"/>
      <c r="F1892" s="68"/>
      <c r="G1892" s="68"/>
      <c r="H1892" s="68"/>
      <c r="I1892" s="69"/>
      <c r="J1892" s="69"/>
      <c r="K1892" s="71"/>
      <c r="L1892" s="69"/>
      <c r="M1892" s="69"/>
      <c r="N1892" s="72"/>
      <c r="O1892" s="69"/>
      <c r="P1892" s="69"/>
      <c r="Q1892" s="69"/>
      <c r="R1892" s="69"/>
      <c r="S1892" s="69"/>
      <c r="T1892" s="69"/>
      <c r="U1892" s="69"/>
      <c r="V1892" s="69"/>
      <c r="W1892" s="69"/>
      <c r="X1892" s="69"/>
      <c r="Y1892" s="69"/>
      <c r="Z1892" s="69"/>
      <c r="AA1892" s="69"/>
      <c r="AB1892" s="69"/>
      <c r="AC1892" s="69"/>
      <c r="AD1892" s="69"/>
      <c r="AE1892" s="69"/>
      <c r="AF1892" s="69"/>
      <c r="AG1892" s="69"/>
      <c r="AH1892" s="69"/>
      <c r="AI1892" s="69"/>
      <c r="AJ1892" s="69"/>
      <c r="AK1892" s="69"/>
      <c r="AL1892" s="69"/>
      <c r="AM1892" s="69"/>
      <c r="AN1892" s="69"/>
      <c r="AO1892" s="69"/>
      <c r="AP1892" s="69"/>
      <c r="AQ1892" s="69"/>
      <c r="AR1892" s="69"/>
      <c r="AS1892" s="69"/>
      <c r="AT1892" s="69"/>
      <c r="AU1892" s="69"/>
      <c r="AV1892" s="69"/>
      <c r="AW1892" s="69"/>
      <c r="AX1892" s="69"/>
      <c r="AY1892" s="69"/>
      <c r="AZ1892" s="69"/>
      <c r="BA1892" s="69"/>
      <c r="BB1892" s="69"/>
      <c r="BC1892" s="69"/>
    </row>
    <row r="1893">
      <c r="A1893" s="68"/>
      <c r="B1893" s="68"/>
      <c r="C1893" s="68"/>
      <c r="D1893" s="68"/>
      <c r="E1893" s="68"/>
      <c r="F1893" s="68"/>
      <c r="G1893" s="68"/>
      <c r="H1893" s="68"/>
      <c r="I1893" s="69"/>
      <c r="J1893" s="69"/>
      <c r="K1893" s="71"/>
      <c r="L1893" s="69"/>
      <c r="M1893" s="69"/>
      <c r="N1893" s="72"/>
      <c r="O1893" s="69"/>
      <c r="P1893" s="69"/>
      <c r="Q1893" s="69"/>
      <c r="R1893" s="69"/>
      <c r="S1893" s="69"/>
      <c r="T1893" s="69"/>
      <c r="U1893" s="69"/>
      <c r="V1893" s="69"/>
      <c r="W1893" s="69"/>
      <c r="X1893" s="69"/>
      <c r="Y1893" s="69"/>
      <c r="Z1893" s="69"/>
      <c r="AA1893" s="69"/>
      <c r="AB1893" s="69"/>
      <c r="AC1893" s="69"/>
      <c r="AD1893" s="69"/>
      <c r="AE1893" s="69"/>
      <c r="AF1893" s="69"/>
      <c r="AG1893" s="69"/>
      <c r="AH1893" s="69"/>
      <c r="AI1893" s="69"/>
      <c r="AJ1893" s="69"/>
      <c r="AK1893" s="69"/>
      <c r="AL1893" s="69"/>
      <c r="AM1893" s="69"/>
      <c r="AN1893" s="69"/>
      <c r="AO1893" s="69"/>
      <c r="AP1893" s="69"/>
      <c r="AQ1893" s="69"/>
      <c r="AR1893" s="69"/>
      <c r="AS1893" s="69"/>
      <c r="AT1893" s="69"/>
      <c r="AU1893" s="69"/>
      <c r="AV1893" s="69"/>
      <c r="AW1893" s="69"/>
      <c r="AX1893" s="69"/>
      <c r="AY1893" s="69"/>
      <c r="AZ1893" s="69"/>
      <c r="BA1893" s="69"/>
      <c r="BB1893" s="69"/>
      <c r="BC1893" s="69"/>
    </row>
    <row r="1894">
      <c r="A1894" s="68"/>
      <c r="B1894" s="68"/>
      <c r="C1894" s="68"/>
      <c r="D1894" s="68"/>
      <c r="E1894" s="68"/>
      <c r="F1894" s="68"/>
      <c r="G1894" s="68"/>
      <c r="H1894" s="68"/>
      <c r="I1894" s="69"/>
      <c r="J1894" s="69"/>
      <c r="K1894" s="71"/>
      <c r="L1894" s="69"/>
      <c r="M1894" s="69"/>
      <c r="N1894" s="72"/>
      <c r="O1894" s="69"/>
      <c r="P1894" s="69"/>
      <c r="Q1894" s="69"/>
      <c r="R1894" s="69"/>
      <c r="S1894" s="69"/>
      <c r="T1894" s="69"/>
      <c r="U1894" s="69"/>
      <c r="V1894" s="69"/>
      <c r="W1894" s="69"/>
      <c r="X1894" s="69"/>
      <c r="Y1894" s="69"/>
      <c r="Z1894" s="69"/>
      <c r="AA1894" s="69"/>
      <c r="AB1894" s="69"/>
      <c r="AC1894" s="69"/>
      <c r="AD1894" s="69"/>
      <c r="AE1894" s="69"/>
      <c r="AF1894" s="69"/>
      <c r="AG1894" s="69"/>
      <c r="AH1894" s="69"/>
      <c r="AI1894" s="69"/>
      <c r="AJ1894" s="69"/>
      <c r="AK1894" s="69"/>
      <c r="AL1894" s="69"/>
      <c r="AM1894" s="69"/>
      <c r="AN1894" s="69"/>
      <c r="AO1894" s="69"/>
      <c r="AP1894" s="69"/>
      <c r="AQ1894" s="69"/>
      <c r="AR1894" s="69"/>
      <c r="AS1894" s="69"/>
      <c r="AT1894" s="69"/>
      <c r="AU1894" s="69"/>
      <c r="AV1894" s="69"/>
      <c r="AW1894" s="69"/>
      <c r="AX1894" s="69"/>
      <c r="AY1894" s="69"/>
      <c r="AZ1894" s="69"/>
      <c r="BA1894" s="69"/>
      <c r="BB1894" s="69"/>
      <c r="BC1894" s="69"/>
    </row>
    <row r="1895">
      <c r="A1895" s="68"/>
      <c r="B1895" s="68"/>
      <c r="C1895" s="68"/>
      <c r="D1895" s="68"/>
      <c r="E1895" s="68"/>
      <c r="F1895" s="68"/>
      <c r="G1895" s="68"/>
      <c r="H1895" s="68"/>
      <c r="I1895" s="69"/>
      <c r="J1895" s="69"/>
      <c r="K1895" s="71"/>
      <c r="L1895" s="69"/>
      <c r="M1895" s="69"/>
      <c r="N1895" s="72"/>
      <c r="O1895" s="69"/>
      <c r="P1895" s="69"/>
      <c r="Q1895" s="69"/>
      <c r="R1895" s="69"/>
      <c r="S1895" s="69"/>
      <c r="T1895" s="69"/>
      <c r="U1895" s="69"/>
      <c r="V1895" s="69"/>
      <c r="W1895" s="69"/>
      <c r="X1895" s="69"/>
      <c r="Y1895" s="69"/>
      <c r="Z1895" s="69"/>
      <c r="AA1895" s="69"/>
      <c r="AB1895" s="69"/>
      <c r="AC1895" s="69"/>
      <c r="AD1895" s="69"/>
      <c r="AE1895" s="69"/>
      <c r="AF1895" s="69"/>
      <c r="AG1895" s="69"/>
      <c r="AH1895" s="69"/>
      <c r="AI1895" s="69"/>
      <c r="AJ1895" s="69"/>
      <c r="AK1895" s="69"/>
      <c r="AL1895" s="69"/>
      <c r="AM1895" s="69"/>
      <c r="AN1895" s="69"/>
      <c r="AO1895" s="69"/>
      <c r="AP1895" s="69"/>
      <c r="AQ1895" s="69"/>
      <c r="AR1895" s="69"/>
      <c r="AS1895" s="69"/>
      <c r="AT1895" s="69"/>
      <c r="AU1895" s="69"/>
      <c r="AV1895" s="69"/>
      <c r="AW1895" s="69"/>
      <c r="AX1895" s="69"/>
      <c r="AY1895" s="69"/>
      <c r="AZ1895" s="69"/>
      <c r="BA1895" s="69"/>
      <c r="BB1895" s="69"/>
      <c r="BC1895" s="69"/>
    </row>
    <row r="1896">
      <c r="A1896" s="68"/>
      <c r="B1896" s="68"/>
      <c r="C1896" s="68"/>
      <c r="D1896" s="68"/>
      <c r="E1896" s="68"/>
      <c r="F1896" s="68"/>
      <c r="G1896" s="68"/>
      <c r="H1896" s="68"/>
      <c r="I1896" s="69"/>
      <c r="J1896" s="69"/>
      <c r="K1896" s="71"/>
      <c r="L1896" s="69"/>
      <c r="M1896" s="69"/>
      <c r="N1896" s="72"/>
      <c r="O1896" s="69"/>
      <c r="P1896" s="69"/>
      <c r="Q1896" s="69"/>
      <c r="R1896" s="69"/>
      <c r="S1896" s="69"/>
      <c r="T1896" s="69"/>
      <c r="U1896" s="69"/>
      <c r="V1896" s="69"/>
      <c r="W1896" s="69"/>
      <c r="X1896" s="69"/>
      <c r="Y1896" s="69"/>
      <c r="Z1896" s="69"/>
      <c r="AA1896" s="69"/>
      <c r="AB1896" s="69"/>
      <c r="AC1896" s="69"/>
      <c r="AD1896" s="69"/>
      <c r="AE1896" s="69"/>
      <c r="AF1896" s="69"/>
      <c r="AG1896" s="69"/>
      <c r="AH1896" s="69"/>
      <c r="AI1896" s="69"/>
      <c r="AJ1896" s="69"/>
      <c r="AK1896" s="69"/>
      <c r="AL1896" s="69"/>
      <c r="AM1896" s="69"/>
      <c r="AN1896" s="69"/>
      <c r="AO1896" s="69"/>
      <c r="AP1896" s="69"/>
      <c r="AQ1896" s="69"/>
      <c r="AR1896" s="69"/>
      <c r="AS1896" s="69"/>
      <c r="AT1896" s="69"/>
      <c r="AU1896" s="69"/>
      <c r="AV1896" s="69"/>
      <c r="AW1896" s="69"/>
      <c r="AX1896" s="69"/>
      <c r="AY1896" s="69"/>
      <c r="AZ1896" s="69"/>
      <c r="BA1896" s="69"/>
      <c r="BB1896" s="69"/>
      <c r="BC1896" s="69"/>
    </row>
    <row r="1897">
      <c r="A1897" s="68"/>
      <c r="B1897" s="68"/>
      <c r="C1897" s="68"/>
      <c r="D1897" s="68"/>
      <c r="E1897" s="68"/>
      <c r="F1897" s="68"/>
      <c r="G1897" s="68"/>
      <c r="H1897" s="68"/>
      <c r="I1897" s="69"/>
      <c r="J1897" s="69"/>
      <c r="K1897" s="71"/>
      <c r="L1897" s="69"/>
      <c r="M1897" s="69"/>
      <c r="N1897" s="72"/>
      <c r="O1897" s="69"/>
      <c r="P1897" s="69"/>
      <c r="Q1897" s="69"/>
      <c r="R1897" s="69"/>
      <c r="S1897" s="69"/>
      <c r="T1897" s="69"/>
      <c r="U1897" s="69"/>
      <c r="V1897" s="69"/>
      <c r="W1897" s="69"/>
      <c r="X1897" s="69"/>
      <c r="Y1897" s="69"/>
      <c r="Z1897" s="69"/>
      <c r="AA1897" s="69"/>
      <c r="AB1897" s="69"/>
      <c r="AC1897" s="69"/>
      <c r="AD1897" s="69"/>
      <c r="AE1897" s="69"/>
      <c r="AF1897" s="69"/>
      <c r="AG1897" s="69"/>
      <c r="AH1897" s="69"/>
      <c r="AI1897" s="69"/>
      <c r="AJ1897" s="69"/>
      <c r="AK1897" s="69"/>
      <c r="AL1897" s="69"/>
      <c r="AM1897" s="69"/>
      <c r="AN1897" s="69"/>
      <c r="AO1897" s="69"/>
      <c r="AP1897" s="69"/>
      <c r="AQ1897" s="69"/>
      <c r="AR1897" s="69"/>
      <c r="AS1897" s="69"/>
      <c r="AT1897" s="69"/>
      <c r="AU1897" s="69"/>
      <c r="AV1897" s="69"/>
      <c r="AW1897" s="69"/>
      <c r="AX1897" s="69"/>
      <c r="AY1897" s="69"/>
      <c r="AZ1897" s="69"/>
      <c r="BA1897" s="69"/>
      <c r="BB1897" s="69"/>
      <c r="BC1897" s="69"/>
    </row>
    <row r="1898">
      <c r="A1898" s="68"/>
      <c r="B1898" s="68"/>
      <c r="C1898" s="68"/>
      <c r="D1898" s="68"/>
      <c r="E1898" s="68"/>
      <c r="F1898" s="68"/>
      <c r="G1898" s="68"/>
      <c r="H1898" s="68"/>
      <c r="I1898" s="69"/>
      <c r="J1898" s="69"/>
      <c r="K1898" s="71"/>
      <c r="L1898" s="69"/>
      <c r="M1898" s="69"/>
      <c r="N1898" s="72"/>
      <c r="O1898" s="69"/>
      <c r="P1898" s="69"/>
      <c r="Q1898" s="69"/>
      <c r="R1898" s="69"/>
      <c r="S1898" s="69"/>
      <c r="T1898" s="69"/>
      <c r="U1898" s="69"/>
      <c r="V1898" s="69"/>
      <c r="W1898" s="69"/>
      <c r="X1898" s="69"/>
      <c r="Y1898" s="69"/>
      <c r="Z1898" s="69"/>
      <c r="AA1898" s="69"/>
      <c r="AB1898" s="69"/>
      <c r="AC1898" s="69"/>
      <c r="AD1898" s="69"/>
      <c r="AE1898" s="69"/>
      <c r="AF1898" s="69"/>
      <c r="AG1898" s="69"/>
      <c r="AH1898" s="69"/>
      <c r="AI1898" s="69"/>
      <c r="AJ1898" s="69"/>
      <c r="AK1898" s="69"/>
      <c r="AL1898" s="69"/>
      <c r="AM1898" s="69"/>
      <c r="AN1898" s="69"/>
      <c r="AO1898" s="69"/>
      <c r="AP1898" s="69"/>
      <c r="AQ1898" s="69"/>
      <c r="AR1898" s="69"/>
      <c r="AS1898" s="69"/>
      <c r="AT1898" s="69"/>
      <c r="AU1898" s="69"/>
      <c r="AV1898" s="69"/>
      <c r="AW1898" s="69"/>
      <c r="AX1898" s="69"/>
      <c r="AY1898" s="69"/>
      <c r="AZ1898" s="69"/>
      <c r="BA1898" s="69"/>
      <c r="BB1898" s="69"/>
      <c r="BC1898" s="69"/>
    </row>
    <row r="1899">
      <c r="A1899" s="68"/>
      <c r="B1899" s="68"/>
      <c r="C1899" s="68"/>
      <c r="D1899" s="68"/>
      <c r="E1899" s="68"/>
      <c r="F1899" s="68"/>
      <c r="G1899" s="68"/>
      <c r="H1899" s="68"/>
      <c r="I1899" s="69"/>
      <c r="J1899" s="69"/>
      <c r="K1899" s="71"/>
      <c r="L1899" s="69"/>
      <c r="M1899" s="69"/>
      <c r="N1899" s="72"/>
      <c r="O1899" s="69"/>
      <c r="P1899" s="69"/>
      <c r="Q1899" s="69"/>
      <c r="R1899" s="69"/>
      <c r="S1899" s="69"/>
      <c r="T1899" s="69"/>
      <c r="U1899" s="69"/>
      <c r="V1899" s="69"/>
      <c r="W1899" s="69"/>
      <c r="X1899" s="69"/>
      <c r="Y1899" s="69"/>
      <c r="Z1899" s="69"/>
      <c r="AA1899" s="69"/>
      <c r="AB1899" s="69"/>
      <c r="AC1899" s="69"/>
      <c r="AD1899" s="69"/>
      <c r="AE1899" s="69"/>
      <c r="AF1899" s="69"/>
      <c r="AG1899" s="69"/>
      <c r="AH1899" s="69"/>
      <c r="AI1899" s="69"/>
      <c r="AJ1899" s="69"/>
      <c r="AK1899" s="69"/>
      <c r="AL1899" s="69"/>
      <c r="AM1899" s="69"/>
      <c r="AN1899" s="69"/>
      <c r="AO1899" s="69"/>
      <c r="AP1899" s="69"/>
      <c r="AQ1899" s="69"/>
      <c r="AR1899" s="69"/>
      <c r="AS1899" s="69"/>
      <c r="AT1899" s="69"/>
      <c r="AU1899" s="69"/>
      <c r="AV1899" s="69"/>
      <c r="AW1899" s="69"/>
      <c r="AX1899" s="69"/>
      <c r="AY1899" s="69"/>
      <c r="AZ1899" s="69"/>
      <c r="BA1899" s="69"/>
      <c r="BB1899" s="69"/>
      <c r="BC1899" s="69"/>
    </row>
    <row r="1900">
      <c r="A1900" s="68"/>
      <c r="B1900" s="68"/>
      <c r="C1900" s="68"/>
      <c r="D1900" s="68"/>
      <c r="E1900" s="68"/>
      <c r="F1900" s="68"/>
      <c r="G1900" s="68"/>
      <c r="H1900" s="68"/>
      <c r="I1900" s="69"/>
      <c r="J1900" s="69"/>
      <c r="K1900" s="71"/>
      <c r="L1900" s="69"/>
      <c r="M1900" s="69"/>
      <c r="N1900" s="72"/>
      <c r="O1900" s="69"/>
      <c r="P1900" s="69"/>
      <c r="Q1900" s="69"/>
      <c r="R1900" s="69"/>
      <c r="S1900" s="69"/>
      <c r="T1900" s="69"/>
      <c r="U1900" s="69"/>
      <c r="V1900" s="69"/>
      <c r="W1900" s="69"/>
      <c r="X1900" s="69"/>
      <c r="Y1900" s="69"/>
      <c r="Z1900" s="69"/>
      <c r="AA1900" s="69"/>
      <c r="AB1900" s="69"/>
      <c r="AC1900" s="69"/>
      <c r="AD1900" s="69"/>
      <c r="AE1900" s="69"/>
      <c r="AF1900" s="69"/>
      <c r="AG1900" s="69"/>
      <c r="AH1900" s="69"/>
      <c r="AI1900" s="69"/>
      <c r="AJ1900" s="69"/>
      <c r="AK1900" s="69"/>
      <c r="AL1900" s="69"/>
      <c r="AM1900" s="69"/>
      <c r="AN1900" s="69"/>
      <c r="AO1900" s="69"/>
      <c r="AP1900" s="69"/>
      <c r="AQ1900" s="69"/>
      <c r="AR1900" s="69"/>
      <c r="AS1900" s="69"/>
      <c r="AT1900" s="69"/>
      <c r="AU1900" s="69"/>
      <c r="AV1900" s="69"/>
      <c r="AW1900" s="69"/>
      <c r="AX1900" s="69"/>
      <c r="AY1900" s="69"/>
      <c r="AZ1900" s="69"/>
      <c r="BA1900" s="69"/>
      <c r="BB1900" s="69"/>
      <c r="BC1900" s="69"/>
    </row>
    <row r="1901">
      <c r="A1901" s="68"/>
      <c r="B1901" s="68"/>
      <c r="C1901" s="68"/>
      <c r="D1901" s="68"/>
      <c r="E1901" s="68"/>
      <c r="F1901" s="68"/>
      <c r="G1901" s="68"/>
      <c r="H1901" s="68"/>
      <c r="I1901" s="69"/>
      <c r="J1901" s="69"/>
      <c r="K1901" s="71"/>
      <c r="L1901" s="69"/>
      <c r="M1901" s="69"/>
      <c r="N1901" s="72"/>
      <c r="O1901" s="69"/>
      <c r="P1901" s="69"/>
      <c r="Q1901" s="69"/>
      <c r="R1901" s="69"/>
      <c r="S1901" s="69"/>
      <c r="T1901" s="69"/>
      <c r="U1901" s="69"/>
      <c r="V1901" s="69"/>
      <c r="W1901" s="69"/>
      <c r="X1901" s="69"/>
      <c r="Y1901" s="69"/>
      <c r="Z1901" s="69"/>
      <c r="AA1901" s="69"/>
      <c r="AB1901" s="69"/>
      <c r="AC1901" s="69"/>
      <c r="AD1901" s="69"/>
      <c r="AE1901" s="69"/>
      <c r="AF1901" s="69"/>
      <c r="AG1901" s="69"/>
      <c r="AH1901" s="69"/>
      <c r="AI1901" s="69"/>
      <c r="AJ1901" s="69"/>
      <c r="AK1901" s="69"/>
      <c r="AL1901" s="69"/>
      <c r="AM1901" s="69"/>
      <c r="AN1901" s="69"/>
      <c r="AO1901" s="69"/>
      <c r="AP1901" s="69"/>
      <c r="AQ1901" s="69"/>
      <c r="AR1901" s="69"/>
      <c r="AS1901" s="69"/>
      <c r="AT1901" s="69"/>
      <c r="AU1901" s="69"/>
      <c r="AV1901" s="69"/>
      <c r="AW1901" s="69"/>
      <c r="AX1901" s="69"/>
      <c r="AY1901" s="69"/>
      <c r="AZ1901" s="69"/>
      <c r="BA1901" s="69"/>
      <c r="BB1901" s="69"/>
      <c r="BC1901" s="69"/>
    </row>
    <row r="1902">
      <c r="A1902" s="68"/>
      <c r="B1902" s="68"/>
      <c r="C1902" s="68"/>
      <c r="D1902" s="68"/>
      <c r="E1902" s="68"/>
      <c r="F1902" s="68"/>
      <c r="G1902" s="68"/>
      <c r="H1902" s="68"/>
      <c r="I1902" s="69"/>
      <c r="J1902" s="69"/>
      <c r="K1902" s="71"/>
      <c r="L1902" s="69"/>
      <c r="M1902" s="69"/>
      <c r="N1902" s="72"/>
      <c r="O1902" s="69"/>
      <c r="P1902" s="69"/>
      <c r="Q1902" s="69"/>
      <c r="R1902" s="69"/>
      <c r="S1902" s="69"/>
      <c r="T1902" s="69"/>
      <c r="U1902" s="69"/>
      <c r="V1902" s="69"/>
      <c r="W1902" s="69"/>
      <c r="X1902" s="69"/>
      <c r="Y1902" s="69"/>
      <c r="Z1902" s="69"/>
      <c r="AA1902" s="69"/>
      <c r="AB1902" s="69"/>
      <c r="AC1902" s="69"/>
      <c r="AD1902" s="69"/>
      <c r="AE1902" s="69"/>
      <c r="AF1902" s="69"/>
      <c r="AG1902" s="69"/>
      <c r="AH1902" s="69"/>
      <c r="AI1902" s="69"/>
      <c r="AJ1902" s="69"/>
      <c r="AK1902" s="69"/>
      <c r="AL1902" s="69"/>
      <c r="AM1902" s="69"/>
      <c r="AN1902" s="69"/>
      <c r="AO1902" s="69"/>
      <c r="AP1902" s="69"/>
      <c r="AQ1902" s="69"/>
      <c r="AR1902" s="69"/>
      <c r="AS1902" s="69"/>
      <c r="AT1902" s="69"/>
      <c r="AU1902" s="69"/>
      <c r="AV1902" s="69"/>
      <c r="AW1902" s="69"/>
      <c r="AX1902" s="69"/>
      <c r="AY1902" s="69"/>
      <c r="AZ1902" s="69"/>
      <c r="BA1902" s="69"/>
      <c r="BB1902" s="69"/>
      <c r="BC1902" s="69"/>
    </row>
    <row r="1903">
      <c r="A1903" s="68"/>
      <c r="B1903" s="68"/>
      <c r="C1903" s="68"/>
      <c r="D1903" s="68"/>
      <c r="E1903" s="68"/>
      <c r="F1903" s="68"/>
      <c r="G1903" s="68"/>
      <c r="H1903" s="68"/>
      <c r="I1903" s="69"/>
      <c r="J1903" s="69"/>
      <c r="K1903" s="71"/>
      <c r="L1903" s="69"/>
      <c r="M1903" s="69"/>
      <c r="N1903" s="72"/>
      <c r="O1903" s="69"/>
      <c r="P1903" s="69"/>
      <c r="Q1903" s="69"/>
      <c r="R1903" s="69"/>
      <c r="S1903" s="69"/>
      <c r="T1903" s="69"/>
      <c r="U1903" s="69"/>
      <c r="V1903" s="69"/>
      <c r="W1903" s="69"/>
      <c r="X1903" s="69"/>
      <c r="Y1903" s="69"/>
      <c r="Z1903" s="69"/>
      <c r="AA1903" s="69"/>
      <c r="AB1903" s="69"/>
      <c r="AC1903" s="69"/>
      <c r="AD1903" s="69"/>
      <c r="AE1903" s="69"/>
      <c r="AF1903" s="69"/>
      <c r="AG1903" s="69"/>
      <c r="AH1903" s="69"/>
      <c r="AI1903" s="69"/>
      <c r="AJ1903" s="69"/>
      <c r="AK1903" s="69"/>
      <c r="AL1903" s="69"/>
      <c r="AM1903" s="69"/>
      <c r="AN1903" s="69"/>
      <c r="AO1903" s="69"/>
      <c r="AP1903" s="69"/>
      <c r="AQ1903" s="69"/>
      <c r="AR1903" s="69"/>
      <c r="AS1903" s="69"/>
      <c r="AT1903" s="69"/>
      <c r="AU1903" s="69"/>
      <c r="AV1903" s="69"/>
      <c r="AW1903" s="69"/>
      <c r="AX1903" s="69"/>
      <c r="AY1903" s="69"/>
      <c r="AZ1903" s="69"/>
      <c r="BA1903" s="69"/>
      <c r="BB1903" s="69"/>
      <c r="BC1903" s="69"/>
    </row>
    <row r="1904">
      <c r="A1904" s="68"/>
      <c r="B1904" s="68"/>
      <c r="C1904" s="68"/>
      <c r="D1904" s="68"/>
      <c r="E1904" s="68"/>
      <c r="F1904" s="68"/>
      <c r="G1904" s="68"/>
      <c r="H1904" s="68"/>
      <c r="I1904" s="69"/>
      <c r="J1904" s="69"/>
      <c r="K1904" s="71"/>
      <c r="L1904" s="69"/>
      <c r="M1904" s="69"/>
      <c r="N1904" s="72"/>
      <c r="O1904" s="69"/>
      <c r="P1904" s="69"/>
      <c r="Q1904" s="69"/>
      <c r="R1904" s="69"/>
      <c r="S1904" s="69"/>
      <c r="T1904" s="69"/>
      <c r="U1904" s="69"/>
      <c r="V1904" s="69"/>
      <c r="W1904" s="69"/>
      <c r="X1904" s="69"/>
      <c r="Y1904" s="69"/>
      <c r="Z1904" s="69"/>
      <c r="AA1904" s="69"/>
      <c r="AB1904" s="69"/>
      <c r="AC1904" s="69"/>
      <c r="AD1904" s="69"/>
      <c r="AE1904" s="69"/>
      <c r="AF1904" s="69"/>
      <c r="AG1904" s="69"/>
      <c r="AH1904" s="69"/>
      <c r="AI1904" s="69"/>
      <c r="AJ1904" s="69"/>
      <c r="AK1904" s="69"/>
      <c r="AL1904" s="69"/>
      <c r="AM1904" s="69"/>
      <c r="AN1904" s="69"/>
      <c r="AO1904" s="69"/>
      <c r="AP1904" s="69"/>
      <c r="AQ1904" s="69"/>
      <c r="AR1904" s="69"/>
      <c r="AS1904" s="69"/>
      <c r="AT1904" s="69"/>
      <c r="AU1904" s="69"/>
      <c r="AV1904" s="69"/>
      <c r="AW1904" s="69"/>
      <c r="AX1904" s="69"/>
      <c r="AY1904" s="69"/>
      <c r="AZ1904" s="69"/>
      <c r="BA1904" s="69"/>
      <c r="BB1904" s="69"/>
      <c r="BC1904" s="69"/>
    </row>
    <row r="1905">
      <c r="A1905" s="68"/>
      <c r="B1905" s="68"/>
      <c r="C1905" s="68"/>
      <c r="D1905" s="68"/>
      <c r="E1905" s="68"/>
      <c r="F1905" s="68"/>
      <c r="G1905" s="68"/>
      <c r="H1905" s="68"/>
      <c r="I1905" s="69"/>
      <c r="J1905" s="69"/>
      <c r="K1905" s="71"/>
      <c r="L1905" s="69"/>
      <c r="M1905" s="69"/>
      <c r="N1905" s="72"/>
      <c r="O1905" s="69"/>
      <c r="P1905" s="69"/>
      <c r="Q1905" s="69"/>
      <c r="R1905" s="69"/>
      <c r="S1905" s="69"/>
      <c r="T1905" s="69"/>
      <c r="U1905" s="69"/>
      <c r="V1905" s="69"/>
      <c r="W1905" s="69"/>
      <c r="X1905" s="69"/>
      <c r="Y1905" s="69"/>
      <c r="Z1905" s="69"/>
      <c r="AA1905" s="69"/>
      <c r="AB1905" s="69"/>
      <c r="AC1905" s="69"/>
      <c r="AD1905" s="69"/>
      <c r="AE1905" s="69"/>
      <c r="AF1905" s="69"/>
      <c r="AG1905" s="69"/>
      <c r="AH1905" s="69"/>
      <c r="AI1905" s="69"/>
      <c r="AJ1905" s="69"/>
      <c r="AK1905" s="69"/>
      <c r="AL1905" s="69"/>
      <c r="AM1905" s="69"/>
      <c r="AN1905" s="69"/>
      <c r="AO1905" s="69"/>
      <c r="AP1905" s="69"/>
      <c r="AQ1905" s="69"/>
      <c r="AR1905" s="69"/>
      <c r="AS1905" s="69"/>
      <c r="AT1905" s="69"/>
      <c r="AU1905" s="69"/>
      <c r="AV1905" s="69"/>
      <c r="AW1905" s="69"/>
      <c r="AX1905" s="69"/>
      <c r="AY1905" s="69"/>
      <c r="AZ1905" s="69"/>
      <c r="BA1905" s="69"/>
      <c r="BB1905" s="69"/>
      <c r="BC1905" s="69"/>
    </row>
    <row r="1906">
      <c r="A1906" s="68"/>
      <c r="B1906" s="68"/>
      <c r="C1906" s="68"/>
      <c r="D1906" s="68"/>
      <c r="E1906" s="68"/>
      <c r="F1906" s="68"/>
      <c r="G1906" s="68"/>
      <c r="H1906" s="68"/>
      <c r="I1906" s="69"/>
      <c r="J1906" s="69"/>
      <c r="K1906" s="71"/>
      <c r="L1906" s="69"/>
      <c r="M1906" s="69"/>
      <c r="N1906" s="72"/>
      <c r="O1906" s="69"/>
      <c r="P1906" s="69"/>
      <c r="Q1906" s="69"/>
      <c r="R1906" s="69"/>
      <c r="S1906" s="69"/>
      <c r="T1906" s="69"/>
      <c r="U1906" s="69"/>
      <c r="V1906" s="69"/>
      <c r="W1906" s="69"/>
      <c r="X1906" s="69"/>
      <c r="Y1906" s="69"/>
      <c r="Z1906" s="69"/>
      <c r="AA1906" s="69"/>
      <c r="AB1906" s="69"/>
      <c r="AC1906" s="69"/>
      <c r="AD1906" s="69"/>
      <c r="AE1906" s="69"/>
      <c r="AF1906" s="69"/>
      <c r="AG1906" s="69"/>
      <c r="AH1906" s="69"/>
      <c r="AI1906" s="69"/>
      <c r="AJ1906" s="69"/>
      <c r="AK1906" s="69"/>
      <c r="AL1906" s="69"/>
      <c r="AM1906" s="69"/>
      <c r="AN1906" s="69"/>
      <c r="AO1906" s="69"/>
      <c r="AP1906" s="69"/>
      <c r="AQ1906" s="69"/>
      <c r="AR1906" s="69"/>
      <c r="AS1906" s="69"/>
      <c r="AT1906" s="69"/>
      <c r="AU1906" s="69"/>
      <c r="AV1906" s="69"/>
      <c r="AW1906" s="69"/>
      <c r="AX1906" s="69"/>
      <c r="AY1906" s="69"/>
      <c r="AZ1906" s="69"/>
      <c r="BA1906" s="69"/>
      <c r="BB1906" s="69"/>
      <c r="BC1906" s="69"/>
    </row>
    <row r="1907">
      <c r="A1907" s="68"/>
      <c r="B1907" s="68"/>
      <c r="C1907" s="68"/>
      <c r="D1907" s="68"/>
      <c r="E1907" s="68"/>
      <c r="F1907" s="68"/>
      <c r="G1907" s="68"/>
      <c r="H1907" s="68"/>
      <c r="I1907" s="69"/>
      <c r="J1907" s="69"/>
      <c r="K1907" s="71"/>
      <c r="L1907" s="69"/>
      <c r="M1907" s="69"/>
      <c r="N1907" s="72"/>
      <c r="O1907" s="69"/>
      <c r="P1907" s="69"/>
      <c r="Q1907" s="69"/>
      <c r="R1907" s="69"/>
      <c r="S1907" s="69"/>
      <c r="T1907" s="69"/>
      <c r="U1907" s="69"/>
      <c r="V1907" s="69"/>
      <c r="W1907" s="69"/>
      <c r="X1907" s="69"/>
      <c r="Y1907" s="69"/>
      <c r="Z1907" s="69"/>
      <c r="AA1907" s="69"/>
      <c r="AB1907" s="69"/>
      <c r="AC1907" s="69"/>
      <c r="AD1907" s="69"/>
      <c r="AE1907" s="69"/>
      <c r="AF1907" s="69"/>
      <c r="AG1907" s="69"/>
      <c r="AH1907" s="69"/>
      <c r="AI1907" s="69"/>
      <c r="AJ1907" s="69"/>
      <c r="AK1907" s="69"/>
      <c r="AL1907" s="69"/>
      <c r="AM1907" s="69"/>
      <c r="AN1907" s="69"/>
      <c r="AO1907" s="69"/>
      <c r="AP1907" s="69"/>
      <c r="AQ1907" s="69"/>
      <c r="AR1907" s="69"/>
      <c r="AS1907" s="69"/>
      <c r="AT1907" s="69"/>
      <c r="AU1907" s="69"/>
      <c r="AV1907" s="69"/>
      <c r="AW1907" s="69"/>
      <c r="AX1907" s="69"/>
      <c r="AY1907" s="69"/>
      <c r="AZ1907" s="69"/>
      <c r="BA1907" s="69"/>
      <c r="BB1907" s="69"/>
      <c r="BC1907" s="69"/>
    </row>
    <row r="1908">
      <c r="A1908" s="68"/>
      <c r="B1908" s="68"/>
      <c r="C1908" s="68"/>
      <c r="D1908" s="68"/>
      <c r="E1908" s="68"/>
      <c r="F1908" s="68"/>
      <c r="G1908" s="68"/>
      <c r="H1908" s="68"/>
      <c r="I1908" s="69"/>
      <c r="J1908" s="69"/>
      <c r="K1908" s="71"/>
      <c r="L1908" s="69"/>
      <c r="M1908" s="69"/>
      <c r="N1908" s="72"/>
      <c r="O1908" s="69"/>
      <c r="P1908" s="69"/>
      <c r="Q1908" s="69"/>
      <c r="R1908" s="69"/>
      <c r="S1908" s="69"/>
      <c r="T1908" s="69"/>
      <c r="U1908" s="69"/>
      <c r="V1908" s="69"/>
      <c r="W1908" s="69"/>
      <c r="X1908" s="69"/>
      <c r="Y1908" s="69"/>
      <c r="Z1908" s="69"/>
      <c r="AA1908" s="69"/>
      <c r="AB1908" s="69"/>
      <c r="AC1908" s="69"/>
      <c r="AD1908" s="69"/>
      <c r="AE1908" s="69"/>
      <c r="AF1908" s="69"/>
      <c r="AG1908" s="69"/>
      <c r="AH1908" s="69"/>
      <c r="AI1908" s="69"/>
      <c r="AJ1908" s="69"/>
      <c r="AK1908" s="69"/>
      <c r="AL1908" s="69"/>
      <c r="AM1908" s="69"/>
      <c r="AN1908" s="69"/>
      <c r="AO1908" s="69"/>
      <c r="AP1908" s="69"/>
      <c r="AQ1908" s="69"/>
      <c r="AR1908" s="69"/>
      <c r="AS1908" s="69"/>
      <c r="AT1908" s="69"/>
      <c r="AU1908" s="69"/>
      <c r="AV1908" s="69"/>
      <c r="AW1908" s="69"/>
      <c r="AX1908" s="69"/>
      <c r="AY1908" s="69"/>
      <c r="AZ1908" s="69"/>
      <c r="BA1908" s="69"/>
      <c r="BB1908" s="69"/>
      <c r="BC1908" s="69"/>
    </row>
    <row r="1909">
      <c r="A1909" s="68"/>
      <c r="B1909" s="68"/>
      <c r="C1909" s="68"/>
      <c r="D1909" s="68"/>
      <c r="E1909" s="68"/>
      <c r="F1909" s="68"/>
      <c r="G1909" s="68"/>
      <c r="H1909" s="68"/>
      <c r="I1909" s="69"/>
      <c r="J1909" s="69"/>
      <c r="K1909" s="71"/>
      <c r="L1909" s="69"/>
      <c r="M1909" s="69"/>
      <c r="N1909" s="72"/>
      <c r="O1909" s="69"/>
      <c r="P1909" s="69"/>
      <c r="Q1909" s="69"/>
      <c r="R1909" s="69"/>
      <c r="S1909" s="69"/>
      <c r="T1909" s="69"/>
      <c r="U1909" s="69"/>
      <c r="V1909" s="69"/>
      <c r="W1909" s="69"/>
      <c r="X1909" s="69"/>
      <c r="Y1909" s="69"/>
      <c r="Z1909" s="69"/>
      <c r="AA1909" s="69"/>
      <c r="AB1909" s="69"/>
      <c r="AC1909" s="69"/>
      <c r="AD1909" s="69"/>
      <c r="AE1909" s="69"/>
      <c r="AF1909" s="69"/>
      <c r="AG1909" s="69"/>
      <c r="AH1909" s="69"/>
      <c r="AI1909" s="69"/>
      <c r="AJ1909" s="69"/>
      <c r="AK1909" s="69"/>
      <c r="AL1909" s="69"/>
      <c r="AM1909" s="69"/>
      <c r="AN1909" s="69"/>
      <c r="AO1909" s="69"/>
      <c r="AP1909" s="69"/>
      <c r="AQ1909" s="69"/>
      <c r="AR1909" s="69"/>
      <c r="AS1909" s="69"/>
      <c r="AT1909" s="69"/>
      <c r="AU1909" s="69"/>
      <c r="AV1909" s="69"/>
      <c r="AW1909" s="69"/>
      <c r="AX1909" s="69"/>
      <c r="AY1909" s="69"/>
      <c r="AZ1909" s="69"/>
      <c r="BA1909" s="69"/>
      <c r="BB1909" s="69"/>
      <c r="BC1909" s="69"/>
    </row>
    <row r="1910">
      <c r="A1910" s="68"/>
      <c r="B1910" s="68"/>
      <c r="C1910" s="68"/>
      <c r="D1910" s="68"/>
      <c r="E1910" s="68"/>
      <c r="F1910" s="68"/>
      <c r="G1910" s="68"/>
      <c r="H1910" s="68"/>
      <c r="I1910" s="69"/>
      <c r="J1910" s="69"/>
      <c r="K1910" s="71"/>
      <c r="L1910" s="69"/>
      <c r="M1910" s="69"/>
      <c r="N1910" s="72"/>
      <c r="O1910" s="69"/>
      <c r="P1910" s="69"/>
      <c r="Q1910" s="69"/>
      <c r="R1910" s="69"/>
      <c r="S1910" s="69"/>
      <c r="T1910" s="69"/>
      <c r="U1910" s="69"/>
      <c r="V1910" s="69"/>
      <c r="W1910" s="69"/>
      <c r="X1910" s="69"/>
      <c r="Y1910" s="69"/>
      <c r="Z1910" s="69"/>
      <c r="AA1910" s="69"/>
      <c r="AB1910" s="69"/>
      <c r="AC1910" s="69"/>
      <c r="AD1910" s="69"/>
      <c r="AE1910" s="69"/>
      <c r="AF1910" s="69"/>
      <c r="AG1910" s="69"/>
      <c r="AH1910" s="69"/>
      <c r="AI1910" s="69"/>
      <c r="AJ1910" s="69"/>
      <c r="AK1910" s="69"/>
      <c r="AL1910" s="69"/>
      <c r="AM1910" s="69"/>
      <c r="AN1910" s="69"/>
      <c r="AO1910" s="69"/>
      <c r="AP1910" s="69"/>
      <c r="AQ1910" s="69"/>
      <c r="AR1910" s="69"/>
      <c r="AS1910" s="69"/>
      <c r="AT1910" s="69"/>
      <c r="AU1910" s="69"/>
      <c r="AV1910" s="69"/>
      <c r="AW1910" s="69"/>
      <c r="AX1910" s="69"/>
      <c r="AY1910" s="69"/>
      <c r="AZ1910" s="69"/>
      <c r="BA1910" s="69"/>
      <c r="BB1910" s="69"/>
      <c r="BC1910" s="69"/>
    </row>
    <row r="1911">
      <c r="A1911" s="68"/>
      <c r="B1911" s="68"/>
      <c r="C1911" s="68"/>
      <c r="D1911" s="68"/>
      <c r="E1911" s="68"/>
      <c r="F1911" s="68"/>
      <c r="G1911" s="68"/>
      <c r="H1911" s="68"/>
      <c r="I1911" s="69"/>
      <c r="J1911" s="69"/>
      <c r="K1911" s="71"/>
      <c r="L1911" s="69"/>
      <c r="M1911" s="69"/>
      <c r="N1911" s="72"/>
      <c r="O1911" s="69"/>
      <c r="P1911" s="69"/>
      <c r="Q1911" s="69"/>
      <c r="R1911" s="69"/>
      <c r="S1911" s="69"/>
      <c r="T1911" s="69"/>
      <c r="U1911" s="69"/>
      <c r="V1911" s="69"/>
      <c r="W1911" s="69"/>
      <c r="X1911" s="69"/>
      <c r="Y1911" s="69"/>
      <c r="Z1911" s="69"/>
      <c r="AA1911" s="69"/>
      <c r="AB1911" s="69"/>
      <c r="AC1911" s="69"/>
      <c r="AD1911" s="69"/>
      <c r="AE1911" s="69"/>
      <c r="AF1911" s="69"/>
      <c r="AG1911" s="69"/>
      <c r="AH1911" s="69"/>
      <c r="AI1911" s="69"/>
      <c r="AJ1911" s="69"/>
      <c r="AK1911" s="69"/>
      <c r="AL1911" s="69"/>
      <c r="AM1911" s="69"/>
      <c r="AN1911" s="69"/>
      <c r="AO1911" s="69"/>
      <c r="AP1911" s="69"/>
      <c r="AQ1911" s="69"/>
      <c r="AR1911" s="69"/>
      <c r="AS1911" s="69"/>
      <c r="AT1911" s="69"/>
      <c r="AU1911" s="69"/>
      <c r="AV1911" s="69"/>
      <c r="AW1911" s="69"/>
      <c r="AX1911" s="69"/>
      <c r="AY1911" s="69"/>
      <c r="AZ1911" s="69"/>
      <c r="BA1911" s="69"/>
      <c r="BB1911" s="69"/>
      <c r="BC1911" s="69"/>
    </row>
    <row r="1912">
      <c r="A1912" s="68"/>
      <c r="B1912" s="68"/>
      <c r="C1912" s="68"/>
      <c r="D1912" s="68"/>
      <c r="E1912" s="68"/>
      <c r="F1912" s="68"/>
      <c r="G1912" s="68"/>
      <c r="H1912" s="68"/>
      <c r="I1912" s="69"/>
      <c r="J1912" s="69"/>
      <c r="K1912" s="71"/>
      <c r="L1912" s="69"/>
      <c r="M1912" s="69"/>
      <c r="N1912" s="72"/>
      <c r="O1912" s="69"/>
      <c r="P1912" s="69"/>
      <c r="Q1912" s="69"/>
      <c r="R1912" s="69"/>
      <c r="S1912" s="69"/>
      <c r="T1912" s="69"/>
      <c r="U1912" s="69"/>
      <c r="V1912" s="69"/>
      <c r="W1912" s="69"/>
      <c r="X1912" s="69"/>
      <c r="Y1912" s="69"/>
      <c r="Z1912" s="69"/>
      <c r="AA1912" s="69"/>
      <c r="AB1912" s="69"/>
      <c r="AC1912" s="69"/>
      <c r="AD1912" s="69"/>
      <c r="AE1912" s="69"/>
      <c r="AF1912" s="69"/>
      <c r="AG1912" s="69"/>
      <c r="AH1912" s="69"/>
      <c r="AI1912" s="69"/>
      <c r="AJ1912" s="69"/>
      <c r="AK1912" s="69"/>
      <c r="AL1912" s="69"/>
      <c r="AM1912" s="69"/>
      <c r="AN1912" s="69"/>
      <c r="AO1912" s="69"/>
      <c r="AP1912" s="69"/>
      <c r="AQ1912" s="69"/>
      <c r="AR1912" s="69"/>
      <c r="AS1912" s="69"/>
      <c r="AT1912" s="69"/>
      <c r="AU1912" s="69"/>
      <c r="AV1912" s="69"/>
      <c r="AW1912" s="69"/>
      <c r="AX1912" s="69"/>
      <c r="AY1912" s="69"/>
      <c r="AZ1912" s="69"/>
      <c r="BA1912" s="69"/>
      <c r="BB1912" s="69"/>
      <c r="BC1912" s="69"/>
    </row>
    <row r="1913">
      <c r="A1913" s="68"/>
      <c r="B1913" s="68"/>
      <c r="C1913" s="68"/>
      <c r="D1913" s="68"/>
      <c r="E1913" s="68"/>
      <c r="F1913" s="68"/>
      <c r="G1913" s="68"/>
      <c r="H1913" s="68"/>
      <c r="I1913" s="69"/>
      <c r="J1913" s="69"/>
      <c r="K1913" s="71"/>
      <c r="L1913" s="69"/>
      <c r="M1913" s="69"/>
      <c r="N1913" s="72"/>
      <c r="O1913" s="69"/>
      <c r="P1913" s="69"/>
      <c r="Q1913" s="69"/>
      <c r="R1913" s="69"/>
      <c r="S1913" s="69"/>
      <c r="T1913" s="69"/>
      <c r="U1913" s="69"/>
      <c r="V1913" s="69"/>
      <c r="W1913" s="69"/>
      <c r="X1913" s="69"/>
      <c r="Y1913" s="69"/>
      <c r="Z1913" s="69"/>
      <c r="AA1913" s="69"/>
      <c r="AB1913" s="69"/>
      <c r="AC1913" s="69"/>
      <c r="AD1913" s="69"/>
      <c r="AE1913" s="69"/>
      <c r="AF1913" s="69"/>
      <c r="AG1913" s="69"/>
      <c r="AH1913" s="69"/>
      <c r="AI1913" s="69"/>
      <c r="AJ1913" s="69"/>
      <c r="AK1913" s="69"/>
      <c r="AL1913" s="69"/>
      <c r="AM1913" s="69"/>
      <c r="AN1913" s="69"/>
      <c r="AO1913" s="69"/>
      <c r="AP1913" s="69"/>
      <c r="AQ1913" s="69"/>
      <c r="AR1913" s="69"/>
      <c r="AS1913" s="69"/>
      <c r="AT1913" s="69"/>
      <c r="AU1913" s="69"/>
      <c r="AV1913" s="69"/>
      <c r="AW1913" s="69"/>
      <c r="AX1913" s="69"/>
      <c r="AY1913" s="69"/>
      <c r="AZ1913" s="69"/>
      <c r="BA1913" s="69"/>
      <c r="BB1913" s="69"/>
      <c r="BC1913" s="69"/>
    </row>
    <row r="1914">
      <c r="A1914" s="68"/>
      <c r="B1914" s="68"/>
      <c r="C1914" s="68"/>
      <c r="D1914" s="68"/>
      <c r="E1914" s="68"/>
      <c r="F1914" s="68"/>
      <c r="G1914" s="68"/>
      <c r="H1914" s="68"/>
      <c r="I1914" s="69"/>
      <c r="J1914" s="69"/>
      <c r="K1914" s="71"/>
      <c r="L1914" s="69"/>
      <c r="M1914" s="69"/>
      <c r="N1914" s="72"/>
      <c r="O1914" s="69"/>
      <c r="P1914" s="69"/>
      <c r="Q1914" s="69"/>
      <c r="R1914" s="69"/>
      <c r="S1914" s="69"/>
      <c r="T1914" s="69"/>
      <c r="U1914" s="69"/>
      <c r="V1914" s="69"/>
      <c r="W1914" s="69"/>
      <c r="X1914" s="69"/>
      <c r="Y1914" s="69"/>
      <c r="Z1914" s="69"/>
      <c r="AA1914" s="69"/>
      <c r="AB1914" s="69"/>
      <c r="AC1914" s="69"/>
      <c r="AD1914" s="69"/>
      <c r="AE1914" s="69"/>
      <c r="AF1914" s="69"/>
      <c r="AG1914" s="69"/>
      <c r="AH1914" s="69"/>
      <c r="AI1914" s="69"/>
      <c r="AJ1914" s="69"/>
      <c r="AK1914" s="69"/>
      <c r="AL1914" s="69"/>
      <c r="AM1914" s="69"/>
      <c r="AN1914" s="69"/>
      <c r="AO1914" s="69"/>
      <c r="AP1914" s="69"/>
      <c r="AQ1914" s="69"/>
      <c r="AR1914" s="69"/>
      <c r="AS1914" s="69"/>
      <c r="AT1914" s="69"/>
      <c r="AU1914" s="69"/>
      <c r="AV1914" s="69"/>
      <c r="AW1914" s="69"/>
      <c r="AX1914" s="69"/>
      <c r="AY1914" s="69"/>
      <c r="AZ1914" s="69"/>
      <c r="BA1914" s="69"/>
      <c r="BB1914" s="69"/>
      <c r="BC1914" s="69"/>
    </row>
    <row r="1915">
      <c r="A1915" s="68"/>
      <c r="B1915" s="68"/>
      <c r="C1915" s="68"/>
      <c r="D1915" s="68"/>
      <c r="E1915" s="68"/>
      <c r="F1915" s="68"/>
      <c r="G1915" s="68"/>
      <c r="H1915" s="68"/>
      <c r="I1915" s="69"/>
      <c r="J1915" s="69"/>
      <c r="K1915" s="71"/>
      <c r="L1915" s="69"/>
      <c r="M1915" s="69"/>
      <c r="N1915" s="72"/>
      <c r="O1915" s="69"/>
      <c r="P1915" s="69"/>
      <c r="Q1915" s="69"/>
      <c r="R1915" s="69"/>
      <c r="S1915" s="69"/>
      <c r="T1915" s="69"/>
      <c r="U1915" s="69"/>
      <c r="V1915" s="69"/>
      <c r="W1915" s="69"/>
      <c r="X1915" s="69"/>
      <c r="Y1915" s="69"/>
      <c r="Z1915" s="69"/>
      <c r="AA1915" s="69"/>
      <c r="AB1915" s="69"/>
      <c r="AC1915" s="69"/>
      <c r="AD1915" s="69"/>
      <c r="AE1915" s="69"/>
      <c r="AF1915" s="69"/>
      <c r="AG1915" s="69"/>
      <c r="AH1915" s="69"/>
      <c r="AI1915" s="69"/>
      <c r="AJ1915" s="69"/>
      <c r="AK1915" s="69"/>
      <c r="AL1915" s="69"/>
      <c r="AM1915" s="69"/>
      <c r="AN1915" s="69"/>
      <c r="AO1915" s="69"/>
      <c r="AP1915" s="69"/>
      <c r="AQ1915" s="69"/>
      <c r="AR1915" s="69"/>
      <c r="AS1915" s="69"/>
      <c r="AT1915" s="69"/>
      <c r="AU1915" s="69"/>
      <c r="AV1915" s="69"/>
      <c r="AW1915" s="69"/>
      <c r="AX1915" s="69"/>
      <c r="AY1915" s="69"/>
      <c r="AZ1915" s="69"/>
      <c r="BA1915" s="69"/>
      <c r="BB1915" s="69"/>
      <c r="BC1915" s="69"/>
    </row>
    <row r="1916">
      <c r="A1916" s="68"/>
      <c r="B1916" s="68"/>
      <c r="C1916" s="68"/>
      <c r="D1916" s="68"/>
      <c r="E1916" s="68"/>
      <c r="F1916" s="68"/>
      <c r="G1916" s="68"/>
      <c r="H1916" s="68"/>
      <c r="I1916" s="69"/>
      <c r="J1916" s="69"/>
      <c r="K1916" s="71"/>
      <c r="L1916" s="69"/>
      <c r="M1916" s="69"/>
      <c r="N1916" s="72"/>
      <c r="O1916" s="69"/>
      <c r="P1916" s="69"/>
      <c r="Q1916" s="69"/>
      <c r="R1916" s="69"/>
      <c r="S1916" s="69"/>
      <c r="T1916" s="69"/>
      <c r="U1916" s="69"/>
      <c r="V1916" s="69"/>
      <c r="W1916" s="69"/>
      <c r="X1916" s="69"/>
      <c r="Y1916" s="69"/>
      <c r="Z1916" s="69"/>
      <c r="AA1916" s="69"/>
      <c r="AB1916" s="69"/>
      <c r="AC1916" s="69"/>
      <c r="AD1916" s="69"/>
      <c r="AE1916" s="69"/>
      <c r="AF1916" s="69"/>
      <c r="AG1916" s="69"/>
      <c r="AH1916" s="69"/>
      <c r="AI1916" s="69"/>
      <c r="AJ1916" s="69"/>
      <c r="AK1916" s="69"/>
      <c r="AL1916" s="69"/>
      <c r="AM1916" s="69"/>
      <c r="AN1916" s="69"/>
      <c r="AO1916" s="69"/>
      <c r="AP1916" s="69"/>
      <c r="AQ1916" s="69"/>
      <c r="AR1916" s="69"/>
      <c r="AS1916" s="69"/>
      <c r="AT1916" s="69"/>
      <c r="AU1916" s="69"/>
      <c r="AV1916" s="69"/>
      <c r="AW1916" s="69"/>
      <c r="AX1916" s="69"/>
      <c r="AY1916" s="69"/>
      <c r="AZ1916" s="69"/>
      <c r="BA1916" s="69"/>
      <c r="BB1916" s="69"/>
      <c r="BC1916" s="69"/>
    </row>
    <row r="1917">
      <c r="A1917" s="68"/>
      <c r="B1917" s="68"/>
      <c r="C1917" s="68"/>
      <c r="D1917" s="68"/>
      <c r="E1917" s="68"/>
      <c r="F1917" s="68"/>
      <c r="G1917" s="68"/>
      <c r="H1917" s="68"/>
      <c r="I1917" s="69"/>
      <c r="J1917" s="69"/>
      <c r="K1917" s="71"/>
      <c r="L1917" s="69"/>
      <c r="M1917" s="69"/>
      <c r="N1917" s="72"/>
      <c r="O1917" s="69"/>
      <c r="P1917" s="69"/>
      <c r="Q1917" s="69"/>
      <c r="R1917" s="69"/>
      <c r="S1917" s="69"/>
      <c r="T1917" s="69"/>
      <c r="U1917" s="69"/>
      <c r="V1917" s="69"/>
      <c r="W1917" s="69"/>
      <c r="X1917" s="69"/>
      <c r="Y1917" s="69"/>
      <c r="Z1917" s="69"/>
      <c r="AA1917" s="69"/>
      <c r="AB1917" s="69"/>
      <c r="AC1917" s="69"/>
      <c r="AD1917" s="69"/>
      <c r="AE1917" s="69"/>
      <c r="AF1917" s="69"/>
      <c r="AG1917" s="69"/>
      <c r="AH1917" s="69"/>
      <c r="AI1917" s="69"/>
      <c r="AJ1917" s="69"/>
      <c r="AK1917" s="69"/>
      <c r="AL1917" s="69"/>
      <c r="AM1917" s="69"/>
      <c r="AN1917" s="69"/>
      <c r="AO1917" s="69"/>
      <c r="AP1917" s="69"/>
      <c r="AQ1917" s="69"/>
      <c r="AR1917" s="69"/>
      <c r="AS1917" s="69"/>
      <c r="AT1917" s="69"/>
      <c r="AU1917" s="69"/>
      <c r="AV1917" s="69"/>
      <c r="AW1917" s="69"/>
      <c r="AX1917" s="69"/>
      <c r="AY1917" s="69"/>
      <c r="AZ1917" s="69"/>
      <c r="BA1917" s="69"/>
      <c r="BB1917" s="69"/>
      <c r="BC1917" s="69"/>
    </row>
    <row r="1918">
      <c r="A1918" s="68"/>
      <c r="B1918" s="68"/>
      <c r="C1918" s="68"/>
      <c r="D1918" s="68"/>
      <c r="E1918" s="68"/>
      <c r="F1918" s="68"/>
      <c r="G1918" s="68"/>
      <c r="H1918" s="68"/>
      <c r="I1918" s="69"/>
      <c r="J1918" s="69"/>
      <c r="K1918" s="71"/>
      <c r="L1918" s="69"/>
      <c r="M1918" s="69"/>
      <c r="N1918" s="72"/>
      <c r="O1918" s="69"/>
      <c r="P1918" s="69"/>
      <c r="Q1918" s="69"/>
      <c r="R1918" s="69"/>
      <c r="S1918" s="69"/>
      <c r="T1918" s="69"/>
      <c r="U1918" s="69"/>
      <c r="V1918" s="69"/>
      <c r="W1918" s="69"/>
      <c r="X1918" s="69"/>
      <c r="Y1918" s="69"/>
      <c r="Z1918" s="69"/>
      <c r="AA1918" s="69"/>
      <c r="AB1918" s="69"/>
      <c r="AC1918" s="69"/>
      <c r="AD1918" s="69"/>
      <c r="AE1918" s="69"/>
      <c r="AF1918" s="69"/>
      <c r="AG1918" s="69"/>
      <c r="AH1918" s="69"/>
      <c r="AI1918" s="69"/>
      <c r="AJ1918" s="69"/>
      <c r="AK1918" s="69"/>
      <c r="AL1918" s="69"/>
      <c r="AM1918" s="69"/>
      <c r="AN1918" s="69"/>
      <c r="AO1918" s="69"/>
      <c r="AP1918" s="69"/>
      <c r="AQ1918" s="69"/>
      <c r="AR1918" s="69"/>
      <c r="AS1918" s="69"/>
      <c r="AT1918" s="69"/>
      <c r="AU1918" s="69"/>
      <c r="AV1918" s="69"/>
      <c r="AW1918" s="69"/>
      <c r="AX1918" s="69"/>
      <c r="AY1918" s="69"/>
      <c r="AZ1918" s="69"/>
      <c r="BA1918" s="69"/>
      <c r="BB1918" s="69"/>
      <c r="BC1918" s="69"/>
    </row>
    <row r="1919">
      <c r="A1919" s="68"/>
      <c r="B1919" s="68"/>
      <c r="C1919" s="68"/>
      <c r="D1919" s="68"/>
      <c r="E1919" s="68"/>
      <c r="F1919" s="68"/>
      <c r="G1919" s="68"/>
      <c r="H1919" s="68"/>
      <c r="I1919" s="69"/>
      <c r="J1919" s="69"/>
      <c r="K1919" s="71"/>
      <c r="L1919" s="69"/>
      <c r="M1919" s="69"/>
      <c r="N1919" s="72"/>
      <c r="O1919" s="69"/>
      <c r="P1919" s="69"/>
      <c r="Q1919" s="69"/>
      <c r="R1919" s="69"/>
      <c r="S1919" s="69"/>
      <c r="T1919" s="69"/>
      <c r="U1919" s="69"/>
      <c r="V1919" s="69"/>
      <c r="W1919" s="69"/>
      <c r="X1919" s="69"/>
      <c r="Y1919" s="69"/>
      <c r="Z1919" s="69"/>
      <c r="AA1919" s="69"/>
      <c r="AB1919" s="69"/>
      <c r="AC1919" s="69"/>
      <c r="AD1919" s="69"/>
      <c r="AE1919" s="69"/>
      <c r="AF1919" s="69"/>
      <c r="AG1919" s="69"/>
      <c r="AH1919" s="69"/>
      <c r="AI1919" s="69"/>
      <c r="AJ1919" s="69"/>
      <c r="AK1919" s="69"/>
      <c r="AL1919" s="69"/>
      <c r="AM1919" s="69"/>
      <c r="AN1919" s="69"/>
      <c r="AO1919" s="69"/>
      <c r="AP1919" s="69"/>
      <c r="AQ1919" s="69"/>
      <c r="AR1919" s="69"/>
      <c r="AS1919" s="69"/>
      <c r="AT1919" s="69"/>
      <c r="AU1919" s="69"/>
      <c r="AV1919" s="69"/>
      <c r="AW1919" s="69"/>
      <c r="AX1919" s="69"/>
      <c r="AY1919" s="69"/>
      <c r="AZ1919" s="69"/>
      <c r="BA1919" s="69"/>
      <c r="BB1919" s="69"/>
      <c r="BC1919" s="69"/>
    </row>
    <row r="1920">
      <c r="A1920" s="68"/>
      <c r="B1920" s="68"/>
      <c r="C1920" s="68"/>
      <c r="D1920" s="68"/>
      <c r="E1920" s="68"/>
      <c r="F1920" s="68"/>
      <c r="G1920" s="68"/>
      <c r="H1920" s="68"/>
      <c r="I1920" s="69"/>
      <c r="J1920" s="69"/>
      <c r="K1920" s="71"/>
      <c r="L1920" s="69"/>
      <c r="M1920" s="69"/>
      <c r="N1920" s="72"/>
      <c r="O1920" s="69"/>
      <c r="P1920" s="69"/>
      <c r="Q1920" s="69"/>
      <c r="R1920" s="69"/>
      <c r="S1920" s="69"/>
      <c r="T1920" s="69"/>
      <c r="U1920" s="69"/>
      <c r="V1920" s="69"/>
      <c r="W1920" s="69"/>
      <c r="X1920" s="69"/>
      <c r="Y1920" s="69"/>
      <c r="Z1920" s="69"/>
      <c r="AA1920" s="69"/>
      <c r="AB1920" s="69"/>
      <c r="AC1920" s="69"/>
      <c r="AD1920" s="69"/>
      <c r="AE1920" s="69"/>
      <c r="AF1920" s="69"/>
      <c r="AG1920" s="69"/>
      <c r="AH1920" s="69"/>
      <c r="AI1920" s="69"/>
      <c r="AJ1920" s="69"/>
      <c r="AK1920" s="69"/>
      <c r="AL1920" s="69"/>
      <c r="AM1920" s="69"/>
      <c r="AN1920" s="69"/>
      <c r="AO1920" s="69"/>
      <c r="AP1920" s="69"/>
      <c r="AQ1920" s="69"/>
      <c r="AR1920" s="69"/>
      <c r="AS1920" s="69"/>
      <c r="AT1920" s="69"/>
      <c r="AU1920" s="69"/>
      <c r="AV1920" s="69"/>
      <c r="AW1920" s="69"/>
      <c r="AX1920" s="69"/>
      <c r="AY1920" s="69"/>
      <c r="AZ1920" s="69"/>
      <c r="BA1920" s="69"/>
      <c r="BB1920" s="69"/>
      <c r="BC1920" s="69"/>
    </row>
    <row r="1921">
      <c r="A1921" s="68"/>
      <c r="B1921" s="68"/>
      <c r="C1921" s="68"/>
      <c r="D1921" s="68"/>
      <c r="E1921" s="68"/>
      <c r="F1921" s="68"/>
      <c r="G1921" s="68"/>
      <c r="H1921" s="68"/>
      <c r="I1921" s="69"/>
      <c r="J1921" s="69"/>
      <c r="K1921" s="71"/>
      <c r="L1921" s="69"/>
      <c r="M1921" s="69"/>
      <c r="N1921" s="72"/>
      <c r="O1921" s="69"/>
      <c r="P1921" s="69"/>
      <c r="Q1921" s="69"/>
      <c r="R1921" s="69"/>
      <c r="S1921" s="69"/>
      <c r="T1921" s="69"/>
      <c r="U1921" s="69"/>
      <c r="V1921" s="69"/>
      <c r="W1921" s="69"/>
      <c r="X1921" s="69"/>
      <c r="Y1921" s="69"/>
      <c r="Z1921" s="69"/>
      <c r="AA1921" s="69"/>
      <c r="AB1921" s="69"/>
      <c r="AC1921" s="69"/>
      <c r="AD1921" s="69"/>
      <c r="AE1921" s="69"/>
      <c r="AF1921" s="69"/>
      <c r="AG1921" s="69"/>
      <c r="AH1921" s="69"/>
      <c r="AI1921" s="69"/>
      <c r="AJ1921" s="69"/>
      <c r="AK1921" s="69"/>
      <c r="AL1921" s="69"/>
      <c r="AM1921" s="69"/>
      <c r="AN1921" s="69"/>
      <c r="AO1921" s="69"/>
      <c r="AP1921" s="69"/>
      <c r="AQ1921" s="69"/>
      <c r="AR1921" s="69"/>
      <c r="AS1921" s="69"/>
      <c r="AT1921" s="69"/>
      <c r="AU1921" s="69"/>
      <c r="AV1921" s="69"/>
      <c r="AW1921" s="69"/>
      <c r="AX1921" s="69"/>
      <c r="AY1921" s="69"/>
      <c r="AZ1921" s="69"/>
      <c r="BA1921" s="69"/>
      <c r="BB1921" s="69"/>
      <c r="BC1921" s="69"/>
    </row>
    <row r="1922">
      <c r="A1922" s="68"/>
      <c r="B1922" s="68"/>
      <c r="C1922" s="68"/>
      <c r="D1922" s="68"/>
      <c r="E1922" s="68"/>
      <c r="F1922" s="68"/>
      <c r="G1922" s="68"/>
      <c r="H1922" s="68"/>
      <c r="I1922" s="69"/>
      <c r="J1922" s="69"/>
      <c r="K1922" s="71"/>
      <c r="L1922" s="69"/>
      <c r="M1922" s="69"/>
      <c r="N1922" s="72"/>
      <c r="O1922" s="69"/>
      <c r="P1922" s="69"/>
      <c r="Q1922" s="69"/>
      <c r="R1922" s="69"/>
      <c r="S1922" s="69"/>
      <c r="T1922" s="69"/>
      <c r="U1922" s="69"/>
      <c r="V1922" s="69"/>
      <c r="W1922" s="69"/>
      <c r="X1922" s="69"/>
      <c r="Y1922" s="69"/>
      <c r="Z1922" s="69"/>
      <c r="AA1922" s="69"/>
      <c r="AB1922" s="69"/>
      <c r="AC1922" s="69"/>
      <c r="AD1922" s="69"/>
      <c r="AE1922" s="69"/>
      <c r="AF1922" s="69"/>
      <c r="AG1922" s="69"/>
      <c r="AH1922" s="69"/>
      <c r="AI1922" s="69"/>
      <c r="AJ1922" s="69"/>
      <c r="AK1922" s="69"/>
      <c r="AL1922" s="69"/>
      <c r="AM1922" s="69"/>
      <c r="AN1922" s="69"/>
      <c r="AO1922" s="69"/>
      <c r="AP1922" s="69"/>
      <c r="AQ1922" s="69"/>
      <c r="AR1922" s="69"/>
      <c r="AS1922" s="69"/>
      <c r="AT1922" s="69"/>
      <c r="AU1922" s="69"/>
      <c r="AV1922" s="69"/>
      <c r="AW1922" s="69"/>
      <c r="AX1922" s="69"/>
      <c r="AY1922" s="69"/>
      <c r="AZ1922" s="69"/>
      <c r="BA1922" s="69"/>
      <c r="BB1922" s="69"/>
      <c r="BC1922" s="69"/>
    </row>
    <row r="1923">
      <c r="A1923" s="68"/>
      <c r="B1923" s="68"/>
      <c r="C1923" s="68"/>
      <c r="D1923" s="68"/>
      <c r="E1923" s="68"/>
      <c r="F1923" s="68"/>
      <c r="G1923" s="68"/>
      <c r="H1923" s="68"/>
      <c r="I1923" s="69"/>
      <c r="J1923" s="69"/>
      <c r="K1923" s="71"/>
      <c r="L1923" s="69"/>
      <c r="M1923" s="69"/>
      <c r="N1923" s="72"/>
      <c r="O1923" s="69"/>
      <c r="P1923" s="69"/>
      <c r="Q1923" s="69"/>
      <c r="R1923" s="69"/>
      <c r="S1923" s="69"/>
      <c r="T1923" s="69"/>
      <c r="U1923" s="69"/>
      <c r="V1923" s="69"/>
      <c r="W1923" s="69"/>
      <c r="X1923" s="69"/>
      <c r="Y1923" s="69"/>
      <c r="Z1923" s="69"/>
      <c r="AA1923" s="69"/>
      <c r="AB1923" s="69"/>
      <c r="AC1923" s="69"/>
      <c r="AD1923" s="69"/>
      <c r="AE1923" s="69"/>
      <c r="AF1923" s="69"/>
      <c r="AG1923" s="69"/>
      <c r="AH1923" s="69"/>
      <c r="AI1923" s="69"/>
      <c r="AJ1923" s="69"/>
      <c r="AK1923" s="69"/>
      <c r="AL1923" s="69"/>
      <c r="AM1923" s="69"/>
      <c r="AN1923" s="69"/>
      <c r="AO1923" s="69"/>
      <c r="AP1923" s="69"/>
      <c r="AQ1923" s="69"/>
      <c r="AR1923" s="69"/>
      <c r="AS1923" s="69"/>
      <c r="AT1923" s="69"/>
      <c r="AU1923" s="69"/>
      <c r="AV1923" s="69"/>
      <c r="AW1923" s="69"/>
      <c r="AX1923" s="69"/>
      <c r="AY1923" s="69"/>
      <c r="AZ1923" s="69"/>
      <c r="BA1923" s="69"/>
      <c r="BB1923" s="69"/>
      <c r="BC1923" s="69"/>
    </row>
    <row r="1924">
      <c r="A1924" s="68"/>
      <c r="B1924" s="68"/>
      <c r="C1924" s="68"/>
      <c r="D1924" s="68"/>
      <c r="E1924" s="68"/>
      <c r="F1924" s="68"/>
      <c r="G1924" s="68"/>
      <c r="H1924" s="68"/>
      <c r="I1924" s="69"/>
      <c r="J1924" s="69"/>
      <c r="K1924" s="71"/>
      <c r="L1924" s="69"/>
      <c r="M1924" s="69"/>
      <c r="N1924" s="72"/>
      <c r="O1924" s="69"/>
      <c r="P1924" s="69"/>
      <c r="Q1924" s="69"/>
      <c r="R1924" s="69"/>
      <c r="S1924" s="69"/>
      <c r="T1924" s="69"/>
      <c r="U1924" s="69"/>
      <c r="V1924" s="69"/>
      <c r="W1924" s="69"/>
      <c r="X1924" s="69"/>
      <c r="Y1924" s="69"/>
      <c r="Z1924" s="69"/>
      <c r="AA1924" s="69"/>
      <c r="AB1924" s="69"/>
      <c r="AC1924" s="69"/>
      <c r="AD1924" s="69"/>
      <c r="AE1924" s="69"/>
      <c r="AF1924" s="69"/>
      <c r="AG1924" s="69"/>
      <c r="AH1924" s="69"/>
      <c r="AI1924" s="69"/>
      <c r="AJ1924" s="69"/>
      <c r="AK1924" s="69"/>
      <c r="AL1924" s="69"/>
      <c r="AM1924" s="69"/>
      <c r="AN1924" s="69"/>
      <c r="AO1924" s="69"/>
      <c r="AP1924" s="69"/>
      <c r="AQ1924" s="69"/>
      <c r="AR1924" s="69"/>
      <c r="AS1924" s="69"/>
      <c r="AT1924" s="69"/>
      <c r="AU1924" s="69"/>
      <c r="AV1924" s="69"/>
      <c r="AW1924" s="69"/>
      <c r="AX1924" s="69"/>
      <c r="AY1924" s="69"/>
      <c r="AZ1924" s="69"/>
      <c r="BA1924" s="69"/>
      <c r="BB1924" s="69"/>
      <c r="BC1924" s="69"/>
    </row>
    <row r="1925">
      <c r="A1925" s="68"/>
      <c r="B1925" s="68"/>
      <c r="C1925" s="68"/>
      <c r="D1925" s="68"/>
      <c r="E1925" s="68"/>
      <c r="F1925" s="68"/>
      <c r="G1925" s="68"/>
      <c r="H1925" s="68"/>
      <c r="I1925" s="69"/>
      <c r="J1925" s="69"/>
      <c r="K1925" s="71"/>
      <c r="L1925" s="69"/>
      <c r="M1925" s="69"/>
      <c r="N1925" s="72"/>
      <c r="O1925" s="69"/>
      <c r="P1925" s="69"/>
      <c r="Q1925" s="69"/>
      <c r="R1925" s="69"/>
      <c r="S1925" s="69"/>
      <c r="T1925" s="69"/>
      <c r="U1925" s="69"/>
      <c r="V1925" s="69"/>
      <c r="W1925" s="69"/>
      <c r="X1925" s="69"/>
      <c r="Y1925" s="69"/>
      <c r="Z1925" s="69"/>
      <c r="AA1925" s="69"/>
      <c r="AB1925" s="69"/>
      <c r="AC1925" s="69"/>
      <c r="AD1925" s="69"/>
      <c r="AE1925" s="69"/>
      <c r="AF1925" s="69"/>
      <c r="AG1925" s="69"/>
      <c r="AH1925" s="69"/>
      <c r="AI1925" s="69"/>
      <c r="AJ1925" s="69"/>
      <c r="AK1925" s="69"/>
      <c r="AL1925" s="69"/>
      <c r="AM1925" s="69"/>
      <c r="AN1925" s="69"/>
      <c r="AO1925" s="69"/>
      <c r="AP1925" s="69"/>
      <c r="AQ1925" s="69"/>
      <c r="AR1925" s="69"/>
      <c r="AS1925" s="69"/>
      <c r="AT1925" s="69"/>
      <c r="AU1925" s="69"/>
      <c r="AV1925" s="69"/>
      <c r="AW1925" s="69"/>
      <c r="AX1925" s="69"/>
      <c r="AY1925" s="69"/>
      <c r="AZ1925" s="69"/>
      <c r="BA1925" s="69"/>
      <c r="BB1925" s="69"/>
      <c r="BC1925" s="69"/>
    </row>
    <row r="1926">
      <c r="A1926" s="68"/>
      <c r="B1926" s="68"/>
      <c r="C1926" s="68"/>
      <c r="D1926" s="68"/>
      <c r="E1926" s="68"/>
      <c r="F1926" s="68"/>
      <c r="G1926" s="68"/>
      <c r="H1926" s="68"/>
      <c r="I1926" s="69"/>
      <c r="J1926" s="69"/>
      <c r="K1926" s="71"/>
      <c r="L1926" s="69"/>
      <c r="M1926" s="69"/>
      <c r="N1926" s="72"/>
      <c r="O1926" s="69"/>
      <c r="P1926" s="69"/>
      <c r="Q1926" s="69"/>
      <c r="R1926" s="69"/>
      <c r="S1926" s="69"/>
      <c r="T1926" s="69"/>
      <c r="U1926" s="69"/>
      <c r="V1926" s="69"/>
      <c r="W1926" s="69"/>
      <c r="X1926" s="69"/>
      <c r="Y1926" s="69"/>
      <c r="Z1926" s="69"/>
      <c r="AA1926" s="69"/>
      <c r="AB1926" s="69"/>
      <c r="AC1926" s="69"/>
      <c r="AD1926" s="69"/>
      <c r="AE1926" s="69"/>
      <c r="AF1926" s="69"/>
      <c r="AG1926" s="69"/>
      <c r="AH1926" s="69"/>
      <c r="AI1926" s="69"/>
      <c r="AJ1926" s="69"/>
      <c r="AK1926" s="69"/>
      <c r="AL1926" s="69"/>
      <c r="AM1926" s="69"/>
      <c r="AN1926" s="69"/>
      <c r="AO1926" s="69"/>
      <c r="AP1926" s="69"/>
      <c r="AQ1926" s="69"/>
      <c r="AR1926" s="69"/>
      <c r="AS1926" s="69"/>
      <c r="AT1926" s="69"/>
      <c r="AU1926" s="69"/>
      <c r="AV1926" s="69"/>
      <c r="AW1926" s="69"/>
      <c r="AX1926" s="69"/>
      <c r="AY1926" s="69"/>
      <c r="AZ1926" s="69"/>
      <c r="BA1926" s="69"/>
      <c r="BB1926" s="69"/>
      <c r="BC1926" s="69"/>
    </row>
    <row r="1927">
      <c r="A1927" s="68"/>
      <c r="B1927" s="68"/>
      <c r="C1927" s="68"/>
      <c r="D1927" s="68"/>
      <c r="E1927" s="68"/>
      <c r="F1927" s="68"/>
      <c r="G1927" s="68"/>
      <c r="H1927" s="68"/>
      <c r="I1927" s="69"/>
      <c r="J1927" s="69"/>
      <c r="K1927" s="71"/>
      <c r="L1927" s="69"/>
      <c r="M1927" s="69"/>
      <c r="N1927" s="72"/>
      <c r="O1927" s="69"/>
      <c r="P1927" s="69"/>
      <c r="Q1927" s="69"/>
      <c r="R1927" s="69"/>
      <c r="S1927" s="69"/>
      <c r="T1927" s="69"/>
      <c r="U1927" s="69"/>
      <c r="V1927" s="69"/>
      <c r="W1927" s="69"/>
      <c r="X1927" s="69"/>
      <c r="Y1927" s="69"/>
      <c r="Z1927" s="69"/>
      <c r="AA1927" s="69"/>
      <c r="AB1927" s="69"/>
      <c r="AC1927" s="69"/>
      <c r="AD1927" s="69"/>
      <c r="AE1927" s="69"/>
      <c r="AF1927" s="69"/>
      <c r="AG1927" s="69"/>
      <c r="AH1927" s="69"/>
      <c r="AI1927" s="69"/>
      <c r="AJ1927" s="69"/>
      <c r="AK1927" s="69"/>
      <c r="AL1927" s="69"/>
      <c r="AM1927" s="69"/>
      <c r="AN1927" s="69"/>
      <c r="AO1927" s="69"/>
      <c r="AP1927" s="69"/>
      <c r="AQ1927" s="69"/>
      <c r="AR1927" s="69"/>
      <c r="AS1927" s="69"/>
      <c r="AT1927" s="69"/>
      <c r="AU1927" s="69"/>
      <c r="AV1927" s="69"/>
      <c r="AW1927" s="69"/>
      <c r="AX1927" s="69"/>
      <c r="AY1927" s="69"/>
      <c r="AZ1927" s="69"/>
      <c r="BA1927" s="69"/>
      <c r="BB1927" s="69"/>
      <c r="BC1927" s="69"/>
    </row>
    <row r="1928">
      <c r="A1928" s="68"/>
      <c r="B1928" s="68"/>
      <c r="C1928" s="68"/>
      <c r="D1928" s="68"/>
      <c r="E1928" s="68"/>
      <c r="F1928" s="68"/>
      <c r="G1928" s="68"/>
      <c r="H1928" s="68"/>
      <c r="I1928" s="69"/>
      <c r="J1928" s="69"/>
      <c r="K1928" s="71"/>
      <c r="L1928" s="69"/>
      <c r="M1928" s="69"/>
      <c r="N1928" s="72"/>
      <c r="O1928" s="69"/>
      <c r="P1928" s="69"/>
      <c r="Q1928" s="69"/>
      <c r="R1928" s="69"/>
      <c r="S1928" s="69"/>
      <c r="T1928" s="69"/>
      <c r="U1928" s="69"/>
      <c r="V1928" s="69"/>
      <c r="W1928" s="69"/>
      <c r="X1928" s="69"/>
      <c r="Y1928" s="69"/>
      <c r="Z1928" s="69"/>
      <c r="AA1928" s="69"/>
      <c r="AB1928" s="69"/>
      <c r="AC1928" s="69"/>
      <c r="AD1928" s="69"/>
      <c r="AE1928" s="69"/>
      <c r="AF1928" s="69"/>
      <c r="AG1928" s="69"/>
      <c r="AH1928" s="69"/>
      <c r="AI1928" s="69"/>
      <c r="AJ1928" s="69"/>
      <c r="AK1928" s="69"/>
      <c r="AL1928" s="69"/>
      <c r="AM1928" s="69"/>
      <c r="AN1928" s="69"/>
      <c r="AO1928" s="69"/>
      <c r="AP1928" s="69"/>
      <c r="AQ1928" s="69"/>
      <c r="AR1928" s="69"/>
      <c r="AS1928" s="69"/>
      <c r="AT1928" s="69"/>
      <c r="AU1928" s="69"/>
      <c r="AV1928" s="69"/>
      <c r="AW1928" s="69"/>
      <c r="AX1928" s="69"/>
      <c r="AY1928" s="69"/>
      <c r="AZ1928" s="69"/>
      <c r="BA1928" s="69"/>
      <c r="BB1928" s="69"/>
      <c r="BC1928" s="69"/>
    </row>
    <row r="1929">
      <c r="A1929" s="68"/>
      <c r="B1929" s="68"/>
      <c r="C1929" s="68"/>
      <c r="D1929" s="68"/>
      <c r="E1929" s="68"/>
      <c r="F1929" s="68"/>
      <c r="G1929" s="68"/>
      <c r="H1929" s="68"/>
      <c r="I1929" s="69"/>
      <c r="J1929" s="69"/>
      <c r="K1929" s="71"/>
      <c r="L1929" s="69"/>
      <c r="M1929" s="69"/>
      <c r="N1929" s="72"/>
      <c r="O1929" s="69"/>
      <c r="P1929" s="69"/>
      <c r="Q1929" s="69"/>
      <c r="R1929" s="69"/>
      <c r="S1929" s="69"/>
      <c r="T1929" s="69"/>
      <c r="U1929" s="69"/>
      <c r="V1929" s="69"/>
      <c r="W1929" s="69"/>
      <c r="X1929" s="69"/>
      <c r="Y1929" s="69"/>
      <c r="Z1929" s="69"/>
      <c r="AA1929" s="69"/>
      <c r="AB1929" s="69"/>
      <c r="AC1929" s="69"/>
      <c r="AD1929" s="69"/>
      <c r="AE1929" s="69"/>
      <c r="AF1929" s="69"/>
      <c r="AG1929" s="69"/>
      <c r="AH1929" s="69"/>
      <c r="AI1929" s="69"/>
      <c r="AJ1929" s="69"/>
      <c r="AK1929" s="69"/>
      <c r="AL1929" s="69"/>
      <c r="AM1929" s="69"/>
      <c r="AN1929" s="69"/>
      <c r="AO1929" s="69"/>
      <c r="AP1929" s="69"/>
      <c r="AQ1929" s="69"/>
      <c r="AR1929" s="69"/>
      <c r="AS1929" s="69"/>
      <c r="AT1929" s="69"/>
      <c r="AU1929" s="69"/>
      <c r="AV1929" s="69"/>
      <c r="AW1929" s="69"/>
      <c r="AX1929" s="69"/>
      <c r="AY1929" s="69"/>
      <c r="AZ1929" s="69"/>
      <c r="BA1929" s="69"/>
      <c r="BB1929" s="69"/>
      <c r="BC1929" s="69"/>
    </row>
    <row r="1930">
      <c r="A1930" s="68"/>
      <c r="B1930" s="68"/>
      <c r="C1930" s="68"/>
      <c r="D1930" s="68"/>
      <c r="E1930" s="68"/>
      <c r="F1930" s="68"/>
      <c r="G1930" s="68"/>
      <c r="H1930" s="68"/>
      <c r="I1930" s="69"/>
      <c r="J1930" s="69"/>
      <c r="K1930" s="71"/>
      <c r="L1930" s="69"/>
      <c r="M1930" s="69"/>
      <c r="N1930" s="72"/>
      <c r="O1930" s="69"/>
      <c r="P1930" s="69"/>
      <c r="Q1930" s="69"/>
      <c r="R1930" s="69"/>
      <c r="S1930" s="69"/>
      <c r="T1930" s="69"/>
      <c r="U1930" s="69"/>
      <c r="V1930" s="69"/>
      <c r="W1930" s="69"/>
      <c r="X1930" s="69"/>
      <c r="Y1930" s="69"/>
      <c r="Z1930" s="69"/>
      <c r="AA1930" s="69"/>
      <c r="AB1930" s="69"/>
      <c r="AC1930" s="69"/>
      <c r="AD1930" s="69"/>
      <c r="AE1930" s="69"/>
      <c r="AF1930" s="69"/>
      <c r="AG1930" s="69"/>
      <c r="AH1930" s="69"/>
      <c r="AI1930" s="69"/>
      <c r="AJ1930" s="69"/>
      <c r="AK1930" s="69"/>
      <c r="AL1930" s="69"/>
      <c r="AM1930" s="69"/>
      <c r="AN1930" s="69"/>
      <c r="AO1930" s="69"/>
      <c r="AP1930" s="69"/>
      <c r="AQ1930" s="69"/>
      <c r="AR1930" s="69"/>
      <c r="AS1930" s="69"/>
      <c r="AT1930" s="69"/>
      <c r="AU1930" s="69"/>
      <c r="AV1930" s="69"/>
      <c r="AW1930" s="69"/>
      <c r="AX1930" s="69"/>
      <c r="AY1930" s="69"/>
      <c r="AZ1930" s="69"/>
      <c r="BA1930" s="69"/>
      <c r="BB1930" s="69"/>
      <c r="BC1930" s="69"/>
    </row>
    <row r="1931">
      <c r="A1931" s="68"/>
      <c r="B1931" s="68"/>
      <c r="C1931" s="68"/>
      <c r="D1931" s="68"/>
      <c r="E1931" s="68"/>
      <c r="F1931" s="68"/>
      <c r="G1931" s="68"/>
      <c r="H1931" s="68"/>
      <c r="I1931" s="69"/>
      <c r="J1931" s="69"/>
      <c r="K1931" s="71"/>
      <c r="L1931" s="69"/>
      <c r="M1931" s="69"/>
      <c r="N1931" s="72"/>
      <c r="O1931" s="69"/>
      <c r="P1931" s="69"/>
      <c r="Q1931" s="69"/>
      <c r="R1931" s="69"/>
      <c r="S1931" s="69"/>
      <c r="T1931" s="69"/>
      <c r="U1931" s="69"/>
      <c r="V1931" s="69"/>
      <c r="W1931" s="69"/>
      <c r="X1931" s="69"/>
      <c r="Y1931" s="69"/>
      <c r="Z1931" s="69"/>
      <c r="AA1931" s="69"/>
      <c r="AB1931" s="69"/>
      <c r="AC1931" s="69"/>
      <c r="AD1931" s="69"/>
      <c r="AE1931" s="69"/>
      <c r="AF1931" s="69"/>
      <c r="AG1931" s="69"/>
      <c r="AH1931" s="69"/>
      <c r="AI1931" s="69"/>
      <c r="AJ1931" s="69"/>
      <c r="AK1931" s="69"/>
      <c r="AL1931" s="69"/>
      <c r="AM1931" s="69"/>
      <c r="AN1931" s="69"/>
      <c r="AO1931" s="69"/>
      <c r="AP1931" s="69"/>
      <c r="AQ1931" s="69"/>
      <c r="AR1931" s="69"/>
      <c r="AS1931" s="69"/>
      <c r="AT1931" s="69"/>
      <c r="AU1931" s="69"/>
      <c r="AV1931" s="69"/>
      <c r="AW1931" s="69"/>
      <c r="AX1931" s="69"/>
      <c r="AY1931" s="69"/>
      <c r="AZ1931" s="69"/>
      <c r="BA1931" s="69"/>
      <c r="BB1931" s="69"/>
      <c r="BC1931" s="69"/>
    </row>
    <row r="1932">
      <c r="A1932" s="68"/>
      <c r="B1932" s="68"/>
      <c r="C1932" s="68"/>
      <c r="D1932" s="68"/>
      <c r="E1932" s="68"/>
      <c r="F1932" s="68"/>
      <c r="G1932" s="68"/>
      <c r="H1932" s="68"/>
      <c r="I1932" s="69"/>
      <c r="J1932" s="69"/>
      <c r="K1932" s="71"/>
      <c r="L1932" s="69"/>
      <c r="M1932" s="69"/>
      <c r="N1932" s="72"/>
      <c r="O1932" s="69"/>
      <c r="P1932" s="69"/>
      <c r="Q1932" s="69"/>
      <c r="R1932" s="69"/>
      <c r="S1932" s="69"/>
      <c r="T1932" s="69"/>
      <c r="U1932" s="69"/>
      <c r="V1932" s="69"/>
      <c r="W1932" s="69"/>
      <c r="X1932" s="69"/>
      <c r="Y1932" s="69"/>
      <c r="Z1932" s="69"/>
      <c r="AA1932" s="69"/>
      <c r="AB1932" s="69"/>
      <c r="AC1932" s="69"/>
      <c r="AD1932" s="69"/>
      <c r="AE1932" s="69"/>
      <c r="AF1932" s="69"/>
      <c r="AG1932" s="69"/>
      <c r="AH1932" s="69"/>
      <c r="AI1932" s="69"/>
      <c r="AJ1932" s="69"/>
      <c r="AK1932" s="69"/>
      <c r="AL1932" s="69"/>
      <c r="AM1932" s="69"/>
      <c r="AN1932" s="69"/>
      <c r="AO1932" s="69"/>
      <c r="AP1932" s="69"/>
      <c r="AQ1932" s="69"/>
      <c r="AR1932" s="69"/>
      <c r="AS1932" s="69"/>
      <c r="AT1932" s="69"/>
      <c r="AU1932" s="69"/>
      <c r="AV1932" s="69"/>
      <c r="AW1932" s="69"/>
      <c r="AX1932" s="69"/>
      <c r="AY1932" s="69"/>
      <c r="AZ1932" s="69"/>
      <c r="BA1932" s="69"/>
      <c r="BB1932" s="69"/>
      <c r="BC1932" s="69"/>
    </row>
    <row r="1933">
      <c r="A1933" s="68"/>
      <c r="B1933" s="68"/>
      <c r="C1933" s="68"/>
      <c r="D1933" s="68"/>
      <c r="E1933" s="68"/>
      <c r="F1933" s="68"/>
      <c r="G1933" s="68"/>
      <c r="H1933" s="68"/>
      <c r="I1933" s="69"/>
      <c r="J1933" s="69"/>
      <c r="K1933" s="71"/>
      <c r="L1933" s="69"/>
      <c r="M1933" s="69"/>
      <c r="N1933" s="72"/>
      <c r="O1933" s="69"/>
      <c r="P1933" s="69"/>
      <c r="Q1933" s="69"/>
      <c r="R1933" s="69"/>
      <c r="S1933" s="69"/>
      <c r="T1933" s="69"/>
      <c r="U1933" s="69"/>
      <c r="V1933" s="69"/>
      <c r="W1933" s="69"/>
      <c r="X1933" s="69"/>
      <c r="Y1933" s="69"/>
      <c r="Z1933" s="69"/>
      <c r="AA1933" s="69"/>
      <c r="AB1933" s="69"/>
      <c r="AC1933" s="69"/>
      <c r="AD1933" s="69"/>
      <c r="AE1933" s="69"/>
      <c r="AF1933" s="69"/>
      <c r="AG1933" s="69"/>
      <c r="AH1933" s="69"/>
      <c r="AI1933" s="69"/>
      <c r="AJ1933" s="69"/>
      <c r="AK1933" s="69"/>
      <c r="AL1933" s="69"/>
      <c r="AM1933" s="69"/>
      <c r="AN1933" s="69"/>
      <c r="AO1933" s="69"/>
      <c r="AP1933" s="69"/>
      <c r="AQ1933" s="69"/>
      <c r="AR1933" s="69"/>
      <c r="AS1933" s="69"/>
      <c r="AT1933" s="69"/>
      <c r="AU1933" s="69"/>
      <c r="AV1933" s="69"/>
      <c r="AW1933" s="69"/>
      <c r="AX1933" s="69"/>
      <c r="AY1933" s="69"/>
      <c r="AZ1933" s="69"/>
      <c r="BA1933" s="69"/>
      <c r="BB1933" s="69"/>
      <c r="BC1933" s="69"/>
    </row>
    <row r="1934">
      <c r="A1934" s="68"/>
      <c r="B1934" s="68"/>
      <c r="C1934" s="68"/>
      <c r="D1934" s="68"/>
      <c r="E1934" s="68"/>
      <c r="F1934" s="68"/>
      <c r="G1934" s="68"/>
      <c r="H1934" s="68"/>
      <c r="I1934" s="69"/>
      <c r="J1934" s="69"/>
      <c r="K1934" s="71"/>
      <c r="L1934" s="69"/>
      <c r="M1934" s="69"/>
      <c r="N1934" s="72"/>
      <c r="O1934" s="69"/>
      <c r="P1934" s="69"/>
      <c r="Q1934" s="69"/>
      <c r="R1934" s="69"/>
      <c r="S1934" s="69"/>
      <c r="T1934" s="69"/>
      <c r="U1934" s="69"/>
      <c r="V1934" s="69"/>
      <c r="W1934" s="69"/>
      <c r="X1934" s="69"/>
      <c r="Y1934" s="69"/>
      <c r="Z1934" s="69"/>
      <c r="AA1934" s="69"/>
      <c r="AB1934" s="69"/>
      <c r="AC1934" s="69"/>
      <c r="AD1934" s="69"/>
      <c r="AE1934" s="69"/>
      <c r="AF1934" s="69"/>
      <c r="AG1934" s="69"/>
      <c r="AH1934" s="69"/>
      <c r="AI1934" s="69"/>
      <c r="AJ1934" s="69"/>
      <c r="AK1934" s="69"/>
      <c r="AL1934" s="69"/>
      <c r="AM1934" s="69"/>
      <c r="AN1934" s="69"/>
      <c r="AO1934" s="69"/>
      <c r="AP1934" s="69"/>
      <c r="AQ1934" s="69"/>
      <c r="AR1934" s="69"/>
      <c r="AS1934" s="69"/>
      <c r="AT1934" s="69"/>
      <c r="AU1934" s="69"/>
      <c r="AV1934" s="69"/>
      <c r="AW1934" s="69"/>
      <c r="AX1934" s="69"/>
      <c r="AY1934" s="69"/>
      <c r="AZ1934" s="69"/>
      <c r="BA1934" s="69"/>
      <c r="BB1934" s="69"/>
      <c r="BC1934" s="69"/>
    </row>
    <row r="1935">
      <c r="A1935" s="68"/>
      <c r="B1935" s="68"/>
      <c r="C1935" s="68"/>
      <c r="D1935" s="68"/>
      <c r="E1935" s="68"/>
      <c r="F1935" s="68"/>
      <c r="G1935" s="68"/>
      <c r="H1935" s="68"/>
      <c r="I1935" s="69"/>
      <c r="J1935" s="69"/>
      <c r="K1935" s="71"/>
      <c r="L1935" s="69"/>
      <c r="M1935" s="69"/>
      <c r="N1935" s="72"/>
      <c r="O1935" s="69"/>
      <c r="P1935" s="69"/>
      <c r="Q1935" s="69"/>
      <c r="R1935" s="69"/>
      <c r="S1935" s="69"/>
      <c r="T1935" s="69"/>
      <c r="U1935" s="69"/>
      <c r="V1935" s="69"/>
      <c r="W1935" s="69"/>
      <c r="X1935" s="69"/>
      <c r="Y1935" s="69"/>
      <c r="Z1935" s="69"/>
      <c r="AA1935" s="69"/>
      <c r="AB1935" s="69"/>
      <c r="AC1935" s="69"/>
      <c r="AD1935" s="69"/>
      <c r="AE1935" s="69"/>
      <c r="AF1935" s="69"/>
      <c r="AG1935" s="69"/>
      <c r="AH1935" s="69"/>
      <c r="AI1935" s="69"/>
      <c r="AJ1935" s="69"/>
      <c r="AK1935" s="69"/>
      <c r="AL1935" s="69"/>
      <c r="AM1935" s="69"/>
      <c r="AN1935" s="69"/>
      <c r="AO1935" s="69"/>
      <c r="AP1935" s="69"/>
      <c r="AQ1935" s="69"/>
      <c r="AR1935" s="69"/>
      <c r="AS1935" s="69"/>
      <c r="AT1935" s="69"/>
      <c r="AU1935" s="69"/>
      <c r="AV1935" s="69"/>
      <c r="AW1935" s="69"/>
      <c r="AX1935" s="69"/>
      <c r="AY1935" s="69"/>
      <c r="AZ1935" s="69"/>
      <c r="BA1935" s="69"/>
      <c r="BB1935" s="69"/>
      <c r="BC1935" s="69"/>
    </row>
    <row r="1936">
      <c r="A1936" s="68"/>
      <c r="B1936" s="68"/>
      <c r="C1936" s="68"/>
      <c r="D1936" s="68"/>
      <c r="E1936" s="68"/>
      <c r="F1936" s="68"/>
      <c r="G1936" s="68"/>
      <c r="H1936" s="68"/>
      <c r="I1936" s="69"/>
      <c r="J1936" s="69"/>
      <c r="K1936" s="71"/>
      <c r="L1936" s="69"/>
      <c r="M1936" s="69"/>
      <c r="N1936" s="72"/>
      <c r="O1936" s="69"/>
      <c r="P1936" s="69"/>
      <c r="Q1936" s="69"/>
      <c r="R1936" s="69"/>
      <c r="S1936" s="69"/>
      <c r="T1936" s="69"/>
      <c r="U1936" s="69"/>
      <c r="V1936" s="69"/>
      <c r="W1936" s="69"/>
      <c r="X1936" s="69"/>
      <c r="Y1936" s="69"/>
      <c r="Z1936" s="69"/>
      <c r="AA1936" s="69"/>
      <c r="AB1936" s="69"/>
      <c r="AC1936" s="69"/>
      <c r="AD1936" s="69"/>
      <c r="AE1936" s="69"/>
      <c r="AF1936" s="69"/>
      <c r="AG1936" s="69"/>
      <c r="AH1936" s="69"/>
      <c r="AI1936" s="69"/>
      <c r="AJ1936" s="69"/>
      <c r="AK1936" s="69"/>
      <c r="AL1936" s="69"/>
      <c r="AM1936" s="69"/>
      <c r="AN1936" s="69"/>
      <c r="AO1936" s="69"/>
      <c r="AP1936" s="69"/>
      <c r="AQ1936" s="69"/>
      <c r="AR1936" s="69"/>
      <c r="AS1936" s="69"/>
      <c r="AT1936" s="69"/>
      <c r="AU1936" s="69"/>
      <c r="AV1936" s="69"/>
      <c r="AW1936" s="69"/>
      <c r="AX1936" s="69"/>
      <c r="AY1936" s="69"/>
      <c r="AZ1936" s="69"/>
      <c r="BA1936" s="69"/>
      <c r="BB1936" s="69"/>
      <c r="BC1936" s="69"/>
    </row>
    <row r="1937">
      <c r="A1937" s="68"/>
      <c r="B1937" s="68"/>
      <c r="C1937" s="68"/>
      <c r="D1937" s="68"/>
      <c r="E1937" s="68"/>
      <c r="F1937" s="68"/>
      <c r="G1937" s="68"/>
      <c r="H1937" s="68"/>
      <c r="I1937" s="69"/>
      <c r="J1937" s="69"/>
      <c r="K1937" s="71"/>
      <c r="L1937" s="69"/>
      <c r="M1937" s="69"/>
      <c r="N1937" s="72"/>
      <c r="O1937" s="69"/>
      <c r="P1937" s="69"/>
      <c r="Q1937" s="69"/>
      <c r="R1937" s="69"/>
      <c r="S1937" s="69"/>
      <c r="T1937" s="69"/>
      <c r="U1937" s="69"/>
      <c r="V1937" s="69"/>
      <c r="W1937" s="69"/>
      <c r="X1937" s="69"/>
      <c r="Y1937" s="69"/>
      <c r="Z1937" s="69"/>
      <c r="AA1937" s="69"/>
      <c r="AB1937" s="69"/>
      <c r="AC1937" s="69"/>
      <c r="AD1937" s="69"/>
      <c r="AE1937" s="69"/>
      <c r="AF1937" s="69"/>
      <c r="AG1937" s="69"/>
      <c r="AH1937" s="69"/>
      <c r="AI1937" s="69"/>
      <c r="AJ1937" s="69"/>
      <c r="AK1937" s="69"/>
      <c r="AL1937" s="69"/>
      <c r="AM1937" s="69"/>
      <c r="AN1937" s="69"/>
      <c r="AO1937" s="69"/>
      <c r="AP1937" s="69"/>
      <c r="AQ1937" s="69"/>
      <c r="AR1937" s="69"/>
      <c r="AS1937" s="69"/>
      <c r="AT1937" s="69"/>
      <c r="AU1937" s="69"/>
      <c r="AV1937" s="69"/>
      <c r="AW1937" s="69"/>
      <c r="AX1937" s="69"/>
      <c r="AY1937" s="69"/>
      <c r="AZ1937" s="69"/>
      <c r="BA1937" s="69"/>
      <c r="BB1937" s="69"/>
      <c r="BC1937" s="69"/>
    </row>
    <row r="1938">
      <c r="A1938" s="68"/>
      <c r="B1938" s="68"/>
      <c r="C1938" s="68"/>
      <c r="D1938" s="68"/>
      <c r="E1938" s="68"/>
      <c r="F1938" s="68"/>
      <c r="G1938" s="68"/>
      <c r="H1938" s="68"/>
      <c r="I1938" s="69"/>
      <c r="J1938" s="69"/>
      <c r="K1938" s="71"/>
      <c r="L1938" s="69"/>
      <c r="M1938" s="69"/>
      <c r="N1938" s="72"/>
      <c r="O1938" s="69"/>
      <c r="P1938" s="69"/>
      <c r="Q1938" s="69"/>
      <c r="R1938" s="69"/>
      <c r="S1938" s="69"/>
      <c r="T1938" s="69"/>
      <c r="U1938" s="69"/>
      <c r="V1938" s="69"/>
      <c r="W1938" s="69"/>
      <c r="X1938" s="69"/>
      <c r="Y1938" s="69"/>
      <c r="Z1938" s="69"/>
      <c r="AA1938" s="69"/>
      <c r="AB1938" s="69"/>
      <c r="AC1938" s="69"/>
      <c r="AD1938" s="69"/>
      <c r="AE1938" s="69"/>
      <c r="AF1938" s="69"/>
      <c r="AG1938" s="69"/>
      <c r="AH1938" s="69"/>
      <c r="AI1938" s="69"/>
      <c r="AJ1938" s="69"/>
      <c r="AK1938" s="69"/>
      <c r="AL1938" s="69"/>
      <c r="AM1938" s="69"/>
      <c r="AN1938" s="69"/>
      <c r="AO1938" s="69"/>
      <c r="AP1938" s="69"/>
      <c r="AQ1938" s="69"/>
      <c r="AR1938" s="69"/>
      <c r="AS1938" s="69"/>
      <c r="AT1938" s="69"/>
      <c r="AU1938" s="69"/>
      <c r="AV1938" s="69"/>
      <c r="AW1938" s="69"/>
      <c r="AX1938" s="69"/>
      <c r="AY1938" s="69"/>
      <c r="AZ1938" s="69"/>
      <c r="BA1938" s="69"/>
      <c r="BB1938" s="69"/>
      <c r="BC1938" s="69"/>
    </row>
    <row r="1939">
      <c r="A1939" s="68"/>
      <c r="B1939" s="68"/>
      <c r="C1939" s="68"/>
      <c r="D1939" s="68"/>
      <c r="E1939" s="68"/>
      <c r="F1939" s="68"/>
      <c r="G1939" s="68"/>
      <c r="H1939" s="68"/>
      <c r="I1939" s="69"/>
      <c r="J1939" s="69"/>
      <c r="K1939" s="71"/>
      <c r="L1939" s="69"/>
      <c r="M1939" s="69"/>
      <c r="N1939" s="72"/>
      <c r="O1939" s="69"/>
      <c r="P1939" s="69"/>
      <c r="Q1939" s="69"/>
      <c r="R1939" s="69"/>
      <c r="S1939" s="69"/>
      <c r="T1939" s="69"/>
      <c r="U1939" s="69"/>
      <c r="V1939" s="69"/>
      <c r="W1939" s="69"/>
      <c r="X1939" s="69"/>
      <c r="Y1939" s="69"/>
      <c r="Z1939" s="69"/>
      <c r="AA1939" s="69"/>
      <c r="AB1939" s="69"/>
      <c r="AC1939" s="69"/>
      <c r="AD1939" s="69"/>
      <c r="AE1939" s="69"/>
      <c r="AF1939" s="69"/>
      <c r="AG1939" s="69"/>
      <c r="AH1939" s="69"/>
      <c r="AI1939" s="69"/>
      <c r="AJ1939" s="69"/>
      <c r="AK1939" s="69"/>
      <c r="AL1939" s="69"/>
      <c r="AM1939" s="69"/>
      <c r="AN1939" s="69"/>
      <c r="AO1939" s="69"/>
      <c r="AP1939" s="69"/>
      <c r="AQ1939" s="69"/>
      <c r="AR1939" s="69"/>
      <c r="AS1939" s="69"/>
      <c r="AT1939" s="69"/>
      <c r="AU1939" s="69"/>
      <c r="AV1939" s="69"/>
      <c r="AW1939" s="69"/>
      <c r="AX1939" s="69"/>
      <c r="AY1939" s="69"/>
      <c r="AZ1939" s="69"/>
      <c r="BA1939" s="69"/>
      <c r="BB1939" s="69"/>
      <c r="BC1939" s="69"/>
    </row>
    <row r="1940">
      <c r="A1940" s="68"/>
      <c r="B1940" s="68"/>
      <c r="C1940" s="68"/>
      <c r="D1940" s="68"/>
      <c r="E1940" s="68"/>
      <c r="F1940" s="68"/>
      <c r="G1940" s="68"/>
      <c r="H1940" s="68"/>
      <c r="I1940" s="69"/>
      <c r="J1940" s="69"/>
      <c r="K1940" s="71"/>
      <c r="L1940" s="69"/>
      <c r="M1940" s="69"/>
      <c r="N1940" s="72"/>
      <c r="O1940" s="69"/>
      <c r="P1940" s="69"/>
      <c r="Q1940" s="69"/>
      <c r="R1940" s="69"/>
      <c r="S1940" s="69"/>
      <c r="T1940" s="69"/>
      <c r="U1940" s="69"/>
      <c r="V1940" s="69"/>
      <c r="W1940" s="69"/>
      <c r="X1940" s="69"/>
      <c r="Y1940" s="69"/>
      <c r="Z1940" s="69"/>
      <c r="AA1940" s="69"/>
      <c r="AB1940" s="69"/>
      <c r="AC1940" s="69"/>
      <c r="AD1940" s="69"/>
      <c r="AE1940" s="69"/>
      <c r="AF1940" s="69"/>
      <c r="AG1940" s="69"/>
      <c r="AH1940" s="69"/>
      <c r="AI1940" s="69"/>
      <c r="AJ1940" s="69"/>
      <c r="AK1940" s="69"/>
      <c r="AL1940" s="69"/>
      <c r="AM1940" s="69"/>
      <c r="AN1940" s="69"/>
      <c r="AO1940" s="69"/>
      <c r="AP1940" s="69"/>
      <c r="AQ1940" s="69"/>
      <c r="AR1940" s="69"/>
      <c r="AS1940" s="69"/>
      <c r="AT1940" s="69"/>
      <c r="AU1940" s="69"/>
      <c r="AV1940" s="69"/>
      <c r="AW1940" s="69"/>
      <c r="AX1940" s="69"/>
      <c r="AY1940" s="69"/>
      <c r="AZ1940" s="69"/>
      <c r="BA1940" s="69"/>
      <c r="BB1940" s="69"/>
      <c r="BC1940" s="69"/>
    </row>
    <row r="1941">
      <c r="A1941" s="68"/>
      <c r="B1941" s="68"/>
      <c r="C1941" s="68"/>
      <c r="D1941" s="68"/>
      <c r="E1941" s="68"/>
      <c r="F1941" s="68"/>
      <c r="G1941" s="68"/>
      <c r="H1941" s="68"/>
      <c r="I1941" s="69"/>
      <c r="J1941" s="69"/>
      <c r="K1941" s="71"/>
      <c r="L1941" s="69"/>
      <c r="M1941" s="69"/>
      <c r="N1941" s="72"/>
      <c r="O1941" s="69"/>
      <c r="P1941" s="69"/>
      <c r="Q1941" s="69"/>
      <c r="R1941" s="69"/>
      <c r="S1941" s="69"/>
      <c r="T1941" s="69"/>
      <c r="U1941" s="69"/>
      <c r="V1941" s="69"/>
      <c r="W1941" s="69"/>
      <c r="X1941" s="69"/>
      <c r="Y1941" s="69"/>
      <c r="Z1941" s="69"/>
      <c r="AA1941" s="69"/>
      <c r="AB1941" s="69"/>
      <c r="AC1941" s="69"/>
      <c r="AD1941" s="69"/>
      <c r="AE1941" s="69"/>
      <c r="AF1941" s="69"/>
      <c r="AG1941" s="69"/>
      <c r="AH1941" s="69"/>
      <c r="AI1941" s="69"/>
      <c r="AJ1941" s="69"/>
      <c r="AK1941" s="69"/>
      <c r="AL1941" s="69"/>
      <c r="AM1941" s="69"/>
      <c r="AN1941" s="69"/>
      <c r="AO1941" s="69"/>
      <c r="AP1941" s="69"/>
      <c r="AQ1941" s="69"/>
      <c r="AR1941" s="69"/>
      <c r="AS1941" s="69"/>
      <c r="AT1941" s="69"/>
      <c r="AU1941" s="69"/>
      <c r="AV1941" s="69"/>
      <c r="AW1941" s="69"/>
      <c r="AX1941" s="69"/>
      <c r="AY1941" s="69"/>
      <c r="AZ1941" s="69"/>
      <c r="BA1941" s="69"/>
      <c r="BB1941" s="69"/>
      <c r="BC1941" s="69"/>
    </row>
    <row r="1942">
      <c r="A1942" s="68"/>
      <c r="B1942" s="68"/>
      <c r="C1942" s="68"/>
      <c r="D1942" s="68"/>
      <c r="E1942" s="68"/>
      <c r="F1942" s="68"/>
      <c r="G1942" s="68"/>
      <c r="H1942" s="68"/>
      <c r="I1942" s="69"/>
      <c r="J1942" s="69"/>
      <c r="K1942" s="71"/>
      <c r="L1942" s="69"/>
      <c r="M1942" s="69"/>
      <c r="N1942" s="72"/>
      <c r="O1942" s="69"/>
      <c r="P1942" s="69"/>
      <c r="Q1942" s="69"/>
      <c r="R1942" s="69"/>
      <c r="S1942" s="69"/>
      <c r="T1942" s="69"/>
      <c r="U1942" s="69"/>
      <c r="V1942" s="69"/>
      <c r="W1942" s="69"/>
      <c r="X1942" s="69"/>
      <c r="Y1942" s="69"/>
      <c r="Z1942" s="69"/>
      <c r="AA1942" s="69"/>
      <c r="AB1942" s="69"/>
      <c r="AC1942" s="69"/>
      <c r="AD1942" s="69"/>
      <c r="AE1942" s="69"/>
      <c r="AF1942" s="69"/>
      <c r="AG1942" s="69"/>
      <c r="AH1942" s="69"/>
      <c r="AI1942" s="69"/>
      <c r="AJ1942" s="69"/>
      <c r="AK1942" s="69"/>
      <c r="AL1942" s="69"/>
      <c r="AM1942" s="69"/>
      <c r="AN1942" s="69"/>
      <c r="AO1942" s="69"/>
      <c r="AP1942" s="69"/>
      <c r="AQ1942" s="69"/>
      <c r="AR1942" s="69"/>
      <c r="AS1942" s="69"/>
      <c r="AT1942" s="69"/>
      <c r="AU1942" s="69"/>
      <c r="AV1942" s="69"/>
      <c r="AW1942" s="69"/>
      <c r="AX1942" s="69"/>
      <c r="AY1942" s="69"/>
      <c r="AZ1942" s="69"/>
      <c r="BA1942" s="69"/>
      <c r="BB1942" s="69"/>
      <c r="BC1942" s="69"/>
    </row>
    <row r="1943">
      <c r="A1943" s="68"/>
      <c r="B1943" s="68"/>
      <c r="C1943" s="68"/>
      <c r="D1943" s="68"/>
      <c r="E1943" s="68"/>
      <c r="F1943" s="68"/>
      <c r="G1943" s="68"/>
      <c r="H1943" s="68"/>
      <c r="I1943" s="69"/>
      <c r="J1943" s="69"/>
      <c r="K1943" s="71"/>
      <c r="L1943" s="69"/>
      <c r="M1943" s="69"/>
      <c r="N1943" s="72"/>
      <c r="O1943" s="69"/>
      <c r="P1943" s="69"/>
      <c r="Q1943" s="69"/>
      <c r="R1943" s="69"/>
      <c r="S1943" s="69"/>
      <c r="T1943" s="69"/>
      <c r="U1943" s="69"/>
      <c r="V1943" s="69"/>
      <c r="W1943" s="69"/>
      <c r="X1943" s="69"/>
      <c r="Y1943" s="69"/>
      <c r="Z1943" s="69"/>
      <c r="AA1943" s="69"/>
      <c r="AB1943" s="69"/>
      <c r="AC1943" s="69"/>
      <c r="AD1943" s="69"/>
      <c r="AE1943" s="69"/>
      <c r="AF1943" s="69"/>
      <c r="AG1943" s="69"/>
      <c r="AH1943" s="69"/>
      <c r="AI1943" s="69"/>
      <c r="AJ1943" s="69"/>
      <c r="AK1943" s="69"/>
      <c r="AL1943" s="69"/>
      <c r="AM1943" s="69"/>
      <c r="AN1943" s="69"/>
      <c r="AO1943" s="69"/>
      <c r="AP1943" s="69"/>
      <c r="AQ1943" s="69"/>
      <c r="AR1943" s="69"/>
      <c r="AS1943" s="69"/>
      <c r="AT1943" s="69"/>
      <c r="AU1943" s="69"/>
      <c r="AV1943" s="69"/>
      <c r="AW1943" s="69"/>
      <c r="AX1943" s="69"/>
      <c r="AY1943" s="69"/>
      <c r="AZ1943" s="69"/>
      <c r="BA1943" s="69"/>
      <c r="BB1943" s="69"/>
      <c r="BC1943" s="69"/>
    </row>
    <row r="1944">
      <c r="A1944" s="68"/>
      <c r="B1944" s="68"/>
      <c r="C1944" s="68"/>
      <c r="D1944" s="68"/>
      <c r="E1944" s="68"/>
      <c r="F1944" s="68"/>
      <c r="G1944" s="68"/>
      <c r="H1944" s="68"/>
      <c r="I1944" s="69"/>
      <c r="J1944" s="69"/>
      <c r="K1944" s="71"/>
      <c r="L1944" s="69"/>
      <c r="M1944" s="69"/>
      <c r="N1944" s="72"/>
      <c r="O1944" s="69"/>
      <c r="P1944" s="69"/>
      <c r="Q1944" s="69"/>
      <c r="R1944" s="69"/>
      <c r="S1944" s="69"/>
      <c r="T1944" s="69"/>
      <c r="U1944" s="69"/>
      <c r="V1944" s="69"/>
      <c r="W1944" s="69"/>
      <c r="X1944" s="69"/>
      <c r="Y1944" s="69"/>
      <c r="Z1944" s="69"/>
      <c r="AA1944" s="69"/>
      <c r="AB1944" s="69"/>
      <c r="AC1944" s="69"/>
      <c r="AD1944" s="69"/>
      <c r="AE1944" s="69"/>
      <c r="AF1944" s="69"/>
      <c r="AG1944" s="69"/>
      <c r="AH1944" s="69"/>
      <c r="AI1944" s="69"/>
      <c r="AJ1944" s="69"/>
      <c r="AK1944" s="69"/>
      <c r="AL1944" s="69"/>
      <c r="AM1944" s="69"/>
      <c r="AN1944" s="69"/>
      <c r="AO1944" s="69"/>
      <c r="AP1944" s="69"/>
      <c r="AQ1944" s="69"/>
      <c r="AR1944" s="69"/>
      <c r="AS1944" s="69"/>
      <c r="AT1944" s="69"/>
      <c r="AU1944" s="69"/>
      <c r="AV1944" s="69"/>
      <c r="AW1944" s="69"/>
      <c r="AX1944" s="69"/>
      <c r="AY1944" s="69"/>
      <c r="AZ1944" s="69"/>
      <c r="BA1944" s="69"/>
      <c r="BB1944" s="69"/>
      <c r="BC1944" s="69"/>
    </row>
    <row r="1945">
      <c r="A1945" s="68"/>
      <c r="B1945" s="68"/>
      <c r="C1945" s="68"/>
      <c r="D1945" s="68"/>
      <c r="E1945" s="68"/>
      <c r="F1945" s="68"/>
      <c r="G1945" s="68"/>
      <c r="H1945" s="68"/>
      <c r="I1945" s="69"/>
      <c r="J1945" s="69"/>
      <c r="K1945" s="71"/>
      <c r="L1945" s="69"/>
      <c r="M1945" s="69"/>
      <c r="N1945" s="72"/>
      <c r="O1945" s="69"/>
      <c r="P1945" s="69"/>
      <c r="Q1945" s="69"/>
      <c r="R1945" s="69"/>
      <c r="S1945" s="69"/>
      <c r="T1945" s="69"/>
      <c r="U1945" s="69"/>
      <c r="V1945" s="69"/>
      <c r="W1945" s="69"/>
      <c r="X1945" s="69"/>
      <c r="Y1945" s="69"/>
      <c r="Z1945" s="69"/>
      <c r="AA1945" s="69"/>
      <c r="AB1945" s="69"/>
      <c r="AC1945" s="69"/>
      <c r="AD1945" s="69"/>
      <c r="AE1945" s="69"/>
      <c r="AF1945" s="69"/>
      <c r="AG1945" s="69"/>
      <c r="AH1945" s="69"/>
      <c r="AI1945" s="69"/>
      <c r="AJ1945" s="69"/>
      <c r="AK1945" s="69"/>
      <c r="AL1945" s="69"/>
      <c r="AM1945" s="69"/>
      <c r="AN1945" s="69"/>
      <c r="AO1945" s="69"/>
      <c r="AP1945" s="69"/>
      <c r="AQ1945" s="69"/>
      <c r="AR1945" s="69"/>
      <c r="AS1945" s="69"/>
      <c r="AT1945" s="69"/>
      <c r="AU1945" s="69"/>
      <c r="AV1945" s="69"/>
      <c r="AW1945" s="69"/>
      <c r="AX1945" s="69"/>
      <c r="AY1945" s="69"/>
      <c r="AZ1945" s="69"/>
      <c r="BA1945" s="69"/>
      <c r="BB1945" s="69"/>
      <c r="BC1945" s="69"/>
    </row>
    <row r="1946">
      <c r="A1946" s="68"/>
      <c r="B1946" s="68"/>
      <c r="C1946" s="68"/>
      <c r="D1946" s="68"/>
      <c r="E1946" s="68"/>
      <c r="F1946" s="68"/>
      <c r="G1946" s="68"/>
      <c r="H1946" s="68"/>
      <c r="I1946" s="69"/>
      <c r="J1946" s="69"/>
      <c r="K1946" s="71"/>
      <c r="L1946" s="69"/>
      <c r="M1946" s="69"/>
      <c r="N1946" s="72"/>
      <c r="O1946" s="69"/>
      <c r="P1946" s="69"/>
      <c r="Q1946" s="69"/>
      <c r="R1946" s="69"/>
      <c r="S1946" s="69"/>
      <c r="T1946" s="69"/>
      <c r="U1946" s="69"/>
      <c r="V1946" s="69"/>
      <c r="W1946" s="69"/>
      <c r="X1946" s="69"/>
      <c r="Y1946" s="69"/>
      <c r="Z1946" s="69"/>
      <c r="AA1946" s="69"/>
      <c r="AB1946" s="69"/>
      <c r="AC1946" s="69"/>
      <c r="AD1946" s="69"/>
      <c r="AE1946" s="69"/>
      <c r="AF1946" s="69"/>
      <c r="AG1946" s="69"/>
      <c r="AH1946" s="69"/>
      <c r="AI1946" s="69"/>
      <c r="AJ1946" s="69"/>
      <c r="AK1946" s="69"/>
      <c r="AL1946" s="69"/>
      <c r="AM1946" s="69"/>
      <c r="AN1946" s="69"/>
      <c r="AO1946" s="69"/>
      <c r="AP1946" s="69"/>
      <c r="AQ1946" s="69"/>
      <c r="AR1946" s="69"/>
      <c r="AS1946" s="69"/>
      <c r="AT1946" s="69"/>
      <c r="AU1946" s="69"/>
      <c r="AV1946" s="69"/>
      <c r="AW1946" s="69"/>
      <c r="AX1946" s="69"/>
      <c r="AY1946" s="69"/>
      <c r="AZ1946" s="69"/>
      <c r="BA1946" s="69"/>
      <c r="BB1946" s="69"/>
      <c r="BC1946" s="69"/>
    </row>
    <row r="1947">
      <c r="A1947" s="68"/>
      <c r="B1947" s="68"/>
      <c r="C1947" s="68"/>
      <c r="D1947" s="68"/>
      <c r="E1947" s="68"/>
      <c r="F1947" s="68"/>
      <c r="G1947" s="68"/>
      <c r="H1947" s="68"/>
      <c r="I1947" s="69"/>
      <c r="J1947" s="69"/>
      <c r="K1947" s="71"/>
      <c r="L1947" s="69"/>
      <c r="M1947" s="69"/>
      <c r="N1947" s="72"/>
      <c r="O1947" s="69"/>
      <c r="P1947" s="69"/>
      <c r="Q1947" s="69"/>
      <c r="R1947" s="69"/>
      <c r="S1947" s="69"/>
      <c r="T1947" s="69"/>
      <c r="U1947" s="69"/>
      <c r="V1947" s="69"/>
      <c r="W1947" s="69"/>
      <c r="X1947" s="69"/>
      <c r="Y1947" s="69"/>
      <c r="Z1947" s="69"/>
      <c r="AA1947" s="69"/>
      <c r="AB1947" s="69"/>
      <c r="AC1947" s="69"/>
      <c r="AD1947" s="69"/>
      <c r="AE1947" s="69"/>
      <c r="AF1947" s="69"/>
      <c r="AG1947" s="69"/>
      <c r="AH1947" s="69"/>
      <c r="AI1947" s="69"/>
      <c r="AJ1947" s="69"/>
      <c r="AK1947" s="69"/>
      <c r="AL1947" s="69"/>
      <c r="AM1947" s="69"/>
      <c r="AN1947" s="69"/>
      <c r="AO1947" s="69"/>
      <c r="AP1947" s="69"/>
      <c r="AQ1947" s="69"/>
      <c r="AR1947" s="69"/>
      <c r="AS1947" s="69"/>
      <c r="AT1947" s="69"/>
      <c r="AU1947" s="69"/>
      <c r="AV1947" s="69"/>
      <c r="AW1947" s="69"/>
      <c r="AX1947" s="69"/>
      <c r="AY1947" s="69"/>
      <c r="AZ1947" s="69"/>
      <c r="BA1947" s="69"/>
      <c r="BB1947" s="69"/>
      <c r="BC1947" s="69"/>
    </row>
    <row r="1948">
      <c r="A1948" s="68"/>
      <c r="B1948" s="68"/>
      <c r="C1948" s="68"/>
      <c r="D1948" s="68"/>
      <c r="E1948" s="68"/>
      <c r="F1948" s="68"/>
      <c r="G1948" s="68"/>
      <c r="H1948" s="68"/>
      <c r="I1948" s="69"/>
      <c r="J1948" s="69"/>
      <c r="K1948" s="71"/>
      <c r="L1948" s="69"/>
      <c r="M1948" s="69"/>
      <c r="N1948" s="72"/>
      <c r="O1948" s="69"/>
      <c r="P1948" s="69"/>
      <c r="Q1948" s="69"/>
      <c r="R1948" s="69"/>
      <c r="S1948" s="69"/>
      <c r="T1948" s="69"/>
      <c r="U1948" s="69"/>
      <c r="V1948" s="69"/>
      <c r="W1948" s="69"/>
      <c r="X1948" s="69"/>
      <c r="Y1948" s="69"/>
      <c r="Z1948" s="69"/>
      <c r="AA1948" s="69"/>
      <c r="AB1948" s="69"/>
      <c r="AC1948" s="69"/>
      <c r="AD1948" s="69"/>
      <c r="AE1948" s="69"/>
      <c r="AF1948" s="69"/>
      <c r="AG1948" s="69"/>
      <c r="AH1948" s="69"/>
      <c r="AI1948" s="69"/>
      <c r="AJ1948" s="69"/>
      <c r="AK1948" s="69"/>
      <c r="AL1948" s="69"/>
      <c r="AM1948" s="69"/>
      <c r="AN1948" s="69"/>
      <c r="AO1948" s="69"/>
      <c r="AP1948" s="69"/>
      <c r="AQ1948" s="69"/>
      <c r="AR1948" s="69"/>
      <c r="AS1948" s="69"/>
      <c r="AT1948" s="69"/>
      <c r="AU1948" s="69"/>
      <c r="AV1948" s="69"/>
      <c r="AW1948" s="69"/>
      <c r="AX1948" s="69"/>
      <c r="AY1948" s="69"/>
      <c r="AZ1948" s="69"/>
      <c r="BA1948" s="69"/>
      <c r="BB1948" s="69"/>
      <c r="BC1948" s="69"/>
    </row>
    <row r="1949">
      <c r="A1949" s="68"/>
      <c r="B1949" s="68"/>
      <c r="C1949" s="68"/>
      <c r="D1949" s="68"/>
      <c r="E1949" s="68"/>
      <c r="F1949" s="68"/>
      <c r="G1949" s="68"/>
      <c r="H1949" s="68"/>
      <c r="I1949" s="69"/>
      <c r="J1949" s="69"/>
      <c r="K1949" s="71"/>
      <c r="L1949" s="69"/>
      <c r="M1949" s="69"/>
      <c r="N1949" s="72"/>
      <c r="O1949" s="69"/>
      <c r="P1949" s="69"/>
      <c r="Q1949" s="69"/>
      <c r="R1949" s="69"/>
      <c r="S1949" s="69"/>
      <c r="T1949" s="69"/>
      <c r="U1949" s="69"/>
      <c r="V1949" s="69"/>
      <c r="W1949" s="69"/>
      <c r="X1949" s="69"/>
      <c r="Y1949" s="69"/>
      <c r="Z1949" s="69"/>
      <c r="AA1949" s="69"/>
      <c r="AB1949" s="69"/>
      <c r="AC1949" s="69"/>
      <c r="AD1949" s="69"/>
      <c r="AE1949" s="69"/>
      <c r="AF1949" s="69"/>
      <c r="AG1949" s="69"/>
      <c r="AH1949" s="69"/>
      <c r="AI1949" s="69"/>
      <c r="AJ1949" s="69"/>
      <c r="AK1949" s="69"/>
      <c r="AL1949" s="69"/>
      <c r="AM1949" s="69"/>
      <c r="AN1949" s="69"/>
      <c r="AO1949" s="69"/>
      <c r="AP1949" s="69"/>
      <c r="AQ1949" s="69"/>
      <c r="AR1949" s="69"/>
      <c r="AS1949" s="69"/>
      <c r="AT1949" s="69"/>
      <c r="AU1949" s="69"/>
      <c r="AV1949" s="69"/>
      <c r="AW1949" s="69"/>
      <c r="AX1949" s="69"/>
      <c r="AY1949" s="69"/>
      <c r="AZ1949" s="69"/>
      <c r="BA1949" s="69"/>
      <c r="BB1949" s="69"/>
      <c r="BC1949" s="69"/>
    </row>
    <row r="1950">
      <c r="A1950" s="68"/>
      <c r="B1950" s="68"/>
      <c r="C1950" s="68"/>
      <c r="D1950" s="68"/>
      <c r="E1950" s="68"/>
      <c r="F1950" s="68"/>
      <c r="G1950" s="68"/>
      <c r="H1950" s="68"/>
      <c r="I1950" s="69"/>
      <c r="J1950" s="69"/>
      <c r="K1950" s="71"/>
      <c r="L1950" s="69"/>
      <c r="M1950" s="69"/>
      <c r="N1950" s="72"/>
      <c r="O1950" s="69"/>
      <c r="P1950" s="69"/>
      <c r="Q1950" s="69"/>
      <c r="R1950" s="69"/>
      <c r="S1950" s="69"/>
      <c r="T1950" s="69"/>
      <c r="U1950" s="69"/>
      <c r="V1950" s="69"/>
      <c r="W1950" s="69"/>
      <c r="X1950" s="69"/>
      <c r="Y1950" s="69"/>
      <c r="Z1950" s="69"/>
      <c r="AA1950" s="69"/>
      <c r="AB1950" s="69"/>
      <c r="AC1950" s="69"/>
      <c r="AD1950" s="69"/>
      <c r="AE1950" s="69"/>
      <c r="AF1950" s="69"/>
      <c r="AG1950" s="69"/>
      <c r="AH1950" s="69"/>
      <c r="AI1950" s="69"/>
      <c r="AJ1950" s="69"/>
      <c r="AK1950" s="69"/>
      <c r="AL1950" s="69"/>
      <c r="AM1950" s="69"/>
      <c r="AN1950" s="69"/>
      <c r="AO1950" s="69"/>
      <c r="AP1950" s="69"/>
      <c r="AQ1950" s="69"/>
      <c r="AR1950" s="69"/>
      <c r="AS1950" s="69"/>
      <c r="AT1950" s="69"/>
      <c r="AU1950" s="69"/>
      <c r="AV1950" s="69"/>
      <c r="AW1950" s="69"/>
      <c r="AX1950" s="69"/>
      <c r="AY1950" s="69"/>
      <c r="AZ1950" s="69"/>
      <c r="BA1950" s="69"/>
      <c r="BB1950" s="69"/>
      <c r="BC1950" s="69"/>
    </row>
    <row r="1951">
      <c r="A1951" s="68"/>
      <c r="B1951" s="68"/>
      <c r="C1951" s="68"/>
      <c r="D1951" s="68"/>
      <c r="E1951" s="68"/>
      <c r="F1951" s="68"/>
      <c r="G1951" s="68"/>
      <c r="H1951" s="68"/>
      <c r="I1951" s="69"/>
      <c r="J1951" s="69"/>
      <c r="K1951" s="71"/>
      <c r="L1951" s="69"/>
      <c r="M1951" s="69"/>
      <c r="N1951" s="72"/>
      <c r="O1951" s="69"/>
      <c r="P1951" s="69"/>
      <c r="Q1951" s="69"/>
      <c r="R1951" s="69"/>
      <c r="S1951" s="69"/>
      <c r="T1951" s="69"/>
      <c r="U1951" s="69"/>
      <c r="V1951" s="69"/>
      <c r="W1951" s="69"/>
      <c r="X1951" s="69"/>
      <c r="Y1951" s="69"/>
      <c r="Z1951" s="69"/>
      <c r="AA1951" s="69"/>
      <c r="AB1951" s="69"/>
      <c r="AC1951" s="69"/>
      <c r="AD1951" s="69"/>
      <c r="AE1951" s="69"/>
      <c r="AF1951" s="69"/>
      <c r="AG1951" s="69"/>
      <c r="AH1951" s="69"/>
      <c r="AI1951" s="69"/>
      <c r="AJ1951" s="69"/>
      <c r="AK1951" s="69"/>
      <c r="AL1951" s="69"/>
      <c r="AM1951" s="69"/>
      <c r="AN1951" s="69"/>
      <c r="AO1951" s="69"/>
      <c r="AP1951" s="69"/>
      <c r="AQ1951" s="69"/>
      <c r="AR1951" s="69"/>
      <c r="AS1951" s="69"/>
      <c r="AT1951" s="69"/>
      <c r="AU1951" s="69"/>
      <c r="AV1951" s="69"/>
      <c r="AW1951" s="69"/>
      <c r="AX1951" s="69"/>
      <c r="AY1951" s="69"/>
      <c r="AZ1951" s="69"/>
      <c r="BA1951" s="69"/>
      <c r="BB1951" s="69"/>
      <c r="BC1951" s="69"/>
    </row>
    <row r="1952">
      <c r="A1952" s="68"/>
      <c r="B1952" s="68"/>
      <c r="C1952" s="68"/>
      <c r="D1952" s="68"/>
      <c r="E1952" s="68"/>
      <c r="F1952" s="68"/>
      <c r="G1952" s="68"/>
      <c r="H1952" s="68"/>
      <c r="I1952" s="69"/>
      <c r="J1952" s="69"/>
      <c r="K1952" s="71"/>
      <c r="L1952" s="69"/>
      <c r="M1952" s="69"/>
      <c r="N1952" s="72"/>
      <c r="O1952" s="69"/>
      <c r="P1952" s="69"/>
      <c r="Q1952" s="69"/>
      <c r="R1952" s="69"/>
      <c r="S1952" s="69"/>
      <c r="T1952" s="69"/>
      <c r="U1952" s="69"/>
      <c r="V1952" s="69"/>
      <c r="W1952" s="69"/>
      <c r="X1952" s="69"/>
      <c r="Y1952" s="69"/>
      <c r="Z1952" s="69"/>
      <c r="AA1952" s="69"/>
      <c r="AB1952" s="69"/>
      <c r="AC1952" s="69"/>
      <c r="AD1952" s="69"/>
      <c r="AE1952" s="69"/>
      <c r="AF1952" s="69"/>
      <c r="AG1952" s="69"/>
      <c r="AH1952" s="69"/>
      <c r="AI1952" s="69"/>
      <c r="AJ1952" s="69"/>
      <c r="AK1952" s="69"/>
      <c r="AL1952" s="69"/>
      <c r="AM1952" s="69"/>
      <c r="AN1952" s="69"/>
      <c r="AO1952" s="69"/>
      <c r="AP1952" s="69"/>
      <c r="AQ1952" s="69"/>
      <c r="AR1952" s="69"/>
      <c r="AS1952" s="69"/>
      <c r="AT1952" s="69"/>
      <c r="AU1952" s="69"/>
      <c r="AV1952" s="69"/>
      <c r="AW1952" s="69"/>
      <c r="AX1952" s="69"/>
      <c r="AY1952" s="69"/>
      <c r="AZ1952" s="69"/>
      <c r="BA1952" s="69"/>
      <c r="BB1952" s="69"/>
      <c r="BC1952" s="69"/>
    </row>
    <row r="1953">
      <c r="A1953" s="68"/>
      <c r="B1953" s="68"/>
      <c r="C1953" s="68"/>
      <c r="D1953" s="68"/>
      <c r="E1953" s="68"/>
      <c r="F1953" s="68"/>
      <c r="G1953" s="68"/>
      <c r="H1953" s="68"/>
      <c r="I1953" s="69"/>
      <c r="J1953" s="69"/>
      <c r="K1953" s="71"/>
      <c r="L1953" s="69"/>
      <c r="M1953" s="69"/>
      <c r="N1953" s="72"/>
      <c r="O1953" s="69"/>
      <c r="P1953" s="69"/>
      <c r="Q1953" s="69"/>
      <c r="R1953" s="69"/>
      <c r="S1953" s="69"/>
      <c r="T1953" s="69"/>
      <c r="U1953" s="69"/>
      <c r="V1953" s="69"/>
      <c r="W1953" s="69"/>
      <c r="X1953" s="69"/>
      <c r="Y1953" s="69"/>
      <c r="Z1953" s="69"/>
      <c r="AA1953" s="69"/>
      <c r="AB1953" s="69"/>
      <c r="AC1953" s="69"/>
      <c r="AD1953" s="69"/>
      <c r="AE1953" s="69"/>
      <c r="AF1953" s="69"/>
      <c r="AG1953" s="69"/>
      <c r="AH1953" s="69"/>
      <c r="AI1953" s="69"/>
      <c r="AJ1953" s="69"/>
      <c r="AK1953" s="69"/>
      <c r="AL1953" s="69"/>
      <c r="AM1953" s="69"/>
      <c r="AN1953" s="69"/>
      <c r="AO1953" s="69"/>
      <c r="AP1953" s="69"/>
      <c r="AQ1953" s="69"/>
      <c r="AR1953" s="69"/>
      <c r="AS1953" s="69"/>
      <c r="AT1953" s="69"/>
      <c r="AU1953" s="69"/>
      <c r="AV1953" s="69"/>
      <c r="AW1953" s="69"/>
      <c r="AX1953" s="69"/>
      <c r="AY1953" s="69"/>
      <c r="AZ1953" s="69"/>
      <c r="BA1953" s="69"/>
      <c r="BB1953" s="69"/>
      <c r="BC1953" s="69"/>
    </row>
    <row r="1954">
      <c r="A1954" s="68"/>
      <c r="B1954" s="68"/>
      <c r="C1954" s="68"/>
      <c r="D1954" s="68"/>
      <c r="E1954" s="68"/>
      <c r="F1954" s="68"/>
      <c r="G1954" s="68"/>
      <c r="H1954" s="68"/>
      <c r="I1954" s="69"/>
      <c r="J1954" s="69"/>
      <c r="K1954" s="71"/>
      <c r="L1954" s="69"/>
      <c r="M1954" s="69"/>
      <c r="N1954" s="72"/>
      <c r="O1954" s="69"/>
      <c r="P1954" s="69"/>
      <c r="Q1954" s="69"/>
      <c r="R1954" s="69"/>
      <c r="S1954" s="69"/>
      <c r="T1954" s="69"/>
      <c r="U1954" s="69"/>
      <c r="V1954" s="69"/>
      <c r="W1954" s="69"/>
      <c r="X1954" s="69"/>
      <c r="Y1954" s="69"/>
      <c r="Z1954" s="69"/>
      <c r="AA1954" s="69"/>
      <c r="AB1954" s="69"/>
      <c r="AC1954" s="69"/>
      <c r="AD1954" s="69"/>
      <c r="AE1954" s="69"/>
      <c r="AF1954" s="69"/>
      <c r="AG1954" s="69"/>
      <c r="AH1954" s="69"/>
      <c r="AI1954" s="69"/>
      <c r="AJ1954" s="69"/>
      <c r="AK1954" s="69"/>
      <c r="AL1954" s="69"/>
      <c r="AM1954" s="69"/>
      <c r="AN1954" s="69"/>
      <c r="AO1954" s="69"/>
      <c r="AP1954" s="69"/>
      <c r="AQ1954" s="69"/>
      <c r="AR1954" s="69"/>
      <c r="AS1954" s="69"/>
      <c r="AT1954" s="69"/>
      <c r="AU1954" s="69"/>
      <c r="AV1954" s="69"/>
      <c r="AW1954" s="69"/>
      <c r="AX1954" s="69"/>
      <c r="AY1954" s="69"/>
      <c r="AZ1954" s="69"/>
      <c r="BA1954" s="69"/>
      <c r="BB1954" s="69"/>
      <c r="BC1954" s="69"/>
    </row>
    <row r="1955">
      <c r="A1955" s="68"/>
      <c r="B1955" s="68"/>
      <c r="C1955" s="68"/>
      <c r="D1955" s="68"/>
      <c r="E1955" s="68"/>
      <c r="F1955" s="68"/>
      <c r="G1955" s="68"/>
      <c r="H1955" s="68"/>
      <c r="I1955" s="69"/>
      <c r="J1955" s="69"/>
      <c r="K1955" s="71"/>
      <c r="L1955" s="69"/>
      <c r="M1955" s="69"/>
      <c r="N1955" s="72"/>
      <c r="O1955" s="69"/>
      <c r="P1955" s="69"/>
      <c r="Q1955" s="69"/>
      <c r="R1955" s="69"/>
      <c r="S1955" s="69"/>
      <c r="T1955" s="69"/>
      <c r="U1955" s="69"/>
      <c r="V1955" s="69"/>
      <c r="W1955" s="69"/>
      <c r="X1955" s="69"/>
      <c r="Y1955" s="69"/>
      <c r="Z1955" s="69"/>
      <c r="AA1955" s="69"/>
      <c r="AB1955" s="69"/>
      <c r="AC1955" s="69"/>
      <c r="AD1955" s="69"/>
      <c r="AE1955" s="69"/>
      <c r="AF1955" s="69"/>
      <c r="AG1955" s="69"/>
      <c r="AH1955" s="69"/>
      <c r="AI1955" s="69"/>
      <c r="AJ1955" s="69"/>
      <c r="AK1955" s="69"/>
      <c r="AL1955" s="69"/>
      <c r="AM1955" s="69"/>
      <c r="AN1955" s="69"/>
      <c r="AO1955" s="69"/>
      <c r="AP1955" s="69"/>
      <c r="AQ1955" s="69"/>
      <c r="AR1955" s="69"/>
      <c r="AS1955" s="69"/>
      <c r="AT1955" s="69"/>
      <c r="AU1955" s="69"/>
      <c r="AV1955" s="69"/>
      <c r="AW1955" s="69"/>
      <c r="AX1955" s="69"/>
      <c r="AY1955" s="69"/>
      <c r="AZ1955" s="69"/>
      <c r="BA1955" s="69"/>
      <c r="BB1955" s="69"/>
      <c r="BC1955" s="69"/>
    </row>
    <row r="1956">
      <c r="A1956" s="68"/>
      <c r="B1956" s="68"/>
      <c r="C1956" s="68"/>
      <c r="D1956" s="68"/>
      <c r="E1956" s="68"/>
      <c r="F1956" s="68"/>
      <c r="G1956" s="68"/>
      <c r="H1956" s="68"/>
      <c r="I1956" s="69"/>
      <c r="J1956" s="69"/>
      <c r="K1956" s="71"/>
      <c r="L1956" s="69"/>
      <c r="M1956" s="69"/>
      <c r="N1956" s="72"/>
      <c r="O1956" s="69"/>
      <c r="P1956" s="69"/>
      <c r="Q1956" s="69"/>
      <c r="R1956" s="69"/>
      <c r="S1956" s="69"/>
      <c r="T1956" s="69"/>
      <c r="U1956" s="69"/>
      <c r="V1956" s="69"/>
      <c r="W1956" s="69"/>
      <c r="X1956" s="69"/>
      <c r="Y1956" s="69"/>
      <c r="Z1956" s="69"/>
      <c r="AA1956" s="69"/>
      <c r="AB1956" s="69"/>
      <c r="AC1956" s="69"/>
      <c r="AD1956" s="69"/>
      <c r="AE1956" s="69"/>
      <c r="AF1956" s="69"/>
      <c r="AG1956" s="69"/>
      <c r="AH1956" s="69"/>
      <c r="AI1956" s="69"/>
      <c r="AJ1956" s="69"/>
      <c r="AK1956" s="69"/>
      <c r="AL1956" s="69"/>
      <c r="AM1956" s="69"/>
      <c r="AN1956" s="69"/>
      <c r="AO1956" s="69"/>
      <c r="AP1956" s="69"/>
      <c r="AQ1956" s="69"/>
      <c r="AR1956" s="69"/>
      <c r="AS1956" s="69"/>
      <c r="AT1956" s="69"/>
      <c r="AU1956" s="69"/>
      <c r="AV1956" s="69"/>
      <c r="AW1956" s="69"/>
      <c r="AX1956" s="69"/>
      <c r="AY1956" s="69"/>
      <c r="AZ1956" s="69"/>
      <c r="BA1956" s="69"/>
      <c r="BB1956" s="69"/>
      <c r="BC1956" s="69"/>
    </row>
    <row r="1957">
      <c r="A1957" s="68"/>
      <c r="B1957" s="68"/>
      <c r="C1957" s="68"/>
      <c r="D1957" s="68"/>
      <c r="E1957" s="68"/>
      <c r="F1957" s="68"/>
      <c r="G1957" s="68"/>
      <c r="H1957" s="68"/>
      <c r="I1957" s="69"/>
      <c r="J1957" s="69"/>
      <c r="K1957" s="71"/>
      <c r="L1957" s="69"/>
      <c r="M1957" s="69"/>
      <c r="N1957" s="72"/>
      <c r="O1957" s="69"/>
      <c r="P1957" s="69"/>
      <c r="Q1957" s="69"/>
      <c r="R1957" s="69"/>
      <c r="S1957" s="69"/>
      <c r="T1957" s="69"/>
      <c r="U1957" s="69"/>
      <c r="V1957" s="69"/>
      <c r="W1957" s="69"/>
      <c r="X1957" s="69"/>
      <c r="Y1957" s="69"/>
      <c r="Z1957" s="69"/>
      <c r="AA1957" s="69"/>
      <c r="AB1957" s="69"/>
      <c r="AC1957" s="69"/>
      <c r="AD1957" s="69"/>
      <c r="AE1957" s="69"/>
      <c r="AF1957" s="69"/>
      <c r="AG1957" s="69"/>
      <c r="AH1957" s="69"/>
      <c r="AI1957" s="69"/>
      <c r="AJ1957" s="69"/>
      <c r="AK1957" s="69"/>
      <c r="AL1957" s="69"/>
      <c r="AM1957" s="69"/>
      <c r="AN1957" s="69"/>
      <c r="AO1957" s="69"/>
      <c r="AP1957" s="69"/>
      <c r="AQ1957" s="69"/>
      <c r="AR1957" s="69"/>
      <c r="AS1957" s="69"/>
      <c r="AT1957" s="69"/>
      <c r="AU1957" s="69"/>
      <c r="AV1957" s="69"/>
      <c r="AW1957" s="69"/>
      <c r="AX1957" s="69"/>
      <c r="AY1957" s="69"/>
      <c r="AZ1957" s="69"/>
      <c r="BA1957" s="69"/>
      <c r="BB1957" s="69"/>
      <c r="BC1957" s="69"/>
    </row>
    <row r="1958">
      <c r="A1958" s="68"/>
      <c r="B1958" s="68"/>
      <c r="C1958" s="68"/>
      <c r="D1958" s="68"/>
      <c r="E1958" s="68"/>
      <c r="F1958" s="68"/>
      <c r="G1958" s="68"/>
      <c r="H1958" s="68"/>
      <c r="I1958" s="69"/>
      <c r="J1958" s="69"/>
      <c r="K1958" s="71"/>
      <c r="L1958" s="69"/>
      <c r="M1958" s="69"/>
      <c r="N1958" s="72"/>
      <c r="O1958" s="69"/>
      <c r="P1958" s="69"/>
      <c r="Q1958" s="69"/>
      <c r="R1958" s="69"/>
      <c r="S1958" s="69"/>
      <c r="T1958" s="69"/>
      <c r="U1958" s="69"/>
      <c r="V1958" s="69"/>
      <c r="W1958" s="69"/>
      <c r="X1958" s="69"/>
      <c r="Y1958" s="69"/>
      <c r="Z1958" s="69"/>
      <c r="AA1958" s="69"/>
      <c r="AB1958" s="69"/>
      <c r="AC1958" s="69"/>
      <c r="AD1958" s="69"/>
      <c r="AE1958" s="69"/>
      <c r="AF1958" s="69"/>
      <c r="AG1958" s="69"/>
      <c r="AH1958" s="69"/>
      <c r="AI1958" s="69"/>
      <c r="AJ1958" s="69"/>
      <c r="AK1958" s="69"/>
      <c r="AL1958" s="69"/>
      <c r="AM1958" s="69"/>
      <c r="AN1958" s="69"/>
      <c r="AO1958" s="69"/>
      <c r="AP1958" s="69"/>
      <c r="AQ1958" s="69"/>
      <c r="AR1958" s="69"/>
      <c r="AS1958" s="69"/>
      <c r="AT1958" s="69"/>
      <c r="AU1958" s="69"/>
      <c r="AV1958" s="69"/>
      <c r="AW1958" s="69"/>
      <c r="AX1958" s="69"/>
      <c r="AY1958" s="69"/>
      <c r="AZ1958" s="69"/>
      <c r="BA1958" s="69"/>
      <c r="BB1958" s="69"/>
      <c r="BC1958" s="69"/>
    </row>
    <row r="1959">
      <c r="A1959" s="68"/>
      <c r="B1959" s="68"/>
      <c r="C1959" s="68"/>
      <c r="D1959" s="68"/>
      <c r="E1959" s="68"/>
      <c r="F1959" s="68"/>
      <c r="G1959" s="68"/>
      <c r="H1959" s="68"/>
      <c r="I1959" s="69"/>
      <c r="J1959" s="69"/>
      <c r="K1959" s="71"/>
      <c r="L1959" s="69"/>
      <c r="M1959" s="69"/>
      <c r="N1959" s="72"/>
      <c r="O1959" s="69"/>
      <c r="P1959" s="69"/>
      <c r="Q1959" s="69"/>
      <c r="R1959" s="69"/>
      <c r="S1959" s="69"/>
      <c r="T1959" s="69"/>
      <c r="U1959" s="69"/>
      <c r="V1959" s="69"/>
      <c r="W1959" s="69"/>
      <c r="X1959" s="69"/>
      <c r="Y1959" s="69"/>
      <c r="Z1959" s="69"/>
      <c r="AA1959" s="69"/>
      <c r="AB1959" s="69"/>
      <c r="AC1959" s="69"/>
      <c r="AD1959" s="69"/>
      <c r="AE1959" s="69"/>
      <c r="AF1959" s="69"/>
      <c r="AG1959" s="69"/>
      <c r="AH1959" s="69"/>
      <c r="AI1959" s="69"/>
      <c r="AJ1959" s="69"/>
      <c r="AK1959" s="69"/>
      <c r="AL1959" s="69"/>
      <c r="AM1959" s="69"/>
      <c r="AN1959" s="69"/>
      <c r="AO1959" s="69"/>
      <c r="AP1959" s="69"/>
      <c r="AQ1959" s="69"/>
      <c r="AR1959" s="69"/>
      <c r="AS1959" s="69"/>
      <c r="AT1959" s="69"/>
      <c r="AU1959" s="69"/>
      <c r="AV1959" s="69"/>
      <c r="AW1959" s="69"/>
      <c r="AX1959" s="69"/>
      <c r="AY1959" s="69"/>
      <c r="AZ1959" s="69"/>
      <c r="BA1959" s="69"/>
      <c r="BB1959" s="69"/>
      <c r="BC1959" s="69"/>
    </row>
    <row r="1960">
      <c r="A1960" s="68"/>
      <c r="B1960" s="68"/>
      <c r="C1960" s="68"/>
      <c r="D1960" s="68"/>
      <c r="E1960" s="68"/>
      <c r="F1960" s="68"/>
      <c r="G1960" s="68"/>
      <c r="H1960" s="68"/>
      <c r="I1960" s="69"/>
      <c r="J1960" s="69"/>
      <c r="K1960" s="71"/>
      <c r="L1960" s="69"/>
      <c r="M1960" s="69"/>
      <c r="N1960" s="72"/>
      <c r="O1960" s="69"/>
      <c r="P1960" s="69"/>
      <c r="Q1960" s="69"/>
      <c r="R1960" s="69"/>
      <c r="S1960" s="69"/>
      <c r="T1960" s="69"/>
      <c r="U1960" s="69"/>
      <c r="V1960" s="69"/>
      <c r="W1960" s="69"/>
      <c r="X1960" s="69"/>
      <c r="Y1960" s="69"/>
      <c r="Z1960" s="69"/>
      <c r="AA1960" s="69"/>
      <c r="AB1960" s="69"/>
      <c r="AC1960" s="69"/>
      <c r="AD1960" s="69"/>
      <c r="AE1960" s="69"/>
      <c r="AF1960" s="69"/>
      <c r="AG1960" s="69"/>
      <c r="AH1960" s="69"/>
      <c r="AI1960" s="69"/>
      <c r="AJ1960" s="69"/>
      <c r="AK1960" s="69"/>
      <c r="AL1960" s="69"/>
      <c r="AM1960" s="69"/>
      <c r="AN1960" s="69"/>
      <c r="AO1960" s="69"/>
      <c r="AP1960" s="69"/>
      <c r="AQ1960" s="69"/>
      <c r="AR1960" s="69"/>
      <c r="AS1960" s="69"/>
      <c r="AT1960" s="69"/>
      <c r="AU1960" s="69"/>
      <c r="AV1960" s="69"/>
      <c r="AW1960" s="69"/>
      <c r="AX1960" s="69"/>
      <c r="AY1960" s="69"/>
      <c r="AZ1960" s="69"/>
      <c r="BA1960" s="69"/>
      <c r="BB1960" s="69"/>
      <c r="BC1960" s="69"/>
    </row>
    <row r="1961">
      <c r="A1961" s="68"/>
      <c r="B1961" s="68"/>
      <c r="C1961" s="68"/>
      <c r="D1961" s="68"/>
      <c r="E1961" s="68"/>
      <c r="F1961" s="68"/>
      <c r="G1961" s="68"/>
      <c r="H1961" s="68"/>
      <c r="I1961" s="69"/>
      <c r="J1961" s="69"/>
      <c r="K1961" s="71"/>
      <c r="L1961" s="69"/>
      <c r="M1961" s="69"/>
      <c r="N1961" s="72"/>
      <c r="O1961" s="69"/>
      <c r="P1961" s="69"/>
      <c r="Q1961" s="69"/>
      <c r="R1961" s="69"/>
      <c r="S1961" s="69"/>
      <c r="T1961" s="69"/>
      <c r="U1961" s="69"/>
      <c r="V1961" s="69"/>
      <c r="W1961" s="69"/>
      <c r="X1961" s="69"/>
      <c r="Y1961" s="69"/>
      <c r="Z1961" s="69"/>
      <c r="AA1961" s="69"/>
      <c r="AB1961" s="69"/>
      <c r="AC1961" s="69"/>
      <c r="AD1961" s="69"/>
      <c r="AE1961" s="69"/>
      <c r="AF1961" s="69"/>
      <c r="AG1961" s="69"/>
      <c r="AH1961" s="69"/>
      <c r="AI1961" s="69"/>
      <c r="AJ1961" s="69"/>
      <c r="AK1961" s="69"/>
      <c r="AL1961" s="69"/>
      <c r="AM1961" s="69"/>
      <c r="AN1961" s="69"/>
      <c r="AO1961" s="69"/>
      <c r="AP1961" s="69"/>
      <c r="AQ1961" s="69"/>
      <c r="AR1961" s="69"/>
      <c r="AS1961" s="69"/>
      <c r="AT1961" s="69"/>
      <c r="AU1961" s="69"/>
      <c r="AV1961" s="69"/>
      <c r="AW1961" s="69"/>
      <c r="AX1961" s="69"/>
      <c r="AY1961" s="69"/>
      <c r="AZ1961" s="69"/>
      <c r="BA1961" s="69"/>
      <c r="BB1961" s="69"/>
      <c r="BC1961" s="69"/>
    </row>
    <row r="1962">
      <c r="A1962" s="68"/>
      <c r="B1962" s="68"/>
      <c r="C1962" s="68"/>
      <c r="D1962" s="68"/>
      <c r="E1962" s="68"/>
      <c r="F1962" s="68"/>
      <c r="G1962" s="68"/>
      <c r="H1962" s="68"/>
      <c r="I1962" s="69"/>
      <c r="J1962" s="69"/>
      <c r="K1962" s="71"/>
      <c r="L1962" s="69"/>
      <c r="M1962" s="69"/>
      <c r="N1962" s="72"/>
      <c r="O1962" s="69"/>
      <c r="P1962" s="69"/>
      <c r="Q1962" s="69"/>
      <c r="R1962" s="69"/>
      <c r="S1962" s="69"/>
      <c r="T1962" s="69"/>
      <c r="U1962" s="69"/>
      <c r="V1962" s="69"/>
      <c r="W1962" s="69"/>
      <c r="X1962" s="69"/>
      <c r="Y1962" s="69"/>
      <c r="Z1962" s="69"/>
      <c r="AA1962" s="69"/>
      <c r="AB1962" s="69"/>
      <c r="AC1962" s="69"/>
      <c r="AD1962" s="69"/>
      <c r="AE1962" s="69"/>
      <c r="AF1962" s="69"/>
      <c r="AG1962" s="69"/>
      <c r="AH1962" s="69"/>
      <c r="AI1962" s="69"/>
      <c r="AJ1962" s="69"/>
      <c r="AK1962" s="69"/>
      <c r="AL1962" s="69"/>
      <c r="AM1962" s="69"/>
      <c r="AN1962" s="69"/>
      <c r="AO1962" s="69"/>
      <c r="AP1962" s="69"/>
      <c r="AQ1962" s="69"/>
      <c r="AR1962" s="69"/>
      <c r="AS1962" s="69"/>
      <c r="AT1962" s="69"/>
      <c r="AU1962" s="69"/>
      <c r="AV1962" s="69"/>
      <c r="AW1962" s="69"/>
      <c r="AX1962" s="69"/>
      <c r="AY1962" s="69"/>
      <c r="AZ1962" s="69"/>
      <c r="BA1962" s="69"/>
      <c r="BB1962" s="69"/>
      <c r="BC1962" s="69"/>
    </row>
    <row r="1963">
      <c r="A1963" s="68"/>
      <c r="B1963" s="68"/>
      <c r="C1963" s="68"/>
      <c r="D1963" s="68"/>
      <c r="E1963" s="68"/>
      <c r="F1963" s="68"/>
      <c r="G1963" s="68"/>
      <c r="H1963" s="68"/>
      <c r="I1963" s="69"/>
      <c r="J1963" s="69"/>
      <c r="K1963" s="71"/>
      <c r="L1963" s="69"/>
      <c r="M1963" s="69"/>
      <c r="N1963" s="72"/>
      <c r="O1963" s="69"/>
      <c r="P1963" s="69"/>
      <c r="Q1963" s="69"/>
      <c r="R1963" s="69"/>
      <c r="S1963" s="69"/>
      <c r="T1963" s="69"/>
      <c r="U1963" s="69"/>
      <c r="V1963" s="69"/>
      <c r="W1963" s="69"/>
      <c r="X1963" s="69"/>
      <c r="Y1963" s="69"/>
      <c r="Z1963" s="69"/>
      <c r="AA1963" s="69"/>
      <c r="AB1963" s="69"/>
      <c r="AC1963" s="69"/>
      <c r="AD1963" s="69"/>
      <c r="AE1963" s="69"/>
      <c r="AF1963" s="69"/>
      <c r="AG1963" s="69"/>
      <c r="AH1963" s="69"/>
      <c r="AI1963" s="69"/>
      <c r="AJ1963" s="69"/>
      <c r="AK1963" s="69"/>
      <c r="AL1963" s="69"/>
      <c r="AM1963" s="69"/>
      <c r="AN1963" s="69"/>
      <c r="AO1963" s="69"/>
      <c r="AP1963" s="69"/>
      <c r="AQ1963" s="69"/>
      <c r="AR1963" s="69"/>
      <c r="AS1963" s="69"/>
      <c r="AT1963" s="69"/>
      <c r="AU1963" s="69"/>
      <c r="AV1963" s="69"/>
      <c r="AW1963" s="69"/>
      <c r="AX1963" s="69"/>
      <c r="AY1963" s="69"/>
      <c r="AZ1963" s="69"/>
      <c r="BA1963" s="69"/>
      <c r="BB1963" s="69"/>
      <c r="BC1963" s="69"/>
    </row>
    <row r="1964">
      <c r="A1964" s="68"/>
      <c r="B1964" s="68"/>
      <c r="C1964" s="68"/>
      <c r="D1964" s="68"/>
      <c r="E1964" s="68"/>
      <c r="F1964" s="68"/>
      <c r="G1964" s="68"/>
      <c r="H1964" s="68"/>
      <c r="I1964" s="69"/>
      <c r="J1964" s="69"/>
      <c r="K1964" s="71"/>
      <c r="L1964" s="69"/>
      <c r="M1964" s="69"/>
      <c r="N1964" s="72"/>
      <c r="O1964" s="69"/>
      <c r="P1964" s="69"/>
      <c r="Q1964" s="69"/>
      <c r="R1964" s="69"/>
      <c r="S1964" s="69"/>
      <c r="T1964" s="69"/>
      <c r="U1964" s="69"/>
      <c r="V1964" s="69"/>
      <c r="W1964" s="69"/>
      <c r="X1964" s="69"/>
      <c r="Y1964" s="69"/>
      <c r="Z1964" s="69"/>
      <c r="AA1964" s="69"/>
      <c r="AB1964" s="69"/>
      <c r="AC1964" s="69"/>
      <c r="AD1964" s="69"/>
      <c r="AE1964" s="69"/>
      <c r="AF1964" s="69"/>
      <c r="AG1964" s="69"/>
      <c r="AH1964" s="69"/>
      <c r="AI1964" s="69"/>
      <c r="AJ1964" s="69"/>
      <c r="AK1964" s="69"/>
      <c r="AL1964" s="69"/>
      <c r="AM1964" s="69"/>
      <c r="AN1964" s="69"/>
      <c r="AO1964" s="69"/>
      <c r="AP1964" s="69"/>
      <c r="AQ1964" s="69"/>
      <c r="AR1964" s="69"/>
      <c r="AS1964" s="69"/>
      <c r="AT1964" s="69"/>
      <c r="AU1964" s="69"/>
      <c r="AV1964" s="69"/>
      <c r="AW1964" s="69"/>
      <c r="AX1964" s="69"/>
      <c r="AY1964" s="69"/>
      <c r="AZ1964" s="69"/>
      <c r="BA1964" s="69"/>
      <c r="BB1964" s="69"/>
      <c r="BC1964" s="69"/>
    </row>
    <row r="1965">
      <c r="A1965" s="68"/>
      <c r="B1965" s="68"/>
      <c r="C1965" s="68"/>
      <c r="D1965" s="68"/>
      <c r="E1965" s="68"/>
      <c r="F1965" s="68"/>
      <c r="G1965" s="68"/>
      <c r="H1965" s="68"/>
      <c r="I1965" s="69"/>
      <c r="J1965" s="69"/>
      <c r="K1965" s="71"/>
      <c r="L1965" s="69"/>
      <c r="M1965" s="69"/>
      <c r="N1965" s="72"/>
      <c r="O1965" s="69"/>
      <c r="P1965" s="69"/>
      <c r="Q1965" s="69"/>
      <c r="R1965" s="69"/>
      <c r="S1965" s="69"/>
      <c r="T1965" s="69"/>
      <c r="U1965" s="69"/>
      <c r="V1965" s="69"/>
      <c r="W1965" s="69"/>
      <c r="X1965" s="69"/>
      <c r="Y1965" s="69"/>
      <c r="Z1965" s="69"/>
      <c r="AA1965" s="69"/>
      <c r="AB1965" s="69"/>
      <c r="AC1965" s="69"/>
      <c r="AD1965" s="69"/>
      <c r="AE1965" s="69"/>
      <c r="AF1965" s="69"/>
      <c r="AG1965" s="69"/>
      <c r="AH1965" s="69"/>
      <c r="AI1965" s="69"/>
      <c r="AJ1965" s="69"/>
      <c r="AK1965" s="69"/>
      <c r="AL1965" s="69"/>
      <c r="AM1965" s="69"/>
      <c r="AN1965" s="69"/>
      <c r="AO1965" s="69"/>
      <c r="AP1965" s="69"/>
      <c r="AQ1965" s="69"/>
      <c r="AR1965" s="69"/>
      <c r="AS1965" s="69"/>
      <c r="AT1965" s="69"/>
      <c r="AU1965" s="69"/>
      <c r="AV1965" s="69"/>
      <c r="AW1965" s="69"/>
      <c r="AX1965" s="69"/>
      <c r="AY1965" s="69"/>
      <c r="AZ1965" s="69"/>
      <c r="BA1965" s="69"/>
      <c r="BB1965" s="69"/>
      <c r="BC1965" s="69"/>
    </row>
    <row r="1966">
      <c r="A1966" s="68"/>
      <c r="B1966" s="68"/>
      <c r="C1966" s="68"/>
      <c r="D1966" s="68"/>
      <c r="E1966" s="68"/>
      <c r="F1966" s="68"/>
      <c r="G1966" s="68"/>
      <c r="H1966" s="68"/>
      <c r="I1966" s="69"/>
      <c r="J1966" s="69"/>
      <c r="K1966" s="71"/>
      <c r="L1966" s="69"/>
      <c r="M1966" s="69"/>
      <c r="N1966" s="72"/>
      <c r="O1966" s="69"/>
      <c r="P1966" s="69"/>
      <c r="Q1966" s="69"/>
      <c r="R1966" s="69"/>
      <c r="S1966" s="69"/>
      <c r="T1966" s="69"/>
      <c r="U1966" s="69"/>
      <c r="V1966" s="69"/>
      <c r="W1966" s="69"/>
      <c r="X1966" s="69"/>
      <c r="Y1966" s="69"/>
      <c r="Z1966" s="69"/>
      <c r="AA1966" s="69"/>
      <c r="AB1966" s="69"/>
      <c r="AC1966" s="69"/>
      <c r="AD1966" s="69"/>
      <c r="AE1966" s="69"/>
      <c r="AF1966" s="69"/>
      <c r="AG1966" s="69"/>
      <c r="AH1966" s="69"/>
      <c r="AI1966" s="69"/>
      <c r="AJ1966" s="69"/>
      <c r="AK1966" s="69"/>
      <c r="AL1966" s="69"/>
      <c r="AM1966" s="69"/>
      <c r="AN1966" s="69"/>
      <c r="AO1966" s="69"/>
      <c r="AP1966" s="69"/>
      <c r="AQ1966" s="69"/>
      <c r="AR1966" s="69"/>
      <c r="AS1966" s="69"/>
      <c r="AT1966" s="69"/>
      <c r="AU1966" s="69"/>
      <c r="AV1966" s="69"/>
      <c r="AW1966" s="69"/>
      <c r="AX1966" s="69"/>
      <c r="AY1966" s="69"/>
      <c r="AZ1966" s="69"/>
      <c r="BA1966" s="69"/>
      <c r="BB1966" s="69"/>
      <c r="BC1966" s="69"/>
    </row>
    <row r="1967">
      <c r="A1967" s="68"/>
      <c r="B1967" s="68"/>
      <c r="C1967" s="68"/>
      <c r="D1967" s="68"/>
      <c r="E1967" s="68"/>
      <c r="F1967" s="68"/>
      <c r="G1967" s="68"/>
      <c r="H1967" s="68"/>
      <c r="I1967" s="69"/>
      <c r="J1967" s="69"/>
      <c r="K1967" s="71"/>
      <c r="L1967" s="69"/>
      <c r="M1967" s="69"/>
      <c r="N1967" s="72"/>
      <c r="O1967" s="69"/>
      <c r="P1967" s="69"/>
      <c r="Q1967" s="69"/>
      <c r="R1967" s="69"/>
      <c r="S1967" s="69"/>
      <c r="T1967" s="69"/>
      <c r="U1967" s="69"/>
      <c r="V1967" s="69"/>
      <c r="W1967" s="69"/>
      <c r="X1967" s="69"/>
      <c r="Y1967" s="69"/>
      <c r="Z1967" s="69"/>
      <c r="AA1967" s="69"/>
      <c r="AB1967" s="69"/>
      <c r="AC1967" s="69"/>
      <c r="AD1967" s="69"/>
      <c r="AE1967" s="69"/>
      <c r="AF1967" s="69"/>
      <c r="AG1967" s="69"/>
      <c r="AH1967" s="69"/>
      <c r="AI1967" s="69"/>
      <c r="AJ1967" s="69"/>
      <c r="AK1967" s="69"/>
      <c r="AL1967" s="69"/>
      <c r="AM1967" s="69"/>
      <c r="AN1967" s="69"/>
      <c r="AO1967" s="69"/>
      <c r="AP1967" s="69"/>
      <c r="AQ1967" s="69"/>
      <c r="AR1967" s="69"/>
      <c r="AS1967" s="69"/>
      <c r="AT1967" s="69"/>
      <c r="AU1967" s="69"/>
      <c r="AV1967" s="69"/>
      <c r="AW1967" s="69"/>
      <c r="AX1967" s="69"/>
      <c r="AY1967" s="69"/>
      <c r="AZ1967" s="69"/>
      <c r="BA1967" s="69"/>
      <c r="BB1967" s="69"/>
      <c r="BC1967" s="69"/>
    </row>
    <row r="1968">
      <c r="A1968" s="68"/>
      <c r="B1968" s="68"/>
      <c r="C1968" s="68"/>
      <c r="D1968" s="68"/>
      <c r="E1968" s="68"/>
      <c r="F1968" s="68"/>
      <c r="G1968" s="68"/>
      <c r="H1968" s="68"/>
      <c r="I1968" s="69"/>
      <c r="J1968" s="69"/>
      <c r="K1968" s="71"/>
      <c r="L1968" s="69"/>
      <c r="M1968" s="69"/>
      <c r="N1968" s="72"/>
      <c r="O1968" s="69"/>
      <c r="P1968" s="69"/>
      <c r="Q1968" s="69"/>
      <c r="R1968" s="69"/>
      <c r="S1968" s="69"/>
      <c r="T1968" s="69"/>
      <c r="U1968" s="69"/>
      <c r="V1968" s="69"/>
      <c r="W1968" s="69"/>
      <c r="X1968" s="69"/>
      <c r="Y1968" s="69"/>
      <c r="Z1968" s="69"/>
      <c r="AA1968" s="69"/>
      <c r="AB1968" s="69"/>
      <c r="AC1968" s="69"/>
      <c r="AD1968" s="69"/>
      <c r="AE1968" s="69"/>
      <c r="AF1968" s="69"/>
      <c r="AG1968" s="69"/>
      <c r="AH1968" s="69"/>
      <c r="AI1968" s="69"/>
      <c r="AJ1968" s="69"/>
      <c r="AK1968" s="69"/>
      <c r="AL1968" s="69"/>
      <c r="AM1968" s="69"/>
      <c r="AN1968" s="69"/>
      <c r="AO1968" s="69"/>
      <c r="AP1968" s="69"/>
      <c r="AQ1968" s="69"/>
      <c r="AR1968" s="69"/>
      <c r="AS1968" s="69"/>
      <c r="AT1968" s="69"/>
      <c r="AU1968" s="69"/>
      <c r="AV1968" s="69"/>
      <c r="AW1968" s="69"/>
      <c r="AX1968" s="69"/>
      <c r="AY1968" s="69"/>
      <c r="AZ1968" s="69"/>
      <c r="BA1968" s="69"/>
      <c r="BB1968" s="69"/>
      <c r="BC1968" s="69"/>
    </row>
    <row r="1969">
      <c r="A1969" s="68"/>
      <c r="B1969" s="68"/>
      <c r="C1969" s="68"/>
      <c r="D1969" s="68"/>
      <c r="E1969" s="68"/>
      <c r="F1969" s="68"/>
      <c r="G1969" s="68"/>
      <c r="H1969" s="68"/>
      <c r="I1969" s="69"/>
      <c r="J1969" s="69"/>
      <c r="K1969" s="71"/>
      <c r="L1969" s="69"/>
      <c r="M1969" s="69"/>
      <c r="N1969" s="72"/>
      <c r="O1969" s="69"/>
      <c r="P1969" s="69"/>
      <c r="Q1969" s="69"/>
      <c r="R1969" s="69"/>
      <c r="S1969" s="69"/>
      <c r="T1969" s="69"/>
      <c r="U1969" s="69"/>
      <c r="V1969" s="69"/>
      <c r="W1969" s="69"/>
      <c r="X1969" s="69"/>
      <c r="Y1969" s="69"/>
      <c r="Z1969" s="69"/>
      <c r="AA1969" s="69"/>
      <c r="AB1969" s="69"/>
      <c r="AC1969" s="69"/>
      <c r="AD1969" s="69"/>
      <c r="AE1969" s="69"/>
      <c r="AF1969" s="69"/>
      <c r="AG1969" s="69"/>
      <c r="AH1969" s="69"/>
      <c r="AI1969" s="69"/>
      <c r="AJ1969" s="69"/>
      <c r="AK1969" s="69"/>
      <c r="AL1969" s="69"/>
      <c r="AM1969" s="69"/>
      <c r="AN1969" s="69"/>
      <c r="AO1969" s="69"/>
      <c r="AP1969" s="69"/>
      <c r="AQ1969" s="69"/>
      <c r="AR1969" s="69"/>
      <c r="AS1969" s="69"/>
      <c r="AT1969" s="69"/>
      <c r="AU1969" s="69"/>
      <c r="AV1969" s="69"/>
      <c r="AW1969" s="69"/>
      <c r="AX1969" s="69"/>
      <c r="AY1969" s="69"/>
      <c r="AZ1969" s="69"/>
      <c r="BA1969" s="69"/>
      <c r="BB1969" s="69"/>
      <c r="BC1969" s="69"/>
    </row>
    <row r="1970">
      <c r="A1970" s="68"/>
      <c r="B1970" s="68"/>
      <c r="C1970" s="68"/>
      <c r="D1970" s="68"/>
      <c r="E1970" s="68"/>
      <c r="F1970" s="68"/>
      <c r="G1970" s="68"/>
      <c r="H1970" s="68"/>
      <c r="I1970" s="69"/>
      <c r="J1970" s="69"/>
      <c r="K1970" s="71"/>
      <c r="L1970" s="69"/>
      <c r="M1970" s="69"/>
      <c r="N1970" s="72"/>
      <c r="O1970" s="69"/>
      <c r="P1970" s="69"/>
      <c r="Q1970" s="69"/>
      <c r="R1970" s="69"/>
      <c r="S1970" s="69"/>
      <c r="T1970" s="69"/>
      <c r="U1970" s="69"/>
      <c r="V1970" s="69"/>
      <c r="W1970" s="69"/>
      <c r="X1970" s="69"/>
      <c r="Y1970" s="69"/>
      <c r="Z1970" s="69"/>
      <c r="AA1970" s="69"/>
      <c r="AB1970" s="69"/>
      <c r="AC1970" s="69"/>
      <c r="AD1970" s="69"/>
      <c r="AE1970" s="69"/>
      <c r="AF1970" s="69"/>
      <c r="AG1970" s="69"/>
      <c r="AH1970" s="69"/>
      <c r="AI1970" s="69"/>
      <c r="AJ1970" s="69"/>
      <c r="AK1970" s="69"/>
      <c r="AL1970" s="69"/>
      <c r="AM1970" s="69"/>
      <c r="AN1970" s="69"/>
      <c r="AO1970" s="69"/>
      <c r="AP1970" s="69"/>
      <c r="AQ1970" s="69"/>
      <c r="AR1970" s="69"/>
      <c r="AS1970" s="69"/>
      <c r="AT1970" s="69"/>
      <c r="AU1970" s="69"/>
      <c r="AV1970" s="69"/>
      <c r="AW1970" s="69"/>
      <c r="AX1970" s="69"/>
      <c r="AY1970" s="69"/>
      <c r="AZ1970" s="69"/>
      <c r="BA1970" s="69"/>
      <c r="BB1970" s="69"/>
      <c r="BC1970" s="69"/>
    </row>
    <row r="1971">
      <c r="A1971" s="68"/>
      <c r="B1971" s="68"/>
      <c r="C1971" s="68"/>
      <c r="D1971" s="68"/>
      <c r="E1971" s="68"/>
      <c r="F1971" s="68"/>
      <c r="G1971" s="68"/>
      <c r="H1971" s="68"/>
      <c r="I1971" s="69"/>
      <c r="J1971" s="69"/>
      <c r="K1971" s="71"/>
      <c r="L1971" s="69"/>
      <c r="M1971" s="69"/>
      <c r="N1971" s="72"/>
      <c r="O1971" s="69"/>
      <c r="P1971" s="69"/>
      <c r="Q1971" s="69"/>
      <c r="R1971" s="69"/>
      <c r="S1971" s="69"/>
      <c r="T1971" s="69"/>
      <c r="U1971" s="69"/>
      <c r="V1971" s="69"/>
      <c r="W1971" s="69"/>
      <c r="X1971" s="69"/>
      <c r="Y1971" s="69"/>
      <c r="Z1971" s="69"/>
      <c r="AA1971" s="69"/>
      <c r="AB1971" s="69"/>
      <c r="AC1971" s="69"/>
      <c r="AD1971" s="69"/>
      <c r="AE1971" s="69"/>
      <c r="AF1971" s="69"/>
      <c r="AG1971" s="69"/>
      <c r="AH1971" s="69"/>
      <c r="AI1971" s="69"/>
      <c r="AJ1971" s="69"/>
      <c r="AK1971" s="69"/>
      <c r="AL1971" s="69"/>
      <c r="AM1971" s="69"/>
      <c r="AN1971" s="69"/>
      <c r="AO1971" s="69"/>
      <c r="AP1971" s="69"/>
      <c r="AQ1971" s="69"/>
      <c r="AR1971" s="69"/>
      <c r="AS1971" s="69"/>
      <c r="AT1971" s="69"/>
      <c r="AU1971" s="69"/>
      <c r="AV1971" s="69"/>
      <c r="AW1971" s="69"/>
      <c r="AX1971" s="69"/>
      <c r="AY1971" s="69"/>
      <c r="AZ1971" s="69"/>
      <c r="BA1971" s="69"/>
      <c r="BB1971" s="69"/>
      <c r="BC1971" s="69"/>
    </row>
    <row r="1972">
      <c r="A1972" s="68"/>
      <c r="B1972" s="68"/>
      <c r="C1972" s="68"/>
      <c r="D1972" s="68"/>
      <c r="E1972" s="68"/>
      <c r="F1972" s="68"/>
      <c r="G1972" s="68"/>
      <c r="H1972" s="68"/>
      <c r="I1972" s="69"/>
      <c r="J1972" s="69"/>
      <c r="K1972" s="71"/>
      <c r="L1972" s="69"/>
      <c r="M1972" s="69"/>
      <c r="N1972" s="72"/>
      <c r="O1972" s="69"/>
      <c r="P1972" s="69"/>
      <c r="Q1972" s="69"/>
      <c r="R1972" s="69"/>
      <c r="S1972" s="69"/>
      <c r="T1972" s="69"/>
      <c r="U1972" s="69"/>
      <c r="V1972" s="69"/>
      <c r="W1972" s="69"/>
      <c r="X1972" s="69"/>
      <c r="Y1972" s="69"/>
      <c r="Z1972" s="69"/>
      <c r="AA1972" s="69"/>
      <c r="AB1972" s="69"/>
      <c r="AC1972" s="69"/>
      <c r="AD1972" s="69"/>
      <c r="AE1972" s="69"/>
      <c r="AF1972" s="69"/>
      <c r="AG1972" s="69"/>
      <c r="AH1972" s="69"/>
      <c r="AI1972" s="69"/>
      <c r="AJ1972" s="69"/>
      <c r="AK1972" s="69"/>
      <c r="AL1972" s="69"/>
      <c r="AM1972" s="69"/>
      <c r="AN1972" s="69"/>
      <c r="AO1972" s="69"/>
      <c r="AP1972" s="69"/>
      <c r="AQ1972" s="69"/>
      <c r="AR1972" s="69"/>
      <c r="AS1972" s="69"/>
      <c r="AT1972" s="69"/>
      <c r="AU1972" s="69"/>
      <c r="AV1972" s="69"/>
      <c r="AW1972" s="69"/>
      <c r="AX1972" s="69"/>
      <c r="AY1972" s="69"/>
      <c r="AZ1972" s="69"/>
      <c r="BA1972" s="69"/>
      <c r="BB1972" s="69"/>
      <c r="BC1972" s="69"/>
    </row>
    <row r="1973">
      <c r="A1973" s="68"/>
      <c r="B1973" s="68"/>
      <c r="C1973" s="68"/>
      <c r="D1973" s="68"/>
      <c r="E1973" s="68"/>
      <c r="F1973" s="68"/>
      <c r="G1973" s="68"/>
      <c r="H1973" s="68"/>
      <c r="I1973" s="69"/>
      <c r="J1973" s="69"/>
      <c r="K1973" s="71"/>
      <c r="L1973" s="69"/>
      <c r="M1973" s="69"/>
      <c r="N1973" s="72"/>
      <c r="O1973" s="69"/>
      <c r="P1973" s="69"/>
      <c r="Q1973" s="69"/>
      <c r="R1973" s="69"/>
      <c r="S1973" s="69"/>
      <c r="T1973" s="69"/>
      <c r="U1973" s="69"/>
      <c r="V1973" s="69"/>
      <c r="W1973" s="69"/>
      <c r="X1973" s="69"/>
      <c r="Y1973" s="69"/>
      <c r="Z1973" s="69"/>
      <c r="AA1973" s="69"/>
      <c r="AB1973" s="69"/>
      <c r="AC1973" s="69"/>
      <c r="AD1973" s="69"/>
      <c r="AE1973" s="69"/>
      <c r="AF1973" s="69"/>
      <c r="AG1973" s="69"/>
      <c r="AH1973" s="69"/>
      <c r="AI1973" s="69"/>
      <c r="AJ1973" s="69"/>
      <c r="AK1973" s="69"/>
      <c r="AL1973" s="69"/>
      <c r="AM1973" s="69"/>
      <c r="AN1973" s="69"/>
      <c r="AO1973" s="69"/>
      <c r="AP1973" s="69"/>
      <c r="AQ1973" s="69"/>
      <c r="AR1973" s="69"/>
      <c r="AS1973" s="69"/>
      <c r="AT1973" s="69"/>
      <c r="AU1973" s="69"/>
      <c r="AV1973" s="69"/>
      <c r="AW1973" s="69"/>
      <c r="AX1973" s="69"/>
      <c r="AY1973" s="69"/>
      <c r="AZ1973" s="69"/>
      <c r="BA1973" s="69"/>
      <c r="BB1973" s="69"/>
      <c r="BC1973" s="69"/>
    </row>
    <row r="1974">
      <c r="A1974" s="68"/>
      <c r="B1974" s="68"/>
      <c r="C1974" s="68"/>
      <c r="D1974" s="68"/>
      <c r="E1974" s="68"/>
      <c r="F1974" s="68"/>
      <c r="G1974" s="68"/>
      <c r="H1974" s="68"/>
      <c r="I1974" s="69"/>
      <c r="J1974" s="69"/>
      <c r="K1974" s="71"/>
      <c r="L1974" s="69"/>
      <c r="M1974" s="69"/>
      <c r="N1974" s="72"/>
      <c r="O1974" s="69"/>
      <c r="P1974" s="69"/>
      <c r="Q1974" s="69"/>
      <c r="R1974" s="69"/>
      <c r="S1974" s="69"/>
      <c r="T1974" s="69"/>
      <c r="U1974" s="69"/>
      <c r="V1974" s="69"/>
      <c r="W1974" s="69"/>
      <c r="X1974" s="69"/>
      <c r="Y1974" s="69"/>
      <c r="Z1974" s="69"/>
      <c r="AA1974" s="69"/>
      <c r="AB1974" s="69"/>
      <c r="AC1974" s="69"/>
      <c r="AD1974" s="69"/>
      <c r="AE1974" s="69"/>
      <c r="AF1974" s="69"/>
      <c r="AG1974" s="69"/>
      <c r="AH1974" s="69"/>
      <c r="AI1974" s="69"/>
      <c r="AJ1974" s="69"/>
      <c r="AK1974" s="69"/>
      <c r="AL1974" s="69"/>
      <c r="AM1974" s="69"/>
      <c r="AN1974" s="69"/>
      <c r="AO1974" s="69"/>
      <c r="AP1974" s="69"/>
      <c r="AQ1974" s="69"/>
      <c r="AR1974" s="69"/>
      <c r="AS1974" s="69"/>
      <c r="AT1974" s="69"/>
      <c r="AU1974" s="69"/>
      <c r="AV1974" s="69"/>
      <c r="AW1974" s="69"/>
      <c r="AX1974" s="69"/>
      <c r="AY1974" s="69"/>
      <c r="AZ1974" s="69"/>
      <c r="BA1974" s="69"/>
      <c r="BB1974" s="69"/>
      <c r="BC1974" s="69"/>
    </row>
    <row r="1975">
      <c r="A1975" s="68"/>
      <c r="B1975" s="68"/>
      <c r="C1975" s="68"/>
      <c r="D1975" s="68"/>
      <c r="E1975" s="68"/>
      <c r="F1975" s="68"/>
      <c r="G1975" s="68"/>
      <c r="H1975" s="68"/>
      <c r="I1975" s="69"/>
      <c r="J1975" s="69"/>
      <c r="K1975" s="71"/>
      <c r="L1975" s="69"/>
      <c r="M1975" s="69"/>
      <c r="N1975" s="72"/>
      <c r="O1975" s="69"/>
      <c r="P1975" s="69"/>
      <c r="Q1975" s="69"/>
      <c r="R1975" s="69"/>
      <c r="S1975" s="69"/>
      <c r="T1975" s="69"/>
      <c r="U1975" s="69"/>
      <c r="V1975" s="69"/>
      <c r="W1975" s="69"/>
      <c r="X1975" s="69"/>
      <c r="Y1975" s="69"/>
      <c r="Z1975" s="69"/>
      <c r="AA1975" s="69"/>
      <c r="AB1975" s="69"/>
      <c r="AC1975" s="69"/>
      <c r="AD1975" s="69"/>
      <c r="AE1975" s="69"/>
      <c r="AF1975" s="69"/>
      <c r="AG1975" s="69"/>
      <c r="AH1975" s="69"/>
      <c r="AI1975" s="69"/>
      <c r="AJ1975" s="69"/>
      <c r="AK1975" s="69"/>
      <c r="AL1975" s="69"/>
      <c r="AM1975" s="69"/>
      <c r="AN1975" s="69"/>
      <c r="AO1975" s="69"/>
      <c r="AP1975" s="69"/>
      <c r="AQ1975" s="69"/>
      <c r="AR1975" s="69"/>
      <c r="AS1975" s="69"/>
      <c r="AT1975" s="69"/>
      <c r="AU1975" s="69"/>
      <c r="AV1975" s="69"/>
      <c r="AW1975" s="69"/>
      <c r="AX1975" s="69"/>
      <c r="AY1975" s="69"/>
      <c r="AZ1975" s="69"/>
      <c r="BA1975" s="69"/>
      <c r="BB1975" s="69"/>
      <c r="BC1975" s="69"/>
    </row>
    <row r="1976">
      <c r="A1976" s="68"/>
      <c r="B1976" s="68"/>
      <c r="C1976" s="68"/>
      <c r="D1976" s="68"/>
      <c r="E1976" s="68"/>
      <c r="F1976" s="68"/>
      <c r="G1976" s="68"/>
      <c r="H1976" s="68"/>
      <c r="I1976" s="69"/>
      <c r="J1976" s="69"/>
      <c r="K1976" s="71"/>
      <c r="L1976" s="69"/>
      <c r="M1976" s="69"/>
      <c r="N1976" s="72"/>
      <c r="O1976" s="69"/>
      <c r="P1976" s="69"/>
      <c r="Q1976" s="69"/>
      <c r="R1976" s="69"/>
      <c r="S1976" s="69"/>
      <c r="T1976" s="69"/>
      <c r="U1976" s="69"/>
      <c r="V1976" s="69"/>
      <c r="W1976" s="69"/>
      <c r="X1976" s="69"/>
      <c r="Y1976" s="69"/>
      <c r="Z1976" s="69"/>
      <c r="AA1976" s="69"/>
      <c r="AB1976" s="69"/>
      <c r="AC1976" s="69"/>
      <c r="AD1976" s="69"/>
      <c r="AE1976" s="69"/>
      <c r="AF1976" s="69"/>
      <c r="AG1976" s="69"/>
      <c r="AH1976" s="69"/>
      <c r="AI1976" s="69"/>
      <c r="AJ1976" s="69"/>
      <c r="AK1976" s="69"/>
      <c r="AL1976" s="69"/>
      <c r="AM1976" s="69"/>
      <c r="AN1976" s="69"/>
      <c r="AO1976" s="69"/>
      <c r="AP1976" s="69"/>
      <c r="AQ1976" s="69"/>
      <c r="AR1976" s="69"/>
      <c r="AS1976" s="69"/>
      <c r="AT1976" s="69"/>
      <c r="AU1976" s="69"/>
      <c r="AV1976" s="69"/>
      <c r="AW1976" s="69"/>
      <c r="AX1976" s="69"/>
      <c r="AY1976" s="69"/>
      <c r="AZ1976" s="69"/>
      <c r="BA1976" s="69"/>
      <c r="BB1976" s="69"/>
      <c r="BC1976" s="69"/>
    </row>
    <row r="1977">
      <c r="A1977" s="68"/>
      <c r="B1977" s="68"/>
      <c r="C1977" s="68"/>
      <c r="D1977" s="68"/>
      <c r="E1977" s="68"/>
      <c r="F1977" s="68"/>
      <c r="G1977" s="68"/>
      <c r="H1977" s="68"/>
      <c r="I1977" s="69"/>
      <c r="J1977" s="69"/>
      <c r="K1977" s="71"/>
      <c r="L1977" s="69"/>
      <c r="M1977" s="69"/>
      <c r="N1977" s="72"/>
      <c r="O1977" s="69"/>
      <c r="P1977" s="69"/>
      <c r="Q1977" s="69"/>
      <c r="R1977" s="69"/>
      <c r="S1977" s="69"/>
      <c r="T1977" s="69"/>
      <c r="U1977" s="69"/>
      <c r="V1977" s="69"/>
      <c r="W1977" s="69"/>
      <c r="X1977" s="69"/>
      <c r="Y1977" s="69"/>
      <c r="Z1977" s="69"/>
      <c r="AA1977" s="69"/>
      <c r="AB1977" s="69"/>
      <c r="AC1977" s="69"/>
      <c r="AD1977" s="69"/>
      <c r="AE1977" s="69"/>
      <c r="AF1977" s="69"/>
      <c r="AG1977" s="69"/>
      <c r="AH1977" s="69"/>
      <c r="AI1977" s="69"/>
      <c r="AJ1977" s="69"/>
      <c r="AK1977" s="69"/>
      <c r="AL1977" s="69"/>
      <c r="AM1977" s="69"/>
      <c r="AN1977" s="69"/>
      <c r="AO1977" s="69"/>
      <c r="AP1977" s="69"/>
      <c r="AQ1977" s="69"/>
      <c r="AR1977" s="69"/>
      <c r="AS1977" s="69"/>
      <c r="AT1977" s="69"/>
      <c r="AU1977" s="69"/>
      <c r="AV1977" s="69"/>
      <c r="AW1977" s="69"/>
      <c r="AX1977" s="69"/>
      <c r="AY1977" s="69"/>
      <c r="AZ1977" s="69"/>
      <c r="BA1977" s="69"/>
      <c r="BB1977" s="69"/>
      <c r="BC1977" s="69"/>
    </row>
    <row r="1978">
      <c r="A1978" s="68"/>
      <c r="B1978" s="68"/>
      <c r="C1978" s="68"/>
      <c r="D1978" s="68"/>
      <c r="E1978" s="68"/>
      <c r="F1978" s="68"/>
      <c r="G1978" s="68"/>
      <c r="H1978" s="68"/>
      <c r="I1978" s="69"/>
      <c r="J1978" s="69"/>
      <c r="K1978" s="71"/>
      <c r="L1978" s="69"/>
      <c r="M1978" s="69"/>
      <c r="N1978" s="72"/>
      <c r="O1978" s="69"/>
      <c r="P1978" s="69"/>
      <c r="Q1978" s="69"/>
      <c r="R1978" s="69"/>
      <c r="S1978" s="69"/>
      <c r="T1978" s="69"/>
      <c r="U1978" s="69"/>
      <c r="V1978" s="69"/>
      <c r="W1978" s="69"/>
      <c r="X1978" s="69"/>
      <c r="Y1978" s="69"/>
      <c r="Z1978" s="69"/>
      <c r="AA1978" s="69"/>
      <c r="AB1978" s="69"/>
      <c r="AC1978" s="69"/>
      <c r="AD1978" s="69"/>
      <c r="AE1978" s="69"/>
      <c r="AF1978" s="69"/>
      <c r="AG1978" s="69"/>
      <c r="AH1978" s="69"/>
      <c r="AI1978" s="69"/>
      <c r="AJ1978" s="69"/>
      <c r="AK1978" s="69"/>
      <c r="AL1978" s="69"/>
      <c r="AM1978" s="69"/>
      <c r="AN1978" s="69"/>
      <c r="AO1978" s="69"/>
      <c r="AP1978" s="69"/>
      <c r="AQ1978" s="69"/>
      <c r="AR1978" s="69"/>
      <c r="AS1978" s="69"/>
      <c r="AT1978" s="69"/>
      <c r="AU1978" s="69"/>
      <c r="AV1978" s="69"/>
      <c r="AW1978" s="69"/>
      <c r="AX1978" s="69"/>
      <c r="AY1978" s="69"/>
      <c r="AZ1978" s="69"/>
      <c r="BA1978" s="69"/>
      <c r="BB1978" s="69"/>
      <c r="BC1978" s="69"/>
    </row>
    <row r="1979">
      <c r="A1979" s="68"/>
      <c r="B1979" s="68"/>
      <c r="C1979" s="68"/>
      <c r="D1979" s="68"/>
      <c r="E1979" s="68"/>
      <c r="F1979" s="68"/>
      <c r="G1979" s="68"/>
      <c r="H1979" s="68"/>
      <c r="I1979" s="69"/>
      <c r="J1979" s="69"/>
      <c r="K1979" s="71"/>
      <c r="L1979" s="69"/>
      <c r="M1979" s="69"/>
      <c r="N1979" s="72"/>
      <c r="O1979" s="69"/>
      <c r="P1979" s="69"/>
      <c r="Q1979" s="69"/>
      <c r="R1979" s="69"/>
      <c r="S1979" s="69"/>
      <c r="T1979" s="69"/>
      <c r="U1979" s="69"/>
      <c r="V1979" s="69"/>
      <c r="W1979" s="69"/>
      <c r="X1979" s="69"/>
      <c r="Y1979" s="69"/>
      <c r="Z1979" s="69"/>
      <c r="AA1979" s="69"/>
      <c r="AB1979" s="69"/>
      <c r="AC1979" s="69"/>
      <c r="AD1979" s="69"/>
      <c r="AE1979" s="69"/>
      <c r="AF1979" s="69"/>
      <c r="AG1979" s="69"/>
      <c r="AH1979" s="69"/>
      <c r="AI1979" s="69"/>
      <c r="AJ1979" s="69"/>
      <c r="AK1979" s="69"/>
      <c r="AL1979" s="69"/>
      <c r="AM1979" s="69"/>
      <c r="AN1979" s="69"/>
      <c r="AO1979" s="69"/>
      <c r="AP1979" s="69"/>
      <c r="AQ1979" s="69"/>
      <c r="AR1979" s="69"/>
      <c r="AS1979" s="69"/>
      <c r="AT1979" s="69"/>
      <c r="AU1979" s="69"/>
      <c r="AV1979" s="69"/>
      <c r="AW1979" s="69"/>
      <c r="AX1979" s="69"/>
      <c r="AY1979" s="69"/>
      <c r="AZ1979" s="69"/>
      <c r="BA1979" s="69"/>
      <c r="BB1979" s="69"/>
      <c r="BC1979" s="69"/>
    </row>
    <row r="1980">
      <c r="A1980" s="68"/>
      <c r="B1980" s="68"/>
      <c r="C1980" s="68"/>
      <c r="D1980" s="68"/>
      <c r="E1980" s="68"/>
      <c r="F1980" s="68"/>
      <c r="G1980" s="68"/>
      <c r="H1980" s="68"/>
      <c r="I1980" s="69"/>
      <c r="J1980" s="69"/>
      <c r="K1980" s="71"/>
      <c r="L1980" s="69"/>
      <c r="M1980" s="69"/>
      <c r="N1980" s="72"/>
      <c r="O1980" s="69"/>
      <c r="P1980" s="69"/>
      <c r="Q1980" s="69"/>
      <c r="R1980" s="69"/>
      <c r="S1980" s="69"/>
      <c r="T1980" s="69"/>
      <c r="U1980" s="69"/>
      <c r="V1980" s="69"/>
      <c r="W1980" s="69"/>
      <c r="X1980" s="69"/>
      <c r="Y1980" s="69"/>
      <c r="Z1980" s="69"/>
      <c r="AA1980" s="69"/>
      <c r="AB1980" s="69"/>
      <c r="AC1980" s="69"/>
      <c r="AD1980" s="69"/>
      <c r="AE1980" s="69"/>
      <c r="AF1980" s="69"/>
      <c r="AG1980" s="69"/>
      <c r="AH1980" s="69"/>
      <c r="AI1980" s="69"/>
      <c r="AJ1980" s="69"/>
      <c r="AK1980" s="69"/>
      <c r="AL1980" s="69"/>
      <c r="AM1980" s="69"/>
      <c r="AN1980" s="69"/>
      <c r="AO1980" s="69"/>
      <c r="AP1980" s="69"/>
      <c r="AQ1980" s="69"/>
      <c r="AR1980" s="69"/>
      <c r="AS1980" s="69"/>
      <c r="AT1980" s="69"/>
      <c r="AU1980" s="69"/>
      <c r="AV1980" s="69"/>
      <c r="AW1980" s="69"/>
      <c r="AX1980" s="69"/>
      <c r="AY1980" s="69"/>
      <c r="AZ1980" s="69"/>
      <c r="BA1980" s="69"/>
      <c r="BB1980" s="69"/>
      <c r="BC1980" s="69"/>
    </row>
    <row r="1981">
      <c r="A1981" s="68"/>
      <c r="B1981" s="68"/>
      <c r="C1981" s="68"/>
      <c r="D1981" s="68"/>
      <c r="E1981" s="68"/>
      <c r="F1981" s="68"/>
      <c r="G1981" s="68"/>
      <c r="H1981" s="68"/>
      <c r="I1981" s="69"/>
      <c r="J1981" s="69"/>
      <c r="K1981" s="71"/>
      <c r="L1981" s="69"/>
      <c r="M1981" s="69"/>
      <c r="N1981" s="72"/>
      <c r="O1981" s="69"/>
      <c r="P1981" s="69"/>
      <c r="Q1981" s="69"/>
      <c r="R1981" s="69"/>
      <c r="S1981" s="69"/>
      <c r="T1981" s="69"/>
      <c r="U1981" s="69"/>
      <c r="V1981" s="69"/>
      <c r="W1981" s="69"/>
      <c r="X1981" s="69"/>
      <c r="Y1981" s="69"/>
      <c r="Z1981" s="69"/>
      <c r="AA1981" s="69"/>
      <c r="AB1981" s="69"/>
      <c r="AC1981" s="69"/>
      <c r="AD1981" s="69"/>
      <c r="AE1981" s="69"/>
      <c r="AF1981" s="69"/>
      <c r="AG1981" s="69"/>
      <c r="AH1981" s="69"/>
      <c r="AI1981" s="69"/>
      <c r="AJ1981" s="69"/>
      <c r="AK1981" s="69"/>
      <c r="AL1981" s="69"/>
      <c r="AM1981" s="69"/>
      <c r="AN1981" s="69"/>
      <c r="AO1981" s="69"/>
      <c r="AP1981" s="69"/>
      <c r="AQ1981" s="69"/>
      <c r="AR1981" s="69"/>
      <c r="AS1981" s="69"/>
      <c r="AT1981" s="69"/>
      <c r="AU1981" s="69"/>
      <c r="AV1981" s="69"/>
      <c r="AW1981" s="69"/>
      <c r="AX1981" s="69"/>
      <c r="AY1981" s="69"/>
      <c r="AZ1981" s="69"/>
      <c r="BA1981" s="69"/>
      <c r="BB1981" s="69"/>
      <c r="BC1981" s="69"/>
    </row>
    <row r="1982">
      <c r="A1982" s="68"/>
      <c r="B1982" s="68"/>
      <c r="C1982" s="68"/>
      <c r="D1982" s="68"/>
      <c r="E1982" s="68"/>
      <c r="F1982" s="68"/>
      <c r="G1982" s="68"/>
      <c r="H1982" s="68"/>
      <c r="I1982" s="69"/>
      <c r="J1982" s="69"/>
      <c r="K1982" s="71"/>
      <c r="L1982" s="69"/>
      <c r="M1982" s="69"/>
      <c r="N1982" s="72"/>
      <c r="O1982" s="69"/>
      <c r="P1982" s="69"/>
      <c r="Q1982" s="69"/>
      <c r="R1982" s="69"/>
      <c r="S1982" s="69"/>
      <c r="T1982" s="69"/>
      <c r="U1982" s="69"/>
      <c r="V1982" s="69"/>
      <c r="W1982" s="69"/>
      <c r="X1982" s="69"/>
      <c r="Y1982" s="69"/>
      <c r="Z1982" s="69"/>
      <c r="AA1982" s="69"/>
      <c r="AB1982" s="69"/>
      <c r="AC1982" s="69"/>
      <c r="AD1982" s="69"/>
      <c r="AE1982" s="69"/>
      <c r="AF1982" s="69"/>
      <c r="AG1982" s="69"/>
      <c r="AH1982" s="69"/>
      <c r="AI1982" s="69"/>
      <c r="AJ1982" s="69"/>
      <c r="AK1982" s="69"/>
      <c r="AL1982" s="69"/>
      <c r="AM1982" s="69"/>
      <c r="AN1982" s="69"/>
      <c r="AO1982" s="69"/>
      <c r="AP1982" s="69"/>
      <c r="AQ1982" s="69"/>
      <c r="AR1982" s="69"/>
      <c r="AS1982" s="69"/>
      <c r="AT1982" s="69"/>
      <c r="AU1982" s="69"/>
      <c r="AV1982" s="69"/>
      <c r="AW1982" s="69"/>
      <c r="AX1982" s="69"/>
      <c r="AY1982" s="69"/>
      <c r="AZ1982" s="69"/>
      <c r="BA1982" s="69"/>
      <c r="BB1982" s="69"/>
      <c r="BC1982" s="69"/>
    </row>
    <row r="1983">
      <c r="A1983" s="68"/>
      <c r="B1983" s="68"/>
      <c r="C1983" s="68"/>
      <c r="D1983" s="68"/>
      <c r="E1983" s="68"/>
      <c r="F1983" s="68"/>
      <c r="G1983" s="68"/>
      <c r="H1983" s="68"/>
      <c r="I1983" s="69"/>
      <c r="J1983" s="69"/>
      <c r="K1983" s="71"/>
      <c r="L1983" s="69"/>
      <c r="M1983" s="69"/>
      <c r="N1983" s="72"/>
      <c r="O1983" s="69"/>
      <c r="P1983" s="69"/>
      <c r="Q1983" s="69"/>
      <c r="R1983" s="69"/>
      <c r="S1983" s="69"/>
      <c r="T1983" s="69"/>
      <c r="U1983" s="69"/>
      <c r="V1983" s="69"/>
      <c r="W1983" s="69"/>
      <c r="X1983" s="69"/>
      <c r="Y1983" s="69"/>
      <c r="Z1983" s="69"/>
      <c r="AA1983" s="69"/>
      <c r="AB1983" s="69"/>
      <c r="AC1983" s="69"/>
      <c r="AD1983" s="69"/>
      <c r="AE1983" s="69"/>
      <c r="AF1983" s="69"/>
      <c r="AG1983" s="69"/>
      <c r="AH1983" s="69"/>
      <c r="AI1983" s="69"/>
      <c r="AJ1983" s="69"/>
      <c r="AK1983" s="69"/>
      <c r="AL1983" s="69"/>
      <c r="AM1983" s="69"/>
      <c r="AN1983" s="69"/>
      <c r="AO1983" s="69"/>
      <c r="AP1983" s="69"/>
      <c r="AQ1983" s="69"/>
      <c r="AR1983" s="69"/>
      <c r="AS1983" s="69"/>
      <c r="AT1983" s="69"/>
      <c r="AU1983" s="69"/>
      <c r="AV1983" s="69"/>
      <c r="AW1983" s="69"/>
      <c r="AX1983" s="69"/>
      <c r="AY1983" s="69"/>
      <c r="AZ1983" s="69"/>
      <c r="BA1983" s="69"/>
      <c r="BB1983" s="69"/>
      <c r="BC1983" s="69"/>
    </row>
    <row r="1984">
      <c r="A1984" s="68"/>
      <c r="B1984" s="68"/>
      <c r="C1984" s="68"/>
      <c r="D1984" s="68"/>
      <c r="E1984" s="68"/>
      <c r="F1984" s="68"/>
      <c r="G1984" s="68"/>
      <c r="H1984" s="68"/>
      <c r="I1984" s="69"/>
      <c r="J1984" s="69"/>
      <c r="K1984" s="71"/>
      <c r="L1984" s="69"/>
      <c r="M1984" s="69"/>
      <c r="N1984" s="72"/>
      <c r="O1984" s="69"/>
      <c r="P1984" s="69"/>
      <c r="Q1984" s="69"/>
      <c r="R1984" s="69"/>
      <c r="S1984" s="69"/>
      <c r="T1984" s="69"/>
      <c r="U1984" s="69"/>
      <c r="V1984" s="69"/>
      <c r="W1984" s="69"/>
      <c r="X1984" s="69"/>
      <c r="Y1984" s="69"/>
      <c r="Z1984" s="69"/>
      <c r="AA1984" s="69"/>
      <c r="AB1984" s="69"/>
      <c r="AC1984" s="69"/>
      <c r="AD1984" s="69"/>
      <c r="AE1984" s="69"/>
      <c r="AF1984" s="69"/>
      <c r="AG1984" s="69"/>
      <c r="AH1984" s="69"/>
      <c r="AI1984" s="69"/>
      <c r="AJ1984" s="69"/>
      <c r="AK1984" s="69"/>
      <c r="AL1984" s="69"/>
      <c r="AM1984" s="69"/>
      <c r="AN1984" s="69"/>
      <c r="AO1984" s="69"/>
      <c r="AP1984" s="69"/>
      <c r="AQ1984" s="69"/>
      <c r="AR1984" s="69"/>
      <c r="AS1984" s="69"/>
      <c r="AT1984" s="69"/>
      <c r="AU1984" s="69"/>
      <c r="AV1984" s="69"/>
      <c r="AW1984" s="69"/>
      <c r="AX1984" s="69"/>
      <c r="AY1984" s="69"/>
      <c r="AZ1984" s="69"/>
      <c r="BA1984" s="69"/>
      <c r="BB1984" s="69"/>
      <c r="BC1984" s="69"/>
    </row>
    <row r="1985">
      <c r="A1985" s="68"/>
      <c r="B1985" s="68"/>
      <c r="C1985" s="68"/>
      <c r="D1985" s="68"/>
      <c r="E1985" s="68"/>
      <c r="F1985" s="68"/>
      <c r="G1985" s="68"/>
      <c r="H1985" s="68"/>
      <c r="I1985" s="69"/>
      <c r="J1985" s="69"/>
      <c r="K1985" s="71"/>
      <c r="L1985" s="69"/>
      <c r="M1985" s="69"/>
      <c r="N1985" s="72"/>
      <c r="O1985" s="69"/>
      <c r="P1985" s="69"/>
      <c r="Q1985" s="69"/>
      <c r="R1985" s="69"/>
      <c r="S1985" s="69"/>
      <c r="T1985" s="69"/>
      <c r="U1985" s="69"/>
      <c r="V1985" s="69"/>
      <c r="W1985" s="69"/>
      <c r="X1985" s="69"/>
      <c r="Y1985" s="69"/>
      <c r="Z1985" s="69"/>
      <c r="AA1985" s="69"/>
      <c r="AB1985" s="69"/>
      <c r="AC1985" s="69"/>
      <c r="AD1985" s="69"/>
      <c r="AE1985" s="69"/>
      <c r="AF1985" s="69"/>
      <c r="AG1985" s="69"/>
      <c r="AH1985" s="69"/>
      <c r="AI1985" s="69"/>
      <c r="AJ1985" s="69"/>
      <c r="AK1985" s="69"/>
      <c r="AL1985" s="69"/>
      <c r="AM1985" s="69"/>
      <c r="AN1985" s="69"/>
      <c r="AO1985" s="69"/>
      <c r="AP1985" s="69"/>
      <c r="AQ1985" s="69"/>
      <c r="AR1985" s="69"/>
      <c r="AS1985" s="69"/>
      <c r="AT1985" s="69"/>
      <c r="AU1985" s="69"/>
      <c r="AV1985" s="69"/>
      <c r="AW1985" s="69"/>
      <c r="AX1985" s="69"/>
      <c r="AY1985" s="69"/>
      <c r="AZ1985" s="69"/>
      <c r="BA1985" s="69"/>
      <c r="BB1985" s="69"/>
      <c r="BC1985" s="69"/>
    </row>
    <row r="1986">
      <c r="A1986" s="68"/>
      <c r="B1986" s="68"/>
      <c r="C1986" s="68"/>
      <c r="D1986" s="68"/>
      <c r="E1986" s="68"/>
      <c r="F1986" s="68"/>
      <c r="G1986" s="68"/>
      <c r="H1986" s="68"/>
      <c r="I1986" s="69"/>
      <c r="J1986" s="69"/>
      <c r="K1986" s="71"/>
      <c r="L1986" s="69"/>
      <c r="M1986" s="69"/>
      <c r="N1986" s="72"/>
      <c r="O1986" s="69"/>
      <c r="P1986" s="69"/>
      <c r="Q1986" s="69"/>
      <c r="R1986" s="69"/>
      <c r="S1986" s="69"/>
      <c r="T1986" s="69"/>
      <c r="U1986" s="69"/>
      <c r="V1986" s="69"/>
      <c r="W1986" s="69"/>
      <c r="X1986" s="69"/>
      <c r="Y1986" s="69"/>
      <c r="Z1986" s="69"/>
      <c r="AA1986" s="69"/>
      <c r="AB1986" s="69"/>
      <c r="AC1986" s="69"/>
      <c r="AD1986" s="69"/>
      <c r="AE1986" s="69"/>
      <c r="AF1986" s="69"/>
      <c r="AG1986" s="69"/>
      <c r="AH1986" s="69"/>
      <c r="AI1986" s="69"/>
      <c r="AJ1986" s="69"/>
      <c r="AK1986" s="69"/>
      <c r="AL1986" s="69"/>
      <c r="AM1986" s="69"/>
      <c r="AN1986" s="69"/>
      <c r="AO1986" s="69"/>
      <c r="AP1986" s="69"/>
      <c r="AQ1986" s="69"/>
      <c r="AR1986" s="69"/>
      <c r="AS1986" s="69"/>
      <c r="AT1986" s="69"/>
      <c r="AU1986" s="69"/>
      <c r="AV1986" s="69"/>
      <c r="AW1986" s="69"/>
      <c r="AX1986" s="69"/>
      <c r="AY1986" s="69"/>
      <c r="AZ1986" s="69"/>
      <c r="BA1986" s="69"/>
      <c r="BB1986" s="69"/>
      <c r="BC1986" s="69"/>
    </row>
    <row r="1987">
      <c r="A1987" s="68"/>
      <c r="B1987" s="68"/>
      <c r="C1987" s="68"/>
      <c r="D1987" s="68"/>
      <c r="E1987" s="68"/>
      <c r="F1987" s="68"/>
      <c r="G1987" s="68"/>
      <c r="H1987" s="68"/>
      <c r="I1987" s="69"/>
      <c r="J1987" s="69"/>
      <c r="K1987" s="71"/>
      <c r="L1987" s="69"/>
      <c r="M1987" s="69"/>
      <c r="N1987" s="72"/>
      <c r="O1987" s="69"/>
      <c r="P1987" s="69"/>
      <c r="Q1987" s="69"/>
      <c r="R1987" s="69"/>
      <c r="S1987" s="69"/>
      <c r="T1987" s="69"/>
      <c r="U1987" s="69"/>
      <c r="V1987" s="69"/>
      <c r="W1987" s="69"/>
      <c r="X1987" s="69"/>
      <c r="Y1987" s="69"/>
      <c r="Z1987" s="69"/>
      <c r="AA1987" s="69"/>
      <c r="AB1987" s="69"/>
      <c r="AC1987" s="69"/>
      <c r="AD1987" s="69"/>
      <c r="AE1987" s="69"/>
      <c r="AF1987" s="69"/>
      <c r="AG1987" s="69"/>
      <c r="AH1987" s="69"/>
      <c r="AI1987" s="69"/>
      <c r="AJ1987" s="69"/>
      <c r="AK1987" s="69"/>
      <c r="AL1987" s="69"/>
      <c r="AM1987" s="69"/>
      <c r="AN1987" s="69"/>
      <c r="AO1987" s="69"/>
      <c r="AP1987" s="69"/>
      <c r="AQ1987" s="69"/>
      <c r="AR1987" s="69"/>
      <c r="AS1987" s="69"/>
      <c r="AT1987" s="69"/>
      <c r="AU1987" s="69"/>
      <c r="AV1987" s="69"/>
      <c r="AW1987" s="69"/>
      <c r="AX1987" s="69"/>
      <c r="AY1987" s="69"/>
      <c r="AZ1987" s="69"/>
      <c r="BA1987" s="69"/>
      <c r="BB1987" s="69"/>
      <c r="BC1987" s="69"/>
    </row>
    <row r="1988">
      <c r="A1988" s="68"/>
      <c r="B1988" s="68"/>
      <c r="C1988" s="68"/>
      <c r="D1988" s="68"/>
      <c r="E1988" s="68"/>
      <c r="F1988" s="68"/>
      <c r="G1988" s="68"/>
      <c r="H1988" s="68"/>
      <c r="I1988" s="69"/>
      <c r="J1988" s="69"/>
      <c r="K1988" s="71"/>
      <c r="L1988" s="69"/>
      <c r="M1988" s="69"/>
      <c r="N1988" s="72"/>
      <c r="O1988" s="69"/>
      <c r="P1988" s="69"/>
      <c r="Q1988" s="69"/>
      <c r="R1988" s="69"/>
      <c r="S1988" s="69"/>
      <c r="T1988" s="69"/>
      <c r="U1988" s="69"/>
      <c r="V1988" s="69"/>
      <c r="W1988" s="69"/>
      <c r="X1988" s="69"/>
      <c r="Y1988" s="69"/>
      <c r="Z1988" s="69"/>
      <c r="AA1988" s="69"/>
      <c r="AB1988" s="69"/>
      <c r="AC1988" s="69"/>
      <c r="AD1988" s="69"/>
      <c r="AE1988" s="69"/>
      <c r="AF1988" s="69"/>
      <c r="AG1988" s="69"/>
      <c r="AH1988" s="69"/>
      <c r="AI1988" s="69"/>
      <c r="AJ1988" s="69"/>
      <c r="AK1988" s="69"/>
      <c r="AL1988" s="69"/>
      <c r="AM1988" s="69"/>
      <c r="AN1988" s="69"/>
      <c r="AO1988" s="69"/>
      <c r="AP1988" s="69"/>
      <c r="AQ1988" s="69"/>
      <c r="AR1988" s="69"/>
      <c r="AS1988" s="69"/>
      <c r="AT1988" s="69"/>
      <c r="AU1988" s="69"/>
      <c r="AV1988" s="69"/>
      <c r="AW1988" s="69"/>
      <c r="AX1988" s="69"/>
      <c r="AY1988" s="69"/>
      <c r="AZ1988" s="69"/>
      <c r="BA1988" s="69"/>
      <c r="BB1988" s="69"/>
      <c r="BC1988" s="69"/>
    </row>
    <row r="1989">
      <c r="A1989" s="68"/>
      <c r="B1989" s="68"/>
      <c r="C1989" s="68"/>
      <c r="D1989" s="68"/>
      <c r="E1989" s="68"/>
      <c r="F1989" s="68"/>
      <c r="G1989" s="68"/>
      <c r="H1989" s="68"/>
      <c r="I1989" s="69"/>
      <c r="J1989" s="69"/>
      <c r="K1989" s="71"/>
      <c r="L1989" s="69"/>
      <c r="M1989" s="69"/>
      <c r="N1989" s="72"/>
      <c r="O1989" s="69"/>
      <c r="P1989" s="69"/>
      <c r="Q1989" s="69"/>
      <c r="R1989" s="69"/>
      <c r="S1989" s="69"/>
      <c r="T1989" s="69"/>
      <c r="U1989" s="69"/>
      <c r="V1989" s="69"/>
      <c r="W1989" s="69"/>
      <c r="X1989" s="69"/>
      <c r="Y1989" s="69"/>
      <c r="Z1989" s="69"/>
      <c r="AA1989" s="69"/>
      <c r="AB1989" s="69"/>
      <c r="AC1989" s="69"/>
      <c r="AD1989" s="69"/>
      <c r="AE1989" s="69"/>
      <c r="AF1989" s="69"/>
      <c r="AG1989" s="69"/>
      <c r="AH1989" s="69"/>
      <c r="AI1989" s="69"/>
      <c r="AJ1989" s="69"/>
      <c r="AK1989" s="69"/>
      <c r="AL1989" s="69"/>
      <c r="AM1989" s="69"/>
      <c r="AN1989" s="69"/>
      <c r="AO1989" s="69"/>
      <c r="AP1989" s="69"/>
      <c r="AQ1989" s="69"/>
      <c r="AR1989" s="69"/>
      <c r="AS1989" s="69"/>
      <c r="AT1989" s="69"/>
      <c r="AU1989" s="69"/>
      <c r="AV1989" s="69"/>
      <c r="AW1989" s="69"/>
      <c r="AX1989" s="69"/>
      <c r="AY1989" s="69"/>
      <c r="AZ1989" s="69"/>
      <c r="BA1989" s="69"/>
      <c r="BB1989" s="69"/>
      <c r="BC1989" s="69"/>
    </row>
    <row r="1990">
      <c r="A1990" s="68"/>
      <c r="B1990" s="68"/>
      <c r="C1990" s="68"/>
      <c r="D1990" s="68"/>
      <c r="E1990" s="68"/>
      <c r="F1990" s="68"/>
      <c r="G1990" s="68"/>
      <c r="H1990" s="68"/>
      <c r="I1990" s="69"/>
      <c r="J1990" s="69"/>
      <c r="K1990" s="71"/>
      <c r="L1990" s="69"/>
      <c r="M1990" s="69"/>
      <c r="N1990" s="72"/>
      <c r="O1990" s="69"/>
      <c r="P1990" s="69"/>
      <c r="Q1990" s="69"/>
      <c r="R1990" s="69"/>
      <c r="S1990" s="69"/>
      <c r="T1990" s="69"/>
      <c r="U1990" s="69"/>
      <c r="V1990" s="69"/>
      <c r="W1990" s="69"/>
      <c r="X1990" s="69"/>
      <c r="Y1990" s="69"/>
      <c r="Z1990" s="69"/>
      <c r="AA1990" s="69"/>
      <c r="AB1990" s="69"/>
      <c r="AC1990" s="69"/>
      <c r="AD1990" s="69"/>
      <c r="AE1990" s="69"/>
      <c r="AF1990" s="69"/>
      <c r="AG1990" s="69"/>
      <c r="AH1990" s="69"/>
      <c r="AI1990" s="69"/>
      <c r="AJ1990" s="69"/>
      <c r="AK1990" s="69"/>
      <c r="AL1990" s="69"/>
      <c r="AM1990" s="69"/>
      <c r="AN1990" s="69"/>
      <c r="AO1990" s="69"/>
      <c r="AP1990" s="69"/>
      <c r="AQ1990" s="69"/>
      <c r="AR1990" s="69"/>
      <c r="AS1990" s="69"/>
      <c r="AT1990" s="69"/>
      <c r="AU1990" s="69"/>
      <c r="AV1990" s="69"/>
      <c r="AW1990" s="69"/>
      <c r="AX1990" s="69"/>
      <c r="AY1990" s="69"/>
      <c r="AZ1990" s="69"/>
      <c r="BA1990" s="69"/>
      <c r="BB1990" s="69"/>
      <c r="BC1990" s="69"/>
    </row>
    <row r="1991">
      <c r="A1991" s="68"/>
      <c r="B1991" s="68"/>
      <c r="C1991" s="68"/>
      <c r="D1991" s="68"/>
      <c r="E1991" s="68"/>
      <c r="F1991" s="68"/>
      <c r="G1991" s="68"/>
      <c r="H1991" s="68"/>
      <c r="I1991" s="69"/>
      <c r="J1991" s="69"/>
      <c r="K1991" s="71"/>
      <c r="L1991" s="69"/>
      <c r="M1991" s="69"/>
      <c r="N1991" s="72"/>
      <c r="O1991" s="69"/>
      <c r="P1991" s="69"/>
      <c r="Q1991" s="69"/>
      <c r="R1991" s="69"/>
      <c r="S1991" s="69"/>
      <c r="T1991" s="69"/>
      <c r="U1991" s="69"/>
      <c r="V1991" s="69"/>
      <c r="W1991" s="69"/>
      <c r="X1991" s="69"/>
      <c r="Y1991" s="69"/>
      <c r="Z1991" s="69"/>
      <c r="AA1991" s="69"/>
      <c r="AB1991" s="69"/>
      <c r="AC1991" s="69"/>
      <c r="AD1991" s="69"/>
      <c r="AE1991" s="69"/>
      <c r="AF1991" s="69"/>
      <c r="AG1991" s="69"/>
      <c r="AH1991" s="69"/>
      <c r="AI1991" s="69"/>
      <c r="AJ1991" s="69"/>
      <c r="AK1991" s="69"/>
      <c r="AL1991" s="69"/>
      <c r="AM1991" s="69"/>
      <c r="AN1991" s="69"/>
      <c r="AO1991" s="69"/>
      <c r="AP1991" s="69"/>
      <c r="AQ1991" s="69"/>
      <c r="AR1991" s="69"/>
      <c r="AS1991" s="69"/>
      <c r="AT1991" s="69"/>
      <c r="AU1991" s="69"/>
      <c r="AV1991" s="69"/>
      <c r="AW1991" s="69"/>
      <c r="AX1991" s="69"/>
      <c r="AY1991" s="69"/>
      <c r="AZ1991" s="69"/>
      <c r="BA1991" s="69"/>
      <c r="BB1991" s="69"/>
      <c r="BC1991" s="69"/>
    </row>
    <row r="1992">
      <c r="A1992" s="68"/>
      <c r="B1992" s="68"/>
      <c r="C1992" s="68"/>
      <c r="D1992" s="68"/>
      <c r="E1992" s="68"/>
      <c r="F1992" s="68"/>
      <c r="G1992" s="68"/>
      <c r="H1992" s="68"/>
      <c r="I1992" s="69"/>
      <c r="J1992" s="69"/>
      <c r="K1992" s="71"/>
      <c r="L1992" s="69"/>
      <c r="M1992" s="69"/>
      <c r="N1992" s="72"/>
      <c r="O1992" s="69"/>
      <c r="P1992" s="69"/>
      <c r="Q1992" s="69"/>
      <c r="R1992" s="69"/>
      <c r="S1992" s="69"/>
      <c r="T1992" s="69"/>
      <c r="U1992" s="69"/>
      <c r="V1992" s="69"/>
      <c r="W1992" s="69"/>
      <c r="X1992" s="69"/>
      <c r="Y1992" s="69"/>
      <c r="Z1992" s="69"/>
      <c r="AA1992" s="69"/>
      <c r="AB1992" s="69"/>
      <c r="AC1992" s="69"/>
      <c r="AD1992" s="69"/>
      <c r="AE1992" s="69"/>
      <c r="AF1992" s="69"/>
      <c r="AG1992" s="69"/>
      <c r="AH1992" s="69"/>
      <c r="AI1992" s="69"/>
      <c r="AJ1992" s="69"/>
      <c r="AK1992" s="69"/>
      <c r="AL1992" s="69"/>
      <c r="AM1992" s="69"/>
      <c r="AN1992" s="69"/>
      <c r="AO1992" s="69"/>
      <c r="AP1992" s="69"/>
      <c r="AQ1992" s="69"/>
      <c r="AR1992" s="69"/>
      <c r="AS1992" s="69"/>
      <c r="AT1992" s="69"/>
      <c r="AU1992" s="69"/>
      <c r="AV1992" s="69"/>
      <c r="AW1992" s="69"/>
      <c r="AX1992" s="69"/>
      <c r="AY1992" s="69"/>
      <c r="AZ1992" s="69"/>
      <c r="BA1992" s="69"/>
      <c r="BB1992" s="69"/>
      <c r="BC1992" s="69"/>
    </row>
    <row r="1993">
      <c r="A1993" s="68"/>
      <c r="B1993" s="68"/>
      <c r="C1993" s="68"/>
      <c r="D1993" s="68"/>
      <c r="E1993" s="68"/>
      <c r="F1993" s="68"/>
      <c r="G1993" s="68"/>
      <c r="H1993" s="68"/>
      <c r="I1993" s="69"/>
      <c r="J1993" s="69"/>
      <c r="K1993" s="71"/>
      <c r="L1993" s="69"/>
      <c r="M1993" s="69"/>
      <c r="N1993" s="72"/>
      <c r="O1993" s="69"/>
      <c r="P1993" s="69"/>
      <c r="Q1993" s="69"/>
      <c r="R1993" s="69"/>
      <c r="S1993" s="69"/>
      <c r="T1993" s="69"/>
      <c r="U1993" s="69"/>
      <c r="V1993" s="69"/>
      <c r="W1993" s="69"/>
      <c r="X1993" s="69"/>
      <c r="Y1993" s="69"/>
      <c r="Z1993" s="69"/>
      <c r="AA1993" s="69"/>
      <c r="AB1993" s="69"/>
      <c r="AC1993" s="69"/>
      <c r="AD1993" s="69"/>
      <c r="AE1993" s="69"/>
      <c r="AF1993" s="69"/>
      <c r="AG1993" s="69"/>
      <c r="AH1993" s="69"/>
      <c r="AI1993" s="69"/>
      <c r="AJ1993" s="69"/>
      <c r="AK1993" s="69"/>
      <c r="AL1993" s="69"/>
      <c r="AM1993" s="69"/>
      <c r="AN1993" s="69"/>
      <c r="AO1993" s="69"/>
      <c r="AP1993" s="69"/>
      <c r="AQ1993" s="69"/>
      <c r="AR1993" s="69"/>
      <c r="AS1993" s="69"/>
      <c r="AT1993" s="69"/>
      <c r="AU1993" s="69"/>
      <c r="AV1993" s="69"/>
      <c r="AW1993" s="69"/>
      <c r="AX1993" s="69"/>
      <c r="AY1993" s="69"/>
      <c r="AZ1993" s="69"/>
      <c r="BA1993" s="69"/>
      <c r="BB1993" s="69"/>
      <c r="BC1993" s="69"/>
    </row>
    <row r="1994">
      <c r="A1994" s="68"/>
      <c r="B1994" s="68"/>
      <c r="C1994" s="68"/>
      <c r="D1994" s="68"/>
      <c r="E1994" s="68"/>
      <c r="F1994" s="68"/>
      <c r="G1994" s="68"/>
      <c r="H1994" s="68"/>
      <c r="I1994" s="69"/>
      <c r="J1994" s="69"/>
      <c r="K1994" s="71"/>
      <c r="L1994" s="69"/>
      <c r="M1994" s="69"/>
      <c r="N1994" s="72"/>
      <c r="O1994" s="69"/>
      <c r="P1994" s="69"/>
      <c r="Q1994" s="69"/>
      <c r="R1994" s="69"/>
      <c r="S1994" s="69"/>
      <c r="T1994" s="69"/>
      <c r="U1994" s="69"/>
      <c r="V1994" s="69"/>
      <c r="W1994" s="69"/>
      <c r="X1994" s="69"/>
      <c r="Y1994" s="69"/>
      <c r="Z1994" s="69"/>
      <c r="AA1994" s="69"/>
      <c r="AB1994" s="69"/>
      <c r="AC1994" s="69"/>
      <c r="AD1994" s="69"/>
      <c r="AE1994" s="69"/>
      <c r="AF1994" s="69"/>
      <c r="AG1994" s="69"/>
      <c r="AH1994" s="69"/>
      <c r="AI1994" s="69"/>
      <c r="AJ1994" s="69"/>
      <c r="AK1994" s="69"/>
      <c r="AL1994" s="69"/>
      <c r="AM1994" s="69"/>
      <c r="AN1994" s="69"/>
      <c r="AO1994" s="69"/>
      <c r="AP1994" s="69"/>
      <c r="AQ1994" s="69"/>
      <c r="AR1994" s="69"/>
      <c r="AS1994" s="69"/>
      <c r="AT1994" s="69"/>
      <c r="AU1994" s="69"/>
      <c r="AV1994" s="69"/>
      <c r="AW1994" s="69"/>
      <c r="AX1994" s="69"/>
      <c r="AY1994" s="69"/>
      <c r="AZ1994" s="69"/>
      <c r="BA1994" s="69"/>
      <c r="BB1994" s="69"/>
      <c r="BC1994" s="69"/>
    </row>
    <row r="1995">
      <c r="A1995" s="68"/>
      <c r="B1995" s="68"/>
      <c r="C1995" s="68"/>
      <c r="D1995" s="68"/>
      <c r="E1995" s="68"/>
      <c r="F1995" s="68"/>
      <c r="G1995" s="68"/>
      <c r="H1995" s="68"/>
      <c r="I1995" s="69"/>
      <c r="J1995" s="69"/>
      <c r="K1995" s="71"/>
      <c r="L1995" s="69"/>
      <c r="M1995" s="69"/>
      <c r="N1995" s="72"/>
      <c r="O1995" s="69"/>
      <c r="P1995" s="69"/>
      <c r="Q1995" s="69"/>
      <c r="R1995" s="69"/>
      <c r="S1995" s="69"/>
      <c r="T1995" s="69"/>
      <c r="U1995" s="69"/>
      <c r="V1995" s="69"/>
      <c r="W1995" s="69"/>
      <c r="X1995" s="69"/>
      <c r="Y1995" s="69"/>
      <c r="Z1995" s="69"/>
      <c r="AA1995" s="69"/>
      <c r="AB1995" s="69"/>
      <c r="AC1995" s="69"/>
      <c r="AD1995" s="69"/>
      <c r="AE1995" s="69"/>
      <c r="AF1995" s="69"/>
      <c r="AG1995" s="69"/>
      <c r="AH1995" s="69"/>
      <c r="AI1995" s="69"/>
      <c r="AJ1995" s="69"/>
      <c r="AK1995" s="69"/>
      <c r="AL1995" s="69"/>
      <c r="AM1995" s="69"/>
      <c r="AN1995" s="69"/>
      <c r="AO1995" s="69"/>
      <c r="AP1995" s="69"/>
      <c r="AQ1995" s="69"/>
      <c r="AR1995" s="69"/>
      <c r="AS1995" s="69"/>
      <c r="AT1995" s="69"/>
      <c r="AU1995" s="69"/>
      <c r="AV1995" s="69"/>
      <c r="AW1995" s="69"/>
      <c r="AX1995" s="69"/>
      <c r="AY1995" s="69"/>
      <c r="AZ1995" s="69"/>
      <c r="BA1995" s="69"/>
      <c r="BB1995" s="69"/>
      <c r="BC1995" s="69"/>
    </row>
    <row r="1996">
      <c r="A1996" s="68"/>
      <c r="B1996" s="68"/>
      <c r="C1996" s="68"/>
      <c r="D1996" s="68"/>
      <c r="E1996" s="68"/>
      <c r="F1996" s="68"/>
      <c r="G1996" s="68"/>
      <c r="H1996" s="68"/>
      <c r="I1996" s="69"/>
      <c r="J1996" s="69"/>
      <c r="K1996" s="71"/>
      <c r="L1996" s="69"/>
      <c r="M1996" s="69"/>
      <c r="N1996" s="72"/>
      <c r="O1996" s="69"/>
      <c r="P1996" s="69"/>
      <c r="Q1996" s="69"/>
      <c r="R1996" s="69"/>
      <c r="S1996" s="69"/>
      <c r="T1996" s="69"/>
      <c r="U1996" s="69"/>
      <c r="V1996" s="69"/>
      <c r="W1996" s="69"/>
      <c r="X1996" s="69"/>
      <c r="Y1996" s="69"/>
      <c r="Z1996" s="69"/>
      <c r="AA1996" s="69"/>
      <c r="AB1996" s="69"/>
      <c r="AC1996" s="69"/>
      <c r="AD1996" s="69"/>
      <c r="AE1996" s="69"/>
      <c r="AF1996" s="69"/>
      <c r="AG1996" s="69"/>
      <c r="AH1996" s="69"/>
      <c r="AI1996" s="69"/>
      <c r="AJ1996" s="69"/>
      <c r="AK1996" s="69"/>
      <c r="AL1996" s="69"/>
      <c r="AM1996" s="69"/>
      <c r="AN1996" s="69"/>
      <c r="AO1996" s="69"/>
      <c r="AP1996" s="69"/>
      <c r="AQ1996" s="69"/>
      <c r="AR1996" s="69"/>
      <c r="AS1996" s="69"/>
      <c r="AT1996" s="69"/>
      <c r="AU1996" s="69"/>
      <c r="AV1996" s="69"/>
      <c r="AW1996" s="69"/>
      <c r="AX1996" s="69"/>
      <c r="AY1996" s="69"/>
      <c r="AZ1996" s="69"/>
      <c r="BA1996" s="69"/>
      <c r="BB1996" s="69"/>
      <c r="BC1996" s="69"/>
    </row>
    <row r="1997">
      <c r="A1997" s="68"/>
      <c r="B1997" s="68"/>
      <c r="C1997" s="68"/>
      <c r="D1997" s="68"/>
      <c r="E1997" s="68"/>
      <c r="F1997" s="68"/>
      <c r="G1997" s="68"/>
      <c r="H1997" s="68"/>
      <c r="I1997" s="69"/>
      <c r="J1997" s="69"/>
      <c r="K1997" s="71"/>
      <c r="L1997" s="69"/>
      <c r="M1997" s="69"/>
      <c r="N1997" s="72"/>
      <c r="O1997" s="69"/>
      <c r="P1997" s="69"/>
      <c r="Q1997" s="69"/>
      <c r="R1997" s="69"/>
      <c r="S1997" s="69"/>
      <c r="T1997" s="69"/>
      <c r="U1997" s="69"/>
      <c r="V1997" s="69"/>
      <c r="W1997" s="69"/>
      <c r="X1997" s="69"/>
      <c r="Y1997" s="69"/>
      <c r="Z1997" s="69"/>
      <c r="AA1997" s="69"/>
      <c r="AB1997" s="69"/>
      <c r="AC1997" s="69"/>
      <c r="AD1997" s="69"/>
      <c r="AE1997" s="69"/>
      <c r="AF1997" s="69"/>
      <c r="AG1997" s="69"/>
      <c r="AH1997" s="69"/>
      <c r="AI1997" s="69"/>
      <c r="AJ1997" s="69"/>
      <c r="AK1997" s="69"/>
      <c r="AL1997" s="69"/>
      <c r="AM1997" s="69"/>
      <c r="AN1997" s="69"/>
      <c r="AO1997" s="69"/>
      <c r="AP1997" s="69"/>
      <c r="AQ1997" s="69"/>
      <c r="AR1997" s="69"/>
      <c r="AS1997" s="69"/>
      <c r="AT1997" s="69"/>
      <c r="AU1997" s="69"/>
      <c r="AV1997" s="69"/>
      <c r="AW1997" s="69"/>
      <c r="AX1997" s="69"/>
      <c r="AY1997" s="69"/>
      <c r="AZ1997" s="69"/>
      <c r="BA1997" s="69"/>
      <c r="BB1997" s="69"/>
      <c r="BC1997" s="69"/>
    </row>
    <row r="1998">
      <c r="A1998" s="68"/>
      <c r="B1998" s="68"/>
      <c r="C1998" s="68"/>
      <c r="D1998" s="68"/>
      <c r="E1998" s="68"/>
      <c r="F1998" s="68"/>
      <c r="G1998" s="68"/>
      <c r="H1998" s="68"/>
      <c r="I1998" s="69"/>
      <c r="J1998" s="69"/>
      <c r="K1998" s="71"/>
      <c r="L1998" s="69"/>
      <c r="M1998" s="69"/>
      <c r="N1998" s="72"/>
      <c r="O1998" s="69"/>
      <c r="P1998" s="69"/>
      <c r="Q1998" s="69"/>
      <c r="R1998" s="69"/>
      <c r="S1998" s="69"/>
      <c r="T1998" s="69"/>
      <c r="U1998" s="69"/>
      <c r="V1998" s="69"/>
      <c r="W1998" s="69"/>
      <c r="X1998" s="69"/>
      <c r="Y1998" s="69"/>
      <c r="Z1998" s="69"/>
      <c r="AA1998" s="69"/>
      <c r="AB1998" s="69"/>
      <c r="AC1998" s="69"/>
      <c r="AD1998" s="69"/>
      <c r="AE1998" s="69"/>
      <c r="AF1998" s="69"/>
      <c r="AG1998" s="69"/>
      <c r="AH1998" s="69"/>
      <c r="AI1998" s="69"/>
      <c r="AJ1998" s="69"/>
      <c r="AK1998" s="69"/>
      <c r="AL1998" s="69"/>
      <c r="AM1998" s="69"/>
      <c r="AN1998" s="69"/>
      <c r="AO1998" s="69"/>
      <c r="AP1998" s="69"/>
      <c r="AQ1998" s="69"/>
      <c r="AR1998" s="69"/>
      <c r="AS1998" s="69"/>
      <c r="AT1998" s="69"/>
      <c r="AU1998" s="69"/>
      <c r="AV1998" s="69"/>
      <c r="AW1998" s="69"/>
      <c r="AX1998" s="69"/>
      <c r="AY1998" s="69"/>
      <c r="AZ1998" s="69"/>
      <c r="BA1998" s="69"/>
      <c r="BB1998" s="69"/>
      <c r="BC1998" s="69"/>
    </row>
    <row r="1999">
      <c r="A1999" s="68"/>
      <c r="B1999" s="68"/>
      <c r="C1999" s="68"/>
      <c r="D1999" s="68"/>
      <c r="E1999" s="68"/>
      <c r="F1999" s="68"/>
      <c r="G1999" s="68"/>
      <c r="H1999" s="68"/>
      <c r="I1999" s="69"/>
      <c r="J1999" s="69"/>
      <c r="K1999" s="71"/>
      <c r="L1999" s="69"/>
      <c r="M1999" s="69"/>
      <c r="N1999" s="72"/>
      <c r="O1999" s="69"/>
      <c r="P1999" s="69"/>
      <c r="Q1999" s="69"/>
      <c r="R1999" s="69"/>
      <c r="S1999" s="69"/>
      <c r="T1999" s="69"/>
      <c r="U1999" s="69"/>
      <c r="V1999" s="69"/>
      <c r="W1999" s="69"/>
      <c r="X1999" s="69"/>
      <c r="Y1999" s="69"/>
      <c r="Z1999" s="69"/>
      <c r="AA1999" s="69"/>
      <c r="AB1999" s="69"/>
      <c r="AC1999" s="69"/>
      <c r="AD1999" s="69"/>
      <c r="AE1999" s="69"/>
      <c r="AF1999" s="69"/>
      <c r="AG1999" s="69"/>
      <c r="AH1999" s="69"/>
      <c r="AI1999" s="69"/>
      <c r="AJ1999" s="69"/>
      <c r="AK1999" s="69"/>
      <c r="AL1999" s="69"/>
      <c r="AM1999" s="69"/>
      <c r="AN1999" s="69"/>
      <c r="AO1999" s="69"/>
      <c r="AP1999" s="69"/>
      <c r="AQ1999" s="69"/>
      <c r="AR1999" s="69"/>
      <c r="AS1999" s="69"/>
      <c r="AT1999" s="69"/>
      <c r="AU1999" s="69"/>
      <c r="AV1999" s="69"/>
      <c r="AW1999" s="69"/>
      <c r="AX1999" s="69"/>
      <c r="AY1999" s="69"/>
      <c r="AZ1999" s="69"/>
      <c r="BA1999" s="69"/>
      <c r="BB1999" s="69"/>
      <c r="BC1999" s="69"/>
    </row>
    <row r="2000">
      <c r="A2000" s="68"/>
      <c r="B2000" s="68"/>
      <c r="C2000" s="68"/>
      <c r="D2000" s="68"/>
      <c r="E2000" s="68"/>
      <c r="F2000" s="68"/>
      <c r="G2000" s="68"/>
      <c r="H2000" s="68"/>
      <c r="I2000" s="69"/>
      <c r="J2000" s="69"/>
      <c r="K2000" s="71"/>
      <c r="L2000" s="69"/>
      <c r="M2000" s="69"/>
      <c r="N2000" s="72"/>
      <c r="O2000" s="69"/>
      <c r="P2000" s="69"/>
      <c r="Q2000" s="69"/>
      <c r="R2000" s="69"/>
      <c r="S2000" s="69"/>
      <c r="T2000" s="69"/>
      <c r="U2000" s="69"/>
      <c r="V2000" s="69"/>
      <c r="W2000" s="69"/>
      <c r="X2000" s="69"/>
      <c r="Y2000" s="69"/>
      <c r="Z2000" s="69"/>
      <c r="AA2000" s="69"/>
      <c r="AB2000" s="69"/>
      <c r="AC2000" s="69"/>
      <c r="AD2000" s="69"/>
      <c r="AE2000" s="69"/>
      <c r="AF2000" s="69"/>
      <c r="AG2000" s="69"/>
      <c r="AH2000" s="69"/>
      <c r="AI2000" s="69"/>
      <c r="AJ2000" s="69"/>
      <c r="AK2000" s="69"/>
      <c r="AL2000" s="69"/>
      <c r="AM2000" s="69"/>
      <c r="AN2000" s="69"/>
      <c r="AO2000" s="69"/>
      <c r="AP2000" s="69"/>
      <c r="AQ2000" s="69"/>
      <c r="AR2000" s="69"/>
      <c r="AS2000" s="69"/>
      <c r="AT2000" s="69"/>
      <c r="AU2000" s="69"/>
      <c r="AV2000" s="69"/>
      <c r="AW2000" s="69"/>
      <c r="AX2000" s="69"/>
      <c r="AY2000" s="69"/>
      <c r="AZ2000" s="69"/>
      <c r="BA2000" s="69"/>
      <c r="BB2000" s="69"/>
      <c r="BC2000" s="69"/>
    </row>
    <row r="2001">
      <c r="A2001" s="68"/>
      <c r="B2001" s="68"/>
      <c r="C2001" s="68"/>
      <c r="D2001" s="68"/>
      <c r="E2001" s="68"/>
      <c r="F2001" s="68"/>
      <c r="G2001" s="68"/>
      <c r="H2001" s="68"/>
      <c r="I2001" s="69"/>
      <c r="J2001" s="69"/>
      <c r="K2001" s="71"/>
      <c r="L2001" s="69"/>
      <c r="M2001" s="69"/>
      <c r="N2001" s="72"/>
      <c r="O2001" s="69"/>
      <c r="P2001" s="69"/>
      <c r="Q2001" s="69"/>
      <c r="R2001" s="69"/>
      <c r="S2001" s="69"/>
      <c r="T2001" s="69"/>
      <c r="U2001" s="69"/>
      <c r="V2001" s="69"/>
      <c r="W2001" s="69"/>
      <c r="X2001" s="69"/>
      <c r="Y2001" s="69"/>
      <c r="Z2001" s="69"/>
      <c r="AA2001" s="69"/>
      <c r="AB2001" s="69"/>
      <c r="AC2001" s="69"/>
      <c r="AD2001" s="69"/>
      <c r="AE2001" s="69"/>
      <c r="AF2001" s="69"/>
      <c r="AG2001" s="69"/>
      <c r="AH2001" s="69"/>
      <c r="AI2001" s="69"/>
      <c r="AJ2001" s="69"/>
      <c r="AK2001" s="69"/>
      <c r="AL2001" s="69"/>
      <c r="AM2001" s="69"/>
      <c r="AN2001" s="69"/>
      <c r="AO2001" s="69"/>
      <c r="AP2001" s="69"/>
      <c r="AQ2001" s="69"/>
      <c r="AR2001" s="69"/>
      <c r="AS2001" s="69"/>
      <c r="AT2001" s="69"/>
      <c r="AU2001" s="69"/>
      <c r="AV2001" s="69"/>
      <c r="AW2001" s="69"/>
      <c r="AX2001" s="69"/>
      <c r="AY2001" s="69"/>
      <c r="AZ2001" s="69"/>
      <c r="BA2001" s="69"/>
      <c r="BB2001" s="69"/>
      <c r="BC2001" s="69"/>
    </row>
    <row r="2002">
      <c r="A2002" s="68"/>
      <c r="B2002" s="68"/>
      <c r="C2002" s="68"/>
      <c r="D2002" s="68"/>
      <c r="E2002" s="68"/>
      <c r="F2002" s="68"/>
      <c r="G2002" s="68"/>
      <c r="H2002" s="68"/>
      <c r="I2002" s="69"/>
      <c r="J2002" s="69"/>
      <c r="K2002" s="71"/>
      <c r="L2002" s="69"/>
      <c r="M2002" s="69"/>
      <c r="N2002" s="72"/>
      <c r="O2002" s="69"/>
      <c r="P2002" s="69"/>
      <c r="Q2002" s="69"/>
      <c r="R2002" s="69"/>
      <c r="S2002" s="69"/>
      <c r="T2002" s="69"/>
      <c r="U2002" s="69"/>
      <c r="V2002" s="69"/>
      <c r="W2002" s="69"/>
      <c r="X2002" s="69"/>
      <c r="Y2002" s="69"/>
      <c r="Z2002" s="69"/>
      <c r="AA2002" s="69"/>
      <c r="AB2002" s="69"/>
      <c r="AC2002" s="69"/>
      <c r="AD2002" s="69"/>
      <c r="AE2002" s="69"/>
      <c r="AF2002" s="69"/>
      <c r="AG2002" s="69"/>
      <c r="AH2002" s="69"/>
      <c r="AI2002" s="69"/>
      <c r="AJ2002" s="69"/>
      <c r="AK2002" s="69"/>
      <c r="AL2002" s="69"/>
      <c r="AM2002" s="69"/>
      <c r="AN2002" s="69"/>
      <c r="AO2002" s="69"/>
      <c r="AP2002" s="69"/>
      <c r="AQ2002" s="69"/>
      <c r="AR2002" s="69"/>
      <c r="AS2002" s="69"/>
      <c r="AT2002" s="69"/>
      <c r="AU2002" s="69"/>
      <c r="AV2002" s="69"/>
      <c r="AW2002" s="69"/>
      <c r="AX2002" s="69"/>
      <c r="AY2002" s="69"/>
      <c r="AZ2002" s="69"/>
      <c r="BA2002" s="69"/>
      <c r="BB2002" s="69"/>
      <c r="BC2002" s="69"/>
    </row>
    <row r="2003">
      <c r="A2003" s="68"/>
      <c r="B2003" s="68"/>
      <c r="C2003" s="68"/>
      <c r="D2003" s="68"/>
      <c r="E2003" s="68"/>
      <c r="F2003" s="68"/>
      <c r="G2003" s="68"/>
      <c r="H2003" s="68"/>
      <c r="I2003" s="69"/>
      <c r="J2003" s="69"/>
      <c r="K2003" s="71"/>
      <c r="L2003" s="69"/>
      <c r="M2003" s="69"/>
      <c r="N2003" s="72"/>
      <c r="O2003" s="69"/>
      <c r="P2003" s="69"/>
      <c r="Q2003" s="69"/>
      <c r="R2003" s="69"/>
      <c r="S2003" s="69"/>
      <c r="T2003" s="69"/>
      <c r="U2003" s="69"/>
      <c r="V2003" s="69"/>
      <c r="W2003" s="69"/>
      <c r="X2003" s="69"/>
      <c r="Y2003" s="69"/>
      <c r="Z2003" s="69"/>
      <c r="AA2003" s="69"/>
      <c r="AB2003" s="69"/>
      <c r="AC2003" s="69"/>
      <c r="AD2003" s="69"/>
      <c r="AE2003" s="69"/>
      <c r="AF2003" s="69"/>
      <c r="AG2003" s="69"/>
      <c r="AH2003" s="69"/>
      <c r="AI2003" s="69"/>
      <c r="AJ2003" s="69"/>
      <c r="AK2003" s="69"/>
      <c r="AL2003" s="69"/>
      <c r="AM2003" s="69"/>
      <c r="AN2003" s="69"/>
      <c r="AO2003" s="69"/>
      <c r="AP2003" s="69"/>
      <c r="AQ2003" s="69"/>
      <c r="AR2003" s="69"/>
      <c r="AS2003" s="69"/>
      <c r="AT2003" s="69"/>
      <c r="AU2003" s="69"/>
      <c r="AV2003" s="69"/>
      <c r="AW2003" s="69"/>
      <c r="AX2003" s="69"/>
      <c r="AY2003" s="69"/>
      <c r="AZ2003" s="69"/>
      <c r="BA2003" s="69"/>
      <c r="BB2003" s="69"/>
      <c r="BC2003" s="69"/>
    </row>
    <row r="2004">
      <c r="A2004" s="68"/>
      <c r="B2004" s="68"/>
      <c r="C2004" s="68"/>
      <c r="D2004" s="68"/>
      <c r="E2004" s="68"/>
      <c r="F2004" s="68"/>
      <c r="G2004" s="68"/>
      <c r="H2004" s="68"/>
      <c r="I2004" s="69"/>
      <c r="J2004" s="69"/>
      <c r="K2004" s="71"/>
      <c r="L2004" s="69"/>
      <c r="M2004" s="69"/>
      <c r="N2004" s="72"/>
      <c r="O2004" s="69"/>
      <c r="P2004" s="69"/>
      <c r="Q2004" s="69"/>
      <c r="R2004" s="69"/>
      <c r="S2004" s="69"/>
      <c r="T2004" s="69"/>
      <c r="U2004" s="69"/>
      <c r="V2004" s="69"/>
      <c r="W2004" s="69"/>
      <c r="X2004" s="69"/>
      <c r="Y2004" s="69"/>
      <c r="Z2004" s="69"/>
      <c r="AA2004" s="69"/>
      <c r="AB2004" s="69"/>
      <c r="AC2004" s="69"/>
      <c r="AD2004" s="69"/>
      <c r="AE2004" s="69"/>
      <c r="AF2004" s="69"/>
      <c r="AG2004" s="69"/>
      <c r="AH2004" s="69"/>
      <c r="AI2004" s="69"/>
      <c r="AJ2004" s="69"/>
      <c r="AK2004" s="69"/>
      <c r="AL2004" s="69"/>
      <c r="AM2004" s="69"/>
      <c r="AN2004" s="69"/>
      <c r="AO2004" s="69"/>
      <c r="AP2004" s="69"/>
      <c r="AQ2004" s="69"/>
      <c r="AR2004" s="69"/>
      <c r="AS2004" s="69"/>
      <c r="AT2004" s="69"/>
      <c r="AU2004" s="69"/>
      <c r="AV2004" s="69"/>
      <c r="AW2004" s="69"/>
      <c r="AX2004" s="69"/>
      <c r="AY2004" s="69"/>
      <c r="AZ2004" s="69"/>
      <c r="BA2004" s="69"/>
      <c r="BB2004" s="69"/>
      <c r="BC2004" s="69"/>
    </row>
    <row r="2005">
      <c r="A2005" s="68"/>
      <c r="B2005" s="68"/>
      <c r="C2005" s="68"/>
      <c r="D2005" s="68"/>
      <c r="E2005" s="68"/>
      <c r="F2005" s="68"/>
      <c r="G2005" s="68"/>
      <c r="H2005" s="68"/>
      <c r="I2005" s="69"/>
      <c r="J2005" s="69"/>
      <c r="K2005" s="71"/>
      <c r="L2005" s="69"/>
      <c r="M2005" s="69"/>
      <c r="N2005" s="72"/>
      <c r="O2005" s="69"/>
      <c r="P2005" s="69"/>
      <c r="Q2005" s="69"/>
      <c r="R2005" s="69"/>
      <c r="S2005" s="69"/>
      <c r="T2005" s="69"/>
      <c r="U2005" s="69"/>
      <c r="V2005" s="69"/>
      <c r="W2005" s="69"/>
      <c r="X2005" s="69"/>
      <c r="Y2005" s="69"/>
      <c r="Z2005" s="69"/>
      <c r="AA2005" s="69"/>
      <c r="AB2005" s="69"/>
      <c r="AC2005" s="69"/>
      <c r="AD2005" s="69"/>
      <c r="AE2005" s="69"/>
      <c r="AF2005" s="69"/>
      <c r="AG2005" s="69"/>
      <c r="AH2005" s="69"/>
      <c r="AI2005" s="69"/>
      <c r="AJ2005" s="69"/>
      <c r="AK2005" s="69"/>
      <c r="AL2005" s="69"/>
      <c r="AM2005" s="69"/>
      <c r="AN2005" s="69"/>
      <c r="AO2005" s="69"/>
      <c r="AP2005" s="69"/>
      <c r="AQ2005" s="69"/>
      <c r="AR2005" s="69"/>
      <c r="AS2005" s="69"/>
      <c r="AT2005" s="69"/>
      <c r="AU2005" s="69"/>
      <c r="AV2005" s="69"/>
      <c r="AW2005" s="69"/>
      <c r="AX2005" s="69"/>
      <c r="AY2005" s="69"/>
      <c r="AZ2005" s="69"/>
      <c r="BA2005" s="69"/>
      <c r="BB2005" s="69"/>
      <c r="BC2005" s="69"/>
    </row>
    <row r="2006">
      <c r="A2006" s="68"/>
      <c r="B2006" s="68"/>
      <c r="C2006" s="68"/>
      <c r="D2006" s="68"/>
      <c r="E2006" s="68"/>
      <c r="F2006" s="68"/>
      <c r="G2006" s="68"/>
      <c r="H2006" s="68"/>
      <c r="I2006" s="69"/>
      <c r="J2006" s="69"/>
      <c r="K2006" s="71"/>
      <c r="L2006" s="69"/>
      <c r="M2006" s="69"/>
      <c r="N2006" s="72"/>
      <c r="O2006" s="69"/>
      <c r="P2006" s="69"/>
      <c r="Q2006" s="69"/>
      <c r="R2006" s="69"/>
      <c r="S2006" s="69"/>
      <c r="T2006" s="69"/>
      <c r="U2006" s="69"/>
      <c r="V2006" s="69"/>
      <c r="W2006" s="69"/>
      <c r="X2006" s="69"/>
      <c r="Y2006" s="69"/>
      <c r="Z2006" s="69"/>
      <c r="AA2006" s="69"/>
      <c r="AB2006" s="69"/>
      <c r="AC2006" s="69"/>
      <c r="AD2006" s="69"/>
      <c r="AE2006" s="69"/>
      <c r="AF2006" s="69"/>
      <c r="AG2006" s="69"/>
      <c r="AH2006" s="69"/>
      <c r="AI2006" s="69"/>
      <c r="AJ2006" s="69"/>
      <c r="AK2006" s="69"/>
      <c r="AL2006" s="69"/>
      <c r="AM2006" s="69"/>
      <c r="AN2006" s="69"/>
      <c r="AO2006" s="69"/>
      <c r="AP2006" s="69"/>
      <c r="AQ2006" s="69"/>
      <c r="AR2006" s="69"/>
      <c r="AS2006" s="69"/>
      <c r="AT2006" s="69"/>
      <c r="AU2006" s="69"/>
      <c r="AV2006" s="69"/>
      <c r="AW2006" s="69"/>
      <c r="AX2006" s="69"/>
      <c r="AY2006" s="69"/>
      <c r="AZ2006" s="69"/>
      <c r="BA2006" s="69"/>
      <c r="BB2006" s="69"/>
      <c r="BC2006" s="69"/>
    </row>
    <row r="2007">
      <c r="A2007" s="68"/>
      <c r="B2007" s="68"/>
      <c r="C2007" s="68"/>
      <c r="D2007" s="68"/>
      <c r="E2007" s="68"/>
      <c r="F2007" s="68"/>
      <c r="G2007" s="68"/>
      <c r="H2007" s="68"/>
      <c r="I2007" s="69"/>
      <c r="J2007" s="69"/>
      <c r="K2007" s="71"/>
      <c r="L2007" s="69"/>
      <c r="M2007" s="69"/>
      <c r="N2007" s="72"/>
      <c r="O2007" s="69"/>
      <c r="P2007" s="69"/>
      <c r="Q2007" s="69"/>
      <c r="R2007" s="69"/>
      <c r="S2007" s="69"/>
      <c r="T2007" s="69"/>
      <c r="U2007" s="69"/>
      <c r="V2007" s="69"/>
      <c r="W2007" s="69"/>
      <c r="X2007" s="69"/>
      <c r="Y2007" s="69"/>
      <c r="Z2007" s="69"/>
      <c r="AA2007" s="69"/>
      <c r="AB2007" s="69"/>
      <c r="AC2007" s="69"/>
      <c r="AD2007" s="69"/>
      <c r="AE2007" s="69"/>
      <c r="AF2007" s="69"/>
      <c r="AG2007" s="69"/>
      <c r="AH2007" s="69"/>
      <c r="AI2007" s="69"/>
      <c r="AJ2007" s="69"/>
      <c r="AK2007" s="69"/>
      <c r="AL2007" s="69"/>
      <c r="AM2007" s="69"/>
      <c r="AN2007" s="69"/>
      <c r="AO2007" s="69"/>
      <c r="AP2007" s="69"/>
      <c r="AQ2007" s="69"/>
      <c r="AR2007" s="69"/>
      <c r="AS2007" s="69"/>
      <c r="AT2007" s="69"/>
      <c r="AU2007" s="69"/>
      <c r="AV2007" s="69"/>
      <c r="AW2007" s="69"/>
      <c r="AX2007" s="69"/>
      <c r="AY2007" s="69"/>
      <c r="AZ2007" s="69"/>
      <c r="BA2007" s="69"/>
      <c r="BB2007" s="69"/>
      <c r="BC2007" s="69"/>
    </row>
    <row r="2008">
      <c r="A2008" s="68"/>
      <c r="B2008" s="68"/>
      <c r="C2008" s="68"/>
      <c r="D2008" s="68"/>
      <c r="E2008" s="68"/>
      <c r="F2008" s="68"/>
      <c r="G2008" s="68"/>
      <c r="H2008" s="68"/>
      <c r="I2008" s="69"/>
      <c r="J2008" s="69"/>
      <c r="K2008" s="71"/>
      <c r="L2008" s="69"/>
      <c r="M2008" s="69"/>
      <c r="N2008" s="72"/>
      <c r="O2008" s="69"/>
      <c r="P2008" s="69"/>
      <c r="Q2008" s="69"/>
      <c r="R2008" s="69"/>
      <c r="S2008" s="69"/>
      <c r="T2008" s="69"/>
      <c r="U2008" s="69"/>
      <c r="V2008" s="69"/>
      <c r="W2008" s="69"/>
      <c r="X2008" s="69"/>
      <c r="Y2008" s="69"/>
      <c r="Z2008" s="69"/>
      <c r="AA2008" s="69"/>
      <c r="AB2008" s="69"/>
      <c r="AC2008" s="69"/>
      <c r="AD2008" s="69"/>
      <c r="AE2008" s="69"/>
      <c r="AF2008" s="69"/>
      <c r="AG2008" s="69"/>
      <c r="AH2008" s="69"/>
      <c r="AI2008" s="69"/>
      <c r="AJ2008" s="69"/>
      <c r="AK2008" s="69"/>
      <c r="AL2008" s="69"/>
      <c r="AM2008" s="69"/>
      <c r="AN2008" s="69"/>
      <c r="AO2008" s="69"/>
      <c r="AP2008" s="69"/>
      <c r="AQ2008" s="69"/>
      <c r="AR2008" s="69"/>
      <c r="AS2008" s="69"/>
      <c r="AT2008" s="69"/>
      <c r="AU2008" s="69"/>
      <c r="AV2008" s="69"/>
      <c r="AW2008" s="69"/>
      <c r="AX2008" s="69"/>
      <c r="AY2008" s="69"/>
      <c r="AZ2008" s="69"/>
      <c r="BA2008" s="69"/>
      <c r="BB2008" s="69"/>
      <c r="BC2008" s="69"/>
    </row>
    <row r="2009">
      <c r="A2009" s="68"/>
      <c r="B2009" s="68"/>
      <c r="C2009" s="68"/>
      <c r="D2009" s="68"/>
      <c r="E2009" s="68"/>
      <c r="F2009" s="68"/>
      <c r="G2009" s="68"/>
      <c r="H2009" s="68"/>
      <c r="I2009" s="69"/>
      <c r="J2009" s="69"/>
      <c r="K2009" s="71"/>
      <c r="L2009" s="69"/>
      <c r="M2009" s="69"/>
      <c r="N2009" s="72"/>
      <c r="O2009" s="69"/>
      <c r="P2009" s="69"/>
      <c r="Q2009" s="69"/>
      <c r="R2009" s="69"/>
      <c r="S2009" s="69"/>
      <c r="T2009" s="69"/>
      <c r="U2009" s="69"/>
      <c r="V2009" s="69"/>
      <c r="W2009" s="69"/>
      <c r="X2009" s="69"/>
      <c r="Y2009" s="69"/>
      <c r="Z2009" s="69"/>
      <c r="AA2009" s="69"/>
      <c r="AB2009" s="69"/>
      <c r="AC2009" s="69"/>
      <c r="AD2009" s="69"/>
      <c r="AE2009" s="69"/>
      <c r="AF2009" s="69"/>
      <c r="AG2009" s="69"/>
      <c r="AH2009" s="69"/>
      <c r="AI2009" s="69"/>
      <c r="AJ2009" s="69"/>
      <c r="AK2009" s="69"/>
      <c r="AL2009" s="69"/>
      <c r="AM2009" s="69"/>
      <c r="AN2009" s="69"/>
      <c r="AO2009" s="69"/>
      <c r="AP2009" s="69"/>
      <c r="AQ2009" s="69"/>
      <c r="AR2009" s="69"/>
      <c r="AS2009" s="69"/>
      <c r="AT2009" s="69"/>
      <c r="AU2009" s="69"/>
      <c r="AV2009" s="69"/>
      <c r="AW2009" s="69"/>
      <c r="AX2009" s="69"/>
      <c r="AY2009" s="69"/>
      <c r="AZ2009" s="69"/>
      <c r="BA2009" s="69"/>
      <c r="BB2009" s="69"/>
      <c r="BC2009" s="69"/>
    </row>
    <row r="2010">
      <c r="A2010" s="68"/>
      <c r="B2010" s="68"/>
      <c r="C2010" s="68"/>
      <c r="D2010" s="68"/>
      <c r="E2010" s="68"/>
      <c r="F2010" s="68"/>
      <c r="G2010" s="68"/>
      <c r="H2010" s="68"/>
      <c r="I2010" s="69"/>
      <c r="J2010" s="69"/>
      <c r="K2010" s="71"/>
      <c r="L2010" s="69"/>
      <c r="M2010" s="69"/>
      <c r="N2010" s="72"/>
      <c r="O2010" s="69"/>
      <c r="P2010" s="69"/>
      <c r="Q2010" s="69"/>
      <c r="R2010" s="69"/>
      <c r="S2010" s="69"/>
      <c r="T2010" s="69"/>
      <c r="U2010" s="69"/>
      <c r="V2010" s="69"/>
      <c r="W2010" s="69"/>
      <c r="X2010" s="69"/>
      <c r="Y2010" s="69"/>
      <c r="Z2010" s="69"/>
      <c r="AA2010" s="69"/>
      <c r="AB2010" s="69"/>
      <c r="AC2010" s="69"/>
      <c r="AD2010" s="69"/>
      <c r="AE2010" s="69"/>
      <c r="AF2010" s="69"/>
      <c r="AG2010" s="69"/>
      <c r="AH2010" s="69"/>
      <c r="AI2010" s="69"/>
      <c r="AJ2010" s="69"/>
      <c r="AK2010" s="69"/>
      <c r="AL2010" s="69"/>
      <c r="AM2010" s="69"/>
      <c r="AN2010" s="69"/>
      <c r="AO2010" s="69"/>
      <c r="AP2010" s="69"/>
      <c r="AQ2010" s="69"/>
      <c r="AR2010" s="69"/>
      <c r="AS2010" s="69"/>
      <c r="AT2010" s="69"/>
      <c r="AU2010" s="69"/>
      <c r="AV2010" s="69"/>
      <c r="AW2010" s="69"/>
      <c r="AX2010" s="69"/>
      <c r="AY2010" s="69"/>
      <c r="AZ2010" s="69"/>
      <c r="BA2010" s="69"/>
      <c r="BB2010" s="69"/>
      <c r="BC2010" s="69"/>
    </row>
    <row r="2011">
      <c r="A2011" s="68"/>
      <c r="B2011" s="68"/>
      <c r="C2011" s="68"/>
      <c r="D2011" s="68"/>
      <c r="E2011" s="68"/>
      <c r="F2011" s="68"/>
      <c r="G2011" s="68"/>
      <c r="H2011" s="68"/>
      <c r="I2011" s="69"/>
      <c r="J2011" s="69"/>
      <c r="K2011" s="71"/>
      <c r="L2011" s="69"/>
      <c r="M2011" s="69"/>
      <c r="N2011" s="72"/>
      <c r="O2011" s="69"/>
      <c r="P2011" s="69"/>
      <c r="Q2011" s="69"/>
      <c r="R2011" s="69"/>
      <c r="S2011" s="69"/>
      <c r="T2011" s="69"/>
      <c r="U2011" s="69"/>
      <c r="V2011" s="69"/>
      <c r="W2011" s="69"/>
      <c r="X2011" s="69"/>
      <c r="Y2011" s="69"/>
      <c r="Z2011" s="69"/>
      <c r="AA2011" s="69"/>
      <c r="AB2011" s="69"/>
      <c r="AC2011" s="69"/>
      <c r="AD2011" s="69"/>
      <c r="AE2011" s="69"/>
      <c r="AF2011" s="69"/>
      <c r="AG2011" s="69"/>
      <c r="AH2011" s="69"/>
      <c r="AI2011" s="69"/>
      <c r="AJ2011" s="69"/>
      <c r="AK2011" s="69"/>
      <c r="AL2011" s="69"/>
      <c r="AM2011" s="69"/>
      <c r="AN2011" s="69"/>
      <c r="AO2011" s="69"/>
      <c r="AP2011" s="69"/>
      <c r="AQ2011" s="69"/>
      <c r="AR2011" s="69"/>
      <c r="AS2011" s="69"/>
      <c r="AT2011" s="69"/>
      <c r="AU2011" s="69"/>
      <c r="AV2011" s="69"/>
      <c r="AW2011" s="69"/>
      <c r="AX2011" s="69"/>
      <c r="AY2011" s="69"/>
      <c r="AZ2011" s="69"/>
      <c r="BA2011" s="69"/>
      <c r="BB2011" s="69"/>
      <c r="BC2011" s="69"/>
    </row>
    <row r="2012">
      <c r="A2012" s="68"/>
      <c r="B2012" s="68"/>
      <c r="C2012" s="68"/>
      <c r="D2012" s="68"/>
      <c r="E2012" s="68"/>
      <c r="F2012" s="68"/>
      <c r="G2012" s="68"/>
      <c r="H2012" s="68"/>
      <c r="I2012" s="69"/>
      <c r="J2012" s="69"/>
      <c r="K2012" s="71"/>
      <c r="L2012" s="69"/>
      <c r="M2012" s="69"/>
      <c r="N2012" s="72"/>
      <c r="O2012" s="69"/>
      <c r="P2012" s="69"/>
      <c r="Q2012" s="69"/>
      <c r="R2012" s="69"/>
      <c r="S2012" s="69"/>
      <c r="T2012" s="69"/>
      <c r="U2012" s="69"/>
      <c r="V2012" s="69"/>
      <c r="W2012" s="69"/>
      <c r="X2012" s="69"/>
      <c r="Y2012" s="69"/>
      <c r="Z2012" s="69"/>
      <c r="AA2012" s="69"/>
      <c r="AB2012" s="69"/>
      <c r="AC2012" s="69"/>
      <c r="AD2012" s="69"/>
      <c r="AE2012" s="69"/>
      <c r="AF2012" s="69"/>
      <c r="AG2012" s="69"/>
      <c r="AH2012" s="69"/>
      <c r="AI2012" s="69"/>
      <c r="AJ2012" s="69"/>
      <c r="AK2012" s="69"/>
      <c r="AL2012" s="69"/>
      <c r="AM2012" s="69"/>
      <c r="AN2012" s="69"/>
      <c r="AO2012" s="69"/>
      <c r="AP2012" s="69"/>
      <c r="AQ2012" s="69"/>
      <c r="AR2012" s="69"/>
      <c r="AS2012" s="69"/>
      <c r="AT2012" s="69"/>
      <c r="AU2012" s="69"/>
      <c r="AV2012" s="69"/>
      <c r="AW2012" s="69"/>
      <c r="AX2012" s="69"/>
      <c r="AY2012" s="69"/>
      <c r="AZ2012" s="69"/>
      <c r="BA2012" s="69"/>
      <c r="BB2012" s="69"/>
      <c r="BC2012" s="69"/>
    </row>
    <row r="2013">
      <c r="A2013" s="68"/>
      <c r="B2013" s="68"/>
      <c r="C2013" s="68"/>
      <c r="D2013" s="68"/>
      <c r="E2013" s="68"/>
      <c r="F2013" s="68"/>
      <c r="G2013" s="68"/>
      <c r="H2013" s="68"/>
      <c r="I2013" s="69"/>
      <c r="J2013" s="69"/>
      <c r="K2013" s="71"/>
      <c r="L2013" s="69"/>
      <c r="M2013" s="69"/>
      <c r="N2013" s="72"/>
      <c r="O2013" s="69"/>
      <c r="P2013" s="69"/>
      <c r="Q2013" s="69"/>
      <c r="R2013" s="69"/>
      <c r="S2013" s="69"/>
      <c r="T2013" s="69"/>
      <c r="U2013" s="69"/>
      <c r="V2013" s="69"/>
      <c r="W2013" s="69"/>
      <c r="X2013" s="69"/>
      <c r="Y2013" s="69"/>
      <c r="Z2013" s="69"/>
      <c r="AA2013" s="69"/>
      <c r="AB2013" s="69"/>
      <c r="AC2013" s="69"/>
      <c r="AD2013" s="69"/>
      <c r="AE2013" s="69"/>
      <c r="AF2013" s="69"/>
      <c r="AG2013" s="69"/>
      <c r="AH2013" s="69"/>
      <c r="AI2013" s="69"/>
      <c r="AJ2013" s="69"/>
      <c r="AK2013" s="69"/>
      <c r="AL2013" s="69"/>
      <c r="AM2013" s="69"/>
      <c r="AN2013" s="69"/>
      <c r="AO2013" s="69"/>
      <c r="AP2013" s="69"/>
      <c r="AQ2013" s="69"/>
      <c r="AR2013" s="69"/>
      <c r="AS2013" s="69"/>
      <c r="AT2013" s="69"/>
      <c r="AU2013" s="69"/>
      <c r="AV2013" s="69"/>
      <c r="AW2013" s="69"/>
      <c r="AX2013" s="69"/>
      <c r="AY2013" s="69"/>
      <c r="AZ2013" s="69"/>
      <c r="BA2013" s="69"/>
      <c r="BB2013" s="69"/>
      <c r="BC2013" s="69"/>
    </row>
    <row r="2014">
      <c r="A2014" s="68"/>
      <c r="B2014" s="68"/>
      <c r="C2014" s="68"/>
      <c r="D2014" s="68"/>
      <c r="E2014" s="68"/>
      <c r="F2014" s="68"/>
      <c r="G2014" s="68"/>
      <c r="H2014" s="68"/>
      <c r="I2014" s="69"/>
      <c r="J2014" s="69"/>
      <c r="K2014" s="71"/>
      <c r="L2014" s="69"/>
      <c r="M2014" s="69"/>
      <c r="N2014" s="72"/>
      <c r="O2014" s="69"/>
      <c r="P2014" s="69"/>
      <c r="Q2014" s="69"/>
      <c r="R2014" s="69"/>
      <c r="S2014" s="69"/>
      <c r="T2014" s="69"/>
      <c r="U2014" s="69"/>
      <c r="V2014" s="69"/>
      <c r="W2014" s="69"/>
      <c r="X2014" s="69"/>
      <c r="Y2014" s="69"/>
      <c r="Z2014" s="69"/>
      <c r="AA2014" s="69"/>
      <c r="AB2014" s="69"/>
      <c r="AC2014" s="69"/>
      <c r="AD2014" s="69"/>
      <c r="AE2014" s="69"/>
      <c r="AF2014" s="69"/>
      <c r="AG2014" s="69"/>
      <c r="AH2014" s="69"/>
      <c r="AI2014" s="69"/>
      <c r="AJ2014" s="69"/>
      <c r="AK2014" s="69"/>
      <c r="AL2014" s="69"/>
      <c r="AM2014" s="69"/>
      <c r="AN2014" s="69"/>
      <c r="AO2014" s="69"/>
      <c r="AP2014" s="69"/>
      <c r="AQ2014" s="69"/>
      <c r="AR2014" s="69"/>
      <c r="AS2014" s="69"/>
      <c r="AT2014" s="69"/>
      <c r="AU2014" s="69"/>
      <c r="AV2014" s="69"/>
      <c r="AW2014" s="69"/>
      <c r="AX2014" s="69"/>
      <c r="AY2014" s="69"/>
      <c r="AZ2014" s="69"/>
      <c r="BA2014" s="69"/>
      <c r="BB2014" s="69"/>
      <c r="BC2014" s="69"/>
    </row>
    <row r="2015">
      <c r="A2015" s="68"/>
      <c r="B2015" s="68"/>
      <c r="C2015" s="68"/>
      <c r="D2015" s="68"/>
      <c r="E2015" s="68"/>
      <c r="F2015" s="68"/>
      <c r="G2015" s="68"/>
      <c r="H2015" s="68"/>
      <c r="I2015" s="69"/>
      <c r="J2015" s="69"/>
      <c r="K2015" s="71"/>
      <c r="L2015" s="69"/>
      <c r="M2015" s="69"/>
      <c r="N2015" s="72"/>
      <c r="O2015" s="69"/>
      <c r="P2015" s="69"/>
      <c r="Q2015" s="69"/>
      <c r="R2015" s="69"/>
      <c r="S2015" s="69"/>
      <c r="T2015" s="69"/>
      <c r="U2015" s="69"/>
      <c r="V2015" s="69"/>
      <c r="W2015" s="69"/>
      <c r="X2015" s="69"/>
      <c r="Y2015" s="69"/>
      <c r="Z2015" s="69"/>
      <c r="AA2015" s="69"/>
      <c r="AB2015" s="69"/>
      <c r="AC2015" s="69"/>
      <c r="AD2015" s="69"/>
      <c r="AE2015" s="69"/>
      <c r="AF2015" s="69"/>
      <c r="AG2015" s="69"/>
      <c r="AH2015" s="69"/>
      <c r="AI2015" s="69"/>
      <c r="AJ2015" s="69"/>
      <c r="AK2015" s="69"/>
      <c r="AL2015" s="69"/>
      <c r="AM2015" s="69"/>
      <c r="AN2015" s="69"/>
      <c r="AO2015" s="69"/>
      <c r="AP2015" s="69"/>
      <c r="AQ2015" s="69"/>
      <c r="AR2015" s="69"/>
      <c r="AS2015" s="69"/>
      <c r="AT2015" s="69"/>
      <c r="AU2015" s="69"/>
      <c r="AV2015" s="69"/>
      <c r="AW2015" s="69"/>
      <c r="AX2015" s="69"/>
      <c r="AY2015" s="69"/>
      <c r="AZ2015" s="69"/>
      <c r="BA2015" s="69"/>
      <c r="BB2015" s="69"/>
      <c r="BC2015" s="69"/>
    </row>
    <row r="2016">
      <c r="A2016" s="68"/>
      <c r="B2016" s="68"/>
      <c r="C2016" s="68"/>
      <c r="D2016" s="68"/>
      <c r="E2016" s="68"/>
      <c r="F2016" s="68"/>
      <c r="G2016" s="68"/>
      <c r="H2016" s="68"/>
      <c r="I2016" s="69"/>
      <c r="J2016" s="69"/>
      <c r="K2016" s="71"/>
      <c r="L2016" s="69"/>
      <c r="M2016" s="69"/>
      <c r="N2016" s="72"/>
      <c r="O2016" s="69"/>
      <c r="P2016" s="69"/>
      <c r="Q2016" s="69"/>
      <c r="R2016" s="69"/>
      <c r="S2016" s="69"/>
      <c r="T2016" s="69"/>
      <c r="U2016" s="69"/>
      <c r="V2016" s="69"/>
      <c r="W2016" s="69"/>
      <c r="X2016" s="69"/>
      <c r="Y2016" s="69"/>
      <c r="Z2016" s="69"/>
      <c r="AA2016" s="69"/>
      <c r="AB2016" s="69"/>
      <c r="AC2016" s="69"/>
      <c r="AD2016" s="69"/>
      <c r="AE2016" s="69"/>
      <c r="AF2016" s="69"/>
      <c r="AG2016" s="69"/>
      <c r="AH2016" s="69"/>
      <c r="AI2016" s="69"/>
      <c r="AJ2016" s="69"/>
      <c r="AK2016" s="69"/>
      <c r="AL2016" s="69"/>
      <c r="AM2016" s="69"/>
      <c r="AN2016" s="69"/>
      <c r="AO2016" s="69"/>
      <c r="AP2016" s="69"/>
      <c r="AQ2016" s="69"/>
      <c r="AR2016" s="69"/>
      <c r="AS2016" s="69"/>
      <c r="AT2016" s="69"/>
      <c r="AU2016" s="69"/>
      <c r="AV2016" s="69"/>
      <c r="AW2016" s="69"/>
      <c r="AX2016" s="69"/>
      <c r="AY2016" s="69"/>
      <c r="AZ2016" s="69"/>
      <c r="BA2016" s="69"/>
      <c r="BB2016" s="69"/>
      <c r="BC2016" s="69"/>
    </row>
    <row r="2017">
      <c r="A2017" s="68"/>
      <c r="B2017" s="68"/>
      <c r="C2017" s="68"/>
      <c r="D2017" s="68"/>
      <c r="E2017" s="68"/>
      <c r="F2017" s="68"/>
      <c r="G2017" s="68"/>
      <c r="H2017" s="68"/>
      <c r="I2017" s="69"/>
      <c r="J2017" s="69"/>
      <c r="K2017" s="71"/>
      <c r="L2017" s="69"/>
      <c r="M2017" s="69"/>
      <c r="N2017" s="72"/>
      <c r="O2017" s="69"/>
      <c r="P2017" s="69"/>
      <c r="Q2017" s="69"/>
      <c r="R2017" s="69"/>
      <c r="S2017" s="69"/>
      <c r="T2017" s="69"/>
      <c r="U2017" s="69"/>
      <c r="V2017" s="69"/>
      <c r="W2017" s="69"/>
      <c r="X2017" s="69"/>
      <c r="Y2017" s="69"/>
      <c r="Z2017" s="69"/>
      <c r="AA2017" s="69"/>
      <c r="AB2017" s="69"/>
      <c r="AC2017" s="69"/>
      <c r="AD2017" s="69"/>
      <c r="AE2017" s="69"/>
      <c r="AF2017" s="69"/>
      <c r="AG2017" s="69"/>
      <c r="AH2017" s="69"/>
      <c r="AI2017" s="69"/>
      <c r="AJ2017" s="69"/>
      <c r="AK2017" s="69"/>
      <c r="AL2017" s="69"/>
      <c r="AM2017" s="69"/>
      <c r="AN2017" s="69"/>
      <c r="AO2017" s="69"/>
      <c r="AP2017" s="69"/>
      <c r="AQ2017" s="69"/>
      <c r="AR2017" s="69"/>
      <c r="AS2017" s="69"/>
      <c r="AT2017" s="69"/>
      <c r="AU2017" s="69"/>
      <c r="AV2017" s="69"/>
      <c r="AW2017" s="69"/>
      <c r="AX2017" s="69"/>
      <c r="AY2017" s="69"/>
      <c r="AZ2017" s="69"/>
      <c r="BA2017" s="69"/>
      <c r="BB2017" s="69"/>
      <c r="BC2017" s="69"/>
    </row>
    <row r="2018">
      <c r="A2018" s="68"/>
      <c r="B2018" s="68"/>
      <c r="C2018" s="68"/>
      <c r="D2018" s="68"/>
      <c r="E2018" s="68"/>
      <c r="F2018" s="68"/>
      <c r="G2018" s="68"/>
      <c r="H2018" s="68"/>
      <c r="I2018" s="69"/>
      <c r="J2018" s="69"/>
      <c r="K2018" s="71"/>
      <c r="L2018" s="69"/>
      <c r="M2018" s="69"/>
      <c r="N2018" s="72"/>
      <c r="O2018" s="69"/>
      <c r="P2018" s="69"/>
      <c r="Q2018" s="69"/>
      <c r="R2018" s="69"/>
      <c r="S2018" s="69"/>
      <c r="T2018" s="69"/>
      <c r="U2018" s="69"/>
      <c r="V2018" s="69"/>
      <c r="W2018" s="69"/>
      <c r="X2018" s="69"/>
      <c r="Y2018" s="69"/>
      <c r="Z2018" s="69"/>
      <c r="AA2018" s="69"/>
      <c r="AB2018" s="69"/>
      <c r="AC2018" s="69"/>
      <c r="AD2018" s="69"/>
      <c r="AE2018" s="69"/>
      <c r="AF2018" s="69"/>
      <c r="AG2018" s="69"/>
      <c r="AH2018" s="69"/>
      <c r="AI2018" s="69"/>
      <c r="AJ2018" s="69"/>
      <c r="AK2018" s="69"/>
      <c r="AL2018" s="69"/>
      <c r="AM2018" s="69"/>
      <c r="AN2018" s="69"/>
      <c r="AO2018" s="69"/>
      <c r="AP2018" s="69"/>
      <c r="AQ2018" s="69"/>
      <c r="AR2018" s="69"/>
      <c r="AS2018" s="69"/>
      <c r="AT2018" s="69"/>
      <c r="AU2018" s="69"/>
      <c r="AV2018" s="69"/>
      <c r="AW2018" s="69"/>
      <c r="AX2018" s="69"/>
      <c r="AY2018" s="69"/>
      <c r="AZ2018" s="69"/>
      <c r="BA2018" s="69"/>
      <c r="BB2018" s="69"/>
      <c r="BC2018" s="69"/>
    </row>
    <row r="2019">
      <c r="A2019" s="68"/>
      <c r="B2019" s="68"/>
      <c r="C2019" s="68"/>
      <c r="D2019" s="68"/>
      <c r="E2019" s="68"/>
      <c r="F2019" s="68"/>
      <c r="G2019" s="68"/>
      <c r="H2019" s="68"/>
      <c r="I2019" s="69"/>
      <c r="J2019" s="69"/>
      <c r="K2019" s="71"/>
      <c r="L2019" s="69"/>
      <c r="M2019" s="69"/>
      <c r="N2019" s="72"/>
      <c r="O2019" s="69"/>
      <c r="P2019" s="69"/>
      <c r="Q2019" s="69"/>
      <c r="R2019" s="69"/>
      <c r="S2019" s="69"/>
      <c r="T2019" s="69"/>
      <c r="U2019" s="69"/>
      <c r="V2019" s="69"/>
      <c r="W2019" s="69"/>
      <c r="X2019" s="69"/>
      <c r="Y2019" s="69"/>
      <c r="Z2019" s="69"/>
      <c r="AA2019" s="69"/>
      <c r="AB2019" s="69"/>
      <c r="AC2019" s="69"/>
      <c r="AD2019" s="69"/>
      <c r="AE2019" s="69"/>
      <c r="AF2019" s="69"/>
      <c r="AG2019" s="69"/>
      <c r="AH2019" s="69"/>
      <c r="AI2019" s="69"/>
      <c r="AJ2019" s="69"/>
      <c r="AK2019" s="69"/>
      <c r="AL2019" s="69"/>
      <c r="AM2019" s="69"/>
      <c r="AN2019" s="69"/>
      <c r="AO2019" s="69"/>
      <c r="AP2019" s="69"/>
      <c r="AQ2019" s="69"/>
      <c r="AR2019" s="69"/>
      <c r="AS2019" s="69"/>
      <c r="AT2019" s="69"/>
      <c r="AU2019" s="69"/>
      <c r="AV2019" s="69"/>
      <c r="AW2019" s="69"/>
      <c r="AX2019" s="69"/>
      <c r="AY2019" s="69"/>
      <c r="AZ2019" s="69"/>
      <c r="BA2019" s="69"/>
      <c r="BB2019" s="69"/>
      <c r="BC2019" s="69"/>
    </row>
    <row r="2020">
      <c r="A2020" s="68"/>
      <c r="B2020" s="68"/>
      <c r="C2020" s="68"/>
      <c r="D2020" s="68"/>
      <c r="E2020" s="68"/>
      <c r="F2020" s="68"/>
      <c r="G2020" s="68"/>
      <c r="H2020" s="68"/>
      <c r="I2020" s="69"/>
      <c r="J2020" s="69"/>
      <c r="K2020" s="71"/>
      <c r="L2020" s="69"/>
      <c r="M2020" s="69"/>
      <c r="N2020" s="72"/>
      <c r="O2020" s="69"/>
      <c r="P2020" s="69"/>
      <c r="Q2020" s="69"/>
      <c r="R2020" s="69"/>
      <c r="S2020" s="69"/>
      <c r="T2020" s="69"/>
      <c r="U2020" s="69"/>
      <c r="V2020" s="69"/>
      <c r="W2020" s="69"/>
      <c r="X2020" s="69"/>
      <c r="Y2020" s="69"/>
      <c r="Z2020" s="69"/>
      <c r="AA2020" s="69"/>
      <c r="AB2020" s="69"/>
      <c r="AC2020" s="69"/>
      <c r="AD2020" s="69"/>
      <c r="AE2020" s="69"/>
      <c r="AF2020" s="69"/>
      <c r="AG2020" s="69"/>
      <c r="AH2020" s="69"/>
      <c r="AI2020" s="69"/>
      <c r="AJ2020" s="69"/>
      <c r="AK2020" s="69"/>
      <c r="AL2020" s="69"/>
      <c r="AM2020" s="69"/>
      <c r="AN2020" s="69"/>
      <c r="AO2020" s="69"/>
      <c r="AP2020" s="69"/>
      <c r="AQ2020" s="69"/>
      <c r="AR2020" s="69"/>
      <c r="AS2020" s="69"/>
      <c r="AT2020" s="69"/>
      <c r="AU2020" s="69"/>
      <c r="AV2020" s="69"/>
      <c r="AW2020" s="69"/>
      <c r="AX2020" s="69"/>
      <c r="AY2020" s="69"/>
      <c r="AZ2020" s="69"/>
      <c r="BA2020" s="69"/>
      <c r="BB2020" s="69"/>
      <c r="BC2020" s="69"/>
    </row>
    <row r="2021">
      <c r="A2021" s="68"/>
      <c r="B2021" s="68"/>
      <c r="C2021" s="68"/>
      <c r="D2021" s="68"/>
      <c r="E2021" s="68"/>
      <c r="F2021" s="68"/>
      <c r="G2021" s="68"/>
      <c r="H2021" s="68"/>
      <c r="I2021" s="69"/>
      <c r="J2021" s="69"/>
      <c r="K2021" s="71"/>
      <c r="L2021" s="69"/>
      <c r="M2021" s="69"/>
      <c r="N2021" s="72"/>
      <c r="O2021" s="69"/>
      <c r="P2021" s="69"/>
      <c r="Q2021" s="69"/>
      <c r="R2021" s="69"/>
      <c r="S2021" s="69"/>
      <c r="T2021" s="69"/>
      <c r="U2021" s="69"/>
      <c r="V2021" s="69"/>
      <c r="W2021" s="69"/>
      <c r="X2021" s="69"/>
      <c r="Y2021" s="69"/>
      <c r="Z2021" s="69"/>
      <c r="AA2021" s="69"/>
      <c r="AB2021" s="69"/>
      <c r="AC2021" s="69"/>
      <c r="AD2021" s="69"/>
      <c r="AE2021" s="69"/>
      <c r="AF2021" s="69"/>
      <c r="AG2021" s="69"/>
      <c r="AH2021" s="69"/>
      <c r="AI2021" s="69"/>
      <c r="AJ2021" s="69"/>
      <c r="AK2021" s="69"/>
      <c r="AL2021" s="69"/>
      <c r="AM2021" s="69"/>
      <c r="AN2021" s="69"/>
      <c r="AO2021" s="69"/>
      <c r="AP2021" s="69"/>
      <c r="AQ2021" s="69"/>
      <c r="AR2021" s="69"/>
      <c r="AS2021" s="69"/>
      <c r="AT2021" s="69"/>
      <c r="AU2021" s="69"/>
      <c r="AV2021" s="69"/>
      <c r="AW2021" s="69"/>
      <c r="AX2021" s="69"/>
      <c r="AY2021" s="69"/>
      <c r="AZ2021" s="69"/>
      <c r="BA2021" s="69"/>
      <c r="BB2021" s="69"/>
      <c r="BC2021" s="69"/>
    </row>
    <row r="2022">
      <c r="A2022" s="68"/>
      <c r="B2022" s="68"/>
      <c r="C2022" s="68"/>
      <c r="D2022" s="68"/>
      <c r="E2022" s="68"/>
      <c r="F2022" s="68"/>
      <c r="G2022" s="68"/>
      <c r="H2022" s="68"/>
      <c r="I2022" s="69"/>
      <c r="J2022" s="69"/>
      <c r="K2022" s="71"/>
      <c r="L2022" s="69"/>
      <c r="M2022" s="69"/>
      <c r="N2022" s="72"/>
      <c r="O2022" s="69"/>
      <c r="P2022" s="69"/>
      <c r="Q2022" s="69"/>
      <c r="R2022" s="69"/>
      <c r="S2022" s="69"/>
      <c r="T2022" s="69"/>
      <c r="U2022" s="69"/>
      <c r="V2022" s="69"/>
      <c r="W2022" s="69"/>
      <c r="X2022" s="69"/>
      <c r="Y2022" s="69"/>
      <c r="Z2022" s="69"/>
      <c r="AA2022" s="69"/>
      <c r="AB2022" s="69"/>
      <c r="AC2022" s="69"/>
      <c r="AD2022" s="69"/>
      <c r="AE2022" s="69"/>
      <c r="AF2022" s="69"/>
      <c r="AG2022" s="69"/>
      <c r="AH2022" s="69"/>
      <c r="AI2022" s="69"/>
      <c r="AJ2022" s="69"/>
      <c r="AK2022" s="69"/>
      <c r="AL2022" s="69"/>
      <c r="AM2022" s="69"/>
      <c r="AN2022" s="69"/>
      <c r="AO2022" s="69"/>
      <c r="AP2022" s="69"/>
      <c r="AQ2022" s="69"/>
      <c r="AR2022" s="69"/>
      <c r="AS2022" s="69"/>
      <c r="AT2022" s="69"/>
      <c r="AU2022" s="69"/>
      <c r="AV2022" s="69"/>
      <c r="AW2022" s="69"/>
      <c r="AX2022" s="69"/>
      <c r="AY2022" s="69"/>
      <c r="AZ2022" s="69"/>
      <c r="BA2022" s="69"/>
      <c r="BB2022" s="69"/>
      <c r="BC2022" s="69"/>
    </row>
    <row r="2023">
      <c r="A2023" s="68"/>
      <c r="B2023" s="68"/>
      <c r="C2023" s="68"/>
      <c r="D2023" s="68"/>
      <c r="E2023" s="68"/>
      <c r="F2023" s="68"/>
      <c r="G2023" s="68"/>
      <c r="H2023" s="68"/>
      <c r="I2023" s="69"/>
      <c r="J2023" s="69"/>
      <c r="K2023" s="71"/>
      <c r="L2023" s="69"/>
      <c r="M2023" s="69"/>
      <c r="N2023" s="72"/>
      <c r="O2023" s="69"/>
      <c r="P2023" s="69"/>
      <c r="Q2023" s="69"/>
      <c r="R2023" s="69"/>
      <c r="S2023" s="69"/>
      <c r="T2023" s="69"/>
      <c r="U2023" s="69"/>
      <c r="V2023" s="69"/>
      <c r="W2023" s="69"/>
      <c r="X2023" s="69"/>
      <c r="Y2023" s="69"/>
      <c r="Z2023" s="69"/>
      <c r="AA2023" s="69"/>
      <c r="AB2023" s="69"/>
      <c r="AC2023" s="69"/>
      <c r="AD2023" s="69"/>
      <c r="AE2023" s="69"/>
      <c r="AF2023" s="69"/>
      <c r="AG2023" s="69"/>
      <c r="AH2023" s="69"/>
      <c r="AI2023" s="69"/>
      <c r="AJ2023" s="69"/>
      <c r="AK2023" s="69"/>
      <c r="AL2023" s="69"/>
      <c r="AM2023" s="69"/>
      <c r="AN2023" s="69"/>
      <c r="AO2023" s="69"/>
      <c r="AP2023" s="69"/>
      <c r="AQ2023" s="69"/>
      <c r="AR2023" s="69"/>
      <c r="AS2023" s="69"/>
      <c r="AT2023" s="69"/>
      <c r="AU2023" s="69"/>
      <c r="AV2023" s="69"/>
      <c r="AW2023" s="69"/>
      <c r="AX2023" s="69"/>
      <c r="AY2023" s="69"/>
      <c r="AZ2023" s="69"/>
      <c r="BA2023" s="69"/>
      <c r="BB2023" s="69"/>
      <c r="BC2023" s="69"/>
    </row>
    <row r="2024">
      <c r="A2024" s="68"/>
      <c r="B2024" s="68"/>
      <c r="C2024" s="68"/>
      <c r="D2024" s="68"/>
      <c r="E2024" s="68"/>
      <c r="F2024" s="68"/>
      <c r="G2024" s="68"/>
      <c r="H2024" s="68"/>
      <c r="I2024" s="69"/>
      <c r="J2024" s="69"/>
      <c r="K2024" s="71"/>
      <c r="L2024" s="69"/>
      <c r="M2024" s="69"/>
      <c r="N2024" s="72"/>
      <c r="O2024" s="69"/>
      <c r="P2024" s="69"/>
      <c r="Q2024" s="69"/>
      <c r="R2024" s="69"/>
      <c r="S2024" s="69"/>
      <c r="T2024" s="69"/>
      <c r="U2024" s="69"/>
      <c r="V2024" s="69"/>
      <c r="W2024" s="69"/>
      <c r="X2024" s="69"/>
      <c r="Y2024" s="69"/>
      <c r="Z2024" s="69"/>
      <c r="AA2024" s="69"/>
      <c r="AB2024" s="69"/>
      <c r="AC2024" s="69"/>
      <c r="AD2024" s="69"/>
      <c r="AE2024" s="69"/>
      <c r="AF2024" s="69"/>
      <c r="AG2024" s="69"/>
      <c r="AH2024" s="69"/>
      <c r="AI2024" s="69"/>
      <c r="AJ2024" s="69"/>
      <c r="AK2024" s="69"/>
      <c r="AL2024" s="69"/>
      <c r="AM2024" s="69"/>
      <c r="AN2024" s="69"/>
      <c r="AO2024" s="69"/>
      <c r="AP2024" s="69"/>
      <c r="AQ2024" s="69"/>
      <c r="AR2024" s="69"/>
      <c r="AS2024" s="69"/>
      <c r="AT2024" s="69"/>
      <c r="AU2024" s="69"/>
      <c r="AV2024" s="69"/>
      <c r="AW2024" s="69"/>
      <c r="AX2024" s="69"/>
      <c r="AY2024" s="69"/>
      <c r="AZ2024" s="69"/>
      <c r="BA2024" s="69"/>
      <c r="BB2024" s="69"/>
      <c r="BC2024" s="69"/>
    </row>
    <row r="2025">
      <c r="A2025" s="68"/>
      <c r="B2025" s="68"/>
      <c r="C2025" s="68"/>
      <c r="D2025" s="68"/>
      <c r="E2025" s="68"/>
      <c r="F2025" s="68"/>
      <c r="G2025" s="68"/>
      <c r="H2025" s="68"/>
      <c r="I2025" s="69"/>
      <c r="J2025" s="69"/>
      <c r="K2025" s="71"/>
      <c r="L2025" s="69"/>
      <c r="M2025" s="69"/>
      <c r="N2025" s="72"/>
      <c r="O2025" s="69"/>
      <c r="P2025" s="69"/>
      <c r="Q2025" s="69"/>
      <c r="R2025" s="69"/>
      <c r="S2025" s="69"/>
      <c r="T2025" s="69"/>
      <c r="U2025" s="69"/>
      <c r="V2025" s="69"/>
      <c r="W2025" s="69"/>
      <c r="X2025" s="69"/>
      <c r="Y2025" s="69"/>
      <c r="Z2025" s="69"/>
      <c r="AA2025" s="69"/>
      <c r="AB2025" s="69"/>
      <c r="AC2025" s="69"/>
      <c r="AD2025" s="69"/>
      <c r="AE2025" s="69"/>
      <c r="AF2025" s="69"/>
      <c r="AG2025" s="69"/>
      <c r="AH2025" s="69"/>
      <c r="AI2025" s="69"/>
      <c r="AJ2025" s="69"/>
      <c r="AK2025" s="69"/>
      <c r="AL2025" s="69"/>
      <c r="AM2025" s="69"/>
      <c r="AN2025" s="69"/>
      <c r="AO2025" s="69"/>
      <c r="AP2025" s="69"/>
      <c r="AQ2025" s="69"/>
      <c r="AR2025" s="69"/>
      <c r="AS2025" s="69"/>
      <c r="AT2025" s="69"/>
      <c r="AU2025" s="69"/>
      <c r="AV2025" s="69"/>
      <c r="AW2025" s="69"/>
      <c r="AX2025" s="69"/>
      <c r="AY2025" s="69"/>
      <c r="AZ2025" s="69"/>
      <c r="BA2025" s="69"/>
      <c r="BB2025" s="69"/>
      <c r="BC2025" s="69"/>
    </row>
    <row r="2026">
      <c r="A2026" s="68"/>
      <c r="B2026" s="68"/>
      <c r="C2026" s="68"/>
      <c r="D2026" s="68"/>
      <c r="E2026" s="68"/>
      <c r="F2026" s="68"/>
      <c r="G2026" s="68"/>
      <c r="H2026" s="68"/>
      <c r="I2026" s="69"/>
      <c r="J2026" s="69"/>
      <c r="K2026" s="71"/>
      <c r="L2026" s="69"/>
      <c r="M2026" s="69"/>
      <c r="N2026" s="72"/>
      <c r="O2026" s="69"/>
      <c r="P2026" s="69"/>
      <c r="Q2026" s="69"/>
      <c r="R2026" s="69"/>
      <c r="S2026" s="69"/>
      <c r="T2026" s="69"/>
      <c r="U2026" s="69"/>
      <c r="V2026" s="69"/>
      <c r="W2026" s="69"/>
      <c r="X2026" s="69"/>
      <c r="Y2026" s="69"/>
      <c r="Z2026" s="69"/>
      <c r="AA2026" s="69"/>
      <c r="AB2026" s="69"/>
      <c r="AC2026" s="69"/>
      <c r="AD2026" s="69"/>
      <c r="AE2026" s="69"/>
      <c r="AF2026" s="69"/>
      <c r="AG2026" s="69"/>
      <c r="AH2026" s="69"/>
      <c r="AI2026" s="69"/>
      <c r="AJ2026" s="69"/>
      <c r="AK2026" s="69"/>
      <c r="AL2026" s="69"/>
      <c r="AM2026" s="69"/>
      <c r="AN2026" s="69"/>
      <c r="AO2026" s="69"/>
      <c r="AP2026" s="69"/>
      <c r="AQ2026" s="69"/>
      <c r="AR2026" s="69"/>
      <c r="AS2026" s="69"/>
      <c r="AT2026" s="69"/>
      <c r="AU2026" s="69"/>
      <c r="AV2026" s="69"/>
      <c r="AW2026" s="69"/>
      <c r="AX2026" s="69"/>
      <c r="AY2026" s="69"/>
      <c r="AZ2026" s="69"/>
      <c r="BA2026" s="69"/>
      <c r="BB2026" s="69"/>
      <c r="BC2026" s="69"/>
    </row>
    <row r="2027">
      <c r="A2027" s="68"/>
      <c r="B2027" s="68"/>
      <c r="C2027" s="68"/>
      <c r="D2027" s="68"/>
      <c r="E2027" s="68"/>
      <c r="F2027" s="68"/>
      <c r="G2027" s="68"/>
      <c r="H2027" s="68"/>
      <c r="I2027" s="69"/>
      <c r="J2027" s="69"/>
      <c r="K2027" s="71"/>
      <c r="L2027" s="69"/>
      <c r="M2027" s="69"/>
      <c r="N2027" s="72"/>
      <c r="O2027" s="69"/>
      <c r="P2027" s="69"/>
      <c r="Q2027" s="69"/>
      <c r="R2027" s="69"/>
      <c r="S2027" s="69"/>
      <c r="T2027" s="69"/>
      <c r="U2027" s="69"/>
      <c r="V2027" s="69"/>
      <c r="W2027" s="69"/>
      <c r="X2027" s="69"/>
      <c r="Y2027" s="69"/>
      <c r="Z2027" s="69"/>
      <c r="AA2027" s="69"/>
      <c r="AB2027" s="69"/>
      <c r="AC2027" s="69"/>
      <c r="AD2027" s="69"/>
      <c r="AE2027" s="69"/>
      <c r="AF2027" s="69"/>
      <c r="AG2027" s="69"/>
      <c r="AH2027" s="69"/>
      <c r="AI2027" s="69"/>
      <c r="AJ2027" s="69"/>
      <c r="AK2027" s="69"/>
      <c r="AL2027" s="69"/>
      <c r="AM2027" s="69"/>
      <c r="AN2027" s="69"/>
      <c r="AO2027" s="69"/>
      <c r="AP2027" s="69"/>
      <c r="AQ2027" s="69"/>
      <c r="AR2027" s="69"/>
      <c r="AS2027" s="69"/>
      <c r="AT2027" s="69"/>
      <c r="AU2027" s="69"/>
      <c r="AV2027" s="69"/>
      <c r="AW2027" s="69"/>
      <c r="AX2027" s="69"/>
      <c r="AY2027" s="69"/>
      <c r="AZ2027" s="69"/>
      <c r="BA2027" s="69"/>
      <c r="BB2027" s="69"/>
      <c r="BC2027" s="69"/>
    </row>
    <row r="2028">
      <c r="A2028" s="68"/>
      <c r="B2028" s="68"/>
      <c r="C2028" s="68"/>
      <c r="D2028" s="68"/>
      <c r="E2028" s="68"/>
      <c r="F2028" s="68"/>
      <c r="G2028" s="68"/>
      <c r="H2028" s="68"/>
      <c r="I2028" s="69"/>
      <c r="J2028" s="69"/>
      <c r="K2028" s="71"/>
      <c r="L2028" s="69"/>
      <c r="M2028" s="69"/>
      <c r="N2028" s="72"/>
      <c r="O2028" s="69"/>
      <c r="P2028" s="69"/>
      <c r="Q2028" s="69"/>
      <c r="R2028" s="69"/>
      <c r="S2028" s="69"/>
      <c r="T2028" s="69"/>
      <c r="U2028" s="69"/>
      <c r="V2028" s="69"/>
      <c r="W2028" s="69"/>
      <c r="X2028" s="69"/>
      <c r="Y2028" s="69"/>
      <c r="Z2028" s="69"/>
      <c r="AA2028" s="69"/>
      <c r="AB2028" s="69"/>
      <c r="AC2028" s="69"/>
      <c r="AD2028" s="69"/>
      <c r="AE2028" s="69"/>
      <c r="AF2028" s="69"/>
      <c r="AG2028" s="69"/>
      <c r="AH2028" s="69"/>
      <c r="AI2028" s="69"/>
      <c r="AJ2028" s="69"/>
      <c r="AK2028" s="69"/>
      <c r="AL2028" s="69"/>
      <c r="AM2028" s="69"/>
      <c r="AN2028" s="69"/>
      <c r="AO2028" s="69"/>
      <c r="AP2028" s="69"/>
      <c r="AQ2028" s="69"/>
      <c r="AR2028" s="69"/>
      <c r="AS2028" s="69"/>
      <c r="AT2028" s="69"/>
      <c r="AU2028" s="69"/>
      <c r="AV2028" s="69"/>
      <c r="AW2028" s="69"/>
      <c r="AX2028" s="69"/>
      <c r="AY2028" s="69"/>
      <c r="AZ2028" s="69"/>
      <c r="BA2028" s="69"/>
      <c r="BB2028" s="69"/>
      <c r="BC2028" s="69"/>
    </row>
    <row r="2029">
      <c r="A2029" s="68"/>
      <c r="B2029" s="68"/>
      <c r="C2029" s="68"/>
      <c r="D2029" s="68"/>
      <c r="E2029" s="68"/>
      <c r="F2029" s="68"/>
      <c r="G2029" s="68"/>
      <c r="H2029" s="68"/>
      <c r="I2029" s="69"/>
      <c r="J2029" s="69"/>
      <c r="K2029" s="71"/>
      <c r="L2029" s="69"/>
      <c r="M2029" s="69"/>
      <c r="N2029" s="72"/>
      <c r="O2029" s="69"/>
      <c r="P2029" s="69"/>
      <c r="Q2029" s="69"/>
      <c r="R2029" s="69"/>
      <c r="S2029" s="69"/>
      <c r="T2029" s="69"/>
      <c r="U2029" s="69"/>
      <c r="V2029" s="69"/>
      <c r="W2029" s="69"/>
      <c r="X2029" s="69"/>
      <c r="Y2029" s="69"/>
      <c r="Z2029" s="69"/>
      <c r="AA2029" s="69"/>
      <c r="AB2029" s="69"/>
      <c r="AC2029" s="69"/>
      <c r="AD2029" s="69"/>
      <c r="AE2029" s="69"/>
      <c r="AF2029" s="69"/>
      <c r="AG2029" s="69"/>
      <c r="AH2029" s="69"/>
      <c r="AI2029" s="69"/>
      <c r="AJ2029" s="69"/>
      <c r="AK2029" s="69"/>
      <c r="AL2029" s="69"/>
      <c r="AM2029" s="69"/>
      <c r="AN2029" s="69"/>
      <c r="AO2029" s="69"/>
      <c r="AP2029" s="69"/>
      <c r="AQ2029" s="69"/>
      <c r="AR2029" s="69"/>
      <c r="AS2029" s="69"/>
      <c r="AT2029" s="69"/>
      <c r="AU2029" s="69"/>
      <c r="AV2029" s="69"/>
      <c r="AW2029" s="69"/>
      <c r="AX2029" s="69"/>
      <c r="AY2029" s="69"/>
      <c r="AZ2029" s="69"/>
      <c r="BA2029" s="69"/>
      <c r="BB2029" s="69"/>
      <c r="BC2029" s="69"/>
    </row>
    <row r="2030">
      <c r="A2030" s="68"/>
      <c r="B2030" s="68"/>
      <c r="C2030" s="68"/>
      <c r="D2030" s="68"/>
      <c r="E2030" s="68"/>
      <c r="F2030" s="68"/>
      <c r="G2030" s="68"/>
      <c r="H2030" s="68"/>
      <c r="I2030" s="69"/>
      <c r="J2030" s="69"/>
      <c r="K2030" s="71"/>
      <c r="L2030" s="69"/>
      <c r="M2030" s="69"/>
      <c r="N2030" s="72"/>
      <c r="O2030" s="69"/>
      <c r="P2030" s="69"/>
      <c r="Q2030" s="69"/>
      <c r="R2030" s="69"/>
      <c r="S2030" s="69"/>
      <c r="T2030" s="69"/>
      <c r="U2030" s="69"/>
      <c r="V2030" s="69"/>
      <c r="W2030" s="69"/>
      <c r="X2030" s="69"/>
      <c r="Y2030" s="69"/>
      <c r="Z2030" s="69"/>
      <c r="AA2030" s="69"/>
      <c r="AB2030" s="69"/>
      <c r="AC2030" s="69"/>
      <c r="AD2030" s="69"/>
      <c r="AE2030" s="69"/>
      <c r="AF2030" s="69"/>
      <c r="AG2030" s="69"/>
      <c r="AH2030" s="69"/>
      <c r="AI2030" s="69"/>
      <c r="AJ2030" s="69"/>
      <c r="AK2030" s="69"/>
      <c r="AL2030" s="69"/>
      <c r="AM2030" s="69"/>
      <c r="AN2030" s="69"/>
      <c r="AO2030" s="69"/>
      <c r="AP2030" s="69"/>
      <c r="AQ2030" s="69"/>
      <c r="AR2030" s="69"/>
      <c r="AS2030" s="69"/>
      <c r="AT2030" s="69"/>
      <c r="AU2030" s="69"/>
      <c r="AV2030" s="69"/>
      <c r="AW2030" s="69"/>
      <c r="AX2030" s="69"/>
      <c r="AY2030" s="69"/>
      <c r="AZ2030" s="69"/>
      <c r="BA2030" s="69"/>
      <c r="BB2030" s="69"/>
      <c r="BC2030" s="69"/>
    </row>
    <row r="2031">
      <c r="A2031" s="68"/>
      <c r="B2031" s="68"/>
      <c r="C2031" s="68"/>
      <c r="D2031" s="68"/>
      <c r="E2031" s="68"/>
      <c r="F2031" s="68"/>
      <c r="G2031" s="68"/>
      <c r="H2031" s="68"/>
      <c r="I2031" s="69"/>
      <c r="J2031" s="69"/>
      <c r="K2031" s="71"/>
      <c r="L2031" s="69"/>
      <c r="M2031" s="69"/>
      <c r="N2031" s="72"/>
      <c r="O2031" s="69"/>
      <c r="P2031" s="69"/>
      <c r="Q2031" s="69"/>
      <c r="R2031" s="69"/>
      <c r="S2031" s="69"/>
      <c r="T2031" s="69"/>
      <c r="U2031" s="69"/>
      <c r="V2031" s="69"/>
      <c r="W2031" s="69"/>
      <c r="X2031" s="69"/>
      <c r="Y2031" s="69"/>
      <c r="Z2031" s="69"/>
      <c r="AA2031" s="69"/>
      <c r="AB2031" s="69"/>
      <c r="AC2031" s="69"/>
      <c r="AD2031" s="69"/>
      <c r="AE2031" s="69"/>
      <c r="AF2031" s="69"/>
      <c r="AG2031" s="69"/>
      <c r="AH2031" s="69"/>
      <c r="AI2031" s="69"/>
      <c r="AJ2031" s="69"/>
      <c r="AK2031" s="69"/>
      <c r="AL2031" s="69"/>
      <c r="AM2031" s="69"/>
      <c r="AN2031" s="69"/>
      <c r="AO2031" s="69"/>
      <c r="AP2031" s="69"/>
      <c r="AQ2031" s="69"/>
      <c r="AR2031" s="69"/>
      <c r="AS2031" s="69"/>
      <c r="AT2031" s="69"/>
      <c r="AU2031" s="69"/>
      <c r="AV2031" s="69"/>
      <c r="AW2031" s="69"/>
      <c r="AX2031" s="69"/>
      <c r="AY2031" s="69"/>
      <c r="AZ2031" s="69"/>
      <c r="BA2031" s="69"/>
      <c r="BB2031" s="69"/>
      <c r="BC2031" s="69"/>
    </row>
    <row r="2032">
      <c r="A2032" s="68"/>
      <c r="B2032" s="68"/>
      <c r="C2032" s="68"/>
      <c r="D2032" s="68"/>
      <c r="E2032" s="68"/>
      <c r="F2032" s="68"/>
      <c r="G2032" s="68"/>
      <c r="H2032" s="68"/>
      <c r="I2032" s="69"/>
      <c r="J2032" s="69"/>
      <c r="K2032" s="71"/>
      <c r="L2032" s="69"/>
      <c r="M2032" s="69"/>
      <c r="N2032" s="72"/>
      <c r="O2032" s="69"/>
      <c r="P2032" s="69"/>
      <c r="Q2032" s="69"/>
      <c r="R2032" s="69"/>
      <c r="S2032" s="69"/>
      <c r="T2032" s="69"/>
      <c r="U2032" s="69"/>
      <c r="V2032" s="69"/>
      <c r="W2032" s="69"/>
      <c r="X2032" s="69"/>
      <c r="Y2032" s="69"/>
      <c r="Z2032" s="69"/>
      <c r="AA2032" s="69"/>
      <c r="AB2032" s="69"/>
      <c r="AC2032" s="69"/>
      <c r="AD2032" s="69"/>
      <c r="AE2032" s="69"/>
      <c r="AF2032" s="69"/>
      <c r="AG2032" s="69"/>
      <c r="AH2032" s="69"/>
      <c r="AI2032" s="69"/>
      <c r="AJ2032" s="69"/>
      <c r="AK2032" s="69"/>
      <c r="AL2032" s="69"/>
      <c r="AM2032" s="69"/>
      <c r="AN2032" s="69"/>
      <c r="AO2032" s="69"/>
      <c r="AP2032" s="69"/>
      <c r="AQ2032" s="69"/>
      <c r="AR2032" s="69"/>
      <c r="AS2032" s="69"/>
      <c r="AT2032" s="69"/>
      <c r="AU2032" s="69"/>
      <c r="AV2032" s="69"/>
      <c r="AW2032" s="69"/>
      <c r="AX2032" s="69"/>
      <c r="AY2032" s="69"/>
      <c r="AZ2032" s="69"/>
      <c r="BA2032" s="69"/>
      <c r="BB2032" s="69"/>
      <c r="BC2032" s="69"/>
    </row>
    <row r="2033">
      <c r="A2033" s="68"/>
      <c r="B2033" s="68"/>
      <c r="C2033" s="68"/>
      <c r="D2033" s="68"/>
      <c r="E2033" s="68"/>
      <c r="F2033" s="68"/>
      <c r="G2033" s="68"/>
      <c r="H2033" s="68"/>
      <c r="I2033" s="69"/>
      <c r="J2033" s="69"/>
      <c r="K2033" s="71"/>
      <c r="L2033" s="69"/>
      <c r="M2033" s="69"/>
      <c r="N2033" s="72"/>
      <c r="O2033" s="69"/>
      <c r="P2033" s="69"/>
      <c r="Q2033" s="69"/>
      <c r="R2033" s="69"/>
      <c r="S2033" s="69"/>
      <c r="T2033" s="69"/>
      <c r="U2033" s="69"/>
      <c r="V2033" s="69"/>
      <c r="W2033" s="69"/>
      <c r="X2033" s="69"/>
      <c r="Y2033" s="69"/>
      <c r="Z2033" s="69"/>
      <c r="AA2033" s="69"/>
      <c r="AB2033" s="69"/>
      <c r="AC2033" s="69"/>
      <c r="AD2033" s="69"/>
      <c r="AE2033" s="69"/>
      <c r="AF2033" s="69"/>
      <c r="AG2033" s="69"/>
      <c r="AH2033" s="69"/>
      <c r="AI2033" s="69"/>
      <c r="AJ2033" s="69"/>
      <c r="AK2033" s="69"/>
      <c r="AL2033" s="69"/>
      <c r="AM2033" s="69"/>
      <c r="AN2033" s="69"/>
      <c r="AO2033" s="69"/>
      <c r="AP2033" s="69"/>
      <c r="AQ2033" s="69"/>
      <c r="AR2033" s="69"/>
      <c r="AS2033" s="69"/>
      <c r="AT2033" s="69"/>
      <c r="AU2033" s="69"/>
      <c r="AV2033" s="69"/>
      <c r="AW2033" s="69"/>
      <c r="AX2033" s="69"/>
      <c r="AY2033" s="69"/>
      <c r="AZ2033" s="69"/>
      <c r="BA2033" s="69"/>
      <c r="BB2033" s="69"/>
      <c r="BC2033" s="69"/>
    </row>
    <row r="2034">
      <c r="A2034" s="68"/>
      <c r="B2034" s="68"/>
      <c r="C2034" s="68"/>
      <c r="D2034" s="68"/>
      <c r="E2034" s="68"/>
      <c r="F2034" s="68"/>
      <c r="G2034" s="68"/>
      <c r="H2034" s="68"/>
      <c r="I2034" s="69"/>
      <c r="J2034" s="69"/>
      <c r="K2034" s="71"/>
      <c r="L2034" s="69"/>
      <c r="M2034" s="69"/>
      <c r="N2034" s="72"/>
      <c r="O2034" s="69"/>
      <c r="P2034" s="69"/>
      <c r="Q2034" s="69"/>
      <c r="R2034" s="69"/>
      <c r="S2034" s="69"/>
      <c r="T2034" s="69"/>
      <c r="U2034" s="69"/>
      <c r="V2034" s="69"/>
      <c r="W2034" s="69"/>
      <c r="X2034" s="69"/>
      <c r="Y2034" s="69"/>
      <c r="Z2034" s="69"/>
      <c r="AA2034" s="69"/>
      <c r="AB2034" s="69"/>
      <c r="AC2034" s="69"/>
      <c r="AD2034" s="69"/>
      <c r="AE2034" s="69"/>
      <c r="AF2034" s="69"/>
      <c r="AG2034" s="69"/>
      <c r="AH2034" s="69"/>
      <c r="AI2034" s="69"/>
      <c r="AJ2034" s="69"/>
      <c r="AK2034" s="69"/>
      <c r="AL2034" s="69"/>
      <c r="AM2034" s="69"/>
      <c r="AN2034" s="69"/>
      <c r="AO2034" s="69"/>
      <c r="AP2034" s="69"/>
      <c r="AQ2034" s="69"/>
      <c r="AR2034" s="69"/>
      <c r="AS2034" s="69"/>
      <c r="AT2034" s="69"/>
      <c r="AU2034" s="69"/>
      <c r="AV2034" s="69"/>
      <c r="AW2034" s="69"/>
      <c r="AX2034" s="69"/>
      <c r="AY2034" s="69"/>
      <c r="AZ2034" s="69"/>
      <c r="BA2034" s="69"/>
      <c r="BB2034" s="69"/>
      <c r="BC2034" s="69"/>
    </row>
    <row r="2035">
      <c r="A2035" s="68"/>
      <c r="B2035" s="68"/>
      <c r="C2035" s="68"/>
      <c r="D2035" s="68"/>
      <c r="E2035" s="68"/>
      <c r="F2035" s="68"/>
      <c r="G2035" s="68"/>
      <c r="H2035" s="68"/>
      <c r="I2035" s="69"/>
      <c r="J2035" s="69"/>
      <c r="K2035" s="71"/>
      <c r="L2035" s="69"/>
      <c r="M2035" s="69"/>
      <c r="N2035" s="72"/>
      <c r="O2035" s="69"/>
      <c r="P2035" s="69"/>
      <c r="Q2035" s="69"/>
      <c r="R2035" s="69"/>
      <c r="S2035" s="69"/>
      <c r="T2035" s="69"/>
      <c r="U2035" s="69"/>
      <c r="V2035" s="69"/>
      <c r="W2035" s="69"/>
      <c r="X2035" s="69"/>
      <c r="Y2035" s="69"/>
      <c r="Z2035" s="69"/>
      <c r="AA2035" s="69"/>
      <c r="AB2035" s="69"/>
      <c r="AC2035" s="69"/>
      <c r="AD2035" s="69"/>
      <c r="AE2035" s="69"/>
      <c r="AF2035" s="69"/>
      <c r="AG2035" s="69"/>
      <c r="AH2035" s="69"/>
      <c r="AI2035" s="69"/>
      <c r="AJ2035" s="69"/>
      <c r="AK2035" s="69"/>
      <c r="AL2035" s="69"/>
      <c r="AM2035" s="69"/>
      <c r="AN2035" s="69"/>
      <c r="AO2035" s="69"/>
      <c r="AP2035" s="69"/>
      <c r="AQ2035" s="69"/>
      <c r="AR2035" s="69"/>
      <c r="AS2035" s="69"/>
      <c r="AT2035" s="69"/>
      <c r="AU2035" s="69"/>
      <c r="AV2035" s="69"/>
      <c r="AW2035" s="69"/>
      <c r="AX2035" s="69"/>
      <c r="AY2035" s="69"/>
      <c r="AZ2035" s="69"/>
      <c r="BA2035" s="69"/>
      <c r="BB2035" s="69"/>
      <c r="BC2035" s="69"/>
    </row>
    <row r="2036">
      <c r="A2036" s="68"/>
      <c r="B2036" s="68"/>
      <c r="C2036" s="68"/>
      <c r="D2036" s="68"/>
      <c r="E2036" s="68"/>
      <c r="F2036" s="68"/>
      <c r="G2036" s="68"/>
      <c r="H2036" s="68"/>
      <c r="I2036" s="69"/>
      <c r="J2036" s="69"/>
      <c r="K2036" s="71"/>
      <c r="L2036" s="69"/>
      <c r="M2036" s="69"/>
      <c r="N2036" s="72"/>
      <c r="O2036" s="69"/>
      <c r="P2036" s="69"/>
      <c r="Q2036" s="69"/>
      <c r="R2036" s="69"/>
      <c r="S2036" s="69"/>
      <c r="T2036" s="69"/>
      <c r="U2036" s="69"/>
      <c r="V2036" s="69"/>
      <c r="W2036" s="69"/>
      <c r="X2036" s="69"/>
      <c r="Y2036" s="69"/>
      <c r="Z2036" s="69"/>
      <c r="AA2036" s="69"/>
      <c r="AB2036" s="69"/>
      <c r="AC2036" s="69"/>
      <c r="AD2036" s="69"/>
      <c r="AE2036" s="69"/>
      <c r="AF2036" s="69"/>
      <c r="AG2036" s="69"/>
      <c r="AH2036" s="69"/>
      <c r="AI2036" s="69"/>
      <c r="AJ2036" s="69"/>
      <c r="AK2036" s="69"/>
      <c r="AL2036" s="69"/>
      <c r="AM2036" s="69"/>
      <c r="AN2036" s="69"/>
      <c r="AO2036" s="69"/>
      <c r="AP2036" s="69"/>
      <c r="AQ2036" s="69"/>
      <c r="AR2036" s="69"/>
      <c r="AS2036" s="69"/>
      <c r="AT2036" s="69"/>
      <c r="AU2036" s="69"/>
      <c r="AV2036" s="69"/>
      <c r="AW2036" s="69"/>
      <c r="AX2036" s="69"/>
      <c r="AY2036" s="69"/>
      <c r="AZ2036" s="69"/>
      <c r="BA2036" s="69"/>
      <c r="BB2036" s="69"/>
      <c r="BC2036" s="69"/>
    </row>
    <row r="2037">
      <c r="A2037" s="68"/>
      <c r="B2037" s="68"/>
      <c r="C2037" s="68"/>
      <c r="D2037" s="68"/>
      <c r="E2037" s="68"/>
      <c r="F2037" s="68"/>
      <c r="G2037" s="68"/>
      <c r="H2037" s="68"/>
      <c r="I2037" s="69"/>
      <c r="J2037" s="69"/>
      <c r="K2037" s="71"/>
      <c r="L2037" s="69"/>
      <c r="M2037" s="69"/>
      <c r="N2037" s="72"/>
      <c r="O2037" s="69"/>
      <c r="P2037" s="69"/>
      <c r="Q2037" s="69"/>
      <c r="R2037" s="69"/>
      <c r="S2037" s="69"/>
      <c r="T2037" s="69"/>
      <c r="U2037" s="69"/>
      <c r="V2037" s="69"/>
      <c r="W2037" s="69"/>
      <c r="X2037" s="69"/>
      <c r="Y2037" s="69"/>
      <c r="Z2037" s="69"/>
      <c r="AA2037" s="69"/>
      <c r="AB2037" s="69"/>
      <c r="AC2037" s="69"/>
      <c r="AD2037" s="69"/>
      <c r="AE2037" s="69"/>
      <c r="AF2037" s="69"/>
      <c r="AG2037" s="69"/>
      <c r="AH2037" s="69"/>
      <c r="AI2037" s="69"/>
      <c r="AJ2037" s="69"/>
      <c r="AK2037" s="69"/>
      <c r="AL2037" s="69"/>
      <c r="AM2037" s="69"/>
      <c r="AN2037" s="69"/>
      <c r="AO2037" s="69"/>
      <c r="AP2037" s="69"/>
      <c r="AQ2037" s="69"/>
      <c r="AR2037" s="69"/>
      <c r="AS2037" s="69"/>
      <c r="AT2037" s="69"/>
      <c r="AU2037" s="69"/>
      <c r="AV2037" s="69"/>
      <c r="AW2037" s="69"/>
      <c r="AX2037" s="69"/>
      <c r="AY2037" s="69"/>
      <c r="AZ2037" s="69"/>
      <c r="BA2037" s="69"/>
      <c r="BB2037" s="69"/>
      <c r="BC2037" s="69"/>
    </row>
    <row r="2038">
      <c r="A2038" s="68"/>
      <c r="B2038" s="68"/>
      <c r="C2038" s="68"/>
      <c r="D2038" s="68"/>
      <c r="E2038" s="68"/>
      <c r="F2038" s="68"/>
      <c r="G2038" s="68"/>
      <c r="H2038" s="68"/>
      <c r="I2038" s="69"/>
      <c r="J2038" s="69"/>
      <c r="K2038" s="71"/>
      <c r="L2038" s="69"/>
      <c r="M2038" s="69"/>
      <c r="N2038" s="72"/>
      <c r="O2038" s="69"/>
      <c r="P2038" s="69"/>
      <c r="Q2038" s="69"/>
      <c r="R2038" s="69"/>
      <c r="S2038" s="69"/>
      <c r="T2038" s="69"/>
      <c r="U2038" s="69"/>
      <c r="V2038" s="69"/>
      <c r="W2038" s="69"/>
      <c r="X2038" s="69"/>
      <c r="Y2038" s="69"/>
      <c r="Z2038" s="69"/>
      <c r="AA2038" s="69"/>
      <c r="AB2038" s="69"/>
      <c r="AC2038" s="69"/>
      <c r="AD2038" s="69"/>
      <c r="AE2038" s="69"/>
      <c r="AF2038" s="69"/>
      <c r="AG2038" s="69"/>
      <c r="AH2038" s="69"/>
      <c r="AI2038" s="69"/>
      <c r="AJ2038" s="69"/>
      <c r="AK2038" s="69"/>
      <c r="AL2038" s="69"/>
      <c r="AM2038" s="69"/>
      <c r="AN2038" s="69"/>
      <c r="AO2038" s="69"/>
      <c r="AP2038" s="69"/>
      <c r="AQ2038" s="69"/>
      <c r="AR2038" s="69"/>
      <c r="AS2038" s="69"/>
      <c r="AT2038" s="69"/>
      <c r="AU2038" s="69"/>
      <c r="AV2038" s="69"/>
      <c r="AW2038" s="69"/>
      <c r="AX2038" s="69"/>
      <c r="AY2038" s="69"/>
      <c r="AZ2038" s="69"/>
      <c r="BA2038" s="69"/>
      <c r="BB2038" s="69"/>
      <c r="BC2038" s="69"/>
    </row>
    <row r="2039">
      <c r="A2039" s="68"/>
      <c r="B2039" s="68"/>
      <c r="C2039" s="68"/>
      <c r="D2039" s="68"/>
      <c r="E2039" s="68"/>
      <c r="F2039" s="68"/>
      <c r="G2039" s="68"/>
      <c r="H2039" s="68"/>
      <c r="I2039" s="69"/>
      <c r="J2039" s="69"/>
      <c r="K2039" s="71"/>
      <c r="L2039" s="69"/>
      <c r="M2039" s="69"/>
      <c r="N2039" s="72"/>
      <c r="O2039" s="69"/>
      <c r="P2039" s="69"/>
      <c r="Q2039" s="69"/>
      <c r="R2039" s="69"/>
      <c r="S2039" s="69"/>
      <c r="T2039" s="69"/>
      <c r="U2039" s="69"/>
      <c r="V2039" s="69"/>
      <c r="W2039" s="69"/>
      <c r="X2039" s="69"/>
      <c r="Y2039" s="69"/>
      <c r="Z2039" s="69"/>
      <c r="AA2039" s="69"/>
      <c r="AB2039" s="69"/>
      <c r="AC2039" s="69"/>
      <c r="AD2039" s="69"/>
      <c r="AE2039" s="69"/>
      <c r="AF2039" s="69"/>
      <c r="AG2039" s="69"/>
      <c r="AH2039" s="69"/>
      <c r="AI2039" s="69"/>
      <c r="AJ2039" s="69"/>
      <c r="AK2039" s="69"/>
      <c r="AL2039" s="69"/>
      <c r="AM2039" s="69"/>
      <c r="AN2039" s="69"/>
      <c r="AO2039" s="69"/>
      <c r="AP2039" s="69"/>
      <c r="AQ2039" s="69"/>
      <c r="AR2039" s="69"/>
      <c r="AS2039" s="69"/>
      <c r="AT2039" s="69"/>
      <c r="AU2039" s="69"/>
      <c r="AV2039" s="69"/>
      <c r="AW2039" s="69"/>
      <c r="AX2039" s="69"/>
      <c r="AY2039" s="69"/>
      <c r="AZ2039" s="69"/>
      <c r="BA2039" s="69"/>
      <c r="BB2039" s="69"/>
      <c r="BC2039" s="69"/>
    </row>
    <row r="2040">
      <c r="A2040" s="68"/>
      <c r="B2040" s="68"/>
      <c r="C2040" s="68"/>
      <c r="D2040" s="68"/>
      <c r="E2040" s="68"/>
      <c r="F2040" s="68"/>
      <c r="G2040" s="68"/>
      <c r="H2040" s="68"/>
      <c r="I2040" s="69"/>
      <c r="J2040" s="69"/>
      <c r="K2040" s="71"/>
      <c r="L2040" s="69"/>
      <c r="M2040" s="69"/>
      <c r="N2040" s="72"/>
      <c r="O2040" s="69"/>
      <c r="P2040" s="69"/>
      <c r="Q2040" s="69"/>
      <c r="R2040" s="69"/>
      <c r="S2040" s="69"/>
      <c r="T2040" s="69"/>
      <c r="U2040" s="69"/>
      <c r="V2040" s="69"/>
      <c r="W2040" s="69"/>
      <c r="X2040" s="69"/>
      <c r="Y2040" s="69"/>
      <c r="Z2040" s="69"/>
      <c r="AA2040" s="69"/>
      <c r="AB2040" s="69"/>
      <c r="AC2040" s="69"/>
      <c r="AD2040" s="69"/>
      <c r="AE2040" s="69"/>
      <c r="AF2040" s="69"/>
      <c r="AG2040" s="69"/>
      <c r="AH2040" s="69"/>
      <c r="AI2040" s="69"/>
      <c r="AJ2040" s="69"/>
      <c r="AK2040" s="69"/>
      <c r="AL2040" s="69"/>
      <c r="AM2040" s="69"/>
      <c r="AN2040" s="69"/>
      <c r="AO2040" s="69"/>
      <c r="AP2040" s="69"/>
      <c r="AQ2040" s="69"/>
      <c r="AR2040" s="69"/>
      <c r="AS2040" s="69"/>
      <c r="AT2040" s="69"/>
      <c r="AU2040" s="69"/>
      <c r="AV2040" s="69"/>
      <c r="AW2040" s="69"/>
      <c r="AX2040" s="69"/>
      <c r="AY2040" s="69"/>
      <c r="AZ2040" s="69"/>
      <c r="BA2040" s="69"/>
      <c r="BB2040" s="69"/>
      <c r="BC2040" s="69"/>
    </row>
    <row r="2041">
      <c r="A2041" s="68"/>
      <c r="B2041" s="68"/>
      <c r="C2041" s="68"/>
      <c r="D2041" s="68"/>
      <c r="E2041" s="68"/>
      <c r="F2041" s="68"/>
      <c r="G2041" s="68"/>
      <c r="H2041" s="68"/>
      <c r="I2041" s="69"/>
      <c r="J2041" s="69"/>
      <c r="K2041" s="71"/>
      <c r="L2041" s="69"/>
      <c r="M2041" s="69"/>
      <c r="N2041" s="72"/>
      <c r="O2041" s="69"/>
      <c r="P2041" s="69"/>
      <c r="Q2041" s="69"/>
      <c r="R2041" s="69"/>
      <c r="S2041" s="69"/>
      <c r="T2041" s="69"/>
      <c r="U2041" s="69"/>
      <c r="V2041" s="69"/>
      <c r="W2041" s="69"/>
      <c r="X2041" s="69"/>
      <c r="Y2041" s="69"/>
      <c r="Z2041" s="69"/>
      <c r="AA2041" s="69"/>
      <c r="AB2041" s="69"/>
      <c r="AC2041" s="69"/>
      <c r="AD2041" s="69"/>
      <c r="AE2041" s="69"/>
      <c r="AF2041" s="69"/>
      <c r="AG2041" s="69"/>
      <c r="AH2041" s="69"/>
      <c r="AI2041" s="69"/>
      <c r="AJ2041" s="69"/>
      <c r="AK2041" s="69"/>
      <c r="AL2041" s="69"/>
      <c r="AM2041" s="69"/>
      <c r="AN2041" s="69"/>
      <c r="AO2041" s="69"/>
      <c r="AP2041" s="69"/>
      <c r="AQ2041" s="69"/>
      <c r="AR2041" s="69"/>
      <c r="AS2041" s="69"/>
      <c r="AT2041" s="69"/>
      <c r="AU2041" s="69"/>
      <c r="AV2041" s="69"/>
      <c r="AW2041" s="69"/>
      <c r="AX2041" s="69"/>
      <c r="AY2041" s="69"/>
      <c r="AZ2041" s="69"/>
      <c r="BA2041" s="69"/>
      <c r="BB2041" s="69"/>
      <c r="BC2041" s="69"/>
    </row>
    <row r="2042">
      <c r="A2042" s="68"/>
      <c r="B2042" s="68"/>
      <c r="C2042" s="68"/>
      <c r="D2042" s="68"/>
      <c r="E2042" s="68"/>
      <c r="F2042" s="68"/>
      <c r="G2042" s="68"/>
      <c r="H2042" s="68"/>
      <c r="I2042" s="69"/>
      <c r="J2042" s="69"/>
      <c r="K2042" s="71"/>
      <c r="L2042" s="69"/>
      <c r="M2042" s="69"/>
      <c r="N2042" s="72"/>
      <c r="O2042" s="69"/>
      <c r="P2042" s="69"/>
      <c r="Q2042" s="69"/>
      <c r="R2042" s="69"/>
      <c r="S2042" s="69"/>
      <c r="T2042" s="69"/>
      <c r="U2042" s="69"/>
      <c r="V2042" s="69"/>
      <c r="W2042" s="69"/>
      <c r="X2042" s="69"/>
      <c r="Y2042" s="69"/>
      <c r="Z2042" s="69"/>
      <c r="AA2042" s="69"/>
      <c r="AB2042" s="69"/>
      <c r="AC2042" s="69"/>
      <c r="AD2042" s="69"/>
      <c r="AE2042" s="69"/>
      <c r="AF2042" s="69"/>
      <c r="AG2042" s="69"/>
      <c r="AH2042" s="69"/>
      <c r="AI2042" s="69"/>
      <c r="AJ2042" s="69"/>
      <c r="AK2042" s="69"/>
      <c r="AL2042" s="69"/>
      <c r="AM2042" s="69"/>
      <c r="AN2042" s="69"/>
      <c r="AO2042" s="69"/>
      <c r="AP2042" s="69"/>
      <c r="AQ2042" s="69"/>
      <c r="AR2042" s="69"/>
      <c r="AS2042" s="69"/>
      <c r="AT2042" s="69"/>
      <c r="AU2042" s="69"/>
      <c r="AV2042" s="69"/>
      <c r="AW2042" s="69"/>
      <c r="AX2042" s="69"/>
      <c r="AY2042" s="69"/>
      <c r="AZ2042" s="69"/>
      <c r="BA2042" s="69"/>
      <c r="BB2042" s="69"/>
      <c r="BC2042" s="69"/>
    </row>
    <row r="2043">
      <c r="A2043" s="68"/>
      <c r="B2043" s="68"/>
      <c r="C2043" s="68"/>
      <c r="D2043" s="68"/>
      <c r="E2043" s="68"/>
      <c r="F2043" s="68"/>
      <c r="G2043" s="68"/>
      <c r="H2043" s="68"/>
      <c r="I2043" s="69"/>
      <c r="J2043" s="69"/>
      <c r="K2043" s="71"/>
      <c r="L2043" s="69"/>
      <c r="M2043" s="69"/>
      <c r="N2043" s="72"/>
      <c r="O2043" s="69"/>
      <c r="P2043" s="69"/>
      <c r="Q2043" s="69"/>
      <c r="R2043" s="69"/>
      <c r="S2043" s="69"/>
      <c r="T2043" s="69"/>
      <c r="U2043" s="69"/>
      <c r="V2043" s="69"/>
      <c r="W2043" s="69"/>
      <c r="X2043" s="69"/>
      <c r="Y2043" s="69"/>
      <c r="Z2043" s="69"/>
      <c r="AA2043" s="69"/>
      <c r="AB2043" s="69"/>
      <c r="AC2043" s="69"/>
      <c r="AD2043" s="69"/>
      <c r="AE2043" s="69"/>
      <c r="AF2043" s="69"/>
      <c r="AG2043" s="69"/>
      <c r="AH2043" s="69"/>
      <c r="AI2043" s="69"/>
      <c r="AJ2043" s="69"/>
      <c r="AK2043" s="69"/>
      <c r="AL2043" s="69"/>
      <c r="AM2043" s="69"/>
      <c r="AN2043" s="69"/>
      <c r="AO2043" s="69"/>
      <c r="AP2043" s="69"/>
      <c r="AQ2043" s="69"/>
      <c r="AR2043" s="69"/>
      <c r="AS2043" s="69"/>
      <c r="AT2043" s="69"/>
      <c r="AU2043" s="69"/>
      <c r="AV2043" s="69"/>
      <c r="AW2043" s="69"/>
      <c r="AX2043" s="69"/>
      <c r="AY2043" s="69"/>
      <c r="AZ2043" s="69"/>
      <c r="BA2043" s="69"/>
      <c r="BB2043" s="69"/>
      <c r="BC2043" s="69"/>
    </row>
    <row r="2044">
      <c r="A2044" s="68"/>
      <c r="B2044" s="68"/>
      <c r="C2044" s="68"/>
      <c r="D2044" s="68"/>
      <c r="E2044" s="68"/>
      <c r="F2044" s="68"/>
      <c r="G2044" s="68"/>
      <c r="H2044" s="68"/>
      <c r="I2044" s="69"/>
      <c r="J2044" s="69"/>
      <c r="K2044" s="71"/>
      <c r="L2044" s="69"/>
      <c r="M2044" s="69"/>
      <c r="N2044" s="72"/>
      <c r="O2044" s="69"/>
      <c r="P2044" s="69"/>
      <c r="Q2044" s="69"/>
      <c r="R2044" s="69"/>
      <c r="S2044" s="69"/>
      <c r="T2044" s="69"/>
      <c r="U2044" s="69"/>
      <c r="V2044" s="69"/>
      <c r="W2044" s="69"/>
      <c r="X2044" s="69"/>
      <c r="Y2044" s="69"/>
      <c r="Z2044" s="69"/>
      <c r="AA2044" s="69"/>
      <c r="AB2044" s="69"/>
      <c r="AC2044" s="69"/>
      <c r="AD2044" s="69"/>
      <c r="AE2044" s="69"/>
      <c r="AF2044" s="69"/>
      <c r="AG2044" s="69"/>
      <c r="AH2044" s="69"/>
      <c r="AI2044" s="69"/>
      <c r="AJ2044" s="69"/>
      <c r="AK2044" s="69"/>
      <c r="AL2044" s="69"/>
      <c r="AM2044" s="69"/>
      <c r="AN2044" s="69"/>
      <c r="AO2044" s="69"/>
      <c r="AP2044" s="69"/>
      <c r="AQ2044" s="69"/>
      <c r="AR2044" s="69"/>
      <c r="AS2044" s="69"/>
      <c r="AT2044" s="69"/>
      <c r="AU2044" s="69"/>
      <c r="AV2044" s="69"/>
      <c r="AW2044" s="69"/>
      <c r="AX2044" s="69"/>
      <c r="AY2044" s="69"/>
      <c r="AZ2044" s="69"/>
      <c r="BA2044" s="69"/>
      <c r="BB2044" s="69"/>
      <c r="BC2044" s="69"/>
    </row>
    <row r="2045">
      <c r="A2045" s="68"/>
      <c r="B2045" s="68"/>
      <c r="C2045" s="68"/>
      <c r="D2045" s="68"/>
      <c r="E2045" s="68"/>
      <c r="F2045" s="68"/>
      <c r="G2045" s="68"/>
      <c r="H2045" s="68"/>
      <c r="I2045" s="69"/>
      <c r="J2045" s="69"/>
      <c r="K2045" s="71"/>
      <c r="L2045" s="69"/>
      <c r="M2045" s="69"/>
      <c r="N2045" s="72"/>
      <c r="O2045" s="69"/>
      <c r="P2045" s="69"/>
      <c r="Q2045" s="69"/>
      <c r="R2045" s="69"/>
      <c r="S2045" s="69"/>
      <c r="T2045" s="69"/>
      <c r="U2045" s="69"/>
      <c r="V2045" s="69"/>
      <c r="W2045" s="69"/>
      <c r="X2045" s="69"/>
      <c r="Y2045" s="69"/>
      <c r="Z2045" s="69"/>
      <c r="AA2045" s="69"/>
      <c r="AB2045" s="69"/>
      <c r="AC2045" s="69"/>
      <c r="AD2045" s="69"/>
      <c r="AE2045" s="69"/>
      <c r="AF2045" s="69"/>
      <c r="AG2045" s="69"/>
      <c r="AH2045" s="69"/>
      <c r="AI2045" s="69"/>
      <c r="AJ2045" s="69"/>
      <c r="AK2045" s="69"/>
      <c r="AL2045" s="69"/>
      <c r="AM2045" s="69"/>
      <c r="AN2045" s="69"/>
      <c r="AO2045" s="69"/>
      <c r="AP2045" s="69"/>
      <c r="AQ2045" s="69"/>
      <c r="AR2045" s="69"/>
      <c r="AS2045" s="69"/>
      <c r="AT2045" s="69"/>
      <c r="AU2045" s="69"/>
      <c r="AV2045" s="69"/>
      <c r="AW2045" s="69"/>
      <c r="AX2045" s="69"/>
      <c r="AY2045" s="69"/>
      <c r="AZ2045" s="69"/>
      <c r="BA2045" s="69"/>
      <c r="BB2045" s="69"/>
      <c r="BC2045" s="69"/>
    </row>
    <row r="2046">
      <c r="A2046" s="68"/>
      <c r="B2046" s="68"/>
      <c r="C2046" s="68"/>
      <c r="D2046" s="68"/>
      <c r="E2046" s="68"/>
      <c r="F2046" s="68"/>
      <c r="G2046" s="68"/>
      <c r="H2046" s="68"/>
      <c r="I2046" s="69"/>
      <c r="J2046" s="69"/>
      <c r="K2046" s="71"/>
      <c r="L2046" s="69"/>
      <c r="M2046" s="69"/>
      <c r="N2046" s="72"/>
      <c r="O2046" s="69"/>
      <c r="P2046" s="69"/>
      <c r="Q2046" s="69"/>
      <c r="R2046" s="69"/>
      <c r="S2046" s="69"/>
      <c r="T2046" s="69"/>
      <c r="U2046" s="69"/>
      <c r="V2046" s="69"/>
      <c r="W2046" s="69"/>
      <c r="X2046" s="69"/>
      <c r="Y2046" s="69"/>
      <c r="Z2046" s="69"/>
      <c r="AA2046" s="69"/>
      <c r="AB2046" s="69"/>
      <c r="AC2046" s="69"/>
      <c r="AD2046" s="69"/>
      <c r="AE2046" s="69"/>
      <c r="AF2046" s="69"/>
      <c r="AG2046" s="69"/>
      <c r="AH2046" s="69"/>
      <c r="AI2046" s="69"/>
      <c r="AJ2046" s="69"/>
      <c r="AK2046" s="69"/>
      <c r="AL2046" s="69"/>
      <c r="AM2046" s="69"/>
      <c r="AN2046" s="69"/>
      <c r="AO2046" s="69"/>
      <c r="AP2046" s="69"/>
      <c r="AQ2046" s="69"/>
      <c r="AR2046" s="69"/>
      <c r="AS2046" s="69"/>
      <c r="AT2046" s="69"/>
      <c r="AU2046" s="69"/>
      <c r="AV2046" s="69"/>
      <c r="AW2046" s="69"/>
      <c r="AX2046" s="69"/>
      <c r="AY2046" s="69"/>
      <c r="AZ2046" s="69"/>
      <c r="BA2046" s="69"/>
      <c r="BB2046" s="69"/>
      <c r="BC2046" s="69"/>
    </row>
    <row r="2047">
      <c r="A2047" s="68"/>
      <c r="B2047" s="68"/>
      <c r="C2047" s="68"/>
      <c r="D2047" s="68"/>
      <c r="E2047" s="68"/>
      <c r="F2047" s="68"/>
      <c r="G2047" s="68"/>
      <c r="H2047" s="68"/>
      <c r="I2047" s="69"/>
      <c r="J2047" s="69"/>
      <c r="K2047" s="71"/>
      <c r="L2047" s="69"/>
      <c r="M2047" s="69"/>
      <c r="N2047" s="72"/>
      <c r="O2047" s="69"/>
      <c r="P2047" s="69"/>
      <c r="Q2047" s="69"/>
      <c r="R2047" s="69"/>
      <c r="S2047" s="69"/>
      <c r="T2047" s="69"/>
      <c r="U2047" s="69"/>
      <c r="V2047" s="69"/>
      <c r="W2047" s="69"/>
      <c r="X2047" s="69"/>
      <c r="Y2047" s="69"/>
      <c r="Z2047" s="69"/>
      <c r="AA2047" s="69"/>
      <c r="AB2047" s="69"/>
      <c r="AC2047" s="69"/>
      <c r="AD2047" s="69"/>
      <c r="AE2047" s="69"/>
      <c r="AF2047" s="69"/>
      <c r="AG2047" s="69"/>
      <c r="AH2047" s="69"/>
      <c r="AI2047" s="69"/>
      <c r="AJ2047" s="69"/>
      <c r="AK2047" s="69"/>
      <c r="AL2047" s="69"/>
      <c r="AM2047" s="69"/>
      <c r="AN2047" s="69"/>
      <c r="AO2047" s="69"/>
      <c r="AP2047" s="69"/>
      <c r="AQ2047" s="69"/>
      <c r="AR2047" s="69"/>
      <c r="AS2047" s="69"/>
      <c r="AT2047" s="69"/>
      <c r="AU2047" s="69"/>
      <c r="AV2047" s="69"/>
      <c r="AW2047" s="69"/>
      <c r="AX2047" s="69"/>
      <c r="AY2047" s="69"/>
      <c r="AZ2047" s="69"/>
      <c r="BA2047" s="69"/>
      <c r="BB2047" s="69"/>
      <c r="BC2047" s="69"/>
    </row>
    <row r="2048">
      <c r="A2048" s="68"/>
      <c r="B2048" s="68"/>
      <c r="C2048" s="68"/>
      <c r="D2048" s="68"/>
      <c r="E2048" s="68"/>
      <c r="F2048" s="68"/>
      <c r="G2048" s="68"/>
      <c r="H2048" s="68"/>
      <c r="I2048" s="69"/>
      <c r="J2048" s="69"/>
      <c r="K2048" s="71"/>
      <c r="L2048" s="69"/>
      <c r="M2048" s="69"/>
      <c r="N2048" s="72"/>
      <c r="O2048" s="69"/>
      <c r="P2048" s="69"/>
      <c r="Q2048" s="69"/>
      <c r="R2048" s="69"/>
      <c r="S2048" s="69"/>
      <c r="T2048" s="69"/>
      <c r="U2048" s="69"/>
      <c r="V2048" s="69"/>
      <c r="W2048" s="69"/>
      <c r="X2048" s="69"/>
      <c r="Y2048" s="69"/>
      <c r="Z2048" s="69"/>
      <c r="AA2048" s="69"/>
      <c r="AB2048" s="69"/>
      <c r="AC2048" s="69"/>
      <c r="AD2048" s="69"/>
      <c r="AE2048" s="69"/>
      <c r="AF2048" s="69"/>
      <c r="AG2048" s="69"/>
      <c r="AH2048" s="69"/>
      <c r="AI2048" s="69"/>
      <c r="AJ2048" s="69"/>
      <c r="AK2048" s="69"/>
      <c r="AL2048" s="69"/>
      <c r="AM2048" s="69"/>
      <c r="AN2048" s="69"/>
      <c r="AO2048" s="69"/>
      <c r="AP2048" s="69"/>
      <c r="AQ2048" s="69"/>
      <c r="AR2048" s="69"/>
      <c r="AS2048" s="69"/>
      <c r="AT2048" s="69"/>
      <c r="AU2048" s="69"/>
      <c r="AV2048" s="69"/>
      <c r="AW2048" s="69"/>
      <c r="AX2048" s="69"/>
      <c r="AY2048" s="69"/>
      <c r="AZ2048" s="69"/>
      <c r="BA2048" s="69"/>
      <c r="BB2048" s="69"/>
      <c r="BC2048" s="69"/>
    </row>
    <row r="2049">
      <c r="A2049" s="68"/>
      <c r="B2049" s="68"/>
      <c r="C2049" s="68"/>
      <c r="D2049" s="68"/>
      <c r="E2049" s="68"/>
      <c r="F2049" s="68"/>
      <c r="G2049" s="68"/>
      <c r="H2049" s="68"/>
      <c r="I2049" s="69"/>
      <c r="J2049" s="69"/>
      <c r="K2049" s="71"/>
      <c r="L2049" s="69"/>
      <c r="M2049" s="69"/>
      <c r="N2049" s="72"/>
      <c r="O2049" s="69"/>
      <c r="P2049" s="69"/>
      <c r="Q2049" s="69"/>
      <c r="R2049" s="69"/>
      <c r="S2049" s="69"/>
      <c r="T2049" s="69"/>
      <c r="U2049" s="69"/>
      <c r="V2049" s="69"/>
      <c r="W2049" s="69"/>
      <c r="X2049" s="69"/>
      <c r="Y2049" s="69"/>
      <c r="Z2049" s="69"/>
      <c r="AA2049" s="69"/>
      <c r="AB2049" s="69"/>
      <c r="AC2049" s="69"/>
      <c r="AD2049" s="69"/>
      <c r="AE2049" s="69"/>
      <c r="AF2049" s="69"/>
      <c r="AG2049" s="69"/>
      <c r="AH2049" s="69"/>
      <c r="AI2049" s="69"/>
      <c r="AJ2049" s="69"/>
      <c r="AK2049" s="69"/>
      <c r="AL2049" s="69"/>
      <c r="AM2049" s="69"/>
      <c r="AN2049" s="69"/>
      <c r="AO2049" s="69"/>
      <c r="AP2049" s="69"/>
      <c r="AQ2049" s="69"/>
      <c r="AR2049" s="69"/>
      <c r="AS2049" s="69"/>
      <c r="AT2049" s="69"/>
      <c r="AU2049" s="69"/>
      <c r="AV2049" s="69"/>
      <c r="AW2049" s="69"/>
      <c r="AX2049" s="69"/>
      <c r="AY2049" s="69"/>
      <c r="AZ2049" s="69"/>
      <c r="BA2049" s="69"/>
      <c r="BB2049" s="69"/>
      <c r="BC2049" s="69"/>
    </row>
    <row r="2050">
      <c r="A2050" s="68"/>
      <c r="B2050" s="68"/>
      <c r="C2050" s="68"/>
      <c r="D2050" s="68"/>
      <c r="E2050" s="68"/>
      <c r="F2050" s="68"/>
      <c r="G2050" s="68"/>
      <c r="H2050" s="68"/>
      <c r="I2050" s="69"/>
      <c r="J2050" s="69"/>
      <c r="K2050" s="71"/>
      <c r="L2050" s="69"/>
      <c r="M2050" s="69"/>
      <c r="N2050" s="72"/>
      <c r="O2050" s="69"/>
      <c r="P2050" s="69"/>
      <c r="Q2050" s="69"/>
      <c r="R2050" s="69"/>
      <c r="S2050" s="69"/>
      <c r="T2050" s="69"/>
      <c r="U2050" s="69"/>
      <c r="V2050" s="69"/>
      <c r="W2050" s="69"/>
      <c r="X2050" s="69"/>
      <c r="Y2050" s="69"/>
      <c r="Z2050" s="69"/>
      <c r="AA2050" s="69"/>
      <c r="AB2050" s="69"/>
      <c r="AC2050" s="69"/>
      <c r="AD2050" s="69"/>
      <c r="AE2050" s="69"/>
      <c r="AF2050" s="69"/>
      <c r="AG2050" s="69"/>
      <c r="AH2050" s="69"/>
      <c r="AI2050" s="69"/>
      <c r="AJ2050" s="69"/>
      <c r="AK2050" s="69"/>
      <c r="AL2050" s="69"/>
      <c r="AM2050" s="69"/>
      <c r="AN2050" s="69"/>
      <c r="AO2050" s="69"/>
      <c r="AP2050" s="69"/>
      <c r="AQ2050" s="69"/>
      <c r="AR2050" s="69"/>
      <c r="AS2050" s="69"/>
      <c r="AT2050" s="69"/>
      <c r="AU2050" s="69"/>
      <c r="AV2050" s="69"/>
      <c r="AW2050" s="69"/>
      <c r="AX2050" s="69"/>
      <c r="AY2050" s="69"/>
      <c r="AZ2050" s="69"/>
      <c r="BA2050" s="69"/>
      <c r="BB2050" s="69"/>
      <c r="BC2050" s="69"/>
    </row>
    <row r="2051">
      <c r="A2051" s="68"/>
      <c r="B2051" s="68"/>
      <c r="C2051" s="68"/>
      <c r="D2051" s="68"/>
      <c r="E2051" s="68"/>
      <c r="F2051" s="68"/>
      <c r="G2051" s="68"/>
      <c r="H2051" s="68"/>
      <c r="I2051" s="69"/>
      <c r="J2051" s="69"/>
      <c r="K2051" s="71"/>
      <c r="L2051" s="69"/>
      <c r="M2051" s="69"/>
      <c r="N2051" s="72"/>
      <c r="O2051" s="69"/>
      <c r="P2051" s="69"/>
      <c r="Q2051" s="69"/>
      <c r="R2051" s="69"/>
      <c r="S2051" s="69"/>
      <c r="T2051" s="69"/>
      <c r="U2051" s="69"/>
      <c r="V2051" s="69"/>
      <c r="W2051" s="69"/>
      <c r="X2051" s="69"/>
      <c r="Y2051" s="69"/>
      <c r="Z2051" s="69"/>
      <c r="AA2051" s="69"/>
      <c r="AB2051" s="69"/>
      <c r="AC2051" s="69"/>
      <c r="AD2051" s="69"/>
      <c r="AE2051" s="69"/>
      <c r="AF2051" s="69"/>
      <c r="AG2051" s="69"/>
      <c r="AH2051" s="69"/>
      <c r="AI2051" s="69"/>
      <c r="AJ2051" s="69"/>
      <c r="AK2051" s="69"/>
      <c r="AL2051" s="69"/>
      <c r="AM2051" s="69"/>
      <c r="AN2051" s="69"/>
      <c r="AO2051" s="69"/>
      <c r="AP2051" s="69"/>
      <c r="AQ2051" s="69"/>
      <c r="AR2051" s="69"/>
      <c r="AS2051" s="69"/>
      <c r="AT2051" s="69"/>
      <c r="AU2051" s="69"/>
      <c r="AV2051" s="69"/>
      <c r="AW2051" s="69"/>
      <c r="AX2051" s="69"/>
      <c r="AY2051" s="69"/>
      <c r="AZ2051" s="69"/>
      <c r="BA2051" s="69"/>
      <c r="BB2051" s="69"/>
      <c r="BC2051" s="69"/>
    </row>
    <row r="2052">
      <c r="A2052" s="68"/>
      <c r="B2052" s="68"/>
      <c r="C2052" s="68"/>
      <c r="D2052" s="68"/>
      <c r="E2052" s="68"/>
      <c r="F2052" s="68"/>
      <c r="G2052" s="68"/>
      <c r="H2052" s="68"/>
      <c r="I2052" s="69"/>
      <c r="J2052" s="69"/>
      <c r="K2052" s="71"/>
      <c r="L2052" s="69"/>
      <c r="M2052" s="69"/>
      <c r="N2052" s="72"/>
      <c r="O2052" s="69"/>
      <c r="P2052" s="69"/>
      <c r="Q2052" s="69"/>
      <c r="R2052" s="69"/>
      <c r="S2052" s="69"/>
      <c r="T2052" s="69"/>
      <c r="U2052" s="69"/>
      <c r="V2052" s="69"/>
      <c r="W2052" s="69"/>
      <c r="X2052" s="69"/>
      <c r="Y2052" s="69"/>
      <c r="Z2052" s="69"/>
      <c r="AA2052" s="69"/>
      <c r="AB2052" s="69"/>
      <c r="AC2052" s="69"/>
      <c r="AD2052" s="69"/>
      <c r="AE2052" s="69"/>
      <c r="AF2052" s="69"/>
      <c r="AG2052" s="69"/>
      <c r="AH2052" s="69"/>
      <c r="AI2052" s="69"/>
      <c r="AJ2052" s="69"/>
      <c r="AK2052" s="69"/>
      <c r="AL2052" s="69"/>
      <c r="AM2052" s="69"/>
      <c r="AN2052" s="69"/>
      <c r="AO2052" s="69"/>
      <c r="AP2052" s="69"/>
      <c r="AQ2052" s="69"/>
      <c r="AR2052" s="69"/>
      <c r="AS2052" s="69"/>
      <c r="AT2052" s="69"/>
      <c r="AU2052" s="69"/>
      <c r="AV2052" s="69"/>
      <c r="AW2052" s="69"/>
      <c r="AX2052" s="69"/>
      <c r="AY2052" s="69"/>
      <c r="AZ2052" s="69"/>
      <c r="BA2052" s="69"/>
      <c r="BB2052" s="69"/>
      <c r="BC2052" s="69"/>
    </row>
    <row r="2053">
      <c r="A2053" s="68"/>
      <c r="B2053" s="68"/>
      <c r="C2053" s="68"/>
      <c r="D2053" s="68"/>
      <c r="E2053" s="68"/>
      <c r="F2053" s="68"/>
      <c r="G2053" s="68"/>
      <c r="H2053" s="68"/>
      <c r="I2053" s="69"/>
      <c r="J2053" s="69"/>
      <c r="K2053" s="71"/>
      <c r="L2053" s="69"/>
      <c r="M2053" s="69"/>
      <c r="N2053" s="72"/>
      <c r="O2053" s="69"/>
      <c r="P2053" s="69"/>
      <c r="Q2053" s="69"/>
      <c r="R2053" s="69"/>
      <c r="S2053" s="69"/>
      <c r="T2053" s="69"/>
      <c r="U2053" s="69"/>
      <c r="V2053" s="69"/>
      <c r="W2053" s="69"/>
      <c r="X2053" s="69"/>
      <c r="Y2053" s="69"/>
      <c r="Z2053" s="69"/>
      <c r="AA2053" s="69"/>
      <c r="AB2053" s="69"/>
      <c r="AC2053" s="69"/>
      <c r="AD2053" s="69"/>
      <c r="AE2053" s="69"/>
      <c r="AF2053" s="69"/>
      <c r="AG2053" s="69"/>
      <c r="AH2053" s="69"/>
      <c r="AI2053" s="69"/>
      <c r="AJ2053" s="69"/>
      <c r="AK2053" s="69"/>
      <c r="AL2053" s="69"/>
      <c r="AM2053" s="69"/>
      <c r="AN2053" s="69"/>
      <c r="AO2053" s="69"/>
      <c r="AP2053" s="69"/>
      <c r="AQ2053" s="69"/>
      <c r="AR2053" s="69"/>
      <c r="AS2053" s="69"/>
      <c r="AT2053" s="69"/>
      <c r="AU2053" s="69"/>
      <c r="AV2053" s="69"/>
      <c r="AW2053" s="69"/>
      <c r="AX2053" s="69"/>
      <c r="AY2053" s="69"/>
      <c r="AZ2053" s="69"/>
      <c r="BA2053" s="69"/>
      <c r="BB2053" s="69"/>
      <c r="BC2053" s="69"/>
    </row>
    <row r="2054">
      <c r="A2054" s="68"/>
      <c r="B2054" s="68"/>
      <c r="C2054" s="68"/>
      <c r="D2054" s="68"/>
      <c r="E2054" s="68"/>
      <c r="F2054" s="68"/>
      <c r="G2054" s="68"/>
      <c r="H2054" s="68"/>
      <c r="I2054" s="69"/>
      <c r="J2054" s="69"/>
      <c r="K2054" s="71"/>
      <c r="L2054" s="69"/>
      <c r="M2054" s="69"/>
      <c r="N2054" s="72"/>
      <c r="O2054" s="69"/>
      <c r="P2054" s="69"/>
      <c r="Q2054" s="69"/>
      <c r="R2054" s="69"/>
      <c r="S2054" s="69"/>
      <c r="T2054" s="69"/>
      <c r="U2054" s="69"/>
      <c r="V2054" s="69"/>
      <c r="W2054" s="69"/>
      <c r="X2054" s="69"/>
      <c r="Y2054" s="69"/>
      <c r="Z2054" s="69"/>
      <c r="AA2054" s="69"/>
      <c r="AB2054" s="69"/>
      <c r="AC2054" s="69"/>
      <c r="AD2054" s="69"/>
      <c r="AE2054" s="69"/>
      <c r="AF2054" s="69"/>
      <c r="AG2054" s="69"/>
      <c r="AH2054" s="69"/>
      <c r="AI2054" s="69"/>
      <c r="AJ2054" s="69"/>
      <c r="AK2054" s="69"/>
      <c r="AL2054" s="69"/>
      <c r="AM2054" s="69"/>
      <c r="AN2054" s="69"/>
      <c r="AO2054" s="69"/>
      <c r="AP2054" s="69"/>
      <c r="AQ2054" s="69"/>
      <c r="AR2054" s="69"/>
      <c r="AS2054" s="69"/>
      <c r="AT2054" s="69"/>
      <c r="AU2054" s="69"/>
      <c r="AV2054" s="69"/>
      <c r="AW2054" s="69"/>
      <c r="AX2054" s="69"/>
      <c r="AY2054" s="69"/>
      <c r="AZ2054" s="69"/>
      <c r="BA2054" s="69"/>
      <c r="BB2054" s="69"/>
      <c r="BC2054" s="69"/>
    </row>
    <row r="2055">
      <c r="A2055" s="68"/>
      <c r="B2055" s="68"/>
      <c r="C2055" s="68"/>
      <c r="D2055" s="68"/>
      <c r="E2055" s="68"/>
      <c r="F2055" s="68"/>
      <c r="G2055" s="68"/>
      <c r="H2055" s="68"/>
      <c r="I2055" s="69"/>
      <c r="J2055" s="69"/>
      <c r="K2055" s="71"/>
      <c r="L2055" s="69"/>
      <c r="M2055" s="69"/>
      <c r="N2055" s="72"/>
      <c r="O2055" s="69"/>
      <c r="P2055" s="69"/>
      <c r="Q2055" s="69"/>
      <c r="R2055" s="69"/>
      <c r="S2055" s="69"/>
      <c r="T2055" s="69"/>
      <c r="U2055" s="69"/>
      <c r="V2055" s="69"/>
      <c r="W2055" s="69"/>
      <c r="X2055" s="69"/>
      <c r="Y2055" s="69"/>
      <c r="Z2055" s="69"/>
      <c r="AA2055" s="69"/>
      <c r="AB2055" s="69"/>
      <c r="AC2055" s="69"/>
      <c r="AD2055" s="69"/>
      <c r="AE2055" s="69"/>
      <c r="AF2055" s="69"/>
      <c r="AG2055" s="69"/>
      <c r="AH2055" s="69"/>
      <c r="AI2055" s="69"/>
      <c r="AJ2055" s="69"/>
      <c r="AK2055" s="69"/>
      <c r="AL2055" s="69"/>
      <c r="AM2055" s="69"/>
      <c r="AN2055" s="69"/>
      <c r="AO2055" s="69"/>
      <c r="AP2055" s="69"/>
      <c r="AQ2055" s="69"/>
      <c r="AR2055" s="69"/>
      <c r="AS2055" s="69"/>
      <c r="AT2055" s="69"/>
      <c r="AU2055" s="69"/>
      <c r="AV2055" s="69"/>
      <c r="AW2055" s="69"/>
      <c r="AX2055" s="69"/>
      <c r="AY2055" s="69"/>
      <c r="AZ2055" s="69"/>
      <c r="BA2055" s="69"/>
      <c r="BB2055" s="69"/>
      <c r="BC2055" s="69"/>
    </row>
    <row r="2056">
      <c r="A2056" s="68"/>
      <c r="B2056" s="68"/>
      <c r="C2056" s="68"/>
      <c r="D2056" s="68"/>
      <c r="E2056" s="68"/>
      <c r="F2056" s="68"/>
      <c r="G2056" s="68"/>
      <c r="H2056" s="68"/>
      <c r="I2056" s="69"/>
      <c r="J2056" s="69"/>
      <c r="K2056" s="71"/>
      <c r="L2056" s="69"/>
      <c r="M2056" s="69"/>
      <c r="N2056" s="72"/>
      <c r="O2056" s="69"/>
      <c r="P2056" s="69"/>
      <c r="Q2056" s="69"/>
      <c r="R2056" s="69"/>
      <c r="S2056" s="69"/>
      <c r="T2056" s="69"/>
      <c r="U2056" s="69"/>
      <c r="V2056" s="69"/>
      <c r="W2056" s="69"/>
      <c r="X2056" s="69"/>
      <c r="Y2056" s="69"/>
      <c r="Z2056" s="69"/>
      <c r="AA2056" s="69"/>
      <c r="AB2056" s="69"/>
      <c r="AC2056" s="69"/>
      <c r="AD2056" s="69"/>
      <c r="AE2056" s="69"/>
      <c r="AF2056" s="69"/>
      <c r="AG2056" s="69"/>
      <c r="AH2056" s="69"/>
      <c r="AI2056" s="69"/>
      <c r="AJ2056" s="69"/>
      <c r="AK2056" s="69"/>
      <c r="AL2056" s="69"/>
      <c r="AM2056" s="69"/>
      <c r="AN2056" s="69"/>
      <c r="AO2056" s="69"/>
      <c r="AP2056" s="69"/>
      <c r="AQ2056" s="69"/>
      <c r="AR2056" s="69"/>
      <c r="AS2056" s="69"/>
      <c r="AT2056" s="69"/>
      <c r="AU2056" s="69"/>
      <c r="AV2056" s="69"/>
      <c r="AW2056" s="69"/>
      <c r="AX2056" s="69"/>
      <c r="AY2056" s="69"/>
      <c r="AZ2056" s="69"/>
      <c r="BA2056" s="69"/>
      <c r="BB2056" s="69"/>
      <c r="BC2056" s="69"/>
    </row>
    <row r="2057">
      <c r="A2057" s="68"/>
      <c r="B2057" s="68"/>
      <c r="C2057" s="68"/>
      <c r="D2057" s="68"/>
      <c r="E2057" s="68"/>
      <c r="F2057" s="68"/>
      <c r="G2057" s="68"/>
      <c r="H2057" s="68"/>
      <c r="I2057" s="69"/>
      <c r="J2057" s="69"/>
      <c r="K2057" s="71"/>
      <c r="L2057" s="69"/>
      <c r="M2057" s="69"/>
      <c r="N2057" s="72"/>
      <c r="O2057" s="69"/>
      <c r="P2057" s="69"/>
      <c r="Q2057" s="69"/>
      <c r="R2057" s="69"/>
      <c r="S2057" s="69"/>
      <c r="T2057" s="69"/>
      <c r="U2057" s="69"/>
      <c r="V2057" s="69"/>
      <c r="W2057" s="69"/>
      <c r="X2057" s="69"/>
      <c r="Y2057" s="69"/>
      <c r="Z2057" s="69"/>
      <c r="AA2057" s="69"/>
      <c r="AB2057" s="69"/>
      <c r="AC2057" s="69"/>
      <c r="AD2057" s="69"/>
      <c r="AE2057" s="69"/>
      <c r="AF2057" s="69"/>
      <c r="AG2057" s="69"/>
      <c r="AH2057" s="69"/>
      <c r="AI2057" s="69"/>
      <c r="AJ2057" s="69"/>
      <c r="AK2057" s="69"/>
      <c r="AL2057" s="69"/>
      <c r="AM2057" s="69"/>
      <c r="AN2057" s="69"/>
      <c r="AO2057" s="69"/>
      <c r="AP2057" s="69"/>
      <c r="AQ2057" s="69"/>
      <c r="AR2057" s="69"/>
      <c r="AS2057" s="69"/>
      <c r="AT2057" s="69"/>
      <c r="AU2057" s="69"/>
      <c r="AV2057" s="69"/>
      <c r="AW2057" s="69"/>
      <c r="AX2057" s="69"/>
      <c r="AY2057" s="69"/>
      <c r="AZ2057" s="69"/>
      <c r="BA2057" s="69"/>
      <c r="BB2057" s="69"/>
      <c r="BC2057" s="69"/>
    </row>
    <row r="2058">
      <c r="A2058" s="68"/>
      <c r="B2058" s="68"/>
      <c r="C2058" s="68"/>
      <c r="D2058" s="68"/>
      <c r="E2058" s="68"/>
      <c r="F2058" s="68"/>
      <c r="G2058" s="68"/>
      <c r="H2058" s="68"/>
      <c r="I2058" s="69"/>
      <c r="J2058" s="69"/>
      <c r="K2058" s="71"/>
      <c r="L2058" s="69"/>
      <c r="M2058" s="69"/>
      <c r="N2058" s="72"/>
      <c r="O2058" s="69"/>
      <c r="P2058" s="69"/>
      <c r="Q2058" s="69"/>
      <c r="R2058" s="69"/>
      <c r="S2058" s="69"/>
      <c r="T2058" s="69"/>
      <c r="U2058" s="69"/>
      <c r="V2058" s="69"/>
      <c r="W2058" s="69"/>
      <c r="X2058" s="69"/>
      <c r="Y2058" s="69"/>
      <c r="Z2058" s="69"/>
      <c r="AA2058" s="69"/>
      <c r="AB2058" s="69"/>
      <c r="AC2058" s="69"/>
      <c r="AD2058" s="69"/>
      <c r="AE2058" s="69"/>
      <c r="AF2058" s="69"/>
      <c r="AG2058" s="69"/>
      <c r="AH2058" s="69"/>
      <c r="AI2058" s="69"/>
      <c r="AJ2058" s="69"/>
      <c r="AK2058" s="69"/>
      <c r="AL2058" s="69"/>
      <c r="AM2058" s="69"/>
      <c r="AN2058" s="69"/>
      <c r="AO2058" s="69"/>
      <c r="AP2058" s="69"/>
      <c r="AQ2058" s="69"/>
      <c r="AR2058" s="69"/>
      <c r="AS2058" s="69"/>
      <c r="AT2058" s="69"/>
      <c r="AU2058" s="69"/>
      <c r="AV2058" s="69"/>
      <c r="AW2058" s="69"/>
      <c r="AX2058" s="69"/>
      <c r="AY2058" s="69"/>
      <c r="AZ2058" s="69"/>
      <c r="BA2058" s="69"/>
      <c r="BB2058" s="69"/>
      <c r="BC2058" s="69"/>
    </row>
    <row r="2059">
      <c r="A2059" s="68"/>
      <c r="B2059" s="68"/>
      <c r="C2059" s="68"/>
      <c r="D2059" s="68"/>
      <c r="E2059" s="68"/>
      <c r="F2059" s="68"/>
      <c r="G2059" s="68"/>
      <c r="H2059" s="68"/>
      <c r="I2059" s="69"/>
      <c r="J2059" s="69"/>
      <c r="K2059" s="71"/>
      <c r="L2059" s="69"/>
      <c r="M2059" s="69"/>
      <c r="N2059" s="72"/>
      <c r="O2059" s="69"/>
      <c r="P2059" s="69"/>
      <c r="Q2059" s="69"/>
      <c r="R2059" s="69"/>
      <c r="S2059" s="69"/>
      <c r="T2059" s="69"/>
      <c r="U2059" s="69"/>
      <c r="V2059" s="69"/>
      <c r="W2059" s="69"/>
      <c r="X2059" s="69"/>
      <c r="Y2059" s="69"/>
      <c r="Z2059" s="69"/>
      <c r="AA2059" s="69"/>
      <c r="AB2059" s="69"/>
      <c r="AC2059" s="69"/>
      <c r="AD2059" s="69"/>
      <c r="AE2059" s="69"/>
      <c r="AF2059" s="69"/>
      <c r="AG2059" s="69"/>
      <c r="AH2059" s="69"/>
      <c r="AI2059" s="69"/>
      <c r="AJ2059" s="69"/>
      <c r="AK2059" s="69"/>
      <c r="AL2059" s="69"/>
      <c r="AM2059" s="69"/>
      <c r="AN2059" s="69"/>
      <c r="AO2059" s="69"/>
      <c r="AP2059" s="69"/>
      <c r="AQ2059" s="69"/>
      <c r="AR2059" s="69"/>
      <c r="AS2059" s="69"/>
      <c r="AT2059" s="69"/>
      <c r="AU2059" s="69"/>
      <c r="AV2059" s="69"/>
      <c r="AW2059" s="69"/>
      <c r="AX2059" s="69"/>
      <c r="AY2059" s="69"/>
      <c r="AZ2059" s="69"/>
      <c r="BA2059" s="69"/>
      <c r="BB2059" s="69"/>
      <c r="BC2059" s="69"/>
    </row>
    <row r="2060">
      <c r="A2060" s="68"/>
      <c r="B2060" s="68"/>
      <c r="C2060" s="68"/>
      <c r="D2060" s="68"/>
      <c r="E2060" s="68"/>
      <c r="F2060" s="68"/>
      <c r="G2060" s="68"/>
      <c r="H2060" s="68"/>
      <c r="I2060" s="69"/>
      <c r="J2060" s="69"/>
      <c r="K2060" s="71"/>
      <c r="L2060" s="69"/>
      <c r="M2060" s="69"/>
      <c r="N2060" s="72"/>
      <c r="O2060" s="69"/>
      <c r="P2060" s="69"/>
      <c r="Q2060" s="69"/>
      <c r="R2060" s="69"/>
      <c r="S2060" s="69"/>
      <c r="T2060" s="69"/>
      <c r="U2060" s="69"/>
      <c r="V2060" s="69"/>
      <c r="W2060" s="69"/>
      <c r="X2060" s="69"/>
      <c r="Y2060" s="69"/>
      <c r="Z2060" s="69"/>
      <c r="AA2060" s="69"/>
      <c r="AB2060" s="69"/>
      <c r="AC2060" s="69"/>
      <c r="AD2060" s="69"/>
      <c r="AE2060" s="69"/>
      <c r="AF2060" s="69"/>
      <c r="AG2060" s="69"/>
      <c r="AH2060" s="69"/>
      <c r="AI2060" s="69"/>
      <c r="AJ2060" s="69"/>
      <c r="AK2060" s="69"/>
      <c r="AL2060" s="69"/>
      <c r="AM2060" s="69"/>
      <c r="AN2060" s="69"/>
      <c r="AO2060" s="69"/>
      <c r="AP2060" s="69"/>
      <c r="AQ2060" s="69"/>
      <c r="AR2060" s="69"/>
      <c r="AS2060" s="69"/>
      <c r="AT2060" s="69"/>
      <c r="AU2060" s="69"/>
      <c r="AV2060" s="69"/>
      <c r="AW2060" s="69"/>
      <c r="AX2060" s="69"/>
      <c r="AY2060" s="69"/>
      <c r="AZ2060" s="69"/>
      <c r="BA2060" s="69"/>
      <c r="BB2060" s="69"/>
      <c r="BC2060" s="69"/>
    </row>
    <row r="2061">
      <c r="A2061" s="68"/>
      <c r="B2061" s="68"/>
      <c r="C2061" s="68"/>
      <c r="D2061" s="68"/>
      <c r="E2061" s="68"/>
      <c r="F2061" s="68"/>
      <c r="G2061" s="68"/>
      <c r="H2061" s="68"/>
      <c r="I2061" s="69"/>
      <c r="J2061" s="69"/>
      <c r="K2061" s="71"/>
      <c r="L2061" s="69"/>
      <c r="M2061" s="69"/>
      <c r="N2061" s="72"/>
      <c r="O2061" s="69"/>
      <c r="P2061" s="69"/>
      <c r="Q2061" s="69"/>
      <c r="R2061" s="69"/>
      <c r="S2061" s="69"/>
      <c r="T2061" s="69"/>
      <c r="U2061" s="69"/>
      <c r="V2061" s="69"/>
      <c r="W2061" s="69"/>
      <c r="X2061" s="69"/>
      <c r="Y2061" s="69"/>
      <c r="Z2061" s="69"/>
      <c r="AA2061" s="69"/>
      <c r="AB2061" s="69"/>
      <c r="AC2061" s="69"/>
      <c r="AD2061" s="69"/>
      <c r="AE2061" s="69"/>
      <c r="AF2061" s="69"/>
      <c r="AG2061" s="69"/>
      <c r="AH2061" s="69"/>
      <c r="AI2061" s="69"/>
      <c r="AJ2061" s="69"/>
      <c r="AK2061" s="69"/>
      <c r="AL2061" s="69"/>
      <c r="AM2061" s="69"/>
      <c r="AN2061" s="69"/>
      <c r="AO2061" s="69"/>
      <c r="AP2061" s="69"/>
      <c r="AQ2061" s="69"/>
      <c r="AR2061" s="69"/>
      <c r="AS2061" s="69"/>
      <c r="AT2061" s="69"/>
      <c r="AU2061" s="69"/>
      <c r="AV2061" s="69"/>
      <c r="AW2061" s="69"/>
      <c r="AX2061" s="69"/>
      <c r="AY2061" s="69"/>
      <c r="AZ2061" s="69"/>
      <c r="BA2061" s="69"/>
      <c r="BB2061" s="69"/>
      <c r="BC2061" s="69"/>
    </row>
    <row r="2062">
      <c r="A2062" s="68"/>
      <c r="B2062" s="68"/>
      <c r="C2062" s="68"/>
      <c r="D2062" s="68"/>
      <c r="E2062" s="68"/>
      <c r="F2062" s="68"/>
      <c r="G2062" s="68"/>
      <c r="H2062" s="68"/>
      <c r="I2062" s="69"/>
      <c r="J2062" s="69"/>
      <c r="K2062" s="71"/>
      <c r="L2062" s="69"/>
      <c r="M2062" s="69"/>
      <c r="N2062" s="72"/>
      <c r="O2062" s="69"/>
      <c r="P2062" s="69"/>
      <c r="Q2062" s="69"/>
      <c r="R2062" s="69"/>
      <c r="S2062" s="69"/>
      <c r="T2062" s="69"/>
      <c r="U2062" s="69"/>
      <c r="V2062" s="69"/>
      <c r="W2062" s="69"/>
      <c r="X2062" s="69"/>
      <c r="Y2062" s="69"/>
      <c r="Z2062" s="69"/>
      <c r="AA2062" s="69"/>
      <c r="AB2062" s="69"/>
      <c r="AC2062" s="69"/>
      <c r="AD2062" s="69"/>
      <c r="AE2062" s="69"/>
      <c r="AF2062" s="69"/>
      <c r="AG2062" s="69"/>
      <c r="AH2062" s="69"/>
      <c r="AI2062" s="69"/>
      <c r="AJ2062" s="69"/>
      <c r="AK2062" s="69"/>
      <c r="AL2062" s="69"/>
      <c r="AM2062" s="69"/>
      <c r="AN2062" s="69"/>
      <c r="AO2062" s="69"/>
      <c r="AP2062" s="69"/>
      <c r="AQ2062" s="69"/>
      <c r="AR2062" s="69"/>
      <c r="AS2062" s="69"/>
      <c r="AT2062" s="69"/>
      <c r="AU2062" s="69"/>
      <c r="AV2062" s="69"/>
      <c r="AW2062" s="69"/>
      <c r="AX2062" s="69"/>
      <c r="AY2062" s="69"/>
      <c r="AZ2062" s="69"/>
      <c r="BA2062" s="69"/>
      <c r="BB2062" s="69"/>
      <c r="BC2062" s="69"/>
    </row>
    <row r="2063">
      <c r="A2063" s="68"/>
      <c r="B2063" s="68"/>
      <c r="C2063" s="68"/>
      <c r="D2063" s="68"/>
      <c r="E2063" s="68"/>
      <c r="F2063" s="68"/>
      <c r="G2063" s="68"/>
      <c r="H2063" s="68"/>
      <c r="I2063" s="69"/>
      <c r="J2063" s="69"/>
      <c r="K2063" s="71"/>
      <c r="L2063" s="69"/>
      <c r="M2063" s="69"/>
      <c r="N2063" s="72"/>
      <c r="O2063" s="69"/>
      <c r="P2063" s="69"/>
      <c r="Q2063" s="69"/>
      <c r="R2063" s="69"/>
      <c r="S2063" s="69"/>
      <c r="T2063" s="69"/>
      <c r="U2063" s="69"/>
      <c r="V2063" s="69"/>
      <c r="W2063" s="69"/>
      <c r="X2063" s="69"/>
      <c r="Y2063" s="69"/>
      <c r="Z2063" s="69"/>
      <c r="AA2063" s="69"/>
      <c r="AB2063" s="69"/>
      <c r="AC2063" s="69"/>
      <c r="AD2063" s="69"/>
      <c r="AE2063" s="69"/>
      <c r="AF2063" s="69"/>
      <c r="AG2063" s="69"/>
      <c r="AH2063" s="69"/>
      <c r="AI2063" s="69"/>
      <c r="AJ2063" s="69"/>
      <c r="AK2063" s="69"/>
      <c r="AL2063" s="69"/>
      <c r="AM2063" s="69"/>
      <c r="AN2063" s="69"/>
      <c r="AO2063" s="69"/>
      <c r="AP2063" s="69"/>
      <c r="AQ2063" s="69"/>
      <c r="AR2063" s="69"/>
      <c r="AS2063" s="69"/>
      <c r="AT2063" s="69"/>
      <c r="AU2063" s="69"/>
      <c r="AV2063" s="69"/>
      <c r="AW2063" s="69"/>
      <c r="AX2063" s="69"/>
      <c r="AY2063" s="69"/>
      <c r="AZ2063" s="69"/>
      <c r="BA2063" s="69"/>
      <c r="BB2063" s="69"/>
      <c r="BC2063" s="69"/>
    </row>
    <row r="2064">
      <c r="A2064" s="68"/>
      <c r="B2064" s="68"/>
      <c r="C2064" s="68"/>
      <c r="D2064" s="68"/>
      <c r="E2064" s="68"/>
      <c r="F2064" s="68"/>
      <c r="G2064" s="68"/>
      <c r="H2064" s="68"/>
      <c r="I2064" s="69"/>
      <c r="J2064" s="69"/>
      <c r="K2064" s="71"/>
      <c r="L2064" s="69"/>
      <c r="M2064" s="69"/>
      <c r="N2064" s="72"/>
      <c r="O2064" s="69"/>
      <c r="P2064" s="69"/>
      <c r="Q2064" s="69"/>
      <c r="R2064" s="69"/>
      <c r="S2064" s="69"/>
      <c r="T2064" s="69"/>
      <c r="U2064" s="69"/>
      <c r="V2064" s="69"/>
      <c r="W2064" s="69"/>
      <c r="X2064" s="69"/>
      <c r="Y2064" s="69"/>
      <c r="Z2064" s="69"/>
      <c r="AA2064" s="69"/>
      <c r="AB2064" s="69"/>
      <c r="AC2064" s="69"/>
      <c r="AD2064" s="69"/>
      <c r="AE2064" s="69"/>
      <c r="AF2064" s="69"/>
      <c r="AG2064" s="69"/>
      <c r="AH2064" s="69"/>
      <c r="AI2064" s="69"/>
      <c r="AJ2064" s="69"/>
      <c r="AK2064" s="69"/>
      <c r="AL2064" s="69"/>
      <c r="AM2064" s="69"/>
      <c r="AN2064" s="69"/>
      <c r="AO2064" s="69"/>
      <c r="AP2064" s="69"/>
      <c r="AQ2064" s="69"/>
      <c r="AR2064" s="69"/>
      <c r="AS2064" s="69"/>
      <c r="AT2064" s="69"/>
      <c r="AU2064" s="69"/>
      <c r="AV2064" s="69"/>
      <c r="AW2064" s="69"/>
      <c r="AX2064" s="69"/>
      <c r="AY2064" s="69"/>
      <c r="AZ2064" s="69"/>
      <c r="BA2064" s="69"/>
      <c r="BB2064" s="69"/>
      <c r="BC2064" s="69"/>
    </row>
    <row r="2065">
      <c r="A2065" s="68"/>
      <c r="B2065" s="68"/>
      <c r="C2065" s="68"/>
      <c r="D2065" s="68"/>
      <c r="E2065" s="68"/>
      <c r="F2065" s="68"/>
      <c r="G2065" s="68"/>
      <c r="H2065" s="68"/>
      <c r="I2065" s="69"/>
      <c r="J2065" s="69"/>
      <c r="K2065" s="71"/>
      <c r="L2065" s="69"/>
      <c r="M2065" s="69"/>
      <c r="N2065" s="72"/>
      <c r="O2065" s="69"/>
      <c r="P2065" s="69"/>
      <c r="Q2065" s="69"/>
      <c r="R2065" s="69"/>
      <c r="S2065" s="69"/>
      <c r="T2065" s="69"/>
      <c r="U2065" s="69"/>
      <c r="V2065" s="69"/>
      <c r="W2065" s="69"/>
      <c r="X2065" s="69"/>
      <c r="Y2065" s="69"/>
      <c r="Z2065" s="69"/>
      <c r="AA2065" s="69"/>
      <c r="AB2065" s="69"/>
      <c r="AC2065" s="69"/>
      <c r="AD2065" s="69"/>
      <c r="AE2065" s="69"/>
      <c r="AF2065" s="69"/>
      <c r="AG2065" s="69"/>
      <c r="AH2065" s="69"/>
      <c r="AI2065" s="69"/>
      <c r="AJ2065" s="69"/>
      <c r="AK2065" s="69"/>
      <c r="AL2065" s="69"/>
      <c r="AM2065" s="69"/>
      <c r="AN2065" s="69"/>
      <c r="AO2065" s="69"/>
      <c r="AP2065" s="69"/>
      <c r="AQ2065" s="69"/>
      <c r="AR2065" s="69"/>
      <c r="AS2065" s="69"/>
      <c r="AT2065" s="69"/>
      <c r="AU2065" s="69"/>
      <c r="AV2065" s="69"/>
      <c r="AW2065" s="69"/>
      <c r="AX2065" s="69"/>
      <c r="AY2065" s="69"/>
      <c r="AZ2065" s="69"/>
      <c r="BA2065" s="69"/>
      <c r="BB2065" s="69"/>
      <c r="BC2065" s="69"/>
    </row>
    <row r="2066">
      <c r="A2066" s="68"/>
      <c r="B2066" s="68"/>
      <c r="C2066" s="68"/>
      <c r="D2066" s="68"/>
      <c r="E2066" s="68"/>
      <c r="F2066" s="68"/>
      <c r="G2066" s="68"/>
      <c r="H2066" s="68"/>
      <c r="I2066" s="69"/>
      <c r="J2066" s="69"/>
      <c r="K2066" s="71"/>
      <c r="L2066" s="69"/>
      <c r="M2066" s="69"/>
      <c r="N2066" s="72"/>
      <c r="O2066" s="69"/>
      <c r="P2066" s="69"/>
      <c r="Q2066" s="69"/>
      <c r="R2066" s="69"/>
      <c r="S2066" s="69"/>
      <c r="T2066" s="69"/>
      <c r="U2066" s="69"/>
      <c r="V2066" s="69"/>
      <c r="W2066" s="69"/>
      <c r="X2066" s="69"/>
      <c r="Y2066" s="69"/>
      <c r="Z2066" s="69"/>
      <c r="AA2066" s="69"/>
      <c r="AB2066" s="69"/>
      <c r="AC2066" s="69"/>
      <c r="AD2066" s="69"/>
      <c r="AE2066" s="69"/>
      <c r="AF2066" s="69"/>
      <c r="AG2066" s="69"/>
      <c r="AH2066" s="69"/>
      <c r="AI2066" s="69"/>
      <c r="AJ2066" s="69"/>
      <c r="AK2066" s="69"/>
      <c r="AL2066" s="69"/>
      <c r="AM2066" s="69"/>
      <c r="AN2066" s="69"/>
      <c r="AO2066" s="69"/>
      <c r="AP2066" s="69"/>
      <c r="AQ2066" s="69"/>
      <c r="AR2066" s="69"/>
      <c r="AS2066" s="69"/>
      <c r="AT2066" s="69"/>
      <c r="AU2066" s="69"/>
      <c r="AV2066" s="69"/>
      <c r="AW2066" s="69"/>
      <c r="AX2066" s="69"/>
      <c r="AY2066" s="69"/>
      <c r="AZ2066" s="69"/>
      <c r="BA2066" s="69"/>
      <c r="BB2066" s="69"/>
      <c r="BC2066" s="69"/>
    </row>
    <row r="2067">
      <c r="A2067" s="68"/>
      <c r="B2067" s="68"/>
      <c r="C2067" s="68"/>
      <c r="D2067" s="68"/>
      <c r="E2067" s="68"/>
      <c r="F2067" s="68"/>
      <c r="G2067" s="68"/>
      <c r="H2067" s="68"/>
      <c r="I2067" s="69"/>
      <c r="J2067" s="69"/>
      <c r="K2067" s="71"/>
      <c r="L2067" s="69"/>
      <c r="M2067" s="69"/>
      <c r="N2067" s="72"/>
      <c r="O2067" s="69"/>
      <c r="P2067" s="69"/>
      <c r="Q2067" s="69"/>
      <c r="R2067" s="69"/>
      <c r="S2067" s="69"/>
      <c r="T2067" s="69"/>
      <c r="U2067" s="69"/>
      <c r="V2067" s="69"/>
      <c r="W2067" s="69"/>
      <c r="X2067" s="69"/>
      <c r="Y2067" s="69"/>
      <c r="Z2067" s="69"/>
      <c r="AA2067" s="69"/>
      <c r="AB2067" s="69"/>
      <c r="AC2067" s="69"/>
      <c r="AD2067" s="69"/>
      <c r="AE2067" s="69"/>
      <c r="AF2067" s="69"/>
      <c r="AG2067" s="69"/>
      <c r="AH2067" s="69"/>
      <c r="AI2067" s="69"/>
      <c r="AJ2067" s="69"/>
      <c r="AK2067" s="69"/>
      <c r="AL2067" s="69"/>
      <c r="AM2067" s="69"/>
      <c r="AN2067" s="69"/>
      <c r="AO2067" s="69"/>
      <c r="AP2067" s="69"/>
      <c r="AQ2067" s="69"/>
      <c r="AR2067" s="69"/>
      <c r="AS2067" s="69"/>
      <c r="AT2067" s="69"/>
      <c r="AU2067" s="69"/>
      <c r="AV2067" s="69"/>
      <c r="AW2067" s="69"/>
      <c r="AX2067" s="69"/>
      <c r="AY2067" s="69"/>
      <c r="AZ2067" s="69"/>
      <c r="BA2067" s="69"/>
      <c r="BB2067" s="69"/>
      <c r="BC2067" s="69"/>
    </row>
    <row r="2068">
      <c r="A2068" s="68"/>
      <c r="B2068" s="68"/>
      <c r="C2068" s="68"/>
      <c r="D2068" s="68"/>
      <c r="E2068" s="68"/>
      <c r="F2068" s="68"/>
      <c r="G2068" s="68"/>
      <c r="H2068" s="68"/>
      <c r="I2068" s="69"/>
      <c r="J2068" s="69"/>
      <c r="K2068" s="71"/>
      <c r="L2068" s="69"/>
      <c r="M2068" s="69"/>
      <c r="N2068" s="72"/>
      <c r="O2068" s="69"/>
      <c r="P2068" s="69"/>
      <c r="Q2068" s="69"/>
      <c r="R2068" s="69"/>
      <c r="S2068" s="69"/>
      <c r="T2068" s="69"/>
      <c r="U2068" s="69"/>
      <c r="V2068" s="69"/>
      <c r="W2068" s="69"/>
      <c r="X2068" s="69"/>
      <c r="Y2068" s="69"/>
      <c r="Z2068" s="69"/>
      <c r="AA2068" s="69"/>
      <c r="AB2068" s="69"/>
      <c r="AC2068" s="69"/>
      <c r="AD2068" s="69"/>
      <c r="AE2068" s="69"/>
      <c r="AF2068" s="69"/>
      <c r="AG2068" s="69"/>
      <c r="AH2068" s="69"/>
      <c r="AI2068" s="69"/>
      <c r="AJ2068" s="69"/>
      <c r="AK2068" s="69"/>
      <c r="AL2068" s="69"/>
      <c r="AM2068" s="69"/>
      <c r="AN2068" s="69"/>
      <c r="AO2068" s="69"/>
      <c r="AP2068" s="69"/>
      <c r="AQ2068" s="69"/>
      <c r="AR2068" s="69"/>
      <c r="AS2068" s="69"/>
      <c r="AT2068" s="69"/>
      <c r="AU2068" s="69"/>
      <c r="AV2068" s="69"/>
      <c r="AW2068" s="69"/>
      <c r="AX2068" s="69"/>
      <c r="AY2068" s="69"/>
      <c r="AZ2068" s="69"/>
      <c r="BA2068" s="69"/>
      <c r="BB2068" s="69"/>
      <c r="BC2068" s="69"/>
    </row>
    <row r="2069">
      <c r="A2069" s="68"/>
      <c r="B2069" s="68"/>
      <c r="C2069" s="68"/>
      <c r="D2069" s="68"/>
      <c r="E2069" s="68"/>
      <c r="F2069" s="68"/>
      <c r="G2069" s="68"/>
      <c r="H2069" s="68"/>
      <c r="I2069" s="69"/>
      <c r="J2069" s="69"/>
      <c r="K2069" s="71"/>
      <c r="L2069" s="69"/>
      <c r="M2069" s="69"/>
      <c r="N2069" s="72"/>
      <c r="O2069" s="69"/>
      <c r="P2069" s="69"/>
      <c r="Q2069" s="69"/>
      <c r="R2069" s="69"/>
      <c r="S2069" s="69"/>
      <c r="T2069" s="69"/>
      <c r="U2069" s="69"/>
      <c r="V2069" s="69"/>
      <c r="W2069" s="69"/>
      <c r="X2069" s="69"/>
      <c r="Y2069" s="69"/>
      <c r="Z2069" s="69"/>
      <c r="AA2069" s="69"/>
      <c r="AB2069" s="69"/>
      <c r="AC2069" s="69"/>
      <c r="AD2069" s="69"/>
      <c r="AE2069" s="69"/>
      <c r="AF2069" s="69"/>
      <c r="AG2069" s="69"/>
      <c r="AH2069" s="69"/>
      <c r="AI2069" s="69"/>
      <c r="AJ2069" s="69"/>
      <c r="AK2069" s="69"/>
      <c r="AL2069" s="69"/>
      <c r="AM2069" s="69"/>
      <c r="AN2069" s="69"/>
      <c r="AO2069" s="69"/>
      <c r="AP2069" s="69"/>
      <c r="AQ2069" s="69"/>
      <c r="AR2069" s="69"/>
      <c r="AS2069" s="69"/>
      <c r="AT2069" s="69"/>
      <c r="AU2069" s="69"/>
      <c r="AV2069" s="69"/>
      <c r="AW2069" s="69"/>
      <c r="AX2069" s="69"/>
      <c r="AY2069" s="69"/>
      <c r="AZ2069" s="69"/>
      <c r="BA2069" s="69"/>
      <c r="BB2069" s="69"/>
      <c r="BC2069" s="69"/>
    </row>
    <row r="2070">
      <c r="A2070" s="68"/>
      <c r="B2070" s="68"/>
      <c r="C2070" s="68"/>
      <c r="D2070" s="68"/>
      <c r="E2070" s="68"/>
      <c r="F2070" s="68"/>
      <c r="G2070" s="68"/>
      <c r="H2070" s="68"/>
      <c r="I2070" s="69"/>
      <c r="J2070" s="69"/>
      <c r="K2070" s="71"/>
      <c r="L2070" s="69"/>
      <c r="M2070" s="69"/>
      <c r="N2070" s="72"/>
      <c r="O2070" s="69"/>
      <c r="P2070" s="69"/>
      <c r="Q2070" s="69"/>
      <c r="R2070" s="69"/>
      <c r="S2070" s="69"/>
      <c r="T2070" s="69"/>
      <c r="U2070" s="69"/>
      <c r="V2070" s="69"/>
      <c r="W2070" s="69"/>
      <c r="X2070" s="69"/>
      <c r="Y2070" s="69"/>
      <c r="Z2070" s="69"/>
      <c r="AA2070" s="69"/>
      <c r="AB2070" s="69"/>
      <c r="AC2070" s="69"/>
      <c r="AD2070" s="69"/>
      <c r="AE2070" s="69"/>
      <c r="AF2070" s="69"/>
      <c r="AG2070" s="69"/>
      <c r="AH2070" s="69"/>
      <c r="AI2070" s="69"/>
      <c r="AJ2070" s="69"/>
      <c r="AK2070" s="69"/>
      <c r="AL2070" s="69"/>
      <c r="AM2070" s="69"/>
      <c r="AN2070" s="69"/>
      <c r="AO2070" s="69"/>
      <c r="AP2070" s="69"/>
      <c r="AQ2070" s="69"/>
      <c r="AR2070" s="69"/>
      <c r="AS2070" s="69"/>
      <c r="AT2070" s="69"/>
      <c r="AU2070" s="69"/>
      <c r="AV2070" s="69"/>
      <c r="AW2070" s="69"/>
      <c r="AX2070" s="69"/>
      <c r="AY2070" s="69"/>
      <c r="AZ2070" s="69"/>
      <c r="BA2070" s="69"/>
      <c r="BB2070" s="69"/>
      <c r="BC2070" s="69"/>
    </row>
    <row r="2071">
      <c r="A2071" s="68"/>
      <c r="B2071" s="68"/>
      <c r="C2071" s="68"/>
      <c r="D2071" s="68"/>
      <c r="E2071" s="68"/>
      <c r="F2071" s="68"/>
      <c r="G2071" s="68"/>
      <c r="H2071" s="68"/>
      <c r="I2071" s="69"/>
      <c r="J2071" s="69"/>
      <c r="K2071" s="71"/>
      <c r="L2071" s="69"/>
      <c r="M2071" s="69"/>
      <c r="N2071" s="72"/>
      <c r="O2071" s="69"/>
      <c r="P2071" s="69"/>
      <c r="Q2071" s="69"/>
      <c r="R2071" s="69"/>
      <c r="S2071" s="69"/>
      <c r="T2071" s="69"/>
      <c r="U2071" s="69"/>
      <c r="V2071" s="69"/>
      <c r="W2071" s="69"/>
      <c r="X2071" s="69"/>
      <c r="Y2071" s="69"/>
      <c r="Z2071" s="69"/>
      <c r="AA2071" s="69"/>
      <c r="AB2071" s="69"/>
      <c r="AC2071" s="69"/>
      <c r="AD2071" s="69"/>
      <c r="AE2071" s="69"/>
      <c r="AF2071" s="69"/>
      <c r="AG2071" s="69"/>
      <c r="AH2071" s="69"/>
      <c r="AI2071" s="69"/>
      <c r="AJ2071" s="69"/>
      <c r="AK2071" s="69"/>
      <c r="AL2071" s="69"/>
      <c r="AM2071" s="69"/>
      <c r="AN2071" s="69"/>
      <c r="AO2071" s="69"/>
      <c r="AP2071" s="69"/>
      <c r="AQ2071" s="69"/>
      <c r="AR2071" s="69"/>
      <c r="AS2071" s="69"/>
      <c r="AT2071" s="69"/>
      <c r="AU2071" s="69"/>
      <c r="AV2071" s="69"/>
      <c r="AW2071" s="69"/>
      <c r="AX2071" s="69"/>
      <c r="AY2071" s="69"/>
      <c r="AZ2071" s="69"/>
      <c r="BA2071" s="69"/>
      <c r="BB2071" s="69"/>
      <c r="BC2071" s="69"/>
    </row>
    <row r="2072">
      <c r="A2072" s="68"/>
      <c r="B2072" s="68"/>
      <c r="C2072" s="68"/>
      <c r="D2072" s="68"/>
      <c r="E2072" s="68"/>
      <c r="F2072" s="68"/>
      <c r="G2072" s="68"/>
      <c r="H2072" s="68"/>
      <c r="I2072" s="69"/>
      <c r="J2072" s="69"/>
      <c r="K2072" s="71"/>
      <c r="L2072" s="69"/>
      <c r="M2072" s="69"/>
      <c r="N2072" s="72"/>
      <c r="O2072" s="69"/>
      <c r="P2072" s="69"/>
      <c r="Q2072" s="69"/>
      <c r="R2072" s="69"/>
      <c r="S2072" s="69"/>
      <c r="T2072" s="69"/>
      <c r="U2072" s="69"/>
      <c r="V2072" s="69"/>
      <c r="W2072" s="69"/>
      <c r="X2072" s="69"/>
      <c r="Y2072" s="69"/>
      <c r="Z2072" s="69"/>
      <c r="AA2072" s="69"/>
      <c r="AB2072" s="69"/>
      <c r="AC2072" s="69"/>
      <c r="AD2072" s="69"/>
      <c r="AE2072" s="69"/>
      <c r="AF2072" s="69"/>
      <c r="AG2072" s="69"/>
      <c r="AH2072" s="69"/>
      <c r="AI2072" s="69"/>
      <c r="AJ2072" s="69"/>
      <c r="AK2072" s="69"/>
      <c r="AL2072" s="69"/>
      <c r="AM2072" s="69"/>
      <c r="AN2072" s="69"/>
      <c r="AO2072" s="69"/>
      <c r="AP2072" s="69"/>
      <c r="AQ2072" s="69"/>
      <c r="AR2072" s="69"/>
      <c r="AS2072" s="69"/>
      <c r="AT2072" s="69"/>
      <c r="AU2072" s="69"/>
      <c r="AV2072" s="69"/>
      <c r="AW2072" s="69"/>
      <c r="AX2072" s="69"/>
      <c r="AY2072" s="69"/>
      <c r="AZ2072" s="69"/>
      <c r="BA2072" s="69"/>
      <c r="BB2072" s="69"/>
      <c r="BC2072" s="69"/>
    </row>
    <row r="2073">
      <c r="A2073" s="68"/>
      <c r="B2073" s="68"/>
      <c r="C2073" s="68"/>
      <c r="D2073" s="68"/>
      <c r="E2073" s="68"/>
      <c r="F2073" s="68"/>
      <c r="G2073" s="68"/>
      <c r="H2073" s="68"/>
      <c r="I2073" s="69"/>
      <c r="J2073" s="69"/>
      <c r="K2073" s="71"/>
      <c r="L2073" s="69"/>
      <c r="M2073" s="69"/>
      <c r="N2073" s="72"/>
      <c r="O2073" s="69"/>
      <c r="P2073" s="69"/>
      <c r="Q2073" s="69"/>
      <c r="R2073" s="69"/>
      <c r="S2073" s="69"/>
      <c r="T2073" s="69"/>
      <c r="U2073" s="69"/>
      <c r="V2073" s="69"/>
      <c r="W2073" s="69"/>
      <c r="X2073" s="69"/>
      <c r="Y2073" s="69"/>
      <c r="Z2073" s="69"/>
      <c r="AA2073" s="69"/>
      <c r="AB2073" s="69"/>
      <c r="AC2073" s="69"/>
      <c r="AD2073" s="69"/>
      <c r="AE2073" s="69"/>
      <c r="AF2073" s="69"/>
      <c r="AG2073" s="69"/>
      <c r="AH2073" s="69"/>
      <c r="AI2073" s="69"/>
      <c r="AJ2073" s="69"/>
      <c r="AK2073" s="69"/>
      <c r="AL2073" s="69"/>
      <c r="AM2073" s="69"/>
      <c r="AN2073" s="69"/>
      <c r="AO2073" s="69"/>
      <c r="AP2073" s="69"/>
      <c r="AQ2073" s="69"/>
      <c r="AR2073" s="69"/>
      <c r="AS2073" s="69"/>
      <c r="AT2073" s="69"/>
      <c r="AU2073" s="69"/>
      <c r="AV2073" s="69"/>
      <c r="AW2073" s="69"/>
      <c r="AX2073" s="69"/>
      <c r="AY2073" s="69"/>
      <c r="AZ2073" s="69"/>
      <c r="BA2073" s="69"/>
      <c r="BB2073" s="69"/>
      <c r="BC2073" s="69"/>
    </row>
    <row r="2074">
      <c r="A2074" s="68"/>
      <c r="B2074" s="68"/>
      <c r="C2074" s="68"/>
      <c r="D2074" s="68"/>
      <c r="E2074" s="68"/>
      <c r="F2074" s="68"/>
      <c r="G2074" s="68"/>
      <c r="H2074" s="68"/>
      <c r="I2074" s="69"/>
      <c r="J2074" s="69"/>
      <c r="K2074" s="71"/>
      <c r="L2074" s="69"/>
      <c r="M2074" s="69"/>
      <c r="N2074" s="72"/>
      <c r="O2074" s="69"/>
      <c r="P2074" s="69"/>
      <c r="Q2074" s="69"/>
      <c r="R2074" s="69"/>
      <c r="S2074" s="69"/>
      <c r="T2074" s="69"/>
      <c r="U2074" s="69"/>
      <c r="V2074" s="69"/>
      <c r="W2074" s="69"/>
      <c r="X2074" s="69"/>
      <c r="Y2074" s="69"/>
      <c r="Z2074" s="69"/>
      <c r="AA2074" s="69"/>
      <c r="AB2074" s="69"/>
      <c r="AC2074" s="69"/>
      <c r="AD2074" s="69"/>
      <c r="AE2074" s="69"/>
      <c r="AF2074" s="69"/>
      <c r="AG2074" s="69"/>
      <c r="AH2074" s="69"/>
      <c r="AI2074" s="69"/>
      <c r="AJ2074" s="69"/>
      <c r="AK2074" s="69"/>
      <c r="AL2074" s="69"/>
      <c r="AM2074" s="69"/>
      <c r="AN2074" s="69"/>
      <c r="AO2074" s="69"/>
      <c r="AP2074" s="69"/>
      <c r="AQ2074" s="69"/>
      <c r="AR2074" s="69"/>
      <c r="AS2074" s="69"/>
      <c r="AT2074" s="69"/>
      <c r="AU2074" s="69"/>
      <c r="AV2074" s="69"/>
      <c r="AW2074" s="69"/>
      <c r="AX2074" s="69"/>
      <c r="AY2074" s="69"/>
      <c r="AZ2074" s="69"/>
      <c r="BA2074" s="69"/>
      <c r="BB2074" s="69"/>
      <c r="BC2074" s="69"/>
    </row>
    <row r="2075">
      <c r="A2075" s="68"/>
      <c r="B2075" s="68"/>
      <c r="C2075" s="68"/>
      <c r="D2075" s="68"/>
      <c r="E2075" s="68"/>
      <c r="F2075" s="68"/>
      <c r="G2075" s="68"/>
      <c r="H2075" s="68"/>
      <c r="I2075" s="69"/>
      <c r="J2075" s="69"/>
      <c r="K2075" s="71"/>
      <c r="L2075" s="69"/>
      <c r="M2075" s="69"/>
      <c r="N2075" s="72"/>
      <c r="O2075" s="69"/>
      <c r="P2075" s="69"/>
      <c r="Q2075" s="69"/>
      <c r="R2075" s="69"/>
      <c r="S2075" s="69"/>
      <c r="T2075" s="69"/>
      <c r="U2075" s="69"/>
      <c r="V2075" s="69"/>
      <c r="W2075" s="69"/>
      <c r="X2075" s="69"/>
      <c r="Y2075" s="69"/>
      <c r="Z2075" s="69"/>
      <c r="AA2075" s="69"/>
      <c r="AB2075" s="69"/>
      <c r="AC2075" s="69"/>
      <c r="AD2075" s="69"/>
      <c r="AE2075" s="69"/>
      <c r="AF2075" s="69"/>
      <c r="AG2075" s="69"/>
      <c r="AH2075" s="69"/>
      <c r="AI2075" s="69"/>
      <c r="AJ2075" s="69"/>
      <c r="AK2075" s="69"/>
      <c r="AL2075" s="69"/>
      <c r="AM2075" s="69"/>
      <c r="AN2075" s="69"/>
      <c r="AO2075" s="69"/>
      <c r="AP2075" s="69"/>
      <c r="AQ2075" s="69"/>
      <c r="AR2075" s="69"/>
      <c r="AS2075" s="69"/>
      <c r="AT2075" s="69"/>
      <c r="AU2075" s="69"/>
      <c r="AV2075" s="69"/>
      <c r="AW2075" s="69"/>
      <c r="AX2075" s="69"/>
      <c r="AY2075" s="69"/>
      <c r="AZ2075" s="69"/>
      <c r="BA2075" s="69"/>
      <c r="BB2075" s="69"/>
      <c r="BC2075" s="69"/>
    </row>
    <row r="2076">
      <c r="A2076" s="68"/>
      <c r="B2076" s="68"/>
      <c r="C2076" s="68"/>
      <c r="D2076" s="68"/>
      <c r="E2076" s="68"/>
      <c r="F2076" s="68"/>
      <c r="G2076" s="68"/>
      <c r="H2076" s="68"/>
      <c r="I2076" s="69"/>
      <c r="J2076" s="69"/>
      <c r="K2076" s="71"/>
      <c r="L2076" s="69"/>
      <c r="M2076" s="69"/>
      <c r="N2076" s="72"/>
      <c r="O2076" s="69"/>
      <c r="P2076" s="69"/>
      <c r="Q2076" s="69"/>
      <c r="R2076" s="69"/>
      <c r="S2076" s="69"/>
      <c r="T2076" s="69"/>
      <c r="U2076" s="69"/>
      <c r="V2076" s="69"/>
      <c r="W2076" s="69"/>
      <c r="X2076" s="69"/>
      <c r="Y2076" s="69"/>
      <c r="Z2076" s="69"/>
      <c r="AA2076" s="69"/>
      <c r="AB2076" s="69"/>
      <c r="AC2076" s="69"/>
      <c r="AD2076" s="69"/>
      <c r="AE2076" s="69"/>
      <c r="AF2076" s="69"/>
      <c r="AG2076" s="69"/>
      <c r="AH2076" s="69"/>
      <c r="AI2076" s="69"/>
      <c r="AJ2076" s="69"/>
      <c r="AK2076" s="69"/>
      <c r="AL2076" s="69"/>
      <c r="AM2076" s="69"/>
      <c r="AN2076" s="69"/>
      <c r="AO2076" s="69"/>
      <c r="AP2076" s="69"/>
      <c r="AQ2076" s="69"/>
      <c r="AR2076" s="69"/>
      <c r="AS2076" s="69"/>
      <c r="AT2076" s="69"/>
      <c r="AU2076" s="69"/>
      <c r="AV2076" s="69"/>
      <c r="AW2076" s="69"/>
      <c r="AX2076" s="69"/>
      <c r="AY2076" s="69"/>
      <c r="AZ2076" s="69"/>
      <c r="BA2076" s="69"/>
      <c r="BB2076" s="69"/>
      <c r="BC2076" s="69"/>
    </row>
    <row r="2077">
      <c r="A2077" s="68"/>
      <c r="B2077" s="68"/>
      <c r="C2077" s="68"/>
      <c r="D2077" s="68"/>
      <c r="E2077" s="68"/>
      <c r="F2077" s="68"/>
      <c r="G2077" s="68"/>
      <c r="H2077" s="68"/>
      <c r="I2077" s="69"/>
      <c r="J2077" s="69"/>
      <c r="K2077" s="71"/>
      <c r="L2077" s="69"/>
      <c r="M2077" s="69"/>
      <c r="N2077" s="72"/>
      <c r="O2077" s="69"/>
      <c r="P2077" s="69"/>
      <c r="Q2077" s="69"/>
      <c r="R2077" s="69"/>
      <c r="S2077" s="69"/>
      <c r="T2077" s="69"/>
      <c r="U2077" s="69"/>
      <c r="V2077" s="69"/>
      <c r="W2077" s="69"/>
      <c r="X2077" s="69"/>
      <c r="Y2077" s="69"/>
      <c r="Z2077" s="69"/>
      <c r="AA2077" s="69"/>
      <c r="AB2077" s="69"/>
      <c r="AC2077" s="69"/>
      <c r="AD2077" s="69"/>
      <c r="AE2077" s="69"/>
      <c r="AF2077" s="69"/>
      <c r="AG2077" s="69"/>
      <c r="AH2077" s="69"/>
      <c r="AI2077" s="69"/>
      <c r="AJ2077" s="69"/>
      <c r="AK2077" s="69"/>
      <c r="AL2077" s="69"/>
      <c r="AM2077" s="69"/>
      <c r="AN2077" s="69"/>
      <c r="AO2077" s="69"/>
      <c r="AP2077" s="69"/>
      <c r="AQ2077" s="69"/>
      <c r="AR2077" s="69"/>
      <c r="AS2077" s="69"/>
      <c r="AT2077" s="69"/>
      <c r="AU2077" s="69"/>
      <c r="AV2077" s="69"/>
      <c r="AW2077" s="69"/>
      <c r="AX2077" s="69"/>
      <c r="AY2077" s="69"/>
      <c r="AZ2077" s="69"/>
      <c r="BA2077" s="69"/>
      <c r="BB2077" s="69"/>
      <c r="BC2077" s="69"/>
    </row>
    <row r="2078">
      <c r="A2078" s="68"/>
      <c r="B2078" s="68"/>
      <c r="C2078" s="68"/>
      <c r="D2078" s="68"/>
      <c r="E2078" s="68"/>
      <c r="F2078" s="68"/>
      <c r="G2078" s="68"/>
      <c r="H2078" s="68"/>
      <c r="I2078" s="69"/>
      <c r="J2078" s="69"/>
      <c r="K2078" s="71"/>
      <c r="L2078" s="69"/>
      <c r="M2078" s="69"/>
      <c r="N2078" s="72"/>
      <c r="O2078" s="69"/>
      <c r="P2078" s="69"/>
      <c r="Q2078" s="69"/>
      <c r="R2078" s="69"/>
      <c r="S2078" s="69"/>
      <c r="T2078" s="69"/>
      <c r="U2078" s="69"/>
      <c r="V2078" s="69"/>
      <c r="W2078" s="69"/>
      <c r="X2078" s="69"/>
      <c r="Y2078" s="69"/>
      <c r="Z2078" s="69"/>
      <c r="AA2078" s="69"/>
      <c r="AB2078" s="69"/>
      <c r="AC2078" s="69"/>
      <c r="AD2078" s="69"/>
      <c r="AE2078" s="69"/>
      <c r="AF2078" s="69"/>
      <c r="AG2078" s="69"/>
      <c r="AH2078" s="69"/>
      <c r="AI2078" s="69"/>
      <c r="AJ2078" s="69"/>
      <c r="AK2078" s="69"/>
      <c r="AL2078" s="69"/>
      <c r="AM2078" s="69"/>
      <c r="AN2078" s="69"/>
      <c r="AO2078" s="69"/>
      <c r="AP2078" s="69"/>
      <c r="AQ2078" s="69"/>
      <c r="AR2078" s="69"/>
      <c r="AS2078" s="69"/>
      <c r="AT2078" s="69"/>
      <c r="AU2078" s="69"/>
      <c r="AV2078" s="69"/>
      <c r="AW2078" s="69"/>
      <c r="AX2078" s="69"/>
      <c r="AY2078" s="69"/>
      <c r="AZ2078" s="69"/>
      <c r="BA2078" s="69"/>
      <c r="BB2078" s="69"/>
      <c r="BC2078" s="69"/>
    </row>
    <row r="2079">
      <c r="A2079" s="68"/>
      <c r="B2079" s="68"/>
      <c r="C2079" s="68"/>
      <c r="D2079" s="68"/>
      <c r="E2079" s="68"/>
      <c r="F2079" s="68"/>
      <c r="G2079" s="68"/>
      <c r="H2079" s="68"/>
      <c r="I2079" s="69"/>
      <c r="J2079" s="69"/>
      <c r="K2079" s="71"/>
      <c r="L2079" s="69"/>
      <c r="M2079" s="69"/>
      <c r="N2079" s="72"/>
      <c r="O2079" s="69"/>
      <c r="P2079" s="69"/>
      <c r="Q2079" s="69"/>
      <c r="R2079" s="69"/>
      <c r="S2079" s="69"/>
      <c r="T2079" s="69"/>
      <c r="U2079" s="69"/>
      <c r="V2079" s="69"/>
      <c r="W2079" s="69"/>
      <c r="X2079" s="69"/>
      <c r="Y2079" s="69"/>
      <c r="Z2079" s="69"/>
      <c r="AA2079" s="69"/>
      <c r="AB2079" s="69"/>
      <c r="AC2079" s="69"/>
      <c r="AD2079" s="69"/>
      <c r="AE2079" s="69"/>
      <c r="AF2079" s="69"/>
      <c r="AG2079" s="69"/>
      <c r="AH2079" s="69"/>
      <c r="AI2079" s="69"/>
      <c r="AJ2079" s="69"/>
      <c r="AK2079" s="69"/>
      <c r="AL2079" s="69"/>
      <c r="AM2079" s="69"/>
      <c r="AN2079" s="69"/>
      <c r="AO2079" s="69"/>
      <c r="AP2079" s="69"/>
      <c r="AQ2079" s="69"/>
      <c r="AR2079" s="69"/>
      <c r="AS2079" s="69"/>
      <c r="AT2079" s="69"/>
      <c r="AU2079" s="69"/>
      <c r="AV2079" s="69"/>
      <c r="AW2079" s="69"/>
      <c r="AX2079" s="69"/>
      <c r="AY2079" s="69"/>
      <c r="AZ2079" s="69"/>
      <c r="BA2079" s="69"/>
      <c r="BB2079" s="69"/>
      <c r="BC2079" s="69"/>
    </row>
    <row r="2080">
      <c r="A2080" s="68"/>
      <c r="B2080" s="68"/>
      <c r="C2080" s="68"/>
      <c r="D2080" s="68"/>
      <c r="E2080" s="68"/>
      <c r="F2080" s="68"/>
      <c r="G2080" s="68"/>
      <c r="H2080" s="68"/>
      <c r="I2080" s="69"/>
      <c r="J2080" s="69"/>
      <c r="K2080" s="71"/>
      <c r="L2080" s="69"/>
      <c r="M2080" s="69"/>
      <c r="N2080" s="72"/>
      <c r="O2080" s="69"/>
      <c r="P2080" s="69"/>
      <c r="Q2080" s="69"/>
      <c r="R2080" s="69"/>
      <c r="S2080" s="69"/>
      <c r="T2080" s="69"/>
      <c r="U2080" s="69"/>
      <c r="V2080" s="69"/>
      <c r="W2080" s="69"/>
      <c r="X2080" s="69"/>
      <c r="Y2080" s="69"/>
      <c r="Z2080" s="69"/>
      <c r="AA2080" s="69"/>
      <c r="AB2080" s="69"/>
      <c r="AC2080" s="69"/>
      <c r="AD2080" s="69"/>
      <c r="AE2080" s="69"/>
      <c r="AF2080" s="69"/>
      <c r="AG2080" s="69"/>
      <c r="AH2080" s="69"/>
      <c r="AI2080" s="69"/>
      <c r="AJ2080" s="69"/>
      <c r="AK2080" s="69"/>
      <c r="AL2080" s="69"/>
      <c r="AM2080" s="69"/>
      <c r="AN2080" s="69"/>
      <c r="AO2080" s="69"/>
      <c r="AP2080" s="69"/>
      <c r="AQ2080" s="69"/>
      <c r="AR2080" s="69"/>
      <c r="AS2080" s="69"/>
      <c r="AT2080" s="69"/>
      <c r="AU2080" s="69"/>
      <c r="AV2080" s="69"/>
      <c r="AW2080" s="69"/>
      <c r="AX2080" s="69"/>
      <c r="AY2080" s="69"/>
      <c r="AZ2080" s="69"/>
      <c r="BA2080" s="69"/>
      <c r="BB2080" s="69"/>
      <c r="BC2080" s="69"/>
    </row>
    <row r="2081">
      <c r="A2081" s="68"/>
      <c r="B2081" s="68"/>
      <c r="C2081" s="68"/>
      <c r="D2081" s="68"/>
      <c r="E2081" s="68"/>
      <c r="F2081" s="68"/>
      <c r="G2081" s="68"/>
      <c r="H2081" s="68"/>
      <c r="I2081" s="69"/>
      <c r="J2081" s="69"/>
      <c r="K2081" s="71"/>
      <c r="L2081" s="69"/>
      <c r="M2081" s="69"/>
      <c r="N2081" s="72"/>
      <c r="O2081" s="69"/>
      <c r="P2081" s="69"/>
      <c r="Q2081" s="69"/>
      <c r="R2081" s="69"/>
      <c r="S2081" s="69"/>
      <c r="T2081" s="69"/>
      <c r="U2081" s="69"/>
      <c r="V2081" s="69"/>
      <c r="W2081" s="69"/>
      <c r="X2081" s="69"/>
      <c r="Y2081" s="69"/>
      <c r="Z2081" s="69"/>
      <c r="AA2081" s="69"/>
      <c r="AB2081" s="69"/>
      <c r="AC2081" s="69"/>
      <c r="AD2081" s="69"/>
      <c r="AE2081" s="69"/>
      <c r="AF2081" s="69"/>
      <c r="AG2081" s="69"/>
      <c r="AH2081" s="69"/>
      <c r="AI2081" s="69"/>
      <c r="AJ2081" s="69"/>
      <c r="AK2081" s="69"/>
      <c r="AL2081" s="69"/>
      <c r="AM2081" s="69"/>
      <c r="AN2081" s="69"/>
      <c r="AO2081" s="69"/>
      <c r="AP2081" s="69"/>
      <c r="AQ2081" s="69"/>
      <c r="AR2081" s="69"/>
      <c r="AS2081" s="69"/>
      <c r="AT2081" s="69"/>
      <c r="AU2081" s="69"/>
      <c r="AV2081" s="69"/>
      <c r="AW2081" s="69"/>
      <c r="AX2081" s="69"/>
      <c r="AY2081" s="69"/>
      <c r="AZ2081" s="69"/>
      <c r="BA2081" s="69"/>
      <c r="BB2081" s="69"/>
      <c r="BC2081" s="69"/>
    </row>
    <row r="2082">
      <c r="A2082" s="68"/>
      <c r="B2082" s="68"/>
      <c r="C2082" s="68"/>
      <c r="D2082" s="68"/>
      <c r="E2082" s="68"/>
      <c r="F2082" s="68"/>
      <c r="G2082" s="68"/>
      <c r="H2082" s="68"/>
      <c r="I2082" s="69"/>
      <c r="J2082" s="69"/>
      <c r="K2082" s="71"/>
      <c r="L2082" s="69"/>
      <c r="M2082" s="69"/>
      <c r="N2082" s="72"/>
      <c r="O2082" s="69"/>
      <c r="P2082" s="69"/>
      <c r="Q2082" s="69"/>
      <c r="R2082" s="69"/>
      <c r="S2082" s="69"/>
      <c r="T2082" s="69"/>
      <c r="U2082" s="69"/>
      <c r="V2082" s="69"/>
      <c r="W2082" s="69"/>
      <c r="X2082" s="69"/>
      <c r="Y2082" s="69"/>
      <c r="Z2082" s="69"/>
      <c r="AA2082" s="69"/>
      <c r="AB2082" s="69"/>
      <c r="AC2082" s="69"/>
      <c r="AD2082" s="69"/>
      <c r="AE2082" s="69"/>
      <c r="AF2082" s="69"/>
      <c r="AG2082" s="69"/>
      <c r="AH2082" s="69"/>
      <c r="AI2082" s="69"/>
      <c r="AJ2082" s="69"/>
      <c r="AK2082" s="69"/>
      <c r="AL2082" s="69"/>
      <c r="AM2082" s="69"/>
      <c r="AN2082" s="69"/>
      <c r="AO2082" s="69"/>
      <c r="AP2082" s="69"/>
      <c r="AQ2082" s="69"/>
      <c r="AR2082" s="69"/>
      <c r="AS2082" s="69"/>
      <c r="AT2082" s="69"/>
      <c r="AU2082" s="69"/>
      <c r="AV2082" s="69"/>
      <c r="AW2082" s="69"/>
      <c r="AX2082" s="69"/>
      <c r="AY2082" s="69"/>
      <c r="AZ2082" s="69"/>
      <c r="BA2082" s="69"/>
      <c r="BB2082" s="69"/>
      <c r="BC2082" s="69"/>
    </row>
    <row r="2083">
      <c r="A2083" s="68"/>
      <c r="B2083" s="68"/>
      <c r="C2083" s="68"/>
      <c r="D2083" s="68"/>
      <c r="E2083" s="68"/>
      <c r="F2083" s="68"/>
      <c r="G2083" s="68"/>
      <c r="H2083" s="68"/>
      <c r="I2083" s="69"/>
      <c r="J2083" s="69"/>
      <c r="K2083" s="71"/>
      <c r="L2083" s="69"/>
      <c r="M2083" s="69"/>
      <c r="N2083" s="72"/>
      <c r="O2083" s="69"/>
      <c r="P2083" s="69"/>
      <c r="Q2083" s="69"/>
      <c r="R2083" s="69"/>
      <c r="S2083" s="69"/>
      <c r="T2083" s="69"/>
      <c r="U2083" s="69"/>
      <c r="V2083" s="69"/>
      <c r="W2083" s="69"/>
      <c r="X2083" s="69"/>
      <c r="Y2083" s="69"/>
      <c r="Z2083" s="69"/>
      <c r="AA2083" s="69"/>
      <c r="AB2083" s="69"/>
      <c r="AC2083" s="69"/>
      <c r="AD2083" s="69"/>
      <c r="AE2083" s="69"/>
      <c r="AF2083" s="69"/>
      <c r="AG2083" s="69"/>
      <c r="AH2083" s="69"/>
      <c r="AI2083" s="69"/>
      <c r="AJ2083" s="69"/>
      <c r="AK2083" s="69"/>
      <c r="AL2083" s="69"/>
      <c r="AM2083" s="69"/>
      <c r="AN2083" s="69"/>
      <c r="AO2083" s="69"/>
      <c r="AP2083" s="69"/>
      <c r="AQ2083" s="69"/>
      <c r="AR2083" s="69"/>
      <c r="AS2083" s="69"/>
      <c r="AT2083" s="69"/>
      <c r="AU2083" s="69"/>
      <c r="AV2083" s="69"/>
      <c r="AW2083" s="69"/>
      <c r="AX2083" s="69"/>
      <c r="AY2083" s="69"/>
      <c r="AZ2083" s="69"/>
      <c r="BA2083" s="69"/>
      <c r="BB2083" s="69"/>
      <c r="BC2083" s="69"/>
    </row>
    <row r="2084">
      <c r="A2084" s="68"/>
      <c r="B2084" s="68"/>
      <c r="C2084" s="68"/>
      <c r="D2084" s="68"/>
      <c r="E2084" s="68"/>
      <c r="F2084" s="68"/>
      <c r="G2084" s="68"/>
      <c r="H2084" s="68"/>
      <c r="I2084" s="69"/>
      <c r="J2084" s="69"/>
      <c r="K2084" s="71"/>
      <c r="L2084" s="69"/>
      <c r="M2084" s="69"/>
      <c r="N2084" s="72"/>
      <c r="O2084" s="69"/>
      <c r="P2084" s="69"/>
      <c r="Q2084" s="69"/>
      <c r="R2084" s="69"/>
      <c r="S2084" s="69"/>
      <c r="T2084" s="69"/>
      <c r="U2084" s="69"/>
      <c r="V2084" s="69"/>
      <c r="W2084" s="69"/>
      <c r="X2084" s="69"/>
      <c r="Y2084" s="69"/>
      <c r="Z2084" s="69"/>
      <c r="AA2084" s="69"/>
      <c r="AB2084" s="69"/>
      <c r="AC2084" s="69"/>
      <c r="AD2084" s="69"/>
      <c r="AE2084" s="69"/>
      <c r="AF2084" s="69"/>
      <c r="AG2084" s="69"/>
      <c r="AH2084" s="69"/>
      <c r="AI2084" s="69"/>
      <c r="AJ2084" s="69"/>
      <c r="AK2084" s="69"/>
      <c r="AL2084" s="69"/>
      <c r="AM2084" s="69"/>
      <c r="AN2084" s="69"/>
      <c r="AO2084" s="69"/>
      <c r="AP2084" s="69"/>
      <c r="AQ2084" s="69"/>
      <c r="AR2084" s="69"/>
      <c r="AS2084" s="69"/>
      <c r="AT2084" s="69"/>
      <c r="AU2084" s="69"/>
      <c r="AV2084" s="69"/>
      <c r="AW2084" s="69"/>
      <c r="AX2084" s="69"/>
      <c r="AY2084" s="69"/>
      <c r="AZ2084" s="69"/>
      <c r="BA2084" s="69"/>
      <c r="BB2084" s="69"/>
      <c r="BC2084" s="69"/>
    </row>
    <row r="2085">
      <c r="A2085" s="68"/>
      <c r="B2085" s="68"/>
      <c r="C2085" s="68"/>
      <c r="D2085" s="68"/>
      <c r="E2085" s="68"/>
      <c r="F2085" s="68"/>
      <c r="G2085" s="68"/>
      <c r="H2085" s="68"/>
      <c r="I2085" s="69"/>
      <c r="J2085" s="69"/>
      <c r="K2085" s="71"/>
      <c r="L2085" s="69"/>
      <c r="M2085" s="69"/>
      <c r="N2085" s="72"/>
      <c r="O2085" s="69"/>
      <c r="P2085" s="69"/>
      <c r="Q2085" s="69"/>
      <c r="R2085" s="69"/>
      <c r="S2085" s="69"/>
      <c r="T2085" s="69"/>
      <c r="U2085" s="69"/>
      <c r="V2085" s="69"/>
      <c r="W2085" s="69"/>
      <c r="X2085" s="69"/>
      <c r="Y2085" s="69"/>
      <c r="Z2085" s="69"/>
      <c r="AA2085" s="69"/>
      <c r="AB2085" s="69"/>
      <c r="AC2085" s="69"/>
      <c r="AD2085" s="69"/>
      <c r="AE2085" s="69"/>
      <c r="AF2085" s="69"/>
      <c r="AG2085" s="69"/>
      <c r="AH2085" s="69"/>
      <c r="AI2085" s="69"/>
      <c r="AJ2085" s="69"/>
      <c r="AK2085" s="69"/>
      <c r="AL2085" s="69"/>
      <c r="AM2085" s="69"/>
      <c r="AN2085" s="69"/>
      <c r="AO2085" s="69"/>
      <c r="AP2085" s="69"/>
      <c r="AQ2085" s="69"/>
      <c r="AR2085" s="69"/>
      <c r="AS2085" s="69"/>
      <c r="AT2085" s="69"/>
      <c r="AU2085" s="69"/>
      <c r="AV2085" s="69"/>
      <c r="AW2085" s="69"/>
      <c r="AX2085" s="69"/>
      <c r="AY2085" s="69"/>
      <c r="AZ2085" s="69"/>
      <c r="BA2085" s="69"/>
      <c r="BB2085" s="69"/>
      <c r="BC2085" s="69"/>
    </row>
    <row r="2086">
      <c r="A2086" s="68"/>
      <c r="B2086" s="68"/>
      <c r="C2086" s="68"/>
      <c r="D2086" s="68"/>
      <c r="E2086" s="68"/>
      <c r="F2086" s="68"/>
      <c r="G2086" s="68"/>
      <c r="H2086" s="68"/>
      <c r="I2086" s="69"/>
      <c r="J2086" s="69"/>
      <c r="K2086" s="71"/>
      <c r="L2086" s="69"/>
      <c r="M2086" s="69"/>
      <c r="N2086" s="72"/>
      <c r="O2086" s="69"/>
      <c r="P2086" s="69"/>
      <c r="Q2086" s="69"/>
      <c r="R2086" s="69"/>
      <c r="S2086" s="69"/>
      <c r="T2086" s="69"/>
      <c r="U2086" s="69"/>
      <c r="V2086" s="69"/>
      <c r="W2086" s="69"/>
      <c r="X2086" s="69"/>
      <c r="Y2086" s="69"/>
      <c r="Z2086" s="69"/>
      <c r="AA2086" s="69"/>
      <c r="AB2086" s="69"/>
      <c r="AC2086" s="69"/>
      <c r="AD2086" s="69"/>
      <c r="AE2086" s="69"/>
      <c r="AF2086" s="69"/>
      <c r="AG2086" s="69"/>
      <c r="AH2086" s="69"/>
      <c r="AI2086" s="69"/>
      <c r="AJ2086" s="69"/>
      <c r="AK2086" s="69"/>
      <c r="AL2086" s="69"/>
      <c r="AM2086" s="69"/>
      <c r="AN2086" s="69"/>
      <c r="AO2086" s="69"/>
      <c r="AP2086" s="69"/>
      <c r="AQ2086" s="69"/>
      <c r="AR2086" s="69"/>
      <c r="AS2086" s="69"/>
      <c r="AT2086" s="69"/>
      <c r="AU2086" s="69"/>
      <c r="AV2086" s="69"/>
      <c r="AW2086" s="69"/>
      <c r="AX2086" s="69"/>
      <c r="AY2086" s="69"/>
      <c r="AZ2086" s="69"/>
      <c r="BA2086" s="69"/>
      <c r="BB2086" s="69"/>
      <c r="BC2086" s="69"/>
    </row>
    <row r="2087">
      <c r="A2087" s="68"/>
      <c r="B2087" s="68"/>
      <c r="C2087" s="68"/>
      <c r="D2087" s="68"/>
      <c r="E2087" s="68"/>
      <c r="F2087" s="68"/>
      <c r="G2087" s="68"/>
      <c r="H2087" s="68"/>
      <c r="I2087" s="69"/>
      <c r="J2087" s="69"/>
      <c r="K2087" s="71"/>
      <c r="L2087" s="69"/>
      <c r="M2087" s="69"/>
      <c r="N2087" s="72"/>
      <c r="O2087" s="69"/>
      <c r="P2087" s="69"/>
      <c r="Q2087" s="69"/>
      <c r="R2087" s="69"/>
      <c r="S2087" s="69"/>
      <c r="T2087" s="69"/>
      <c r="U2087" s="69"/>
      <c r="V2087" s="69"/>
      <c r="W2087" s="69"/>
      <c r="X2087" s="69"/>
      <c r="Y2087" s="69"/>
      <c r="Z2087" s="69"/>
      <c r="AA2087" s="69"/>
      <c r="AB2087" s="69"/>
      <c r="AC2087" s="69"/>
      <c r="AD2087" s="69"/>
      <c r="AE2087" s="69"/>
      <c r="AF2087" s="69"/>
      <c r="AG2087" s="69"/>
      <c r="AH2087" s="69"/>
      <c r="AI2087" s="69"/>
      <c r="AJ2087" s="69"/>
      <c r="AK2087" s="69"/>
      <c r="AL2087" s="69"/>
      <c r="AM2087" s="69"/>
      <c r="AN2087" s="69"/>
      <c r="AO2087" s="69"/>
      <c r="AP2087" s="69"/>
      <c r="AQ2087" s="69"/>
      <c r="AR2087" s="69"/>
      <c r="AS2087" s="69"/>
      <c r="AT2087" s="69"/>
      <c r="AU2087" s="69"/>
      <c r="AV2087" s="69"/>
      <c r="AW2087" s="69"/>
      <c r="AX2087" s="69"/>
      <c r="AY2087" s="69"/>
      <c r="AZ2087" s="69"/>
      <c r="BA2087" s="69"/>
      <c r="BB2087" s="69"/>
      <c r="BC2087" s="69"/>
    </row>
    <row r="2088">
      <c r="A2088" s="68"/>
      <c r="B2088" s="68"/>
      <c r="C2088" s="68"/>
      <c r="D2088" s="68"/>
      <c r="E2088" s="68"/>
      <c r="F2088" s="68"/>
      <c r="G2088" s="68"/>
      <c r="H2088" s="68"/>
      <c r="I2088" s="69"/>
      <c r="J2088" s="69"/>
      <c r="K2088" s="71"/>
      <c r="L2088" s="69"/>
      <c r="M2088" s="69"/>
      <c r="N2088" s="72"/>
      <c r="O2088" s="69"/>
      <c r="P2088" s="69"/>
      <c r="Q2088" s="69"/>
      <c r="R2088" s="69"/>
      <c r="S2088" s="69"/>
      <c r="T2088" s="69"/>
      <c r="U2088" s="69"/>
      <c r="V2088" s="69"/>
      <c r="W2088" s="69"/>
      <c r="X2088" s="69"/>
      <c r="Y2088" s="69"/>
      <c r="Z2088" s="69"/>
      <c r="AA2088" s="69"/>
      <c r="AB2088" s="69"/>
      <c r="AC2088" s="69"/>
      <c r="AD2088" s="69"/>
      <c r="AE2088" s="69"/>
      <c r="AF2088" s="69"/>
      <c r="AG2088" s="69"/>
      <c r="AH2088" s="69"/>
      <c r="AI2088" s="69"/>
      <c r="AJ2088" s="69"/>
      <c r="AK2088" s="69"/>
      <c r="AL2088" s="69"/>
      <c r="AM2088" s="69"/>
      <c r="AN2088" s="69"/>
      <c r="AO2088" s="69"/>
      <c r="AP2088" s="69"/>
      <c r="AQ2088" s="69"/>
      <c r="AR2088" s="69"/>
      <c r="AS2088" s="69"/>
      <c r="AT2088" s="69"/>
      <c r="AU2088" s="69"/>
      <c r="AV2088" s="69"/>
      <c r="AW2088" s="69"/>
      <c r="AX2088" s="69"/>
      <c r="AY2088" s="69"/>
      <c r="AZ2088" s="69"/>
      <c r="BA2088" s="69"/>
      <c r="BB2088" s="69"/>
      <c r="BC2088" s="69"/>
    </row>
    <row r="2089">
      <c r="A2089" s="68"/>
      <c r="B2089" s="68"/>
      <c r="C2089" s="68"/>
      <c r="D2089" s="68"/>
      <c r="E2089" s="68"/>
      <c r="F2089" s="68"/>
      <c r="G2089" s="68"/>
      <c r="H2089" s="68"/>
      <c r="I2089" s="69"/>
      <c r="J2089" s="69"/>
      <c r="K2089" s="71"/>
      <c r="L2089" s="69"/>
      <c r="M2089" s="69"/>
      <c r="N2089" s="72"/>
      <c r="O2089" s="69"/>
      <c r="P2089" s="69"/>
      <c r="Q2089" s="69"/>
      <c r="R2089" s="69"/>
      <c r="S2089" s="69"/>
      <c r="T2089" s="69"/>
      <c r="U2089" s="69"/>
      <c r="V2089" s="69"/>
      <c r="W2089" s="69"/>
      <c r="X2089" s="69"/>
      <c r="Y2089" s="69"/>
      <c r="Z2089" s="69"/>
      <c r="AA2089" s="69"/>
      <c r="AB2089" s="69"/>
      <c r="AC2089" s="69"/>
      <c r="AD2089" s="69"/>
      <c r="AE2089" s="69"/>
      <c r="AF2089" s="69"/>
      <c r="AG2089" s="69"/>
      <c r="AH2089" s="69"/>
      <c r="AI2089" s="69"/>
      <c r="AJ2089" s="69"/>
      <c r="AK2089" s="69"/>
      <c r="AL2089" s="69"/>
      <c r="AM2089" s="69"/>
      <c r="AN2089" s="69"/>
      <c r="AO2089" s="69"/>
      <c r="AP2089" s="69"/>
      <c r="AQ2089" s="69"/>
      <c r="AR2089" s="69"/>
      <c r="AS2089" s="69"/>
      <c r="AT2089" s="69"/>
      <c r="AU2089" s="69"/>
      <c r="AV2089" s="69"/>
      <c r="AW2089" s="69"/>
      <c r="AX2089" s="69"/>
      <c r="AY2089" s="69"/>
      <c r="AZ2089" s="69"/>
      <c r="BA2089" s="69"/>
      <c r="BB2089" s="69"/>
      <c r="BC2089" s="69"/>
    </row>
    <row r="2090">
      <c r="A2090" s="68"/>
      <c r="B2090" s="68"/>
      <c r="C2090" s="68"/>
      <c r="D2090" s="68"/>
      <c r="E2090" s="68"/>
      <c r="F2090" s="68"/>
      <c r="G2090" s="68"/>
      <c r="H2090" s="68"/>
      <c r="I2090" s="69"/>
      <c r="J2090" s="69"/>
      <c r="K2090" s="71"/>
      <c r="L2090" s="69"/>
      <c r="M2090" s="69"/>
      <c r="N2090" s="72"/>
      <c r="O2090" s="69"/>
      <c r="P2090" s="69"/>
      <c r="Q2090" s="69"/>
      <c r="R2090" s="69"/>
      <c r="S2090" s="69"/>
      <c r="T2090" s="69"/>
      <c r="U2090" s="69"/>
      <c r="V2090" s="69"/>
      <c r="W2090" s="69"/>
      <c r="X2090" s="69"/>
      <c r="Y2090" s="69"/>
      <c r="Z2090" s="69"/>
      <c r="AA2090" s="69"/>
      <c r="AB2090" s="69"/>
      <c r="AC2090" s="69"/>
      <c r="AD2090" s="69"/>
      <c r="AE2090" s="69"/>
      <c r="AF2090" s="69"/>
      <c r="AG2090" s="69"/>
      <c r="AH2090" s="69"/>
      <c r="AI2090" s="69"/>
      <c r="AJ2090" s="69"/>
      <c r="AK2090" s="69"/>
      <c r="AL2090" s="69"/>
      <c r="AM2090" s="69"/>
      <c r="AN2090" s="69"/>
      <c r="AO2090" s="69"/>
      <c r="AP2090" s="69"/>
      <c r="AQ2090" s="69"/>
      <c r="AR2090" s="69"/>
      <c r="AS2090" s="69"/>
      <c r="AT2090" s="69"/>
      <c r="AU2090" s="69"/>
      <c r="AV2090" s="69"/>
      <c r="AW2090" s="69"/>
      <c r="AX2090" s="69"/>
      <c r="AY2090" s="69"/>
      <c r="AZ2090" s="69"/>
      <c r="BA2090" s="69"/>
      <c r="BB2090" s="69"/>
      <c r="BC2090" s="69"/>
    </row>
    <row r="2091">
      <c r="A2091" s="68"/>
      <c r="B2091" s="68"/>
      <c r="C2091" s="68"/>
      <c r="D2091" s="68"/>
      <c r="E2091" s="68"/>
      <c r="F2091" s="68"/>
      <c r="G2091" s="68"/>
      <c r="H2091" s="68"/>
      <c r="I2091" s="69"/>
      <c r="J2091" s="69"/>
      <c r="K2091" s="71"/>
      <c r="L2091" s="69"/>
      <c r="M2091" s="69"/>
      <c r="N2091" s="72"/>
      <c r="O2091" s="69"/>
      <c r="P2091" s="69"/>
      <c r="Q2091" s="69"/>
      <c r="R2091" s="69"/>
      <c r="S2091" s="69"/>
      <c r="T2091" s="69"/>
      <c r="U2091" s="69"/>
      <c r="V2091" s="69"/>
      <c r="W2091" s="69"/>
      <c r="X2091" s="69"/>
      <c r="Y2091" s="69"/>
      <c r="Z2091" s="69"/>
      <c r="AA2091" s="69"/>
      <c r="AB2091" s="69"/>
      <c r="AC2091" s="69"/>
      <c r="AD2091" s="69"/>
      <c r="AE2091" s="69"/>
      <c r="AF2091" s="69"/>
      <c r="AG2091" s="69"/>
      <c r="AH2091" s="69"/>
      <c r="AI2091" s="69"/>
      <c r="AJ2091" s="69"/>
      <c r="AK2091" s="69"/>
      <c r="AL2091" s="69"/>
      <c r="AM2091" s="69"/>
      <c r="AN2091" s="69"/>
      <c r="AO2091" s="69"/>
      <c r="AP2091" s="69"/>
      <c r="AQ2091" s="69"/>
      <c r="AR2091" s="69"/>
      <c r="AS2091" s="69"/>
      <c r="AT2091" s="69"/>
      <c r="AU2091" s="69"/>
      <c r="AV2091" s="69"/>
      <c r="AW2091" s="69"/>
      <c r="AX2091" s="69"/>
      <c r="AY2091" s="69"/>
      <c r="AZ2091" s="69"/>
      <c r="BA2091" s="69"/>
      <c r="BB2091" s="69"/>
      <c r="BC2091" s="69"/>
    </row>
    <row r="2092">
      <c r="A2092" s="68"/>
      <c r="B2092" s="68"/>
      <c r="C2092" s="68"/>
      <c r="D2092" s="68"/>
      <c r="E2092" s="68"/>
      <c r="F2092" s="68"/>
      <c r="G2092" s="68"/>
      <c r="H2092" s="68"/>
      <c r="I2092" s="69"/>
      <c r="J2092" s="69"/>
      <c r="K2092" s="71"/>
      <c r="L2092" s="69"/>
      <c r="M2092" s="69"/>
      <c r="N2092" s="72"/>
      <c r="O2092" s="69"/>
      <c r="P2092" s="69"/>
      <c r="Q2092" s="69"/>
      <c r="R2092" s="69"/>
      <c r="S2092" s="69"/>
      <c r="T2092" s="69"/>
      <c r="U2092" s="69"/>
      <c r="V2092" s="69"/>
      <c r="W2092" s="69"/>
      <c r="X2092" s="69"/>
      <c r="Y2092" s="69"/>
      <c r="Z2092" s="69"/>
      <c r="AA2092" s="69"/>
      <c r="AB2092" s="69"/>
      <c r="AC2092" s="69"/>
      <c r="AD2092" s="69"/>
      <c r="AE2092" s="69"/>
      <c r="AF2092" s="69"/>
      <c r="AG2092" s="69"/>
      <c r="AH2092" s="69"/>
      <c r="AI2092" s="69"/>
      <c r="AJ2092" s="69"/>
      <c r="AK2092" s="69"/>
      <c r="AL2092" s="69"/>
      <c r="AM2092" s="69"/>
      <c r="AN2092" s="69"/>
      <c r="AO2092" s="69"/>
      <c r="AP2092" s="69"/>
      <c r="AQ2092" s="69"/>
      <c r="AR2092" s="69"/>
      <c r="AS2092" s="69"/>
      <c r="AT2092" s="69"/>
      <c r="AU2092" s="69"/>
      <c r="AV2092" s="69"/>
      <c r="AW2092" s="69"/>
      <c r="AX2092" s="69"/>
      <c r="AY2092" s="69"/>
      <c r="AZ2092" s="69"/>
      <c r="BA2092" s="69"/>
      <c r="BB2092" s="69"/>
      <c r="BC2092" s="69"/>
    </row>
    <row r="2093">
      <c r="A2093" s="68"/>
      <c r="B2093" s="68"/>
      <c r="C2093" s="68"/>
      <c r="D2093" s="68"/>
      <c r="E2093" s="68"/>
      <c r="F2093" s="68"/>
      <c r="G2093" s="68"/>
      <c r="H2093" s="68"/>
      <c r="I2093" s="69"/>
      <c r="J2093" s="69"/>
      <c r="K2093" s="71"/>
      <c r="L2093" s="69"/>
      <c r="M2093" s="69"/>
      <c r="N2093" s="72"/>
      <c r="O2093" s="69"/>
      <c r="P2093" s="69"/>
      <c r="Q2093" s="69"/>
      <c r="R2093" s="69"/>
      <c r="S2093" s="69"/>
      <c r="T2093" s="69"/>
      <c r="U2093" s="69"/>
      <c r="V2093" s="69"/>
      <c r="W2093" s="69"/>
      <c r="X2093" s="69"/>
      <c r="Y2093" s="69"/>
      <c r="Z2093" s="69"/>
      <c r="AA2093" s="69"/>
      <c r="AB2093" s="69"/>
      <c r="AC2093" s="69"/>
      <c r="AD2093" s="69"/>
      <c r="AE2093" s="69"/>
      <c r="AF2093" s="69"/>
      <c r="AG2093" s="69"/>
      <c r="AH2093" s="69"/>
      <c r="AI2093" s="69"/>
      <c r="AJ2093" s="69"/>
      <c r="AK2093" s="69"/>
      <c r="AL2093" s="69"/>
      <c r="AM2093" s="69"/>
      <c r="AN2093" s="69"/>
      <c r="AO2093" s="69"/>
      <c r="AP2093" s="69"/>
      <c r="AQ2093" s="69"/>
      <c r="AR2093" s="69"/>
      <c r="AS2093" s="69"/>
      <c r="AT2093" s="69"/>
      <c r="AU2093" s="69"/>
      <c r="AV2093" s="69"/>
      <c r="AW2093" s="69"/>
      <c r="AX2093" s="69"/>
      <c r="AY2093" s="69"/>
      <c r="AZ2093" s="69"/>
      <c r="BA2093" s="69"/>
      <c r="BB2093" s="69"/>
      <c r="BC2093" s="69"/>
    </row>
    <row r="2094">
      <c r="A2094" s="68"/>
      <c r="B2094" s="68"/>
      <c r="C2094" s="68"/>
      <c r="D2094" s="68"/>
      <c r="E2094" s="68"/>
      <c r="F2094" s="68"/>
      <c r="G2094" s="68"/>
      <c r="H2094" s="68"/>
      <c r="I2094" s="69"/>
      <c r="J2094" s="69"/>
      <c r="K2094" s="71"/>
      <c r="L2094" s="69"/>
      <c r="M2094" s="69"/>
      <c r="N2094" s="72"/>
      <c r="O2094" s="69"/>
      <c r="P2094" s="69"/>
      <c r="Q2094" s="69"/>
      <c r="R2094" s="69"/>
      <c r="S2094" s="69"/>
      <c r="T2094" s="69"/>
      <c r="U2094" s="69"/>
      <c r="V2094" s="69"/>
      <c r="W2094" s="69"/>
      <c r="X2094" s="69"/>
      <c r="Y2094" s="69"/>
      <c r="Z2094" s="69"/>
      <c r="AA2094" s="69"/>
      <c r="AB2094" s="69"/>
      <c r="AC2094" s="69"/>
      <c r="AD2094" s="69"/>
      <c r="AE2094" s="69"/>
      <c r="AF2094" s="69"/>
      <c r="AG2094" s="69"/>
      <c r="AH2094" s="69"/>
      <c r="AI2094" s="69"/>
      <c r="AJ2094" s="69"/>
      <c r="AK2094" s="69"/>
      <c r="AL2094" s="69"/>
      <c r="AM2094" s="69"/>
      <c r="AN2094" s="69"/>
      <c r="AO2094" s="69"/>
      <c r="AP2094" s="69"/>
      <c r="AQ2094" s="69"/>
      <c r="AR2094" s="69"/>
      <c r="AS2094" s="69"/>
      <c r="AT2094" s="69"/>
      <c r="AU2094" s="69"/>
      <c r="AV2094" s="69"/>
      <c r="AW2094" s="69"/>
      <c r="AX2094" s="69"/>
      <c r="AY2094" s="69"/>
      <c r="AZ2094" s="69"/>
      <c r="BA2094" s="69"/>
      <c r="BB2094" s="69"/>
      <c r="BC2094" s="69"/>
    </row>
    <row r="2095">
      <c r="A2095" s="68"/>
      <c r="B2095" s="68"/>
      <c r="C2095" s="68"/>
      <c r="D2095" s="68"/>
      <c r="E2095" s="68"/>
      <c r="F2095" s="68"/>
      <c r="G2095" s="68"/>
      <c r="H2095" s="68"/>
      <c r="I2095" s="69"/>
      <c r="J2095" s="69"/>
      <c r="K2095" s="71"/>
      <c r="L2095" s="69"/>
      <c r="M2095" s="69"/>
      <c r="N2095" s="72"/>
      <c r="O2095" s="69"/>
      <c r="P2095" s="69"/>
      <c r="Q2095" s="69"/>
      <c r="R2095" s="69"/>
      <c r="S2095" s="69"/>
      <c r="T2095" s="69"/>
      <c r="U2095" s="69"/>
      <c r="V2095" s="69"/>
      <c r="W2095" s="69"/>
      <c r="X2095" s="69"/>
      <c r="Y2095" s="69"/>
      <c r="Z2095" s="69"/>
      <c r="AA2095" s="69"/>
      <c r="AB2095" s="69"/>
      <c r="AC2095" s="69"/>
      <c r="AD2095" s="69"/>
      <c r="AE2095" s="69"/>
      <c r="AF2095" s="69"/>
      <c r="AG2095" s="69"/>
      <c r="AH2095" s="69"/>
      <c r="AI2095" s="69"/>
      <c r="AJ2095" s="69"/>
      <c r="AK2095" s="69"/>
      <c r="AL2095" s="69"/>
      <c r="AM2095" s="69"/>
      <c r="AN2095" s="69"/>
      <c r="AO2095" s="69"/>
      <c r="AP2095" s="69"/>
      <c r="AQ2095" s="69"/>
      <c r="AR2095" s="69"/>
      <c r="AS2095" s="69"/>
      <c r="AT2095" s="69"/>
      <c r="AU2095" s="69"/>
      <c r="AV2095" s="69"/>
      <c r="AW2095" s="69"/>
      <c r="AX2095" s="69"/>
      <c r="AY2095" s="69"/>
      <c r="AZ2095" s="69"/>
      <c r="BA2095" s="69"/>
      <c r="BB2095" s="69"/>
      <c r="BC2095" s="69"/>
    </row>
    <row r="2096">
      <c r="A2096" s="68"/>
      <c r="B2096" s="68"/>
      <c r="C2096" s="68"/>
      <c r="D2096" s="68"/>
      <c r="E2096" s="68"/>
      <c r="F2096" s="68"/>
      <c r="G2096" s="68"/>
      <c r="H2096" s="68"/>
      <c r="I2096" s="69"/>
      <c r="J2096" s="69"/>
      <c r="K2096" s="71"/>
      <c r="L2096" s="69"/>
      <c r="M2096" s="69"/>
      <c r="N2096" s="72"/>
      <c r="O2096" s="69"/>
      <c r="P2096" s="69"/>
      <c r="Q2096" s="69"/>
      <c r="R2096" s="69"/>
      <c r="S2096" s="69"/>
      <c r="T2096" s="69"/>
      <c r="U2096" s="69"/>
      <c r="V2096" s="69"/>
      <c r="W2096" s="69"/>
      <c r="X2096" s="69"/>
      <c r="Y2096" s="69"/>
      <c r="Z2096" s="69"/>
      <c r="AA2096" s="69"/>
      <c r="AB2096" s="69"/>
      <c r="AC2096" s="69"/>
      <c r="AD2096" s="69"/>
      <c r="AE2096" s="69"/>
      <c r="AF2096" s="69"/>
      <c r="AG2096" s="69"/>
      <c r="AH2096" s="69"/>
      <c r="AI2096" s="69"/>
      <c r="AJ2096" s="69"/>
      <c r="AK2096" s="69"/>
      <c r="AL2096" s="69"/>
      <c r="AM2096" s="69"/>
      <c r="AN2096" s="69"/>
      <c r="AO2096" s="69"/>
      <c r="AP2096" s="69"/>
      <c r="AQ2096" s="69"/>
      <c r="AR2096" s="69"/>
      <c r="AS2096" s="69"/>
      <c r="AT2096" s="69"/>
      <c r="AU2096" s="69"/>
      <c r="AV2096" s="69"/>
      <c r="AW2096" s="69"/>
      <c r="AX2096" s="69"/>
      <c r="AY2096" s="69"/>
      <c r="AZ2096" s="69"/>
      <c r="BA2096" s="69"/>
      <c r="BB2096" s="69"/>
      <c r="BC2096" s="69"/>
    </row>
    <row r="2097">
      <c r="A2097" s="68"/>
      <c r="B2097" s="68"/>
      <c r="C2097" s="68"/>
      <c r="D2097" s="68"/>
      <c r="E2097" s="68"/>
      <c r="F2097" s="68"/>
      <c r="G2097" s="68"/>
      <c r="H2097" s="68"/>
      <c r="I2097" s="69"/>
      <c r="J2097" s="69"/>
      <c r="K2097" s="71"/>
      <c r="L2097" s="69"/>
      <c r="M2097" s="69"/>
      <c r="N2097" s="72"/>
      <c r="O2097" s="69"/>
      <c r="P2097" s="69"/>
      <c r="Q2097" s="69"/>
      <c r="R2097" s="69"/>
      <c r="S2097" s="69"/>
      <c r="T2097" s="69"/>
      <c r="U2097" s="69"/>
      <c r="V2097" s="69"/>
      <c r="W2097" s="69"/>
      <c r="X2097" s="69"/>
      <c r="Y2097" s="69"/>
      <c r="Z2097" s="69"/>
      <c r="AA2097" s="69"/>
      <c r="AB2097" s="69"/>
      <c r="AC2097" s="69"/>
      <c r="AD2097" s="69"/>
      <c r="AE2097" s="69"/>
      <c r="AF2097" s="69"/>
      <c r="AG2097" s="69"/>
      <c r="AH2097" s="69"/>
      <c r="AI2097" s="69"/>
      <c r="AJ2097" s="69"/>
      <c r="AK2097" s="69"/>
      <c r="AL2097" s="69"/>
      <c r="AM2097" s="69"/>
      <c r="AN2097" s="69"/>
      <c r="AO2097" s="69"/>
      <c r="AP2097" s="69"/>
      <c r="AQ2097" s="69"/>
      <c r="AR2097" s="69"/>
      <c r="AS2097" s="69"/>
      <c r="AT2097" s="69"/>
      <c r="AU2097" s="69"/>
      <c r="AV2097" s="69"/>
      <c r="AW2097" s="69"/>
      <c r="AX2097" s="69"/>
      <c r="AY2097" s="69"/>
      <c r="AZ2097" s="69"/>
      <c r="BA2097" s="69"/>
      <c r="BB2097" s="69"/>
      <c r="BC2097" s="69"/>
    </row>
    <row r="2098">
      <c r="A2098" s="68"/>
      <c r="B2098" s="68"/>
      <c r="C2098" s="68"/>
      <c r="D2098" s="68"/>
      <c r="E2098" s="68"/>
      <c r="F2098" s="68"/>
      <c r="G2098" s="68"/>
      <c r="H2098" s="68"/>
      <c r="I2098" s="69"/>
      <c r="J2098" s="69"/>
      <c r="K2098" s="71"/>
      <c r="L2098" s="69"/>
      <c r="M2098" s="69"/>
      <c r="N2098" s="72"/>
      <c r="O2098" s="69"/>
      <c r="P2098" s="69"/>
      <c r="Q2098" s="69"/>
      <c r="R2098" s="69"/>
      <c r="S2098" s="69"/>
      <c r="T2098" s="69"/>
      <c r="U2098" s="69"/>
      <c r="V2098" s="69"/>
      <c r="W2098" s="69"/>
      <c r="X2098" s="69"/>
      <c r="Y2098" s="69"/>
      <c r="Z2098" s="69"/>
      <c r="AA2098" s="69"/>
      <c r="AB2098" s="69"/>
      <c r="AC2098" s="69"/>
      <c r="AD2098" s="69"/>
      <c r="AE2098" s="69"/>
      <c r="AF2098" s="69"/>
      <c r="AG2098" s="69"/>
      <c r="AH2098" s="69"/>
      <c r="AI2098" s="69"/>
      <c r="AJ2098" s="69"/>
      <c r="AK2098" s="69"/>
      <c r="AL2098" s="69"/>
      <c r="AM2098" s="69"/>
      <c r="AN2098" s="69"/>
      <c r="AO2098" s="69"/>
      <c r="AP2098" s="69"/>
      <c r="AQ2098" s="69"/>
      <c r="AR2098" s="69"/>
      <c r="AS2098" s="69"/>
      <c r="AT2098" s="69"/>
      <c r="AU2098" s="69"/>
      <c r="AV2098" s="69"/>
      <c r="AW2098" s="69"/>
      <c r="AX2098" s="69"/>
      <c r="AY2098" s="69"/>
      <c r="AZ2098" s="69"/>
      <c r="BA2098" s="69"/>
      <c r="BB2098" s="69"/>
      <c r="BC2098" s="69"/>
    </row>
    <row r="2099">
      <c r="A2099" s="68"/>
      <c r="B2099" s="68"/>
      <c r="C2099" s="68"/>
      <c r="D2099" s="68"/>
      <c r="E2099" s="68"/>
      <c r="F2099" s="68"/>
      <c r="G2099" s="68"/>
      <c r="H2099" s="68"/>
      <c r="I2099" s="69"/>
      <c r="J2099" s="69"/>
      <c r="K2099" s="71"/>
      <c r="L2099" s="69"/>
      <c r="M2099" s="69"/>
      <c r="N2099" s="72"/>
      <c r="O2099" s="69"/>
      <c r="P2099" s="69"/>
      <c r="Q2099" s="69"/>
      <c r="R2099" s="69"/>
      <c r="S2099" s="69"/>
      <c r="T2099" s="69"/>
      <c r="U2099" s="69"/>
      <c r="V2099" s="69"/>
      <c r="W2099" s="69"/>
      <c r="X2099" s="69"/>
      <c r="Y2099" s="69"/>
      <c r="Z2099" s="69"/>
      <c r="AA2099" s="69"/>
      <c r="AB2099" s="69"/>
      <c r="AC2099" s="69"/>
      <c r="AD2099" s="69"/>
      <c r="AE2099" s="69"/>
      <c r="AF2099" s="69"/>
      <c r="AG2099" s="69"/>
      <c r="AH2099" s="69"/>
      <c r="AI2099" s="69"/>
      <c r="AJ2099" s="69"/>
      <c r="AK2099" s="69"/>
      <c r="AL2099" s="69"/>
      <c r="AM2099" s="69"/>
      <c r="AN2099" s="69"/>
      <c r="AO2099" s="69"/>
      <c r="AP2099" s="69"/>
      <c r="AQ2099" s="69"/>
      <c r="AR2099" s="69"/>
      <c r="AS2099" s="69"/>
      <c r="AT2099" s="69"/>
      <c r="AU2099" s="69"/>
      <c r="AV2099" s="69"/>
      <c r="AW2099" s="69"/>
      <c r="AX2099" s="69"/>
      <c r="AY2099" s="69"/>
      <c r="AZ2099" s="69"/>
      <c r="BA2099" s="69"/>
      <c r="BB2099" s="69"/>
      <c r="BC2099" s="69"/>
    </row>
    <row r="2100">
      <c r="A2100" s="68"/>
      <c r="B2100" s="68"/>
      <c r="C2100" s="68"/>
      <c r="D2100" s="68"/>
      <c r="E2100" s="68"/>
      <c r="F2100" s="68"/>
      <c r="G2100" s="68"/>
      <c r="H2100" s="68"/>
      <c r="I2100" s="69"/>
      <c r="J2100" s="69"/>
      <c r="K2100" s="71"/>
      <c r="L2100" s="69"/>
      <c r="M2100" s="69"/>
      <c r="N2100" s="72"/>
      <c r="O2100" s="69"/>
      <c r="P2100" s="69"/>
      <c r="Q2100" s="69"/>
      <c r="R2100" s="69"/>
      <c r="S2100" s="69"/>
      <c r="T2100" s="69"/>
      <c r="U2100" s="69"/>
      <c r="V2100" s="69"/>
      <c r="W2100" s="69"/>
      <c r="X2100" s="69"/>
      <c r="Y2100" s="69"/>
      <c r="Z2100" s="69"/>
      <c r="AA2100" s="69"/>
      <c r="AB2100" s="69"/>
      <c r="AC2100" s="69"/>
      <c r="AD2100" s="69"/>
      <c r="AE2100" s="69"/>
      <c r="AF2100" s="69"/>
      <c r="AG2100" s="69"/>
      <c r="AH2100" s="69"/>
      <c r="AI2100" s="69"/>
      <c r="AJ2100" s="69"/>
      <c r="AK2100" s="69"/>
      <c r="AL2100" s="69"/>
      <c r="AM2100" s="69"/>
      <c r="AN2100" s="69"/>
      <c r="AO2100" s="69"/>
      <c r="AP2100" s="69"/>
      <c r="AQ2100" s="69"/>
      <c r="AR2100" s="69"/>
      <c r="AS2100" s="69"/>
      <c r="AT2100" s="69"/>
      <c r="AU2100" s="69"/>
      <c r="AV2100" s="69"/>
      <c r="AW2100" s="69"/>
      <c r="AX2100" s="69"/>
      <c r="AY2100" s="69"/>
      <c r="AZ2100" s="69"/>
      <c r="BA2100" s="69"/>
      <c r="BB2100" s="69"/>
      <c r="BC2100" s="69"/>
    </row>
    <row r="2101">
      <c r="A2101" s="68"/>
      <c r="B2101" s="68"/>
      <c r="C2101" s="68"/>
      <c r="D2101" s="68"/>
      <c r="E2101" s="68"/>
      <c r="F2101" s="68"/>
      <c r="G2101" s="68"/>
      <c r="H2101" s="68"/>
      <c r="I2101" s="69"/>
      <c r="J2101" s="69"/>
      <c r="K2101" s="71"/>
      <c r="L2101" s="69"/>
      <c r="M2101" s="69"/>
      <c r="N2101" s="72"/>
      <c r="O2101" s="69"/>
      <c r="P2101" s="69"/>
      <c r="Q2101" s="69"/>
      <c r="R2101" s="69"/>
      <c r="S2101" s="69"/>
      <c r="T2101" s="69"/>
      <c r="U2101" s="69"/>
      <c r="V2101" s="69"/>
      <c r="W2101" s="69"/>
      <c r="X2101" s="69"/>
      <c r="Y2101" s="69"/>
      <c r="Z2101" s="69"/>
      <c r="AA2101" s="69"/>
      <c r="AB2101" s="69"/>
      <c r="AC2101" s="69"/>
      <c r="AD2101" s="69"/>
      <c r="AE2101" s="69"/>
      <c r="AF2101" s="69"/>
      <c r="AG2101" s="69"/>
      <c r="AH2101" s="69"/>
      <c r="AI2101" s="69"/>
      <c r="AJ2101" s="69"/>
      <c r="AK2101" s="69"/>
      <c r="AL2101" s="69"/>
      <c r="AM2101" s="69"/>
      <c r="AN2101" s="69"/>
      <c r="AO2101" s="69"/>
      <c r="AP2101" s="69"/>
      <c r="AQ2101" s="69"/>
      <c r="AR2101" s="69"/>
      <c r="AS2101" s="69"/>
      <c r="AT2101" s="69"/>
      <c r="AU2101" s="69"/>
      <c r="AV2101" s="69"/>
      <c r="AW2101" s="69"/>
      <c r="AX2101" s="69"/>
      <c r="AY2101" s="69"/>
      <c r="AZ2101" s="69"/>
      <c r="BA2101" s="69"/>
      <c r="BB2101" s="69"/>
      <c r="BC2101" s="69"/>
    </row>
    <row r="2102">
      <c r="A2102" s="68"/>
      <c r="B2102" s="68"/>
      <c r="C2102" s="68"/>
      <c r="D2102" s="68"/>
      <c r="E2102" s="68"/>
      <c r="F2102" s="68"/>
      <c r="G2102" s="68"/>
      <c r="H2102" s="68"/>
      <c r="I2102" s="69"/>
      <c r="J2102" s="69"/>
      <c r="K2102" s="71"/>
      <c r="L2102" s="69"/>
      <c r="M2102" s="69"/>
      <c r="N2102" s="72"/>
      <c r="O2102" s="69"/>
      <c r="P2102" s="69"/>
      <c r="Q2102" s="69"/>
      <c r="R2102" s="69"/>
      <c r="S2102" s="69"/>
      <c r="T2102" s="69"/>
      <c r="U2102" s="69"/>
      <c r="V2102" s="69"/>
      <c r="W2102" s="69"/>
      <c r="X2102" s="69"/>
      <c r="Y2102" s="69"/>
      <c r="Z2102" s="69"/>
      <c r="AA2102" s="69"/>
      <c r="AB2102" s="69"/>
      <c r="AC2102" s="69"/>
      <c r="AD2102" s="69"/>
      <c r="AE2102" s="69"/>
      <c r="AF2102" s="69"/>
      <c r="AG2102" s="69"/>
      <c r="AH2102" s="69"/>
      <c r="AI2102" s="69"/>
      <c r="AJ2102" s="69"/>
      <c r="AK2102" s="69"/>
      <c r="AL2102" s="69"/>
      <c r="AM2102" s="69"/>
      <c r="AN2102" s="69"/>
      <c r="AO2102" s="69"/>
      <c r="AP2102" s="69"/>
      <c r="AQ2102" s="69"/>
      <c r="AR2102" s="69"/>
      <c r="AS2102" s="69"/>
      <c r="AT2102" s="69"/>
      <c r="AU2102" s="69"/>
      <c r="AV2102" s="69"/>
      <c r="AW2102" s="69"/>
      <c r="AX2102" s="69"/>
      <c r="AY2102" s="69"/>
      <c r="AZ2102" s="69"/>
      <c r="BA2102" s="69"/>
      <c r="BB2102" s="69"/>
      <c r="BC2102" s="69"/>
    </row>
    <row r="2103">
      <c r="A2103" s="68"/>
      <c r="B2103" s="68"/>
      <c r="C2103" s="68"/>
      <c r="D2103" s="68"/>
      <c r="E2103" s="68"/>
      <c r="F2103" s="68"/>
      <c r="G2103" s="68"/>
      <c r="H2103" s="68"/>
      <c r="I2103" s="69"/>
      <c r="J2103" s="69"/>
      <c r="K2103" s="71"/>
      <c r="L2103" s="69"/>
      <c r="M2103" s="69"/>
      <c r="N2103" s="72"/>
      <c r="O2103" s="69"/>
      <c r="P2103" s="69"/>
      <c r="Q2103" s="69"/>
      <c r="R2103" s="69"/>
      <c r="S2103" s="69"/>
      <c r="T2103" s="69"/>
      <c r="U2103" s="69"/>
      <c r="V2103" s="69"/>
      <c r="W2103" s="69"/>
      <c r="X2103" s="69"/>
      <c r="Y2103" s="69"/>
      <c r="Z2103" s="69"/>
      <c r="AA2103" s="69"/>
      <c r="AB2103" s="69"/>
      <c r="AC2103" s="69"/>
      <c r="AD2103" s="69"/>
      <c r="AE2103" s="69"/>
      <c r="AF2103" s="69"/>
      <c r="AG2103" s="69"/>
      <c r="AH2103" s="69"/>
      <c r="AI2103" s="69"/>
      <c r="AJ2103" s="69"/>
      <c r="AK2103" s="69"/>
      <c r="AL2103" s="69"/>
      <c r="AM2103" s="69"/>
      <c r="AN2103" s="69"/>
      <c r="AO2103" s="69"/>
      <c r="AP2103" s="69"/>
      <c r="AQ2103" s="69"/>
      <c r="AR2103" s="69"/>
      <c r="AS2103" s="69"/>
      <c r="AT2103" s="69"/>
      <c r="AU2103" s="69"/>
      <c r="AV2103" s="69"/>
      <c r="AW2103" s="69"/>
      <c r="AX2103" s="69"/>
      <c r="AY2103" s="69"/>
      <c r="AZ2103" s="69"/>
      <c r="BA2103" s="69"/>
      <c r="BB2103" s="69"/>
      <c r="BC2103" s="69"/>
    </row>
    <row r="2104">
      <c r="A2104" s="68"/>
      <c r="B2104" s="68"/>
      <c r="C2104" s="68"/>
      <c r="D2104" s="68"/>
      <c r="E2104" s="68"/>
      <c r="F2104" s="68"/>
      <c r="G2104" s="68"/>
      <c r="H2104" s="68"/>
      <c r="I2104" s="69"/>
      <c r="J2104" s="69"/>
      <c r="K2104" s="71"/>
      <c r="L2104" s="69"/>
      <c r="M2104" s="69"/>
      <c r="N2104" s="72"/>
      <c r="O2104" s="69"/>
      <c r="P2104" s="69"/>
      <c r="Q2104" s="69"/>
      <c r="R2104" s="69"/>
      <c r="S2104" s="69"/>
      <c r="T2104" s="69"/>
      <c r="U2104" s="69"/>
      <c r="V2104" s="69"/>
      <c r="W2104" s="69"/>
      <c r="X2104" s="69"/>
      <c r="Y2104" s="69"/>
      <c r="Z2104" s="69"/>
      <c r="AA2104" s="69"/>
      <c r="AB2104" s="69"/>
      <c r="AC2104" s="69"/>
      <c r="AD2104" s="69"/>
      <c r="AE2104" s="69"/>
      <c r="AF2104" s="69"/>
      <c r="AG2104" s="69"/>
      <c r="AH2104" s="69"/>
      <c r="AI2104" s="69"/>
      <c r="AJ2104" s="69"/>
      <c r="AK2104" s="69"/>
      <c r="AL2104" s="69"/>
      <c r="AM2104" s="69"/>
      <c r="AN2104" s="69"/>
      <c r="AO2104" s="69"/>
      <c r="AP2104" s="69"/>
      <c r="AQ2104" s="69"/>
      <c r="AR2104" s="69"/>
      <c r="AS2104" s="69"/>
      <c r="AT2104" s="69"/>
      <c r="AU2104" s="69"/>
      <c r="AV2104" s="69"/>
      <c r="AW2104" s="69"/>
      <c r="AX2104" s="69"/>
      <c r="AY2104" s="69"/>
      <c r="AZ2104" s="69"/>
      <c r="BA2104" s="69"/>
      <c r="BB2104" s="69"/>
      <c r="BC2104" s="69"/>
    </row>
    <row r="2105">
      <c r="A2105" s="68"/>
      <c r="B2105" s="68"/>
      <c r="C2105" s="68"/>
      <c r="D2105" s="68"/>
      <c r="E2105" s="68"/>
      <c r="F2105" s="68"/>
      <c r="G2105" s="68"/>
      <c r="H2105" s="68"/>
      <c r="I2105" s="69"/>
      <c r="J2105" s="69"/>
      <c r="K2105" s="71"/>
      <c r="L2105" s="69"/>
      <c r="M2105" s="69"/>
      <c r="N2105" s="72"/>
      <c r="O2105" s="69"/>
      <c r="P2105" s="69"/>
      <c r="Q2105" s="69"/>
      <c r="R2105" s="69"/>
      <c r="S2105" s="69"/>
      <c r="T2105" s="69"/>
      <c r="U2105" s="69"/>
      <c r="V2105" s="69"/>
      <c r="W2105" s="69"/>
      <c r="X2105" s="69"/>
      <c r="Y2105" s="69"/>
      <c r="Z2105" s="69"/>
      <c r="AA2105" s="69"/>
      <c r="AB2105" s="69"/>
      <c r="AC2105" s="69"/>
      <c r="AD2105" s="69"/>
      <c r="AE2105" s="69"/>
      <c r="AF2105" s="69"/>
      <c r="AG2105" s="69"/>
      <c r="AH2105" s="69"/>
      <c r="AI2105" s="69"/>
      <c r="AJ2105" s="69"/>
      <c r="AK2105" s="69"/>
      <c r="AL2105" s="69"/>
      <c r="AM2105" s="69"/>
      <c r="AN2105" s="69"/>
      <c r="AO2105" s="69"/>
      <c r="AP2105" s="69"/>
      <c r="AQ2105" s="69"/>
      <c r="AR2105" s="69"/>
      <c r="AS2105" s="69"/>
      <c r="AT2105" s="69"/>
      <c r="AU2105" s="69"/>
      <c r="AV2105" s="69"/>
      <c r="AW2105" s="69"/>
      <c r="AX2105" s="69"/>
      <c r="AY2105" s="69"/>
      <c r="AZ2105" s="69"/>
      <c r="BA2105" s="69"/>
      <c r="BB2105" s="69"/>
      <c r="BC2105" s="69"/>
    </row>
    <row r="2106">
      <c r="A2106" s="68"/>
      <c r="B2106" s="68"/>
      <c r="C2106" s="68"/>
      <c r="D2106" s="68"/>
      <c r="E2106" s="68"/>
      <c r="F2106" s="68"/>
      <c r="G2106" s="68"/>
      <c r="H2106" s="68"/>
      <c r="I2106" s="69"/>
      <c r="J2106" s="69"/>
      <c r="K2106" s="71"/>
      <c r="L2106" s="69"/>
      <c r="M2106" s="69"/>
      <c r="N2106" s="72"/>
      <c r="O2106" s="69"/>
      <c r="P2106" s="69"/>
      <c r="Q2106" s="69"/>
      <c r="R2106" s="69"/>
      <c r="S2106" s="69"/>
      <c r="T2106" s="69"/>
      <c r="U2106" s="69"/>
      <c r="V2106" s="69"/>
      <c r="W2106" s="69"/>
      <c r="X2106" s="69"/>
      <c r="Y2106" s="69"/>
      <c r="Z2106" s="69"/>
      <c r="AA2106" s="69"/>
      <c r="AB2106" s="69"/>
      <c r="AC2106" s="69"/>
      <c r="AD2106" s="69"/>
      <c r="AE2106" s="69"/>
      <c r="AF2106" s="69"/>
      <c r="AG2106" s="69"/>
      <c r="AH2106" s="69"/>
      <c r="AI2106" s="69"/>
      <c r="AJ2106" s="69"/>
      <c r="AK2106" s="69"/>
      <c r="AL2106" s="69"/>
      <c r="AM2106" s="69"/>
      <c r="AN2106" s="69"/>
      <c r="AO2106" s="69"/>
      <c r="AP2106" s="69"/>
      <c r="AQ2106" s="69"/>
      <c r="AR2106" s="69"/>
      <c r="AS2106" s="69"/>
      <c r="AT2106" s="69"/>
      <c r="AU2106" s="69"/>
      <c r="AV2106" s="69"/>
      <c r="AW2106" s="69"/>
      <c r="AX2106" s="69"/>
      <c r="AY2106" s="69"/>
      <c r="AZ2106" s="69"/>
      <c r="BA2106" s="69"/>
      <c r="BB2106" s="69"/>
      <c r="BC2106" s="69"/>
    </row>
    <row r="2107">
      <c r="A2107" s="68"/>
      <c r="B2107" s="68"/>
      <c r="C2107" s="68"/>
      <c r="D2107" s="68"/>
      <c r="E2107" s="68"/>
      <c r="F2107" s="68"/>
      <c r="G2107" s="68"/>
      <c r="H2107" s="68"/>
      <c r="I2107" s="69"/>
      <c r="J2107" s="69"/>
      <c r="K2107" s="71"/>
      <c r="L2107" s="69"/>
      <c r="M2107" s="69"/>
      <c r="N2107" s="72"/>
      <c r="O2107" s="69"/>
      <c r="P2107" s="69"/>
      <c r="Q2107" s="69"/>
      <c r="R2107" s="69"/>
      <c r="S2107" s="69"/>
      <c r="T2107" s="69"/>
      <c r="U2107" s="69"/>
      <c r="V2107" s="69"/>
      <c r="W2107" s="69"/>
      <c r="X2107" s="69"/>
      <c r="Y2107" s="69"/>
      <c r="Z2107" s="69"/>
      <c r="AA2107" s="69"/>
      <c r="AB2107" s="69"/>
      <c r="AC2107" s="69"/>
      <c r="AD2107" s="69"/>
      <c r="AE2107" s="69"/>
      <c r="AF2107" s="69"/>
      <c r="AG2107" s="69"/>
      <c r="AH2107" s="69"/>
      <c r="AI2107" s="69"/>
      <c r="AJ2107" s="69"/>
      <c r="AK2107" s="69"/>
      <c r="AL2107" s="69"/>
      <c r="AM2107" s="69"/>
      <c r="AN2107" s="69"/>
      <c r="AO2107" s="69"/>
      <c r="AP2107" s="69"/>
      <c r="AQ2107" s="69"/>
      <c r="AR2107" s="69"/>
      <c r="AS2107" s="69"/>
      <c r="AT2107" s="69"/>
      <c r="AU2107" s="69"/>
      <c r="AV2107" s="69"/>
      <c r="AW2107" s="69"/>
      <c r="AX2107" s="69"/>
      <c r="AY2107" s="69"/>
      <c r="AZ2107" s="69"/>
      <c r="BA2107" s="69"/>
      <c r="BB2107" s="69"/>
      <c r="BC2107" s="69"/>
    </row>
    <row r="2108">
      <c r="A2108" s="68"/>
      <c r="B2108" s="68"/>
      <c r="C2108" s="68"/>
      <c r="D2108" s="68"/>
      <c r="E2108" s="68"/>
      <c r="F2108" s="68"/>
      <c r="G2108" s="68"/>
      <c r="H2108" s="68"/>
      <c r="I2108" s="69"/>
      <c r="J2108" s="69"/>
      <c r="K2108" s="71"/>
      <c r="L2108" s="69"/>
      <c r="M2108" s="69"/>
      <c r="N2108" s="72"/>
      <c r="O2108" s="69"/>
      <c r="P2108" s="69"/>
      <c r="Q2108" s="69"/>
      <c r="R2108" s="69"/>
      <c r="S2108" s="69"/>
      <c r="T2108" s="69"/>
      <c r="U2108" s="69"/>
      <c r="V2108" s="69"/>
      <c r="W2108" s="69"/>
      <c r="X2108" s="69"/>
      <c r="Y2108" s="69"/>
      <c r="Z2108" s="69"/>
      <c r="AA2108" s="69"/>
      <c r="AB2108" s="69"/>
      <c r="AC2108" s="69"/>
      <c r="AD2108" s="69"/>
      <c r="AE2108" s="69"/>
      <c r="AF2108" s="69"/>
      <c r="AG2108" s="69"/>
      <c r="AH2108" s="69"/>
      <c r="AI2108" s="69"/>
      <c r="AJ2108" s="69"/>
      <c r="AK2108" s="69"/>
      <c r="AL2108" s="69"/>
      <c r="AM2108" s="69"/>
      <c r="AN2108" s="69"/>
      <c r="AO2108" s="69"/>
      <c r="AP2108" s="69"/>
      <c r="AQ2108" s="69"/>
      <c r="AR2108" s="69"/>
      <c r="AS2108" s="69"/>
      <c r="AT2108" s="69"/>
      <c r="AU2108" s="69"/>
      <c r="AV2108" s="69"/>
      <c r="AW2108" s="69"/>
      <c r="AX2108" s="69"/>
      <c r="AY2108" s="69"/>
      <c r="AZ2108" s="69"/>
      <c r="BA2108" s="69"/>
      <c r="BB2108" s="69"/>
      <c r="BC2108" s="69"/>
    </row>
    <row r="2109">
      <c r="A2109" s="68"/>
      <c r="B2109" s="68"/>
      <c r="C2109" s="68"/>
      <c r="D2109" s="68"/>
      <c r="E2109" s="68"/>
      <c r="F2109" s="68"/>
      <c r="G2109" s="68"/>
      <c r="H2109" s="68"/>
      <c r="I2109" s="69"/>
      <c r="J2109" s="69"/>
      <c r="K2109" s="71"/>
      <c r="L2109" s="69"/>
      <c r="M2109" s="69"/>
      <c r="N2109" s="72"/>
      <c r="O2109" s="69"/>
      <c r="P2109" s="69"/>
      <c r="Q2109" s="69"/>
      <c r="R2109" s="69"/>
      <c r="S2109" s="69"/>
      <c r="T2109" s="69"/>
      <c r="U2109" s="69"/>
      <c r="V2109" s="69"/>
      <c r="W2109" s="69"/>
      <c r="X2109" s="69"/>
      <c r="Y2109" s="69"/>
      <c r="Z2109" s="69"/>
      <c r="AA2109" s="69"/>
      <c r="AB2109" s="69"/>
      <c r="AC2109" s="69"/>
      <c r="AD2109" s="69"/>
      <c r="AE2109" s="69"/>
      <c r="AF2109" s="69"/>
      <c r="AG2109" s="69"/>
      <c r="AH2109" s="69"/>
      <c r="AI2109" s="69"/>
      <c r="AJ2109" s="69"/>
      <c r="AK2109" s="69"/>
      <c r="AL2109" s="69"/>
      <c r="AM2109" s="69"/>
      <c r="AN2109" s="69"/>
      <c r="AO2109" s="69"/>
      <c r="AP2109" s="69"/>
      <c r="AQ2109" s="69"/>
      <c r="AR2109" s="69"/>
      <c r="AS2109" s="69"/>
      <c r="AT2109" s="69"/>
      <c r="AU2109" s="69"/>
      <c r="AV2109" s="69"/>
      <c r="AW2109" s="69"/>
      <c r="AX2109" s="69"/>
      <c r="AY2109" s="69"/>
      <c r="AZ2109" s="69"/>
      <c r="BA2109" s="69"/>
      <c r="BB2109" s="69"/>
      <c r="BC2109" s="69"/>
    </row>
    <row r="2110">
      <c r="A2110" s="68"/>
      <c r="B2110" s="68"/>
      <c r="C2110" s="68"/>
      <c r="D2110" s="68"/>
      <c r="E2110" s="68"/>
      <c r="F2110" s="68"/>
      <c r="G2110" s="68"/>
      <c r="H2110" s="68"/>
      <c r="I2110" s="69"/>
      <c r="J2110" s="69"/>
      <c r="K2110" s="71"/>
      <c r="L2110" s="69"/>
      <c r="M2110" s="69"/>
      <c r="N2110" s="72"/>
      <c r="O2110" s="69"/>
      <c r="P2110" s="69"/>
      <c r="Q2110" s="69"/>
      <c r="R2110" s="69"/>
      <c r="S2110" s="69"/>
      <c r="T2110" s="69"/>
      <c r="U2110" s="69"/>
      <c r="V2110" s="69"/>
      <c r="W2110" s="69"/>
      <c r="X2110" s="69"/>
      <c r="Y2110" s="69"/>
      <c r="Z2110" s="69"/>
      <c r="AA2110" s="69"/>
      <c r="AB2110" s="69"/>
      <c r="AC2110" s="69"/>
      <c r="AD2110" s="69"/>
      <c r="AE2110" s="69"/>
      <c r="AF2110" s="69"/>
      <c r="AG2110" s="69"/>
      <c r="AH2110" s="69"/>
      <c r="AI2110" s="69"/>
      <c r="AJ2110" s="69"/>
      <c r="AK2110" s="69"/>
      <c r="AL2110" s="69"/>
      <c r="AM2110" s="69"/>
      <c r="AN2110" s="69"/>
      <c r="AO2110" s="69"/>
      <c r="AP2110" s="69"/>
      <c r="AQ2110" s="69"/>
      <c r="AR2110" s="69"/>
      <c r="AS2110" s="69"/>
      <c r="AT2110" s="69"/>
      <c r="AU2110" s="69"/>
      <c r="AV2110" s="69"/>
      <c r="AW2110" s="69"/>
      <c r="AX2110" s="69"/>
      <c r="AY2110" s="69"/>
      <c r="AZ2110" s="69"/>
      <c r="BA2110" s="69"/>
      <c r="BB2110" s="69"/>
      <c r="BC2110" s="69"/>
    </row>
    <row r="2111">
      <c r="A2111" s="68"/>
      <c r="B2111" s="68"/>
      <c r="C2111" s="68"/>
      <c r="D2111" s="68"/>
      <c r="E2111" s="68"/>
      <c r="F2111" s="68"/>
      <c r="G2111" s="68"/>
      <c r="H2111" s="68"/>
      <c r="I2111" s="69"/>
      <c r="J2111" s="69"/>
      <c r="K2111" s="71"/>
      <c r="L2111" s="69"/>
      <c r="M2111" s="69"/>
      <c r="N2111" s="72"/>
      <c r="O2111" s="69"/>
      <c r="P2111" s="69"/>
      <c r="Q2111" s="69"/>
      <c r="R2111" s="69"/>
      <c r="S2111" s="69"/>
      <c r="T2111" s="69"/>
      <c r="U2111" s="69"/>
      <c r="V2111" s="69"/>
      <c r="W2111" s="69"/>
      <c r="X2111" s="69"/>
      <c r="Y2111" s="69"/>
      <c r="Z2111" s="69"/>
      <c r="AA2111" s="69"/>
      <c r="AB2111" s="69"/>
      <c r="AC2111" s="69"/>
      <c r="AD2111" s="69"/>
      <c r="AE2111" s="69"/>
      <c r="AF2111" s="69"/>
      <c r="AG2111" s="69"/>
      <c r="AH2111" s="69"/>
      <c r="AI2111" s="69"/>
      <c r="AJ2111" s="69"/>
      <c r="AK2111" s="69"/>
      <c r="AL2111" s="69"/>
      <c r="AM2111" s="69"/>
      <c r="AN2111" s="69"/>
      <c r="AO2111" s="69"/>
      <c r="AP2111" s="69"/>
      <c r="AQ2111" s="69"/>
      <c r="AR2111" s="69"/>
      <c r="AS2111" s="69"/>
      <c r="AT2111" s="69"/>
      <c r="AU2111" s="69"/>
      <c r="AV2111" s="69"/>
      <c r="AW2111" s="69"/>
      <c r="AX2111" s="69"/>
      <c r="AY2111" s="69"/>
      <c r="AZ2111" s="69"/>
      <c r="BA2111" s="69"/>
      <c r="BB2111" s="69"/>
      <c r="BC2111" s="69"/>
    </row>
    <row r="2112">
      <c r="A2112" s="68"/>
      <c r="B2112" s="68"/>
      <c r="C2112" s="68"/>
      <c r="D2112" s="68"/>
      <c r="E2112" s="68"/>
      <c r="F2112" s="68"/>
      <c r="G2112" s="68"/>
      <c r="H2112" s="68"/>
      <c r="I2112" s="69"/>
      <c r="J2112" s="69"/>
      <c r="K2112" s="71"/>
      <c r="L2112" s="69"/>
      <c r="M2112" s="69"/>
      <c r="N2112" s="72"/>
      <c r="O2112" s="69"/>
      <c r="P2112" s="69"/>
      <c r="Q2112" s="69"/>
      <c r="R2112" s="69"/>
      <c r="S2112" s="69"/>
      <c r="T2112" s="69"/>
      <c r="U2112" s="69"/>
      <c r="V2112" s="69"/>
      <c r="W2112" s="69"/>
      <c r="X2112" s="69"/>
      <c r="Y2112" s="69"/>
      <c r="Z2112" s="69"/>
      <c r="AA2112" s="69"/>
      <c r="AB2112" s="69"/>
      <c r="AC2112" s="69"/>
      <c r="AD2112" s="69"/>
      <c r="AE2112" s="69"/>
      <c r="AF2112" s="69"/>
      <c r="AG2112" s="69"/>
      <c r="AH2112" s="69"/>
      <c r="AI2112" s="69"/>
      <c r="AJ2112" s="69"/>
      <c r="AK2112" s="69"/>
      <c r="AL2112" s="69"/>
      <c r="AM2112" s="69"/>
      <c r="AN2112" s="69"/>
      <c r="AO2112" s="69"/>
      <c r="AP2112" s="69"/>
      <c r="AQ2112" s="69"/>
      <c r="AR2112" s="69"/>
      <c r="AS2112" s="69"/>
      <c r="AT2112" s="69"/>
      <c r="AU2112" s="69"/>
      <c r="AV2112" s="69"/>
      <c r="AW2112" s="69"/>
      <c r="AX2112" s="69"/>
      <c r="AY2112" s="69"/>
      <c r="AZ2112" s="69"/>
      <c r="BA2112" s="69"/>
      <c r="BB2112" s="69"/>
      <c r="BC2112" s="69"/>
    </row>
    <row r="2113">
      <c r="A2113" s="68"/>
      <c r="B2113" s="68"/>
      <c r="C2113" s="68"/>
      <c r="D2113" s="68"/>
      <c r="E2113" s="68"/>
      <c r="F2113" s="68"/>
      <c r="G2113" s="68"/>
      <c r="H2113" s="68"/>
      <c r="I2113" s="69"/>
      <c r="J2113" s="69"/>
      <c r="K2113" s="71"/>
      <c r="L2113" s="69"/>
      <c r="M2113" s="69"/>
      <c r="N2113" s="72"/>
      <c r="O2113" s="69"/>
      <c r="P2113" s="69"/>
      <c r="Q2113" s="69"/>
      <c r="R2113" s="69"/>
      <c r="S2113" s="69"/>
      <c r="T2113" s="69"/>
      <c r="U2113" s="69"/>
      <c r="V2113" s="69"/>
      <c r="W2113" s="69"/>
      <c r="X2113" s="69"/>
      <c r="Y2113" s="69"/>
      <c r="Z2113" s="69"/>
      <c r="AA2113" s="69"/>
      <c r="AB2113" s="69"/>
      <c r="AC2113" s="69"/>
      <c r="AD2113" s="69"/>
      <c r="AE2113" s="69"/>
      <c r="AF2113" s="69"/>
      <c r="AG2113" s="69"/>
      <c r="AH2113" s="69"/>
      <c r="AI2113" s="69"/>
      <c r="AJ2113" s="69"/>
      <c r="AK2113" s="69"/>
      <c r="AL2113" s="69"/>
      <c r="AM2113" s="69"/>
      <c r="AN2113" s="69"/>
      <c r="AO2113" s="69"/>
      <c r="AP2113" s="69"/>
      <c r="AQ2113" s="69"/>
      <c r="AR2113" s="69"/>
      <c r="AS2113" s="69"/>
      <c r="AT2113" s="69"/>
      <c r="AU2113" s="69"/>
      <c r="AV2113" s="69"/>
      <c r="AW2113" s="69"/>
      <c r="AX2113" s="69"/>
      <c r="AY2113" s="69"/>
      <c r="AZ2113" s="69"/>
      <c r="BA2113" s="69"/>
      <c r="BB2113" s="69"/>
      <c r="BC2113" s="69"/>
    </row>
    <row r="2114">
      <c r="A2114" s="68"/>
      <c r="B2114" s="68"/>
      <c r="C2114" s="68"/>
      <c r="D2114" s="68"/>
      <c r="E2114" s="68"/>
      <c r="F2114" s="68"/>
      <c r="G2114" s="68"/>
      <c r="H2114" s="68"/>
      <c r="I2114" s="69"/>
      <c r="J2114" s="69"/>
      <c r="K2114" s="71"/>
      <c r="L2114" s="69"/>
      <c r="M2114" s="69"/>
      <c r="N2114" s="72"/>
      <c r="O2114" s="69"/>
      <c r="P2114" s="69"/>
      <c r="Q2114" s="69"/>
      <c r="R2114" s="69"/>
      <c r="S2114" s="69"/>
      <c r="T2114" s="69"/>
      <c r="U2114" s="69"/>
      <c r="V2114" s="69"/>
      <c r="W2114" s="69"/>
      <c r="X2114" s="69"/>
      <c r="Y2114" s="69"/>
      <c r="Z2114" s="69"/>
      <c r="AA2114" s="69"/>
      <c r="AB2114" s="69"/>
      <c r="AC2114" s="69"/>
      <c r="AD2114" s="69"/>
      <c r="AE2114" s="69"/>
      <c r="AF2114" s="69"/>
      <c r="AG2114" s="69"/>
      <c r="AH2114" s="69"/>
      <c r="AI2114" s="69"/>
      <c r="AJ2114" s="69"/>
      <c r="AK2114" s="69"/>
      <c r="AL2114" s="69"/>
      <c r="AM2114" s="69"/>
      <c r="AN2114" s="69"/>
      <c r="AO2114" s="69"/>
      <c r="AP2114" s="69"/>
      <c r="AQ2114" s="69"/>
      <c r="AR2114" s="69"/>
      <c r="AS2114" s="69"/>
      <c r="AT2114" s="69"/>
      <c r="AU2114" s="69"/>
      <c r="AV2114" s="69"/>
      <c r="AW2114" s="69"/>
      <c r="AX2114" s="69"/>
      <c r="AY2114" s="69"/>
      <c r="AZ2114" s="69"/>
      <c r="BA2114" s="69"/>
      <c r="BB2114" s="69"/>
      <c r="BC2114" s="69"/>
    </row>
    <row r="2115">
      <c r="A2115" s="68"/>
      <c r="B2115" s="68"/>
      <c r="C2115" s="68"/>
      <c r="D2115" s="68"/>
      <c r="E2115" s="68"/>
      <c r="F2115" s="68"/>
      <c r="G2115" s="68"/>
      <c r="H2115" s="68"/>
      <c r="I2115" s="69"/>
      <c r="J2115" s="69"/>
      <c r="K2115" s="71"/>
      <c r="L2115" s="69"/>
      <c r="M2115" s="69"/>
      <c r="N2115" s="72"/>
      <c r="O2115" s="69"/>
      <c r="P2115" s="69"/>
      <c r="Q2115" s="69"/>
      <c r="R2115" s="69"/>
      <c r="S2115" s="69"/>
      <c r="T2115" s="69"/>
      <c r="U2115" s="69"/>
      <c r="V2115" s="69"/>
      <c r="W2115" s="69"/>
      <c r="X2115" s="69"/>
      <c r="Y2115" s="69"/>
      <c r="Z2115" s="69"/>
      <c r="AA2115" s="69"/>
      <c r="AB2115" s="69"/>
      <c r="AC2115" s="69"/>
      <c r="AD2115" s="69"/>
      <c r="AE2115" s="69"/>
      <c r="AF2115" s="69"/>
      <c r="AG2115" s="69"/>
      <c r="AH2115" s="69"/>
      <c r="AI2115" s="69"/>
      <c r="AJ2115" s="69"/>
      <c r="AK2115" s="69"/>
      <c r="AL2115" s="69"/>
      <c r="AM2115" s="69"/>
      <c r="AN2115" s="69"/>
      <c r="AO2115" s="69"/>
      <c r="AP2115" s="69"/>
      <c r="AQ2115" s="69"/>
      <c r="AR2115" s="69"/>
      <c r="AS2115" s="69"/>
      <c r="AT2115" s="69"/>
      <c r="AU2115" s="69"/>
      <c r="AV2115" s="69"/>
      <c r="AW2115" s="69"/>
      <c r="AX2115" s="69"/>
      <c r="AY2115" s="69"/>
      <c r="AZ2115" s="69"/>
      <c r="BA2115" s="69"/>
      <c r="BB2115" s="69"/>
      <c r="BC2115" s="69"/>
    </row>
    <row r="2116">
      <c r="A2116" s="68"/>
      <c r="B2116" s="68"/>
      <c r="C2116" s="68"/>
      <c r="D2116" s="68"/>
      <c r="E2116" s="68"/>
      <c r="F2116" s="68"/>
      <c r="G2116" s="68"/>
      <c r="H2116" s="68"/>
      <c r="I2116" s="69"/>
      <c r="J2116" s="69"/>
      <c r="K2116" s="71"/>
      <c r="L2116" s="69"/>
      <c r="M2116" s="69"/>
      <c r="N2116" s="72"/>
      <c r="O2116" s="69"/>
      <c r="P2116" s="69"/>
      <c r="Q2116" s="69"/>
      <c r="R2116" s="69"/>
      <c r="S2116" s="69"/>
      <c r="T2116" s="69"/>
      <c r="U2116" s="69"/>
      <c r="V2116" s="69"/>
      <c r="W2116" s="69"/>
      <c r="X2116" s="69"/>
      <c r="Y2116" s="69"/>
      <c r="Z2116" s="69"/>
      <c r="AA2116" s="69"/>
      <c r="AB2116" s="69"/>
      <c r="AC2116" s="69"/>
      <c r="AD2116" s="69"/>
      <c r="AE2116" s="69"/>
      <c r="AF2116" s="69"/>
      <c r="AG2116" s="69"/>
      <c r="AH2116" s="69"/>
      <c r="AI2116" s="69"/>
      <c r="AJ2116" s="69"/>
      <c r="AK2116" s="69"/>
      <c r="AL2116" s="69"/>
      <c r="AM2116" s="69"/>
      <c r="AN2116" s="69"/>
      <c r="AO2116" s="69"/>
      <c r="AP2116" s="69"/>
      <c r="AQ2116" s="69"/>
      <c r="AR2116" s="69"/>
      <c r="AS2116" s="69"/>
      <c r="AT2116" s="69"/>
      <c r="AU2116" s="69"/>
      <c r="AV2116" s="69"/>
      <c r="AW2116" s="69"/>
      <c r="AX2116" s="69"/>
      <c r="AY2116" s="69"/>
      <c r="AZ2116" s="69"/>
      <c r="BA2116" s="69"/>
      <c r="BB2116" s="69"/>
      <c r="BC2116" s="69"/>
    </row>
    <row r="2117">
      <c r="A2117" s="68"/>
      <c r="B2117" s="68"/>
      <c r="C2117" s="68"/>
      <c r="D2117" s="68"/>
      <c r="E2117" s="68"/>
      <c r="F2117" s="68"/>
      <c r="G2117" s="68"/>
      <c r="H2117" s="68"/>
      <c r="I2117" s="69"/>
      <c r="J2117" s="69"/>
      <c r="K2117" s="71"/>
      <c r="L2117" s="69"/>
      <c r="M2117" s="69"/>
      <c r="N2117" s="72"/>
      <c r="O2117" s="69"/>
      <c r="P2117" s="69"/>
      <c r="Q2117" s="69"/>
      <c r="R2117" s="69"/>
      <c r="S2117" s="69"/>
      <c r="T2117" s="69"/>
      <c r="U2117" s="69"/>
      <c r="V2117" s="69"/>
      <c r="W2117" s="69"/>
      <c r="X2117" s="69"/>
      <c r="Y2117" s="69"/>
      <c r="Z2117" s="69"/>
      <c r="AA2117" s="69"/>
      <c r="AB2117" s="69"/>
      <c r="AC2117" s="69"/>
      <c r="AD2117" s="69"/>
      <c r="AE2117" s="69"/>
      <c r="AF2117" s="69"/>
      <c r="AG2117" s="69"/>
      <c r="AH2117" s="69"/>
      <c r="AI2117" s="69"/>
      <c r="AJ2117" s="69"/>
      <c r="AK2117" s="69"/>
      <c r="AL2117" s="69"/>
      <c r="AM2117" s="69"/>
      <c r="AN2117" s="69"/>
      <c r="AO2117" s="69"/>
      <c r="AP2117" s="69"/>
      <c r="AQ2117" s="69"/>
      <c r="AR2117" s="69"/>
      <c r="AS2117" s="69"/>
      <c r="AT2117" s="69"/>
      <c r="AU2117" s="69"/>
      <c r="AV2117" s="69"/>
      <c r="AW2117" s="69"/>
      <c r="AX2117" s="69"/>
      <c r="AY2117" s="69"/>
      <c r="AZ2117" s="69"/>
      <c r="BA2117" s="69"/>
      <c r="BB2117" s="69"/>
      <c r="BC2117" s="69"/>
    </row>
    <row r="2118">
      <c r="A2118" s="68"/>
      <c r="B2118" s="68"/>
      <c r="C2118" s="68"/>
      <c r="D2118" s="68"/>
      <c r="E2118" s="68"/>
      <c r="F2118" s="68"/>
      <c r="G2118" s="68"/>
      <c r="H2118" s="68"/>
      <c r="I2118" s="69"/>
      <c r="J2118" s="69"/>
      <c r="K2118" s="71"/>
      <c r="L2118" s="69"/>
      <c r="M2118" s="69"/>
      <c r="N2118" s="72"/>
      <c r="O2118" s="69"/>
      <c r="P2118" s="69"/>
      <c r="Q2118" s="69"/>
      <c r="R2118" s="69"/>
      <c r="S2118" s="69"/>
      <c r="T2118" s="69"/>
      <c r="U2118" s="69"/>
      <c r="V2118" s="69"/>
      <c r="W2118" s="69"/>
      <c r="X2118" s="69"/>
      <c r="Y2118" s="69"/>
      <c r="Z2118" s="69"/>
      <c r="AA2118" s="69"/>
      <c r="AB2118" s="69"/>
      <c r="AC2118" s="69"/>
      <c r="AD2118" s="69"/>
      <c r="AE2118" s="69"/>
      <c r="AF2118" s="69"/>
      <c r="AG2118" s="69"/>
      <c r="AH2118" s="69"/>
      <c r="AI2118" s="69"/>
      <c r="AJ2118" s="69"/>
      <c r="AK2118" s="69"/>
      <c r="AL2118" s="69"/>
      <c r="AM2118" s="69"/>
      <c r="AN2118" s="69"/>
      <c r="AO2118" s="69"/>
      <c r="AP2118" s="69"/>
      <c r="AQ2118" s="69"/>
      <c r="AR2118" s="69"/>
      <c r="AS2118" s="69"/>
      <c r="AT2118" s="69"/>
      <c r="AU2118" s="69"/>
      <c r="AV2118" s="69"/>
      <c r="AW2118" s="69"/>
      <c r="AX2118" s="69"/>
      <c r="AY2118" s="69"/>
      <c r="AZ2118" s="69"/>
      <c r="BA2118" s="69"/>
      <c r="BB2118" s="69"/>
      <c r="BC2118" s="69"/>
    </row>
    <row r="2119">
      <c r="A2119" s="68"/>
      <c r="B2119" s="68"/>
      <c r="C2119" s="68"/>
      <c r="D2119" s="68"/>
      <c r="E2119" s="68"/>
      <c r="F2119" s="68"/>
      <c r="G2119" s="68"/>
      <c r="H2119" s="68"/>
      <c r="I2119" s="69"/>
      <c r="J2119" s="69"/>
      <c r="K2119" s="71"/>
      <c r="L2119" s="69"/>
      <c r="M2119" s="69"/>
      <c r="N2119" s="72"/>
      <c r="O2119" s="69"/>
      <c r="P2119" s="69"/>
      <c r="Q2119" s="69"/>
      <c r="R2119" s="69"/>
      <c r="S2119" s="69"/>
      <c r="T2119" s="69"/>
      <c r="U2119" s="69"/>
      <c r="V2119" s="69"/>
      <c r="W2119" s="69"/>
      <c r="X2119" s="69"/>
      <c r="Y2119" s="69"/>
      <c r="Z2119" s="69"/>
      <c r="AA2119" s="69"/>
      <c r="AB2119" s="69"/>
      <c r="AC2119" s="69"/>
      <c r="AD2119" s="69"/>
      <c r="AE2119" s="69"/>
      <c r="AF2119" s="69"/>
      <c r="AG2119" s="69"/>
      <c r="AH2119" s="69"/>
      <c r="AI2119" s="69"/>
      <c r="AJ2119" s="69"/>
      <c r="AK2119" s="69"/>
      <c r="AL2119" s="69"/>
      <c r="AM2119" s="69"/>
      <c r="AN2119" s="69"/>
      <c r="AO2119" s="69"/>
      <c r="AP2119" s="69"/>
      <c r="AQ2119" s="69"/>
      <c r="AR2119" s="69"/>
      <c r="AS2119" s="69"/>
      <c r="AT2119" s="69"/>
      <c r="AU2119" s="69"/>
      <c r="AV2119" s="69"/>
      <c r="AW2119" s="69"/>
      <c r="AX2119" s="69"/>
      <c r="AY2119" s="69"/>
      <c r="AZ2119" s="69"/>
      <c r="BA2119" s="69"/>
      <c r="BB2119" s="69"/>
      <c r="BC2119" s="69"/>
    </row>
    <row r="2120">
      <c r="A2120" s="68"/>
      <c r="B2120" s="68"/>
      <c r="C2120" s="68"/>
      <c r="D2120" s="68"/>
      <c r="E2120" s="68"/>
      <c r="F2120" s="68"/>
      <c r="G2120" s="68"/>
      <c r="H2120" s="68"/>
      <c r="I2120" s="69"/>
      <c r="J2120" s="69"/>
      <c r="K2120" s="71"/>
      <c r="L2120" s="69"/>
      <c r="M2120" s="69"/>
      <c r="N2120" s="72"/>
      <c r="O2120" s="69"/>
      <c r="P2120" s="69"/>
      <c r="Q2120" s="69"/>
      <c r="R2120" s="69"/>
      <c r="S2120" s="69"/>
      <c r="T2120" s="69"/>
      <c r="U2120" s="69"/>
      <c r="V2120" s="69"/>
      <c r="W2120" s="69"/>
      <c r="X2120" s="69"/>
      <c r="Y2120" s="69"/>
      <c r="Z2120" s="69"/>
      <c r="AA2120" s="69"/>
      <c r="AB2120" s="69"/>
      <c r="AC2120" s="69"/>
      <c r="AD2120" s="69"/>
      <c r="AE2120" s="69"/>
      <c r="AF2120" s="69"/>
      <c r="AG2120" s="69"/>
      <c r="AH2120" s="69"/>
      <c r="AI2120" s="69"/>
      <c r="AJ2120" s="69"/>
      <c r="AK2120" s="69"/>
      <c r="AL2120" s="69"/>
      <c r="AM2120" s="69"/>
      <c r="AN2120" s="69"/>
      <c r="AO2120" s="69"/>
      <c r="AP2120" s="69"/>
      <c r="AQ2120" s="69"/>
      <c r="AR2120" s="69"/>
      <c r="AS2120" s="69"/>
      <c r="AT2120" s="69"/>
      <c r="AU2120" s="69"/>
      <c r="AV2120" s="69"/>
      <c r="AW2120" s="69"/>
      <c r="AX2120" s="69"/>
      <c r="AY2120" s="69"/>
      <c r="AZ2120" s="69"/>
      <c r="BA2120" s="69"/>
      <c r="BB2120" s="69"/>
      <c r="BC2120" s="69"/>
    </row>
    <row r="2121">
      <c r="A2121" s="68"/>
      <c r="B2121" s="68"/>
      <c r="C2121" s="68"/>
      <c r="D2121" s="68"/>
      <c r="E2121" s="68"/>
      <c r="F2121" s="68"/>
      <c r="G2121" s="68"/>
      <c r="H2121" s="68"/>
      <c r="I2121" s="69"/>
      <c r="J2121" s="69"/>
      <c r="K2121" s="71"/>
      <c r="L2121" s="69"/>
      <c r="M2121" s="69"/>
      <c r="N2121" s="72"/>
      <c r="O2121" s="69"/>
      <c r="P2121" s="69"/>
      <c r="Q2121" s="69"/>
      <c r="R2121" s="69"/>
      <c r="S2121" s="69"/>
      <c r="T2121" s="69"/>
      <c r="U2121" s="69"/>
      <c r="V2121" s="69"/>
      <c r="W2121" s="69"/>
      <c r="X2121" s="69"/>
      <c r="Y2121" s="69"/>
      <c r="Z2121" s="69"/>
      <c r="AA2121" s="69"/>
      <c r="AB2121" s="69"/>
      <c r="AC2121" s="69"/>
      <c r="AD2121" s="69"/>
      <c r="AE2121" s="69"/>
      <c r="AF2121" s="69"/>
      <c r="AG2121" s="69"/>
      <c r="AH2121" s="69"/>
      <c r="AI2121" s="69"/>
      <c r="AJ2121" s="69"/>
      <c r="AK2121" s="69"/>
      <c r="AL2121" s="69"/>
      <c r="AM2121" s="69"/>
      <c r="AN2121" s="69"/>
      <c r="AO2121" s="69"/>
      <c r="AP2121" s="69"/>
      <c r="AQ2121" s="69"/>
      <c r="AR2121" s="69"/>
      <c r="AS2121" s="69"/>
      <c r="AT2121" s="69"/>
      <c r="AU2121" s="69"/>
      <c r="AV2121" s="69"/>
      <c r="AW2121" s="69"/>
      <c r="AX2121" s="69"/>
      <c r="AY2121" s="69"/>
      <c r="AZ2121" s="69"/>
      <c r="BA2121" s="69"/>
      <c r="BB2121" s="69"/>
      <c r="BC2121" s="69"/>
    </row>
    <row r="2122">
      <c r="A2122" s="68"/>
      <c r="B2122" s="68"/>
      <c r="C2122" s="68"/>
      <c r="D2122" s="68"/>
      <c r="E2122" s="68"/>
      <c r="F2122" s="68"/>
      <c r="G2122" s="68"/>
      <c r="H2122" s="68"/>
      <c r="I2122" s="69"/>
      <c r="J2122" s="69"/>
      <c r="K2122" s="71"/>
      <c r="L2122" s="69"/>
      <c r="M2122" s="69"/>
      <c r="N2122" s="72"/>
      <c r="O2122" s="69"/>
      <c r="P2122" s="69"/>
      <c r="Q2122" s="69"/>
      <c r="R2122" s="69"/>
      <c r="S2122" s="69"/>
      <c r="T2122" s="69"/>
      <c r="U2122" s="69"/>
      <c r="V2122" s="69"/>
      <c r="W2122" s="69"/>
      <c r="X2122" s="69"/>
      <c r="Y2122" s="69"/>
      <c r="Z2122" s="69"/>
      <c r="AA2122" s="69"/>
      <c r="AB2122" s="69"/>
      <c r="AC2122" s="69"/>
      <c r="AD2122" s="69"/>
      <c r="AE2122" s="69"/>
      <c r="AF2122" s="69"/>
      <c r="AG2122" s="69"/>
      <c r="AH2122" s="69"/>
      <c r="AI2122" s="69"/>
      <c r="AJ2122" s="69"/>
      <c r="AK2122" s="69"/>
      <c r="AL2122" s="69"/>
      <c r="AM2122" s="69"/>
      <c r="AN2122" s="69"/>
      <c r="AO2122" s="69"/>
      <c r="AP2122" s="69"/>
      <c r="AQ2122" s="69"/>
      <c r="AR2122" s="69"/>
      <c r="AS2122" s="69"/>
      <c r="AT2122" s="69"/>
      <c r="AU2122" s="69"/>
      <c r="AV2122" s="69"/>
      <c r="AW2122" s="69"/>
      <c r="AX2122" s="69"/>
      <c r="AY2122" s="69"/>
      <c r="AZ2122" s="69"/>
      <c r="BA2122" s="69"/>
      <c r="BB2122" s="69"/>
      <c r="BC2122" s="69"/>
    </row>
    <row r="2123">
      <c r="A2123" s="68"/>
      <c r="B2123" s="68"/>
      <c r="C2123" s="68"/>
      <c r="D2123" s="68"/>
      <c r="E2123" s="68"/>
      <c r="F2123" s="68"/>
      <c r="G2123" s="68"/>
      <c r="H2123" s="68"/>
      <c r="I2123" s="69"/>
      <c r="J2123" s="69"/>
      <c r="K2123" s="71"/>
      <c r="L2123" s="69"/>
      <c r="M2123" s="69"/>
      <c r="N2123" s="72"/>
      <c r="O2123" s="69"/>
      <c r="P2123" s="69"/>
      <c r="Q2123" s="69"/>
      <c r="R2123" s="69"/>
      <c r="S2123" s="69"/>
      <c r="T2123" s="69"/>
      <c r="U2123" s="69"/>
      <c r="V2123" s="69"/>
      <c r="W2123" s="69"/>
      <c r="X2123" s="69"/>
      <c r="Y2123" s="69"/>
      <c r="Z2123" s="69"/>
      <c r="AA2123" s="69"/>
      <c r="AB2123" s="69"/>
      <c r="AC2123" s="69"/>
      <c r="AD2123" s="69"/>
      <c r="AE2123" s="69"/>
      <c r="AF2123" s="69"/>
      <c r="AG2123" s="69"/>
      <c r="AH2123" s="69"/>
      <c r="AI2123" s="69"/>
      <c r="AJ2123" s="69"/>
      <c r="AK2123" s="69"/>
      <c r="AL2123" s="69"/>
      <c r="AM2123" s="69"/>
      <c r="AN2123" s="69"/>
      <c r="AO2123" s="69"/>
      <c r="AP2123" s="69"/>
      <c r="AQ2123" s="69"/>
      <c r="AR2123" s="69"/>
      <c r="AS2123" s="69"/>
      <c r="AT2123" s="69"/>
      <c r="AU2123" s="69"/>
      <c r="AV2123" s="69"/>
      <c r="AW2123" s="69"/>
      <c r="AX2123" s="69"/>
      <c r="AY2123" s="69"/>
      <c r="AZ2123" s="69"/>
      <c r="BA2123" s="69"/>
      <c r="BB2123" s="69"/>
      <c r="BC2123" s="69"/>
    </row>
    <row r="2124">
      <c r="A2124" s="68"/>
      <c r="B2124" s="68"/>
      <c r="C2124" s="68"/>
      <c r="D2124" s="68"/>
      <c r="E2124" s="68"/>
      <c r="F2124" s="68"/>
      <c r="G2124" s="68"/>
      <c r="H2124" s="68"/>
      <c r="I2124" s="69"/>
      <c r="J2124" s="69"/>
      <c r="K2124" s="71"/>
      <c r="L2124" s="69"/>
      <c r="M2124" s="69"/>
      <c r="N2124" s="72"/>
      <c r="O2124" s="69"/>
      <c r="P2124" s="69"/>
      <c r="Q2124" s="69"/>
      <c r="R2124" s="69"/>
      <c r="S2124" s="69"/>
      <c r="T2124" s="69"/>
      <c r="U2124" s="69"/>
      <c r="V2124" s="69"/>
      <c r="W2124" s="69"/>
      <c r="X2124" s="69"/>
      <c r="Y2124" s="69"/>
      <c r="Z2124" s="69"/>
      <c r="AA2124" s="69"/>
      <c r="AB2124" s="69"/>
      <c r="AC2124" s="69"/>
      <c r="AD2124" s="69"/>
      <c r="AE2124" s="69"/>
      <c r="AF2124" s="69"/>
      <c r="AG2124" s="69"/>
      <c r="AH2124" s="69"/>
      <c r="AI2124" s="69"/>
      <c r="AJ2124" s="69"/>
      <c r="AK2124" s="69"/>
      <c r="AL2124" s="69"/>
      <c r="AM2124" s="69"/>
      <c r="AN2124" s="69"/>
      <c r="AO2124" s="69"/>
      <c r="AP2124" s="69"/>
      <c r="AQ2124" s="69"/>
      <c r="AR2124" s="69"/>
      <c r="AS2124" s="69"/>
      <c r="AT2124" s="69"/>
      <c r="AU2124" s="69"/>
      <c r="AV2124" s="69"/>
      <c r="AW2124" s="69"/>
      <c r="AX2124" s="69"/>
      <c r="AY2124" s="69"/>
      <c r="AZ2124" s="69"/>
      <c r="BA2124" s="69"/>
      <c r="BB2124" s="69"/>
      <c r="BC2124" s="69"/>
    </row>
    <row r="2125">
      <c r="A2125" s="68"/>
      <c r="B2125" s="68"/>
      <c r="C2125" s="68"/>
      <c r="D2125" s="68"/>
      <c r="E2125" s="68"/>
      <c r="F2125" s="68"/>
      <c r="G2125" s="68"/>
      <c r="H2125" s="68"/>
      <c r="I2125" s="69"/>
      <c r="J2125" s="69"/>
      <c r="K2125" s="71"/>
      <c r="L2125" s="69"/>
      <c r="M2125" s="69"/>
      <c r="N2125" s="72"/>
      <c r="O2125" s="69"/>
      <c r="P2125" s="69"/>
      <c r="Q2125" s="69"/>
      <c r="R2125" s="69"/>
      <c r="S2125" s="69"/>
      <c r="T2125" s="69"/>
      <c r="U2125" s="69"/>
      <c r="V2125" s="69"/>
      <c r="W2125" s="69"/>
      <c r="X2125" s="69"/>
      <c r="Y2125" s="69"/>
      <c r="Z2125" s="69"/>
      <c r="AA2125" s="69"/>
      <c r="AB2125" s="69"/>
      <c r="AC2125" s="69"/>
      <c r="AD2125" s="69"/>
      <c r="AE2125" s="69"/>
      <c r="AF2125" s="69"/>
      <c r="AG2125" s="69"/>
      <c r="AH2125" s="69"/>
      <c r="AI2125" s="69"/>
      <c r="AJ2125" s="69"/>
      <c r="AK2125" s="69"/>
      <c r="AL2125" s="69"/>
      <c r="AM2125" s="69"/>
      <c r="AN2125" s="69"/>
      <c r="AO2125" s="69"/>
      <c r="AP2125" s="69"/>
      <c r="AQ2125" s="69"/>
      <c r="AR2125" s="69"/>
      <c r="AS2125" s="69"/>
      <c r="AT2125" s="69"/>
      <c r="AU2125" s="69"/>
      <c r="AV2125" s="69"/>
      <c r="AW2125" s="69"/>
      <c r="AX2125" s="69"/>
      <c r="AY2125" s="69"/>
      <c r="AZ2125" s="69"/>
      <c r="BA2125" s="69"/>
      <c r="BB2125" s="69"/>
      <c r="BC2125" s="69"/>
    </row>
    <row r="2126">
      <c r="A2126" s="68"/>
      <c r="B2126" s="68"/>
      <c r="C2126" s="68"/>
      <c r="D2126" s="68"/>
      <c r="E2126" s="68"/>
      <c r="F2126" s="68"/>
      <c r="G2126" s="68"/>
      <c r="H2126" s="68"/>
      <c r="I2126" s="69"/>
      <c r="J2126" s="69"/>
      <c r="K2126" s="71"/>
      <c r="L2126" s="69"/>
      <c r="M2126" s="69"/>
      <c r="N2126" s="72"/>
      <c r="O2126" s="69"/>
      <c r="P2126" s="69"/>
      <c r="Q2126" s="69"/>
      <c r="R2126" s="69"/>
      <c r="S2126" s="69"/>
      <c r="T2126" s="69"/>
      <c r="U2126" s="69"/>
      <c r="V2126" s="69"/>
      <c r="W2126" s="69"/>
      <c r="X2126" s="69"/>
      <c r="Y2126" s="69"/>
      <c r="Z2126" s="69"/>
      <c r="AA2126" s="69"/>
      <c r="AB2126" s="69"/>
      <c r="AC2126" s="69"/>
      <c r="AD2126" s="69"/>
      <c r="AE2126" s="69"/>
      <c r="AF2126" s="69"/>
      <c r="AG2126" s="69"/>
      <c r="AH2126" s="69"/>
      <c r="AI2126" s="69"/>
      <c r="AJ2126" s="69"/>
      <c r="AK2126" s="69"/>
      <c r="AL2126" s="69"/>
      <c r="AM2126" s="69"/>
      <c r="AN2126" s="69"/>
      <c r="AO2126" s="69"/>
      <c r="AP2126" s="69"/>
      <c r="AQ2126" s="69"/>
      <c r="AR2126" s="69"/>
      <c r="AS2126" s="69"/>
      <c r="AT2126" s="69"/>
      <c r="AU2126" s="69"/>
      <c r="AV2126" s="69"/>
      <c r="AW2126" s="69"/>
      <c r="AX2126" s="69"/>
      <c r="AY2126" s="69"/>
      <c r="AZ2126" s="69"/>
      <c r="BA2126" s="69"/>
      <c r="BB2126" s="69"/>
      <c r="BC2126" s="69"/>
    </row>
    <row r="2127">
      <c r="A2127" s="68"/>
      <c r="B2127" s="68"/>
      <c r="C2127" s="68"/>
      <c r="D2127" s="68"/>
      <c r="E2127" s="68"/>
      <c r="F2127" s="68"/>
      <c r="G2127" s="68"/>
      <c r="H2127" s="68"/>
      <c r="I2127" s="69"/>
      <c r="J2127" s="69"/>
      <c r="K2127" s="71"/>
      <c r="L2127" s="69"/>
      <c r="M2127" s="69"/>
      <c r="N2127" s="72"/>
      <c r="O2127" s="69"/>
      <c r="P2127" s="69"/>
      <c r="Q2127" s="69"/>
      <c r="R2127" s="69"/>
      <c r="S2127" s="69"/>
      <c r="T2127" s="69"/>
      <c r="U2127" s="69"/>
      <c r="V2127" s="69"/>
      <c r="W2127" s="69"/>
      <c r="X2127" s="69"/>
      <c r="Y2127" s="69"/>
      <c r="Z2127" s="69"/>
      <c r="AA2127" s="69"/>
      <c r="AB2127" s="69"/>
      <c r="AC2127" s="69"/>
      <c r="AD2127" s="69"/>
      <c r="AE2127" s="69"/>
      <c r="AF2127" s="69"/>
      <c r="AG2127" s="69"/>
      <c r="AH2127" s="69"/>
      <c r="AI2127" s="69"/>
      <c r="AJ2127" s="69"/>
      <c r="AK2127" s="69"/>
      <c r="AL2127" s="69"/>
      <c r="AM2127" s="69"/>
      <c r="AN2127" s="69"/>
      <c r="AO2127" s="69"/>
      <c r="AP2127" s="69"/>
      <c r="AQ2127" s="69"/>
      <c r="AR2127" s="69"/>
      <c r="AS2127" s="69"/>
      <c r="AT2127" s="69"/>
      <c r="AU2127" s="69"/>
      <c r="AV2127" s="69"/>
      <c r="AW2127" s="69"/>
      <c r="AX2127" s="69"/>
      <c r="AY2127" s="69"/>
      <c r="AZ2127" s="69"/>
      <c r="BA2127" s="69"/>
      <c r="BB2127" s="69"/>
      <c r="BC2127" s="69"/>
    </row>
    <row r="2128">
      <c r="A2128" s="68"/>
      <c r="B2128" s="68"/>
      <c r="C2128" s="68"/>
      <c r="D2128" s="68"/>
      <c r="E2128" s="68"/>
      <c r="F2128" s="68"/>
      <c r="G2128" s="68"/>
      <c r="H2128" s="68"/>
      <c r="I2128" s="69"/>
      <c r="J2128" s="69"/>
      <c r="K2128" s="71"/>
      <c r="L2128" s="69"/>
      <c r="M2128" s="69"/>
      <c r="N2128" s="72"/>
      <c r="O2128" s="69"/>
      <c r="P2128" s="69"/>
      <c r="Q2128" s="69"/>
      <c r="R2128" s="69"/>
      <c r="S2128" s="69"/>
      <c r="T2128" s="69"/>
      <c r="U2128" s="69"/>
      <c r="V2128" s="69"/>
      <c r="W2128" s="69"/>
      <c r="X2128" s="69"/>
      <c r="Y2128" s="69"/>
      <c r="Z2128" s="69"/>
      <c r="AA2128" s="69"/>
      <c r="AB2128" s="69"/>
      <c r="AC2128" s="69"/>
      <c r="AD2128" s="69"/>
      <c r="AE2128" s="69"/>
      <c r="AF2128" s="69"/>
      <c r="AG2128" s="69"/>
      <c r="AH2128" s="69"/>
      <c r="AI2128" s="69"/>
      <c r="AJ2128" s="69"/>
      <c r="AK2128" s="69"/>
      <c r="AL2128" s="69"/>
      <c r="AM2128" s="69"/>
      <c r="AN2128" s="69"/>
      <c r="AO2128" s="69"/>
      <c r="AP2128" s="69"/>
      <c r="AQ2128" s="69"/>
      <c r="AR2128" s="69"/>
      <c r="AS2128" s="69"/>
      <c r="AT2128" s="69"/>
      <c r="AU2128" s="69"/>
      <c r="AV2128" s="69"/>
      <c r="AW2128" s="69"/>
      <c r="AX2128" s="69"/>
      <c r="AY2128" s="69"/>
      <c r="AZ2128" s="69"/>
      <c r="BA2128" s="69"/>
      <c r="BB2128" s="69"/>
      <c r="BC2128" s="69"/>
    </row>
    <row r="2129">
      <c r="A2129" s="68"/>
      <c r="B2129" s="68"/>
      <c r="C2129" s="68"/>
      <c r="D2129" s="68"/>
      <c r="E2129" s="68"/>
      <c r="F2129" s="68"/>
      <c r="G2129" s="68"/>
      <c r="H2129" s="68"/>
      <c r="I2129" s="69"/>
      <c r="J2129" s="69"/>
      <c r="K2129" s="71"/>
      <c r="L2129" s="69"/>
      <c r="M2129" s="69"/>
      <c r="N2129" s="72"/>
      <c r="O2129" s="69"/>
      <c r="P2129" s="69"/>
      <c r="Q2129" s="69"/>
      <c r="R2129" s="69"/>
      <c r="S2129" s="69"/>
      <c r="T2129" s="69"/>
      <c r="U2129" s="69"/>
      <c r="V2129" s="69"/>
      <c r="W2129" s="69"/>
      <c r="X2129" s="69"/>
      <c r="Y2129" s="69"/>
      <c r="Z2129" s="69"/>
      <c r="AA2129" s="69"/>
      <c r="AB2129" s="69"/>
      <c r="AC2129" s="69"/>
      <c r="AD2129" s="69"/>
      <c r="AE2129" s="69"/>
      <c r="AF2129" s="69"/>
      <c r="AG2129" s="69"/>
      <c r="AH2129" s="69"/>
      <c r="AI2129" s="69"/>
      <c r="AJ2129" s="69"/>
      <c r="AK2129" s="69"/>
      <c r="AL2129" s="69"/>
      <c r="AM2129" s="69"/>
      <c r="AN2129" s="69"/>
      <c r="AO2129" s="69"/>
      <c r="AP2129" s="69"/>
      <c r="AQ2129" s="69"/>
      <c r="AR2129" s="69"/>
      <c r="AS2129" s="69"/>
      <c r="AT2129" s="69"/>
      <c r="AU2129" s="69"/>
      <c r="AV2129" s="69"/>
      <c r="AW2129" s="69"/>
      <c r="AX2129" s="69"/>
      <c r="AY2129" s="69"/>
      <c r="AZ2129" s="69"/>
      <c r="BA2129" s="69"/>
      <c r="BB2129" s="69"/>
      <c r="BC2129" s="69"/>
    </row>
    <row r="2130">
      <c r="A2130" s="68"/>
      <c r="B2130" s="68"/>
      <c r="C2130" s="68"/>
      <c r="D2130" s="68"/>
      <c r="E2130" s="68"/>
      <c r="F2130" s="68"/>
      <c r="G2130" s="68"/>
      <c r="H2130" s="68"/>
      <c r="I2130" s="69"/>
      <c r="J2130" s="69"/>
      <c r="K2130" s="71"/>
      <c r="L2130" s="69"/>
      <c r="M2130" s="69"/>
      <c r="N2130" s="72"/>
      <c r="O2130" s="69"/>
      <c r="P2130" s="69"/>
      <c r="Q2130" s="69"/>
      <c r="R2130" s="69"/>
      <c r="S2130" s="69"/>
      <c r="T2130" s="69"/>
      <c r="U2130" s="69"/>
      <c r="V2130" s="69"/>
      <c r="W2130" s="69"/>
      <c r="X2130" s="69"/>
      <c r="Y2130" s="69"/>
      <c r="Z2130" s="69"/>
      <c r="AA2130" s="69"/>
      <c r="AB2130" s="69"/>
      <c r="AC2130" s="69"/>
      <c r="AD2130" s="69"/>
      <c r="AE2130" s="69"/>
      <c r="AF2130" s="69"/>
      <c r="AG2130" s="69"/>
      <c r="AH2130" s="69"/>
      <c r="AI2130" s="69"/>
      <c r="AJ2130" s="69"/>
      <c r="AK2130" s="69"/>
      <c r="AL2130" s="69"/>
      <c r="AM2130" s="69"/>
      <c r="AN2130" s="69"/>
      <c r="AO2130" s="69"/>
      <c r="AP2130" s="69"/>
      <c r="AQ2130" s="69"/>
      <c r="AR2130" s="69"/>
      <c r="AS2130" s="69"/>
      <c r="AT2130" s="69"/>
      <c r="AU2130" s="69"/>
      <c r="AV2130" s="69"/>
      <c r="AW2130" s="69"/>
      <c r="AX2130" s="69"/>
      <c r="AY2130" s="69"/>
      <c r="AZ2130" s="69"/>
      <c r="BA2130" s="69"/>
      <c r="BB2130" s="69"/>
      <c r="BC2130" s="69"/>
    </row>
    <row r="2131">
      <c r="A2131" s="68"/>
      <c r="B2131" s="68"/>
      <c r="C2131" s="68"/>
      <c r="D2131" s="68"/>
      <c r="E2131" s="68"/>
      <c r="F2131" s="68"/>
      <c r="G2131" s="68"/>
      <c r="H2131" s="68"/>
      <c r="I2131" s="69"/>
      <c r="J2131" s="69"/>
      <c r="K2131" s="71"/>
      <c r="L2131" s="69"/>
      <c r="M2131" s="69"/>
      <c r="N2131" s="72"/>
      <c r="O2131" s="69"/>
      <c r="P2131" s="69"/>
      <c r="Q2131" s="69"/>
      <c r="R2131" s="69"/>
      <c r="S2131" s="69"/>
      <c r="T2131" s="69"/>
      <c r="U2131" s="69"/>
      <c r="V2131" s="69"/>
      <c r="W2131" s="69"/>
      <c r="X2131" s="69"/>
      <c r="Y2131" s="69"/>
      <c r="Z2131" s="69"/>
      <c r="AA2131" s="69"/>
      <c r="AB2131" s="69"/>
      <c r="AC2131" s="69"/>
      <c r="AD2131" s="69"/>
      <c r="AE2131" s="69"/>
      <c r="AF2131" s="69"/>
      <c r="AG2131" s="69"/>
      <c r="AH2131" s="69"/>
      <c r="AI2131" s="69"/>
      <c r="AJ2131" s="69"/>
      <c r="AK2131" s="69"/>
      <c r="AL2131" s="69"/>
      <c r="AM2131" s="69"/>
      <c r="AN2131" s="69"/>
      <c r="AO2131" s="69"/>
      <c r="AP2131" s="69"/>
      <c r="AQ2131" s="69"/>
      <c r="AR2131" s="69"/>
      <c r="AS2131" s="69"/>
      <c r="AT2131" s="69"/>
      <c r="AU2131" s="69"/>
      <c r="AV2131" s="69"/>
      <c r="AW2131" s="69"/>
      <c r="AX2131" s="69"/>
      <c r="AY2131" s="69"/>
      <c r="AZ2131" s="69"/>
      <c r="BA2131" s="69"/>
      <c r="BB2131" s="69"/>
      <c r="BC2131" s="69"/>
    </row>
    <row r="2132">
      <c r="A2132" s="68"/>
      <c r="B2132" s="68"/>
      <c r="C2132" s="68"/>
      <c r="D2132" s="68"/>
      <c r="E2132" s="68"/>
      <c r="F2132" s="68"/>
      <c r="G2132" s="68"/>
      <c r="H2132" s="68"/>
      <c r="I2132" s="69"/>
      <c r="J2132" s="69"/>
      <c r="K2132" s="71"/>
      <c r="L2132" s="69"/>
      <c r="M2132" s="69"/>
      <c r="N2132" s="72"/>
      <c r="O2132" s="69"/>
      <c r="P2132" s="69"/>
      <c r="Q2132" s="69"/>
      <c r="R2132" s="69"/>
      <c r="S2132" s="69"/>
      <c r="T2132" s="69"/>
      <c r="U2132" s="69"/>
      <c r="V2132" s="69"/>
      <c r="W2132" s="69"/>
      <c r="X2132" s="69"/>
      <c r="Y2132" s="69"/>
      <c r="Z2132" s="69"/>
      <c r="AA2132" s="69"/>
      <c r="AB2132" s="69"/>
      <c r="AC2132" s="69"/>
      <c r="AD2132" s="69"/>
      <c r="AE2132" s="69"/>
      <c r="AF2132" s="69"/>
      <c r="AG2132" s="69"/>
      <c r="AH2132" s="69"/>
      <c r="AI2132" s="69"/>
      <c r="AJ2132" s="69"/>
      <c r="AK2132" s="69"/>
      <c r="AL2132" s="69"/>
      <c r="AM2132" s="69"/>
      <c r="AN2132" s="69"/>
      <c r="AO2132" s="69"/>
      <c r="AP2132" s="69"/>
      <c r="AQ2132" s="69"/>
      <c r="AR2132" s="69"/>
      <c r="AS2132" s="69"/>
      <c r="AT2132" s="69"/>
      <c r="AU2132" s="69"/>
      <c r="AV2132" s="69"/>
      <c r="AW2132" s="69"/>
      <c r="AX2132" s="69"/>
      <c r="AY2132" s="69"/>
      <c r="AZ2132" s="69"/>
      <c r="BA2132" s="69"/>
      <c r="BB2132" s="69"/>
      <c r="BC2132" s="69"/>
    </row>
    <row r="2133">
      <c r="A2133" s="68"/>
      <c r="B2133" s="68"/>
      <c r="C2133" s="68"/>
      <c r="D2133" s="68"/>
      <c r="E2133" s="68"/>
      <c r="F2133" s="68"/>
      <c r="G2133" s="68"/>
      <c r="H2133" s="68"/>
      <c r="I2133" s="69"/>
      <c r="J2133" s="69"/>
      <c r="K2133" s="71"/>
      <c r="L2133" s="69"/>
      <c r="M2133" s="69"/>
      <c r="N2133" s="72"/>
      <c r="O2133" s="69"/>
      <c r="P2133" s="69"/>
      <c r="Q2133" s="69"/>
      <c r="R2133" s="69"/>
      <c r="S2133" s="69"/>
      <c r="T2133" s="69"/>
      <c r="U2133" s="69"/>
      <c r="V2133" s="69"/>
      <c r="W2133" s="69"/>
      <c r="X2133" s="69"/>
      <c r="Y2133" s="69"/>
      <c r="Z2133" s="69"/>
      <c r="AA2133" s="69"/>
      <c r="AB2133" s="69"/>
      <c r="AC2133" s="69"/>
      <c r="AD2133" s="69"/>
      <c r="AE2133" s="69"/>
      <c r="AF2133" s="69"/>
      <c r="AG2133" s="69"/>
      <c r="AH2133" s="69"/>
      <c r="AI2133" s="69"/>
      <c r="AJ2133" s="69"/>
      <c r="AK2133" s="69"/>
      <c r="AL2133" s="69"/>
      <c r="AM2133" s="69"/>
      <c r="AN2133" s="69"/>
      <c r="AO2133" s="69"/>
      <c r="AP2133" s="69"/>
      <c r="AQ2133" s="69"/>
      <c r="AR2133" s="69"/>
      <c r="AS2133" s="69"/>
      <c r="AT2133" s="69"/>
      <c r="AU2133" s="69"/>
      <c r="AV2133" s="69"/>
      <c r="AW2133" s="69"/>
      <c r="AX2133" s="69"/>
      <c r="AY2133" s="69"/>
      <c r="AZ2133" s="69"/>
      <c r="BA2133" s="69"/>
      <c r="BB2133" s="69"/>
      <c r="BC2133" s="69"/>
    </row>
    <row r="2134">
      <c r="A2134" s="68"/>
      <c r="B2134" s="68"/>
      <c r="C2134" s="68"/>
      <c r="D2134" s="68"/>
      <c r="E2134" s="68"/>
      <c r="F2134" s="68"/>
      <c r="G2134" s="68"/>
      <c r="H2134" s="68"/>
      <c r="I2134" s="69"/>
      <c r="J2134" s="69"/>
      <c r="K2134" s="71"/>
      <c r="L2134" s="69"/>
      <c r="M2134" s="69"/>
      <c r="N2134" s="72"/>
      <c r="O2134" s="69"/>
      <c r="P2134" s="69"/>
      <c r="Q2134" s="69"/>
      <c r="R2134" s="69"/>
      <c r="S2134" s="69"/>
      <c r="T2134" s="69"/>
      <c r="U2134" s="69"/>
      <c r="V2134" s="69"/>
      <c r="W2134" s="69"/>
      <c r="X2134" s="69"/>
      <c r="Y2134" s="69"/>
      <c r="Z2134" s="69"/>
      <c r="AA2134" s="69"/>
      <c r="AB2134" s="69"/>
      <c r="AC2134" s="69"/>
      <c r="AD2134" s="69"/>
      <c r="AE2134" s="69"/>
      <c r="AF2134" s="69"/>
      <c r="AG2134" s="69"/>
      <c r="AH2134" s="69"/>
      <c r="AI2134" s="69"/>
      <c r="AJ2134" s="69"/>
      <c r="AK2134" s="69"/>
      <c r="AL2134" s="69"/>
      <c r="AM2134" s="69"/>
      <c r="AN2134" s="69"/>
      <c r="AO2134" s="69"/>
      <c r="AP2134" s="69"/>
      <c r="AQ2134" s="69"/>
      <c r="AR2134" s="69"/>
      <c r="AS2134" s="69"/>
      <c r="AT2134" s="69"/>
      <c r="AU2134" s="69"/>
      <c r="AV2134" s="69"/>
      <c r="AW2134" s="69"/>
      <c r="AX2134" s="69"/>
      <c r="AY2134" s="69"/>
      <c r="AZ2134" s="69"/>
      <c r="BA2134" s="69"/>
      <c r="BB2134" s="69"/>
      <c r="BC2134" s="69"/>
    </row>
    <row r="2135">
      <c r="A2135" s="68"/>
      <c r="B2135" s="68"/>
      <c r="C2135" s="68"/>
      <c r="D2135" s="68"/>
      <c r="E2135" s="68"/>
      <c r="F2135" s="68"/>
      <c r="G2135" s="68"/>
      <c r="H2135" s="68"/>
      <c r="I2135" s="69"/>
      <c r="J2135" s="69"/>
      <c r="K2135" s="71"/>
      <c r="L2135" s="69"/>
      <c r="M2135" s="69"/>
      <c r="N2135" s="72"/>
      <c r="O2135" s="69"/>
      <c r="P2135" s="69"/>
      <c r="Q2135" s="69"/>
      <c r="R2135" s="69"/>
      <c r="S2135" s="69"/>
      <c r="T2135" s="69"/>
      <c r="U2135" s="69"/>
      <c r="V2135" s="69"/>
      <c r="W2135" s="69"/>
      <c r="X2135" s="69"/>
      <c r="Y2135" s="69"/>
      <c r="Z2135" s="69"/>
      <c r="AA2135" s="69"/>
      <c r="AB2135" s="69"/>
      <c r="AC2135" s="69"/>
      <c r="AD2135" s="69"/>
      <c r="AE2135" s="69"/>
      <c r="AF2135" s="69"/>
      <c r="AG2135" s="69"/>
      <c r="AH2135" s="69"/>
      <c r="AI2135" s="69"/>
      <c r="AJ2135" s="69"/>
      <c r="AK2135" s="69"/>
      <c r="AL2135" s="69"/>
      <c r="AM2135" s="69"/>
      <c r="AN2135" s="69"/>
      <c r="AO2135" s="69"/>
      <c r="AP2135" s="69"/>
      <c r="AQ2135" s="69"/>
      <c r="AR2135" s="69"/>
      <c r="AS2135" s="69"/>
      <c r="AT2135" s="69"/>
      <c r="AU2135" s="69"/>
      <c r="AV2135" s="69"/>
      <c r="AW2135" s="69"/>
      <c r="AX2135" s="69"/>
      <c r="AY2135" s="69"/>
      <c r="AZ2135" s="69"/>
      <c r="BA2135" s="69"/>
      <c r="BB2135" s="69"/>
      <c r="BC2135" s="69"/>
    </row>
    <row r="2136">
      <c r="A2136" s="68"/>
      <c r="B2136" s="68"/>
      <c r="C2136" s="68"/>
      <c r="D2136" s="68"/>
      <c r="E2136" s="68"/>
      <c r="F2136" s="68"/>
      <c r="G2136" s="68"/>
      <c r="H2136" s="68"/>
      <c r="I2136" s="69"/>
      <c r="J2136" s="69"/>
      <c r="K2136" s="71"/>
      <c r="L2136" s="69"/>
      <c r="M2136" s="69"/>
      <c r="N2136" s="72"/>
      <c r="O2136" s="69"/>
      <c r="P2136" s="69"/>
      <c r="Q2136" s="69"/>
      <c r="R2136" s="69"/>
      <c r="S2136" s="69"/>
      <c r="T2136" s="69"/>
      <c r="U2136" s="69"/>
      <c r="V2136" s="69"/>
      <c r="W2136" s="69"/>
      <c r="X2136" s="69"/>
      <c r="Y2136" s="69"/>
      <c r="Z2136" s="69"/>
      <c r="AA2136" s="69"/>
      <c r="AB2136" s="69"/>
      <c r="AC2136" s="69"/>
      <c r="AD2136" s="69"/>
      <c r="AE2136" s="69"/>
      <c r="AF2136" s="69"/>
      <c r="AG2136" s="69"/>
      <c r="AH2136" s="69"/>
      <c r="AI2136" s="69"/>
      <c r="AJ2136" s="69"/>
      <c r="AK2136" s="69"/>
      <c r="AL2136" s="69"/>
      <c r="AM2136" s="69"/>
      <c r="AN2136" s="69"/>
      <c r="AO2136" s="69"/>
      <c r="AP2136" s="69"/>
      <c r="AQ2136" s="69"/>
      <c r="AR2136" s="69"/>
      <c r="AS2136" s="69"/>
      <c r="AT2136" s="69"/>
      <c r="AU2136" s="69"/>
      <c r="AV2136" s="69"/>
      <c r="AW2136" s="69"/>
      <c r="AX2136" s="69"/>
      <c r="AY2136" s="69"/>
      <c r="AZ2136" s="69"/>
      <c r="BA2136" s="69"/>
      <c r="BB2136" s="69"/>
      <c r="BC2136" s="69"/>
    </row>
    <row r="2137">
      <c r="A2137" s="68"/>
      <c r="B2137" s="68"/>
      <c r="C2137" s="68"/>
      <c r="D2137" s="68"/>
      <c r="E2137" s="68"/>
      <c r="F2137" s="68"/>
      <c r="G2137" s="68"/>
      <c r="H2137" s="68"/>
      <c r="I2137" s="69"/>
      <c r="J2137" s="69"/>
      <c r="K2137" s="71"/>
      <c r="L2137" s="69"/>
      <c r="M2137" s="69"/>
      <c r="N2137" s="72"/>
      <c r="O2137" s="69"/>
      <c r="P2137" s="69"/>
      <c r="Q2137" s="69"/>
      <c r="R2137" s="69"/>
      <c r="S2137" s="69"/>
      <c r="T2137" s="69"/>
      <c r="U2137" s="69"/>
      <c r="V2137" s="69"/>
      <c r="W2137" s="69"/>
      <c r="X2137" s="69"/>
      <c r="Y2137" s="69"/>
      <c r="Z2137" s="69"/>
      <c r="AA2137" s="69"/>
      <c r="AB2137" s="69"/>
      <c r="AC2137" s="69"/>
      <c r="AD2137" s="69"/>
      <c r="AE2137" s="69"/>
      <c r="AF2137" s="69"/>
      <c r="AG2137" s="69"/>
      <c r="AH2137" s="69"/>
      <c r="AI2137" s="69"/>
      <c r="AJ2137" s="69"/>
      <c r="AK2137" s="69"/>
      <c r="AL2137" s="69"/>
      <c r="AM2137" s="69"/>
      <c r="AN2137" s="69"/>
      <c r="AO2137" s="69"/>
      <c r="AP2137" s="69"/>
      <c r="AQ2137" s="69"/>
      <c r="AR2137" s="69"/>
      <c r="AS2137" s="69"/>
      <c r="AT2137" s="69"/>
      <c r="AU2137" s="69"/>
      <c r="AV2137" s="69"/>
      <c r="AW2137" s="69"/>
      <c r="AX2137" s="69"/>
      <c r="AY2137" s="69"/>
      <c r="AZ2137" s="69"/>
      <c r="BA2137" s="69"/>
      <c r="BB2137" s="69"/>
      <c r="BC2137" s="69"/>
    </row>
    <row r="2138">
      <c r="A2138" s="68"/>
      <c r="B2138" s="68"/>
      <c r="C2138" s="68"/>
      <c r="D2138" s="68"/>
      <c r="E2138" s="68"/>
      <c r="F2138" s="68"/>
      <c r="G2138" s="68"/>
      <c r="H2138" s="68"/>
      <c r="I2138" s="69"/>
      <c r="J2138" s="69"/>
      <c r="K2138" s="71"/>
      <c r="L2138" s="69"/>
      <c r="M2138" s="69"/>
      <c r="N2138" s="72"/>
      <c r="O2138" s="69"/>
      <c r="P2138" s="69"/>
      <c r="Q2138" s="69"/>
      <c r="R2138" s="69"/>
      <c r="S2138" s="69"/>
      <c r="T2138" s="69"/>
      <c r="U2138" s="69"/>
      <c r="V2138" s="69"/>
      <c r="W2138" s="69"/>
      <c r="X2138" s="69"/>
      <c r="Y2138" s="69"/>
      <c r="Z2138" s="69"/>
      <c r="AA2138" s="69"/>
      <c r="AB2138" s="69"/>
      <c r="AC2138" s="69"/>
      <c r="AD2138" s="69"/>
      <c r="AE2138" s="69"/>
      <c r="AF2138" s="69"/>
      <c r="AG2138" s="69"/>
      <c r="AH2138" s="69"/>
      <c r="AI2138" s="69"/>
      <c r="AJ2138" s="69"/>
      <c r="AK2138" s="69"/>
      <c r="AL2138" s="69"/>
      <c r="AM2138" s="69"/>
      <c r="AN2138" s="69"/>
      <c r="AO2138" s="69"/>
      <c r="AP2138" s="69"/>
      <c r="AQ2138" s="69"/>
      <c r="AR2138" s="69"/>
      <c r="AS2138" s="69"/>
      <c r="AT2138" s="69"/>
      <c r="AU2138" s="69"/>
      <c r="AV2138" s="69"/>
      <c r="AW2138" s="69"/>
      <c r="AX2138" s="69"/>
      <c r="AY2138" s="69"/>
      <c r="AZ2138" s="69"/>
      <c r="BA2138" s="69"/>
      <c r="BB2138" s="69"/>
      <c r="BC2138" s="69"/>
    </row>
    <row r="2139">
      <c r="A2139" s="68"/>
      <c r="B2139" s="68"/>
      <c r="C2139" s="68"/>
      <c r="D2139" s="68"/>
      <c r="E2139" s="68"/>
      <c r="F2139" s="68"/>
      <c r="G2139" s="68"/>
      <c r="H2139" s="68"/>
      <c r="I2139" s="69"/>
      <c r="J2139" s="69"/>
      <c r="K2139" s="71"/>
      <c r="L2139" s="69"/>
      <c r="M2139" s="69"/>
      <c r="N2139" s="72"/>
      <c r="O2139" s="69"/>
      <c r="P2139" s="69"/>
      <c r="Q2139" s="69"/>
      <c r="R2139" s="69"/>
      <c r="S2139" s="69"/>
      <c r="T2139" s="69"/>
      <c r="U2139" s="69"/>
      <c r="V2139" s="69"/>
      <c r="W2139" s="69"/>
      <c r="X2139" s="69"/>
      <c r="Y2139" s="69"/>
      <c r="Z2139" s="69"/>
      <c r="AA2139" s="69"/>
      <c r="AB2139" s="69"/>
      <c r="AC2139" s="69"/>
      <c r="AD2139" s="69"/>
      <c r="AE2139" s="69"/>
      <c r="AF2139" s="69"/>
      <c r="AG2139" s="69"/>
      <c r="AH2139" s="69"/>
      <c r="AI2139" s="69"/>
      <c r="AJ2139" s="69"/>
      <c r="AK2139" s="69"/>
      <c r="AL2139" s="69"/>
      <c r="AM2139" s="69"/>
      <c r="AN2139" s="69"/>
      <c r="AO2139" s="69"/>
      <c r="AP2139" s="69"/>
      <c r="AQ2139" s="69"/>
      <c r="AR2139" s="69"/>
      <c r="AS2139" s="69"/>
      <c r="AT2139" s="69"/>
      <c r="AU2139" s="69"/>
      <c r="AV2139" s="69"/>
      <c r="AW2139" s="69"/>
      <c r="AX2139" s="69"/>
      <c r="AY2139" s="69"/>
      <c r="AZ2139" s="69"/>
      <c r="BA2139" s="69"/>
      <c r="BB2139" s="69"/>
      <c r="BC2139" s="69"/>
    </row>
    <row r="2140">
      <c r="A2140" s="68"/>
      <c r="B2140" s="68"/>
      <c r="C2140" s="68"/>
      <c r="D2140" s="68"/>
      <c r="E2140" s="68"/>
      <c r="F2140" s="68"/>
      <c r="G2140" s="68"/>
      <c r="H2140" s="68"/>
      <c r="I2140" s="69"/>
      <c r="J2140" s="69"/>
      <c r="K2140" s="71"/>
      <c r="L2140" s="69"/>
      <c r="M2140" s="69"/>
      <c r="N2140" s="72"/>
      <c r="O2140" s="69"/>
      <c r="P2140" s="69"/>
      <c r="Q2140" s="69"/>
      <c r="R2140" s="69"/>
      <c r="S2140" s="69"/>
      <c r="T2140" s="69"/>
      <c r="U2140" s="69"/>
      <c r="V2140" s="69"/>
      <c r="W2140" s="69"/>
      <c r="X2140" s="69"/>
      <c r="Y2140" s="69"/>
      <c r="Z2140" s="69"/>
      <c r="AA2140" s="69"/>
      <c r="AB2140" s="69"/>
      <c r="AC2140" s="69"/>
      <c r="AD2140" s="69"/>
      <c r="AE2140" s="69"/>
      <c r="AF2140" s="69"/>
      <c r="AG2140" s="69"/>
      <c r="AH2140" s="69"/>
      <c r="AI2140" s="69"/>
      <c r="AJ2140" s="69"/>
      <c r="AK2140" s="69"/>
      <c r="AL2140" s="69"/>
      <c r="AM2140" s="69"/>
      <c r="AN2140" s="69"/>
      <c r="AO2140" s="69"/>
      <c r="AP2140" s="69"/>
      <c r="AQ2140" s="69"/>
      <c r="AR2140" s="69"/>
      <c r="AS2140" s="69"/>
      <c r="AT2140" s="69"/>
      <c r="AU2140" s="69"/>
      <c r="AV2140" s="69"/>
      <c r="AW2140" s="69"/>
      <c r="AX2140" s="69"/>
      <c r="AY2140" s="69"/>
      <c r="AZ2140" s="69"/>
      <c r="BA2140" s="69"/>
      <c r="BB2140" s="69"/>
      <c r="BC2140" s="69"/>
    </row>
    <row r="2141">
      <c r="A2141" s="68"/>
      <c r="B2141" s="68"/>
      <c r="C2141" s="68"/>
      <c r="D2141" s="68"/>
      <c r="E2141" s="68"/>
      <c r="F2141" s="68"/>
      <c r="G2141" s="68"/>
      <c r="H2141" s="68"/>
      <c r="I2141" s="69"/>
      <c r="J2141" s="69"/>
      <c r="K2141" s="71"/>
      <c r="L2141" s="69"/>
      <c r="M2141" s="69"/>
      <c r="N2141" s="72"/>
      <c r="O2141" s="69"/>
      <c r="P2141" s="69"/>
      <c r="Q2141" s="69"/>
      <c r="R2141" s="69"/>
      <c r="S2141" s="69"/>
      <c r="T2141" s="69"/>
      <c r="U2141" s="69"/>
      <c r="V2141" s="69"/>
      <c r="W2141" s="69"/>
      <c r="X2141" s="69"/>
      <c r="Y2141" s="69"/>
      <c r="Z2141" s="69"/>
      <c r="AA2141" s="69"/>
      <c r="AB2141" s="69"/>
      <c r="AC2141" s="69"/>
      <c r="AD2141" s="69"/>
      <c r="AE2141" s="69"/>
      <c r="AF2141" s="69"/>
      <c r="AG2141" s="69"/>
      <c r="AH2141" s="69"/>
      <c r="AI2141" s="69"/>
      <c r="AJ2141" s="69"/>
      <c r="AK2141" s="69"/>
      <c r="AL2141" s="69"/>
      <c r="AM2141" s="69"/>
      <c r="AN2141" s="69"/>
      <c r="AO2141" s="69"/>
      <c r="AP2141" s="69"/>
      <c r="AQ2141" s="69"/>
      <c r="AR2141" s="69"/>
      <c r="AS2141" s="69"/>
      <c r="AT2141" s="69"/>
      <c r="AU2141" s="69"/>
      <c r="AV2141" s="69"/>
      <c r="AW2141" s="69"/>
      <c r="AX2141" s="69"/>
      <c r="AY2141" s="69"/>
      <c r="AZ2141" s="69"/>
      <c r="BA2141" s="69"/>
      <c r="BB2141" s="69"/>
      <c r="BC2141" s="69"/>
    </row>
    <row r="2142">
      <c r="A2142" s="68"/>
      <c r="B2142" s="68"/>
      <c r="C2142" s="68"/>
      <c r="D2142" s="68"/>
      <c r="E2142" s="68"/>
      <c r="F2142" s="68"/>
      <c r="G2142" s="68"/>
      <c r="H2142" s="68"/>
      <c r="I2142" s="69"/>
      <c r="J2142" s="69"/>
      <c r="K2142" s="71"/>
      <c r="L2142" s="69"/>
      <c r="M2142" s="69"/>
      <c r="N2142" s="72"/>
      <c r="O2142" s="69"/>
      <c r="P2142" s="69"/>
      <c r="Q2142" s="69"/>
      <c r="R2142" s="69"/>
      <c r="S2142" s="69"/>
      <c r="T2142" s="69"/>
      <c r="U2142" s="69"/>
      <c r="V2142" s="69"/>
      <c r="W2142" s="69"/>
      <c r="X2142" s="69"/>
      <c r="Y2142" s="69"/>
      <c r="Z2142" s="69"/>
      <c r="AA2142" s="69"/>
      <c r="AB2142" s="69"/>
      <c r="AC2142" s="69"/>
      <c r="AD2142" s="69"/>
      <c r="AE2142" s="69"/>
      <c r="AF2142" s="69"/>
      <c r="AG2142" s="69"/>
      <c r="AH2142" s="69"/>
      <c r="AI2142" s="69"/>
      <c r="AJ2142" s="69"/>
      <c r="AK2142" s="69"/>
      <c r="AL2142" s="69"/>
      <c r="AM2142" s="69"/>
      <c r="AN2142" s="69"/>
      <c r="AO2142" s="69"/>
      <c r="AP2142" s="69"/>
      <c r="AQ2142" s="69"/>
      <c r="AR2142" s="69"/>
      <c r="AS2142" s="69"/>
      <c r="AT2142" s="69"/>
      <c r="AU2142" s="69"/>
      <c r="AV2142" s="69"/>
      <c r="AW2142" s="69"/>
      <c r="AX2142" s="69"/>
      <c r="AY2142" s="69"/>
      <c r="AZ2142" s="69"/>
      <c r="BA2142" s="69"/>
      <c r="BB2142" s="69"/>
      <c r="BC2142" s="69"/>
    </row>
    <row r="2143">
      <c r="A2143" s="68"/>
      <c r="B2143" s="68"/>
      <c r="C2143" s="68"/>
      <c r="D2143" s="68"/>
      <c r="E2143" s="68"/>
      <c r="F2143" s="68"/>
      <c r="G2143" s="68"/>
      <c r="H2143" s="68"/>
      <c r="I2143" s="69"/>
      <c r="J2143" s="69"/>
      <c r="K2143" s="71"/>
      <c r="L2143" s="69"/>
      <c r="M2143" s="69"/>
      <c r="N2143" s="72"/>
      <c r="O2143" s="69"/>
      <c r="P2143" s="69"/>
      <c r="Q2143" s="69"/>
      <c r="R2143" s="69"/>
      <c r="S2143" s="69"/>
      <c r="T2143" s="69"/>
      <c r="U2143" s="69"/>
      <c r="V2143" s="69"/>
      <c r="W2143" s="69"/>
      <c r="X2143" s="69"/>
      <c r="Y2143" s="69"/>
      <c r="Z2143" s="69"/>
      <c r="AA2143" s="69"/>
      <c r="AB2143" s="69"/>
      <c r="AC2143" s="69"/>
      <c r="AD2143" s="69"/>
      <c r="AE2143" s="69"/>
      <c r="AF2143" s="69"/>
      <c r="AG2143" s="69"/>
      <c r="AH2143" s="69"/>
      <c r="AI2143" s="69"/>
      <c r="AJ2143" s="69"/>
      <c r="AK2143" s="69"/>
      <c r="AL2143" s="69"/>
      <c r="AM2143" s="69"/>
      <c r="AN2143" s="69"/>
      <c r="AO2143" s="69"/>
      <c r="AP2143" s="69"/>
      <c r="AQ2143" s="69"/>
      <c r="AR2143" s="69"/>
      <c r="AS2143" s="69"/>
      <c r="AT2143" s="69"/>
      <c r="AU2143" s="69"/>
      <c r="AV2143" s="69"/>
      <c r="AW2143" s="69"/>
      <c r="AX2143" s="69"/>
      <c r="AY2143" s="69"/>
      <c r="AZ2143" s="69"/>
      <c r="BA2143" s="69"/>
      <c r="BB2143" s="69"/>
      <c r="BC2143" s="69"/>
    </row>
    <row r="2144">
      <c r="A2144" s="68"/>
      <c r="B2144" s="68"/>
      <c r="C2144" s="68"/>
      <c r="D2144" s="68"/>
      <c r="E2144" s="68"/>
      <c r="F2144" s="68"/>
      <c r="G2144" s="68"/>
      <c r="H2144" s="68"/>
      <c r="I2144" s="69"/>
      <c r="J2144" s="69"/>
      <c r="K2144" s="71"/>
      <c r="L2144" s="69"/>
      <c r="M2144" s="69"/>
      <c r="N2144" s="72"/>
      <c r="O2144" s="69"/>
      <c r="P2144" s="69"/>
      <c r="Q2144" s="69"/>
      <c r="R2144" s="69"/>
      <c r="S2144" s="69"/>
      <c r="T2144" s="69"/>
      <c r="U2144" s="69"/>
      <c r="V2144" s="69"/>
      <c r="W2144" s="69"/>
      <c r="X2144" s="69"/>
      <c r="Y2144" s="69"/>
      <c r="Z2144" s="69"/>
      <c r="AA2144" s="69"/>
      <c r="AB2144" s="69"/>
      <c r="AC2144" s="69"/>
      <c r="AD2144" s="69"/>
      <c r="AE2144" s="69"/>
      <c r="AF2144" s="69"/>
      <c r="AG2144" s="69"/>
      <c r="AH2144" s="69"/>
      <c r="AI2144" s="69"/>
      <c r="AJ2144" s="69"/>
      <c r="AK2144" s="69"/>
      <c r="AL2144" s="69"/>
      <c r="AM2144" s="69"/>
      <c r="AN2144" s="69"/>
      <c r="AO2144" s="69"/>
      <c r="AP2144" s="69"/>
      <c r="AQ2144" s="69"/>
      <c r="AR2144" s="69"/>
      <c r="AS2144" s="69"/>
      <c r="AT2144" s="69"/>
      <c r="AU2144" s="69"/>
      <c r="AV2144" s="69"/>
      <c r="AW2144" s="69"/>
      <c r="AX2144" s="69"/>
      <c r="AY2144" s="69"/>
      <c r="AZ2144" s="69"/>
      <c r="BA2144" s="69"/>
      <c r="BB2144" s="69"/>
      <c r="BC2144" s="69"/>
    </row>
    <row r="2145">
      <c r="A2145" s="68"/>
      <c r="B2145" s="68"/>
      <c r="C2145" s="68"/>
      <c r="D2145" s="68"/>
      <c r="E2145" s="68"/>
      <c r="F2145" s="68"/>
      <c r="G2145" s="68"/>
      <c r="H2145" s="68"/>
      <c r="I2145" s="69"/>
      <c r="J2145" s="69"/>
      <c r="K2145" s="71"/>
      <c r="L2145" s="69"/>
      <c r="M2145" s="69"/>
      <c r="N2145" s="72"/>
      <c r="O2145" s="69"/>
      <c r="P2145" s="69"/>
      <c r="Q2145" s="69"/>
      <c r="R2145" s="69"/>
      <c r="S2145" s="69"/>
      <c r="T2145" s="69"/>
      <c r="U2145" s="69"/>
      <c r="V2145" s="69"/>
      <c r="W2145" s="69"/>
      <c r="X2145" s="69"/>
      <c r="Y2145" s="69"/>
      <c r="Z2145" s="69"/>
      <c r="AA2145" s="69"/>
      <c r="AB2145" s="69"/>
      <c r="AC2145" s="69"/>
      <c r="AD2145" s="69"/>
      <c r="AE2145" s="69"/>
      <c r="AF2145" s="69"/>
      <c r="AG2145" s="69"/>
      <c r="AH2145" s="69"/>
      <c r="AI2145" s="69"/>
      <c r="AJ2145" s="69"/>
      <c r="AK2145" s="69"/>
      <c r="AL2145" s="69"/>
      <c r="AM2145" s="69"/>
      <c r="AN2145" s="69"/>
      <c r="AO2145" s="69"/>
      <c r="AP2145" s="69"/>
      <c r="AQ2145" s="69"/>
      <c r="AR2145" s="69"/>
      <c r="AS2145" s="69"/>
      <c r="AT2145" s="69"/>
      <c r="AU2145" s="69"/>
      <c r="AV2145" s="69"/>
      <c r="AW2145" s="69"/>
      <c r="AX2145" s="69"/>
      <c r="AY2145" s="69"/>
      <c r="AZ2145" s="69"/>
      <c r="BA2145" s="69"/>
      <c r="BB2145" s="69"/>
      <c r="BC2145" s="69"/>
    </row>
    <row r="2146">
      <c r="A2146" s="68"/>
      <c r="B2146" s="68"/>
      <c r="C2146" s="68"/>
      <c r="D2146" s="68"/>
      <c r="E2146" s="68"/>
      <c r="F2146" s="68"/>
      <c r="G2146" s="68"/>
      <c r="H2146" s="68"/>
      <c r="I2146" s="69"/>
      <c r="J2146" s="69"/>
      <c r="K2146" s="71"/>
      <c r="L2146" s="69"/>
      <c r="M2146" s="69"/>
      <c r="N2146" s="72"/>
      <c r="O2146" s="69"/>
      <c r="P2146" s="69"/>
      <c r="Q2146" s="69"/>
      <c r="R2146" s="69"/>
      <c r="S2146" s="69"/>
      <c r="T2146" s="69"/>
      <c r="U2146" s="69"/>
      <c r="V2146" s="69"/>
      <c r="W2146" s="69"/>
      <c r="X2146" s="69"/>
      <c r="Y2146" s="69"/>
      <c r="Z2146" s="69"/>
      <c r="AA2146" s="69"/>
      <c r="AB2146" s="69"/>
      <c r="AC2146" s="69"/>
      <c r="AD2146" s="69"/>
      <c r="AE2146" s="69"/>
      <c r="AF2146" s="69"/>
      <c r="AG2146" s="69"/>
      <c r="AH2146" s="69"/>
      <c r="AI2146" s="69"/>
      <c r="AJ2146" s="69"/>
      <c r="AK2146" s="69"/>
      <c r="AL2146" s="69"/>
      <c r="AM2146" s="69"/>
      <c r="AN2146" s="69"/>
      <c r="AO2146" s="69"/>
      <c r="AP2146" s="69"/>
      <c r="AQ2146" s="69"/>
      <c r="AR2146" s="69"/>
      <c r="AS2146" s="69"/>
      <c r="AT2146" s="69"/>
      <c r="AU2146" s="69"/>
      <c r="AV2146" s="69"/>
      <c r="AW2146" s="69"/>
      <c r="AX2146" s="69"/>
      <c r="AY2146" s="69"/>
      <c r="AZ2146" s="69"/>
      <c r="BA2146" s="69"/>
      <c r="BB2146" s="69"/>
      <c r="BC2146" s="69"/>
    </row>
    <row r="2147">
      <c r="A2147" s="68"/>
      <c r="B2147" s="68"/>
      <c r="C2147" s="68"/>
      <c r="D2147" s="68"/>
      <c r="E2147" s="68"/>
      <c r="F2147" s="68"/>
      <c r="G2147" s="68"/>
      <c r="H2147" s="68"/>
      <c r="I2147" s="69"/>
      <c r="J2147" s="69"/>
      <c r="K2147" s="71"/>
      <c r="L2147" s="69"/>
      <c r="M2147" s="69"/>
      <c r="N2147" s="72"/>
      <c r="O2147" s="69"/>
      <c r="P2147" s="69"/>
      <c r="Q2147" s="69"/>
      <c r="R2147" s="69"/>
      <c r="S2147" s="69"/>
      <c r="T2147" s="69"/>
      <c r="U2147" s="69"/>
      <c r="V2147" s="69"/>
      <c r="W2147" s="69"/>
      <c r="X2147" s="69"/>
      <c r="Y2147" s="69"/>
      <c r="Z2147" s="69"/>
      <c r="AA2147" s="69"/>
      <c r="AB2147" s="69"/>
      <c r="AC2147" s="69"/>
      <c r="AD2147" s="69"/>
      <c r="AE2147" s="69"/>
      <c r="AF2147" s="69"/>
      <c r="AG2147" s="69"/>
      <c r="AH2147" s="69"/>
      <c r="AI2147" s="69"/>
      <c r="AJ2147" s="69"/>
      <c r="AK2147" s="69"/>
      <c r="AL2147" s="69"/>
      <c r="AM2147" s="69"/>
      <c r="AN2147" s="69"/>
      <c r="AO2147" s="69"/>
      <c r="AP2147" s="69"/>
      <c r="AQ2147" s="69"/>
      <c r="AR2147" s="69"/>
      <c r="AS2147" s="69"/>
      <c r="AT2147" s="69"/>
      <c r="AU2147" s="69"/>
      <c r="AV2147" s="69"/>
      <c r="AW2147" s="69"/>
      <c r="AX2147" s="69"/>
      <c r="AY2147" s="69"/>
      <c r="AZ2147" s="69"/>
      <c r="BA2147" s="69"/>
      <c r="BB2147" s="69"/>
      <c r="BC2147" s="69"/>
    </row>
    <row r="2148">
      <c r="A2148" s="68"/>
      <c r="B2148" s="68"/>
      <c r="C2148" s="68"/>
      <c r="D2148" s="68"/>
      <c r="E2148" s="68"/>
      <c r="F2148" s="68"/>
      <c r="G2148" s="68"/>
      <c r="H2148" s="68"/>
      <c r="I2148" s="69"/>
      <c r="J2148" s="69"/>
      <c r="K2148" s="71"/>
      <c r="L2148" s="69"/>
      <c r="M2148" s="69"/>
      <c r="N2148" s="72"/>
      <c r="O2148" s="69"/>
      <c r="P2148" s="69"/>
      <c r="Q2148" s="69"/>
      <c r="R2148" s="69"/>
      <c r="S2148" s="69"/>
      <c r="T2148" s="69"/>
      <c r="U2148" s="69"/>
      <c r="V2148" s="69"/>
      <c r="W2148" s="69"/>
      <c r="X2148" s="69"/>
      <c r="Y2148" s="69"/>
      <c r="Z2148" s="69"/>
      <c r="AA2148" s="69"/>
      <c r="AB2148" s="69"/>
      <c r="AC2148" s="69"/>
      <c r="AD2148" s="69"/>
      <c r="AE2148" s="69"/>
      <c r="AF2148" s="69"/>
      <c r="AG2148" s="69"/>
      <c r="AH2148" s="69"/>
      <c r="AI2148" s="69"/>
      <c r="AJ2148" s="69"/>
      <c r="AK2148" s="69"/>
      <c r="AL2148" s="69"/>
      <c r="AM2148" s="69"/>
      <c r="AN2148" s="69"/>
      <c r="AO2148" s="69"/>
      <c r="AP2148" s="69"/>
      <c r="AQ2148" s="69"/>
      <c r="AR2148" s="69"/>
      <c r="AS2148" s="69"/>
      <c r="AT2148" s="69"/>
      <c r="AU2148" s="69"/>
      <c r="AV2148" s="69"/>
      <c r="AW2148" s="69"/>
      <c r="AX2148" s="69"/>
      <c r="AY2148" s="69"/>
      <c r="AZ2148" s="69"/>
      <c r="BA2148" s="69"/>
      <c r="BB2148" s="69"/>
      <c r="BC2148" s="69"/>
    </row>
    <row r="2149">
      <c r="A2149" s="68"/>
      <c r="B2149" s="68"/>
      <c r="C2149" s="68"/>
      <c r="D2149" s="68"/>
      <c r="E2149" s="68"/>
      <c r="F2149" s="68"/>
      <c r="G2149" s="68"/>
      <c r="H2149" s="68"/>
      <c r="I2149" s="69"/>
      <c r="J2149" s="69"/>
      <c r="K2149" s="71"/>
      <c r="L2149" s="69"/>
      <c r="M2149" s="69"/>
      <c r="N2149" s="72"/>
      <c r="O2149" s="69"/>
      <c r="P2149" s="69"/>
      <c r="Q2149" s="69"/>
      <c r="R2149" s="69"/>
      <c r="S2149" s="69"/>
      <c r="T2149" s="69"/>
      <c r="U2149" s="69"/>
      <c r="V2149" s="69"/>
      <c r="W2149" s="69"/>
      <c r="X2149" s="69"/>
      <c r="Y2149" s="69"/>
      <c r="Z2149" s="69"/>
      <c r="AA2149" s="69"/>
      <c r="AB2149" s="69"/>
      <c r="AC2149" s="69"/>
      <c r="AD2149" s="69"/>
      <c r="AE2149" s="69"/>
      <c r="AF2149" s="69"/>
      <c r="AG2149" s="69"/>
      <c r="AH2149" s="69"/>
      <c r="AI2149" s="69"/>
      <c r="AJ2149" s="69"/>
      <c r="AK2149" s="69"/>
      <c r="AL2149" s="69"/>
      <c r="AM2149" s="69"/>
      <c r="AN2149" s="69"/>
      <c r="AO2149" s="69"/>
      <c r="AP2149" s="69"/>
      <c r="AQ2149" s="69"/>
      <c r="AR2149" s="69"/>
      <c r="AS2149" s="69"/>
      <c r="AT2149" s="69"/>
      <c r="AU2149" s="69"/>
      <c r="AV2149" s="69"/>
      <c r="AW2149" s="69"/>
      <c r="AX2149" s="69"/>
      <c r="AY2149" s="69"/>
      <c r="AZ2149" s="69"/>
      <c r="BA2149" s="69"/>
      <c r="BB2149" s="69"/>
      <c r="BC2149" s="69"/>
    </row>
    <row r="2150">
      <c r="A2150" s="68"/>
      <c r="B2150" s="68"/>
      <c r="C2150" s="68"/>
      <c r="D2150" s="68"/>
      <c r="E2150" s="68"/>
      <c r="F2150" s="68"/>
      <c r="G2150" s="68"/>
      <c r="H2150" s="68"/>
      <c r="I2150" s="69"/>
      <c r="J2150" s="69"/>
      <c r="K2150" s="71"/>
      <c r="L2150" s="69"/>
      <c r="M2150" s="69"/>
      <c r="N2150" s="72"/>
      <c r="O2150" s="69"/>
      <c r="P2150" s="69"/>
      <c r="Q2150" s="69"/>
      <c r="R2150" s="69"/>
      <c r="S2150" s="69"/>
      <c r="T2150" s="69"/>
      <c r="U2150" s="69"/>
      <c r="V2150" s="69"/>
      <c r="W2150" s="69"/>
      <c r="X2150" s="69"/>
      <c r="Y2150" s="69"/>
      <c r="Z2150" s="69"/>
      <c r="AA2150" s="69"/>
      <c r="AB2150" s="69"/>
      <c r="AC2150" s="69"/>
      <c r="AD2150" s="69"/>
      <c r="AE2150" s="69"/>
      <c r="AF2150" s="69"/>
      <c r="AG2150" s="69"/>
      <c r="AH2150" s="69"/>
      <c r="AI2150" s="69"/>
      <c r="AJ2150" s="69"/>
      <c r="AK2150" s="69"/>
      <c r="AL2150" s="69"/>
      <c r="AM2150" s="69"/>
      <c r="AN2150" s="69"/>
      <c r="AO2150" s="69"/>
      <c r="AP2150" s="69"/>
      <c r="AQ2150" s="69"/>
      <c r="AR2150" s="69"/>
      <c r="AS2150" s="69"/>
      <c r="AT2150" s="69"/>
      <c r="AU2150" s="69"/>
      <c r="AV2150" s="69"/>
      <c r="AW2150" s="69"/>
      <c r="AX2150" s="69"/>
      <c r="AY2150" s="69"/>
      <c r="AZ2150" s="69"/>
      <c r="BA2150" s="69"/>
      <c r="BB2150" s="69"/>
      <c r="BC2150" s="69"/>
    </row>
    <row r="2151">
      <c r="A2151" s="68"/>
      <c r="B2151" s="68"/>
      <c r="C2151" s="68"/>
      <c r="D2151" s="68"/>
      <c r="E2151" s="68"/>
      <c r="F2151" s="68"/>
      <c r="G2151" s="68"/>
      <c r="H2151" s="68"/>
      <c r="I2151" s="69"/>
      <c r="J2151" s="69"/>
      <c r="K2151" s="71"/>
      <c r="L2151" s="69"/>
      <c r="M2151" s="69"/>
      <c r="N2151" s="72"/>
      <c r="O2151" s="69"/>
      <c r="P2151" s="69"/>
      <c r="Q2151" s="69"/>
      <c r="R2151" s="69"/>
      <c r="S2151" s="69"/>
      <c r="T2151" s="69"/>
      <c r="U2151" s="69"/>
      <c r="V2151" s="69"/>
      <c r="W2151" s="69"/>
      <c r="X2151" s="69"/>
      <c r="Y2151" s="69"/>
      <c r="Z2151" s="69"/>
      <c r="AA2151" s="69"/>
      <c r="AB2151" s="69"/>
      <c r="AC2151" s="69"/>
      <c r="AD2151" s="69"/>
      <c r="AE2151" s="69"/>
      <c r="AF2151" s="69"/>
      <c r="AG2151" s="69"/>
      <c r="AH2151" s="69"/>
      <c r="AI2151" s="69"/>
      <c r="AJ2151" s="69"/>
      <c r="AK2151" s="69"/>
      <c r="AL2151" s="69"/>
      <c r="AM2151" s="69"/>
      <c r="AN2151" s="69"/>
      <c r="AO2151" s="69"/>
      <c r="AP2151" s="69"/>
      <c r="AQ2151" s="69"/>
      <c r="AR2151" s="69"/>
      <c r="AS2151" s="69"/>
      <c r="AT2151" s="69"/>
      <c r="AU2151" s="69"/>
      <c r="AV2151" s="69"/>
      <c r="AW2151" s="69"/>
      <c r="AX2151" s="69"/>
      <c r="AY2151" s="69"/>
      <c r="AZ2151" s="69"/>
      <c r="BA2151" s="69"/>
      <c r="BB2151" s="69"/>
      <c r="BC2151" s="69"/>
    </row>
    <row r="2152">
      <c r="A2152" s="68"/>
      <c r="B2152" s="68"/>
      <c r="C2152" s="68"/>
      <c r="D2152" s="68"/>
      <c r="E2152" s="68"/>
      <c r="F2152" s="68"/>
      <c r="G2152" s="68"/>
      <c r="H2152" s="68"/>
      <c r="I2152" s="69"/>
      <c r="J2152" s="69"/>
      <c r="K2152" s="71"/>
      <c r="L2152" s="69"/>
      <c r="M2152" s="69"/>
      <c r="N2152" s="72"/>
      <c r="O2152" s="69"/>
      <c r="P2152" s="69"/>
      <c r="Q2152" s="69"/>
      <c r="R2152" s="69"/>
      <c r="S2152" s="69"/>
      <c r="T2152" s="69"/>
      <c r="U2152" s="69"/>
      <c r="V2152" s="69"/>
      <c r="W2152" s="69"/>
      <c r="X2152" s="69"/>
      <c r="Y2152" s="69"/>
      <c r="Z2152" s="69"/>
      <c r="AA2152" s="69"/>
      <c r="AB2152" s="69"/>
      <c r="AC2152" s="69"/>
      <c r="AD2152" s="69"/>
      <c r="AE2152" s="69"/>
      <c r="AF2152" s="69"/>
      <c r="AG2152" s="69"/>
      <c r="AH2152" s="69"/>
      <c r="AI2152" s="69"/>
      <c r="AJ2152" s="69"/>
      <c r="AK2152" s="69"/>
      <c r="AL2152" s="69"/>
      <c r="AM2152" s="69"/>
      <c r="AN2152" s="69"/>
      <c r="AO2152" s="69"/>
      <c r="AP2152" s="69"/>
      <c r="AQ2152" s="69"/>
      <c r="AR2152" s="69"/>
      <c r="AS2152" s="69"/>
      <c r="AT2152" s="69"/>
      <c r="AU2152" s="69"/>
      <c r="AV2152" s="69"/>
      <c r="AW2152" s="69"/>
      <c r="AX2152" s="69"/>
      <c r="AY2152" s="69"/>
      <c r="AZ2152" s="69"/>
      <c r="BA2152" s="69"/>
      <c r="BB2152" s="69"/>
      <c r="BC2152" s="69"/>
    </row>
    <row r="2153">
      <c r="A2153" s="68"/>
      <c r="B2153" s="68"/>
      <c r="C2153" s="68"/>
      <c r="D2153" s="68"/>
      <c r="E2153" s="68"/>
      <c r="F2153" s="68"/>
      <c r="G2153" s="68"/>
      <c r="H2153" s="68"/>
      <c r="I2153" s="69"/>
      <c r="J2153" s="69"/>
      <c r="K2153" s="71"/>
      <c r="L2153" s="69"/>
      <c r="M2153" s="69"/>
      <c r="N2153" s="72"/>
      <c r="O2153" s="69"/>
      <c r="P2153" s="69"/>
      <c r="Q2153" s="69"/>
      <c r="R2153" s="69"/>
      <c r="S2153" s="69"/>
      <c r="T2153" s="69"/>
      <c r="U2153" s="69"/>
      <c r="V2153" s="69"/>
      <c r="W2153" s="69"/>
      <c r="X2153" s="69"/>
      <c r="Y2153" s="69"/>
      <c r="Z2153" s="69"/>
      <c r="AA2153" s="69"/>
      <c r="AB2153" s="69"/>
      <c r="AC2153" s="69"/>
      <c r="AD2153" s="69"/>
      <c r="AE2153" s="69"/>
      <c r="AF2153" s="69"/>
      <c r="AG2153" s="69"/>
      <c r="AH2153" s="69"/>
      <c r="AI2153" s="69"/>
      <c r="AJ2153" s="69"/>
      <c r="AK2153" s="69"/>
      <c r="AL2153" s="69"/>
      <c r="AM2153" s="69"/>
      <c r="AN2153" s="69"/>
      <c r="AO2153" s="69"/>
      <c r="AP2153" s="69"/>
      <c r="AQ2153" s="69"/>
      <c r="AR2153" s="69"/>
      <c r="AS2153" s="69"/>
      <c r="AT2153" s="69"/>
      <c r="AU2153" s="69"/>
      <c r="AV2153" s="69"/>
      <c r="AW2153" s="69"/>
      <c r="AX2153" s="69"/>
      <c r="AY2153" s="69"/>
      <c r="AZ2153" s="69"/>
      <c r="BA2153" s="69"/>
      <c r="BB2153" s="69"/>
      <c r="BC2153" s="69"/>
    </row>
    <row r="2154">
      <c r="A2154" s="68"/>
      <c r="B2154" s="68"/>
      <c r="C2154" s="68"/>
      <c r="D2154" s="68"/>
      <c r="E2154" s="68"/>
      <c r="F2154" s="68"/>
      <c r="G2154" s="68"/>
      <c r="H2154" s="68"/>
      <c r="I2154" s="69"/>
      <c r="J2154" s="69"/>
      <c r="K2154" s="71"/>
      <c r="L2154" s="69"/>
      <c r="M2154" s="69"/>
      <c r="N2154" s="72"/>
      <c r="O2154" s="69"/>
      <c r="P2154" s="69"/>
      <c r="Q2154" s="69"/>
      <c r="R2154" s="69"/>
      <c r="S2154" s="69"/>
      <c r="T2154" s="69"/>
      <c r="U2154" s="69"/>
      <c r="V2154" s="69"/>
      <c r="W2154" s="69"/>
      <c r="X2154" s="69"/>
      <c r="Y2154" s="69"/>
      <c r="Z2154" s="69"/>
      <c r="AA2154" s="69"/>
      <c r="AB2154" s="69"/>
      <c r="AC2154" s="69"/>
      <c r="AD2154" s="69"/>
      <c r="AE2154" s="69"/>
      <c r="AF2154" s="69"/>
      <c r="AG2154" s="69"/>
      <c r="AH2154" s="69"/>
      <c r="AI2154" s="69"/>
      <c r="AJ2154" s="69"/>
      <c r="AK2154" s="69"/>
      <c r="AL2154" s="69"/>
      <c r="AM2154" s="69"/>
      <c r="AN2154" s="69"/>
      <c r="AO2154" s="69"/>
      <c r="AP2154" s="69"/>
      <c r="AQ2154" s="69"/>
      <c r="AR2154" s="69"/>
      <c r="AS2154" s="69"/>
      <c r="AT2154" s="69"/>
      <c r="AU2154" s="69"/>
      <c r="AV2154" s="69"/>
      <c r="AW2154" s="69"/>
      <c r="AX2154" s="69"/>
      <c r="AY2154" s="69"/>
      <c r="AZ2154" s="69"/>
      <c r="BA2154" s="69"/>
      <c r="BB2154" s="69"/>
      <c r="BC2154" s="69"/>
    </row>
    <row r="2155">
      <c r="A2155" s="68"/>
      <c r="B2155" s="68"/>
      <c r="C2155" s="68"/>
      <c r="D2155" s="68"/>
      <c r="E2155" s="68"/>
      <c r="F2155" s="68"/>
      <c r="G2155" s="68"/>
      <c r="H2155" s="68"/>
      <c r="I2155" s="69"/>
      <c r="J2155" s="69"/>
      <c r="K2155" s="71"/>
      <c r="L2155" s="69"/>
      <c r="M2155" s="69"/>
      <c r="N2155" s="72"/>
      <c r="O2155" s="69"/>
      <c r="P2155" s="69"/>
      <c r="Q2155" s="69"/>
      <c r="R2155" s="69"/>
      <c r="S2155" s="69"/>
      <c r="T2155" s="69"/>
      <c r="U2155" s="69"/>
      <c r="V2155" s="69"/>
      <c r="W2155" s="69"/>
      <c r="X2155" s="69"/>
      <c r="Y2155" s="69"/>
      <c r="Z2155" s="69"/>
      <c r="AA2155" s="69"/>
      <c r="AB2155" s="69"/>
      <c r="AC2155" s="69"/>
      <c r="AD2155" s="69"/>
      <c r="AE2155" s="69"/>
      <c r="AF2155" s="69"/>
      <c r="AG2155" s="69"/>
      <c r="AH2155" s="69"/>
      <c r="AI2155" s="69"/>
      <c r="AJ2155" s="69"/>
      <c r="AK2155" s="69"/>
      <c r="AL2155" s="69"/>
      <c r="AM2155" s="69"/>
      <c r="AN2155" s="69"/>
      <c r="AO2155" s="69"/>
      <c r="AP2155" s="69"/>
      <c r="AQ2155" s="69"/>
      <c r="AR2155" s="69"/>
      <c r="AS2155" s="69"/>
      <c r="AT2155" s="69"/>
      <c r="AU2155" s="69"/>
      <c r="AV2155" s="69"/>
      <c r="AW2155" s="69"/>
      <c r="AX2155" s="69"/>
      <c r="AY2155" s="69"/>
      <c r="AZ2155" s="69"/>
      <c r="BA2155" s="69"/>
      <c r="BB2155" s="69"/>
      <c r="BC2155" s="69"/>
    </row>
    <row r="2156">
      <c r="A2156" s="68"/>
      <c r="B2156" s="68"/>
      <c r="C2156" s="68"/>
      <c r="D2156" s="68"/>
      <c r="E2156" s="68"/>
      <c r="F2156" s="68"/>
      <c r="G2156" s="68"/>
      <c r="H2156" s="68"/>
      <c r="I2156" s="69"/>
      <c r="J2156" s="69"/>
      <c r="K2156" s="71"/>
      <c r="L2156" s="69"/>
      <c r="M2156" s="69"/>
      <c r="N2156" s="72"/>
      <c r="O2156" s="69"/>
      <c r="P2156" s="69"/>
      <c r="Q2156" s="69"/>
      <c r="R2156" s="69"/>
      <c r="S2156" s="69"/>
      <c r="T2156" s="69"/>
      <c r="U2156" s="69"/>
      <c r="V2156" s="69"/>
      <c r="W2156" s="69"/>
      <c r="X2156" s="69"/>
      <c r="Y2156" s="69"/>
      <c r="Z2156" s="69"/>
      <c r="AA2156" s="69"/>
      <c r="AB2156" s="69"/>
      <c r="AC2156" s="69"/>
      <c r="AD2156" s="69"/>
      <c r="AE2156" s="69"/>
      <c r="AF2156" s="69"/>
      <c r="AG2156" s="69"/>
      <c r="AH2156" s="69"/>
      <c r="AI2156" s="69"/>
      <c r="AJ2156" s="69"/>
      <c r="AK2156" s="69"/>
      <c r="AL2156" s="69"/>
      <c r="AM2156" s="69"/>
      <c r="AN2156" s="69"/>
      <c r="AO2156" s="69"/>
      <c r="AP2156" s="69"/>
      <c r="AQ2156" s="69"/>
      <c r="AR2156" s="69"/>
      <c r="AS2156" s="69"/>
      <c r="AT2156" s="69"/>
      <c r="AU2156" s="69"/>
      <c r="AV2156" s="69"/>
      <c r="AW2156" s="69"/>
      <c r="AX2156" s="69"/>
      <c r="AY2156" s="69"/>
      <c r="AZ2156" s="69"/>
      <c r="BA2156" s="69"/>
      <c r="BB2156" s="69"/>
      <c r="BC2156" s="69"/>
    </row>
    <row r="2157">
      <c r="A2157" s="68"/>
      <c r="B2157" s="68"/>
      <c r="C2157" s="68"/>
      <c r="D2157" s="68"/>
      <c r="E2157" s="68"/>
      <c r="F2157" s="68"/>
      <c r="G2157" s="68"/>
      <c r="H2157" s="68"/>
      <c r="I2157" s="69"/>
      <c r="J2157" s="69"/>
      <c r="K2157" s="71"/>
      <c r="L2157" s="69"/>
      <c r="M2157" s="69"/>
      <c r="N2157" s="72"/>
      <c r="O2157" s="69"/>
      <c r="P2157" s="69"/>
      <c r="Q2157" s="69"/>
      <c r="R2157" s="69"/>
      <c r="S2157" s="69"/>
      <c r="T2157" s="69"/>
      <c r="U2157" s="69"/>
      <c r="V2157" s="69"/>
      <c r="W2157" s="69"/>
      <c r="X2157" s="69"/>
      <c r="Y2157" s="69"/>
      <c r="Z2157" s="69"/>
      <c r="AA2157" s="69"/>
      <c r="AB2157" s="69"/>
      <c r="AC2157" s="69"/>
      <c r="AD2157" s="69"/>
      <c r="AE2157" s="69"/>
      <c r="AF2157" s="69"/>
      <c r="AG2157" s="69"/>
      <c r="AH2157" s="69"/>
      <c r="AI2157" s="69"/>
      <c r="AJ2157" s="69"/>
      <c r="AK2157" s="69"/>
      <c r="AL2157" s="69"/>
      <c r="AM2157" s="69"/>
      <c r="AN2157" s="69"/>
      <c r="AO2157" s="69"/>
      <c r="AP2157" s="69"/>
      <c r="AQ2157" s="69"/>
      <c r="AR2157" s="69"/>
      <c r="AS2157" s="69"/>
      <c r="AT2157" s="69"/>
      <c r="AU2157" s="69"/>
      <c r="AV2157" s="69"/>
      <c r="AW2157" s="69"/>
      <c r="AX2157" s="69"/>
      <c r="AY2157" s="69"/>
      <c r="AZ2157" s="69"/>
      <c r="BA2157" s="69"/>
      <c r="BB2157" s="69"/>
      <c r="BC2157" s="69"/>
    </row>
    <row r="2158">
      <c r="A2158" s="68"/>
      <c r="B2158" s="68"/>
      <c r="C2158" s="68"/>
      <c r="D2158" s="68"/>
      <c r="E2158" s="68"/>
      <c r="F2158" s="68"/>
      <c r="G2158" s="68"/>
      <c r="H2158" s="68"/>
      <c r="I2158" s="69"/>
      <c r="J2158" s="69"/>
      <c r="K2158" s="71"/>
      <c r="L2158" s="69"/>
      <c r="M2158" s="69"/>
      <c r="N2158" s="72"/>
      <c r="O2158" s="69"/>
      <c r="P2158" s="69"/>
      <c r="Q2158" s="69"/>
      <c r="R2158" s="69"/>
      <c r="S2158" s="69"/>
      <c r="T2158" s="69"/>
      <c r="U2158" s="69"/>
      <c r="V2158" s="69"/>
      <c r="W2158" s="69"/>
      <c r="X2158" s="69"/>
      <c r="Y2158" s="69"/>
      <c r="Z2158" s="69"/>
      <c r="AA2158" s="69"/>
      <c r="AB2158" s="69"/>
      <c r="AC2158" s="69"/>
      <c r="AD2158" s="69"/>
      <c r="AE2158" s="69"/>
      <c r="AF2158" s="69"/>
      <c r="AG2158" s="69"/>
      <c r="AH2158" s="69"/>
      <c r="AI2158" s="69"/>
      <c r="AJ2158" s="69"/>
      <c r="AK2158" s="69"/>
      <c r="AL2158" s="69"/>
      <c r="AM2158" s="69"/>
      <c r="AN2158" s="69"/>
      <c r="AO2158" s="69"/>
      <c r="AP2158" s="69"/>
      <c r="AQ2158" s="69"/>
      <c r="AR2158" s="69"/>
      <c r="AS2158" s="69"/>
      <c r="AT2158" s="69"/>
      <c r="AU2158" s="69"/>
      <c r="AV2158" s="69"/>
      <c r="AW2158" s="69"/>
      <c r="AX2158" s="69"/>
      <c r="AY2158" s="69"/>
      <c r="AZ2158" s="69"/>
      <c r="BA2158" s="69"/>
      <c r="BB2158" s="69"/>
      <c r="BC2158" s="69"/>
    </row>
    <row r="2159">
      <c r="A2159" s="68"/>
      <c r="B2159" s="68"/>
      <c r="C2159" s="68"/>
      <c r="D2159" s="68"/>
      <c r="E2159" s="68"/>
      <c r="F2159" s="68"/>
      <c r="G2159" s="68"/>
      <c r="H2159" s="68"/>
      <c r="I2159" s="69"/>
      <c r="J2159" s="69"/>
      <c r="K2159" s="71"/>
      <c r="L2159" s="69"/>
      <c r="M2159" s="69"/>
      <c r="N2159" s="72"/>
      <c r="O2159" s="69"/>
      <c r="P2159" s="69"/>
      <c r="Q2159" s="69"/>
      <c r="R2159" s="69"/>
      <c r="S2159" s="69"/>
      <c r="T2159" s="69"/>
      <c r="U2159" s="69"/>
      <c r="V2159" s="69"/>
      <c r="W2159" s="69"/>
      <c r="X2159" s="69"/>
      <c r="Y2159" s="69"/>
      <c r="Z2159" s="69"/>
      <c r="AA2159" s="69"/>
      <c r="AB2159" s="69"/>
      <c r="AC2159" s="69"/>
      <c r="AD2159" s="69"/>
      <c r="AE2159" s="69"/>
      <c r="AF2159" s="69"/>
      <c r="AG2159" s="69"/>
      <c r="AH2159" s="69"/>
      <c r="AI2159" s="69"/>
      <c r="AJ2159" s="69"/>
      <c r="AK2159" s="69"/>
      <c r="AL2159" s="69"/>
      <c r="AM2159" s="69"/>
      <c r="AN2159" s="69"/>
      <c r="AO2159" s="69"/>
      <c r="AP2159" s="69"/>
      <c r="AQ2159" s="69"/>
      <c r="AR2159" s="69"/>
      <c r="AS2159" s="69"/>
      <c r="AT2159" s="69"/>
      <c r="AU2159" s="69"/>
      <c r="AV2159" s="69"/>
      <c r="AW2159" s="69"/>
      <c r="AX2159" s="69"/>
      <c r="AY2159" s="69"/>
      <c r="AZ2159" s="69"/>
      <c r="BA2159" s="69"/>
      <c r="BB2159" s="69"/>
      <c r="BC2159" s="69"/>
    </row>
    <row r="2160">
      <c r="A2160" s="68"/>
      <c r="B2160" s="68"/>
      <c r="C2160" s="68"/>
      <c r="D2160" s="68"/>
      <c r="E2160" s="68"/>
      <c r="F2160" s="68"/>
      <c r="G2160" s="68"/>
      <c r="H2160" s="68"/>
      <c r="I2160" s="69"/>
      <c r="J2160" s="69"/>
      <c r="K2160" s="71"/>
      <c r="L2160" s="69"/>
      <c r="M2160" s="69"/>
      <c r="N2160" s="72"/>
      <c r="O2160" s="69"/>
      <c r="P2160" s="69"/>
      <c r="Q2160" s="69"/>
      <c r="R2160" s="69"/>
      <c r="S2160" s="69"/>
      <c r="T2160" s="69"/>
      <c r="U2160" s="69"/>
      <c r="V2160" s="69"/>
      <c r="W2160" s="69"/>
      <c r="X2160" s="69"/>
      <c r="Y2160" s="69"/>
      <c r="Z2160" s="69"/>
      <c r="AA2160" s="69"/>
      <c r="AB2160" s="69"/>
      <c r="AC2160" s="69"/>
      <c r="AD2160" s="69"/>
      <c r="AE2160" s="69"/>
      <c r="AF2160" s="69"/>
      <c r="AG2160" s="69"/>
      <c r="AH2160" s="69"/>
      <c r="AI2160" s="69"/>
      <c r="AJ2160" s="69"/>
      <c r="AK2160" s="69"/>
      <c r="AL2160" s="69"/>
      <c r="AM2160" s="69"/>
      <c r="AN2160" s="69"/>
      <c r="AO2160" s="69"/>
      <c r="AP2160" s="69"/>
      <c r="AQ2160" s="69"/>
      <c r="AR2160" s="69"/>
      <c r="AS2160" s="69"/>
      <c r="AT2160" s="69"/>
      <c r="AU2160" s="69"/>
      <c r="AV2160" s="69"/>
      <c r="AW2160" s="69"/>
      <c r="AX2160" s="69"/>
      <c r="AY2160" s="69"/>
      <c r="AZ2160" s="69"/>
      <c r="BA2160" s="69"/>
      <c r="BB2160" s="69"/>
      <c r="BC2160" s="69"/>
    </row>
    <row r="2161">
      <c r="A2161" s="68"/>
      <c r="B2161" s="68"/>
      <c r="C2161" s="68"/>
      <c r="D2161" s="68"/>
      <c r="E2161" s="68"/>
      <c r="F2161" s="68"/>
      <c r="G2161" s="68"/>
      <c r="H2161" s="68"/>
      <c r="I2161" s="69"/>
      <c r="J2161" s="69"/>
      <c r="K2161" s="71"/>
      <c r="L2161" s="69"/>
      <c r="M2161" s="69"/>
      <c r="N2161" s="72"/>
      <c r="O2161" s="69"/>
      <c r="P2161" s="69"/>
      <c r="Q2161" s="69"/>
      <c r="R2161" s="69"/>
      <c r="S2161" s="69"/>
      <c r="T2161" s="69"/>
      <c r="U2161" s="69"/>
      <c r="V2161" s="69"/>
      <c r="W2161" s="69"/>
      <c r="X2161" s="69"/>
      <c r="Y2161" s="69"/>
      <c r="Z2161" s="69"/>
      <c r="AA2161" s="69"/>
      <c r="AB2161" s="69"/>
      <c r="AC2161" s="69"/>
      <c r="AD2161" s="69"/>
      <c r="AE2161" s="69"/>
      <c r="AF2161" s="69"/>
      <c r="AG2161" s="69"/>
      <c r="AH2161" s="69"/>
      <c r="AI2161" s="69"/>
      <c r="AJ2161" s="69"/>
      <c r="AK2161" s="69"/>
      <c r="AL2161" s="69"/>
      <c r="AM2161" s="69"/>
      <c r="AN2161" s="69"/>
      <c r="AO2161" s="69"/>
      <c r="AP2161" s="69"/>
      <c r="AQ2161" s="69"/>
      <c r="AR2161" s="69"/>
      <c r="AS2161" s="69"/>
      <c r="AT2161" s="69"/>
      <c r="AU2161" s="69"/>
      <c r="AV2161" s="69"/>
      <c r="AW2161" s="69"/>
      <c r="AX2161" s="69"/>
      <c r="AY2161" s="69"/>
      <c r="AZ2161" s="69"/>
      <c r="BA2161" s="69"/>
      <c r="BB2161" s="69"/>
      <c r="BC2161" s="69"/>
    </row>
    <row r="2162">
      <c r="A2162" s="68"/>
      <c r="B2162" s="68"/>
      <c r="C2162" s="68"/>
      <c r="D2162" s="68"/>
      <c r="E2162" s="68"/>
      <c r="F2162" s="68"/>
      <c r="G2162" s="68"/>
      <c r="H2162" s="68"/>
      <c r="I2162" s="69"/>
      <c r="J2162" s="69"/>
      <c r="K2162" s="71"/>
      <c r="L2162" s="69"/>
      <c r="M2162" s="69"/>
      <c r="N2162" s="72"/>
      <c r="O2162" s="69"/>
      <c r="P2162" s="69"/>
      <c r="Q2162" s="69"/>
      <c r="R2162" s="69"/>
      <c r="S2162" s="69"/>
      <c r="T2162" s="69"/>
      <c r="U2162" s="69"/>
      <c r="V2162" s="69"/>
      <c r="W2162" s="69"/>
      <c r="X2162" s="69"/>
      <c r="Y2162" s="69"/>
      <c r="Z2162" s="69"/>
      <c r="AA2162" s="69"/>
      <c r="AB2162" s="69"/>
      <c r="AC2162" s="69"/>
      <c r="AD2162" s="69"/>
      <c r="AE2162" s="69"/>
      <c r="AF2162" s="69"/>
      <c r="AG2162" s="69"/>
      <c r="AH2162" s="69"/>
      <c r="AI2162" s="69"/>
      <c r="AJ2162" s="69"/>
      <c r="AK2162" s="69"/>
      <c r="AL2162" s="69"/>
      <c r="AM2162" s="69"/>
      <c r="AN2162" s="69"/>
      <c r="AO2162" s="69"/>
      <c r="AP2162" s="69"/>
      <c r="AQ2162" s="69"/>
      <c r="AR2162" s="69"/>
      <c r="AS2162" s="69"/>
      <c r="AT2162" s="69"/>
      <c r="AU2162" s="69"/>
      <c r="AV2162" s="69"/>
      <c r="AW2162" s="69"/>
      <c r="AX2162" s="69"/>
      <c r="AY2162" s="69"/>
      <c r="AZ2162" s="69"/>
      <c r="BA2162" s="69"/>
      <c r="BB2162" s="69"/>
      <c r="BC2162" s="69"/>
    </row>
    <row r="2163">
      <c r="A2163" s="68"/>
      <c r="B2163" s="68"/>
      <c r="C2163" s="68"/>
      <c r="D2163" s="68"/>
      <c r="E2163" s="68"/>
      <c r="F2163" s="68"/>
      <c r="G2163" s="68"/>
      <c r="H2163" s="68"/>
      <c r="I2163" s="69"/>
      <c r="J2163" s="69"/>
      <c r="K2163" s="71"/>
      <c r="L2163" s="69"/>
      <c r="M2163" s="69"/>
      <c r="N2163" s="72"/>
      <c r="O2163" s="69"/>
      <c r="P2163" s="69"/>
      <c r="Q2163" s="69"/>
      <c r="R2163" s="69"/>
      <c r="S2163" s="69"/>
      <c r="T2163" s="69"/>
      <c r="U2163" s="69"/>
      <c r="V2163" s="69"/>
      <c r="W2163" s="69"/>
      <c r="X2163" s="69"/>
      <c r="Y2163" s="69"/>
      <c r="Z2163" s="69"/>
      <c r="AA2163" s="69"/>
      <c r="AB2163" s="69"/>
      <c r="AC2163" s="69"/>
      <c r="AD2163" s="69"/>
      <c r="AE2163" s="69"/>
      <c r="AF2163" s="69"/>
      <c r="AG2163" s="69"/>
      <c r="AH2163" s="69"/>
      <c r="AI2163" s="69"/>
      <c r="AJ2163" s="69"/>
      <c r="AK2163" s="69"/>
      <c r="AL2163" s="69"/>
      <c r="AM2163" s="69"/>
      <c r="AN2163" s="69"/>
      <c r="AO2163" s="69"/>
      <c r="AP2163" s="69"/>
      <c r="AQ2163" s="69"/>
      <c r="AR2163" s="69"/>
      <c r="AS2163" s="69"/>
      <c r="AT2163" s="69"/>
      <c r="AU2163" s="69"/>
      <c r="AV2163" s="69"/>
      <c r="AW2163" s="69"/>
      <c r="AX2163" s="69"/>
      <c r="AY2163" s="69"/>
      <c r="AZ2163" s="69"/>
      <c r="BA2163" s="69"/>
      <c r="BB2163" s="69"/>
      <c r="BC2163" s="69"/>
    </row>
    <row r="2164">
      <c r="A2164" s="68"/>
      <c r="B2164" s="68"/>
      <c r="C2164" s="68"/>
      <c r="D2164" s="68"/>
      <c r="E2164" s="68"/>
      <c r="F2164" s="68"/>
      <c r="G2164" s="68"/>
      <c r="H2164" s="68"/>
      <c r="I2164" s="69"/>
      <c r="J2164" s="69"/>
      <c r="K2164" s="71"/>
      <c r="L2164" s="69"/>
      <c r="M2164" s="69"/>
      <c r="N2164" s="72"/>
      <c r="O2164" s="69"/>
      <c r="P2164" s="69"/>
      <c r="Q2164" s="69"/>
      <c r="R2164" s="69"/>
      <c r="S2164" s="69"/>
      <c r="T2164" s="69"/>
      <c r="U2164" s="69"/>
      <c r="V2164" s="69"/>
      <c r="W2164" s="69"/>
      <c r="X2164" s="69"/>
      <c r="Y2164" s="69"/>
      <c r="Z2164" s="69"/>
      <c r="AA2164" s="69"/>
      <c r="AB2164" s="69"/>
      <c r="AC2164" s="69"/>
      <c r="AD2164" s="69"/>
      <c r="AE2164" s="69"/>
      <c r="AF2164" s="69"/>
      <c r="AG2164" s="69"/>
      <c r="AH2164" s="69"/>
      <c r="AI2164" s="69"/>
      <c r="AJ2164" s="69"/>
      <c r="AK2164" s="69"/>
      <c r="AL2164" s="69"/>
      <c r="AM2164" s="69"/>
      <c r="AN2164" s="69"/>
      <c r="AO2164" s="69"/>
      <c r="AP2164" s="69"/>
      <c r="AQ2164" s="69"/>
      <c r="AR2164" s="69"/>
      <c r="AS2164" s="69"/>
      <c r="AT2164" s="69"/>
      <c r="AU2164" s="69"/>
      <c r="AV2164" s="69"/>
      <c r="AW2164" s="69"/>
      <c r="AX2164" s="69"/>
      <c r="AY2164" s="69"/>
      <c r="AZ2164" s="69"/>
      <c r="BA2164" s="69"/>
      <c r="BB2164" s="69"/>
      <c r="BC2164" s="69"/>
    </row>
    <row r="2165">
      <c r="A2165" s="68"/>
      <c r="B2165" s="68"/>
      <c r="C2165" s="68"/>
      <c r="D2165" s="68"/>
      <c r="E2165" s="68"/>
      <c r="F2165" s="68"/>
      <c r="G2165" s="68"/>
      <c r="H2165" s="68"/>
      <c r="I2165" s="69"/>
      <c r="J2165" s="69"/>
      <c r="K2165" s="71"/>
      <c r="L2165" s="69"/>
      <c r="M2165" s="69"/>
      <c r="N2165" s="72"/>
      <c r="O2165" s="69"/>
      <c r="P2165" s="69"/>
      <c r="Q2165" s="69"/>
      <c r="R2165" s="69"/>
      <c r="S2165" s="69"/>
      <c r="T2165" s="69"/>
      <c r="U2165" s="69"/>
      <c r="V2165" s="69"/>
      <c r="W2165" s="69"/>
      <c r="X2165" s="69"/>
      <c r="Y2165" s="69"/>
      <c r="Z2165" s="69"/>
      <c r="AA2165" s="69"/>
      <c r="AB2165" s="69"/>
      <c r="AC2165" s="69"/>
      <c r="AD2165" s="69"/>
      <c r="AE2165" s="69"/>
      <c r="AF2165" s="69"/>
      <c r="AG2165" s="69"/>
      <c r="AH2165" s="69"/>
      <c r="AI2165" s="69"/>
      <c r="AJ2165" s="69"/>
      <c r="AK2165" s="69"/>
      <c r="AL2165" s="69"/>
      <c r="AM2165" s="69"/>
      <c r="AN2165" s="69"/>
      <c r="AO2165" s="69"/>
      <c r="AP2165" s="69"/>
      <c r="AQ2165" s="69"/>
      <c r="AR2165" s="69"/>
      <c r="AS2165" s="69"/>
      <c r="AT2165" s="69"/>
      <c r="AU2165" s="69"/>
      <c r="AV2165" s="69"/>
      <c r="AW2165" s="69"/>
      <c r="AX2165" s="69"/>
      <c r="AY2165" s="69"/>
      <c r="AZ2165" s="69"/>
      <c r="BA2165" s="69"/>
      <c r="BB2165" s="69"/>
      <c r="BC2165" s="69"/>
    </row>
    <row r="2166">
      <c r="A2166" s="68"/>
      <c r="B2166" s="68"/>
      <c r="C2166" s="68"/>
      <c r="D2166" s="68"/>
      <c r="E2166" s="68"/>
      <c r="F2166" s="68"/>
      <c r="G2166" s="68"/>
      <c r="H2166" s="68"/>
      <c r="I2166" s="69"/>
      <c r="J2166" s="69"/>
      <c r="K2166" s="71"/>
      <c r="L2166" s="69"/>
      <c r="M2166" s="69"/>
      <c r="N2166" s="72"/>
      <c r="O2166" s="69"/>
      <c r="P2166" s="69"/>
      <c r="Q2166" s="69"/>
      <c r="R2166" s="69"/>
      <c r="S2166" s="69"/>
      <c r="T2166" s="69"/>
      <c r="U2166" s="69"/>
      <c r="V2166" s="69"/>
      <c r="W2166" s="69"/>
      <c r="X2166" s="69"/>
      <c r="Y2166" s="69"/>
      <c r="Z2166" s="69"/>
      <c r="AA2166" s="69"/>
      <c r="AB2166" s="69"/>
      <c r="AC2166" s="69"/>
      <c r="AD2166" s="69"/>
      <c r="AE2166" s="69"/>
      <c r="AF2166" s="69"/>
      <c r="AG2166" s="69"/>
      <c r="AH2166" s="69"/>
      <c r="AI2166" s="69"/>
      <c r="AJ2166" s="69"/>
      <c r="AK2166" s="69"/>
      <c r="AL2166" s="69"/>
      <c r="AM2166" s="69"/>
      <c r="AN2166" s="69"/>
      <c r="AO2166" s="69"/>
      <c r="AP2166" s="69"/>
      <c r="AQ2166" s="69"/>
      <c r="AR2166" s="69"/>
      <c r="AS2166" s="69"/>
      <c r="AT2166" s="69"/>
      <c r="AU2166" s="69"/>
      <c r="AV2166" s="69"/>
      <c r="AW2166" s="69"/>
      <c r="AX2166" s="69"/>
      <c r="AY2166" s="69"/>
      <c r="AZ2166" s="69"/>
      <c r="BA2166" s="69"/>
      <c r="BB2166" s="69"/>
      <c r="BC2166" s="69"/>
    </row>
    <row r="2167">
      <c r="A2167" s="68"/>
      <c r="B2167" s="68"/>
      <c r="C2167" s="68"/>
      <c r="D2167" s="68"/>
      <c r="E2167" s="68"/>
      <c r="F2167" s="68"/>
      <c r="G2167" s="68"/>
      <c r="H2167" s="68"/>
      <c r="I2167" s="69"/>
      <c r="J2167" s="69"/>
      <c r="K2167" s="71"/>
      <c r="L2167" s="69"/>
      <c r="M2167" s="69"/>
      <c r="N2167" s="72"/>
      <c r="O2167" s="69"/>
      <c r="P2167" s="69"/>
      <c r="Q2167" s="69"/>
      <c r="R2167" s="69"/>
      <c r="S2167" s="69"/>
      <c r="T2167" s="69"/>
      <c r="U2167" s="69"/>
      <c r="V2167" s="69"/>
      <c r="W2167" s="69"/>
      <c r="X2167" s="69"/>
      <c r="Y2167" s="69"/>
      <c r="Z2167" s="69"/>
      <c r="AA2167" s="69"/>
      <c r="AB2167" s="69"/>
      <c r="AC2167" s="69"/>
      <c r="AD2167" s="69"/>
      <c r="AE2167" s="69"/>
      <c r="AF2167" s="69"/>
      <c r="AG2167" s="69"/>
      <c r="AH2167" s="69"/>
      <c r="AI2167" s="69"/>
      <c r="AJ2167" s="69"/>
      <c r="AK2167" s="69"/>
      <c r="AL2167" s="69"/>
      <c r="AM2167" s="69"/>
      <c r="AN2167" s="69"/>
      <c r="AO2167" s="69"/>
      <c r="AP2167" s="69"/>
      <c r="AQ2167" s="69"/>
      <c r="AR2167" s="69"/>
      <c r="AS2167" s="69"/>
      <c r="AT2167" s="69"/>
      <c r="AU2167" s="69"/>
      <c r="AV2167" s="69"/>
      <c r="AW2167" s="69"/>
      <c r="AX2167" s="69"/>
      <c r="AY2167" s="69"/>
      <c r="AZ2167" s="69"/>
      <c r="BA2167" s="69"/>
      <c r="BB2167" s="69"/>
      <c r="BC2167" s="69"/>
    </row>
    <row r="2168">
      <c r="A2168" s="68"/>
      <c r="B2168" s="68"/>
      <c r="C2168" s="68"/>
      <c r="D2168" s="68"/>
      <c r="E2168" s="68"/>
      <c r="F2168" s="68"/>
      <c r="G2168" s="68"/>
      <c r="H2168" s="68"/>
      <c r="I2168" s="69"/>
      <c r="J2168" s="69"/>
      <c r="K2168" s="71"/>
      <c r="L2168" s="69"/>
      <c r="M2168" s="69"/>
      <c r="N2168" s="72"/>
      <c r="O2168" s="69"/>
      <c r="P2168" s="69"/>
      <c r="Q2168" s="69"/>
      <c r="R2168" s="69"/>
      <c r="S2168" s="69"/>
      <c r="T2168" s="69"/>
      <c r="U2168" s="69"/>
      <c r="V2168" s="69"/>
      <c r="W2168" s="69"/>
      <c r="X2168" s="69"/>
      <c r="Y2168" s="69"/>
      <c r="Z2168" s="69"/>
      <c r="AA2168" s="69"/>
      <c r="AB2168" s="69"/>
      <c r="AC2168" s="69"/>
      <c r="AD2168" s="69"/>
      <c r="AE2168" s="69"/>
      <c r="AF2168" s="69"/>
      <c r="AG2168" s="69"/>
      <c r="AH2168" s="69"/>
      <c r="AI2168" s="69"/>
      <c r="AJ2168" s="69"/>
      <c r="AK2168" s="69"/>
      <c r="AL2168" s="69"/>
      <c r="AM2168" s="69"/>
      <c r="AN2168" s="69"/>
      <c r="AO2168" s="69"/>
      <c r="AP2168" s="69"/>
      <c r="AQ2168" s="69"/>
      <c r="AR2168" s="69"/>
      <c r="AS2168" s="69"/>
      <c r="AT2168" s="69"/>
      <c r="AU2168" s="69"/>
      <c r="AV2168" s="69"/>
      <c r="AW2168" s="69"/>
      <c r="AX2168" s="69"/>
      <c r="AY2168" s="69"/>
      <c r="AZ2168" s="69"/>
      <c r="BA2168" s="69"/>
      <c r="BB2168" s="69"/>
      <c r="BC2168" s="69"/>
    </row>
    <row r="2169">
      <c r="A2169" s="68"/>
      <c r="B2169" s="68"/>
      <c r="C2169" s="68"/>
      <c r="D2169" s="68"/>
      <c r="E2169" s="68"/>
      <c r="F2169" s="68"/>
      <c r="G2169" s="68"/>
      <c r="H2169" s="68"/>
      <c r="I2169" s="69"/>
      <c r="J2169" s="69"/>
      <c r="K2169" s="71"/>
      <c r="L2169" s="69"/>
      <c r="M2169" s="69"/>
      <c r="N2169" s="72"/>
      <c r="O2169" s="69"/>
      <c r="P2169" s="69"/>
      <c r="Q2169" s="69"/>
      <c r="R2169" s="69"/>
      <c r="S2169" s="69"/>
      <c r="T2169" s="69"/>
      <c r="U2169" s="69"/>
      <c r="V2169" s="69"/>
      <c r="W2169" s="69"/>
      <c r="X2169" s="69"/>
      <c r="Y2169" s="69"/>
      <c r="Z2169" s="69"/>
      <c r="AA2169" s="69"/>
      <c r="AB2169" s="69"/>
      <c r="AC2169" s="69"/>
      <c r="AD2169" s="69"/>
      <c r="AE2169" s="69"/>
      <c r="AF2169" s="69"/>
      <c r="AG2169" s="69"/>
      <c r="AH2169" s="69"/>
      <c r="AI2169" s="69"/>
      <c r="AJ2169" s="69"/>
      <c r="AK2169" s="69"/>
      <c r="AL2169" s="69"/>
      <c r="AM2169" s="69"/>
      <c r="AN2169" s="69"/>
      <c r="AO2169" s="69"/>
      <c r="AP2169" s="69"/>
      <c r="AQ2169" s="69"/>
      <c r="AR2169" s="69"/>
      <c r="AS2169" s="69"/>
      <c r="AT2169" s="69"/>
      <c r="AU2169" s="69"/>
      <c r="AV2169" s="69"/>
      <c r="AW2169" s="69"/>
      <c r="AX2169" s="69"/>
      <c r="AY2169" s="69"/>
      <c r="AZ2169" s="69"/>
      <c r="BA2169" s="69"/>
      <c r="BB2169" s="69"/>
      <c r="BC2169" s="69"/>
    </row>
    <row r="2170">
      <c r="A2170" s="68"/>
      <c r="B2170" s="68"/>
      <c r="C2170" s="68"/>
      <c r="D2170" s="68"/>
      <c r="E2170" s="68"/>
      <c r="F2170" s="68"/>
      <c r="G2170" s="68"/>
      <c r="H2170" s="68"/>
      <c r="I2170" s="69"/>
      <c r="J2170" s="69"/>
      <c r="K2170" s="71"/>
      <c r="L2170" s="69"/>
      <c r="M2170" s="69"/>
      <c r="N2170" s="72"/>
      <c r="O2170" s="69"/>
      <c r="P2170" s="69"/>
      <c r="Q2170" s="69"/>
      <c r="R2170" s="69"/>
      <c r="S2170" s="69"/>
      <c r="T2170" s="69"/>
      <c r="U2170" s="69"/>
      <c r="V2170" s="69"/>
      <c r="W2170" s="69"/>
      <c r="X2170" s="69"/>
      <c r="Y2170" s="69"/>
      <c r="Z2170" s="69"/>
      <c r="AA2170" s="69"/>
      <c r="AB2170" s="69"/>
      <c r="AC2170" s="69"/>
      <c r="AD2170" s="69"/>
      <c r="AE2170" s="69"/>
      <c r="AF2170" s="69"/>
      <c r="AG2170" s="69"/>
      <c r="AH2170" s="69"/>
      <c r="AI2170" s="69"/>
      <c r="AJ2170" s="69"/>
      <c r="AK2170" s="69"/>
      <c r="AL2170" s="69"/>
      <c r="AM2170" s="69"/>
      <c r="AN2170" s="69"/>
      <c r="AO2170" s="69"/>
      <c r="AP2170" s="69"/>
      <c r="AQ2170" s="69"/>
      <c r="AR2170" s="69"/>
      <c r="AS2170" s="69"/>
      <c r="AT2170" s="69"/>
      <c r="AU2170" s="69"/>
      <c r="AV2170" s="69"/>
      <c r="AW2170" s="69"/>
      <c r="AX2170" s="69"/>
      <c r="AY2170" s="69"/>
      <c r="AZ2170" s="69"/>
      <c r="BA2170" s="69"/>
      <c r="BB2170" s="69"/>
      <c r="BC2170" s="69"/>
    </row>
    <row r="2171">
      <c r="A2171" s="68"/>
      <c r="B2171" s="68"/>
      <c r="C2171" s="68"/>
      <c r="D2171" s="68"/>
      <c r="E2171" s="68"/>
      <c r="F2171" s="68"/>
      <c r="G2171" s="68"/>
      <c r="H2171" s="68"/>
      <c r="I2171" s="69"/>
      <c r="J2171" s="69"/>
      <c r="K2171" s="71"/>
      <c r="L2171" s="69"/>
      <c r="M2171" s="69"/>
      <c r="N2171" s="72"/>
      <c r="O2171" s="69"/>
      <c r="P2171" s="69"/>
      <c r="Q2171" s="69"/>
      <c r="R2171" s="69"/>
      <c r="S2171" s="69"/>
      <c r="T2171" s="69"/>
      <c r="U2171" s="69"/>
      <c r="V2171" s="69"/>
      <c r="W2171" s="69"/>
      <c r="X2171" s="69"/>
      <c r="Y2171" s="69"/>
      <c r="Z2171" s="69"/>
      <c r="AA2171" s="69"/>
      <c r="AB2171" s="69"/>
      <c r="AC2171" s="69"/>
      <c r="AD2171" s="69"/>
      <c r="AE2171" s="69"/>
      <c r="AF2171" s="69"/>
      <c r="AG2171" s="69"/>
      <c r="AH2171" s="69"/>
      <c r="AI2171" s="69"/>
      <c r="AJ2171" s="69"/>
      <c r="AK2171" s="69"/>
      <c r="AL2171" s="69"/>
      <c r="AM2171" s="69"/>
      <c r="AN2171" s="69"/>
      <c r="AO2171" s="69"/>
      <c r="AP2171" s="69"/>
      <c r="AQ2171" s="69"/>
      <c r="AR2171" s="69"/>
      <c r="AS2171" s="69"/>
      <c r="AT2171" s="69"/>
      <c r="AU2171" s="69"/>
      <c r="AV2171" s="69"/>
      <c r="AW2171" s="69"/>
      <c r="AX2171" s="69"/>
      <c r="AY2171" s="69"/>
      <c r="AZ2171" s="69"/>
      <c r="BA2171" s="69"/>
      <c r="BB2171" s="69"/>
      <c r="BC2171" s="69"/>
    </row>
    <row r="2172">
      <c r="A2172" s="68"/>
      <c r="B2172" s="68"/>
      <c r="C2172" s="68"/>
      <c r="D2172" s="68"/>
      <c r="E2172" s="68"/>
      <c r="F2172" s="68"/>
      <c r="G2172" s="68"/>
      <c r="H2172" s="68"/>
      <c r="I2172" s="69"/>
      <c r="J2172" s="69"/>
      <c r="K2172" s="71"/>
      <c r="L2172" s="69"/>
      <c r="M2172" s="69"/>
      <c r="N2172" s="72"/>
      <c r="O2172" s="69"/>
      <c r="P2172" s="69"/>
      <c r="Q2172" s="69"/>
      <c r="R2172" s="69"/>
      <c r="S2172" s="69"/>
      <c r="T2172" s="69"/>
      <c r="U2172" s="69"/>
      <c r="V2172" s="69"/>
      <c r="W2172" s="69"/>
      <c r="X2172" s="69"/>
      <c r="Y2172" s="69"/>
      <c r="Z2172" s="69"/>
      <c r="AA2172" s="69"/>
      <c r="AB2172" s="69"/>
      <c r="AC2172" s="69"/>
      <c r="AD2172" s="69"/>
      <c r="AE2172" s="69"/>
      <c r="AF2172" s="69"/>
      <c r="AG2172" s="69"/>
      <c r="AH2172" s="69"/>
      <c r="AI2172" s="69"/>
      <c r="AJ2172" s="69"/>
      <c r="AK2172" s="69"/>
      <c r="AL2172" s="69"/>
      <c r="AM2172" s="69"/>
      <c r="AN2172" s="69"/>
      <c r="AO2172" s="69"/>
      <c r="AP2172" s="69"/>
      <c r="AQ2172" s="69"/>
      <c r="AR2172" s="69"/>
      <c r="AS2172" s="69"/>
      <c r="AT2172" s="69"/>
      <c r="AU2172" s="69"/>
      <c r="AV2172" s="69"/>
      <c r="AW2172" s="69"/>
      <c r="AX2172" s="69"/>
      <c r="AY2172" s="69"/>
      <c r="AZ2172" s="69"/>
      <c r="BA2172" s="69"/>
      <c r="BB2172" s="69"/>
      <c r="BC2172" s="69"/>
    </row>
    <row r="2173">
      <c r="A2173" s="68"/>
      <c r="B2173" s="68"/>
      <c r="C2173" s="68"/>
      <c r="D2173" s="68"/>
      <c r="E2173" s="68"/>
      <c r="F2173" s="68"/>
      <c r="G2173" s="68"/>
      <c r="H2173" s="68"/>
      <c r="I2173" s="69"/>
      <c r="J2173" s="69"/>
      <c r="K2173" s="71"/>
      <c r="L2173" s="69"/>
      <c r="M2173" s="69"/>
      <c r="N2173" s="72"/>
      <c r="O2173" s="69"/>
      <c r="P2173" s="69"/>
      <c r="Q2173" s="69"/>
      <c r="R2173" s="69"/>
      <c r="S2173" s="69"/>
      <c r="T2173" s="69"/>
      <c r="U2173" s="69"/>
      <c r="V2173" s="69"/>
      <c r="W2173" s="69"/>
      <c r="X2173" s="69"/>
      <c r="Y2173" s="69"/>
      <c r="Z2173" s="69"/>
      <c r="AA2173" s="69"/>
      <c r="AB2173" s="69"/>
      <c r="AC2173" s="69"/>
      <c r="AD2173" s="69"/>
      <c r="AE2173" s="69"/>
      <c r="AF2173" s="69"/>
      <c r="AG2173" s="69"/>
      <c r="AH2173" s="69"/>
      <c r="AI2173" s="69"/>
      <c r="AJ2173" s="69"/>
      <c r="AK2173" s="69"/>
      <c r="AL2173" s="69"/>
      <c r="AM2173" s="69"/>
      <c r="AN2173" s="69"/>
      <c r="AO2173" s="69"/>
      <c r="AP2173" s="69"/>
      <c r="AQ2173" s="69"/>
      <c r="AR2173" s="69"/>
      <c r="AS2173" s="69"/>
      <c r="AT2173" s="69"/>
      <c r="AU2173" s="69"/>
      <c r="AV2173" s="69"/>
      <c r="AW2173" s="69"/>
      <c r="AX2173" s="69"/>
      <c r="AY2173" s="69"/>
      <c r="AZ2173" s="69"/>
      <c r="BA2173" s="69"/>
      <c r="BB2173" s="69"/>
      <c r="BC2173" s="69"/>
    </row>
    <row r="2174">
      <c r="A2174" s="68"/>
      <c r="B2174" s="68"/>
      <c r="C2174" s="68"/>
      <c r="D2174" s="68"/>
      <c r="E2174" s="68"/>
      <c r="F2174" s="68"/>
      <c r="G2174" s="68"/>
      <c r="H2174" s="68"/>
      <c r="I2174" s="69"/>
      <c r="J2174" s="69"/>
      <c r="K2174" s="71"/>
      <c r="L2174" s="69"/>
      <c r="M2174" s="69"/>
      <c r="N2174" s="72"/>
      <c r="O2174" s="69"/>
      <c r="P2174" s="69"/>
      <c r="Q2174" s="69"/>
      <c r="R2174" s="69"/>
      <c r="S2174" s="69"/>
      <c r="T2174" s="69"/>
      <c r="U2174" s="69"/>
      <c r="V2174" s="69"/>
      <c r="W2174" s="69"/>
      <c r="X2174" s="69"/>
      <c r="Y2174" s="69"/>
      <c r="Z2174" s="69"/>
      <c r="AA2174" s="69"/>
      <c r="AB2174" s="69"/>
      <c r="AC2174" s="69"/>
      <c r="AD2174" s="69"/>
      <c r="AE2174" s="69"/>
      <c r="AF2174" s="69"/>
      <c r="AG2174" s="69"/>
      <c r="AH2174" s="69"/>
      <c r="AI2174" s="69"/>
      <c r="AJ2174" s="69"/>
      <c r="AK2174" s="69"/>
      <c r="AL2174" s="69"/>
      <c r="AM2174" s="69"/>
      <c r="AN2174" s="69"/>
      <c r="AO2174" s="69"/>
      <c r="AP2174" s="69"/>
      <c r="AQ2174" s="69"/>
      <c r="AR2174" s="69"/>
      <c r="AS2174" s="69"/>
      <c r="AT2174" s="69"/>
      <c r="AU2174" s="69"/>
      <c r="AV2174" s="69"/>
      <c r="AW2174" s="69"/>
      <c r="AX2174" s="69"/>
      <c r="AY2174" s="69"/>
      <c r="AZ2174" s="69"/>
      <c r="BA2174" s="69"/>
      <c r="BB2174" s="69"/>
      <c r="BC2174" s="69"/>
    </row>
    <row r="2175">
      <c r="A2175" s="68"/>
      <c r="B2175" s="68"/>
      <c r="C2175" s="68"/>
      <c r="D2175" s="68"/>
      <c r="E2175" s="68"/>
      <c r="F2175" s="68"/>
      <c r="G2175" s="68"/>
      <c r="H2175" s="68"/>
      <c r="I2175" s="69"/>
      <c r="J2175" s="69"/>
      <c r="K2175" s="71"/>
      <c r="L2175" s="69"/>
      <c r="M2175" s="69"/>
      <c r="N2175" s="72"/>
      <c r="O2175" s="69"/>
      <c r="P2175" s="69"/>
      <c r="Q2175" s="69"/>
      <c r="R2175" s="69"/>
      <c r="S2175" s="69"/>
      <c r="T2175" s="69"/>
      <c r="U2175" s="69"/>
      <c r="V2175" s="69"/>
      <c r="W2175" s="69"/>
      <c r="X2175" s="69"/>
      <c r="Y2175" s="69"/>
      <c r="Z2175" s="69"/>
      <c r="AA2175" s="69"/>
      <c r="AB2175" s="69"/>
      <c r="AC2175" s="69"/>
      <c r="AD2175" s="69"/>
      <c r="AE2175" s="69"/>
      <c r="AF2175" s="69"/>
      <c r="AG2175" s="69"/>
      <c r="AH2175" s="69"/>
      <c r="AI2175" s="69"/>
      <c r="AJ2175" s="69"/>
      <c r="AK2175" s="69"/>
      <c r="AL2175" s="69"/>
      <c r="AM2175" s="69"/>
      <c r="AN2175" s="69"/>
      <c r="AO2175" s="69"/>
      <c r="AP2175" s="69"/>
      <c r="AQ2175" s="69"/>
      <c r="AR2175" s="69"/>
      <c r="AS2175" s="69"/>
      <c r="AT2175" s="69"/>
      <c r="AU2175" s="69"/>
      <c r="AV2175" s="69"/>
      <c r="AW2175" s="69"/>
      <c r="AX2175" s="69"/>
      <c r="AY2175" s="69"/>
      <c r="AZ2175" s="69"/>
      <c r="BA2175" s="69"/>
      <c r="BB2175" s="69"/>
      <c r="BC2175" s="69"/>
    </row>
    <row r="2176">
      <c r="A2176" s="68"/>
      <c r="B2176" s="68"/>
      <c r="C2176" s="68"/>
      <c r="D2176" s="68"/>
      <c r="E2176" s="68"/>
      <c r="F2176" s="68"/>
      <c r="G2176" s="68"/>
      <c r="H2176" s="68"/>
      <c r="I2176" s="69"/>
      <c r="J2176" s="69"/>
      <c r="K2176" s="71"/>
      <c r="L2176" s="69"/>
      <c r="M2176" s="69"/>
      <c r="N2176" s="72"/>
      <c r="O2176" s="69"/>
      <c r="P2176" s="69"/>
      <c r="Q2176" s="69"/>
      <c r="R2176" s="69"/>
      <c r="S2176" s="69"/>
      <c r="T2176" s="69"/>
      <c r="U2176" s="69"/>
      <c r="V2176" s="69"/>
      <c r="W2176" s="69"/>
      <c r="X2176" s="69"/>
      <c r="Y2176" s="69"/>
      <c r="Z2176" s="69"/>
      <c r="AA2176" s="69"/>
      <c r="AB2176" s="69"/>
      <c r="AC2176" s="69"/>
      <c r="AD2176" s="69"/>
      <c r="AE2176" s="69"/>
      <c r="AF2176" s="69"/>
      <c r="AG2176" s="69"/>
      <c r="AH2176" s="69"/>
      <c r="AI2176" s="69"/>
      <c r="AJ2176" s="69"/>
      <c r="AK2176" s="69"/>
      <c r="AL2176" s="69"/>
      <c r="AM2176" s="69"/>
      <c r="AN2176" s="69"/>
      <c r="AO2176" s="69"/>
      <c r="AP2176" s="69"/>
      <c r="AQ2176" s="69"/>
      <c r="AR2176" s="69"/>
      <c r="AS2176" s="69"/>
      <c r="AT2176" s="69"/>
      <c r="AU2176" s="69"/>
      <c r="AV2176" s="69"/>
      <c r="AW2176" s="69"/>
      <c r="AX2176" s="69"/>
      <c r="AY2176" s="69"/>
      <c r="AZ2176" s="69"/>
      <c r="BA2176" s="69"/>
      <c r="BB2176" s="69"/>
      <c r="BC2176" s="69"/>
    </row>
    <row r="2177">
      <c r="A2177" s="68"/>
      <c r="B2177" s="68"/>
      <c r="C2177" s="68"/>
      <c r="D2177" s="68"/>
      <c r="E2177" s="68"/>
      <c r="F2177" s="68"/>
      <c r="G2177" s="68"/>
      <c r="H2177" s="68"/>
      <c r="I2177" s="69"/>
      <c r="J2177" s="69"/>
      <c r="K2177" s="71"/>
      <c r="L2177" s="69"/>
      <c r="M2177" s="69"/>
      <c r="N2177" s="72"/>
      <c r="O2177" s="69"/>
      <c r="P2177" s="69"/>
      <c r="Q2177" s="69"/>
      <c r="R2177" s="69"/>
      <c r="S2177" s="69"/>
      <c r="T2177" s="69"/>
      <c r="U2177" s="69"/>
      <c r="V2177" s="69"/>
      <c r="W2177" s="69"/>
      <c r="X2177" s="69"/>
      <c r="Y2177" s="69"/>
      <c r="Z2177" s="69"/>
      <c r="AA2177" s="69"/>
      <c r="AB2177" s="69"/>
      <c r="AC2177" s="69"/>
      <c r="AD2177" s="69"/>
      <c r="AE2177" s="69"/>
      <c r="AF2177" s="69"/>
      <c r="AG2177" s="69"/>
      <c r="AH2177" s="69"/>
      <c r="AI2177" s="69"/>
      <c r="AJ2177" s="69"/>
      <c r="AK2177" s="69"/>
      <c r="AL2177" s="69"/>
      <c r="AM2177" s="69"/>
      <c r="AN2177" s="69"/>
      <c r="AO2177" s="69"/>
      <c r="AP2177" s="69"/>
      <c r="AQ2177" s="69"/>
      <c r="AR2177" s="69"/>
      <c r="AS2177" s="69"/>
      <c r="AT2177" s="69"/>
      <c r="AU2177" s="69"/>
      <c r="AV2177" s="69"/>
      <c r="AW2177" s="69"/>
      <c r="AX2177" s="69"/>
      <c r="AY2177" s="69"/>
      <c r="AZ2177" s="69"/>
      <c r="BA2177" s="69"/>
      <c r="BB2177" s="69"/>
      <c r="BC2177" s="69"/>
    </row>
    <row r="2178">
      <c r="A2178" s="68"/>
      <c r="B2178" s="68"/>
      <c r="C2178" s="68"/>
      <c r="D2178" s="68"/>
      <c r="E2178" s="68"/>
      <c r="F2178" s="68"/>
      <c r="G2178" s="68"/>
      <c r="H2178" s="68"/>
      <c r="I2178" s="69"/>
      <c r="J2178" s="69"/>
      <c r="K2178" s="71"/>
      <c r="L2178" s="69"/>
      <c r="M2178" s="69"/>
      <c r="N2178" s="72"/>
      <c r="O2178" s="69"/>
      <c r="P2178" s="69"/>
      <c r="Q2178" s="69"/>
      <c r="R2178" s="69"/>
      <c r="S2178" s="69"/>
      <c r="T2178" s="69"/>
      <c r="U2178" s="69"/>
      <c r="V2178" s="69"/>
      <c r="W2178" s="69"/>
      <c r="X2178" s="69"/>
      <c r="Y2178" s="69"/>
      <c r="Z2178" s="69"/>
      <c r="AA2178" s="69"/>
      <c r="AB2178" s="69"/>
      <c r="AC2178" s="69"/>
      <c r="AD2178" s="69"/>
      <c r="AE2178" s="69"/>
      <c r="AF2178" s="69"/>
      <c r="AG2178" s="69"/>
      <c r="AH2178" s="69"/>
      <c r="AI2178" s="69"/>
      <c r="AJ2178" s="69"/>
      <c r="AK2178" s="69"/>
      <c r="AL2178" s="69"/>
      <c r="AM2178" s="69"/>
      <c r="AN2178" s="69"/>
      <c r="AO2178" s="69"/>
      <c r="AP2178" s="69"/>
      <c r="AQ2178" s="69"/>
      <c r="AR2178" s="69"/>
      <c r="AS2178" s="69"/>
      <c r="AT2178" s="69"/>
      <c r="AU2178" s="69"/>
      <c r="AV2178" s="69"/>
      <c r="AW2178" s="69"/>
      <c r="AX2178" s="69"/>
      <c r="AY2178" s="69"/>
      <c r="AZ2178" s="69"/>
      <c r="BA2178" s="69"/>
      <c r="BB2178" s="69"/>
      <c r="BC2178" s="69"/>
    </row>
    <row r="2179">
      <c r="A2179" s="68"/>
      <c r="B2179" s="68"/>
      <c r="C2179" s="68"/>
      <c r="D2179" s="68"/>
      <c r="E2179" s="68"/>
      <c r="F2179" s="68"/>
      <c r="G2179" s="68"/>
      <c r="H2179" s="68"/>
      <c r="I2179" s="69"/>
      <c r="J2179" s="69"/>
      <c r="K2179" s="71"/>
      <c r="L2179" s="69"/>
      <c r="M2179" s="69"/>
      <c r="N2179" s="72"/>
      <c r="O2179" s="69"/>
      <c r="P2179" s="69"/>
      <c r="Q2179" s="69"/>
      <c r="R2179" s="69"/>
      <c r="S2179" s="69"/>
      <c r="T2179" s="69"/>
      <c r="U2179" s="69"/>
      <c r="V2179" s="69"/>
      <c r="W2179" s="69"/>
      <c r="X2179" s="69"/>
      <c r="Y2179" s="69"/>
      <c r="Z2179" s="69"/>
      <c r="AA2179" s="69"/>
      <c r="AB2179" s="69"/>
      <c r="AC2179" s="69"/>
      <c r="AD2179" s="69"/>
      <c r="AE2179" s="69"/>
      <c r="AF2179" s="69"/>
      <c r="AG2179" s="69"/>
      <c r="AH2179" s="69"/>
      <c r="AI2179" s="69"/>
      <c r="AJ2179" s="69"/>
      <c r="AK2179" s="69"/>
      <c r="AL2179" s="69"/>
      <c r="AM2179" s="69"/>
      <c r="AN2179" s="69"/>
      <c r="AO2179" s="69"/>
      <c r="AP2179" s="69"/>
      <c r="AQ2179" s="69"/>
      <c r="AR2179" s="69"/>
      <c r="AS2179" s="69"/>
      <c r="AT2179" s="69"/>
      <c r="AU2179" s="69"/>
      <c r="AV2179" s="69"/>
      <c r="AW2179" s="69"/>
      <c r="AX2179" s="69"/>
      <c r="AY2179" s="69"/>
      <c r="AZ2179" s="69"/>
      <c r="BA2179" s="69"/>
      <c r="BB2179" s="69"/>
      <c r="BC2179" s="69"/>
    </row>
    <row r="2180">
      <c r="A2180" s="68"/>
      <c r="B2180" s="68"/>
      <c r="C2180" s="68"/>
      <c r="D2180" s="68"/>
      <c r="E2180" s="68"/>
      <c r="F2180" s="68"/>
      <c r="G2180" s="68"/>
      <c r="H2180" s="68"/>
      <c r="I2180" s="69"/>
      <c r="J2180" s="69"/>
      <c r="K2180" s="71"/>
      <c r="L2180" s="69"/>
      <c r="M2180" s="69"/>
      <c r="N2180" s="72"/>
      <c r="O2180" s="69"/>
      <c r="P2180" s="69"/>
      <c r="Q2180" s="69"/>
      <c r="R2180" s="69"/>
      <c r="S2180" s="69"/>
      <c r="T2180" s="69"/>
      <c r="U2180" s="69"/>
      <c r="V2180" s="69"/>
      <c r="W2180" s="69"/>
      <c r="X2180" s="69"/>
      <c r="Y2180" s="69"/>
      <c r="Z2180" s="69"/>
      <c r="AA2180" s="69"/>
      <c r="AB2180" s="69"/>
      <c r="AC2180" s="69"/>
      <c r="AD2180" s="69"/>
      <c r="AE2180" s="69"/>
      <c r="AF2180" s="69"/>
      <c r="AG2180" s="69"/>
      <c r="AH2180" s="69"/>
      <c r="AI2180" s="69"/>
      <c r="AJ2180" s="69"/>
      <c r="AK2180" s="69"/>
      <c r="AL2180" s="69"/>
      <c r="AM2180" s="69"/>
      <c r="AN2180" s="69"/>
      <c r="AO2180" s="69"/>
      <c r="AP2180" s="69"/>
      <c r="AQ2180" s="69"/>
      <c r="AR2180" s="69"/>
      <c r="AS2180" s="69"/>
      <c r="AT2180" s="69"/>
      <c r="AU2180" s="69"/>
      <c r="AV2180" s="69"/>
      <c r="AW2180" s="69"/>
      <c r="AX2180" s="69"/>
      <c r="AY2180" s="69"/>
      <c r="AZ2180" s="69"/>
      <c r="BA2180" s="69"/>
      <c r="BB2180" s="69"/>
      <c r="BC2180" s="69"/>
    </row>
    <row r="2181">
      <c r="A2181" s="68"/>
      <c r="B2181" s="68"/>
      <c r="C2181" s="68"/>
      <c r="D2181" s="68"/>
      <c r="E2181" s="68"/>
      <c r="F2181" s="68"/>
      <c r="G2181" s="68"/>
      <c r="H2181" s="68"/>
      <c r="I2181" s="69"/>
      <c r="J2181" s="69"/>
      <c r="K2181" s="71"/>
      <c r="L2181" s="69"/>
      <c r="M2181" s="69"/>
      <c r="N2181" s="72"/>
      <c r="O2181" s="69"/>
      <c r="P2181" s="69"/>
      <c r="Q2181" s="69"/>
      <c r="R2181" s="69"/>
      <c r="S2181" s="69"/>
      <c r="T2181" s="69"/>
      <c r="U2181" s="69"/>
      <c r="V2181" s="69"/>
      <c r="W2181" s="69"/>
      <c r="X2181" s="69"/>
      <c r="Y2181" s="69"/>
      <c r="Z2181" s="69"/>
      <c r="AA2181" s="69"/>
      <c r="AB2181" s="69"/>
      <c r="AC2181" s="69"/>
      <c r="AD2181" s="69"/>
      <c r="AE2181" s="69"/>
      <c r="AF2181" s="69"/>
      <c r="AG2181" s="69"/>
      <c r="AH2181" s="69"/>
      <c r="AI2181" s="69"/>
      <c r="AJ2181" s="69"/>
      <c r="AK2181" s="69"/>
      <c r="AL2181" s="69"/>
      <c r="AM2181" s="69"/>
      <c r="AN2181" s="69"/>
      <c r="AO2181" s="69"/>
      <c r="AP2181" s="69"/>
      <c r="AQ2181" s="69"/>
      <c r="AR2181" s="69"/>
      <c r="AS2181" s="69"/>
      <c r="AT2181" s="69"/>
      <c r="AU2181" s="69"/>
      <c r="AV2181" s="69"/>
      <c r="AW2181" s="69"/>
      <c r="AX2181" s="69"/>
      <c r="AY2181" s="69"/>
      <c r="AZ2181" s="69"/>
      <c r="BA2181" s="69"/>
      <c r="BB2181" s="69"/>
      <c r="BC2181" s="69"/>
    </row>
    <row r="2182">
      <c r="A2182" s="68"/>
      <c r="B2182" s="68"/>
      <c r="C2182" s="68"/>
      <c r="D2182" s="68"/>
      <c r="E2182" s="68"/>
      <c r="F2182" s="68"/>
      <c r="G2182" s="68"/>
      <c r="H2182" s="68"/>
      <c r="I2182" s="69"/>
      <c r="J2182" s="69"/>
      <c r="K2182" s="71"/>
      <c r="L2182" s="69"/>
      <c r="M2182" s="69"/>
      <c r="N2182" s="72"/>
      <c r="O2182" s="69"/>
      <c r="P2182" s="69"/>
      <c r="Q2182" s="69"/>
      <c r="R2182" s="69"/>
      <c r="S2182" s="69"/>
      <c r="T2182" s="69"/>
      <c r="U2182" s="69"/>
      <c r="V2182" s="69"/>
      <c r="W2182" s="69"/>
      <c r="X2182" s="69"/>
      <c r="Y2182" s="69"/>
      <c r="Z2182" s="69"/>
      <c r="AA2182" s="69"/>
      <c r="AB2182" s="69"/>
      <c r="AC2182" s="69"/>
      <c r="AD2182" s="69"/>
      <c r="AE2182" s="69"/>
      <c r="AF2182" s="69"/>
      <c r="AG2182" s="69"/>
      <c r="AH2182" s="69"/>
      <c r="AI2182" s="69"/>
      <c r="AJ2182" s="69"/>
      <c r="AK2182" s="69"/>
      <c r="AL2182" s="69"/>
      <c r="AM2182" s="69"/>
      <c r="AN2182" s="69"/>
      <c r="AO2182" s="69"/>
      <c r="AP2182" s="69"/>
      <c r="AQ2182" s="69"/>
      <c r="AR2182" s="69"/>
      <c r="AS2182" s="69"/>
      <c r="AT2182" s="69"/>
      <c r="AU2182" s="69"/>
      <c r="AV2182" s="69"/>
      <c r="AW2182" s="69"/>
      <c r="AX2182" s="69"/>
      <c r="AY2182" s="69"/>
      <c r="AZ2182" s="69"/>
      <c r="BA2182" s="69"/>
      <c r="BB2182" s="69"/>
      <c r="BC2182" s="69"/>
    </row>
    <row r="2183">
      <c r="A2183" s="68"/>
      <c r="B2183" s="68"/>
      <c r="C2183" s="68"/>
      <c r="D2183" s="68"/>
      <c r="E2183" s="68"/>
      <c r="F2183" s="68"/>
      <c r="G2183" s="68"/>
      <c r="H2183" s="68"/>
      <c r="I2183" s="69"/>
      <c r="J2183" s="69"/>
      <c r="K2183" s="71"/>
      <c r="L2183" s="69"/>
      <c r="M2183" s="69"/>
      <c r="N2183" s="72"/>
      <c r="O2183" s="69"/>
      <c r="P2183" s="69"/>
      <c r="Q2183" s="69"/>
      <c r="R2183" s="69"/>
      <c r="S2183" s="69"/>
      <c r="T2183" s="69"/>
      <c r="U2183" s="69"/>
      <c r="V2183" s="69"/>
      <c r="W2183" s="69"/>
      <c r="X2183" s="69"/>
      <c r="Y2183" s="69"/>
      <c r="Z2183" s="69"/>
      <c r="AA2183" s="69"/>
      <c r="AB2183" s="69"/>
      <c r="AC2183" s="69"/>
      <c r="AD2183" s="69"/>
      <c r="AE2183" s="69"/>
      <c r="AF2183" s="69"/>
      <c r="AG2183" s="69"/>
      <c r="AH2183" s="69"/>
      <c r="AI2183" s="69"/>
      <c r="AJ2183" s="69"/>
      <c r="AK2183" s="69"/>
      <c r="AL2183" s="69"/>
      <c r="AM2183" s="69"/>
      <c r="AN2183" s="69"/>
      <c r="AO2183" s="69"/>
      <c r="AP2183" s="69"/>
      <c r="AQ2183" s="69"/>
      <c r="AR2183" s="69"/>
      <c r="AS2183" s="69"/>
      <c r="AT2183" s="69"/>
      <c r="AU2183" s="69"/>
      <c r="AV2183" s="69"/>
      <c r="AW2183" s="69"/>
      <c r="AX2183" s="69"/>
      <c r="AY2183" s="69"/>
      <c r="AZ2183" s="69"/>
      <c r="BA2183" s="69"/>
      <c r="BB2183" s="69"/>
      <c r="BC2183" s="69"/>
    </row>
    <row r="2184">
      <c r="A2184" s="68"/>
      <c r="B2184" s="68"/>
      <c r="C2184" s="68"/>
      <c r="D2184" s="68"/>
      <c r="E2184" s="68"/>
      <c r="F2184" s="68"/>
      <c r="G2184" s="68"/>
      <c r="H2184" s="68"/>
      <c r="I2184" s="69"/>
      <c r="J2184" s="69"/>
      <c r="K2184" s="71"/>
      <c r="L2184" s="69"/>
      <c r="M2184" s="69"/>
      <c r="N2184" s="72"/>
      <c r="O2184" s="69"/>
      <c r="P2184" s="69"/>
      <c r="Q2184" s="69"/>
      <c r="R2184" s="69"/>
      <c r="S2184" s="69"/>
      <c r="T2184" s="69"/>
      <c r="U2184" s="69"/>
      <c r="V2184" s="69"/>
      <c r="W2184" s="69"/>
      <c r="X2184" s="69"/>
      <c r="Y2184" s="69"/>
      <c r="Z2184" s="69"/>
      <c r="AA2184" s="69"/>
      <c r="AB2184" s="69"/>
      <c r="AC2184" s="69"/>
      <c r="AD2184" s="69"/>
      <c r="AE2184" s="69"/>
      <c r="AF2184" s="69"/>
      <c r="AG2184" s="69"/>
      <c r="AH2184" s="69"/>
      <c r="AI2184" s="69"/>
      <c r="AJ2184" s="69"/>
      <c r="AK2184" s="69"/>
      <c r="AL2184" s="69"/>
      <c r="AM2184" s="69"/>
      <c r="AN2184" s="69"/>
      <c r="AO2184" s="69"/>
      <c r="AP2184" s="69"/>
      <c r="AQ2184" s="69"/>
      <c r="AR2184" s="69"/>
      <c r="AS2184" s="69"/>
      <c r="AT2184" s="69"/>
      <c r="AU2184" s="69"/>
      <c r="AV2184" s="69"/>
      <c r="AW2184" s="69"/>
      <c r="AX2184" s="69"/>
      <c r="AY2184" s="69"/>
      <c r="AZ2184" s="69"/>
      <c r="BA2184" s="69"/>
      <c r="BB2184" s="69"/>
      <c r="BC2184" s="69"/>
    </row>
    <row r="2185">
      <c r="A2185" s="68"/>
      <c r="B2185" s="68"/>
      <c r="C2185" s="68"/>
      <c r="D2185" s="68"/>
      <c r="E2185" s="68"/>
      <c r="F2185" s="68"/>
      <c r="G2185" s="68"/>
      <c r="H2185" s="68"/>
      <c r="I2185" s="69"/>
      <c r="J2185" s="69"/>
      <c r="K2185" s="71"/>
      <c r="L2185" s="69"/>
      <c r="M2185" s="69"/>
      <c r="N2185" s="72"/>
      <c r="O2185" s="69"/>
      <c r="P2185" s="69"/>
      <c r="Q2185" s="69"/>
      <c r="R2185" s="69"/>
      <c r="S2185" s="69"/>
      <c r="T2185" s="69"/>
      <c r="U2185" s="69"/>
      <c r="V2185" s="69"/>
      <c r="W2185" s="69"/>
      <c r="X2185" s="69"/>
      <c r="Y2185" s="69"/>
      <c r="Z2185" s="69"/>
      <c r="AA2185" s="69"/>
      <c r="AB2185" s="69"/>
      <c r="AC2185" s="69"/>
      <c r="AD2185" s="69"/>
      <c r="AE2185" s="69"/>
      <c r="AF2185" s="69"/>
      <c r="AG2185" s="69"/>
      <c r="AH2185" s="69"/>
      <c r="AI2185" s="69"/>
      <c r="AJ2185" s="69"/>
      <c r="AK2185" s="69"/>
      <c r="AL2185" s="69"/>
      <c r="AM2185" s="69"/>
      <c r="AN2185" s="69"/>
      <c r="AO2185" s="69"/>
      <c r="AP2185" s="69"/>
      <c r="AQ2185" s="69"/>
      <c r="AR2185" s="69"/>
      <c r="AS2185" s="69"/>
      <c r="AT2185" s="69"/>
      <c r="AU2185" s="69"/>
      <c r="AV2185" s="69"/>
      <c r="AW2185" s="69"/>
      <c r="AX2185" s="69"/>
      <c r="AY2185" s="69"/>
      <c r="AZ2185" s="69"/>
      <c r="BA2185" s="69"/>
      <c r="BB2185" s="69"/>
      <c r="BC2185" s="69"/>
    </row>
    <row r="2186">
      <c r="A2186" s="68"/>
      <c r="B2186" s="68"/>
      <c r="C2186" s="68"/>
      <c r="D2186" s="68"/>
      <c r="E2186" s="68"/>
      <c r="F2186" s="68"/>
      <c r="G2186" s="68"/>
      <c r="H2186" s="68"/>
      <c r="I2186" s="69"/>
      <c r="J2186" s="69"/>
      <c r="K2186" s="71"/>
      <c r="L2186" s="69"/>
      <c r="M2186" s="69"/>
      <c r="N2186" s="72"/>
      <c r="O2186" s="69"/>
      <c r="P2186" s="69"/>
      <c r="Q2186" s="69"/>
      <c r="R2186" s="69"/>
      <c r="S2186" s="69"/>
      <c r="T2186" s="69"/>
      <c r="U2186" s="69"/>
      <c r="V2186" s="69"/>
      <c r="W2186" s="69"/>
      <c r="X2186" s="69"/>
      <c r="Y2186" s="69"/>
      <c r="Z2186" s="69"/>
      <c r="AA2186" s="69"/>
      <c r="AB2186" s="69"/>
      <c r="AC2186" s="69"/>
      <c r="AD2186" s="69"/>
      <c r="AE2186" s="69"/>
      <c r="AF2186" s="69"/>
      <c r="AG2186" s="69"/>
      <c r="AH2186" s="69"/>
      <c r="AI2186" s="69"/>
      <c r="AJ2186" s="69"/>
      <c r="AK2186" s="69"/>
      <c r="AL2186" s="69"/>
      <c r="AM2186" s="69"/>
      <c r="AN2186" s="69"/>
      <c r="AO2186" s="69"/>
      <c r="AP2186" s="69"/>
      <c r="AQ2186" s="69"/>
      <c r="AR2186" s="69"/>
      <c r="AS2186" s="69"/>
      <c r="AT2186" s="69"/>
      <c r="AU2186" s="69"/>
      <c r="AV2186" s="69"/>
      <c r="AW2186" s="69"/>
      <c r="AX2186" s="69"/>
      <c r="AY2186" s="69"/>
      <c r="AZ2186" s="69"/>
      <c r="BA2186" s="69"/>
      <c r="BB2186" s="69"/>
      <c r="BC2186" s="69"/>
    </row>
    <row r="2187">
      <c r="A2187" s="68"/>
      <c r="B2187" s="68"/>
      <c r="C2187" s="68"/>
      <c r="D2187" s="68"/>
      <c r="E2187" s="68"/>
      <c r="F2187" s="68"/>
      <c r="G2187" s="68"/>
      <c r="H2187" s="68"/>
      <c r="I2187" s="69"/>
      <c r="J2187" s="69"/>
      <c r="K2187" s="71"/>
      <c r="L2187" s="69"/>
      <c r="M2187" s="69"/>
      <c r="N2187" s="72"/>
      <c r="O2187" s="69"/>
      <c r="P2187" s="69"/>
      <c r="Q2187" s="69"/>
      <c r="R2187" s="69"/>
      <c r="S2187" s="69"/>
      <c r="T2187" s="69"/>
      <c r="U2187" s="69"/>
      <c r="V2187" s="69"/>
      <c r="W2187" s="69"/>
      <c r="X2187" s="69"/>
      <c r="Y2187" s="69"/>
      <c r="Z2187" s="69"/>
      <c r="AA2187" s="69"/>
      <c r="AB2187" s="69"/>
      <c r="AC2187" s="69"/>
      <c r="AD2187" s="69"/>
      <c r="AE2187" s="69"/>
      <c r="AF2187" s="69"/>
      <c r="AG2187" s="69"/>
      <c r="AH2187" s="69"/>
      <c r="AI2187" s="69"/>
      <c r="AJ2187" s="69"/>
      <c r="AK2187" s="69"/>
      <c r="AL2187" s="69"/>
      <c r="AM2187" s="69"/>
      <c r="AN2187" s="69"/>
      <c r="AO2187" s="69"/>
      <c r="AP2187" s="69"/>
      <c r="AQ2187" s="69"/>
      <c r="AR2187" s="69"/>
      <c r="AS2187" s="69"/>
      <c r="AT2187" s="69"/>
      <c r="AU2187" s="69"/>
      <c r="AV2187" s="69"/>
      <c r="AW2187" s="69"/>
      <c r="AX2187" s="69"/>
      <c r="AY2187" s="69"/>
      <c r="AZ2187" s="69"/>
      <c r="BA2187" s="69"/>
      <c r="BB2187" s="69"/>
      <c r="BC2187" s="69"/>
    </row>
    <row r="2188">
      <c r="A2188" s="68"/>
      <c r="B2188" s="68"/>
      <c r="C2188" s="68"/>
      <c r="D2188" s="68"/>
      <c r="E2188" s="68"/>
      <c r="F2188" s="68"/>
      <c r="G2188" s="68"/>
      <c r="H2188" s="68"/>
      <c r="I2188" s="69"/>
      <c r="J2188" s="69"/>
      <c r="K2188" s="71"/>
      <c r="L2188" s="69"/>
      <c r="M2188" s="69"/>
      <c r="N2188" s="72"/>
      <c r="O2188" s="69"/>
      <c r="P2188" s="69"/>
      <c r="Q2188" s="69"/>
      <c r="R2188" s="69"/>
      <c r="S2188" s="69"/>
      <c r="T2188" s="69"/>
      <c r="U2188" s="69"/>
      <c r="V2188" s="69"/>
      <c r="W2188" s="69"/>
      <c r="X2188" s="69"/>
      <c r="Y2188" s="69"/>
      <c r="Z2188" s="69"/>
      <c r="AA2188" s="69"/>
      <c r="AB2188" s="69"/>
      <c r="AC2188" s="69"/>
      <c r="AD2188" s="69"/>
      <c r="AE2188" s="69"/>
      <c r="AF2188" s="69"/>
      <c r="AG2188" s="69"/>
      <c r="AH2188" s="69"/>
      <c r="AI2188" s="69"/>
      <c r="AJ2188" s="69"/>
      <c r="AK2188" s="69"/>
      <c r="AL2188" s="69"/>
      <c r="AM2188" s="69"/>
      <c r="AN2188" s="69"/>
      <c r="AO2188" s="69"/>
      <c r="AP2188" s="69"/>
      <c r="AQ2188" s="69"/>
      <c r="AR2188" s="69"/>
      <c r="AS2188" s="69"/>
      <c r="AT2188" s="69"/>
      <c r="AU2188" s="69"/>
      <c r="AV2188" s="69"/>
      <c r="AW2188" s="69"/>
      <c r="AX2188" s="69"/>
      <c r="AY2188" s="69"/>
      <c r="AZ2188" s="69"/>
      <c r="BA2188" s="69"/>
      <c r="BB2188" s="69"/>
      <c r="BC2188" s="69"/>
    </row>
    <row r="2189">
      <c r="A2189" s="68"/>
      <c r="B2189" s="68"/>
      <c r="C2189" s="68"/>
      <c r="D2189" s="68"/>
      <c r="E2189" s="68"/>
      <c r="F2189" s="68"/>
      <c r="G2189" s="68"/>
      <c r="H2189" s="68"/>
      <c r="I2189" s="69"/>
      <c r="J2189" s="69"/>
      <c r="K2189" s="71"/>
      <c r="L2189" s="69"/>
      <c r="M2189" s="69"/>
      <c r="N2189" s="72"/>
      <c r="O2189" s="69"/>
      <c r="P2189" s="69"/>
      <c r="Q2189" s="69"/>
      <c r="R2189" s="69"/>
      <c r="S2189" s="69"/>
      <c r="T2189" s="69"/>
      <c r="U2189" s="69"/>
      <c r="V2189" s="69"/>
      <c r="W2189" s="69"/>
      <c r="X2189" s="69"/>
      <c r="Y2189" s="69"/>
      <c r="Z2189" s="69"/>
      <c r="AA2189" s="69"/>
      <c r="AB2189" s="69"/>
      <c r="AC2189" s="69"/>
      <c r="AD2189" s="69"/>
      <c r="AE2189" s="69"/>
      <c r="AF2189" s="69"/>
      <c r="AG2189" s="69"/>
      <c r="AH2189" s="69"/>
      <c r="AI2189" s="69"/>
      <c r="AJ2189" s="69"/>
      <c r="AK2189" s="69"/>
      <c r="AL2189" s="69"/>
      <c r="AM2189" s="69"/>
      <c r="AN2189" s="69"/>
      <c r="AO2189" s="69"/>
      <c r="AP2189" s="69"/>
      <c r="AQ2189" s="69"/>
      <c r="AR2189" s="69"/>
      <c r="AS2189" s="69"/>
      <c r="AT2189" s="69"/>
      <c r="AU2189" s="69"/>
      <c r="AV2189" s="69"/>
      <c r="AW2189" s="69"/>
      <c r="AX2189" s="69"/>
      <c r="AY2189" s="69"/>
      <c r="AZ2189" s="69"/>
      <c r="BA2189" s="69"/>
      <c r="BB2189" s="69"/>
      <c r="BC2189" s="69"/>
    </row>
    <row r="2190">
      <c r="A2190" s="68"/>
      <c r="B2190" s="68"/>
      <c r="C2190" s="68"/>
      <c r="D2190" s="68"/>
      <c r="E2190" s="68"/>
      <c r="F2190" s="68"/>
      <c r="G2190" s="68"/>
      <c r="H2190" s="68"/>
      <c r="I2190" s="69"/>
      <c r="J2190" s="69"/>
      <c r="K2190" s="71"/>
      <c r="L2190" s="69"/>
      <c r="M2190" s="69"/>
      <c r="N2190" s="72"/>
      <c r="O2190" s="69"/>
      <c r="P2190" s="69"/>
      <c r="Q2190" s="69"/>
      <c r="R2190" s="69"/>
      <c r="S2190" s="69"/>
      <c r="T2190" s="69"/>
      <c r="U2190" s="69"/>
      <c r="V2190" s="69"/>
      <c r="W2190" s="69"/>
      <c r="X2190" s="69"/>
      <c r="Y2190" s="69"/>
      <c r="Z2190" s="69"/>
      <c r="AA2190" s="69"/>
      <c r="AB2190" s="69"/>
      <c r="AC2190" s="69"/>
      <c r="AD2190" s="69"/>
      <c r="AE2190" s="69"/>
      <c r="AF2190" s="69"/>
      <c r="AG2190" s="69"/>
      <c r="AH2190" s="69"/>
      <c r="AI2190" s="69"/>
      <c r="AJ2190" s="69"/>
      <c r="AK2190" s="69"/>
      <c r="AL2190" s="69"/>
      <c r="AM2190" s="69"/>
      <c r="AN2190" s="69"/>
      <c r="AO2190" s="69"/>
      <c r="AP2190" s="69"/>
      <c r="AQ2190" s="69"/>
      <c r="AR2190" s="69"/>
      <c r="AS2190" s="69"/>
      <c r="AT2190" s="69"/>
      <c r="AU2190" s="69"/>
      <c r="AV2190" s="69"/>
      <c r="AW2190" s="69"/>
      <c r="AX2190" s="69"/>
      <c r="AY2190" s="69"/>
      <c r="AZ2190" s="69"/>
      <c r="BA2190" s="69"/>
      <c r="BB2190" s="69"/>
      <c r="BC2190" s="69"/>
    </row>
    <row r="2191">
      <c r="A2191" s="68"/>
      <c r="B2191" s="68"/>
      <c r="C2191" s="68"/>
      <c r="D2191" s="68"/>
      <c r="E2191" s="68"/>
      <c r="F2191" s="68"/>
      <c r="G2191" s="68"/>
      <c r="H2191" s="68"/>
      <c r="I2191" s="69"/>
      <c r="J2191" s="69"/>
      <c r="K2191" s="71"/>
      <c r="L2191" s="69"/>
      <c r="M2191" s="69"/>
      <c r="N2191" s="72"/>
      <c r="O2191" s="69"/>
      <c r="P2191" s="69"/>
      <c r="Q2191" s="69"/>
      <c r="R2191" s="69"/>
      <c r="S2191" s="69"/>
      <c r="T2191" s="69"/>
      <c r="U2191" s="69"/>
      <c r="V2191" s="69"/>
      <c r="W2191" s="69"/>
      <c r="X2191" s="69"/>
      <c r="Y2191" s="69"/>
      <c r="Z2191" s="69"/>
      <c r="AA2191" s="69"/>
      <c r="AB2191" s="69"/>
      <c r="AC2191" s="69"/>
      <c r="AD2191" s="69"/>
      <c r="AE2191" s="69"/>
      <c r="AF2191" s="69"/>
      <c r="AG2191" s="69"/>
      <c r="AH2191" s="69"/>
      <c r="AI2191" s="69"/>
      <c r="AJ2191" s="69"/>
      <c r="AK2191" s="69"/>
      <c r="AL2191" s="69"/>
      <c r="AM2191" s="69"/>
      <c r="AN2191" s="69"/>
      <c r="AO2191" s="69"/>
      <c r="AP2191" s="69"/>
      <c r="AQ2191" s="69"/>
      <c r="AR2191" s="69"/>
      <c r="AS2191" s="69"/>
      <c r="AT2191" s="69"/>
      <c r="AU2191" s="69"/>
      <c r="AV2191" s="69"/>
      <c r="AW2191" s="69"/>
      <c r="AX2191" s="69"/>
      <c r="AY2191" s="69"/>
      <c r="AZ2191" s="69"/>
      <c r="BA2191" s="69"/>
      <c r="BB2191" s="69"/>
      <c r="BC2191" s="69"/>
    </row>
    <row r="2192">
      <c r="A2192" s="68"/>
      <c r="B2192" s="68"/>
      <c r="C2192" s="68"/>
      <c r="D2192" s="68"/>
      <c r="E2192" s="68"/>
      <c r="F2192" s="68"/>
      <c r="G2192" s="68"/>
      <c r="H2192" s="68"/>
      <c r="I2192" s="69"/>
      <c r="J2192" s="69"/>
      <c r="K2192" s="71"/>
      <c r="L2192" s="69"/>
      <c r="M2192" s="69"/>
      <c r="N2192" s="72"/>
      <c r="O2192" s="69"/>
      <c r="P2192" s="69"/>
      <c r="Q2192" s="69"/>
      <c r="R2192" s="69"/>
      <c r="S2192" s="69"/>
      <c r="T2192" s="69"/>
      <c r="U2192" s="69"/>
      <c r="V2192" s="69"/>
      <c r="W2192" s="69"/>
      <c r="X2192" s="69"/>
      <c r="Y2192" s="69"/>
      <c r="Z2192" s="69"/>
      <c r="AA2192" s="69"/>
      <c r="AB2192" s="69"/>
      <c r="AC2192" s="69"/>
      <c r="AD2192" s="69"/>
      <c r="AE2192" s="69"/>
      <c r="AF2192" s="69"/>
      <c r="AG2192" s="69"/>
      <c r="AH2192" s="69"/>
      <c r="AI2192" s="69"/>
      <c r="AJ2192" s="69"/>
      <c r="AK2192" s="69"/>
      <c r="AL2192" s="69"/>
      <c r="AM2192" s="69"/>
      <c r="AN2192" s="69"/>
      <c r="AO2192" s="69"/>
      <c r="AP2192" s="69"/>
      <c r="AQ2192" s="69"/>
      <c r="AR2192" s="69"/>
      <c r="AS2192" s="69"/>
      <c r="AT2192" s="69"/>
      <c r="AU2192" s="69"/>
      <c r="AV2192" s="69"/>
      <c r="AW2192" s="69"/>
      <c r="AX2192" s="69"/>
      <c r="AY2192" s="69"/>
      <c r="AZ2192" s="69"/>
      <c r="BA2192" s="69"/>
      <c r="BB2192" s="69"/>
      <c r="BC2192" s="69"/>
    </row>
    <row r="2193">
      <c r="A2193" s="68"/>
      <c r="B2193" s="68"/>
      <c r="C2193" s="68"/>
      <c r="D2193" s="68"/>
      <c r="E2193" s="68"/>
      <c r="F2193" s="68"/>
      <c r="G2193" s="68"/>
      <c r="H2193" s="68"/>
      <c r="I2193" s="69"/>
      <c r="J2193" s="69"/>
      <c r="K2193" s="71"/>
      <c r="L2193" s="69"/>
      <c r="M2193" s="69"/>
      <c r="N2193" s="72"/>
      <c r="O2193" s="69"/>
      <c r="P2193" s="69"/>
      <c r="Q2193" s="69"/>
      <c r="R2193" s="69"/>
      <c r="S2193" s="69"/>
      <c r="T2193" s="69"/>
      <c r="U2193" s="69"/>
      <c r="V2193" s="69"/>
      <c r="W2193" s="69"/>
      <c r="X2193" s="69"/>
      <c r="Y2193" s="69"/>
      <c r="Z2193" s="69"/>
      <c r="AA2193" s="69"/>
      <c r="AB2193" s="69"/>
      <c r="AC2193" s="69"/>
      <c r="AD2193" s="69"/>
      <c r="AE2193" s="69"/>
      <c r="AF2193" s="69"/>
      <c r="AG2193" s="69"/>
      <c r="AH2193" s="69"/>
      <c r="AI2193" s="69"/>
      <c r="AJ2193" s="69"/>
      <c r="AK2193" s="69"/>
      <c r="AL2193" s="69"/>
      <c r="AM2193" s="69"/>
      <c r="AN2193" s="69"/>
      <c r="AO2193" s="69"/>
      <c r="AP2193" s="69"/>
      <c r="AQ2193" s="69"/>
      <c r="AR2193" s="69"/>
      <c r="AS2193" s="69"/>
      <c r="AT2193" s="69"/>
      <c r="AU2193" s="69"/>
      <c r="AV2193" s="69"/>
      <c r="AW2193" s="69"/>
      <c r="AX2193" s="69"/>
      <c r="AY2193" s="69"/>
      <c r="AZ2193" s="69"/>
      <c r="BA2193" s="69"/>
      <c r="BB2193" s="69"/>
      <c r="BC2193" s="69"/>
    </row>
    <row r="2194">
      <c r="A2194" s="68"/>
      <c r="B2194" s="68"/>
      <c r="C2194" s="68"/>
      <c r="D2194" s="68"/>
      <c r="E2194" s="68"/>
      <c r="F2194" s="68"/>
      <c r="G2194" s="68"/>
      <c r="H2194" s="68"/>
      <c r="I2194" s="69"/>
      <c r="J2194" s="69"/>
      <c r="K2194" s="71"/>
      <c r="L2194" s="69"/>
      <c r="M2194" s="69"/>
      <c r="N2194" s="72"/>
      <c r="O2194" s="69"/>
      <c r="P2194" s="69"/>
      <c r="Q2194" s="69"/>
      <c r="R2194" s="69"/>
      <c r="S2194" s="69"/>
      <c r="T2194" s="69"/>
      <c r="U2194" s="69"/>
      <c r="V2194" s="69"/>
      <c r="W2194" s="69"/>
      <c r="X2194" s="69"/>
      <c r="Y2194" s="69"/>
      <c r="Z2194" s="69"/>
      <c r="AA2194" s="69"/>
      <c r="AB2194" s="69"/>
      <c r="AC2194" s="69"/>
      <c r="AD2194" s="69"/>
      <c r="AE2194" s="69"/>
      <c r="AF2194" s="69"/>
      <c r="AG2194" s="69"/>
      <c r="AH2194" s="69"/>
      <c r="AI2194" s="69"/>
      <c r="AJ2194" s="69"/>
      <c r="AK2194" s="69"/>
      <c r="AL2194" s="69"/>
      <c r="AM2194" s="69"/>
      <c r="AN2194" s="69"/>
      <c r="AO2194" s="69"/>
      <c r="AP2194" s="69"/>
      <c r="AQ2194" s="69"/>
      <c r="AR2194" s="69"/>
      <c r="AS2194" s="69"/>
      <c r="AT2194" s="69"/>
      <c r="AU2194" s="69"/>
      <c r="AV2194" s="69"/>
      <c r="AW2194" s="69"/>
      <c r="AX2194" s="69"/>
      <c r="AY2194" s="69"/>
      <c r="AZ2194" s="69"/>
      <c r="BA2194" s="69"/>
      <c r="BB2194" s="69"/>
      <c r="BC2194" s="69"/>
    </row>
    <row r="2195">
      <c r="A2195" s="68"/>
      <c r="B2195" s="68"/>
      <c r="C2195" s="68"/>
      <c r="D2195" s="68"/>
      <c r="E2195" s="68"/>
      <c r="F2195" s="68"/>
      <c r="G2195" s="68"/>
      <c r="H2195" s="68"/>
      <c r="I2195" s="69"/>
      <c r="J2195" s="69"/>
      <c r="K2195" s="71"/>
      <c r="L2195" s="69"/>
      <c r="M2195" s="69"/>
      <c r="N2195" s="72"/>
      <c r="O2195" s="69"/>
      <c r="P2195" s="69"/>
      <c r="Q2195" s="69"/>
      <c r="R2195" s="69"/>
      <c r="S2195" s="69"/>
      <c r="T2195" s="69"/>
      <c r="U2195" s="69"/>
      <c r="V2195" s="69"/>
      <c r="W2195" s="69"/>
      <c r="X2195" s="69"/>
      <c r="Y2195" s="69"/>
      <c r="Z2195" s="69"/>
      <c r="AA2195" s="69"/>
      <c r="AB2195" s="69"/>
      <c r="AC2195" s="69"/>
      <c r="AD2195" s="69"/>
      <c r="AE2195" s="69"/>
      <c r="AF2195" s="69"/>
      <c r="AG2195" s="69"/>
      <c r="AH2195" s="69"/>
      <c r="AI2195" s="69"/>
      <c r="AJ2195" s="69"/>
      <c r="AK2195" s="69"/>
      <c r="AL2195" s="69"/>
      <c r="AM2195" s="69"/>
      <c r="AN2195" s="69"/>
      <c r="AO2195" s="69"/>
      <c r="AP2195" s="69"/>
      <c r="AQ2195" s="69"/>
      <c r="AR2195" s="69"/>
      <c r="AS2195" s="69"/>
      <c r="AT2195" s="69"/>
      <c r="AU2195" s="69"/>
      <c r="AV2195" s="69"/>
      <c r="AW2195" s="69"/>
      <c r="AX2195" s="69"/>
      <c r="AY2195" s="69"/>
      <c r="AZ2195" s="69"/>
      <c r="BA2195" s="69"/>
      <c r="BB2195" s="69"/>
      <c r="BC2195" s="69"/>
    </row>
    <row r="2196">
      <c r="A2196" s="68"/>
      <c r="B2196" s="68"/>
      <c r="C2196" s="68"/>
      <c r="D2196" s="68"/>
      <c r="E2196" s="68"/>
      <c r="F2196" s="68"/>
      <c r="G2196" s="68"/>
      <c r="H2196" s="68"/>
      <c r="I2196" s="69"/>
      <c r="J2196" s="69"/>
      <c r="K2196" s="71"/>
      <c r="L2196" s="69"/>
      <c r="M2196" s="69"/>
      <c r="N2196" s="72"/>
      <c r="O2196" s="69"/>
      <c r="P2196" s="69"/>
      <c r="Q2196" s="69"/>
      <c r="R2196" s="69"/>
      <c r="S2196" s="69"/>
      <c r="T2196" s="69"/>
      <c r="U2196" s="69"/>
      <c r="V2196" s="69"/>
      <c r="W2196" s="69"/>
      <c r="X2196" s="69"/>
      <c r="Y2196" s="69"/>
      <c r="Z2196" s="69"/>
      <c r="AA2196" s="69"/>
      <c r="AB2196" s="69"/>
      <c r="AC2196" s="69"/>
      <c r="AD2196" s="69"/>
      <c r="AE2196" s="69"/>
      <c r="AF2196" s="69"/>
      <c r="AG2196" s="69"/>
      <c r="AH2196" s="69"/>
      <c r="AI2196" s="69"/>
      <c r="AJ2196" s="69"/>
      <c r="AK2196" s="69"/>
      <c r="AL2196" s="69"/>
      <c r="AM2196" s="69"/>
      <c r="AN2196" s="69"/>
      <c r="AO2196" s="69"/>
      <c r="AP2196" s="69"/>
      <c r="AQ2196" s="69"/>
      <c r="AR2196" s="69"/>
      <c r="AS2196" s="69"/>
      <c r="AT2196" s="69"/>
      <c r="AU2196" s="69"/>
      <c r="AV2196" s="69"/>
      <c r="AW2196" s="69"/>
      <c r="AX2196" s="69"/>
      <c r="AY2196" s="69"/>
      <c r="AZ2196" s="69"/>
      <c r="BA2196" s="69"/>
      <c r="BB2196" s="69"/>
      <c r="BC2196" s="69"/>
    </row>
    <row r="2197">
      <c r="A2197" s="68"/>
      <c r="B2197" s="68"/>
      <c r="C2197" s="68"/>
      <c r="D2197" s="68"/>
      <c r="E2197" s="68"/>
      <c r="F2197" s="68"/>
      <c r="G2197" s="68"/>
      <c r="H2197" s="68"/>
      <c r="I2197" s="69"/>
      <c r="J2197" s="69"/>
      <c r="K2197" s="71"/>
      <c r="L2197" s="69"/>
      <c r="M2197" s="69"/>
      <c r="N2197" s="72"/>
      <c r="O2197" s="69"/>
      <c r="P2197" s="69"/>
      <c r="Q2197" s="69"/>
      <c r="R2197" s="69"/>
      <c r="S2197" s="69"/>
      <c r="T2197" s="69"/>
      <c r="U2197" s="69"/>
      <c r="V2197" s="69"/>
      <c r="W2197" s="69"/>
      <c r="X2197" s="69"/>
      <c r="Y2197" s="69"/>
      <c r="Z2197" s="69"/>
      <c r="AA2197" s="69"/>
      <c r="AB2197" s="69"/>
      <c r="AC2197" s="69"/>
      <c r="AD2197" s="69"/>
      <c r="AE2197" s="69"/>
      <c r="AF2197" s="69"/>
      <c r="AG2197" s="69"/>
      <c r="AH2197" s="69"/>
      <c r="AI2197" s="69"/>
      <c r="AJ2197" s="69"/>
      <c r="AK2197" s="69"/>
      <c r="AL2197" s="69"/>
      <c r="AM2197" s="69"/>
      <c r="AN2197" s="69"/>
      <c r="AO2197" s="69"/>
      <c r="AP2197" s="69"/>
      <c r="AQ2197" s="69"/>
      <c r="AR2197" s="69"/>
      <c r="AS2197" s="69"/>
      <c r="AT2197" s="69"/>
      <c r="AU2197" s="69"/>
      <c r="AV2197" s="69"/>
      <c r="AW2197" s="69"/>
      <c r="AX2197" s="69"/>
      <c r="AY2197" s="69"/>
      <c r="AZ2197" s="69"/>
      <c r="BA2197" s="69"/>
      <c r="BB2197" s="69"/>
      <c r="BC2197" s="69"/>
    </row>
    <row r="2198">
      <c r="A2198" s="68"/>
      <c r="B2198" s="68"/>
      <c r="C2198" s="68"/>
      <c r="D2198" s="68"/>
      <c r="E2198" s="68"/>
      <c r="F2198" s="68"/>
      <c r="G2198" s="68"/>
      <c r="H2198" s="68"/>
      <c r="I2198" s="69"/>
      <c r="J2198" s="69"/>
      <c r="K2198" s="71"/>
      <c r="L2198" s="69"/>
      <c r="M2198" s="69"/>
      <c r="N2198" s="72"/>
      <c r="O2198" s="69"/>
      <c r="P2198" s="69"/>
      <c r="Q2198" s="69"/>
      <c r="R2198" s="69"/>
      <c r="S2198" s="69"/>
      <c r="T2198" s="69"/>
      <c r="U2198" s="69"/>
      <c r="V2198" s="69"/>
      <c r="W2198" s="69"/>
      <c r="X2198" s="69"/>
      <c r="Y2198" s="69"/>
      <c r="Z2198" s="69"/>
      <c r="AA2198" s="69"/>
      <c r="AB2198" s="69"/>
      <c r="AC2198" s="69"/>
      <c r="AD2198" s="69"/>
      <c r="AE2198" s="69"/>
      <c r="AF2198" s="69"/>
      <c r="AG2198" s="69"/>
      <c r="AH2198" s="69"/>
      <c r="AI2198" s="69"/>
      <c r="AJ2198" s="69"/>
      <c r="AK2198" s="69"/>
      <c r="AL2198" s="69"/>
      <c r="AM2198" s="69"/>
      <c r="AN2198" s="69"/>
      <c r="AO2198" s="69"/>
      <c r="AP2198" s="69"/>
      <c r="AQ2198" s="69"/>
      <c r="AR2198" s="69"/>
      <c r="AS2198" s="69"/>
      <c r="AT2198" s="69"/>
      <c r="AU2198" s="69"/>
      <c r="AV2198" s="69"/>
      <c r="AW2198" s="69"/>
      <c r="AX2198" s="69"/>
      <c r="AY2198" s="69"/>
      <c r="AZ2198" s="69"/>
      <c r="BA2198" s="69"/>
      <c r="BB2198" s="69"/>
      <c r="BC2198" s="69"/>
    </row>
    <row r="2199">
      <c r="A2199" s="68"/>
      <c r="B2199" s="68"/>
      <c r="C2199" s="68"/>
      <c r="D2199" s="68"/>
      <c r="E2199" s="68"/>
      <c r="F2199" s="68"/>
      <c r="G2199" s="68"/>
      <c r="H2199" s="68"/>
      <c r="I2199" s="69"/>
      <c r="J2199" s="69"/>
      <c r="K2199" s="71"/>
      <c r="L2199" s="69"/>
      <c r="M2199" s="69"/>
      <c r="N2199" s="72"/>
      <c r="O2199" s="69"/>
      <c r="P2199" s="69"/>
      <c r="Q2199" s="69"/>
      <c r="R2199" s="69"/>
      <c r="S2199" s="69"/>
      <c r="T2199" s="69"/>
      <c r="U2199" s="69"/>
      <c r="V2199" s="69"/>
      <c r="W2199" s="69"/>
      <c r="X2199" s="69"/>
      <c r="Y2199" s="69"/>
      <c r="Z2199" s="69"/>
      <c r="AA2199" s="69"/>
      <c r="AB2199" s="69"/>
      <c r="AC2199" s="69"/>
      <c r="AD2199" s="69"/>
      <c r="AE2199" s="69"/>
      <c r="AF2199" s="69"/>
      <c r="AG2199" s="69"/>
      <c r="AH2199" s="69"/>
      <c r="AI2199" s="69"/>
      <c r="AJ2199" s="69"/>
      <c r="AK2199" s="69"/>
      <c r="AL2199" s="69"/>
      <c r="AM2199" s="69"/>
      <c r="AN2199" s="69"/>
      <c r="AO2199" s="69"/>
      <c r="AP2199" s="69"/>
      <c r="AQ2199" s="69"/>
      <c r="AR2199" s="69"/>
      <c r="AS2199" s="69"/>
      <c r="AT2199" s="69"/>
      <c r="AU2199" s="69"/>
      <c r="AV2199" s="69"/>
      <c r="AW2199" s="69"/>
      <c r="AX2199" s="69"/>
      <c r="AY2199" s="69"/>
      <c r="AZ2199" s="69"/>
      <c r="BA2199" s="69"/>
      <c r="BB2199" s="69"/>
      <c r="BC2199" s="69"/>
    </row>
    <row r="2200">
      <c r="A2200" s="68"/>
      <c r="B2200" s="68"/>
      <c r="C2200" s="68"/>
      <c r="D2200" s="68"/>
      <c r="E2200" s="68"/>
      <c r="F2200" s="68"/>
      <c r="G2200" s="68"/>
      <c r="H2200" s="68"/>
      <c r="I2200" s="69"/>
      <c r="J2200" s="69"/>
      <c r="K2200" s="71"/>
      <c r="L2200" s="69"/>
      <c r="M2200" s="69"/>
      <c r="N2200" s="72"/>
      <c r="O2200" s="69"/>
      <c r="P2200" s="69"/>
      <c r="Q2200" s="69"/>
      <c r="R2200" s="69"/>
      <c r="S2200" s="69"/>
      <c r="T2200" s="69"/>
      <c r="U2200" s="69"/>
      <c r="V2200" s="69"/>
      <c r="W2200" s="69"/>
      <c r="X2200" s="69"/>
      <c r="Y2200" s="69"/>
      <c r="Z2200" s="69"/>
      <c r="AA2200" s="69"/>
      <c r="AB2200" s="69"/>
      <c r="AC2200" s="69"/>
      <c r="AD2200" s="69"/>
      <c r="AE2200" s="69"/>
      <c r="AF2200" s="69"/>
      <c r="AG2200" s="69"/>
      <c r="AH2200" s="69"/>
      <c r="AI2200" s="69"/>
      <c r="AJ2200" s="69"/>
      <c r="AK2200" s="69"/>
      <c r="AL2200" s="69"/>
      <c r="AM2200" s="69"/>
      <c r="AN2200" s="69"/>
      <c r="AO2200" s="69"/>
      <c r="AP2200" s="69"/>
      <c r="AQ2200" s="69"/>
      <c r="AR2200" s="69"/>
      <c r="AS2200" s="69"/>
      <c r="AT2200" s="69"/>
      <c r="AU2200" s="69"/>
      <c r="AV2200" s="69"/>
      <c r="AW2200" s="69"/>
      <c r="AX2200" s="69"/>
      <c r="AY2200" s="69"/>
      <c r="AZ2200" s="69"/>
      <c r="BA2200" s="69"/>
      <c r="BB2200" s="69"/>
      <c r="BC2200" s="69"/>
    </row>
    <row r="2201">
      <c r="A2201" s="68"/>
      <c r="B2201" s="68"/>
      <c r="C2201" s="68"/>
      <c r="D2201" s="68"/>
      <c r="E2201" s="68"/>
      <c r="F2201" s="68"/>
      <c r="G2201" s="68"/>
      <c r="H2201" s="68"/>
      <c r="I2201" s="69"/>
      <c r="J2201" s="69"/>
      <c r="K2201" s="71"/>
      <c r="L2201" s="69"/>
      <c r="M2201" s="69"/>
      <c r="N2201" s="72"/>
      <c r="O2201" s="69"/>
      <c r="P2201" s="69"/>
      <c r="Q2201" s="69"/>
      <c r="R2201" s="69"/>
      <c r="S2201" s="69"/>
      <c r="T2201" s="69"/>
      <c r="U2201" s="69"/>
      <c r="V2201" s="69"/>
      <c r="W2201" s="69"/>
      <c r="X2201" s="69"/>
      <c r="Y2201" s="69"/>
      <c r="Z2201" s="69"/>
      <c r="AA2201" s="69"/>
      <c r="AB2201" s="69"/>
      <c r="AC2201" s="69"/>
      <c r="AD2201" s="69"/>
      <c r="AE2201" s="69"/>
      <c r="AF2201" s="69"/>
      <c r="AG2201" s="69"/>
      <c r="AH2201" s="69"/>
      <c r="AI2201" s="69"/>
      <c r="AJ2201" s="69"/>
      <c r="AK2201" s="69"/>
      <c r="AL2201" s="69"/>
      <c r="AM2201" s="69"/>
      <c r="AN2201" s="69"/>
      <c r="AO2201" s="69"/>
      <c r="AP2201" s="69"/>
      <c r="AQ2201" s="69"/>
      <c r="AR2201" s="69"/>
      <c r="AS2201" s="69"/>
      <c r="AT2201" s="69"/>
      <c r="AU2201" s="69"/>
      <c r="AV2201" s="69"/>
      <c r="AW2201" s="69"/>
      <c r="AX2201" s="69"/>
      <c r="AY2201" s="69"/>
      <c r="AZ2201" s="69"/>
      <c r="BA2201" s="69"/>
      <c r="BB2201" s="69"/>
      <c r="BC2201" s="69"/>
    </row>
    <row r="2202">
      <c r="A2202" s="68"/>
      <c r="B2202" s="68"/>
      <c r="C2202" s="68"/>
      <c r="D2202" s="68"/>
      <c r="E2202" s="68"/>
      <c r="F2202" s="68"/>
      <c r="G2202" s="68"/>
      <c r="H2202" s="68"/>
      <c r="I2202" s="69"/>
      <c r="J2202" s="69"/>
      <c r="K2202" s="71"/>
      <c r="L2202" s="69"/>
      <c r="M2202" s="69"/>
      <c r="N2202" s="72"/>
      <c r="O2202" s="69"/>
      <c r="P2202" s="69"/>
      <c r="Q2202" s="69"/>
      <c r="R2202" s="69"/>
      <c r="S2202" s="69"/>
      <c r="T2202" s="69"/>
      <c r="U2202" s="69"/>
      <c r="V2202" s="69"/>
      <c r="W2202" s="69"/>
      <c r="X2202" s="69"/>
      <c r="Y2202" s="69"/>
      <c r="Z2202" s="69"/>
      <c r="AA2202" s="69"/>
      <c r="AB2202" s="69"/>
      <c r="AC2202" s="69"/>
      <c r="AD2202" s="69"/>
      <c r="AE2202" s="69"/>
      <c r="AF2202" s="69"/>
      <c r="AG2202" s="69"/>
      <c r="AH2202" s="69"/>
      <c r="AI2202" s="69"/>
      <c r="AJ2202" s="69"/>
      <c r="AK2202" s="69"/>
      <c r="AL2202" s="69"/>
      <c r="AM2202" s="69"/>
      <c r="AN2202" s="69"/>
      <c r="AO2202" s="69"/>
      <c r="AP2202" s="69"/>
      <c r="AQ2202" s="69"/>
      <c r="AR2202" s="69"/>
      <c r="AS2202" s="69"/>
      <c r="AT2202" s="69"/>
      <c r="AU2202" s="69"/>
      <c r="AV2202" s="69"/>
      <c r="AW2202" s="69"/>
      <c r="AX2202" s="69"/>
      <c r="AY2202" s="69"/>
      <c r="AZ2202" s="69"/>
      <c r="BA2202" s="69"/>
      <c r="BB2202" s="69"/>
      <c r="BC2202" s="69"/>
    </row>
    <row r="2203">
      <c r="A2203" s="68"/>
      <c r="B2203" s="68"/>
      <c r="C2203" s="68"/>
      <c r="D2203" s="68"/>
      <c r="E2203" s="68"/>
      <c r="F2203" s="68"/>
      <c r="G2203" s="68"/>
      <c r="H2203" s="68"/>
      <c r="I2203" s="69"/>
      <c r="J2203" s="69"/>
      <c r="K2203" s="71"/>
      <c r="L2203" s="69"/>
      <c r="M2203" s="69"/>
      <c r="N2203" s="72"/>
      <c r="O2203" s="69"/>
      <c r="P2203" s="69"/>
      <c r="Q2203" s="69"/>
      <c r="R2203" s="69"/>
      <c r="S2203" s="69"/>
      <c r="T2203" s="69"/>
      <c r="U2203" s="69"/>
      <c r="V2203" s="69"/>
      <c r="W2203" s="69"/>
      <c r="X2203" s="69"/>
      <c r="Y2203" s="69"/>
      <c r="Z2203" s="69"/>
      <c r="AA2203" s="69"/>
      <c r="AB2203" s="69"/>
      <c r="AC2203" s="69"/>
      <c r="AD2203" s="69"/>
      <c r="AE2203" s="69"/>
      <c r="AF2203" s="69"/>
      <c r="AG2203" s="69"/>
      <c r="AH2203" s="69"/>
      <c r="AI2203" s="69"/>
      <c r="AJ2203" s="69"/>
      <c r="AK2203" s="69"/>
      <c r="AL2203" s="69"/>
      <c r="AM2203" s="69"/>
      <c r="AN2203" s="69"/>
      <c r="AO2203" s="69"/>
      <c r="AP2203" s="69"/>
      <c r="AQ2203" s="69"/>
      <c r="AR2203" s="69"/>
      <c r="AS2203" s="69"/>
      <c r="AT2203" s="69"/>
      <c r="AU2203" s="69"/>
      <c r="AV2203" s="69"/>
      <c r="AW2203" s="69"/>
      <c r="AX2203" s="69"/>
      <c r="AY2203" s="69"/>
      <c r="AZ2203" s="69"/>
      <c r="BA2203" s="69"/>
      <c r="BB2203" s="69"/>
      <c r="BC2203" s="69"/>
    </row>
    <row r="2204">
      <c r="A2204" s="68"/>
      <c r="B2204" s="68"/>
      <c r="C2204" s="68"/>
      <c r="D2204" s="68"/>
      <c r="E2204" s="68"/>
      <c r="F2204" s="68"/>
      <c r="G2204" s="68"/>
      <c r="H2204" s="68"/>
      <c r="I2204" s="69"/>
      <c r="J2204" s="69"/>
      <c r="K2204" s="71"/>
      <c r="L2204" s="69"/>
      <c r="M2204" s="69"/>
      <c r="N2204" s="72"/>
      <c r="O2204" s="69"/>
      <c r="P2204" s="69"/>
      <c r="Q2204" s="69"/>
      <c r="R2204" s="69"/>
      <c r="S2204" s="69"/>
      <c r="T2204" s="69"/>
      <c r="U2204" s="69"/>
      <c r="V2204" s="69"/>
      <c r="W2204" s="69"/>
      <c r="X2204" s="69"/>
      <c r="Y2204" s="69"/>
      <c r="Z2204" s="69"/>
      <c r="AA2204" s="69"/>
      <c r="AB2204" s="69"/>
      <c r="AC2204" s="69"/>
      <c r="AD2204" s="69"/>
      <c r="AE2204" s="69"/>
      <c r="AF2204" s="69"/>
      <c r="AG2204" s="69"/>
      <c r="AH2204" s="69"/>
      <c r="AI2204" s="69"/>
      <c r="AJ2204" s="69"/>
      <c r="AK2204" s="69"/>
      <c r="AL2204" s="69"/>
      <c r="AM2204" s="69"/>
      <c r="AN2204" s="69"/>
      <c r="AO2204" s="69"/>
      <c r="AP2204" s="69"/>
      <c r="AQ2204" s="69"/>
      <c r="AR2204" s="69"/>
      <c r="AS2204" s="69"/>
      <c r="AT2204" s="69"/>
      <c r="AU2204" s="69"/>
      <c r="AV2204" s="69"/>
      <c r="AW2204" s="69"/>
      <c r="AX2204" s="69"/>
      <c r="AY2204" s="69"/>
      <c r="AZ2204" s="69"/>
      <c r="BA2204" s="69"/>
      <c r="BB2204" s="69"/>
      <c r="BC2204" s="69"/>
    </row>
    <row r="2205">
      <c r="A2205" s="68"/>
      <c r="B2205" s="68"/>
      <c r="C2205" s="68"/>
      <c r="D2205" s="68"/>
      <c r="E2205" s="68"/>
      <c r="F2205" s="68"/>
      <c r="G2205" s="68"/>
      <c r="H2205" s="68"/>
      <c r="I2205" s="69"/>
      <c r="J2205" s="69"/>
      <c r="K2205" s="71"/>
      <c r="L2205" s="69"/>
      <c r="M2205" s="69"/>
      <c r="N2205" s="72"/>
      <c r="O2205" s="69"/>
      <c r="P2205" s="69"/>
      <c r="Q2205" s="69"/>
      <c r="R2205" s="69"/>
      <c r="S2205" s="69"/>
      <c r="T2205" s="69"/>
      <c r="U2205" s="69"/>
      <c r="V2205" s="69"/>
      <c r="W2205" s="69"/>
      <c r="X2205" s="69"/>
      <c r="Y2205" s="69"/>
      <c r="Z2205" s="69"/>
      <c r="AA2205" s="69"/>
      <c r="AB2205" s="69"/>
      <c r="AC2205" s="69"/>
      <c r="AD2205" s="69"/>
      <c r="AE2205" s="69"/>
      <c r="AF2205" s="69"/>
      <c r="AG2205" s="69"/>
      <c r="AH2205" s="69"/>
      <c r="AI2205" s="69"/>
      <c r="AJ2205" s="69"/>
      <c r="AK2205" s="69"/>
      <c r="AL2205" s="69"/>
      <c r="AM2205" s="69"/>
      <c r="AN2205" s="69"/>
      <c r="AO2205" s="69"/>
      <c r="AP2205" s="69"/>
      <c r="AQ2205" s="69"/>
      <c r="AR2205" s="69"/>
      <c r="AS2205" s="69"/>
      <c r="AT2205" s="69"/>
      <c r="AU2205" s="69"/>
      <c r="AV2205" s="69"/>
      <c r="AW2205" s="69"/>
      <c r="AX2205" s="69"/>
      <c r="AY2205" s="69"/>
      <c r="AZ2205" s="69"/>
      <c r="BA2205" s="69"/>
      <c r="BB2205" s="69"/>
      <c r="BC2205" s="69"/>
    </row>
    <row r="2206">
      <c r="A2206" s="68"/>
      <c r="B2206" s="68"/>
      <c r="C2206" s="68"/>
      <c r="D2206" s="68"/>
      <c r="E2206" s="68"/>
      <c r="F2206" s="68"/>
      <c r="G2206" s="68"/>
      <c r="H2206" s="68"/>
      <c r="I2206" s="69"/>
      <c r="J2206" s="69"/>
      <c r="K2206" s="71"/>
      <c r="L2206" s="69"/>
      <c r="M2206" s="69"/>
      <c r="N2206" s="72"/>
      <c r="O2206" s="69"/>
      <c r="P2206" s="69"/>
      <c r="Q2206" s="69"/>
      <c r="R2206" s="69"/>
      <c r="S2206" s="69"/>
      <c r="T2206" s="69"/>
      <c r="U2206" s="69"/>
      <c r="V2206" s="69"/>
      <c r="W2206" s="69"/>
      <c r="X2206" s="69"/>
      <c r="Y2206" s="69"/>
      <c r="Z2206" s="69"/>
      <c r="AA2206" s="69"/>
      <c r="AB2206" s="69"/>
      <c r="AC2206" s="69"/>
      <c r="AD2206" s="69"/>
      <c r="AE2206" s="69"/>
      <c r="AF2206" s="69"/>
      <c r="AG2206" s="69"/>
      <c r="AH2206" s="69"/>
      <c r="AI2206" s="69"/>
      <c r="AJ2206" s="69"/>
      <c r="AK2206" s="69"/>
      <c r="AL2206" s="69"/>
      <c r="AM2206" s="69"/>
      <c r="AN2206" s="69"/>
      <c r="AO2206" s="69"/>
      <c r="AP2206" s="69"/>
      <c r="AQ2206" s="69"/>
      <c r="AR2206" s="69"/>
      <c r="AS2206" s="69"/>
      <c r="AT2206" s="69"/>
      <c r="AU2206" s="69"/>
      <c r="AV2206" s="69"/>
      <c r="AW2206" s="69"/>
      <c r="AX2206" s="69"/>
      <c r="AY2206" s="69"/>
      <c r="AZ2206" s="69"/>
      <c r="BA2206" s="69"/>
      <c r="BB2206" s="69"/>
      <c r="BC2206" s="69"/>
    </row>
    <row r="2207">
      <c r="A2207" s="68"/>
      <c r="B2207" s="68"/>
      <c r="C2207" s="68"/>
      <c r="D2207" s="68"/>
      <c r="E2207" s="68"/>
      <c r="F2207" s="68"/>
      <c r="G2207" s="68"/>
      <c r="H2207" s="68"/>
      <c r="I2207" s="69"/>
      <c r="J2207" s="69"/>
      <c r="K2207" s="71"/>
      <c r="L2207" s="69"/>
      <c r="M2207" s="69"/>
      <c r="N2207" s="72"/>
      <c r="O2207" s="69"/>
      <c r="P2207" s="69"/>
      <c r="Q2207" s="69"/>
      <c r="R2207" s="69"/>
      <c r="S2207" s="69"/>
      <c r="T2207" s="69"/>
      <c r="U2207" s="69"/>
      <c r="V2207" s="69"/>
      <c r="W2207" s="69"/>
      <c r="X2207" s="69"/>
      <c r="Y2207" s="69"/>
      <c r="Z2207" s="69"/>
      <c r="AA2207" s="69"/>
      <c r="AB2207" s="69"/>
      <c r="AC2207" s="69"/>
      <c r="AD2207" s="69"/>
      <c r="AE2207" s="69"/>
      <c r="AF2207" s="69"/>
      <c r="AG2207" s="69"/>
      <c r="AH2207" s="69"/>
      <c r="AI2207" s="69"/>
      <c r="AJ2207" s="69"/>
      <c r="AK2207" s="69"/>
      <c r="AL2207" s="69"/>
      <c r="AM2207" s="69"/>
      <c r="AN2207" s="69"/>
      <c r="AO2207" s="69"/>
      <c r="AP2207" s="69"/>
      <c r="AQ2207" s="69"/>
      <c r="AR2207" s="69"/>
      <c r="AS2207" s="69"/>
      <c r="AT2207" s="69"/>
      <c r="AU2207" s="69"/>
      <c r="AV2207" s="69"/>
      <c r="AW2207" s="69"/>
      <c r="AX2207" s="69"/>
      <c r="AY2207" s="69"/>
      <c r="AZ2207" s="69"/>
      <c r="BA2207" s="69"/>
      <c r="BB2207" s="69"/>
      <c r="BC2207" s="69"/>
    </row>
    <row r="2208">
      <c r="A2208" s="68"/>
      <c r="B2208" s="68"/>
      <c r="C2208" s="68"/>
      <c r="D2208" s="68"/>
      <c r="E2208" s="68"/>
      <c r="F2208" s="68"/>
      <c r="G2208" s="68"/>
      <c r="H2208" s="68"/>
      <c r="I2208" s="69"/>
      <c r="J2208" s="69"/>
      <c r="K2208" s="71"/>
      <c r="L2208" s="69"/>
      <c r="M2208" s="69"/>
      <c r="N2208" s="72"/>
      <c r="O2208" s="69"/>
      <c r="P2208" s="69"/>
      <c r="Q2208" s="69"/>
      <c r="R2208" s="69"/>
      <c r="S2208" s="69"/>
      <c r="T2208" s="69"/>
      <c r="U2208" s="69"/>
      <c r="V2208" s="69"/>
      <c r="W2208" s="69"/>
      <c r="X2208" s="69"/>
      <c r="Y2208" s="69"/>
      <c r="Z2208" s="69"/>
      <c r="AA2208" s="69"/>
      <c r="AB2208" s="69"/>
      <c r="AC2208" s="69"/>
      <c r="AD2208" s="69"/>
      <c r="AE2208" s="69"/>
      <c r="AF2208" s="69"/>
      <c r="AG2208" s="69"/>
      <c r="AH2208" s="69"/>
      <c r="AI2208" s="69"/>
      <c r="AJ2208" s="69"/>
      <c r="AK2208" s="69"/>
      <c r="AL2208" s="69"/>
      <c r="AM2208" s="69"/>
      <c r="AN2208" s="69"/>
      <c r="AO2208" s="69"/>
      <c r="AP2208" s="69"/>
      <c r="AQ2208" s="69"/>
      <c r="AR2208" s="69"/>
      <c r="AS2208" s="69"/>
      <c r="AT2208" s="69"/>
      <c r="AU2208" s="69"/>
      <c r="AV2208" s="69"/>
      <c r="AW2208" s="69"/>
      <c r="AX2208" s="69"/>
      <c r="AY2208" s="69"/>
      <c r="AZ2208" s="69"/>
      <c r="BA2208" s="69"/>
      <c r="BB2208" s="69"/>
      <c r="BC2208" s="69"/>
    </row>
    <row r="2209">
      <c r="A2209" s="68"/>
      <c r="B2209" s="68"/>
      <c r="C2209" s="68"/>
      <c r="D2209" s="68"/>
      <c r="E2209" s="68"/>
      <c r="F2209" s="68"/>
      <c r="G2209" s="68"/>
      <c r="H2209" s="68"/>
      <c r="I2209" s="69"/>
      <c r="J2209" s="69"/>
      <c r="K2209" s="71"/>
      <c r="L2209" s="69"/>
      <c r="M2209" s="69"/>
      <c r="N2209" s="72"/>
      <c r="O2209" s="69"/>
      <c r="P2209" s="69"/>
      <c r="Q2209" s="69"/>
      <c r="R2209" s="69"/>
      <c r="S2209" s="69"/>
      <c r="T2209" s="69"/>
      <c r="U2209" s="69"/>
      <c r="V2209" s="69"/>
      <c r="W2209" s="69"/>
      <c r="X2209" s="69"/>
      <c r="Y2209" s="69"/>
      <c r="Z2209" s="69"/>
      <c r="AA2209" s="69"/>
      <c r="AB2209" s="69"/>
      <c r="AC2209" s="69"/>
      <c r="AD2209" s="69"/>
      <c r="AE2209" s="69"/>
      <c r="AF2209" s="69"/>
      <c r="AG2209" s="69"/>
      <c r="AH2209" s="69"/>
      <c r="AI2209" s="69"/>
      <c r="AJ2209" s="69"/>
      <c r="AK2209" s="69"/>
      <c r="AL2209" s="69"/>
      <c r="AM2209" s="69"/>
      <c r="AN2209" s="69"/>
      <c r="AO2209" s="69"/>
      <c r="AP2209" s="69"/>
      <c r="AQ2209" s="69"/>
      <c r="AR2209" s="69"/>
      <c r="AS2209" s="69"/>
      <c r="AT2209" s="69"/>
      <c r="AU2209" s="69"/>
      <c r="AV2209" s="69"/>
      <c r="AW2209" s="69"/>
      <c r="AX2209" s="69"/>
      <c r="AY2209" s="69"/>
      <c r="AZ2209" s="69"/>
      <c r="BA2209" s="69"/>
      <c r="BB2209" s="69"/>
      <c r="BC2209" s="69"/>
    </row>
    <row r="2210">
      <c r="A2210" s="68"/>
      <c r="B2210" s="68"/>
      <c r="C2210" s="68"/>
      <c r="D2210" s="68"/>
      <c r="E2210" s="68"/>
      <c r="F2210" s="68"/>
      <c r="G2210" s="68"/>
      <c r="H2210" s="68"/>
      <c r="I2210" s="69"/>
      <c r="J2210" s="69"/>
      <c r="K2210" s="71"/>
      <c r="L2210" s="69"/>
      <c r="M2210" s="69"/>
      <c r="N2210" s="72"/>
      <c r="O2210" s="69"/>
      <c r="P2210" s="69"/>
      <c r="Q2210" s="69"/>
      <c r="R2210" s="69"/>
      <c r="S2210" s="69"/>
      <c r="T2210" s="69"/>
      <c r="U2210" s="69"/>
      <c r="V2210" s="69"/>
      <c r="W2210" s="69"/>
      <c r="X2210" s="69"/>
      <c r="Y2210" s="69"/>
      <c r="Z2210" s="69"/>
      <c r="AA2210" s="69"/>
      <c r="AB2210" s="69"/>
      <c r="AC2210" s="69"/>
      <c r="AD2210" s="69"/>
      <c r="AE2210" s="69"/>
      <c r="AF2210" s="69"/>
      <c r="AG2210" s="69"/>
      <c r="AH2210" s="69"/>
      <c r="AI2210" s="69"/>
      <c r="AJ2210" s="69"/>
      <c r="AK2210" s="69"/>
      <c r="AL2210" s="69"/>
      <c r="AM2210" s="69"/>
      <c r="AN2210" s="69"/>
      <c r="AO2210" s="69"/>
      <c r="AP2210" s="69"/>
      <c r="AQ2210" s="69"/>
      <c r="AR2210" s="69"/>
      <c r="AS2210" s="69"/>
      <c r="AT2210" s="69"/>
      <c r="AU2210" s="69"/>
      <c r="AV2210" s="69"/>
      <c r="AW2210" s="69"/>
      <c r="AX2210" s="69"/>
      <c r="AY2210" s="69"/>
      <c r="AZ2210" s="69"/>
      <c r="BA2210" s="69"/>
      <c r="BB2210" s="69"/>
      <c r="BC2210" s="69"/>
    </row>
    <row r="2211">
      <c r="A2211" s="68"/>
      <c r="B2211" s="68"/>
      <c r="C2211" s="68"/>
      <c r="D2211" s="68"/>
      <c r="E2211" s="68"/>
      <c r="F2211" s="68"/>
      <c r="G2211" s="68"/>
      <c r="H2211" s="68"/>
      <c r="I2211" s="69"/>
      <c r="J2211" s="69"/>
      <c r="K2211" s="71"/>
      <c r="L2211" s="69"/>
      <c r="M2211" s="69"/>
      <c r="N2211" s="72"/>
      <c r="O2211" s="69"/>
      <c r="P2211" s="69"/>
      <c r="Q2211" s="69"/>
      <c r="R2211" s="69"/>
      <c r="S2211" s="69"/>
      <c r="T2211" s="69"/>
      <c r="U2211" s="69"/>
      <c r="V2211" s="69"/>
      <c r="W2211" s="69"/>
      <c r="X2211" s="69"/>
      <c r="Y2211" s="69"/>
      <c r="Z2211" s="69"/>
      <c r="AA2211" s="69"/>
      <c r="AB2211" s="69"/>
      <c r="AC2211" s="69"/>
      <c r="AD2211" s="69"/>
      <c r="AE2211" s="69"/>
      <c r="AF2211" s="69"/>
      <c r="AG2211" s="69"/>
      <c r="AH2211" s="69"/>
      <c r="AI2211" s="69"/>
      <c r="AJ2211" s="69"/>
      <c r="AK2211" s="69"/>
      <c r="AL2211" s="69"/>
      <c r="AM2211" s="69"/>
      <c r="AN2211" s="69"/>
      <c r="AO2211" s="69"/>
      <c r="AP2211" s="69"/>
      <c r="AQ2211" s="69"/>
      <c r="AR2211" s="69"/>
      <c r="AS2211" s="69"/>
      <c r="AT2211" s="69"/>
      <c r="AU2211" s="69"/>
      <c r="AV2211" s="69"/>
      <c r="AW2211" s="69"/>
      <c r="AX2211" s="69"/>
      <c r="AY2211" s="69"/>
      <c r="AZ2211" s="69"/>
      <c r="BA2211" s="69"/>
      <c r="BB2211" s="69"/>
      <c r="BC2211" s="69"/>
    </row>
    <row r="2212">
      <c r="A2212" s="68"/>
      <c r="B2212" s="68"/>
      <c r="C2212" s="68"/>
      <c r="D2212" s="68"/>
      <c r="E2212" s="68"/>
      <c r="F2212" s="68"/>
      <c r="G2212" s="68"/>
      <c r="H2212" s="68"/>
      <c r="I2212" s="69"/>
      <c r="J2212" s="69"/>
      <c r="K2212" s="71"/>
      <c r="L2212" s="69"/>
      <c r="M2212" s="69"/>
      <c r="N2212" s="72"/>
      <c r="O2212" s="69"/>
      <c r="P2212" s="69"/>
      <c r="Q2212" s="69"/>
      <c r="R2212" s="69"/>
      <c r="S2212" s="69"/>
      <c r="T2212" s="69"/>
      <c r="U2212" s="69"/>
      <c r="V2212" s="69"/>
      <c r="W2212" s="69"/>
      <c r="X2212" s="69"/>
      <c r="Y2212" s="69"/>
      <c r="Z2212" s="69"/>
      <c r="AA2212" s="69"/>
      <c r="AB2212" s="69"/>
      <c r="AC2212" s="69"/>
      <c r="AD2212" s="69"/>
      <c r="AE2212" s="69"/>
      <c r="AF2212" s="69"/>
      <c r="AG2212" s="69"/>
      <c r="AH2212" s="69"/>
      <c r="AI2212" s="69"/>
      <c r="AJ2212" s="69"/>
      <c r="AK2212" s="69"/>
      <c r="AL2212" s="69"/>
      <c r="AM2212" s="69"/>
      <c r="AN2212" s="69"/>
      <c r="AO2212" s="69"/>
      <c r="AP2212" s="69"/>
      <c r="AQ2212" s="69"/>
      <c r="AR2212" s="69"/>
      <c r="AS2212" s="69"/>
      <c r="AT2212" s="69"/>
      <c r="AU2212" s="69"/>
      <c r="AV2212" s="69"/>
      <c r="AW2212" s="69"/>
      <c r="AX2212" s="69"/>
      <c r="AY2212" s="69"/>
      <c r="AZ2212" s="69"/>
      <c r="BA2212" s="69"/>
      <c r="BB2212" s="69"/>
      <c r="BC2212" s="69"/>
    </row>
    <row r="2213">
      <c r="A2213" s="68"/>
      <c r="B2213" s="68"/>
      <c r="C2213" s="68"/>
      <c r="D2213" s="68"/>
      <c r="E2213" s="68"/>
      <c r="F2213" s="68"/>
      <c r="G2213" s="68"/>
      <c r="H2213" s="68"/>
      <c r="I2213" s="69"/>
      <c r="J2213" s="69"/>
      <c r="K2213" s="71"/>
      <c r="L2213" s="69"/>
      <c r="M2213" s="69"/>
      <c r="N2213" s="72"/>
      <c r="O2213" s="69"/>
      <c r="P2213" s="69"/>
      <c r="Q2213" s="69"/>
      <c r="R2213" s="69"/>
      <c r="S2213" s="69"/>
      <c r="T2213" s="69"/>
      <c r="U2213" s="69"/>
      <c r="V2213" s="69"/>
      <c r="W2213" s="69"/>
      <c r="X2213" s="69"/>
      <c r="Y2213" s="69"/>
      <c r="Z2213" s="69"/>
      <c r="AA2213" s="69"/>
      <c r="AB2213" s="69"/>
      <c r="AC2213" s="69"/>
      <c r="AD2213" s="69"/>
      <c r="AE2213" s="69"/>
      <c r="AF2213" s="69"/>
      <c r="AG2213" s="69"/>
      <c r="AH2213" s="69"/>
      <c r="AI2213" s="69"/>
      <c r="AJ2213" s="69"/>
      <c r="AK2213" s="69"/>
      <c r="AL2213" s="69"/>
      <c r="AM2213" s="69"/>
      <c r="AN2213" s="69"/>
      <c r="AO2213" s="69"/>
      <c r="AP2213" s="69"/>
      <c r="AQ2213" s="69"/>
      <c r="AR2213" s="69"/>
      <c r="AS2213" s="69"/>
      <c r="AT2213" s="69"/>
      <c r="AU2213" s="69"/>
      <c r="AV2213" s="69"/>
      <c r="AW2213" s="69"/>
      <c r="AX2213" s="69"/>
      <c r="AY2213" s="69"/>
      <c r="AZ2213" s="69"/>
      <c r="BA2213" s="69"/>
      <c r="BB2213" s="69"/>
      <c r="BC2213" s="69"/>
    </row>
    <row r="2214">
      <c r="A2214" s="68"/>
      <c r="B2214" s="68"/>
      <c r="C2214" s="68"/>
      <c r="D2214" s="68"/>
      <c r="E2214" s="68"/>
      <c r="F2214" s="68"/>
      <c r="G2214" s="68"/>
      <c r="H2214" s="68"/>
      <c r="I2214" s="69"/>
      <c r="J2214" s="69"/>
      <c r="K2214" s="71"/>
      <c r="L2214" s="69"/>
      <c r="M2214" s="69"/>
      <c r="N2214" s="72"/>
      <c r="O2214" s="69"/>
      <c r="P2214" s="69"/>
      <c r="Q2214" s="69"/>
      <c r="R2214" s="69"/>
      <c r="S2214" s="69"/>
      <c r="T2214" s="69"/>
      <c r="U2214" s="69"/>
      <c r="V2214" s="69"/>
      <c r="W2214" s="69"/>
      <c r="X2214" s="69"/>
      <c r="Y2214" s="69"/>
      <c r="Z2214" s="69"/>
      <c r="AA2214" s="69"/>
      <c r="AB2214" s="69"/>
      <c r="AC2214" s="69"/>
      <c r="AD2214" s="69"/>
      <c r="AE2214" s="69"/>
      <c r="AF2214" s="69"/>
      <c r="AG2214" s="69"/>
      <c r="AH2214" s="69"/>
      <c r="AI2214" s="69"/>
      <c r="AJ2214" s="69"/>
      <c r="AK2214" s="69"/>
      <c r="AL2214" s="69"/>
      <c r="AM2214" s="69"/>
      <c r="AN2214" s="69"/>
      <c r="AO2214" s="69"/>
      <c r="AP2214" s="69"/>
      <c r="AQ2214" s="69"/>
      <c r="AR2214" s="69"/>
      <c r="AS2214" s="69"/>
      <c r="AT2214" s="69"/>
      <c r="AU2214" s="69"/>
      <c r="AV2214" s="69"/>
      <c r="AW2214" s="69"/>
      <c r="AX2214" s="69"/>
      <c r="AY2214" s="69"/>
      <c r="AZ2214" s="69"/>
      <c r="BA2214" s="69"/>
      <c r="BB2214" s="69"/>
      <c r="BC2214" s="69"/>
    </row>
    <row r="2215">
      <c r="A2215" s="68"/>
      <c r="B2215" s="68"/>
      <c r="C2215" s="68"/>
      <c r="D2215" s="68"/>
      <c r="E2215" s="68"/>
      <c r="F2215" s="68"/>
      <c r="G2215" s="68"/>
      <c r="H2215" s="68"/>
      <c r="I2215" s="69"/>
      <c r="J2215" s="69"/>
      <c r="K2215" s="71"/>
      <c r="L2215" s="69"/>
      <c r="M2215" s="69"/>
      <c r="N2215" s="72"/>
      <c r="O2215" s="69"/>
      <c r="P2215" s="69"/>
      <c r="Q2215" s="69"/>
      <c r="R2215" s="69"/>
      <c r="S2215" s="69"/>
      <c r="T2215" s="69"/>
      <c r="U2215" s="69"/>
      <c r="V2215" s="69"/>
      <c r="W2215" s="69"/>
      <c r="X2215" s="69"/>
      <c r="Y2215" s="69"/>
      <c r="Z2215" s="69"/>
      <c r="AA2215" s="69"/>
      <c r="AB2215" s="69"/>
      <c r="AC2215" s="69"/>
      <c r="AD2215" s="69"/>
      <c r="AE2215" s="69"/>
      <c r="AF2215" s="69"/>
      <c r="AG2215" s="69"/>
      <c r="AH2215" s="69"/>
      <c r="AI2215" s="69"/>
      <c r="AJ2215" s="69"/>
      <c r="AK2215" s="69"/>
      <c r="AL2215" s="69"/>
      <c r="AM2215" s="69"/>
      <c r="AN2215" s="69"/>
      <c r="AO2215" s="69"/>
      <c r="AP2215" s="69"/>
      <c r="AQ2215" s="69"/>
      <c r="AR2215" s="69"/>
      <c r="AS2215" s="69"/>
      <c r="AT2215" s="69"/>
      <c r="AU2215" s="69"/>
      <c r="AV2215" s="69"/>
      <c r="AW2215" s="69"/>
      <c r="AX2215" s="69"/>
      <c r="AY2215" s="69"/>
      <c r="AZ2215" s="69"/>
      <c r="BA2215" s="69"/>
      <c r="BB2215" s="69"/>
      <c r="BC2215" s="69"/>
    </row>
    <row r="2216">
      <c r="A2216" s="68"/>
      <c r="B2216" s="68"/>
      <c r="C2216" s="68"/>
      <c r="D2216" s="68"/>
      <c r="E2216" s="68"/>
      <c r="F2216" s="68"/>
      <c r="G2216" s="68"/>
      <c r="H2216" s="68"/>
      <c r="I2216" s="69"/>
      <c r="J2216" s="69"/>
      <c r="K2216" s="71"/>
      <c r="L2216" s="69"/>
      <c r="M2216" s="69"/>
      <c r="N2216" s="72"/>
      <c r="O2216" s="69"/>
      <c r="P2216" s="69"/>
      <c r="Q2216" s="69"/>
      <c r="R2216" s="69"/>
      <c r="S2216" s="69"/>
      <c r="T2216" s="69"/>
      <c r="U2216" s="69"/>
      <c r="V2216" s="69"/>
      <c r="W2216" s="69"/>
      <c r="X2216" s="69"/>
      <c r="Y2216" s="69"/>
      <c r="Z2216" s="69"/>
      <c r="AA2216" s="69"/>
      <c r="AB2216" s="69"/>
      <c r="AC2216" s="69"/>
      <c r="AD2216" s="69"/>
      <c r="AE2216" s="69"/>
      <c r="AF2216" s="69"/>
      <c r="AG2216" s="69"/>
      <c r="AH2216" s="69"/>
      <c r="AI2216" s="69"/>
      <c r="AJ2216" s="69"/>
      <c r="AK2216" s="69"/>
      <c r="AL2216" s="69"/>
      <c r="AM2216" s="69"/>
      <c r="AN2216" s="69"/>
      <c r="AO2216" s="69"/>
      <c r="AP2216" s="69"/>
      <c r="AQ2216" s="69"/>
      <c r="AR2216" s="69"/>
      <c r="AS2216" s="69"/>
      <c r="AT2216" s="69"/>
      <c r="AU2216" s="69"/>
      <c r="AV2216" s="69"/>
      <c r="AW2216" s="69"/>
      <c r="AX2216" s="69"/>
      <c r="AY2216" s="69"/>
      <c r="AZ2216" s="69"/>
      <c r="BA2216" s="69"/>
      <c r="BB2216" s="69"/>
      <c r="BC2216" s="69"/>
    </row>
    <row r="2217">
      <c r="A2217" s="68"/>
      <c r="B2217" s="68"/>
      <c r="C2217" s="68"/>
      <c r="D2217" s="68"/>
      <c r="E2217" s="68"/>
      <c r="F2217" s="68"/>
      <c r="G2217" s="68"/>
      <c r="H2217" s="68"/>
      <c r="I2217" s="69"/>
      <c r="J2217" s="69"/>
      <c r="K2217" s="71"/>
      <c r="L2217" s="69"/>
      <c r="M2217" s="69"/>
      <c r="N2217" s="72"/>
      <c r="O2217" s="69"/>
      <c r="P2217" s="69"/>
      <c r="Q2217" s="69"/>
      <c r="R2217" s="69"/>
      <c r="S2217" s="69"/>
      <c r="T2217" s="69"/>
      <c r="U2217" s="69"/>
      <c r="V2217" s="69"/>
      <c r="W2217" s="69"/>
      <c r="X2217" s="69"/>
      <c r="Y2217" s="69"/>
      <c r="Z2217" s="69"/>
      <c r="AA2217" s="69"/>
      <c r="AB2217" s="69"/>
      <c r="AC2217" s="69"/>
      <c r="AD2217" s="69"/>
      <c r="AE2217" s="69"/>
      <c r="AF2217" s="69"/>
      <c r="AG2217" s="69"/>
      <c r="AH2217" s="69"/>
      <c r="AI2217" s="69"/>
      <c r="AJ2217" s="69"/>
      <c r="AK2217" s="69"/>
      <c r="AL2217" s="69"/>
      <c r="AM2217" s="69"/>
      <c r="AN2217" s="69"/>
      <c r="AO2217" s="69"/>
      <c r="AP2217" s="69"/>
      <c r="AQ2217" s="69"/>
      <c r="AR2217" s="69"/>
      <c r="AS2217" s="69"/>
      <c r="AT2217" s="69"/>
      <c r="AU2217" s="69"/>
      <c r="AV2217" s="69"/>
      <c r="AW2217" s="69"/>
      <c r="AX2217" s="69"/>
      <c r="AY2217" s="69"/>
      <c r="AZ2217" s="69"/>
      <c r="BA2217" s="69"/>
      <c r="BB2217" s="69"/>
      <c r="BC2217" s="69"/>
    </row>
    <row r="2218">
      <c r="A2218" s="68"/>
      <c r="B2218" s="68"/>
      <c r="C2218" s="68"/>
      <c r="D2218" s="68"/>
      <c r="E2218" s="68"/>
      <c r="F2218" s="68"/>
      <c r="G2218" s="68"/>
      <c r="H2218" s="68"/>
      <c r="I2218" s="69"/>
      <c r="J2218" s="69"/>
      <c r="K2218" s="71"/>
      <c r="L2218" s="69"/>
      <c r="M2218" s="69"/>
      <c r="N2218" s="72"/>
      <c r="O2218" s="69"/>
      <c r="P2218" s="69"/>
      <c r="Q2218" s="69"/>
      <c r="R2218" s="69"/>
      <c r="S2218" s="69"/>
      <c r="T2218" s="69"/>
      <c r="U2218" s="69"/>
      <c r="V2218" s="69"/>
      <c r="W2218" s="69"/>
      <c r="X2218" s="69"/>
      <c r="Y2218" s="69"/>
      <c r="Z2218" s="69"/>
      <c r="AA2218" s="69"/>
      <c r="AB2218" s="69"/>
      <c r="AC2218" s="69"/>
      <c r="AD2218" s="69"/>
      <c r="AE2218" s="69"/>
      <c r="AF2218" s="69"/>
      <c r="AG2218" s="69"/>
      <c r="AH2218" s="69"/>
      <c r="AI2218" s="69"/>
      <c r="AJ2218" s="69"/>
      <c r="AK2218" s="69"/>
      <c r="AL2218" s="69"/>
      <c r="AM2218" s="69"/>
      <c r="AN2218" s="69"/>
      <c r="AO2218" s="69"/>
      <c r="AP2218" s="69"/>
      <c r="AQ2218" s="69"/>
      <c r="AR2218" s="69"/>
      <c r="AS2218" s="69"/>
      <c r="AT2218" s="69"/>
      <c r="AU2218" s="69"/>
      <c r="AV2218" s="69"/>
      <c r="AW2218" s="69"/>
      <c r="AX2218" s="69"/>
      <c r="AY2218" s="69"/>
      <c r="AZ2218" s="69"/>
      <c r="BA2218" s="69"/>
      <c r="BB2218" s="69"/>
      <c r="BC2218" s="69"/>
    </row>
    <row r="2219">
      <c r="A2219" s="68"/>
      <c r="B2219" s="68"/>
      <c r="C2219" s="68"/>
      <c r="D2219" s="68"/>
      <c r="E2219" s="68"/>
      <c r="F2219" s="68"/>
      <c r="G2219" s="68"/>
      <c r="H2219" s="68"/>
      <c r="I2219" s="69"/>
      <c r="J2219" s="69"/>
      <c r="K2219" s="71"/>
      <c r="L2219" s="69"/>
      <c r="M2219" s="69"/>
      <c r="N2219" s="72"/>
      <c r="O2219" s="69"/>
      <c r="P2219" s="69"/>
      <c r="Q2219" s="69"/>
      <c r="R2219" s="69"/>
      <c r="S2219" s="69"/>
      <c r="T2219" s="69"/>
      <c r="U2219" s="69"/>
      <c r="V2219" s="69"/>
      <c r="W2219" s="69"/>
      <c r="X2219" s="69"/>
      <c r="Y2219" s="69"/>
      <c r="Z2219" s="69"/>
      <c r="AA2219" s="69"/>
      <c r="AB2219" s="69"/>
      <c r="AC2219" s="69"/>
      <c r="AD2219" s="69"/>
      <c r="AE2219" s="69"/>
      <c r="AF2219" s="69"/>
      <c r="AG2219" s="69"/>
      <c r="AH2219" s="69"/>
      <c r="AI2219" s="69"/>
      <c r="AJ2219" s="69"/>
      <c r="AK2219" s="69"/>
      <c r="AL2219" s="69"/>
      <c r="AM2219" s="69"/>
      <c r="AN2219" s="69"/>
      <c r="AO2219" s="69"/>
      <c r="AP2219" s="69"/>
      <c r="AQ2219" s="69"/>
      <c r="AR2219" s="69"/>
      <c r="AS2219" s="69"/>
      <c r="AT2219" s="69"/>
      <c r="AU2219" s="69"/>
      <c r="AV2219" s="69"/>
      <c r="AW2219" s="69"/>
      <c r="AX2219" s="69"/>
      <c r="AY2219" s="69"/>
      <c r="AZ2219" s="69"/>
      <c r="BA2219" s="69"/>
      <c r="BB2219" s="69"/>
      <c r="BC2219" s="69"/>
    </row>
    <row r="2220">
      <c r="A2220" s="68"/>
      <c r="B2220" s="68"/>
      <c r="C2220" s="68"/>
      <c r="D2220" s="68"/>
      <c r="E2220" s="68"/>
      <c r="F2220" s="68"/>
      <c r="G2220" s="68"/>
      <c r="H2220" s="68"/>
      <c r="I2220" s="69"/>
      <c r="J2220" s="69"/>
      <c r="K2220" s="71"/>
      <c r="L2220" s="69"/>
      <c r="M2220" s="69"/>
      <c r="N2220" s="72"/>
      <c r="O2220" s="69"/>
      <c r="P2220" s="69"/>
      <c r="Q2220" s="69"/>
      <c r="R2220" s="69"/>
      <c r="S2220" s="69"/>
      <c r="T2220" s="69"/>
      <c r="U2220" s="69"/>
      <c r="V2220" s="69"/>
      <c r="W2220" s="69"/>
      <c r="X2220" s="69"/>
      <c r="Y2220" s="69"/>
      <c r="Z2220" s="69"/>
      <c r="AA2220" s="69"/>
      <c r="AB2220" s="69"/>
      <c r="AC2220" s="69"/>
      <c r="AD2220" s="69"/>
      <c r="AE2220" s="69"/>
      <c r="AF2220" s="69"/>
      <c r="AG2220" s="69"/>
      <c r="AH2220" s="69"/>
      <c r="AI2220" s="69"/>
      <c r="AJ2220" s="69"/>
      <c r="AK2220" s="69"/>
      <c r="AL2220" s="69"/>
      <c r="AM2220" s="69"/>
      <c r="AN2220" s="69"/>
      <c r="AO2220" s="69"/>
      <c r="AP2220" s="69"/>
      <c r="AQ2220" s="69"/>
      <c r="AR2220" s="69"/>
      <c r="AS2220" s="69"/>
      <c r="AT2220" s="69"/>
      <c r="AU2220" s="69"/>
      <c r="AV2220" s="69"/>
      <c r="AW2220" s="69"/>
      <c r="AX2220" s="69"/>
      <c r="AY2220" s="69"/>
      <c r="AZ2220" s="69"/>
      <c r="BA2220" s="69"/>
      <c r="BB2220" s="69"/>
      <c r="BC2220" s="69"/>
    </row>
    <row r="2221">
      <c r="A2221" s="68"/>
      <c r="B2221" s="68"/>
      <c r="C2221" s="68"/>
      <c r="D2221" s="68"/>
      <c r="E2221" s="68"/>
      <c r="F2221" s="68"/>
      <c r="G2221" s="68"/>
      <c r="H2221" s="68"/>
      <c r="I2221" s="69"/>
      <c r="J2221" s="69"/>
      <c r="K2221" s="71"/>
      <c r="L2221" s="69"/>
      <c r="M2221" s="69"/>
      <c r="N2221" s="72"/>
      <c r="O2221" s="69"/>
      <c r="P2221" s="69"/>
      <c r="Q2221" s="69"/>
      <c r="R2221" s="69"/>
      <c r="S2221" s="69"/>
      <c r="T2221" s="69"/>
      <c r="U2221" s="69"/>
      <c r="V2221" s="69"/>
      <c r="W2221" s="69"/>
      <c r="X2221" s="69"/>
      <c r="Y2221" s="69"/>
      <c r="Z2221" s="69"/>
      <c r="AA2221" s="69"/>
      <c r="AB2221" s="69"/>
      <c r="AC2221" s="69"/>
      <c r="AD2221" s="69"/>
      <c r="AE2221" s="69"/>
      <c r="AF2221" s="69"/>
      <c r="AG2221" s="69"/>
      <c r="AH2221" s="69"/>
      <c r="AI2221" s="69"/>
      <c r="AJ2221" s="69"/>
      <c r="AK2221" s="69"/>
      <c r="AL2221" s="69"/>
      <c r="AM2221" s="69"/>
      <c r="AN2221" s="69"/>
      <c r="AO2221" s="69"/>
      <c r="AP2221" s="69"/>
      <c r="AQ2221" s="69"/>
      <c r="AR2221" s="69"/>
      <c r="AS2221" s="69"/>
      <c r="AT2221" s="69"/>
      <c r="AU2221" s="69"/>
      <c r="AV2221" s="69"/>
      <c r="AW2221" s="69"/>
      <c r="AX2221" s="69"/>
      <c r="AY2221" s="69"/>
      <c r="AZ2221" s="69"/>
      <c r="BA2221" s="69"/>
      <c r="BB2221" s="69"/>
      <c r="BC2221" s="69"/>
    </row>
    <row r="2222">
      <c r="A2222" s="68"/>
      <c r="B2222" s="68"/>
      <c r="C2222" s="68"/>
      <c r="D2222" s="68"/>
      <c r="E2222" s="68"/>
      <c r="F2222" s="68"/>
      <c r="G2222" s="68"/>
      <c r="H2222" s="68"/>
      <c r="I2222" s="69"/>
      <c r="J2222" s="69"/>
      <c r="K2222" s="71"/>
      <c r="L2222" s="69"/>
      <c r="M2222" s="69"/>
      <c r="N2222" s="72"/>
      <c r="O2222" s="69"/>
      <c r="P2222" s="69"/>
      <c r="Q2222" s="69"/>
      <c r="R2222" s="69"/>
      <c r="S2222" s="69"/>
      <c r="T2222" s="69"/>
      <c r="U2222" s="69"/>
      <c r="V2222" s="69"/>
      <c r="W2222" s="69"/>
      <c r="X2222" s="69"/>
      <c r="Y2222" s="69"/>
      <c r="Z2222" s="69"/>
      <c r="AA2222" s="69"/>
      <c r="AB2222" s="69"/>
      <c r="AC2222" s="69"/>
      <c r="AD2222" s="69"/>
      <c r="AE2222" s="69"/>
      <c r="AF2222" s="69"/>
      <c r="AG2222" s="69"/>
      <c r="AH2222" s="69"/>
      <c r="AI2222" s="69"/>
      <c r="AJ2222" s="69"/>
      <c r="AK2222" s="69"/>
      <c r="AL2222" s="69"/>
      <c r="AM2222" s="69"/>
      <c r="AN2222" s="69"/>
      <c r="AO2222" s="69"/>
      <c r="AP2222" s="69"/>
      <c r="AQ2222" s="69"/>
      <c r="AR2222" s="69"/>
      <c r="AS2222" s="69"/>
      <c r="AT2222" s="69"/>
      <c r="AU2222" s="69"/>
      <c r="AV2222" s="69"/>
      <c r="AW2222" s="69"/>
      <c r="AX2222" s="69"/>
      <c r="AY2222" s="69"/>
      <c r="AZ2222" s="69"/>
      <c r="BA2222" s="69"/>
      <c r="BB2222" s="69"/>
      <c r="BC2222" s="69"/>
    </row>
    <row r="2223">
      <c r="A2223" s="68"/>
      <c r="B2223" s="68"/>
      <c r="C2223" s="68"/>
      <c r="D2223" s="68"/>
      <c r="E2223" s="68"/>
      <c r="F2223" s="68"/>
      <c r="G2223" s="68"/>
      <c r="H2223" s="68"/>
      <c r="I2223" s="69"/>
      <c r="J2223" s="69"/>
      <c r="K2223" s="71"/>
      <c r="L2223" s="69"/>
      <c r="M2223" s="69"/>
      <c r="N2223" s="72"/>
      <c r="O2223" s="69"/>
      <c r="P2223" s="69"/>
      <c r="Q2223" s="69"/>
      <c r="R2223" s="69"/>
      <c r="S2223" s="69"/>
      <c r="T2223" s="69"/>
      <c r="U2223" s="69"/>
      <c r="V2223" s="69"/>
      <c r="W2223" s="69"/>
      <c r="X2223" s="69"/>
      <c r="Y2223" s="69"/>
      <c r="Z2223" s="69"/>
      <c r="AA2223" s="69"/>
      <c r="AB2223" s="69"/>
      <c r="AC2223" s="69"/>
      <c r="AD2223" s="69"/>
      <c r="AE2223" s="69"/>
      <c r="AF2223" s="69"/>
      <c r="AG2223" s="69"/>
      <c r="AH2223" s="69"/>
      <c r="AI2223" s="69"/>
      <c r="AJ2223" s="69"/>
      <c r="AK2223" s="69"/>
      <c r="AL2223" s="69"/>
      <c r="AM2223" s="69"/>
      <c r="AN2223" s="69"/>
      <c r="AO2223" s="69"/>
      <c r="AP2223" s="69"/>
      <c r="AQ2223" s="69"/>
      <c r="AR2223" s="69"/>
      <c r="AS2223" s="69"/>
      <c r="AT2223" s="69"/>
      <c r="AU2223" s="69"/>
      <c r="AV2223" s="69"/>
      <c r="AW2223" s="69"/>
      <c r="AX2223" s="69"/>
      <c r="AY2223" s="69"/>
      <c r="AZ2223" s="69"/>
      <c r="BA2223" s="69"/>
      <c r="BB2223" s="69"/>
      <c r="BC2223" s="69"/>
    </row>
    <row r="2224">
      <c r="A2224" s="68"/>
      <c r="B2224" s="68"/>
      <c r="C2224" s="68"/>
      <c r="D2224" s="68"/>
      <c r="E2224" s="68"/>
      <c r="F2224" s="68"/>
      <c r="G2224" s="68"/>
      <c r="H2224" s="68"/>
      <c r="I2224" s="69"/>
      <c r="J2224" s="69"/>
      <c r="K2224" s="71"/>
      <c r="L2224" s="69"/>
      <c r="M2224" s="69"/>
      <c r="N2224" s="72"/>
      <c r="O2224" s="69"/>
      <c r="P2224" s="69"/>
      <c r="Q2224" s="69"/>
      <c r="R2224" s="69"/>
      <c r="S2224" s="69"/>
      <c r="T2224" s="69"/>
      <c r="U2224" s="69"/>
      <c r="V2224" s="69"/>
      <c r="W2224" s="69"/>
      <c r="X2224" s="69"/>
      <c r="Y2224" s="69"/>
      <c r="Z2224" s="69"/>
      <c r="AA2224" s="69"/>
      <c r="AB2224" s="69"/>
      <c r="AC2224" s="69"/>
      <c r="AD2224" s="69"/>
      <c r="AE2224" s="69"/>
      <c r="AF2224" s="69"/>
      <c r="AG2224" s="69"/>
      <c r="AH2224" s="69"/>
      <c r="AI2224" s="69"/>
      <c r="AJ2224" s="69"/>
      <c r="AK2224" s="69"/>
      <c r="AL2224" s="69"/>
      <c r="AM2224" s="69"/>
      <c r="AN2224" s="69"/>
      <c r="AO2224" s="69"/>
      <c r="AP2224" s="69"/>
      <c r="AQ2224" s="69"/>
      <c r="AR2224" s="69"/>
      <c r="AS2224" s="69"/>
      <c r="AT2224" s="69"/>
      <c r="AU2224" s="69"/>
      <c r="AV2224" s="69"/>
      <c r="AW2224" s="69"/>
      <c r="AX2224" s="69"/>
      <c r="AY2224" s="69"/>
      <c r="AZ2224" s="69"/>
      <c r="BA2224" s="69"/>
      <c r="BB2224" s="69"/>
      <c r="BC2224" s="69"/>
    </row>
    <row r="2225">
      <c r="A2225" s="68"/>
      <c r="B2225" s="68"/>
      <c r="C2225" s="68"/>
      <c r="D2225" s="68"/>
      <c r="E2225" s="68"/>
      <c r="F2225" s="68"/>
      <c r="G2225" s="68"/>
      <c r="H2225" s="68"/>
      <c r="I2225" s="69"/>
      <c r="J2225" s="69"/>
      <c r="K2225" s="71"/>
      <c r="L2225" s="69"/>
      <c r="M2225" s="69"/>
      <c r="N2225" s="72"/>
      <c r="O2225" s="69"/>
      <c r="P2225" s="69"/>
      <c r="Q2225" s="69"/>
      <c r="R2225" s="69"/>
      <c r="S2225" s="69"/>
      <c r="T2225" s="69"/>
      <c r="U2225" s="69"/>
      <c r="V2225" s="69"/>
      <c r="W2225" s="69"/>
      <c r="X2225" s="69"/>
      <c r="Y2225" s="69"/>
      <c r="Z2225" s="69"/>
      <c r="AA2225" s="69"/>
      <c r="AB2225" s="69"/>
      <c r="AC2225" s="69"/>
      <c r="AD2225" s="69"/>
      <c r="AE2225" s="69"/>
      <c r="AF2225" s="69"/>
      <c r="AG2225" s="69"/>
      <c r="AH2225" s="69"/>
      <c r="AI2225" s="69"/>
      <c r="AJ2225" s="69"/>
      <c r="AK2225" s="69"/>
      <c r="AL2225" s="69"/>
      <c r="AM2225" s="69"/>
      <c r="AN2225" s="69"/>
      <c r="AO2225" s="69"/>
      <c r="AP2225" s="69"/>
      <c r="AQ2225" s="69"/>
      <c r="AR2225" s="69"/>
      <c r="AS2225" s="69"/>
      <c r="AT2225" s="69"/>
      <c r="AU2225" s="69"/>
      <c r="AV2225" s="69"/>
      <c r="AW2225" s="69"/>
      <c r="AX2225" s="69"/>
      <c r="AY2225" s="69"/>
      <c r="AZ2225" s="69"/>
      <c r="BA2225" s="69"/>
      <c r="BB2225" s="69"/>
      <c r="BC2225" s="69"/>
    </row>
    <row r="2226">
      <c r="A2226" s="68"/>
      <c r="B2226" s="68"/>
      <c r="C2226" s="68"/>
      <c r="D2226" s="68"/>
      <c r="E2226" s="68"/>
      <c r="F2226" s="68"/>
      <c r="G2226" s="68"/>
      <c r="H2226" s="68"/>
      <c r="I2226" s="69"/>
      <c r="J2226" s="69"/>
      <c r="K2226" s="71"/>
      <c r="L2226" s="69"/>
      <c r="M2226" s="69"/>
      <c r="N2226" s="72"/>
      <c r="O2226" s="69"/>
      <c r="P2226" s="69"/>
      <c r="Q2226" s="69"/>
      <c r="R2226" s="69"/>
      <c r="S2226" s="69"/>
      <c r="T2226" s="69"/>
      <c r="U2226" s="69"/>
      <c r="V2226" s="69"/>
      <c r="W2226" s="69"/>
      <c r="X2226" s="69"/>
      <c r="Y2226" s="69"/>
      <c r="Z2226" s="69"/>
      <c r="AA2226" s="69"/>
      <c r="AB2226" s="69"/>
      <c r="AC2226" s="69"/>
      <c r="AD2226" s="69"/>
      <c r="AE2226" s="69"/>
      <c r="AF2226" s="69"/>
      <c r="AG2226" s="69"/>
      <c r="AH2226" s="69"/>
      <c r="AI2226" s="69"/>
      <c r="AJ2226" s="69"/>
      <c r="AK2226" s="69"/>
      <c r="AL2226" s="69"/>
      <c r="AM2226" s="69"/>
      <c r="AN2226" s="69"/>
      <c r="AO2226" s="69"/>
      <c r="AP2226" s="69"/>
      <c r="AQ2226" s="69"/>
      <c r="AR2226" s="69"/>
      <c r="AS2226" s="69"/>
      <c r="AT2226" s="69"/>
      <c r="AU2226" s="69"/>
      <c r="AV2226" s="69"/>
      <c r="AW2226" s="69"/>
      <c r="AX2226" s="69"/>
      <c r="AY2226" s="69"/>
      <c r="AZ2226" s="69"/>
      <c r="BA2226" s="69"/>
      <c r="BB2226" s="69"/>
      <c r="BC2226" s="69"/>
    </row>
    <row r="2227">
      <c r="A2227" s="68"/>
      <c r="B2227" s="68"/>
      <c r="C2227" s="68"/>
      <c r="D2227" s="68"/>
      <c r="E2227" s="68"/>
      <c r="F2227" s="68"/>
      <c r="G2227" s="68"/>
      <c r="H2227" s="68"/>
      <c r="I2227" s="69"/>
      <c r="J2227" s="69"/>
      <c r="K2227" s="71"/>
      <c r="L2227" s="69"/>
      <c r="M2227" s="69"/>
      <c r="N2227" s="72"/>
      <c r="O2227" s="69"/>
      <c r="P2227" s="69"/>
      <c r="Q2227" s="69"/>
      <c r="R2227" s="69"/>
      <c r="S2227" s="69"/>
      <c r="T2227" s="69"/>
      <c r="U2227" s="69"/>
      <c r="V2227" s="69"/>
      <c r="W2227" s="69"/>
      <c r="X2227" s="69"/>
      <c r="Y2227" s="69"/>
      <c r="Z2227" s="69"/>
      <c r="AA2227" s="69"/>
      <c r="AB2227" s="69"/>
      <c r="AC2227" s="69"/>
      <c r="AD2227" s="69"/>
      <c r="AE2227" s="69"/>
      <c r="AF2227" s="69"/>
      <c r="AG2227" s="69"/>
      <c r="AH2227" s="69"/>
      <c r="AI2227" s="69"/>
      <c r="AJ2227" s="69"/>
      <c r="AK2227" s="69"/>
      <c r="AL2227" s="69"/>
      <c r="AM2227" s="69"/>
      <c r="AN2227" s="69"/>
      <c r="AO2227" s="69"/>
      <c r="AP2227" s="69"/>
      <c r="AQ2227" s="69"/>
      <c r="AR2227" s="69"/>
      <c r="AS2227" s="69"/>
      <c r="AT2227" s="69"/>
      <c r="AU2227" s="69"/>
      <c r="AV2227" s="69"/>
      <c r="AW2227" s="69"/>
      <c r="AX2227" s="69"/>
      <c r="AY2227" s="69"/>
      <c r="AZ2227" s="69"/>
      <c r="BA2227" s="69"/>
      <c r="BB2227" s="69"/>
      <c r="BC2227" s="69"/>
    </row>
    <row r="2228">
      <c r="A2228" s="68"/>
      <c r="B2228" s="68"/>
      <c r="C2228" s="68"/>
      <c r="D2228" s="68"/>
      <c r="E2228" s="68"/>
      <c r="F2228" s="68"/>
      <c r="G2228" s="68"/>
      <c r="H2228" s="68"/>
      <c r="I2228" s="69"/>
      <c r="J2228" s="69"/>
      <c r="K2228" s="71"/>
      <c r="L2228" s="69"/>
      <c r="M2228" s="69"/>
      <c r="N2228" s="72"/>
      <c r="O2228" s="69"/>
      <c r="P2228" s="69"/>
      <c r="Q2228" s="69"/>
      <c r="R2228" s="69"/>
      <c r="S2228" s="69"/>
      <c r="T2228" s="69"/>
      <c r="U2228" s="69"/>
      <c r="V2228" s="69"/>
      <c r="W2228" s="69"/>
      <c r="X2228" s="69"/>
      <c r="Y2228" s="69"/>
      <c r="Z2228" s="69"/>
      <c r="AA2228" s="69"/>
      <c r="AB2228" s="69"/>
      <c r="AC2228" s="69"/>
      <c r="AD2228" s="69"/>
      <c r="AE2228" s="69"/>
      <c r="AF2228" s="69"/>
      <c r="AG2228" s="69"/>
      <c r="AH2228" s="69"/>
      <c r="AI2228" s="69"/>
      <c r="AJ2228" s="69"/>
      <c r="AK2228" s="69"/>
      <c r="AL2228" s="69"/>
      <c r="AM2228" s="69"/>
      <c r="AN2228" s="69"/>
      <c r="AO2228" s="69"/>
      <c r="AP2228" s="69"/>
      <c r="AQ2228" s="69"/>
      <c r="AR2228" s="69"/>
      <c r="AS2228" s="69"/>
      <c r="AT2228" s="69"/>
      <c r="AU2228" s="69"/>
      <c r="AV2228" s="69"/>
      <c r="AW2228" s="69"/>
      <c r="AX2228" s="69"/>
      <c r="AY2228" s="69"/>
      <c r="AZ2228" s="69"/>
      <c r="BA2228" s="69"/>
      <c r="BB2228" s="69"/>
      <c r="BC2228" s="69"/>
    </row>
    <row r="2229">
      <c r="A2229" s="68"/>
      <c r="B2229" s="68"/>
      <c r="C2229" s="68"/>
      <c r="D2229" s="68"/>
      <c r="E2229" s="68"/>
      <c r="F2229" s="68"/>
      <c r="G2229" s="68"/>
      <c r="H2229" s="68"/>
      <c r="I2229" s="69"/>
      <c r="J2229" s="69"/>
      <c r="K2229" s="71"/>
      <c r="L2229" s="69"/>
      <c r="M2229" s="69"/>
      <c r="N2229" s="72"/>
      <c r="O2229" s="69"/>
      <c r="P2229" s="69"/>
      <c r="Q2229" s="69"/>
      <c r="R2229" s="69"/>
      <c r="S2229" s="69"/>
      <c r="T2229" s="69"/>
      <c r="U2229" s="69"/>
      <c r="V2229" s="69"/>
      <c r="W2229" s="69"/>
      <c r="X2229" s="69"/>
      <c r="Y2229" s="69"/>
      <c r="Z2229" s="69"/>
      <c r="AA2229" s="69"/>
      <c r="AB2229" s="69"/>
      <c r="AC2229" s="69"/>
      <c r="AD2229" s="69"/>
      <c r="AE2229" s="69"/>
      <c r="AF2229" s="69"/>
      <c r="AG2229" s="69"/>
      <c r="AH2229" s="69"/>
      <c r="AI2229" s="69"/>
      <c r="AJ2229" s="69"/>
      <c r="AK2229" s="69"/>
      <c r="AL2229" s="69"/>
      <c r="AM2229" s="69"/>
      <c r="AN2229" s="69"/>
      <c r="AO2229" s="69"/>
      <c r="AP2229" s="69"/>
      <c r="AQ2229" s="69"/>
      <c r="AR2229" s="69"/>
      <c r="AS2229" s="69"/>
      <c r="AT2229" s="69"/>
      <c r="AU2229" s="69"/>
      <c r="AV2229" s="69"/>
      <c r="AW2229" s="69"/>
      <c r="AX2229" s="69"/>
      <c r="AY2229" s="69"/>
      <c r="AZ2229" s="69"/>
      <c r="BA2229" s="69"/>
      <c r="BB2229" s="69"/>
      <c r="BC2229" s="69"/>
    </row>
    <row r="2230">
      <c r="A2230" s="68"/>
      <c r="B2230" s="68"/>
      <c r="C2230" s="68"/>
      <c r="D2230" s="68"/>
      <c r="E2230" s="68"/>
      <c r="F2230" s="68"/>
      <c r="G2230" s="68"/>
      <c r="H2230" s="68"/>
      <c r="I2230" s="69"/>
      <c r="J2230" s="69"/>
      <c r="K2230" s="71"/>
      <c r="L2230" s="69"/>
      <c r="M2230" s="69"/>
      <c r="N2230" s="72"/>
      <c r="O2230" s="69"/>
      <c r="P2230" s="69"/>
      <c r="Q2230" s="69"/>
      <c r="R2230" s="69"/>
      <c r="S2230" s="69"/>
      <c r="T2230" s="69"/>
      <c r="U2230" s="69"/>
      <c r="V2230" s="69"/>
      <c r="W2230" s="69"/>
      <c r="X2230" s="69"/>
      <c r="Y2230" s="69"/>
      <c r="Z2230" s="69"/>
      <c r="AA2230" s="69"/>
      <c r="AB2230" s="69"/>
      <c r="AC2230" s="69"/>
      <c r="AD2230" s="69"/>
      <c r="AE2230" s="69"/>
      <c r="AF2230" s="69"/>
      <c r="AG2230" s="69"/>
      <c r="AH2230" s="69"/>
      <c r="AI2230" s="69"/>
      <c r="AJ2230" s="69"/>
      <c r="AK2230" s="69"/>
      <c r="AL2230" s="69"/>
      <c r="AM2230" s="69"/>
      <c r="AN2230" s="69"/>
      <c r="AO2230" s="69"/>
      <c r="AP2230" s="69"/>
      <c r="AQ2230" s="69"/>
      <c r="AR2230" s="69"/>
      <c r="AS2230" s="69"/>
      <c r="AT2230" s="69"/>
      <c r="AU2230" s="69"/>
      <c r="AV2230" s="69"/>
      <c r="AW2230" s="69"/>
      <c r="AX2230" s="69"/>
      <c r="AY2230" s="69"/>
      <c r="AZ2230" s="69"/>
      <c r="BA2230" s="69"/>
      <c r="BB2230" s="69"/>
      <c r="BC2230" s="69"/>
    </row>
    <row r="2231">
      <c r="A2231" s="68"/>
      <c r="B2231" s="68"/>
      <c r="C2231" s="68"/>
      <c r="D2231" s="68"/>
      <c r="E2231" s="68"/>
      <c r="F2231" s="68"/>
      <c r="G2231" s="68"/>
      <c r="H2231" s="68"/>
      <c r="I2231" s="69"/>
      <c r="J2231" s="69"/>
      <c r="K2231" s="71"/>
      <c r="L2231" s="69"/>
      <c r="M2231" s="69"/>
      <c r="N2231" s="72"/>
      <c r="O2231" s="69"/>
      <c r="P2231" s="69"/>
      <c r="Q2231" s="69"/>
      <c r="R2231" s="69"/>
      <c r="S2231" s="69"/>
      <c r="T2231" s="69"/>
      <c r="U2231" s="69"/>
      <c r="V2231" s="69"/>
      <c r="W2231" s="69"/>
      <c r="X2231" s="69"/>
      <c r="Y2231" s="69"/>
      <c r="Z2231" s="69"/>
      <c r="AA2231" s="69"/>
      <c r="AB2231" s="69"/>
      <c r="AC2231" s="69"/>
      <c r="AD2231" s="69"/>
      <c r="AE2231" s="69"/>
      <c r="AF2231" s="69"/>
      <c r="AG2231" s="69"/>
      <c r="AH2231" s="69"/>
      <c r="AI2231" s="69"/>
      <c r="AJ2231" s="69"/>
      <c r="AK2231" s="69"/>
      <c r="AL2231" s="69"/>
      <c r="AM2231" s="69"/>
      <c r="AN2231" s="69"/>
      <c r="AO2231" s="69"/>
      <c r="AP2231" s="69"/>
      <c r="AQ2231" s="69"/>
      <c r="AR2231" s="69"/>
      <c r="AS2231" s="69"/>
      <c r="AT2231" s="69"/>
      <c r="AU2231" s="69"/>
      <c r="AV2231" s="69"/>
      <c r="AW2231" s="69"/>
      <c r="AX2231" s="69"/>
      <c r="AY2231" s="69"/>
      <c r="AZ2231" s="69"/>
      <c r="BA2231" s="69"/>
      <c r="BB2231" s="69"/>
      <c r="BC2231" s="69"/>
    </row>
    <row r="2232">
      <c r="A2232" s="68"/>
      <c r="B2232" s="68"/>
      <c r="C2232" s="68"/>
      <c r="D2232" s="68"/>
      <c r="E2232" s="68"/>
      <c r="F2232" s="68"/>
      <c r="G2232" s="68"/>
      <c r="H2232" s="68"/>
      <c r="I2232" s="69"/>
      <c r="J2232" s="69"/>
      <c r="K2232" s="71"/>
      <c r="L2232" s="69"/>
      <c r="M2232" s="69"/>
      <c r="N2232" s="72"/>
      <c r="O2232" s="69"/>
      <c r="P2232" s="69"/>
      <c r="Q2232" s="69"/>
      <c r="R2232" s="69"/>
      <c r="S2232" s="69"/>
      <c r="T2232" s="69"/>
      <c r="U2232" s="69"/>
      <c r="V2232" s="69"/>
      <c r="W2232" s="69"/>
      <c r="X2232" s="69"/>
      <c r="Y2232" s="69"/>
      <c r="Z2232" s="69"/>
      <c r="AA2232" s="69"/>
      <c r="AB2232" s="69"/>
      <c r="AC2232" s="69"/>
      <c r="AD2232" s="69"/>
      <c r="AE2232" s="69"/>
      <c r="AF2232" s="69"/>
      <c r="AG2232" s="69"/>
      <c r="AH2232" s="69"/>
      <c r="AI2232" s="69"/>
      <c r="AJ2232" s="69"/>
      <c r="AK2232" s="69"/>
      <c r="AL2232" s="69"/>
      <c r="AM2232" s="69"/>
      <c r="AN2232" s="69"/>
      <c r="AO2232" s="69"/>
      <c r="AP2232" s="69"/>
      <c r="AQ2232" s="69"/>
      <c r="AR2232" s="69"/>
      <c r="AS2232" s="69"/>
      <c r="AT2232" s="69"/>
      <c r="AU2232" s="69"/>
      <c r="AV2232" s="69"/>
      <c r="AW2232" s="69"/>
      <c r="AX2232" s="69"/>
      <c r="AY2232" s="69"/>
      <c r="AZ2232" s="69"/>
      <c r="BA2232" s="69"/>
      <c r="BB2232" s="69"/>
      <c r="BC2232" s="69"/>
    </row>
    <row r="2233">
      <c r="A2233" s="68"/>
      <c r="B2233" s="68"/>
      <c r="C2233" s="68"/>
      <c r="D2233" s="68"/>
      <c r="E2233" s="68"/>
      <c r="F2233" s="68"/>
      <c r="G2233" s="68"/>
      <c r="H2233" s="68"/>
      <c r="I2233" s="69"/>
      <c r="J2233" s="69"/>
      <c r="K2233" s="71"/>
      <c r="L2233" s="69"/>
      <c r="M2233" s="69"/>
      <c r="N2233" s="72"/>
      <c r="O2233" s="69"/>
      <c r="P2233" s="69"/>
      <c r="Q2233" s="69"/>
      <c r="R2233" s="69"/>
      <c r="S2233" s="69"/>
      <c r="T2233" s="69"/>
      <c r="U2233" s="69"/>
      <c r="V2233" s="69"/>
      <c r="W2233" s="69"/>
      <c r="X2233" s="69"/>
      <c r="Y2233" s="69"/>
      <c r="Z2233" s="69"/>
      <c r="AA2233" s="69"/>
      <c r="AB2233" s="69"/>
      <c r="AC2233" s="69"/>
      <c r="AD2233" s="69"/>
      <c r="AE2233" s="69"/>
      <c r="AF2233" s="69"/>
      <c r="AG2233" s="69"/>
      <c r="AH2233" s="69"/>
      <c r="AI2233" s="69"/>
      <c r="AJ2233" s="69"/>
      <c r="AK2233" s="69"/>
      <c r="AL2233" s="69"/>
      <c r="AM2233" s="69"/>
      <c r="AN2233" s="69"/>
      <c r="AO2233" s="69"/>
      <c r="AP2233" s="69"/>
      <c r="AQ2233" s="69"/>
      <c r="AR2233" s="69"/>
      <c r="AS2233" s="69"/>
      <c r="AT2233" s="69"/>
      <c r="AU2233" s="69"/>
      <c r="AV2233" s="69"/>
      <c r="AW2233" s="69"/>
      <c r="AX2233" s="69"/>
      <c r="AY2233" s="69"/>
      <c r="AZ2233" s="69"/>
      <c r="BA2233" s="69"/>
      <c r="BB2233" s="69"/>
      <c r="BC2233" s="69"/>
    </row>
    <row r="2234">
      <c r="A2234" s="68"/>
      <c r="B2234" s="68"/>
      <c r="C2234" s="68"/>
      <c r="D2234" s="68"/>
      <c r="E2234" s="68"/>
      <c r="F2234" s="68"/>
      <c r="G2234" s="68"/>
      <c r="H2234" s="68"/>
      <c r="I2234" s="69"/>
      <c r="J2234" s="69"/>
      <c r="K2234" s="71"/>
      <c r="L2234" s="69"/>
      <c r="M2234" s="69"/>
      <c r="N2234" s="72"/>
      <c r="O2234" s="69"/>
      <c r="P2234" s="69"/>
      <c r="Q2234" s="69"/>
      <c r="R2234" s="69"/>
      <c r="S2234" s="69"/>
      <c r="T2234" s="69"/>
      <c r="U2234" s="69"/>
      <c r="V2234" s="69"/>
      <c r="W2234" s="69"/>
      <c r="X2234" s="69"/>
      <c r="Y2234" s="69"/>
      <c r="Z2234" s="69"/>
      <c r="AA2234" s="69"/>
      <c r="AB2234" s="69"/>
      <c r="AC2234" s="69"/>
      <c r="AD2234" s="69"/>
      <c r="AE2234" s="69"/>
      <c r="AF2234" s="69"/>
      <c r="AG2234" s="69"/>
      <c r="AH2234" s="69"/>
      <c r="AI2234" s="69"/>
      <c r="AJ2234" s="69"/>
      <c r="AK2234" s="69"/>
      <c r="AL2234" s="69"/>
      <c r="AM2234" s="69"/>
      <c r="AN2234" s="69"/>
      <c r="AO2234" s="69"/>
      <c r="AP2234" s="69"/>
      <c r="AQ2234" s="69"/>
      <c r="AR2234" s="69"/>
      <c r="AS2234" s="69"/>
      <c r="AT2234" s="69"/>
      <c r="AU2234" s="69"/>
      <c r="AV2234" s="69"/>
      <c r="AW2234" s="69"/>
      <c r="AX2234" s="69"/>
      <c r="AY2234" s="69"/>
      <c r="AZ2234" s="69"/>
      <c r="BA2234" s="69"/>
      <c r="BB2234" s="69"/>
      <c r="BC2234" s="69"/>
    </row>
    <row r="2235">
      <c r="A2235" s="68"/>
      <c r="B2235" s="68"/>
      <c r="C2235" s="68"/>
      <c r="D2235" s="68"/>
      <c r="E2235" s="68"/>
      <c r="F2235" s="68"/>
      <c r="G2235" s="68"/>
      <c r="H2235" s="68"/>
      <c r="I2235" s="69"/>
      <c r="J2235" s="69"/>
      <c r="K2235" s="71"/>
      <c r="L2235" s="69"/>
      <c r="M2235" s="69"/>
      <c r="N2235" s="72"/>
      <c r="O2235" s="69"/>
      <c r="P2235" s="69"/>
      <c r="Q2235" s="69"/>
      <c r="R2235" s="69"/>
      <c r="S2235" s="69"/>
      <c r="T2235" s="69"/>
      <c r="U2235" s="69"/>
      <c r="V2235" s="69"/>
      <c r="W2235" s="69"/>
      <c r="X2235" s="69"/>
      <c r="Y2235" s="69"/>
      <c r="Z2235" s="69"/>
      <c r="AA2235" s="69"/>
      <c r="AB2235" s="69"/>
      <c r="AC2235" s="69"/>
      <c r="AD2235" s="69"/>
      <c r="AE2235" s="69"/>
      <c r="AF2235" s="69"/>
      <c r="AG2235" s="69"/>
      <c r="AH2235" s="69"/>
      <c r="AI2235" s="69"/>
      <c r="AJ2235" s="69"/>
      <c r="AK2235" s="69"/>
      <c r="AL2235" s="69"/>
      <c r="AM2235" s="69"/>
      <c r="AN2235" s="69"/>
      <c r="AO2235" s="69"/>
      <c r="AP2235" s="69"/>
      <c r="AQ2235" s="69"/>
      <c r="AR2235" s="69"/>
      <c r="AS2235" s="69"/>
      <c r="AT2235" s="69"/>
      <c r="AU2235" s="69"/>
      <c r="AV2235" s="69"/>
      <c r="AW2235" s="69"/>
      <c r="AX2235" s="69"/>
      <c r="AY2235" s="69"/>
      <c r="AZ2235" s="69"/>
      <c r="BA2235" s="69"/>
      <c r="BB2235" s="69"/>
      <c r="BC2235" s="69"/>
    </row>
    <row r="2236">
      <c r="A2236" s="68"/>
      <c r="B2236" s="68"/>
      <c r="C2236" s="68"/>
      <c r="D2236" s="68"/>
      <c r="E2236" s="68"/>
      <c r="F2236" s="68"/>
      <c r="G2236" s="68"/>
      <c r="H2236" s="68"/>
      <c r="I2236" s="69"/>
      <c r="J2236" s="69"/>
      <c r="K2236" s="71"/>
      <c r="L2236" s="69"/>
      <c r="M2236" s="69"/>
      <c r="N2236" s="72"/>
      <c r="O2236" s="69"/>
      <c r="P2236" s="69"/>
      <c r="Q2236" s="69"/>
      <c r="R2236" s="69"/>
      <c r="S2236" s="69"/>
      <c r="T2236" s="69"/>
      <c r="U2236" s="69"/>
      <c r="V2236" s="69"/>
      <c r="W2236" s="69"/>
      <c r="X2236" s="69"/>
      <c r="Y2236" s="69"/>
      <c r="Z2236" s="69"/>
      <c r="AA2236" s="69"/>
      <c r="AB2236" s="69"/>
      <c r="AC2236" s="69"/>
      <c r="AD2236" s="69"/>
      <c r="AE2236" s="69"/>
      <c r="AF2236" s="69"/>
      <c r="AG2236" s="69"/>
      <c r="AH2236" s="69"/>
      <c r="AI2236" s="69"/>
      <c r="AJ2236" s="69"/>
      <c r="AK2236" s="69"/>
      <c r="AL2236" s="69"/>
      <c r="AM2236" s="69"/>
      <c r="AN2236" s="69"/>
      <c r="AO2236" s="69"/>
      <c r="AP2236" s="69"/>
      <c r="AQ2236" s="69"/>
      <c r="AR2236" s="69"/>
      <c r="AS2236" s="69"/>
      <c r="AT2236" s="69"/>
      <c r="AU2236" s="69"/>
      <c r="AV2236" s="69"/>
      <c r="AW2236" s="69"/>
      <c r="AX2236" s="69"/>
      <c r="AY2236" s="69"/>
      <c r="AZ2236" s="69"/>
      <c r="BA2236" s="69"/>
      <c r="BB2236" s="69"/>
      <c r="BC2236" s="69"/>
    </row>
    <row r="2237">
      <c r="A2237" s="68"/>
      <c r="B2237" s="68"/>
      <c r="C2237" s="68"/>
      <c r="D2237" s="68"/>
      <c r="E2237" s="68"/>
      <c r="F2237" s="68"/>
      <c r="G2237" s="68"/>
      <c r="H2237" s="68"/>
      <c r="I2237" s="69"/>
      <c r="J2237" s="69"/>
      <c r="K2237" s="71"/>
      <c r="L2237" s="69"/>
      <c r="M2237" s="69"/>
      <c r="N2237" s="72"/>
      <c r="O2237" s="69"/>
      <c r="P2237" s="69"/>
      <c r="Q2237" s="69"/>
      <c r="R2237" s="69"/>
      <c r="S2237" s="69"/>
      <c r="T2237" s="69"/>
      <c r="U2237" s="69"/>
      <c r="V2237" s="69"/>
      <c r="W2237" s="69"/>
      <c r="X2237" s="69"/>
      <c r="Y2237" s="69"/>
      <c r="Z2237" s="69"/>
      <c r="AA2237" s="69"/>
      <c r="AB2237" s="69"/>
      <c r="AC2237" s="69"/>
      <c r="AD2237" s="69"/>
      <c r="AE2237" s="69"/>
      <c r="AF2237" s="69"/>
      <c r="AG2237" s="69"/>
      <c r="AH2237" s="69"/>
      <c r="AI2237" s="69"/>
      <c r="AJ2237" s="69"/>
      <c r="AK2237" s="69"/>
      <c r="AL2237" s="69"/>
      <c r="AM2237" s="69"/>
      <c r="AN2237" s="69"/>
      <c r="AO2237" s="69"/>
      <c r="AP2237" s="69"/>
      <c r="AQ2237" s="69"/>
      <c r="AR2237" s="69"/>
      <c r="AS2237" s="69"/>
      <c r="AT2237" s="69"/>
      <c r="AU2237" s="69"/>
      <c r="AV2237" s="69"/>
      <c r="AW2237" s="69"/>
      <c r="AX2237" s="69"/>
      <c r="AY2237" s="69"/>
      <c r="AZ2237" s="69"/>
      <c r="BA2237" s="69"/>
      <c r="BB2237" s="69"/>
      <c r="BC2237" s="69"/>
    </row>
    <row r="2238">
      <c r="A2238" s="68"/>
      <c r="B2238" s="68"/>
      <c r="C2238" s="68"/>
      <c r="D2238" s="68"/>
      <c r="E2238" s="68"/>
      <c r="F2238" s="68"/>
      <c r="G2238" s="68"/>
      <c r="H2238" s="68"/>
      <c r="I2238" s="69"/>
      <c r="J2238" s="69"/>
      <c r="K2238" s="71"/>
      <c r="L2238" s="69"/>
      <c r="M2238" s="69"/>
      <c r="N2238" s="72"/>
      <c r="O2238" s="69"/>
      <c r="P2238" s="69"/>
      <c r="Q2238" s="69"/>
      <c r="R2238" s="69"/>
      <c r="S2238" s="69"/>
      <c r="T2238" s="69"/>
      <c r="U2238" s="69"/>
      <c r="V2238" s="69"/>
      <c r="W2238" s="69"/>
      <c r="X2238" s="69"/>
      <c r="Y2238" s="69"/>
      <c r="Z2238" s="69"/>
      <c r="AA2238" s="69"/>
      <c r="AB2238" s="69"/>
      <c r="AC2238" s="69"/>
      <c r="AD2238" s="69"/>
      <c r="AE2238" s="69"/>
      <c r="AF2238" s="69"/>
      <c r="AG2238" s="69"/>
      <c r="AH2238" s="69"/>
      <c r="AI2238" s="69"/>
      <c r="AJ2238" s="69"/>
      <c r="AK2238" s="69"/>
      <c r="AL2238" s="69"/>
      <c r="AM2238" s="69"/>
      <c r="AN2238" s="69"/>
      <c r="AO2238" s="69"/>
      <c r="AP2238" s="69"/>
      <c r="AQ2238" s="69"/>
      <c r="AR2238" s="69"/>
      <c r="AS2238" s="69"/>
      <c r="AT2238" s="69"/>
      <c r="AU2238" s="69"/>
      <c r="AV2238" s="69"/>
      <c r="AW2238" s="69"/>
      <c r="AX2238" s="69"/>
      <c r="AY2238" s="69"/>
      <c r="AZ2238" s="69"/>
      <c r="BA2238" s="69"/>
      <c r="BB2238" s="69"/>
      <c r="BC2238" s="69"/>
    </row>
    <row r="2239">
      <c r="A2239" s="68"/>
      <c r="B2239" s="68"/>
      <c r="C2239" s="68"/>
      <c r="D2239" s="68"/>
      <c r="E2239" s="68"/>
      <c r="F2239" s="68"/>
      <c r="G2239" s="68"/>
      <c r="H2239" s="68"/>
      <c r="I2239" s="69"/>
      <c r="J2239" s="69"/>
      <c r="K2239" s="71"/>
      <c r="L2239" s="69"/>
      <c r="M2239" s="69"/>
      <c r="N2239" s="72"/>
      <c r="O2239" s="69"/>
      <c r="P2239" s="69"/>
      <c r="Q2239" s="69"/>
      <c r="R2239" s="69"/>
      <c r="S2239" s="69"/>
      <c r="T2239" s="69"/>
      <c r="U2239" s="69"/>
      <c r="V2239" s="69"/>
      <c r="W2239" s="69"/>
      <c r="X2239" s="69"/>
      <c r="Y2239" s="69"/>
      <c r="Z2239" s="69"/>
      <c r="AA2239" s="69"/>
      <c r="AB2239" s="69"/>
      <c r="AC2239" s="69"/>
      <c r="AD2239" s="69"/>
      <c r="AE2239" s="69"/>
      <c r="AF2239" s="69"/>
      <c r="AG2239" s="69"/>
      <c r="AH2239" s="69"/>
      <c r="AI2239" s="69"/>
      <c r="AJ2239" s="69"/>
      <c r="AK2239" s="69"/>
      <c r="AL2239" s="69"/>
      <c r="AM2239" s="69"/>
      <c r="AN2239" s="69"/>
      <c r="AO2239" s="69"/>
      <c r="AP2239" s="69"/>
      <c r="AQ2239" s="69"/>
      <c r="AR2239" s="69"/>
      <c r="AS2239" s="69"/>
      <c r="AT2239" s="69"/>
      <c r="AU2239" s="69"/>
      <c r="AV2239" s="69"/>
      <c r="AW2239" s="69"/>
      <c r="AX2239" s="69"/>
      <c r="AY2239" s="69"/>
      <c r="AZ2239" s="69"/>
      <c r="BA2239" s="69"/>
      <c r="BB2239" s="69"/>
      <c r="BC2239" s="69"/>
    </row>
    <row r="2240">
      <c r="A2240" s="68"/>
      <c r="B2240" s="68"/>
      <c r="C2240" s="68"/>
      <c r="D2240" s="68"/>
      <c r="E2240" s="68"/>
      <c r="F2240" s="68"/>
      <c r="G2240" s="68"/>
      <c r="H2240" s="68"/>
      <c r="I2240" s="69"/>
      <c r="J2240" s="69"/>
      <c r="K2240" s="71"/>
      <c r="L2240" s="69"/>
      <c r="M2240" s="69"/>
      <c r="N2240" s="72"/>
      <c r="O2240" s="69"/>
      <c r="P2240" s="69"/>
      <c r="Q2240" s="69"/>
      <c r="R2240" s="69"/>
      <c r="S2240" s="69"/>
      <c r="T2240" s="69"/>
      <c r="U2240" s="69"/>
      <c r="V2240" s="69"/>
      <c r="W2240" s="69"/>
      <c r="X2240" s="69"/>
      <c r="Y2240" s="69"/>
      <c r="Z2240" s="69"/>
      <c r="AA2240" s="69"/>
      <c r="AB2240" s="69"/>
      <c r="AC2240" s="69"/>
      <c r="AD2240" s="69"/>
      <c r="AE2240" s="69"/>
      <c r="AF2240" s="69"/>
      <c r="AG2240" s="69"/>
      <c r="AH2240" s="69"/>
      <c r="AI2240" s="69"/>
      <c r="AJ2240" s="69"/>
      <c r="AK2240" s="69"/>
      <c r="AL2240" s="69"/>
      <c r="AM2240" s="69"/>
      <c r="AN2240" s="69"/>
      <c r="AO2240" s="69"/>
      <c r="AP2240" s="69"/>
      <c r="AQ2240" s="69"/>
      <c r="AR2240" s="69"/>
      <c r="AS2240" s="69"/>
      <c r="AT2240" s="69"/>
      <c r="AU2240" s="69"/>
      <c r="AV2240" s="69"/>
      <c r="AW2240" s="69"/>
      <c r="AX2240" s="69"/>
      <c r="AY2240" s="69"/>
      <c r="AZ2240" s="69"/>
      <c r="BA2240" s="69"/>
      <c r="BB2240" s="69"/>
      <c r="BC2240" s="69"/>
    </row>
    <row r="2241">
      <c r="A2241" s="68"/>
      <c r="B2241" s="68"/>
      <c r="C2241" s="68"/>
      <c r="D2241" s="68"/>
      <c r="E2241" s="68"/>
      <c r="F2241" s="68"/>
      <c r="G2241" s="68"/>
      <c r="H2241" s="68"/>
      <c r="I2241" s="69"/>
      <c r="J2241" s="69"/>
      <c r="K2241" s="71"/>
      <c r="L2241" s="69"/>
      <c r="M2241" s="69"/>
      <c r="N2241" s="72"/>
      <c r="O2241" s="69"/>
      <c r="P2241" s="69"/>
      <c r="Q2241" s="69"/>
      <c r="R2241" s="69"/>
      <c r="S2241" s="69"/>
      <c r="T2241" s="69"/>
      <c r="U2241" s="69"/>
      <c r="V2241" s="69"/>
      <c r="W2241" s="69"/>
      <c r="X2241" s="69"/>
      <c r="Y2241" s="69"/>
      <c r="Z2241" s="69"/>
      <c r="AA2241" s="69"/>
      <c r="AB2241" s="69"/>
      <c r="AC2241" s="69"/>
      <c r="AD2241" s="69"/>
      <c r="AE2241" s="69"/>
      <c r="AF2241" s="69"/>
      <c r="AG2241" s="69"/>
      <c r="AH2241" s="69"/>
      <c r="AI2241" s="69"/>
      <c r="AJ2241" s="69"/>
      <c r="AK2241" s="69"/>
      <c r="AL2241" s="69"/>
      <c r="AM2241" s="69"/>
      <c r="AN2241" s="69"/>
      <c r="AO2241" s="69"/>
      <c r="AP2241" s="69"/>
      <c r="AQ2241" s="69"/>
      <c r="AR2241" s="69"/>
      <c r="AS2241" s="69"/>
      <c r="AT2241" s="69"/>
      <c r="AU2241" s="69"/>
      <c r="AV2241" s="69"/>
      <c r="AW2241" s="69"/>
      <c r="AX2241" s="69"/>
      <c r="AY2241" s="69"/>
      <c r="AZ2241" s="69"/>
      <c r="BA2241" s="69"/>
      <c r="BB2241" s="69"/>
      <c r="BC2241" s="69"/>
    </row>
    <row r="2242">
      <c r="A2242" s="68"/>
      <c r="B2242" s="68"/>
      <c r="C2242" s="68"/>
      <c r="D2242" s="68"/>
      <c r="E2242" s="68"/>
      <c r="F2242" s="68"/>
      <c r="G2242" s="68"/>
      <c r="H2242" s="68"/>
      <c r="I2242" s="69"/>
      <c r="J2242" s="69"/>
      <c r="K2242" s="71"/>
      <c r="L2242" s="69"/>
      <c r="M2242" s="69"/>
      <c r="N2242" s="72"/>
      <c r="O2242" s="69"/>
      <c r="P2242" s="69"/>
      <c r="Q2242" s="69"/>
      <c r="R2242" s="69"/>
      <c r="S2242" s="69"/>
      <c r="T2242" s="69"/>
      <c r="U2242" s="69"/>
      <c r="V2242" s="69"/>
      <c r="W2242" s="69"/>
      <c r="X2242" s="69"/>
      <c r="Y2242" s="69"/>
      <c r="Z2242" s="69"/>
      <c r="AA2242" s="69"/>
      <c r="AB2242" s="69"/>
      <c r="AC2242" s="69"/>
      <c r="AD2242" s="69"/>
      <c r="AE2242" s="69"/>
      <c r="AF2242" s="69"/>
      <c r="AG2242" s="69"/>
      <c r="AH2242" s="69"/>
      <c r="AI2242" s="69"/>
      <c r="AJ2242" s="69"/>
      <c r="AK2242" s="69"/>
      <c r="AL2242" s="69"/>
      <c r="AM2242" s="69"/>
      <c r="AN2242" s="69"/>
      <c r="AO2242" s="69"/>
      <c r="AP2242" s="69"/>
      <c r="AQ2242" s="69"/>
      <c r="AR2242" s="69"/>
      <c r="AS2242" s="69"/>
      <c r="AT2242" s="69"/>
      <c r="AU2242" s="69"/>
      <c r="AV2242" s="69"/>
      <c r="AW2242" s="69"/>
      <c r="AX2242" s="69"/>
      <c r="AY2242" s="69"/>
      <c r="AZ2242" s="69"/>
      <c r="BA2242" s="69"/>
      <c r="BB2242" s="69"/>
      <c r="BC2242" s="69"/>
    </row>
    <row r="2243">
      <c r="A2243" s="68"/>
      <c r="B2243" s="68"/>
      <c r="C2243" s="68"/>
      <c r="D2243" s="68"/>
      <c r="E2243" s="68"/>
      <c r="F2243" s="68"/>
      <c r="G2243" s="68"/>
      <c r="H2243" s="68"/>
      <c r="I2243" s="69"/>
      <c r="J2243" s="69"/>
      <c r="K2243" s="71"/>
      <c r="L2243" s="69"/>
      <c r="M2243" s="69"/>
      <c r="N2243" s="72"/>
      <c r="O2243" s="69"/>
      <c r="P2243" s="69"/>
      <c r="Q2243" s="69"/>
      <c r="R2243" s="69"/>
      <c r="S2243" s="69"/>
      <c r="T2243" s="69"/>
      <c r="U2243" s="69"/>
      <c r="V2243" s="69"/>
      <c r="W2243" s="69"/>
      <c r="X2243" s="69"/>
      <c r="Y2243" s="69"/>
      <c r="Z2243" s="69"/>
      <c r="AA2243" s="69"/>
      <c r="AB2243" s="69"/>
      <c r="AC2243" s="69"/>
      <c r="AD2243" s="69"/>
      <c r="AE2243" s="69"/>
      <c r="AF2243" s="69"/>
      <c r="AG2243" s="69"/>
      <c r="AH2243" s="69"/>
      <c r="AI2243" s="69"/>
      <c r="AJ2243" s="69"/>
      <c r="AK2243" s="69"/>
      <c r="AL2243" s="69"/>
      <c r="AM2243" s="69"/>
      <c r="AN2243" s="69"/>
      <c r="AO2243" s="69"/>
      <c r="AP2243" s="69"/>
      <c r="AQ2243" s="69"/>
      <c r="AR2243" s="69"/>
      <c r="AS2243" s="69"/>
      <c r="AT2243" s="69"/>
      <c r="AU2243" s="69"/>
      <c r="AV2243" s="69"/>
      <c r="AW2243" s="69"/>
      <c r="AX2243" s="69"/>
      <c r="AY2243" s="69"/>
      <c r="AZ2243" s="69"/>
      <c r="BA2243" s="69"/>
      <c r="BB2243" s="69"/>
      <c r="BC2243" s="69"/>
    </row>
    <row r="2244">
      <c r="A2244" s="68"/>
      <c r="B2244" s="68"/>
      <c r="C2244" s="68"/>
      <c r="D2244" s="68"/>
      <c r="E2244" s="68"/>
      <c r="F2244" s="68"/>
      <c r="G2244" s="68"/>
      <c r="H2244" s="68"/>
      <c r="I2244" s="69"/>
      <c r="J2244" s="69"/>
      <c r="K2244" s="71"/>
      <c r="L2244" s="69"/>
      <c r="M2244" s="69"/>
      <c r="N2244" s="72"/>
      <c r="O2244" s="69"/>
      <c r="P2244" s="69"/>
      <c r="Q2244" s="69"/>
      <c r="R2244" s="69"/>
      <c r="S2244" s="69"/>
      <c r="T2244" s="69"/>
      <c r="U2244" s="69"/>
      <c r="V2244" s="69"/>
      <c r="W2244" s="69"/>
      <c r="X2244" s="69"/>
      <c r="Y2244" s="69"/>
      <c r="Z2244" s="69"/>
      <c r="AA2244" s="69"/>
      <c r="AB2244" s="69"/>
      <c r="AC2244" s="69"/>
      <c r="AD2244" s="69"/>
      <c r="AE2244" s="69"/>
      <c r="AF2244" s="69"/>
      <c r="AG2244" s="69"/>
      <c r="AH2244" s="69"/>
      <c r="AI2244" s="69"/>
      <c r="AJ2244" s="69"/>
      <c r="AK2244" s="69"/>
      <c r="AL2244" s="69"/>
      <c r="AM2244" s="69"/>
      <c r="AN2244" s="69"/>
      <c r="AO2244" s="69"/>
      <c r="AP2244" s="69"/>
      <c r="AQ2244" s="69"/>
      <c r="AR2244" s="69"/>
      <c r="AS2244" s="69"/>
      <c r="AT2244" s="69"/>
      <c r="AU2244" s="69"/>
      <c r="AV2244" s="69"/>
      <c r="AW2244" s="69"/>
      <c r="AX2244" s="69"/>
      <c r="AY2244" s="69"/>
      <c r="AZ2244" s="69"/>
      <c r="BA2244" s="69"/>
      <c r="BB2244" s="69"/>
      <c r="BC2244" s="69"/>
    </row>
    <row r="2245">
      <c r="A2245" s="68"/>
      <c r="B2245" s="68"/>
      <c r="C2245" s="68"/>
      <c r="D2245" s="68"/>
      <c r="E2245" s="68"/>
      <c r="F2245" s="68"/>
      <c r="G2245" s="68"/>
      <c r="H2245" s="68"/>
      <c r="I2245" s="69"/>
      <c r="J2245" s="69"/>
      <c r="K2245" s="71"/>
      <c r="L2245" s="69"/>
      <c r="M2245" s="69"/>
      <c r="N2245" s="72"/>
      <c r="O2245" s="69"/>
      <c r="P2245" s="69"/>
      <c r="Q2245" s="69"/>
      <c r="R2245" s="69"/>
      <c r="S2245" s="69"/>
      <c r="T2245" s="69"/>
      <c r="U2245" s="69"/>
      <c r="V2245" s="69"/>
      <c r="W2245" s="69"/>
      <c r="X2245" s="69"/>
      <c r="Y2245" s="69"/>
      <c r="Z2245" s="69"/>
      <c r="AA2245" s="69"/>
      <c r="AB2245" s="69"/>
      <c r="AC2245" s="69"/>
      <c r="AD2245" s="69"/>
      <c r="AE2245" s="69"/>
      <c r="AF2245" s="69"/>
      <c r="AG2245" s="69"/>
      <c r="AH2245" s="69"/>
      <c r="AI2245" s="69"/>
      <c r="AJ2245" s="69"/>
      <c r="AK2245" s="69"/>
      <c r="AL2245" s="69"/>
      <c r="AM2245" s="69"/>
      <c r="AN2245" s="69"/>
      <c r="AO2245" s="69"/>
      <c r="AP2245" s="69"/>
      <c r="AQ2245" s="69"/>
      <c r="AR2245" s="69"/>
      <c r="AS2245" s="69"/>
      <c r="AT2245" s="69"/>
      <c r="AU2245" s="69"/>
      <c r="AV2245" s="69"/>
      <c r="AW2245" s="69"/>
      <c r="AX2245" s="69"/>
      <c r="AY2245" s="69"/>
      <c r="AZ2245" s="69"/>
      <c r="BA2245" s="69"/>
      <c r="BB2245" s="69"/>
      <c r="BC2245" s="69"/>
    </row>
    <row r="2246">
      <c r="A2246" s="68"/>
      <c r="B2246" s="68"/>
      <c r="C2246" s="68"/>
      <c r="D2246" s="68"/>
      <c r="E2246" s="68"/>
      <c r="F2246" s="68"/>
      <c r="G2246" s="68"/>
      <c r="H2246" s="68"/>
      <c r="I2246" s="69"/>
      <c r="J2246" s="69"/>
      <c r="K2246" s="71"/>
      <c r="L2246" s="69"/>
      <c r="M2246" s="69"/>
      <c r="N2246" s="72"/>
      <c r="O2246" s="69"/>
      <c r="P2246" s="69"/>
      <c r="Q2246" s="69"/>
      <c r="R2246" s="69"/>
      <c r="S2246" s="69"/>
      <c r="T2246" s="69"/>
      <c r="U2246" s="69"/>
      <c r="V2246" s="69"/>
      <c r="W2246" s="69"/>
      <c r="X2246" s="69"/>
      <c r="Y2246" s="69"/>
      <c r="Z2246" s="69"/>
      <c r="AA2246" s="69"/>
      <c r="AB2246" s="69"/>
      <c r="AC2246" s="69"/>
      <c r="AD2246" s="69"/>
      <c r="AE2246" s="69"/>
      <c r="AF2246" s="69"/>
      <c r="AG2246" s="69"/>
      <c r="AH2246" s="69"/>
      <c r="AI2246" s="69"/>
      <c r="AJ2246" s="69"/>
      <c r="AK2246" s="69"/>
      <c r="AL2246" s="69"/>
      <c r="AM2246" s="69"/>
      <c r="AN2246" s="69"/>
      <c r="AO2246" s="69"/>
      <c r="AP2246" s="69"/>
      <c r="AQ2246" s="69"/>
      <c r="AR2246" s="69"/>
      <c r="AS2246" s="69"/>
      <c r="AT2246" s="69"/>
      <c r="AU2246" s="69"/>
      <c r="AV2246" s="69"/>
      <c r="AW2246" s="69"/>
      <c r="AX2246" s="69"/>
      <c r="AY2246" s="69"/>
      <c r="AZ2246" s="69"/>
      <c r="BA2246" s="69"/>
      <c r="BB2246" s="69"/>
      <c r="BC2246" s="69"/>
    </row>
    <row r="2247">
      <c r="A2247" s="68"/>
      <c r="B2247" s="68"/>
      <c r="C2247" s="68"/>
      <c r="D2247" s="68"/>
      <c r="E2247" s="68"/>
      <c r="F2247" s="68"/>
      <c r="G2247" s="68"/>
      <c r="H2247" s="68"/>
      <c r="I2247" s="69"/>
      <c r="J2247" s="69"/>
      <c r="K2247" s="71"/>
      <c r="L2247" s="69"/>
      <c r="M2247" s="69"/>
      <c r="N2247" s="72"/>
      <c r="O2247" s="69"/>
      <c r="P2247" s="69"/>
      <c r="Q2247" s="69"/>
      <c r="R2247" s="69"/>
      <c r="S2247" s="69"/>
      <c r="T2247" s="69"/>
      <c r="U2247" s="69"/>
      <c r="V2247" s="69"/>
      <c r="W2247" s="69"/>
      <c r="X2247" s="69"/>
      <c r="Y2247" s="69"/>
      <c r="Z2247" s="69"/>
      <c r="AA2247" s="69"/>
      <c r="AB2247" s="69"/>
      <c r="AC2247" s="69"/>
      <c r="AD2247" s="69"/>
      <c r="AE2247" s="69"/>
      <c r="AF2247" s="69"/>
      <c r="AG2247" s="69"/>
      <c r="AH2247" s="69"/>
      <c r="AI2247" s="69"/>
      <c r="AJ2247" s="69"/>
      <c r="AK2247" s="69"/>
      <c r="AL2247" s="69"/>
      <c r="AM2247" s="69"/>
      <c r="AN2247" s="69"/>
      <c r="AO2247" s="69"/>
      <c r="AP2247" s="69"/>
      <c r="AQ2247" s="69"/>
      <c r="AR2247" s="69"/>
      <c r="AS2247" s="69"/>
      <c r="AT2247" s="69"/>
      <c r="AU2247" s="69"/>
      <c r="AV2247" s="69"/>
      <c r="AW2247" s="69"/>
      <c r="AX2247" s="69"/>
      <c r="AY2247" s="69"/>
      <c r="AZ2247" s="69"/>
      <c r="BA2247" s="69"/>
      <c r="BB2247" s="69"/>
      <c r="BC2247" s="69"/>
    </row>
    <row r="2248">
      <c r="A2248" s="68"/>
      <c r="B2248" s="68"/>
      <c r="C2248" s="68"/>
      <c r="D2248" s="68"/>
      <c r="E2248" s="68"/>
      <c r="F2248" s="68"/>
      <c r="G2248" s="68"/>
      <c r="H2248" s="68"/>
      <c r="I2248" s="69"/>
      <c r="J2248" s="69"/>
      <c r="K2248" s="71"/>
      <c r="L2248" s="69"/>
      <c r="M2248" s="69"/>
      <c r="N2248" s="72"/>
      <c r="O2248" s="69"/>
      <c r="P2248" s="69"/>
      <c r="Q2248" s="69"/>
      <c r="R2248" s="69"/>
      <c r="S2248" s="69"/>
      <c r="T2248" s="69"/>
      <c r="U2248" s="69"/>
      <c r="V2248" s="69"/>
      <c r="W2248" s="69"/>
      <c r="X2248" s="69"/>
      <c r="Y2248" s="69"/>
      <c r="Z2248" s="69"/>
      <c r="AA2248" s="69"/>
      <c r="AB2248" s="69"/>
      <c r="AC2248" s="69"/>
      <c r="AD2248" s="69"/>
      <c r="AE2248" s="69"/>
      <c r="AF2248" s="69"/>
      <c r="AG2248" s="69"/>
      <c r="AH2248" s="69"/>
      <c r="AI2248" s="69"/>
      <c r="AJ2248" s="69"/>
      <c r="AK2248" s="69"/>
      <c r="AL2248" s="69"/>
      <c r="AM2248" s="69"/>
      <c r="AN2248" s="69"/>
      <c r="AO2248" s="69"/>
      <c r="AP2248" s="69"/>
      <c r="AQ2248" s="69"/>
      <c r="AR2248" s="69"/>
      <c r="AS2248" s="69"/>
      <c r="AT2248" s="69"/>
      <c r="AU2248" s="69"/>
      <c r="AV2248" s="69"/>
      <c r="AW2248" s="69"/>
      <c r="AX2248" s="69"/>
      <c r="AY2248" s="69"/>
      <c r="AZ2248" s="69"/>
      <c r="BA2248" s="69"/>
      <c r="BB2248" s="69"/>
      <c r="BC2248" s="69"/>
    </row>
    <row r="2249">
      <c r="A2249" s="68"/>
      <c r="B2249" s="68"/>
      <c r="C2249" s="68"/>
      <c r="D2249" s="68"/>
      <c r="E2249" s="68"/>
      <c r="F2249" s="68"/>
      <c r="G2249" s="68"/>
      <c r="H2249" s="68"/>
      <c r="I2249" s="69"/>
      <c r="J2249" s="69"/>
      <c r="K2249" s="71"/>
      <c r="L2249" s="69"/>
      <c r="M2249" s="69"/>
      <c r="N2249" s="72"/>
      <c r="O2249" s="69"/>
      <c r="P2249" s="69"/>
      <c r="Q2249" s="69"/>
      <c r="R2249" s="69"/>
      <c r="S2249" s="69"/>
      <c r="T2249" s="69"/>
      <c r="U2249" s="69"/>
      <c r="V2249" s="69"/>
      <c r="W2249" s="69"/>
      <c r="X2249" s="69"/>
      <c r="Y2249" s="69"/>
      <c r="Z2249" s="69"/>
      <c r="AA2249" s="69"/>
      <c r="AB2249" s="69"/>
      <c r="AC2249" s="69"/>
      <c r="AD2249" s="69"/>
      <c r="AE2249" s="69"/>
      <c r="AF2249" s="69"/>
      <c r="AG2249" s="69"/>
      <c r="AH2249" s="69"/>
      <c r="AI2249" s="69"/>
      <c r="AJ2249" s="69"/>
      <c r="AK2249" s="69"/>
      <c r="AL2249" s="69"/>
      <c r="AM2249" s="69"/>
      <c r="AN2249" s="69"/>
      <c r="AO2249" s="69"/>
      <c r="AP2249" s="69"/>
      <c r="AQ2249" s="69"/>
      <c r="AR2249" s="69"/>
      <c r="AS2249" s="69"/>
      <c r="AT2249" s="69"/>
      <c r="AU2249" s="69"/>
      <c r="AV2249" s="69"/>
      <c r="AW2249" s="69"/>
      <c r="AX2249" s="69"/>
      <c r="AY2249" s="69"/>
      <c r="AZ2249" s="69"/>
      <c r="BA2249" s="69"/>
      <c r="BB2249" s="69"/>
      <c r="BC2249" s="69"/>
    </row>
    <row r="2250">
      <c r="A2250" s="68"/>
      <c r="B2250" s="68"/>
      <c r="C2250" s="68"/>
      <c r="D2250" s="68"/>
      <c r="E2250" s="68"/>
      <c r="F2250" s="68"/>
      <c r="G2250" s="68"/>
      <c r="H2250" s="68"/>
      <c r="I2250" s="69"/>
      <c r="J2250" s="69"/>
      <c r="K2250" s="71"/>
      <c r="L2250" s="69"/>
      <c r="M2250" s="69"/>
      <c r="N2250" s="72"/>
      <c r="O2250" s="69"/>
      <c r="P2250" s="69"/>
      <c r="Q2250" s="69"/>
      <c r="R2250" s="69"/>
      <c r="S2250" s="69"/>
      <c r="T2250" s="69"/>
      <c r="U2250" s="69"/>
      <c r="V2250" s="69"/>
      <c r="W2250" s="69"/>
      <c r="X2250" s="69"/>
      <c r="Y2250" s="69"/>
      <c r="Z2250" s="69"/>
      <c r="AA2250" s="69"/>
      <c r="AB2250" s="69"/>
      <c r="AC2250" s="69"/>
      <c r="AD2250" s="69"/>
      <c r="AE2250" s="69"/>
      <c r="AF2250" s="69"/>
      <c r="AG2250" s="69"/>
      <c r="AH2250" s="69"/>
      <c r="AI2250" s="69"/>
      <c r="AJ2250" s="69"/>
      <c r="AK2250" s="69"/>
      <c r="AL2250" s="69"/>
      <c r="AM2250" s="69"/>
      <c r="AN2250" s="69"/>
      <c r="AO2250" s="69"/>
      <c r="AP2250" s="69"/>
      <c r="AQ2250" s="69"/>
      <c r="AR2250" s="69"/>
      <c r="AS2250" s="69"/>
      <c r="AT2250" s="69"/>
      <c r="AU2250" s="69"/>
      <c r="AV2250" s="69"/>
      <c r="AW2250" s="69"/>
      <c r="AX2250" s="69"/>
      <c r="AY2250" s="69"/>
      <c r="AZ2250" s="69"/>
      <c r="BA2250" s="69"/>
      <c r="BB2250" s="69"/>
      <c r="BC2250" s="69"/>
    </row>
    <row r="2251">
      <c r="A2251" s="68"/>
      <c r="B2251" s="68"/>
      <c r="C2251" s="68"/>
      <c r="D2251" s="68"/>
      <c r="E2251" s="68"/>
      <c r="F2251" s="68"/>
      <c r="G2251" s="68"/>
      <c r="H2251" s="68"/>
      <c r="I2251" s="69"/>
      <c r="J2251" s="69"/>
      <c r="K2251" s="71"/>
      <c r="L2251" s="69"/>
      <c r="M2251" s="69"/>
      <c r="N2251" s="72"/>
      <c r="O2251" s="69"/>
      <c r="P2251" s="69"/>
      <c r="Q2251" s="69"/>
      <c r="R2251" s="69"/>
      <c r="S2251" s="69"/>
      <c r="T2251" s="69"/>
      <c r="U2251" s="69"/>
      <c r="V2251" s="69"/>
      <c r="W2251" s="69"/>
      <c r="X2251" s="69"/>
      <c r="Y2251" s="69"/>
      <c r="Z2251" s="69"/>
      <c r="AA2251" s="69"/>
      <c r="AB2251" s="69"/>
      <c r="AC2251" s="69"/>
      <c r="AD2251" s="69"/>
      <c r="AE2251" s="69"/>
      <c r="AF2251" s="69"/>
      <c r="AG2251" s="69"/>
      <c r="AH2251" s="69"/>
      <c r="AI2251" s="69"/>
      <c r="AJ2251" s="69"/>
      <c r="AK2251" s="69"/>
      <c r="AL2251" s="69"/>
      <c r="AM2251" s="69"/>
      <c r="AN2251" s="69"/>
      <c r="AO2251" s="69"/>
      <c r="AP2251" s="69"/>
      <c r="AQ2251" s="69"/>
      <c r="AR2251" s="69"/>
      <c r="AS2251" s="69"/>
      <c r="AT2251" s="69"/>
      <c r="AU2251" s="69"/>
      <c r="AV2251" s="69"/>
      <c r="AW2251" s="69"/>
      <c r="AX2251" s="69"/>
      <c r="AY2251" s="69"/>
      <c r="AZ2251" s="69"/>
      <c r="BA2251" s="69"/>
      <c r="BB2251" s="69"/>
      <c r="BC2251" s="69"/>
    </row>
    <row r="2252">
      <c r="A2252" s="68"/>
      <c r="B2252" s="68"/>
      <c r="C2252" s="68"/>
      <c r="D2252" s="68"/>
      <c r="E2252" s="68"/>
      <c r="F2252" s="68"/>
      <c r="G2252" s="68"/>
      <c r="H2252" s="68"/>
      <c r="I2252" s="69"/>
      <c r="J2252" s="69"/>
      <c r="K2252" s="71"/>
      <c r="L2252" s="69"/>
      <c r="M2252" s="69"/>
      <c r="N2252" s="72"/>
      <c r="O2252" s="69"/>
      <c r="P2252" s="69"/>
      <c r="Q2252" s="69"/>
      <c r="R2252" s="69"/>
      <c r="S2252" s="69"/>
      <c r="T2252" s="69"/>
      <c r="U2252" s="69"/>
      <c r="V2252" s="69"/>
      <c r="W2252" s="69"/>
      <c r="X2252" s="69"/>
      <c r="Y2252" s="69"/>
      <c r="Z2252" s="69"/>
      <c r="AA2252" s="69"/>
      <c r="AB2252" s="69"/>
      <c r="AC2252" s="69"/>
      <c r="AD2252" s="69"/>
      <c r="AE2252" s="69"/>
      <c r="AF2252" s="69"/>
      <c r="AG2252" s="69"/>
      <c r="AH2252" s="69"/>
      <c r="AI2252" s="69"/>
      <c r="AJ2252" s="69"/>
      <c r="AK2252" s="69"/>
      <c r="AL2252" s="69"/>
      <c r="AM2252" s="69"/>
      <c r="AN2252" s="69"/>
      <c r="AO2252" s="69"/>
      <c r="AP2252" s="69"/>
      <c r="AQ2252" s="69"/>
      <c r="AR2252" s="69"/>
      <c r="AS2252" s="69"/>
      <c r="AT2252" s="69"/>
      <c r="AU2252" s="69"/>
      <c r="AV2252" s="69"/>
      <c r="AW2252" s="69"/>
      <c r="AX2252" s="69"/>
      <c r="AY2252" s="69"/>
      <c r="AZ2252" s="69"/>
      <c r="BA2252" s="69"/>
      <c r="BB2252" s="69"/>
      <c r="BC2252" s="69"/>
    </row>
    <row r="2253">
      <c r="A2253" s="68"/>
      <c r="B2253" s="68"/>
      <c r="C2253" s="68"/>
      <c r="D2253" s="68"/>
      <c r="E2253" s="68"/>
      <c r="F2253" s="68"/>
      <c r="G2253" s="68"/>
      <c r="H2253" s="68"/>
      <c r="I2253" s="69"/>
      <c r="J2253" s="69"/>
      <c r="K2253" s="71"/>
      <c r="L2253" s="69"/>
      <c r="M2253" s="69"/>
      <c r="N2253" s="72"/>
      <c r="O2253" s="69"/>
      <c r="P2253" s="69"/>
      <c r="Q2253" s="69"/>
      <c r="R2253" s="69"/>
      <c r="S2253" s="69"/>
      <c r="T2253" s="69"/>
      <c r="U2253" s="69"/>
      <c r="V2253" s="69"/>
      <c r="W2253" s="69"/>
      <c r="X2253" s="69"/>
      <c r="Y2253" s="69"/>
      <c r="Z2253" s="69"/>
      <c r="AA2253" s="69"/>
      <c r="AB2253" s="69"/>
      <c r="AC2253" s="69"/>
      <c r="AD2253" s="69"/>
      <c r="AE2253" s="69"/>
      <c r="AF2253" s="69"/>
      <c r="AG2253" s="69"/>
      <c r="AH2253" s="69"/>
      <c r="AI2253" s="69"/>
      <c r="AJ2253" s="69"/>
      <c r="AK2253" s="69"/>
      <c r="AL2253" s="69"/>
      <c r="AM2253" s="69"/>
      <c r="AN2253" s="69"/>
      <c r="AO2253" s="69"/>
      <c r="AP2253" s="69"/>
      <c r="AQ2253" s="69"/>
      <c r="AR2253" s="69"/>
      <c r="AS2253" s="69"/>
      <c r="AT2253" s="69"/>
      <c r="AU2253" s="69"/>
      <c r="AV2253" s="69"/>
      <c r="AW2253" s="69"/>
      <c r="AX2253" s="69"/>
      <c r="AY2253" s="69"/>
      <c r="AZ2253" s="69"/>
      <c r="BA2253" s="69"/>
      <c r="BB2253" s="69"/>
      <c r="BC2253" s="69"/>
    </row>
    <row r="2254">
      <c r="A2254" s="68"/>
      <c r="B2254" s="68"/>
      <c r="C2254" s="68"/>
      <c r="D2254" s="68"/>
      <c r="E2254" s="68"/>
      <c r="F2254" s="68"/>
      <c r="G2254" s="68"/>
      <c r="H2254" s="68"/>
      <c r="I2254" s="69"/>
      <c r="J2254" s="69"/>
      <c r="K2254" s="71"/>
      <c r="L2254" s="69"/>
      <c r="M2254" s="69"/>
      <c r="N2254" s="72"/>
      <c r="O2254" s="69"/>
      <c r="P2254" s="69"/>
      <c r="Q2254" s="69"/>
      <c r="R2254" s="69"/>
      <c r="S2254" s="69"/>
      <c r="T2254" s="69"/>
      <c r="U2254" s="69"/>
      <c r="V2254" s="69"/>
      <c r="W2254" s="69"/>
      <c r="X2254" s="69"/>
      <c r="Y2254" s="69"/>
      <c r="Z2254" s="69"/>
      <c r="AA2254" s="69"/>
      <c r="AB2254" s="69"/>
      <c r="AC2254" s="69"/>
      <c r="AD2254" s="69"/>
      <c r="AE2254" s="69"/>
      <c r="AF2254" s="69"/>
      <c r="AG2254" s="69"/>
      <c r="AH2254" s="69"/>
      <c r="AI2254" s="69"/>
      <c r="AJ2254" s="69"/>
      <c r="AK2254" s="69"/>
      <c r="AL2254" s="69"/>
      <c r="AM2254" s="69"/>
      <c r="AN2254" s="69"/>
      <c r="AO2254" s="69"/>
      <c r="AP2254" s="69"/>
      <c r="AQ2254" s="69"/>
      <c r="AR2254" s="69"/>
      <c r="AS2254" s="69"/>
      <c r="AT2254" s="69"/>
      <c r="AU2254" s="69"/>
      <c r="AV2254" s="69"/>
      <c r="AW2254" s="69"/>
      <c r="AX2254" s="69"/>
      <c r="AY2254" s="69"/>
      <c r="AZ2254" s="69"/>
      <c r="BA2254" s="69"/>
      <c r="BB2254" s="69"/>
      <c r="BC2254" s="69"/>
    </row>
    <row r="2255">
      <c r="A2255" s="68"/>
      <c r="B2255" s="68"/>
      <c r="C2255" s="68"/>
      <c r="D2255" s="68"/>
      <c r="E2255" s="68"/>
      <c r="F2255" s="68"/>
      <c r="G2255" s="68"/>
      <c r="H2255" s="68"/>
      <c r="I2255" s="69"/>
      <c r="J2255" s="69"/>
      <c r="K2255" s="71"/>
      <c r="L2255" s="69"/>
      <c r="M2255" s="69"/>
      <c r="N2255" s="72"/>
      <c r="O2255" s="69"/>
      <c r="P2255" s="69"/>
      <c r="Q2255" s="69"/>
      <c r="R2255" s="69"/>
      <c r="S2255" s="69"/>
      <c r="T2255" s="69"/>
      <c r="U2255" s="69"/>
      <c r="V2255" s="69"/>
      <c r="W2255" s="69"/>
      <c r="X2255" s="69"/>
      <c r="Y2255" s="69"/>
      <c r="Z2255" s="69"/>
      <c r="AA2255" s="69"/>
      <c r="AB2255" s="69"/>
      <c r="AC2255" s="69"/>
      <c r="AD2255" s="69"/>
      <c r="AE2255" s="69"/>
      <c r="AF2255" s="69"/>
      <c r="AG2255" s="69"/>
      <c r="AH2255" s="69"/>
      <c r="AI2255" s="69"/>
      <c r="AJ2255" s="69"/>
      <c r="AK2255" s="69"/>
      <c r="AL2255" s="69"/>
      <c r="AM2255" s="69"/>
      <c r="AN2255" s="69"/>
      <c r="AO2255" s="69"/>
      <c r="AP2255" s="69"/>
      <c r="AQ2255" s="69"/>
      <c r="AR2255" s="69"/>
      <c r="AS2255" s="69"/>
      <c r="AT2255" s="69"/>
      <c r="AU2255" s="69"/>
      <c r="AV2255" s="69"/>
      <c r="AW2255" s="69"/>
      <c r="AX2255" s="69"/>
      <c r="AY2255" s="69"/>
      <c r="AZ2255" s="69"/>
      <c r="BA2255" s="69"/>
      <c r="BB2255" s="69"/>
      <c r="BC2255" s="69"/>
    </row>
    <row r="2256">
      <c r="A2256" s="68"/>
      <c r="B2256" s="68"/>
      <c r="C2256" s="68"/>
      <c r="D2256" s="68"/>
      <c r="E2256" s="68"/>
      <c r="F2256" s="68"/>
      <c r="G2256" s="68"/>
      <c r="H2256" s="68"/>
      <c r="I2256" s="69"/>
      <c r="J2256" s="69"/>
      <c r="K2256" s="71"/>
      <c r="L2256" s="69"/>
      <c r="M2256" s="69"/>
      <c r="N2256" s="72"/>
      <c r="O2256" s="69"/>
      <c r="P2256" s="69"/>
      <c r="Q2256" s="69"/>
      <c r="R2256" s="69"/>
      <c r="S2256" s="69"/>
      <c r="T2256" s="69"/>
      <c r="U2256" s="69"/>
      <c r="V2256" s="69"/>
      <c r="W2256" s="69"/>
      <c r="X2256" s="69"/>
      <c r="Y2256" s="69"/>
      <c r="Z2256" s="69"/>
      <c r="AA2256" s="69"/>
      <c r="AB2256" s="69"/>
      <c r="AC2256" s="69"/>
      <c r="AD2256" s="69"/>
      <c r="AE2256" s="69"/>
      <c r="AF2256" s="69"/>
      <c r="AG2256" s="69"/>
      <c r="AH2256" s="69"/>
      <c r="AI2256" s="69"/>
      <c r="AJ2256" s="69"/>
      <c r="AK2256" s="69"/>
      <c r="AL2256" s="69"/>
      <c r="AM2256" s="69"/>
      <c r="AN2256" s="69"/>
      <c r="AO2256" s="69"/>
      <c r="AP2256" s="69"/>
      <c r="AQ2256" s="69"/>
      <c r="AR2256" s="69"/>
      <c r="AS2256" s="69"/>
      <c r="AT2256" s="69"/>
      <c r="AU2256" s="69"/>
      <c r="AV2256" s="69"/>
      <c r="AW2256" s="69"/>
      <c r="AX2256" s="69"/>
      <c r="AY2256" s="69"/>
      <c r="AZ2256" s="69"/>
      <c r="BA2256" s="69"/>
      <c r="BB2256" s="69"/>
      <c r="BC2256" s="69"/>
    </row>
    <row r="2257">
      <c r="A2257" s="68"/>
      <c r="B2257" s="68"/>
      <c r="C2257" s="68"/>
      <c r="D2257" s="68"/>
      <c r="E2257" s="68"/>
      <c r="F2257" s="68"/>
      <c r="G2257" s="68"/>
      <c r="H2257" s="68"/>
      <c r="I2257" s="69"/>
      <c r="J2257" s="69"/>
      <c r="K2257" s="71"/>
      <c r="L2257" s="69"/>
      <c r="M2257" s="69"/>
      <c r="N2257" s="72"/>
      <c r="O2257" s="69"/>
      <c r="P2257" s="69"/>
      <c r="Q2257" s="69"/>
      <c r="R2257" s="69"/>
      <c r="S2257" s="69"/>
      <c r="T2257" s="69"/>
      <c r="U2257" s="69"/>
      <c r="V2257" s="69"/>
      <c r="W2257" s="69"/>
      <c r="X2257" s="69"/>
      <c r="Y2257" s="69"/>
      <c r="Z2257" s="69"/>
      <c r="AA2257" s="69"/>
      <c r="AB2257" s="69"/>
      <c r="AC2257" s="69"/>
      <c r="AD2257" s="69"/>
      <c r="AE2257" s="69"/>
      <c r="AF2257" s="69"/>
      <c r="AG2257" s="69"/>
      <c r="AH2257" s="69"/>
      <c r="AI2257" s="69"/>
      <c r="AJ2257" s="69"/>
      <c r="AK2257" s="69"/>
      <c r="AL2257" s="69"/>
      <c r="AM2257" s="69"/>
      <c r="AN2257" s="69"/>
      <c r="AO2257" s="69"/>
      <c r="AP2257" s="69"/>
      <c r="AQ2257" s="69"/>
      <c r="AR2257" s="69"/>
      <c r="AS2257" s="69"/>
      <c r="AT2257" s="69"/>
      <c r="AU2257" s="69"/>
      <c r="AV2257" s="69"/>
      <c r="AW2257" s="69"/>
      <c r="AX2257" s="69"/>
      <c r="AY2257" s="69"/>
      <c r="AZ2257" s="69"/>
      <c r="BA2257" s="69"/>
      <c r="BB2257" s="69"/>
      <c r="BC2257" s="69"/>
    </row>
    <row r="2258">
      <c r="A2258" s="68"/>
      <c r="B2258" s="68"/>
      <c r="C2258" s="68"/>
      <c r="D2258" s="68"/>
      <c r="E2258" s="68"/>
      <c r="F2258" s="68"/>
      <c r="G2258" s="68"/>
      <c r="H2258" s="68"/>
      <c r="I2258" s="69"/>
      <c r="J2258" s="69"/>
      <c r="K2258" s="71"/>
      <c r="L2258" s="69"/>
      <c r="M2258" s="69"/>
      <c r="N2258" s="72"/>
      <c r="O2258" s="69"/>
      <c r="P2258" s="69"/>
      <c r="Q2258" s="69"/>
      <c r="R2258" s="69"/>
      <c r="S2258" s="69"/>
      <c r="T2258" s="69"/>
      <c r="U2258" s="69"/>
      <c r="V2258" s="69"/>
      <c r="W2258" s="69"/>
      <c r="X2258" s="69"/>
      <c r="Y2258" s="69"/>
      <c r="Z2258" s="69"/>
      <c r="AA2258" s="69"/>
      <c r="AB2258" s="69"/>
      <c r="AC2258" s="69"/>
      <c r="AD2258" s="69"/>
      <c r="AE2258" s="69"/>
      <c r="AF2258" s="69"/>
      <c r="AG2258" s="69"/>
      <c r="AH2258" s="69"/>
      <c r="AI2258" s="69"/>
      <c r="AJ2258" s="69"/>
      <c r="AK2258" s="69"/>
      <c r="AL2258" s="69"/>
      <c r="AM2258" s="69"/>
      <c r="AN2258" s="69"/>
      <c r="AO2258" s="69"/>
      <c r="AP2258" s="69"/>
      <c r="AQ2258" s="69"/>
      <c r="AR2258" s="69"/>
      <c r="AS2258" s="69"/>
      <c r="AT2258" s="69"/>
      <c r="AU2258" s="69"/>
      <c r="AV2258" s="69"/>
      <c r="AW2258" s="69"/>
      <c r="AX2258" s="69"/>
      <c r="AY2258" s="69"/>
      <c r="AZ2258" s="69"/>
      <c r="BA2258" s="69"/>
      <c r="BB2258" s="69"/>
      <c r="BC2258" s="69"/>
    </row>
    <row r="2259">
      <c r="A2259" s="68"/>
      <c r="B2259" s="68"/>
      <c r="C2259" s="68"/>
      <c r="D2259" s="68"/>
      <c r="E2259" s="68"/>
      <c r="F2259" s="68"/>
      <c r="G2259" s="68"/>
      <c r="H2259" s="68"/>
      <c r="I2259" s="69"/>
      <c r="J2259" s="69"/>
      <c r="K2259" s="71"/>
      <c r="L2259" s="69"/>
      <c r="M2259" s="69"/>
      <c r="N2259" s="72"/>
      <c r="O2259" s="69"/>
      <c r="P2259" s="69"/>
      <c r="Q2259" s="69"/>
      <c r="R2259" s="69"/>
      <c r="S2259" s="69"/>
      <c r="T2259" s="69"/>
      <c r="U2259" s="69"/>
      <c r="V2259" s="69"/>
      <c r="W2259" s="69"/>
      <c r="X2259" s="69"/>
      <c r="Y2259" s="69"/>
      <c r="Z2259" s="69"/>
      <c r="AA2259" s="69"/>
      <c r="AB2259" s="69"/>
      <c r="AC2259" s="69"/>
      <c r="AD2259" s="69"/>
      <c r="AE2259" s="69"/>
      <c r="AF2259" s="69"/>
      <c r="AG2259" s="69"/>
      <c r="AH2259" s="69"/>
      <c r="AI2259" s="69"/>
      <c r="AJ2259" s="69"/>
      <c r="AK2259" s="69"/>
      <c r="AL2259" s="69"/>
      <c r="AM2259" s="69"/>
      <c r="AN2259" s="69"/>
      <c r="AO2259" s="69"/>
      <c r="AP2259" s="69"/>
      <c r="AQ2259" s="69"/>
      <c r="AR2259" s="69"/>
      <c r="AS2259" s="69"/>
      <c r="AT2259" s="69"/>
      <c r="AU2259" s="69"/>
      <c r="AV2259" s="69"/>
      <c r="AW2259" s="69"/>
      <c r="AX2259" s="69"/>
      <c r="AY2259" s="69"/>
      <c r="AZ2259" s="69"/>
      <c r="BA2259" s="69"/>
      <c r="BB2259" s="69"/>
      <c r="BC2259" s="69"/>
    </row>
    <row r="2260">
      <c r="A2260" s="68"/>
      <c r="B2260" s="68"/>
      <c r="C2260" s="68"/>
      <c r="D2260" s="68"/>
      <c r="E2260" s="68"/>
      <c r="F2260" s="68"/>
      <c r="G2260" s="68"/>
      <c r="H2260" s="68"/>
      <c r="I2260" s="69"/>
      <c r="J2260" s="69"/>
      <c r="K2260" s="71"/>
      <c r="L2260" s="69"/>
      <c r="M2260" s="69"/>
      <c r="N2260" s="72"/>
      <c r="O2260" s="69"/>
      <c r="P2260" s="69"/>
      <c r="Q2260" s="69"/>
      <c r="R2260" s="69"/>
      <c r="S2260" s="69"/>
      <c r="T2260" s="69"/>
      <c r="U2260" s="69"/>
      <c r="V2260" s="69"/>
      <c r="W2260" s="69"/>
      <c r="X2260" s="69"/>
      <c r="Y2260" s="69"/>
      <c r="Z2260" s="69"/>
      <c r="AA2260" s="69"/>
      <c r="AB2260" s="69"/>
      <c r="AC2260" s="69"/>
      <c r="AD2260" s="69"/>
      <c r="AE2260" s="69"/>
      <c r="AF2260" s="69"/>
      <c r="AG2260" s="69"/>
      <c r="AH2260" s="69"/>
      <c r="AI2260" s="69"/>
      <c r="AJ2260" s="69"/>
      <c r="AK2260" s="69"/>
      <c r="AL2260" s="69"/>
      <c r="AM2260" s="69"/>
      <c r="AN2260" s="69"/>
      <c r="AO2260" s="69"/>
      <c r="AP2260" s="69"/>
      <c r="AQ2260" s="69"/>
      <c r="AR2260" s="69"/>
      <c r="AS2260" s="69"/>
      <c r="AT2260" s="69"/>
      <c r="AU2260" s="69"/>
      <c r="AV2260" s="69"/>
      <c r="AW2260" s="69"/>
      <c r="AX2260" s="69"/>
      <c r="AY2260" s="69"/>
      <c r="AZ2260" s="69"/>
      <c r="BA2260" s="69"/>
      <c r="BB2260" s="69"/>
      <c r="BC2260" s="69"/>
    </row>
    <row r="2261">
      <c r="A2261" s="68"/>
      <c r="B2261" s="68"/>
      <c r="C2261" s="68"/>
      <c r="D2261" s="68"/>
      <c r="E2261" s="68"/>
      <c r="F2261" s="68"/>
      <c r="G2261" s="68"/>
      <c r="H2261" s="68"/>
      <c r="I2261" s="69"/>
      <c r="J2261" s="69"/>
      <c r="K2261" s="71"/>
      <c r="L2261" s="69"/>
      <c r="M2261" s="69"/>
      <c r="N2261" s="72"/>
      <c r="O2261" s="69"/>
      <c r="P2261" s="69"/>
      <c r="Q2261" s="69"/>
      <c r="R2261" s="69"/>
      <c r="S2261" s="69"/>
      <c r="T2261" s="69"/>
      <c r="U2261" s="69"/>
      <c r="V2261" s="69"/>
      <c r="W2261" s="69"/>
      <c r="X2261" s="69"/>
      <c r="Y2261" s="69"/>
      <c r="Z2261" s="69"/>
      <c r="AA2261" s="69"/>
      <c r="AB2261" s="69"/>
      <c r="AC2261" s="69"/>
      <c r="AD2261" s="69"/>
      <c r="AE2261" s="69"/>
      <c r="AF2261" s="69"/>
      <c r="AG2261" s="69"/>
      <c r="AH2261" s="69"/>
      <c r="AI2261" s="69"/>
      <c r="AJ2261" s="69"/>
      <c r="AK2261" s="69"/>
      <c r="AL2261" s="69"/>
      <c r="AM2261" s="69"/>
      <c r="AN2261" s="69"/>
      <c r="AO2261" s="69"/>
      <c r="AP2261" s="69"/>
      <c r="AQ2261" s="69"/>
      <c r="AR2261" s="69"/>
      <c r="AS2261" s="69"/>
      <c r="AT2261" s="69"/>
      <c r="AU2261" s="69"/>
      <c r="AV2261" s="69"/>
      <c r="AW2261" s="69"/>
      <c r="AX2261" s="69"/>
      <c r="AY2261" s="69"/>
      <c r="AZ2261" s="69"/>
      <c r="BA2261" s="69"/>
      <c r="BB2261" s="69"/>
      <c r="BC2261" s="69"/>
    </row>
    <row r="2262">
      <c r="A2262" s="68"/>
      <c r="B2262" s="68"/>
      <c r="C2262" s="68"/>
      <c r="D2262" s="68"/>
      <c r="E2262" s="68"/>
      <c r="F2262" s="68"/>
      <c r="G2262" s="68"/>
      <c r="H2262" s="68"/>
      <c r="I2262" s="69"/>
      <c r="J2262" s="69"/>
      <c r="K2262" s="71"/>
      <c r="L2262" s="69"/>
      <c r="M2262" s="69"/>
      <c r="N2262" s="72"/>
      <c r="O2262" s="69"/>
      <c r="P2262" s="69"/>
      <c r="Q2262" s="69"/>
      <c r="R2262" s="69"/>
      <c r="S2262" s="69"/>
      <c r="T2262" s="69"/>
      <c r="U2262" s="69"/>
      <c r="V2262" s="69"/>
      <c r="W2262" s="69"/>
      <c r="X2262" s="69"/>
      <c r="Y2262" s="69"/>
      <c r="Z2262" s="69"/>
      <c r="AA2262" s="69"/>
      <c r="AB2262" s="69"/>
      <c r="AC2262" s="69"/>
      <c r="AD2262" s="69"/>
      <c r="AE2262" s="69"/>
      <c r="AF2262" s="69"/>
      <c r="AG2262" s="69"/>
      <c r="AH2262" s="69"/>
      <c r="AI2262" s="69"/>
      <c r="AJ2262" s="69"/>
      <c r="AK2262" s="69"/>
      <c r="AL2262" s="69"/>
      <c r="AM2262" s="69"/>
      <c r="AN2262" s="69"/>
      <c r="AO2262" s="69"/>
      <c r="AP2262" s="69"/>
      <c r="AQ2262" s="69"/>
      <c r="AR2262" s="69"/>
      <c r="AS2262" s="69"/>
      <c r="AT2262" s="69"/>
      <c r="AU2262" s="69"/>
      <c r="AV2262" s="69"/>
      <c r="AW2262" s="69"/>
      <c r="AX2262" s="69"/>
      <c r="AY2262" s="69"/>
      <c r="AZ2262" s="69"/>
      <c r="BA2262" s="69"/>
      <c r="BB2262" s="69"/>
      <c r="BC2262" s="69"/>
    </row>
    <row r="2263">
      <c r="A2263" s="68"/>
      <c r="B2263" s="68"/>
      <c r="C2263" s="68"/>
      <c r="D2263" s="68"/>
      <c r="E2263" s="68"/>
      <c r="F2263" s="68"/>
      <c r="G2263" s="68"/>
      <c r="H2263" s="68"/>
      <c r="I2263" s="69"/>
      <c r="J2263" s="69"/>
      <c r="K2263" s="71"/>
      <c r="L2263" s="69"/>
      <c r="M2263" s="69"/>
      <c r="N2263" s="72"/>
      <c r="O2263" s="69"/>
      <c r="P2263" s="69"/>
      <c r="Q2263" s="69"/>
      <c r="R2263" s="69"/>
      <c r="S2263" s="69"/>
      <c r="T2263" s="69"/>
      <c r="U2263" s="69"/>
      <c r="V2263" s="69"/>
      <c r="W2263" s="69"/>
      <c r="X2263" s="69"/>
      <c r="Y2263" s="69"/>
      <c r="Z2263" s="69"/>
      <c r="AA2263" s="69"/>
      <c r="AB2263" s="69"/>
      <c r="AC2263" s="69"/>
      <c r="AD2263" s="69"/>
      <c r="AE2263" s="69"/>
      <c r="AF2263" s="69"/>
      <c r="AG2263" s="69"/>
      <c r="AH2263" s="69"/>
      <c r="AI2263" s="69"/>
      <c r="AJ2263" s="69"/>
      <c r="AK2263" s="69"/>
      <c r="AL2263" s="69"/>
      <c r="AM2263" s="69"/>
      <c r="AN2263" s="69"/>
      <c r="AO2263" s="69"/>
      <c r="AP2263" s="69"/>
      <c r="AQ2263" s="69"/>
      <c r="AR2263" s="69"/>
      <c r="AS2263" s="69"/>
      <c r="AT2263" s="69"/>
      <c r="AU2263" s="69"/>
      <c r="AV2263" s="69"/>
      <c r="AW2263" s="69"/>
      <c r="AX2263" s="69"/>
      <c r="AY2263" s="69"/>
      <c r="AZ2263" s="69"/>
      <c r="BA2263" s="69"/>
      <c r="BB2263" s="69"/>
      <c r="BC2263" s="69"/>
    </row>
    <row r="2264">
      <c r="A2264" s="68"/>
      <c r="B2264" s="68"/>
      <c r="C2264" s="68"/>
      <c r="D2264" s="68"/>
      <c r="E2264" s="68"/>
      <c r="F2264" s="68"/>
      <c r="G2264" s="68"/>
      <c r="H2264" s="68"/>
      <c r="I2264" s="69"/>
      <c r="J2264" s="69"/>
      <c r="K2264" s="71"/>
      <c r="L2264" s="69"/>
      <c r="M2264" s="69"/>
      <c r="N2264" s="72"/>
      <c r="O2264" s="69"/>
      <c r="P2264" s="69"/>
      <c r="Q2264" s="69"/>
      <c r="R2264" s="69"/>
      <c r="S2264" s="69"/>
      <c r="T2264" s="69"/>
      <c r="U2264" s="69"/>
      <c r="V2264" s="69"/>
      <c r="W2264" s="69"/>
      <c r="X2264" s="69"/>
      <c r="Y2264" s="69"/>
      <c r="Z2264" s="69"/>
      <c r="AA2264" s="69"/>
      <c r="AB2264" s="69"/>
      <c r="AC2264" s="69"/>
      <c r="AD2264" s="69"/>
      <c r="AE2264" s="69"/>
      <c r="AF2264" s="69"/>
      <c r="AG2264" s="69"/>
      <c r="AH2264" s="69"/>
      <c r="AI2264" s="69"/>
      <c r="AJ2264" s="69"/>
      <c r="AK2264" s="69"/>
      <c r="AL2264" s="69"/>
      <c r="AM2264" s="69"/>
      <c r="AN2264" s="69"/>
      <c r="AO2264" s="69"/>
      <c r="AP2264" s="69"/>
      <c r="AQ2264" s="69"/>
      <c r="AR2264" s="69"/>
      <c r="AS2264" s="69"/>
      <c r="AT2264" s="69"/>
      <c r="AU2264" s="69"/>
      <c r="AV2264" s="69"/>
      <c r="AW2264" s="69"/>
      <c r="AX2264" s="69"/>
      <c r="AY2264" s="69"/>
      <c r="AZ2264" s="69"/>
      <c r="BA2264" s="69"/>
      <c r="BB2264" s="69"/>
      <c r="BC2264" s="69"/>
    </row>
    <row r="2265">
      <c r="A2265" s="68"/>
      <c r="B2265" s="68"/>
      <c r="C2265" s="68"/>
      <c r="D2265" s="68"/>
      <c r="E2265" s="68"/>
      <c r="F2265" s="68"/>
      <c r="G2265" s="68"/>
      <c r="H2265" s="68"/>
      <c r="I2265" s="69"/>
      <c r="J2265" s="69"/>
      <c r="K2265" s="71"/>
      <c r="L2265" s="69"/>
      <c r="M2265" s="69"/>
      <c r="N2265" s="72"/>
      <c r="O2265" s="69"/>
      <c r="P2265" s="69"/>
      <c r="Q2265" s="69"/>
      <c r="R2265" s="69"/>
      <c r="S2265" s="69"/>
      <c r="T2265" s="69"/>
      <c r="U2265" s="69"/>
      <c r="V2265" s="69"/>
      <c r="W2265" s="69"/>
      <c r="X2265" s="69"/>
      <c r="Y2265" s="69"/>
      <c r="Z2265" s="69"/>
      <c r="AA2265" s="69"/>
      <c r="AB2265" s="69"/>
      <c r="AC2265" s="69"/>
      <c r="AD2265" s="69"/>
      <c r="AE2265" s="69"/>
      <c r="AF2265" s="69"/>
      <c r="AG2265" s="69"/>
      <c r="AH2265" s="69"/>
      <c r="AI2265" s="69"/>
      <c r="AJ2265" s="69"/>
      <c r="AK2265" s="69"/>
      <c r="AL2265" s="69"/>
      <c r="AM2265" s="69"/>
      <c r="AN2265" s="69"/>
      <c r="AO2265" s="69"/>
      <c r="AP2265" s="69"/>
      <c r="AQ2265" s="69"/>
      <c r="AR2265" s="69"/>
      <c r="AS2265" s="69"/>
      <c r="AT2265" s="69"/>
      <c r="AU2265" s="69"/>
      <c r="AV2265" s="69"/>
      <c r="AW2265" s="69"/>
      <c r="AX2265" s="69"/>
      <c r="AY2265" s="69"/>
      <c r="AZ2265" s="69"/>
      <c r="BA2265" s="69"/>
      <c r="BB2265" s="69"/>
      <c r="BC2265" s="69"/>
    </row>
    <row r="2266">
      <c r="A2266" s="68"/>
      <c r="B2266" s="68"/>
      <c r="C2266" s="68"/>
      <c r="D2266" s="68"/>
      <c r="E2266" s="68"/>
      <c r="F2266" s="68"/>
      <c r="G2266" s="68"/>
      <c r="H2266" s="68"/>
      <c r="I2266" s="69"/>
      <c r="J2266" s="69"/>
      <c r="K2266" s="71"/>
      <c r="L2266" s="69"/>
      <c r="M2266" s="69"/>
      <c r="N2266" s="72"/>
      <c r="O2266" s="69"/>
      <c r="P2266" s="69"/>
      <c r="Q2266" s="69"/>
      <c r="R2266" s="69"/>
      <c r="S2266" s="69"/>
      <c r="T2266" s="69"/>
      <c r="U2266" s="69"/>
      <c r="V2266" s="69"/>
      <c r="W2266" s="69"/>
      <c r="X2266" s="69"/>
      <c r="Y2266" s="69"/>
      <c r="Z2266" s="69"/>
      <c r="AA2266" s="69"/>
      <c r="AB2266" s="69"/>
      <c r="AC2266" s="69"/>
      <c r="AD2266" s="69"/>
      <c r="AE2266" s="69"/>
      <c r="AF2266" s="69"/>
      <c r="AG2266" s="69"/>
      <c r="AH2266" s="69"/>
      <c r="AI2266" s="69"/>
      <c r="AJ2266" s="69"/>
      <c r="AK2266" s="69"/>
      <c r="AL2266" s="69"/>
      <c r="AM2266" s="69"/>
      <c r="AN2266" s="69"/>
      <c r="AO2266" s="69"/>
      <c r="AP2266" s="69"/>
      <c r="AQ2266" s="69"/>
      <c r="AR2266" s="69"/>
      <c r="AS2266" s="69"/>
      <c r="AT2266" s="69"/>
      <c r="AU2266" s="69"/>
      <c r="AV2266" s="69"/>
      <c r="AW2266" s="69"/>
      <c r="AX2266" s="69"/>
      <c r="AY2266" s="69"/>
      <c r="AZ2266" s="69"/>
      <c r="BA2266" s="69"/>
      <c r="BB2266" s="69"/>
      <c r="BC2266" s="69"/>
    </row>
    <row r="2267">
      <c r="A2267" s="68"/>
      <c r="B2267" s="68"/>
      <c r="C2267" s="68"/>
      <c r="D2267" s="68"/>
      <c r="E2267" s="68"/>
      <c r="F2267" s="68"/>
      <c r="G2267" s="68"/>
      <c r="H2267" s="68"/>
      <c r="I2267" s="69"/>
      <c r="J2267" s="69"/>
      <c r="K2267" s="71"/>
      <c r="L2267" s="69"/>
      <c r="M2267" s="69"/>
      <c r="N2267" s="72"/>
      <c r="O2267" s="69"/>
      <c r="P2267" s="69"/>
      <c r="Q2267" s="69"/>
      <c r="R2267" s="69"/>
      <c r="S2267" s="69"/>
      <c r="T2267" s="69"/>
      <c r="U2267" s="69"/>
      <c r="V2267" s="69"/>
      <c r="W2267" s="69"/>
      <c r="X2267" s="69"/>
      <c r="Y2267" s="69"/>
      <c r="Z2267" s="69"/>
      <c r="AA2267" s="69"/>
      <c r="AB2267" s="69"/>
      <c r="AC2267" s="69"/>
      <c r="AD2267" s="69"/>
      <c r="AE2267" s="69"/>
      <c r="AF2267" s="69"/>
      <c r="AG2267" s="69"/>
      <c r="AH2267" s="69"/>
      <c r="AI2267" s="69"/>
      <c r="AJ2267" s="69"/>
      <c r="AK2267" s="69"/>
      <c r="AL2267" s="69"/>
      <c r="AM2267" s="69"/>
      <c r="AN2267" s="69"/>
      <c r="AO2267" s="69"/>
      <c r="AP2267" s="69"/>
      <c r="AQ2267" s="69"/>
      <c r="AR2267" s="69"/>
      <c r="AS2267" s="69"/>
      <c r="AT2267" s="69"/>
      <c r="AU2267" s="69"/>
      <c r="AV2267" s="69"/>
      <c r="AW2267" s="69"/>
      <c r="AX2267" s="69"/>
      <c r="AY2267" s="69"/>
      <c r="AZ2267" s="69"/>
      <c r="BA2267" s="69"/>
      <c r="BB2267" s="69"/>
      <c r="BC2267" s="69"/>
    </row>
    <row r="2268">
      <c r="A2268" s="68"/>
      <c r="B2268" s="68"/>
      <c r="C2268" s="68"/>
      <c r="D2268" s="68"/>
      <c r="E2268" s="68"/>
      <c r="F2268" s="68"/>
      <c r="G2268" s="68"/>
      <c r="H2268" s="68"/>
      <c r="I2268" s="69"/>
      <c r="J2268" s="69"/>
      <c r="K2268" s="71"/>
      <c r="L2268" s="69"/>
      <c r="M2268" s="69"/>
      <c r="N2268" s="72"/>
      <c r="O2268" s="69"/>
      <c r="P2268" s="69"/>
      <c r="Q2268" s="69"/>
      <c r="R2268" s="69"/>
      <c r="S2268" s="69"/>
      <c r="T2268" s="69"/>
      <c r="U2268" s="69"/>
      <c r="V2268" s="69"/>
      <c r="W2268" s="69"/>
      <c r="X2268" s="69"/>
      <c r="Y2268" s="69"/>
      <c r="Z2268" s="69"/>
      <c r="AA2268" s="69"/>
      <c r="AB2268" s="69"/>
      <c r="AC2268" s="69"/>
      <c r="AD2268" s="69"/>
      <c r="AE2268" s="69"/>
      <c r="AF2268" s="69"/>
      <c r="AG2268" s="69"/>
      <c r="AH2268" s="69"/>
      <c r="AI2268" s="69"/>
      <c r="AJ2268" s="69"/>
      <c r="AK2268" s="69"/>
      <c r="AL2268" s="69"/>
      <c r="AM2268" s="69"/>
      <c r="AN2268" s="69"/>
      <c r="AO2268" s="69"/>
      <c r="AP2268" s="69"/>
      <c r="AQ2268" s="69"/>
      <c r="AR2268" s="69"/>
      <c r="AS2268" s="69"/>
      <c r="AT2268" s="69"/>
      <c r="AU2268" s="69"/>
      <c r="AV2268" s="69"/>
      <c r="AW2268" s="69"/>
      <c r="AX2268" s="69"/>
      <c r="AY2268" s="69"/>
      <c r="AZ2268" s="69"/>
      <c r="BA2268" s="69"/>
      <c r="BB2268" s="69"/>
      <c r="BC2268" s="69"/>
    </row>
    <row r="2269">
      <c r="A2269" s="68"/>
      <c r="B2269" s="68"/>
      <c r="C2269" s="68"/>
      <c r="D2269" s="68"/>
      <c r="E2269" s="68"/>
      <c r="F2269" s="68"/>
      <c r="G2269" s="68"/>
      <c r="H2269" s="68"/>
      <c r="I2269" s="69"/>
      <c r="J2269" s="69"/>
      <c r="K2269" s="71"/>
      <c r="L2269" s="69"/>
      <c r="M2269" s="69"/>
      <c r="N2269" s="72"/>
      <c r="O2269" s="69"/>
      <c r="P2269" s="69"/>
      <c r="Q2269" s="69"/>
      <c r="R2269" s="69"/>
      <c r="S2269" s="69"/>
      <c r="T2269" s="69"/>
      <c r="U2269" s="69"/>
      <c r="V2269" s="69"/>
      <c r="W2269" s="69"/>
      <c r="X2269" s="69"/>
      <c r="Y2269" s="69"/>
      <c r="Z2269" s="69"/>
      <c r="AA2269" s="69"/>
      <c r="AB2269" s="69"/>
      <c r="AC2269" s="69"/>
      <c r="AD2269" s="69"/>
      <c r="AE2269" s="69"/>
      <c r="AF2269" s="69"/>
      <c r="AG2269" s="69"/>
      <c r="AH2269" s="69"/>
      <c r="AI2269" s="69"/>
      <c r="AJ2269" s="69"/>
      <c r="AK2269" s="69"/>
      <c r="AL2269" s="69"/>
      <c r="AM2269" s="69"/>
      <c r="AN2269" s="69"/>
      <c r="AO2269" s="69"/>
      <c r="AP2269" s="69"/>
      <c r="AQ2269" s="69"/>
      <c r="AR2269" s="69"/>
      <c r="AS2269" s="69"/>
      <c r="AT2269" s="69"/>
      <c r="AU2269" s="69"/>
      <c r="AV2269" s="69"/>
      <c r="AW2269" s="69"/>
      <c r="AX2269" s="69"/>
      <c r="AY2269" s="69"/>
      <c r="AZ2269" s="69"/>
      <c r="BA2269" s="69"/>
      <c r="BB2269" s="69"/>
      <c r="BC2269" s="69"/>
    </row>
    <row r="2270">
      <c r="A2270" s="68"/>
      <c r="B2270" s="68"/>
      <c r="C2270" s="68"/>
      <c r="D2270" s="68"/>
      <c r="E2270" s="68"/>
      <c r="F2270" s="68"/>
      <c r="G2270" s="68"/>
      <c r="H2270" s="68"/>
      <c r="I2270" s="69"/>
      <c r="J2270" s="69"/>
      <c r="K2270" s="71"/>
      <c r="L2270" s="69"/>
      <c r="M2270" s="69"/>
      <c r="N2270" s="72"/>
      <c r="O2270" s="69"/>
      <c r="P2270" s="69"/>
      <c r="Q2270" s="69"/>
      <c r="R2270" s="69"/>
      <c r="S2270" s="69"/>
      <c r="T2270" s="69"/>
      <c r="U2270" s="69"/>
      <c r="V2270" s="69"/>
      <c r="W2270" s="69"/>
      <c r="X2270" s="69"/>
      <c r="Y2270" s="69"/>
      <c r="Z2270" s="69"/>
      <c r="AA2270" s="69"/>
      <c r="AB2270" s="69"/>
      <c r="AC2270" s="69"/>
      <c r="AD2270" s="69"/>
      <c r="AE2270" s="69"/>
      <c r="AF2270" s="69"/>
      <c r="AG2270" s="69"/>
      <c r="AH2270" s="69"/>
      <c r="AI2270" s="69"/>
      <c r="AJ2270" s="69"/>
      <c r="AK2270" s="69"/>
      <c r="AL2270" s="69"/>
      <c r="AM2270" s="69"/>
      <c r="AN2270" s="69"/>
      <c r="AO2270" s="69"/>
      <c r="AP2270" s="69"/>
      <c r="AQ2270" s="69"/>
      <c r="AR2270" s="69"/>
      <c r="AS2270" s="69"/>
      <c r="AT2270" s="69"/>
      <c r="AU2270" s="69"/>
      <c r="AV2270" s="69"/>
      <c r="AW2270" s="69"/>
      <c r="AX2270" s="69"/>
      <c r="AY2270" s="69"/>
      <c r="AZ2270" s="69"/>
      <c r="BA2270" s="69"/>
      <c r="BB2270" s="69"/>
      <c r="BC2270" s="69"/>
    </row>
    <row r="2271">
      <c r="A2271" s="68"/>
      <c r="B2271" s="68"/>
      <c r="C2271" s="68"/>
      <c r="D2271" s="68"/>
      <c r="E2271" s="68"/>
      <c r="F2271" s="68"/>
      <c r="G2271" s="68"/>
      <c r="H2271" s="68"/>
      <c r="I2271" s="69"/>
      <c r="J2271" s="69"/>
      <c r="K2271" s="71"/>
      <c r="L2271" s="69"/>
      <c r="M2271" s="69"/>
      <c r="N2271" s="72"/>
      <c r="O2271" s="69"/>
      <c r="P2271" s="69"/>
      <c r="Q2271" s="69"/>
      <c r="R2271" s="69"/>
      <c r="S2271" s="69"/>
      <c r="T2271" s="69"/>
      <c r="U2271" s="69"/>
      <c r="V2271" s="69"/>
      <c r="W2271" s="69"/>
      <c r="X2271" s="69"/>
      <c r="Y2271" s="69"/>
      <c r="Z2271" s="69"/>
      <c r="AA2271" s="69"/>
      <c r="AB2271" s="69"/>
      <c r="AC2271" s="69"/>
      <c r="AD2271" s="69"/>
      <c r="AE2271" s="69"/>
      <c r="AF2271" s="69"/>
      <c r="AG2271" s="69"/>
      <c r="AH2271" s="69"/>
      <c r="AI2271" s="69"/>
      <c r="AJ2271" s="69"/>
      <c r="AK2271" s="69"/>
      <c r="AL2271" s="69"/>
      <c r="AM2271" s="69"/>
      <c r="AN2271" s="69"/>
      <c r="AO2271" s="69"/>
      <c r="AP2271" s="69"/>
      <c r="AQ2271" s="69"/>
      <c r="AR2271" s="69"/>
      <c r="AS2271" s="69"/>
      <c r="AT2271" s="69"/>
      <c r="AU2271" s="69"/>
      <c r="AV2271" s="69"/>
      <c r="AW2271" s="69"/>
      <c r="AX2271" s="69"/>
      <c r="AY2271" s="69"/>
      <c r="AZ2271" s="69"/>
      <c r="BA2271" s="69"/>
      <c r="BB2271" s="69"/>
      <c r="BC2271" s="69"/>
    </row>
    <row r="2272">
      <c r="A2272" s="68"/>
      <c r="B2272" s="68"/>
      <c r="C2272" s="68"/>
      <c r="D2272" s="68"/>
      <c r="E2272" s="68"/>
      <c r="F2272" s="68"/>
      <c r="G2272" s="68"/>
      <c r="H2272" s="68"/>
      <c r="I2272" s="69"/>
      <c r="J2272" s="69"/>
      <c r="K2272" s="71"/>
      <c r="L2272" s="69"/>
      <c r="M2272" s="69"/>
      <c r="N2272" s="72"/>
      <c r="O2272" s="69"/>
      <c r="P2272" s="69"/>
      <c r="Q2272" s="69"/>
      <c r="R2272" s="69"/>
      <c r="S2272" s="69"/>
      <c r="T2272" s="69"/>
      <c r="U2272" s="69"/>
      <c r="V2272" s="69"/>
      <c r="W2272" s="69"/>
      <c r="X2272" s="69"/>
      <c r="Y2272" s="69"/>
      <c r="Z2272" s="69"/>
      <c r="AA2272" s="69"/>
      <c r="AB2272" s="69"/>
      <c r="AC2272" s="69"/>
      <c r="AD2272" s="69"/>
      <c r="AE2272" s="69"/>
      <c r="AF2272" s="69"/>
      <c r="AG2272" s="69"/>
      <c r="AH2272" s="69"/>
      <c r="AI2272" s="69"/>
      <c r="AJ2272" s="69"/>
      <c r="AK2272" s="69"/>
      <c r="AL2272" s="69"/>
      <c r="AM2272" s="69"/>
      <c r="AN2272" s="69"/>
      <c r="AO2272" s="69"/>
      <c r="AP2272" s="69"/>
      <c r="AQ2272" s="69"/>
      <c r="AR2272" s="69"/>
      <c r="AS2272" s="69"/>
      <c r="AT2272" s="69"/>
      <c r="AU2272" s="69"/>
      <c r="AV2272" s="69"/>
      <c r="AW2272" s="69"/>
      <c r="AX2272" s="69"/>
      <c r="AY2272" s="69"/>
      <c r="AZ2272" s="69"/>
      <c r="BA2272" s="69"/>
      <c r="BB2272" s="69"/>
      <c r="BC2272" s="69"/>
    </row>
    <row r="2273">
      <c r="A2273" s="68"/>
      <c r="B2273" s="68"/>
      <c r="C2273" s="68"/>
      <c r="D2273" s="68"/>
      <c r="E2273" s="68"/>
      <c r="F2273" s="68"/>
      <c r="G2273" s="68"/>
      <c r="H2273" s="68"/>
      <c r="I2273" s="69"/>
      <c r="J2273" s="69"/>
      <c r="K2273" s="71"/>
      <c r="L2273" s="69"/>
      <c r="M2273" s="69"/>
      <c r="N2273" s="72"/>
      <c r="O2273" s="69"/>
      <c r="P2273" s="69"/>
      <c r="Q2273" s="69"/>
      <c r="R2273" s="69"/>
      <c r="S2273" s="69"/>
      <c r="T2273" s="69"/>
      <c r="U2273" s="69"/>
      <c r="V2273" s="69"/>
      <c r="W2273" s="69"/>
      <c r="X2273" s="69"/>
      <c r="Y2273" s="69"/>
      <c r="Z2273" s="69"/>
      <c r="AA2273" s="69"/>
      <c r="AB2273" s="69"/>
      <c r="AC2273" s="69"/>
      <c r="AD2273" s="69"/>
      <c r="AE2273" s="69"/>
      <c r="AF2273" s="69"/>
      <c r="AG2273" s="69"/>
      <c r="AH2273" s="69"/>
      <c r="AI2273" s="69"/>
      <c r="AJ2273" s="69"/>
      <c r="AK2273" s="69"/>
      <c r="AL2273" s="69"/>
      <c r="AM2273" s="69"/>
      <c r="AN2273" s="69"/>
      <c r="AO2273" s="69"/>
      <c r="AP2273" s="69"/>
      <c r="AQ2273" s="69"/>
      <c r="AR2273" s="69"/>
      <c r="AS2273" s="69"/>
      <c r="AT2273" s="69"/>
      <c r="AU2273" s="69"/>
      <c r="AV2273" s="69"/>
      <c r="AW2273" s="69"/>
      <c r="AX2273" s="69"/>
      <c r="AY2273" s="69"/>
      <c r="AZ2273" s="69"/>
      <c r="BA2273" s="69"/>
      <c r="BB2273" s="69"/>
      <c r="BC2273" s="69"/>
    </row>
    <row r="2274">
      <c r="A2274" s="68"/>
      <c r="B2274" s="68"/>
      <c r="C2274" s="68"/>
      <c r="D2274" s="68"/>
      <c r="E2274" s="68"/>
      <c r="F2274" s="68"/>
      <c r="G2274" s="68"/>
      <c r="H2274" s="68"/>
      <c r="I2274" s="69"/>
      <c r="J2274" s="69"/>
      <c r="K2274" s="71"/>
      <c r="L2274" s="69"/>
      <c r="M2274" s="69"/>
      <c r="N2274" s="72"/>
      <c r="O2274" s="69"/>
      <c r="P2274" s="69"/>
      <c r="Q2274" s="69"/>
      <c r="R2274" s="69"/>
      <c r="S2274" s="69"/>
      <c r="T2274" s="69"/>
      <c r="U2274" s="69"/>
      <c r="V2274" s="69"/>
      <c r="W2274" s="69"/>
      <c r="X2274" s="69"/>
      <c r="Y2274" s="69"/>
      <c r="Z2274" s="69"/>
      <c r="AA2274" s="69"/>
      <c r="AB2274" s="69"/>
      <c r="AC2274" s="69"/>
      <c r="AD2274" s="69"/>
      <c r="AE2274" s="69"/>
      <c r="AF2274" s="69"/>
      <c r="AG2274" s="69"/>
      <c r="AH2274" s="69"/>
      <c r="AI2274" s="69"/>
      <c r="AJ2274" s="69"/>
      <c r="AK2274" s="69"/>
      <c r="AL2274" s="69"/>
      <c r="AM2274" s="69"/>
      <c r="AN2274" s="69"/>
      <c r="AO2274" s="69"/>
      <c r="AP2274" s="69"/>
      <c r="AQ2274" s="69"/>
      <c r="AR2274" s="69"/>
      <c r="AS2274" s="69"/>
      <c r="AT2274" s="69"/>
      <c r="AU2274" s="69"/>
      <c r="AV2274" s="69"/>
      <c r="AW2274" s="69"/>
      <c r="AX2274" s="69"/>
      <c r="AY2274" s="69"/>
      <c r="AZ2274" s="69"/>
      <c r="BA2274" s="69"/>
      <c r="BB2274" s="69"/>
      <c r="BC2274" s="69"/>
    </row>
    <row r="2275">
      <c r="A2275" s="68"/>
      <c r="B2275" s="68"/>
      <c r="C2275" s="68"/>
      <c r="D2275" s="68"/>
      <c r="E2275" s="68"/>
      <c r="F2275" s="68"/>
      <c r="G2275" s="68"/>
      <c r="H2275" s="68"/>
      <c r="I2275" s="69"/>
      <c r="J2275" s="69"/>
      <c r="K2275" s="71"/>
      <c r="L2275" s="69"/>
      <c r="M2275" s="69"/>
      <c r="N2275" s="72"/>
      <c r="O2275" s="69"/>
      <c r="P2275" s="69"/>
      <c r="Q2275" s="69"/>
      <c r="R2275" s="69"/>
      <c r="S2275" s="69"/>
      <c r="T2275" s="69"/>
      <c r="U2275" s="69"/>
      <c r="V2275" s="69"/>
      <c r="W2275" s="69"/>
      <c r="X2275" s="69"/>
      <c r="Y2275" s="69"/>
      <c r="Z2275" s="69"/>
      <c r="AA2275" s="69"/>
      <c r="AB2275" s="69"/>
      <c r="AC2275" s="69"/>
      <c r="AD2275" s="69"/>
      <c r="AE2275" s="69"/>
      <c r="AF2275" s="69"/>
      <c r="AG2275" s="69"/>
      <c r="AH2275" s="69"/>
      <c r="AI2275" s="69"/>
      <c r="AJ2275" s="69"/>
      <c r="AK2275" s="69"/>
      <c r="AL2275" s="69"/>
      <c r="AM2275" s="69"/>
      <c r="AN2275" s="69"/>
      <c r="AO2275" s="69"/>
      <c r="AP2275" s="69"/>
      <c r="AQ2275" s="69"/>
      <c r="AR2275" s="69"/>
      <c r="AS2275" s="69"/>
      <c r="AT2275" s="69"/>
      <c r="AU2275" s="69"/>
      <c r="AV2275" s="69"/>
      <c r="AW2275" s="69"/>
      <c r="AX2275" s="69"/>
      <c r="AY2275" s="69"/>
      <c r="AZ2275" s="69"/>
      <c r="BA2275" s="69"/>
      <c r="BB2275" s="69"/>
      <c r="BC2275" s="69"/>
    </row>
    <row r="2276">
      <c r="A2276" s="68"/>
      <c r="B2276" s="68"/>
      <c r="C2276" s="68"/>
      <c r="D2276" s="68"/>
      <c r="E2276" s="68"/>
      <c r="F2276" s="68"/>
      <c r="G2276" s="68"/>
      <c r="H2276" s="68"/>
      <c r="I2276" s="69"/>
      <c r="J2276" s="69"/>
      <c r="K2276" s="71"/>
      <c r="L2276" s="69"/>
      <c r="M2276" s="69"/>
      <c r="N2276" s="72"/>
      <c r="O2276" s="69"/>
      <c r="P2276" s="69"/>
      <c r="Q2276" s="69"/>
      <c r="R2276" s="69"/>
      <c r="S2276" s="69"/>
      <c r="T2276" s="69"/>
      <c r="U2276" s="69"/>
      <c r="V2276" s="69"/>
      <c r="W2276" s="69"/>
      <c r="X2276" s="69"/>
      <c r="Y2276" s="69"/>
      <c r="Z2276" s="69"/>
      <c r="AA2276" s="69"/>
      <c r="AB2276" s="69"/>
      <c r="AC2276" s="69"/>
      <c r="AD2276" s="69"/>
      <c r="AE2276" s="69"/>
      <c r="AF2276" s="69"/>
      <c r="AG2276" s="69"/>
      <c r="AH2276" s="69"/>
      <c r="AI2276" s="69"/>
      <c r="AJ2276" s="69"/>
      <c r="AK2276" s="69"/>
      <c r="AL2276" s="69"/>
      <c r="AM2276" s="69"/>
      <c r="AN2276" s="69"/>
      <c r="AO2276" s="69"/>
      <c r="AP2276" s="69"/>
      <c r="AQ2276" s="69"/>
      <c r="AR2276" s="69"/>
      <c r="AS2276" s="69"/>
      <c r="AT2276" s="69"/>
      <c r="AU2276" s="69"/>
      <c r="AV2276" s="69"/>
      <c r="AW2276" s="69"/>
      <c r="AX2276" s="69"/>
      <c r="AY2276" s="69"/>
      <c r="AZ2276" s="69"/>
      <c r="BA2276" s="69"/>
      <c r="BB2276" s="69"/>
      <c r="BC2276" s="69"/>
    </row>
    <row r="2277">
      <c r="A2277" s="68"/>
      <c r="B2277" s="68"/>
      <c r="C2277" s="68"/>
      <c r="D2277" s="68"/>
      <c r="E2277" s="68"/>
      <c r="F2277" s="68"/>
      <c r="G2277" s="68"/>
      <c r="H2277" s="68"/>
      <c r="I2277" s="69"/>
      <c r="J2277" s="69"/>
      <c r="K2277" s="71"/>
      <c r="L2277" s="69"/>
      <c r="M2277" s="69"/>
      <c r="N2277" s="72"/>
      <c r="O2277" s="69"/>
      <c r="P2277" s="69"/>
      <c r="Q2277" s="69"/>
      <c r="R2277" s="69"/>
      <c r="S2277" s="69"/>
      <c r="T2277" s="69"/>
      <c r="U2277" s="69"/>
      <c r="V2277" s="69"/>
      <c r="W2277" s="69"/>
      <c r="X2277" s="69"/>
      <c r="Y2277" s="69"/>
      <c r="Z2277" s="69"/>
      <c r="AA2277" s="69"/>
      <c r="AB2277" s="69"/>
      <c r="AC2277" s="69"/>
      <c r="AD2277" s="69"/>
      <c r="AE2277" s="69"/>
      <c r="AF2277" s="69"/>
      <c r="AG2277" s="69"/>
      <c r="AH2277" s="69"/>
      <c r="AI2277" s="69"/>
      <c r="AJ2277" s="69"/>
      <c r="AK2277" s="69"/>
      <c r="AL2277" s="69"/>
      <c r="AM2277" s="69"/>
      <c r="AN2277" s="69"/>
      <c r="AO2277" s="69"/>
      <c r="AP2277" s="69"/>
      <c r="AQ2277" s="69"/>
      <c r="AR2277" s="69"/>
      <c r="AS2277" s="69"/>
      <c r="AT2277" s="69"/>
      <c r="AU2277" s="69"/>
      <c r="AV2277" s="69"/>
      <c r="AW2277" s="69"/>
      <c r="AX2277" s="69"/>
      <c r="AY2277" s="69"/>
      <c r="AZ2277" s="69"/>
      <c r="BA2277" s="69"/>
      <c r="BB2277" s="69"/>
      <c r="BC2277" s="69"/>
    </row>
    <row r="2278">
      <c r="A2278" s="68"/>
      <c r="B2278" s="68"/>
      <c r="C2278" s="68"/>
      <c r="D2278" s="68"/>
      <c r="E2278" s="68"/>
      <c r="F2278" s="68"/>
      <c r="G2278" s="68"/>
      <c r="H2278" s="68"/>
      <c r="I2278" s="69"/>
      <c r="J2278" s="69"/>
      <c r="K2278" s="71"/>
      <c r="L2278" s="69"/>
      <c r="M2278" s="69"/>
      <c r="N2278" s="72"/>
      <c r="O2278" s="69"/>
      <c r="P2278" s="69"/>
      <c r="Q2278" s="69"/>
      <c r="R2278" s="69"/>
      <c r="S2278" s="69"/>
      <c r="T2278" s="69"/>
      <c r="U2278" s="69"/>
      <c r="V2278" s="69"/>
      <c r="W2278" s="69"/>
      <c r="X2278" s="69"/>
      <c r="Y2278" s="69"/>
      <c r="Z2278" s="69"/>
      <c r="AA2278" s="69"/>
      <c r="AB2278" s="69"/>
      <c r="AC2278" s="69"/>
      <c r="AD2278" s="69"/>
      <c r="AE2278" s="69"/>
      <c r="AF2278" s="69"/>
      <c r="AG2278" s="69"/>
      <c r="AH2278" s="69"/>
      <c r="AI2278" s="69"/>
      <c r="AJ2278" s="69"/>
      <c r="AK2278" s="69"/>
      <c r="AL2278" s="69"/>
      <c r="AM2278" s="69"/>
      <c r="AN2278" s="69"/>
      <c r="AO2278" s="69"/>
      <c r="AP2278" s="69"/>
      <c r="AQ2278" s="69"/>
      <c r="AR2278" s="69"/>
      <c r="AS2278" s="69"/>
      <c r="AT2278" s="69"/>
      <c r="AU2278" s="69"/>
      <c r="AV2278" s="69"/>
      <c r="AW2278" s="69"/>
      <c r="AX2278" s="69"/>
      <c r="AY2278" s="69"/>
      <c r="AZ2278" s="69"/>
      <c r="BA2278" s="69"/>
      <c r="BB2278" s="69"/>
      <c r="BC2278" s="69"/>
    </row>
    <row r="2279">
      <c r="A2279" s="68"/>
      <c r="B2279" s="68"/>
      <c r="C2279" s="68"/>
      <c r="D2279" s="68"/>
      <c r="E2279" s="68"/>
      <c r="F2279" s="68"/>
      <c r="G2279" s="68"/>
      <c r="H2279" s="68"/>
      <c r="I2279" s="69"/>
      <c r="J2279" s="69"/>
      <c r="K2279" s="71"/>
      <c r="L2279" s="69"/>
      <c r="M2279" s="69"/>
      <c r="N2279" s="72"/>
      <c r="O2279" s="69"/>
      <c r="P2279" s="69"/>
      <c r="Q2279" s="69"/>
      <c r="R2279" s="69"/>
      <c r="S2279" s="69"/>
      <c r="T2279" s="69"/>
      <c r="U2279" s="69"/>
      <c r="V2279" s="69"/>
      <c r="W2279" s="69"/>
      <c r="X2279" s="69"/>
      <c r="Y2279" s="69"/>
      <c r="Z2279" s="69"/>
      <c r="AA2279" s="69"/>
      <c r="AB2279" s="69"/>
      <c r="AC2279" s="69"/>
      <c r="AD2279" s="69"/>
      <c r="AE2279" s="69"/>
      <c r="AF2279" s="69"/>
      <c r="AG2279" s="69"/>
      <c r="AH2279" s="69"/>
      <c r="AI2279" s="69"/>
      <c r="AJ2279" s="69"/>
      <c r="AK2279" s="69"/>
      <c r="AL2279" s="69"/>
      <c r="AM2279" s="69"/>
      <c r="AN2279" s="69"/>
      <c r="AO2279" s="69"/>
      <c r="AP2279" s="69"/>
      <c r="AQ2279" s="69"/>
      <c r="AR2279" s="69"/>
      <c r="AS2279" s="69"/>
      <c r="AT2279" s="69"/>
      <c r="AU2279" s="69"/>
      <c r="AV2279" s="69"/>
      <c r="AW2279" s="69"/>
      <c r="AX2279" s="69"/>
      <c r="AY2279" s="69"/>
      <c r="AZ2279" s="69"/>
      <c r="BA2279" s="69"/>
      <c r="BB2279" s="69"/>
      <c r="BC2279" s="69"/>
    </row>
    <row r="2280">
      <c r="A2280" s="68"/>
      <c r="B2280" s="68"/>
      <c r="C2280" s="68"/>
      <c r="D2280" s="68"/>
      <c r="E2280" s="68"/>
      <c r="F2280" s="68"/>
      <c r="G2280" s="68"/>
      <c r="H2280" s="68"/>
      <c r="I2280" s="69"/>
      <c r="J2280" s="69"/>
      <c r="K2280" s="71"/>
      <c r="L2280" s="69"/>
      <c r="M2280" s="69"/>
      <c r="N2280" s="72"/>
      <c r="O2280" s="69"/>
      <c r="P2280" s="69"/>
      <c r="Q2280" s="69"/>
      <c r="R2280" s="69"/>
      <c r="S2280" s="69"/>
      <c r="T2280" s="69"/>
      <c r="U2280" s="69"/>
      <c r="V2280" s="69"/>
      <c r="W2280" s="69"/>
      <c r="X2280" s="69"/>
      <c r="Y2280" s="69"/>
      <c r="Z2280" s="69"/>
      <c r="AA2280" s="69"/>
      <c r="AB2280" s="69"/>
      <c r="AC2280" s="69"/>
      <c r="AD2280" s="69"/>
      <c r="AE2280" s="69"/>
      <c r="AF2280" s="69"/>
      <c r="AG2280" s="69"/>
      <c r="AH2280" s="69"/>
      <c r="AI2280" s="69"/>
      <c r="AJ2280" s="69"/>
      <c r="AK2280" s="69"/>
      <c r="AL2280" s="69"/>
      <c r="AM2280" s="69"/>
      <c r="AN2280" s="69"/>
      <c r="AO2280" s="69"/>
      <c r="AP2280" s="69"/>
      <c r="AQ2280" s="69"/>
      <c r="AR2280" s="69"/>
      <c r="AS2280" s="69"/>
      <c r="AT2280" s="69"/>
      <c r="AU2280" s="69"/>
      <c r="AV2280" s="69"/>
      <c r="AW2280" s="69"/>
      <c r="AX2280" s="69"/>
      <c r="AY2280" s="69"/>
      <c r="AZ2280" s="69"/>
      <c r="BA2280" s="69"/>
      <c r="BB2280" s="69"/>
      <c r="BC2280" s="69"/>
    </row>
    <row r="2281">
      <c r="A2281" s="68"/>
      <c r="B2281" s="68"/>
      <c r="C2281" s="68"/>
      <c r="D2281" s="68"/>
      <c r="E2281" s="68"/>
      <c r="F2281" s="68"/>
      <c r="G2281" s="68"/>
      <c r="H2281" s="68"/>
      <c r="I2281" s="69"/>
      <c r="J2281" s="69"/>
      <c r="K2281" s="71"/>
      <c r="L2281" s="69"/>
      <c r="M2281" s="69"/>
      <c r="N2281" s="72"/>
      <c r="O2281" s="69"/>
      <c r="P2281" s="69"/>
      <c r="Q2281" s="69"/>
      <c r="R2281" s="69"/>
      <c r="S2281" s="69"/>
      <c r="T2281" s="69"/>
      <c r="U2281" s="69"/>
      <c r="V2281" s="69"/>
      <c r="W2281" s="69"/>
      <c r="X2281" s="69"/>
      <c r="Y2281" s="69"/>
      <c r="Z2281" s="69"/>
      <c r="AA2281" s="69"/>
      <c r="AB2281" s="69"/>
      <c r="AC2281" s="69"/>
      <c r="AD2281" s="69"/>
      <c r="AE2281" s="69"/>
      <c r="AF2281" s="69"/>
      <c r="AG2281" s="69"/>
      <c r="AH2281" s="69"/>
      <c r="AI2281" s="69"/>
      <c r="AJ2281" s="69"/>
      <c r="AK2281" s="69"/>
      <c r="AL2281" s="69"/>
      <c r="AM2281" s="69"/>
      <c r="AN2281" s="69"/>
      <c r="AO2281" s="69"/>
      <c r="AP2281" s="69"/>
      <c r="AQ2281" s="69"/>
      <c r="AR2281" s="69"/>
      <c r="AS2281" s="69"/>
      <c r="AT2281" s="69"/>
      <c r="AU2281" s="69"/>
      <c r="AV2281" s="69"/>
      <c r="AW2281" s="69"/>
      <c r="AX2281" s="69"/>
      <c r="AY2281" s="69"/>
      <c r="AZ2281" s="69"/>
      <c r="BA2281" s="69"/>
      <c r="BB2281" s="69"/>
      <c r="BC2281" s="69"/>
    </row>
    <row r="2282">
      <c r="A2282" s="68"/>
      <c r="B2282" s="68"/>
      <c r="C2282" s="68"/>
      <c r="D2282" s="68"/>
      <c r="E2282" s="68"/>
      <c r="F2282" s="68"/>
      <c r="G2282" s="68"/>
      <c r="H2282" s="68"/>
      <c r="I2282" s="69"/>
      <c r="J2282" s="69"/>
      <c r="K2282" s="71"/>
      <c r="L2282" s="69"/>
      <c r="M2282" s="69"/>
      <c r="N2282" s="72"/>
      <c r="O2282" s="69"/>
      <c r="P2282" s="69"/>
      <c r="Q2282" s="69"/>
      <c r="R2282" s="69"/>
      <c r="S2282" s="69"/>
      <c r="T2282" s="69"/>
      <c r="U2282" s="69"/>
      <c r="V2282" s="69"/>
      <c r="W2282" s="69"/>
      <c r="X2282" s="69"/>
      <c r="Y2282" s="69"/>
      <c r="Z2282" s="69"/>
      <c r="AA2282" s="69"/>
      <c r="AB2282" s="69"/>
      <c r="AC2282" s="69"/>
      <c r="AD2282" s="69"/>
      <c r="AE2282" s="69"/>
      <c r="AF2282" s="69"/>
      <c r="AG2282" s="69"/>
      <c r="AH2282" s="69"/>
      <c r="AI2282" s="69"/>
      <c r="AJ2282" s="69"/>
      <c r="AK2282" s="69"/>
      <c r="AL2282" s="69"/>
      <c r="AM2282" s="69"/>
      <c r="AN2282" s="69"/>
      <c r="AO2282" s="69"/>
      <c r="AP2282" s="69"/>
      <c r="AQ2282" s="69"/>
      <c r="AR2282" s="69"/>
      <c r="AS2282" s="69"/>
      <c r="AT2282" s="69"/>
      <c r="AU2282" s="69"/>
      <c r="AV2282" s="69"/>
      <c r="AW2282" s="69"/>
      <c r="AX2282" s="69"/>
      <c r="AY2282" s="69"/>
      <c r="AZ2282" s="69"/>
      <c r="BA2282" s="69"/>
      <c r="BB2282" s="69"/>
      <c r="BC2282" s="69"/>
    </row>
    <row r="2283">
      <c r="A2283" s="68"/>
      <c r="B2283" s="68"/>
      <c r="C2283" s="68"/>
      <c r="D2283" s="68"/>
      <c r="E2283" s="68"/>
      <c r="F2283" s="68"/>
      <c r="G2283" s="68"/>
      <c r="H2283" s="68"/>
      <c r="I2283" s="69"/>
      <c r="J2283" s="69"/>
      <c r="K2283" s="71"/>
      <c r="L2283" s="69"/>
      <c r="M2283" s="69"/>
      <c r="N2283" s="72"/>
      <c r="O2283" s="69"/>
      <c r="P2283" s="69"/>
      <c r="Q2283" s="69"/>
      <c r="R2283" s="69"/>
      <c r="S2283" s="69"/>
      <c r="T2283" s="69"/>
      <c r="U2283" s="69"/>
      <c r="V2283" s="69"/>
      <c r="W2283" s="69"/>
      <c r="X2283" s="69"/>
      <c r="Y2283" s="69"/>
      <c r="Z2283" s="69"/>
      <c r="AA2283" s="69"/>
      <c r="AB2283" s="69"/>
      <c r="AC2283" s="69"/>
      <c r="AD2283" s="69"/>
      <c r="AE2283" s="69"/>
      <c r="AF2283" s="69"/>
      <c r="AG2283" s="69"/>
      <c r="AH2283" s="69"/>
      <c r="AI2283" s="69"/>
      <c r="AJ2283" s="69"/>
      <c r="AK2283" s="69"/>
      <c r="AL2283" s="69"/>
      <c r="AM2283" s="69"/>
      <c r="AN2283" s="69"/>
      <c r="AO2283" s="69"/>
      <c r="AP2283" s="69"/>
      <c r="AQ2283" s="69"/>
      <c r="AR2283" s="69"/>
      <c r="AS2283" s="69"/>
      <c r="AT2283" s="69"/>
      <c r="AU2283" s="69"/>
      <c r="AV2283" s="69"/>
      <c r="AW2283" s="69"/>
      <c r="AX2283" s="69"/>
      <c r="AY2283" s="69"/>
      <c r="AZ2283" s="69"/>
      <c r="BA2283" s="69"/>
      <c r="BB2283" s="69"/>
      <c r="BC2283" s="69"/>
    </row>
    <row r="2284">
      <c r="A2284" s="68"/>
      <c r="B2284" s="68"/>
      <c r="C2284" s="68"/>
      <c r="D2284" s="68"/>
      <c r="E2284" s="68"/>
      <c r="F2284" s="68"/>
      <c r="G2284" s="68"/>
      <c r="H2284" s="68"/>
      <c r="I2284" s="69"/>
      <c r="J2284" s="69"/>
      <c r="K2284" s="71"/>
      <c r="L2284" s="69"/>
      <c r="M2284" s="69"/>
      <c r="N2284" s="72"/>
      <c r="O2284" s="69"/>
      <c r="P2284" s="69"/>
      <c r="Q2284" s="69"/>
      <c r="R2284" s="69"/>
      <c r="S2284" s="69"/>
      <c r="T2284" s="69"/>
      <c r="U2284" s="69"/>
      <c r="V2284" s="69"/>
      <c r="W2284" s="69"/>
      <c r="X2284" s="69"/>
      <c r="Y2284" s="69"/>
      <c r="Z2284" s="69"/>
      <c r="AA2284" s="69"/>
      <c r="AB2284" s="69"/>
      <c r="AC2284" s="69"/>
      <c r="AD2284" s="69"/>
      <c r="AE2284" s="69"/>
      <c r="AF2284" s="69"/>
      <c r="AG2284" s="69"/>
      <c r="AH2284" s="69"/>
      <c r="AI2284" s="69"/>
      <c r="AJ2284" s="69"/>
      <c r="AK2284" s="69"/>
      <c r="AL2284" s="69"/>
      <c r="AM2284" s="69"/>
      <c r="AN2284" s="69"/>
      <c r="AO2284" s="69"/>
      <c r="AP2284" s="69"/>
      <c r="AQ2284" s="69"/>
      <c r="AR2284" s="69"/>
      <c r="AS2284" s="69"/>
      <c r="AT2284" s="69"/>
      <c r="AU2284" s="69"/>
      <c r="AV2284" s="69"/>
      <c r="AW2284" s="69"/>
      <c r="AX2284" s="69"/>
      <c r="AY2284" s="69"/>
      <c r="AZ2284" s="69"/>
      <c r="BA2284" s="69"/>
      <c r="BB2284" s="69"/>
      <c r="BC2284" s="69"/>
    </row>
    <row r="2285">
      <c r="A2285" s="68"/>
      <c r="B2285" s="68"/>
      <c r="C2285" s="68"/>
      <c r="D2285" s="68"/>
      <c r="E2285" s="68"/>
      <c r="F2285" s="68"/>
      <c r="G2285" s="68"/>
      <c r="H2285" s="68"/>
      <c r="I2285" s="69"/>
      <c r="J2285" s="69"/>
      <c r="K2285" s="71"/>
      <c r="L2285" s="69"/>
      <c r="M2285" s="69"/>
      <c r="N2285" s="72"/>
      <c r="O2285" s="69"/>
      <c r="P2285" s="69"/>
      <c r="Q2285" s="69"/>
      <c r="R2285" s="69"/>
      <c r="S2285" s="69"/>
      <c r="T2285" s="69"/>
      <c r="U2285" s="69"/>
      <c r="V2285" s="69"/>
      <c r="W2285" s="69"/>
      <c r="X2285" s="69"/>
      <c r="Y2285" s="69"/>
      <c r="Z2285" s="69"/>
      <c r="AA2285" s="69"/>
      <c r="AB2285" s="69"/>
      <c r="AC2285" s="69"/>
      <c r="AD2285" s="69"/>
      <c r="AE2285" s="69"/>
      <c r="AF2285" s="69"/>
      <c r="AG2285" s="69"/>
      <c r="AH2285" s="69"/>
      <c r="AI2285" s="69"/>
      <c r="AJ2285" s="69"/>
      <c r="AK2285" s="69"/>
      <c r="AL2285" s="69"/>
      <c r="AM2285" s="69"/>
      <c r="AN2285" s="69"/>
      <c r="AO2285" s="69"/>
      <c r="AP2285" s="69"/>
      <c r="AQ2285" s="69"/>
      <c r="AR2285" s="69"/>
      <c r="AS2285" s="69"/>
      <c r="AT2285" s="69"/>
      <c r="AU2285" s="69"/>
      <c r="AV2285" s="69"/>
      <c r="AW2285" s="69"/>
      <c r="AX2285" s="69"/>
      <c r="AY2285" s="69"/>
      <c r="AZ2285" s="69"/>
      <c r="BA2285" s="69"/>
      <c r="BB2285" s="69"/>
      <c r="BC2285" s="69"/>
    </row>
    <row r="2286">
      <c r="A2286" s="68"/>
      <c r="B2286" s="68"/>
      <c r="C2286" s="68"/>
      <c r="D2286" s="68"/>
      <c r="E2286" s="68"/>
      <c r="F2286" s="68"/>
      <c r="G2286" s="68"/>
      <c r="H2286" s="68"/>
      <c r="I2286" s="69"/>
      <c r="J2286" s="69"/>
      <c r="K2286" s="71"/>
      <c r="L2286" s="69"/>
      <c r="M2286" s="69"/>
      <c r="N2286" s="72"/>
      <c r="O2286" s="69"/>
      <c r="P2286" s="69"/>
      <c r="Q2286" s="69"/>
      <c r="R2286" s="69"/>
      <c r="S2286" s="69"/>
      <c r="T2286" s="69"/>
      <c r="U2286" s="69"/>
      <c r="V2286" s="69"/>
      <c r="W2286" s="69"/>
      <c r="X2286" s="69"/>
      <c r="Y2286" s="69"/>
      <c r="Z2286" s="69"/>
      <c r="AA2286" s="69"/>
      <c r="AB2286" s="69"/>
      <c r="AC2286" s="69"/>
      <c r="AD2286" s="69"/>
      <c r="AE2286" s="69"/>
      <c r="AF2286" s="69"/>
      <c r="AG2286" s="69"/>
      <c r="AH2286" s="69"/>
      <c r="AI2286" s="69"/>
      <c r="AJ2286" s="69"/>
      <c r="AK2286" s="69"/>
      <c r="AL2286" s="69"/>
      <c r="AM2286" s="69"/>
      <c r="AN2286" s="69"/>
      <c r="AO2286" s="69"/>
      <c r="AP2286" s="69"/>
      <c r="AQ2286" s="69"/>
      <c r="AR2286" s="69"/>
      <c r="AS2286" s="69"/>
      <c r="AT2286" s="69"/>
      <c r="AU2286" s="69"/>
      <c r="AV2286" s="69"/>
      <c r="AW2286" s="69"/>
      <c r="AX2286" s="69"/>
      <c r="AY2286" s="69"/>
      <c r="AZ2286" s="69"/>
      <c r="BA2286" s="69"/>
      <c r="BB2286" s="69"/>
      <c r="BC2286" s="69"/>
    </row>
    <row r="2287">
      <c r="A2287" s="68"/>
      <c r="B2287" s="68"/>
      <c r="C2287" s="68"/>
      <c r="D2287" s="68"/>
      <c r="E2287" s="68"/>
      <c r="F2287" s="68"/>
      <c r="G2287" s="68"/>
      <c r="H2287" s="68"/>
      <c r="I2287" s="69"/>
      <c r="J2287" s="69"/>
      <c r="K2287" s="71"/>
      <c r="L2287" s="69"/>
      <c r="M2287" s="69"/>
      <c r="N2287" s="72"/>
      <c r="O2287" s="69"/>
      <c r="P2287" s="69"/>
      <c r="Q2287" s="69"/>
      <c r="R2287" s="69"/>
      <c r="S2287" s="69"/>
      <c r="T2287" s="69"/>
      <c r="U2287" s="69"/>
      <c r="V2287" s="69"/>
      <c r="W2287" s="69"/>
      <c r="X2287" s="69"/>
      <c r="Y2287" s="69"/>
      <c r="Z2287" s="69"/>
      <c r="AA2287" s="69"/>
      <c r="AB2287" s="69"/>
      <c r="AC2287" s="69"/>
      <c r="AD2287" s="69"/>
      <c r="AE2287" s="69"/>
      <c r="AF2287" s="69"/>
      <c r="AG2287" s="69"/>
      <c r="AH2287" s="69"/>
      <c r="AI2287" s="69"/>
      <c r="AJ2287" s="69"/>
      <c r="AK2287" s="69"/>
      <c r="AL2287" s="69"/>
      <c r="AM2287" s="69"/>
      <c r="AN2287" s="69"/>
      <c r="AO2287" s="69"/>
      <c r="AP2287" s="69"/>
      <c r="AQ2287" s="69"/>
      <c r="AR2287" s="69"/>
      <c r="AS2287" s="69"/>
      <c r="AT2287" s="69"/>
      <c r="AU2287" s="69"/>
      <c r="AV2287" s="69"/>
      <c r="AW2287" s="69"/>
      <c r="AX2287" s="69"/>
      <c r="AY2287" s="69"/>
      <c r="AZ2287" s="69"/>
      <c r="BA2287" s="69"/>
      <c r="BB2287" s="69"/>
      <c r="BC2287" s="69"/>
    </row>
    <row r="2288">
      <c r="A2288" s="68"/>
      <c r="B2288" s="68"/>
      <c r="C2288" s="68"/>
      <c r="D2288" s="68"/>
      <c r="E2288" s="68"/>
      <c r="F2288" s="68"/>
      <c r="G2288" s="68"/>
      <c r="H2288" s="68"/>
      <c r="I2288" s="69"/>
      <c r="J2288" s="69"/>
      <c r="K2288" s="71"/>
      <c r="L2288" s="69"/>
      <c r="M2288" s="69"/>
      <c r="N2288" s="72"/>
      <c r="O2288" s="69"/>
      <c r="P2288" s="69"/>
      <c r="Q2288" s="69"/>
      <c r="R2288" s="69"/>
      <c r="S2288" s="69"/>
      <c r="T2288" s="69"/>
      <c r="U2288" s="69"/>
      <c r="V2288" s="69"/>
      <c r="W2288" s="69"/>
      <c r="X2288" s="69"/>
      <c r="Y2288" s="69"/>
      <c r="Z2288" s="69"/>
      <c r="AA2288" s="69"/>
      <c r="AB2288" s="69"/>
      <c r="AC2288" s="69"/>
      <c r="AD2288" s="69"/>
      <c r="AE2288" s="69"/>
      <c r="AF2288" s="69"/>
      <c r="AG2288" s="69"/>
      <c r="AH2288" s="69"/>
      <c r="AI2288" s="69"/>
      <c r="AJ2288" s="69"/>
      <c r="AK2288" s="69"/>
      <c r="AL2288" s="69"/>
      <c r="AM2288" s="69"/>
      <c r="AN2288" s="69"/>
      <c r="AO2288" s="69"/>
      <c r="AP2288" s="69"/>
      <c r="AQ2288" s="69"/>
      <c r="AR2288" s="69"/>
      <c r="AS2288" s="69"/>
      <c r="AT2288" s="69"/>
      <c r="AU2288" s="69"/>
      <c r="AV2288" s="69"/>
      <c r="AW2288" s="69"/>
      <c r="AX2288" s="69"/>
      <c r="AY2288" s="69"/>
      <c r="AZ2288" s="69"/>
      <c r="BA2288" s="69"/>
      <c r="BB2288" s="69"/>
      <c r="BC2288" s="69"/>
    </row>
    <row r="2289">
      <c r="A2289" s="68"/>
      <c r="B2289" s="68"/>
      <c r="C2289" s="68"/>
      <c r="D2289" s="68"/>
      <c r="E2289" s="68"/>
      <c r="F2289" s="68"/>
      <c r="G2289" s="68"/>
      <c r="H2289" s="68"/>
      <c r="I2289" s="69"/>
      <c r="J2289" s="69"/>
      <c r="K2289" s="71"/>
      <c r="L2289" s="69"/>
      <c r="M2289" s="69"/>
      <c r="N2289" s="72"/>
      <c r="O2289" s="69"/>
      <c r="P2289" s="69"/>
      <c r="Q2289" s="69"/>
      <c r="R2289" s="69"/>
      <c r="S2289" s="69"/>
      <c r="T2289" s="69"/>
      <c r="U2289" s="69"/>
      <c r="V2289" s="69"/>
      <c r="W2289" s="69"/>
      <c r="X2289" s="69"/>
      <c r="Y2289" s="69"/>
      <c r="Z2289" s="69"/>
      <c r="AA2289" s="69"/>
      <c r="AB2289" s="69"/>
      <c r="AC2289" s="69"/>
      <c r="AD2289" s="69"/>
      <c r="AE2289" s="69"/>
      <c r="AF2289" s="69"/>
      <c r="AG2289" s="69"/>
      <c r="AH2289" s="69"/>
      <c r="AI2289" s="69"/>
      <c r="AJ2289" s="69"/>
      <c r="AK2289" s="69"/>
      <c r="AL2289" s="69"/>
      <c r="AM2289" s="69"/>
      <c r="AN2289" s="69"/>
      <c r="AO2289" s="69"/>
      <c r="AP2289" s="69"/>
      <c r="AQ2289" s="69"/>
      <c r="AR2289" s="69"/>
      <c r="AS2289" s="69"/>
      <c r="AT2289" s="69"/>
      <c r="AU2289" s="69"/>
      <c r="AV2289" s="69"/>
      <c r="AW2289" s="69"/>
      <c r="AX2289" s="69"/>
      <c r="AY2289" s="69"/>
      <c r="AZ2289" s="69"/>
      <c r="BA2289" s="69"/>
      <c r="BB2289" s="69"/>
      <c r="BC2289" s="69"/>
    </row>
    <row r="2290">
      <c r="A2290" s="68"/>
      <c r="B2290" s="68"/>
      <c r="C2290" s="68"/>
      <c r="D2290" s="68"/>
      <c r="E2290" s="68"/>
      <c r="F2290" s="68"/>
      <c r="G2290" s="68"/>
      <c r="H2290" s="68"/>
      <c r="I2290" s="69"/>
      <c r="J2290" s="69"/>
      <c r="K2290" s="71"/>
      <c r="L2290" s="69"/>
      <c r="M2290" s="69"/>
      <c r="N2290" s="72"/>
      <c r="O2290" s="69"/>
      <c r="P2290" s="69"/>
      <c r="Q2290" s="69"/>
      <c r="R2290" s="69"/>
      <c r="S2290" s="69"/>
      <c r="T2290" s="69"/>
      <c r="U2290" s="69"/>
      <c r="V2290" s="69"/>
      <c r="W2290" s="69"/>
      <c r="X2290" s="69"/>
      <c r="Y2290" s="69"/>
      <c r="Z2290" s="69"/>
      <c r="AA2290" s="69"/>
      <c r="AB2290" s="69"/>
      <c r="AC2290" s="69"/>
      <c r="AD2290" s="69"/>
      <c r="AE2290" s="69"/>
      <c r="AF2290" s="69"/>
      <c r="AG2290" s="69"/>
      <c r="AH2290" s="69"/>
      <c r="AI2290" s="69"/>
      <c r="AJ2290" s="69"/>
      <c r="AK2290" s="69"/>
      <c r="AL2290" s="69"/>
      <c r="AM2290" s="69"/>
      <c r="AN2290" s="69"/>
      <c r="AO2290" s="69"/>
      <c r="AP2290" s="69"/>
      <c r="AQ2290" s="69"/>
      <c r="AR2290" s="69"/>
      <c r="AS2290" s="69"/>
      <c r="AT2290" s="69"/>
      <c r="AU2290" s="69"/>
      <c r="AV2290" s="69"/>
      <c r="AW2290" s="69"/>
      <c r="AX2290" s="69"/>
      <c r="AY2290" s="69"/>
      <c r="AZ2290" s="69"/>
      <c r="BA2290" s="69"/>
      <c r="BB2290" s="69"/>
      <c r="BC2290" s="69"/>
    </row>
    <row r="2291">
      <c r="A2291" s="68"/>
      <c r="B2291" s="68"/>
      <c r="C2291" s="68"/>
      <c r="D2291" s="68"/>
      <c r="E2291" s="68"/>
      <c r="F2291" s="68"/>
      <c r="G2291" s="68"/>
      <c r="H2291" s="68"/>
      <c r="I2291" s="69"/>
      <c r="J2291" s="69"/>
      <c r="K2291" s="71"/>
      <c r="L2291" s="69"/>
      <c r="M2291" s="69"/>
      <c r="N2291" s="72"/>
      <c r="O2291" s="69"/>
      <c r="P2291" s="69"/>
      <c r="Q2291" s="69"/>
      <c r="R2291" s="69"/>
      <c r="S2291" s="69"/>
      <c r="T2291" s="69"/>
      <c r="U2291" s="69"/>
      <c r="V2291" s="69"/>
      <c r="W2291" s="69"/>
      <c r="X2291" s="69"/>
      <c r="Y2291" s="69"/>
      <c r="Z2291" s="69"/>
      <c r="AA2291" s="69"/>
      <c r="AB2291" s="69"/>
      <c r="AC2291" s="69"/>
      <c r="AD2291" s="69"/>
      <c r="AE2291" s="69"/>
      <c r="AF2291" s="69"/>
      <c r="AG2291" s="69"/>
      <c r="AH2291" s="69"/>
      <c r="AI2291" s="69"/>
      <c r="AJ2291" s="69"/>
      <c r="AK2291" s="69"/>
      <c r="AL2291" s="69"/>
      <c r="AM2291" s="69"/>
      <c r="AN2291" s="69"/>
      <c r="AO2291" s="69"/>
      <c r="AP2291" s="69"/>
      <c r="AQ2291" s="69"/>
      <c r="AR2291" s="69"/>
      <c r="AS2291" s="69"/>
      <c r="AT2291" s="69"/>
      <c r="AU2291" s="69"/>
      <c r="AV2291" s="69"/>
      <c r="AW2291" s="69"/>
      <c r="AX2291" s="69"/>
      <c r="AY2291" s="69"/>
      <c r="AZ2291" s="69"/>
      <c r="BA2291" s="69"/>
      <c r="BB2291" s="69"/>
      <c r="BC2291" s="69"/>
    </row>
    <row r="2292">
      <c r="A2292" s="68"/>
      <c r="B2292" s="68"/>
      <c r="C2292" s="68"/>
      <c r="D2292" s="68"/>
      <c r="E2292" s="68"/>
      <c r="F2292" s="68"/>
      <c r="G2292" s="68"/>
      <c r="H2292" s="68"/>
      <c r="I2292" s="69"/>
      <c r="J2292" s="69"/>
      <c r="K2292" s="71"/>
      <c r="L2292" s="69"/>
      <c r="M2292" s="69"/>
      <c r="N2292" s="72"/>
      <c r="O2292" s="69"/>
      <c r="P2292" s="69"/>
      <c r="Q2292" s="69"/>
      <c r="R2292" s="69"/>
      <c r="S2292" s="69"/>
      <c r="T2292" s="69"/>
      <c r="U2292" s="69"/>
      <c r="V2292" s="69"/>
      <c r="W2292" s="69"/>
      <c r="X2292" s="69"/>
      <c r="Y2292" s="69"/>
      <c r="Z2292" s="69"/>
      <c r="AA2292" s="69"/>
      <c r="AB2292" s="69"/>
      <c r="AC2292" s="69"/>
      <c r="AD2292" s="69"/>
      <c r="AE2292" s="69"/>
      <c r="AF2292" s="69"/>
      <c r="AG2292" s="69"/>
      <c r="AH2292" s="69"/>
      <c r="AI2292" s="69"/>
      <c r="AJ2292" s="69"/>
      <c r="AK2292" s="69"/>
      <c r="AL2292" s="69"/>
      <c r="AM2292" s="69"/>
      <c r="AN2292" s="69"/>
      <c r="AO2292" s="69"/>
      <c r="AP2292" s="69"/>
      <c r="AQ2292" s="69"/>
      <c r="AR2292" s="69"/>
      <c r="AS2292" s="69"/>
      <c r="AT2292" s="69"/>
      <c r="AU2292" s="69"/>
      <c r="AV2292" s="69"/>
      <c r="AW2292" s="69"/>
      <c r="AX2292" s="69"/>
      <c r="AY2292" s="69"/>
      <c r="AZ2292" s="69"/>
      <c r="BA2292" s="69"/>
      <c r="BB2292" s="69"/>
      <c r="BC2292" s="69"/>
    </row>
    <row r="2293">
      <c r="A2293" s="68"/>
      <c r="B2293" s="68"/>
      <c r="C2293" s="68"/>
      <c r="D2293" s="68"/>
      <c r="E2293" s="68"/>
      <c r="F2293" s="68"/>
      <c r="G2293" s="68"/>
      <c r="H2293" s="68"/>
      <c r="I2293" s="69"/>
      <c r="J2293" s="69"/>
      <c r="K2293" s="71"/>
      <c r="L2293" s="69"/>
      <c r="M2293" s="69"/>
      <c r="N2293" s="72"/>
      <c r="O2293" s="69"/>
      <c r="P2293" s="69"/>
      <c r="Q2293" s="69"/>
      <c r="R2293" s="69"/>
      <c r="S2293" s="69"/>
      <c r="T2293" s="69"/>
      <c r="U2293" s="69"/>
      <c r="V2293" s="69"/>
      <c r="W2293" s="69"/>
      <c r="X2293" s="69"/>
      <c r="Y2293" s="69"/>
      <c r="Z2293" s="69"/>
      <c r="AA2293" s="69"/>
      <c r="AB2293" s="69"/>
      <c r="AC2293" s="69"/>
      <c r="AD2293" s="69"/>
      <c r="AE2293" s="69"/>
      <c r="AF2293" s="69"/>
      <c r="AG2293" s="69"/>
      <c r="AH2293" s="69"/>
      <c r="AI2293" s="69"/>
      <c r="AJ2293" s="69"/>
      <c r="AK2293" s="69"/>
      <c r="AL2293" s="69"/>
      <c r="AM2293" s="69"/>
      <c r="AN2293" s="69"/>
      <c r="AO2293" s="69"/>
      <c r="AP2293" s="69"/>
      <c r="AQ2293" s="69"/>
      <c r="AR2293" s="69"/>
      <c r="AS2293" s="69"/>
      <c r="AT2293" s="69"/>
      <c r="AU2293" s="69"/>
      <c r="AV2293" s="69"/>
      <c r="AW2293" s="69"/>
      <c r="AX2293" s="69"/>
      <c r="AY2293" s="69"/>
      <c r="AZ2293" s="69"/>
      <c r="BA2293" s="69"/>
      <c r="BB2293" s="69"/>
      <c r="BC2293" s="69"/>
    </row>
    <row r="2294">
      <c r="A2294" s="68"/>
      <c r="B2294" s="68"/>
      <c r="C2294" s="68"/>
      <c r="D2294" s="68"/>
      <c r="E2294" s="68"/>
      <c r="F2294" s="68"/>
      <c r="G2294" s="68"/>
      <c r="H2294" s="68"/>
      <c r="I2294" s="69"/>
      <c r="J2294" s="69"/>
      <c r="K2294" s="71"/>
      <c r="L2294" s="69"/>
      <c r="M2294" s="69"/>
      <c r="N2294" s="72"/>
      <c r="O2294" s="69"/>
      <c r="P2294" s="69"/>
      <c r="Q2294" s="69"/>
      <c r="R2294" s="69"/>
      <c r="S2294" s="69"/>
      <c r="T2294" s="69"/>
      <c r="U2294" s="69"/>
      <c r="V2294" s="69"/>
      <c r="W2294" s="69"/>
      <c r="X2294" s="69"/>
      <c r="Y2294" s="69"/>
      <c r="Z2294" s="69"/>
      <c r="AA2294" s="69"/>
      <c r="AB2294" s="69"/>
      <c r="AC2294" s="69"/>
      <c r="AD2294" s="69"/>
      <c r="AE2294" s="69"/>
      <c r="AF2294" s="69"/>
      <c r="AG2294" s="69"/>
      <c r="AH2294" s="69"/>
      <c r="AI2294" s="69"/>
      <c r="AJ2294" s="69"/>
      <c r="AK2294" s="69"/>
      <c r="AL2294" s="69"/>
      <c r="AM2294" s="69"/>
      <c r="AN2294" s="69"/>
      <c r="AO2294" s="69"/>
      <c r="AP2294" s="69"/>
      <c r="AQ2294" s="69"/>
      <c r="AR2294" s="69"/>
      <c r="AS2294" s="69"/>
      <c r="AT2294" s="69"/>
      <c r="AU2294" s="69"/>
      <c r="AV2294" s="69"/>
      <c r="AW2294" s="69"/>
      <c r="AX2294" s="69"/>
      <c r="AY2294" s="69"/>
      <c r="AZ2294" s="69"/>
      <c r="BA2294" s="69"/>
      <c r="BB2294" s="69"/>
      <c r="BC2294" s="69"/>
    </row>
    <row r="2295">
      <c r="A2295" s="68"/>
      <c r="B2295" s="68"/>
      <c r="C2295" s="68"/>
      <c r="D2295" s="68"/>
      <c r="E2295" s="68"/>
      <c r="F2295" s="68"/>
      <c r="G2295" s="68"/>
      <c r="H2295" s="68"/>
      <c r="I2295" s="69"/>
      <c r="J2295" s="69"/>
      <c r="K2295" s="71"/>
      <c r="L2295" s="69"/>
      <c r="M2295" s="69"/>
      <c r="N2295" s="72"/>
      <c r="O2295" s="69"/>
      <c r="P2295" s="69"/>
      <c r="Q2295" s="69"/>
      <c r="R2295" s="69"/>
      <c r="S2295" s="69"/>
      <c r="T2295" s="69"/>
      <c r="U2295" s="69"/>
      <c r="V2295" s="69"/>
      <c r="W2295" s="69"/>
      <c r="X2295" s="69"/>
      <c r="Y2295" s="69"/>
      <c r="Z2295" s="69"/>
      <c r="AA2295" s="69"/>
      <c r="AB2295" s="69"/>
      <c r="AC2295" s="69"/>
      <c r="AD2295" s="69"/>
      <c r="AE2295" s="69"/>
      <c r="AF2295" s="69"/>
      <c r="AG2295" s="69"/>
      <c r="AH2295" s="69"/>
      <c r="AI2295" s="69"/>
      <c r="AJ2295" s="69"/>
      <c r="AK2295" s="69"/>
      <c r="AL2295" s="69"/>
      <c r="AM2295" s="69"/>
      <c r="AN2295" s="69"/>
      <c r="AO2295" s="69"/>
      <c r="AP2295" s="69"/>
      <c r="AQ2295" s="69"/>
      <c r="AR2295" s="69"/>
      <c r="AS2295" s="69"/>
      <c r="AT2295" s="69"/>
      <c r="AU2295" s="69"/>
      <c r="AV2295" s="69"/>
      <c r="AW2295" s="69"/>
      <c r="AX2295" s="69"/>
      <c r="AY2295" s="69"/>
      <c r="AZ2295" s="69"/>
      <c r="BA2295" s="69"/>
      <c r="BB2295" s="69"/>
      <c r="BC2295" s="69"/>
    </row>
    <row r="2296">
      <c r="A2296" s="68"/>
      <c r="B2296" s="68"/>
      <c r="C2296" s="68"/>
      <c r="D2296" s="68"/>
      <c r="E2296" s="68"/>
      <c r="F2296" s="68"/>
      <c r="G2296" s="68"/>
      <c r="H2296" s="68"/>
      <c r="I2296" s="69"/>
      <c r="J2296" s="69"/>
      <c r="K2296" s="71"/>
      <c r="L2296" s="69"/>
      <c r="M2296" s="69"/>
      <c r="N2296" s="72"/>
      <c r="O2296" s="69"/>
      <c r="P2296" s="69"/>
      <c r="Q2296" s="69"/>
      <c r="R2296" s="69"/>
      <c r="S2296" s="69"/>
      <c r="T2296" s="69"/>
      <c r="U2296" s="69"/>
      <c r="V2296" s="69"/>
      <c r="W2296" s="69"/>
      <c r="X2296" s="69"/>
      <c r="Y2296" s="69"/>
      <c r="Z2296" s="69"/>
      <c r="AA2296" s="69"/>
      <c r="AB2296" s="69"/>
      <c r="AC2296" s="69"/>
      <c r="AD2296" s="69"/>
      <c r="AE2296" s="69"/>
      <c r="AF2296" s="69"/>
      <c r="AG2296" s="69"/>
      <c r="AH2296" s="69"/>
      <c r="AI2296" s="69"/>
      <c r="AJ2296" s="69"/>
      <c r="AK2296" s="69"/>
      <c r="AL2296" s="69"/>
      <c r="AM2296" s="69"/>
      <c r="AN2296" s="69"/>
      <c r="AO2296" s="69"/>
      <c r="AP2296" s="69"/>
      <c r="AQ2296" s="69"/>
      <c r="AR2296" s="69"/>
      <c r="AS2296" s="69"/>
      <c r="AT2296" s="69"/>
      <c r="AU2296" s="69"/>
      <c r="AV2296" s="69"/>
      <c r="AW2296" s="69"/>
      <c r="AX2296" s="69"/>
      <c r="AY2296" s="69"/>
      <c r="AZ2296" s="69"/>
      <c r="BA2296" s="69"/>
      <c r="BB2296" s="69"/>
      <c r="BC2296" s="69"/>
    </row>
    <row r="2297">
      <c r="A2297" s="68"/>
      <c r="B2297" s="68"/>
      <c r="C2297" s="68"/>
      <c r="D2297" s="68"/>
      <c r="E2297" s="68"/>
      <c r="F2297" s="68"/>
      <c r="G2297" s="68"/>
      <c r="H2297" s="68"/>
      <c r="I2297" s="69"/>
      <c r="J2297" s="69"/>
      <c r="K2297" s="71"/>
      <c r="L2297" s="69"/>
      <c r="M2297" s="69"/>
      <c r="N2297" s="72"/>
      <c r="O2297" s="69"/>
      <c r="P2297" s="69"/>
      <c r="Q2297" s="69"/>
      <c r="R2297" s="69"/>
      <c r="S2297" s="69"/>
      <c r="T2297" s="69"/>
      <c r="U2297" s="69"/>
      <c r="V2297" s="69"/>
      <c r="W2297" s="69"/>
      <c r="X2297" s="69"/>
      <c r="Y2297" s="69"/>
      <c r="Z2297" s="69"/>
      <c r="AA2297" s="69"/>
      <c r="AB2297" s="69"/>
      <c r="AC2297" s="69"/>
      <c r="AD2297" s="69"/>
      <c r="AE2297" s="69"/>
      <c r="AF2297" s="69"/>
      <c r="AG2297" s="69"/>
      <c r="AH2297" s="69"/>
      <c r="AI2297" s="69"/>
      <c r="AJ2297" s="69"/>
      <c r="AK2297" s="69"/>
      <c r="AL2297" s="69"/>
      <c r="AM2297" s="69"/>
      <c r="AN2297" s="69"/>
      <c r="AO2297" s="69"/>
      <c r="AP2297" s="69"/>
      <c r="AQ2297" s="69"/>
      <c r="AR2297" s="69"/>
      <c r="AS2297" s="69"/>
      <c r="AT2297" s="69"/>
      <c r="AU2297" s="69"/>
      <c r="AV2297" s="69"/>
      <c r="AW2297" s="69"/>
      <c r="AX2297" s="69"/>
      <c r="AY2297" s="69"/>
      <c r="AZ2297" s="69"/>
      <c r="BA2297" s="69"/>
      <c r="BB2297" s="69"/>
      <c r="BC2297" s="69"/>
    </row>
    <row r="2298">
      <c r="A2298" s="68"/>
      <c r="B2298" s="68"/>
      <c r="C2298" s="68"/>
      <c r="D2298" s="68"/>
      <c r="E2298" s="68"/>
      <c r="F2298" s="68"/>
      <c r="G2298" s="68"/>
      <c r="H2298" s="68"/>
      <c r="I2298" s="69"/>
      <c r="J2298" s="69"/>
      <c r="K2298" s="71"/>
      <c r="L2298" s="69"/>
      <c r="M2298" s="69"/>
      <c r="N2298" s="72"/>
      <c r="O2298" s="69"/>
      <c r="P2298" s="69"/>
      <c r="Q2298" s="69"/>
      <c r="R2298" s="69"/>
      <c r="S2298" s="69"/>
      <c r="T2298" s="69"/>
      <c r="U2298" s="69"/>
      <c r="V2298" s="69"/>
      <c r="W2298" s="69"/>
      <c r="X2298" s="69"/>
      <c r="Y2298" s="69"/>
      <c r="Z2298" s="69"/>
      <c r="AA2298" s="69"/>
      <c r="AB2298" s="69"/>
      <c r="AC2298" s="69"/>
      <c r="AD2298" s="69"/>
      <c r="AE2298" s="69"/>
      <c r="AF2298" s="69"/>
      <c r="AG2298" s="69"/>
      <c r="AH2298" s="69"/>
      <c r="AI2298" s="69"/>
      <c r="AJ2298" s="69"/>
      <c r="AK2298" s="69"/>
      <c r="AL2298" s="69"/>
      <c r="AM2298" s="69"/>
      <c r="AN2298" s="69"/>
      <c r="AO2298" s="69"/>
      <c r="AP2298" s="69"/>
      <c r="AQ2298" s="69"/>
      <c r="AR2298" s="69"/>
      <c r="AS2298" s="69"/>
      <c r="AT2298" s="69"/>
      <c r="AU2298" s="69"/>
      <c r="AV2298" s="69"/>
      <c r="AW2298" s="69"/>
      <c r="AX2298" s="69"/>
      <c r="AY2298" s="69"/>
      <c r="AZ2298" s="69"/>
      <c r="BA2298" s="69"/>
      <c r="BB2298" s="69"/>
      <c r="BC2298" s="69"/>
    </row>
    <row r="2299">
      <c r="A2299" s="68"/>
      <c r="B2299" s="68"/>
      <c r="C2299" s="68"/>
      <c r="D2299" s="68"/>
      <c r="E2299" s="68"/>
      <c r="F2299" s="68"/>
      <c r="G2299" s="68"/>
      <c r="H2299" s="68"/>
      <c r="I2299" s="69"/>
      <c r="J2299" s="69"/>
      <c r="K2299" s="71"/>
      <c r="L2299" s="69"/>
      <c r="M2299" s="69"/>
      <c r="N2299" s="72"/>
      <c r="O2299" s="69"/>
      <c r="P2299" s="69"/>
      <c r="Q2299" s="69"/>
      <c r="R2299" s="69"/>
      <c r="S2299" s="69"/>
      <c r="T2299" s="69"/>
      <c r="U2299" s="69"/>
      <c r="V2299" s="69"/>
      <c r="W2299" s="69"/>
      <c r="X2299" s="69"/>
      <c r="Y2299" s="69"/>
      <c r="Z2299" s="69"/>
      <c r="AA2299" s="69"/>
      <c r="AB2299" s="69"/>
      <c r="AC2299" s="69"/>
      <c r="AD2299" s="69"/>
      <c r="AE2299" s="69"/>
      <c r="AF2299" s="69"/>
      <c r="AG2299" s="69"/>
      <c r="AH2299" s="69"/>
      <c r="AI2299" s="69"/>
      <c r="AJ2299" s="69"/>
      <c r="AK2299" s="69"/>
      <c r="AL2299" s="69"/>
      <c r="AM2299" s="69"/>
      <c r="AN2299" s="69"/>
      <c r="AO2299" s="69"/>
      <c r="AP2299" s="69"/>
      <c r="AQ2299" s="69"/>
      <c r="AR2299" s="69"/>
      <c r="AS2299" s="69"/>
      <c r="AT2299" s="69"/>
      <c r="AU2299" s="69"/>
      <c r="AV2299" s="69"/>
      <c r="AW2299" s="69"/>
      <c r="AX2299" s="69"/>
      <c r="AY2299" s="69"/>
      <c r="AZ2299" s="69"/>
      <c r="BA2299" s="69"/>
      <c r="BB2299" s="69"/>
      <c r="BC2299" s="69"/>
    </row>
    <row r="2300">
      <c r="A2300" s="68"/>
      <c r="B2300" s="68"/>
      <c r="C2300" s="68"/>
      <c r="D2300" s="68"/>
      <c r="E2300" s="68"/>
      <c r="F2300" s="68"/>
      <c r="G2300" s="68"/>
      <c r="H2300" s="68"/>
      <c r="I2300" s="69"/>
      <c r="J2300" s="69"/>
      <c r="K2300" s="71"/>
      <c r="L2300" s="69"/>
      <c r="M2300" s="69"/>
      <c r="N2300" s="72"/>
      <c r="O2300" s="69"/>
      <c r="P2300" s="69"/>
      <c r="Q2300" s="69"/>
      <c r="R2300" s="69"/>
      <c r="S2300" s="69"/>
      <c r="T2300" s="69"/>
      <c r="U2300" s="69"/>
      <c r="V2300" s="69"/>
      <c r="W2300" s="69"/>
      <c r="X2300" s="69"/>
      <c r="Y2300" s="69"/>
      <c r="Z2300" s="69"/>
      <c r="AA2300" s="69"/>
      <c r="AB2300" s="69"/>
      <c r="AC2300" s="69"/>
      <c r="AD2300" s="69"/>
      <c r="AE2300" s="69"/>
      <c r="AF2300" s="69"/>
      <c r="AG2300" s="69"/>
      <c r="AH2300" s="69"/>
      <c r="AI2300" s="69"/>
      <c r="AJ2300" s="69"/>
      <c r="AK2300" s="69"/>
      <c r="AL2300" s="69"/>
      <c r="AM2300" s="69"/>
      <c r="AN2300" s="69"/>
      <c r="AO2300" s="69"/>
      <c r="AP2300" s="69"/>
      <c r="AQ2300" s="69"/>
      <c r="AR2300" s="69"/>
      <c r="AS2300" s="69"/>
      <c r="AT2300" s="69"/>
      <c r="AU2300" s="69"/>
      <c r="AV2300" s="69"/>
      <c r="AW2300" s="69"/>
      <c r="AX2300" s="69"/>
      <c r="AY2300" s="69"/>
      <c r="AZ2300" s="69"/>
      <c r="BA2300" s="69"/>
      <c r="BB2300" s="69"/>
      <c r="BC2300" s="69"/>
    </row>
    <row r="2301">
      <c r="A2301" s="68"/>
      <c r="B2301" s="68"/>
      <c r="C2301" s="68"/>
      <c r="D2301" s="68"/>
      <c r="E2301" s="68"/>
      <c r="F2301" s="68"/>
      <c r="G2301" s="68"/>
      <c r="H2301" s="68"/>
      <c r="I2301" s="69"/>
      <c r="J2301" s="69"/>
      <c r="K2301" s="71"/>
      <c r="L2301" s="69"/>
      <c r="M2301" s="69"/>
      <c r="N2301" s="72"/>
      <c r="O2301" s="69"/>
      <c r="P2301" s="69"/>
      <c r="Q2301" s="69"/>
      <c r="R2301" s="69"/>
      <c r="S2301" s="69"/>
      <c r="T2301" s="69"/>
      <c r="U2301" s="69"/>
      <c r="V2301" s="69"/>
      <c r="W2301" s="69"/>
      <c r="X2301" s="69"/>
      <c r="Y2301" s="69"/>
      <c r="Z2301" s="69"/>
      <c r="AA2301" s="69"/>
      <c r="AB2301" s="69"/>
      <c r="AC2301" s="69"/>
      <c r="AD2301" s="69"/>
      <c r="AE2301" s="69"/>
      <c r="AF2301" s="69"/>
      <c r="AG2301" s="69"/>
      <c r="AH2301" s="69"/>
      <c r="AI2301" s="69"/>
      <c r="AJ2301" s="69"/>
      <c r="AK2301" s="69"/>
      <c r="AL2301" s="69"/>
      <c r="AM2301" s="69"/>
      <c r="AN2301" s="69"/>
      <c r="AO2301" s="69"/>
      <c r="AP2301" s="69"/>
      <c r="AQ2301" s="69"/>
      <c r="AR2301" s="69"/>
      <c r="AS2301" s="69"/>
      <c r="AT2301" s="69"/>
      <c r="AU2301" s="69"/>
      <c r="AV2301" s="69"/>
      <c r="AW2301" s="69"/>
      <c r="AX2301" s="69"/>
      <c r="AY2301" s="69"/>
      <c r="AZ2301" s="69"/>
      <c r="BA2301" s="69"/>
      <c r="BB2301" s="69"/>
      <c r="BC2301" s="69"/>
    </row>
    <row r="2302">
      <c r="A2302" s="68"/>
      <c r="B2302" s="68"/>
      <c r="C2302" s="68"/>
      <c r="D2302" s="68"/>
      <c r="E2302" s="68"/>
      <c r="F2302" s="68"/>
      <c r="G2302" s="68"/>
      <c r="H2302" s="68"/>
      <c r="I2302" s="69"/>
      <c r="J2302" s="69"/>
      <c r="K2302" s="71"/>
      <c r="L2302" s="69"/>
      <c r="M2302" s="69"/>
      <c r="N2302" s="72"/>
      <c r="O2302" s="69"/>
      <c r="P2302" s="69"/>
      <c r="Q2302" s="69"/>
      <c r="R2302" s="69"/>
      <c r="S2302" s="69"/>
      <c r="T2302" s="69"/>
      <c r="U2302" s="69"/>
      <c r="V2302" s="69"/>
      <c r="W2302" s="69"/>
      <c r="X2302" s="69"/>
      <c r="Y2302" s="69"/>
      <c r="Z2302" s="69"/>
      <c r="AA2302" s="69"/>
      <c r="AB2302" s="69"/>
      <c r="AC2302" s="69"/>
      <c r="AD2302" s="69"/>
      <c r="AE2302" s="69"/>
      <c r="AF2302" s="69"/>
      <c r="AG2302" s="69"/>
      <c r="AH2302" s="69"/>
      <c r="AI2302" s="69"/>
      <c r="AJ2302" s="69"/>
      <c r="AK2302" s="69"/>
      <c r="AL2302" s="69"/>
      <c r="AM2302" s="69"/>
      <c r="AN2302" s="69"/>
      <c r="AO2302" s="69"/>
      <c r="AP2302" s="69"/>
      <c r="AQ2302" s="69"/>
      <c r="AR2302" s="69"/>
      <c r="AS2302" s="69"/>
      <c r="AT2302" s="69"/>
      <c r="AU2302" s="69"/>
      <c r="AV2302" s="69"/>
      <c r="AW2302" s="69"/>
      <c r="AX2302" s="69"/>
      <c r="AY2302" s="69"/>
      <c r="AZ2302" s="69"/>
      <c r="BA2302" s="69"/>
      <c r="BB2302" s="69"/>
      <c r="BC2302" s="69"/>
    </row>
    <row r="2303">
      <c r="A2303" s="68"/>
      <c r="B2303" s="68"/>
      <c r="C2303" s="68"/>
      <c r="D2303" s="68"/>
      <c r="E2303" s="68"/>
      <c r="F2303" s="68"/>
      <c r="G2303" s="68"/>
      <c r="H2303" s="68"/>
      <c r="I2303" s="69"/>
      <c r="J2303" s="69"/>
      <c r="K2303" s="71"/>
      <c r="L2303" s="69"/>
      <c r="M2303" s="69"/>
      <c r="N2303" s="72"/>
      <c r="O2303" s="69"/>
      <c r="P2303" s="69"/>
      <c r="Q2303" s="69"/>
      <c r="R2303" s="69"/>
      <c r="S2303" s="69"/>
      <c r="T2303" s="69"/>
      <c r="U2303" s="69"/>
      <c r="V2303" s="69"/>
      <c r="W2303" s="69"/>
      <c r="X2303" s="69"/>
      <c r="Y2303" s="69"/>
      <c r="Z2303" s="69"/>
      <c r="AA2303" s="69"/>
      <c r="AB2303" s="69"/>
      <c r="AC2303" s="69"/>
      <c r="AD2303" s="69"/>
      <c r="AE2303" s="69"/>
      <c r="AF2303" s="69"/>
      <c r="AG2303" s="69"/>
      <c r="AH2303" s="69"/>
      <c r="AI2303" s="69"/>
      <c r="AJ2303" s="69"/>
      <c r="AK2303" s="69"/>
      <c r="AL2303" s="69"/>
      <c r="AM2303" s="69"/>
      <c r="AN2303" s="69"/>
      <c r="AO2303" s="69"/>
      <c r="AP2303" s="69"/>
      <c r="AQ2303" s="69"/>
      <c r="AR2303" s="69"/>
      <c r="AS2303" s="69"/>
      <c r="AT2303" s="69"/>
      <c r="AU2303" s="69"/>
      <c r="AV2303" s="69"/>
      <c r="AW2303" s="69"/>
      <c r="AX2303" s="69"/>
      <c r="AY2303" s="69"/>
      <c r="AZ2303" s="69"/>
      <c r="BA2303" s="69"/>
      <c r="BB2303" s="69"/>
      <c r="BC2303" s="69"/>
    </row>
    <row r="2304">
      <c r="A2304" s="68"/>
      <c r="B2304" s="68"/>
      <c r="C2304" s="68"/>
      <c r="D2304" s="68"/>
      <c r="E2304" s="68"/>
      <c r="F2304" s="68"/>
      <c r="G2304" s="68"/>
      <c r="H2304" s="68"/>
      <c r="I2304" s="69"/>
      <c r="J2304" s="69"/>
      <c r="K2304" s="71"/>
      <c r="L2304" s="69"/>
      <c r="M2304" s="69"/>
      <c r="N2304" s="72"/>
      <c r="O2304" s="69"/>
      <c r="P2304" s="69"/>
      <c r="Q2304" s="69"/>
      <c r="R2304" s="69"/>
      <c r="S2304" s="69"/>
      <c r="T2304" s="69"/>
      <c r="U2304" s="69"/>
      <c r="V2304" s="69"/>
      <c r="W2304" s="69"/>
      <c r="X2304" s="69"/>
      <c r="Y2304" s="69"/>
      <c r="Z2304" s="69"/>
      <c r="AA2304" s="69"/>
      <c r="AB2304" s="69"/>
      <c r="AC2304" s="69"/>
      <c r="AD2304" s="69"/>
      <c r="AE2304" s="69"/>
      <c r="AF2304" s="69"/>
      <c r="AG2304" s="69"/>
      <c r="AH2304" s="69"/>
      <c r="AI2304" s="69"/>
      <c r="AJ2304" s="69"/>
      <c r="AK2304" s="69"/>
      <c r="AL2304" s="69"/>
      <c r="AM2304" s="69"/>
      <c r="AN2304" s="69"/>
      <c r="AO2304" s="69"/>
      <c r="AP2304" s="69"/>
      <c r="AQ2304" s="69"/>
      <c r="AR2304" s="69"/>
      <c r="AS2304" s="69"/>
      <c r="AT2304" s="69"/>
      <c r="AU2304" s="69"/>
      <c r="AV2304" s="69"/>
      <c r="AW2304" s="69"/>
      <c r="AX2304" s="69"/>
      <c r="AY2304" s="69"/>
      <c r="AZ2304" s="69"/>
      <c r="BA2304" s="69"/>
      <c r="BB2304" s="69"/>
      <c r="BC2304" s="69"/>
    </row>
    <row r="2305">
      <c r="A2305" s="68"/>
      <c r="B2305" s="68"/>
      <c r="C2305" s="68"/>
      <c r="D2305" s="68"/>
      <c r="E2305" s="68"/>
      <c r="F2305" s="68"/>
      <c r="G2305" s="68"/>
      <c r="H2305" s="68"/>
      <c r="I2305" s="69"/>
      <c r="J2305" s="69"/>
      <c r="K2305" s="71"/>
      <c r="L2305" s="69"/>
      <c r="M2305" s="69"/>
      <c r="N2305" s="72"/>
      <c r="O2305" s="69"/>
      <c r="P2305" s="69"/>
      <c r="Q2305" s="69"/>
      <c r="R2305" s="69"/>
      <c r="S2305" s="69"/>
      <c r="T2305" s="69"/>
      <c r="U2305" s="69"/>
      <c r="V2305" s="69"/>
      <c r="W2305" s="69"/>
      <c r="X2305" s="69"/>
      <c r="Y2305" s="69"/>
      <c r="Z2305" s="69"/>
      <c r="AA2305" s="69"/>
      <c r="AB2305" s="69"/>
      <c r="AC2305" s="69"/>
      <c r="AD2305" s="69"/>
      <c r="AE2305" s="69"/>
      <c r="AF2305" s="69"/>
      <c r="AG2305" s="69"/>
      <c r="AH2305" s="69"/>
      <c r="AI2305" s="69"/>
      <c r="AJ2305" s="69"/>
      <c r="AK2305" s="69"/>
      <c r="AL2305" s="69"/>
      <c r="AM2305" s="69"/>
      <c r="AN2305" s="69"/>
      <c r="AO2305" s="69"/>
      <c r="AP2305" s="69"/>
      <c r="AQ2305" s="69"/>
      <c r="AR2305" s="69"/>
      <c r="AS2305" s="69"/>
      <c r="AT2305" s="69"/>
      <c r="AU2305" s="69"/>
      <c r="AV2305" s="69"/>
      <c r="AW2305" s="69"/>
      <c r="AX2305" s="69"/>
      <c r="AY2305" s="69"/>
      <c r="AZ2305" s="69"/>
      <c r="BA2305" s="69"/>
      <c r="BB2305" s="69"/>
      <c r="BC2305" s="69"/>
    </row>
    <row r="2306">
      <c r="A2306" s="68"/>
      <c r="B2306" s="68"/>
      <c r="C2306" s="68"/>
      <c r="D2306" s="68"/>
      <c r="E2306" s="68"/>
      <c r="F2306" s="68"/>
      <c r="G2306" s="68"/>
      <c r="H2306" s="68"/>
      <c r="I2306" s="69"/>
      <c r="J2306" s="69"/>
      <c r="K2306" s="71"/>
      <c r="L2306" s="69"/>
      <c r="M2306" s="69"/>
      <c r="N2306" s="72"/>
      <c r="O2306" s="69"/>
      <c r="P2306" s="69"/>
      <c r="Q2306" s="69"/>
      <c r="R2306" s="69"/>
      <c r="S2306" s="69"/>
      <c r="T2306" s="69"/>
      <c r="U2306" s="69"/>
      <c r="V2306" s="69"/>
      <c r="W2306" s="69"/>
      <c r="X2306" s="69"/>
      <c r="Y2306" s="69"/>
      <c r="Z2306" s="69"/>
      <c r="AA2306" s="69"/>
      <c r="AB2306" s="69"/>
      <c r="AC2306" s="69"/>
      <c r="AD2306" s="69"/>
      <c r="AE2306" s="69"/>
      <c r="AF2306" s="69"/>
      <c r="AG2306" s="69"/>
      <c r="AH2306" s="69"/>
      <c r="AI2306" s="69"/>
      <c r="AJ2306" s="69"/>
      <c r="AK2306" s="69"/>
      <c r="AL2306" s="69"/>
      <c r="AM2306" s="69"/>
      <c r="AN2306" s="69"/>
      <c r="AO2306" s="69"/>
      <c r="AP2306" s="69"/>
      <c r="AQ2306" s="69"/>
      <c r="AR2306" s="69"/>
      <c r="AS2306" s="69"/>
      <c r="AT2306" s="69"/>
      <c r="AU2306" s="69"/>
      <c r="AV2306" s="69"/>
      <c r="AW2306" s="69"/>
      <c r="AX2306" s="69"/>
      <c r="AY2306" s="69"/>
      <c r="AZ2306" s="69"/>
      <c r="BA2306" s="69"/>
      <c r="BB2306" s="69"/>
      <c r="BC2306" s="69"/>
    </row>
    <row r="2307">
      <c r="A2307" s="68"/>
      <c r="B2307" s="68"/>
      <c r="C2307" s="68"/>
      <c r="D2307" s="68"/>
      <c r="E2307" s="68"/>
      <c r="F2307" s="68"/>
      <c r="G2307" s="68"/>
      <c r="H2307" s="68"/>
      <c r="I2307" s="69"/>
      <c r="J2307" s="69"/>
      <c r="K2307" s="71"/>
      <c r="L2307" s="69"/>
      <c r="M2307" s="69"/>
      <c r="N2307" s="72"/>
      <c r="O2307" s="69"/>
      <c r="P2307" s="69"/>
      <c r="Q2307" s="69"/>
      <c r="R2307" s="69"/>
      <c r="S2307" s="69"/>
      <c r="T2307" s="69"/>
      <c r="U2307" s="69"/>
      <c r="V2307" s="69"/>
      <c r="W2307" s="69"/>
      <c r="X2307" s="69"/>
      <c r="Y2307" s="69"/>
      <c r="Z2307" s="69"/>
      <c r="AA2307" s="69"/>
      <c r="AB2307" s="69"/>
      <c r="AC2307" s="69"/>
      <c r="AD2307" s="69"/>
      <c r="AE2307" s="69"/>
      <c r="AF2307" s="69"/>
      <c r="AG2307" s="69"/>
      <c r="AH2307" s="69"/>
      <c r="AI2307" s="69"/>
      <c r="AJ2307" s="69"/>
      <c r="AK2307" s="69"/>
      <c r="AL2307" s="69"/>
      <c r="AM2307" s="69"/>
      <c r="AN2307" s="69"/>
      <c r="AO2307" s="69"/>
      <c r="AP2307" s="69"/>
      <c r="AQ2307" s="69"/>
      <c r="AR2307" s="69"/>
      <c r="AS2307" s="69"/>
      <c r="AT2307" s="69"/>
      <c r="AU2307" s="69"/>
      <c r="AV2307" s="69"/>
      <c r="AW2307" s="69"/>
      <c r="AX2307" s="69"/>
      <c r="AY2307" s="69"/>
      <c r="AZ2307" s="69"/>
      <c r="BA2307" s="69"/>
      <c r="BB2307" s="69"/>
      <c r="BC2307" s="69"/>
    </row>
    <row r="2308">
      <c r="A2308" s="68"/>
      <c r="B2308" s="68"/>
      <c r="C2308" s="68"/>
      <c r="D2308" s="68"/>
      <c r="E2308" s="68"/>
      <c r="F2308" s="68"/>
      <c r="G2308" s="68"/>
      <c r="H2308" s="68"/>
      <c r="I2308" s="69"/>
      <c r="J2308" s="69"/>
      <c r="K2308" s="71"/>
      <c r="L2308" s="69"/>
      <c r="M2308" s="69"/>
      <c r="N2308" s="72"/>
      <c r="O2308" s="69"/>
      <c r="P2308" s="69"/>
      <c r="Q2308" s="69"/>
      <c r="R2308" s="69"/>
      <c r="S2308" s="69"/>
      <c r="T2308" s="69"/>
      <c r="U2308" s="69"/>
      <c r="V2308" s="69"/>
      <c r="W2308" s="69"/>
      <c r="X2308" s="69"/>
      <c r="Y2308" s="69"/>
      <c r="Z2308" s="69"/>
      <c r="AA2308" s="69"/>
      <c r="AB2308" s="69"/>
      <c r="AC2308" s="69"/>
      <c r="AD2308" s="69"/>
      <c r="AE2308" s="69"/>
      <c r="AF2308" s="69"/>
      <c r="AG2308" s="69"/>
      <c r="AH2308" s="69"/>
      <c r="AI2308" s="69"/>
      <c r="AJ2308" s="69"/>
      <c r="AK2308" s="69"/>
      <c r="AL2308" s="69"/>
      <c r="AM2308" s="69"/>
      <c r="AN2308" s="69"/>
      <c r="AO2308" s="69"/>
      <c r="AP2308" s="69"/>
      <c r="AQ2308" s="69"/>
      <c r="AR2308" s="69"/>
      <c r="AS2308" s="69"/>
      <c r="AT2308" s="69"/>
      <c r="AU2308" s="69"/>
      <c r="AV2308" s="69"/>
      <c r="AW2308" s="69"/>
      <c r="AX2308" s="69"/>
      <c r="AY2308" s="69"/>
      <c r="AZ2308" s="69"/>
      <c r="BA2308" s="69"/>
      <c r="BB2308" s="69"/>
      <c r="BC2308" s="69"/>
    </row>
    <row r="2309">
      <c r="A2309" s="68"/>
      <c r="B2309" s="68"/>
      <c r="C2309" s="68"/>
      <c r="D2309" s="68"/>
      <c r="E2309" s="68"/>
      <c r="F2309" s="68"/>
      <c r="G2309" s="68"/>
      <c r="H2309" s="68"/>
      <c r="I2309" s="69"/>
      <c r="J2309" s="69"/>
      <c r="K2309" s="71"/>
      <c r="L2309" s="69"/>
      <c r="M2309" s="69"/>
      <c r="N2309" s="72"/>
      <c r="O2309" s="69"/>
      <c r="P2309" s="69"/>
      <c r="Q2309" s="69"/>
      <c r="R2309" s="69"/>
      <c r="S2309" s="69"/>
      <c r="T2309" s="69"/>
      <c r="U2309" s="69"/>
      <c r="V2309" s="69"/>
      <c r="W2309" s="69"/>
      <c r="X2309" s="69"/>
      <c r="Y2309" s="69"/>
      <c r="Z2309" s="69"/>
      <c r="AA2309" s="69"/>
      <c r="AB2309" s="69"/>
      <c r="AC2309" s="69"/>
      <c r="AD2309" s="69"/>
      <c r="AE2309" s="69"/>
      <c r="AF2309" s="69"/>
      <c r="AG2309" s="69"/>
      <c r="AH2309" s="69"/>
      <c r="AI2309" s="69"/>
      <c r="AJ2309" s="69"/>
      <c r="AK2309" s="69"/>
      <c r="AL2309" s="69"/>
      <c r="AM2309" s="69"/>
      <c r="AN2309" s="69"/>
      <c r="AO2309" s="69"/>
      <c r="AP2309" s="69"/>
      <c r="AQ2309" s="69"/>
      <c r="AR2309" s="69"/>
      <c r="AS2309" s="69"/>
      <c r="AT2309" s="69"/>
      <c r="AU2309" s="69"/>
      <c r="AV2309" s="69"/>
      <c r="AW2309" s="69"/>
      <c r="AX2309" s="69"/>
      <c r="AY2309" s="69"/>
      <c r="AZ2309" s="69"/>
      <c r="BA2309" s="69"/>
      <c r="BB2309" s="69"/>
      <c r="BC2309" s="69"/>
    </row>
    <row r="2310">
      <c r="A2310" s="68"/>
      <c r="B2310" s="68"/>
      <c r="C2310" s="68"/>
      <c r="D2310" s="68"/>
      <c r="E2310" s="68"/>
      <c r="F2310" s="68"/>
      <c r="G2310" s="68"/>
      <c r="H2310" s="68"/>
      <c r="I2310" s="69"/>
      <c r="J2310" s="69"/>
      <c r="K2310" s="71"/>
      <c r="L2310" s="69"/>
      <c r="M2310" s="69"/>
      <c r="N2310" s="72"/>
      <c r="O2310" s="69"/>
      <c r="P2310" s="69"/>
      <c r="Q2310" s="69"/>
      <c r="R2310" s="69"/>
      <c r="S2310" s="69"/>
      <c r="T2310" s="69"/>
      <c r="U2310" s="69"/>
      <c r="V2310" s="69"/>
      <c r="W2310" s="69"/>
      <c r="X2310" s="69"/>
      <c r="Y2310" s="69"/>
      <c r="Z2310" s="69"/>
      <c r="AA2310" s="69"/>
      <c r="AB2310" s="69"/>
      <c r="AC2310" s="69"/>
      <c r="AD2310" s="69"/>
      <c r="AE2310" s="69"/>
      <c r="AF2310" s="69"/>
      <c r="AG2310" s="69"/>
      <c r="AH2310" s="69"/>
      <c r="AI2310" s="69"/>
      <c r="AJ2310" s="69"/>
      <c r="AK2310" s="69"/>
      <c r="AL2310" s="69"/>
      <c r="AM2310" s="69"/>
      <c r="AN2310" s="69"/>
      <c r="AO2310" s="69"/>
      <c r="AP2310" s="69"/>
      <c r="AQ2310" s="69"/>
      <c r="AR2310" s="69"/>
      <c r="AS2310" s="69"/>
      <c r="AT2310" s="69"/>
      <c r="AU2310" s="69"/>
      <c r="AV2310" s="69"/>
      <c r="AW2310" s="69"/>
      <c r="AX2310" s="69"/>
      <c r="AY2310" s="69"/>
      <c r="AZ2310" s="69"/>
      <c r="BA2310" s="69"/>
      <c r="BB2310" s="69"/>
      <c r="BC2310" s="69"/>
    </row>
    <row r="2311">
      <c r="A2311" s="68"/>
      <c r="B2311" s="68"/>
      <c r="C2311" s="68"/>
      <c r="D2311" s="68"/>
      <c r="E2311" s="68"/>
      <c r="F2311" s="68"/>
      <c r="G2311" s="68"/>
      <c r="H2311" s="68"/>
      <c r="I2311" s="69"/>
      <c r="J2311" s="69"/>
      <c r="K2311" s="71"/>
      <c r="L2311" s="69"/>
      <c r="M2311" s="69"/>
      <c r="N2311" s="72"/>
      <c r="O2311" s="69"/>
      <c r="P2311" s="69"/>
      <c r="Q2311" s="69"/>
      <c r="R2311" s="69"/>
      <c r="S2311" s="69"/>
      <c r="T2311" s="69"/>
      <c r="U2311" s="69"/>
      <c r="V2311" s="69"/>
      <c r="W2311" s="69"/>
      <c r="X2311" s="69"/>
      <c r="Y2311" s="69"/>
      <c r="Z2311" s="69"/>
      <c r="AA2311" s="69"/>
      <c r="AB2311" s="69"/>
      <c r="AC2311" s="69"/>
      <c r="AD2311" s="69"/>
      <c r="AE2311" s="69"/>
      <c r="AF2311" s="69"/>
      <c r="AG2311" s="69"/>
      <c r="AH2311" s="69"/>
      <c r="AI2311" s="69"/>
      <c r="AJ2311" s="69"/>
      <c r="AK2311" s="69"/>
      <c r="AL2311" s="69"/>
      <c r="AM2311" s="69"/>
      <c r="AN2311" s="69"/>
      <c r="AO2311" s="69"/>
      <c r="AP2311" s="69"/>
      <c r="AQ2311" s="69"/>
      <c r="AR2311" s="69"/>
      <c r="AS2311" s="69"/>
      <c r="AT2311" s="69"/>
      <c r="AU2311" s="69"/>
      <c r="AV2311" s="69"/>
      <c r="AW2311" s="69"/>
      <c r="AX2311" s="69"/>
      <c r="AY2311" s="69"/>
      <c r="AZ2311" s="69"/>
      <c r="BA2311" s="69"/>
      <c r="BB2311" s="69"/>
      <c r="BC2311" s="69"/>
    </row>
    <row r="2312">
      <c r="A2312" s="68"/>
      <c r="B2312" s="68"/>
      <c r="C2312" s="68"/>
      <c r="D2312" s="68"/>
      <c r="E2312" s="68"/>
      <c r="F2312" s="68"/>
      <c r="G2312" s="68"/>
      <c r="H2312" s="68"/>
      <c r="I2312" s="69"/>
      <c r="J2312" s="69"/>
      <c r="K2312" s="71"/>
      <c r="L2312" s="69"/>
      <c r="M2312" s="69"/>
      <c r="N2312" s="72"/>
      <c r="O2312" s="69"/>
      <c r="P2312" s="69"/>
      <c r="Q2312" s="69"/>
      <c r="R2312" s="69"/>
      <c r="S2312" s="69"/>
      <c r="T2312" s="69"/>
      <c r="U2312" s="69"/>
      <c r="V2312" s="69"/>
      <c r="W2312" s="69"/>
      <c r="X2312" s="69"/>
      <c r="Y2312" s="69"/>
      <c r="Z2312" s="69"/>
      <c r="AA2312" s="69"/>
      <c r="AB2312" s="69"/>
      <c r="AC2312" s="69"/>
      <c r="AD2312" s="69"/>
      <c r="AE2312" s="69"/>
      <c r="AF2312" s="69"/>
      <c r="AG2312" s="69"/>
      <c r="AH2312" s="69"/>
      <c r="AI2312" s="69"/>
      <c r="AJ2312" s="69"/>
      <c r="AK2312" s="69"/>
      <c r="AL2312" s="69"/>
      <c r="AM2312" s="69"/>
      <c r="AN2312" s="69"/>
      <c r="AO2312" s="69"/>
      <c r="AP2312" s="69"/>
      <c r="AQ2312" s="69"/>
      <c r="AR2312" s="69"/>
      <c r="AS2312" s="69"/>
      <c r="AT2312" s="69"/>
      <c r="AU2312" s="69"/>
      <c r="AV2312" s="69"/>
      <c r="AW2312" s="69"/>
      <c r="AX2312" s="69"/>
      <c r="AY2312" s="69"/>
      <c r="AZ2312" s="69"/>
      <c r="BA2312" s="69"/>
      <c r="BB2312" s="69"/>
      <c r="BC2312" s="69"/>
    </row>
    <row r="2313">
      <c r="A2313" s="68"/>
      <c r="B2313" s="68"/>
      <c r="C2313" s="68"/>
      <c r="D2313" s="68"/>
      <c r="E2313" s="68"/>
      <c r="F2313" s="68"/>
      <c r="G2313" s="68"/>
      <c r="H2313" s="68"/>
      <c r="I2313" s="69"/>
      <c r="J2313" s="69"/>
      <c r="K2313" s="71"/>
      <c r="L2313" s="69"/>
      <c r="M2313" s="69"/>
      <c r="N2313" s="72"/>
      <c r="O2313" s="69"/>
      <c r="P2313" s="69"/>
      <c r="Q2313" s="69"/>
      <c r="R2313" s="69"/>
      <c r="S2313" s="69"/>
      <c r="T2313" s="69"/>
      <c r="U2313" s="69"/>
      <c r="V2313" s="69"/>
      <c r="W2313" s="69"/>
      <c r="X2313" s="69"/>
      <c r="Y2313" s="69"/>
      <c r="Z2313" s="69"/>
      <c r="AA2313" s="69"/>
      <c r="AB2313" s="69"/>
      <c r="AC2313" s="69"/>
      <c r="AD2313" s="69"/>
      <c r="AE2313" s="69"/>
      <c r="AF2313" s="69"/>
      <c r="AG2313" s="69"/>
      <c r="AH2313" s="69"/>
      <c r="AI2313" s="69"/>
      <c r="AJ2313" s="69"/>
      <c r="AK2313" s="69"/>
      <c r="AL2313" s="69"/>
      <c r="AM2313" s="69"/>
      <c r="AN2313" s="69"/>
      <c r="AO2313" s="69"/>
      <c r="AP2313" s="69"/>
      <c r="AQ2313" s="69"/>
      <c r="AR2313" s="69"/>
      <c r="AS2313" s="69"/>
      <c r="AT2313" s="69"/>
      <c r="AU2313" s="69"/>
      <c r="AV2313" s="69"/>
      <c r="AW2313" s="69"/>
      <c r="AX2313" s="69"/>
      <c r="AY2313" s="69"/>
      <c r="AZ2313" s="69"/>
      <c r="BA2313" s="69"/>
      <c r="BB2313" s="69"/>
      <c r="BC2313" s="69"/>
    </row>
    <row r="2314">
      <c r="A2314" s="68"/>
      <c r="B2314" s="68"/>
      <c r="C2314" s="68"/>
      <c r="D2314" s="68"/>
      <c r="E2314" s="68"/>
      <c r="F2314" s="68"/>
      <c r="G2314" s="68"/>
      <c r="H2314" s="68"/>
      <c r="I2314" s="69"/>
      <c r="J2314" s="69"/>
      <c r="K2314" s="71"/>
      <c r="L2314" s="69"/>
      <c r="M2314" s="69"/>
      <c r="N2314" s="72"/>
      <c r="O2314" s="69"/>
      <c r="P2314" s="69"/>
      <c r="Q2314" s="69"/>
      <c r="R2314" s="69"/>
      <c r="S2314" s="69"/>
      <c r="T2314" s="69"/>
      <c r="U2314" s="69"/>
      <c r="V2314" s="69"/>
      <c r="W2314" s="69"/>
      <c r="X2314" s="69"/>
      <c r="Y2314" s="69"/>
      <c r="Z2314" s="69"/>
      <c r="AA2314" s="69"/>
      <c r="AB2314" s="69"/>
      <c r="AC2314" s="69"/>
      <c r="AD2314" s="69"/>
      <c r="AE2314" s="69"/>
      <c r="AF2314" s="69"/>
      <c r="AG2314" s="69"/>
      <c r="AH2314" s="69"/>
      <c r="AI2314" s="69"/>
      <c r="AJ2314" s="69"/>
      <c r="AK2314" s="69"/>
      <c r="AL2314" s="69"/>
      <c r="AM2314" s="69"/>
      <c r="AN2314" s="69"/>
      <c r="AO2314" s="69"/>
      <c r="AP2314" s="69"/>
      <c r="AQ2314" s="69"/>
      <c r="AR2314" s="69"/>
      <c r="AS2314" s="69"/>
      <c r="AT2314" s="69"/>
      <c r="AU2314" s="69"/>
      <c r="AV2314" s="69"/>
      <c r="AW2314" s="69"/>
      <c r="AX2314" s="69"/>
      <c r="AY2314" s="69"/>
      <c r="AZ2314" s="69"/>
      <c r="BA2314" s="69"/>
      <c r="BB2314" s="69"/>
      <c r="BC2314" s="69"/>
    </row>
    <row r="2315">
      <c r="A2315" s="68"/>
      <c r="B2315" s="68"/>
      <c r="C2315" s="68"/>
      <c r="D2315" s="68"/>
      <c r="E2315" s="68"/>
      <c r="F2315" s="68"/>
      <c r="G2315" s="68"/>
      <c r="H2315" s="68"/>
      <c r="I2315" s="69"/>
      <c r="J2315" s="69"/>
      <c r="K2315" s="71"/>
      <c r="L2315" s="69"/>
      <c r="M2315" s="69"/>
      <c r="N2315" s="72"/>
      <c r="O2315" s="69"/>
      <c r="P2315" s="69"/>
      <c r="Q2315" s="69"/>
      <c r="R2315" s="69"/>
      <c r="S2315" s="69"/>
      <c r="T2315" s="69"/>
      <c r="U2315" s="69"/>
      <c r="V2315" s="69"/>
      <c r="W2315" s="69"/>
      <c r="X2315" s="69"/>
      <c r="Y2315" s="69"/>
      <c r="Z2315" s="69"/>
      <c r="AA2315" s="69"/>
      <c r="AB2315" s="69"/>
      <c r="AC2315" s="69"/>
      <c r="AD2315" s="69"/>
      <c r="AE2315" s="69"/>
      <c r="AF2315" s="69"/>
      <c r="AG2315" s="69"/>
      <c r="AH2315" s="69"/>
      <c r="AI2315" s="69"/>
      <c r="AJ2315" s="69"/>
      <c r="AK2315" s="69"/>
      <c r="AL2315" s="69"/>
      <c r="AM2315" s="69"/>
      <c r="AN2315" s="69"/>
      <c r="AO2315" s="69"/>
      <c r="AP2315" s="69"/>
      <c r="AQ2315" s="69"/>
      <c r="AR2315" s="69"/>
      <c r="AS2315" s="69"/>
      <c r="AT2315" s="69"/>
      <c r="AU2315" s="69"/>
      <c r="AV2315" s="69"/>
      <c r="AW2315" s="69"/>
      <c r="AX2315" s="69"/>
      <c r="AY2315" s="69"/>
      <c r="AZ2315" s="69"/>
      <c r="BA2315" s="69"/>
      <c r="BB2315" s="69"/>
      <c r="BC2315" s="69"/>
    </row>
    <row r="2316">
      <c r="A2316" s="68"/>
      <c r="B2316" s="68"/>
      <c r="C2316" s="68"/>
      <c r="D2316" s="68"/>
      <c r="E2316" s="68"/>
      <c r="F2316" s="68"/>
      <c r="G2316" s="68"/>
      <c r="H2316" s="68"/>
      <c r="I2316" s="69"/>
      <c r="J2316" s="69"/>
      <c r="K2316" s="71"/>
      <c r="L2316" s="69"/>
      <c r="M2316" s="69"/>
      <c r="N2316" s="72"/>
      <c r="O2316" s="69"/>
      <c r="P2316" s="69"/>
      <c r="Q2316" s="69"/>
      <c r="R2316" s="69"/>
      <c r="S2316" s="69"/>
      <c r="T2316" s="69"/>
      <c r="U2316" s="69"/>
      <c r="V2316" s="69"/>
      <c r="W2316" s="69"/>
      <c r="X2316" s="69"/>
      <c r="Y2316" s="69"/>
      <c r="Z2316" s="69"/>
      <c r="AA2316" s="69"/>
      <c r="AB2316" s="69"/>
      <c r="AC2316" s="69"/>
      <c r="AD2316" s="69"/>
      <c r="AE2316" s="69"/>
      <c r="AF2316" s="69"/>
      <c r="AG2316" s="69"/>
      <c r="AH2316" s="69"/>
      <c r="AI2316" s="69"/>
      <c r="AJ2316" s="69"/>
      <c r="AK2316" s="69"/>
      <c r="AL2316" s="69"/>
      <c r="AM2316" s="69"/>
      <c r="AN2316" s="69"/>
      <c r="AO2316" s="69"/>
      <c r="AP2316" s="69"/>
      <c r="AQ2316" s="69"/>
      <c r="AR2316" s="69"/>
      <c r="AS2316" s="69"/>
      <c r="AT2316" s="69"/>
      <c r="AU2316" s="69"/>
      <c r="AV2316" s="69"/>
      <c r="AW2316" s="69"/>
      <c r="AX2316" s="69"/>
      <c r="AY2316" s="69"/>
      <c r="AZ2316" s="69"/>
      <c r="BA2316" s="69"/>
      <c r="BB2316" s="69"/>
      <c r="BC2316" s="69"/>
    </row>
    <row r="2317">
      <c r="A2317" s="68"/>
      <c r="B2317" s="68"/>
      <c r="C2317" s="68"/>
      <c r="D2317" s="68"/>
      <c r="E2317" s="68"/>
      <c r="F2317" s="68"/>
      <c r="G2317" s="68"/>
      <c r="H2317" s="68"/>
      <c r="I2317" s="69"/>
      <c r="J2317" s="69"/>
      <c r="K2317" s="71"/>
      <c r="L2317" s="69"/>
      <c r="M2317" s="69"/>
      <c r="N2317" s="72"/>
      <c r="O2317" s="69"/>
      <c r="P2317" s="69"/>
      <c r="Q2317" s="69"/>
      <c r="R2317" s="69"/>
      <c r="S2317" s="69"/>
      <c r="T2317" s="69"/>
      <c r="U2317" s="69"/>
      <c r="V2317" s="69"/>
      <c r="W2317" s="69"/>
      <c r="X2317" s="69"/>
      <c r="Y2317" s="69"/>
      <c r="Z2317" s="69"/>
      <c r="AA2317" s="69"/>
      <c r="AB2317" s="69"/>
      <c r="AC2317" s="69"/>
      <c r="AD2317" s="69"/>
      <c r="AE2317" s="69"/>
      <c r="AF2317" s="69"/>
      <c r="AG2317" s="69"/>
      <c r="AH2317" s="69"/>
      <c r="AI2317" s="69"/>
      <c r="AJ2317" s="69"/>
      <c r="AK2317" s="69"/>
      <c r="AL2317" s="69"/>
      <c r="AM2317" s="69"/>
      <c r="AN2317" s="69"/>
      <c r="AO2317" s="69"/>
      <c r="AP2317" s="69"/>
      <c r="AQ2317" s="69"/>
      <c r="AR2317" s="69"/>
      <c r="AS2317" s="69"/>
      <c r="AT2317" s="69"/>
      <c r="AU2317" s="69"/>
      <c r="AV2317" s="69"/>
      <c r="AW2317" s="69"/>
      <c r="AX2317" s="69"/>
      <c r="AY2317" s="69"/>
      <c r="AZ2317" s="69"/>
      <c r="BA2317" s="69"/>
      <c r="BB2317" s="69"/>
      <c r="BC2317" s="69"/>
    </row>
    <row r="2318">
      <c r="A2318" s="68"/>
      <c r="B2318" s="68"/>
      <c r="C2318" s="68"/>
      <c r="D2318" s="68"/>
      <c r="E2318" s="68"/>
      <c r="F2318" s="68"/>
      <c r="G2318" s="68"/>
      <c r="H2318" s="68"/>
      <c r="I2318" s="69"/>
      <c r="J2318" s="69"/>
      <c r="K2318" s="71"/>
      <c r="L2318" s="69"/>
      <c r="M2318" s="69"/>
      <c r="N2318" s="72"/>
      <c r="O2318" s="69"/>
      <c r="P2318" s="69"/>
      <c r="Q2318" s="69"/>
      <c r="R2318" s="69"/>
      <c r="S2318" s="69"/>
      <c r="T2318" s="69"/>
      <c r="U2318" s="69"/>
      <c r="V2318" s="69"/>
      <c r="W2318" s="69"/>
      <c r="X2318" s="69"/>
      <c r="Y2318" s="69"/>
      <c r="Z2318" s="69"/>
      <c r="AA2318" s="69"/>
      <c r="AB2318" s="69"/>
      <c r="AC2318" s="69"/>
      <c r="AD2318" s="69"/>
      <c r="AE2318" s="69"/>
      <c r="AF2318" s="69"/>
      <c r="AG2318" s="69"/>
      <c r="AH2318" s="69"/>
      <c r="AI2318" s="69"/>
      <c r="AJ2318" s="69"/>
      <c r="AK2318" s="69"/>
      <c r="AL2318" s="69"/>
      <c r="AM2318" s="69"/>
      <c r="AN2318" s="69"/>
      <c r="AO2318" s="69"/>
      <c r="AP2318" s="69"/>
      <c r="AQ2318" s="69"/>
      <c r="AR2318" s="69"/>
      <c r="AS2318" s="69"/>
      <c r="AT2318" s="69"/>
      <c r="AU2318" s="69"/>
      <c r="AV2318" s="69"/>
      <c r="AW2318" s="69"/>
      <c r="AX2318" s="69"/>
      <c r="AY2318" s="69"/>
      <c r="AZ2318" s="69"/>
      <c r="BA2318" s="69"/>
      <c r="BB2318" s="69"/>
      <c r="BC2318" s="69"/>
    </row>
    <row r="2319">
      <c r="A2319" s="68"/>
      <c r="B2319" s="68"/>
      <c r="C2319" s="68"/>
      <c r="D2319" s="68"/>
      <c r="E2319" s="68"/>
      <c r="F2319" s="68"/>
      <c r="G2319" s="68"/>
      <c r="H2319" s="68"/>
      <c r="I2319" s="69"/>
      <c r="J2319" s="69"/>
      <c r="K2319" s="71"/>
      <c r="L2319" s="69"/>
      <c r="M2319" s="69"/>
      <c r="N2319" s="72"/>
      <c r="O2319" s="69"/>
      <c r="P2319" s="69"/>
      <c r="Q2319" s="69"/>
      <c r="R2319" s="69"/>
      <c r="S2319" s="69"/>
      <c r="T2319" s="69"/>
      <c r="U2319" s="69"/>
      <c r="V2319" s="69"/>
      <c r="W2319" s="69"/>
      <c r="X2319" s="69"/>
      <c r="Y2319" s="69"/>
      <c r="Z2319" s="69"/>
      <c r="AA2319" s="69"/>
      <c r="AB2319" s="69"/>
      <c r="AC2319" s="69"/>
      <c r="AD2319" s="69"/>
      <c r="AE2319" s="69"/>
      <c r="AF2319" s="69"/>
      <c r="AG2319" s="69"/>
      <c r="AH2319" s="69"/>
      <c r="AI2319" s="69"/>
      <c r="AJ2319" s="69"/>
      <c r="AK2319" s="69"/>
      <c r="AL2319" s="69"/>
      <c r="AM2319" s="69"/>
      <c r="AN2319" s="69"/>
      <c r="AO2319" s="69"/>
      <c r="AP2319" s="69"/>
      <c r="AQ2319" s="69"/>
      <c r="AR2319" s="69"/>
      <c r="AS2319" s="69"/>
      <c r="AT2319" s="69"/>
      <c r="AU2319" s="69"/>
      <c r="AV2319" s="69"/>
      <c r="AW2319" s="69"/>
      <c r="AX2319" s="69"/>
      <c r="AY2319" s="69"/>
      <c r="AZ2319" s="69"/>
      <c r="BA2319" s="69"/>
      <c r="BB2319" s="69"/>
      <c r="BC2319" s="69"/>
    </row>
    <row r="2320">
      <c r="A2320" s="68"/>
      <c r="B2320" s="68"/>
      <c r="C2320" s="68"/>
      <c r="D2320" s="68"/>
      <c r="E2320" s="68"/>
      <c r="F2320" s="68"/>
      <c r="G2320" s="68"/>
      <c r="H2320" s="68"/>
      <c r="I2320" s="69"/>
      <c r="J2320" s="69"/>
      <c r="K2320" s="71"/>
      <c r="L2320" s="69"/>
      <c r="M2320" s="69"/>
      <c r="N2320" s="72"/>
      <c r="O2320" s="69"/>
      <c r="P2320" s="69"/>
      <c r="Q2320" s="69"/>
      <c r="R2320" s="69"/>
      <c r="S2320" s="69"/>
      <c r="T2320" s="69"/>
      <c r="U2320" s="69"/>
      <c r="V2320" s="69"/>
      <c r="W2320" s="69"/>
      <c r="X2320" s="69"/>
      <c r="Y2320" s="69"/>
      <c r="Z2320" s="69"/>
      <c r="AA2320" s="69"/>
      <c r="AB2320" s="69"/>
      <c r="AC2320" s="69"/>
      <c r="AD2320" s="69"/>
      <c r="AE2320" s="69"/>
      <c r="AF2320" s="69"/>
      <c r="AG2320" s="69"/>
      <c r="AH2320" s="69"/>
      <c r="AI2320" s="69"/>
      <c r="AJ2320" s="69"/>
      <c r="AK2320" s="69"/>
      <c r="AL2320" s="69"/>
      <c r="AM2320" s="69"/>
      <c r="AN2320" s="69"/>
      <c r="AO2320" s="69"/>
      <c r="AP2320" s="69"/>
      <c r="AQ2320" s="69"/>
      <c r="AR2320" s="69"/>
      <c r="AS2320" s="69"/>
      <c r="AT2320" s="69"/>
      <c r="AU2320" s="69"/>
      <c r="AV2320" s="69"/>
      <c r="AW2320" s="69"/>
      <c r="AX2320" s="69"/>
      <c r="AY2320" s="69"/>
      <c r="AZ2320" s="69"/>
      <c r="BA2320" s="69"/>
      <c r="BB2320" s="69"/>
      <c r="BC2320" s="69"/>
    </row>
    <row r="2321">
      <c r="A2321" s="68"/>
      <c r="B2321" s="68"/>
      <c r="C2321" s="68"/>
      <c r="D2321" s="68"/>
      <c r="E2321" s="68"/>
      <c r="F2321" s="68"/>
      <c r="G2321" s="68"/>
      <c r="H2321" s="68"/>
      <c r="I2321" s="69"/>
      <c r="J2321" s="69"/>
      <c r="K2321" s="71"/>
      <c r="L2321" s="69"/>
      <c r="M2321" s="69"/>
      <c r="N2321" s="72"/>
      <c r="O2321" s="69"/>
      <c r="P2321" s="69"/>
      <c r="Q2321" s="69"/>
      <c r="R2321" s="69"/>
      <c r="S2321" s="69"/>
      <c r="T2321" s="69"/>
      <c r="U2321" s="69"/>
      <c r="V2321" s="69"/>
      <c r="W2321" s="69"/>
      <c r="X2321" s="69"/>
      <c r="Y2321" s="69"/>
      <c r="Z2321" s="69"/>
      <c r="AA2321" s="69"/>
      <c r="AB2321" s="69"/>
      <c r="AC2321" s="69"/>
      <c r="AD2321" s="69"/>
      <c r="AE2321" s="69"/>
      <c r="AF2321" s="69"/>
      <c r="AG2321" s="69"/>
      <c r="AH2321" s="69"/>
      <c r="AI2321" s="69"/>
      <c r="AJ2321" s="69"/>
      <c r="AK2321" s="69"/>
      <c r="AL2321" s="69"/>
      <c r="AM2321" s="69"/>
      <c r="AN2321" s="69"/>
      <c r="AO2321" s="69"/>
      <c r="AP2321" s="69"/>
      <c r="AQ2321" s="69"/>
      <c r="AR2321" s="69"/>
      <c r="AS2321" s="69"/>
      <c r="AT2321" s="69"/>
      <c r="AU2321" s="69"/>
      <c r="AV2321" s="69"/>
      <c r="AW2321" s="69"/>
      <c r="AX2321" s="69"/>
      <c r="AY2321" s="69"/>
      <c r="AZ2321" s="69"/>
      <c r="BA2321" s="69"/>
      <c r="BB2321" s="69"/>
      <c r="BC2321" s="69"/>
    </row>
    <row r="2322">
      <c r="A2322" s="68"/>
      <c r="B2322" s="68"/>
      <c r="C2322" s="68"/>
      <c r="D2322" s="68"/>
      <c r="E2322" s="68"/>
      <c r="F2322" s="68"/>
      <c r="G2322" s="68"/>
      <c r="H2322" s="68"/>
      <c r="I2322" s="69"/>
      <c r="J2322" s="69"/>
      <c r="K2322" s="71"/>
      <c r="L2322" s="69"/>
      <c r="M2322" s="69"/>
      <c r="N2322" s="72"/>
      <c r="O2322" s="69"/>
      <c r="P2322" s="69"/>
      <c r="Q2322" s="69"/>
      <c r="R2322" s="69"/>
      <c r="S2322" s="69"/>
      <c r="T2322" s="69"/>
      <c r="U2322" s="69"/>
      <c r="V2322" s="69"/>
      <c r="W2322" s="69"/>
      <c r="X2322" s="69"/>
      <c r="Y2322" s="69"/>
      <c r="Z2322" s="69"/>
      <c r="AA2322" s="69"/>
      <c r="AB2322" s="69"/>
      <c r="AC2322" s="69"/>
      <c r="AD2322" s="69"/>
      <c r="AE2322" s="69"/>
      <c r="AF2322" s="69"/>
      <c r="AG2322" s="69"/>
      <c r="AH2322" s="69"/>
      <c r="AI2322" s="69"/>
      <c r="AJ2322" s="69"/>
      <c r="AK2322" s="69"/>
      <c r="AL2322" s="69"/>
      <c r="AM2322" s="69"/>
      <c r="AN2322" s="69"/>
      <c r="AO2322" s="69"/>
      <c r="AP2322" s="69"/>
      <c r="AQ2322" s="69"/>
      <c r="AR2322" s="69"/>
      <c r="AS2322" s="69"/>
      <c r="AT2322" s="69"/>
      <c r="AU2322" s="69"/>
      <c r="AV2322" s="69"/>
      <c r="AW2322" s="69"/>
      <c r="AX2322" s="69"/>
      <c r="AY2322" s="69"/>
      <c r="AZ2322" s="69"/>
      <c r="BA2322" s="69"/>
      <c r="BB2322" s="69"/>
      <c r="BC2322" s="69"/>
    </row>
    <row r="2323">
      <c r="A2323" s="68"/>
      <c r="B2323" s="68"/>
      <c r="C2323" s="68"/>
      <c r="D2323" s="68"/>
      <c r="E2323" s="68"/>
      <c r="F2323" s="68"/>
      <c r="G2323" s="68"/>
      <c r="H2323" s="68"/>
      <c r="I2323" s="69"/>
      <c r="J2323" s="69"/>
      <c r="K2323" s="71"/>
      <c r="L2323" s="69"/>
      <c r="M2323" s="69"/>
      <c r="N2323" s="72"/>
      <c r="O2323" s="69"/>
      <c r="P2323" s="69"/>
      <c r="Q2323" s="69"/>
      <c r="R2323" s="69"/>
      <c r="S2323" s="69"/>
      <c r="T2323" s="69"/>
      <c r="U2323" s="69"/>
      <c r="V2323" s="69"/>
      <c r="W2323" s="69"/>
      <c r="X2323" s="69"/>
      <c r="Y2323" s="69"/>
      <c r="Z2323" s="69"/>
      <c r="AA2323" s="69"/>
      <c r="AB2323" s="69"/>
      <c r="AC2323" s="69"/>
      <c r="AD2323" s="69"/>
      <c r="AE2323" s="69"/>
      <c r="AF2323" s="69"/>
      <c r="AG2323" s="69"/>
      <c r="AH2323" s="69"/>
      <c r="AI2323" s="69"/>
      <c r="AJ2323" s="69"/>
      <c r="AK2323" s="69"/>
      <c r="AL2323" s="69"/>
      <c r="AM2323" s="69"/>
      <c r="AN2323" s="69"/>
      <c r="AO2323" s="69"/>
      <c r="AP2323" s="69"/>
      <c r="AQ2323" s="69"/>
      <c r="AR2323" s="69"/>
      <c r="AS2323" s="69"/>
      <c r="AT2323" s="69"/>
      <c r="AU2323" s="69"/>
      <c r="AV2323" s="69"/>
      <c r="AW2323" s="69"/>
      <c r="AX2323" s="69"/>
      <c r="AY2323" s="69"/>
      <c r="AZ2323" s="69"/>
      <c r="BA2323" s="69"/>
      <c r="BB2323" s="69"/>
      <c r="BC2323" s="69"/>
    </row>
    <row r="2324">
      <c r="A2324" s="68"/>
      <c r="B2324" s="68"/>
      <c r="C2324" s="68"/>
      <c r="D2324" s="68"/>
      <c r="E2324" s="68"/>
      <c r="F2324" s="68"/>
      <c r="G2324" s="68"/>
      <c r="H2324" s="68"/>
      <c r="I2324" s="69"/>
      <c r="J2324" s="69"/>
      <c r="K2324" s="71"/>
      <c r="L2324" s="69"/>
      <c r="M2324" s="69"/>
      <c r="N2324" s="72"/>
      <c r="O2324" s="69"/>
      <c r="P2324" s="69"/>
      <c r="Q2324" s="69"/>
      <c r="R2324" s="69"/>
      <c r="S2324" s="69"/>
      <c r="T2324" s="69"/>
      <c r="U2324" s="69"/>
      <c r="V2324" s="69"/>
      <c r="W2324" s="69"/>
      <c r="X2324" s="69"/>
      <c r="Y2324" s="69"/>
      <c r="Z2324" s="69"/>
      <c r="AA2324" s="69"/>
      <c r="AB2324" s="69"/>
      <c r="AC2324" s="69"/>
      <c r="AD2324" s="69"/>
      <c r="AE2324" s="69"/>
      <c r="AF2324" s="69"/>
      <c r="AG2324" s="69"/>
      <c r="AH2324" s="69"/>
      <c r="AI2324" s="69"/>
      <c r="AJ2324" s="69"/>
      <c r="AK2324" s="69"/>
      <c r="AL2324" s="69"/>
      <c r="AM2324" s="69"/>
      <c r="AN2324" s="69"/>
      <c r="AO2324" s="69"/>
      <c r="AP2324" s="69"/>
      <c r="AQ2324" s="69"/>
      <c r="AR2324" s="69"/>
      <c r="AS2324" s="69"/>
      <c r="AT2324" s="69"/>
      <c r="AU2324" s="69"/>
      <c r="AV2324" s="69"/>
      <c r="AW2324" s="69"/>
      <c r="AX2324" s="69"/>
      <c r="AY2324" s="69"/>
      <c r="AZ2324" s="69"/>
      <c r="BA2324" s="69"/>
      <c r="BB2324" s="69"/>
      <c r="BC2324" s="69"/>
    </row>
    <row r="2325">
      <c r="A2325" s="68"/>
      <c r="B2325" s="68"/>
      <c r="C2325" s="68"/>
      <c r="D2325" s="68"/>
      <c r="E2325" s="68"/>
      <c r="F2325" s="68"/>
      <c r="G2325" s="68"/>
      <c r="H2325" s="68"/>
      <c r="I2325" s="69"/>
      <c r="J2325" s="69"/>
      <c r="K2325" s="71"/>
      <c r="L2325" s="69"/>
      <c r="M2325" s="69"/>
      <c r="N2325" s="72"/>
      <c r="O2325" s="69"/>
      <c r="P2325" s="69"/>
      <c r="Q2325" s="69"/>
      <c r="R2325" s="69"/>
      <c r="S2325" s="69"/>
      <c r="T2325" s="69"/>
      <c r="U2325" s="69"/>
      <c r="V2325" s="69"/>
      <c r="W2325" s="69"/>
      <c r="X2325" s="69"/>
      <c r="Y2325" s="69"/>
      <c r="Z2325" s="69"/>
      <c r="AA2325" s="69"/>
      <c r="AB2325" s="69"/>
      <c r="AC2325" s="69"/>
      <c r="AD2325" s="69"/>
      <c r="AE2325" s="69"/>
      <c r="AF2325" s="69"/>
      <c r="AG2325" s="69"/>
      <c r="AH2325" s="69"/>
      <c r="AI2325" s="69"/>
      <c r="AJ2325" s="69"/>
      <c r="AK2325" s="69"/>
      <c r="AL2325" s="69"/>
      <c r="AM2325" s="69"/>
      <c r="AN2325" s="69"/>
      <c r="AO2325" s="69"/>
      <c r="AP2325" s="69"/>
      <c r="AQ2325" s="69"/>
      <c r="AR2325" s="69"/>
      <c r="AS2325" s="69"/>
      <c r="AT2325" s="69"/>
      <c r="AU2325" s="69"/>
      <c r="AV2325" s="69"/>
      <c r="AW2325" s="69"/>
      <c r="AX2325" s="69"/>
      <c r="AY2325" s="69"/>
      <c r="AZ2325" s="69"/>
      <c r="BA2325" s="69"/>
      <c r="BB2325" s="69"/>
      <c r="BC2325" s="69"/>
    </row>
    <row r="2326">
      <c r="A2326" s="68"/>
      <c r="B2326" s="68"/>
      <c r="C2326" s="68"/>
      <c r="D2326" s="68"/>
      <c r="E2326" s="68"/>
      <c r="F2326" s="68"/>
      <c r="G2326" s="68"/>
      <c r="H2326" s="68"/>
      <c r="I2326" s="69"/>
      <c r="J2326" s="69"/>
      <c r="K2326" s="71"/>
      <c r="L2326" s="69"/>
      <c r="M2326" s="69"/>
      <c r="N2326" s="72"/>
      <c r="O2326" s="69"/>
      <c r="P2326" s="69"/>
      <c r="Q2326" s="69"/>
      <c r="R2326" s="69"/>
      <c r="S2326" s="69"/>
      <c r="T2326" s="69"/>
      <c r="U2326" s="69"/>
      <c r="V2326" s="69"/>
      <c r="W2326" s="69"/>
      <c r="X2326" s="69"/>
      <c r="Y2326" s="69"/>
      <c r="Z2326" s="69"/>
      <c r="AA2326" s="69"/>
      <c r="AB2326" s="69"/>
      <c r="AC2326" s="69"/>
      <c r="AD2326" s="69"/>
      <c r="AE2326" s="69"/>
      <c r="AF2326" s="69"/>
      <c r="AG2326" s="69"/>
      <c r="AH2326" s="69"/>
      <c r="AI2326" s="69"/>
      <c r="AJ2326" s="69"/>
      <c r="AK2326" s="69"/>
      <c r="AL2326" s="69"/>
      <c r="AM2326" s="69"/>
      <c r="AN2326" s="69"/>
      <c r="AO2326" s="69"/>
      <c r="AP2326" s="69"/>
      <c r="AQ2326" s="69"/>
      <c r="AR2326" s="69"/>
      <c r="AS2326" s="69"/>
      <c r="AT2326" s="69"/>
      <c r="AU2326" s="69"/>
      <c r="AV2326" s="69"/>
      <c r="AW2326" s="69"/>
      <c r="AX2326" s="69"/>
      <c r="AY2326" s="69"/>
      <c r="AZ2326" s="69"/>
      <c r="BA2326" s="69"/>
      <c r="BB2326" s="69"/>
      <c r="BC2326" s="69"/>
    </row>
    <row r="2327">
      <c r="A2327" s="68"/>
      <c r="B2327" s="68"/>
      <c r="C2327" s="68"/>
      <c r="D2327" s="68"/>
      <c r="E2327" s="68"/>
      <c r="F2327" s="68"/>
      <c r="G2327" s="68"/>
      <c r="H2327" s="68"/>
      <c r="I2327" s="69"/>
      <c r="J2327" s="69"/>
      <c r="K2327" s="71"/>
      <c r="L2327" s="69"/>
      <c r="M2327" s="69"/>
      <c r="N2327" s="72"/>
      <c r="O2327" s="69"/>
      <c r="P2327" s="69"/>
      <c r="Q2327" s="69"/>
      <c r="R2327" s="69"/>
      <c r="S2327" s="69"/>
      <c r="T2327" s="69"/>
      <c r="U2327" s="69"/>
      <c r="V2327" s="69"/>
      <c r="W2327" s="69"/>
      <c r="X2327" s="69"/>
      <c r="Y2327" s="69"/>
      <c r="Z2327" s="69"/>
      <c r="AA2327" s="69"/>
      <c r="AB2327" s="69"/>
      <c r="AC2327" s="69"/>
      <c r="AD2327" s="69"/>
      <c r="AE2327" s="69"/>
      <c r="AF2327" s="69"/>
      <c r="AG2327" s="69"/>
      <c r="AH2327" s="69"/>
      <c r="AI2327" s="69"/>
      <c r="AJ2327" s="69"/>
      <c r="AK2327" s="69"/>
      <c r="AL2327" s="69"/>
      <c r="AM2327" s="69"/>
      <c r="AN2327" s="69"/>
      <c r="AO2327" s="69"/>
      <c r="AP2327" s="69"/>
      <c r="AQ2327" s="69"/>
      <c r="AR2327" s="69"/>
      <c r="AS2327" s="69"/>
      <c r="AT2327" s="69"/>
      <c r="AU2327" s="69"/>
      <c r="AV2327" s="69"/>
      <c r="AW2327" s="69"/>
      <c r="AX2327" s="69"/>
      <c r="AY2327" s="69"/>
      <c r="AZ2327" s="69"/>
      <c r="BA2327" s="69"/>
      <c r="BB2327" s="69"/>
      <c r="BC2327" s="69"/>
    </row>
    <row r="2328">
      <c r="A2328" s="68"/>
      <c r="B2328" s="68"/>
      <c r="C2328" s="68"/>
      <c r="D2328" s="68"/>
      <c r="E2328" s="68"/>
      <c r="F2328" s="68"/>
      <c r="G2328" s="68"/>
      <c r="H2328" s="68"/>
      <c r="I2328" s="69"/>
      <c r="J2328" s="69"/>
      <c r="K2328" s="71"/>
      <c r="L2328" s="69"/>
      <c r="M2328" s="69"/>
      <c r="N2328" s="72"/>
      <c r="O2328" s="69"/>
      <c r="P2328" s="69"/>
      <c r="Q2328" s="69"/>
      <c r="R2328" s="69"/>
      <c r="S2328" s="69"/>
      <c r="T2328" s="69"/>
      <c r="U2328" s="69"/>
      <c r="V2328" s="69"/>
      <c r="W2328" s="69"/>
      <c r="X2328" s="69"/>
      <c r="Y2328" s="69"/>
      <c r="Z2328" s="69"/>
      <c r="AA2328" s="69"/>
      <c r="AB2328" s="69"/>
      <c r="AC2328" s="69"/>
      <c r="AD2328" s="69"/>
      <c r="AE2328" s="69"/>
      <c r="AF2328" s="69"/>
      <c r="AG2328" s="69"/>
      <c r="AH2328" s="69"/>
      <c r="AI2328" s="69"/>
      <c r="AJ2328" s="69"/>
      <c r="AK2328" s="69"/>
      <c r="AL2328" s="69"/>
      <c r="AM2328" s="69"/>
      <c r="AN2328" s="69"/>
      <c r="AO2328" s="69"/>
      <c r="AP2328" s="69"/>
      <c r="AQ2328" s="69"/>
      <c r="AR2328" s="69"/>
      <c r="AS2328" s="69"/>
      <c r="AT2328" s="69"/>
      <c r="AU2328" s="69"/>
      <c r="AV2328" s="69"/>
      <c r="AW2328" s="69"/>
      <c r="AX2328" s="69"/>
      <c r="AY2328" s="69"/>
      <c r="AZ2328" s="69"/>
      <c r="BA2328" s="69"/>
      <c r="BB2328" s="69"/>
      <c r="BC2328" s="69"/>
    </row>
    <row r="2329">
      <c r="A2329" s="68"/>
      <c r="B2329" s="68"/>
      <c r="C2329" s="68"/>
      <c r="D2329" s="68"/>
      <c r="E2329" s="68"/>
      <c r="F2329" s="68"/>
      <c r="G2329" s="68"/>
      <c r="H2329" s="68"/>
      <c r="I2329" s="69"/>
      <c r="J2329" s="69"/>
      <c r="K2329" s="71"/>
      <c r="L2329" s="69"/>
      <c r="M2329" s="69"/>
      <c r="N2329" s="72"/>
      <c r="O2329" s="69"/>
      <c r="P2329" s="69"/>
      <c r="Q2329" s="69"/>
      <c r="R2329" s="69"/>
      <c r="S2329" s="69"/>
      <c r="T2329" s="69"/>
      <c r="U2329" s="69"/>
      <c r="V2329" s="69"/>
      <c r="W2329" s="69"/>
      <c r="X2329" s="69"/>
      <c r="Y2329" s="69"/>
      <c r="Z2329" s="69"/>
      <c r="AA2329" s="69"/>
      <c r="AB2329" s="69"/>
      <c r="AC2329" s="69"/>
      <c r="AD2329" s="69"/>
      <c r="AE2329" s="69"/>
      <c r="AF2329" s="69"/>
      <c r="AG2329" s="69"/>
      <c r="AH2329" s="69"/>
      <c r="AI2329" s="69"/>
      <c r="AJ2329" s="69"/>
      <c r="AK2329" s="69"/>
      <c r="AL2329" s="69"/>
      <c r="AM2329" s="69"/>
      <c r="AN2329" s="69"/>
      <c r="AO2329" s="69"/>
      <c r="AP2329" s="69"/>
      <c r="AQ2329" s="69"/>
      <c r="AR2329" s="69"/>
      <c r="AS2329" s="69"/>
      <c r="AT2329" s="69"/>
      <c r="AU2329" s="69"/>
      <c r="AV2329" s="69"/>
      <c r="AW2329" s="69"/>
      <c r="AX2329" s="69"/>
      <c r="AY2329" s="69"/>
      <c r="AZ2329" s="69"/>
      <c r="BA2329" s="69"/>
      <c r="BB2329" s="69"/>
      <c r="BC2329" s="69"/>
    </row>
    <row r="2330">
      <c r="A2330" s="68"/>
      <c r="B2330" s="68"/>
      <c r="C2330" s="68"/>
      <c r="D2330" s="68"/>
      <c r="E2330" s="68"/>
      <c r="F2330" s="68"/>
      <c r="G2330" s="68"/>
      <c r="H2330" s="68"/>
      <c r="I2330" s="69"/>
      <c r="J2330" s="69"/>
      <c r="K2330" s="71"/>
      <c r="L2330" s="69"/>
      <c r="M2330" s="69"/>
      <c r="N2330" s="72"/>
      <c r="O2330" s="69"/>
      <c r="P2330" s="69"/>
      <c r="Q2330" s="69"/>
      <c r="R2330" s="69"/>
      <c r="S2330" s="69"/>
      <c r="T2330" s="69"/>
      <c r="U2330" s="69"/>
      <c r="V2330" s="69"/>
      <c r="W2330" s="69"/>
      <c r="X2330" s="69"/>
      <c r="Y2330" s="69"/>
      <c r="Z2330" s="69"/>
      <c r="AA2330" s="69"/>
      <c r="AB2330" s="69"/>
      <c r="AC2330" s="69"/>
      <c r="AD2330" s="69"/>
      <c r="AE2330" s="69"/>
      <c r="AF2330" s="69"/>
      <c r="AG2330" s="69"/>
      <c r="AH2330" s="69"/>
      <c r="AI2330" s="69"/>
      <c r="AJ2330" s="69"/>
      <c r="AK2330" s="69"/>
      <c r="AL2330" s="69"/>
      <c r="AM2330" s="69"/>
      <c r="AN2330" s="69"/>
      <c r="AO2330" s="69"/>
      <c r="AP2330" s="69"/>
      <c r="AQ2330" s="69"/>
      <c r="AR2330" s="69"/>
      <c r="AS2330" s="69"/>
      <c r="AT2330" s="69"/>
      <c r="AU2330" s="69"/>
      <c r="AV2330" s="69"/>
      <c r="AW2330" s="69"/>
      <c r="AX2330" s="69"/>
      <c r="AY2330" s="69"/>
      <c r="AZ2330" s="69"/>
      <c r="BA2330" s="69"/>
      <c r="BB2330" s="69"/>
      <c r="BC2330" s="69"/>
    </row>
    <row r="2331">
      <c r="A2331" s="68"/>
      <c r="B2331" s="68"/>
      <c r="C2331" s="68"/>
      <c r="D2331" s="68"/>
      <c r="E2331" s="68"/>
      <c r="F2331" s="68"/>
      <c r="G2331" s="68"/>
      <c r="H2331" s="68"/>
      <c r="I2331" s="69"/>
      <c r="J2331" s="69"/>
      <c r="K2331" s="71"/>
      <c r="L2331" s="69"/>
      <c r="M2331" s="69"/>
      <c r="N2331" s="72"/>
      <c r="O2331" s="69"/>
      <c r="P2331" s="69"/>
      <c r="Q2331" s="69"/>
      <c r="R2331" s="69"/>
      <c r="S2331" s="69"/>
      <c r="T2331" s="69"/>
      <c r="U2331" s="69"/>
      <c r="V2331" s="69"/>
      <c r="W2331" s="69"/>
      <c r="X2331" s="69"/>
      <c r="Y2331" s="69"/>
      <c r="Z2331" s="69"/>
      <c r="AA2331" s="69"/>
      <c r="AB2331" s="69"/>
      <c r="AC2331" s="69"/>
      <c r="AD2331" s="69"/>
      <c r="AE2331" s="69"/>
      <c r="AF2331" s="69"/>
      <c r="AG2331" s="69"/>
      <c r="AH2331" s="69"/>
      <c r="AI2331" s="69"/>
      <c r="AJ2331" s="69"/>
      <c r="AK2331" s="69"/>
      <c r="AL2331" s="69"/>
      <c r="AM2331" s="69"/>
      <c r="AN2331" s="69"/>
      <c r="AO2331" s="69"/>
      <c r="AP2331" s="69"/>
      <c r="AQ2331" s="69"/>
      <c r="AR2331" s="69"/>
      <c r="AS2331" s="69"/>
      <c r="AT2331" s="69"/>
      <c r="AU2331" s="69"/>
      <c r="AV2331" s="69"/>
      <c r="AW2331" s="69"/>
      <c r="AX2331" s="69"/>
      <c r="AY2331" s="69"/>
      <c r="AZ2331" s="69"/>
      <c r="BA2331" s="69"/>
      <c r="BB2331" s="69"/>
      <c r="BC2331" s="69"/>
    </row>
    <row r="2332">
      <c r="A2332" s="68"/>
      <c r="B2332" s="68"/>
      <c r="C2332" s="68"/>
      <c r="D2332" s="68"/>
      <c r="E2332" s="68"/>
      <c r="F2332" s="68"/>
      <c r="G2332" s="68"/>
      <c r="H2332" s="68"/>
      <c r="I2332" s="69"/>
      <c r="J2332" s="69"/>
      <c r="K2332" s="71"/>
      <c r="L2332" s="69"/>
      <c r="M2332" s="69"/>
      <c r="N2332" s="72"/>
      <c r="O2332" s="69"/>
      <c r="P2332" s="69"/>
      <c r="Q2332" s="69"/>
      <c r="R2332" s="69"/>
      <c r="S2332" s="69"/>
      <c r="T2332" s="69"/>
      <c r="U2332" s="69"/>
      <c r="V2332" s="69"/>
      <c r="W2332" s="69"/>
      <c r="X2332" s="69"/>
      <c r="Y2332" s="69"/>
      <c r="Z2332" s="69"/>
      <c r="AA2332" s="69"/>
      <c r="AB2332" s="69"/>
      <c r="AC2332" s="69"/>
      <c r="AD2332" s="69"/>
      <c r="AE2332" s="69"/>
      <c r="AF2332" s="69"/>
      <c r="AG2332" s="69"/>
      <c r="AH2332" s="69"/>
      <c r="AI2332" s="69"/>
      <c r="AJ2332" s="69"/>
      <c r="AK2332" s="69"/>
      <c r="AL2332" s="69"/>
      <c r="AM2332" s="69"/>
      <c r="AN2332" s="69"/>
      <c r="AO2332" s="69"/>
      <c r="AP2332" s="69"/>
      <c r="AQ2332" s="69"/>
      <c r="AR2332" s="69"/>
      <c r="AS2332" s="69"/>
      <c r="AT2332" s="69"/>
      <c r="AU2332" s="69"/>
      <c r="AV2332" s="69"/>
      <c r="AW2332" s="69"/>
      <c r="AX2332" s="69"/>
      <c r="AY2332" s="69"/>
      <c r="AZ2332" s="69"/>
      <c r="BA2332" s="69"/>
      <c r="BB2332" s="69"/>
      <c r="BC2332" s="69"/>
    </row>
    <row r="2333">
      <c r="A2333" s="68"/>
      <c r="B2333" s="68"/>
      <c r="C2333" s="68"/>
      <c r="D2333" s="68"/>
      <c r="E2333" s="68"/>
      <c r="F2333" s="68"/>
      <c r="G2333" s="68"/>
      <c r="H2333" s="68"/>
      <c r="I2333" s="69"/>
      <c r="J2333" s="69"/>
      <c r="K2333" s="71"/>
      <c r="L2333" s="69"/>
      <c r="M2333" s="69"/>
      <c r="N2333" s="72"/>
      <c r="O2333" s="69"/>
      <c r="P2333" s="69"/>
      <c r="Q2333" s="69"/>
      <c r="R2333" s="69"/>
      <c r="S2333" s="69"/>
      <c r="T2333" s="69"/>
      <c r="U2333" s="69"/>
      <c r="V2333" s="69"/>
      <c r="W2333" s="69"/>
      <c r="X2333" s="69"/>
      <c r="Y2333" s="69"/>
      <c r="Z2333" s="69"/>
      <c r="AA2333" s="69"/>
      <c r="AB2333" s="69"/>
      <c r="AC2333" s="69"/>
      <c r="AD2333" s="69"/>
      <c r="AE2333" s="69"/>
      <c r="AF2333" s="69"/>
      <c r="AG2333" s="69"/>
      <c r="AH2333" s="69"/>
      <c r="AI2333" s="69"/>
      <c r="AJ2333" s="69"/>
      <c r="AK2333" s="69"/>
      <c r="AL2333" s="69"/>
      <c r="AM2333" s="69"/>
      <c r="AN2333" s="69"/>
      <c r="AO2333" s="69"/>
      <c r="AP2333" s="69"/>
      <c r="AQ2333" s="69"/>
      <c r="AR2333" s="69"/>
      <c r="AS2333" s="69"/>
      <c r="AT2333" s="69"/>
      <c r="AU2333" s="69"/>
      <c r="AV2333" s="69"/>
      <c r="AW2333" s="69"/>
      <c r="AX2333" s="69"/>
      <c r="AY2333" s="69"/>
      <c r="AZ2333" s="69"/>
      <c r="BA2333" s="69"/>
      <c r="BB2333" s="69"/>
      <c r="BC2333" s="69"/>
    </row>
    <row r="2334">
      <c r="A2334" s="68"/>
      <c r="B2334" s="68"/>
      <c r="C2334" s="68"/>
      <c r="D2334" s="68"/>
      <c r="E2334" s="68"/>
      <c r="F2334" s="68"/>
      <c r="G2334" s="68"/>
      <c r="H2334" s="68"/>
      <c r="I2334" s="69"/>
      <c r="J2334" s="69"/>
      <c r="K2334" s="71"/>
      <c r="L2334" s="69"/>
      <c r="M2334" s="69"/>
      <c r="N2334" s="72"/>
      <c r="O2334" s="69"/>
      <c r="P2334" s="69"/>
      <c r="Q2334" s="69"/>
      <c r="R2334" s="69"/>
      <c r="S2334" s="69"/>
      <c r="T2334" s="69"/>
      <c r="U2334" s="69"/>
      <c r="V2334" s="69"/>
      <c r="W2334" s="69"/>
      <c r="X2334" s="69"/>
      <c r="Y2334" s="69"/>
      <c r="Z2334" s="69"/>
      <c r="AA2334" s="69"/>
      <c r="AB2334" s="69"/>
      <c r="AC2334" s="69"/>
      <c r="AD2334" s="69"/>
      <c r="AE2334" s="69"/>
      <c r="AF2334" s="69"/>
      <c r="AG2334" s="69"/>
      <c r="AH2334" s="69"/>
      <c r="AI2334" s="69"/>
      <c r="AJ2334" s="69"/>
      <c r="AK2334" s="69"/>
      <c r="AL2334" s="69"/>
      <c r="AM2334" s="69"/>
      <c r="AN2334" s="69"/>
      <c r="AO2334" s="69"/>
      <c r="AP2334" s="69"/>
      <c r="AQ2334" s="69"/>
      <c r="AR2334" s="69"/>
      <c r="AS2334" s="69"/>
      <c r="AT2334" s="69"/>
      <c r="AU2334" s="69"/>
      <c r="AV2334" s="69"/>
      <c r="AW2334" s="69"/>
      <c r="AX2334" s="69"/>
      <c r="AY2334" s="69"/>
      <c r="AZ2334" s="69"/>
      <c r="BA2334" s="69"/>
      <c r="BB2334" s="69"/>
      <c r="BC2334" s="69"/>
    </row>
    <row r="2335">
      <c r="A2335" s="68"/>
      <c r="B2335" s="68"/>
      <c r="C2335" s="68"/>
      <c r="D2335" s="68"/>
      <c r="E2335" s="68"/>
      <c r="F2335" s="68"/>
      <c r="G2335" s="68"/>
      <c r="H2335" s="68"/>
      <c r="I2335" s="69"/>
      <c r="J2335" s="69"/>
      <c r="K2335" s="71"/>
      <c r="L2335" s="69"/>
      <c r="M2335" s="69"/>
      <c r="N2335" s="72"/>
      <c r="O2335" s="69"/>
      <c r="P2335" s="69"/>
      <c r="Q2335" s="69"/>
      <c r="R2335" s="69"/>
      <c r="S2335" s="69"/>
      <c r="T2335" s="69"/>
      <c r="U2335" s="69"/>
      <c r="V2335" s="69"/>
      <c r="W2335" s="69"/>
      <c r="X2335" s="69"/>
      <c r="Y2335" s="69"/>
      <c r="Z2335" s="69"/>
      <c r="AA2335" s="69"/>
      <c r="AB2335" s="69"/>
      <c r="AC2335" s="69"/>
      <c r="AD2335" s="69"/>
      <c r="AE2335" s="69"/>
      <c r="AF2335" s="69"/>
      <c r="AG2335" s="69"/>
      <c r="AH2335" s="69"/>
      <c r="AI2335" s="69"/>
      <c r="AJ2335" s="69"/>
      <c r="AK2335" s="69"/>
      <c r="AL2335" s="69"/>
      <c r="AM2335" s="69"/>
      <c r="AN2335" s="69"/>
      <c r="AO2335" s="69"/>
      <c r="AP2335" s="69"/>
      <c r="AQ2335" s="69"/>
      <c r="AR2335" s="69"/>
      <c r="AS2335" s="69"/>
      <c r="AT2335" s="69"/>
      <c r="AU2335" s="69"/>
      <c r="AV2335" s="69"/>
      <c r="AW2335" s="69"/>
      <c r="AX2335" s="69"/>
      <c r="AY2335" s="69"/>
      <c r="AZ2335" s="69"/>
      <c r="BA2335" s="69"/>
      <c r="BB2335" s="69"/>
      <c r="BC2335" s="69"/>
    </row>
    <row r="2336">
      <c r="A2336" s="68"/>
      <c r="B2336" s="68"/>
      <c r="C2336" s="68"/>
      <c r="D2336" s="68"/>
      <c r="E2336" s="68"/>
      <c r="F2336" s="68"/>
      <c r="G2336" s="68"/>
      <c r="H2336" s="68"/>
      <c r="I2336" s="69"/>
      <c r="J2336" s="69"/>
      <c r="K2336" s="71"/>
      <c r="L2336" s="69"/>
      <c r="M2336" s="69"/>
      <c r="N2336" s="72"/>
      <c r="O2336" s="69"/>
      <c r="P2336" s="69"/>
      <c r="Q2336" s="69"/>
      <c r="R2336" s="69"/>
      <c r="S2336" s="69"/>
      <c r="T2336" s="69"/>
      <c r="U2336" s="69"/>
      <c r="V2336" s="69"/>
      <c r="W2336" s="69"/>
      <c r="X2336" s="69"/>
      <c r="Y2336" s="69"/>
      <c r="Z2336" s="69"/>
      <c r="AA2336" s="69"/>
      <c r="AB2336" s="69"/>
      <c r="AC2336" s="69"/>
      <c r="AD2336" s="69"/>
      <c r="AE2336" s="69"/>
      <c r="AF2336" s="69"/>
      <c r="AG2336" s="69"/>
      <c r="AH2336" s="69"/>
      <c r="AI2336" s="69"/>
      <c r="AJ2336" s="69"/>
      <c r="AK2336" s="69"/>
      <c r="AL2336" s="69"/>
      <c r="AM2336" s="69"/>
      <c r="AN2336" s="69"/>
      <c r="AO2336" s="69"/>
      <c r="AP2336" s="69"/>
      <c r="AQ2336" s="69"/>
      <c r="AR2336" s="69"/>
      <c r="AS2336" s="69"/>
      <c r="AT2336" s="69"/>
      <c r="AU2336" s="69"/>
      <c r="AV2336" s="69"/>
      <c r="AW2336" s="69"/>
      <c r="AX2336" s="69"/>
      <c r="AY2336" s="69"/>
      <c r="AZ2336" s="69"/>
      <c r="BA2336" s="69"/>
      <c r="BB2336" s="69"/>
      <c r="BC2336" s="69"/>
    </row>
    <row r="2337">
      <c r="A2337" s="68"/>
      <c r="B2337" s="68"/>
      <c r="C2337" s="68"/>
      <c r="D2337" s="68"/>
      <c r="E2337" s="68"/>
      <c r="F2337" s="68"/>
      <c r="G2337" s="68"/>
      <c r="H2337" s="68"/>
      <c r="I2337" s="69"/>
      <c r="J2337" s="69"/>
      <c r="K2337" s="71"/>
      <c r="L2337" s="69"/>
      <c r="M2337" s="69"/>
      <c r="N2337" s="72"/>
      <c r="O2337" s="69"/>
      <c r="P2337" s="69"/>
      <c r="Q2337" s="69"/>
      <c r="R2337" s="69"/>
      <c r="S2337" s="69"/>
      <c r="T2337" s="69"/>
      <c r="U2337" s="69"/>
      <c r="V2337" s="69"/>
      <c r="W2337" s="69"/>
      <c r="X2337" s="69"/>
      <c r="Y2337" s="69"/>
      <c r="Z2337" s="69"/>
      <c r="AA2337" s="69"/>
      <c r="AB2337" s="69"/>
      <c r="AC2337" s="69"/>
      <c r="AD2337" s="69"/>
      <c r="AE2337" s="69"/>
      <c r="AF2337" s="69"/>
      <c r="AG2337" s="69"/>
      <c r="AH2337" s="69"/>
      <c r="AI2337" s="69"/>
      <c r="AJ2337" s="69"/>
      <c r="AK2337" s="69"/>
      <c r="AL2337" s="69"/>
      <c r="AM2337" s="69"/>
      <c r="AN2337" s="69"/>
      <c r="AO2337" s="69"/>
      <c r="AP2337" s="69"/>
      <c r="AQ2337" s="69"/>
      <c r="AR2337" s="69"/>
      <c r="AS2337" s="69"/>
      <c r="AT2337" s="69"/>
      <c r="AU2337" s="69"/>
      <c r="AV2337" s="69"/>
      <c r="AW2337" s="69"/>
      <c r="AX2337" s="69"/>
      <c r="AY2337" s="69"/>
      <c r="AZ2337" s="69"/>
      <c r="BA2337" s="69"/>
      <c r="BB2337" s="69"/>
      <c r="BC2337" s="69"/>
    </row>
    <row r="2338">
      <c r="A2338" s="68"/>
      <c r="B2338" s="68"/>
      <c r="C2338" s="68"/>
      <c r="D2338" s="68"/>
      <c r="E2338" s="68"/>
      <c r="F2338" s="68"/>
      <c r="G2338" s="68"/>
      <c r="H2338" s="68"/>
      <c r="I2338" s="69"/>
      <c r="J2338" s="69"/>
      <c r="K2338" s="71"/>
      <c r="L2338" s="69"/>
      <c r="M2338" s="69"/>
      <c r="N2338" s="72"/>
      <c r="O2338" s="69"/>
      <c r="P2338" s="69"/>
      <c r="Q2338" s="69"/>
      <c r="R2338" s="69"/>
      <c r="S2338" s="69"/>
      <c r="T2338" s="69"/>
      <c r="U2338" s="69"/>
      <c r="V2338" s="69"/>
      <c r="W2338" s="69"/>
      <c r="X2338" s="69"/>
      <c r="Y2338" s="69"/>
      <c r="Z2338" s="69"/>
      <c r="AA2338" s="69"/>
      <c r="AB2338" s="69"/>
      <c r="AC2338" s="69"/>
      <c r="AD2338" s="69"/>
      <c r="AE2338" s="69"/>
      <c r="AF2338" s="69"/>
      <c r="AG2338" s="69"/>
      <c r="AH2338" s="69"/>
      <c r="AI2338" s="69"/>
      <c r="AJ2338" s="69"/>
      <c r="AK2338" s="69"/>
      <c r="AL2338" s="69"/>
      <c r="AM2338" s="69"/>
      <c r="AN2338" s="69"/>
      <c r="AO2338" s="69"/>
      <c r="AP2338" s="69"/>
      <c r="AQ2338" s="69"/>
      <c r="AR2338" s="69"/>
      <c r="AS2338" s="69"/>
      <c r="AT2338" s="69"/>
      <c r="AU2338" s="69"/>
      <c r="AV2338" s="69"/>
      <c r="AW2338" s="69"/>
      <c r="AX2338" s="69"/>
      <c r="AY2338" s="69"/>
      <c r="AZ2338" s="69"/>
      <c r="BA2338" s="69"/>
      <c r="BB2338" s="69"/>
      <c r="BC2338" s="69"/>
    </row>
    <row r="2339">
      <c r="A2339" s="68"/>
      <c r="B2339" s="68"/>
      <c r="C2339" s="68"/>
      <c r="D2339" s="68"/>
      <c r="E2339" s="68"/>
      <c r="F2339" s="68"/>
      <c r="G2339" s="68"/>
      <c r="H2339" s="68"/>
      <c r="I2339" s="69"/>
      <c r="J2339" s="69"/>
      <c r="K2339" s="71"/>
      <c r="L2339" s="69"/>
      <c r="M2339" s="69"/>
      <c r="N2339" s="72"/>
      <c r="O2339" s="69"/>
      <c r="P2339" s="69"/>
      <c r="Q2339" s="69"/>
      <c r="R2339" s="69"/>
      <c r="S2339" s="69"/>
      <c r="T2339" s="69"/>
      <c r="U2339" s="69"/>
      <c r="V2339" s="69"/>
      <c r="W2339" s="69"/>
      <c r="X2339" s="69"/>
      <c r="Y2339" s="69"/>
      <c r="Z2339" s="69"/>
      <c r="AA2339" s="69"/>
      <c r="AB2339" s="69"/>
      <c r="AC2339" s="69"/>
      <c r="AD2339" s="69"/>
      <c r="AE2339" s="69"/>
      <c r="AF2339" s="69"/>
      <c r="AG2339" s="69"/>
      <c r="AH2339" s="69"/>
      <c r="AI2339" s="69"/>
      <c r="AJ2339" s="69"/>
      <c r="AK2339" s="69"/>
      <c r="AL2339" s="69"/>
      <c r="AM2339" s="69"/>
      <c r="AN2339" s="69"/>
      <c r="AO2339" s="69"/>
      <c r="AP2339" s="69"/>
      <c r="AQ2339" s="69"/>
      <c r="AR2339" s="69"/>
      <c r="AS2339" s="69"/>
      <c r="AT2339" s="69"/>
      <c r="AU2339" s="69"/>
      <c r="AV2339" s="69"/>
      <c r="AW2339" s="69"/>
      <c r="AX2339" s="69"/>
      <c r="AY2339" s="69"/>
      <c r="AZ2339" s="69"/>
      <c r="BA2339" s="69"/>
      <c r="BB2339" s="69"/>
      <c r="BC2339" s="69"/>
    </row>
    <row r="2340">
      <c r="A2340" s="68"/>
      <c r="B2340" s="68"/>
      <c r="C2340" s="68"/>
      <c r="D2340" s="68"/>
      <c r="E2340" s="68"/>
      <c r="F2340" s="68"/>
      <c r="G2340" s="68"/>
      <c r="H2340" s="68"/>
      <c r="I2340" s="69"/>
      <c r="J2340" s="69"/>
      <c r="K2340" s="71"/>
      <c r="L2340" s="69"/>
      <c r="M2340" s="69"/>
      <c r="N2340" s="72"/>
      <c r="O2340" s="69"/>
      <c r="P2340" s="69"/>
      <c r="Q2340" s="69"/>
      <c r="R2340" s="69"/>
      <c r="S2340" s="69"/>
      <c r="T2340" s="69"/>
      <c r="U2340" s="69"/>
      <c r="V2340" s="69"/>
      <c r="W2340" s="69"/>
      <c r="X2340" s="69"/>
      <c r="Y2340" s="69"/>
      <c r="Z2340" s="69"/>
      <c r="AA2340" s="69"/>
      <c r="AB2340" s="69"/>
      <c r="AC2340" s="69"/>
      <c r="AD2340" s="69"/>
      <c r="AE2340" s="69"/>
      <c r="AF2340" s="69"/>
      <c r="AG2340" s="69"/>
      <c r="AH2340" s="69"/>
      <c r="AI2340" s="69"/>
      <c r="AJ2340" s="69"/>
      <c r="AK2340" s="69"/>
      <c r="AL2340" s="69"/>
      <c r="AM2340" s="69"/>
      <c r="AN2340" s="69"/>
      <c r="AO2340" s="69"/>
      <c r="AP2340" s="69"/>
      <c r="AQ2340" s="69"/>
      <c r="AR2340" s="69"/>
      <c r="AS2340" s="69"/>
      <c r="AT2340" s="69"/>
      <c r="AU2340" s="69"/>
      <c r="AV2340" s="69"/>
      <c r="AW2340" s="69"/>
      <c r="AX2340" s="69"/>
      <c r="AY2340" s="69"/>
      <c r="AZ2340" s="69"/>
      <c r="BA2340" s="69"/>
      <c r="BB2340" s="69"/>
      <c r="BC2340" s="69"/>
    </row>
    <row r="2341">
      <c r="A2341" s="68"/>
      <c r="B2341" s="68"/>
      <c r="C2341" s="68"/>
      <c r="D2341" s="68"/>
      <c r="E2341" s="68"/>
      <c r="F2341" s="68"/>
      <c r="G2341" s="68"/>
      <c r="H2341" s="68"/>
      <c r="I2341" s="69"/>
      <c r="J2341" s="69"/>
      <c r="K2341" s="71"/>
      <c r="L2341" s="69"/>
      <c r="M2341" s="69"/>
      <c r="N2341" s="72"/>
      <c r="O2341" s="69"/>
      <c r="P2341" s="69"/>
      <c r="Q2341" s="69"/>
      <c r="R2341" s="69"/>
      <c r="S2341" s="69"/>
      <c r="T2341" s="69"/>
      <c r="U2341" s="69"/>
      <c r="V2341" s="69"/>
      <c r="W2341" s="69"/>
      <c r="X2341" s="69"/>
      <c r="Y2341" s="69"/>
      <c r="Z2341" s="69"/>
      <c r="AA2341" s="69"/>
      <c r="AB2341" s="69"/>
      <c r="AC2341" s="69"/>
      <c r="AD2341" s="69"/>
      <c r="AE2341" s="69"/>
      <c r="AF2341" s="69"/>
      <c r="AG2341" s="69"/>
      <c r="AH2341" s="69"/>
      <c r="AI2341" s="69"/>
      <c r="AJ2341" s="69"/>
      <c r="AK2341" s="69"/>
      <c r="AL2341" s="69"/>
      <c r="AM2341" s="69"/>
      <c r="AN2341" s="69"/>
      <c r="AO2341" s="69"/>
      <c r="AP2341" s="69"/>
      <c r="AQ2341" s="69"/>
      <c r="AR2341" s="69"/>
      <c r="AS2341" s="69"/>
      <c r="AT2341" s="69"/>
      <c r="AU2341" s="69"/>
      <c r="AV2341" s="69"/>
      <c r="AW2341" s="69"/>
      <c r="AX2341" s="69"/>
      <c r="AY2341" s="69"/>
      <c r="AZ2341" s="69"/>
      <c r="BA2341" s="69"/>
      <c r="BB2341" s="69"/>
      <c r="BC2341" s="69"/>
    </row>
    <row r="2342">
      <c r="A2342" s="68"/>
      <c r="B2342" s="68"/>
      <c r="C2342" s="68"/>
      <c r="D2342" s="68"/>
      <c r="E2342" s="68"/>
      <c r="F2342" s="68"/>
      <c r="G2342" s="68"/>
      <c r="H2342" s="68"/>
      <c r="I2342" s="69"/>
      <c r="J2342" s="69"/>
      <c r="K2342" s="71"/>
      <c r="L2342" s="69"/>
      <c r="M2342" s="69"/>
      <c r="N2342" s="72"/>
      <c r="O2342" s="69"/>
      <c r="P2342" s="69"/>
      <c r="Q2342" s="69"/>
      <c r="R2342" s="69"/>
      <c r="S2342" s="69"/>
      <c r="T2342" s="69"/>
      <c r="U2342" s="69"/>
      <c r="V2342" s="69"/>
      <c r="W2342" s="69"/>
      <c r="X2342" s="69"/>
      <c r="Y2342" s="69"/>
      <c r="Z2342" s="69"/>
      <c r="AA2342" s="69"/>
      <c r="AB2342" s="69"/>
      <c r="AC2342" s="69"/>
      <c r="AD2342" s="69"/>
      <c r="AE2342" s="69"/>
      <c r="AF2342" s="69"/>
      <c r="AG2342" s="69"/>
      <c r="AH2342" s="69"/>
      <c r="AI2342" s="69"/>
      <c r="AJ2342" s="69"/>
      <c r="AK2342" s="69"/>
      <c r="AL2342" s="69"/>
      <c r="AM2342" s="69"/>
      <c r="AN2342" s="69"/>
      <c r="AO2342" s="69"/>
      <c r="AP2342" s="69"/>
      <c r="AQ2342" s="69"/>
      <c r="AR2342" s="69"/>
      <c r="AS2342" s="69"/>
      <c r="AT2342" s="69"/>
      <c r="AU2342" s="69"/>
      <c r="AV2342" s="69"/>
      <c r="AW2342" s="69"/>
      <c r="AX2342" s="69"/>
      <c r="AY2342" s="69"/>
      <c r="AZ2342" s="69"/>
      <c r="BA2342" s="69"/>
      <c r="BB2342" s="69"/>
      <c r="BC2342" s="69"/>
    </row>
    <row r="2343">
      <c r="A2343" s="68"/>
      <c r="B2343" s="68"/>
      <c r="C2343" s="68"/>
      <c r="D2343" s="68"/>
      <c r="E2343" s="68"/>
      <c r="F2343" s="68"/>
      <c r="G2343" s="68"/>
      <c r="H2343" s="68"/>
      <c r="I2343" s="69"/>
      <c r="J2343" s="69"/>
      <c r="K2343" s="71"/>
      <c r="L2343" s="69"/>
      <c r="M2343" s="69"/>
      <c r="N2343" s="72"/>
      <c r="O2343" s="69"/>
      <c r="P2343" s="69"/>
      <c r="Q2343" s="69"/>
      <c r="R2343" s="69"/>
      <c r="S2343" s="69"/>
      <c r="T2343" s="69"/>
      <c r="U2343" s="69"/>
      <c r="V2343" s="69"/>
      <c r="W2343" s="69"/>
      <c r="X2343" s="69"/>
      <c r="Y2343" s="69"/>
      <c r="Z2343" s="69"/>
      <c r="AA2343" s="69"/>
      <c r="AB2343" s="69"/>
      <c r="AC2343" s="69"/>
      <c r="AD2343" s="69"/>
      <c r="AE2343" s="69"/>
      <c r="AF2343" s="69"/>
      <c r="AG2343" s="69"/>
      <c r="AH2343" s="69"/>
      <c r="AI2343" s="69"/>
      <c r="AJ2343" s="69"/>
      <c r="AK2343" s="69"/>
      <c r="AL2343" s="69"/>
      <c r="AM2343" s="69"/>
      <c r="AN2343" s="69"/>
      <c r="AO2343" s="69"/>
      <c r="AP2343" s="69"/>
      <c r="AQ2343" s="69"/>
      <c r="AR2343" s="69"/>
      <c r="AS2343" s="69"/>
      <c r="AT2343" s="69"/>
      <c r="AU2343" s="69"/>
      <c r="AV2343" s="69"/>
      <c r="AW2343" s="69"/>
      <c r="AX2343" s="69"/>
      <c r="AY2343" s="69"/>
      <c r="AZ2343" s="69"/>
      <c r="BA2343" s="69"/>
      <c r="BB2343" s="69"/>
      <c r="BC2343" s="69"/>
    </row>
    <row r="2344">
      <c r="A2344" s="68"/>
      <c r="B2344" s="68"/>
      <c r="C2344" s="68"/>
      <c r="D2344" s="68"/>
      <c r="E2344" s="68"/>
      <c r="F2344" s="68"/>
      <c r="G2344" s="68"/>
      <c r="H2344" s="68"/>
      <c r="I2344" s="69"/>
      <c r="J2344" s="69"/>
      <c r="K2344" s="71"/>
      <c r="L2344" s="69"/>
      <c r="M2344" s="69"/>
      <c r="N2344" s="72"/>
      <c r="O2344" s="69"/>
      <c r="P2344" s="69"/>
      <c r="Q2344" s="69"/>
      <c r="R2344" s="69"/>
      <c r="S2344" s="69"/>
      <c r="T2344" s="69"/>
      <c r="U2344" s="69"/>
      <c r="V2344" s="69"/>
      <c r="W2344" s="69"/>
      <c r="X2344" s="69"/>
      <c r="Y2344" s="69"/>
      <c r="Z2344" s="69"/>
      <c r="AA2344" s="69"/>
      <c r="AB2344" s="69"/>
      <c r="AC2344" s="69"/>
      <c r="AD2344" s="69"/>
      <c r="AE2344" s="69"/>
      <c r="AF2344" s="69"/>
      <c r="AG2344" s="69"/>
      <c r="AH2344" s="69"/>
      <c r="AI2344" s="69"/>
      <c r="AJ2344" s="69"/>
      <c r="AK2344" s="69"/>
      <c r="AL2344" s="69"/>
      <c r="AM2344" s="69"/>
      <c r="AN2344" s="69"/>
      <c r="AO2344" s="69"/>
      <c r="AP2344" s="69"/>
      <c r="AQ2344" s="69"/>
      <c r="AR2344" s="69"/>
      <c r="AS2344" s="69"/>
      <c r="AT2344" s="69"/>
      <c r="AU2344" s="69"/>
      <c r="AV2344" s="69"/>
      <c r="AW2344" s="69"/>
      <c r="AX2344" s="69"/>
      <c r="AY2344" s="69"/>
      <c r="AZ2344" s="69"/>
      <c r="BA2344" s="69"/>
      <c r="BB2344" s="69"/>
      <c r="BC2344" s="69"/>
    </row>
    <row r="2345">
      <c r="A2345" s="68"/>
      <c r="B2345" s="68"/>
      <c r="C2345" s="68"/>
      <c r="D2345" s="68"/>
      <c r="E2345" s="68"/>
      <c r="F2345" s="68"/>
      <c r="G2345" s="68"/>
      <c r="H2345" s="68"/>
      <c r="I2345" s="69"/>
      <c r="J2345" s="69"/>
      <c r="K2345" s="71"/>
      <c r="L2345" s="69"/>
      <c r="M2345" s="69"/>
      <c r="N2345" s="72"/>
      <c r="O2345" s="69"/>
      <c r="P2345" s="69"/>
      <c r="Q2345" s="69"/>
      <c r="R2345" s="69"/>
      <c r="S2345" s="69"/>
      <c r="T2345" s="69"/>
      <c r="U2345" s="69"/>
      <c r="V2345" s="69"/>
      <c r="W2345" s="69"/>
      <c r="X2345" s="69"/>
      <c r="Y2345" s="69"/>
      <c r="Z2345" s="69"/>
      <c r="AA2345" s="69"/>
      <c r="AB2345" s="69"/>
      <c r="AC2345" s="69"/>
      <c r="AD2345" s="69"/>
      <c r="AE2345" s="69"/>
      <c r="AF2345" s="69"/>
      <c r="AG2345" s="69"/>
      <c r="AH2345" s="69"/>
      <c r="AI2345" s="69"/>
      <c r="AJ2345" s="69"/>
      <c r="AK2345" s="69"/>
      <c r="AL2345" s="69"/>
      <c r="AM2345" s="69"/>
      <c r="AN2345" s="69"/>
      <c r="AO2345" s="69"/>
      <c r="AP2345" s="69"/>
      <c r="AQ2345" s="69"/>
      <c r="AR2345" s="69"/>
      <c r="AS2345" s="69"/>
      <c r="AT2345" s="69"/>
      <c r="AU2345" s="69"/>
      <c r="AV2345" s="69"/>
      <c r="AW2345" s="69"/>
      <c r="AX2345" s="69"/>
      <c r="AY2345" s="69"/>
      <c r="AZ2345" s="69"/>
      <c r="BA2345" s="69"/>
      <c r="BB2345" s="69"/>
      <c r="BC2345" s="69"/>
    </row>
    <row r="2346">
      <c r="A2346" s="68"/>
      <c r="B2346" s="68"/>
      <c r="C2346" s="68"/>
      <c r="D2346" s="68"/>
      <c r="E2346" s="68"/>
      <c r="F2346" s="68"/>
      <c r="G2346" s="68"/>
      <c r="H2346" s="68"/>
      <c r="I2346" s="69"/>
      <c r="J2346" s="69"/>
      <c r="K2346" s="71"/>
      <c r="L2346" s="69"/>
      <c r="M2346" s="69"/>
      <c r="N2346" s="72"/>
      <c r="O2346" s="69"/>
      <c r="P2346" s="69"/>
      <c r="Q2346" s="69"/>
      <c r="R2346" s="69"/>
      <c r="S2346" s="69"/>
      <c r="T2346" s="69"/>
      <c r="U2346" s="69"/>
      <c r="V2346" s="69"/>
      <c r="W2346" s="69"/>
      <c r="X2346" s="69"/>
      <c r="Y2346" s="69"/>
      <c r="Z2346" s="69"/>
      <c r="AA2346" s="69"/>
      <c r="AB2346" s="69"/>
      <c r="AC2346" s="69"/>
      <c r="AD2346" s="69"/>
      <c r="AE2346" s="69"/>
      <c r="AF2346" s="69"/>
      <c r="AG2346" s="69"/>
      <c r="AH2346" s="69"/>
      <c r="AI2346" s="69"/>
      <c r="AJ2346" s="69"/>
      <c r="AK2346" s="69"/>
      <c r="AL2346" s="69"/>
      <c r="AM2346" s="69"/>
      <c r="AN2346" s="69"/>
      <c r="AO2346" s="69"/>
      <c r="AP2346" s="69"/>
      <c r="AQ2346" s="69"/>
      <c r="AR2346" s="69"/>
      <c r="AS2346" s="69"/>
      <c r="AT2346" s="69"/>
      <c r="AU2346" s="69"/>
      <c r="AV2346" s="69"/>
      <c r="AW2346" s="69"/>
      <c r="AX2346" s="69"/>
      <c r="AY2346" s="69"/>
      <c r="AZ2346" s="69"/>
      <c r="BA2346" s="69"/>
      <c r="BB2346" s="69"/>
      <c r="BC2346" s="69"/>
    </row>
    <row r="2347">
      <c r="A2347" s="68"/>
      <c r="B2347" s="68"/>
      <c r="C2347" s="68"/>
      <c r="D2347" s="68"/>
      <c r="E2347" s="68"/>
      <c r="F2347" s="68"/>
      <c r="G2347" s="68"/>
      <c r="H2347" s="68"/>
      <c r="I2347" s="69"/>
      <c r="J2347" s="69"/>
      <c r="K2347" s="71"/>
      <c r="L2347" s="69"/>
      <c r="M2347" s="69"/>
      <c r="N2347" s="72"/>
      <c r="O2347" s="69"/>
      <c r="P2347" s="69"/>
      <c r="Q2347" s="69"/>
      <c r="R2347" s="69"/>
      <c r="S2347" s="69"/>
      <c r="T2347" s="69"/>
      <c r="U2347" s="69"/>
      <c r="V2347" s="69"/>
      <c r="W2347" s="69"/>
      <c r="X2347" s="69"/>
      <c r="Y2347" s="69"/>
      <c r="Z2347" s="69"/>
      <c r="AA2347" s="69"/>
      <c r="AB2347" s="69"/>
      <c r="AC2347" s="69"/>
      <c r="AD2347" s="69"/>
      <c r="AE2347" s="69"/>
      <c r="AF2347" s="69"/>
      <c r="AG2347" s="69"/>
      <c r="AH2347" s="69"/>
      <c r="AI2347" s="69"/>
      <c r="AJ2347" s="69"/>
      <c r="AK2347" s="69"/>
      <c r="AL2347" s="69"/>
      <c r="AM2347" s="69"/>
      <c r="AN2347" s="69"/>
      <c r="AO2347" s="69"/>
      <c r="AP2347" s="69"/>
      <c r="AQ2347" s="69"/>
      <c r="AR2347" s="69"/>
      <c r="AS2347" s="69"/>
      <c r="AT2347" s="69"/>
      <c r="AU2347" s="69"/>
      <c r="AV2347" s="69"/>
      <c r="AW2347" s="69"/>
      <c r="AX2347" s="69"/>
      <c r="AY2347" s="69"/>
      <c r="AZ2347" s="69"/>
      <c r="BA2347" s="69"/>
      <c r="BB2347" s="69"/>
      <c r="BC2347" s="69"/>
    </row>
    <row r="2348">
      <c r="A2348" s="68"/>
      <c r="B2348" s="68"/>
      <c r="C2348" s="68"/>
      <c r="D2348" s="68"/>
      <c r="E2348" s="68"/>
      <c r="F2348" s="68"/>
      <c r="G2348" s="68"/>
      <c r="H2348" s="68"/>
      <c r="I2348" s="69"/>
      <c r="J2348" s="69"/>
      <c r="K2348" s="71"/>
      <c r="L2348" s="69"/>
      <c r="M2348" s="69"/>
      <c r="N2348" s="72"/>
      <c r="O2348" s="69"/>
      <c r="P2348" s="69"/>
      <c r="Q2348" s="69"/>
      <c r="R2348" s="69"/>
      <c r="S2348" s="69"/>
      <c r="T2348" s="69"/>
      <c r="U2348" s="69"/>
      <c r="V2348" s="69"/>
      <c r="W2348" s="69"/>
      <c r="X2348" s="69"/>
      <c r="Y2348" s="69"/>
      <c r="Z2348" s="69"/>
      <c r="AA2348" s="69"/>
      <c r="AB2348" s="69"/>
      <c r="AC2348" s="69"/>
      <c r="AD2348" s="69"/>
      <c r="AE2348" s="69"/>
      <c r="AF2348" s="69"/>
      <c r="AG2348" s="69"/>
      <c r="AH2348" s="69"/>
      <c r="AI2348" s="69"/>
      <c r="AJ2348" s="69"/>
      <c r="AK2348" s="69"/>
      <c r="AL2348" s="69"/>
      <c r="AM2348" s="69"/>
      <c r="AN2348" s="69"/>
      <c r="AO2348" s="69"/>
      <c r="AP2348" s="69"/>
      <c r="AQ2348" s="69"/>
      <c r="AR2348" s="69"/>
      <c r="AS2348" s="69"/>
      <c r="AT2348" s="69"/>
      <c r="AU2348" s="69"/>
      <c r="AV2348" s="69"/>
      <c r="AW2348" s="69"/>
      <c r="AX2348" s="69"/>
      <c r="AY2348" s="69"/>
      <c r="AZ2348" s="69"/>
      <c r="BA2348" s="69"/>
      <c r="BB2348" s="69"/>
      <c r="BC2348" s="69"/>
    </row>
    <row r="2349">
      <c r="A2349" s="68"/>
      <c r="B2349" s="68"/>
      <c r="C2349" s="68"/>
      <c r="D2349" s="68"/>
      <c r="E2349" s="68"/>
      <c r="F2349" s="68"/>
      <c r="G2349" s="68"/>
      <c r="H2349" s="68"/>
      <c r="I2349" s="69"/>
      <c r="J2349" s="69"/>
      <c r="K2349" s="71"/>
      <c r="L2349" s="69"/>
      <c r="M2349" s="69"/>
      <c r="N2349" s="72"/>
      <c r="O2349" s="69"/>
      <c r="P2349" s="69"/>
      <c r="Q2349" s="69"/>
      <c r="R2349" s="69"/>
      <c r="S2349" s="69"/>
      <c r="T2349" s="69"/>
      <c r="U2349" s="69"/>
      <c r="V2349" s="69"/>
      <c r="W2349" s="69"/>
      <c r="X2349" s="69"/>
      <c r="Y2349" s="69"/>
      <c r="Z2349" s="69"/>
      <c r="AA2349" s="69"/>
      <c r="AB2349" s="69"/>
      <c r="AC2349" s="69"/>
      <c r="AD2349" s="69"/>
      <c r="AE2349" s="69"/>
      <c r="AF2349" s="69"/>
      <c r="AG2349" s="69"/>
      <c r="AH2349" s="69"/>
      <c r="AI2349" s="69"/>
      <c r="AJ2349" s="69"/>
      <c r="AK2349" s="69"/>
      <c r="AL2349" s="69"/>
      <c r="AM2349" s="69"/>
      <c r="AN2349" s="69"/>
      <c r="AO2349" s="69"/>
      <c r="AP2349" s="69"/>
      <c r="AQ2349" s="69"/>
      <c r="AR2349" s="69"/>
      <c r="AS2349" s="69"/>
      <c r="AT2349" s="69"/>
      <c r="AU2349" s="69"/>
      <c r="AV2349" s="69"/>
      <c r="AW2349" s="69"/>
      <c r="AX2349" s="69"/>
      <c r="AY2349" s="69"/>
      <c r="AZ2349" s="69"/>
      <c r="BA2349" s="69"/>
      <c r="BB2349" s="69"/>
      <c r="BC2349" s="69"/>
    </row>
    <row r="2350">
      <c r="A2350" s="68"/>
      <c r="B2350" s="68"/>
      <c r="C2350" s="68"/>
      <c r="D2350" s="68"/>
      <c r="E2350" s="68"/>
      <c r="F2350" s="68"/>
      <c r="G2350" s="68"/>
      <c r="H2350" s="68"/>
      <c r="I2350" s="69"/>
      <c r="J2350" s="69"/>
      <c r="K2350" s="71"/>
      <c r="L2350" s="69"/>
      <c r="M2350" s="69"/>
      <c r="N2350" s="72"/>
      <c r="O2350" s="69"/>
      <c r="P2350" s="69"/>
      <c r="Q2350" s="69"/>
      <c r="R2350" s="69"/>
      <c r="S2350" s="69"/>
      <c r="T2350" s="69"/>
      <c r="U2350" s="69"/>
      <c r="V2350" s="69"/>
      <c r="W2350" s="69"/>
      <c r="X2350" s="69"/>
      <c r="Y2350" s="69"/>
      <c r="Z2350" s="69"/>
      <c r="AA2350" s="69"/>
      <c r="AB2350" s="69"/>
      <c r="AC2350" s="69"/>
      <c r="AD2350" s="69"/>
      <c r="AE2350" s="69"/>
      <c r="AF2350" s="69"/>
      <c r="AG2350" s="69"/>
      <c r="AH2350" s="69"/>
      <c r="AI2350" s="69"/>
      <c r="AJ2350" s="69"/>
      <c r="AK2350" s="69"/>
      <c r="AL2350" s="69"/>
      <c r="AM2350" s="69"/>
      <c r="AN2350" s="69"/>
      <c r="AO2350" s="69"/>
      <c r="AP2350" s="69"/>
      <c r="AQ2350" s="69"/>
      <c r="AR2350" s="69"/>
      <c r="AS2350" s="69"/>
      <c r="AT2350" s="69"/>
      <c r="AU2350" s="69"/>
      <c r="AV2350" s="69"/>
      <c r="AW2350" s="69"/>
      <c r="AX2350" s="69"/>
      <c r="AY2350" s="69"/>
      <c r="AZ2350" s="69"/>
      <c r="BA2350" s="69"/>
      <c r="BB2350" s="69"/>
      <c r="BC2350" s="69"/>
    </row>
    <row r="2351">
      <c r="A2351" s="68"/>
      <c r="B2351" s="68"/>
      <c r="C2351" s="68"/>
      <c r="D2351" s="68"/>
      <c r="E2351" s="68"/>
      <c r="F2351" s="68"/>
      <c r="G2351" s="68"/>
      <c r="H2351" s="68"/>
      <c r="I2351" s="69"/>
      <c r="J2351" s="69"/>
      <c r="K2351" s="71"/>
      <c r="L2351" s="69"/>
      <c r="M2351" s="69"/>
      <c r="N2351" s="72"/>
      <c r="O2351" s="69"/>
      <c r="P2351" s="69"/>
      <c r="Q2351" s="69"/>
      <c r="R2351" s="69"/>
      <c r="S2351" s="69"/>
      <c r="T2351" s="69"/>
      <c r="U2351" s="69"/>
      <c r="V2351" s="69"/>
      <c r="W2351" s="69"/>
      <c r="X2351" s="69"/>
      <c r="Y2351" s="69"/>
      <c r="Z2351" s="69"/>
      <c r="AA2351" s="69"/>
      <c r="AB2351" s="69"/>
      <c r="AC2351" s="69"/>
      <c r="AD2351" s="69"/>
      <c r="AE2351" s="69"/>
      <c r="AF2351" s="69"/>
      <c r="AG2351" s="69"/>
      <c r="AH2351" s="69"/>
      <c r="AI2351" s="69"/>
      <c r="AJ2351" s="69"/>
      <c r="AK2351" s="69"/>
      <c r="AL2351" s="69"/>
      <c r="AM2351" s="69"/>
      <c r="AN2351" s="69"/>
      <c r="AO2351" s="69"/>
      <c r="AP2351" s="69"/>
      <c r="AQ2351" s="69"/>
      <c r="AR2351" s="69"/>
      <c r="AS2351" s="69"/>
      <c r="AT2351" s="69"/>
      <c r="AU2351" s="69"/>
      <c r="AV2351" s="69"/>
      <c r="AW2351" s="69"/>
      <c r="AX2351" s="69"/>
      <c r="AY2351" s="69"/>
      <c r="AZ2351" s="69"/>
      <c r="BA2351" s="69"/>
      <c r="BB2351" s="69"/>
      <c r="BC2351" s="69"/>
    </row>
    <row r="2352">
      <c r="A2352" s="68"/>
      <c r="B2352" s="68"/>
      <c r="C2352" s="68"/>
      <c r="D2352" s="68"/>
      <c r="E2352" s="68"/>
      <c r="F2352" s="68"/>
      <c r="G2352" s="68"/>
      <c r="H2352" s="68"/>
      <c r="I2352" s="69"/>
      <c r="J2352" s="69"/>
      <c r="K2352" s="71"/>
      <c r="L2352" s="69"/>
      <c r="M2352" s="69"/>
      <c r="N2352" s="72"/>
      <c r="O2352" s="69"/>
      <c r="P2352" s="69"/>
      <c r="Q2352" s="69"/>
      <c r="R2352" s="69"/>
      <c r="S2352" s="69"/>
      <c r="T2352" s="69"/>
      <c r="U2352" s="69"/>
      <c r="V2352" s="69"/>
      <c r="W2352" s="69"/>
      <c r="X2352" s="69"/>
      <c r="Y2352" s="69"/>
      <c r="Z2352" s="69"/>
      <c r="AA2352" s="69"/>
      <c r="AB2352" s="69"/>
      <c r="AC2352" s="69"/>
      <c r="AD2352" s="69"/>
      <c r="AE2352" s="69"/>
      <c r="AF2352" s="69"/>
      <c r="AG2352" s="69"/>
      <c r="AH2352" s="69"/>
      <c r="AI2352" s="69"/>
      <c r="AJ2352" s="69"/>
      <c r="AK2352" s="69"/>
      <c r="AL2352" s="69"/>
      <c r="AM2352" s="69"/>
      <c r="AN2352" s="69"/>
      <c r="AO2352" s="69"/>
      <c r="AP2352" s="69"/>
      <c r="AQ2352" s="69"/>
      <c r="AR2352" s="69"/>
      <c r="AS2352" s="69"/>
      <c r="AT2352" s="69"/>
      <c r="AU2352" s="69"/>
      <c r="AV2352" s="69"/>
      <c r="AW2352" s="69"/>
      <c r="AX2352" s="69"/>
      <c r="AY2352" s="69"/>
      <c r="AZ2352" s="69"/>
      <c r="BA2352" s="69"/>
      <c r="BB2352" s="69"/>
      <c r="BC2352" s="69"/>
    </row>
    <row r="2353">
      <c r="A2353" s="68"/>
      <c r="B2353" s="68"/>
      <c r="C2353" s="68"/>
      <c r="D2353" s="68"/>
      <c r="E2353" s="68"/>
      <c r="F2353" s="68"/>
      <c r="G2353" s="68"/>
      <c r="H2353" s="68"/>
      <c r="I2353" s="69"/>
      <c r="J2353" s="69"/>
      <c r="K2353" s="71"/>
      <c r="L2353" s="69"/>
      <c r="M2353" s="69"/>
      <c r="N2353" s="72"/>
      <c r="O2353" s="69"/>
      <c r="P2353" s="69"/>
      <c r="Q2353" s="69"/>
      <c r="R2353" s="69"/>
      <c r="S2353" s="69"/>
      <c r="T2353" s="69"/>
      <c r="U2353" s="69"/>
      <c r="V2353" s="69"/>
      <c r="W2353" s="69"/>
      <c r="X2353" s="69"/>
      <c r="Y2353" s="69"/>
      <c r="Z2353" s="69"/>
      <c r="AA2353" s="69"/>
      <c r="AB2353" s="69"/>
      <c r="AC2353" s="69"/>
      <c r="AD2353" s="69"/>
      <c r="AE2353" s="69"/>
      <c r="AF2353" s="69"/>
      <c r="AG2353" s="69"/>
      <c r="AH2353" s="69"/>
      <c r="AI2353" s="69"/>
      <c r="AJ2353" s="69"/>
      <c r="AK2353" s="69"/>
      <c r="AL2353" s="69"/>
      <c r="AM2353" s="69"/>
      <c r="AN2353" s="69"/>
      <c r="AO2353" s="69"/>
      <c r="AP2353" s="69"/>
      <c r="AQ2353" s="69"/>
      <c r="AR2353" s="69"/>
      <c r="AS2353" s="69"/>
      <c r="AT2353" s="69"/>
      <c r="AU2353" s="69"/>
      <c r="AV2353" s="69"/>
      <c r="AW2353" s="69"/>
      <c r="AX2353" s="69"/>
      <c r="AY2353" s="69"/>
      <c r="AZ2353" s="69"/>
      <c r="BA2353" s="69"/>
      <c r="BB2353" s="69"/>
      <c r="BC2353" s="69"/>
    </row>
    <row r="2354">
      <c r="A2354" s="68"/>
      <c r="B2354" s="68"/>
      <c r="C2354" s="68"/>
      <c r="D2354" s="68"/>
      <c r="E2354" s="68"/>
      <c r="F2354" s="68"/>
      <c r="G2354" s="68"/>
      <c r="H2354" s="68"/>
      <c r="I2354" s="69"/>
      <c r="J2354" s="69"/>
      <c r="K2354" s="71"/>
      <c r="L2354" s="69"/>
      <c r="M2354" s="69"/>
      <c r="N2354" s="72"/>
      <c r="O2354" s="69"/>
      <c r="P2354" s="69"/>
      <c r="Q2354" s="69"/>
      <c r="R2354" s="69"/>
      <c r="S2354" s="69"/>
      <c r="T2354" s="69"/>
      <c r="U2354" s="69"/>
      <c r="V2354" s="69"/>
      <c r="W2354" s="69"/>
      <c r="X2354" s="69"/>
      <c r="Y2354" s="69"/>
      <c r="Z2354" s="69"/>
      <c r="AA2354" s="69"/>
      <c r="AB2354" s="69"/>
      <c r="AC2354" s="69"/>
      <c r="AD2354" s="69"/>
      <c r="AE2354" s="69"/>
      <c r="AF2354" s="69"/>
      <c r="AG2354" s="69"/>
      <c r="AH2354" s="69"/>
      <c r="AI2354" s="69"/>
      <c r="AJ2354" s="69"/>
      <c r="AK2354" s="69"/>
      <c r="AL2354" s="69"/>
      <c r="AM2354" s="69"/>
      <c r="AN2354" s="69"/>
      <c r="AO2354" s="69"/>
      <c r="AP2354" s="69"/>
      <c r="AQ2354" s="69"/>
      <c r="AR2354" s="69"/>
      <c r="AS2354" s="69"/>
      <c r="AT2354" s="69"/>
      <c r="AU2354" s="69"/>
      <c r="AV2354" s="69"/>
      <c r="AW2354" s="69"/>
      <c r="AX2354" s="69"/>
      <c r="AY2354" s="69"/>
      <c r="AZ2354" s="69"/>
      <c r="BA2354" s="69"/>
      <c r="BB2354" s="69"/>
      <c r="BC2354" s="69"/>
    </row>
    <row r="2355">
      <c r="A2355" s="68"/>
      <c r="B2355" s="68"/>
      <c r="C2355" s="68"/>
      <c r="D2355" s="68"/>
      <c r="E2355" s="68"/>
      <c r="F2355" s="68"/>
      <c r="G2355" s="68"/>
      <c r="H2355" s="68"/>
      <c r="I2355" s="69"/>
      <c r="J2355" s="69"/>
      <c r="K2355" s="71"/>
      <c r="L2355" s="69"/>
      <c r="M2355" s="69"/>
      <c r="N2355" s="72"/>
      <c r="O2355" s="69"/>
      <c r="P2355" s="69"/>
      <c r="Q2355" s="69"/>
      <c r="R2355" s="69"/>
      <c r="S2355" s="69"/>
      <c r="T2355" s="69"/>
      <c r="U2355" s="69"/>
      <c r="V2355" s="69"/>
      <c r="W2355" s="69"/>
      <c r="X2355" s="69"/>
      <c r="Y2355" s="69"/>
      <c r="Z2355" s="69"/>
      <c r="AA2355" s="69"/>
      <c r="AB2355" s="69"/>
      <c r="AC2355" s="69"/>
      <c r="AD2355" s="69"/>
      <c r="AE2355" s="69"/>
      <c r="AF2355" s="69"/>
      <c r="AG2355" s="69"/>
      <c r="AH2355" s="69"/>
      <c r="AI2355" s="69"/>
      <c r="AJ2355" s="69"/>
      <c r="AK2355" s="69"/>
      <c r="AL2355" s="69"/>
      <c r="AM2355" s="69"/>
      <c r="AN2355" s="69"/>
      <c r="AO2355" s="69"/>
      <c r="AP2355" s="69"/>
      <c r="AQ2355" s="69"/>
      <c r="AR2355" s="69"/>
      <c r="AS2355" s="69"/>
      <c r="AT2355" s="69"/>
      <c r="AU2355" s="69"/>
      <c r="AV2355" s="69"/>
      <c r="AW2355" s="69"/>
      <c r="AX2355" s="69"/>
      <c r="AY2355" s="69"/>
      <c r="AZ2355" s="69"/>
      <c r="BA2355" s="69"/>
      <c r="BB2355" s="69"/>
      <c r="BC2355" s="69"/>
    </row>
    <row r="2356">
      <c r="A2356" s="68"/>
      <c r="B2356" s="68"/>
      <c r="C2356" s="68"/>
      <c r="D2356" s="68"/>
      <c r="E2356" s="68"/>
      <c r="F2356" s="68"/>
      <c r="G2356" s="68"/>
      <c r="H2356" s="68"/>
      <c r="I2356" s="69"/>
      <c r="J2356" s="69"/>
      <c r="K2356" s="71"/>
      <c r="L2356" s="69"/>
      <c r="M2356" s="69"/>
      <c r="N2356" s="72"/>
      <c r="O2356" s="69"/>
      <c r="P2356" s="69"/>
      <c r="Q2356" s="69"/>
      <c r="R2356" s="69"/>
      <c r="S2356" s="69"/>
      <c r="T2356" s="69"/>
      <c r="U2356" s="69"/>
      <c r="V2356" s="69"/>
      <c r="W2356" s="69"/>
      <c r="X2356" s="69"/>
      <c r="Y2356" s="69"/>
      <c r="Z2356" s="69"/>
      <c r="AA2356" s="69"/>
      <c r="AB2356" s="69"/>
      <c r="AC2356" s="69"/>
      <c r="AD2356" s="69"/>
      <c r="AE2356" s="69"/>
      <c r="AF2356" s="69"/>
      <c r="AG2356" s="69"/>
      <c r="AH2356" s="69"/>
      <c r="AI2356" s="69"/>
      <c r="AJ2356" s="69"/>
      <c r="AK2356" s="69"/>
      <c r="AL2356" s="69"/>
      <c r="AM2356" s="69"/>
      <c r="AN2356" s="69"/>
      <c r="AO2356" s="69"/>
      <c r="AP2356" s="69"/>
      <c r="AQ2356" s="69"/>
      <c r="AR2356" s="69"/>
      <c r="AS2356" s="69"/>
      <c r="AT2356" s="69"/>
      <c r="AU2356" s="69"/>
      <c r="AV2356" s="69"/>
      <c r="AW2356" s="69"/>
      <c r="AX2356" s="69"/>
      <c r="AY2356" s="69"/>
      <c r="AZ2356" s="69"/>
      <c r="BA2356" s="69"/>
      <c r="BB2356" s="69"/>
      <c r="BC2356" s="69"/>
    </row>
    <row r="2357">
      <c r="A2357" s="68"/>
      <c r="B2357" s="68"/>
      <c r="C2357" s="68"/>
      <c r="D2357" s="68"/>
      <c r="E2357" s="68"/>
      <c r="F2357" s="68"/>
      <c r="G2357" s="68"/>
      <c r="H2357" s="68"/>
      <c r="I2357" s="69"/>
      <c r="J2357" s="69"/>
      <c r="K2357" s="71"/>
      <c r="L2357" s="69"/>
      <c r="M2357" s="69"/>
      <c r="N2357" s="72"/>
      <c r="O2357" s="69"/>
      <c r="P2357" s="69"/>
      <c r="Q2357" s="69"/>
      <c r="R2357" s="69"/>
      <c r="S2357" s="69"/>
      <c r="T2357" s="69"/>
      <c r="U2357" s="69"/>
      <c r="V2357" s="69"/>
      <c r="W2357" s="69"/>
      <c r="X2357" s="69"/>
      <c r="Y2357" s="69"/>
      <c r="Z2357" s="69"/>
      <c r="AA2357" s="69"/>
      <c r="AB2357" s="69"/>
      <c r="AC2357" s="69"/>
      <c r="AD2357" s="69"/>
      <c r="AE2357" s="69"/>
      <c r="AF2357" s="69"/>
      <c r="AG2357" s="69"/>
      <c r="AH2357" s="69"/>
      <c r="AI2357" s="69"/>
      <c r="AJ2357" s="69"/>
      <c r="AK2357" s="69"/>
      <c r="AL2357" s="69"/>
      <c r="AM2357" s="69"/>
      <c r="AN2357" s="69"/>
      <c r="AO2357" s="69"/>
      <c r="AP2357" s="69"/>
      <c r="AQ2357" s="69"/>
      <c r="AR2357" s="69"/>
      <c r="AS2357" s="69"/>
      <c r="AT2357" s="69"/>
      <c r="AU2357" s="69"/>
      <c r="AV2357" s="69"/>
      <c r="AW2357" s="69"/>
      <c r="AX2357" s="69"/>
      <c r="AY2357" s="69"/>
      <c r="AZ2357" s="69"/>
      <c r="BA2357" s="69"/>
      <c r="BB2357" s="69"/>
      <c r="BC2357" s="69"/>
    </row>
    <row r="2358">
      <c r="A2358" s="68"/>
      <c r="B2358" s="68"/>
      <c r="C2358" s="68"/>
      <c r="D2358" s="68"/>
      <c r="E2358" s="68"/>
      <c r="F2358" s="68"/>
      <c r="G2358" s="68"/>
      <c r="H2358" s="68"/>
      <c r="I2358" s="69"/>
      <c r="J2358" s="69"/>
      <c r="K2358" s="71"/>
      <c r="L2358" s="69"/>
      <c r="M2358" s="69"/>
      <c r="N2358" s="72"/>
      <c r="O2358" s="69"/>
      <c r="P2358" s="69"/>
      <c r="Q2358" s="69"/>
      <c r="R2358" s="69"/>
      <c r="S2358" s="69"/>
      <c r="T2358" s="69"/>
      <c r="U2358" s="69"/>
      <c r="V2358" s="69"/>
      <c r="W2358" s="69"/>
      <c r="X2358" s="69"/>
      <c r="Y2358" s="69"/>
      <c r="Z2358" s="69"/>
      <c r="AA2358" s="69"/>
      <c r="AB2358" s="69"/>
      <c r="AC2358" s="69"/>
      <c r="AD2358" s="69"/>
      <c r="AE2358" s="69"/>
      <c r="AF2358" s="69"/>
      <c r="AG2358" s="69"/>
      <c r="AH2358" s="69"/>
      <c r="AI2358" s="69"/>
      <c r="AJ2358" s="69"/>
      <c r="AK2358" s="69"/>
      <c r="AL2358" s="69"/>
      <c r="AM2358" s="69"/>
      <c r="AN2358" s="69"/>
      <c r="AO2358" s="69"/>
      <c r="AP2358" s="69"/>
      <c r="AQ2358" s="69"/>
      <c r="AR2358" s="69"/>
      <c r="AS2358" s="69"/>
      <c r="AT2358" s="69"/>
      <c r="AU2358" s="69"/>
      <c r="AV2358" s="69"/>
      <c r="AW2358" s="69"/>
      <c r="AX2358" s="69"/>
      <c r="AY2358" s="69"/>
      <c r="AZ2358" s="69"/>
      <c r="BA2358" s="69"/>
      <c r="BB2358" s="69"/>
      <c r="BC2358" s="69"/>
    </row>
    <row r="2359">
      <c r="A2359" s="68"/>
      <c r="B2359" s="68"/>
      <c r="C2359" s="68"/>
      <c r="D2359" s="68"/>
      <c r="E2359" s="68"/>
      <c r="F2359" s="68"/>
      <c r="G2359" s="68"/>
      <c r="H2359" s="68"/>
      <c r="I2359" s="69"/>
      <c r="J2359" s="69"/>
      <c r="K2359" s="71"/>
      <c r="L2359" s="69"/>
      <c r="M2359" s="69"/>
      <c r="N2359" s="72"/>
      <c r="O2359" s="69"/>
      <c r="P2359" s="69"/>
      <c r="Q2359" s="69"/>
      <c r="R2359" s="69"/>
      <c r="S2359" s="69"/>
      <c r="T2359" s="69"/>
      <c r="U2359" s="69"/>
      <c r="V2359" s="69"/>
      <c r="W2359" s="69"/>
      <c r="X2359" s="69"/>
      <c r="Y2359" s="69"/>
      <c r="Z2359" s="69"/>
      <c r="AA2359" s="69"/>
      <c r="AB2359" s="69"/>
      <c r="AC2359" s="69"/>
      <c r="AD2359" s="69"/>
      <c r="AE2359" s="69"/>
      <c r="AF2359" s="69"/>
      <c r="AG2359" s="69"/>
      <c r="AH2359" s="69"/>
      <c r="AI2359" s="69"/>
      <c r="AJ2359" s="69"/>
      <c r="AK2359" s="69"/>
      <c r="AL2359" s="69"/>
      <c r="AM2359" s="69"/>
      <c r="AN2359" s="69"/>
      <c r="AO2359" s="69"/>
      <c r="AP2359" s="69"/>
      <c r="AQ2359" s="69"/>
      <c r="AR2359" s="69"/>
      <c r="AS2359" s="69"/>
      <c r="AT2359" s="69"/>
      <c r="AU2359" s="69"/>
      <c r="AV2359" s="69"/>
      <c r="AW2359" s="69"/>
      <c r="AX2359" s="69"/>
      <c r="AY2359" s="69"/>
      <c r="AZ2359" s="69"/>
      <c r="BA2359" s="69"/>
      <c r="BB2359" s="69"/>
      <c r="BC2359" s="69"/>
    </row>
    <row r="2360">
      <c r="A2360" s="68"/>
      <c r="B2360" s="68"/>
      <c r="C2360" s="68"/>
      <c r="D2360" s="68"/>
      <c r="E2360" s="68"/>
      <c r="F2360" s="68"/>
      <c r="G2360" s="68"/>
      <c r="H2360" s="68"/>
      <c r="I2360" s="69"/>
      <c r="J2360" s="69"/>
      <c r="K2360" s="71"/>
      <c r="L2360" s="69"/>
      <c r="M2360" s="69"/>
      <c r="N2360" s="72"/>
      <c r="O2360" s="69"/>
      <c r="P2360" s="69"/>
      <c r="Q2360" s="69"/>
      <c r="R2360" s="69"/>
      <c r="S2360" s="69"/>
      <c r="T2360" s="69"/>
      <c r="U2360" s="69"/>
      <c r="V2360" s="69"/>
      <c r="W2360" s="69"/>
      <c r="X2360" s="69"/>
      <c r="Y2360" s="69"/>
      <c r="Z2360" s="69"/>
      <c r="AA2360" s="69"/>
      <c r="AB2360" s="69"/>
      <c r="AC2360" s="69"/>
      <c r="AD2360" s="69"/>
      <c r="AE2360" s="69"/>
      <c r="AF2360" s="69"/>
      <c r="AG2360" s="69"/>
      <c r="AH2360" s="69"/>
      <c r="AI2360" s="69"/>
      <c r="AJ2360" s="69"/>
      <c r="AK2360" s="69"/>
      <c r="AL2360" s="69"/>
      <c r="AM2360" s="69"/>
      <c r="AN2360" s="69"/>
      <c r="AO2360" s="69"/>
      <c r="AP2360" s="69"/>
      <c r="AQ2360" s="69"/>
      <c r="AR2360" s="69"/>
      <c r="AS2360" s="69"/>
      <c r="AT2360" s="69"/>
      <c r="AU2360" s="69"/>
      <c r="AV2360" s="69"/>
      <c r="AW2360" s="69"/>
      <c r="AX2360" s="69"/>
      <c r="AY2360" s="69"/>
      <c r="AZ2360" s="69"/>
      <c r="BA2360" s="69"/>
      <c r="BB2360" s="69"/>
      <c r="BC2360" s="69"/>
    </row>
    <row r="2361">
      <c r="A2361" s="68"/>
      <c r="B2361" s="68"/>
      <c r="C2361" s="68"/>
      <c r="D2361" s="68"/>
      <c r="E2361" s="68"/>
      <c r="F2361" s="68"/>
      <c r="G2361" s="68"/>
      <c r="H2361" s="68"/>
      <c r="I2361" s="69"/>
      <c r="J2361" s="69"/>
      <c r="K2361" s="71"/>
      <c r="L2361" s="69"/>
      <c r="M2361" s="69"/>
      <c r="N2361" s="72"/>
      <c r="O2361" s="69"/>
      <c r="P2361" s="69"/>
      <c r="Q2361" s="69"/>
      <c r="R2361" s="69"/>
      <c r="S2361" s="69"/>
      <c r="T2361" s="69"/>
      <c r="U2361" s="69"/>
      <c r="V2361" s="69"/>
      <c r="W2361" s="69"/>
      <c r="X2361" s="69"/>
      <c r="Y2361" s="69"/>
      <c r="Z2361" s="69"/>
      <c r="AA2361" s="69"/>
      <c r="AB2361" s="69"/>
      <c r="AC2361" s="69"/>
      <c r="AD2361" s="69"/>
      <c r="AE2361" s="69"/>
      <c r="AF2361" s="69"/>
      <c r="AG2361" s="69"/>
      <c r="AH2361" s="69"/>
      <c r="AI2361" s="69"/>
      <c r="AJ2361" s="69"/>
      <c r="AK2361" s="69"/>
      <c r="AL2361" s="69"/>
      <c r="AM2361" s="69"/>
      <c r="AN2361" s="69"/>
      <c r="AO2361" s="69"/>
      <c r="AP2361" s="69"/>
      <c r="AQ2361" s="69"/>
      <c r="AR2361" s="69"/>
      <c r="AS2361" s="69"/>
      <c r="AT2361" s="69"/>
      <c r="AU2361" s="69"/>
      <c r="AV2361" s="69"/>
      <c r="AW2361" s="69"/>
      <c r="AX2361" s="69"/>
      <c r="AY2361" s="69"/>
      <c r="AZ2361" s="69"/>
      <c r="BA2361" s="69"/>
      <c r="BB2361" s="69"/>
      <c r="BC2361" s="69"/>
    </row>
    <row r="2362">
      <c r="A2362" s="68"/>
      <c r="B2362" s="68"/>
      <c r="C2362" s="68"/>
      <c r="D2362" s="68"/>
      <c r="E2362" s="68"/>
      <c r="F2362" s="68"/>
      <c r="G2362" s="68"/>
      <c r="H2362" s="68"/>
      <c r="I2362" s="69"/>
      <c r="J2362" s="69"/>
      <c r="K2362" s="71"/>
      <c r="L2362" s="69"/>
      <c r="M2362" s="69"/>
      <c r="N2362" s="72"/>
      <c r="O2362" s="69"/>
      <c r="P2362" s="69"/>
      <c r="Q2362" s="69"/>
      <c r="R2362" s="69"/>
      <c r="S2362" s="69"/>
      <c r="T2362" s="69"/>
      <c r="U2362" s="69"/>
      <c r="V2362" s="69"/>
      <c r="W2362" s="69"/>
      <c r="X2362" s="69"/>
      <c r="Y2362" s="69"/>
      <c r="Z2362" s="69"/>
      <c r="AA2362" s="69"/>
      <c r="AB2362" s="69"/>
      <c r="AC2362" s="69"/>
      <c r="AD2362" s="69"/>
      <c r="AE2362" s="69"/>
      <c r="AF2362" s="69"/>
      <c r="AG2362" s="69"/>
      <c r="AH2362" s="69"/>
      <c r="AI2362" s="69"/>
      <c r="AJ2362" s="69"/>
      <c r="AK2362" s="69"/>
      <c r="AL2362" s="69"/>
      <c r="AM2362" s="69"/>
      <c r="AN2362" s="69"/>
      <c r="AO2362" s="69"/>
      <c r="AP2362" s="69"/>
      <c r="AQ2362" s="69"/>
      <c r="AR2362" s="69"/>
      <c r="AS2362" s="69"/>
      <c r="AT2362" s="69"/>
      <c r="AU2362" s="69"/>
      <c r="AV2362" s="69"/>
      <c r="AW2362" s="69"/>
      <c r="AX2362" s="69"/>
      <c r="AY2362" s="69"/>
      <c r="AZ2362" s="69"/>
      <c r="BA2362" s="69"/>
      <c r="BB2362" s="69"/>
      <c r="BC2362" s="69"/>
    </row>
    <row r="2363">
      <c r="A2363" s="68"/>
      <c r="B2363" s="68"/>
      <c r="C2363" s="68"/>
      <c r="D2363" s="68"/>
      <c r="E2363" s="68"/>
      <c r="F2363" s="68"/>
      <c r="G2363" s="68"/>
      <c r="H2363" s="68"/>
      <c r="I2363" s="69"/>
      <c r="J2363" s="69"/>
      <c r="K2363" s="71"/>
      <c r="L2363" s="69"/>
      <c r="M2363" s="69"/>
      <c r="N2363" s="72"/>
      <c r="O2363" s="69"/>
      <c r="P2363" s="69"/>
      <c r="Q2363" s="69"/>
      <c r="R2363" s="69"/>
      <c r="S2363" s="69"/>
      <c r="T2363" s="69"/>
      <c r="U2363" s="69"/>
      <c r="V2363" s="69"/>
      <c r="W2363" s="69"/>
      <c r="X2363" s="69"/>
      <c r="Y2363" s="69"/>
      <c r="Z2363" s="69"/>
      <c r="AA2363" s="69"/>
      <c r="AB2363" s="69"/>
      <c r="AC2363" s="69"/>
      <c r="AD2363" s="69"/>
      <c r="AE2363" s="69"/>
      <c r="AF2363" s="69"/>
      <c r="AG2363" s="69"/>
      <c r="AH2363" s="69"/>
      <c r="AI2363" s="69"/>
      <c r="AJ2363" s="69"/>
      <c r="AK2363" s="69"/>
      <c r="AL2363" s="69"/>
      <c r="AM2363" s="69"/>
      <c r="AN2363" s="69"/>
      <c r="AO2363" s="69"/>
      <c r="AP2363" s="69"/>
      <c r="AQ2363" s="69"/>
      <c r="AR2363" s="69"/>
      <c r="AS2363" s="69"/>
      <c r="AT2363" s="69"/>
      <c r="AU2363" s="69"/>
      <c r="AV2363" s="69"/>
      <c r="AW2363" s="69"/>
      <c r="AX2363" s="69"/>
      <c r="AY2363" s="69"/>
      <c r="AZ2363" s="69"/>
      <c r="BA2363" s="69"/>
      <c r="BB2363" s="69"/>
      <c r="BC2363" s="69"/>
    </row>
    <row r="2364">
      <c r="A2364" s="68"/>
      <c r="B2364" s="68"/>
      <c r="C2364" s="68"/>
      <c r="D2364" s="68"/>
      <c r="E2364" s="68"/>
      <c r="F2364" s="68"/>
      <c r="G2364" s="68"/>
      <c r="H2364" s="68"/>
      <c r="I2364" s="69"/>
      <c r="J2364" s="69"/>
      <c r="K2364" s="71"/>
      <c r="L2364" s="69"/>
      <c r="M2364" s="69"/>
      <c r="N2364" s="72"/>
      <c r="O2364" s="69"/>
      <c r="P2364" s="69"/>
      <c r="Q2364" s="69"/>
      <c r="R2364" s="69"/>
      <c r="S2364" s="69"/>
      <c r="T2364" s="69"/>
      <c r="U2364" s="69"/>
      <c r="V2364" s="69"/>
      <c r="W2364" s="69"/>
      <c r="X2364" s="69"/>
      <c r="Y2364" s="69"/>
      <c r="Z2364" s="69"/>
      <c r="AA2364" s="69"/>
      <c r="AB2364" s="69"/>
      <c r="AC2364" s="69"/>
      <c r="AD2364" s="69"/>
      <c r="AE2364" s="69"/>
      <c r="AF2364" s="69"/>
      <c r="AG2364" s="69"/>
      <c r="AH2364" s="69"/>
      <c r="AI2364" s="69"/>
      <c r="AJ2364" s="69"/>
      <c r="AK2364" s="69"/>
      <c r="AL2364" s="69"/>
      <c r="AM2364" s="69"/>
      <c r="AN2364" s="69"/>
      <c r="AO2364" s="69"/>
      <c r="AP2364" s="69"/>
      <c r="AQ2364" s="69"/>
      <c r="AR2364" s="69"/>
      <c r="AS2364" s="69"/>
      <c r="AT2364" s="69"/>
      <c r="AU2364" s="69"/>
      <c r="AV2364" s="69"/>
      <c r="AW2364" s="69"/>
      <c r="AX2364" s="69"/>
      <c r="AY2364" s="69"/>
      <c r="AZ2364" s="69"/>
      <c r="BA2364" s="69"/>
      <c r="BB2364" s="69"/>
      <c r="BC2364" s="69"/>
    </row>
    <row r="2365">
      <c r="A2365" s="68"/>
      <c r="B2365" s="68"/>
      <c r="C2365" s="68"/>
      <c r="D2365" s="68"/>
      <c r="E2365" s="68"/>
      <c r="F2365" s="68"/>
      <c r="G2365" s="68"/>
      <c r="H2365" s="68"/>
      <c r="I2365" s="69"/>
      <c r="J2365" s="69"/>
      <c r="K2365" s="71"/>
      <c r="L2365" s="69"/>
      <c r="M2365" s="69"/>
      <c r="N2365" s="72"/>
      <c r="O2365" s="69"/>
      <c r="P2365" s="69"/>
      <c r="Q2365" s="69"/>
      <c r="R2365" s="69"/>
      <c r="S2365" s="69"/>
      <c r="T2365" s="69"/>
      <c r="U2365" s="69"/>
      <c r="V2365" s="69"/>
      <c r="W2365" s="69"/>
      <c r="X2365" s="69"/>
      <c r="Y2365" s="69"/>
      <c r="Z2365" s="69"/>
      <c r="AA2365" s="69"/>
      <c r="AB2365" s="69"/>
      <c r="AC2365" s="69"/>
      <c r="AD2365" s="69"/>
      <c r="AE2365" s="69"/>
      <c r="AF2365" s="69"/>
      <c r="AG2365" s="69"/>
      <c r="AH2365" s="69"/>
      <c r="AI2365" s="69"/>
      <c r="AJ2365" s="69"/>
      <c r="AK2365" s="69"/>
      <c r="AL2365" s="69"/>
      <c r="AM2365" s="69"/>
      <c r="AN2365" s="69"/>
      <c r="AO2365" s="69"/>
      <c r="AP2365" s="69"/>
      <c r="AQ2365" s="69"/>
      <c r="AR2365" s="69"/>
      <c r="AS2365" s="69"/>
      <c r="AT2365" s="69"/>
      <c r="AU2365" s="69"/>
      <c r="AV2365" s="69"/>
      <c r="AW2365" s="69"/>
      <c r="AX2365" s="69"/>
      <c r="AY2365" s="69"/>
      <c r="AZ2365" s="69"/>
      <c r="BA2365" s="69"/>
      <c r="BB2365" s="69"/>
      <c r="BC2365" s="69"/>
    </row>
    <row r="2366">
      <c r="A2366" s="68"/>
      <c r="B2366" s="68"/>
      <c r="C2366" s="68"/>
      <c r="D2366" s="68"/>
      <c r="E2366" s="68"/>
      <c r="F2366" s="68"/>
      <c r="G2366" s="68"/>
      <c r="H2366" s="68"/>
      <c r="I2366" s="69"/>
      <c r="J2366" s="69"/>
      <c r="K2366" s="71"/>
      <c r="L2366" s="69"/>
      <c r="M2366" s="69"/>
      <c r="N2366" s="72"/>
      <c r="O2366" s="69"/>
      <c r="P2366" s="69"/>
      <c r="Q2366" s="69"/>
      <c r="R2366" s="69"/>
      <c r="S2366" s="69"/>
      <c r="T2366" s="69"/>
      <c r="U2366" s="69"/>
      <c r="V2366" s="69"/>
      <c r="W2366" s="69"/>
      <c r="X2366" s="69"/>
      <c r="Y2366" s="69"/>
      <c r="Z2366" s="69"/>
      <c r="AA2366" s="69"/>
      <c r="AB2366" s="69"/>
      <c r="AC2366" s="69"/>
      <c r="AD2366" s="69"/>
      <c r="AE2366" s="69"/>
      <c r="AF2366" s="69"/>
      <c r="AG2366" s="69"/>
      <c r="AH2366" s="69"/>
      <c r="AI2366" s="69"/>
      <c r="AJ2366" s="69"/>
      <c r="AK2366" s="69"/>
      <c r="AL2366" s="69"/>
      <c r="AM2366" s="69"/>
      <c r="AN2366" s="69"/>
      <c r="AO2366" s="69"/>
      <c r="AP2366" s="69"/>
      <c r="AQ2366" s="69"/>
      <c r="AR2366" s="69"/>
      <c r="AS2366" s="69"/>
      <c r="AT2366" s="69"/>
      <c r="AU2366" s="69"/>
      <c r="AV2366" s="69"/>
      <c r="AW2366" s="69"/>
      <c r="AX2366" s="69"/>
      <c r="AY2366" s="69"/>
      <c r="AZ2366" s="69"/>
      <c r="BA2366" s="69"/>
      <c r="BB2366" s="69"/>
      <c r="BC2366" s="69"/>
    </row>
    <row r="2367">
      <c r="A2367" s="68"/>
      <c r="B2367" s="68"/>
      <c r="C2367" s="68"/>
      <c r="D2367" s="68"/>
      <c r="E2367" s="68"/>
      <c r="F2367" s="68"/>
      <c r="G2367" s="68"/>
      <c r="H2367" s="68"/>
      <c r="I2367" s="69"/>
      <c r="J2367" s="69"/>
      <c r="K2367" s="71"/>
      <c r="L2367" s="69"/>
      <c r="M2367" s="69"/>
      <c r="N2367" s="72"/>
      <c r="O2367" s="69"/>
      <c r="P2367" s="69"/>
      <c r="Q2367" s="69"/>
      <c r="R2367" s="69"/>
      <c r="S2367" s="69"/>
      <c r="T2367" s="69"/>
      <c r="U2367" s="69"/>
      <c r="V2367" s="69"/>
      <c r="W2367" s="69"/>
      <c r="X2367" s="69"/>
      <c r="Y2367" s="69"/>
      <c r="Z2367" s="69"/>
      <c r="AA2367" s="69"/>
      <c r="AB2367" s="69"/>
      <c r="AC2367" s="69"/>
      <c r="AD2367" s="69"/>
      <c r="AE2367" s="69"/>
      <c r="AF2367" s="69"/>
      <c r="AG2367" s="69"/>
      <c r="AH2367" s="69"/>
      <c r="AI2367" s="69"/>
      <c r="AJ2367" s="69"/>
      <c r="AK2367" s="69"/>
      <c r="AL2367" s="69"/>
      <c r="AM2367" s="69"/>
      <c r="AN2367" s="69"/>
      <c r="AO2367" s="69"/>
      <c r="AP2367" s="69"/>
      <c r="AQ2367" s="69"/>
      <c r="AR2367" s="69"/>
      <c r="AS2367" s="69"/>
      <c r="AT2367" s="69"/>
      <c r="AU2367" s="69"/>
      <c r="AV2367" s="69"/>
      <c r="AW2367" s="69"/>
      <c r="AX2367" s="69"/>
      <c r="AY2367" s="69"/>
      <c r="AZ2367" s="69"/>
      <c r="BA2367" s="69"/>
      <c r="BB2367" s="69"/>
      <c r="BC2367" s="69"/>
    </row>
    <row r="2368">
      <c r="A2368" s="68"/>
      <c r="B2368" s="68"/>
      <c r="C2368" s="68"/>
      <c r="D2368" s="68"/>
      <c r="E2368" s="68"/>
      <c r="F2368" s="68"/>
      <c r="G2368" s="68"/>
      <c r="H2368" s="68"/>
      <c r="I2368" s="69"/>
      <c r="J2368" s="69"/>
      <c r="K2368" s="71"/>
      <c r="L2368" s="69"/>
      <c r="M2368" s="69"/>
      <c r="N2368" s="72"/>
      <c r="O2368" s="69"/>
      <c r="P2368" s="69"/>
      <c r="Q2368" s="69"/>
      <c r="R2368" s="69"/>
      <c r="S2368" s="69"/>
      <c r="T2368" s="69"/>
      <c r="U2368" s="69"/>
      <c r="V2368" s="69"/>
      <c r="W2368" s="69"/>
      <c r="X2368" s="69"/>
      <c r="Y2368" s="69"/>
      <c r="Z2368" s="69"/>
      <c r="AA2368" s="69"/>
      <c r="AB2368" s="69"/>
      <c r="AC2368" s="69"/>
      <c r="AD2368" s="69"/>
      <c r="AE2368" s="69"/>
      <c r="AF2368" s="69"/>
      <c r="AG2368" s="69"/>
      <c r="AH2368" s="69"/>
      <c r="AI2368" s="69"/>
      <c r="AJ2368" s="69"/>
      <c r="AK2368" s="69"/>
      <c r="AL2368" s="69"/>
      <c r="AM2368" s="69"/>
      <c r="AN2368" s="69"/>
      <c r="AO2368" s="69"/>
      <c r="AP2368" s="69"/>
      <c r="AQ2368" s="69"/>
      <c r="AR2368" s="69"/>
      <c r="AS2368" s="69"/>
      <c r="AT2368" s="69"/>
      <c r="AU2368" s="69"/>
      <c r="AV2368" s="69"/>
      <c r="AW2368" s="69"/>
      <c r="AX2368" s="69"/>
      <c r="AY2368" s="69"/>
      <c r="AZ2368" s="69"/>
      <c r="BA2368" s="69"/>
      <c r="BB2368" s="69"/>
      <c r="BC2368" s="69"/>
    </row>
    <row r="2369">
      <c r="A2369" s="68"/>
      <c r="B2369" s="68"/>
      <c r="C2369" s="68"/>
      <c r="D2369" s="68"/>
      <c r="E2369" s="68"/>
      <c r="F2369" s="68"/>
      <c r="G2369" s="68"/>
      <c r="H2369" s="68"/>
      <c r="I2369" s="69"/>
      <c r="J2369" s="69"/>
      <c r="K2369" s="71"/>
      <c r="L2369" s="69"/>
      <c r="M2369" s="69"/>
      <c r="N2369" s="72"/>
      <c r="O2369" s="69"/>
      <c r="P2369" s="69"/>
      <c r="Q2369" s="69"/>
      <c r="R2369" s="69"/>
      <c r="S2369" s="69"/>
      <c r="T2369" s="69"/>
      <c r="U2369" s="69"/>
      <c r="V2369" s="69"/>
      <c r="W2369" s="69"/>
      <c r="X2369" s="69"/>
      <c r="Y2369" s="69"/>
      <c r="Z2369" s="69"/>
      <c r="AA2369" s="69"/>
      <c r="AB2369" s="69"/>
      <c r="AC2369" s="69"/>
      <c r="AD2369" s="69"/>
      <c r="AE2369" s="69"/>
      <c r="AF2369" s="69"/>
      <c r="AG2369" s="69"/>
      <c r="AH2369" s="69"/>
      <c r="AI2369" s="69"/>
      <c r="AJ2369" s="69"/>
      <c r="AK2369" s="69"/>
      <c r="AL2369" s="69"/>
      <c r="AM2369" s="69"/>
      <c r="AN2369" s="69"/>
      <c r="AO2369" s="69"/>
      <c r="AP2369" s="69"/>
      <c r="AQ2369" s="69"/>
      <c r="AR2369" s="69"/>
      <c r="AS2369" s="69"/>
      <c r="AT2369" s="69"/>
      <c r="AU2369" s="69"/>
      <c r="AV2369" s="69"/>
      <c r="AW2369" s="69"/>
      <c r="AX2369" s="69"/>
      <c r="AY2369" s="69"/>
      <c r="AZ2369" s="69"/>
      <c r="BA2369" s="69"/>
      <c r="BB2369" s="69"/>
      <c r="BC2369" s="69"/>
    </row>
    <row r="2370">
      <c r="A2370" s="68"/>
      <c r="B2370" s="68"/>
      <c r="C2370" s="68"/>
      <c r="D2370" s="68"/>
      <c r="E2370" s="68"/>
      <c r="F2370" s="68"/>
      <c r="G2370" s="68"/>
      <c r="H2370" s="68"/>
      <c r="I2370" s="69"/>
      <c r="J2370" s="69"/>
      <c r="K2370" s="71"/>
      <c r="L2370" s="69"/>
      <c r="M2370" s="69"/>
      <c r="N2370" s="72"/>
      <c r="O2370" s="69"/>
      <c r="P2370" s="69"/>
      <c r="Q2370" s="69"/>
      <c r="R2370" s="69"/>
      <c r="S2370" s="69"/>
      <c r="T2370" s="69"/>
      <c r="U2370" s="69"/>
      <c r="V2370" s="69"/>
      <c r="W2370" s="69"/>
      <c r="X2370" s="69"/>
      <c r="Y2370" s="69"/>
      <c r="Z2370" s="69"/>
      <c r="AA2370" s="69"/>
      <c r="AB2370" s="69"/>
      <c r="AC2370" s="69"/>
      <c r="AD2370" s="69"/>
      <c r="AE2370" s="69"/>
      <c r="AF2370" s="69"/>
      <c r="AG2370" s="69"/>
      <c r="AH2370" s="69"/>
      <c r="AI2370" s="69"/>
      <c r="AJ2370" s="69"/>
      <c r="AK2370" s="69"/>
      <c r="AL2370" s="69"/>
      <c r="AM2370" s="69"/>
      <c r="AN2370" s="69"/>
      <c r="AO2370" s="69"/>
      <c r="AP2370" s="69"/>
      <c r="AQ2370" s="69"/>
      <c r="AR2370" s="69"/>
      <c r="AS2370" s="69"/>
      <c r="AT2370" s="69"/>
      <c r="AU2370" s="69"/>
      <c r="AV2370" s="69"/>
      <c r="AW2370" s="69"/>
      <c r="AX2370" s="69"/>
      <c r="AY2370" s="69"/>
      <c r="AZ2370" s="69"/>
      <c r="BA2370" s="69"/>
      <c r="BB2370" s="69"/>
      <c r="BC2370" s="69"/>
    </row>
    <row r="2371">
      <c r="A2371" s="68"/>
      <c r="B2371" s="68"/>
      <c r="C2371" s="68"/>
      <c r="D2371" s="68"/>
      <c r="E2371" s="68"/>
      <c r="F2371" s="68"/>
      <c r="G2371" s="68"/>
      <c r="H2371" s="68"/>
      <c r="I2371" s="69"/>
      <c r="J2371" s="69"/>
      <c r="K2371" s="71"/>
      <c r="L2371" s="69"/>
      <c r="M2371" s="69"/>
      <c r="N2371" s="72"/>
      <c r="O2371" s="69"/>
      <c r="P2371" s="69"/>
      <c r="Q2371" s="69"/>
      <c r="R2371" s="69"/>
      <c r="S2371" s="69"/>
      <c r="T2371" s="69"/>
      <c r="U2371" s="69"/>
      <c r="V2371" s="69"/>
      <c r="W2371" s="69"/>
      <c r="X2371" s="69"/>
      <c r="Y2371" s="69"/>
      <c r="Z2371" s="69"/>
      <c r="AA2371" s="69"/>
      <c r="AB2371" s="69"/>
      <c r="AC2371" s="69"/>
      <c r="AD2371" s="69"/>
      <c r="AE2371" s="69"/>
      <c r="AF2371" s="69"/>
      <c r="AG2371" s="69"/>
      <c r="AH2371" s="69"/>
      <c r="AI2371" s="69"/>
      <c r="AJ2371" s="69"/>
      <c r="AK2371" s="69"/>
      <c r="AL2371" s="69"/>
      <c r="AM2371" s="69"/>
      <c r="AN2371" s="69"/>
      <c r="AO2371" s="69"/>
      <c r="AP2371" s="69"/>
      <c r="AQ2371" s="69"/>
      <c r="AR2371" s="69"/>
      <c r="AS2371" s="69"/>
      <c r="AT2371" s="69"/>
      <c r="AU2371" s="69"/>
      <c r="AV2371" s="69"/>
      <c r="AW2371" s="69"/>
      <c r="AX2371" s="69"/>
      <c r="AY2371" s="69"/>
      <c r="AZ2371" s="69"/>
      <c r="BA2371" s="69"/>
      <c r="BB2371" s="69"/>
      <c r="BC2371" s="69"/>
    </row>
    <row r="2372">
      <c r="A2372" s="68"/>
      <c r="B2372" s="68"/>
      <c r="C2372" s="68"/>
      <c r="D2372" s="68"/>
      <c r="E2372" s="68"/>
      <c r="F2372" s="68"/>
      <c r="G2372" s="68"/>
      <c r="H2372" s="68"/>
      <c r="I2372" s="69"/>
      <c r="J2372" s="69"/>
      <c r="K2372" s="71"/>
      <c r="L2372" s="69"/>
      <c r="M2372" s="69"/>
      <c r="N2372" s="72"/>
      <c r="O2372" s="69"/>
      <c r="P2372" s="69"/>
      <c r="Q2372" s="69"/>
      <c r="R2372" s="69"/>
      <c r="S2372" s="69"/>
      <c r="T2372" s="69"/>
      <c r="U2372" s="69"/>
      <c r="V2372" s="69"/>
      <c r="W2372" s="69"/>
      <c r="X2372" s="69"/>
      <c r="Y2372" s="69"/>
      <c r="Z2372" s="69"/>
      <c r="AA2372" s="69"/>
      <c r="AB2372" s="69"/>
      <c r="AC2372" s="69"/>
      <c r="AD2372" s="69"/>
      <c r="AE2372" s="69"/>
      <c r="AF2372" s="69"/>
      <c r="AG2372" s="69"/>
      <c r="AH2372" s="69"/>
      <c r="AI2372" s="69"/>
      <c r="AJ2372" s="69"/>
      <c r="AK2372" s="69"/>
      <c r="AL2372" s="69"/>
      <c r="AM2372" s="69"/>
      <c r="AN2372" s="69"/>
      <c r="AO2372" s="69"/>
      <c r="AP2372" s="69"/>
      <c r="AQ2372" s="69"/>
      <c r="AR2372" s="69"/>
      <c r="AS2372" s="69"/>
      <c r="AT2372" s="69"/>
      <c r="AU2372" s="69"/>
      <c r="AV2372" s="69"/>
      <c r="AW2372" s="69"/>
      <c r="AX2372" s="69"/>
      <c r="AY2372" s="69"/>
      <c r="AZ2372" s="69"/>
      <c r="BA2372" s="69"/>
      <c r="BB2372" s="69"/>
      <c r="BC2372" s="69"/>
    </row>
    <row r="2373">
      <c r="A2373" s="68"/>
      <c r="B2373" s="68"/>
      <c r="C2373" s="68"/>
      <c r="D2373" s="68"/>
      <c r="E2373" s="68"/>
      <c r="F2373" s="68"/>
      <c r="G2373" s="68"/>
      <c r="H2373" s="68"/>
      <c r="I2373" s="69"/>
      <c r="J2373" s="69"/>
      <c r="K2373" s="71"/>
      <c r="L2373" s="69"/>
      <c r="M2373" s="69"/>
      <c r="N2373" s="72"/>
      <c r="O2373" s="69"/>
      <c r="P2373" s="69"/>
      <c r="Q2373" s="69"/>
      <c r="R2373" s="69"/>
      <c r="S2373" s="69"/>
      <c r="T2373" s="69"/>
      <c r="U2373" s="69"/>
      <c r="V2373" s="69"/>
      <c r="W2373" s="69"/>
      <c r="X2373" s="69"/>
      <c r="Y2373" s="69"/>
      <c r="Z2373" s="69"/>
      <c r="AA2373" s="69"/>
      <c r="AB2373" s="69"/>
      <c r="AC2373" s="69"/>
      <c r="AD2373" s="69"/>
      <c r="AE2373" s="69"/>
      <c r="AF2373" s="69"/>
      <c r="AG2373" s="69"/>
      <c r="AH2373" s="69"/>
      <c r="AI2373" s="69"/>
      <c r="AJ2373" s="69"/>
      <c r="AK2373" s="69"/>
      <c r="AL2373" s="69"/>
      <c r="AM2373" s="69"/>
      <c r="AN2373" s="69"/>
      <c r="AO2373" s="69"/>
      <c r="AP2373" s="69"/>
      <c r="AQ2373" s="69"/>
      <c r="AR2373" s="69"/>
      <c r="AS2373" s="69"/>
      <c r="AT2373" s="69"/>
      <c r="AU2373" s="69"/>
      <c r="AV2373" s="69"/>
      <c r="AW2373" s="69"/>
      <c r="AX2373" s="69"/>
      <c r="AY2373" s="69"/>
      <c r="AZ2373" s="69"/>
      <c r="BA2373" s="69"/>
      <c r="BB2373" s="69"/>
      <c r="BC2373" s="69"/>
    </row>
    <row r="2374">
      <c r="A2374" s="68"/>
      <c r="B2374" s="68"/>
      <c r="C2374" s="68"/>
      <c r="D2374" s="68"/>
      <c r="E2374" s="68"/>
      <c r="F2374" s="68"/>
      <c r="G2374" s="68"/>
      <c r="H2374" s="68"/>
      <c r="I2374" s="69"/>
      <c r="J2374" s="69"/>
      <c r="K2374" s="71"/>
      <c r="L2374" s="69"/>
      <c r="M2374" s="69"/>
      <c r="N2374" s="72"/>
      <c r="O2374" s="69"/>
      <c r="P2374" s="69"/>
      <c r="Q2374" s="69"/>
      <c r="R2374" s="69"/>
      <c r="S2374" s="69"/>
      <c r="T2374" s="69"/>
      <c r="U2374" s="69"/>
      <c r="V2374" s="69"/>
      <c r="W2374" s="69"/>
      <c r="X2374" s="69"/>
      <c r="Y2374" s="69"/>
      <c r="Z2374" s="69"/>
      <c r="AA2374" s="69"/>
      <c r="AB2374" s="69"/>
      <c r="AC2374" s="69"/>
      <c r="AD2374" s="69"/>
      <c r="AE2374" s="69"/>
      <c r="AF2374" s="69"/>
      <c r="AG2374" s="69"/>
      <c r="AH2374" s="69"/>
      <c r="AI2374" s="69"/>
      <c r="AJ2374" s="69"/>
      <c r="AK2374" s="69"/>
      <c r="AL2374" s="69"/>
      <c r="AM2374" s="69"/>
      <c r="AN2374" s="69"/>
      <c r="AO2374" s="69"/>
      <c r="AP2374" s="69"/>
      <c r="AQ2374" s="69"/>
      <c r="AR2374" s="69"/>
      <c r="AS2374" s="69"/>
      <c r="AT2374" s="69"/>
      <c r="AU2374" s="69"/>
      <c r="AV2374" s="69"/>
      <c r="AW2374" s="69"/>
      <c r="AX2374" s="69"/>
      <c r="AY2374" s="69"/>
      <c r="AZ2374" s="69"/>
      <c r="BA2374" s="69"/>
      <c r="BB2374" s="69"/>
      <c r="BC2374" s="69"/>
    </row>
    <row r="2375">
      <c r="A2375" s="68"/>
      <c r="B2375" s="68"/>
      <c r="C2375" s="68"/>
      <c r="D2375" s="68"/>
      <c r="E2375" s="68"/>
      <c r="F2375" s="68"/>
      <c r="G2375" s="68"/>
      <c r="H2375" s="68"/>
      <c r="I2375" s="69"/>
      <c r="J2375" s="69"/>
      <c r="K2375" s="71"/>
      <c r="L2375" s="69"/>
      <c r="M2375" s="69"/>
      <c r="N2375" s="72"/>
      <c r="O2375" s="69"/>
      <c r="P2375" s="69"/>
      <c r="Q2375" s="69"/>
      <c r="R2375" s="69"/>
      <c r="S2375" s="69"/>
      <c r="T2375" s="69"/>
      <c r="U2375" s="69"/>
      <c r="V2375" s="69"/>
      <c r="W2375" s="69"/>
      <c r="X2375" s="69"/>
      <c r="Y2375" s="69"/>
      <c r="Z2375" s="69"/>
      <c r="AA2375" s="69"/>
      <c r="AB2375" s="69"/>
      <c r="AC2375" s="69"/>
      <c r="AD2375" s="69"/>
      <c r="AE2375" s="69"/>
      <c r="AF2375" s="69"/>
      <c r="AG2375" s="69"/>
      <c r="AH2375" s="69"/>
      <c r="AI2375" s="69"/>
      <c r="AJ2375" s="69"/>
      <c r="AK2375" s="69"/>
      <c r="AL2375" s="69"/>
      <c r="AM2375" s="69"/>
      <c r="AN2375" s="69"/>
      <c r="AO2375" s="69"/>
      <c r="AP2375" s="69"/>
      <c r="AQ2375" s="69"/>
      <c r="AR2375" s="69"/>
      <c r="AS2375" s="69"/>
      <c r="AT2375" s="69"/>
      <c r="AU2375" s="69"/>
      <c r="AV2375" s="69"/>
      <c r="AW2375" s="69"/>
      <c r="AX2375" s="69"/>
      <c r="AY2375" s="69"/>
      <c r="AZ2375" s="69"/>
      <c r="BA2375" s="69"/>
      <c r="BB2375" s="69"/>
      <c r="BC2375" s="69"/>
    </row>
    <row r="2376">
      <c r="A2376" s="68"/>
      <c r="B2376" s="68"/>
      <c r="C2376" s="68"/>
      <c r="D2376" s="68"/>
      <c r="E2376" s="68"/>
      <c r="F2376" s="68"/>
      <c r="G2376" s="68"/>
      <c r="H2376" s="68"/>
      <c r="I2376" s="69"/>
      <c r="J2376" s="69"/>
      <c r="K2376" s="71"/>
      <c r="L2376" s="69"/>
      <c r="M2376" s="69"/>
      <c r="N2376" s="72"/>
      <c r="O2376" s="69"/>
      <c r="P2376" s="69"/>
      <c r="Q2376" s="69"/>
      <c r="R2376" s="69"/>
      <c r="S2376" s="69"/>
      <c r="T2376" s="69"/>
      <c r="U2376" s="69"/>
      <c r="V2376" s="69"/>
      <c r="W2376" s="69"/>
      <c r="X2376" s="69"/>
      <c r="Y2376" s="69"/>
      <c r="Z2376" s="69"/>
      <c r="AA2376" s="69"/>
      <c r="AB2376" s="69"/>
      <c r="AC2376" s="69"/>
      <c r="AD2376" s="69"/>
      <c r="AE2376" s="69"/>
      <c r="AF2376" s="69"/>
      <c r="AG2376" s="69"/>
      <c r="AH2376" s="69"/>
      <c r="AI2376" s="69"/>
      <c r="AJ2376" s="69"/>
      <c r="AK2376" s="69"/>
      <c r="AL2376" s="69"/>
      <c r="AM2376" s="69"/>
      <c r="AN2376" s="69"/>
      <c r="AO2376" s="69"/>
      <c r="AP2376" s="69"/>
      <c r="AQ2376" s="69"/>
      <c r="AR2376" s="69"/>
      <c r="AS2376" s="69"/>
      <c r="AT2376" s="69"/>
      <c r="AU2376" s="69"/>
      <c r="AV2376" s="69"/>
      <c r="AW2376" s="69"/>
      <c r="AX2376" s="69"/>
      <c r="AY2376" s="69"/>
      <c r="AZ2376" s="69"/>
      <c r="BA2376" s="69"/>
      <c r="BB2376" s="69"/>
      <c r="BC2376" s="69"/>
    </row>
    <row r="2377">
      <c r="A2377" s="68"/>
      <c r="B2377" s="68"/>
      <c r="C2377" s="68"/>
      <c r="D2377" s="68"/>
      <c r="E2377" s="68"/>
      <c r="F2377" s="68"/>
      <c r="G2377" s="68"/>
      <c r="H2377" s="68"/>
      <c r="I2377" s="69"/>
      <c r="J2377" s="69"/>
      <c r="K2377" s="71"/>
      <c r="L2377" s="69"/>
      <c r="M2377" s="69"/>
      <c r="N2377" s="72"/>
      <c r="O2377" s="69"/>
      <c r="P2377" s="69"/>
      <c r="Q2377" s="69"/>
      <c r="R2377" s="69"/>
      <c r="S2377" s="69"/>
      <c r="T2377" s="69"/>
      <c r="U2377" s="69"/>
      <c r="V2377" s="69"/>
      <c r="W2377" s="69"/>
      <c r="X2377" s="69"/>
      <c r="Y2377" s="69"/>
      <c r="Z2377" s="69"/>
      <c r="AA2377" s="69"/>
      <c r="AB2377" s="69"/>
      <c r="AC2377" s="69"/>
      <c r="AD2377" s="69"/>
      <c r="AE2377" s="69"/>
      <c r="AF2377" s="69"/>
      <c r="AG2377" s="69"/>
      <c r="AH2377" s="69"/>
      <c r="AI2377" s="69"/>
      <c r="AJ2377" s="69"/>
      <c r="AK2377" s="69"/>
      <c r="AL2377" s="69"/>
      <c r="AM2377" s="69"/>
      <c r="AN2377" s="69"/>
      <c r="AO2377" s="69"/>
      <c r="AP2377" s="69"/>
      <c r="AQ2377" s="69"/>
      <c r="AR2377" s="69"/>
      <c r="AS2377" s="69"/>
      <c r="AT2377" s="69"/>
      <c r="AU2377" s="69"/>
      <c r="AV2377" s="69"/>
      <c r="AW2377" s="69"/>
      <c r="AX2377" s="69"/>
      <c r="AY2377" s="69"/>
      <c r="AZ2377" s="69"/>
      <c r="BA2377" s="69"/>
      <c r="BB2377" s="69"/>
      <c r="BC2377" s="69"/>
    </row>
    <row r="2378">
      <c r="A2378" s="68"/>
      <c r="B2378" s="68"/>
      <c r="C2378" s="68"/>
      <c r="D2378" s="68"/>
      <c r="E2378" s="68"/>
      <c r="F2378" s="68"/>
      <c r="G2378" s="68"/>
      <c r="H2378" s="68"/>
      <c r="I2378" s="69"/>
      <c r="J2378" s="69"/>
      <c r="K2378" s="71"/>
      <c r="L2378" s="69"/>
      <c r="M2378" s="69"/>
      <c r="N2378" s="72"/>
      <c r="O2378" s="69"/>
      <c r="P2378" s="69"/>
      <c r="Q2378" s="69"/>
      <c r="R2378" s="69"/>
      <c r="S2378" s="69"/>
      <c r="T2378" s="69"/>
      <c r="U2378" s="69"/>
      <c r="V2378" s="69"/>
      <c r="W2378" s="69"/>
      <c r="X2378" s="69"/>
      <c r="Y2378" s="69"/>
      <c r="Z2378" s="69"/>
      <c r="AA2378" s="69"/>
      <c r="AB2378" s="69"/>
      <c r="AC2378" s="69"/>
      <c r="AD2378" s="69"/>
      <c r="AE2378" s="69"/>
      <c r="AF2378" s="69"/>
      <c r="AG2378" s="69"/>
      <c r="AH2378" s="69"/>
      <c r="AI2378" s="69"/>
      <c r="AJ2378" s="69"/>
      <c r="AK2378" s="69"/>
      <c r="AL2378" s="69"/>
      <c r="AM2378" s="69"/>
      <c r="AN2378" s="69"/>
      <c r="AO2378" s="69"/>
      <c r="AP2378" s="69"/>
      <c r="AQ2378" s="69"/>
      <c r="AR2378" s="69"/>
      <c r="AS2378" s="69"/>
      <c r="AT2378" s="69"/>
      <c r="AU2378" s="69"/>
      <c r="AV2378" s="69"/>
      <c r="AW2378" s="69"/>
      <c r="AX2378" s="69"/>
      <c r="AY2378" s="69"/>
      <c r="AZ2378" s="69"/>
      <c r="BA2378" s="69"/>
      <c r="BB2378" s="69"/>
      <c r="BC2378" s="69"/>
    </row>
    <row r="2379">
      <c r="A2379" s="68"/>
      <c r="B2379" s="68"/>
      <c r="C2379" s="68"/>
      <c r="D2379" s="68"/>
      <c r="E2379" s="68"/>
      <c r="F2379" s="68"/>
      <c r="G2379" s="68"/>
      <c r="H2379" s="68"/>
      <c r="I2379" s="69"/>
      <c r="J2379" s="69"/>
      <c r="K2379" s="71"/>
      <c r="L2379" s="69"/>
      <c r="M2379" s="69"/>
      <c r="N2379" s="72"/>
      <c r="O2379" s="69"/>
      <c r="P2379" s="69"/>
      <c r="Q2379" s="69"/>
      <c r="R2379" s="69"/>
      <c r="S2379" s="69"/>
      <c r="T2379" s="69"/>
      <c r="U2379" s="69"/>
      <c r="V2379" s="69"/>
      <c r="W2379" s="69"/>
      <c r="X2379" s="69"/>
      <c r="Y2379" s="69"/>
      <c r="Z2379" s="69"/>
      <c r="AA2379" s="69"/>
      <c r="AB2379" s="69"/>
      <c r="AC2379" s="69"/>
      <c r="AD2379" s="69"/>
      <c r="AE2379" s="69"/>
      <c r="AF2379" s="69"/>
      <c r="AG2379" s="69"/>
      <c r="AH2379" s="69"/>
      <c r="AI2379" s="69"/>
      <c r="AJ2379" s="69"/>
      <c r="AK2379" s="69"/>
      <c r="AL2379" s="69"/>
      <c r="AM2379" s="69"/>
      <c r="AN2379" s="69"/>
      <c r="AO2379" s="69"/>
      <c r="AP2379" s="69"/>
      <c r="AQ2379" s="69"/>
      <c r="AR2379" s="69"/>
      <c r="AS2379" s="69"/>
      <c r="AT2379" s="69"/>
      <c r="AU2379" s="69"/>
      <c r="AV2379" s="69"/>
      <c r="AW2379" s="69"/>
      <c r="AX2379" s="69"/>
      <c r="AY2379" s="69"/>
      <c r="AZ2379" s="69"/>
      <c r="BA2379" s="69"/>
      <c r="BB2379" s="69"/>
      <c r="BC2379" s="69"/>
    </row>
    <row r="2380">
      <c r="A2380" s="68"/>
      <c r="B2380" s="68"/>
      <c r="C2380" s="68"/>
      <c r="D2380" s="68"/>
      <c r="E2380" s="68"/>
      <c r="F2380" s="68"/>
      <c r="G2380" s="68"/>
      <c r="H2380" s="68"/>
      <c r="I2380" s="69"/>
      <c r="J2380" s="69"/>
      <c r="K2380" s="71"/>
      <c r="L2380" s="69"/>
      <c r="M2380" s="69"/>
      <c r="N2380" s="72"/>
      <c r="O2380" s="69"/>
      <c r="P2380" s="69"/>
      <c r="Q2380" s="69"/>
      <c r="R2380" s="69"/>
      <c r="S2380" s="69"/>
      <c r="T2380" s="69"/>
      <c r="U2380" s="69"/>
      <c r="V2380" s="69"/>
      <c r="W2380" s="69"/>
      <c r="X2380" s="69"/>
      <c r="Y2380" s="69"/>
      <c r="Z2380" s="69"/>
      <c r="AA2380" s="69"/>
      <c r="AB2380" s="69"/>
      <c r="AC2380" s="69"/>
      <c r="AD2380" s="69"/>
      <c r="AE2380" s="69"/>
      <c r="AF2380" s="69"/>
      <c r="AG2380" s="69"/>
      <c r="AH2380" s="69"/>
      <c r="AI2380" s="69"/>
      <c r="AJ2380" s="69"/>
      <c r="AK2380" s="69"/>
      <c r="AL2380" s="69"/>
      <c r="AM2380" s="69"/>
      <c r="AN2380" s="69"/>
      <c r="AO2380" s="69"/>
      <c r="AP2380" s="69"/>
      <c r="AQ2380" s="69"/>
      <c r="AR2380" s="69"/>
      <c r="AS2380" s="69"/>
      <c r="AT2380" s="69"/>
      <c r="AU2380" s="69"/>
      <c r="AV2380" s="69"/>
      <c r="AW2380" s="69"/>
      <c r="AX2380" s="69"/>
      <c r="AY2380" s="69"/>
      <c r="AZ2380" s="69"/>
      <c r="BA2380" s="69"/>
      <c r="BB2380" s="69"/>
      <c r="BC2380" s="69"/>
    </row>
    <row r="2381">
      <c r="A2381" s="68"/>
      <c r="B2381" s="68"/>
      <c r="C2381" s="68"/>
      <c r="D2381" s="68"/>
      <c r="E2381" s="68"/>
      <c r="F2381" s="68"/>
      <c r="G2381" s="68"/>
      <c r="H2381" s="68"/>
      <c r="I2381" s="69"/>
      <c r="J2381" s="69"/>
      <c r="K2381" s="71"/>
      <c r="L2381" s="69"/>
      <c r="M2381" s="69"/>
      <c r="N2381" s="72"/>
      <c r="O2381" s="69"/>
      <c r="P2381" s="69"/>
      <c r="Q2381" s="69"/>
      <c r="R2381" s="69"/>
      <c r="S2381" s="69"/>
      <c r="T2381" s="69"/>
      <c r="U2381" s="69"/>
      <c r="V2381" s="69"/>
      <c r="W2381" s="69"/>
      <c r="X2381" s="69"/>
      <c r="Y2381" s="69"/>
      <c r="Z2381" s="69"/>
      <c r="AA2381" s="69"/>
      <c r="AB2381" s="69"/>
      <c r="AC2381" s="69"/>
      <c r="AD2381" s="69"/>
      <c r="AE2381" s="69"/>
      <c r="AF2381" s="69"/>
      <c r="AG2381" s="69"/>
      <c r="AH2381" s="69"/>
      <c r="AI2381" s="69"/>
      <c r="AJ2381" s="69"/>
      <c r="AK2381" s="69"/>
      <c r="AL2381" s="69"/>
      <c r="AM2381" s="69"/>
      <c r="AN2381" s="69"/>
      <c r="AO2381" s="69"/>
      <c r="AP2381" s="69"/>
      <c r="AQ2381" s="69"/>
      <c r="AR2381" s="69"/>
      <c r="AS2381" s="69"/>
      <c r="AT2381" s="69"/>
      <c r="AU2381" s="69"/>
      <c r="AV2381" s="69"/>
      <c r="AW2381" s="69"/>
      <c r="AX2381" s="69"/>
      <c r="AY2381" s="69"/>
      <c r="AZ2381" s="69"/>
      <c r="BA2381" s="69"/>
      <c r="BB2381" s="69"/>
      <c r="BC2381" s="69"/>
    </row>
    <row r="2382">
      <c r="A2382" s="68"/>
      <c r="B2382" s="68"/>
      <c r="C2382" s="68"/>
      <c r="D2382" s="68"/>
      <c r="E2382" s="68"/>
      <c r="F2382" s="68"/>
      <c r="G2382" s="68"/>
      <c r="H2382" s="68"/>
      <c r="I2382" s="69"/>
      <c r="J2382" s="69"/>
      <c r="K2382" s="71"/>
      <c r="L2382" s="69"/>
      <c r="M2382" s="69"/>
      <c r="N2382" s="72"/>
      <c r="O2382" s="69"/>
      <c r="P2382" s="69"/>
      <c r="Q2382" s="69"/>
      <c r="R2382" s="69"/>
      <c r="S2382" s="69"/>
      <c r="T2382" s="69"/>
      <c r="U2382" s="69"/>
      <c r="V2382" s="69"/>
      <c r="W2382" s="69"/>
      <c r="X2382" s="69"/>
      <c r="Y2382" s="69"/>
      <c r="Z2382" s="69"/>
      <c r="AA2382" s="69"/>
      <c r="AB2382" s="69"/>
      <c r="AC2382" s="69"/>
      <c r="AD2382" s="69"/>
      <c r="AE2382" s="69"/>
      <c r="AF2382" s="69"/>
      <c r="AG2382" s="69"/>
      <c r="AH2382" s="69"/>
      <c r="AI2382" s="69"/>
      <c r="AJ2382" s="69"/>
      <c r="AK2382" s="69"/>
      <c r="AL2382" s="69"/>
      <c r="AM2382" s="69"/>
      <c r="AN2382" s="69"/>
      <c r="AO2382" s="69"/>
      <c r="AP2382" s="69"/>
      <c r="AQ2382" s="69"/>
      <c r="AR2382" s="69"/>
      <c r="AS2382" s="69"/>
      <c r="AT2382" s="69"/>
      <c r="AU2382" s="69"/>
      <c r="AV2382" s="69"/>
      <c r="AW2382" s="69"/>
      <c r="AX2382" s="69"/>
      <c r="AY2382" s="69"/>
      <c r="AZ2382" s="69"/>
      <c r="BA2382" s="69"/>
      <c r="BB2382" s="69"/>
      <c r="BC2382" s="69"/>
    </row>
    <row r="2383">
      <c r="A2383" s="68"/>
      <c r="B2383" s="68"/>
      <c r="C2383" s="68"/>
      <c r="D2383" s="68"/>
      <c r="E2383" s="68"/>
      <c r="F2383" s="68"/>
      <c r="G2383" s="68"/>
      <c r="H2383" s="68"/>
      <c r="I2383" s="69"/>
      <c r="J2383" s="69"/>
      <c r="K2383" s="71"/>
      <c r="L2383" s="69"/>
      <c r="M2383" s="69"/>
      <c r="N2383" s="72"/>
      <c r="O2383" s="69"/>
      <c r="P2383" s="69"/>
      <c r="Q2383" s="69"/>
      <c r="R2383" s="69"/>
      <c r="S2383" s="69"/>
      <c r="T2383" s="69"/>
      <c r="U2383" s="69"/>
      <c r="V2383" s="69"/>
      <c r="W2383" s="69"/>
      <c r="X2383" s="69"/>
      <c r="Y2383" s="69"/>
      <c r="Z2383" s="69"/>
      <c r="AA2383" s="69"/>
      <c r="AB2383" s="69"/>
      <c r="AC2383" s="69"/>
      <c r="AD2383" s="69"/>
      <c r="AE2383" s="69"/>
      <c r="AF2383" s="69"/>
      <c r="AG2383" s="69"/>
      <c r="AH2383" s="69"/>
      <c r="AI2383" s="69"/>
      <c r="AJ2383" s="69"/>
      <c r="AK2383" s="69"/>
      <c r="AL2383" s="69"/>
      <c r="AM2383" s="69"/>
      <c r="AN2383" s="69"/>
      <c r="AO2383" s="69"/>
      <c r="AP2383" s="69"/>
      <c r="AQ2383" s="69"/>
      <c r="AR2383" s="69"/>
      <c r="AS2383" s="69"/>
      <c r="AT2383" s="69"/>
      <c r="AU2383" s="69"/>
      <c r="AV2383" s="69"/>
      <c r="AW2383" s="69"/>
      <c r="AX2383" s="69"/>
      <c r="AY2383" s="69"/>
      <c r="AZ2383" s="69"/>
      <c r="BA2383" s="69"/>
      <c r="BB2383" s="69"/>
      <c r="BC2383" s="69"/>
    </row>
    <row r="2384">
      <c r="A2384" s="68"/>
      <c r="B2384" s="68"/>
      <c r="C2384" s="68"/>
      <c r="D2384" s="68"/>
      <c r="E2384" s="68"/>
      <c r="F2384" s="68"/>
      <c r="G2384" s="68"/>
      <c r="H2384" s="68"/>
      <c r="I2384" s="69"/>
      <c r="J2384" s="69"/>
      <c r="K2384" s="71"/>
      <c r="L2384" s="69"/>
      <c r="M2384" s="69"/>
      <c r="N2384" s="72"/>
      <c r="O2384" s="69"/>
      <c r="P2384" s="69"/>
      <c r="Q2384" s="69"/>
      <c r="R2384" s="69"/>
      <c r="S2384" s="69"/>
      <c r="T2384" s="69"/>
      <c r="U2384" s="69"/>
      <c r="V2384" s="69"/>
      <c r="W2384" s="69"/>
      <c r="X2384" s="69"/>
      <c r="Y2384" s="69"/>
      <c r="Z2384" s="69"/>
      <c r="AA2384" s="69"/>
      <c r="AB2384" s="69"/>
      <c r="AC2384" s="69"/>
      <c r="AD2384" s="69"/>
      <c r="AE2384" s="69"/>
      <c r="AF2384" s="69"/>
      <c r="AG2384" s="69"/>
      <c r="AH2384" s="69"/>
      <c r="AI2384" s="69"/>
      <c r="AJ2384" s="69"/>
      <c r="AK2384" s="69"/>
      <c r="AL2384" s="69"/>
      <c r="AM2384" s="69"/>
      <c r="AN2384" s="69"/>
      <c r="AO2384" s="69"/>
      <c r="AP2384" s="69"/>
      <c r="AQ2384" s="69"/>
      <c r="AR2384" s="69"/>
      <c r="AS2384" s="69"/>
      <c r="AT2384" s="69"/>
      <c r="AU2384" s="69"/>
      <c r="AV2384" s="69"/>
      <c r="AW2384" s="69"/>
      <c r="AX2384" s="69"/>
      <c r="AY2384" s="69"/>
      <c r="AZ2384" s="69"/>
      <c r="BA2384" s="69"/>
      <c r="BB2384" s="69"/>
      <c r="BC2384" s="69"/>
    </row>
    <row r="2385">
      <c r="A2385" s="68"/>
      <c r="B2385" s="68"/>
      <c r="C2385" s="68"/>
      <c r="D2385" s="68"/>
      <c r="E2385" s="68"/>
      <c r="F2385" s="68"/>
      <c r="G2385" s="68"/>
      <c r="H2385" s="68"/>
      <c r="I2385" s="69"/>
      <c r="J2385" s="69"/>
      <c r="K2385" s="71"/>
      <c r="L2385" s="69"/>
      <c r="M2385" s="69"/>
      <c r="N2385" s="72"/>
      <c r="O2385" s="69"/>
      <c r="P2385" s="69"/>
      <c r="Q2385" s="69"/>
      <c r="R2385" s="69"/>
      <c r="S2385" s="69"/>
      <c r="T2385" s="69"/>
      <c r="U2385" s="69"/>
      <c r="V2385" s="69"/>
      <c r="W2385" s="69"/>
      <c r="X2385" s="69"/>
      <c r="Y2385" s="69"/>
      <c r="Z2385" s="69"/>
      <c r="AA2385" s="69"/>
      <c r="AB2385" s="69"/>
      <c r="AC2385" s="69"/>
      <c r="AD2385" s="69"/>
      <c r="AE2385" s="69"/>
      <c r="AF2385" s="69"/>
      <c r="AG2385" s="69"/>
      <c r="AH2385" s="69"/>
      <c r="AI2385" s="69"/>
      <c r="AJ2385" s="69"/>
      <c r="AK2385" s="69"/>
      <c r="AL2385" s="69"/>
      <c r="AM2385" s="69"/>
      <c r="AN2385" s="69"/>
      <c r="AO2385" s="69"/>
      <c r="AP2385" s="69"/>
      <c r="AQ2385" s="69"/>
      <c r="AR2385" s="69"/>
      <c r="AS2385" s="69"/>
      <c r="AT2385" s="69"/>
      <c r="AU2385" s="69"/>
      <c r="AV2385" s="69"/>
      <c r="AW2385" s="69"/>
      <c r="AX2385" s="69"/>
      <c r="AY2385" s="69"/>
      <c r="AZ2385" s="69"/>
      <c r="BA2385" s="69"/>
      <c r="BB2385" s="69"/>
      <c r="BC2385" s="69"/>
    </row>
    <row r="2386">
      <c r="A2386" s="68"/>
      <c r="B2386" s="68"/>
      <c r="C2386" s="68"/>
      <c r="D2386" s="68"/>
      <c r="E2386" s="68"/>
      <c r="F2386" s="68"/>
      <c r="G2386" s="68"/>
      <c r="H2386" s="68"/>
      <c r="I2386" s="69"/>
      <c r="J2386" s="69"/>
      <c r="K2386" s="71"/>
      <c r="L2386" s="69"/>
      <c r="M2386" s="69"/>
      <c r="N2386" s="72"/>
      <c r="O2386" s="69"/>
      <c r="P2386" s="69"/>
      <c r="Q2386" s="69"/>
      <c r="R2386" s="69"/>
      <c r="S2386" s="69"/>
      <c r="T2386" s="69"/>
      <c r="U2386" s="69"/>
      <c r="V2386" s="69"/>
      <c r="W2386" s="69"/>
      <c r="X2386" s="69"/>
      <c r="Y2386" s="69"/>
      <c r="Z2386" s="69"/>
      <c r="AA2386" s="69"/>
      <c r="AB2386" s="69"/>
      <c r="AC2386" s="69"/>
      <c r="AD2386" s="69"/>
      <c r="AE2386" s="69"/>
      <c r="AF2386" s="69"/>
      <c r="AG2386" s="69"/>
      <c r="AH2386" s="69"/>
      <c r="AI2386" s="69"/>
      <c r="AJ2386" s="69"/>
      <c r="AK2386" s="69"/>
      <c r="AL2386" s="69"/>
      <c r="AM2386" s="69"/>
      <c r="AN2386" s="69"/>
      <c r="AO2386" s="69"/>
      <c r="AP2386" s="69"/>
      <c r="AQ2386" s="69"/>
      <c r="AR2386" s="69"/>
      <c r="AS2386" s="69"/>
      <c r="AT2386" s="69"/>
      <c r="AU2386" s="69"/>
      <c r="AV2386" s="69"/>
      <c r="AW2386" s="69"/>
      <c r="AX2386" s="69"/>
      <c r="AY2386" s="69"/>
      <c r="AZ2386" s="69"/>
      <c r="BA2386" s="69"/>
      <c r="BB2386" s="69"/>
      <c r="BC2386" s="69"/>
    </row>
    <row r="2387">
      <c r="A2387" s="68"/>
      <c r="B2387" s="68"/>
      <c r="C2387" s="68"/>
      <c r="D2387" s="68"/>
      <c r="E2387" s="68"/>
      <c r="F2387" s="68"/>
      <c r="G2387" s="68"/>
      <c r="H2387" s="68"/>
      <c r="I2387" s="69"/>
      <c r="J2387" s="69"/>
      <c r="K2387" s="71"/>
      <c r="L2387" s="69"/>
      <c r="M2387" s="69"/>
      <c r="N2387" s="72"/>
      <c r="O2387" s="69"/>
      <c r="P2387" s="69"/>
      <c r="Q2387" s="69"/>
      <c r="R2387" s="69"/>
      <c r="S2387" s="69"/>
      <c r="T2387" s="69"/>
      <c r="U2387" s="69"/>
      <c r="V2387" s="69"/>
      <c r="W2387" s="69"/>
      <c r="X2387" s="69"/>
      <c r="Y2387" s="69"/>
      <c r="Z2387" s="69"/>
      <c r="AA2387" s="69"/>
      <c r="AB2387" s="69"/>
      <c r="AC2387" s="69"/>
      <c r="AD2387" s="69"/>
      <c r="AE2387" s="69"/>
      <c r="AF2387" s="69"/>
      <c r="AG2387" s="69"/>
      <c r="AH2387" s="69"/>
      <c r="AI2387" s="69"/>
      <c r="AJ2387" s="69"/>
      <c r="AK2387" s="69"/>
      <c r="AL2387" s="69"/>
      <c r="AM2387" s="69"/>
      <c r="AN2387" s="69"/>
      <c r="AO2387" s="69"/>
      <c r="AP2387" s="69"/>
      <c r="AQ2387" s="69"/>
      <c r="AR2387" s="69"/>
      <c r="AS2387" s="69"/>
      <c r="AT2387" s="69"/>
      <c r="AU2387" s="69"/>
      <c r="AV2387" s="69"/>
      <c r="AW2387" s="69"/>
      <c r="AX2387" s="69"/>
      <c r="AY2387" s="69"/>
      <c r="AZ2387" s="69"/>
      <c r="BA2387" s="69"/>
      <c r="BB2387" s="69"/>
      <c r="BC2387" s="69"/>
    </row>
    <row r="2388">
      <c r="A2388" s="68"/>
      <c r="B2388" s="68"/>
      <c r="C2388" s="68"/>
      <c r="D2388" s="68"/>
      <c r="E2388" s="68"/>
      <c r="F2388" s="68"/>
      <c r="G2388" s="68"/>
      <c r="H2388" s="68"/>
      <c r="I2388" s="69"/>
      <c r="J2388" s="69"/>
      <c r="K2388" s="71"/>
      <c r="L2388" s="69"/>
      <c r="M2388" s="69"/>
      <c r="N2388" s="72"/>
      <c r="O2388" s="69"/>
      <c r="P2388" s="69"/>
      <c r="Q2388" s="69"/>
      <c r="R2388" s="69"/>
      <c r="S2388" s="69"/>
      <c r="T2388" s="69"/>
      <c r="U2388" s="69"/>
      <c r="V2388" s="69"/>
      <c r="W2388" s="69"/>
      <c r="X2388" s="69"/>
      <c r="Y2388" s="69"/>
      <c r="Z2388" s="69"/>
      <c r="AA2388" s="69"/>
      <c r="AB2388" s="69"/>
      <c r="AC2388" s="69"/>
      <c r="AD2388" s="69"/>
      <c r="AE2388" s="69"/>
      <c r="AF2388" s="69"/>
      <c r="AG2388" s="69"/>
      <c r="AH2388" s="69"/>
      <c r="AI2388" s="69"/>
      <c r="AJ2388" s="69"/>
      <c r="AK2388" s="69"/>
      <c r="AL2388" s="69"/>
      <c r="AM2388" s="69"/>
      <c r="AN2388" s="69"/>
      <c r="AO2388" s="69"/>
      <c r="AP2388" s="69"/>
      <c r="AQ2388" s="69"/>
      <c r="AR2388" s="69"/>
      <c r="AS2388" s="69"/>
      <c r="AT2388" s="69"/>
      <c r="AU2388" s="69"/>
      <c r="AV2388" s="69"/>
      <c r="AW2388" s="69"/>
      <c r="AX2388" s="69"/>
      <c r="AY2388" s="69"/>
      <c r="AZ2388" s="69"/>
      <c r="BA2388" s="69"/>
      <c r="BB2388" s="69"/>
      <c r="BC2388" s="69"/>
    </row>
    <row r="2389">
      <c r="A2389" s="68"/>
      <c r="B2389" s="68"/>
      <c r="C2389" s="68"/>
      <c r="D2389" s="68"/>
      <c r="E2389" s="68"/>
      <c r="F2389" s="68"/>
      <c r="G2389" s="68"/>
      <c r="H2389" s="68"/>
      <c r="I2389" s="69"/>
      <c r="J2389" s="69"/>
      <c r="K2389" s="71"/>
      <c r="L2389" s="69"/>
      <c r="M2389" s="69"/>
      <c r="N2389" s="72"/>
      <c r="O2389" s="69"/>
      <c r="P2389" s="69"/>
      <c r="Q2389" s="69"/>
      <c r="R2389" s="69"/>
      <c r="S2389" s="69"/>
      <c r="T2389" s="69"/>
      <c r="U2389" s="69"/>
      <c r="V2389" s="69"/>
      <c r="W2389" s="69"/>
      <c r="X2389" s="69"/>
      <c r="Y2389" s="69"/>
      <c r="Z2389" s="69"/>
      <c r="AA2389" s="69"/>
      <c r="AB2389" s="69"/>
      <c r="AC2389" s="69"/>
      <c r="AD2389" s="69"/>
      <c r="AE2389" s="69"/>
      <c r="AF2389" s="69"/>
      <c r="AG2389" s="69"/>
      <c r="AH2389" s="69"/>
      <c r="AI2389" s="69"/>
      <c r="AJ2389" s="69"/>
      <c r="AK2389" s="69"/>
      <c r="AL2389" s="69"/>
      <c r="AM2389" s="69"/>
      <c r="AN2389" s="69"/>
      <c r="AO2389" s="69"/>
      <c r="AP2389" s="69"/>
      <c r="AQ2389" s="69"/>
      <c r="AR2389" s="69"/>
      <c r="AS2389" s="69"/>
      <c r="AT2389" s="69"/>
      <c r="AU2389" s="69"/>
      <c r="AV2389" s="69"/>
      <c r="AW2389" s="69"/>
      <c r="AX2389" s="69"/>
      <c r="AY2389" s="69"/>
      <c r="AZ2389" s="69"/>
      <c r="BA2389" s="69"/>
      <c r="BB2389" s="69"/>
      <c r="BC2389" s="69"/>
    </row>
    <row r="2390">
      <c r="A2390" s="68"/>
      <c r="B2390" s="68"/>
      <c r="C2390" s="68"/>
      <c r="D2390" s="68"/>
      <c r="E2390" s="68"/>
      <c r="F2390" s="68"/>
      <c r="G2390" s="68"/>
      <c r="H2390" s="68"/>
      <c r="I2390" s="69"/>
      <c r="J2390" s="69"/>
      <c r="K2390" s="71"/>
      <c r="L2390" s="69"/>
      <c r="M2390" s="69"/>
      <c r="N2390" s="72"/>
      <c r="O2390" s="69"/>
      <c r="P2390" s="69"/>
      <c r="Q2390" s="69"/>
      <c r="R2390" s="69"/>
      <c r="S2390" s="69"/>
      <c r="T2390" s="69"/>
      <c r="U2390" s="69"/>
      <c r="V2390" s="69"/>
      <c r="W2390" s="69"/>
      <c r="X2390" s="69"/>
      <c r="Y2390" s="69"/>
      <c r="Z2390" s="69"/>
      <c r="AA2390" s="69"/>
      <c r="AB2390" s="69"/>
      <c r="AC2390" s="69"/>
      <c r="AD2390" s="69"/>
      <c r="AE2390" s="69"/>
      <c r="AF2390" s="69"/>
      <c r="AG2390" s="69"/>
      <c r="AH2390" s="69"/>
      <c r="AI2390" s="69"/>
      <c r="AJ2390" s="69"/>
      <c r="AK2390" s="69"/>
      <c r="AL2390" s="69"/>
      <c r="AM2390" s="69"/>
      <c r="AN2390" s="69"/>
      <c r="AO2390" s="69"/>
      <c r="AP2390" s="69"/>
      <c r="AQ2390" s="69"/>
      <c r="AR2390" s="69"/>
      <c r="AS2390" s="69"/>
      <c r="AT2390" s="69"/>
      <c r="AU2390" s="69"/>
      <c r="AV2390" s="69"/>
      <c r="AW2390" s="69"/>
      <c r="AX2390" s="69"/>
      <c r="AY2390" s="69"/>
      <c r="AZ2390" s="69"/>
      <c r="BA2390" s="69"/>
      <c r="BB2390" s="69"/>
      <c r="BC2390" s="69"/>
    </row>
    <row r="2391">
      <c r="A2391" s="68"/>
      <c r="B2391" s="68"/>
      <c r="C2391" s="68"/>
      <c r="D2391" s="68"/>
      <c r="E2391" s="68"/>
      <c r="F2391" s="68"/>
      <c r="G2391" s="68"/>
      <c r="H2391" s="68"/>
      <c r="I2391" s="69"/>
      <c r="J2391" s="69"/>
      <c r="K2391" s="71"/>
      <c r="L2391" s="69"/>
      <c r="M2391" s="69"/>
      <c r="N2391" s="72"/>
      <c r="O2391" s="69"/>
      <c r="P2391" s="69"/>
      <c r="Q2391" s="69"/>
      <c r="R2391" s="69"/>
      <c r="S2391" s="69"/>
      <c r="T2391" s="69"/>
      <c r="U2391" s="69"/>
      <c r="V2391" s="69"/>
      <c r="W2391" s="69"/>
      <c r="X2391" s="69"/>
      <c r="Y2391" s="69"/>
      <c r="Z2391" s="69"/>
      <c r="AA2391" s="69"/>
      <c r="AB2391" s="69"/>
      <c r="AC2391" s="69"/>
      <c r="AD2391" s="69"/>
      <c r="AE2391" s="69"/>
      <c r="AF2391" s="69"/>
      <c r="AG2391" s="69"/>
      <c r="AH2391" s="69"/>
      <c r="AI2391" s="69"/>
      <c r="AJ2391" s="69"/>
      <c r="AK2391" s="69"/>
      <c r="AL2391" s="69"/>
      <c r="AM2391" s="69"/>
      <c r="AN2391" s="69"/>
      <c r="AO2391" s="69"/>
      <c r="AP2391" s="69"/>
      <c r="AQ2391" s="69"/>
      <c r="AR2391" s="69"/>
      <c r="AS2391" s="69"/>
      <c r="AT2391" s="69"/>
      <c r="AU2391" s="69"/>
      <c r="AV2391" s="69"/>
      <c r="AW2391" s="69"/>
      <c r="AX2391" s="69"/>
      <c r="AY2391" s="69"/>
      <c r="AZ2391" s="69"/>
      <c r="BA2391" s="69"/>
      <c r="BB2391" s="69"/>
      <c r="BC2391" s="69"/>
    </row>
    <row r="2392">
      <c r="A2392" s="68"/>
      <c r="B2392" s="68"/>
      <c r="C2392" s="68"/>
      <c r="D2392" s="68"/>
      <c r="E2392" s="68"/>
      <c r="F2392" s="68"/>
      <c r="G2392" s="68"/>
      <c r="H2392" s="68"/>
      <c r="I2392" s="69"/>
      <c r="J2392" s="69"/>
      <c r="K2392" s="71"/>
      <c r="L2392" s="69"/>
      <c r="M2392" s="69"/>
      <c r="N2392" s="72"/>
      <c r="O2392" s="69"/>
      <c r="P2392" s="69"/>
      <c r="Q2392" s="69"/>
      <c r="R2392" s="69"/>
      <c r="S2392" s="69"/>
      <c r="T2392" s="69"/>
      <c r="U2392" s="69"/>
      <c r="V2392" s="69"/>
      <c r="W2392" s="69"/>
      <c r="X2392" s="69"/>
      <c r="Y2392" s="69"/>
      <c r="Z2392" s="69"/>
      <c r="AA2392" s="69"/>
      <c r="AB2392" s="69"/>
      <c r="AC2392" s="69"/>
      <c r="AD2392" s="69"/>
      <c r="AE2392" s="69"/>
      <c r="AF2392" s="69"/>
      <c r="AG2392" s="69"/>
      <c r="AH2392" s="69"/>
      <c r="AI2392" s="69"/>
      <c r="AJ2392" s="69"/>
      <c r="AK2392" s="69"/>
      <c r="AL2392" s="69"/>
      <c r="AM2392" s="69"/>
      <c r="AN2392" s="69"/>
      <c r="AO2392" s="69"/>
      <c r="AP2392" s="69"/>
      <c r="AQ2392" s="69"/>
      <c r="AR2392" s="69"/>
      <c r="AS2392" s="69"/>
      <c r="AT2392" s="69"/>
      <c r="AU2392" s="69"/>
      <c r="AV2392" s="69"/>
      <c r="AW2392" s="69"/>
      <c r="AX2392" s="69"/>
      <c r="AY2392" s="69"/>
      <c r="AZ2392" s="69"/>
      <c r="BA2392" s="69"/>
      <c r="BB2392" s="69"/>
      <c r="BC2392" s="69"/>
    </row>
    <row r="2393">
      <c r="A2393" s="68"/>
      <c r="B2393" s="68"/>
      <c r="C2393" s="68"/>
      <c r="D2393" s="68"/>
      <c r="E2393" s="68"/>
      <c r="F2393" s="68"/>
      <c r="G2393" s="68"/>
      <c r="H2393" s="68"/>
      <c r="I2393" s="69"/>
      <c r="J2393" s="69"/>
      <c r="K2393" s="71"/>
      <c r="L2393" s="69"/>
      <c r="M2393" s="69"/>
      <c r="N2393" s="72"/>
      <c r="O2393" s="69"/>
      <c r="P2393" s="69"/>
      <c r="Q2393" s="69"/>
      <c r="R2393" s="69"/>
      <c r="S2393" s="69"/>
      <c r="T2393" s="69"/>
      <c r="U2393" s="69"/>
      <c r="V2393" s="69"/>
      <c r="W2393" s="69"/>
      <c r="X2393" s="69"/>
      <c r="Y2393" s="69"/>
      <c r="Z2393" s="69"/>
      <c r="AA2393" s="69"/>
      <c r="AB2393" s="69"/>
      <c r="AC2393" s="69"/>
      <c r="AD2393" s="69"/>
      <c r="AE2393" s="69"/>
      <c r="AF2393" s="69"/>
      <c r="AG2393" s="69"/>
      <c r="AH2393" s="69"/>
      <c r="AI2393" s="69"/>
      <c r="AJ2393" s="69"/>
      <c r="AK2393" s="69"/>
      <c r="AL2393" s="69"/>
      <c r="AM2393" s="69"/>
      <c r="AN2393" s="69"/>
      <c r="AO2393" s="69"/>
      <c r="AP2393" s="69"/>
      <c r="AQ2393" s="69"/>
      <c r="AR2393" s="69"/>
      <c r="AS2393" s="69"/>
      <c r="AT2393" s="69"/>
      <c r="AU2393" s="69"/>
      <c r="AV2393" s="69"/>
      <c r="AW2393" s="69"/>
      <c r="AX2393" s="69"/>
      <c r="AY2393" s="69"/>
      <c r="AZ2393" s="69"/>
      <c r="BA2393" s="69"/>
      <c r="BB2393" s="69"/>
      <c r="BC2393" s="69"/>
    </row>
    <row r="2394">
      <c r="A2394" s="68"/>
      <c r="B2394" s="68"/>
      <c r="C2394" s="68"/>
      <c r="D2394" s="68"/>
      <c r="E2394" s="68"/>
      <c r="F2394" s="68"/>
      <c r="G2394" s="68"/>
      <c r="H2394" s="68"/>
      <c r="I2394" s="69"/>
      <c r="J2394" s="69"/>
      <c r="K2394" s="71"/>
      <c r="L2394" s="69"/>
      <c r="M2394" s="69"/>
      <c r="N2394" s="72"/>
      <c r="O2394" s="69"/>
      <c r="P2394" s="69"/>
      <c r="Q2394" s="69"/>
      <c r="R2394" s="69"/>
      <c r="S2394" s="69"/>
      <c r="T2394" s="69"/>
      <c r="U2394" s="69"/>
      <c r="V2394" s="69"/>
      <c r="W2394" s="69"/>
      <c r="X2394" s="69"/>
      <c r="Y2394" s="69"/>
      <c r="Z2394" s="69"/>
      <c r="AA2394" s="69"/>
      <c r="AB2394" s="69"/>
      <c r="AC2394" s="69"/>
      <c r="AD2394" s="69"/>
      <c r="AE2394" s="69"/>
      <c r="AF2394" s="69"/>
      <c r="AG2394" s="69"/>
      <c r="AH2394" s="69"/>
      <c r="AI2394" s="69"/>
      <c r="AJ2394" s="69"/>
      <c r="AK2394" s="69"/>
      <c r="AL2394" s="69"/>
      <c r="AM2394" s="69"/>
      <c r="AN2394" s="69"/>
      <c r="AO2394" s="69"/>
      <c r="AP2394" s="69"/>
      <c r="AQ2394" s="69"/>
      <c r="AR2394" s="69"/>
      <c r="AS2394" s="69"/>
      <c r="AT2394" s="69"/>
      <c r="AU2394" s="69"/>
      <c r="AV2394" s="69"/>
      <c r="AW2394" s="69"/>
      <c r="AX2394" s="69"/>
      <c r="AY2394" s="69"/>
      <c r="AZ2394" s="69"/>
      <c r="BA2394" s="69"/>
      <c r="BB2394" s="69"/>
      <c r="BC2394" s="69"/>
    </row>
    <row r="2395">
      <c r="A2395" s="68"/>
      <c r="B2395" s="68"/>
      <c r="C2395" s="68"/>
      <c r="D2395" s="68"/>
      <c r="E2395" s="68"/>
      <c r="F2395" s="68"/>
      <c r="G2395" s="68"/>
      <c r="H2395" s="68"/>
      <c r="I2395" s="69"/>
      <c r="J2395" s="69"/>
      <c r="K2395" s="71"/>
      <c r="L2395" s="69"/>
      <c r="M2395" s="69"/>
      <c r="N2395" s="72"/>
      <c r="O2395" s="69"/>
      <c r="P2395" s="69"/>
      <c r="Q2395" s="69"/>
      <c r="R2395" s="69"/>
      <c r="S2395" s="69"/>
      <c r="T2395" s="69"/>
      <c r="U2395" s="69"/>
      <c r="V2395" s="69"/>
      <c r="W2395" s="69"/>
      <c r="X2395" s="69"/>
      <c r="Y2395" s="69"/>
      <c r="Z2395" s="69"/>
      <c r="AA2395" s="69"/>
      <c r="AB2395" s="69"/>
      <c r="AC2395" s="69"/>
      <c r="AD2395" s="69"/>
      <c r="AE2395" s="69"/>
      <c r="AF2395" s="69"/>
      <c r="AG2395" s="69"/>
      <c r="AH2395" s="69"/>
      <c r="AI2395" s="69"/>
      <c r="AJ2395" s="69"/>
      <c r="AK2395" s="69"/>
      <c r="AL2395" s="69"/>
      <c r="AM2395" s="69"/>
      <c r="AN2395" s="69"/>
      <c r="AO2395" s="69"/>
      <c r="AP2395" s="69"/>
      <c r="AQ2395" s="69"/>
      <c r="AR2395" s="69"/>
      <c r="AS2395" s="69"/>
      <c r="AT2395" s="69"/>
      <c r="AU2395" s="69"/>
      <c r="AV2395" s="69"/>
      <c r="AW2395" s="69"/>
      <c r="AX2395" s="69"/>
      <c r="AY2395" s="69"/>
      <c r="AZ2395" s="69"/>
      <c r="BA2395" s="69"/>
      <c r="BB2395" s="69"/>
      <c r="BC2395" s="69"/>
    </row>
    <row r="2396">
      <c r="A2396" s="68"/>
      <c r="B2396" s="68"/>
      <c r="C2396" s="68"/>
      <c r="D2396" s="68"/>
      <c r="E2396" s="68"/>
      <c r="F2396" s="68"/>
      <c r="G2396" s="68"/>
      <c r="H2396" s="68"/>
      <c r="I2396" s="69"/>
      <c r="J2396" s="69"/>
      <c r="K2396" s="71"/>
      <c r="L2396" s="69"/>
      <c r="M2396" s="69"/>
      <c r="N2396" s="72"/>
      <c r="O2396" s="69"/>
      <c r="P2396" s="69"/>
      <c r="Q2396" s="69"/>
      <c r="R2396" s="69"/>
      <c r="S2396" s="69"/>
      <c r="T2396" s="69"/>
      <c r="U2396" s="69"/>
      <c r="V2396" s="69"/>
      <c r="W2396" s="69"/>
      <c r="X2396" s="69"/>
      <c r="Y2396" s="69"/>
      <c r="Z2396" s="69"/>
      <c r="AA2396" s="69"/>
      <c r="AB2396" s="69"/>
      <c r="AC2396" s="69"/>
      <c r="AD2396" s="69"/>
      <c r="AE2396" s="69"/>
      <c r="AF2396" s="69"/>
      <c r="AG2396" s="69"/>
      <c r="AH2396" s="69"/>
      <c r="AI2396" s="69"/>
      <c r="AJ2396" s="69"/>
      <c r="AK2396" s="69"/>
      <c r="AL2396" s="69"/>
      <c r="AM2396" s="69"/>
      <c r="AN2396" s="69"/>
      <c r="AO2396" s="69"/>
      <c r="AP2396" s="69"/>
      <c r="AQ2396" s="69"/>
      <c r="AR2396" s="69"/>
      <c r="AS2396" s="69"/>
      <c r="AT2396" s="69"/>
      <c r="AU2396" s="69"/>
      <c r="AV2396" s="69"/>
      <c r="AW2396" s="69"/>
      <c r="AX2396" s="69"/>
      <c r="AY2396" s="69"/>
      <c r="AZ2396" s="69"/>
      <c r="BA2396" s="69"/>
      <c r="BB2396" s="69"/>
      <c r="BC2396" s="69"/>
    </row>
    <row r="2397">
      <c r="A2397" s="68"/>
      <c r="B2397" s="68"/>
      <c r="C2397" s="68"/>
      <c r="D2397" s="68"/>
      <c r="E2397" s="68"/>
      <c r="F2397" s="68"/>
      <c r="G2397" s="68"/>
      <c r="H2397" s="68"/>
      <c r="I2397" s="69"/>
      <c r="J2397" s="69"/>
      <c r="K2397" s="71"/>
      <c r="L2397" s="69"/>
      <c r="M2397" s="69"/>
      <c r="N2397" s="72"/>
      <c r="O2397" s="69"/>
      <c r="P2397" s="69"/>
      <c r="Q2397" s="69"/>
      <c r="R2397" s="69"/>
      <c r="S2397" s="69"/>
      <c r="T2397" s="69"/>
      <c r="U2397" s="69"/>
      <c r="V2397" s="69"/>
      <c r="W2397" s="69"/>
      <c r="X2397" s="69"/>
      <c r="Y2397" s="69"/>
      <c r="Z2397" s="69"/>
      <c r="AA2397" s="69"/>
      <c r="AB2397" s="69"/>
      <c r="AC2397" s="69"/>
      <c r="AD2397" s="69"/>
      <c r="AE2397" s="69"/>
      <c r="AF2397" s="69"/>
      <c r="AG2397" s="69"/>
      <c r="AH2397" s="69"/>
      <c r="AI2397" s="69"/>
      <c r="AJ2397" s="69"/>
      <c r="AK2397" s="69"/>
      <c r="AL2397" s="69"/>
      <c r="AM2397" s="69"/>
      <c r="AN2397" s="69"/>
      <c r="AO2397" s="69"/>
      <c r="AP2397" s="69"/>
      <c r="AQ2397" s="69"/>
      <c r="AR2397" s="69"/>
      <c r="AS2397" s="69"/>
      <c r="AT2397" s="69"/>
      <c r="AU2397" s="69"/>
      <c r="AV2397" s="69"/>
      <c r="AW2397" s="69"/>
      <c r="AX2397" s="69"/>
      <c r="AY2397" s="69"/>
      <c r="AZ2397" s="69"/>
      <c r="BA2397" s="69"/>
      <c r="BB2397" s="69"/>
      <c r="BC2397" s="69"/>
    </row>
    <row r="2398">
      <c r="A2398" s="68"/>
      <c r="B2398" s="68"/>
      <c r="C2398" s="68"/>
      <c r="D2398" s="68"/>
      <c r="E2398" s="68"/>
      <c r="F2398" s="68"/>
      <c r="G2398" s="68"/>
      <c r="H2398" s="68"/>
      <c r="I2398" s="69"/>
      <c r="J2398" s="69"/>
      <c r="K2398" s="71"/>
      <c r="L2398" s="69"/>
      <c r="M2398" s="69"/>
      <c r="N2398" s="72"/>
      <c r="O2398" s="69"/>
      <c r="P2398" s="69"/>
      <c r="Q2398" s="69"/>
      <c r="R2398" s="69"/>
      <c r="S2398" s="69"/>
      <c r="T2398" s="69"/>
      <c r="U2398" s="69"/>
      <c r="V2398" s="69"/>
      <c r="W2398" s="69"/>
      <c r="X2398" s="69"/>
      <c r="Y2398" s="69"/>
      <c r="Z2398" s="69"/>
      <c r="AA2398" s="69"/>
      <c r="AB2398" s="69"/>
      <c r="AC2398" s="69"/>
      <c r="AD2398" s="69"/>
      <c r="AE2398" s="69"/>
      <c r="AF2398" s="69"/>
      <c r="AG2398" s="69"/>
      <c r="AH2398" s="69"/>
      <c r="AI2398" s="69"/>
      <c r="AJ2398" s="69"/>
      <c r="AK2398" s="69"/>
      <c r="AL2398" s="69"/>
      <c r="AM2398" s="69"/>
      <c r="AN2398" s="69"/>
      <c r="AO2398" s="69"/>
      <c r="AP2398" s="69"/>
      <c r="AQ2398" s="69"/>
      <c r="AR2398" s="69"/>
      <c r="AS2398" s="69"/>
      <c r="AT2398" s="69"/>
      <c r="AU2398" s="69"/>
      <c r="AV2398" s="69"/>
      <c r="AW2398" s="69"/>
      <c r="AX2398" s="69"/>
      <c r="AY2398" s="69"/>
      <c r="AZ2398" s="69"/>
      <c r="BA2398" s="69"/>
      <c r="BB2398" s="69"/>
      <c r="BC2398" s="69"/>
    </row>
    <row r="2399">
      <c r="A2399" s="68"/>
      <c r="B2399" s="68"/>
      <c r="C2399" s="68"/>
      <c r="D2399" s="68"/>
      <c r="E2399" s="68"/>
      <c r="F2399" s="68"/>
      <c r="G2399" s="68"/>
      <c r="H2399" s="68"/>
      <c r="I2399" s="69"/>
      <c r="J2399" s="69"/>
      <c r="K2399" s="71"/>
      <c r="L2399" s="69"/>
      <c r="M2399" s="69"/>
      <c r="N2399" s="72"/>
      <c r="O2399" s="69"/>
      <c r="P2399" s="69"/>
      <c r="Q2399" s="69"/>
      <c r="R2399" s="69"/>
      <c r="S2399" s="69"/>
      <c r="T2399" s="69"/>
      <c r="U2399" s="69"/>
      <c r="V2399" s="69"/>
      <c r="W2399" s="69"/>
      <c r="X2399" s="69"/>
      <c r="Y2399" s="69"/>
      <c r="Z2399" s="69"/>
      <c r="AA2399" s="69"/>
      <c r="AB2399" s="69"/>
      <c r="AC2399" s="69"/>
      <c r="AD2399" s="69"/>
      <c r="AE2399" s="69"/>
      <c r="AF2399" s="69"/>
      <c r="AG2399" s="69"/>
      <c r="AH2399" s="69"/>
      <c r="AI2399" s="69"/>
      <c r="AJ2399" s="69"/>
      <c r="AK2399" s="69"/>
      <c r="AL2399" s="69"/>
      <c r="AM2399" s="69"/>
      <c r="AN2399" s="69"/>
      <c r="AO2399" s="69"/>
      <c r="AP2399" s="69"/>
      <c r="AQ2399" s="69"/>
      <c r="AR2399" s="69"/>
      <c r="AS2399" s="69"/>
      <c r="AT2399" s="69"/>
      <c r="AU2399" s="69"/>
      <c r="AV2399" s="69"/>
      <c r="AW2399" s="69"/>
      <c r="AX2399" s="69"/>
      <c r="AY2399" s="69"/>
      <c r="AZ2399" s="69"/>
      <c r="BA2399" s="69"/>
      <c r="BB2399" s="69"/>
      <c r="BC2399" s="69"/>
    </row>
    <row r="2400">
      <c r="A2400" s="68"/>
      <c r="B2400" s="68"/>
      <c r="C2400" s="68"/>
      <c r="D2400" s="68"/>
      <c r="E2400" s="68"/>
      <c r="F2400" s="68"/>
      <c r="G2400" s="68"/>
      <c r="H2400" s="68"/>
      <c r="I2400" s="69"/>
      <c r="J2400" s="69"/>
      <c r="K2400" s="71"/>
      <c r="L2400" s="69"/>
      <c r="M2400" s="69"/>
      <c r="N2400" s="72"/>
      <c r="O2400" s="69"/>
      <c r="P2400" s="69"/>
      <c r="Q2400" s="69"/>
      <c r="R2400" s="69"/>
      <c r="S2400" s="69"/>
      <c r="T2400" s="69"/>
      <c r="U2400" s="69"/>
      <c r="V2400" s="69"/>
      <c r="W2400" s="69"/>
      <c r="X2400" s="69"/>
      <c r="Y2400" s="69"/>
      <c r="Z2400" s="69"/>
      <c r="AA2400" s="69"/>
      <c r="AB2400" s="69"/>
      <c r="AC2400" s="69"/>
      <c r="AD2400" s="69"/>
      <c r="AE2400" s="69"/>
      <c r="AF2400" s="69"/>
      <c r="AG2400" s="69"/>
      <c r="AH2400" s="69"/>
      <c r="AI2400" s="69"/>
      <c r="AJ2400" s="69"/>
      <c r="AK2400" s="69"/>
      <c r="AL2400" s="69"/>
      <c r="AM2400" s="69"/>
      <c r="AN2400" s="69"/>
      <c r="AO2400" s="69"/>
      <c r="AP2400" s="69"/>
      <c r="AQ2400" s="69"/>
      <c r="AR2400" s="69"/>
      <c r="AS2400" s="69"/>
      <c r="AT2400" s="69"/>
      <c r="AU2400" s="69"/>
      <c r="AV2400" s="69"/>
      <c r="AW2400" s="69"/>
      <c r="AX2400" s="69"/>
      <c r="AY2400" s="69"/>
      <c r="AZ2400" s="69"/>
      <c r="BA2400" s="69"/>
      <c r="BB2400" s="69"/>
      <c r="BC2400" s="69"/>
    </row>
    <row r="2401">
      <c r="A2401" s="68"/>
      <c r="B2401" s="68"/>
      <c r="C2401" s="68"/>
      <c r="D2401" s="68"/>
      <c r="E2401" s="68"/>
      <c r="F2401" s="68"/>
      <c r="G2401" s="68"/>
      <c r="H2401" s="68"/>
      <c r="I2401" s="69"/>
      <c r="J2401" s="69"/>
      <c r="K2401" s="71"/>
      <c r="L2401" s="69"/>
      <c r="M2401" s="69"/>
      <c r="N2401" s="72"/>
      <c r="O2401" s="69"/>
      <c r="P2401" s="69"/>
      <c r="Q2401" s="69"/>
      <c r="R2401" s="69"/>
      <c r="S2401" s="69"/>
      <c r="T2401" s="69"/>
      <c r="U2401" s="69"/>
      <c r="V2401" s="69"/>
      <c r="W2401" s="69"/>
      <c r="X2401" s="69"/>
      <c r="Y2401" s="69"/>
      <c r="Z2401" s="69"/>
      <c r="AA2401" s="69"/>
      <c r="AB2401" s="69"/>
      <c r="AC2401" s="69"/>
      <c r="AD2401" s="69"/>
      <c r="AE2401" s="69"/>
      <c r="AF2401" s="69"/>
      <c r="AG2401" s="69"/>
      <c r="AH2401" s="69"/>
      <c r="AI2401" s="69"/>
      <c r="AJ2401" s="69"/>
      <c r="AK2401" s="69"/>
      <c r="AL2401" s="69"/>
      <c r="AM2401" s="69"/>
      <c r="AN2401" s="69"/>
      <c r="AO2401" s="69"/>
      <c r="AP2401" s="69"/>
      <c r="AQ2401" s="69"/>
      <c r="AR2401" s="69"/>
      <c r="AS2401" s="69"/>
      <c r="AT2401" s="69"/>
      <c r="AU2401" s="69"/>
      <c r="AV2401" s="69"/>
      <c r="AW2401" s="69"/>
      <c r="AX2401" s="69"/>
      <c r="AY2401" s="69"/>
      <c r="AZ2401" s="69"/>
      <c r="BA2401" s="69"/>
      <c r="BB2401" s="69"/>
      <c r="BC2401" s="69"/>
    </row>
    <row r="2402">
      <c r="A2402" s="68"/>
      <c r="B2402" s="68"/>
      <c r="C2402" s="68"/>
      <c r="D2402" s="68"/>
      <c r="E2402" s="68"/>
      <c r="F2402" s="68"/>
      <c r="G2402" s="68"/>
      <c r="H2402" s="68"/>
      <c r="I2402" s="69"/>
      <c r="J2402" s="69"/>
      <c r="K2402" s="71"/>
      <c r="L2402" s="69"/>
      <c r="M2402" s="69"/>
      <c r="N2402" s="72"/>
      <c r="O2402" s="69"/>
      <c r="P2402" s="69"/>
      <c r="Q2402" s="69"/>
      <c r="R2402" s="69"/>
      <c r="S2402" s="69"/>
      <c r="T2402" s="69"/>
      <c r="U2402" s="69"/>
      <c r="V2402" s="69"/>
      <c r="W2402" s="69"/>
      <c r="X2402" s="69"/>
      <c r="Y2402" s="69"/>
      <c r="Z2402" s="69"/>
      <c r="AA2402" s="69"/>
      <c r="AB2402" s="69"/>
      <c r="AC2402" s="69"/>
      <c r="AD2402" s="69"/>
      <c r="AE2402" s="69"/>
      <c r="AF2402" s="69"/>
      <c r="AG2402" s="69"/>
      <c r="AH2402" s="69"/>
      <c r="AI2402" s="69"/>
      <c r="AJ2402" s="69"/>
      <c r="AK2402" s="69"/>
      <c r="AL2402" s="69"/>
      <c r="AM2402" s="69"/>
      <c r="AN2402" s="69"/>
      <c r="AO2402" s="69"/>
      <c r="AP2402" s="69"/>
      <c r="AQ2402" s="69"/>
      <c r="AR2402" s="69"/>
      <c r="AS2402" s="69"/>
      <c r="AT2402" s="69"/>
      <c r="AU2402" s="69"/>
      <c r="AV2402" s="69"/>
      <c r="AW2402" s="69"/>
      <c r="AX2402" s="69"/>
      <c r="AY2402" s="69"/>
      <c r="AZ2402" s="69"/>
      <c r="BA2402" s="69"/>
      <c r="BB2402" s="69"/>
      <c r="BC2402" s="69"/>
    </row>
    <row r="2403">
      <c r="A2403" s="68"/>
      <c r="B2403" s="68"/>
      <c r="C2403" s="68"/>
      <c r="D2403" s="68"/>
      <c r="E2403" s="68"/>
      <c r="F2403" s="68"/>
      <c r="G2403" s="68"/>
      <c r="H2403" s="68"/>
      <c r="I2403" s="69"/>
      <c r="J2403" s="69"/>
      <c r="K2403" s="71"/>
      <c r="L2403" s="69"/>
      <c r="M2403" s="69"/>
      <c r="N2403" s="72"/>
      <c r="O2403" s="69"/>
      <c r="P2403" s="69"/>
      <c r="Q2403" s="69"/>
      <c r="R2403" s="69"/>
      <c r="S2403" s="69"/>
      <c r="T2403" s="69"/>
      <c r="U2403" s="69"/>
      <c r="V2403" s="69"/>
      <c r="W2403" s="69"/>
      <c r="X2403" s="69"/>
      <c r="Y2403" s="69"/>
      <c r="Z2403" s="69"/>
      <c r="AA2403" s="69"/>
      <c r="AB2403" s="69"/>
      <c r="AC2403" s="69"/>
      <c r="AD2403" s="69"/>
      <c r="AE2403" s="69"/>
      <c r="AF2403" s="69"/>
      <c r="AG2403" s="69"/>
      <c r="AH2403" s="69"/>
      <c r="AI2403" s="69"/>
      <c r="AJ2403" s="69"/>
      <c r="AK2403" s="69"/>
      <c r="AL2403" s="69"/>
      <c r="AM2403" s="69"/>
      <c r="AN2403" s="69"/>
      <c r="AO2403" s="69"/>
      <c r="AP2403" s="69"/>
      <c r="AQ2403" s="69"/>
      <c r="AR2403" s="69"/>
      <c r="AS2403" s="69"/>
      <c r="AT2403" s="69"/>
      <c r="AU2403" s="69"/>
      <c r="AV2403" s="69"/>
      <c r="AW2403" s="69"/>
      <c r="AX2403" s="69"/>
      <c r="AY2403" s="69"/>
      <c r="AZ2403" s="69"/>
      <c r="BA2403" s="69"/>
      <c r="BB2403" s="69"/>
      <c r="BC2403" s="69"/>
    </row>
    <row r="2404">
      <c r="A2404" s="68"/>
      <c r="B2404" s="68"/>
      <c r="C2404" s="68"/>
      <c r="D2404" s="68"/>
      <c r="E2404" s="68"/>
      <c r="F2404" s="68"/>
      <c r="G2404" s="68"/>
      <c r="H2404" s="68"/>
      <c r="I2404" s="69"/>
      <c r="J2404" s="69"/>
      <c r="K2404" s="71"/>
      <c r="L2404" s="69"/>
      <c r="M2404" s="69"/>
      <c r="N2404" s="72"/>
      <c r="O2404" s="69"/>
      <c r="P2404" s="69"/>
      <c r="Q2404" s="69"/>
      <c r="R2404" s="69"/>
      <c r="S2404" s="69"/>
      <c r="T2404" s="69"/>
      <c r="U2404" s="69"/>
      <c r="V2404" s="69"/>
      <c r="W2404" s="69"/>
      <c r="X2404" s="69"/>
      <c r="Y2404" s="69"/>
      <c r="Z2404" s="69"/>
      <c r="AA2404" s="69"/>
      <c r="AB2404" s="69"/>
      <c r="AC2404" s="69"/>
      <c r="AD2404" s="69"/>
      <c r="AE2404" s="69"/>
      <c r="AF2404" s="69"/>
      <c r="AG2404" s="69"/>
      <c r="AH2404" s="69"/>
      <c r="AI2404" s="69"/>
      <c r="AJ2404" s="69"/>
      <c r="AK2404" s="69"/>
      <c r="AL2404" s="69"/>
      <c r="AM2404" s="69"/>
      <c r="AN2404" s="69"/>
      <c r="AO2404" s="69"/>
      <c r="AP2404" s="69"/>
      <c r="AQ2404" s="69"/>
      <c r="AR2404" s="69"/>
      <c r="AS2404" s="69"/>
      <c r="AT2404" s="69"/>
      <c r="AU2404" s="69"/>
      <c r="AV2404" s="69"/>
      <c r="AW2404" s="69"/>
      <c r="AX2404" s="69"/>
      <c r="AY2404" s="69"/>
      <c r="AZ2404" s="69"/>
      <c r="BA2404" s="69"/>
      <c r="BB2404" s="69"/>
      <c r="BC2404" s="69"/>
    </row>
    <row r="2405">
      <c r="A2405" s="68"/>
      <c r="B2405" s="68"/>
      <c r="C2405" s="68"/>
      <c r="D2405" s="68"/>
      <c r="E2405" s="68"/>
      <c r="F2405" s="68"/>
      <c r="G2405" s="68"/>
      <c r="H2405" s="68"/>
      <c r="I2405" s="69"/>
      <c r="J2405" s="69"/>
      <c r="K2405" s="71"/>
      <c r="L2405" s="69"/>
      <c r="M2405" s="69"/>
      <c r="N2405" s="72"/>
      <c r="O2405" s="69"/>
      <c r="P2405" s="69"/>
      <c r="Q2405" s="69"/>
      <c r="R2405" s="69"/>
      <c r="S2405" s="69"/>
      <c r="T2405" s="69"/>
      <c r="U2405" s="69"/>
      <c r="V2405" s="69"/>
      <c r="W2405" s="69"/>
      <c r="X2405" s="69"/>
      <c r="Y2405" s="69"/>
      <c r="Z2405" s="69"/>
      <c r="AA2405" s="69"/>
      <c r="AB2405" s="69"/>
      <c r="AC2405" s="69"/>
      <c r="AD2405" s="69"/>
      <c r="AE2405" s="69"/>
      <c r="AF2405" s="69"/>
      <c r="AG2405" s="69"/>
      <c r="AH2405" s="69"/>
      <c r="AI2405" s="69"/>
      <c r="AJ2405" s="69"/>
      <c r="AK2405" s="69"/>
      <c r="AL2405" s="69"/>
      <c r="AM2405" s="69"/>
      <c r="AN2405" s="69"/>
      <c r="AO2405" s="69"/>
      <c r="AP2405" s="69"/>
      <c r="AQ2405" s="69"/>
      <c r="AR2405" s="69"/>
      <c r="AS2405" s="69"/>
      <c r="AT2405" s="69"/>
      <c r="AU2405" s="69"/>
      <c r="AV2405" s="69"/>
      <c r="AW2405" s="69"/>
      <c r="AX2405" s="69"/>
      <c r="AY2405" s="69"/>
      <c r="AZ2405" s="69"/>
      <c r="BA2405" s="69"/>
      <c r="BB2405" s="69"/>
      <c r="BC2405" s="69"/>
    </row>
    <row r="2406">
      <c r="A2406" s="68"/>
      <c r="B2406" s="68"/>
      <c r="C2406" s="68"/>
      <c r="D2406" s="68"/>
      <c r="E2406" s="68"/>
      <c r="F2406" s="68"/>
      <c r="G2406" s="68"/>
      <c r="H2406" s="68"/>
      <c r="I2406" s="69"/>
      <c r="J2406" s="69"/>
      <c r="K2406" s="71"/>
      <c r="L2406" s="69"/>
      <c r="M2406" s="69"/>
      <c r="N2406" s="72"/>
      <c r="O2406" s="69"/>
      <c r="P2406" s="69"/>
      <c r="Q2406" s="69"/>
      <c r="R2406" s="69"/>
      <c r="S2406" s="69"/>
      <c r="T2406" s="69"/>
      <c r="U2406" s="69"/>
      <c r="V2406" s="69"/>
      <c r="W2406" s="69"/>
      <c r="X2406" s="69"/>
      <c r="Y2406" s="69"/>
      <c r="Z2406" s="69"/>
      <c r="AA2406" s="69"/>
      <c r="AB2406" s="69"/>
      <c r="AC2406" s="69"/>
      <c r="AD2406" s="69"/>
      <c r="AE2406" s="69"/>
      <c r="AF2406" s="69"/>
      <c r="AG2406" s="69"/>
      <c r="AH2406" s="69"/>
      <c r="AI2406" s="69"/>
      <c r="AJ2406" s="69"/>
      <c r="AK2406" s="69"/>
      <c r="AL2406" s="69"/>
      <c r="AM2406" s="69"/>
      <c r="AN2406" s="69"/>
      <c r="AO2406" s="69"/>
      <c r="AP2406" s="69"/>
      <c r="AQ2406" s="69"/>
      <c r="AR2406" s="69"/>
      <c r="AS2406" s="69"/>
      <c r="AT2406" s="69"/>
      <c r="AU2406" s="69"/>
      <c r="AV2406" s="69"/>
      <c r="AW2406" s="69"/>
      <c r="AX2406" s="69"/>
      <c r="AY2406" s="69"/>
      <c r="AZ2406" s="69"/>
      <c r="BA2406" s="69"/>
      <c r="BB2406" s="69"/>
      <c r="BC2406" s="69"/>
    </row>
    <row r="2407">
      <c r="A2407" s="68"/>
      <c r="B2407" s="68"/>
      <c r="C2407" s="68"/>
      <c r="D2407" s="68"/>
      <c r="E2407" s="68"/>
      <c r="F2407" s="68"/>
      <c r="G2407" s="68"/>
      <c r="H2407" s="68"/>
      <c r="I2407" s="69"/>
      <c r="J2407" s="69"/>
      <c r="K2407" s="71"/>
      <c r="L2407" s="69"/>
      <c r="M2407" s="69"/>
      <c r="N2407" s="72"/>
      <c r="O2407" s="69"/>
      <c r="P2407" s="69"/>
      <c r="Q2407" s="69"/>
      <c r="R2407" s="69"/>
      <c r="S2407" s="69"/>
      <c r="T2407" s="69"/>
      <c r="U2407" s="69"/>
      <c r="V2407" s="69"/>
      <c r="W2407" s="69"/>
      <c r="X2407" s="69"/>
      <c r="Y2407" s="69"/>
      <c r="Z2407" s="69"/>
      <c r="AA2407" s="69"/>
      <c r="AB2407" s="69"/>
      <c r="AC2407" s="69"/>
      <c r="AD2407" s="69"/>
      <c r="AE2407" s="69"/>
      <c r="AF2407" s="69"/>
      <c r="AG2407" s="69"/>
      <c r="AH2407" s="69"/>
      <c r="AI2407" s="69"/>
      <c r="AJ2407" s="69"/>
      <c r="AK2407" s="69"/>
      <c r="AL2407" s="69"/>
      <c r="AM2407" s="69"/>
      <c r="AN2407" s="69"/>
      <c r="AO2407" s="69"/>
      <c r="AP2407" s="69"/>
      <c r="AQ2407" s="69"/>
      <c r="AR2407" s="69"/>
      <c r="AS2407" s="69"/>
      <c r="AT2407" s="69"/>
      <c r="AU2407" s="69"/>
      <c r="AV2407" s="69"/>
      <c r="AW2407" s="69"/>
      <c r="AX2407" s="69"/>
      <c r="AY2407" s="69"/>
      <c r="AZ2407" s="69"/>
      <c r="BA2407" s="69"/>
      <c r="BB2407" s="69"/>
      <c r="BC2407" s="69"/>
    </row>
    <row r="2408">
      <c r="A2408" s="68"/>
      <c r="B2408" s="68"/>
      <c r="C2408" s="68"/>
      <c r="D2408" s="68"/>
      <c r="E2408" s="68"/>
      <c r="F2408" s="68"/>
      <c r="G2408" s="68"/>
      <c r="H2408" s="68"/>
      <c r="I2408" s="69"/>
      <c r="J2408" s="69"/>
      <c r="K2408" s="71"/>
      <c r="L2408" s="69"/>
      <c r="M2408" s="69"/>
      <c r="N2408" s="72"/>
      <c r="O2408" s="69"/>
      <c r="P2408" s="69"/>
      <c r="Q2408" s="69"/>
      <c r="R2408" s="69"/>
      <c r="S2408" s="69"/>
      <c r="T2408" s="69"/>
      <c r="U2408" s="69"/>
      <c r="V2408" s="69"/>
      <c r="W2408" s="69"/>
      <c r="X2408" s="69"/>
      <c r="Y2408" s="69"/>
      <c r="Z2408" s="69"/>
      <c r="AA2408" s="69"/>
      <c r="AB2408" s="69"/>
      <c r="AC2408" s="69"/>
      <c r="AD2408" s="69"/>
      <c r="AE2408" s="69"/>
      <c r="AF2408" s="69"/>
      <c r="AG2408" s="69"/>
      <c r="AH2408" s="69"/>
      <c r="AI2408" s="69"/>
      <c r="AJ2408" s="69"/>
      <c r="AK2408" s="69"/>
      <c r="AL2408" s="69"/>
      <c r="AM2408" s="69"/>
      <c r="AN2408" s="69"/>
      <c r="AO2408" s="69"/>
      <c r="AP2408" s="69"/>
      <c r="AQ2408" s="69"/>
      <c r="AR2408" s="69"/>
      <c r="AS2408" s="69"/>
      <c r="AT2408" s="69"/>
      <c r="AU2408" s="69"/>
      <c r="AV2408" s="69"/>
      <c r="AW2408" s="69"/>
      <c r="AX2408" s="69"/>
      <c r="AY2408" s="69"/>
      <c r="AZ2408" s="69"/>
      <c r="BA2408" s="69"/>
      <c r="BB2408" s="69"/>
      <c r="BC2408" s="69"/>
    </row>
    <row r="2409">
      <c r="A2409" s="68"/>
      <c r="B2409" s="68"/>
      <c r="C2409" s="68"/>
      <c r="D2409" s="68"/>
      <c r="E2409" s="68"/>
      <c r="F2409" s="68"/>
      <c r="G2409" s="68"/>
      <c r="H2409" s="68"/>
      <c r="I2409" s="69"/>
      <c r="J2409" s="69"/>
      <c r="K2409" s="71"/>
      <c r="L2409" s="69"/>
      <c r="M2409" s="69"/>
      <c r="N2409" s="72"/>
      <c r="O2409" s="69"/>
      <c r="P2409" s="69"/>
      <c r="Q2409" s="69"/>
      <c r="R2409" s="69"/>
      <c r="S2409" s="69"/>
      <c r="T2409" s="69"/>
      <c r="U2409" s="69"/>
      <c r="V2409" s="69"/>
      <c r="W2409" s="69"/>
      <c r="X2409" s="69"/>
      <c r="Y2409" s="69"/>
      <c r="Z2409" s="69"/>
      <c r="AA2409" s="69"/>
      <c r="AB2409" s="69"/>
      <c r="AC2409" s="69"/>
      <c r="AD2409" s="69"/>
      <c r="AE2409" s="69"/>
      <c r="AF2409" s="69"/>
      <c r="AG2409" s="69"/>
      <c r="AH2409" s="69"/>
      <c r="AI2409" s="69"/>
      <c r="AJ2409" s="69"/>
      <c r="AK2409" s="69"/>
      <c r="AL2409" s="69"/>
      <c r="AM2409" s="69"/>
      <c r="AN2409" s="69"/>
      <c r="AO2409" s="69"/>
      <c r="AP2409" s="69"/>
      <c r="AQ2409" s="69"/>
      <c r="AR2409" s="69"/>
      <c r="AS2409" s="69"/>
      <c r="AT2409" s="69"/>
      <c r="AU2409" s="69"/>
      <c r="AV2409" s="69"/>
      <c r="AW2409" s="69"/>
      <c r="AX2409" s="69"/>
      <c r="AY2409" s="69"/>
      <c r="AZ2409" s="69"/>
      <c r="BA2409" s="69"/>
      <c r="BB2409" s="69"/>
      <c r="BC2409" s="69"/>
    </row>
    <row r="2410">
      <c r="A2410" s="68"/>
      <c r="B2410" s="68"/>
      <c r="C2410" s="68"/>
      <c r="D2410" s="68"/>
      <c r="E2410" s="68"/>
      <c r="F2410" s="68"/>
      <c r="G2410" s="68"/>
      <c r="H2410" s="68"/>
      <c r="I2410" s="69"/>
      <c r="J2410" s="69"/>
      <c r="K2410" s="71"/>
      <c r="L2410" s="69"/>
      <c r="M2410" s="69"/>
      <c r="N2410" s="72"/>
      <c r="O2410" s="69"/>
      <c r="P2410" s="69"/>
      <c r="Q2410" s="69"/>
      <c r="R2410" s="69"/>
      <c r="S2410" s="69"/>
      <c r="T2410" s="69"/>
      <c r="U2410" s="69"/>
      <c r="V2410" s="69"/>
      <c r="W2410" s="69"/>
      <c r="X2410" s="69"/>
      <c r="Y2410" s="69"/>
      <c r="Z2410" s="69"/>
      <c r="AA2410" s="69"/>
      <c r="AB2410" s="69"/>
      <c r="AC2410" s="69"/>
      <c r="AD2410" s="69"/>
      <c r="AE2410" s="69"/>
      <c r="AF2410" s="69"/>
      <c r="AG2410" s="69"/>
      <c r="AH2410" s="69"/>
      <c r="AI2410" s="69"/>
      <c r="AJ2410" s="69"/>
      <c r="AK2410" s="69"/>
      <c r="AL2410" s="69"/>
      <c r="AM2410" s="69"/>
      <c r="AN2410" s="69"/>
      <c r="AO2410" s="69"/>
      <c r="AP2410" s="69"/>
      <c r="AQ2410" s="69"/>
      <c r="AR2410" s="69"/>
      <c r="AS2410" s="69"/>
      <c r="AT2410" s="69"/>
      <c r="AU2410" s="69"/>
      <c r="AV2410" s="69"/>
      <c r="AW2410" s="69"/>
      <c r="AX2410" s="69"/>
      <c r="AY2410" s="69"/>
      <c r="AZ2410" s="69"/>
      <c r="BA2410" s="69"/>
      <c r="BB2410" s="69"/>
      <c r="BC2410" s="69"/>
    </row>
    <row r="2411">
      <c r="A2411" s="68"/>
      <c r="B2411" s="68"/>
      <c r="C2411" s="68"/>
      <c r="D2411" s="68"/>
      <c r="E2411" s="68"/>
      <c r="F2411" s="68"/>
      <c r="G2411" s="68"/>
      <c r="H2411" s="68"/>
      <c r="I2411" s="69"/>
      <c r="J2411" s="69"/>
      <c r="K2411" s="71"/>
      <c r="L2411" s="69"/>
      <c r="M2411" s="69"/>
      <c r="N2411" s="72"/>
      <c r="O2411" s="69"/>
      <c r="P2411" s="69"/>
      <c r="Q2411" s="69"/>
      <c r="R2411" s="69"/>
      <c r="S2411" s="69"/>
      <c r="T2411" s="69"/>
      <c r="U2411" s="69"/>
      <c r="V2411" s="69"/>
      <c r="W2411" s="69"/>
      <c r="X2411" s="69"/>
      <c r="Y2411" s="69"/>
      <c r="Z2411" s="69"/>
      <c r="AA2411" s="69"/>
      <c r="AB2411" s="69"/>
      <c r="AC2411" s="69"/>
      <c r="AD2411" s="69"/>
      <c r="AE2411" s="69"/>
      <c r="AF2411" s="69"/>
      <c r="AG2411" s="69"/>
      <c r="AH2411" s="69"/>
      <c r="AI2411" s="69"/>
      <c r="AJ2411" s="69"/>
      <c r="AK2411" s="69"/>
      <c r="AL2411" s="69"/>
      <c r="AM2411" s="69"/>
      <c r="AN2411" s="69"/>
      <c r="AO2411" s="69"/>
      <c r="AP2411" s="69"/>
      <c r="AQ2411" s="69"/>
      <c r="AR2411" s="69"/>
      <c r="AS2411" s="69"/>
      <c r="AT2411" s="69"/>
      <c r="AU2411" s="69"/>
      <c r="AV2411" s="69"/>
      <c r="AW2411" s="69"/>
      <c r="AX2411" s="69"/>
      <c r="AY2411" s="69"/>
      <c r="AZ2411" s="69"/>
      <c r="BA2411" s="69"/>
      <c r="BB2411" s="69"/>
      <c r="BC2411" s="69"/>
    </row>
    <row r="2412">
      <c r="A2412" s="68"/>
      <c r="B2412" s="68"/>
      <c r="C2412" s="68"/>
      <c r="D2412" s="68"/>
      <c r="E2412" s="68"/>
      <c r="F2412" s="68"/>
      <c r="G2412" s="68"/>
      <c r="H2412" s="68"/>
      <c r="I2412" s="69"/>
      <c r="J2412" s="69"/>
      <c r="K2412" s="71"/>
      <c r="L2412" s="69"/>
      <c r="M2412" s="69"/>
      <c r="N2412" s="72"/>
      <c r="O2412" s="69"/>
      <c r="P2412" s="69"/>
      <c r="Q2412" s="69"/>
      <c r="R2412" s="69"/>
      <c r="S2412" s="69"/>
      <c r="T2412" s="69"/>
      <c r="U2412" s="69"/>
      <c r="V2412" s="69"/>
      <c r="W2412" s="69"/>
      <c r="X2412" s="69"/>
      <c r="Y2412" s="69"/>
      <c r="Z2412" s="69"/>
      <c r="AA2412" s="69"/>
      <c r="AB2412" s="69"/>
      <c r="AC2412" s="69"/>
      <c r="AD2412" s="69"/>
      <c r="AE2412" s="69"/>
      <c r="AF2412" s="69"/>
      <c r="AG2412" s="69"/>
      <c r="AH2412" s="69"/>
      <c r="AI2412" s="69"/>
      <c r="AJ2412" s="69"/>
      <c r="AK2412" s="69"/>
      <c r="AL2412" s="69"/>
      <c r="AM2412" s="69"/>
      <c r="AN2412" s="69"/>
      <c r="AO2412" s="69"/>
      <c r="AP2412" s="69"/>
      <c r="AQ2412" s="69"/>
      <c r="AR2412" s="69"/>
      <c r="AS2412" s="69"/>
      <c r="AT2412" s="69"/>
      <c r="AU2412" s="69"/>
      <c r="AV2412" s="69"/>
      <c r="AW2412" s="69"/>
      <c r="AX2412" s="69"/>
      <c r="AY2412" s="69"/>
      <c r="AZ2412" s="69"/>
      <c r="BA2412" s="69"/>
      <c r="BB2412" s="69"/>
      <c r="BC2412" s="69"/>
    </row>
    <row r="2413">
      <c r="A2413" s="68"/>
      <c r="B2413" s="68"/>
      <c r="C2413" s="68"/>
      <c r="D2413" s="68"/>
      <c r="E2413" s="68"/>
      <c r="F2413" s="68"/>
      <c r="G2413" s="68"/>
      <c r="H2413" s="68"/>
      <c r="I2413" s="69"/>
      <c r="J2413" s="69"/>
      <c r="K2413" s="71"/>
      <c r="L2413" s="69"/>
      <c r="M2413" s="69"/>
      <c r="N2413" s="72"/>
      <c r="O2413" s="69"/>
      <c r="P2413" s="69"/>
      <c r="Q2413" s="69"/>
      <c r="R2413" s="69"/>
      <c r="S2413" s="69"/>
      <c r="T2413" s="69"/>
      <c r="U2413" s="69"/>
      <c r="V2413" s="69"/>
      <c r="W2413" s="69"/>
      <c r="X2413" s="69"/>
      <c r="Y2413" s="69"/>
      <c r="Z2413" s="69"/>
      <c r="AA2413" s="69"/>
      <c r="AB2413" s="69"/>
      <c r="AC2413" s="69"/>
      <c r="AD2413" s="69"/>
      <c r="AE2413" s="69"/>
      <c r="AF2413" s="69"/>
      <c r="AG2413" s="69"/>
      <c r="AH2413" s="69"/>
      <c r="AI2413" s="69"/>
      <c r="AJ2413" s="69"/>
      <c r="AK2413" s="69"/>
      <c r="AL2413" s="69"/>
      <c r="AM2413" s="69"/>
      <c r="AN2413" s="69"/>
      <c r="AO2413" s="69"/>
      <c r="AP2413" s="69"/>
      <c r="AQ2413" s="69"/>
      <c r="AR2413" s="69"/>
      <c r="AS2413" s="69"/>
      <c r="AT2413" s="69"/>
      <c r="AU2413" s="69"/>
      <c r="AV2413" s="69"/>
      <c r="AW2413" s="69"/>
      <c r="AX2413" s="69"/>
      <c r="AY2413" s="69"/>
      <c r="AZ2413" s="69"/>
      <c r="BA2413" s="69"/>
      <c r="BB2413" s="69"/>
      <c r="BC2413" s="69"/>
    </row>
    <row r="2414">
      <c r="A2414" s="68"/>
      <c r="B2414" s="68"/>
      <c r="C2414" s="68"/>
      <c r="D2414" s="68"/>
      <c r="E2414" s="68"/>
      <c r="F2414" s="68"/>
      <c r="G2414" s="68"/>
      <c r="H2414" s="68"/>
      <c r="I2414" s="69"/>
      <c r="J2414" s="69"/>
      <c r="K2414" s="71"/>
      <c r="L2414" s="69"/>
      <c r="M2414" s="69"/>
      <c r="N2414" s="72"/>
      <c r="O2414" s="69"/>
      <c r="P2414" s="69"/>
      <c r="Q2414" s="69"/>
      <c r="R2414" s="69"/>
      <c r="S2414" s="69"/>
      <c r="T2414" s="69"/>
      <c r="U2414" s="69"/>
      <c r="V2414" s="69"/>
      <c r="W2414" s="69"/>
      <c r="X2414" s="69"/>
      <c r="Y2414" s="69"/>
      <c r="Z2414" s="69"/>
      <c r="AA2414" s="69"/>
      <c r="AB2414" s="69"/>
      <c r="AC2414" s="69"/>
      <c r="AD2414" s="69"/>
      <c r="AE2414" s="69"/>
      <c r="AF2414" s="69"/>
      <c r="AG2414" s="69"/>
      <c r="AH2414" s="69"/>
      <c r="AI2414" s="69"/>
      <c r="AJ2414" s="69"/>
      <c r="AK2414" s="69"/>
      <c r="AL2414" s="69"/>
      <c r="AM2414" s="69"/>
      <c r="AN2414" s="69"/>
      <c r="AO2414" s="69"/>
      <c r="AP2414" s="69"/>
      <c r="AQ2414" s="69"/>
      <c r="AR2414" s="69"/>
      <c r="AS2414" s="69"/>
      <c r="AT2414" s="69"/>
      <c r="AU2414" s="69"/>
      <c r="AV2414" s="69"/>
      <c r="AW2414" s="69"/>
      <c r="AX2414" s="69"/>
      <c r="AY2414" s="69"/>
      <c r="AZ2414" s="69"/>
      <c r="BA2414" s="69"/>
      <c r="BB2414" s="69"/>
      <c r="BC2414" s="69"/>
    </row>
    <row r="2415">
      <c r="A2415" s="68"/>
      <c r="B2415" s="68"/>
      <c r="C2415" s="68"/>
      <c r="D2415" s="68"/>
      <c r="E2415" s="68"/>
      <c r="F2415" s="68"/>
      <c r="G2415" s="68"/>
      <c r="H2415" s="68"/>
      <c r="I2415" s="69"/>
      <c r="J2415" s="69"/>
      <c r="K2415" s="71"/>
      <c r="L2415" s="69"/>
      <c r="M2415" s="69"/>
      <c r="N2415" s="72"/>
      <c r="O2415" s="69"/>
      <c r="P2415" s="69"/>
      <c r="Q2415" s="69"/>
      <c r="R2415" s="69"/>
      <c r="S2415" s="69"/>
      <c r="T2415" s="69"/>
      <c r="U2415" s="69"/>
      <c r="V2415" s="69"/>
      <c r="W2415" s="69"/>
      <c r="X2415" s="69"/>
      <c r="Y2415" s="69"/>
      <c r="Z2415" s="69"/>
      <c r="AA2415" s="69"/>
      <c r="AB2415" s="69"/>
      <c r="AC2415" s="69"/>
      <c r="AD2415" s="69"/>
      <c r="AE2415" s="69"/>
      <c r="AF2415" s="69"/>
      <c r="AG2415" s="69"/>
      <c r="AH2415" s="69"/>
      <c r="AI2415" s="69"/>
      <c r="AJ2415" s="69"/>
      <c r="AK2415" s="69"/>
      <c r="AL2415" s="69"/>
      <c r="AM2415" s="69"/>
      <c r="AN2415" s="69"/>
      <c r="AO2415" s="69"/>
      <c r="AP2415" s="69"/>
      <c r="AQ2415" s="69"/>
      <c r="AR2415" s="69"/>
      <c r="AS2415" s="69"/>
      <c r="AT2415" s="69"/>
      <c r="AU2415" s="69"/>
      <c r="AV2415" s="69"/>
      <c r="AW2415" s="69"/>
      <c r="AX2415" s="69"/>
      <c r="AY2415" s="69"/>
      <c r="AZ2415" s="69"/>
      <c r="BA2415" s="69"/>
      <c r="BB2415" s="69"/>
      <c r="BC2415" s="69"/>
    </row>
    <row r="2416">
      <c r="A2416" s="68"/>
      <c r="B2416" s="68"/>
      <c r="C2416" s="68"/>
      <c r="D2416" s="68"/>
      <c r="E2416" s="68"/>
      <c r="F2416" s="68"/>
      <c r="G2416" s="68"/>
      <c r="H2416" s="68"/>
      <c r="I2416" s="69"/>
      <c r="J2416" s="69"/>
      <c r="K2416" s="71"/>
      <c r="L2416" s="69"/>
      <c r="M2416" s="69"/>
      <c r="N2416" s="72"/>
      <c r="O2416" s="69"/>
      <c r="P2416" s="69"/>
      <c r="Q2416" s="69"/>
      <c r="R2416" s="69"/>
      <c r="S2416" s="69"/>
      <c r="T2416" s="69"/>
      <c r="U2416" s="69"/>
      <c r="V2416" s="69"/>
      <c r="W2416" s="69"/>
      <c r="X2416" s="69"/>
      <c r="Y2416" s="69"/>
      <c r="Z2416" s="69"/>
      <c r="AA2416" s="69"/>
      <c r="AB2416" s="69"/>
      <c r="AC2416" s="69"/>
      <c r="AD2416" s="69"/>
      <c r="AE2416" s="69"/>
      <c r="AF2416" s="69"/>
      <c r="AG2416" s="69"/>
      <c r="AH2416" s="69"/>
      <c r="AI2416" s="69"/>
      <c r="AJ2416" s="69"/>
      <c r="AK2416" s="69"/>
      <c r="AL2416" s="69"/>
      <c r="AM2416" s="69"/>
      <c r="AN2416" s="69"/>
      <c r="AO2416" s="69"/>
      <c r="AP2416" s="69"/>
      <c r="AQ2416" s="69"/>
      <c r="AR2416" s="69"/>
      <c r="AS2416" s="69"/>
      <c r="AT2416" s="69"/>
      <c r="AU2416" s="69"/>
      <c r="AV2416" s="69"/>
      <c r="AW2416" s="69"/>
      <c r="AX2416" s="69"/>
      <c r="AY2416" s="69"/>
      <c r="AZ2416" s="69"/>
      <c r="BA2416" s="69"/>
      <c r="BB2416" s="69"/>
      <c r="BC2416" s="69"/>
    </row>
    <row r="2417">
      <c r="A2417" s="68"/>
      <c r="B2417" s="68"/>
      <c r="C2417" s="68"/>
      <c r="D2417" s="68"/>
      <c r="E2417" s="68"/>
      <c r="F2417" s="68"/>
      <c r="G2417" s="68"/>
      <c r="H2417" s="68"/>
      <c r="I2417" s="69"/>
      <c r="J2417" s="69"/>
      <c r="K2417" s="71"/>
      <c r="L2417" s="69"/>
      <c r="M2417" s="69"/>
      <c r="N2417" s="72"/>
      <c r="O2417" s="69"/>
      <c r="P2417" s="69"/>
      <c r="Q2417" s="69"/>
      <c r="R2417" s="69"/>
      <c r="S2417" s="69"/>
      <c r="T2417" s="69"/>
      <c r="U2417" s="69"/>
      <c r="V2417" s="69"/>
      <c r="W2417" s="69"/>
      <c r="X2417" s="69"/>
      <c r="Y2417" s="69"/>
      <c r="Z2417" s="69"/>
      <c r="AA2417" s="69"/>
      <c r="AB2417" s="69"/>
      <c r="AC2417" s="69"/>
      <c r="AD2417" s="69"/>
      <c r="AE2417" s="69"/>
      <c r="AF2417" s="69"/>
      <c r="AG2417" s="69"/>
      <c r="AH2417" s="69"/>
      <c r="AI2417" s="69"/>
      <c r="AJ2417" s="69"/>
      <c r="AK2417" s="69"/>
      <c r="AL2417" s="69"/>
      <c r="AM2417" s="69"/>
      <c r="AN2417" s="69"/>
      <c r="AO2417" s="69"/>
      <c r="AP2417" s="69"/>
      <c r="AQ2417" s="69"/>
      <c r="AR2417" s="69"/>
      <c r="AS2417" s="69"/>
      <c r="AT2417" s="69"/>
      <c r="AU2417" s="69"/>
      <c r="AV2417" s="69"/>
      <c r="AW2417" s="69"/>
      <c r="AX2417" s="69"/>
      <c r="AY2417" s="69"/>
      <c r="AZ2417" s="69"/>
      <c r="BA2417" s="69"/>
      <c r="BB2417" s="69"/>
      <c r="BC2417" s="69"/>
    </row>
    <row r="2418">
      <c r="A2418" s="68"/>
      <c r="B2418" s="68"/>
      <c r="C2418" s="68"/>
      <c r="D2418" s="68"/>
      <c r="E2418" s="68"/>
      <c r="F2418" s="68"/>
      <c r="G2418" s="68"/>
      <c r="H2418" s="68"/>
      <c r="I2418" s="69"/>
      <c r="J2418" s="69"/>
      <c r="K2418" s="71"/>
      <c r="L2418" s="69"/>
      <c r="M2418" s="69"/>
      <c r="N2418" s="72"/>
      <c r="O2418" s="69"/>
      <c r="P2418" s="69"/>
      <c r="Q2418" s="69"/>
      <c r="R2418" s="69"/>
      <c r="S2418" s="69"/>
      <c r="T2418" s="69"/>
      <c r="U2418" s="69"/>
      <c r="V2418" s="69"/>
      <c r="W2418" s="69"/>
      <c r="X2418" s="69"/>
      <c r="Y2418" s="69"/>
      <c r="Z2418" s="69"/>
      <c r="AA2418" s="69"/>
      <c r="AB2418" s="69"/>
      <c r="AC2418" s="69"/>
      <c r="AD2418" s="69"/>
      <c r="AE2418" s="69"/>
      <c r="AF2418" s="69"/>
      <c r="AG2418" s="69"/>
      <c r="AH2418" s="69"/>
      <c r="AI2418" s="69"/>
      <c r="AJ2418" s="69"/>
      <c r="AK2418" s="69"/>
      <c r="AL2418" s="69"/>
      <c r="AM2418" s="69"/>
      <c r="AN2418" s="69"/>
      <c r="AO2418" s="69"/>
      <c r="AP2418" s="69"/>
      <c r="AQ2418" s="69"/>
      <c r="AR2418" s="69"/>
      <c r="AS2418" s="69"/>
      <c r="AT2418" s="69"/>
      <c r="AU2418" s="69"/>
      <c r="AV2418" s="69"/>
      <c r="AW2418" s="69"/>
      <c r="AX2418" s="69"/>
      <c r="AY2418" s="69"/>
      <c r="AZ2418" s="69"/>
      <c r="BA2418" s="69"/>
      <c r="BB2418" s="69"/>
      <c r="BC2418" s="69"/>
    </row>
    <row r="2419">
      <c r="A2419" s="68"/>
      <c r="B2419" s="68"/>
      <c r="C2419" s="68"/>
      <c r="D2419" s="68"/>
      <c r="E2419" s="68"/>
      <c r="F2419" s="68"/>
      <c r="G2419" s="68"/>
      <c r="H2419" s="68"/>
      <c r="I2419" s="69"/>
      <c r="J2419" s="69"/>
      <c r="K2419" s="71"/>
      <c r="L2419" s="69"/>
      <c r="M2419" s="69"/>
      <c r="N2419" s="72"/>
      <c r="O2419" s="69"/>
      <c r="P2419" s="69"/>
      <c r="Q2419" s="69"/>
      <c r="R2419" s="69"/>
      <c r="S2419" s="69"/>
      <c r="T2419" s="69"/>
      <c r="U2419" s="69"/>
      <c r="V2419" s="69"/>
      <c r="W2419" s="69"/>
      <c r="X2419" s="69"/>
      <c r="Y2419" s="69"/>
      <c r="Z2419" s="69"/>
      <c r="AA2419" s="69"/>
      <c r="AB2419" s="69"/>
      <c r="AC2419" s="69"/>
      <c r="AD2419" s="69"/>
      <c r="AE2419" s="69"/>
      <c r="AF2419" s="69"/>
      <c r="AG2419" s="69"/>
      <c r="AH2419" s="69"/>
      <c r="AI2419" s="69"/>
      <c r="AJ2419" s="69"/>
      <c r="AK2419" s="69"/>
      <c r="AL2419" s="69"/>
      <c r="AM2419" s="69"/>
      <c r="AN2419" s="69"/>
      <c r="AO2419" s="69"/>
      <c r="AP2419" s="69"/>
      <c r="AQ2419" s="69"/>
      <c r="AR2419" s="69"/>
      <c r="AS2419" s="69"/>
      <c r="AT2419" s="69"/>
      <c r="AU2419" s="69"/>
      <c r="AV2419" s="69"/>
      <c r="AW2419" s="69"/>
      <c r="AX2419" s="69"/>
      <c r="AY2419" s="69"/>
      <c r="AZ2419" s="69"/>
      <c r="BA2419" s="69"/>
      <c r="BB2419" s="69"/>
      <c r="BC2419" s="69"/>
    </row>
    <row r="2420">
      <c r="A2420" s="68"/>
      <c r="B2420" s="68"/>
      <c r="C2420" s="68"/>
      <c r="D2420" s="68"/>
      <c r="E2420" s="68"/>
      <c r="F2420" s="68"/>
      <c r="G2420" s="68"/>
      <c r="H2420" s="68"/>
      <c r="I2420" s="69"/>
      <c r="J2420" s="69"/>
      <c r="K2420" s="71"/>
      <c r="L2420" s="69"/>
      <c r="M2420" s="69"/>
      <c r="N2420" s="72"/>
      <c r="O2420" s="69"/>
      <c r="P2420" s="69"/>
      <c r="Q2420" s="69"/>
      <c r="R2420" s="69"/>
      <c r="S2420" s="69"/>
      <c r="T2420" s="69"/>
      <c r="U2420" s="69"/>
      <c r="V2420" s="69"/>
      <c r="W2420" s="69"/>
      <c r="X2420" s="69"/>
      <c r="Y2420" s="69"/>
      <c r="Z2420" s="69"/>
      <c r="AA2420" s="69"/>
      <c r="AB2420" s="69"/>
      <c r="AC2420" s="69"/>
      <c r="AD2420" s="69"/>
      <c r="AE2420" s="69"/>
      <c r="AF2420" s="69"/>
      <c r="AG2420" s="69"/>
      <c r="AH2420" s="69"/>
      <c r="AI2420" s="69"/>
      <c r="AJ2420" s="69"/>
      <c r="AK2420" s="69"/>
      <c r="AL2420" s="69"/>
      <c r="AM2420" s="69"/>
      <c r="AN2420" s="69"/>
      <c r="AO2420" s="69"/>
      <c r="AP2420" s="69"/>
      <c r="AQ2420" s="69"/>
      <c r="AR2420" s="69"/>
      <c r="AS2420" s="69"/>
      <c r="AT2420" s="69"/>
      <c r="AU2420" s="69"/>
      <c r="AV2420" s="69"/>
      <c r="AW2420" s="69"/>
      <c r="AX2420" s="69"/>
      <c r="AY2420" s="69"/>
      <c r="AZ2420" s="69"/>
      <c r="BA2420" s="69"/>
      <c r="BB2420" s="69"/>
      <c r="BC2420" s="69"/>
    </row>
    <row r="2421">
      <c r="A2421" s="68"/>
      <c r="B2421" s="68"/>
      <c r="C2421" s="68"/>
      <c r="D2421" s="68"/>
      <c r="E2421" s="68"/>
      <c r="F2421" s="68"/>
      <c r="G2421" s="68"/>
      <c r="H2421" s="68"/>
      <c r="I2421" s="69"/>
      <c r="J2421" s="69"/>
      <c r="K2421" s="71"/>
      <c r="L2421" s="69"/>
      <c r="M2421" s="69"/>
      <c r="N2421" s="72"/>
      <c r="O2421" s="69"/>
      <c r="P2421" s="69"/>
      <c r="Q2421" s="69"/>
      <c r="R2421" s="69"/>
      <c r="S2421" s="69"/>
      <c r="T2421" s="69"/>
      <c r="U2421" s="69"/>
      <c r="V2421" s="69"/>
      <c r="W2421" s="69"/>
      <c r="X2421" s="69"/>
      <c r="Y2421" s="69"/>
      <c r="Z2421" s="69"/>
      <c r="AA2421" s="69"/>
      <c r="AB2421" s="69"/>
      <c r="AC2421" s="69"/>
      <c r="AD2421" s="69"/>
      <c r="AE2421" s="69"/>
      <c r="AF2421" s="69"/>
      <c r="AG2421" s="69"/>
      <c r="AH2421" s="69"/>
      <c r="AI2421" s="69"/>
      <c r="AJ2421" s="69"/>
      <c r="AK2421" s="69"/>
      <c r="AL2421" s="69"/>
      <c r="AM2421" s="69"/>
      <c r="AN2421" s="69"/>
      <c r="AO2421" s="69"/>
      <c r="AP2421" s="69"/>
      <c r="AQ2421" s="69"/>
      <c r="AR2421" s="69"/>
      <c r="AS2421" s="69"/>
      <c r="AT2421" s="69"/>
      <c r="AU2421" s="69"/>
      <c r="AV2421" s="69"/>
      <c r="AW2421" s="69"/>
      <c r="AX2421" s="69"/>
      <c r="AY2421" s="69"/>
      <c r="AZ2421" s="69"/>
      <c r="BA2421" s="69"/>
      <c r="BB2421" s="69"/>
      <c r="BC2421" s="69"/>
    </row>
    <row r="2422">
      <c r="A2422" s="68"/>
      <c r="B2422" s="68"/>
      <c r="C2422" s="68"/>
      <c r="D2422" s="68"/>
      <c r="E2422" s="68"/>
      <c r="F2422" s="68"/>
      <c r="G2422" s="68"/>
      <c r="H2422" s="68"/>
      <c r="I2422" s="69"/>
      <c r="J2422" s="69"/>
      <c r="K2422" s="71"/>
      <c r="L2422" s="69"/>
      <c r="M2422" s="69"/>
      <c r="N2422" s="72"/>
      <c r="O2422" s="69"/>
      <c r="P2422" s="69"/>
      <c r="Q2422" s="69"/>
      <c r="R2422" s="69"/>
      <c r="S2422" s="69"/>
      <c r="T2422" s="69"/>
      <c r="U2422" s="69"/>
      <c r="V2422" s="69"/>
      <c r="W2422" s="69"/>
      <c r="X2422" s="69"/>
      <c r="Y2422" s="69"/>
      <c r="Z2422" s="69"/>
      <c r="AA2422" s="69"/>
      <c r="AB2422" s="69"/>
      <c r="AC2422" s="69"/>
      <c r="AD2422" s="69"/>
      <c r="AE2422" s="69"/>
      <c r="AF2422" s="69"/>
      <c r="AG2422" s="69"/>
      <c r="AH2422" s="69"/>
      <c r="AI2422" s="69"/>
      <c r="AJ2422" s="69"/>
      <c r="AK2422" s="69"/>
      <c r="AL2422" s="69"/>
      <c r="AM2422" s="69"/>
      <c r="AN2422" s="69"/>
      <c r="AO2422" s="69"/>
      <c r="AP2422" s="69"/>
      <c r="AQ2422" s="69"/>
      <c r="AR2422" s="69"/>
      <c r="AS2422" s="69"/>
      <c r="AT2422" s="69"/>
      <c r="AU2422" s="69"/>
      <c r="AV2422" s="69"/>
      <c r="AW2422" s="69"/>
      <c r="AX2422" s="69"/>
      <c r="AY2422" s="69"/>
      <c r="AZ2422" s="69"/>
      <c r="BA2422" s="69"/>
      <c r="BB2422" s="69"/>
      <c r="BC2422" s="69"/>
    </row>
    <row r="2423">
      <c r="A2423" s="68"/>
      <c r="B2423" s="68"/>
      <c r="C2423" s="68"/>
      <c r="D2423" s="68"/>
      <c r="E2423" s="68"/>
      <c r="F2423" s="68"/>
      <c r="G2423" s="68"/>
      <c r="H2423" s="68"/>
      <c r="I2423" s="69"/>
      <c r="J2423" s="69"/>
      <c r="K2423" s="71"/>
      <c r="L2423" s="69"/>
      <c r="M2423" s="69"/>
      <c r="N2423" s="72"/>
      <c r="O2423" s="69"/>
      <c r="P2423" s="69"/>
      <c r="Q2423" s="69"/>
      <c r="R2423" s="69"/>
      <c r="S2423" s="69"/>
      <c r="T2423" s="69"/>
      <c r="U2423" s="69"/>
      <c r="V2423" s="69"/>
      <c r="W2423" s="69"/>
      <c r="X2423" s="69"/>
      <c r="Y2423" s="69"/>
      <c r="Z2423" s="69"/>
      <c r="AA2423" s="69"/>
      <c r="AB2423" s="69"/>
      <c r="AC2423" s="69"/>
      <c r="AD2423" s="69"/>
      <c r="AE2423" s="69"/>
      <c r="AF2423" s="69"/>
      <c r="AG2423" s="69"/>
      <c r="AH2423" s="69"/>
      <c r="AI2423" s="69"/>
      <c r="AJ2423" s="69"/>
      <c r="AK2423" s="69"/>
      <c r="AL2423" s="69"/>
      <c r="AM2423" s="69"/>
      <c r="AN2423" s="69"/>
      <c r="AO2423" s="69"/>
      <c r="AP2423" s="69"/>
      <c r="AQ2423" s="69"/>
      <c r="AR2423" s="69"/>
      <c r="AS2423" s="69"/>
      <c r="AT2423" s="69"/>
      <c r="AU2423" s="69"/>
      <c r="AV2423" s="69"/>
      <c r="AW2423" s="69"/>
      <c r="AX2423" s="69"/>
      <c r="AY2423" s="69"/>
      <c r="AZ2423" s="69"/>
      <c r="BA2423" s="69"/>
      <c r="BB2423" s="69"/>
      <c r="BC2423" s="69"/>
    </row>
    <row r="2424">
      <c r="A2424" s="68"/>
      <c r="B2424" s="68"/>
      <c r="C2424" s="68"/>
      <c r="D2424" s="68"/>
      <c r="E2424" s="68"/>
      <c r="F2424" s="68"/>
      <c r="G2424" s="68"/>
      <c r="H2424" s="68"/>
      <c r="I2424" s="69"/>
      <c r="J2424" s="69"/>
      <c r="K2424" s="71"/>
      <c r="L2424" s="69"/>
      <c r="M2424" s="69"/>
      <c r="N2424" s="72"/>
      <c r="O2424" s="69"/>
      <c r="P2424" s="69"/>
      <c r="Q2424" s="69"/>
      <c r="R2424" s="69"/>
      <c r="S2424" s="69"/>
      <c r="T2424" s="69"/>
      <c r="U2424" s="69"/>
      <c r="V2424" s="69"/>
      <c r="W2424" s="69"/>
      <c r="X2424" s="69"/>
      <c r="Y2424" s="69"/>
      <c r="Z2424" s="69"/>
      <c r="AA2424" s="69"/>
      <c r="AB2424" s="69"/>
      <c r="AC2424" s="69"/>
      <c r="AD2424" s="69"/>
      <c r="AE2424" s="69"/>
      <c r="AF2424" s="69"/>
      <c r="AG2424" s="69"/>
      <c r="AH2424" s="69"/>
      <c r="AI2424" s="69"/>
      <c r="AJ2424" s="69"/>
      <c r="AK2424" s="69"/>
      <c r="AL2424" s="69"/>
      <c r="AM2424" s="69"/>
      <c r="AN2424" s="69"/>
      <c r="AO2424" s="69"/>
      <c r="AP2424" s="69"/>
      <c r="AQ2424" s="69"/>
      <c r="AR2424" s="69"/>
      <c r="AS2424" s="69"/>
      <c r="AT2424" s="69"/>
      <c r="AU2424" s="69"/>
      <c r="AV2424" s="69"/>
      <c r="AW2424" s="69"/>
      <c r="AX2424" s="69"/>
      <c r="AY2424" s="69"/>
      <c r="AZ2424" s="69"/>
      <c r="BA2424" s="69"/>
      <c r="BB2424" s="69"/>
      <c r="BC2424" s="69"/>
    </row>
    <row r="2425">
      <c r="A2425" s="68"/>
      <c r="B2425" s="68"/>
      <c r="C2425" s="68"/>
      <c r="D2425" s="68"/>
      <c r="E2425" s="68"/>
      <c r="F2425" s="68"/>
      <c r="G2425" s="68"/>
      <c r="H2425" s="68"/>
      <c r="I2425" s="69"/>
      <c r="J2425" s="69"/>
      <c r="K2425" s="71"/>
      <c r="L2425" s="69"/>
      <c r="M2425" s="69"/>
      <c r="N2425" s="72"/>
      <c r="O2425" s="69"/>
      <c r="P2425" s="69"/>
      <c r="Q2425" s="69"/>
      <c r="R2425" s="69"/>
      <c r="S2425" s="69"/>
      <c r="T2425" s="69"/>
      <c r="U2425" s="69"/>
      <c r="V2425" s="69"/>
      <c r="W2425" s="69"/>
      <c r="X2425" s="69"/>
      <c r="Y2425" s="69"/>
      <c r="Z2425" s="69"/>
      <c r="AA2425" s="69"/>
      <c r="AB2425" s="69"/>
      <c r="AC2425" s="69"/>
      <c r="AD2425" s="69"/>
      <c r="AE2425" s="69"/>
      <c r="AF2425" s="69"/>
      <c r="AG2425" s="69"/>
      <c r="AH2425" s="69"/>
      <c r="AI2425" s="69"/>
      <c r="AJ2425" s="69"/>
      <c r="AK2425" s="69"/>
      <c r="AL2425" s="69"/>
      <c r="AM2425" s="69"/>
      <c r="AN2425" s="69"/>
      <c r="AO2425" s="69"/>
      <c r="AP2425" s="69"/>
      <c r="AQ2425" s="69"/>
      <c r="AR2425" s="69"/>
      <c r="AS2425" s="69"/>
      <c r="AT2425" s="69"/>
      <c r="AU2425" s="69"/>
      <c r="AV2425" s="69"/>
      <c r="AW2425" s="69"/>
      <c r="AX2425" s="69"/>
      <c r="AY2425" s="69"/>
      <c r="AZ2425" s="69"/>
      <c r="BA2425" s="69"/>
      <c r="BB2425" s="69"/>
      <c r="BC2425" s="69"/>
    </row>
    <row r="2426">
      <c r="A2426" s="68"/>
      <c r="B2426" s="68"/>
      <c r="C2426" s="68"/>
      <c r="D2426" s="68"/>
      <c r="E2426" s="68"/>
      <c r="F2426" s="68"/>
      <c r="G2426" s="68"/>
      <c r="H2426" s="68"/>
      <c r="I2426" s="69"/>
      <c r="J2426" s="69"/>
      <c r="K2426" s="71"/>
      <c r="L2426" s="69"/>
      <c r="M2426" s="69"/>
      <c r="N2426" s="72"/>
      <c r="O2426" s="69"/>
      <c r="P2426" s="69"/>
      <c r="Q2426" s="69"/>
      <c r="R2426" s="69"/>
      <c r="S2426" s="69"/>
      <c r="T2426" s="69"/>
      <c r="U2426" s="69"/>
      <c r="V2426" s="69"/>
      <c r="W2426" s="69"/>
      <c r="X2426" s="69"/>
      <c r="Y2426" s="69"/>
      <c r="Z2426" s="69"/>
      <c r="AA2426" s="69"/>
      <c r="AB2426" s="69"/>
      <c r="AC2426" s="69"/>
      <c r="AD2426" s="69"/>
      <c r="AE2426" s="69"/>
      <c r="AF2426" s="69"/>
      <c r="AG2426" s="69"/>
      <c r="AH2426" s="69"/>
      <c r="AI2426" s="69"/>
      <c r="AJ2426" s="69"/>
      <c r="AK2426" s="69"/>
      <c r="AL2426" s="69"/>
      <c r="AM2426" s="69"/>
      <c r="AN2426" s="69"/>
      <c r="AO2426" s="69"/>
      <c r="AP2426" s="69"/>
      <c r="AQ2426" s="69"/>
      <c r="AR2426" s="69"/>
      <c r="AS2426" s="69"/>
      <c r="AT2426" s="69"/>
      <c r="AU2426" s="69"/>
      <c r="AV2426" s="69"/>
      <c r="AW2426" s="69"/>
      <c r="AX2426" s="69"/>
      <c r="AY2426" s="69"/>
      <c r="AZ2426" s="69"/>
      <c r="BA2426" s="69"/>
      <c r="BB2426" s="69"/>
      <c r="BC2426" s="69"/>
    </row>
    <row r="2427">
      <c r="A2427" s="68"/>
      <c r="B2427" s="68"/>
      <c r="C2427" s="68"/>
      <c r="D2427" s="68"/>
      <c r="E2427" s="68"/>
      <c r="F2427" s="68"/>
      <c r="G2427" s="68"/>
      <c r="H2427" s="68"/>
      <c r="I2427" s="69"/>
      <c r="J2427" s="69"/>
      <c r="K2427" s="71"/>
      <c r="L2427" s="69"/>
      <c r="M2427" s="69"/>
      <c r="N2427" s="72"/>
      <c r="O2427" s="69"/>
      <c r="P2427" s="69"/>
      <c r="Q2427" s="69"/>
      <c r="R2427" s="69"/>
      <c r="S2427" s="69"/>
      <c r="T2427" s="69"/>
      <c r="U2427" s="69"/>
      <c r="V2427" s="69"/>
      <c r="W2427" s="69"/>
      <c r="X2427" s="69"/>
      <c r="Y2427" s="69"/>
      <c r="Z2427" s="69"/>
      <c r="AA2427" s="69"/>
      <c r="AB2427" s="69"/>
      <c r="AC2427" s="69"/>
      <c r="AD2427" s="69"/>
      <c r="AE2427" s="69"/>
      <c r="AF2427" s="69"/>
      <c r="AG2427" s="69"/>
      <c r="AH2427" s="69"/>
      <c r="AI2427" s="69"/>
      <c r="AJ2427" s="69"/>
      <c r="AK2427" s="69"/>
      <c r="AL2427" s="69"/>
      <c r="AM2427" s="69"/>
      <c r="AN2427" s="69"/>
      <c r="AO2427" s="69"/>
      <c r="AP2427" s="69"/>
      <c r="AQ2427" s="69"/>
      <c r="AR2427" s="69"/>
      <c r="AS2427" s="69"/>
      <c r="AT2427" s="69"/>
      <c r="AU2427" s="69"/>
      <c r="AV2427" s="69"/>
      <c r="AW2427" s="69"/>
      <c r="AX2427" s="69"/>
      <c r="AY2427" s="69"/>
      <c r="AZ2427" s="69"/>
      <c r="BA2427" s="69"/>
      <c r="BB2427" s="69"/>
      <c r="BC2427" s="69"/>
    </row>
    <row r="2428">
      <c r="A2428" s="68"/>
      <c r="B2428" s="68"/>
      <c r="C2428" s="68"/>
      <c r="D2428" s="68"/>
      <c r="E2428" s="68"/>
      <c r="F2428" s="68"/>
      <c r="G2428" s="68"/>
      <c r="H2428" s="68"/>
      <c r="I2428" s="69"/>
      <c r="J2428" s="69"/>
      <c r="K2428" s="71"/>
      <c r="L2428" s="69"/>
      <c r="M2428" s="69"/>
      <c r="N2428" s="72"/>
      <c r="O2428" s="69"/>
      <c r="P2428" s="69"/>
      <c r="Q2428" s="69"/>
      <c r="R2428" s="69"/>
      <c r="S2428" s="69"/>
      <c r="T2428" s="69"/>
      <c r="U2428" s="69"/>
      <c r="V2428" s="69"/>
      <c r="W2428" s="69"/>
      <c r="X2428" s="69"/>
      <c r="Y2428" s="69"/>
      <c r="Z2428" s="69"/>
      <c r="AA2428" s="69"/>
      <c r="AB2428" s="69"/>
      <c r="AC2428" s="69"/>
      <c r="AD2428" s="69"/>
      <c r="AE2428" s="69"/>
      <c r="AF2428" s="69"/>
      <c r="AG2428" s="69"/>
      <c r="AH2428" s="69"/>
      <c r="AI2428" s="69"/>
      <c r="AJ2428" s="69"/>
      <c r="AK2428" s="69"/>
      <c r="AL2428" s="69"/>
      <c r="AM2428" s="69"/>
      <c r="AN2428" s="69"/>
      <c r="AO2428" s="69"/>
      <c r="AP2428" s="69"/>
      <c r="AQ2428" s="69"/>
      <c r="AR2428" s="69"/>
      <c r="AS2428" s="69"/>
      <c r="AT2428" s="69"/>
      <c r="AU2428" s="69"/>
      <c r="AV2428" s="69"/>
      <c r="AW2428" s="69"/>
      <c r="AX2428" s="69"/>
      <c r="AY2428" s="69"/>
      <c r="AZ2428" s="69"/>
      <c r="BA2428" s="69"/>
      <c r="BB2428" s="69"/>
      <c r="BC2428" s="69"/>
    </row>
    <row r="2429">
      <c r="A2429" s="68"/>
      <c r="B2429" s="68"/>
      <c r="C2429" s="68"/>
      <c r="D2429" s="68"/>
      <c r="E2429" s="68"/>
      <c r="F2429" s="68"/>
      <c r="G2429" s="68"/>
      <c r="H2429" s="68"/>
      <c r="I2429" s="69"/>
      <c r="J2429" s="69"/>
      <c r="K2429" s="71"/>
      <c r="L2429" s="69"/>
      <c r="M2429" s="69"/>
      <c r="N2429" s="72"/>
      <c r="O2429" s="69"/>
      <c r="P2429" s="69"/>
      <c r="Q2429" s="69"/>
      <c r="R2429" s="69"/>
      <c r="S2429" s="69"/>
      <c r="T2429" s="69"/>
      <c r="U2429" s="69"/>
      <c r="V2429" s="69"/>
      <c r="W2429" s="69"/>
      <c r="X2429" s="69"/>
      <c r="Y2429" s="69"/>
      <c r="Z2429" s="69"/>
      <c r="AA2429" s="69"/>
      <c r="AB2429" s="69"/>
      <c r="AC2429" s="69"/>
      <c r="AD2429" s="69"/>
      <c r="AE2429" s="69"/>
      <c r="AF2429" s="69"/>
      <c r="AG2429" s="69"/>
      <c r="AH2429" s="69"/>
      <c r="AI2429" s="69"/>
      <c r="AJ2429" s="69"/>
      <c r="AK2429" s="69"/>
      <c r="AL2429" s="69"/>
      <c r="AM2429" s="69"/>
      <c r="AN2429" s="69"/>
      <c r="AO2429" s="69"/>
      <c r="AP2429" s="69"/>
      <c r="AQ2429" s="69"/>
      <c r="AR2429" s="69"/>
      <c r="AS2429" s="69"/>
      <c r="AT2429" s="69"/>
      <c r="AU2429" s="69"/>
      <c r="AV2429" s="69"/>
      <c r="AW2429" s="69"/>
      <c r="AX2429" s="69"/>
      <c r="AY2429" s="69"/>
      <c r="AZ2429" s="69"/>
      <c r="BA2429" s="69"/>
      <c r="BB2429" s="69"/>
      <c r="BC2429" s="69"/>
    </row>
    <row r="2430">
      <c r="A2430" s="68"/>
      <c r="B2430" s="68"/>
      <c r="C2430" s="68"/>
      <c r="D2430" s="68"/>
      <c r="E2430" s="68"/>
      <c r="F2430" s="68"/>
      <c r="G2430" s="68"/>
      <c r="H2430" s="68"/>
      <c r="I2430" s="69"/>
      <c r="J2430" s="69"/>
      <c r="K2430" s="71"/>
      <c r="L2430" s="69"/>
      <c r="M2430" s="69"/>
      <c r="N2430" s="72"/>
      <c r="O2430" s="69"/>
      <c r="P2430" s="69"/>
      <c r="Q2430" s="69"/>
      <c r="R2430" s="69"/>
      <c r="S2430" s="69"/>
      <c r="T2430" s="69"/>
      <c r="U2430" s="69"/>
      <c r="V2430" s="69"/>
      <c r="W2430" s="69"/>
      <c r="X2430" s="69"/>
      <c r="Y2430" s="69"/>
      <c r="Z2430" s="69"/>
      <c r="AA2430" s="69"/>
      <c r="AB2430" s="69"/>
      <c r="AC2430" s="69"/>
      <c r="AD2430" s="69"/>
      <c r="AE2430" s="69"/>
      <c r="AF2430" s="69"/>
      <c r="AG2430" s="69"/>
      <c r="AH2430" s="69"/>
      <c r="AI2430" s="69"/>
      <c r="AJ2430" s="69"/>
      <c r="AK2430" s="69"/>
      <c r="AL2430" s="69"/>
      <c r="AM2430" s="69"/>
      <c r="AN2430" s="69"/>
      <c r="AO2430" s="69"/>
      <c r="AP2430" s="69"/>
      <c r="AQ2430" s="69"/>
      <c r="AR2430" s="69"/>
      <c r="AS2430" s="69"/>
      <c r="AT2430" s="69"/>
      <c r="AU2430" s="69"/>
      <c r="AV2430" s="69"/>
      <c r="AW2430" s="69"/>
      <c r="AX2430" s="69"/>
      <c r="AY2430" s="69"/>
      <c r="AZ2430" s="69"/>
      <c r="BA2430" s="69"/>
      <c r="BB2430" s="69"/>
      <c r="BC2430" s="69"/>
    </row>
    <row r="2431">
      <c r="A2431" s="68"/>
      <c r="B2431" s="68"/>
      <c r="C2431" s="68"/>
      <c r="D2431" s="68"/>
      <c r="E2431" s="68"/>
      <c r="F2431" s="68"/>
      <c r="G2431" s="68"/>
      <c r="H2431" s="68"/>
      <c r="I2431" s="69"/>
      <c r="J2431" s="69"/>
      <c r="K2431" s="71"/>
      <c r="L2431" s="69"/>
      <c r="M2431" s="69"/>
      <c r="N2431" s="72"/>
      <c r="O2431" s="69"/>
      <c r="P2431" s="69"/>
      <c r="Q2431" s="69"/>
      <c r="R2431" s="69"/>
      <c r="S2431" s="69"/>
      <c r="T2431" s="69"/>
      <c r="U2431" s="69"/>
      <c r="V2431" s="69"/>
      <c r="W2431" s="69"/>
      <c r="X2431" s="69"/>
      <c r="Y2431" s="69"/>
      <c r="Z2431" s="69"/>
      <c r="AA2431" s="69"/>
      <c r="AB2431" s="69"/>
      <c r="AC2431" s="69"/>
      <c r="AD2431" s="69"/>
      <c r="AE2431" s="69"/>
      <c r="AF2431" s="69"/>
      <c r="AG2431" s="69"/>
      <c r="AH2431" s="69"/>
      <c r="AI2431" s="69"/>
      <c r="AJ2431" s="69"/>
      <c r="AK2431" s="69"/>
      <c r="AL2431" s="69"/>
      <c r="AM2431" s="69"/>
      <c r="AN2431" s="69"/>
      <c r="AO2431" s="69"/>
      <c r="AP2431" s="69"/>
      <c r="AQ2431" s="69"/>
      <c r="AR2431" s="69"/>
      <c r="AS2431" s="69"/>
      <c r="AT2431" s="69"/>
      <c r="AU2431" s="69"/>
      <c r="AV2431" s="69"/>
      <c r="AW2431" s="69"/>
      <c r="AX2431" s="69"/>
      <c r="AY2431" s="69"/>
      <c r="AZ2431" s="69"/>
      <c r="BA2431" s="69"/>
      <c r="BB2431" s="69"/>
      <c r="BC2431" s="69"/>
    </row>
    <row r="2432">
      <c r="A2432" s="68"/>
      <c r="B2432" s="68"/>
      <c r="C2432" s="68"/>
      <c r="D2432" s="68"/>
      <c r="E2432" s="68"/>
      <c r="F2432" s="68"/>
      <c r="G2432" s="68"/>
      <c r="H2432" s="68"/>
      <c r="I2432" s="69"/>
      <c r="J2432" s="69"/>
      <c r="K2432" s="71"/>
      <c r="L2432" s="69"/>
      <c r="M2432" s="69"/>
      <c r="N2432" s="72"/>
      <c r="O2432" s="69"/>
      <c r="P2432" s="69"/>
      <c r="Q2432" s="69"/>
      <c r="R2432" s="69"/>
      <c r="S2432" s="69"/>
      <c r="T2432" s="69"/>
      <c r="U2432" s="69"/>
      <c r="V2432" s="69"/>
      <c r="W2432" s="69"/>
      <c r="X2432" s="69"/>
      <c r="Y2432" s="69"/>
      <c r="Z2432" s="69"/>
      <c r="AA2432" s="69"/>
      <c r="AB2432" s="69"/>
      <c r="AC2432" s="69"/>
      <c r="AD2432" s="69"/>
      <c r="AE2432" s="69"/>
      <c r="AF2432" s="69"/>
      <c r="AG2432" s="69"/>
      <c r="AH2432" s="69"/>
      <c r="AI2432" s="69"/>
      <c r="AJ2432" s="69"/>
      <c r="AK2432" s="69"/>
      <c r="AL2432" s="69"/>
      <c r="AM2432" s="69"/>
      <c r="AN2432" s="69"/>
      <c r="AO2432" s="69"/>
      <c r="AP2432" s="69"/>
      <c r="AQ2432" s="69"/>
      <c r="AR2432" s="69"/>
      <c r="AS2432" s="69"/>
      <c r="AT2432" s="69"/>
      <c r="AU2432" s="69"/>
      <c r="AV2432" s="69"/>
      <c r="AW2432" s="69"/>
      <c r="AX2432" s="69"/>
      <c r="AY2432" s="69"/>
      <c r="AZ2432" s="69"/>
      <c r="BA2432" s="69"/>
      <c r="BB2432" s="69"/>
      <c r="BC2432" s="69"/>
    </row>
    <row r="2433">
      <c r="A2433" s="68"/>
      <c r="B2433" s="68"/>
      <c r="C2433" s="68"/>
      <c r="D2433" s="68"/>
      <c r="E2433" s="68"/>
      <c r="F2433" s="68"/>
      <c r="G2433" s="68"/>
      <c r="H2433" s="68"/>
      <c r="I2433" s="69"/>
      <c r="J2433" s="69"/>
      <c r="K2433" s="71"/>
      <c r="L2433" s="69"/>
      <c r="M2433" s="69"/>
      <c r="N2433" s="72"/>
      <c r="O2433" s="69"/>
      <c r="P2433" s="69"/>
      <c r="Q2433" s="69"/>
      <c r="R2433" s="69"/>
      <c r="S2433" s="69"/>
      <c r="T2433" s="69"/>
      <c r="U2433" s="69"/>
      <c r="V2433" s="69"/>
      <c r="W2433" s="69"/>
      <c r="X2433" s="69"/>
      <c r="Y2433" s="69"/>
      <c r="Z2433" s="69"/>
      <c r="AA2433" s="69"/>
      <c r="AB2433" s="69"/>
      <c r="AC2433" s="69"/>
      <c r="AD2433" s="69"/>
      <c r="AE2433" s="69"/>
      <c r="AF2433" s="69"/>
      <c r="AG2433" s="69"/>
      <c r="AH2433" s="69"/>
      <c r="AI2433" s="69"/>
      <c r="AJ2433" s="69"/>
      <c r="AK2433" s="69"/>
      <c r="AL2433" s="69"/>
      <c r="AM2433" s="69"/>
      <c r="AN2433" s="69"/>
      <c r="AO2433" s="69"/>
      <c r="AP2433" s="69"/>
      <c r="AQ2433" s="69"/>
      <c r="AR2433" s="69"/>
      <c r="AS2433" s="69"/>
      <c r="AT2433" s="69"/>
      <c r="AU2433" s="69"/>
      <c r="AV2433" s="69"/>
      <c r="AW2433" s="69"/>
      <c r="AX2433" s="69"/>
      <c r="AY2433" s="69"/>
      <c r="AZ2433" s="69"/>
      <c r="BA2433" s="69"/>
      <c r="BB2433" s="69"/>
      <c r="BC2433" s="69"/>
    </row>
    <row r="2434">
      <c r="A2434" s="68"/>
      <c r="B2434" s="68"/>
      <c r="C2434" s="68"/>
      <c r="D2434" s="68"/>
      <c r="E2434" s="68"/>
      <c r="F2434" s="68"/>
      <c r="G2434" s="68"/>
      <c r="H2434" s="68"/>
      <c r="I2434" s="69"/>
      <c r="J2434" s="69"/>
      <c r="K2434" s="71"/>
      <c r="L2434" s="69"/>
      <c r="M2434" s="69"/>
      <c r="N2434" s="72"/>
      <c r="O2434" s="69"/>
      <c r="P2434" s="69"/>
      <c r="Q2434" s="69"/>
      <c r="R2434" s="69"/>
      <c r="S2434" s="69"/>
      <c r="T2434" s="69"/>
      <c r="U2434" s="69"/>
      <c r="V2434" s="69"/>
      <c r="W2434" s="69"/>
      <c r="X2434" s="69"/>
      <c r="Y2434" s="69"/>
      <c r="Z2434" s="69"/>
      <c r="AA2434" s="69"/>
      <c r="AB2434" s="69"/>
      <c r="AC2434" s="69"/>
      <c r="AD2434" s="69"/>
      <c r="AE2434" s="69"/>
      <c r="AF2434" s="69"/>
      <c r="AG2434" s="69"/>
      <c r="AH2434" s="69"/>
      <c r="AI2434" s="69"/>
      <c r="AJ2434" s="69"/>
      <c r="AK2434" s="69"/>
      <c r="AL2434" s="69"/>
      <c r="AM2434" s="69"/>
      <c r="AN2434" s="69"/>
      <c r="AO2434" s="69"/>
      <c r="AP2434" s="69"/>
      <c r="AQ2434" s="69"/>
      <c r="AR2434" s="69"/>
      <c r="AS2434" s="69"/>
      <c r="AT2434" s="69"/>
      <c r="AU2434" s="69"/>
      <c r="AV2434" s="69"/>
      <c r="AW2434" s="69"/>
      <c r="AX2434" s="69"/>
      <c r="AY2434" s="69"/>
      <c r="AZ2434" s="69"/>
      <c r="BA2434" s="69"/>
      <c r="BB2434" s="69"/>
      <c r="BC2434" s="69"/>
    </row>
    <row r="2435">
      <c r="A2435" s="68"/>
      <c r="B2435" s="68"/>
      <c r="C2435" s="68"/>
      <c r="D2435" s="68"/>
      <c r="E2435" s="68"/>
      <c r="F2435" s="68"/>
      <c r="G2435" s="68"/>
      <c r="H2435" s="68"/>
      <c r="I2435" s="69"/>
      <c r="J2435" s="69"/>
      <c r="K2435" s="71"/>
      <c r="L2435" s="69"/>
      <c r="M2435" s="69"/>
      <c r="N2435" s="72"/>
      <c r="O2435" s="69"/>
      <c r="P2435" s="69"/>
      <c r="Q2435" s="69"/>
      <c r="R2435" s="69"/>
      <c r="S2435" s="69"/>
      <c r="T2435" s="69"/>
      <c r="U2435" s="69"/>
      <c r="V2435" s="69"/>
      <c r="W2435" s="69"/>
      <c r="X2435" s="69"/>
      <c r="Y2435" s="69"/>
      <c r="Z2435" s="69"/>
      <c r="AA2435" s="69"/>
      <c r="AB2435" s="69"/>
      <c r="AC2435" s="69"/>
      <c r="AD2435" s="69"/>
      <c r="AE2435" s="69"/>
      <c r="AF2435" s="69"/>
      <c r="AG2435" s="69"/>
      <c r="AH2435" s="69"/>
      <c r="AI2435" s="69"/>
      <c r="AJ2435" s="69"/>
      <c r="AK2435" s="69"/>
      <c r="AL2435" s="69"/>
      <c r="AM2435" s="69"/>
      <c r="AN2435" s="69"/>
      <c r="AO2435" s="69"/>
      <c r="AP2435" s="69"/>
      <c r="AQ2435" s="69"/>
      <c r="AR2435" s="69"/>
      <c r="AS2435" s="69"/>
      <c r="AT2435" s="69"/>
      <c r="AU2435" s="69"/>
      <c r="AV2435" s="69"/>
      <c r="AW2435" s="69"/>
      <c r="AX2435" s="69"/>
      <c r="AY2435" s="69"/>
      <c r="AZ2435" s="69"/>
      <c r="BA2435" s="69"/>
      <c r="BB2435" s="69"/>
      <c r="BC2435" s="69"/>
    </row>
    <row r="2436">
      <c r="A2436" s="68"/>
      <c r="B2436" s="68"/>
      <c r="C2436" s="68"/>
      <c r="D2436" s="68"/>
      <c r="E2436" s="68"/>
      <c r="F2436" s="68"/>
      <c r="G2436" s="68"/>
      <c r="H2436" s="68"/>
      <c r="I2436" s="69"/>
      <c r="J2436" s="69"/>
      <c r="K2436" s="71"/>
      <c r="L2436" s="69"/>
      <c r="M2436" s="69"/>
      <c r="N2436" s="72"/>
      <c r="O2436" s="69"/>
      <c r="P2436" s="69"/>
      <c r="Q2436" s="69"/>
      <c r="R2436" s="69"/>
      <c r="S2436" s="69"/>
      <c r="T2436" s="69"/>
      <c r="U2436" s="69"/>
      <c r="V2436" s="69"/>
      <c r="W2436" s="69"/>
      <c r="X2436" s="69"/>
      <c r="Y2436" s="69"/>
      <c r="Z2436" s="69"/>
      <c r="AA2436" s="69"/>
      <c r="AB2436" s="69"/>
      <c r="AC2436" s="69"/>
      <c r="AD2436" s="69"/>
      <c r="AE2436" s="69"/>
      <c r="AF2436" s="69"/>
      <c r="AG2436" s="69"/>
      <c r="AH2436" s="69"/>
      <c r="AI2436" s="69"/>
      <c r="AJ2436" s="69"/>
      <c r="AK2436" s="69"/>
      <c r="AL2436" s="69"/>
      <c r="AM2436" s="69"/>
      <c r="AN2436" s="69"/>
      <c r="AO2436" s="69"/>
      <c r="AP2436" s="69"/>
      <c r="AQ2436" s="69"/>
      <c r="AR2436" s="69"/>
      <c r="AS2436" s="69"/>
      <c r="AT2436" s="69"/>
      <c r="AU2436" s="69"/>
      <c r="AV2436" s="69"/>
      <c r="AW2436" s="69"/>
      <c r="AX2436" s="69"/>
      <c r="AY2436" s="69"/>
      <c r="AZ2436" s="69"/>
      <c r="BA2436" s="69"/>
      <c r="BB2436" s="69"/>
      <c r="BC2436" s="69"/>
    </row>
    <row r="2437">
      <c r="A2437" s="68"/>
      <c r="B2437" s="68"/>
      <c r="C2437" s="68"/>
      <c r="D2437" s="68"/>
      <c r="E2437" s="68"/>
      <c r="F2437" s="68"/>
      <c r="G2437" s="68"/>
      <c r="H2437" s="68"/>
      <c r="I2437" s="69"/>
      <c r="J2437" s="69"/>
      <c r="K2437" s="71"/>
      <c r="L2437" s="69"/>
      <c r="M2437" s="69"/>
      <c r="N2437" s="72"/>
      <c r="O2437" s="69"/>
      <c r="P2437" s="69"/>
      <c r="Q2437" s="69"/>
      <c r="R2437" s="69"/>
      <c r="S2437" s="69"/>
      <c r="T2437" s="69"/>
      <c r="U2437" s="69"/>
      <c r="V2437" s="69"/>
      <c r="W2437" s="69"/>
      <c r="X2437" s="69"/>
      <c r="Y2437" s="69"/>
      <c r="Z2437" s="69"/>
      <c r="AA2437" s="69"/>
      <c r="AB2437" s="69"/>
      <c r="AC2437" s="69"/>
      <c r="AD2437" s="69"/>
      <c r="AE2437" s="69"/>
      <c r="AF2437" s="69"/>
      <c r="AG2437" s="69"/>
      <c r="AH2437" s="69"/>
      <c r="AI2437" s="69"/>
      <c r="AJ2437" s="69"/>
      <c r="AK2437" s="69"/>
      <c r="AL2437" s="69"/>
      <c r="AM2437" s="69"/>
      <c r="AN2437" s="69"/>
      <c r="AO2437" s="69"/>
      <c r="AP2437" s="69"/>
      <c r="AQ2437" s="69"/>
      <c r="AR2437" s="69"/>
      <c r="AS2437" s="69"/>
      <c r="AT2437" s="69"/>
      <c r="AU2437" s="69"/>
      <c r="AV2437" s="69"/>
      <c r="AW2437" s="69"/>
      <c r="AX2437" s="69"/>
      <c r="AY2437" s="69"/>
      <c r="AZ2437" s="69"/>
      <c r="BA2437" s="69"/>
      <c r="BB2437" s="69"/>
      <c r="BC2437" s="69"/>
    </row>
    <row r="2438">
      <c r="A2438" s="68"/>
      <c r="B2438" s="68"/>
      <c r="C2438" s="68"/>
      <c r="D2438" s="68"/>
      <c r="E2438" s="68"/>
      <c r="F2438" s="68"/>
      <c r="G2438" s="68"/>
      <c r="H2438" s="68"/>
      <c r="I2438" s="69"/>
      <c r="J2438" s="69"/>
      <c r="K2438" s="71"/>
      <c r="L2438" s="69"/>
      <c r="M2438" s="69"/>
      <c r="N2438" s="72"/>
      <c r="O2438" s="69"/>
      <c r="P2438" s="69"/>
      <c r="Q2438" s="69"/>
      <c r="R2438" s="69"/>
      <c r="S2438" s="69"/>
      <c r="T2438" s="69"/>
      <c r="U2438" s="69"/>
      <c r="V2438" s="69"/>
      <c r="W2438" s="69"/>
      <c r="X2438" s="69"/>
      <c r="Y2438" s="69"/>
      <c r="Z2438" s="69"/>
      <c r="AA2438" s="69"/>
      <c r="AB2438" s="69"/>
      <c r="AC2438" s="69"/>
      <c r="AD2438" s="69"/>
      <c r="AE2438" s="69"/>
      <c r="AF2438" s="69"/>
      <c r="AG2438" s="69"/>
      <c r="AH2438" s="69"/>
      <c r="AI2438" s="69"/>
      <c r="AJ2438" s="69"/>
      <c r="AK2438" s="69"/>
      <c r="AL2438" s="69"/>
      <c r="AM2438" s="69"/>
      <c r="AN2438" s="69"/>
      <c r="AO2438" s="69"/>
      <c r="AP2438" s="69"/>
      <c r="AQ2438" s="69"/>
      <c r="AR2438" s="69"/>
      <c r="AS2438" s="69"/>
      <c r="AT2438" s="69"/>
      <c r="AU2438" s="69"/>
      <c r="AV2438" s="69"/>
      <c r="AW2438" s="69"/>
      <c r="AX2438" s="69"/>
      <c r="AY2438" s="69"/>
      <c r="AZ2438" s="69"/>
      <c r="BA2438" s="69"/>
      <c r="BB2438" s="69"/>
      <c r="BC2438" s="69"/>
    </row>
    <row r="2439">
      <c r="A2439" s="68"/>
      <c r="B2439" s="68"/>
      <c r="C2439" s="68"/>
      <c r="D2439" s="68"/>
      <c r="E2439" s="68"/>
      <c r="F2439" s="68"/>
      <c r="G2439" s="68"/>
      <c r="H2439" s="68"/>
      <c r="I2439" s="69"/>
      <c r="J2439" s="69"/>
      <c r="K2439" s="71"/>
      <c r="L2439" s="69"/>
      <c r="M2439" s="69"/>
      <c r="N2439" s="72"/>
      <c r="O2439" s="69"/>
      <c r="P2439" s="69"/>
      <c r="Q2439" s="69"/>
      <c r="R2439" s="69"/>
      <c r="S2439" s="69"/>
      <c r="T2439" s="69"/>
      <c r="U2439" s="69"/>
      <c r="V2439" s="69"/>
      <c r="W2439" s="69"/>
      <c r="X2439" s="69"/>
      <c r="Y2439" s="69"/>
      <c r="Z2439" s="69"/>
      <c r="AA2439" s="69"/>
      <c r="AB2439" s="69"/>
      <c r="AC2439" s="69"/>
      <c r="AD2439" s="69"/>
      <c r="AE2439" s="69"/>
      <c r="AF2439" s="69"/>
      <c r="AG2439" s="69"/>
      <c r="AH2439" s="69"/>
      <c r="AI2439" s="69"/>
      <c r="AJ2439" s="69"/>
      <c r="AK2439" s="69"/>
      <c r="AL2439" s="69"/>
      <c r="AM2439" s="69"/>
      <c r="AN2439" s="69"/>
      <c r="AO2439" s="69"/>
      <c r="AP2439" s="69"/>
      <c r="AQ2439" s="69"/>
      <c r="AR2439" s="69"/>
      <c r="AS2439" s="69"/>
      <c r="AT2439" s="69"/>
      <c r="AU2439" s="69"/>
      <c r="AV2439" s="69"/>
      <c r="AW2439" s="69"/>
      <c r="AX2439" s="69"/>
      <c r="AY2439" s="69"/>
      <c r="AZ2439" s="69"/>
      <c r="BA2439" s="69"/>
      <c r="BB2439" s="69"/>
      <c r="BC2439" s="69"/>
    </row>
    <row r="2440">
      <c r="A2440" s="68"/>
      <c r="B2440" s="68"/>
      <c r="C2440" s="68"/>
      <c r="D2440" s="68"/>
      <c r="E2440" s="68"/>
      <c r="F2440" s="68"/>
      <c r="G2440" s="68"/>
      <c r="H2440" s="68"/>
      <c r="I2440" s="69"/>
      <c r="J2440" s="69"/>
      <c r="K2440" s="71"/>
      <c r="L2440" s="69"/>
      <c r="M2440" s="69"/>
      <c r="N2440" s="72"/>
      <c r="O2440" s="69"/>
      <c r="P2440" s="69"/>
      <c r="Q2440" s="69"/>
      <c r="R2440" s="69"/>
      <c r="S2440" s="69"/>
      <c r="T2440" s="69"/>
      <c r="U2440" s="69"/>
      <c r="V2440" s="69"/>
      <c r="W2440" s="69"/>
      <c r="X2440" s="69"/>
      <c r="Y2440" s="69"/>
      <c r="Z2440" s="69"/>
      <c r="AA2440" s="69"/>
      <c r="AB2440" s="69"/>
      <c r="AC2440" s="69"/>
      <c r="AD2440" s="69"/>
      <c r="AE2440" s="69"/>
      <c r="AF2440" s="69"/>
      <c r="AG2440" s="69"/>
      <c r="AH2440" s="69"/>
      <c r="AI2440" s="69"/>
      <c r="AJ2440" s="69"/>
      <c r="AK2440" s="69"/>
      <c r="AL2440" s="69"/>
      <c r="AM2440" s="69"/>
      <c r="AN2440" s="69"/>
      <c r="AO2440" s="69"/>
      <c r="AP2440" s="69"/>
      <c r="AQ2440" s="69"/>
      <c r="AR2440" s="69"/>
      <c r="AS2440" s="69"/>
      <c r="AT2440" s="69"/>
      <c r="AU2440" s="69"/>
      <c r="AV2440" s="69"/>
      <c r="AW2440" s="69"/>
      <c r="AX2440" s="69"/>
      <c r="AY2440" s="69"/>
      <c r="AZ2440" s="69"/>
      <c r="BA2440" s="69"/>
      <c r="BB2440" s="69"/>
      <c r="BC2440" s="69"/>
    </row>
    <row r="2441">
      <c r="A2441" s="68"/>
      <c r="B2441" s="68"/>
      <c r="C2441" s="68"/>
      <c r="D2441" s="68"/>
      <c r="E2441" s="68"/>
      <c r="F2441" s="68"/>
      <c r="G2441" s="68"/>
      <c r="H2441" s="68"/>
      <c r="I2441" s="69"/>
      <c r="J2441" s="69"/>
      <c r="K2441" s="71"/>
      <c r="L2441" s="69"/>
      <c r="M2441" s="69"/>
      <c r="N2441" s="72"/>
      <c r="O2441" s="69"/>
      <c r="P2441" s="69"/>
      <c r="Q2441" s="69"/>
      <c r="R2441" s="69"/>
      <c r="S2441" s="69"/>
      <c r="T2441" s="69"/>
      <c r="U2441" s="69"/>
      <c r="V2441" s="69"/>
      <c r="W2441" s="69"/>
      <c r="X2441" s="69"/>
      <c r="Y2441" s="69"/>
      <c r="Z2441" s="69"/>
      <c r="AA2441" s="69"/>
      <c r="AB2441" s="69"/>
      <c r="AC2441" s="69"/>
      <c r="AD2441" s="69"/>
      <c r="AE2441" s="69"/>
      <c r="AF2441" s="69"/>
      <c r="AG2441" s="69"/>
      <c r="AH2441" s="69"/>
      <c r="AI2441" s="69"/>
      <c r="AJ2441" s="69"/>
      <c r="AK2441" s="69"/>
      <c r="AL2441" s="69"/>
      <c r="AM2441" s="69"/>
      <c r="AN2441" s="69"/>
      <c r="AO2441" s="69"/>
      <c r="AP2441" s="69"/>
      <c r="AQ2441" s="69"/>
      <c r="AR2441" s="69"/>
      <c r="AS2441" s="69"/>
      <c r="AT2441" s="69"/>
      <c r="AU2441" s="69"/>
      <c r="AV2441" s="69"/>
      <c r="AW2441" s="69"/>
      <c r="AX2441" s="69"/>
      <c r="AY2441" s="69"/>
      <c r="AZ2441" s="69"/>
      <c r="BA2441" s="69"/>
      <c r="BB2441" s="69"/>
      <c r="BC2441" s="69"/>
    </row>
    <row r="2442">
      <c r="A2442" s="68"/>
      <c r="B2442" s="68"/>
      <c r="C2442" s="68"/>
      <c r="D2442" s="68"/>
      <c r="E2442" s="68"/>
      <c r="F2442" s="68"/>
      <c r="G2442" s="68"/>
      <c r="H2442" s="68"/>
      <c r="I2442" s="69"/>
      <c r="J2442" s="69"/>
      <c r="K2442" s="71"/>
      <c r="L2442" s="69"/>
      <c r="M2442" s="69"/>
      <c r="N2442" s="72"/>
      <c r="O2442" s="69"/>
      <c r="P2442" s="69"/>
      <c r="Q2442" s="69"/>
      <c r="R2442" s="69"/>
      <c r="S2442" s="69"/>
      <c r="T2442" s="69"/>
      <c r="U2442" s="69"/>
      <c r="V2442" s="69"/>
      <c r="W2442" s="69"/>
      <c r="X2442" s="69"/>
      <c r="Y2442" s="69"/>
      <c r="Z2442" s="69"/>
      <c r="AA2442" s="69"/>
      <c r="AB2442" s="69"/>
      <c r="AC2442" s="69"/>
      <c r="AD2442" s="69"/>
      <c r="AE2442" s="69"/>
      <c r="AF2442" s="69"/>
      <c r="AG2442" s="69"/>
      <c r="AH2442" s="69"/>
      <c r="AI2442" s="69"/>
      <c r="AJ2442" s="69"/>
      <c r="AK2442" s="69"/>
      <c r="AL2442" s="69"/>
      <c r="AM2442" s="69"/>
      <c r="AN2442" s="69"/>
      <c r="AO2442" s="69"/>
      <c r="AP2442" s="69"/>
      <c r="AQ2442" s="69"/>
      <c r="AR2442" s="69"/>
      <c r="AS2442" s="69"/>
      <c r="AT2442" s="69"/>
      <c r="AU2442" s="69"/>
      <c r="AV2442" s="69"/>
      <c r="AW2442" s="69"/>
      <c r="AX2442" s="69"/>
      <c r="AY2442" s="69"/>
      <c r="AZ2442" s="69"/>
      <c r="BA2442" s="69"/>
      <c r="BB2442" s="69"/>
      <c r="BC2442" s="69"/>
    </row>
    <row r="2443">
      <c r="A2443" s="68"/>
      <c r="B2443" s="68"/>
      <c r="C2443" s="68"/>
      <c r="D2443" s="68"/>
      <c r="E2443" s="68"/>
      <c r="F2443" s="68"/>
      <c r="G2443" s="68"/>
      <c r="H2443" s="68"/>
      <c r="I2443" s="69"/>
      <c r="J2443" s="69"/>
      <c r="K2443" s="71"/>
      <c r="L2443" s="69"/>
      <c r="M2443" s="69"/>
      <c r="N2443" s="72"/>
      <c r="O2443" s="69"/>
      <c r="P2443" s="69"/>
      <c r="Q2443" s="69"/>
      <c r="R2443" s="69"/>
      <c r="S2443" s="69"/>
      <c r="T2443" s="69"/>
      <c r="U2443" s="69"/>
      <c r="V2443" s="69"/>
      <c r="W2443" s="69"/>
      <c r="X2443" s="69"/>
      <c r="Y2443" s="69"/>
      <c r="Z2443" s="69"/>
      <c r="AA2443" s="69"/>
      <c r="AB2443" s="69"/>
      <c r="AC2443" s="69"/>
      <c r="AD2443" s="69"/>
      <c r="AE2443" s="69"/>
      <c r="AF2443" s="69"/>
      <c r="AG2443" s="69"/>
      <c r="AH2443" s="69"/>
      <c r="AI2443" s="69"/>
      <c r="AJ2443" s="69"/>
      <c r="AK2443" s="69"/>
      <c r="AL2443" s="69"/>
      <c r="AM2443" s="69"/>
      <c r="AN2443" s="69"/>
      <c r="AO2443" s="69"/>
      <c r="AP2443" s="69"/>
      <c r="AQ2443" s="69"/>
      <c r="AR2443" s="69"/>
      <c r="AS2443" s="69"/>
      <c r="AT2443" s="69"/>
      <c r="AU2443" s="69"/>
      <c r="AV2443" s="69"/>
      <c r="AW2443" s="69"/>
      <c r="AX2443" s="69"/>
      <c r="AY2443" s="69"/>
      <c r="AZ2443" s="69"/>
      <c r="BA2443" s="69"/>
      <c r="BB2443" s="69"/>
      <c r="BC2443" s="69"/>
    </row>
    <row r="2444">
      <c r="A2444" s="68"/>
      <c r="B2444" s="68"/>
      <c r="C2444" s="68"/>
      <c r="D2444" s="68"/>
      <c r="E2444" s="68"/>
      <c r="F2444" s="68"/>
      <c r="G2444" s="68"/>
      <c r="H2444" s="68"/>
      <c r="I2444" s="69"/>
      <c r="J2444" s="69"/>
      <c r="K2444" s="71"/>
      <c r="L2444" s="69"/>
      <c r="M2444" s="69"/>
      <c r="N2444" s="72"/>
      <c r="O2444" s="69"/>
      <c r="P2444" s="69"/>
      <c r="Q2444" s="69"/>
      <c r="R2444" s="69"/>
      <c r="S2444" s="69"/>
      <c r="T2444" s="69"/>
      <c r="U2444" s="69"/>
      <c r="V2444" s="69"/>
      <c r="W2444" s="69"/>
      <c r="X2444" s="69"/>
      <c r="Y2444" s="69"/>
      <c r="Z2444" s="69"/>
      <c r="AA2444" s="69"/>
      <c r="AB2444" s="69"/>
      <c r="AC2444" s="69"/>
      <c r="AD2444" s="69"/>
      <c r="AE2444" s="69"/>
      <c r="AF2444" s="69"/>
      <c r="AG2444" s="69"/>
      <c r="AH2444" s="69"/>
      <c r="AI2444" s="69"/>
      <c r="AJ2444" s="69"/>
      <c r="AK2444" s="69"/>
      <c r="AL2444" s="69"/>
      <c r="AM2444" s="69"/>
      <c r="AN2444" s="69"/>
      <c r="AO2444" s="69"/>
      <c r="AP2444" s="69"/>
      <c r="AQ2444" s="69"/>
      <c r="AR2444" s="69"/>
      <c r="AS2444" s="69"/>
      <c r="AT2444" s="69"/>
      <c r="AU2444" s="69"/>
      <c r="AV2444" s="69"/>
      <c r="AW2444" s="69"/>
      <c r="AX2444" s="69"/>
      <c r="AY2444" s="69"/>
      <c r="AZ2444" s="69"/>
      <c r="BA2444" s="69"/>
      <c r="BB2444" s="69"/>
      <c r="BC2444" s="69"/>
    </row>
    <row r="2445">
      <c r="A2445" s="68"/>
      <c r="B2445" s="68"/>
      <c r="C2445" s="68"/>
      <c r="D2445" s="68"/>
      <c r="E2445" s="68"/>
      <c r="F2445" s="68"/>
      <c r="G2445" s="68"/>
      <c r="H2445" s="68"/>
      <c r="I2445" s="69"/>
      <c r="J2445" s="69"/>
      <c r="K2445" s="71"/>
      <c r="L2445" s="69"/>
      <c r="M2445" s="69"/>
      <c r="N2445" s="72"/>
      <c r="O2445" s="69"/>
      <c r="P2445" s="69"/>
      <c r="Q2445" s="69"/>
      <c r="R2445" s="69"/>
      <c r="S2445" s="69"/>
      <c r="T2445" s="69"/>
      <c r="U2445" s="69"/>
      <c r="V2445" s="69"/>
      <c r="W2445" s="69"/>
      <c r="X2445" s="69"/>
      <c r="Y2445" s="69"/>
      <c r="Z2445" s="69"/>
      <c r="AA2445" s="69"/>
      <c r="AB2445" s="69"/>
      <c r="AC2445" s="69"/>
      <c r="AD2445" s="69"/>
      <c r="AE2445" s="69"/>
      <c r="AF2445" s="69"/>
      <c r="AG2445" s="69"/>
      <c r="AH2445" s="69"/>
      <c r="AI2445" s="69"/>
      <c r="AJ2445" s="69"/>
      <c r="AK2445" s="69"/>
      <c r="AL2445" s="69"/>
      <c r="AM2445" s="69"/>
      <c r="AN2445" s="69"/>
      <c r="AO2445" s="69"/>
      <c r="AP2445" s="69"/>
      <c r="AQ2445" s="69"/>
      <c r="AR2445" s="69"/>
      <c r="AS2445" s="69"/>
      <c r="AT2445" s="69"/>
      <c r="AU2445" s="69"/>
      <c r="AV2445" s="69"/>
      <c r="AW2445" s="69"/>
      <c r="AX2445" s="69"/>
      <c r="AY2445" s="69"/>
      <c r="AZ2445" s="69"/>
      <c r="BA2445" s="69"/>
      <c r="BB2445" s="69"/>
      <c r="BC2445" s="69"/>
    </row>
    <row r="2446">
      <c r="A2446" s="68"/>
      <c r="B2446" s="68"/>
      <c r="C2446" s="68"/>
      <c r="D2446" s="68"/>
      <c r="E2446" s="68"/>
      <c r="F2446" s="68"/>
      <c r="G2446" s="68"/>
      <c r="H2446" s="68"/>
      <c r="I2446" s="69"/>
      <c r="J2446" s="69"/>
      <c r="K2446" s="71"/>
      <c r="L2446" s="69"/>
      <c r="M2446" s="69"/>
      <c r="N2446" s="72"/>
      <c r="O2446" s="69"/>
      <c r="P2446" s="69"/>
      <c r="Q2446" s="69"/>
      <c r="R2446" s="69"/>
      <c r="S2446" s="69"/>
      <c r="T2446" s="69"/>
      <c r="U2446" s="69"/>
      <c r="V2446" s="69"/>
      <c r="W2446" s="69"/>
      <c r="X2446" s="69"/>
      <c r="Y2446" s="69"/>
      <c r="Z2446" s="69"/>
      <c r="AA2446" s="69"/>
      <c r="AB2446" s="69"/>
      <c r="AC2446" s="69"/>
      <c r="AD2446" s="69"/>
      <c r="AE2446" s="69"/>
      <c r="AF2446" s="69"/>
      <c r="AG2446" s="69"/>
      <c r="AH2446" s="69"/>
      <c r="AI2446" s="69"/>
      <c r="AJ2446" s="69"/>
      <c r="AK2446" s="69"/>
      <c r="AL2446" s="69"/>
      <c r="AM2446" s="69"/>
      <c r="AN2446" s="69"/>
      <c r="AO2446" s="69"/>
      <c r="AP2446" s="69"/>
      <c r="AQ2446" s="69"/>
      <c r="AR2446" s="69"/>
      <c r="AS2446" s="69"/>
      <c r="AT2446" s="69"/>
      <c r="AU2446" s="69"/>
      <c r="AV2446" s="69"/>
      <c r="AW2446" s="69"/>
      <c r="AX2446" s="69"/>
      <c r="AY2446" s="69"/>
      <c r="AZ2446" s="69"/>
      <c r="BA2446" s="69"/>
      <c r="BB2446" s="69"/>
      <c r="BC2446" s="69"/>
    </row>
    <row r="2447">
      <c r="A2447" s="68"/>
      <c r="B2447" s="68"/>
      <c r="C2447" s="68"/>
      <c r="D2447" s="68"/>
      <c r="E2447" s="68"/>
      <c r="F2447" s="68"/>
      <c r="G2447" s="68"/>
      <c r="H2447" s="68"/>
      <c r="I2447" s="69"/>
      <c r="J2447" s="69"/>
      <c r="K2447" s="71"/>
      <c r="L2447" s="69"/>
      <c r="M2447" s="69"/>
      <c r="N2447" s="72"/>
      <c r="O2447" s="69"/>
      <c r="P2447" s="69"/>
      <c r="Q2447" s="69"/>
      <c r="R2447" s="69"/>
      <c r="S2447" s="69"/>
      <c r="T2447" s="69"/>
      <c r="U2447" s="69"/>
      <c r="V2447" s="69"/>
      <c r="W2447" s="69"/>
      <c r="X2447" s="69"/>
      <c r="Y2447" s="69"/>
      <c r="Z2447" s="69"/>
      <c r="AA2447" s="69"/>
      <c r="AB2447" s="69"/>
      <c r="AC2447" s="69"/>
      <c r="AD2447" s="69"/>
      <c r="AE2447" s="69"/>
      <c r="AF2447" s="69"/>
      <c r="AG2447" s="69"/>
      <c r="AH2447" s="69"/>
      <c r="AI2447" s="69"/>
      <c r="AJ2447" s="69"/>
      <c r="AK2447" s="69"/>
      <c r="AL2447" s="69"/>
      <c r="AM2447" s="69"/>
      <c r="AN2447" s="69"/>
      <c r="AO2447" s="69"/>
      <c r="AP2447" s="69"/>
      <c r="AQ2447" s="69"/>
      <c r="AR2447" s="69"/>
      <c r="AS2447" s="69"/>
      <c r="AT2447" s="69"/>
      <c r="AU2447" s="69"/>
      <c r="AV2447" s="69"/>
      <c r="AW2447" s="69"/>
      <c r="AX2447" s="69"/>
      <c r="AY2447" s="69"/>
      <c r="AZ2447" s="69"/>
      <c r="BA2447" s="69"/>
      <c r="BB2447" s="69"/>
      <c r="BC2447" s="69"/>
    </row>
    <row r="2448">
      <c r="A2448" s="68"/>
      <c r="B2448" s="68"/>
      <c r="C2448" s="68"/>
      <c r="D2448" s="68"/>
      <c r="E2448" s="68"/>
      <c r="F2448" s="68"/>
      <c r="G2448" s="68"/>
      <c r="H2448" s="68"/>
      <c r="I2448" s="69"/>
      <c r="J2448" s="69"/>
      <c r="K2448" s="71"/>
      <c r="L2448" s="69"/>
      <c r="M2448" s="69"/>
      <c r="N2448" s="72"/>
      <c r="O2448" s="69"/>
      <c r="P2448" s="69"/>
      <c r="Q2448" s="69"/>
      <c r="R2448" s="69"/>
      <c r="S2448" s="69"/>
      <c r="T2448" s="69"/>
      <c r="U2448" s="69"/>
      <c r="V2448" s="69"/>
      <c r="W2448" s="69"/>
      <c r="X2448" s="69"/>
      <c r="Y2448" s="69"/>
      <c r="Z2448" s="69"/>
      <c r="AA2448" s="69"/>
      <c r="AB2448" s="69"/>
      <c r="AC2448" s="69"/>
      <c r="AD2448" s="69"/>
      <c r="AE2448" s="69"/>
      <c r="AF2448" s="69"/>
      <c r="AG2448" s="69"/>
      <c r="AH2448" s="69"/>
      <c r="AI2448" s="69"/>
      <c r="AJ2448" s="69"/>
      <c r="AK2448" s="69"/>
      <c r="AL2448" s="69"/>
      <c r="AM2448" s="69"/>
      <c r="AN2448" s="69"/>
      <c r="AO2448" s="69"/>
      <c r="AP2448" s="69"/>
      <c r="AQ2448" s="69"/>
      <c r="AR2448" s="69"/>
      <c r="AS2448" s="69"/>
      <c r="AT2448" s="69"/>
      <c r="AU2448" s="69"/>
      <c r="AV2448" s="69"/>
      <c r="AW2448" s="69"/>
      <c r="AX2448" s="69"/>
      <c r="AY2448" s="69"/>
      <c r="AZ2448" s="69"/>
      <c r="BA2448" s="69"/>
      <c r="BB2448" s="69"/>
      <c r="BC2448" s="69"/>
    </row>
    <row r="2449">
      <c r="A2449" s="68"/>
      <c r="B2449" s="68"/>
      <c r="C2449" s="68"/>
      <c r="D2449" s="68"/>
      <c r="E2449" s="68"/>
      <c r="F2449" s="68"/>
      <c r="G2449" s="68"/>
      <c r="H2449" s="68"/>
      <c r="I2449" s="69"/>
      <c r="J2449" s="69"/>
      <c r="K2449" s="71"/>
      <c r="L2449" s="69"/>
      <c r="M2449" s="69"/>
      <c r="N2449" s="72"/>
      <c r="O2449" s="69"/>
      <c r="P2449" s="69"/>
      <c r="Q2449" s="69"/>
      <c r="R2449" s="69"/>
      <c r="S2449" s="69"/>
      <c r="T2449" s="69"/>
      <c r="U2449" s="69"/>
      <c r="V2449" s="69"/>
      <c r="W2449" s="69"/>
      <c r="X2449" s="69"/>
      <c r="Y2449" s="69"/>
      <c r="Z2449" s="69"/>
      <c r="AA2449" s="69"/>
      <c r="AB2449" s="69"/>
      <c r="AC2449" s="69"/>
      <c r="AD2449" s="69"/>
      <c r="AE2449" s="69"/>
      <c r="AF2449" s="69"/>
      <c r="AG2449" s="69"/>
      <c r="AH2449" s="69"/>
      <c r="AI2449" s="69"/>
      <c r="AJ2449" s="69"/>
      <c r="AK2449" s="69"/>
      <c r="AL2449" s="69"/>
      <c r="AM2449" s="69"/>
      <c r="AN2449" s="69"/>
      <c r="AO2449" s="69"/>
      <c r="AP2449" s="69"/>
      <c r="AQ2449" s="69"/>
      <c r="AR2449" s="69"/>
      <c r="AS2449" s="69"/>
      <c r="AT2449" s="69"/>
      <c r="AU2449" s="69"/>
      <c r="AV2449" s="69"/>
      <c r="AW2449" s="69"/>
      <c r="AX2449" s="69"/>
      <c r="AY2449" s="69"/>
      <c r="AZ2449" s="69"/>
      <c r="BA2449" s="69"/>
      <c r="BB2449" s="69"/>
      <c r="BC2449" s="69"/>
    </row>
    <row r="2450">
      <c r="A2450" s="68"/>
      <c r="B2450" s="68"/>
      <c r="C2450" s="68"/>
      <c r="D2450" s="68"/>
      <c r="E2450" s="68"/>
      <c r="F2450" s="68"/>
      <c r="G2450" s="68"/>
      <c r="H2450" s="68"/>
      <c r="I2450" s="69"/>
      <c r="J2450" s="69"/>
      <c r="K2450" s="71"/>
      <c r="L2450" s="69"/>
      <c r="M2450" s="69"/>
      <c r="N2450" s="72"/>
      <c r="O2450" s="69"/>
      <c r="P2450" s="69"/>
      <c r="Q2450" s="69"/>
      <c r="R2450" s="69"/>
      <c r="S2450" s="69"/>
      <c r="T2450" s="69"/>
      <c r="U2450" s="69"/>
      <c r="V2450" s="69"/>
      <c r="W2450" s="69"/>
      <c r="X2450" s="69"/>
      <c r="Y2450" s="69"/>
      <c r="Z2450" s="69"/>
      <c r="AA2450" s="69"/>
      <c r="AB2450" s="69"/>
      <c r="AC2450" s="69"/>
      <c r="AD2450" s="69"/>
      <c r="AE2450" s="69"/>
      <c r="AF2450" s="69"/>
      <c r="AG2450" s="69"/>
      <c r="AH2450" s="69"/>
      <c r="AI2450" s="69"/>
      <c r="AJ2450" s="69"/>
      <c r="AK2450" s="69"/>
      <c r="AL2450" s="69"/>
      <c r="AM2450" s="69"/>
      <c r="AN2450" s="69"/>
      <c r="AO2450" s="69"/>
      <c r="AP2450" s="69"/>
      <c r="AQ2450" s="69"/>
      <c r="AR2450" s="69"/>
      <c r="AS2450" s="69"/>
      <c r="AT2450" s="69"/>
      <c r="AU2450" s="69"/>
      <c r="AV2450" s="69"/>
      <c r="AW2450" s="69"/>
      <c r="AX2450" s="69"/>
      <c r="AY2450" s="69"/>
      <c r="AZ2450" s="69"/>
      <c r="BA2450" s="69"/>
      <c r="BB2450" s="69"/>
      <c r="BC2450" s="69"/>
    </row>
    <row r="2451">
      <c r="A2451" s="68"/>
      <c r="B2451" s="68"/>
      <c r="C2451" s="68"/>
      <c r="D2451" s="68"/>
      <c r="E2451" s="68"/>
      <c r="F2451" s="68"/>
      <c r="G2451" s="68"/>
      <c r="H2451" s="68"/>
      <c r="I2451" s="69"/>
      <c r="J2451" s="69"/>
      <c r="K2451" s="71"/>
      <c r="L2451" s="69"/>
      <c r="M2451" s="69"/>
      <c r="N2451" s="72"/>
      <c r="O2451" s="69"/>
      <c r="P2451" s="69"/>
      <c r="Q2451" s="69"/>
      <c r="R2451" s="69"/>
      <c r="S2451" s="69"/>
      <c r="T2451" s="69"/>
      <c r="U2451" s="69"/>
      <c r="V2451" s="69"/>
      <c r="W2451" s="69"/>
      <c r="X2451" s="69"/>
      <c r="Y2451" s="69"/>
      <c r="Z2451" s="69"/>
      <c r="AA2451" s="69"/>
      <c r="AB2451" s="69"/>
      <c r="AC2451" s="69"/>
      <c r="AD2451" s="69"/>
      <c r="AE2451" s="69"/>
      <c r="AF2451" s="69"/>
      <c r="AG2451" s="69"/>
      <c r="AH2451" s="69"/>
      <c r="AI2451" s="69"/>
      <c r="AJ2451" s="69"/>
      <c r="AK2451" s="69"/>
      <c r="AL2451" s="69"/>
      <c r="AM2451" s="69"/>
      <c r="AN2451" s="69"/>
      <c r="AO2451" s="69"/>
      <c r="AP2451" s="69"/>
      <c r="AQ2451" s="69"/>
      <c r="AR2451" s="69"/>
      <c r="AS2451" s="69"/>
      <c r="AT2451" s="69"/>
      <c r="AU2451" s="69"/>
      <c r="AV2451" s="69"/>
      <c r="AW2451" s="69"/>
      <c r="AX2451" s="69"/>
      <c r="AY2451" s="69"/>
      <c r="AZ2451" s="69"/>
      <c r="BA2451" s="69"/>
      <c r="BB2451" s="69"/>
      <c r="BC2451" s="69"/>
    </row>
    <row r="2452">
      <c r="A2452" s="68"/>
      <c r="B2452" s="68"/>
      <c r="C2452" s="68"/>
      <c r="D2452" s="68"/>
      <c r="E2452" s="68"/>
      <c r="F2452" s="68"/>
      <c r="G2452" s="68"/>
      <c r="H2452" s="68"/>
      <c r="I2452" s="69"/>
      <c r="J2452" s="69"/>
      <c r="K2452" s="71"/>
      <c r="L2452" s="69"/>
      <c r="M2452" s="69"/>
      <c r="N2452" s="72"/>
      <c r="O2452" s="69"/>
      <c r="P2452" s="69"/>
      <c r="Q2452" s="69"/>
      <c r="R2452" s="69"/>
      <c r="S2452" s="69"/>
      <c r="T2452" s="69"/>
      <c r="U2452" s="69"/>
      <c r="V2452" s="69"/>
      <c r="W2452" s="69"/>
      <c r="X2452" s="69"/>
      <c r="Y2452" s="69"/>
      <c r="Z2452" s="69"/>
      <c r="AA2452" s="69"/>
      <c r="AB2452" s="69"/>
      <c r="AC2452" s="69"/>
      <c r="AD2452" s="69"/>
      <c r="AE2452" s="69"/>
      <c r="AF2452" s="69"/>
      <c r="AG2452" s="69"/>
      <c r="AH2452" s="69"/>
      <c r="AI2452" s="69"/>
      <c r="AJ2452" s="69"/>
      <c r="AK2452" s="69"/>
      <c r="AL2452" s="69"/>
      <c r="AM2452" s="69"/>
      <c r="AN2452" s="69"/>
      <c r="AO2452" s="69"/>
      <c r="AP2452" s="69"/>
      <c r="AQ2452" s="69"/>
      <c r="AR2452" s="69"/>
      <c r="AS2452" s="69"/>
      <c r="AT2452" s="69"/>
      <c r="AU2452" s="69"/>
      <c r="AV2452" s="69"/>
      <c r="AW2452" s="69"/>
      <c r="AX2452" s="69"/>
      <c r="AY2452" s="69"/>
      <c r="AZ2452" s="69"/>
      <c r="BA2452" s="69"/>
      <c r="BB2452" s="69"/>
      <c r="BC2452" s="69"/>
    </row>
    <row r="2453">
      <c r="A2453" s="68"/>
      <c r="B2453" s="68"/>
      <c r="C2453" s="68"/>
      <c r="D2453" s="68"/>
      <c r="E2453" s="68"/>
      <c r="F2453" s="68"/>
      <c r="G2453" s="68"/>
      <c r="H2453" s="68"/>
      <c r="I2453" s="69"/>
      <c r="J2453" s="69"/>
      <c r="K2453" s="71"/>
      <c r="L2453" s="69"/>
      <c r="M2453" s="69"/>
      <c r="N2453" s="72"/>
      <c r="O2453" s="69"/>
      <c r="P2453" s="69"/>
      <c r="Q2453" s="69"/>
      <c r="R2453" s="69"/>
      <c r="S2453" s="69"/>
      <c r="T2453" s="69"/>
      <c r="U2453" s="69"/>
      <c r="V2453" s="69"/>
      <c r="W2453" s="69"/>
      <c r="X2453" s="69"/>
      <c r="Y2453" s="69"/>
      <c r="Z2453" s="69"/>
      <c r="AA2453" s="69"/>
      <c r="AB2453" s="69"/>
      <c r="AC2453" s="69"/>
      <c r="AD2453" s="69"/>
      <c r="AE2453" s="69"/>
      <c r="AF2453" s="69"/>
      <c r="AG2453" s="69"/>
      <c r="AH2453" s="69"/>
      <c r="AI2453" s="69"/>
      <c r="AJ2453" s="69"/>
      <c r="AK2453" s="69"/>
      <c r="AL2453" s="69"/>
      <c r="AM2453" s="69"/>
      <c r="AN2453" s="69"/>
      <c r="AO2453" s="69"/>
      <c r="AP2453" s="69"/>
      <c r="AQ2453" s="69"/>
      <c r="AR2453" s="69"/>
      <c r="AS2453" s="69"/>
      <c r="AT2453" s="69"/>
      <c r="AU2453" s="69"/>
      <c r="AV2453" s="69"/>
      <c r="AW2453" s="69"/>
      <c r="AX2453" s="69"/>
      <c r="AY2453" s="69"/>
      <c r="AZ2453" s="69"/>
      <c r="BA2453" s="69"/>
      <c r="BB2453" s="69"/>
      <c r="BC2453" s="69"/>
    </row>
    <row r="2454">
      <c r="A2454" s="68"/>
      <c r="B2454" s="68"/>
      <c r="C2454" s="68"/>
      <c r="D2454" s="68"/>
      <c r="E2454" s="68"/>
      <c r="F2454" s="68"/>
      <c r="G2454" s="68"/>
      <c r="H2454" s="68"/>
      <c r="I2454" s="69"/>
      <c r="J2454" s="69"/>
      <c r="K2454" s="71"/>
      <c r="L2454" s="69"/>
      <c r="M2454" s="69"/>
      <c r="N2454" s="72"/>
      <c r="O2454" s="69"/>
      <c r="P2454" s="69"/>
      <c r="Q2454" s="69"/>
      <c r="R2454" s="69"/>
      <c r="S2454" s="69"/>
      <c r="T2454" s="69"/>
      <c r="U2454" s="69"/>
      <c r="V2454" s="69"/>
      <c r="W2454" s="69"/>
      <c r="X2454" s="69"/>
      <c r="Y2454" s="69"/>
      <c r="Z2454" s="69"/>
      <c r="AA2454" s="69"/>
      <c r="AB2454" s="69"/>
      <c r="AC2454" s="69"/>
      <c r="AD2454" s="69"/>
      <c r="AE2454" s="69"/>
      <c r="AF2454" s="69"/>
      <c r="AG2454" s="69"/>
      <c r="AH2454" s="69"/>
      <c r="AI2454" s="69"/>
      <c r="AJ2454" s="69"/>
      <c r="AK2454" s="69"/>
      <c r="AL2454" s="69"/>
      <c r="AM2454" s="69"/>
      <c r="AN2454" s="69"/>
      <c r="AO2454" s="69"/>
      <c r="AP2454" s="69"/>
      <c r="AQ2454" s="69"/>
      <c r="AR2454" s="69"/>
      <c r="AS2454" s="69"/>
      <c r="AT2454" s="69"/>
      <c r="AU2454" s="69"/>
      <c r="AV2454" s="69"/>
      <c r="AW2454" s="69"/>
      <c r="AX2454" s="69"/>
      <c r="AY2454" s="69"/>
      <c r="AZ2454" s="69"/>
      <c r="BA2454" s="69"/>
      <c r="BB2454" s="69"/>
      <c r="BC2454" s="69"/>
    </row>
    <row r="2455">
      <c r="A2455" s="68"/>
      <c r="B2455" s="68"/>
      <c r="C2455" s="68"/>
      <c r="D2455" s="68"/>
      <c r="E2455" s="68"/>
      <c r="F2455" s="68"/>
      <c r="G2455" s="68"/>
      <c r="H2455" s="68"/>
      <c r="I2455" s="69"/>
      <c r="J2455" s="69"/>
      <c r="K2455" s="71"/>
      <c r="L2455" s="69"/>
      <c r="M2455" s="69"/>
      <c r="N2455" s="72"/>
      <c r="O2455" s="69"/>
      <c r="P2455" s="69"/>
      <c r="Q2455" s="69"/>
      <c r="R2455" s="69"/>
      <c r="S2455" s="69"/>
      <c r="T2455" s="69"/>
      <c r="U2455" s="69"/>
      <c r="V2455" s="69"/>
      <c r="W2455" s="69"/>
      <c r="X2455" s="69"/>
      <c r="Y2455" s="69"/>
      <c r="Z2455" s="69"/>
      <c r="AA2455" s="69"/>
      <c r="AB2455" s="69"/>
      <c r="AC2455" s="69"/>
      <c r="AD2455" s="69"/>
      <c r="AE2455" s="69"/>
      <c r="AF2455" s="69"/>
      <c r="AG2455" s="69"/>
      <c r="AH2455" s="69"/>
      <c r="AI2455" s="69"/>
      <c r="AJ2455" s="69"/>
      <c r="AK2455" s="69"/>
      <c r="AL2455" s="69"/>
      <c r="AM2455" s="69"/>
      <c r="AN2455" s="69"/>
      <c r="AO2455" s="69"/>
      <c r="AP2455" s="69"/>
      <c r="AQ2455" s="69"/>
      <c r="AR2455" s="69"/>
      <c r="AS2455" s="69"/>
      <c r="AT2455" s="69"/>
      <c r="AU2455" s="69"/>
      <c r="AV2455" s="69"/>
      <c r="AW2455" s="69"/>
      <c r="AX2455" s="69"/>
      <c r="AY2455" s="69"/>
      <c r="AZ2455" s="69"/>
      <c r="BA2455" s="69"/>
      <c r="BB2455" s="69"/>
      <c r="BC2455" s="69"/>
    </row>
    <row r="2456">
      <c r="A2456" s="68"/>
      <c r="B2456" s="68"/>
      <c r="C2456" s="68"/>
      <c r="D2456" s="68"/>
      <c r="E2456" s="68"/>
      <c r="F2456" s="68"/>
      <c r="G2456" s="68"/>
      <c r="H2456" s="68"/>
      <c r="I2456" s="69"/>
      <c r="J2456" s="69"/>
      <c r="K2456" s="71"/>
      <c r="L2456" s="69"/>
      <c r="M2456" s="69"/>
      <c r="N2456" s="72"/>
      <c r="O2456" s="69"/>
      <c r="P2456" s="69"/>
      <c r="Q2456" s="69"/>
      <c r="R2456" s="69"/>
      <c r="S2456" s="69"/>
      <c r="T2456" s="69"/>
      <c r="U2456" s="69"/>
      <c r="V2456" s="69"/>
      <c r="W2456" s="69"/>
      <c r="X2456" s="69"/>
      <c r="Y2456" s="69"/>
      <c r="Z2456" s="69"/>
      <c r="AA2456" s="69"/>
      <c r="AB2456" s="69"/>
      <c r="AC2456" s="69"/>
      <c r="AD2456" s="69"/>
      <c r="AE2456" s="69"/>
      <c r="AF2456" s="69"/>
      <c r="AG2456" s="69"/>
      <c r="AH2456" s="69"/>
      <c r="AI2456" s="69"/>
      <c r="AJ2456" s="69"/>
      <c r="AK2456" s="69"/>
      <c r="AL2456" s="69"/>
      <c r="AM2456" s="69"/>
      <c r="AN2456" s="69"/>
      <c r="AO2456" s="69"/>
      <c r="AP2456" s="69"/>
      <c r="AQ2456" s="69"/>
      <c r="AR2456" s="69"/>
      <c r="AS2456" s="69"/>
      <c r="AT2456" s="69"/>
      <c r="AU2456" s="69"/>
      <c r="AV2456" s="69"/>
      <c r="AW2456" s="69"/>
      <c r="AX2456" s="69"/>
      <c r="AY2456" s="69"/>
      <c r="AZ2456" s="69"/>
      <c r="BA2456" s="69"/>
      <c r="BB2456" s="69"/>
      <c r="BC2456" s="69"/>
    </row>
    <row r="2457">
      <c r="A2457" s="68"/>
      <c r="B2457" s="68"/>
      <c r="C2457" s="68"/>
      <c r="D2457" s="68"/>
      <c r="E2457" s="68"/>
      <c r="F2457" s="68"/>
      <c r="G2457" s="68"/>
      <c r="H2457" s="68"/>
      <c r="I2457" s="69"/>
      <c r="J2457" s="69"/>
      <c r="K2457" s="71"/>
      <c r="L2457" s="69"/>
      <c r="M2457" s="69"/>
      <c r="N2457" s="72"/>
      <c r="O2457" s="69"/>
      <c r="P2457" s="69"/>
      <c r="Q2457" s="69"/>
      <c r="R2457" s="69"/>
      <c r="S2457" s="69"/>
      <c r="T2457" s="69"/>
      <c r="U2457" s="69"/>
      <c r="V2457" s="69"/>
      <c r="W2457" s="69"/>
      <c r="X2457" s="69"/>
      <c r="Y2457" s="69"/>
      <c r="Z2457" s="69"/>
      <c r="AA2457" s="69"/>
      <c r="AB2457" s="69"/>
      <c r="AC2457" s="69"/>
      <c r="AD2457" s="69"/>
      <c r="AE2457" s="69"/>
      <c r="AF2457" s="69"/>
      <c r="AG2457" s="69"/>
      <c r="AH2457" s="69"/>
      <c r="AI2457" s="69"/>
      <c r="AJ2457" s="69"/>
      <c r="AK2457" s="69"/>
      <c r="AL2457" s="69"/>
      <c r="AM2457" s="69"/>
      <c r="AN2457" s="69"/>
      <c r="AO2457" s="69"/>
      <c r="AP2457" s="69"/>
      <c r="AQ2457" s="69"/>
      <c r="AR2457" s="69"/>
      <c r="AS2457" s="69"/>
      <c r="AT2457" s="69"/>
      <c r="AU2457" s="69"/>
      <c r="AV2457" s="69"/>
      <c r="AW2457" s="69"/>
      <c r="AX2457" s="69"/>
      <c r="AY2457" s="69"/>
      <c r="AZ2457" s="69"/>
      <c r="BA2457" s="69"/>
      <c r="BB2457" s="69"/>
      <c r="BC2457" s="69"/>
    </row>
    <row r="2458">
      <c r="A2458" s="68"/>
      <c r="B2458" s="68"/>
      <c r="C2458" s="68"/>
      <c r="D2458" s="68"/>
      <c r="E2458" s="68"/>
      <c r="F2458" s="68"/>
      <c r="G2458" s="68"/>
      <c r="H2458" s="68"/>
      <c r="I2458" s="69"/>
      <c r="J2458" s="69"/>
      <c r="K2458" s="71"/>
      <c r="L2458" s="69"/>
      <c r="M2458" s="69"/>
      <c r="N2458" s="72"/>
      <c r="O2458" s="69"/>
      <c r="P2458" s="69"/>
      <c r="Q2458" s="69"/>
      <c r="R2458" s="69"/>
      <c r="S2458" s="69"/>
      <c r="T2458" s="69"/>
      <c r="U2458" s="69"/>
      <c r="V2458" s="69"/>
      <c r="W2458" s="69"/>
      <c r="X2458" s="69"/>
      <c r="Y2458" s="69"/>
      <c r="Z2458" s="69"/>
      <c r="AA2458" s="69"/>
      <c r="AB2458" s="69"/>
      <c r="AC2458" s="69"/>
      <c r="AD2458" s="69"/>
      <c r="AE2458" s="69"/>
      <c r="AF2458" s="69"/>
      <c r="AG2458" s="69"/>
      <c r="AH2458" s="69"/>
      <c r="AI2458" s="69"/>
      <c r="AJ2458" s="69"/>
      <c r="AK2458" s="69"/>
      <c r="AL2458" s="69"/>
      <c r="AM2458" s="69"/>
      <c r="AN2458" s="69"/>
      <c r="AO2458" s="69"/>
      <c r="AP2458" s="69"/>
      <c r="AQ2458" s="69"/>
      <c r="AR2458" s="69"/>
      <c r="AS2458" s="69"/>
      <c r="AT2458" s="69"/>
      <c r="AU2458" s="69"/>
      <c r="AV2458" s="69"/>
      <c r="AW2458" s="69"/>
      <c r="AX2458" s="69"/>
      <c r="AY2458" s="69"/>
      <c r="AZ2458" s="69"/>
      <c r="BA2458" s="69"/>
      <c r="BB2458" s="69"/>
      <c r="BC2458" s="69"/>
    </row>
    <row r="2459">
      <c r="A2459" s="68"/>
      <c r="B2459" s="68"/>
      <c r="C2459" s="68"/>
      <c r="D2459" s="68"/>
      <c r="E2459" s="68"/>
      <c r="F2459" s="68"/>
      <c r="G2459" s="68"/>
      <c r="H2459" s="68"/>
      <c r="I2459" s="69"/>
      <c r="J2459" s="69"/>
      <c r="K2459" s="71"/>
      <c r="L2459" s="69"/>
      <c r="M2459" s="69"/>
      <c r="N2459" s="72"/>
      <c r="O2459" s="69"/>
      <c r="P2459" s="69"/>
      <c r="Q2459" s="69"/>
      <c r="R2459" s="69"/>
      <c r="S2459" s="69"/>
      <c r="T2459" s="69"/>
      <c r="U2459" s="69"/>
      <c r="V2459" s="69"/>
      <c r="W2459" s="69"/>
      <c r="X2459" s="69"/>
      <c r="Y2459" s="69"/>
      <c r="Z2459" s="69"/>
      <c r="AA2459" s="69"/>
      <c r="AB2459" s="69"/>
      <c r="AC2459" s="69"/>
      <c r="AD2459" s="69"/>
      <c r="AE2459" s="69"/>
      <c r="AF2459" s="69"/>
      <c r="AG2459" s="69"/>
      <c r="AH2459" s="69"/>
      <c r="AI2459" s="69"/>
      <c r="AJ2459" s="69"/>
      <c r="AK2459" s="69"/>
      <c r="AL2459" s="69"/>
      <c r="AM2459" s="69"/>
      <c r="AN2459" s="69"/>
      <c r="AO2459" s="69"/>
      <c r="AP2459" s="69"/>
      <c r="AQ2459" s="69"/>
      <c r="AR2459" s="69"/>
      <c r="AS2459" s="69"/>
      <c r="AT2459" s="69"/>
      <c r="AU2459" s="69"/>
      <c r="AV2459" s="69"/>
      <c r="AW2459" s="69"/>
      <c r="AX2459" s="69"/>
      <c r="AY2459" s="69"/>
      <c r="AZ2459" s="69"/>
      <c r="BA2459" s="69"/>
      <c r="BB2459" s="69"/>
      <c r="BC2459" s="69"/>
    </row>
    <row r="2460">
      <c r="A2460" s="68"/>
      <c r="B2460" s="68"/>
      <c r="C2460" s="68"/>
      <c r="D2460" s="68"/>
      <c r="E2460" s="68"/>
      <c r="F2460" s="68"/>
      <c r="G2460" s="68"/>
      <c r="H2460" s="68"/>
      <c r="I2460" s="69"/>
      <c r="J2460" s="69"/>
      <c r="K2460" s="71"/>
      <c r="L2460" s="69"/>
      <c r="M2460" s="69"/>
      <c r="N2460" s="72"/>
      <c r="O2460" s="69"/>
      <c r="P2460" s="69"/>
      <c r="Q2460" s="69"/>
      <c r="R2460" s="69"/>
      <c r="S2460" s="69"/>
      <c r="T2460" s="69"/>
      <c r="U2460" s="69"/>
      <c r="V2460" s="69"/>
      <c r="W2460" s="69"/>
      <c r="X2460" s="69"/>
      <c r="Y2460" s="69"/>
      <c r="Z2460" s="69"/>
      <c r="AA2460" s="69"/>
      <c r="AB2460" s="69"/>
      <c r="AC2460" s="69"/>
      <c r="AD2460" s="69"/>
      <c r="AE2460" s="69"/>
      <c r="AF2460" s="69"/>
      <c r="AG2460" s="69"/>
      <c r="AH2460" s="69"/>
      <c r="AI2460" s="69"/>
      <c r="AJ2460" s="69"/>
      <c r="AK2460" s="69"/>
      <c r="AL2460" s="69"/>
      <c r="AM2460" s="69"/>
      <c r="AN2460" s="69"/>
      <c r="AO2460" s="69"/>
      <c r="AP2460" s="69"/>
      <c r="AQ2460" s="69"/>
      <c r="AR2460" s="69"/>
      <c r="AS2460" s="69"/>
      <c r="AT2460" s="69"/>
      <c r="AU2460" s="69"/>
      <c r="AV2460" s="69"/>
      <c r="AW2460" s="69"/>
      <c r="AX2460" s="69"/>
      <c r="AY2460" s="69"/>
      <c r="AZ2460" s="69"/>
      <c r="BA2460" s="69"/>
      <c r="BB2460" s="69"/>
      <c r="BC2460" s="69"/>
    </row>
    <row r="2461">
      <c r="A2461" s="68"/>
      <c r="B2461" s="68"/>
      <c r="C2461" s="68"/>
      <c r="D2461" s="68"/>
      <c r="E2461" s="68"/>
      <c r="F2461" s="68"/>
      <c r="G2461" s="68"/>
      <c r="H2461" s="68"/>
      <c r="I2461" s="69"/>
      <c r="J2461" s="69"/>
      <c r="K2461" s="71"/>
      <c r="L2461" s="69"/>
      <c r="M2461" s="69"/>
      <c r="N2461" s="72"/>
      <c r="O2461" s="69"/>
      <c r="P2461" s="69"/>
      <c r="Q2461" s="69"/>
      <c r="R2461" s="69"/>
      <c r="S2461" s="69"/>
      <c r="T2461" s="69"/>
      <c r="U2461" s="69"/>
      <c r="V2461" s="69"/>
      <c r="W2461" s="69"/>
      <c r="X2461" s="69"/>
      <c r="Y2461" s="69"/>
      <c r="Z2461" s="69"/>
      <c r="AA2461" s="69"/>
      <c r="AB2461" s="69"/>
      <c r="AC2461" s="69"/>
      <c r="AD2461" s="69"/>
      <c r="AE2461" s="69"/>
      <c r="AF2461" s="69"/>
      <c r="AG2461" s="69"/>
      <c r="AH2461" s="69"/>
      <c r="AI2461" s="69"/>
      <c r="AJ2461" s="69"/>
      <c r="AK2461" s="69"/>
      <c r="AL2461" s="69"/>
      <c r="AM2461" s="69"/>
      <c r="AN2461" s="69"/>
      <c r="AO2461" s="69"/>
      <c r="AP2461" s="69"/>
      <c r="AQ2461" s="69"/>
      <c r="AR2461" s="69"/>
      <c r="AS2461" s="69"/>
      <c r="AT2461" s="69"/>
      <c r="AU2461" s="69"/>
      <c r="AV2461" s="69"/>
      <c r="AW2461" s="69"/>
      <c r="AX2461" s="69"/>
      <c r="AY2461" s="69"/>
      <c r="AZ2461" s="69"/>
      <c r="BA2461" s="69"/>
      <c r="BB2461" s="69"/>
      <c r="BC2461" s="69"/>
    </row>
    <row r="2462">
      <c r="A2462" s="68"/>
      <c r="B2462" s="68"/>
      <c r="C2462" s="68"/>
      <c r="D2462" s="68"/>
      <c r="E2462" s="68"/>
      <c r="F2462" s="68"/>
      <c r="G2462" s="68"/>
      <c r="H2462" s="68"/>
      <c r="I2462" s="69"/>
      <c r="J2462" s="69"/>
      <c r="K2462" s="71"/>
      <c r="L2462" s="69"/>
      <c r="M2462" s="69"/>
      <c r="N2462" s="72"/>
      <c r="O2462" s="69"/>
      <c r="P2462" s="69"/>
      <c r="Q2462" s="69"/>
      <c r="R2462" s="69"/>
      <c r="S2462" s="69"/>
      <c r="T2462" s="69"/>
      <c r="U2462" s="69"/>
      <c r="V2462" s="69"/>
      <c r="W2462" s="69"/>
      <c r="X2462" s="69"/>
      <c r="Y2462" s="69"/>
      <c r="Z2462" s="69"/>
      <c r="AA2462" s="69"/>
      <c r="AB2462" s="69"/>
      <c r="AC2462" s="69"/>
      <c r="AD2462" s="69"/>
      <c r="AE2462" s="69"/>
      <c r="AF2462" s="69"/>
      <c r="AG2462" s="69"/>
      <c r="AH2462" s="69"/>
      <c r="AI2462" s="69"/>
      <c r="AJ2462" s="69"/>
      <c r="AK2462" s="69"/>
      <c r="AL2462" s="69"/>
      <c r="AM2462" s="69"/>
      <c r="AN2462" s="69"/>
      <c r="AO2462" s="69"/>
      <c r="AP2462" s="69"/>
      <c r="AQ2462" s="69"/>
      <c r="AR2462" s="69"/>
      <c r="AS2462" s="69"/>
      <c r="AT2462" s="69"/>
      <c r="AU2462" s="69"/>
      <c r="AV2462" s="69"/>
      <c r="AW2462" s="69"/>
      <c r="AX2462" s="69"/>
      <c r="AY2462" s="69"/>
      <c r="AZ2462" s="69"/>
      <c r="BA2462" s="69"/>
      <c r="BB2462" s="69"/>
      <c r="BC2462" s="69"/>
    </row>
    <row r="2463">
      <c r="A2463" s="68"/>
      <c r="B2463" s="68"/>
      <c r="C2463" s="68"/>
      <c r="D2463" s="68"/>
      <c r="E2463" s="68"/>
      <c r="F2463" s="68"/>
      <c r="G2463" s="68"/>
      <c r="H2463" s="68"/>
      <c r="I2463" s="69"/>
      <c r="J2463" s="69"/>
      <c r="K2463" s="71"/>
      <c r="L2463" s="69"/>
      <c r="M2463" s="69"/>
      <c r="N2463" s="72"/>
      <c r="O2463" s="69"/>
      <c r="P2463" s="69"/>
      <c r="Q2463" s="69"/>
      <c r="R2463" s="69"/>
      <c r="S2463" s="69"/>
      <c r="T2463" s="69"/>
      <c r="U2463" s="69"/>
      <c r="V2463" s="69"/>
      <c r="W2463" s="69"/>
      <c r="X2463" s="69"/>
      <c r="Y2463" s="69"/>
      <c r="Z2463" s="69"/>
      <c r="AA2463" s="69"/>
      <c r="AB2463" s="69"/>
      <c r="AC2463" s="69"/>
      <c r="AD2463" s="69"/>
      <c r="AE2463" s="69"/>
      <c r="AF2463" s="69"/>
      <c r="AG2463" s="69"/>
      <c r="AH2463" s="69"/>
      <c r="AI2463" s="69"/>
      <c r="AJ2463" s="69"/>
      <c r="AK2463" s="69"/>
      <c r="AL2463" s="69"/>
      <c r="AM2463" s="69"/>
      <c r="AN2463" s="69"/>
      <c r="AO2463" s="69"/>
      <c r="AP2463" s="69"/>
      <c r="AQ2463" s="69"/>
      <c r="AR2463" s="69"/>
      <c r="AS2463" s="69"/>
      <c r="AT2463" s="69"/>
      <c r="AU2463" s="69"/>
      <c r="AV2463" s="69"/>
      <c r="AW2463" s="69"/>
      <c r="AX2463" s="69"/>
      <c r="AY2463" s="69"/>
      <c r="AZ2463" s="69"/>
      <c r="BA2463" s="69"/>
      <c r="BB2463" s="69"/>
      <c r="BC2463" s="69"/>
    </row>
    <row r="2464">
      <c r="A2464" s="68"/>
      <c r="B2464" s="68"/>
      <c r="C2464" s="68"/>
      <c r="D2464" s="68"/>
      <c r="E2464" s="68"/>
      <c r="F2464" s="68"/>
      <c r="G2464" s="68"/>
      <c r="H2464" s="68"/>
      <c r="I2464" s="69"/>
      <c r="J2464" s="69"/>
      <c r="K2464" s="71"/>
      <c r="L2464" s="69"/>
      <c r="M2464" s="69"/>
      <c r="N2464" s="72"/>
      <c r="O2464" s="69"/>
      <c r="P2464" s="69"/>
      <c r="Q2464" s="69"/>
      <c r="R2464" s="69"/>
      <c r="S2464" s="69"/>
      <c r="T2464" s="69"/>
      <c r="U2464" s="69"/>
      <c r="V2464" s="69"/>
      <c r="W2464" s="69"/>
      <c r="X2464" s="69"/>
      <c r="Y2464" s="69"/>
      <c r="Z2464" s="69"/>
      <c r="AA2464" s="69"/>
      <c r="AB2464" s="69"/>
      <c r="AC2464" s="69"/>
      <c r="AD2464" s="69"/>
      <c r="AE2464" s="69"/>
      <c r="AF2464" s="69"/>
      <c r="AG2464" s="69"/>
      <c r="AH2464" s="69"/>
      <c r="AI2464" s="69"/>
      <c r="AJ2464" s="69"/>
      <c r="AK2464" s="69"/>
      <c r="AL2464" s="69"/>
      <c r="AM2464" s="69"/>
      <c r="AN2464" s="69"/>
      <c r="AO2464" s="69"/>
      <c r="AP2464" s="69"/>
      <c r="AQ2464" s="69"/>
      <c r="AR2464" s="69"/>
      <c r="AS2464" s="69"/>
      <c r="AT2464" s="69"/>
      <c r="AU2464" s="69"/>
      <c r="AV2464" s="69"/>
      <c r="AW2464" s="69"/>
      <c r="AX2464" s="69"/>
      <c r="AY2464" s="69"/>
      <c r="AZ2464" s="69"/>
      <c r="BA2464" s="69"/>
      <c r="BB2464" s="69"/>
      <c r="BC2464" s="69"/>
    </row>
    <row r="2465">
      <c r="A2465" s="68"/>
      <c r="B2465" s="68"/>
      <c r="C2465" s="68"/>
      <c r="D2465" s="68"/>
      <c r="E2465" s="68"/>
      <c r="F2465" s="68"/>
      <c r="G2465" s="68"/>
      <c r="H2465" s="68"/>
      <c r="I2465" s="69"/>
      <c r="J2465" s="69"/>
      <c r="K2465" s="71"/>
      <c r="L2465" s="69"/>
      <c r="M2465" s="69"/>
      <c r="N2465" s="72"/>
      <c r="O2465" s="69"/>
      <c r="P2465" s="69"/>
      <c r="Q2465" s="69"/>
      <c r="R2465" s="69"/>
      <c r="S2465" s="69"/>
      <c r="T2465" s="69"/>
      <c r="U2465" s="69"/>
      <c r="V2465" s="69"/>
      <c r="W2465" s="69"/>
      <c r="X2465" s="69"/>
      <c r="Y2465" s="69"/>
      <c r="Z2465" s="69"/>
      <c r="AA2465" s="69"/>
      <c r="AB2465" s="69"/>
      <c r="AC2465" s="69"/>
      <c r="AD2465" s="69"/>
      <c r="AE2465" s="69"/>
      <c r="AF2465" s="69"/>
      <c r="AG2465" s="69"/>
      <c r="AH2465" s="69"/>
      <c r="AI2465" s="69"/>
      <c r="AJ2465" s="69"/>
      <c r="AK2465" s="69"/>
      <c r="AL2465" s="69"/>
      <c r="AM2465" s="69"/>
      <c r="AN2465" s="69"/>
      <c r="AO2465" s="69"/>
      <c r="AP2465" s="69"/>
      <c r="AQ2465" s="69"/>
      <c r="AR2465" s="69"/>
      <c r="AS2465" s="69"/>
      <c r="AT2465" s="69"/>
      <c r="AU2465" s="69"/>
      <c r="AV2465" s="69"/>
      <c r="AW2465" s="69"/>
      <c r="AX2465" s="69"/>
      <c r="AY2465" s="69"/>
      <c r="AZ2465" s="69"/>
      <c r="BA2465" s="69"/>
      <c r="BB2465" s="69"/>
      <c r="BC2465" s="69"/>
    </row>
    <row r="2466">
      <c r="A2466" s="68"/>
      <c r="B2466" s="68"/>
      <c r="C2466" s="68"/>
      <c r="D2466" s="68"/>
      <c r="E2466" s="68"/>
      <c r="F2466" s="68"/>
      <c r="G2466" s="68"/>
      <c r="H2466" s="68"/>
      <c r="I2466" s="69"/>
      <c r="J2466" s="69"/>
      <c r="K2466" s="71"/>
      <c r="L2466" s="69"/>
      <c r="M2466" s="69"/>
      <c r="N2466" s="72"/>
      <c r="O2466" s="69"/>
      <c r="P2466" s="69"/>
      <c r="Q2466" s="69"/>
      <c r="R2466" s="69"/>
      <c r="S2466" s="69"/>
      <c r="T2466" s="69"/>
      <c r="U2466" s="69"/>
      <c r="V2466" s="69"/>
      <c r="W2466" s="69"/>
      <c r="X2466" s="69"/>
      <c r="Y2466" s="69"/>
      <c r="Z2466" s="69"/>
      <c r="AA2466" s="69"/>
      <c r="AB2466" s="69"/>
      <c r="AC2466" s="69"/>
      <c r="AD2466" s="69"/>
      <c r="AE2466" s="69"/>
      <c r="AF2466" s="69"/>
      <c r="AG2466" s="69"/>
      <c r="AH2466" s="69"/>
      <c r="AI2466" s="69"/>
      <c r="AJ2466" s="69"/>
      <c r="AK2466" s="69"/>
      <c r="AL2466" s="69"/>
      <c r="AM2466" s="69"/>
      <c r="AN2466" s="69"/>
      <c r="AO2466" s="69"/>
      <c r="AP2466" s="69"/>
      <c r="AQ2466" s="69"/>
      <c r="AR2466" s="69"/>
      <c r="AS2466" s="69"/>
      <c r="AT2466" s="69"/>
      <c r="AU2466" s="69"/>
      <c r="AV2466" s="69"/>
      <c r="AW2466" s="69"/>
      <c r="AX2466" s="69"/>
      <c r="AY2466" s="69"/>
      <c r="AZ2466" s="69"/>
      <c r="BA2466" s="69"/>
      <c r="BB2466" s="69"/>
      <c r="BC2466" s="69"/>
    </row>
    <row r="2467">
      <c r="A2467" s="68"/>
      <c r="B2467" s="68"/>
      <c r="C2467" s="68"/>
      <c r="D2467" s="68"/>
      <c r="E2467" s="68"/>
      <c r="F2467" s="68"/>
      <c r="G2467" s="68"/>
      <c r="H2467" s="68"/>
      <c r="I2467" s="69"/>
      <c r="J2467" s="69"/>
      <c r="K2467" s="71"/>
      <c r="L2467" s="69"/>
      <c r="M2467" s="69"/>
      <c r="N2467" s="72"/>
      <c r="O2467" s="69"/>
      <c r="P2467" s="69"/>
      <c r="Q2467" s="69"/>
      <c r="R2467" s="69"/>
      <c r="S2467" s="69"/>
      <c r="T2467" s="69"/>
      <c r="U2467" s="69"/>
      <c r="V2467" s="69"/>
      <c r="W2467" s="69"/>
      <c r="X2467" s="69"/>
      <c r="Y2467" s="69"/>
      <c r="Z2467" s="69"/>
      <c r="AA2467" s="69"/>
      <c r="AB2467" s="69"/>
      <c r="AC2467" s="69"/>
      <c r="AD2467" s="69"/>
      <c r="AE2467" s="69"/>
      <c r="AF2467" s="69"/>
      <c r="AG2467" s="69"/>
      <c r="AH2467" s="69"/>
      <c r="AI2467" s="69"/>
      <c r="AJ2467" s="69"/>
      <c r="AK2467" s="69"/>
      <c r="AL2467" s="69"/>
      <c r="AM2467" s="69"/>
      <c r="AN2467" s="69"/>
      <c r="AO2467" s="69"/>
      <c r="AP2467" s="69"/>
      <c r="AQ2467" s="69"/>
      <c r="AR2467" s="69"/>
      <c r="AS2467" s="69"/>
      <c r="AT2467" s="69"/>
      <c r="AU2467" s="69"/>
      <c r="AV2467" s="69"/>
      <c r="AW2467" s="69"/>
      <c r="AX2467" s="69"/>
      <c r="AY2467" s="69"/>
      <c r="AZ2467" s="69"/>
      <c r="BA2467" s="69"/>
      <c r="BB2467" s="69"/>
      <c r="BC2467" s="69"/>
    </row>
    <row r="2468">
      <c r="A2468" s="68"/>
      <c r="B2468" s="68"/>
      <c r="C2468" s="68"/>
      <c r="D2468" s="68"/>
      <c r="E2468" s="68"/>
      <c r="F2468" s="68"/>
      <c r="G2468" s="68"/>
      <c r="H2468" s="68"/>
      <c r="I2468" s="69"/>
      <c r="J2468" s="69"/>
      <c r="K2468" s="71"/>
      <c r="L2468" s="69"/>
      <c r="M2468" s="69"/>
      <c r="N2468" s="72"/>
      <c r="O2468" s="69"/>
      <c r="P2468" s="69"/>
      <c r="Q2468" s="69"/>
      <c r="R2468" s="69"/>
      <c r="S2468" s="69"/>
      <c r="T2468" s="69"/>
      <c r="U2468" s="69"/>
      <c r="V2468" s="69"/>
      <c r="W2468" s="69"/>
      <c r="X2468" s="69"/>
      <c r="Y2468" s="69"/>
      <c r="Z2468" s="69"/>
      <c r="AA2468" s="69"/>
      <c r="AB2468" s="69"/>
      <c r="AC2468" s="69"/>
      <c r="AD2468" s="69"/>
      <c r="AE2468" s="69"/>
      <c r="AF2468" s="69"/>
      <c r="AG2468" s="69"/>
      <c r="AH2468" s="69"/>
      <c r="AI2468" s="69"/>
      <c r="AJ2468" s="69"/>
      <c r="AK2468" s="69"/>
      <c r="AL2468" s="69"/>
      <c r="AM2468" s="69"/>
      <c r="AN2468" s="69"/>
      <c r="AO2468" s="69"/>
      <c r="AP2468" s="69"/>
      <c r="AQ2468" s="69"/>
      <c r="AR2468" s="69"/>
      <c r="AS2468" s="69"/>
      <c r="AT2468" s="69"/>
      <c r="AU2468" s="69"/>
      <c r="AV2468" s="69"/>
      <c r="AW2468" s="69"/>
      <c r="AX2468" s="69"/>
      <c r="AY2468" s="69"/>
      <c r="AZ2468" s="69"/>
      <c r="BA2468" s="69"/>
      <c r="BB2468" s="69"/>
      <c r="BC2468" s="69"/>
    </row>
    <row r="2469">
      <c r="A2469" s="68"/>
      <c r="B2469" s="68"/>
      <c r="C2469" s="68"/>
      <c r="D2469" s="68"/>
      <c r="E2469" s="68"/>
      <c r="F2469" s="68"/>
      <c r="G2469" s="68"/>
      <c r="H2469" s="68"/>
      <c r="I2469" s="69"/>
      <c r="J2469" s="69"/>
      <c r="K2469" s="71"/>
      <c r="L2469" s="69"/>
      <c r="M2469" s="69"/>
      <c r="N2469" s="72"/>
      <c r="O2469" s="69"/>
      <c r="P2469" s="69"/>
      <c r="Q2469" s="69"/>
      <c r="R2469" s="69"/>
      <c r="S2469" s="69"/>
      <c r="T2469" s="69"/>
      <c r="U2469" s="69"/>
      <c r="V2469" s="69"/>
      <c r="W2469" s="69"/>
      <c r="X2469" s="69"/>
      <c r="Y2469" s="69"/>
      <c r="Z2469" s="69"/>
      <c r="AA2469" s="69"/>
      <c r="AB2469" s="69"/>
      <c r="AC2469" s="69"/>
      <c r="AD2469" s="69"/>
      <c r="AE2469" s="69"/>
      <c r="AF2469" s="69"/>
      <c r="AG2469" s="69"/>
      <c r="AH2469" s="69"/>
      <c r="AI2469" s="69"/>
      <c r="AJ2469" s="69"/>
      <c r="AK2469" s="69"/>
      <c r="AL2469" s="69"/>
      <c r="AM2469" s="69"/>
      <c r="AN2469" s="69"/>
      <c r="AO2469" s="69"/>
      <c r="AP2469" s="69"/>
      <c r="AQ2469" s="69"/>
      <c r="AR2469" s="69"/>
      <c r="AS2469" s="69"/>
      <c r="AT2469" s="69"/>
      <c r="AU2469" s="69"/>
      <c r="AV2469" s="69"/>
      <c r="AW2469" s="69"/>
      <c r="AX2469" s="69"/>
      <c r="AY2469" s="69"/>
      <c r="AZ2469" s="69"/>
      <c r="BA2469" s="69"/>
      <c r="BB2469" s="69"/>
      <c r="BC2469" s="69"/>
    </row>
    <row r="2470">
      <c r="A2470" s="68"/>
      <c r="B2470" s="68"/>
      <c r="C2470" s="68"/>
      <c r="D2470" s="68"/>
      <c r="E2470" s="68"/>
      <c r="F2470" s="68"/>
      <c r="G2470" s="68"/>
      <c r="H2470" s="68"/>
      <c r="I2470" s="69"/>
      <c r="J2470" s="69"/>
      <c r="K2470" s="71"/>
      <c r="L2470" s="69"/>
      <c r="M2470" s="69"/>
      <c r="N2470" s="72"/>
      <c r="O2470" s="69"/>
      <c r="P2470" s="69"/>
      <c r="Q2470" s="69"/>
      <c r="R2470" s="69"/>
      <c r="S2470" s="69"/>
      <c r="T2470" s="69"/>
      <c r="U2470" s="69"/>
      <c r="V2470" s="69"/>
      <c r="W2470" s="69"/>
      <c r="X2470" s="69"/>
      <c r="Y2470" s="69"/>
      <c r="Z2470" s="69"/>
      <c r="AA2470" s="69"/>
      <c r="AB2470" s="69"/>
      <c r="AC2470" s="69"/>
      <c r="AD2470" s="69"/>
      <c r="AE2470" s="69"/>
      <c r="AF2470" s="69"/>
      <c r="AG2470" s="69"/>
      <c r="AH2470" s="69"/>
      <c r="AI2470" s="69"/>
      <c r="AJ2470" s="69"/>
      <c r="AK2470" s="69"/>
      <c r="AL2470" s="69"/>
      <c r="AM2470" s="69"/>
      <c r="AN2470" s="69"/>
      <c r="AO2470" s="69"/>
      <c r="AP2470" s="69"/>
      <c r="AQ2470" s="69"/>
      <c r="AR2470" s="69"/>
      <c r="AS2470" s="69"/>
      <c r="AT2470" s="69"/>
      <c r="AU2470" s="69"/>
      <c r="AV2470" s="69"/>
      <c r="AW2470" s="69"/>
      <c r="AX2470" s="69"/>
      <c r="AY2470" s="69"/>
      <c r="AZ2470" s="69"/>
      <c r="BA2470" s="69"/>
      <c r="BB2470" s="69"/>
      <c r="BC2470" s="69"/>
    </row>
    <row r="2471">
      <c r="A2471" s="68"/>
      <c r="B2471" s="68"/>
      <c r="C2471" s="68"/>
      <c r="D2471" s="68"/>
      <c r="E2471" s="68"/>
      <c r="F2471" s="68"/>
      <c r="G2471" s="68"/>
      <c r="H2471" s="68"/>
      <c r="I2471" s="69"/>
      <c r="J2471" s="69"/>
      <c r="K2471" s="71"/>
      <c r="L2471" s="69"/>
      <c r="M2471" s="69"/>
      <c r="N2471" s="72"/>
      <c r="O2471" s="69"/>
      <c r="P2471" s="69"/>
      <c r="Q2471" s="69"/>
      <c r="R2471" s="69"/>
      <c r="S2471" s="69"/>
      <c r="T2471" s="69"/>
      <c r="U2471" s="69"/>
      <c r="V2471" s="69"/>
      <c r="W2471" s="69"/>
      <c r="X2471" s="69"/>
      <c r="Y2471" s="69"/>
      <c r="Z2471" s="69"/>
      <c r="AA2471" s="69"/>
      <c r="AB2471" s="69"/>
      <c r="AC2471" s="69"/>
      <c r="AD2471" s="69"/>
      <c r="AE2471" s="69"/>
      <c r="AF2471" s="69"/>
      <c r="AG2471" s="69"/>
      <c r="AH2471" s="69"/>
      <c r="AI2471" s="69"/>
      <c r="AJ2471" s="69"/>
      <c r="AK2471" s="69"/>
      <c r="AL2471" s="69"/>
      <c r="AM2471" s="69"/>
      <c r="AN2471" s="69"/>
      <c r="AO2471" s="69"/>
      <c r="AP2471" s="69"/>
      <c r="AQ2471" s="69"/>
      <c r="AR2471" s="69"/>
      <c r="AS2471" s="69"/>
      <c r="AT2471" s="69"/>
      <c r="AU2471" s="69"/>
      <c r="AV2471" s="69"/>
      <c r="AW2471" s="69"/>
      <c r="AX2471" s="69"/>
      <c r="AY2471" s="69"/>
      <c r="AZ2471" s="69"/>
      <c r="BA2471" s="69"/>
      <c r="BB2471" s="69"/>
      <c r="BC2471" s="69"/>
    </row>
    <row r="2472">
      <c r="A2472" s="68"/>
      <c r="B2472" s="68"/>
      <c r="C2472" s="68"/>
      <c r="D2472" s="68"/>
      <c r="E2472" s="68"/>
      <c r="F2472" s="68"/>
      <c r="G2472" s="68"/>
      <c r="H2472" s="68"/>
      <c r="I2472" s="69"/>
      <c r="J2472" s="69"/>
      <c r="K2472" s="71"/>
      <c r="L2472" s="69"/>
      <c r="M2472" s="69"/>
      <c r="N2472" s="72"/>
      <c r="O2472" s="69"/>
      <c r="P2472" s="69"/>
      <c r="Q2472" s="69"/>
      <c r="R2472" s="69"/>
      <c r="S2472" s="69"/>
      <c r="T2472" s="69"/>
      <c r="U2472" s="69"/>
      <c r="V2472" s="69"/>
      <c r="W2472" s="69"/>
      <c r="X2472" s="69"/>
      <c r="Y2472" s="69"/>
      <c r="Z2472" s="69"/>
      <c r="AA2472" s="69"/>
      <c r="AB2472" s="69"/>
      <c r="AC2472" s="69"/>
      <c r="AD2472" s="69"/>
      <c r="AE2472" s="69"/>
      <c r="AF2472" s="69"/>
      <c r="AG2472" s="69"/>
      <c r="AH2472" s="69"/>
      <c r="AI2472" s="69"/>
      <c r="AJ2472" s="69"/>
      <c r="AK2472" s="69"/>
      <c r="AL2472" s="69"/>
      <c r="AM2472" s="69"/>
      <c r="AN2472" s="69"/>
      <c r="AO2472" s="69"/>
      <c r="AP2472" s="69"/>
      <c r="AQ2472" s="69"/>
      <c r="AR2472" s="69"/>
      <c r="AS2472" s="69"/>
      <c r="AT2472" s="69"/>
      <c r="AU2472" s="69"/>
      <c r="AV2472" s="69"/>
      <c r="AW2472" s="69"/>
      <c r="AX2472" s="69"/>
      <c r="AY2472" s="69"/>
      <c r="AZ2472" s="69"/>
      <c r="BA2472" s="69"/>
      <c r="BB2472" s="69"/>
      <c r="BC2472" s="69"/>
    </row>
    <row r="2473">
      <c r="A2473" s="68"/>
      <c r="B2473" s="68"/>
      <c r="C2473" s="68"/>
      <c r="D2473" s="68"/>
      <c r="E2473" s="68"/>
      <c r="F2473" s="68"/>
      <c r="G2473" s="68"/>
      <c r="H2473" s="68"/>
      <c r="I2473" s="69"/>
      <c r="J2473" s="69"/>
      <c r="K2473" s="71"/>
      <c r="L2473" s="69"/>
      <c r="M2473" s="69"/>
      <c r="N2473" s="72"/>
      <c r="O2473" s="69"/>
      <c r="P2473" s="69"/>
      <c r="Q2473" s="69"/>
      <c r="R2473" s="69"/>
      <c r="S2473" s="69"/>
      <c r="T2473" s="69"/>
      <c r="U2473" s="69"/>
      <c r="V2473" s="69"/>
      <c r="W2473" s="69"/>
      <c r="X2473" s="69"/>
      <c r="Y2473" s="69"/>
      <c r="Z2473" s="69"/>
      <c r="AA2473" s="69"/>
      <c r="AB2473" s="69"/>
      <c r="AC2473" s="69"/>
      <c r="AD2473" s="69"/>
      <c r="AE2473" s="69"/>
      <c r="AF2473" s="69"/>
      <c r="AG2473" s="69"/>
      <c r="AH2473" s="69"/>
      <c r="AI2473" s="69"/>
      <c r="AJ2473" s="69"/>
      <c r="AK2473" s="69"/>
      <c r="AL2473" s="69"/>
      <c r="AM2473" s="69"/>
      <c r="AN2473" s="69"/>
      <c r="AO2473" s="69"/>
      <c r="AP2473" s="69"/>
      <c r="AQ2473" s="69"/>
      <c r="AR2473" s="69"/>
      <c r="AS2473" s="69"/>
      <c r="AT2473" s="69"/>
      <c r="AU2473" s="69"/>
      <c r="AV2473" s="69"/>
      <c r="AW2473" s="69"/>
      <c r="AX2473" s="69"/>
      <c r="AY2473" s="69"/>
      <c r="AZ2473" s="69"/>
      <c r="BA2473" s="69"/>
      <c r="BB2473" s="69"/>
      <c r="BC2473" s="69"/>
    </row>
    <row r="2474">
      <c r="A2474" s="68"/>
      <c r="B2474" s="68"/>
      <c r="C2474" s="68"/>
      <c r="D2474" s="68"/>
      <c r="E2474" s="68"/>
      <c r="F2474" s="68"/>
      <c r="G2474" s="68"/>
      <c r="H2474" s="68"/>
      <c r="I2474" s="69"/>
      <c r="J2474" s="69"/>
      <c r="K2474" s="71"/>
      <c r="L2474" s="69"/>
      <c r="M2474" s="69"/>
      <c r="N2474" s="72"/>
      <c r="O2474" s="69"/>
      <c r="P2474" s="69"/>
      <c r="Q2474" s="69"/>
      <c r="R2474" s="69"/>
      <c r="S2474" s="69"/>
      <c r="T2474" s="69"/>
      <c r="U2474" s="69"/>
      <c r="V2474" s="69"/>
      <c r="W2474" s="69"/>
      <c r="X2474" s="69"/>
      <c r="Y2474" s="69"/>
      <c r="Z2474" s="69"/>
      <c r="AA2474" s="69"/>
      <c r="AB2474" s="69"/>
      <c r="AC2474" s="69"/>
      <c r="AD2474" s="69"/>
      <c r="AE2474" s="69"/>
      <c r="AF2474" s="69"/>
      <c r="AG2474" s="69"/>
      <c r="AH2474" s="69"/>
      <c r="AI2474" s="69"/>
      <c r="AJ2474" s="69"/>
      <c r="AK2474" s="69"/>
      <c r="AL2474" s="69"/>
      <c r="AM2474" s="69"/>
      <c r="AN2474" s="69"/>
      <c r="AO2474" s="69"/>
      <c r="AP2474" s="69"/>
      <c r="AQ2474" s="69"/>
      <c r="AR2474" s="69"/>
      <c r="AS2474" s="69"/>
      <c r="AT2474" s="69"/>
      <c r="AU2474" s="69"/>
      <c r="AV2474" s="69"/>
      <c r="AW2474" s="69"/>
      <c r="AX2474" s="69"/>
      <c r="AY2474" s="69"/>
      <c r="AZ2474" s="69"/>
      <c r="BA2474" s="69"/>
      <c r="BB2474" s="69"/>
      <c r="BC2474" s="69"/>
    </row>
    <row r="2475">
      <c r="A2475" s="68"/>
      <c r="B2475" s="68"/>
      <c r="C2475" s="68"/>
      <c r="D2475" s="68"/>
      <c r="E2475" s="68"/>
      <c r="F2475" s="68"/>
      <c r="G2475" s="68"/>
      <c r="H2475" s="68"/>
      <c r="I2475" s="69"/>
      <c r="J2475" s="69"/>
      <c r="K2475" s="71"/>
      <c r="L2475" s="69"/>
      <c r="M2475" s="69"/>
      <c r="N2475" s="72"/>
      <c r="O2475" s="69"/>
      <c r="P2475" s="69"/>
      <c r="Q2475" s="69"/>
      <c r="R2475" s="69"/>
      <c r="S2475" s="69"/>
      <c r="T2475" s="69"/>
      <c r="U2475" s="69"/>
      <c r="V2475" s="69"/>
      <c r="W2475" s="69"/>
      <c r="X2475" s="69"/>
      <c r="Y2475" s="69"/>
      <c r="Z2475" s="69"/>
      <c r="AA2475" s="69"/>
      <c r="AB2475" s="69"/>
      <c r="AC2475" s="69"/>
      <c r="AD2475" s="69"/>
      <c r="AE2475" s="69"/>
      <c r="AF2475" s="69"/>
      <c r="AG2475" s="69"/>
      <c r="AH2475" s="69"/>
      <c r="AI2475" s="69"/>
      <c r="AJ2475" s="69"/>
      <c r="AK2475" s="69"/>
      <c r="AL2475" s="69"/>
      <c r="AM2475" s="69"/>
      <c r="AN2475" s="69"/>
      <c r="AO2475" s="69"/>
      <c r="AP2475" s="69"/>
      <c r="AQ2475" s="69"/>
      <c r="AR2475" s="69"/>
      <c r="AS2475" s="69"/>
      <c r="AT2475" s="69"/>
      <c r="AU2475" s="69"/>
      <c r="AV2475" s="69"/>
      <c r="AW2475" s="69"/>
      <c r="AX2475" s="69"/>
      <c r="AY2475" s="69"/>
      <c r="AZ2475" s="69"/>
      <c r="BA2475" s="69"/>
      <c r="BB2475" s="69"/>
      <c r="BC2475" s="69"/>
    </row>
    <row r="2476">
      <c r="A2476" s="68"/>
      <c r="B2476" s="68"/>
      <c r="C2476" s="68"/>
      <c r="D2476" s="68"/>
      <c r="E2476" s="68"/>
      <c r="F2476" s="68"/>
      <c r="G2476" s="68"/>
      <c r="H2476" s="68"/>
      <c r="I2476" s="69"/>
      <c r="J2476" s="69"/>
      <c r="K2476" s="71"/>
      <c r="L2476" s="69"/>
      <c r="M2476" s="69"/>
      <c r="N2476" s="72"/>
      <c r="O2476" s="69"/>
      <c r="P2476" s="69"/>
      <c r="Q2476" s="69"/>
      <c r="R2476" s="69"/>
      <c r="S2476" s="69"/>
      <c r="T2476" s="69"/>
      <c r="U2476" s="69"/>
      <c r="V2476" s="69"/>
      <c r="W2476" s="69"/>
      <c r="X2476" s="69"/>
      <c r="Y2476" s="69"/>
      <c r="Z2476" s="69"/>
      <c r="AA2476" s="69"/>
      <c r="AB2476" s="69"/>
      <c r="AC2476" s="69"/>
      <c r="AD2476" s="69"/>
      <c r="AE2476" s="69"/>
      <c r="AF2476" s="69"/>
      <c r="AG2476" s="69"/>
      <c r="AH2476" s="69"/>
      <c r="AI2476" s="69"/>
      <c r="AJ2476" s="69"/>
      <c r="AK2476" s="69"/>
      <c r="AL2476" s="69"/>
      <c r="AM2476" s="69"/>
      <c r="AN2476" s="69"/>
      <c r="AO2476" s="69"/>
      <c r="AP2476" s="69"/>
      <c r="AQ2476" s="69"/>
      <c r="AR2476" s="69"/>
      <c r="AS2476" s="69"/>
      <c r="AT2476" s="69"/>
      <c r="AU2476" s="69"/>
      <c r="AV2476" s="69"/>
      <c r="AW2476" s="69"/>
      <c r="AX2476" s="69"/>
      <c r="AY2476" s="69"/>
      <c r="AZ2476" s="69"/>
      <c r="BA2476" s="69"/>
      <c r="BB2476" s="69"/>
      <c r="BC2476" s="69"/>
    </row>
    <row r="2477">
      <c r="A2477" s="68"/>
      <c r="B2477" s="68"/>
      <c r="C2477" s="68"/>
      <c r="D2477" s="68"/>
      <c r="E2477" s="68"/>
      <c r="F2477" s="68"/>
      <c r="G2477" s="68"/>
      <c r="H2477" s="68"/>
      <c r="I2477" s="69"/>
      <c r="J2477" s="69"/>
      <c r="K2477" s="71"/>
      <c r="L2477" s="69"/>
      <c r="M2477" s="69"/>
      <c r="N2477" s="72"/>
      <c r="O2477" s="69"/>
      <c r="P2477" s="69"/>
      <c r="Q2477" s="69"/>
      <c r="R2477" s="69"/>
      <c r="S2477" s="69"/>
      <c r="T2477" s="69"/>
      <c r="U2477" s="69"/>
      <c r="V2477" s="69"/>
      <c r="W2477" s="69"/>
      <c r="X2477" s="69"/>
      <c r="Y2477" s="69"/>
      <c r="Z2477" s="69"/>
      <c r="AA2477" s="69"/>
      <c r="AB2477" s="69"/>
      <c r="AC2477" s="69"/>
      <c r="AD2477" s="69"/>
      <c r="AE2477" s="69"/>
      <c r="AF2477" s="69"/>
      <c r="AG2477" s="69"/>
      <c r="AH2477" s="69"/>
      <c r="AI2477" s="69"/>
      <c r="AJ2477" s="69"/>
      <c r="AK2477" s="69"/>
      <c r="AL2477" s="69"/>
      <c r="AM2477" s="69"/>
      <c r="AN2477" s="69"/>
      <c r="AO2477" s="69"/>
      <c r="AP2477" s="69"/>
      <c r="AQ2477" s="69"/>
      <c r="AR2477" s="69"/>
      <c r="AS2477" s="69"/>
      <c r="AT2477" s="69"/>
      <c r="AU2477" s="69"/>
      <c r="AV2477" s="69"/>
      <c r="AW2477" s="69"/>
      <c r="AX2477" s="69"/>
      <c r="AY2477" s="69"/>
      <c r="AZ2477" s="69"/>
      <c r="BA2477" s="69"/>
      <c r="BB2477" s="69"/>
      <c r="BC2477" s="69"/>
    </row>
    <row r="2478">
      <c r="A2478" s="68"/>
      <c r="B2478" s="68"/>
      <c r="C2478" s="68"/>
      <c r="D2478" s="68"/>
      <c r="E2478" s="68"/>
      <c r="F2478" s="68"/>
      <c r="G2478" s="68"/>
      <c r="H2478" s="68"/>
      <c r="I2478" s="69"/>
      <c r="J2478" s="69"/>
      <c r="K2478" s="71"/>
      <c r="L2478" s="69"/>
      <c r="M2478" s="69"/>
      <c r="N2478" s="72"/>
      <c r="O2478" s="69"/>
      <c r="P2478" s="69"/>
      <c r="Q2478" s="69"/>
      <c r="R2478" s="69"/>
      <c r="S2478" s="69"/>
      <c r="T2478" s="69"/>
      <c r="U2478" s="69"/>
      <c r="V2478" s="69"/>
      <c r="W2478" s="69"/>
      <c r="X2478" s="69"/>
      <c r="Y2478" s="69"/>
      <c r="Z2478" s="69"/>
      <c r="AA2478" s="69"/>
      <c r="AB2478" s="69"/>
      <c r="AC2478" s="69"/>
      <c r="AD2478" s="69"/>
      <c r="AE2478" s="69"/>
      <c r="AF2478" s="69"/>
      <c r="AG2478" s="69"/>
      <c r="AH2478" s="69"/>
      <c r="AI2478" s="69"/>
      <c r="AJ2478" s="69"/>
      <c r="AK2478" s="69"/>
      <c r="AL2478" s="69"/>
      <c r="AM2478" s="69"/>
      <c r="AN2478" s="69"/>
      <c r="AO2478" s="69"/>
      <c r="AP2478" s="69"/>
      <c r="AQ2478" s="69"/>
      <c r="AR2478" s="69"/>
      <c r="AS2478" s="69"/>
      <c r="AT2478" s="69"/>
      <c r="AU2478" s="69"/>
      <c r="AV2478" s="69"/>
      <c r="AW2478" s="69"/>
      <c r="AX2478" s="69"/>
      <c r="AY2478" s="69"/>
      <c r="AZ2478" s="69"/>
      <c r="BA2478" s="69"/>
      <c r="BB2478" s="69"/>
      <c r="BC2478" s="69"/>
    </row>
    <row r="2479">
      <c r="A2479" s="68"/>
      <c r="B2479" s="68"/>
      <c r="C2479" s="68"/>
      <c r="D2479" s="68"/>
      <c r="E2479" s="68"/>
      <c r="F2479" s="68"/>
      <c r="G2479" s="68"/>
      <c r="H2479" s="68"/>
      <c r="I2479" s="69"/>
      <c r="J2479" s="69"/>
      <c r="K2479" s="71"/>
      <c r="L2479" s="69"/>
      <c r="M2479" s="69"/>
      <c r="N2479" s="72"/>
      <c r="O2479" s="69"/>
      <c r="P2479" s="69"/>
      <c r="Q2479" s="69"/>
      <c r="R2479" s="69"/>
      <c r="S2479" s="69"/>
      <c r="T2479" s="69"/>
      <c r="U2479" s="69"/>
      <c r="V2479" s="69"/>
      <c r="W2479" s="69"/>
      <c r="X2479" s="69"/>
      <c r="Y2479" s="69"/>
      <c r="Z2479" s="69"/>
      <c r="AA2479" s="69"/>
      <c r="AB2479" s="69"/>
      <c r="AC2479" s="69"/>
      <c r="AD2479" s="69"/>
      <c r="AE2479" s="69"/>
      <c r="AF2479" s="69"/>
      <c r="AG2479" s="69"/>
      <c r="AH2479" s="69"/>
      <c r="AI2479" s="69"/>
      <c r="AJ2479" s="69"/>
      <c r="AK2479" s="69"/>
      <c r="AL2479" s="69"/>
      <c r="AM2479" s="69"/>
      <c r="AN2479" s="69"/>
      <c r="AO2479" s="69"/>
      <c r="AP2479" s="69"/>
      <c r="AQ2479" s="69"/>
      <c r="AR2479" s="69"/>
      <c r="AS2479" s="69"/>
      <c r="AT2479" s="69"/>
      <c r="AU2479" s="69"/>
      <c r="AV2479" s="69"/>
      <c r="AW2479" s="69"/>
      <c r="AX2479" s="69"/>
      <c r="AY2479" s="69"/>
      <c r="AZ2479" s="69"/>
      <c r="BA2479" s="69"/>
      <c r="BB2479" s="69"/>
      <c r="BC2479" s="69"/>
    </row>
    <row r="2480">
      <c r="A2480" s="68"/>
      <c r="B2480" s="68"/>
      <c r="C2480" s="68"/>
      <c r="D2480" s="68"/>
      <c r="E2480" s="68"/>
      <c r="F2480" s="68"/>
      <c r="G2480" s="68"/>
      <c r="H2480" s="68"/>
      <c r="I2480" s="69"/>
      <c r="J2480" s="69"/>
      <c r="K2480" s="71"/>
      <c r="L2480" s="69"/>
      <c r="M2480" s="69"/>
      <c r="N2480" s="72"/>
      <c r="O2480" s="69"/>
      <c r="P2480" s="69"/>
      <c r="Q2480" s="69"/>
      <c r="R2480" s="69"/>
      <c r="S2480" s="69"/>
      <c r="T2480" s="69"/>
      <c r="U2480" s="69"/>
      <c r="V2480" s="69"/>
      <c r="W2480" s="69"/>
      <c r="X2480" s="69"/>
      <c r="Y2480" s="69"/>
      <c r="Z2480" s="69"/>
      <c r="AA2480" s="69"/>
      <c r="AB2480" s="69"/>
      <c r="AC2480" s="69"/>
      <c r="AD2480" s="69"/>
      <c r="AE2480" s="69"/>
      <c r="AF2480" s="69"/>
      <c r="AG2480" s="69"/>
      <c r="AH2480" s="69"/>
      <c r="AI2480" s="69"/>
      <c r="AJ2480" s="69"/>
      <c r="AK2480" s="69"/>
      <c r="AL2480" s="69"/>
      <c r="AM2480" s="69"/>
      <c r="AN2480" s="69"/>
      <c r="AO2480" s="69"/>
      <c r="AP2480" s="69"/>
      <c r="AQ2480" s="69"/>
      <c r="AR2480" s="69"/>
      <c r="AS2480" s="69"/>
      <c r="AT2480" s="69"/>
      <c r="AU2480" s="69"/>
      <c r="AV2480" s="69"/>
      <c r="AW2480" s="69"/>
      <c r="AX2480" s="69"/>
      <c r="AY2480" s="69"/>
      <c r="AZ2480" s="69"/>
      <c r="BA2480" s="69"/>
      <c r="BB2480" s="69"/>
      <c r="BC2480" s="69"/>
    </row>
    <row r="2481">
      <c r="A2481" s="68"/>
      <c r="B2481" s="68"/>
      <c r="C2481" s="68"/>
      <c r="D2481" s="68"/>
      <c r="E2481" s="68"/>
      <c r="F2481" s="68"/>
      <c r="G2481" s="68"/>
      <c r="H2481" s="68"/>
      <c r="I2481" s="69"/>
      <c r="J2481" s="69"/>
      <c r="K2481" s="71"/>
      <c r="L2481" s="69"/>
      <c r="M2481" s="69"/>
      <c r="N2481" s="72"/>
      <c r="O2481" s="69"/>
      <c r="P2481" s="69"/>
      <c r="Q2481" s="69"/>
      <c r="R2481" s="69"/>
      <c r="S2481" s="69"/>
      <c r="T2481" s="69"/>
      <c r="U2481" s="69"/>
      <c r="V2481" s="69"/>
      <c r="W2481" s="69"/>
      <c r="X2481" s="69"/>
      <c r="Y2481" s="69"/>
      <c r="Z2481" s="69"/>
      <c r="AA2481" s="69"/>
      <c r="AB2481" s="69"/>
      <c r="AC2481" s="69"/>
      <c r="AD2481" s="69"/>
      <c r="AE2481" s="69"/>
      <c r="AF2481" s="69"/>
      <c r="AG2481" s="69"/>
      <c r="AH2481" s="69"/>
      <c r="AI2481" s="69"/>
      <c r="AJ2481" s="69"/>
      <c r="AK2481" s="69"/>
      <c r="AL2481" s="69"/>
      <c r="AM2481" s="69"/>
      <c r="AN2481" s="69"/>
      <c r="AO2481" s="69"/>
      <c r="AP2481" s="69"/>
      <c r="AQ2481" s="69"/>
      <c r="AR2481" s="69"/>
      <c r="AS2481" s="69"/>
      <c r="AT2481" s="69"/>
      <c r="AU2481" s="69"/>
      <c r="AV2481" s="69"/>
      <c r="AW2481" s="69"/>
      <c r="AX2481" s="69"/>
      <c r="AY2481" s="69"/>
      <c r="AZ2481" s="69"/>
      <c r="BA2481" s="69"/>
      <c r="BB2481" s="69"/>
      <c r="BC2481" s="69"/>
    </row>
    <row r="2482">
      <c r="A2482" s="68"/>
      <c r="B2482" s="68"/>
      <c r="C2482" s="68"/>
      <c r="D2482" s="68"/>
      <c r="E2482" s="68"/>
      <c r="F2482" s="68"/>
      <c r="G2482" s="68"/>
      <c r="H2482" s="68"/>
      <c r="I2482" s="69"/>
      <c r="J2482" s="69"/>
      <c r="K2482" s="71"/>
      <c r="L2482" s="69"/>
      <c r="M2482" s="69"/>
      <c r="N2482" s="72"/>
      <c r="O2482" s="69"/>
      <c r="P2482" s="69"/>
      <c r="Q2482" s="69"/>
      <c r="R2482" s="69"/>
      <c r="S2482" s="69"/>
      <c r="T2482" s="69"/>
      <c r="U2482" s="69"/>
      <c r="V2482" s="69"/>
      <c r="W2482" s="69"/>
      <c r="X2482" s="69"/>
      <c r="Y2482" s="69"/>
      <c r="Z2482" s="69"/>
      <c r="AA2482" s="69"/>
      <c r="AB2482" s="69"/>
      <c r="AC2482" s="69"/>
      <c r="AD2482" s="69"/>
      <c r="AE2482" s="69"/>
      <c r="AF2482" s="69"/>
      <c r="AG2482" s="69"/>
      <c r="AH2482" s="69"/>
      <c r="AI2482" s="69"/>
      <c r="AJ2482" s="69"/>
      <c r="AK2482" s="69"/>
      <c r="AL2482" s="69"/>
      <c r="AM2482" s="69"/>
      <c r="AN2482" s="69"/>
      <c r="AO2482" s="69"/>
      <c r="AP2482" s="69"/>
      <c r="AQ2482" s="69"/>
      <c r="AR2482" s="69"/>
      <c r="AS2482" s="69"/>
      <c r="AT2482" s="69"/>
      <c r="AU2482" s="69"/>
      <c r="AV2482" s="69"/>
      <c r="AW2482" s="69"/>
      <c r="AX2482" s="69"/>
      <c r="AY2482" s="69"/>
      <c r="AZ2482" s="69"/>
      <c r="BA2482" s="69"/>
      <c r="BB2482" s="69"/>
      <c r="BC2482" s="69"/>
    </row>
    <row r="2483">
      <c r="A2483" s="68"/>
      <c r="B2483" s="68"/>
      <c r="C2483" s="68"/>
      <c r="D2483" s="68"/>
      <c r="E2483" s="68"/>
      <c r="F2483" s="68"/>
      <c r="G2483" s="68"/>
      <c r="H2483" s="68"/>
      <c r="I2483" s="69"/>
      <c r="J2483" s="69"/>
      <c r="K2483" s="71"/>
      <c r="L2483" s="69"/>
      <c r="M2483" s="69"/>
      <c r="N2483" s="72"/>
      <c r="O2483" s="69"/>
      <c r="P2483" s="69"/>
      <c r="Q2483" s="69"/>
      <c r="R2483" s="69"/>
      <c r="S2483" s="69"/>
      <c r="T2483" s="69"/>
      <c r="U2483" s="69"/>
      <c r="V2483" s="69"/>
      <c r="W2483" s="69"/>
      <c r="X2483" s="69"/>
      <c r="Y2483" s="69"/>
      <c r="Z2483" s="69"/>
      <c r="AA2483" s="69"/>
      <c r="AB2483" s="69"/>
      <c r="AC2483" s="69"/>
      <c r="AD2483" s="69"/>
      <c r="AE2483" s="69"/>
      <c r="AF2483" s="69"/>
      <c r="AG2483" s="69"/>
      <c r="AH2483" s="69"/>
      <c r="AI2483" s="69"/>
      <c r="AJ2483" s="69"/>
      <c r="AK2483" s="69"/>
      <c r="AL2483" s="69"/>
      <c r="AM2483" s="69"/>
      <c r="AN2483" s="69"/>
      <c r="AO2483" s="69"/>
      <c r="AP2483" s="69"/>
      <c r="AQ2483" s="69"/>
      <c r="AR2483" s="69"/>
      <c r="AS2483" s="69"/>
      <c r="AT2483" s="69"/>
      <c r="AU2483" s="69"/>
      <c r="AV2483" s="69"/>
      <c r="AW2483" s="69"/>
      <c r="AX2483" s="69"/>
      <c r="AY2483" s="69"/>
      <c r="AZ2483" s="69"/>
      <c r="BA2483" s="69"/>
      <c r="BB2483" s="69"/>
      <c r="BC2483" s="69"/>
    </row>
    <row r="2484">
      <c r="A2484" s="68"/>
      <c r="B2484" s="68"/>
      <c r="C2484" s="68"/>
      <c r="D2484" s="68"/>
      <c r="E2484" s="68"/>
      <c r="F2484" s="68"/>
      <c r="G2484" s="68"/>
      <c r="H2484" s="68"/>
      <c r="I2484" s="69"/>
      <c r="J2484" s="69"/>
      <c r="K2484" s="71"/>
      <c r="L2484" s="69"/>
      <c r="M2484" s="69"/>
      <c r="N2484" s="72"/>
      <c r="O2484" s="69"/>
      <c r="P2484" s="69"/>
      <c r="Q2484" s="69"/>
      <c r="R2484" s="69"/>
      <c r="S2484" s="69"/>
      <c r="T2484" s="69"/>
      <c r="U2484" s="69"/>
      <c r="V2484" s="69"/>
      <c r="W2484" s="69"/>
      <c r="X2484" s="69"/>
      <c r="Y2484" s="69"/>
      <c r="Z2484" s="69"/>
      <c r="AA2484" s="69"/>
      <c r="AB2484" s="69"/>
      <c r="AC2484" s="69"/>
      <c r="AD2484" s="69"/>
      <c r="AE2484" s="69"/>
      <c r="AF2484" s="69"/>
      <c r="AG2484" s="69"/>
      <c r="AH2484" s="69"/>
      <c r="AI2484" s="69"/>
      <c r="AJ2484" s="69"/>
      <c r="AK2484" s="69"/>
      <c r="AL2484" s="69"/>
      <c r="AM2484" s="69"/>
      <c r="AN2484" s="69"/>
      <c r="AO2484" s="69"/>
      <c r="AP2484" s="69"/>
      <c r="AQ2484" s="69"/>
      <c r="AR2484" s="69"/>
      <c r="AS2484" s="69"/>
      <c r="AT2484" s="69"/>
      <c r="AU2484" s="69"/>
      <c r="AV2484" s="69"/>
      <c r="AW2484" s="69"/>
      <c r="AX2484" s="69"/>
      <c r="AY2484" s="69"/>
      <c r="AZ2484" s="69"/>
      <c r="BA2484" s="69"/>
      <c r="BB2484" s="69"/>
      <c r="BC2484" s="69"/>
    </row>
    <row r="2485">
      <c r="A2485" s="68"/>
      <c r="B2485" s="68"/>
      <c r="C2485" s="68"/>
      <c r="D2485" s="68"/>
      <c r="E2485" s="68"/>
      <c r="F2485" s="68"/>
      <c r="G2485" s="68"/>
      <c r="H2485" s="68"/>
      <c r="I2485" s="69"/>
      <c r="J2485" s="69"/>
      <c r="K2485" s="71"/>
      <c r="L2485" s="69"/>
      <c r="M2485" s="69"/>
      <c r="N2485" s="72"/>
      <c r="O2485" s="69"/>
      <c r="P2485" s="69"/>
      <c r="Q2485" s="69"/>
      <c r="R2485" s="69"/>
      <c r="S2485" s="69"/>
      <c r="T2485" s="69"/>
      <c r="U2485" s="69"/>
      <c r="V2485" s="69"/>
      <c r="W2485" s="69"/>
      <c r="X2485" s="69"/>
      <c r="Y2485" s="69"/>
      <c r="Z2485" s="69"/>
      <c r="AA2485" s="69"/>
      <c r="AB2485" s="69"/>
      <c r="AC2485" s="69"/>
      <c r="AD2485" s="69"/>
      <c r="AE2485" s="69"/>
      <c r="AF2485" s="69"/>
      <c r="AG2485" s="69"/>
      <c r="AH2485" s="69"/>
      <c r="AI2485" s="69"/>
      <c r="AJ2485" s="69"/>
      <c r="AK2485" s="69"/>
      <c r="AL2485" s="69"/>
      <c r="AM2485" s="69"/>
      <c r="AN2485" s="69"/>
      <c r="AO2485" s="69"/>
      <c r="AP2485" s="69"/>
      <c r="AQ2485" s="69"/>
      <c r="AR2485" s="69"/>
      <c r="AS2485" s="69"/>
      <c r="AT2485" s="69"/>
      <c r="AU2485" s="69"/>
      <c r="AV2485" s="69"/>
      <c r="AW2485" s="69"/>
      <c r="AX2485" s="69"/>
      <c r="AY2485" s="69"/>
      <c r="AZ2485" s="69"/>
      <c r="BA2485" s="69"/>
      <c r="BB2485" s="69"/>
      <c r="BC2485" s="69"/>
    </row>
    <row r="2486">
      <c r="A2486" s="68"/>
      <c r="B2486" s="68"/>
      <c r="C2486" s="68"/>
      <c r="D2486" s="68"/>
      <c r="E2486" s="68"/>
      <c r="F2486" s="68"/>
      <c r="G2486" s="68"/>
      <c r="H2486" s="68"/>
      <c r="I2486" s="69"/>
      <c r="J2486" s="69"/>
      <c r="K2486" s="71"/>
      <c r="L2486" s="69"/>
      <c r="M2486" s="69"/>
      <c r="N2486" s="72"/>
      <c r="O2486" s="69"/>
      <c r="P2486" s="69"/>
      <c r="Q2486" s="69"/>
      <c r="R2486" s="69"/>
      <c r="S2486" s="69"/>
      <c r="T2486" s="69"/>
      <c r="U2486" s="69"/>
      <c r="V2486" s="69"/>
      <c r="W2486" s="69"/>
      <c r="X2486" s="69"/>
      <c r="Y2486" s="69"/>
      <c r="Z2486" s="69"/>
      <c r="AA2486" s="69"/>
      <c r="AB2486" s="69"/>
      <c r="AC2486" s="69"/>
      <c r="AD2486" s="69"/>
      <c r="AE2486" s="69"/>
      <c r="AF2486" s="69"/>
      <c r="AG2486" s="69"/>
      <c r="AH2486" s="69"/>
      <c r="AI2486" s="69"/>
      <c r="AJ2486" s="69"/>
      <c r="AK2486" s="69"/>
      <c r="AL2486" s="69"/>
      <c r="AM2486" s="69"/>
      <c r="AN2486" s="69"/>
      <c r="AO2486" s="69"/>
      <c r="AP2486" s="69"/>
      <c r="AQ2486" s="69"/>
      <c r="AR2486" s="69"/>
      <c r="AS2486" s="69"/>
      <c r="AT2486" s="69"/>
      <c r="AU2486" s="69"/>
      <c r="AV2486" s="69"/>
      <c r="AW2486" s="69"/>
      <c r="AX2486" s="69"/>
      <c r="AY2486" s="69"/>
      <c r="AZ2486" s="69"/>
      <c r="BA2486" s="69"/>
      <c r="BB2486" s="69"/>
      <c r="BC2486" s="69"/>
    </row>
    <row r="2487">
      <c r="A2487" s="68"/>
      <c r="B2487" s="68"/>
      <c r="C2487" s="68"/>
      <c r="D2487" s="68"/>
      <c r="E2487" s="68"/>
      <c r="F2487" s="68"/>
      <c r="G2487" s="68"/>
      <c r="H2487" s="68"/>
      <c r="I2487" s="69"/>
      <c r="J2487" s="69"/>
      <c r="K2487" s="71"/>
      <c r="L2487" s="69"/>
      <c r="M2487" s="69"/>
      <c r="N2487" s="72"/>
      <c r="O2487" s="69"/>
      <c r="P2487" s="69"/>
      <c r="Q2487" s="69"/>
      <c r="R2487" s="69"/>
      <c r="S2487" s="69"/>
      <c r="T2487" s="69"/>
      <c r="U2487" s="69"/>
      <c r="V2487" s="69"/>
      <c r="W2487" s="69"/>
      <c r="X2487" s="69"/>
      <c r="Y2487" s="69"/>
      <c r="Z2487" s="69"/>
      <c r="AA2487" s="69"/>
      <c r="AB2487" s="69"/>
      <c r="AC2487" s="69"/>
      <c r="AD2487" s="69"/>
      <c r="AE2487" s="69"/>
      <c r="AF2487" s="69"/>
      <c r="AG2487" s="69"/>
      <c r="AH2487" s="69"/>
      <c r="AI2487" s="69"/>
      <c r="AJ2487" s="69"/>
      <c r="AK2487" s="69"/>
      <c r="AL2487" s="69"/>
      <c r="AM2487" s="69"/>
      <c r="AN2487" s="69"/>
      <c r="AO2487" s="69"/>
      <c r="AP2487" s="69"/>
      <c r="AQ2487" s="69"/>
      <c r="AR2487" s="69"/>
      <c r="AS2487" s="69"/>
      <c r="AT2487" s="69"/>
      <c r="AU2487" s="69"/>
      <c r="AV2487" s="69"/>
      <c r="AW2487" s="69"/>
      <c r="AX2487" s="69"/>
      <c r="AY2487" s="69"/>
      <c r="AZ2487" s="69"/>
      <c r="BA2487" s="69"/>
      <c r="BB2487" s="69"/>
      <c r="BC2487" s="69"/>
    </row>
    <row r="2488">
      <c r="A2488" s="68"/>
      <c r="B2488" s="68"/>
      <c r="C2488" s="68"/>
      <c r="D2488" s="68"/>
      <c r="E2488" s="68"/>
      <c r="F2488" s="68"/>
      <c r="G2488" s="68"/>
      <c r="H2488" s="68"/>
      <c r="I2488" s="69"/>
      <c r="J2488" s="69"/>
      <c r="K2488" s="71"/>
      <c r="L2488" s="69"/>
      <c r="M2488" s="69"/>
      <c r="N2488" s="72"/>
      <c r="O2488" s="69"/>
      <c r="P2488" s="69"/>
      <c r="Q2488" s="69"/>
      <c r="R2488" s="69"/>
      <c r="S2488" s="69"/>
      <c r="T2488" s="69"/>
      <c r="U2488" s="69"/>
      <c r="V2488" s="69"/>
      <c r="W2488" s="69"/>
      <c r="X2488" s="69"/>
      <c r="Y2488" s="69"/>
      <c r="Z2488" s="69"/>
      <c r="AA2488" s="69"/>
      <c r="AB2488" s="69"/>
      <c r="AC2488" s="69"/>
      <c r="AD2488" s="69"/>
      <c r="AE2488" s="69"/>
      <c r="AF2488" s="69"/>
      <c r="AG2488" s="69"/>
      <c r="AH2488" s="69"/>
      <c r="AI2488" s="69"/>
      <c r="AJ2488" s="69"/>
      <c r="AK2488" s="69"/>
      <c r="AL2488" s="69"/>
      <c r="AM2488" s="69"/>
      <c r="AN2488" s="69"/>
      <c r="AO2488" s="69"/>
      <c r="AP2488" s="69"/>
      <c r="AQ2488" s="69"/>
      <c r="AR2488" s="69"/>
      <c r="AS2488" s="69"/>
      <c r="AT2488" s="69"/>
      <c r="AU2488" s="69"/>
      <c r="AV2488" s="69"/>
      <c r="AW2488" s="69"/>
      <c r="AX2488" s="69"/>
      <c r="AY2488" s="69"/>
      <c r="AZ2488" s="69"/>
      <c r="BA2488" s="69"/>
      <c r="BB2488" s="69"/>
      <c r="BC2488" s="69"/>
    </row>
    <row r="2489">
      <c r="A2489" s="68"/>
      <c r="B2489" s="68"/>
      <c r="C2489" s="68"/>
      <c r="D2489" s="68"/>
      <c r="E2489" s="68"/>
      <c r="F2489" s="68"/>
      <c r="G2489" s="68"/>
      <c r="H2489" s="68"/>
      <c r="I2489" s="69"/>
      <c r="J2489" s="69"/>
      <c r="K2489" s="71"/>
      <c r="L2489" s="69"/>
      <c r="M2489" s="69"/>
      <c r="N2489" s="72"/>
      <c r="O2489" s="69"/>
      <c r="P2489" s="69"/>
      <c r="Q2489" s="69"/>
      <c r="R2489" s="69"/>
      <c r="S2489" s="69"/>
      <c r="T2489" s="69"/>
      <c r="U2489" s="69"/>
      <c r="V2489" s="69"/>
      <c r="W2489" s="69"/>
      <c r="X2489" s="69"/>
      <c r="Y2489" s="69"/>
      <c r="Z2489" s="69"/>
      <c r="AA2489" s="69"/>
      <c r="AB2489" s="69"/>
      <c r="AC2489" s="69"/>
      <c r="AD2489" s="69"/>
      <c r="AE2489" s="69"/>
      <c r="AF2489" s="69"/>
      <c r="AG2489" s="69"/>
      <c r="AH2489" s="69"/>
      <c r="AI2489" s="69"/>
      <c r="AJ2489" s="69"/>
      <c r="AK2489" s="69"/>
      <c r="AL2489" s="69"/>
      <c r="AM2489" s="69"/>
      <c r="AN2489" s="69"/>
      <c r="AO2489" s="69"/>
      <c r="AP2489" s="69"/>
      <c r="AQ2489" s="69"/>
      <c r="AR2489" s="69"/>
      <c r="AS2489" s="69"/>
      <c r="AT2489" s="69"/>
      <c r="AU2489" s="69"/>
      <c r="AV2489" s="69"/>
      <c r="AW2489" s="69"/>
      <c r="AX2489" s="69"/>
      <c r="AY2489" s="69"/>
      <c r="AZ2489" s="69"/>
      <c r="BA2489" s="69"/>
      <c r="BB2489" s="69"/>
      <c r="BC2489" s="69"/>
    </row>
    <row r="2490">
      <c r="A2490" s="68"/>
      <c r="B2490" s="68"/>
      <c r="C2490" s="68"/>
      <c r="D2490" s="68"/>
      <c r="E2490" s="68"/>
      <c r="F2490" s="68"/>
      <c r="G2490" s="68"/>
      <c r="H2490" s="68"/>
      <c r="I2490" s="69"/>
      <c r="J2490" s="69"/>
      <c r="K2490" s="71"/>
      <c r="L2490" s="69"/>
      <c r="M2490" s="69"/>
      <c r="N2490" s="72"/>
      <c r="O2490" s="69"/>
      <c r="P2490" s="69"/>
      <c r="Q2490" s="69"/>
      <c r="R2490" s="69"/>
      <c r="S2490" s="69"/>
      <c r="T2490" s="69"/>
      <c r="U2490" s="69"/>
      <c r="V2490" s="69"/>
      <c r="W2490" s="69"/>
      <c r="X2490" s="69"/>
      <c r="Y2490" s="69"/>
      <c r="Z2490" s="69"/>
      <c r="AA2490" s="69"/>
      <c r="AB2490" s="69"/>
      <c r="AC2490" s="69"/>
      <c r="AD2490" s="69"/>
      <c r="AE2490" s="69"/>
      <c r="AF2490" s="69"/>
      <c r="AG2490" s="69"/>
      <c r="AH2490" s="69"/>
      <c r="AI2490" s="69"/>
      <c r="AJ2490" s="69"/>
      <c r="AK2490" s="69"/>
      <c r="AL2490" s="69"/>
      <c r="AM2490" s="69"/>
      <c r="AN2490" s="69"/>
      <c r="AO2490" s="69"/>
      <c r="AP2490" s="69"/>
      <c r="AQ2490" s="69"/>
      <c r="AR2490" s="69"/>
      <c r="AS2490" s="69"/>
      <c r="AT2490" s="69"/>
      <c r="AU2490" s="69"/>
      <c r="AV2490" s="69"/>
      <c r="AW2490" s="69"/>
      <c r="AX2490" s="69"/>
      <c r="AY2490" s="69"/>
      <c r="AZ2490" s="69"/>
      <c r="BA2490" s="69"/>
      <c r="BB2490" s="69"/>
      <c r="BC2490" s="69"/>
    </row>
    <row r="2491">
      <c r="A2491" s="68"/>
      <c r="B2491" s="68"/>
      <c r="C2491" s="68"/>
      <c r="D2491" s="68"/>
      <c r="E2491" s="68"/>
      <c r="F2491" s="68"/>
      <c r="G2491" s="68"/>
      <c r="H2491" s="68"/>
      <c r="I2491" s="69"/>
      <c r="J2491" s="69"/>
      <c r="K2491" s="71"/>
      <c r="L2491" s="69"/>
      <c r="M2491" s="69"/>
      <c r="N2491" s="72"/>
      <c r="O2491" s="69"/>
      <c r="P2491" s="69"/>
      <c r="Q2491" s="69"/>
      <c r="R2491" s="69"/>
      <c r="S2491" s="69"/>
      <c r="T2491" s="69"/>
      <c r="U2491" s="69"/>
      <c r="V2491" s="69"/>
      <c r="W2491" s="69"/>
      <c r="X2491" s="69"/>
      <c r="Y2491" s="69"/>
      <c r="Z2491" s="69"/>
      <c r="AA2491" s="69"/>
      <c r="AB2491" s="69"/>
      <c r="AC2491" s="69"/>
      <c r="AD2491" s="69"/>
      <c r="AE2491" s="69"/>
      <c r="AF2491" s="69"/>
      <c r="AG2491" s="69"/>
      <c r="AH2491" s="69"/>
      <c r="AI2491" s="69"/>
      <c r="AJ2491" s="69"/>
      <c r="AK2491" s="69"/>
      <c r="AL2491" s="69"/>
      <c r="AM2491" s="69"/>
      <c r="AN2491" s="69"/>
      <c r="AO2491" s="69"/>
      <c r="AP2491" s="69"/>
      <c r="AQ2491" s="69"/>
      <c r="AR2491" s="69"/>
      <c r="AS2491" s="69"/>
      <c r="AT2491" s="69"/>
      <c r="AU2491" s="69"/>
      <c r="AV2491" s="69"/>
      <c r="AW2491" s="69"/>
      <c r="AX2491" s="69"/>
      <c r="AY2491" s="69"/>
      <c r="AZ2491" s="69"/>
      <c r="BA2491" s="69"/>
      <c r="BB2491" s="69"/>
      <c r="BC2491" s="69"/>
    </row>
    <row r="2492">
      <c r="A2492" s="68"/>
      <c r="B2492" s="68"/>
      <c r="C2492" s="68"/>
      <c r="D2492" s="68"/>
      <c r="E2492" s="68"/>
      <c r="F2492" s="68"/>
      <c r="G2492" s="68"/>
      <c r="H2492" s="68"/>
      <c r="I2492" s="69"/>
      <c r="J2492" s="69"/>
      <c r="K2492" s="71"/>
      <c r="L2492" s="69"/>
      <c r="M2492" s="69"/>
      <c r="N2492" s="72"/>
      <c r="O2492" s="69"/>
      <c r="P2492" s="69"/>
      <c r="Q2492" s="69"/>
      <c r="R2492" s="69"/>
      <c r="S2492" s="69"/>
      <c r="T2492" s="69"/>
      <c r="U2492" s="69"/>
      <c r="V2492" s="69"/>
      <c r="W2492" s="69"/>
      <c r="X2492" s="69"/>
      <c r="Y2492" s="69"/>
      <c r="Z2492" s="69"/>
      <c r="AA2492" s="69"/>
      <c r="AB2492" s="69"/>
      <c r="AC2492" s="69"/>
      <c r="AD2492" s="69"/>
      <c r="AE2492" s="69"/>
      <c r="AF2492" s="69"/>
      <c r="AG2492" s="69"/>
      <c r="AH2492" s="69"/>
      <c r="AI2492" s="69"/>
      <c r="AJ2492" s="69"/>
      <c r="AK2492" s="69"/>
      <c r="AL2492" s="69"/>
      <c r="AM2492" s="69"/>
      <c r="AN2492" s="69"/>
      <c r="AO2492" s="69"/>
      <c r="AP2492" s="69"/>
      <c r="AQ2492" s="69"/>
      <c r="AR2492" s="69"/>
      <c r="AS2492" s="69"/>
      <c r="AT2492" s="69"/>
      <c r="AU2492" s="69"/>
      <c r="AV2492" s="69"/>
      <c r="AW2492" s="69"/>
      <c r="AX2492" s="69"/>
      <c r="AY2492" s="69"/>
      <c r="AZ2492" s="69"/>
      <c r="BA2492" s="69"/>
      <c r="BB2492" s="69"/>
      <c r="BC2492" s="69"/>
    </row>
    <row r="2493">
      <c r="A2493" s="68"/>
      <c r="B2493" s="68"/>
      <c r="C2493" s="68"/>
      <c r="D2493" s="68"/>
      <c r="E2493" s="68"/>
      <c r="F2493" s="68"/>
      <c r="G2493" s="68"/>
      <c r="H2493" s="68"/>
      <c r="I2493" s="69"/>
      <c r="J2493" s="69"/>
      <c r="K2493" s="71"/>
      <c r="L2493" s="69"/>
      <c r="M2493" s="69"/>
      <c r="N2493" s="72"/>
      <c r="O2493" s="69"/>
      <c r="P2493" s="69"/>
      <c r="Q2493" s="69"/>
      <c r="R2493" s="69"/>
      <c r="S2493" s="69"/>
      <c r="T2493" s="69"/>
      <c r="U2493" s="69"/>
      <c r="V2493" s="69"/>
      <c r="W2493" s="69"/>
      <c r="X2493" s="69"/>
      <c r="Y2493" s="69"/>
      <c r="Z2493" s="69"/>
      <c r="AA2493" s="69"/>
      <c r="AB2493" s="69"/>
      <c r="AC2493" s="69"/>
      <c r="AD2493" s="69"/>
      <c r="AE2493" s="69"/>
      <c r="AF2493" s="69"/>
      <c r="AG2493" s="69"/>
      <c r="AH2493" s="69"/>
      <c r="AI2493" s="69"/>
      <c r="AJ2493" s="69"/>
      <c r="AK2493" s="69"/>
      <c r="AL2493" s="69"/>
      <c r="AM2493" s="69"/>
      <c r="AN2493" s="69"/>
      <c r="AO2493" s="69"/>
      <c r="AP2493" s="69"/>
      <c r="AQ2493" s="69"/>
      <c r="AR2493" s="69"/>
      <c r="AS2493" s="69"/>
      <c r="AT2493" s="69"/>
      <c r="AU2493" s="69"/>
      <c r="AV2493" s="69"/>
      <c r="AW2493" s="69"/>
      <c r="AX2493" s="69"/>
      <c r="AY2493" s="69"/>
      <c r="AZ2493" s="69"/>
      <c r="BA2493" s="69"/>
      <c r="BB2493" s="69"/>
      <c r="BC2493" s="69"/>
    </row>
    <row r="2494">
      <c r="A2494" s="68"/>
      <c r="B2494" s="68"/>
      <c r="C2494" s="68"/>
      <c r="D2494" s="68"/>
      <c r="E2494" s="68"/>
      <c r="F2494" s="68"/>
      <c r="G2494" s="68"/>
      <c r="H2494" s="68"/>
      <c r="I2494" s="69"/>
      <c r="J2494" s="69"/>
      <c r="K2494" s="71"/>
      <c r="L2494" s="69"/>
      <c r="M2494" s="69"/>
      <c r="N2494" s="72"/>
      <c r="O2494" s="69"/>
      <c r="P2494" s="69"/>
      <c r="Q2494" s="69"/>
      <c r="R2494" s="69"/>
      <c r="S2494" s="69"/>
      <c r="T2494" s="69"/>
      <c r="U2494" s="69"/>
      <c r="V2494" s="69"/>
      <c r="W2494" s="69"/>
      <c r="X2494" s="69"/>
      <c r="Y2494" s="69"/>
      <c r="Z2494" s="69"/>
      <c r="AA2494" s="69"/>
      <c r="AB2494" s="69"/>
      <c r="AC2494" s="69"/>
      <c r="AD2494" s="69"/>
      <c r="AE2494" s="69"/>
      <c r="AF2494" s="69"/>
      <c r="AG2494" s="69"/>
      <c r="AH2494" s="69"/>
      <c r="AI2494" s="69"/>
      <c r="AJ2494" s="69"/>
      <c r="AK2494" s="69"/>
      <c r="AL2494" s="69"/>
      <c r="AM2494" s="69"/>
      <c r="AN2494" s="69"/>
      <c r="AO2494" s="69"/>
      <c r="AP2494" s="69"/>
      <c r="AQ2494" s="69"/>
      <c r="AR2494" s="69"/>
      <c r="AS2494" s="69"/>
      <c r="AT2494" s="69"/>
      <c r="AU2494" s="69"/>
      <c r="AV2494" s="69"/>
      <c r="AW2494" s="69"/>
      <c r="AX2494" s="69"/>
      <c r="AY2494" s="69"/>
      <c r="AZ2494" s="69"/>
      <c r="BA2494" s="69"/>
      <c r="BB2494" s="69"/>
      <c r="BC2494" s="69"/>
    </row>
    <row r="2495">
      <c r="A2495" s="68"/>
      <c r="B2495" s="68"/>
      <c r="C2495" s="68"/>
      <c r="D2495" s="68"/>
      <c r="E2495" s="68"/>
      <c r="F2495" s="68"/>
      <c r="G2495" s="68"/>
      <c r="H2495" s="68"/>
      <c r="I2495" s="69"/>
      <c r="J2495" s="69"/>
      <c r="K2495" s="71"/>
      <c r="L2495" s="69"/>
      <c r="M2495" s="69"/>
      <c r="N2495" s="72"/>
      <c r="O2495" s="69"/>
      <c r="P2495" s="69"/>
      <c r="Q2495" s="69"/>
      <c r="R2495" s="69"/>
      <c r="S2495" s="69"/>
      <c r="T2495" s="69"/>
      <c r="U2495" s="69"/>
      <c r="V2495" s="69"/>
      <c r="W2495" s="69"/>
      <c r="X2495" s="69"/>
      <c r="Y2495" s="69"/>
      <c r="Z2495" s="69"/>
      <c r="AA2495" s="69"/>
      <c r="AB2495" s="69"/>
      <c r="AC2495" s="69"/>
      <c r="AD2495" s="69"/>
      <c r="AE2495" s="69"/>
      <c r="AF2495" s="69"/>
      <c r="AG2495" s="69"/>
      <c r="AH2495" s="69"/>
      <c r="AI2495" s="69"/>
      <c r="AJ2495" s="69"/>
      <c r="AK2495" s="69"/>
      <c r="AL2495" s="69"/>
      <c r="AM2495" s="69"/>
      <c r="AN2495" s="69"/>
      <c r="AO2495" s="69"/>
      <c r="AP2495" s="69"/>
      <c r="AQ2495" s="69"/>
      <c r="AR2495" s="69"/>
      <c r="AS2495" s="69"/>
      <c r="AT2495" s="69"/>
      <c r="AU2495" s="69"/>
      <c r="AV2495" s="69"/>
      <c r="AW2495" s="69"/>
      <c r="AX2495" s="69"/>
      <c r="AY2495" s="69"/>
      <c r="AZ2495" s="69"/>
      <c r="BA2495" s="69"/>
      <c r="BB2495" s="69"/>
      <c r="BC2495" s="69"/>
    </row>
    <row r="2496">
      <c r="A2496" s="68"/>
      <c r="B2496" s="68"/>
      <c r="C2496" s="68"/>
      <c r="D2496" s="68"/>
      <c r="E2496" s="68"/>
      <c r="F2496" s="68"/>
      <c r="G2496" s="68"/>
      <c r="H2496" s="68"/>
      <c r="I2496" s="69"/>
      <c r="J2496" s="69"/>
      <c r="K2496" s="71"/>
      <c r="L2496" s="69"/>
      <c r="M2496" s="69"/>
      <c r="N2496" s="72"/>
      <c r="O2496" s="69"/>
      <c r="P2496" s="69"/>
      <c r="Q2496" s="69"/>
      <c r="R2496" s="69"/>
      <c r="S2496" s="69"/>
      <c r="T2496" s="69"/>
      <c r="U2496" s="69"/>
      <c r="V2496" s="69"/>
      <c r="W2496" s="69"/>
      <c r="X2496" s="69"/>
      <c r="Y2496" s="69"/>
      <c r="Z2496" s="69"/>
      <c r="AA2496" s="69"/>
      <c r="AB2496" s="69"/>
      <c r="AC2496" s="69"/>
      <c r="AD2496" s="69"/>
      <c r="AE2496" s="69"/>
      <c r="AF2496" s="69"/>
      <c r="AG2496" s="69"/>
      <c r="AH2496" s="69"/>
      <c r="AI2496" s="69"/>
      <c r="AJ2496" s="69"/>
      <c r="AK2496" s="69"/>
      <c r="AL2496" s="69"/>
      <c r="AM2496" s="69"/>
      <c r="AN2496" s="69"/>
      <c r="AO2496" s="69"/>
      <c r="AP2496" s="69"/>
      <c r="AQ2496" s="69"/>
      <c r="AR2496" s="69"/>
      <c r="AS2496" s="69"/>
      <c r="AT2496" s="69"/>
      <c r="AU2496" s="69"/>
      <c r="AV2496" s="69"/>
      <c r="AW2496" s="69"/>
      <c r="AX2496" s="69"/>
      <c r="AY2496" s="69"/>
      <c r="AZ2496" s="69"/>
      <c r="BA2496" s="69"/>
      <c r="BB2496" s="69"/>
      <c r="BC2496" s="69"/>
    </row>
    <row r="2497">
      <c r="A2497" s="68"/>
      <c r="B2497" s="68"/>
      <c r="C2497" s="68"/>
      <c r="D2497" s="68"/>
      <c r="E2497" s="68"/>
      <c r="F2497" s="68"/>
      <c r="G2497" s="68"/>
      <c r="H2497" s="68"/>
      <c r="I2497" s="69"/>
      <c r="J2497" s="69"/>
      <c r="K2497" s="71"/>
      <c r="L2497" s="69"/>
      <c r="M2497" s="69"/>
      <c r="N2497" s="72"/>
      <c r="O2497" s="69"/>
      <c r="P2497" s="69"/>
      <c r="Q2497" s="69"/>
      <c r="R2497" s="69"/>
      <c r="S2497" s="69"/>
      <c r="T2497" s="69"/>
      <c r="U2497" s="69"/>
      <c r="V2497" s="69"/>
      <c r="W2497" s="69"/>
      <c r="X2497" s="69"/>
      <c r="Y2497" s="69"/>
      <c r="Z2497" s="69"/>
      <c r="AA2497" s="69"/>
      <c r="AB2497" s="69"/>
      <c r="AC2497" s="69"/>
      <c r="AD2497" s="69"/>
      <c r="AE2497" s="69"/>
      <c r="AF2497" s="69"/>
      <c r="AG2497" s="69"/>
      <c r="AH2497" s="69"/>
      <c r="AI2497" s="69"/>
      <c r="AJ2497" s="69"/>
      <c r="AK2497" s="69"/>
      <c r="AL2497" s="69"/>
      <c r="AM2497" s="69"/>
      <c r="AN2497" s="69"/>
      <c r="AO2497" s="69"/>
      <c r="AP2497" s="69"/>
      <c r="AQ2497" s="69"/>
      <c r="AR2497" s="69"/>
      <c r="AS2497" s="69"/>
      <c r="AT2497" s="69"/>
      <c r="AU2497" s="69"/>
      <c r="AV2497" s="69"/>
      <c r="AW2497" s="69"/>
      <c r="AX2497" s="69"/>
      <c r="AY2497" s="69"/>
      <c r="AZ2497" s="69"/>
      <c r="BA2497" s="69"/>
      <c r="BB2497" s="69"/>
      <c r="BC2497" s="69"/>
    </row>
    <row r="2498">
      <c r="A2498" s="68"/>
      <c r="B2498" s="68"/>
      <c r="C2498" s="68"/>
      <c r="D2498" s="68"/>
      <c r="E2498" s="68"/>
      <c r="F2498" s="68"/>
      <c r="G2498" s="68"/>
      <c r="H2498" s="68"/>
      <c r="I2498" s="69"/>
      <c r="J2498" s="69"/>
      <c r="K2498" s="71"/>
      <c r="L2498" s="69"/>
      <c r="M2498" s="69"/>
      <c r="N2498" s="72"/>
      <c r="O2498" s="69"/>
      <c r="P2498" s="69"/>
      <c r="Q2498" s="69"/>
      <c r="R2498" s="69"/>
      <c r="S2498" s="69"/>
      <c r="T2498" s="69"/>
      <c r="U2498" s="69"/>
      <c r="V2498" s="69"/>
      <c r="W2498" s="69"/>
      <c r="X2498" s="69"/>
      <c r="Y2498" s="69"/>
      <c r="Z2498" s="69"/>
      <c r="AA2498" s="69"/>
      <c r="AB2498" s="69"/>
      <c r="AC2498" s="69"/>
      <c r="AD2498" s="69"/>
      <c r="AE2498" s="69"/>
      <c r="AF2498" s="69"/>
      <c r="AG2498" s="69"/>
      <c r="AH2498" s="69"/>
      <c r="AI2498" s="69"/>
      <c r="AJ2498" s="69"/>
      <c r="AK2498" s="69"/>
      <c r="AL2498" s="69"/>
      <c r="AM2498" s="69"/>
      <c r="AN2498" s="69"/>
      <c r="AO2498" s="69"/>
      <c r="AP2498" s="69"/>
      <c r="AQ2498" s="69"/>
      <c r="AR2498" s="69"/>
      <c r="AS2498" s="69"/>
      <c r="AT2498" s="69"/>
      <c r="AU2498" s="69"/>
      <c r="AV2498" s="69"/>
      <c r="AW2498" s="69"/>
      <c r="AX2498" s="69"/>
      <c r="AY2498" s="69"/>
      <c r="AZ2498" s="69"/>
      <c r="BA2498" s="69"/>
      <c r="BB2498" s="69"/>
      <c r="BC2498" s="69"/>
    </row>
    <row r="2499">
      <c r="A2499" s="68"/>
      <c r="B2499" s="68"/>
      <c r="C2499" s="68"/>
      <c r="D2499" s="68"/>
      <c r="E2499" s="68"/>
      <c r="F2499" s="68"/>
      <c r="G2499" s="68"/>
      <c r="H2499" s="68"/>
      <c r="I2499" s="69"/>
      <c r="J2499" s="69"/>
      <c r="K2499" s="71"/>
      <c r="L2499" s="69"/>
      <c r="M2499" s="69"/>
      <c r="N2499" s="72"/>
      <c r="O2499" s="69"/>
      <c r="P2499" s="69"/>
      <c r="Q2499" s="69"/>
      <c r="R2499" s="69"/>
      <c r="S2499" s="69"/>
      <c r="T2499" s="69"/>
      <c r="U2499" s="69"/>
      <c r="V2499" s="69"/>
      <c r="W2499" s="69"/>
      <c r="X2499" s="69"/>
      <c r="Y2499" s="69"/>
      <c r="Z2499" s="69"/>
      <c r="AA2499" s="69"/>
      <c r="AB2499" s="69"/>
      <c r="AC2499" s="69"/>
      <c r="AD2499" s="69"/>
      <c r="AE2499" s="69"/>
      <c r="AF2499" s="69"/>
      <c r="AG2499" s="69"/>
      <c r="AH2499" s="69"/>
      <c r="AI2499" s="69"/>
      <c r="AJ2499" s="69"/>
      <c r="AK2499" s="69"/>
      <c r="AL2499" s="69"/>
      <c r="AM2499" s="69"/>
      <c r="AN2499" s="69"/>
      <c r="AO2499" s="69"/>
      <c r="AP2499" s="69"/>
      <c r="AQ2499" s="69"/>
      <c r="AR2499" s="69"/>
      <c r="AS2499" s="69"/>
      <c r="AT2499" s="69"/>
      <c r="AU2499" s="69"/>
      <c r="AV2499" s="69"/>
      <c r="AW2499" s="69"/>
      <c r="AX2499" s="69"/>
      <c r="AY2499" s="69"/>
      <c r="AZ2499" s="69"/>
      <c r="BA2499" s="69"/>
      <c r="BB2499" s="69"/>
      <c r="BC2499" s="69"/>
    </row>
    <row r="2500">
      <c r="A2500" s="68"/>
      <c r="B2500" s="68"/>
      <c r="C2500" s="68"/>
      <c r="D2500" s="68"/>
      <c r="E2500" s="68"/>
      <c r="F2500" s="68"/>
      <c r="G2500" s="68"/>
      <c r="H2500" s="68"/>
      <c r="I2500" s="69"/>
      <c r="J2500" s="69"/>
      <c r="K2500" s="71"/>
      <c r="L2500" s="69"/>
      <c r="M2500" s="69"/>
      <c r="N2500" s="72"/>
      <c r="O2500" s="69"/>
      <c r="P2500" s="69"/>
      <c r="Q2500" s="69"/>
      <c r="R2500" s="69"/>
      <c r="S2500" s="69"/>
      <c r="T2500" s="69"/>
      <c r="U2500" s="69"/>
      <c r="V2500" s="69"/>
      <c r="W2500" s="69"/>
      <c r="X2500" s="69"/>
      <c r="Y2500" s="69"/>
      <c r="Z2500" s="69"/>
      <c r="AA2500" s="69"/>
      <c r="AB2500" s="69"/>
      <c r="AC2500" s="69"/>
      <c r="AD2500" s="69"/>
      <c r="AE2500" s="69"/>
      <c r="AF2500" s="69"/>
      <c r="AG2500" s="69"/>
      <c r="AH2500" s="69"/>
      <c r="AI2500" s="69"/>
      <c r="AJ2500" s="69"/>
      <c r="AK2500" s="69"/>
      <c r="AL2500" s="69"/>
      <c r="AM2500" s="69"/>
      <c r="AN2500" s="69"/>
      <c r="AO2500" s="69"/>
      <c r="AP2500" s="69"/>
      <c r="AQ2500" s="69"/>
      <c r="AR2500" s="69"/>
      <c r="AS2500" s="69"/>
      <c r="AT2500" s="69"/>
      <c r="AU2500" s="69"/>
      <c r="AV2500" s="69"/>
      <c r="AW2500" s="69"/>
      <c r="AX2500" s="69"/>
      <c r="AY2500" s="69"/>
      <c r="AZ2500" s="69"/>
      <c r="BA2500" s="69"/>
      <c r="BB2500" s="69"/>
      <c r="BC2500" s="69"/>
    </row>
    <row r="2501">
      <c r="A2501" s="68"/>
      <c r="B2501" s="68"/>
      <c r="C2501" s="68"/>
      <c r="D2501" s="68"/>
      <c r="E2501" s="68"/>
      <c r="F2501" s="68"/>
      <c r="G2501" s="68"/>
      <c r="H2501" s="68"/>
      <c r="I2501" s="69"/>
      <c r="J2501" s="69"/>
      <c r="K2501" s="71"/>
      <c r="L2501" s="69"/>
      <c r="M2501" s="69"/>
      <c r="N2501" s="72"/>
      <c r="O2501" s="69"/>
      <c r="P2501" s="69"/>
      <c r="Q2501" s="69"/>
      <c r="R2501" s="69"/>
      <c r="S2501" s="69"/>
      <c r="T2501" s="69"/>
      <c r="U2501" s="69"/>
      <c r="V2501" s="69"/>
      <c r="W2501" s="69"/>
      <c r="X2501" s="69"/>
      <c r="Y2501" s="69"/>
      <c r="Z2501" s="69"/>
      <c r="AA2501" s="69"/>
      <c r="AB2501" s="69"/>
      <c r="AC2501" s="69"/>
      <c r="AD2501" s="69"/>
      <c r="AE2501" s="69"/>
      <c r="AF2501" s="69"/>
      <c r="AG2501" s="69"/>
      <c r="AH2501" s="69"/>
      <c r="AI2501" s="69"/>
      <c r="AJ2501" s="69"/>
      <c r="AK2501" s="69"/>
      <c r="AL2501" s="69"/>
      <c r="AM2501" s="69"/>
      <c r="AN2501" s="69"/>
      <c r="AO2501" s="69"/>
      <c r="AP2501" s="69"/>
      <c r="AQ2501" s="69"/>
      <c r="AR2501" s="69"/>
      <c r="AS2501" s="69"/>
      <c r="AT2501" s="69"/>
      <c r="AU2501" s="69"/>
      <c r="AV2501" s="69"/>
      <c r="AW2501" s="69"/>
      <c r="AX2501" s="69"/>
      <c r="AY2501" s="69"/>
      <c r="AZ2501" s="69"/>
      <c r="BA2501" s="69"/>
      <c r="BB2501" s="69"/>
      <c r="BC2501" s="69"/>
    </row>
    <row r="2502">
      <c r="A2502" s="68"/>
      <c r="B2502" s="68"/>
      <c r="C2502" s="68"/>
      <c r="D2502" s="68"/>
      <c r="E2502" s="68"/>
      <c r="F2502" s="68"/>
      <c r="G2502" s="68"/>
      <c r="H2502" s="68"/>
      <c r="I2502" s="69"/>
      <c r="J2502" s="69"/>
      <c r="K2502" s="71"/>
      <c r="L2502" s="69"/>
      <c r="M2502" s="69"/>
      <c r="N2502" s="72"/>
      <c r="O2502" s="69"/>
      <c r="P2502" s="69"/>
      <c r="Q2502" s="69"/>
      <c r="R2502" s="69"/>
      <c r="S2502" s="69"/>
      <c r="T2502" s="69"/>
      <c r="U2502" s="69"/>
      <c r="V2502" s="69"/>
      <c r="W2502" s="69"/>
      <c r="X2502" s="69"/>
      <c r="Y2502" s="69"/>
      <c r="Z2502" s="69"/>
      <c r="AA2502" s="69"/>
      <c r="AB2502" s="69"/>
      <c r="AC2502" s="69"/>
      <c r="AD2502" s="69"/>
      <c r="AE2502" s="69"/>
      <c r="AF2502" s="69"/>
      <c r="AG2502" s="69"/>
      <c r="AH2502" s="69"/>
      <c r="AI2502" s="69"/>
      <c r="AJ2502" s="69"/>
      <c r="AK2502" s="69"/>
      <c r="AL2502" s="69"/>
      <c r="AM2502" s="69"/>
      <c r="AN2502" s="69"/>
      <c r="AO2502" s="69"/>
      <c r="AP2502" s="69"/>
      <c r="AQ2502" s="69"/>
      <c r="AR2502" s="69"/>
      <c r="AS2502" s="69"/>
      <c r="AT2502" s="69"/>
      <c r="AU2502" s="69"/>
      <c r="AV2502" s="69"/>
      <c r="AW2502" s="69"/>
      <c r="AX2502" s="69"/>
      <c r="AY2502" s="69"/>
      <c r="AZ2502" s="69"/>
      <c r="BA2502" s="69"/>
      <c r="BB2502" s="69"/>
      <c r="BC2502" s="69"/>
    </row>
    <row r="2503">
      <c r="A2503" s="68"/>
      <c r="B2503" s="68"/>
      <c r="C2503" s="68"/>
      <c r="D2503" s="68"/>
      <c r="E2503" s="68"/>
      <c r="F2503" s="68"/>
      <c r="G2503" s="68"/>
      <c r="H2503" s="68"/>
      <c r="I2503" s="69"/>
      <c r="J2503" s="69"/>
      <c r="K2503" s="71"/>
      <c r="L2503" s="69"/>
      <c r="M2503" s="69"/>
      <c r="N2503" s="72"/>
      <c r="O2503" s="69"/>
      <c r="P2503" s="69"/>
      <c r="Q2503" s="69"/>
      <c r="R2503" s="69"/>
      <c r="S2503" s="69"/>
      <c r="T2503" s="69"/>
      <c r="U2503" s="69"/>
      <c r="V2503" s="69"/>
      <c r="W2503" s="69"/>
      <c r="X2503" s="69"/>
      <c r="Y2503" s="69"/>
      <c r="Z2503" s="69"/>
      <c r="AA2503" s="69"/>
      <c r="AB2503" s="69"/>
      <c r="AC2503" s="69"/>
      <c r="AD2503" s="69"/>
      <c r="AE2503" s="69"/>
      <c r="AF2503" s="69"/>
      <c r="AG2503" s="69"/>
      <c r="AH2503" s="69"/>
      <c r="AI2503" s="69"/>
      <c r="AJ2503" s="69"/>
      <c r="AK2503" s="69"/>
      <c r="AL2503" s="69"/>
      <c r="AM2503" s="69"/>
      <c r="AN2503" s="69"/>
      <c r="AO2503" s="69"/>
      <c r="AP2503" s="69"/>
      <c r="AQ2503" s="69"/>
      <c r="AR2503" s="69"/>
      <c r="AS2503" s="69"/>
      <c r="AT2503" s="69"/>
      <c r="AU2503" s="69"/>
      <c r="AV2503" s="69"/>
      <c r="AW2503" s="69"/>
      <c r="AX2503" s="69"/>
      <c r="AY2503" s="69"/>
      <c r="AZ2503" s="69"/>
      <c r="BA2503" s="69"/>
      <c r="BB2503" s="69"/>
      <c r="BC2503" s="69"/>
    </row>
    <row r="2504">
      <c r="A2504" s="68"/>
      <c r="B2504" s="68"/>
      <c r="C2504" s="68"/>
      <c r="D2504" s="68"/>
      <c r="E2504" s="68"/>
      <c r="F2504" s="68"/>
      <c r="G2504" s="68"/>
      <c r="H2504" s="68"/>
      <c r="I2504" s="69"/>
      <c r="J2504" s="69"/>
      <c r="K2504" s="71"/>
      <c r="L2504" s="69"/>
      <c r="M2504" s="69"/>
      <c r="N2504" s="72"/>
      <c r="O2504" s="69"/>
      <c r="P2504" s="69"/>
      <c r="Q2504" s="69"/>
      <c r="R2504" s="69"/>
      <c r="S2504" s="69"/>
      <c r="T2504" s="69"/>
      <c r="U2504" s="69"/>
      <c r="V2504" s="69"/>
      <c r="W2504" s="69"/>
      <c r="X2504" s="69"/>
      <c r="Y2504" s="69"/>
      <c r="Z2504" s="69"/>
      <c r="AA2504" s="69"/>
      <c r="AB2504" s="69"/>
      <c r="AC2504" s="69"/>
      <c r="AD2504" s="69"/>
      <c r="AE2504" s="69"/>
      <c r="AF2504" s="69"/>
      <c r="AG2504" s="69"/>
      <c r="AH2504" s="69"/>
      <c r="AI2504" s="69"/>
      <c r="AJ2504" s="69"/>
      <c r="AK2504" s="69"/>
      <c r="AL2504" s="69"/>
      <c r="AM2504" s="69"/>
      <c r="AN2504" s="69"/>
      <c r="AO2504" s="69"/>
      <c r="AP2504" s="69"/>
      <c r="AQ2504" s="69"/>
      <c r="AR2504" s="69"/>
      <c r="AS2504" s="69"/>
      <c r="AT2504" s="69"/>
      <c r="AU2504" s="69"/>
      <c r="AV2504" s="69"/>
      <c r="AW2504" s="69"/>
      <c r="AX2504" s="69"/>
      <c r="AY2504" s="69"/>
      <c r="AZ2504" s="69"/>
      <c r="BA2504" s="69"/>
      <c r="BB2504" s="69"/>
      <c r="BC2504" s="69"/>
    </row>
    <row r="2505">
      <c r="A2505" s="68"/>
      <c r="B2505" s="68"/>
      <c r="C2505" s="68"/>
      <c r="D2505" s="68"/>
      <c r="E2505" s="68"/>
      <c r="F2505" s="68"/>
      <c r="G2505" s="68"/>
      <c r="H2505" s="68"/>
      <c r="I2505" s="69"/>
      <c r="J2505" s="69"/>
      <c r="K2505" s="71"/>
      <c r="L2505" s="69"/>
      <c r="M2505" s="69"/>
      <c r="N2505" s="72"/>
      <c r="O2505" s="69"/>
      <c r="P2505" s="69"/>
      <c r="Q2505" s="69"/>
      <c r="R2505" s="69"/>
      <c r="S2505" s="69"/>
      <c r="T2505" s="69"/>
      <c r="U2505" s="69"/>
      <c r="V2505" s="69"/>
      <c r="W2505" s="69"/>
      <c r="X2505" s="69"/>
      <c r="Y2505" s="69"/>
      <c r="Z2505" s="69"/>
      <c r="AA2505" s="69"/>
      <c r="AB2505" s="69"/>
      <c r="AC2505" s="69"/>
      <c r="AD2505" s="69"/>
      <c r="AE2505" s="69"/>
      <c r="AF2505" s="69"/>
      <c r="AG2505" s="69"/>
      <c r="AH2505" s="69"/>
      <c r="AI2505" s="69"/>
      <c r="AJ2505" s="69"/>
      <c r="AK2505" s="69"/>
      <c r="AL2505" s="69"/>
      <c r="AM2505" s="69"/>
      <c r="AN2505" s="69"/>
      <c r="AO2505" s="69"/>
      <c r="AP2505" s="69"/>
      <c r="AQ2505" s="69"/>
      <c r="AR2505" s="69"/>
      <c r="AS2505" s="69"/>
      <c r="AT2505" s="69"/>
      <c r="AU2505" s="69"/>
      <c r="AV2505" s="69"/>
      <c r="AW2505" s="69"/>
      <c r="AX2505" s="69"/>
      <c r="AY2505" s="69"/>
      <c r="AZ2505" s="69"/>
      <c r="BA2505" s="69"/>
      <c r="BB2505" s="69"/>
      <c r="BC2505" s="69"/>
    </row>
    <row r="2506">
      <c r="A2506" s="68"/>
      <c r="B2506" s="68"/>
      <c r="C2506" s="68"/>
      <c r="D2506" s="68"/>
      <c r="E2506" s="68"/>
      <c r="F2506" s="68"/>
      <c r="G2506" s="68"/>
      <c r="H2506" s="68"/>
      <c r="I2506" s="69"/>
      <c r="J2506" s="69"/>
      <c r="K2506" s="71"/>
      <c r="L2506" s="69"/>
      <c r="M2506" s="69"/>
      <c r="N2506" s="72"/>
      <c r="O2506" s="69"/>
      <c r="P2506" s="69"/>
      <c r="Q2506" s="69"/>
      <c r="R2506" s="69"/>
      <c r="S2506" s="69"/>
      <c r="T2506" s="69"/>
      <c r="U2506" s="69"/>
      <c r="V2506" s="69"/>
      <c r="W2506" s="69"/>
      <c r="X2506" s="69"/>
      <c r="Y2506" s="69"/>
      <c r="Z2506" s="69"/>
      <c r="AA2506" s="69"/>
      <c r="AB2506" s="69"/>
      <c r="AC2506" s="69"/>
      <c r="AD2506" s="69"/>
      <c r="AE2506" s="69"/>
      <c r="AF2506" s="69"/>
      <c r="AG2506" s="69"/>
      <c r="AH2506" s="69"/>
      <c r="AI2506" s="69"/>
      <c r="AJ2506" s="69"/>
      <c r="AK2506" s="69"/>
      <c r="AL2506" s="69"/>
      <c r="AM2506" s="69"/>
      <c r="AN2506" s="69"/>
      <c r="AO2506" s="69"/>
      <c r="AP2506" s="69"/>
      <c r="AQ2506" s="69"/>
      <c r="AR2506" s="69"/>
      <c r="AS2506" s="69"/>
      <c r="AT2506" s="69"/>
      <c r="AU2506" s="69"/>
      <c r="AV2506" s="69"/>
      <c r="AW2506" s="69"/>
      <c r="AX2506" s="69"/>
      <c r="AY2506" s="69"/>
      <c r="AZ2506" s="69"/>
      <c r="BA2506" s="69"/>
      <c r="BB2506" s="69"/>
      <c r="BC2506" s="69"/>
    </row>
    <row r="2507">
      <c r="A2507" s="68"/>
      <c r="B2507" s="68"/>
      <c r="C2507" s="68"/>
      <c r="D2507" s="68"/>
      <c r="E2507" s="68"/>
      <c r="F2507" s="68"/>
      <c r="G2507" s="68"/>
      <c r="H2507" s="68"/>
      <c r="I2507" s="69"/>
      <c r="J2507" s="69"/>
      <c r="K2507" s="71"/>
      <c r="L2507" s="69"/>
      <c r="M2507" s="69"/>
      <c r="N2507" s="72"/>
      <c r="O2507" s="69"/>
      <c r="P2507" s="69"/>
      <c r="Q2507" s="69"/>
      <c r="R2507" s="69"/>
      <c r="S2507" s="69"/>
      <c r="T2507" s="69"/>
      <c r="U2507" s="69"/>
      <c r="V2507" s="69"/>
      <c r="W2507" s="69"/>
      <c r="X2507" s="69"/>
      <c r="Y2507" s="69"/>
      <c r="Z2507" s="69"/>
      <c r="AA2507" s="69"/>
      <c r="AB2507" s="69"/>
      <c r="AC2507" s="69"/>
      <c r="AD2507" s="69"/>
      <c r="AE2507" s="69"/>
      <c r="AF2507" s="69"/>
      <c r="AG2507" s="69"/>
      <c r="AH2507" s="69"/>
      <c r="AI2507" s="69"/>
      <c r="AJ2507" s="69"/>
      <c r="AK2507" s="69"/>
      <c r="AL2507" s="69"/>
      <c r="AM2507" s="69"/>
      <c r="AN2507" s="69"/>
      <c r="AO2507" s="69"/>
      <c r="AP2507" s="69"/>
      <c r="AQ2507" s="69"/>
      <c r="AR2507" s="69"/>
      <c r="AS2507" s="69"/>
      <c r="AT2507" s="69"/>
      <c r="AU2507" s="69"/>
      <c r="AV2507" s="69"/>
      <c r="AW2507" s="69"/>
      <c r="AX2507" s="69"/>
      <c r="AY2507" s="69"/>
      <c r="AZ2507" s="69"/>
      <c r="BA2507" s="69"/>
      <c r="BB2507" s="69"/>
      <c r="BC2507" s="69"/>
    </row>
    <row r="2508">
      <c r="A2508" s="68"/>
      <c r="B2508" s="68"/>
      <c r="C2508" s="68"/>
      <c r="D2508" s="68"/>
      <c r="E2508" s="68"/>
      <c r="F2508" s="68"/>
      <c r="G2508" s="68"/>
      <c r="H2508" s="68"/>
      <c r="I2508" s="69"/>
      <c r="J2508" s="69"/>
      <c r="K2508" s="71"/>
      <c r="L2508" s="69"/>
      <c r="M2508" s="69"/>
      <c r="N2508" s="72"/>
      <c r="O2508" s="69"/>
      <c r="P2508" s="69"/>
      <c r="Q2508" s="69"/>
      <c r="R2508" s="69"/>
      <c r="S2508" s="69"/>
      <c r="T2508" s="69"/>
      <c r="U2508" s="69"/>
      <c r="V2508" s="69"/>
      <c r="W2508" s="69"/>
      <c r="X2508" s="69"/>
      <c r="Y2508" s="69"/>
      <c r="Z2508" s="69"/>
      <c r="AA2508" s="69"/>
      <c r="AB2508" s="69"/>
      <c r="AC2508" s="69"/>
      <c r="AD2508" s="69"/>
      <c r="AE2508" s="69"/>
      <c r="AF2508" s="69"/>
      <c r="AG2508" s="69"/>
      <c r="AH2508" s="69"/>
      <c r="AI2508" s="69"/>
      <c r="AJ2508" s="69"/>
      <c r="AK2508" s="69"/>
      <c r="AL2508" s="69"/>
      <c r="AM2508" s="69"/>
      <c r="AN2508" s="69"/>
      <c r="AO2508" s="69"/>
      <c r="AP2508" s="69"/>
      <c r="AQ2508" s="69"/>
      <c r="AR2508" s="69"/>
      <c r="AS2508" s="69"/>
      <c r="AT2508" s="69"/>
      <c r="AU2508" s="69"/>
      <c r="AV2508" s="69"/>
      <c r="AW2508" s="69"/>
      <c r="AX2508" s="69"/>
      <c r="AY2508" s="69"/>
      <c r="AZ2508" s="69"/>
      <c r="BA2508" s="69"/>
      <c r="BB2508" s="69"/>
      <c r="BC2508" s="69"/>
    </row>
    <row r="2509">
      <c r="A2509" s="68"/>
      <c r="B2509" s="68"/>
      <c r="C2509" s="68"/>
      <c r="D2509" s="68"/>
      <c r="E2509" s="68"/>
      <c r="F2509" s="68"/>
      <c r="G2509" s="68"/>
      <c r="H2509" s="68"/>
      <c r="I2509" s="69"/>
      <c r="J2509" s="69"/>
      <c r="K2509" s="71"/>
      <c r="L2509" s="69"/>
      <c r="M2509" s="69"/>
      <c r="N2509" s="72"/>
      <c r="O2509" s="69"/>
      <c r="P2509" s="69"/>
      <c r="Q2509" s="69"/>
      <c r="R2509" s="69"/>
      <c r="S2509" s="69"/>
      <c r="T2509" s="69"/>
      <c r="U2509" s="69"/>
      <c r="V2509" s="69"/>
      <c r="W2509" s="69"/>
      <c r="X2509" s="69"/>
      <c r="Y2509" s="69"/>
      <c r="Z2509" s="69"/>
      <c r="AA2509" s="69"/>
      <c r="AB2509" s="69"/>
      <c r="AC2509" s="69"/>
      <c r="AD2509" s="69"/>
      <c r="AE2509" s="69"/>
      <c r="AF2509" s="69"/>
      <c r="AG2509" s="69"/>
      <c r="AH2509" s="69"/>
      <c r="AI2509" s="69"/>
      <c r="AJ2509" s="69"/>
      <c r="AK2509" s="69"/>
      <c r="AL2509" s="69"/>
      <c r="AM2509" s="69"/>
      <c r="AN2509" s="69"/>
      <c r="AO2509" s="69"/>
      <c r="AP2509" s="69"/>
      <c r="AQ2509" s="69"/>
      <c r="AR2509" s="69"/>
      <c r="AS2509" s="69"/>
      <c r="AT2509" s="69"/>
      <c r="AU2509" s="69"/>
      <c r="AV2509" s="69"/>
      <c r="AW2509" s="69"/>
      <c r="AX2509" s="69"/>
      <c r="AY2509" s="69"/>
      <c r="AZ2509" s="69"/>
      <c r="BA2509" s="69"/>
      <c r="BB2509" s="69"/>
      <c r="BC2509" s="69"/>
    </row>
    <row r="2510">
      <c r="A2510" s="68"/>
      <c r="B2510" s="68"/>
      <c r="C2510" s="68"/>
      <c r="D2510" s="68"/>
      <c r="E2510" s="68"/>
      <c r="F2510" s="68"/>
      <c r="G2510" s="68"/>
      <c r="H2510" s="68"/>
      <c r="I2510" s="69"/>
      <c r="J2510" s="69"/>
      <c r="K2510" s="71"/>
      <c r="L2510" s="69"/>
      <c r="M2510" s="69"/>
      <c r="N2510" s="72"/>
      <c r="O2510" s="69"/>
      <c r="P2510" s="69"/>
      <c r="Q2510" s="69"/>
      <c r="R2510" s="69"/>
      <c r="S2510" s="69"/>
      <c r="T2510" s="69"/>
      <c r="U2510" s="69"/>
      <c r="V2510" s="69"/>
      <c r="W2510" s="69"/>
      <c r="X2510" s="69"/>
      <c r="Y2510" s="69"/>
      <c r="Z2510" s="69"/>
      <c r="AA2510" s="69"/>
      <c r="AB2510" s="69"/>
      <c r="AC2510" s="69"/>
      <c r="AD2510" s="69"/>
      <c r="AE2510" s="69"/>
      <c r="AF2510" s="69"/>
      <c r="AG2510" s="69"/>
      <c r="AH2510" s="69"/>
      <c r="AI2510" s="69"/>
      <c r="AJ2510" s="69"/>
      <c r="AK2510" s="69"/>
      <c r="AL2510" s="69"/>
      <c r="AM2510" s="69"/>
      <c r="AN2510" s="69"/>
      <c r="AO2510" s="69"/>
      <c r="AP2510" s="69"/>
      <c r="AQ2510" s="69"/>
      <c r="AR2510" s="69"/>
      <c r="AS2510" s="69"/>
      <c r="AT2510" s="69"/>
      <c r="AU2510" s="69"/>
      <c r="AV2510" s="69"/>
      <c r="AW2510" s="69"/>
      <c r="AX2510" s="69"/>
      <c r="AY2510" s="69"/>
      <c r="AZ2510" s="69"/>
      <c r="BA2510" s="69"/>
      <c r="BB2510" s="69"/>
      <c r="BC2510" s="69"/>
    </row>
    <row r="2511">
      <c r="A2511" s="68"/>
      <c r="B2511" s="68"/>
      <c r="C2511" s="68"/>
      <c r="D2511" s="68"/>
      <c r="E2511" s="68"/>
      <c r="F2511" s="68"/>
      <c r="G2511" s="68"/>
      <c r="H2511" s="68"/>
      <c r="I2511" s="69"/>
      <c r="J2511" s="69"/>
      <c r="K2511" s="71"/>
      <c r="L2511" s="69"/>
      <c r="M2511" s="69"/>
      <c r="N2511" s="72"/>
      <c r="O2511" s="69"/>
      <c r="P2511" s="69"/>
      <c r="Q2511" s="69"/>
      <c r="R2511" s="69"/>
      <c r="S2511" s="69"/>
      <c r="T2511" s="69"/>
      <c r="U2511" s="69"/>
      <c r="V2511" s="69"/>
      <c r="W2511" s="69"/>
      <c r="X2511" s="69"/>
      <c r="Y2511" s="69"/>
      <c r="Z2511" s="69"/>
      <c r="AA2511" s="69"/>
      <c r="AB2511" s="69"/>
      <c r="AC2511" s="69"/>
      <c r="AD2511" s="69"/>
      <c r="AE2511" s="69"/>
      <c r="AF2511" s="69"/>
      <c r="AG2511" s="69"/>
      <c r="AH2511" s="69"/>
      <c r="AI2511" s="69"/>
      <c r="AJ2511" s="69"/>
      <c r="AK2511" s="69"/>
      <c r="AL2511" s="69"/>
      <c r="AM2511" s="69"/>
      <c r="AN2511" s="69"/>
      <c r="AO2511" s="69"/>
      <c r="AP2511" s="69"/>
      <c r="AQ2511" s="69"/>
      <c r="AR2511" s="69"/>
      <c r="AS2511" s="69"/>
      <c r="AT2511" s="69"/>
      <c r="AU2511" s="69"/>
      <c r="AV2511" s="69"/>
      <c r="AW2511" s="69"/>
      <c r="AX2511" s="69"/>
      <c r="AY2511" s="69"/>
      <c r="AZ2511" s="69"/>
      <c r="BA2511" s="69"/>
      <c r="BB2511" s="69"/>
      <c r="BC2511" s="69"/>
    </row>
    <row r="2512">
      <c r="A2512" s="68"/>
      <c r="B2512" s="68"/>
      <c r="C2512" s="68"/>
      <c r="D2512" s="68"/>
      <c r="E2512" s="68"/>
      <c r="F2512" s="68"/>
      <c r="G2512" s="68"/>
      <c r="H2512" s="68"/>
      <c r="I2512" s="69"/>
      <c r="J2512" s="69"/>
      <c r="K2512" s="71"/>
      <c r="L2512" s="69"/>
      <c r="M2512" s="69"/>
      <c r="N2512" s="72"/>
      <c r="O2512" s="69"/>
      <c r="P2512" s="69"/>
      <c r="Q2512" s="69"/>
      <c r="R2512" s="69"/>
      <c r="S2512" s="69"/>
      <c r="T2512" s="69"/>
      <c r="U2512" s="69"/>
      <c r="V2512" s="69"/>
      <c r="W2512" s="69"/>
      <c r="X2512" s="69"/>
      <c r="Y2512" s="69"/>
      <c r="Z2512" s="69"/>
      <c r="AA2512" s="69"/>
      <c r="AB2512" s="69"/>
      <c r="AC2512" s="69"/>
      <c r="AD2512" s="69"/>
      <c r="AE2512" s="69"/>
      <c r="AF2512" s="69"/>
      <c r="AG2512" s="69"/>
      <c r="AH2512" s="69"/>
      <c r="AI2512" s="69"/>
      <c r="AJ2512" s="69"/>
      <c r="AK2512" s="69"/>
      <c r="AL2512" s="69"/>
      <c r="AM2512" s="69"/>
      <c r="AN2512" s="69"/>
      <c r="AO2512" s="69"/>
      <c r="AP2512" s="69"/>
      <c r="AQ2512" s="69"/>
      <c r="AR2512" s="69"/>
      <c r="AS2512" s="69"/>
      <c r="AT2512" s="69"/>
      <c r="AU2512" s="69"/>
      <c r="AV2512" s="69"/>
      <c r="AW2512" s="69"/>
      <c r="AX2512" s="69"/>
      <c r="AY2512" s="69"/>
      <c r="AZ2512" s="69"/>
      <c r="BA2512" s="69"/>
      <c r="BB2512" s="69"/>
      <c r="BC2512" s="69"/>
    </row>
    <row r="2513">
      <c r="A2513" s="68"/>
      <c r="B2513" s="68"/>
      <c r="C2513" s="68"/>
      <c r="D2513" s="68"/>
      <c r="E2513" s="68"/>
      <c r="F2513" s="68"/>
      <c r="G2513" s="68"/>
      <c r="H2513" s="68"/>
      <c r="I2513" s="69"/>
      <c r="J2513" s="69"/>
      <c r="K2513" s="71"/>
      <c r="L2513" s="69"/>
      <c r="M2513" s="69"/>
      <c r="N2513" s="72"/>
      <c r="O2513" s="69"/>
      <c r="P2513" s="69"/>
      <c r="Q2513" s="69"/>
      <c r="R2513" s="69"/>
      <c r="S2513" s="69"/>
      <c r="T2513" s="69"/>
      <c r="U2513" s="69"/>
      <c r="V2513" s="69"/>
      <c r="W2513" s="69"/>
      <c r="X2513" s="69"/>
      <c r="Y2513" s="69"/>
      <c r="Z2513" s="69"/>
      <c r="AA2513" s="69"/>
      <c r="AB2513" s="69"/>
      <c r="AC2513" s="69"/>
      <c r="AD2513" s="69"/>
      <c r="AE2513" s="69"/>
      <c r="AF2513" s="69"/>
      <c r="AG2513" s="69"/>
      <c r="AH2513" s="69"/>
      <c r="AI2513" s="69"/>
      <c r="AJ2513" s="69"/>
      <c r="AK2513" s="69"/>
      <c r="AL2513" s="69"/>
      <c r="AM2513" s="69"/>
      <c r="AN2513" s="69"/>
      <c r="AO2513" s="69"/>
      <c r="AP2513" s="69"/>
      <c r="AQ2513" s="69"/>
      <c r="AR2513" s="69"/>
      <c r="AS2513" s="69"/>
      <c r="AT2513" s="69"/>
      <c r="AU2513" s="69"/>
      <c r="AV2513" s="69"/>
      <c r="AW2513" s="69"/>
      <c r="AX2513" s="69"/>
      <c r="AY2513" s="69"/>
      <c r="AZ2513" s="69"/>
      <c r="BA2513" s="69"/>
      <c r="BB2513" s="69"/>
      <c r="BC2513" s="69"/>
    </row>
    <row r="2514">
      <c r="A2514" s="68"/>
      <c r="B2514" s="68"/>
      <c r="C2514" s="68"/>
      <c r="D2514" s="68"/>
      <c r="E2514" s="68"/>
      <c r="F2514" s="68"/>
      <c r="G2514" s="68"/>
      <c r="H2514" s="68"/>
      <c r="I2514" s="69"/>
      <c r="J2514" s="69"/>
      <c r="K2514" s="71"/>
      <c r="L2514" s="69"/>
      <c r="M2514" s="69"/>
      <c r="N2514" s="72"/>
      <c r="O2514" s="69"/>
      <c r="P2514" s="69"/>
      <c r="Q2514" s="69"/>
      <c r="R2514" s="69"/>
      <c r="S2514" s="69"/>
      <c r="T2514" s="69"/>
      <c r="U2514" s="69"/>
      <c r="V2514" s="69"/>
      <c r="W2514" s="69"/>
      <c r="X2514" s="69"/>
      <c r="Y2514" s="69"/>
      <c r="Z2514" s="69"/>
      <c r="AA2514" s="69"/>
      <c r="AB2514" s="69"/>
      <c r="AC2514" s="69"/>
      <c r="AD2514" s="69"/>
      <c r="AE2514" s="69"/>
      <c r="AF2514" s="69"/>
      <c r="AG2514" s="69"/>
      <c r="AH2514" s="69"/>
      <c r="AI2514" s="69"/>
      <c r="AJ2514" s="69"/>
      <c r="AK2514" s="69"/>
      <c r="AL2514" s="69"/>
      <c r="AM2514" s="69"/>
      <c r="AN2514" s="69"/>
      <c r="AO2514" s="69"/>
      <c r="AP2514" s="69"/>
      <c r="AQ2514" s="69"/>
      <c r="AR2514" s="69"/>
      <c r="AS2514" s="69"/>
      <c r="AT2514" s="69"/>
      <c r="AU2514" s="69"/>
      <c r="AV2514" s="69"/>
      <c r="AW2514" s="69"/>
      <c r="AX2514" s="69"/>
      <c r="AY2514" s="69"/>
      <c r="AZ2514" s="69"/>
      <c r="BA2514" s="69"/>
      <c r="BB2514" s="69"/>
      <c r="BC2514" s="69"/>
    </row>
    <row r="2515">
      <c r="A2515" s="68"/>
      <c r="B2515" s="68"/>
      <c r="C2515" s="68"/>
      <c r="D2515" s="68"/>
      <c r="E2515" s="68"/>
      <c r="F2515" s="68"/>
      <c r="G2515" s="68"/>
      <c r="H2515" s="68"/>
      <c r="I2515" s="69"/>
      <c r="J2515" s="69"/>
      <c r="K2515" s="71"/>
      <c r="L2515" s="69"/>
      <c r="M2515" s="69"/>
      <c r="N2515" s="72"/>
      <c r="O2515" s="69"/>
      <c r="P2515" s="69"/>
      <c r="Q2515" s="69"/>
      <c r="R2515" s="69"/>
      <c r="S2515" s="69"/>
      <c r="T2515" s="69"/>
      <c r="U2515" s="69"/>
      <c r="V2515" s="69"/>
      <c r="W2515" s="69"/>
      <c r="X2515" s="69"/>
      <c r="Y2515" s="69"/>
      <c r="Z2515" s="69"/>
      <c r="AA2515" s="69"/>
      <c r="AB2515" s="69"/>
      <c r="AC2515" s="69"/>
      <c r="AD2515" s="69"/>
      <c r="AE2515" s="69"/>
      <c r="AF2515" s="69"/>
      <c r="AG2515" s="69"/>
      <c r="AH2515" s="69"/>
      <c r="AI2515" s="69"/>
      <c r="AJ2515" s="69"/>
      <c r="AK2515" s="69"/>
      <c r="AL2515" s="69"/>
      <c r="AM2515" s="69"/>
      <c r="AN2515" s="69"/>
      <c r="AO2515" s="69"/>
      <c r="AP2515" s="69"/>
      <c r="AQ2515" s="69"/>
      <c r="AR2515" s="69"/>
      <c r="AS2515" s="69"/>
      <c r="AT2515" s="69"/>
      <c r="AU2515" s="69"/>
      <c r="AV2515" s="69"/>
      <c r="AW2515" s="69"/>
      <c r="AX2515" s="69"/>
      <c r="AY2515" s="69"/>
      <c r="AZ2515" s="69"/>
      <c r="BA2515" s="69"/>
      <c r="BB2515" s="69"/>
      <c r="BC2515" s="69"/>
    </row>
    <row r="2516">
      <c r="A2516" s="68"/>
      <c r="B2516" s="68"/>
      <c r="C2516" s="68"/>
      <c r="D2516" s="68"/>
      <c r="E2516" s="68"/>
      <c r="F2516" s="68"/>
      <c r="G2516" s="68"/>
      <c r="H2516" s="68"/>
      <c r="I2516" s="69"/>
      <c r="J2516" s="69"/>
      <c r="K2516" s="71"/>
      <c r="L2516" s="69"/>
      <c r="M2516" s="69"/>
      <c r="N2516" s="72"/>
      <c r="O2516" s="69"/>
      <c r="P2516" s="69"/>
      <c r="Q2516" s="69"/>
      <c r="R2516" s="69"/>
      <c r="S2516" s="69"/>
      <c r="T2516" s="69"/>
      <c r="U2516" s="69"/>
      <c r="V2516" s="69"/>
      <c r="W2516" s="69"/>
      <c r="X2516" s="69"/>
      <c r="Y2516" s="69"/>
      <c r="Z2516" s="69"/>
      <c r="AA2516" s="69"/>
      <c r="AB2516" s="69"/>
      <c r="AC2516" s="69"/>
      <c r="AD2516" s="69"/>
      <c r="AE2516" s="69"/>
      <c r="AF2516" s="69"/>
      <c r="AG2516" s="69"/>
      <c r="AH2516" s="69"/>
      <c r="AI2516" s="69"/>
      <c r="AJ2516" s="69"/>
      <c r="AK2516" s="69"/>
      <c r="AL2516" s="69"/>
      <c r="AM2516" s="69"/>
      <c r="AN2516" s="69"/>
      <c r="AO2516" s="69"/>
      <c r="AP2516" s="69"/>
      <c r="AQ2516" s="69"/>
      <c r="AR2516" s="69"/>
      <c r="AS2516" s="69"/>
      <c r="AT2516" s="69"/>
      <c r="AU2516" s="69"/>
      <c r="AV2516" s="69"/>
      <c r="AW2516" s="69"/>
      <c r="AX2516" s="69"/>
      <c r="AY2516" s="69"/>
      <c r="AZ2516" s="69"/>
      <c r="BA2516" s="69"/>
      <c r="BB2516" s="69"/>
      <c r="BC2516" s="69"/>
    </row>
    <row r="2517">
      <c r="A2517" s="68"/>
      <c r="B2517" s="68"/>
      <c r="C2517" s="68"/>
      <c r="D2517" s="68"/>
      <c r="E2517" s="68"/>
      <c r="F2517" s="68"/>
      <c r="G2517" s="68"/>
      <c r="H2517" s="68"/>
      <c r="I2517" s="69"/>
      <c r="J2517" s="69"/>
      <c r="K2517" s="71"/>
      <c r="L2517" s="69"/>
      <c r="M2517" s="69"/>
      <c r="N2517" s="72"/>
      <c r="O2517" s="69"/>
      <c r="P2517" s="69"/>
      <c r="Q2517" s="69"/>
      <c r="R2517" s="69"/>
      <c r="S2517" s="69"/>
      <c r="T2517" s="69"/>
      <c r="U2517" s="69"/>
      <c r="V2517" s="69"/>
      <c r="W2517" s="69"/>
      <c r="X2517" s="69"/>
      <c r="Y2517" s="69"/>
      <c r="Z2517" s="69"/>
      <c r="AA2517" s="69"/>
      <c r="AB2517" s="69"/>
      <c r="AC2517" s="69"/>
      <c r="AD2517" s="69"/>
      <c r="AE2517" s="69"/>
      <c r="AF2517" s="69"/>
      <c r="AG2517" s="69"/>
      <c r="AH2517" s="69"/>
      <c r="AI2517" s="69"/>
      <c r="AJ2517" s="69"/>
      <c r="AK2517" s="69"/>
      <c r="AL2517" s="69"/>
      <c r="AM2517" s="69"/>
      <c r="AN2517" s="69"/>
      <c r="AO2517" s="69"/>
      <c r="AP2517" s="69"/>
      <c r="AQ2517" s="69"/>
      <c r="AR2517" s="69"/>
      <c r="AS2517" s="69"/>
      <c r="AT2517" s="69"/>
      <c r="AU2517" s="69"/>
      <c r="AV2517" s="69"/>
      <c r="AW2517" s="69"/>
      <c r="AX2517" s="69"/>
      <c r="AY2517" s="69"/>
      <c r="AZ2517" s="69"/>
      <c r="BA2517" s="69"/>
      <c r="BB2517" s="69"/>
      <c r="BC2517" s="69"/>
    </row>
    <row r="2518">
      <c r="A2518" s="68"/>
      <c r="B2518" s="68"/>
      <c r="C2518" s="68"/>
      <c r="D2518" s="68"/>
      <c r="E2518" s="68"/>
      <c r="F2518" s="68"/>
      <c r="G2518" s="68"/>
      <c r="H2518" s="68"/>
      <c r="I2518" s="69"/>
      <c r="J2518" s="69"/>
      <c r="K2518" s="71"/>
      <c r="L2518" s="69"/>
      <c r="M2518" s="69"/>
      <c r="N2518" s="72"/>
      <c r="O2518" s="69"/>
      <c r="P2518" s="69"/>
      <c r="Q2518" s="69"/>
      <c r="R2518" s="69"/>
      <c r="S2518" s="69"/>
      <c r="T2518" s="69"/>
      <c r="U2518" s="69"/>
      <c r="V2518" s="69"/>
      <c r="W2518" s="69"/>
      <c r="X2518" s="69"/>
      <c r="Y2518" s="69"/>
      <c r="Z2518" s="69"/>
      <c r="AA2518" s="69"/>
      <c r="AB2518" s="69"/>
      <c r="AC2518" s="69"/>
      <c r="AD2518" s="69"/>
      <c r="AE2518" s="69"/>
      <c r="AF2518" s="69"/>
      <c r="AG2518" s="69"/>
      <c r="AH2518" s="69"/>
      <c r="AI2518" s="69"/>
      <c r="AJ2518" s="69"/>
      <c r="AK2518" s="69"/>
      <c r="AL2518" s="69"/>
      <c r="AM2518" s="69"/>
      <c r="AN2518" s="69"/>
      <c r="AO2518" s="69"/>
      <c r="AP2518" s="69"/>
      <c r="AQ2518" s="69"/>
      <c r="AR2518" s="69"/>
      <c r="AS2518" s="69"/>
      <c r="AT2518" s="69"/>
      <c r="AU2518" s="69"/>
      <c r="AV2518" s="69"/>
      <c r="AW2518" s="69"/>
      <c r="AX2518" s="69"/>
      <c r="AY2518" s="69"/>
      <c r="AZ2518" s="69"/>
      <c r="BA2518" s="69"/>
      <c r="BB2518" s="69"/>
      <c r="BC2518" s="69"/>
    </row>
    <row r="2519">
      <c r="A2519" s="68"/>
      <c r="B2519" s="68"/>
      <c r="C2519" s="68"/>
      <c r="D2519" s="68"/>
      <c r="E2519" s="68"/>
      <c r="F2519" s="68"/>
      <c r="G2519" s="68"/>
      <c r="H2519" s="68"/>
      <c r="I2519" s="69"/>
      <c r="J2519" s="69"/>
      <c r="K2519" s="71"/>
      <c r="L2519" s="69"/>
      <c r="M2519" s="69"/>
      <c r="N2519" s="72"/>
      <c r="O2519" s="69"/>
      <c r="P2519" s="69"/>
      <c r="Q2519" s="69"/>
      <c r="R2519" s="69"/>
      <c r="S2519" s="69"/>
      <c r="T2519" s="69"/>
      <c r="U2519" s="69"/>
      <c r="V2519" s="69"/>
      <c r="W2519" s="69"/>
      <c r="X2519" s="69"/>
      <c r="Y2519" s="69"/>
      <c r="Z2519" s="69"/>
      <c r="AA2519" s="69"/>
      <c r="AB2519" s="69"/>
      <c r="AC2519" s="69"/>
      <c r="AD2519" s="69"/>
      <c r="AE2519" s="69"/>
      <c r="AF2519" s="69"/>
      <c r="AG2519" s="69"/>
      <c r="AH2519" s="69"/>
      <c r="AI2519" s="69"/>
      <c r="AJ2519" s="69"/>
      <c r="AK2519" s="69"/>
      <c r="AL2519" s="69"/>
      <c r="AM2519" s="69"/>
      <c r="AN2519" s="69"/>
      <c r="AO2519" s="69"/>
      <c r="AP2519" s="69"/>
      <c r="AQ2519" s="69"/>
      <c r="AR2519" s="69"/>
      <c r="AS2519" s="69"/>
      <c r="AT2519" s="69"/>
      <c r="AU2519" s="69"/>
      <c r="AV2519" s="69"/>
      <c r="AW2519" s="69"/>
      <c r="AX2519" s="69"/>
      <c r="AY2519" s="69"/>
      <c r="AZ2519" s="69"/>
      <c r="BA2519" s="69"/>
      <c r="BB2519" s="69"/>
      <c r="BC2519" s="69"/>
    </row>
    <row r="2520">
      <c r="A2520" s="68"/>
      <c r="B2520" s="68"/>
      <c r="C2520" s="68"/>
      <c r="D2520" s="68"/>
      <c r="E2520" s="68"/>
      <c r="F2520" s="68"/>
      <c r="G2520" s="68"/>
      <c r="H2520" s="68"/>
      <c r="I2520" s="69"/>
      <c r="J2520" s="69"/>
      <c r="K2520" s="71"/>
      <c r="L2520" s="69"/>
      <c r="M2520" s="69"/>
      <c r="N2520" s="72"/>
      <c r="O2520" s="69"/>
      <c r="P2520" s="69"/>
      <c r="Q2520" s="69"/>
      <c r="R2520" s="69"/>
      <c r="S2520" s="69"/>
      <c r="T2520" s="69"/>
      <c r="U2520" s="69"/>
      <c r="V2520" s="69"/>
      <c r="W2520" s="69"/>
      <c r="X2520" s="69"/>
      <c r="Y2520" s="69"/>
      <c r="Z2520" s="69"/>
      <c r="AA2520" s="69"/>
      <c r="AB2520" s="69"/>
      <c r="AC2520" s="69"/>
      <c r="AD2520" s="69"/>
      <c r="AE2520" s="69"/>
      <c r="AF2520" s="69"/>
      <c r="AG2520" s="69"/>
      <c r="AH2520" s="69"/>
      <c r="AI2520" s="69"/>
      <c r="AJ2520" s="69"/>
      <c r="AK2520" s="69"/>
      <c r="AL2520" s="69"/>
      <c r="AM2520" s="69"/>
      <c r="AN2520" s="69"/>
      <c r="AO2520" s="69"/>
      <c r="AP2520" s="69"/>
      <c r="AQ2520" s="69"/>
      <c r="AR2520" s="69"/>
      <c r="AS2520" s="69"/>
      <c r="AT2520" s="69"/>
      <c r="AU2520" s="69"/>
      <c r="AV2520" s="69"/>
      <c r="AW2520" s="69"/>
      <c r="AX2520" s="69"/>
      <c r="AY2520" s="69"/>
      <c r="AZ2520" s="69"/>
      <c r="BA2520" s="69"/>
      <c r="BB2520" s="69"/>
      <c r="BC2520" s="69"/>
    </row>
    <row r="2521">
      <c r="A2521" s="68"/>
      <c r="B2521" s="68"/>
      <c r="C2521" s="68"/>
      <c r="D2521" s="68"/>
      <c r="E2521" s="68"/>
      <c r="F2521" s="68"/>
      <c r="G2521" s="68"/>
      <c r="H2521" s="68"/>
      <c r="I2521" s="69"/>
      <c r="J2521" s="69"/>
      <c r="K2521" s="71"/>
      <c r="L2521" s="69"/>
      <c r="M2521" s="69"/>
      <c r="N2521" s="72"/>
      <c r="O2521" s="69"/>
      <c r="P2521" s="69"/>
      <c r="Q2521" s="69"/>
      <c r="R2521" s="69"/>
      <c r="S2521" s="69"/>
      <c r="T2521" s="69"/>
      <c r="U2521" s="69"/>
      <c r="V2521" s="69"/>
      <c r="W2521" s="69"/>
      <c r="X2521" s="69"/>
      <c r="Y2521" s="69"/>
      <c r="Z2521" s="69"/>
      <c r="AA2521" s="69"/>
      <c r="AB2521" s="69"/>
      <c r="AC2521" s="69"/>
      <c r="AD2521" s="69"/>
      <c r="AE2521" s="69"/>
      <c r="AF2521" s="69"/>
      <c r="AG2521" s="69"/>
      <c r="AH2521" s="69"/>
      <c r="AI2521" s="69"/>
      <c r="AJ2521" s="69"/>
      <c r="AK2521" s="69"/>
      <c r="AL2521" s="69"/>
      <c r="AM2521" s="69"/>
      <c r="AN2521" s="69"/>
      <c r="AO2521" s="69"/>
      <c r="AP2521" s="69"/>
      <c r="AQ2521" s="69"/>
      <c r="AR2521" s="69"/>
      <c r="AS2521" s="69"/>
      <c r="AT2521" s="69"/>
      <c r="AU2521" s="69"/>
      <c r="AV2521" s="69"/>
      <c r="AW2521" s="69"/>
      <c r="AX2521" s="69"/>
      <c r="AY2521" s="69"/>
      <c r="AZ2521" s="69"/>
      <c r="BA2521" s="69"/>
      <c r="BB2521" s="69"/>
      <c r="BC2521" s="69"/>
    </row>
    <row r="2522">
      <c r="A2522" s="68"/>
      <c r="B2522" s="68"/>
      <c r="C2522" s="68"/>
      <c r="D2522" s="68"/>
      <c r="E2522" s="68"/>
      <c r="F2522" s="68"/>
      <c r="G2522" s="68"/>
      <c r="H2522" s="68"/>
      <c r="I2522" s="69"/>
      <c r="J2522" s="69"/>
      <c r="K2522" s="71"/>
      <c r="L2522" s="69"/>
      <c r="M2522" s="69"/>
      <c r="N2522" s="72"/>
      <c r="O2522" s="69"/>
      <c r="P2522" s="69"/>
      <c r="Q2522" s="69"/>
      <c r="R2522" s="69"/>
      <c r="S2522" s="69"/>
      <c r="T2522" s="69"/>
      <c r="U2522" s="69"/>
      <c r="V2522" s="69"/>
      <c r="W2522" s="69"/>
      <c r="X2522" s="69"/>
      <c r="Y2522" s="69"/>
      <c r="Z2522" s="69"/>
      <c r="AA2522" s="69"/>
      <c r="AB2522" s="69"/>
      <c r="AC2522" s="69"/>
      <c r="AD2522" s="69"/>
      <c r="AE2522" s="69"/>
      <c r="AF2522" s="69"/>
      <c r="AG2522" s="69"/>
      <c r="AH2522" s="69"/>
      <c r="AI2522" s="69"/>
      <c r="AJ2522" s="69"/>
      <c r="AK2522" s="69"/>
      <c r="AL2522" s="69"/>
      <c r="AM2522" s="69"/>
      <c r="AN2522" s="69"/>
      <c r="AO2522" s="69"/>
      <c r="AP2522" s="69"/>
      <c r="AQ2522" s="69"/>
      <c r="AR2522" s="69"/>
      <c r="AS2522" s="69"/>
      <c r="AT2522" s="69"/>
      <c r="AU2522" s="69"/>
      <c r="AV2522" s="69"/>
      <c r="AW2522" s="69"/>
      <c r="AX2522" s="69"/>
      <c r="AY2522" s="69"/>
      <c r="AZ2522" s="69"/>
      <c r="BA2522" s="69"/>
      <c r="BB2522" s="69"/>
      <c r="BC2522" s="69"/>
    </row>
    <row r="2523">
      <c r="A2523" s="68"/>
      <c r="B2523" s="68"/>
      <c r="C2523" s="68"/>
      <c r="D2523" s="68"/>
      <c r="E2523" s="68"/>
      <c r="F2523" s="68"/>
      <c r="G2523" s="68"/>
      <c r="H2523" s="68"/>
      <c r="I2523" s="69"/>
      <c r="J2523" s="69"/>
      <c r="K2523" s="71"/>
      <c r="L2523" s="69"/>
      <c r="M2523" s="69"/>
      <c r="N2523" s="72"/>
      <c r="O2523" s="69"/>
      <c r="P2523" s="69"/>
      <c r="Q2523" s="69"/>
      <c r="R2523" s="69"/>
      <c r="S2523" s="69"/>
      <c r="T2523" s="69"/>
      <c r="U2523" s="69"/>
      <c r="V2523" s="69"/>
      <c r="W2523" s="69"/>
      <c r="X2523" s="69"/>
      <c r="Y2523" s="69"/>
      <c r="Z2523" s="69"/>
      <c r="AA2523" s="69"/>
      <c r="AB2523" s="69"/>
      <c r="AC2523" s="69"/>
      <c r="AD2523" s="69"/>
      <c r="AE2523" s="69"/>
      <c r="AF2523" s="69"/>
      <c r="AG2523" s="69"/>
      <c r="AH2523" s="69"/>
      <c r="AI2523" s="69"/>
      <c r="AJ2523" s="69"/>
      <c r="AK2523" s="69"/>
      <c r="AL2523" s="69"/>
      <c r="AM2523" s="69"/>
      <c r="AN2523" s="69"/>
      <c r="AO2523" s="69"/>
      <c r="AP2523" s="69"/>
      <c r="AQ2523" s="69"/>
      <c r="AR2523" s="69"/>
      <c r="AS2523" s="69"/>
      <c r="AT2523" s="69"/>
      <c r="AU2523" s="69"/>
      <c r="AV2523" s="69"/>
      <c r="AW2523" s="69"/>
      <c r="AX2523" s="69"/>
      <c r="AY2523" s="69"/>
      <c r="AZ2523" s="69"/>
      <c r="BA2523" s="69"/>
      <c r="BB2523" s="69"/>
      <c r="BC2523" s="69"/>
    </row>
    <row r="2524">
      <c r="A2524" s="68"/>
      <c r="B2524" s="68"/>
      <c r="C2524" s="68"/>
      <c r="D2524" s="68"/>
      <c r="E2524" s="68"/>
      <c r="F2524" s="68"/>
      <c r="G2524" s="68"/>
      <c r="H2524" s="68"/>
      <c r="I2524" s="69"/>
      <c r="J2524" s="69"/>
      <c r="K2524" s="71"/>
      <c r="L2524" s="69"/>
      <c r="M2524" s="69"/>
      <c r="N2524" s="72"/>
      <c r="O2524" s="69"/>
      <c r="P2524" s="69"/>
      <c r="Q2524" s="69"/>
      <c r="R2524" s="69"/>
      <c r="S2524" s="69"/>
      <c r="T2524" s="69"/>
      <c r="U2524" s="69"/>
      <c r="V2524" s="69"/>
      <c r="W2524" s="69"/>
      <c r="X2524" s="69"/>
      <c r="Y2524" s="69"/>
      <c r="Z2524" s="69"/>
      <c r="AA2524" s="69"/>
      <c r="AB2524" s="69"/>
      <c r="AC2524" s="69"/>
      <c r="AD2524" s="69"/>
      <c r="AE2524" s="69"/>
      <c r="AF2524" s="69"/>
      <c r="AG2524" s="69"/>
      <c r="AH2524" s="69"/>
      <c r="AI2524" s="69"/>
      <c r="AJ2524" s="69"/>
      <c r="AK2524" s="69"/>
      <c r="AL2524" s="69"/>
      <c r="AM2524" s="69"/>
      <c r="AN2524" s="69"/>
      <c r="AO2524" s="69"/>
      <c r="AP2524" s="69"/>
      <c r="AQ2524" s="69"/>
      <c r="AR2524" s="69"/>
      <c r="AS2524" s="69"/>
      <c r="AT2524" s="69"/>
      <c r="AU2524" s="69"/>
      <c r="AV2524" s="69"/>
      <c r="AW2524" s="69"/>
      <c r="AX2524" s="69"/>
      <c r="AY2524" s="69"/>
      <c r="AZ2524" s="69"/>
      <c r="BA2524" s="69"/>
      <c r="BB2524" s="69"/>
      <c r="BC2524" s="69"/>
    </row>
    <row r="2525">
      <c r="A2525" s="68"/>
      <c r="B2525" s="68"/>
      <c r="C2525" s="68"/>
      <c r="D2525" s="68"/>
      <c r="E2525" s="68"/>
      <c r="F2525" s="68"/>
      <c r="G2525" s="68"/>
      <c r="H2525" s="68"/>
      <c r="I2525" s="69"/>
      <c r="J2525" s="69"/>
      <c r="K2525" s="71"/>
      <c r="L2525" s="69"/>
      <c r="M2525" s="69"/>
      <c r="N2525" s="72"/>
      <c r="O2525" s="69"/>
      <c r="P2525" s="69"/>
      <c r="Q2525" s="69"/>
      <c r="R2525" s="69"/>
      <c r="S2525" s="69"/>
      <c r="T2525" s="69"/>
      <c r="U2525" s="69"/>
      <c r="V2525" s="69"/>
      <c r="W2525" s="69"/>
      <c r="X2525" s="69"/>
      <c r="Y2525" s="69"/>
      <c r="Z2525" s="69"/>
      <c r="AA2525" s="69"/>
      <c r="AB2525" s="69"/>
      <c r="AC2525" s="69"/>
      <c r="AD2525" s="69"/>
      <c r="AE2525" s="69"/>
      <c r="AF2525" s="69"/>
      <c r="AG2525" s="69"/>
      <c r="AH2525" s="69"/>
      <c r="AI2525" s="69"/>
      <c r="AJ2525" s="69"/>
      <c r="AK2525" s="69"/>
      <c r="AL2525" s="69"/>
      <c r="AM2525" s="69"/>
      <c r="AN2525" s="69"/>
      <c r="AO2525" s="69"/>
      <c r="AP2525" s="69"/>
      <c r="AQ2525" s="69"/>
      <c r="AR2525" s="69"/>
      <c r="AS2525" s="69"/>
      <c r="AT2525" s="69"/>
      <c r="AU2525" s="69"/>
      <c r="AV2525" s="69"/>
      <c r="AW2525" s="69"/>
      <c r="AX2525" s="69"/>
      <c r="AY2525" s="69"/>
      <c r="AZ2525" s="69"/>
      <c r="BA2525" s="69"/>
      <c r="BB2525" s="69"/>
      <c r="BC2525" s="69"/>
    </row>
    <row r="2526">
      <c r="A2526" s="68"/>
      <c r="B2526" s="68"/>
      <c r="C2526" s="68"/>
      <c r="D2526" s="68"/>
      <c r="E2526" s="68"/>
      <c r="F2526" s="68"/>
      <c r="G2526" s="68"/>
      <c r="H2526" s="68"/>
      <c r="I2526" s="69"/>
      <c r="J2526" s="69"/>
      <c r="K2526" s="71"/>
      <c r="L2526" s="69"/>
      <c r="M2526" s="69"/>
      <c r="N2526" s="72"/>
      <c r="O2526" s="69"/>
      <c r="P2526" s="69"/>
      <c r="Q2526" s="69"/>
      <c r="R2526" s="69"/>
      <c r="S2526" s="69"/>
      <c r="T2526" s="69"/>
      <c r="U2526" s="69"/>
      <c r="V2526" s="69"/>
      <c r="W2526" s="69"/>
      <c r="X2526" s="69"/>
      <c r="Y2526" s="69"/>
      <c r="Z2526" s="69"/>
      <c r="AA2526" s="69"/>
      <c r="AB2526" s="69"/>
      <c r="AC2526" s="69"/>
      <c r="AD2526" s="69"/>
      <c r="AE2526" s="69"/>
      <c r="AF2526" s="69"/>
      <c r="AG2526" s="69"/>
      <c r="AH2526" s="69"/>
      <c r="AI2526" s="69"/>
      <c r="AJ2526" s="69"/>
      <c r="AK2526" s="69"/>
      <c r="AL2526" s="69"/>
      <c r="AM2526" s="69"/>
      <c r="AN2526" s="69"/>
      <c r="AO2526" s="69"/>
      <c r="AP2526" s="69"/>
      <c r="AQ2526" s="69"/>
      <c r="AR2526" s="69"/>
      <c r="AS2526" s="69"/>
      <c r="AT2526" s="69"/>
      <c r="AU2526" s="69"/>
      <c r="AV2526" s="69"/>
      <c r="AW2526" s="69"/>
      <c r="AX2526" s="69"/>
      <c r="AY2526" s="69"/>
      <c r="AZ2526" s="69"/>
      <c r="BA2526" s="69"/>
      <c r="BB2526" s="69"/>
      <c r="BC2526" s="69"/>
    </row>
    <row r="2527">
      <c r="A2527" s="68"/>
      <c r="B2527" s="68"/>
      <c r="C2527" s="68"/>
      <c r="D2527" s="68"/>
      <c r="E2527" s="68"/>
      <c r="F2527" s="68"/>
      <c r="G2527" s="68"/>
      <c r="H2527" s="68"/>
      <c r="I2527" s="69"/>
      <c r="J2527" s="69"/>
      <c r="K2527" s="71"/>
      <c r="L2527" s="69"/>
      <c r="M2527" s="69"/>
      <c r="N2527" s="72"/>
      <c r="O2527" s="69"/>
      <c r="P2527" s="69"/>
      <c r="Q2527" s="69"/>
      <c r="R2527" s="69"/>
      <c r="S2527" s="69"/>
      <c r="T2527" s="69"/>
      <c r="U2527" s="69"/>
      <c r="V2527" s="69"/>
      <c r="W2527" s="69"/>
      <c r="X2527" s="69"/>
      <c r="Y2527" s="69"/>
      <c r="Z2527" s="69"/>
      <c r="AA2527" s="69"/>
      <c r="AB2527" s="69"/>
      <c r="AC2527" s="69"/>
      <c r="AD2527" s="69"/>
      <c r="AE2527" s="69"/>
      <c r="AF2527" s="69"/>
      <c r="AG2527" s="69"/>
      <c r="AH2527" s="69"/>
      <c r="AI2527" s="69"/>
      <c r="AJ2527" s="69"/>
      <c r="AK2527" s="69"/>
      <c r="AL2527" s="69"/>
      <c r="AM2527" s="69"/>
      <c r="AN2527" s="69"/>
      <c r="AO2527" s="69"/>
      <c r="AP2527" s="69"/>
      <c r="AQ2527" s="69"/>
      <c r="AR2527" s="69"/>
      <c r="AS2527" s="69"/>
      <c r="AT2527" s="69"/>
      <c r="AU2527" s="69"/>
      <c r="AV2527" s="69"/>
      <c r="AW2527" s="69"/>
      <c r="AX2527" s="69"/>
      <c r="AY2527" s="69"/>
      <c r="AZ2527" s="69"/>
      <c r="BA2527" s="69"/>
      <c r="BB2527" s="69"/>
      <c r="BC2527" s="69"/>
    </row>
    <row r="2528">
      <c r="A2528" s="68"/>
      <c r="B2528" s="68"/>
      <c r="C2528" s="68"/>
      <c r="D2528" s="68"/>
      <c r="E2528" s="68"/>
      <c r="F2528" s="68"/>
      <c r="G2528" s="68"/>
      <c r="H2528" s="68"/>
      <c r="I2528" s="69"/>
      <c r="J2528" s="69"/>
      <c r="K2528" s="71"/>
      <c r="L2528" s="69"/>
      <c r="M2528" s="69"/>
      <c r="N2528" s="72"/>
      <c r="O2528" s="69"/>
      <c r="P2528" s="69"/>
      <c r="Q2528" s="69"/>
      <c r="R2528" s="69"/>
      <c r="S2528" s="69"/>
      <c r="T2528" s="69"/>
      <c r="U2528" s="69"/>
      <c r="V2528" s="69"/>
      <c r="W2528" s="69"/>
      <c r="X2528" s="69"/>
      <c r="Y2528" s="69"/>
      <c r="Z2528" s="69"/>
      <c r="AA2528" s="69"/>
      <c r="AB2528" s="69"/>
      <c r="AC2528" s="69"/>
      <c r="AD2528" s="69"/>
      <c r="AE2528" s="69"/>
      <c r="AF2528" s="69"/>
      <c r="AG2528" s="69"/>
      <c r="AH2528" s="69"/>
      <c r="AI2528" s="69"/>
      <c r="AJ2528" s="69"/>
      <c r="AK2528" s="69"/>
      <c r="AL2528" s="69"/>
      <c r="AM2528" s="69"/>
      <c r="AN2528" s="69"/>
      <c r="AO2528" s="69"/>
      <c r="AP2528" s="69"/>
      <c r="AQ2528" s="69"/>
      <c r="AR2528" s="69"/>
      <c r="AS2528" s="69"/>
      <c r="AT2528" s="69"/>
      <c r="AU2528" s="69"/>
      <c r="AV2528" s="69"/>
      <c r="AW2528" s="69"/>
      <c r="AX2528" s="69"/>
      <c r="AY2528" s="69"/>
      <c r="AZ2528" s="69"/>
      <c r="BA2528" s="69"/>
      <c r="BB2528" s="69"/>
      <c r="BC2528" s="69"/>
    </row>
    <row r="2529">
      <c r="A2529" s="68"/>
      <c r="B2529" s="68"/>
      <c r="C2529" s="68"/>
      <c r="D2529" s="68"/>
      <c r="E2529" s="68"/>
      <c r="F2529" s="68"/>
      <c r="G2529" s="68"/>
      <c r="H2529" s="68"/>
      <c r="I2529" s="69"/>
      <c r="J2529" s="69"/>
      <c r="K2529" s="71"/>
      <c r="L2529" s="69"/>
      <c r="M2529" s="69"/>
      <c r="N2529" s="72"/>
      <c r="O2529" s="69"/>
      <c r="P2529" s="69"/>
      <c r="Q2529" s="69"/>
      <c r="R2529" s="69"/>
      <c r="S2529" s="69"/>
      <c r="T2529" s="69"/>
      <c r="U2529" s="69"/>
      <c r="V2529" s="69"/>
      <c r="W2529" s="69"/>
      <c r="X2529" s="69"/>
      <c r="Y2529" s="69"/>
      <c r="Z2529" s="69"/>
      <c r="AA2529" s="69"/>
      <c r="AB2529" s="69"/>
      <c r="AC2529" s="69"/>
      <c r="AD2529" s="69"/>
      <c r="AE2529" s="69"/>
      <c r="AF2529" s="69"/>
      <c r="AG2529" s="69"/>
      <c r="AH2529" s="69"/>
      <c r="AI2529" s="69"/>
      <c r="AJ2529" s="69"/>
      <c r="AK2529" s="69"/>
      <c r="AL2529" s="69"/>
      <c r="AM2529" s="69"/>
      <c r="AN2529" s="69"/>
      <c r="AO2529" s="69"/>
      <c r="AP2529" s="69"/>
      <c r="AQ2529" s="69"/>
      <c r="AR2529" s="69"/>
      <c r="AS2529" s="69"/>
      <c r="AT2529" s="69"/>
      <c r="AU2529" s="69"/>
      <c r="AV2529" s="69"/>
      <c r="AW2529" s="69"/>
      <c r="AX2529" s="69"/>
      <c r="AY2529" s="69"/>
      <c r="AZ2529" s="69"/>
      <c r="BA2529" s="69"/>
      <c r="BB2529" s="69"/>
      <c r="BC2529" s="69"/>
    </row>
    <row r="2530">
      <c r="A2530" s="68"/>
      <c r="B2530" s="68"/>
      <c r="C2530" s="68"/>
      <c r="D2530" s="68"/>
      <c r="E2530" s="68"/>
      <c r="F2530" s="68"/>
      <c r="G2530" s="68"/>
      <c r="H2530" s="68"/>
      <c r="I2530" s="69"/>
      <c r="J2530" s="69"/>
      <c r="K2530" s="71"/>
      <c r="L2530" s="69"/>
      <c r="M2530" s="69"/>
      <c r="N2530" s="72"/>
      <c r="O2530" s="69"/>
      <c r="P2530" s="69"/>
      <c r="Q2530" s="69"/>
      <c r="R2530" s="69"/>
      <c r="S2530" s="69"/>
      <c r="T2530" s="69"/>
      <c r="U2530" s="69"/>
      <c r="V2530" s="69"/>
      <c r="W2530" s="69"/>
      <c r="X2530" s="69"/>
      <c r="Y2530" s="69"/>
      <c r="Z2530" s="69"/>
      <c r="AA2530" s="69"/>
      <c r="AB2530" s="69"/>
      <c r="AC2530" s="69"/>
      <c r="AD2530" s="69"/>
      <c r="AE2530" s="69"/>
      <c r="AF2530" s="69"/>
      <c r="AG2530" s="69"/>
      <c r="AH2530" s="69"/>
      <c r="AI2530" s="69"/>
      <c r="AJ2530" s="69"/>
      <c r="AK2530" s="69"/>
      <c r="AL2530" s="69"/>
      <c r="AM2530" s="69"/>
      <c r="AN2530" s="69"/>
      <c r="AO2530" s="69"/>
      <c r="AP2530" s="69"/>
      <c r="AQ2530" s="69"/>
      <c r="AR2530" s="69"/>
      <c r="AS2530" s="69"/>
      <c r="AT2530" s="69"/>
      <c r="AU2530" s="69"/>
      <c r="AV2530" s="69"/>
      <c r="AW2530" s="69"/>
      <c r="AX2530" s="69"/>
      <c r="AY2530" s="69"/>
      <c r="AZ2530" s="69"/>
      <c r="BA2530" s="69"/>
      <c r="BB2530" s="69"/>
      <c r="BC2530" s="69"/>
    </row>
    <row r="2531">
      <c r="A2531" s="68"/>
      <c r="B2531" s="68"/>
      <c r="C2531" s="68"/>
      <c r="D2531" s="68"/>
      <c r="E2531" s="68"/>
      <c r="F2531" s="68"/>
      <c r="G2531" s="68"/>
      <c r="H2531" s="68"/>
      <c r="I2531" s="69"/>
      <c r="J2531" s="69"/>
      <c r="K2531" s="71"/>
      <c r="L2531" s="69"/>
      <c r="M2531" s="69"/>
      <c r="N2531" s="72"/>
      <c r="O2531" s="69"/>
      <c r="P2531" s="69"/>
      <c r="Q2531" s="69"/>
      <c r="R2531" s="69"/>
      <c r="S2531" s="69"/>
      <c r="T2531" s="69"/>
      <c r="U2531" s="69"/>
      <c r="V2531" s="69"/>
      <c r="W2531" s="69"/>
      <c r="X2531" s="69"/>
      <c r="Y2531" s="69"/>
      <c r="Z2531" s="69"/>
      <c r="AA2531" s="69"/>
      <c r="AB2531" s="69"/>
      <c r="AC2531" s="69"/>
      <c r="AD2531" s="69"/>
      <c r="AE2531" s="69"/>
      <c r="AF2531" s="69"/>
      <c r="AG2531" s="69"/>
      <c r="AH2531" s="69"/>
      <c r="AI2531" s="69"/>
      <c r="AJ2531" s="69"/>
      <c r="AK2531" s="69"/>
      <c r="AL2531" s="69"/>
      <c r="AM2531" s="69"/>
      <c r="AN2531" s="69"/>
      <c r="AO2531" s="69"/>
      <c r="AP2531" s="69"/>
      <c r="AQ2531" s="69"/>
      <c r="AR2531" s="69"/>
      <c r="AS2531" s="69"/>
      <c r="AT2531" s="69"/>
      <c r="AU2531" s="69"/>
      <c r="AV2531" s="69"/>
      <c r="AW2531" s="69"/>
      <c r="AX2531" s="69"/>
      <c r="AY2531" s="69"/>
      <c r="AZ2531" s="69"/>
      <c r="BA2531" s="69"/>
      <c r="BB2531" s="69"/>
      <c r="BC2531" s="69"/>
    </row>
    <row r="2532">
      <c r="A2532" s="68"/>
      <c r="B2532" s="68"/>
      <c r="C2532" s="68"/>
      <c r="D2532" s="68"/>
      <c r="E2532" s="68"/>
      <c r="F2532" s="68"/>
      <c r="G2532" s="68"/>
      <c r="H2532" s="68"/>
      <c r="I2532" s="69"/>
      <c r="J2532" s="69"/>
      <c r="K2532" s="71"/>
      <c r="L2532" s="69"/>
      <c r="M2532" s="69"/>
      <c r="N2532" s="72"/>
      <c r="O2532" s="69"/>
      <c r="P2532" s="69"/>
      <c r="Q2532" s="69"/>
      <c r="R2532" s="69"/>
      <c r="S2532" s="69"/>
      <c r="T2532" s="69"/>
      <c r="U2532" s="69"/>
      <c r="V2532" s="69"/>
      <c r="W2532" s="69"/>
      <c r="X2532" s="69"/>
      <c r="Y2532" s="69"/>
      <c r="Z2532" s="69"/>
      <c r="AA2532" s="69"/>
      <c r="AB2532" s="69"/>
      <c r="AC2532" s="69"/>
      <c r="AD2532" s="69"/>
      <c r="AE2532" s="69"/>
      <c r="AF2532" s="69"/>
      <c r="AG2532" s="69"/>
      <c r="AH2532" s="69"/>
      <c r="AI2532" s="69"/>
      <c r="AJ2532" s="69"/>
      <c r="AK2532" s="69"/>
      <c r="AL2532" s="69"/>
      <c r="AM2532" s="69"/>
      <c r="AN2532" s="69"/>
      <c r="AO2532" s="69"/>
      <c r="AP2532" s="69"/>
      <c r="AQ2532" s="69"/>
      <c r="AR2532" s="69"/>
      <c r="AS2532" s="69"/>
      <c r="AT2532" s="69"/>
      <c r="AU2532" s="69"/>
      <c r="AV2532" s="69"/>
      <c r="AW2532" s="69"/>
      <c r="AX2532" s="69"/>
      <c r="AY2532" s="69"/>
      <c r="AZ2532" s="69"/>
      <c r="BA2532" s="69"/>
      <c r="BB2532" s="69"/>
      <c r="BC2532" s="69"/>
    </row>
    <row r="2533">
      <c r="A2533" s="68"/>
      <c r="B2533" s="68"/>
      <c r="C2533" s="68"/>
      <c r="D2533" s="68"/>
      <c r="E2533" s="68"/>
      <c r="F2533" s="68"/>
      <c r="G2533" s="68"/>
      <c r="H2533" s="68"/>
      <c r="I2533" s="69"/>
      <c r="J2533" s="69"/>
      <c r="K2533" s="71"/>
      <c r="L2533" s="69"/>
      <c r="M2533" s="69"/>
      <c r="N2533" s="72"/>
      <c r="O2533" s="69"/>
      <c r="P2533" s="69"/>
      <c r="Q2533" s="69"/>
      <c r="R2533" s="69"/>
      <c r="S2533" s="69"/>
      <c r="T2533" s="69"/>
      <c r="U2533" s="69"/>
      <c r="V2533" s="69"/>
      <c r="W2533" s="69"/>
      <c r="X2533" s="69"/>
      <c r="Y2533" s="69"/>
      <c r="Z2533" s="69"/>
      <c r="AA2533" s="69"/>
      <c r="AB2533" s="69"/>
      <c r="AC2533" s="69"/>
      <c r="AD2533" s="69"/>
      <c r="AE2533" s="69"/>
      <c r="AF2533" s="69"/>
      <c r="AG2533" s="69"/>
      <c r="AH2533" s="69"/>
      <c r="AI2533" s="69"/>
      <c r="AJ2533" s="69"/>
      <c r="AK2533" s="69"/>
      <c r="AL2533" s="69"/>
      <c r="AM2533" s="69"/>
      <c r="AN2533" s="69"/>
      <c r="AO2533" s="69"/>
      <c r="AP2533" s="69"/>
      <c r="AQ2533" s="69"/>
      <c r="AR2533" s="69"/>
      <c r="AS2533" s="69"/>
      <c r="AT2533" s="69"/>
      <c r="AU2533" s="69"/>
      <c r="AV2533" s="69"/>
      <c r="AW2533" s="69"/>
      <c r="AX2533" s="69"/>
      <c r="AY2533" s="69"/>
      <c r="AZ2533" s="69"/>
      <c r="BA2533" s="69"/>
      <c r="BB2533" s="69"/>
      <c r="BC2533" s="69"/>
    </row>
    <row r="2534">
      <c r="A2534" s="68"/>
      <c r="B2534" s="68"/>
      <c r="C2534" s="68"/>
      <c r="D2534" s="68"/>
      <c r="E2534" s="68"/>
      <c r="F2534" s="68"/>
      <c r="G2534" s="68"/>
      <c r="H2534" s="68"/>
      <c r="I2534" s="69"/>
      <c r="J2534" s="69"/>
      <c r="K2534" s="71"/>
      <c r="L2534" s="69"/>
      <c r="M2534" s="69"/>
      <c r="N2534" s="72"/>
      <c r="O2534" s="69"/>
      <c r="P2534" s="69"/>
      <c r="Q2534" s="69"/>
      <c r="R2534" s="69"/>
      <c r="S2534" s="69"/>
      <c r="T2534" s="69"/>
      <c r="U2534" s="69"/>
      <c r="V2534" s="69"/>
      <c r="W2534" s="69"/>
      <c r="X2534" s="69"/>
      <c r="Y2534" s="69"/>
      <c r="Z2534" s="69"/>
      <c r="AA2534" s="69"/>
      <c r="AB2534" s="69"/>
      <c r="AC2534" s="69"/>
      <c r="AD2534" s="69"/>
      <c r="AE2534" s="69"/>
      <c r="AF2534" s="69"/>
      <c r="AG2534" s="69"/>
      <c r="AH2534" s="69"/>
      <c r="AI2534" s="69"/>
      <c r="AJ2534" s="69"/>
      <c r="AK2534" s="69"/>
      <c r="AL2534" s="69"/>
      <c r="AM2534" s="69"/>
      <c r="AN2534" s="69"/>
      <c r="AO2534" s="69"/>
      <c r="AP2534" s="69"/>
      <c r="AQ2534" s="69"/>
      <c r="AR2534" s="69"/>
      <c r="AS2534" s="69"/>
      <c r="AT2534" s="69"/>
      <c r="AU2534" s="69"/>
      <c r="AV2534" s="69"/>
      <c r="AW2534" s="69"/>
      <c r="AX2534" s="69"/>
      <c r="AY2534" s="69"/>
      <c r="AZ2534" s="69"/>
      <c r="BA2534" s="69"/>
      <c r="BB2534" s="69"/>
      <c r="BC2534" s="69"/>
    </row>
    <row r="2535">
      <c r="A2535" s="68"/>
      <c r="B2535" s="68"/>
      <c r="C2535" s="68"/>
      <c r="D2535" s="68"/>
      <c r="E2535" s="68"/>
      <c r="F2535" s="68"/>
      <c r="G2535" s="68"/>
      <c r="H2535" s="68"/>
      <c r="I2535" s="69"/>
      <c r="J2535" s="69"/>
      <c r="K2535" s="71"/>
      <c r="L2535" s="69"/>
      <c r="M2535" s="69"/>
      <c r="N2535" s="72"/>
      <c r="O2535" s="69"/>
      <c r="P2535" s="69"/>
      <c r="Q2535" s="69"/>
      <c r="R2535" s="69"/>
      <c r="S2535" s="69"/>
      <c r="T2535" s="69"/>
      <c r="U2535" s="69"/>
      <c r="V2535" s="69"/>
      <c r="W2535" s="69"/>
      <c r="X2535" s="69"/>
      <c r="Y2535" s="69"/>
      <c r="Z2535" s="69"/>
      <c r="AA2535" s="69"/>
      <c r="AB2535" s="69"/>
      <c r="AC2535" s="69"/>
      <c r="AD2535" s="69"/>
      <c r="AE2535" s="69"/>
      <c r="AF2535" s="69"/>
      <c r="AG2535" s="69"/>
      <c r="AH2535" s="69"/>
      <c r="AI2535" s="69"/>
      <c r="AJ2535" s="69"/>
      <c r="AK2535" s="69"/>
      <c r="AL2535" s="69"/>
      <c r="AM2535" s="69"/>
      <c r="AN2535" s="69"/>
      <c r="AO2535" s="69"/>
      <c r="AP2535" s="69"/>
      <c r="AQ2535" s="69"/>
      <c r="AR2535" s="69"/>
      <c r="AS2535" s="69"/>
      <c r="AT2535" s="69"/>
      <c r="AU2535" s="69"/>
      <c r="AV2535" s="69"/>
      <c r="AW2535" s="69"/>
      <c r="AX2535" s="69"/>
      <c r="AY2535" s="69"/>
      <c r="AZ2535" s="69"/>
      <c r="BA2535" s="69"/>
      <c r="BB2535" s="69"/>
      <c r="BC2535" s="69"/>
    </row>
    <row r="2536">
      <c r="A2536" s="68"/>
      <c r="B2536" s="68"/>
      <c r="C2536" s="68"/>
      <c r="D2536" s="68"/>
      <c r="E2536" s="68"/>
      <c r="F2536" s="68"/>
      <c r="G2536" s="68"/>
      <c r="H2536" s="68"/>
      <c r="I2536" s="69"/>
      <c r="J2536" s="69"/>
      <c r="K2536" s="71"/>
      <c r="L2536" s="69"/>
      <c r="M2536" s="69"/>
      <c r="N2536" s="72"/>
      <c r="O2536" s="69"/>
      <c r="P2536" s="69"/>
      <c r="Q2536" s="69"/>
      <c r="R2536" s="69"/>
      <c r="S2536" s="69"/>
      <c r="T2536" s="69"/>
      <c r="U2536" s="69"/>
      <c r="V2536" s="69"/>
      <c r="W2536" s="69"/>
      <c r="X2536" s="69"/>
      <c r="Y2536" s="69"/>
      <c r="Z2536" s="69"/>
      <c r="AA2536" s="69"/>
      <c r="AB2536" s="69"/>
      <c r="AC2536" s="69"/>
      <c r="AD2536" s="69"/>
      <c r="AE2536" s="69"/>
      <c r="AF2536" s="69"/>
      <c r="AG2536" s="69"/>
      <c r="AH2536" s="69"/>
      <c r="AI2536" s="69"/>
      <c r="AJ2536" s="69"/>
      <c r="AK2536" s="69"/>
      <c r="AL2536" s="69"/>
      <c r="AM2536" s="69"/>
      <c r="AN2536" s="69"/>
      <c r="AO2536" s="69"/>
      <c r="AP2536" s="69"/>
      <c r="AQ2536" s="69"/>
      <c r="AR2536" s="69"/>
      <c r="AS2536" s="69"/>
      <c r="AT2536" s="69"/>
      <c r="AU2536" s="69"/>
      <c r="AV2536" s="69"/>
      <c r="AW2536" s="69"/>
      <c r="AX2536" s="69"/>
      <c r="AY2536" s="69"/>
      <c r="AZ2536" s="69"/>
      <c r="BA2536" s="69"/>
      <c r="BB2536" s="69"/>
      <c r="BC2536" s="69"/>
    </row>
    <row r="2537">
      <c r="A2537" s="68"/>
      <c r="B2537" s="68"/>
      <c r="C2537" s="68"/>
      <c r="D2537" s="68"/>
      <c r="E2537" s="68"/>
      <c r="F2537" s="68"/>
      <c r="G2537" s="68"/>
      <c r="H2537" s="68"/>
      <c r="I2537" s="69"/>
      <c r="J2537" s="69"/>
      <c r="K2537" s="71"/>
      <c r="L2537" s="69"/>
      <c r="M2537" s="69"/>
      <c r="N2537" s="72"/>
      <c r="O2537" s="69"/>
      <c r="P2537" s="69"/>
      <c r="Q2537" s="69"/>
      <c r="R2537" s="69"/>
      <c r="S2537" s="69"/>
      <c r="T2537" s="69"/>
      <c r="U2537" s="69"/>
      <c r="V2537" s="69"/>
      <c r="W2537" s="69"/>
      <c r="X2537" s="69"/>
      <c r="Y2537" s="69"/>
      <c r="Z2537" s="69"/>
      <c r="AA2537" s="69"/>
      <c r="AB2537" s="69"/>
      <c r="AC2537" s="69"/>
      <c r="AD2537" s="69"/>
      <c r="AE2537" s="69"/>
      <c r="AF2537" s="69"/>
      <c r="AG2537" s="69"/>
      <c r="AH2537" s="69"/>
      <c r="AI2537" s="69"/>
      <c r="AJ2537" s="69"/>
      <c r="AK2537" s="69"/>
      <c r="AL2537" s="69"/>
      <c r="AM2537" s="69"/>
      <c r="AN2537" s="69"/>
      <c r="AO2537" s="69"/>
      <c r="AP2537" s="69"/>
      <c r="AQ2537" s="69"/>
      <c r="AR2537" s="69"/>
      <c r="AS2537" s="69"/>
      <c r="AT2537" s="69"/>
      <c r="AU2537" s="69"/>
      <c r="AV2537" s="69"/>
      <c r="AW2537" s="69"/>
      <c r="AX2537" s="69"/>
      <c r="AY2537" s="69"/>
      <c r="AZ2537" s="69"/>
      <c r="BA2537" s="69"/>
      <c r="BB2537" s="69"/>
      <c r="BC2537" s="69"/>
    </row>
    <row r="2538">
      <c r="A2538" s="68"/>
      <c r="B2538" s="68"/>
      <c r="C2538" s="68"/>
      <c r="D2538" s="68"/>
      <c r="E2538" s="68"/>
      <c r="F2538" s="68"/>
      <c r="G2538" s="68"/>
      <c r="H2538" s="68"/>
      <c r="I2538" s="69"/>
      <c r="J2538" s="69"/>
      <c r="K2538" s="71"/>
      <c r="L2538" s="69"/>
      <c r="M2538" s="69"/>
      <c r="N2538" s="72"/>
      <c r="O2538" s="69"/>
      <c r="P2538" s="69"/>
      <c r="Q2538" s="69"/>
      <c r="R2538" s="69"/>
      <c r="S2538" s="69"/>
      <c r="T2538" s="69"/>
      <c r="U2538" s="69"/>
      <c r="V2538" s="69"/>
      <c r="W2538" s="69"/>
      <c r="X2538" s="69"/>
      <c r="Y2538" s="69"/>
      <c r="Z2538" s="69"/>
      <c r="AA2538" s="69"/>
      <c r="AB2538" s="69"/>
      <c r="AC2538" s="69"/>
      <c r="AD2538" s="69"/>
      <c r="AE2538" s="69"/>
      <c r="AF2538" s="69"/>
      <c r="AG2538" s="69"/>
      <c r="AH2538" s="69"/>
      <c r="AI2538" s="69"/>
      <c r="AJ2538" s="69"/>
      <c r="AK2538" s="69"/>
      <c r="AL2538" s="69"/>
      <c r="AM2538" s="69"/>
      <c r="AN2538" s="69"/>
      <c r="AO2538" s="69"/>
      <c r="AP2538" s="69"/>
      <c r="AQ2538" s="69"/>
      <c r="AR2538" s="69"/>
      <c r="AS2538" s="69"/>
      <c r="AT2538" s="69"/>
      <c r="AU2538" s="69"/>
      <c r="AV2538" s="69"/>
      <c r="AW2538" s="69"/>
      <c r="AX2538" s="69"/>
      <c r="AY2538" s="69"/>
      <c r="AZ2538" s="69"/>
      <c r="BA2538" s="69"/>
      <c r="BB2538" s="69"/>
      <c r="BC2538" s="69"/>
    </row>
    <row r="2539">
      <c r="A2539" s="68"/>
      <c r="B2539" s="68"/>
      <c r="C2539" s="68"/>
      <c r="D2539" s="68"/>
      <c r="E2539" s="68"/>
      <c r="F2539" s="68"/>
      <c r="G2539" s="68"/>
      <c r="H2539" s="68"/>
      <c r="I2539" s="69"/>
      <c r="J2539" s="69"/>
      <c r="K2539" s="71"/>
      <c r="L2539" s="69"/>
      <c r="M2539" s="69"/>
      <c r="N2539" s="72"/>
      <c r="O2539" s="69"/>
      <c r="P2539" s="69"/>
      <c r="Q2539" s="69"/>
      <c r="R2539" s="69"/>
      <c r="S2539" s="69"/>
      <c r="T2539" s="69"/>
      <c r="U2539" s="69"/>
      <c r="V2539" s="69"/>
      <c r="W2539" s="69"/>
      <c r="X2539" s="69"/>
      <c r="Y2539" s="69"/>
      <c r="Z2539" s="69"/>
      <c r="AA2539" s="69"/>
      <c r="AB2539" s="69"/>
      <c r="AC2539" s="69"/>
      <c r="AD2539" s="69"/>
      <c r="AE2539" s="69"/>
      <c r="AF2539" s="69"/>
      <c r="AG2539" s="69"/>
      <c r="AH2539" s="69"/>
      <c r="AI2539" s="69"/>
      <c r="AJ2539" s="69"/>
      <c r="AK2539" s="69"/>
      <c r="AL2539" s="69"/>
      <c r="AM2539" s="69"/>
      <c r="AN2539" s="69"/>
      <c r="AO2539" s="69"/>
      <c r="AP2539" s="69"/>
      <c r="AQ2539" s="69"/>
      <c r="AR2539" s="69"/>
      <c r="AS2539" s="69"/>
      <c r="AT2539" s="69"/>
      <c r="AU2539" s="69"/>
      <c r="AV2539" s="69"/>
      <c r="AW2539" s="69"/>
      <c r="AX2539" s="69"/>
      <c r="AY2539" s="69"/>
      <c r="AZ2539" s="69"/>
      <c r="BA2539" s="69"/>
      <c r="BB2539" s="69"/>
      <c r="BC2539" s="69"/>
    </row>
    <row r="2540">
      <c r="A2540" s="68"/>
      <c r="B2540" s="68"/>
      <c r="C2540" s="68"/>
      <c r="D2540" s="68"/>
      <c r="E2540" s="68"/>
      <c r="F2540" s="68"/>
      <c r="G2540" s="68"/>
      <c r="H2540" s="68"/>
      <c r="I2540" s="69"/>
      <c r="J2540" s="69"/>
      <c r="K2540" s="71"/>
      <c r="L2540" s="69"/>
      <c r="M2540" s="69"/>
      <c r="N2540" s="72"/>
      <c r="O2540" s="69"/>
      <c r="P2540" s="69"/>
      <c r="Q2540" s="69"/>
      <c r="R2540" s="69"/>
      <c r="S2540" s="69"/>
      <c r="T2540" s="69"/>
      <c r="U2540" s="69"/>
      <c r="V2540" s="69"/>
      <c r="W2540" s="69"/>
      <c r="X2540" s="69"/>
      <c r="Y2540" s="69"/>
      <c r="Z2540" s="69"/>
      <c r="AA2540" s="69"/>
      <c r="AB2540" s="69"/>
      <c r="AC2540" s="69"/>
      <c r="AD2540" s="69"/>
      <c r="AE2540" s="69"/>
      <c r="AF2540" s="69"/>
      <c r="AG2540" s="69"/>
      <c r="AH2540" s="69"/>
      <c r="AI2540" s="69"/>
      <c r="AJ2540" s="69"/>
      <c r="AK2540" s="69"/>
      <c r="AL2540" s="69"/>
      <c r="AM2540" s="69"/>
      <c r="AN2540" s="69"/>
      <c r="AO2540" s="69"/>
      <c r="AP2540" s="69"/>
      <c r="AQ2540" s="69"/>
      <c r="AR2540" s="69"/>
      <c r="AS2540" s="69"/>
      <c r="AT2540" s="69"/>
      <c r="AU2540" s="69"/>
      <c r="AV2540" s="69"/>
      <c r="AW2540" s="69"/>
      <c r="AX2540" s="69"/>
      <c r="AY2540" s="69"/>
      <c r="AZ2540" s="69"/>
      <c r="BA2540" s="69"/>
      <c r="BB2540" s="69"/>
      <c r="BC2540" s="69"/>
    </row>
    <row r="2541">
      <c r="A2541" s="68"/>
      <c r="B2541" s="68"/>
      <c r="C2541" s="68"/>
      <c r="D2541" s="68"/>
      <c r="E2541" s="68"/>
      <c r="F2541" s="68"/>
      <c r="G2541" s="68"/>
      <c r="H2541" s="68"/>
      <c r="I2541" s="69"/>
      <c r="J2541" s="69"/>
      <c r="K2541" s="71"/>
      <c r="L2541" s="69"/>
      <c r="M2541" s="69"/>
      <c r="N2541" s="72"/>
      <c r="O2541" s="69"/>
      <c r="P2541" s="69"/>
      <c r="Q2541" s="69"/>
      <c r="R2541" s="69"/>
      <c r="S2541" s="69"/>
      <c r="T2541" s="69"/>
      <c r="U2541" s="69"/>
      <c r="V2541" s="69"/>
      <c r="W2541" s="69"/>
      <c r="X2541" s="69"/>
      <c r="Y2541" s="69"/>
      <c r="Z2541" s="69"/>
      <c r="AA2541" s="69"/>
      <c r="AB2541" s="69"/>
      <c r="AC2541" s="69"/>
      <c r="AD2541" s="69"/>
      <c r="AE2541" s="69"/>
      <c r="AF2541" s="69"/>
      <c r="AG2541" s="69"/>
      <c r="AH2541" s="69"/>
      <c r="AI2541" s="69"/>
      <c r="AJ2541" s="69"/>
      <c r="AK2541" s="69"/>
      <c r="AL2541" s="69"/>
      <c r="AM2541" s="69"/>
      <c r="AN2541" s="69"/>
      <c r="AO2541" s="69"/>
      <c r="AP2541" s="69"/>
      <c r="AQ2541" s="69"/>
      <c r="AR2541" s="69"/>
      <c r="AS2541" s="69"/>
      <c r="AT2541" s="69"/>
      <c r="AU2541" s="69"/>
      <c r="AV2541" s="69"/>
      <c r="AW2541" s="69"/>
      <c r="AX2541" s="69"/>
      <c r="AY2541" s="69"/>
      <c r="AZ2541" s="69"/>
      <c r="BA2541" s="69"/>
      <c r="BB2541" s="69"/>
      <c r="BC2541" s="69"/>
    </row>
    <row r="2542">
      <c r="A2542" s="68"/>
      <c r="B2542" s="68"/>
      <c r="C2542" s="68"/>
      <c r="D2542" s="68"/>
      <c r="E2542" s="68"/>
      <c r="F2542" s="68"/>
      <c r="G2542" s="68"/>
      <c r="H2542" s="68"/>
      <c r="I2542" s="69"/>
      <c r="J2542" s="69"/>
      <c r="K2542" s="71"/>
      <c r="L2542" s="69"/>
      <c r="M2542" s="69"/>
      <c r="N2542" s="72"/>
      <c r="O2542" s="69"/>
      <c r="P2542" s="69"/>
      <c r="Q2542" s="69"/>
      <c r="R2542" s="69"/>
      <c r="S2542" s="69"/>
      <c r="T2542" s="69"/>
      <c r="U2542" s="69"/>
      <c r="V2542" s="69"/>
      <c r="W2542" s="69"/>
      <c r="X2542" s="69"/>
      <c r="Y2542" s="69"/>
      <c r="Z2542" s="69"/>
      <c r="AA2542" s="69"/>
      <c r="AB2542" s="69"/>
      <c r="AC2542" s="69"/>
      <c r="AD2542" s="69"/>
      <c r="AE2542" s="69"/>
      <c r="AF2542" s="69"/>
      <c r="AG2542" s="69"/>
      <c r="AH2542" s="69"/>
      <c r="AI2542" s="69"/>
      <c r="AJ2542" s="69"/>
      <c r="AK2542" s="69"/>
      <c r="AL2542" s="69"/>
      <c r="AM2542" s="69"/>
      <c r="AN2542" s="69"/>
      <c r="AO2542" s="69"/>
      <c r="AP2542" s="69"/>
      <c r="AQ2542" s="69"/>
      <c r="AR2542" s="69"/>
      <c r="AS2542" s="69"/>
      <c r="AT2542" s="69"/>
      <c r="AU2542" s="69"/>
      <c r="AV2542" s="69"/>
      <c r="AW2542" s="69"/>
      <c r="AX2542" s="69"/>
      <c r="AY2542" s="69"/>
      <c r="AZ2542" s="69"/>
      <c r="BA2542" s="69"/>
      <c r="BB2542" s="69"/>
      <c r="BC2542" s="69"/>
    </row>
    <row r="2543">
      <c r="A2543" s="68"/>
      <c r="B2543" s="68"/>
      <c r="C2543" s="68"/>
      <c r="D2543" s="68"/>
      <c r="E2543" s="68"/>
      <c r="F2543" s="68"/>
      <c r="G2543" s="68"/>
      <c r="H2543" s="68"/>
      <c r="I2543" s="69"/>
      <c r="J2543" s="69"/>
      <c r="K2543" s="71"/>
      <c r="L2543" s="69"/>
      <c r="M2543" s="69"/>
      <c r="N2543" s="72"/>
      <c r="O2543" s="69"/>
      <c r="P2543" s="69"/>
      <c r="Q2543" s="69"/>
      <c r="R2543" s="69"/>
      <c r="S2543" s="69"/>
      <c r="T2543" s="69"/>
      <c r="U2543" s="69"/>
      <c r="V2543" s="69"/>
      <c r="W2543" s="69"/>
      <c r="X2543" s="69"/>
      <c r="Y2543" s="69"/>
      <c r="Z2543" s="69"/>
      <c r="AA2543" s="69"/>
      <c r="AB2543" s="69"/>
      <c r="AC2543" s="69"/>
      <c r="AD2543" s="69"/>
      <c r="AE2543" s="69"/>
      <c r="AF2543" s="69"/>
      <c r="AG2543" s="69"/>
      <c r="AH2543" s="69"/>
      <c r="AI2543" s="69"/>
      <c r="AJ2543" s="69"/>
      <c r="AK2543" s="69"/>
      <c r="AL2543" s="69"/>
      <c r="AM2543" s="69"/>
      <c r="AN2543" s="69"/>
      <c r="AO2543" s="69"/>
      <c r="AP2543" s="69"/>
      <c r="AQ2543" s="69"/>
      <c r="AR2543" s="69"/>
      <c r="AS2543" s="69"/>
      <c r="AT2543" s="69"/>
      <c r="AU2543" s="69"/>
      <c r="AV2543" s="69"/>
      <c r="AW2543" s="69"/>
      <c r="AX2543" s="69"/>
      <c r="AY2543" s="69"/>
      <c r="AZ2543" s="69"/>
      <c r="BA2543" s="69"/>
      <c r="BB2543" s="69"/>
      <c r="BC2543" s="69"/>
    </row>
    <row r="2544">
      <c r="A2544" s="68"/>
      <c r="B2544" s="68"/>
      <c r="C2544" s="68"/>
      <c r="D2544" s="68"/>
      <c r="E2544" s="68"/>
      <c r="F2544" s="68"/>
      <c r="G2544" s="68"/>
      <c r="H2544" s="68"/>
      <c r="I2544" s="69"/>
      <c r="J2544" s="69"/>
      <c r="K2544" s="71"/>
      <c r="L2544" s="69"/>
      <c r="M2544" s="69"/>
      <c r="N2544" s="72"/>
      <c r="O2544" s="69"/>
      <c r="P2544" s="69"/>
      <c r="Q2544" s="69"/>
      <c r="R2544" s="69"/>
      <c r="S2544" s="69"/>
      <c r="T2544" s="69"/>
      <c r="U2544" s="69"/>
      <c r="V2544" s="69"/>
      <c r="W2544" s="69"/>
      <c r="X2544" s="69"/>
      <c r="Y2544" s="69"/>
      <c r="Z2544" s="69"/>
      <c r="AA2544" s="69"/>
      <c r="AB2544" s="69"/>
      <c r="AC2544" s="69"/>
      <c r="AD2544" s="69"/>
      <c r="AE2544" s="69"/>
      <c r="AF2544" s="69"/>
      <c r="AG2544" s="69"/>
      <c r="AH2544" s="69"/>
      <c r="AI2544" s="69"/>
      <c r="AJ2544" s="69"/>
      <c r="AK2544" s="69"/>
      <c r="AL2544" s="69"/>
      <c r="AM2544" s="69"/>
      <c r="AN2544" s="69"/>
      <c r="AO2544" s="69"/>
      <c r="AP2544" s="69"/>
      <c r="AQ2544" s="69"/>
      <c r="AR2544" s="69"/>
      <c r="AS2544" s="69"/>
      <c r="AT2544" s="69"/>
      <c r="AU2544" s="69"/>
      <c r="AV2544" s="69"/>
      <c r="AW2544" s="69"/>
      <c r="AX2544" s="69"/>
      <c r="AY2544" s="69"/>
      <c r="AZ2544" s="69"/>
      <c r="BA2544" s="69"/>
      <c r="BB2544" s="69"/>
      <c r="BC2544" s="69"/>
    </row>
    <row r="2545">
      <c r="A2545" s="68"/>
      <c r="B2545" s="68"/>
      <c r="C2545" s="68"/>
      <c r="D2545" s="68"/>
      <c r="E2545" s="68"/>
      <c r="F2545" s="68"/>
      <c r="G2545" s="68"/>
      <c r="H2545" s="68"/>
      <c r="I2545" s="69"/>
      <c r="J2545" s="69"/>
      <c r="K2545" s="71"/>
      <c r="L2545" s="69"/>
      <c r="M2545" s="69"/>
      <c r="N2545" s="72"/>
      <c r="O2545" s="69"/>
      <c r="P2545" s="69"/>
      <c r="Q2545" s="69"/>
      <c r="R2545" s="69"/>
      <c r="S2545" s="69"/>
      <c r="T2545" s="69"/>
      <c r="U2545" s="69"/>
      <c r="V2545" s="69"/>
      <c r="W2545" s="69"/>
      <c r="X2545" s="69"/>
      <c r="Y2545" s="69"/>
      <c r="Z2545" s="69"/>
      <c r="AA2545" s="69"/>
      <c r="AB2545" s="69"/>
      <c r="AC2545" s="69"/>
      <c r="AD2545" s="69"/>
      <c r="AE2545" s="69"/>
      <c r="AF2545" s="69"/>
      <c r="AG2545" s="69"/>
      <c r="AH2545" s="69"/>
      <c r="AI2545" s="69"/>
      <c r="AJ2545" s="69"/>
      <c r="AK2545" s="69"/>
      <c r="AL2545" s="69"/>
      <c r="AM2545" s="69"/>
      <c r="AN2545" s="69"/>
      <c r="AO2545" s="69"/>
      <c r="AP2545" s="69"/>
      <c r="AQ2545" s="69"/>
      <c r="AR2545" s="69"/>
      <c r="AS2545" s="69"/>
      <c r="AT2545" s="69"/>
      <c r="AU2545" s="69"/>
      <c r="AV2545" s="69"/>
      <c r="AW2545" s="69"/>
      <c r="AX2545" s="69"/>
      <c r="AY2545" s="69"/>
      <c r="AZ2545" s="69"/>
      <c r="BA2545" s="69"/>
      <c r="BB2545" s="69"/>
      <c r="BC2545" s="69"/>
    </row>
    <row r="2546">
      <c r="A2546" s="68"/>
      <c r="B2546" s="68"/>
      <c r="C2546" s="68"/>
      <c r="D2546" s="68"/>
      <c r="E2546" s="68"/>
      <c r="F2546" s="68"/>
      <c r="G2546" s="68"/>
      <c r="H2546" s="68"/>
      <c r="I2546" s="69"/>
      <c r="J2546" s="69"/>
      <c r="K2546" s="71"/>
      <c r="L2546" s="69"/>
      <c r="M2546" s="69"/>
      <c r="N2546" s="72"/>
      <c r="O2546" s="69"/>
      <c r="P2546" s="69"/>
      <c r="Q2546" s="69"/>
      <c r="R2546" s="69"/>
      <c r="S2546" s="69"/>
      <c r="T2546" s="69"/>
      <c r="U2546" s="69"/>
      <c r="V2546" s="69"/>
      <c r="W2546" s="69"/>
      <c r="X2546" s="69"/>
      <c r="Y2546" s="69"/>
      <c r="Z2546" s="69"/>
      <c r="AA2546" s="69"/>
      <c r="AB2546" s="69"/>
      <c r="AC2546" s="69"/>
      <c r="AD2546" s="69"/>
      <c r="AE2546" s="69"/>
      <c r="AF2546" s="69"/>
      <c r="AG2546" s="69"/>
      <c r="AH2546" s="69"/>
      <c r="AI2546" s="69"/>
      <c r="AJ2546" s="69"/>
      <c r="AK2546" s="69"/>
      <c r="AL2546" s="69"/>
      <c r="AM2546" s="69"/>
      <c r="AN2546" s="69"/>
      <c r="AO2546" s="69"/>
      <c r="AP2546" s="69"/>
      <c r="AQ2546" s="69"/>
      <c r="AR2546" s="69"/>
      <c r="AS2546" s="69"/>
      <c r="AT2546" s="69"/>
      <c r="AU2546" s="69"/>
      <c r="AV2546" s="69"/>
      <c r="AW2546" s="69"/>
      <c r="AX2546" s="69"/>
      <c r="AY2546" s="69"/>
      <c r="AZ2546" s="69"/>
      <c r="BA2546" s="69"/>
      <c r="BB2546" s="69"/>
      <c r="BC2546" s="69"/>
    </row>
    <row r="2547">
      <c r="A2547" s="68"/>
      <c r="B2547" s="68"/>
      <c r="C2547" s="68"/>
      <c r="D2547" s="68"/>
      <c r="E2547" s="68"/>
      <c r="F2547" s="68"/>
      <c r="G2547" s="68"/>
      <c r="H2547" s="68"/>
      <c r="I2547" s="69"/>
      <c r="J2547" s="69"/>
      <c r="K2547" s="71"/>
      <c r="L2547" s="69"/>
      <c r="M2547" s="69"/>
      <c r="N2547" s="72"/>
      <c r="O2547" s="69"/>
      <c r="P2547" s="69"/>
      <c r="Q2547" s="69"/>
      <c r="R2547" s="69"/>
      <c r="S2547" s="69"/>
      <c r="T2547" s="69"/>
      <c r="U2547" s="69"/>
      <c r="V2547" s="69"/>
      <c r="W2547" s="69"/>
      <c r="X2547" s="69"/>
      <c r="Y2547" s="69"/>
      <c r="Z2547" s="69"/>
      <c r="AA2547" s="69"/>
      <c r="AB2547" s="69"/>
      <c r="AC2547" s="69"/>
      <c r="AD2547" s="69"/>
      <c r="AE2547" s="69"/>
      <c r="AF2547" s="69"/>
      <c r="AG2547" s="69"/>
      <c r="AH2547" s="69"/>
      <c r="AI2547" s="69"/>
      <c r="AJ2547" s="69"/>
      <c r="AK2547" s="69"/>
      <c r="AL2547" s="69"/>
      <c r="AM2547" s="69"/>
      <c r="AN2547" s="69"/>
      <c r="AO2547" s="69"/>
      <c r="AP2547" s="69"/>
      <c r="AQ2547" s="69"/>
      <c r="AR2547" s="69"/>
      <c r="AS2547" s="69"/>
      <c r="AT2547" s="69"/>
      <c r="AU2547" s="69"/>
      <c r="AV2547" s="69"/>
      <c r="AW2547" s="69"/>
      <c r="AX2547" s="69"/>
      <c r="AY2547" s="69"/>
      <c r="AZ2547" s="69"/>
      <c r="BA2547" s="69"/>
      <c r="BB2547" s="69"/>
      <c r="BC2547" s="69"/>
    </row>
    <row r="2548">
      <c r="A2548" s="68"/>
      <c r="B2548" s="68"/>
      <c r="C2548" s="68"/>
      <c r="D2548" s="68"/>
      <c r="E2548" s="68"/>
      <c r="F2548" s="68"/>
      <c r="G2548" s="68"/>
      <c r="H2548" s="68"/>
      <c r="I2548" s="69"/>
      <c r="J2548" s="69"/>
      <c r="K2548" s="71"/>
      <c r="L2548" s="69"/>
      <c r="M2548" s="69"/>
      <c r="N2548" s="72"/>
      <c r="O2548" s="69"/>
      <c r="P2548" s="69"/>
      <c r="Q2548" s="69"/>
      <c r="R2548" s="69"/>
      <c r="S2548" s="69"/>
      <c r="T2548" s="69"/>
      <c r="U2548" s="69"/>
      <c r="V2548" s="69"/>
      <c r="W2548" s="69"/>
      <c r="X2548" s="69"/>
      <c r="Y2548" s="69"/>
      <c r="Z2548" s="69"/>
      <c r="AA2548" s="69"/>
      <c r="AB2548" s="69"/>
      <c r="AC2548" s="69"/>
      <c r="AD2548" s="69"/>
      <c r="AE2548" s="69"/>
      <c r="AF2548" s="69"/>
      <c r="AG2548" s="69"/>
      <c r="AH2548" s="69"/>
      <c r="AI2548" s="69"/>
      <c r="AJ2548" s="69"/>
      <c r="AK2548" s="69"/>
      <c r="AL2548" s="69"/>
      <c r="AM2548" s="69"/>
      <c r="AN2548" s="69"/>
      <c r="AO2548" s="69"/>
      <c r="AP2548" s="69"/>
      <c r="AQ2548" s="69"/>
      <c r="AR2548" s="69"/>
      <c r="AS2548" s="69"/>
      <c r="AT2548" s="69"/>
      <c r="AU2548" s="69"/>
      <c r="AV2548" s="69"/>
      <c r="AW2548" s="69"/>
      <c r="AX2548" s="69"/>
      <c r="AY2548" s="69"/>
      <c r="AZ2548" s="69"/>
      <c r="BA2548" s="69"/>
      <c r="BB2548" s="69"/>
      <c r="BC2548" s="69"/>
    </row>
    <row r="2549">
      <c r="A2549" s="68"/>
      <c r="B2549" s="68"/>
      <c r="C2549" s="68"/>
      <c r="D2549" s="68"/>
      <c r="E2549" s="68"/>
      <c r="F2549" s="68"/>
      <c r="G2549" s="68"/>
      <c r="H2549" s="68"/>
      <c r="I2549" s="69"/>
      <c r="J2549" s="69"/>
      <c r="K2549" s="71"/>
      <c r="L2549" s="69"/>
      <c r="M2549" s="69"/>
      <c r="N2549" s="72"/>
      <c r="O2549" s="69"/>
      <c r="P2549" s="69"/>
      <c r="Q2549" s="69"/>
      <c r="R2549" s="69"/>
      <c r="S2549" s="69"/>
      <c r="T2549" s="69"/>
      <c r="U2549" s="69"/>
      <c r="V2549" s="69"/>
      <c r="W2549" s="69"/>
      <c r="X2549" s="69"/>
      <c r="Y2549" s="69"/>
      <c r="Z2549" s="69"/>
      <c r="AA2549" s="69"/>
      <c r="AB2549" s="69"/>
      <c r="AC2549" s="69"/>
      <c r="AD2549" s="69"/>
      <c r="AE2549" s="69"/>
      <c r="AF2549" s="69"/>
      <c r="AG2549" s="69"/>
      <c r="AH2549" s="69"/>
      <c r="AI2549" s="69"/>
      <c r="AJ2549" s="69"/>
      <c r="AK2549" s="69"/>
      <c r="AL2549" s="69"/>
      <c r="AM2549" s="69"/>
      <c r="AN2549" s="69"/>
      <c r="AO2549" s="69"/>
      <c r="AP2549" s="69"/>
      <c r="AQ2549" s="69"/>
      <c r="AR2549" s="69"/>
      <c r="AS2549" s="69"/>
      <c r="AT2549" s="69"/>
      <c r="AU2549" s="69"/>
      <c r="AV2549" s="69"/>
      <c r="AW2549" s="69"/>
      <c r="AX2549" s="69"/>
      <c r="AY2549" s="69"/>
      <c r="AZ2549" s="69"/>
      <c r="BA2549" s="69"/>
      <c r="BB2549" s="69"/>
      <c r="BC2549" s="69"/>
    </row>
    <row r="2550">
      <c r="A2550" s="68"/>
      <c r="B2550" s="68"/>
      <c r="C2550" s="68"/>
      <c r="D2550" s="68"/>
      <c r="E2550" s="68"/>
      <c r="F2550" s="68"/>
      <c r="G2550" s="68"/>
      <c r="H2550" s="68"/>
      <c r="I2550" s="69"/>
      <c r="J2550" s="69"/>
      <c r="K2550" s="71"/>
      <c r="L2550" s="69"/>
      <c r="M2550" s="69"/>
      <c r="N2550" s="72"/>
      <c r="O2550" s="69"/>
      <c r="P2550" s="69"/>
      <c r="Q2550" s="69"/>
      <c r="R2550" s="69"/>
      <c r="S2550" s="69"/>
      <c r="T2550" s="69"/>
      <c r="U2550" s="69"/>
      <c r="V2550" s="69"/>
      <c r="W2550" s="69"/>
      <c r="X2550" s="69"/>
      <c r="Y2550" s="69"/>
      <c r="Z2550" s="69"/>
      <c r="AA2550" s="69"/>
      <c r="AB2550" s="69"/>
      <c r="AC2550" s="69"/>
      <c r="AD2550" s="69"/>
      <c r="AE2550" s="69"/>
      <c r="AF2550" s="69"/>
      <c r="AG2550" s="69"/>
      <c r="AH2550" s="69"/>
      <c r="AI2550" s="69"/>
      <c r="AJ2550" s="69"/>
      <c r="AK2550" s="69"/>
      <c r="AL2550" s="69"/>
      <c r="AM2550" s="69"/>
      <c r="AN2550" s="69"/>
      <c r="AO2550" s="69"/>
      <c r="AP2550" s="69"/>
      <c r="AQ2550" s="69"/>
      <c r="AR2550" s="69"/>
      <c r="AS2550" s="69"/>
      <c r="AT2550" s="69"/>
      <c r="AU2550" s="69"/>
      <c r="AV2550" s="69"/>
      <c r="AW2550" s="69"/>
      <c r="AX2550" s="69"/>
      <c r="AY2550" s="69"/>
      <c r="AZ2550" s="69"/>
      <c r="BA2550" s="69"/>
      <c r="BB2550" s="69"/>
      <c r="BC2550" s="69"/>
    </row>
    <row r="2551">
      <c r="A2551" s="68"/>
      <c r="B2551" s="68"/>
      <c r="C2551" s="68"/>
      <c r="D2551" s="68"/>
      <c r="E2551" s="68"/>
      <c r="F2551" s="68"/>
      <c r="G2551" s="68"/>
      <c r="H2551" s="68"/>
      <c r="I2551" s="69"/>
      <c r="J2551" s="69"/>
      <c r="K2551" s="71"/>
      <c r="L2551" s="69"/>
      <c r="M2551" s="69"/>
      <c r="N2551" s="72"/>
      <c r="O2551" s="69"/>
      <c r="P2551" s="69"/>
      <c r="Q2551" s="69"/>
      <c r="R2551" s="69"/>
      <c r="S2551" s="69"/>
      <c r="T2551" s="69"/>
      <c r="U2551" s="69"/>
      <c r="V2551" s="69"/>
      <c r="W2551" s="69"/>
      <c r="X2551" s="69"/>
      <c r="Y2551" s="69"/>
      <c r="Z2551" s="69"/>
      <c r="AA2551" s="69"/>
      <c r="AB2551" s="69"/>
      <c r="AC2551" s="69"/>
      <c r="AD2551" s="69"/>
      <c r="AE2551" s="69"/>
      <c r="AF2551" s="69"/>
      <c r="AG2551" s="69"/>
      <c r="AH2551" s="69"/>
      <c r="AI2551" s="69"/>
      <c r="AJ2551" s="69"/>
      <c r="AK2551" s="69"/>
      <c r="AL2551" s="69"/>
      <c r="AM2551" s="69"/>
      <c r="AN2551" s="69"/>
      <c r="AO2551" s="69"/>
      <c r="AP2551" s="69"/>
      <c r="AQ2551" s="69"/>
      <c r="AR2551" s="69"/>
      <c r="AS2551" s="69"/>
      <c r="AT2551" s="69"/>
      <c r="AU2551" s="69"/>
      <c r="AV2551" s="69"/>
      <c r="AW2551" s="69"/>
      <c r="AX2551" s="69"/>
      <c r="AY2551" s="69"/>
      <c r="AZ2551" s="69"/>
      <c r="BA2551" s="69"/>
      <c r="BB2551" s="69"/>
      <c r="BC2551" s="69"/>
    </row>
    <row r="2552">
      <c r="A2552" s="68"/>
      <c r="B2552" s="68"/>
      <c r="C2552" s="68"/>
      <c r="D2552" s="68"/>
      <c r="E2552" s="68"/>
      <c r="F2552" s="68"/>
      <c r="G2552" s="68"/>
      <c r="H2552" s="68"/>
      <c r="I2552" s="69"/>
      <c r="J2552" s="69"/>
      <c r="K2552" s="71"/>
      <c r="L2552" s="69"/>
      <c r="M2552" s="69"/>
      <c r="N2552" s="72"/>
      <c r="O2552" s="69"/>
      <c r="P2552" s="69"/>
      <c r="Q2552" s="69"/>
      <c r="R2552" s="69"/>
      <c r="S2552" s="69"/>
      <c r="T2552" s="69"/>
      <c r="U2552" s="69"/>
      <c r="V2552" s="69"/>
      <c r="W2552" s="69"/>
      <c r="X2552" s="69"/>
      <c r="Y2552" s="69"/>
      <c r="Z2552" s="69"/>
      <c r="AA2552" s="69"/>
      <c r="AB2552" s="69"/>
      <c r="AC2552" s="69"/>
      <c r="AD2552" s="69"/>
      <c r="AE2552" s="69"/>
      <c r="AF2552" s="69"/>
      <c r="AG2552" s="69"/>
      <c r="AH2552" s="69"/>
      <c r="AI2552" s="69"/>
      <c r="AJ2552" s="69"/>
      <c r="AK2552" s="69"/>
      <c r="AL2552" s="69"/>
      <c r="AM2552" s="69"/>
      <c r="AN2552" s="69"/>
      <c r="AO2552" s="69"/>
      <c r="AP2552" s="69"/>
      <c r="AQ2552" s="69"/>
      <c r="AR2552" s="69"/>
      <c r="AS2552" s="69"/>
      <c r="AT2552" s="69"/>
      <c r="AU2552" s="69"/>
      <c r="AV2552" s="69"/>
      <c r="AW2552" s="69"/>
      <c r="AX2552" s="69"/>
      <c r="AY2552" s="69"/>
      <c r="AZ2552" s="69"/>
      <c r="BA2552" s="69"/>
      <c r="BB2552" s="69"/>
      <c r="BC2552" s="69"/>
    </row>
    <row r="2553">
      <c r="A2553" s="68"/>
      <c r="B2553" s="68"/>
      <c r="C2553" s="68"/>
      <c r="D2553" s="68"/>
      <c r="E2553" s="68"/>
      <c r="F2553" s="68"/>
      <c r="G2553" s="68"/>
      <c r="H2553" s="68"/>
      <c r="I2553" s="69"/>
      <c r="J2553" s="69"/>
      <c r="K2553" s="71"/>
      <c r="L2553" s="69"/>
      <c r="M2553" s="69"/>
      <c r="N2553" s="72"/>
      <c r="O2553" s="69"/>
      <c r="P2553" s="69"/>
      <c r="Q2553" s="69"/>
      <c r="R2553" s="69"/>
      <c r="S2553" s="69"/>
      <c r="T2553" s="69"/>
      <c r="U2553" s="69"/>
      <c r="V2553" s="69"/>
      <c r="W2553" s="69"/>
      <c r="X2553" s="69"/>
      <c r="Y2553" s="69"/>
      <c r="Z2553" s="69"/>
      <c r="AA2553" s="69"/>
      <c r="AB2553" s="69"/>
      <c r="AC2553" s="69"/>
      <c r="AD2553" s="69"/>
      <c r="AE2553" s="69"/>
      <c r="AF2553" s="69"/>
      <c r="AG2553" s="69"/>
      <c r="AH2553" s="69"/>
      <c r="AI2553" s="69"/>
      <c r="AJ2553" s="69"/>
      <c r="AK2553" s="69"/>
      <c r="AL2553" s="69"/>
      <c r="AM2553" s="69"/>
      <c r="AN2553" s="69"/>
      <c r="AO2553" s="69"/>
      <c r="AP2553" s="69"/>
      <c r="AQ2553" s="69"/>
      <c r="AR2553" s="69"/>
      <c r="AS2553" s="69"/>
      <c r="AT2553" s="69"/>
      <c r="AU2553" s="69"/>
      <c r="AV2553" s="69"/>
      <c r="AW2553" s="69"/>
      <c r="AX2553" s="69"/>
      <c r="AY2553" s="69"/>
      <c r="AZ2553" s="69"/>
      <c r="BA2553" s="69"/>
      <c r="BB2553" s="69"/>
      <c r="BC2553" s="69"/>
    </row>
    <row r="2554">
      <c r="A2554" s="68"/>
      <c r="B2554" s="68"/>
      <c r="C2554" s="68"/>
      <c r="D2554" s="68"/>
      <c r="E2554" s="68"/>
      <c r="F2554" s="68"/>
      <c r="G2554" s="68"/>
      <c r="H2554" s="68"/>
      <c r="I2554" s="69"/>
      <c r="J2554" s="69"/>
      <c r="K2554" s="71"/>
      <c r="L2554" s="69"/>
      <c r="M2554" s="69"/>
      <c r="N2554" s="72"/>
      <c r="O2554" s="69"/>
      <c r="P2554" s="69"/>
      <c r="Q2554" s="69"/>
      <c r="R2554" s="69"/>
      <c r="S2554" s="69"/>
      <c r="T2554" s="69"/>
      <c r="U2554" s="69"/>
      <c r="V2554" s="69"/>
      <c r="W2554" s="69"/>
      <c r="X2554" s="69"/>
      <c r="Y2554" s="69"/>
      <c r="Z2554" s="69"/>
      <c r="AA2554" s="69"/>
      <c r="AB2554" s="69"/>
      <c r="AC2554" s="69"/>
      <c r="AD2554" s="69"/>
      <c r="AE2554" s="69"/>
      <c r="AF2554" s="69"/>
      <c r="AG2554" s="69"/>
      <c r="AH2554" s="69"/>
      <c r="AI2554" s="69"/>
      <c r="AJ2554" s="69"/>
      <c r="AK2554" s="69"/>
      <c r="AL2554" s="69"/>
      <c r="AM2554" s="69"/>
      <c r="AN2554" s="69"/>
      <c r="AO2554" s="69"/>
      <c r="AP2554" s="69"/>
      <c r="AQ2554" s="69"/>
      <c r="AR2554" s="69"/>
      <c r="AS2554" s="69"/>
      <c r="AT2554" s="69"/>
      <c r="AU2554" s="69"/>
      <c r="AV2554" s="69"/>
      <c r="AW2554" s="69"/>
      <c r="AX2554" s="69"/>
      <c r="AY2554" s="69"/>
      <c r="AZ2554" s="69"/>
      <c r="BA2554" s="69"/>
      <c r="BB2554" s="69"/>
      <c r="BC2554" s="69"/>
    </row>
    <row r="2555">
      <c r="A2555" s="68"/>
      <c r="B2555" s="68"/>
      <c r="C2555" s="68"/>
      <c r="D2555" s="68"/>
      <c r="E2555" s="68"/>
      <c r="F2555" s="68"/>
      <c r="G2555" s="68"/>
      <c r="H2555" s="68"/>
      <c r="I2555" s="69"/>
      <c r="J2555" s="69"/>
      <c r="K2555" s="71"/>
      <c r="L2555" s="69"/>
      <c r="M2555" s="69"/>
      <c r="N2555" s="72"/>
      <c r="O2555" s="69"/>
      <c r="P2555" s="69"/>
      <c r="Q2555" s="69"/>
      <c r="R2555" s="69"/>
      <c r="S2555" s="69"/>
      <c r="T2555" s="69"/>
      <c r="U2555" s="69"/>
      <c r="V2555" s="69"/>
      <c r="W2555" s="69"/>
      <c r="X2555" s="69"/>
      <c r="Y2555" s="69"/>
      <c r="Z2555" s="69"/>
      <c r="AA2555" s="69"/>
      <c r="AB2555" s="69"/>
      <c r="AC2555" s="69"/>
      <c r="AD2555" s="69"/>
      <c r="AE2555" s="69"/>
      <c r="AF2555" s="69"/>
      <c r="AG2555" s="69"/>
      <c r="AH2555" s="69"/>
      <c r="AI2555" s="69"/>
      <c r="AJ2555" s="69"/>
      <c r="AK2555" s="69"/>
      <c r="AL2555" s="69"/>
      <c r="AM2555" s="69"/>
      <c r="AN2555" s="69"/>
      <c r="AO2555" s="69"/>
      <c r="AP2555" s="69"/>
      <c r="AQ2555" s="69"/>
      <c r="AR2555" s="69"/>
      <c r="AS2555" s="69"/>
      <c r="AT2555" s="69"/>
      <c r="AU2555" s="69"/>
      <c r="AV2555" s="69"/>
      <c r="AW2555" s="69"/>
      <c r="AX2555" s="69"/>
      <c r="AY2555" s="69"/>
      <c r="AZ2555" s="69"/>
      <c r="BA2555" s="69"/>
      <c r="BB2555" s="69"/>
      <c r="BC2555" s="69"/>
    </row>
    <row r="2556">
      <c r="A2556" s="68"/>
      <c r="B2556" s="68"/>
      <c r="C2556" s="68"/>
      <c r="D2556" s="68"/>
      <c r="E2556" s="68"/>
      <c r="F2556" s="68"/>
      <c r="G2556" s="68"/>
      <c r="H2556" s="68"/>
      <c r="I2556" s="69"/>
      <c r="J2556" s="69"/>
      <c r="K2556" s="71"/>
      <c r="L2556" s="69"/>
      <c r="M2556" s="69"/>
      <c r="N2556" s="72"/>
      <c r="O2556" s="69"/>
      <c r="P2556" s="69"/>
      <c r="Q2556" s="69"/>
      <c r="R2556" s="69"/>
      <c r="S2556" s="69"/>
      <c r="T2556" s="69"/>
      <c r="U2556" s="69"/>
      <c r="V2556" s="69"/>
      <c r="W2556" s="69"/>
      <c r="X2556" s="69"/>
      <c r="Y2556" s="69"/>
      <c r="Z2556" s="69"/>
      <c r="AA2556" s="69"/>
      <c r="AB2556" s="69"/>
      <c r="AC2556" s="69"/>
      <c r="AD2556" s="69"/>
      <c r="AE2556" s="69"/>
      <c r="AF2556" s="69"/>
      <c r="AG2556" s="69"/>
      <c r="AH2556" s="69"/>
      <c r="AI2556" s="69"/>
      <c r="AJ2556" s="69"/>
      <c r="AK2556" s="69"/>
      <c r="AL2556" s="69"/>
      <c r="AM2556" s="69"/>
      <c r="AN2556" s="69"/>
      <c r="AO2556" s="69"/>
      <c r="AP2556" s="69"/>
      <c r="AQ2556" s="69"/>
      <c r="AR2556" s="69"/>
      <c r="AS2556" s="69"/>
      <c r="AT2556" s="69"/>
      <c r="AU2556" s="69"/>
      <c r="AV2556" s="69"/>
      <c r="AW2556" s="69"/>
      <c r="AX2556" s="69"/>
      <c r="AY2556" s="69"/>
      <c r="AZ2556" s="69"/>
      <c r="BA2556" s="69"/>
      <c r="BB2556" s="69"/>
      <c r="BC2556" s="69"/>
    </row>
    <row r="2557">
      <c r="A2557" s="68"/>
      <c r="B2557" s="68"/>
      <c r="C2557" s="68"/>
      <c r="D2557" s="68"/>
      <c r="E2557" s="68"/>
      <c r="F2557" s="68"/>
      <c r="G2557" s="68"/>
      <c r="H2557" s="68"/>
      <c r="I2557" s="69"/>
      <c r="J2557" s="69"/>
      <c r="K2557" s="71"/>
      <c r="L2557" s="69"/>
      <c r="M2557" s="69"/>
      <c r="N2557" s="72"/>
      <c r="O2557" s="69"/>
      <c r="P2557" s="69"/>
      <c r="Q2557" s="69"/>
      <c r="R2557" s="69"/>
      <c r="S2557" s="69"/>
      <c r="T2557" s="69"/>
      <c r="U2557" s="69"/>
      <c r="V2557" s="69"/>
      <c r="W2557" s="69"/>
      <c r="X2557" s="69"/>
      <c r="Y2557" s="69"/>
      <c r="Z2557" s="69"/>
      <c r="AA2557" s="69"/>
      <c r="AB2557" s="69"/>
      <c r="AC2557" s="69"/>
      <c r="AD2557" s="69"/>
      <c r="AE2557" s="69"/>
      <c r="AF2557" s="69"/>
      <c r="AG2557" s="69"/>
      <c r="AH2557" s="69"/>
      <c r="AI2557" s="69"/>
      <c r="AJ2557" s="69"/>
      <c r="AK2557" s="69"/>
      <c r="AL2557" s="69"/>
      <c r="AM2557" s="69"/>
      <c r="AN2557" s="69"/>
      <c r="AO2557" s="69"/>
      <c r="AP2557" s="69"/>
      <c r="AQ2557" s="69"/>
      <c r="AR2557" s="69"/>
      <c r="AS2557" s="69"/>
      <c r="AT2557" s="69"/>
      <c r="AU2557" s="69"/>
      <c r="AV2557" s="69"/>
      <c r="AW2557" s="69"/>
      <c r="AX2557" s="69"/>
      <c r="AY2557" s="69"/>
      <c r="AZ2557" s="69"/>
      <c r="BA2557" s="69"/>
      <c r="BB2557" s="69"/>
      <c r="BC2557" s="69"/>
    </row>
    <row r="2558">
      <c r="A2558" s="68"/>
      <c r="B2558" s="68"/>
      <c r="C2558" s="68"/>
      <c r="D2558" s="68"/>
      <c r="E2558" s="68"/>
      <c r="F2558" s="68"/>
      <c r="G2558" s="68"/>
      <c r="H2558" s="68"/>
      <c r="I2558" s="69"/>
      <c r="J2558" s="69"/>
      <c r="K2558" s="71"/>
      <c r="L2558" s="69"/>
      <c r="M2558" s="69"/>
      <c r="N2558" s="72"/>
      <c r="O2558" s="69"/>
      <c r="P2558" s="69"/>
      <c r="Q2558" s="69"/>
      <c r="R2558" s="69"/>
      <c r="S2558" s="69"/>
      <c r="T2558" s="69"/>
      <c r="U2558" s="69"/>
      <c r="V2558" s="69"/>
      <c r="W2558" s="69"/>
      <c r="X2558" s="69"/>
      <c r="Y2558" s="69"/>
      <c r="Z2558" s="69"/>
      <c r="AA2558" s="69"/>
      <c r="AB2558" s="69"/>
      <c r="AC2558" s="69"/>
      <c r="AD2558" s="69"/>
      <c r="AE2558" s="69"/>
      <c r="AF2558" s="69"/>
      <c r="AG2558" s="69"/>
      <c r="AH2558" s="69"/>
      <c r="AI2558" s="69"/>
      <c r="AJ2558" s="69"/>
      <c r="AK2558" s="69"/>
      <c r="AL2558" s="69"/>
      <c r="AM2558" s="69"/>
      <c r="AN2558" s="69"/>
      <c r="AO2558" s="69"/>
      <c r="AP2558" s="69"/>
      <c r="AQ2558" s="69"/>
      <c r="AR2558" s="69"/>
      <c r="AS2558" s="69"/>
      <c r="AT2558" s="69"/>
      <c r="AU2558" s="69"/>
      <c r="AV2558" s="69"/>
      <c r="AW2558" s="69"/>
      <c r="AX2558" s="69"/>
      <c r="AY2558" s="69"/>
      <c r="AZ2558" s="69"/>
      <c r="BA2558" s="69"/>
      <c r="BB2558" s="69"/>
      <c r="BC2558" s="69"/>
    </row>
    <row r="2559">
      <c r="A2559" s="68"/>
      <c r="B2559" s="68"/>
      <c r="C2559" s="68"/>
      <c r="D2559" s="68"/>
      <c r="E2559" s="68"/>
      <c r="F2559" s="68"/>
      <c r="G2559" s="68"/>
      <c r="H2559" s="68"/>
      <c r="I2559" s="69"/>
      <c r="J2559" s="69"/>
      <c r="K2559" s="71"/>
      <c r="L2559" s="69"/>
      <c r="M2559" s="69"/>
      <c r="N2559" s="72"/>
      <c r="O2559" s="69"/>
      <c r="P2559" s="69"/>
      <c r="Q2559" s="69"/>
      <c r="R2559" s="69"/>
      <c r="S2559" s="69"/>
      <c r="T2559" s="69"/>
      <c r="U2559" s="69"/>
      <c r="V2559" s="69"/>
      <c r="W2559" s="69"/>
      <c r="X2559" s="69"/>
      <c r="Y2559" s="69"/>
      <c r="Z2559" s="69"/>
      <c r="AA2559" s="69"/>
      <c r="AB2559" s="69"/>
      <c r="AC2559" s="69"/>
      <c r="AD2559" s="69"/>
      <c r="AE2559" s="69"/>
      <c r="AF2559" s="69"/>
      <c r="AG2559" s="69"/>
      <c r="AH2559" s="69"/>
      <c r="AI2559" s="69"/>
      <c r="AJ2559" s="69"/>
      <c r="AK2559" s="69"/>
      <c r="AL2559" s="69"/>
      <c r="AM2559" s="69"/>
      <c r="AN2559" s="69"/>
      <c r="AO2559" s="69"/>
      <c r="AP2559" s="69"/>
      <c r="AQ2559" s="69"/>
      <c r="AR2559" s="69"/>
      <c r="AS2559" s="69"/>
      <c r="AT2559" s="69"/>
      <c r="AU2559" s="69"/>
      <c r="AV2559" s="69"/>
      <c r="AW2559" s="69"/>
      <c r="AX2559" s="69"/>
      <c r="AY2559" s="69"/>
      <c r="AZ2559" s="69"/>
      <c r="BA2559" s="69"/>
      <c r="BB2559" s="69"/>
      <c r="BC2559" s="69"/>
    </row>
    <row r="2560">
      <c r="A2560" s="68"/>
      <c r="B2560" s="68"/>
      <c r="C2560" s="68"/>
      <c r="D2560" s="68"/>
      <c r="E2560" s="68"/>
      <c r="F2560" s="68"/>
      <c r="G2560" s="68"/>
      <c r="H2560" s="68"/>
      <c r="I2560" s="69"/>
      <c r="J2560" s="69"/>
      <c r="K2560" s="71"/>
      <c r="L2560" s="69"/>
      <c r="M2560" s="69"/>
      <c r="N2560" s="72"/>
      <c r="O2560" s="69"/>
      <c r="P2560" s="69"/>
      <c r="Q2560" s="69"/>
      <c r="R2560" s="69"/>
      <c r="S2560" s="69"/>
      <c r="T2560" s="69"/>
      <c r="U2560" s="69"/>
      <c r="V2560" s="69"/>
      <c r="W2560" s="69"/>
      <c r="X2560" s="69"/>
      <c r="Y2560" s="69"/>
      <c r="Z2560" s="69"/>
      <c r="AA2560" s="69"/>
      <c r="AB2560" s="69"/>
      <c r="AC2560" s="69"/>
      <c r="AD2560" s="69"/>
      <c r="AE2560" s="69"/>
      <c r="AF2560" s="69"/>
      <c r="AG2560" s="69"/>
      <c r="AH2560" s="69"/>
      <c r="AI2560" s="69"/>
      <c r="AJ2560" s="69"/>
      <c r="AK2560" s="69"/>
      <c r="AL2560" s="69"/>
      <c r="AM2560" s="69"/>
      <c r="AN2560" s="69"/>
      <c r="AO2560" s="69"/>
      <c r="AP2560" s="69"/>
      <c r="AQ2560" s="69"/>
      <c r="AR2560" s="69"/>
      <c r="AS2560" s="69"/>
      <c r="AT2560" s="69"/>
      <c r="AU2560" s="69"/>
      <c r="AV2560" s="69"/>
      <c r="AW2560" s="69"/>
      <c r="AX2560" s="69"/>
      <c r="AY2560" s="69"/>
      <c r="AZ2560" s="69"/>
      <c r="BA2560" s="69"/>
      <c r="BB2560" s="69"/>
      <c r="BC2560" s="69"/>
    </row>
    <row r="2561">
      <c r="A2561" s="68"/>
      <c r="B2561" s="68"/>
      <c r="C2561" s="68"/>
      <c r="D2561" s="68"/>
      <c r="E2561" s="68"/>
      <c r="F2561" s="68"/>
      <c r="G2561" s="68"/>
      <c r="H2561" s="68"/>
      <c r="I2561" s="69"/>
      <c r="J2561" s="69"/>
      <c r="K2561" s="71"/>
      <c r="L2561" s="69"/>
      <c r="M2561" s="69"/>
      <c r="N2561" s="72"/>
      <c r="O2561" s="69"/>
      <c r="P2561" s="69"/>
      <c r="Q2561" s="69"/>
      <c r="R2561" s="69"/>
      <c r="S2561" s="69"/>
      <c r="T2561" s="69"/>
      <c r="U2561" s="69"/>
      <c r="V2561" s="69"/>
      <c r="W2561" s="69"/>
      <c r="X2561" s="69"/>
      <c r="Y2561" s="69"/>
      <c r="Z2561" s="69"/>
      <c r="AA2561" s="69"/>
      <c r="AB2561" s="69"/>
      <c r="AC2561" s="69"/>
      <c r="AD2561" s="69"/>
      <c r="AE2561" s="69"/>
      <c r="AF2561" s="69"/>
      <c r="AG2561" s="69"/>
      <c r="AH2561" s="69"/>
      <c r="AI2561" s="69"/>
      <c r="AJ2561" s="69"/>
      <c r="AK2561" s="69"/>
      <c r="AL2561" s="69"/>
      <c r="AM2561" s="69"/>
      <c r="AN2561" s="69"/>
      <c r="AO2561" s="69"/>
      <c r="AP2561" s="69"/>
      <c r="AQ2561" s="69"/>
      <c r="AR2561" s="69"/>
      <c r="AS2561" s="69"/>
      <c r="AT2561" s="69"/>
      <c r="AU2561" s="69"/>
      <c r="AV2561" s="69"/>
      <c r="AW2561" s="69"/>
      <c r="AX2561" s="69"/>
      <c r="AY2561" s="69"/>
      <c r="AZ2561" s="69"/>
      <c r="BA2561" s="69"/>
      <c r="BB2561" s="69"/>
      <c r="BC2561" s="69"/>
    </row>
    <row r="2562">
      <c r="A2562" s="68"/>
      <c r="B2562" s="68"/>
      <c r="C2562" s="68"/>
      <c r="D2562" s="68"/>
      <c r="E2562" s="68"/>
      <c r="F2562" s="68"/>
      <c r="G2562" s="68"/>
      <c r="H2562" s="68"/>
      <c r="I2562" s="69"/>
      <c r="J2562" s="69"/>
      <c r="K2562" s="71"/>
      <c r="L2562" s="69"/>
      <c r="M2562" s="69"/>
      <c r="N2562" s="72"/>
      <c r="O2562" s="69"/>
      <c r="P2562" s="69"/>
      <c r="Q2562" s="69"/>
      <c r="R2562" s="69"/>
      <c r="S2562" s="69"/>
      <c r="T2562" s="69"/>
      <c r="U2562" s="69"/>
      <c r="V2562" s="69"/>
      <c r="W2562" s="69"/>
      <c r="X2562" s="69"/>
      <c r="Y2562" s="69"/>
      <c r="Z2562" s="69"/>
      <c r="AA2562" s="69"/>
      <c r="AB2562" s="69"/>
      <c r="AC2562" s="69"/>
      <c r="AD2562" s="69"/>
      <c r="AE2562" s="69"/>
      <c r="AF2562" s="69"/>
      <c r="AG2562" s="69"/>
      <c r="AH2562" s="69"/>
      <c r="AI2562" s="69"/>
      <c r="AJ2562" s="69"/>
      <c r="AK2562" s="69"/>
      <c r="AL2562" s="69"/>
      <c r="AM2562" s="69"/>
      <c r="AN2562" s="69"/>
      <c r="AO2562" s="69"/>
      <c r="AP2562" s="69"/>
      <c r="AQ2562" s="69"/>
      <c r="AR2562" s="69"/>
      <c r="AS2562" s="69"/>
      <c r="AT2562" s="69"/>
      <c r="AU2562" s="69"/>
      <c r="AV2562" s="69"/>
      <c r="AW2562" s="69"/>
      <c r="AX2562" s="69"/>
      <c r="AY2562" s="69"/>
      <c r="AZ2562" s="69"/>
      <c r="BA2562" s="69"/>
      <c r="BB2562" s="69"/>
      <c r="BC2562" s="69"/>
    </row>
    <row r="2563">
      <c r="A2563" s="68"/>
      <c r="B2563" s="68"/>
      <c r="C2563" s="68"/>
      <c r="D2563" s="68"/>
      <c r="E2563" s="68"/>
      <c r="F2563" s="68"/>
      <c r="G2563" s="68"/>
      <c r="H2563" s="68"/>
      <c r="I2563" s="69"/>
      <c r="J2563" s="69"/>
      <c r="K2563" s="71"/>
      <c r="L2563" s="69"/>
      <c r="M2563" s="69"/>
      <c r="N2563" s="72"/>
      <c r="O2563" s="69"/>
      <c r="P2563" s="69"/>
      <c r="Q2563" s="69"/>
      <c r="R2563" s="69"/>
      <c r="S2563" s="69"/>
      <c r="T2563" s="69"/>
      <c r="U2563" s="69"/>
      <c r="V2563" s="69"/>
      <c r="W2563" s="69"/>
      <c r="X2563" s="69"/>
      <c r="Y2563" s="69"/>
      <c r="Z2563" s="69"/>
      <c r="AA2563" s="69"/>
      <c r="AB2563" s="69"/>
      <c r="AC2563" s="69"/>
      <c r="AD2563" s="69"/>
      <c r="AE2563" s="69"/>
      <c r="AF2563" s="69"/>
      <c r="AG2563" s="69"/>
      <c r="AH2563" s="69"/>
      <c r="AI2563" s="69"/>
      <c r="AJ2563" s="69"/>
      <c r="AK2563" s="69"/>
      <c r="AL2563" s="69"/>
      <c r="AM2563" s="69"/>
      <c r="AN2563" s="69"/>
      <c r="AO2563" s="69"/>
      <c r="AP2563" s="69"/>
      <c r="AQ2563" s="69"/>
      <c r="AR2563" s="69"/>
      <c r="AS2563" s="69"/>
      <c r="AT2563" s="69"/>
      <c r="AU2563" s="69"/>
      <c r="AV2563" s="69"/>
      <c r="AW2563" s="69"/>
      <c r="AX2563" s="69"/>
      <c r="AY2563" s="69"/>
      <c r="AZ2563" s="69"/>
      <c r="BA2563" s="69"/>
      <c r="BB2563" s="69"/>
      <c r="BC2563" s="69"/>
    </row>
    <row r="2564">
      <c r="A2564" s="68"/>
      <c r="B2564" s="68"/>
      <c r="C2564" s="68"/>
      <c r="D2564" s="68"/>
      <c r="E2564" s="68"/>
      <c r="F2564" s="68"/>
      <c r="G2564" s="68"/>
      <c r="H2564" s="68"/>
      <c r="I2564" s="69"/>
      <c r="J2564" s="69"/>
      <c r="K2564" s="71"/>
      <c r="L2564" s="69"/>
      <c r="M2564" s="69"/>
      <c r="N2564" s="72"/>
      <c r="O2564" s="69"/>
      <c r="P2564" s="69"/>
      <c r="Q2564" s="69"/>
      <c r="R2564" s="69"/>
      <c r="S2564" s="69"/>
      <c r="T2564" s="69"/>
      <c r="U2564" s="69"/>
      <c r="V2564" s="69"/>
      <c r="W2564" s="69"/>
      <c r="X2564" s="69"/>
      <c r="Y2564" s="69"/>
      <c r="Z2564" s="69"/>
      <c r="AA2564" s="69"/>
      <c r="AB2564" s="69"/>
      <c r="AC2564" s="69"/>
      <c r="AD2564" s="69"/>
      <c r="AE2564" s="69"/>
      <c r="AF2564" s="69"/>
      <c r="AG2564" s="69"/>
      <c r="AH2564" s="69"/>
      <c r="AI2564" s="69"/>
      <c r="AJ2564" s="69"/>
      <c r="AK2564" s="69"/>
      <c r="AL2564" s="69"/>
      <c r="AM2564" s="69"/>
      <c r="AN2564" s="69"/>
      <c r="AO2564" s="69"/>
      <c r="AP2564" s="69"/>
      <c r="AQ2564" s="69"/>
      <c r="AR2564" s="69"/>
      <c r="AS2564" s="69"/>
      <c r="AT2564" s="69"/>
      <c r="AU2564" s="69"/>
      <c r="AV2564" s="69"/>
      <c r="AW2564" s="69"/>
      <c r="AX2564" s="69"/>
      <c r="AY2564" s="69"/>
      <c r="AZ2564" s="69"/>
      <c r="BA2564" s="69"/>
      <c r="BB2564" s="69"/>
      <c r="BC2564" s="69"/>
    </row>
    <row r="2565">
      <c r="A2565" s="68"/>
      <c r="B2565" s="68"/>
      <c r="C2565" s="68"/>
      <c r="D2565" s="68"/>
      <c r="E2565" s="68"/>
      <c r="F2565" s="68"/>
      <c r="G2565" s="68"/>
      <c r="H2565" s="68"/>
      <c r="I2565" s="69"/>
      <c r="J2565" s="69"/>
      <c r="K2565" s="71"/>
      <c r="L2565" s="69"/>
      <c r="M2565" s="69"/>
      <c r="N2565" s="72"/>
      <c r="O2565" s="69"/>
      <c r="P2565" s="69"/>
      <c r="Q2565" s="69"/>
      <c r="R2565" s="69"/>
      <c r="S2565" s="69"/>
      <c r="T2565" s="69"/>
      <c r="U2565" s="69"/>
      <c r="V2565" s="69"/>
      <c r="W2565" s="69"/>
      <c r="X2565" s="69"/>
      <c r="Y2565" s="69"/>
      <c r="Z2565" s="69"/>
      <c r="AA2565" s="69"/>
      <c r="AB2565" s="69"/>
      <c r="AC2565" s="69"/>
      <c r="AD2565" s="69"/>
      <c r="AE2565" s="69"/>
      <c r="AF2565" s="69"/>
      <c r="AG2565" s="69"/>
      <c r="AH2565" s="69"/>
      <c r="AI2565" s="69"/>
      <c r="AJ2565" s="69"/>
      <c r="AK2565" s="69"/>
      <c r="AL2565" s="69"/>
      <c r="AM2565" s="69"/>
      <c r="AN2565" s="69"/>
      <c r="AO2565" s="69"/>
      <c r="AP2565" s="69"/>
      <c r="AQ2565" s="69"/>
      <c r="AR2565" s="69"/>
      <c r="AS2565" s="69"/>
      <c r="AT2565" s="69"/>
      <c r="AU2565" s="69"/>
      <c r="AV2565" s="69"/>
      <c r="AW2565" s="69"/>
      <c r="AX2565" s="69"/>
      <c r="AY2565" s="69"/>
      <c r="AZ2565" s="69"/>
      <c r="BA2565" s="69"/>
      <c r="BB2565" s="69"/>
      <c r="BC2565" s="69"/>
    </row>
    <row r="2566">
      <c r="A2566" s="68"/>
      <c r="B2566" s="68"/>
      <c r="C2566" s="68"/>
      <c r="D2566" s="68"/>
      <c r="E2566" s="68"/>
      <c r="F2566" s="68"/>
      <c r="G2566" s="68"/>
      <c r="H2566" s="68"/>
      <c r="I2566" s="69"/>
      <c r="J2566" s="69"/>
      <c r="K2566" s="71"/>
      <c r="L2566" s="69"/>
      <c r="M2566" s="69"/>
      <c r="N2566" s="72"/>
      <c r="O2566" s="69"/>
      <c r="P2566" s="69"/>
      <c r="Q2566" s="69"/>
      <c r="R2566" s="69"/>
      <c r="S2566" s="69"/>
      <c r="T2566" s="69"/>
      <c r="U2566" s="69"/>
      <c r="V2566" s="69"/>
      <c r="W2566" s="69"/>
      <c r="X2566" s="69"/>
      <c r="Y2566" s="69"/>
      <c r="Z2566" s="69"/>
      <c r="AA2566" s="69"/>
      <c r="AB2566" s="69"/>
      <c r="AC2566" s="69"/>
      <c r="AD2566" s="69"/>
      <c r="AE2566" s="69"/>
      <c r="AF2566" s="69"/>
      <c r="AG2566" s="69"/>
      <c r="AH2566" s="69"/>
      <c r="AI2566" s="69"/>
      <c r="AJ2566" s="69"/>
      <c r="AK2566" s="69"/>
      <c r="AL2566" s="69"/>
      <c r="AM2566" s="69"/>
      <c r="AN2566" s="69"/>
      <c r="AO2566" s="69"/>
      <c r="AP2566" s="69"/>
      <c r="AQ2566" s="69"/>
      <c r="AR2566" s="69"/>
      <c r="AS2566" s="69"/>
      <c r="AT2566" s="69"/>
      <c r="AU2566" s="69"/>
      <c r="AV2566" s="69"/>
      <c r="AW2566" s="69"/>
      <c r="AX2566" s="69"/>
      <c r="AY2566" s="69"/>
      <c r="AZ2566" s="69"/>
      <c r="BA2566" s="69"/>
      <c r="BB2566" s="69"/>
      <c r="BC2566" s="69"/>
    </row>
    <row r="2567">
      <c r="A2567" s="68"/>
      <c r="B2567" s="68"/>
      <c r="C2567" s="68"/>
      <c r="D2567" s="68"/>
      <c r="E2567" s="68"/>
      <c r="F2567" s="68"/>
      <c r="G2567" s="68"/>
      <c r="H2567" s="68"/>
      <c r="I2567" s="69"/>
      <c r="J2567" s="69"/>
      <c r="K2567" s="71"/>
      <c r="L2567" s="69"/>
      <c r="M2567" s="69"/>
      <c r="N2567" s="72"/>
      <c r="O2567" s="69"/>
      <c r="P2567" s="69"/>
      <c r="Q2567" s="69"/>
      <c r="R2567" s="69"/>
      <c r="S2567" s="69"/>
      <c r="T2567" s="69"/>
      <c r="U2567" s="69"/>
      <c r="V2567" s="69"/>
      <c r="W2567" s="69"/>
      <c r="X2567" s="69"/>
      <c r="Y2567" s="69"/>
      <c r="Z2567" s="69"/>
      <c r="AA2567" s="69"/>
      <c r="AB2567" s="69"/>
      <c r="AC2567" s="69"/>
      <c r="AD2567" s="69"/>
      <c r="AE2567" s="69"/>
      <c r="AF2567" s="69"/>
      <c r="AG2567" s="69"/>
      <c r="AH2567" s="69"/>
      <c r="AI2567" s="69"/>
      <c r="AJ2567" s="69"/>
      <c r="AK2567" s="69"/>
      <c r="AL2567" s="69"/>
      <c r="AM2567" s="69"/>
      <c r="AN2567" s="69"/>
      <c r="AO2567" s="69"/>
      <c r="AP2567" s="69"/>
      <c r="AQ2567" s="69"/>
      <c r="AR2567" s="69"/>
      <c r="AS2567" s="69"/>
      <c r="AT2567" s="69"/>
      <c r="AU2567" s="69"/>
      <c r="AV2567" s="69"/>
      <c r="AW2567" s="69"/>
      <c r="AX2567" s="69"/>
      <c r="AY2567" s="69"/>
      <c r="AZ2567" s="69"/>
      <c r="BA2567" s="69"/>
      <c r="BB2567" s="69"/>
      <c r="BC2567" s="69"/>
    </row>
    <row r="2568">
      <c r="A2568" s="68"/>
      <c r="B2568" s="68"/>
      <c r="C2568" s="68"/>
      <c r="D2568" s="68"/>
      <c r="E2568" s="68"/>
      <c r="F2568" s="68"/>
      <c r="G2568" s="68"/>
      <c r="H2568" s="68"/>
      <c r="I2568" s="69"/>
      <c r="J2568" s="69"/>
      <c r="K2568" s="71"/>
      <c r="L2568" s="69"/>
      <c r="M2568" s="69"/>
      <c r="N2568" s="72"/>
      <c r="O2568" s="69"/>
      <c r="P2568" s="69"/>
      <c r="Q2568" s="69"/>
      <c r="R2568" s="69"/>
      <c r="S2568" s="69"/>
      <c r="T2568" s="69"/>
      <c r="U2568" s="69"/>
      <c r="V2568" s="69"/>
      <c r="W2568" s="69"/>
      <c r="X2568" s="69"/>
      <c r="Y2568" s="69"/>
      <c r="Z2568" s="69"/>
      <c r="AA2568" s="69"/>
      <c r="AB2568" s="69"/>
      <c r="AC2568" s="69"/>
      <c r="AD2568" s="69"/>
      <c r="AE2568" s="69"/>
      <c r="AF2568" s="69"/>
      <c r="AG2568" s="69"/>
      <c r="AH2568" s="69"/>
      <c r="AI2568" s="69"/>
      <c r="AJ2568" s="69"/>
      <c r="AK2568" s="69"/>
      <c r="AL2568" s="69"/>
      <c r="AM2568" s="69"/>
      <c r="AN2568" s="69"/>
      <c r="AO2568" s="69"/>
      <c r="AP2568" s="69"/>
      <c r="AQ2568" s="69"/>
      <c r="AR2568" s="69"/>
      <c r="AS2568" s="69"/>
      <c r="AT2568" s="69"/>
      <c r="AU2568" s="69"/>
      <c r="AV2568" s="69"/>
      <c r="AW2568" s="69"/>
      <c r="AX2568" s="69"/>
      <c r="AY2568" s="69"/>
      <c r="AZ2568" s="69"/>
      <c r="BA2568" s="69"/>
      <c r="BB2568" s="69"/>
      <c r="BC2568" s="69"/>
    </row>
    <row r="2569">
      <c r="A2569" s="68"/>
      <c r="B2569" s="68"/>
      <c r="C2569" s="68"/>
      <c r="D2569" s="68"/>
      <c r="E2569" s="68"/>
      <c r="F2569" s="68"/>
      <c r="G2569" s="68"/>
      <c r="H2569" s="68"/>
      <c r="I2569" s="69"/>
      <c r="J2569" s="69"/>
      <c r="K2569" s="71"/>
      <c r="L2569" s="69"/>
      <c r="M2569" s="69"/>
      <c r="N2569" s="72"/>
      <c r="O2569" s="69"/>
      <c r="P2569" s="69"/>
      <c r="Q2569" s="69"/>
      <c r="R2569" s="69"/>
      <c r="S2569" s="69"/>
      <c r="T2569" s="69"/>
      <c r="U2569" s="69"/>
      <c r="V2569" s="69"/>
      <c r="W2569" s="69"/>
      <c r="X2569" s="69"/>
      <c r="Y2569" s="69"/>
      <c r="Z2569" s="69"/>
      <c r="AA2569" s="69"/>
      <c r="AB2569" s="69"/>
      <c r="AC2569" s="69"/>
      <c r="AD2569" s="69"/>
      <c r="AE2569" s="69"/>
      <c r="AF2569" s="69"/>
      <c r="AG2569" s="69"/>
      <c r="AH2569" s="69"/>
      <c r="AI2569" s="69"/>
      <c r="AJ2569" s="69"/>
      <c r="AK2569" s="69"/>
      <c r="AL2569" s="69"/>
      <c r="AM2569" s="69"/>
      <c r="AN2569" s="69"/>
      <c r="AO2569" s="69"/>
      <c r="AP2569" s="69"/>
      <c r="AQ2569" s="69"/>
      <c r="AR2569" s="69"/>
      <c r="AS2569" s="69"/>
      <c r="AT2569" s="69"/>
      <c r="AU2569" s="69"/>
      <c r="AV2569" s="69"/>
      <c r="AW2569" s="69"/>
      <c r="AX2569" s="69"/>
      <c r="AY2569" s="69"/>
      <c r="AZ2569" s="69"/>
      <c r="BA2569" s="69"/>
      <c r="BB2569" s="69"/>
      <c r="BC2569" s="69"/>
    </row>
    <row r="2570">
      <c r="A2570" s="68"/>
      <c r="B2570" s="68"/>
      <c r="C2570" s="68"/>
      <c r="D2570" s="68"/>
      <c r="E2570" s="68"/>
      <c r="F2570" s="68"/>
      <c r="G2570" s="68"/>
      <c r="H2570" s="68"/>
      <c r="I2570" s="69"/>
      <c r="J2570" s="69"/>
      <c r="K2570" s="71"/>
      <c r="L2570" s="69"/>
      <c r="M2570" s="69"/>
      <c r="N2570" s="72"/>
      <c r="O2570" s="69"/>
      <c r="P2570" s="69"/>
      <c r="Q2570" s="69"/>
      <c r="R2570" s="69"/>
      <c r="S2570" s="69"/>
      <c r="T2570" s="69"/>
      <c r="U2570" s="69"/>
      <c r="V2570" s="69"/>
      <c r="W2570" s="69"/>
      <c r="X2570" s="69"/>
      <c r="Y2570" s="69"/>
      <c r="Z2570" s="69"/>
      <c r="AA2570" s="69"/>
      <c r="AB2570" s="69"/>
      <c r="AC2570" s="69"/>
      <c r="AD2570" s="69"/>
      <c r="AE2570" s="69"/>
      <c r="AF2570" s="69"/>
      <c r="AG2570" s="69"/>
      <c r="AH2570" s="69"/>
      <c r="AI2570" s="69"/>
      <c r="AJ2570" s="69"/>
      <c r="AK2570" s="69"/>
      <c r="AL2570" s="69"/>
      <c r="AM2570" s="69"/>
      <c r="AN2570" s="69"/>
      <c r="AO2570" s="69"/>
      <c r="AP2570" s="69"/>
      <c r="AQ2570" s="69"/>
      <c r="AR2570" s="69"/>
      <c r="AS2570" s="69"/>
      <c r="AT2570" s="69"/>
      <c r="AU2570" s="69"/>
      <c r="AV2570" s="69"/>
      <c r="AW2570" s="69"/>
      <c r="AX2570" s="69"/>
      <c r="AY2570" s="69"/>
      <c r="AZ2570" s="69"/>
      <c r="BA2570" s="69"/>
      <c r="BB2570" s="69"/>
      <c r="BC2570" s="69"/>
    </row>
    <row r="2571">
      <c r="A2571" s="68"/>
      <c r="B2571" s="68"/>
      <c r="C2571" s="68"/>
      <c r="D2571" s="68"/>
      <c r="E2571" s="68"/>
      <c r="F2571" s="68"/>
      <c r="G2571" s="68"/>
      <c r="H2571" s="68"/>
      <c r="I2571" s="69"/>
      <c r="J2571" s="69"/>
      <c r="K2571" s="71"/>
      <c r="L2571" s="69"/>
      <c r="M2571" s="69"/>
      <c r="N2571" s="72"/>
      <c r="O2571" s="69"/>
      <c r="P2571" s="69"/>
      <c r="Q2571" s="69"/>
      <c r="R2571" s="69"/>
      <c r="S2571" s="69"/>
      <c r="T2571" s="69"/>
      <c r="U2571" s="69"/>
      <c r="V2571" s="69"/>
      <c r="W2571" s="69"/>
      <c r="X2571" s="69"/>
      <c r="Y2571" s="69"/>
      <c r="Z2571" s="69"/>
      <c r="AA2571" s="69"/>
      <c r="AB2571" s="69"/>
      <c r="AC2571" s="69"/>
      <c r="AD2571" s="69"/>
      <c r="AE2571" s="69"/>
      <c r="AF2571" s="69"/>
      <c r="AG2571" s="69"/>
      <c r="AH2571" s="69"/>
      <c r="AI2571" s="69"/>
      <c r="AJ2571" s="69"/>
      <c r="AK2571" s="69"/>
      <c r="AL2571" s="69"/>
      <c r="AM2571" s="69"/>
      <c r="AN2571" s="69"/>
      <c r="AO2571" s="69"/>
      <c r="AP2571" s="69"/>
      <c r="AQ2571" s="69"/>
      <c r="AR2571" s="69"/>
      <c r="AS2571" s="69"/>
      <c r="AT2571" s="69"/>
      <c r="AU2571" s="69"/>
      <c r="AV2571" s="69"/>
      <c r="AW2571" s="69"/>
      <c r="AX2571" s="69"/>
      <c r="AY2571" s="69"/>
      <c r="AZ2571" s="69"/>
      <c r="BA2571" s="69"/>
      <c r="BB2571" s="69"/>
      <c r="BC2571" s="69"/>
    </row>
    <row r="2572">
      <c r="A2572" s="68"/>
      <c r="B2572" s="68"/>
      <c r="C2572" s="68"/>
      <c r="D2572" s="68"/>
      <c r="E2572" s="68"/>
      <c r="F2572" s="68"/>
      <c r="G2572" s="68"/>
      <c r="H2572" s="68"/>
      <c r="I2572" s="69"/>
      <c r="J2572" s="69"/>
      <c r="K2572" s="71"/>
      <c r="L2572" s="69"/>
      <c r="M2572" s="69"/>
      <c r="N2572" s="72"/>
      <c r="O2572" s="69"/>
      <c r="P2572" s="69"/>
      <c r="Q2572" s="69"/>
      <c r="R2572" s="69"/>
      <c r="S2572" s="69"/>
      <c r="T2572" s="69"/>
      <c r="U2572" s="69"/>
      <c r="V2572" s="69"/>
      <c r="W2572" s="69"/>
      <c r="X2572" s="69"/>
      <c r="Y2572" s="69"/>
      <c r="Z2572" s="69"/>
      <c r="AA2572" s="69"/>
      <c r="AB2572" s="69"/>
      <c r="AC2572" s="69"/>
      <c r="AD2572" s="69"/>
      <c r="AE2572" s="69"/>
      <c r="AF2572" s="69"/>
      <c r="AG2572" s="69"/>
      <c r="AH2572" s="69"/>
      <c r="AI2572" s="69"/>
      <c r="AJ2572" s="69"/>
      <c r="AK2572" s="69"/>
      <c r="AL2572" s="69"/>
      <c r="AM2572" s="69"/>
      <c r="AN2572" s="69"/>
      <c r="AO2572" s="69"/>
      <c r="AP2572" s="69"/>
      <c r="AQ2572" s="69"/>
      <c r="AR2572" s="69"/>
      <c r="AS2572" s="69"/>
      <c r="AT2572" s="69"/>
      <c r="AU2572" s="69"/>
      <c r="AV2572" s="69"/>
      <c r="AW2572" s="69"/>
      <c r="AX2572" s="69"/>
      <c r="AY2572" s="69"/>
      <c r="AZ2572" s="69"/>
      <c r="BA2572" s="69"/>
      <c r="BB2572" s="69"/>
      <c r="BC2572" s="69"/>
    </row>
    <row r="2573">
      <c r="A2573" s="68"/>
      <c r="B2573" s="68"/>
      <c r="C2573" s="68"/>
      <c r="D2573" s="68"/>
      <c r="E2573" s="68"/>
      <c r="F2573" s="68"/>
      <c r="G2573" s="68"/>
      <c r="H2573" s="68"/>
      <c r="I2573" s="69"/>
      <c r="J2573" s="69"/>
      <c r="K2573" s="71"/>
      <c r="L2573" s="69"/>
      <c r="M2573" s="69"/>
      <c r="N2573" s="72"/>
      <c r="O2573" s="69"/>
      <c r="P2573" s="69"/>
      <c r="Q2573" s="69"/>
      <c r="R2573" s="69"/>
      <c r="S2573" s="69"/>
      <c r="T2573" s="69"/>
      <c r="U2573" s="69"/>
      <c r="V2573" s="69"/>
      <c r="W2573" s="69"/>
      <c r="X2573" s="69"/>
      <c r="Y2573" s="69"/>
      <c r="Z2573" s="69"/>
      <c r="AA2573" s="69"/>
      <c r="AB2573" s="69"/>
      <c r="AC2573" s="69"/>
      <c r="AD2573" s="69"/>
      <c r="AE2573" s="69"/>
      <c r="AF2573" s="69"/>
      <c r="AG2573" s="69"/>
      <c r="AH2573" s="69"/>
      <c r="AI2573" s="69"/>
      <c r="AJ2573" s="69"/>
      <c r="AK2573" s="69"/>
      <c r="AL2573" s="69"/>
      <c r="AM2573" s="69"/>
      <c r="AN2573" s="69"/>
      <c r="AO2573" s="69"/>
      <c r="AP2573" s="69"/>
      <c r="AQ2573" s="69"/>
      <c r="AR2573" s="69"/>
      <c r="AS2573" s="69"/>
      <c r="AT2573" s="69"/>
      <c r="AU2573" s="69"/>
      <c r="AV2573" s="69"/>
      <c r="AW2573" s="69"/>
      <c r="AX2573" s="69"/>
      <c r="AY2573" s="69"/>
      <c r="AZ2573" s="69"/>
      <c r="BA2573" s="69"/>
      <c r="BB2573" s="69"/>
      <c r="BC2573" s="69"/>
    </row>
    <row r="2574">
      <c r="A2574" s="68"/>
      <c r="B2574" s="68"/>
      <c r="C2574" s="68"/>
      <c r="D2574" s="68"/>
      <c r="E2574" s="68"/>
      <c r="F2574" s="68"/>
      <c r="G2574" s="68"/>
      <c r="H2574" s="68"/>
      <c r="I2574" s="69"/>
      <c r="J2574" s="69"/>
      <c r="K2574" s="71"/>
      <c r="L2574" s="69"/>
      <c r="M2574" s="69"/>
      <c r="N2574" s="72"/>
      <c r="O2574" s="69"/>
      <c r="P2574" s="69"/>
      <c r="Q2574" s="69"/>
      <c r="R2574" s="69"/>
      <c r="S2574" s="69"/>
      <c r="T2574" s="69"/>
      <c r="U2574" s="69"/>
      <c r="V2574" s="69"/>
      <c r="W2574" s="69"/>
      <c r="X2574" s="69"/>
      <c r="Y2574" s="69"/>
      <c r="Z2574" s="69"/>
      <c r="AA2574" s="69"/>
      <c r="AB2574" s="69"/>
      <c r="AC2574" s="69"/>
      <c r="AD2574" s="69"/>
      <c r="AE2574" s="69"/>
      <c r="AF2574" s="69"/>
      <c r="AG2574" s="69"/>
      <c r="AH2574" s="69"/>
      <c r="AI2574" s="69"/>
      <c r="AJ2574" s="69"/>
      <c r="AK2574" s="69"/>
      <c r="AL2574" s="69"/>
      <c r="AM2574" s="69"/>
      <c r="AN2574" s="69"/>
      <c r="AO2574" s="69"/>
      <c r="AP2574" s="69"/>
      <c r="AQ2574" s="69"/>
      <c r="AR2574" s="69"/>
      <c r="AS2574" s="69"/>
      <c r="AT2574" s="69"/>
      <c r="AU2574" s="69"/>
      <c r="AV2574" s="69"/>
      <c r="AW2574" s="69"/>
      <c r="AX2574" s="69"/>
      <c r="AY2574" s="69"/>
      <c r="AZ2574" s="69"/>
      <c r="BA2574" s="69"/>
      <c r="BB2574" s="69"/>
      <c r="BC2574" s="69"/>
    </row>
    <row r="2575">
      <c r="A2575" s="68"/>
      <c r="B2575" s="68"/>
      <c r="C2575" s="68"/>
      <c r="D2575" s="68"/>
      <c r="E2575" s="68"/>
      <c r="F2575" s="68"/>
      <c r="G2575" s="68"/>
      <c r="H2575" s="68"/>
      <c r="I2575" s="69"/>
      <c r="J2575" s="69"/>
      <c r="K2575" s="71"/>
      <c r="L2575" s="69"/>
      <c r="M2575" s="69"/>
      <c r="N2575" s="72"/>
      <c r="O2575" s="69"/>
      <c r="P2575" s="69"/>
      <c r="Q2575" s="69"/>
      <c r="R2575" s="69"/>
      <c r="S2575" s="69"/>
      <c r="T2575" s="69"/>
      <c r="U2575" s="69"/>
      <c r="V2575" s="69"/>
      <c r="W2575" s="69"/>
      <c r="X2575" s="69"/>
      <c r="Y2575" s="69"/>
      <c r="Z2575" s="69"/>
      <c r="AA2575" s="69"/>
      <c r="AB2575" s="69"/>
      <c r="AC2575" s="69"/>
      <c r="AD2575" s="69"/>
      <c r="AE2575" s="69"/>
      <c r="AF2575" s="69"/>
      <c r="AG2575" s="69"/>
      <c r="AH2575" s="69"/>
      <c r="AI2575" s="69"/>
      <c r="AJ2575" s="69"/>
      <c r="AK2575" s="69"/>
      <c r="AL2575" s="69"/>
      <c r="AM2575" s="69"/>
      <c r="AN2575" s="69"/>
      <c r="AO2575" s="69"/>
      <c r="AP2575" s="69"/>
      <c r="AQ2575" s="69"/>
      <c r="AR2575" s="69"/>
      <c r="AS2575" s="69"/>
      <c r="AT2575" s="69"/>
      <c r="AU2575" s="69"/>
      <c r="AV2575" s="69"/>
      <c r="AW2575" s="69"/>
      <c r="AX2575" s="69"/>
      <c r="AY2575" s="69"/>
      <c r="AZ2575" s="69"/>
      <c r="BA2575" s="69"/>
      <c r="BB2575" s="69"/>
      <c r="BC2575" s="69"/>
    </row>
    <row r="2576">
      <c r="A2576" s="68"/>
      <c r="B2576" s="68"/>
      <c r="C2576" s="68"/>
      <c r="D2576" s="68"/>
      <c r="E2576" s="68"/>
      <c r="F2576" s="68"/>
      <c r="G2576" s="68"/>
      <c r="H2576" s="68"/>
      <c r="I2576" s="69"/>
      <c r="J2576" s="69"/>
      <c r="K2576" s="71"/>
      <c r="L2576" s="69"/>
      <c r="M2576" s="69"/>
      <c r="N2576" s="72"/>
      <c r="O2576" s="69"/>
      <c r="P2576" s="69"/>
      <c r="Q2576" s="69"/>
      <c r="R2576" s="69"/>
      <c r="S2576" s="69"/>
      <c r="T2576" s="69"/>
      <c r="U2576" s="69"/>
      <c r="V2576" s="69"/>
      <c r="W2576" s="69"/>
      <c r="X2576" s="69"/>
      <c r="Y2576" s="69"/>
      <c r="Z2576" s="69"/>
      <c r="AA2576" s="69"/>
      <c r="AB2576" s="69"/>
      <c r="AC2576" s="69"/>
      <c r="AD2576" s="69"/>
      <c r="AE2576" s="69"/>
      <c r="AF2576" s="69"/>
      <c r="AG2576" s="69"/>
      <c r="AH2576" s="69"/>
      <c r="AI2576" s="69"/>
      <c r="AJ2576" s="69"/>
      <c r="AK2576" s="69"/>
      <c r="AL2576" s="69"/>
      <c r="AM2576" s="69"/>
      <c r="AN2576" s="69"/>
      <c r="AO2576" s="69"/>
      <c r="AP2576" s="69"/>
      <c r="AQ2576" s="69"/>
      <c r="AR2576" s="69"/>
      <c r="AS2576" s="69"/>
      <c r="AT2576" s="69"/>
      <c r="AU2576" s="69"/>
      <c r="AV2576" s="69"/>
      <c r="AW2576" s="69"/>
      <c r="AX2576" s="69"/>
      <c r="AY2576" s="69"/>
      <c r="AZ2576" s="69"/>
      <c r="BA2576" s="69"/>
      <c r="BB2576" s="69"/>
      <c r="BC2576" s="69"/>
    </row>
    <row r="2577">
      <c r="A2577" s="68"/>
      <c r="B2577" s="68"/>
      <c r="C2577" s="68"/>
      <c r="D2577" s="68"/>
      <c r="E2577" s="68"/>
      <c r="F2577" s="68"/>
      <c r="G2577" s="68"/>
      <c r="H2577" s="68"/>
      <c r="I2577" s="69"/>
      <c r="J2577" s="69"/>
      <c r="K2577" s="71"/>
      <c r="L2577" s="69"/>
      <c r="M2577" s="69"/>
      <c r="N2577" s="72"/>
      <c r="O2577" s="69"/>
      <c r="P2577" s="69"/>
      <c r="Q2577" s="69"/>
      <c r="R2577" s="69"/>
      <c r="S2577" s="69"/>
      <c r="T2577" s="69"/>
      <c r="U2577" s="69"/>
      <c r="V2577" s="69"/>
      <c r="W2577" s="69"/>
      <c r="X2577" s="69"/>
      <c r="Y2577" s="69"/>
      <c r="Z2577" s="69"/>
      <c r="AA2577" s="69"/>
      <c r="AB2577" s="69"/>
      <c r="AC2577" s="69"/>
      <c r="AD2577" s="69"/>
      <c r="AE2577" s="69"/>
      <c r="AF2577" s="69"/>
      <c r="AG2577" s="69"/>
      <c r="AH2577" s="69"/>
      <c r="AI2577" s="69"/>
      <c r="AJ2577" s="69"/>
      <c r="AK2577" s="69"/>
      <c r="AL2577" s="69"/>
      <c r="AM2577" s="69"/>
      <c r="AN2577" s="69"/>
      <c r="AO2577" s="69"/>
      <c r="AP2577" s="69"/>
      <c r="AQ2577" s="69"/>
      <c r="AR2577" s="69"/>
      <c r="AS2577" s="69"/>
      <c r="AT2577" s="69"/>
      <c r="AU2577" s="69"/>
      <c r="AV2577" s="69"/>
      <c r="AW2577" s="69"/>
      <c r="AX2577" s="69"/>
      <c r="AY2577" s="69"/>
      <c r="AZ2577" s="69"/>
      <c r="BA2577" s="69"/>
      <c r="BB2577" s="69"/>
      <c r="BC2577" s="69"/>
    </row>
    <row r="2578">
      <c r="A2578" s="68"/>
      <c r="B2578" s="68"/>
      <c r="C2578" s="68"/>
      <c r="D2578" s="68"/>
      <c r="E2578" s="68"/>
      <c r="F2578" s="68"/>
      <c r="G2578" s="68"/>
      <c r="H2578" s="68"/>
      <c r="I2578" s="69"/>
      <c r="J2578" s="69"/>
      <c r="K2578" s="71"/>
      <c r="L2578" s="69"/>
      <c r="M2578" s="69"/>
      <c r="N2578" s="72"/>
      <c r="O2578" s="69"/>
      <c r="P2578" s="69"/>
      <c r="Q2578" s="69"/>
      <c r="R2578" s="69"/>
      <c r="S2578" s="69"/>
      <c r="T2578" s="69"/>
      <c r="U2578" s="69"/>
      <c r="V2578" s="69"/>
      <c r="W2578" s="69"/>
      <c r="X2578" s="69"/>
      <c r="Y2578" s="69"/>
      <c r="Z2578" s="69"/>
      <c r="AA2578" s="69"/>
      <c r="AB2578" s="69"/>
      <c r="AC2578" s="69"/>
      <c r="AD2578" s="69"/>
      <c r="AE2578" s="69"/>
      <c r="AF2578" s="69"/>
      <c r="AG2578" s="69"/>
      <c r="AH2578" s="69"/>
      <c r="AI2578" s="69"/>
      <c r="AJ2578" s="69"/>
      <c r="AK2578" s="69"/>
      <c r="AL2578" s="69"/>
      <c r="AM2578" s="69"/>
      <c r="AN2578" s="69"/>
      <c r="AO2578" s="69"/>
      <c r="AP2578" s="69"/>
      <c r="AQ2578" s="69"/>
      <c r="AR2578" s="69"/>
      <c r="AS2578" s="69"/>
      <c r="AT2578" s="69"/>
      <c r="AU2578" s="69"/>
      <c r="AV2578" s="69"/>
      <c r="AW2578" s="69"/>
      <c r="AX2578" s="69"/>
      <c r="AY2578" s="69"/>
      <c r="AZ2578" s="69"/>
      <c r="BA2578" s="69"/>
      <c r="BB2578" s="69"/>
      <c r="BC2578" s="69"/>
    </row>
    <row r="2579">
      <c r="A2579" s="68"/>
      <c r="B2579" s="68"/>
      <c r="C2579" s="68"/>
      <c r="D2579" s="68"/>
      <c r="E2579" s="68"/>
      <c r="F2579" s="68"/>
      <c r="G2579" s="68"/>
      <c r="H2579" s="68"/>
      <c r="I2579" s="69"/>
      <c r="J2579" s="69"/>
      <c r="K2579" s="71"/>
      <c r="L2579" s="69"/>
      <c r="M2579" s="69"/>
      <c r="N2579" s="72"/>
      <c r="O2579" s="69"/>
      <c r="P2579" s="69"/>
      <c r="Q2579" s="69"/>
      <c r="R2579" s="69"/>
      <c r="S2579" s="69"/>
      <c r="T2579" s="69"/>
      <c r="U2579" s="69"/>
      <c r="V2579" s="69"/>
      <c r="W2579" s="69"/>
      <c r="X2579" s="69"/>
      <c r="Y2579" s="69"/>
      <c r="Z2579" s="69"/>
      <c r="AA2579" s="69"/>
      <c r="AB2579" s="69"/>
      <c r="AC2579" s="69"/>
      <c r="AD2579" s="69"/>
      <c r="AE2579" s="69"/>
      <c r="AF2579" s="69"/>
      <c r="AG2579" s="69"/>
      <c r="AH2579" s="69"/>
      <c r="AI2579" s="69"/>
      <c r="AJ2579" s="69"/>
      <c r="AK2579" s="69"/>
      <c r="AL2579" s="69"/>
      <c r="AM2579" s="69"/>
      <c r="AN2579" s="69"/>
      <c r="AO2579" s="69"/>
      <c r="AP2579" s="69"/>
      <c r="AQ2579" s="69"/>
      <c r="AR2579" s="69"/>
      <c r="AS2579" s="69"/>
      <c r="AT2579" s="69"/>
      <c r="AU2579" s="69"/>
      <c r="AV2579" s="69"/>
      <c r="AW2579" s="69"/>
      <c r="AX2579" s="69"/>
      <c r="AY2579" s="69"/>
      <c r="AZ2579" s="69"/>
      <c r="BA2579" s="69"/>
      <c r="BB2579" s="69"/>
      <c r="BC2579" s="69"/>
    </row>
    <row r="2580">
      <c r="A2580" s="68"/>
      <c r="B2580" s="68"/>
      <c r="C2580" s="68"/>
      <c r="D2580" s="68"/>
      <c r="E2580" s="68"/>
      <c r="F2580" s="68"/>
      <c r="G2580" s="68"/>
      <c r="H2580" s="68"/>
      <c r="I2580" s="69"/>
      <c r="J2580" s="69"/>
      <c r="K2580" s="71"/>
      <c r="L2580" s="69"/>
      <c r="M2580" s="69"/>
      <c r="N2580" s="72"/>
      <c r="O2580" s="69"/>
      <c r="P2580" s="69"/>
      <c r="Q2580" s="69"/>
      <c r="R2580" s="69"/>
      <c r="S2580" s="69"/>
      <c r="T2580" s="69"/>
      <c r="U2580" s="69"/>
      <c r="V2580" s="69"/>
      <c r="W2580" s="69"/>
      <c r="X2580" s="69"/>
      <c r="Y2580" s="69"/>
      <c r="Z2580" s="69"/>
      <c r="AA2580" s="69"/>
      <c r="AB2580" s="69"/>
      <c r="AC2580" s="69"/>
      <c r="AD2580" s="69"/>
      <c r="AE2580" s="69"/>
      <c r="AF2580" s="69"/>
      <c r="AG2580" s="69"/>
      <c r="AH2580" s="69"/>
      <c r="AI2580" s="69"/>
      <c r="AJ2580" s="69"/>
      <c r="AK2580" s="69"/>
      <c r="AL2580" s="69"/>
      <c r="AM2580" s="69"/>
      <c r="AN2580" s="69"/>
      <c r="AO2580" s="69"/>
      <c r="AP2580" s="69"/>
      <c r="AQ2580" s="69"/>
      <c r="AR2580" s="69"/>
      <c r="AS2580" s="69"/>
      <c r="AT2580" s="69"/>
      <c r="AU2580" s="69"/>
      <c r="AV2580" s="69"/>
      <c r="AW2580" s="69"/>
      <c r="AX2580" s="69"/>
      <c r="AY2580" s="69"/>
      <c r="AZ2580" s="69"/>
      <c r="BA2580" s="69"/>
      <c r="BB2580" s="69"/>
      <c r="BC2580" s="69"/>
    </row>
    <row r="2581">
      <c r="A2581" s="68"/>
      <c r="B2581" s="68"/>
      <c r="C2581" s="68"/>
      <c r="D2581" s="68"/>
      <c r="E2581" s="68"/>
      <c r="F2581" s="68"/>
      <c r="G2581" s="68"/>
      <c r="H2581" s="68"/>
      <c r="I2581" s="69"/>
      <c r="J2581" s="69"/>
      <c r="K2581" s="71"/>
      <c r="L2581" s="69"/>
      <c r="M2581" s="69"/>
      <c r="N2581" s="72"/>
      <c r="O2581" s="69"/>
      <c r="P2581" s="69"/>
      <c r="Q2581" s="69"/>
      <c r="R2581" s="69"/>
      <c r="S2581" s="69"/>
      <c r="T2581" s="69"/>
      <c r="U2581" s="69"/>
      <c r="V2581" s="69"/>
      <c r="W2581" s="69"/>
      <c r="X2581" s="69"/>
      <c r="Y2581" s="69"/>
      <c r="Z2581" s="69"/>
      <c r="AA2581" s="69"/>
      <c r="AB2581" s="69"/>
      <c r="AC2581" s="69"/>
      <c r="AD2581" s="69"/>
      <c r="AE2581" s="69"/>
      <c r="AF2581" s="69"/>
      <c r="AG2581" s="69"/>
      <c r="AH2581" s="69"/>
      <c r="AI2581" s="69"/>
      <c r="AJ2581" s="69"/>
      <c r="AK2581" s="69"/>
      <c r="AL2581" s="69"/>
      <c r="AM2581" s="69"/>
      <c r="AN2581" s="69"/>
      <c r="AO2581" s="69"/>
      <c r="AP2581" s="69"/>
      <c r="AQ2581" s="69"/>
      <c r="AR2581" s="69"/>
      <c r="AS2581" s="69"/>
      <c r="AT2581" s="69"/>
      <c r="AU2581" s="69"/>
      <c r="AV2581" s="69"/>
      <c r="AW2581" s="69"/>
      <c r="AX2581" s="69"/>
      <c r="AY2581" s="69"/>
      <c r="AZ2581" s="69"/>
      <c r="BA2581" s="69"/>
      <c r="BB2581" s="69"/>
      <c r="BC2581" s="69"/>
    </row>
    <row r="2582">
      <c r="A2582" s="68"/>
      <c r="B2582" s="68"/>
      <c r="C2582" s="68"/>
      <c r="D2582" s="68"/>
      <c r="E2582" s="68"/>
      <c r="F2582" s="68"/>
      <c r="G2582" s="68"/>
      <c r="H2582" s="68"/>
      <c r="I2582" s="69"/>
      <c r="J2582" s="69"/>
      <c r="K2582" s="71"/>
      <c r="L2582" s="69"/>
      <c r="M2582" s="69"/>
      <c r="N2582" s="72"/>
      <c r="O2582" s="69"/>
      <c r="P2582" s="69"/>
      <c r="Q2582" s="69"/>
      <c r="R2582" s="69"/>
      <c r="S2582" s="69"/>
      <c r="T2582" s="69"/>
      <c r="U2582" s="69"/>
      <c r="V2582" s="69"/>
      <c r="W2582" s="69"/>
      <c r="X2582" s="69"/>
      <c r="Y2582" s="69"/>
      <c r="Z2582" s="69"/>
      <c r="AA2582" s="69"/>
      <c r="AB2582" s="69"/>
      <c r="AC2582" s="69"/>
      <c r="AD2582" s="69"/>
      <c r="AE2582" s="69"/>
      <c r="AF2582" s="69"/>
      <c r="AG2582" s="69"/>
      <c r="AH2582" s="69"/>
      <c r="AI2582" s="69"/>
      <c r="AJ2582" s="69"/>
      <c r="AK2582" s="69"/>
      <c r="AL2582" s="69"/>
      <c r="AM2582" s="69"/>
      <c r="AN2582" s="69"/>
      <c r="AO2582" s="69"/>
      <c r="AP2582" s="69"/>
      <c r="AQ2582" s="69"/>
      <c r="AR2582" s="69"/>
      <c r="AS2582" s="69"/>
      <c r="AT2582" s="69"/>
      <c r="AU2582" s="69"/>
      <c r="AV2582" s="69"/>
      <c r="AW2582" s="69"/>
      <c r="AX2582" s="69"/>
      <c r="AY2582" s="69"/>
      <c r="AZ2582" s="69"/>
      <c r="BA2582" s="69"/>
      <c r="BB2582" s="69"/>
      <c r="BC2582" s="69"/>
    </row>
    <row r="2583">
      <c r="A2583" s="68"/>
      <c r="B2583" s="68"/>
      <c r="C2583" s="68"/>
      <c r="D2583" s="68"/>
      <c r="E2583" s="68"/>
      <c r="F2583" s="68"/>
      <c r="G2583" s="68"/>
      <c r="H2583" s="68"/>
      <c r="I2583" s="69"/>
      <c r="J2583" s="69"/>
      <c r="K2583" s="71"/>
      <c r="L2583" s="69"/>
      <c r="M2583" s="69"/>
      <c r="N2583" s="72"/>
      <c r="O2583" s="69"/>
      <c r="P2583" s="69"/>
      <c r="Q2583" s="69"/>
      <c r="R2583" s="69"/>
      <c r="S2583" s="69"/>
      <c r="T2583" s="69"/>
      <c r="U2583" s="69"/>
      <c r="V2583" s="69"/>
      <c r="W2583" s="69"/>
      <c r="X2583" s="69"/>
      <c r="Y2583" s="69"/>
      <c r="Z2583" s="69"/>
      <c r="AA2583" s="69"/>
      <c r="AB2583" s="69"/>
      <c r="AC2583" s="69"/>
      <c r="AD2583" s="69"/>
      <c r="AE2583" s="69"/>
      <c r="AF2583" s="69"/>
      <c r="AG2583" s="69"/>
      <c r="AH2583" s="69"/>
      <c r="AI2583" s="69"/>
      <c r="AJ2583" s="69"/>
      <c r="AK2583" s="69"/>
      <c r="AL2583" s="69"/>
      <c r="AM2583" s="69"/>
      <c r="AN2583" s="69"/>
      <c r="AO2583" s="69"/>
      <c r="AP2583" s="69"/>
      <c r="AQ2583" s="69"/>
      <c r="AR2583" s="69"/>
      <c r="AS2583" s="69"/>
      <c r="AT2583" s="69"/>
      <c r="AU2583" s="69"/>
      <c r="AV2583" s="69"/>
      <c r="AW2583" s="69"/>
      <c r="AX2583" s="69"/>
      <c r="AY2583" s="69"/>
      <c r="AZ2583" s="69"/>
      <c r="BA2583" s="69"/>
      <c r="BB2583" s="69"/>
      <c r="BC2583" s="69"/>
    </row>
    <row r="2584">
      <c r="A2584" s="68"/>
      <c r="B2584" s="68"/>
      <c r="C2584" s="68"/>
      <c r="D2584" s="68"/>
      <c r="E2584" s="68"/>
      <c r="F2584" s="68"/>
      <c r="G2584" s="68"/>
      <c r="H2584" s="68"/>
      <c r="I2584" s="69"/>
      <c r="J2584" s="69"/>
      <c r="K2584" s="71"/>
      <c r="L2584" s="69"/>
      <c r="M2584" s="69"/>
      <c r="N2584" s="72"/>
      <c r="O2584" s="69"/>
      <c r="P2584" s="69"/>
      <c r="Q2584" s="69"/>
      <c r="R2584" s="69"/>
      <c r="S2584" s="69"/>
      <c r="T2584" s="69"/>
      <c r="U2584" s="69"/>
      <c r="V2584" s="69"/>
      <c r="W2584" s="69"/>
      <c r="X2584" s="69"/>
      <c r="Y2584" s="69"/>
      <c r="Z2584" s="69"/>
      <c r="AA2584" s="69"/>
      <c r="AB2584" s="69"/>
      <c r="AC2584" s="69"/>
      <c r="AD2584" s="69"/>
      <c r="AE2584" s="69"/>
      <c r="AF2584" s="69"/>
      <c r="AG2584" s="69"/>
      <c r="AH2584" s="69"/>
      <c r="AI2584" s="69"/>
      <c r="AJ2584" s="69"/>
      <c r="AK2584" s="69"/>
      <c r="AL2584" s="69"/>
      <c r="AM2584" s="69"/>
      <c r="AN2584" s="69"/>
      <c r="AO2584" s="69"/>
      <c r="AP2584" s="69"/>
      <c r="AQ2584" s="69"/>
      <c r="AR2584" s="69"/>
      <c r="AS2584" s="69"/>
      <c r="AT2584" s="69"/>
      <c r="AU2584" s="69"/>
      <c r="AV2584" s="69"/>
      <c r="AW2584" s="69"/>
      <c r="AX2584" s="69"/>
      <c r="AY2584" s="69"/>
      <c r="AZ2584" s="69"/>
      <c r="BA2584" s="69"/>
      <c r="BB2584" s="69"/>
      <c r="BC2584" s="69"/>
    </row>
    <row r="2585">
      <c r="A2585" s="68"/>
      <c r="B2585" s="68"/>
      <c r="C2585" s="68"/>
      <c r="D2585" s="68"/>
      <c r="E2585" s="68"/>
      <c r="F2585" s="68"/>
      <c r="G2585" s="68"/>
      <c r="H2585" s="68"/>
      <c r="I2585" s="69"/>
      <c r="J2585" s="69"/>
      <c r="K2585" s="71"/>
      <c r="L2585" s="69"/>
      <c r="M2585" s="69"/>
      <c r="N2585" s="72"/>
      <c r="O2585" s="69"/>
      <c r="P2585" s="69"/>
      <c r="Q2585" s="69"/>
      <c r="R2585" s="69"/>
      <c r="S2585" s="69"/>
      <c r="T2585" s="69"/>
      <c r="U2585" s="69"/>
      <c r="V2585" s="69"/>
      <c r="W2585" s="69"/>
      <c r="X2585" s="69"/>
      <c r="Y2585" s="69"/>
      <c r="Z2585" s="69"/>
      <c r="AA2585" s="69"/>
      <c r="AB2585" s="69"/>
      <c r="AC2585" s="69"/>
      <c r="AD2585" s="69"/>
      <c r="AE2585" s="69"/>
      <c r="AF2585" s="69"/>
      <c r="AG2585" s="69"/>
      <c r="AH2585" s="69"/>
      <c r="AI2585" s="69"/>
      <c r="AJ2585" s="69"/>
      <c r="AK2585" s="69"/>
      <c r="AL2585" s="69"/>
      <c r="AM2585" s="69"/>
      <c r="AN2585" s="69"/>
      <c r="AO2585" s="69"/>
      <c r="AP2585" s="69"/>
      <c r="AQ2585" s="69"/>
      <c r="AR2585" s="69"/>
      <c r="AS2585" s="69"/>
      <c r="AT2585" s="69"/>
      <c r="AU2585" s="69"/>
      <c r="AV2585" s="69"/>
      <c r="AW2585" s="69"/>
      <c r="AX2585" s="69"/>
      <c r="AY2585" s="69"/>
      <c r="AZ2585" s="69"/>
      <c r="BA2585" s="69"/>
      <c r="BB2585" s="69"/>
      <c r="BC2585" s="69"/>
    </row>
    <row r="2586">
      <c r="A2586" s="68"/>
      <c r="B2586" s="68"/>
      <c r="C2586" s="68"/>
      <c r="D2586" s="68"/>
      <c r="E2586" s="68"/>
      <c r="F2586" s="68"/>
      <c r="G2586" s="68"/>
      <c r="H2586" s="68"/>
      <c r="I2586" s="69"/>
      <c r="J2586" s="69"/>
      <c r="K2586" s="71"/>
      <c r="L2586" s="69"/>
      <c r="M2586" s="69"/>
      <c r="N2586" s="72"/>
      <c r="O2586" s="69"/>
      <c r="P2586" s="69"/>
      <c r="Q2586" s="69"/>
      <c r="R2586" s="69"/>
      <c r="S2586" s="69"/>
      <c r="T2586" s="69"/>
      <c r="U2586" s="69"/>
      <c r="V2586" s="69"/>
      <c r="W2586" s="69"/>
      <c r="X2586" s="69"/>
      <c r="Y2586" s="69"/>
      <c r="Z2586" s="69"/>
      <c r="AA2586" s="69"/>
      <c r="AB2586" s="69"/>
      <c r="AC2586" s="69"/>
      <c r="AD2586" s="69"/>
      <c r="AE2586" s="69"/>
      <c r="AF2586" s="69"/>
      <c r="AG2586" s="69"/>
      <c r="AH2586" s="69"/>
      <c r="AI2586" s="69"/>
      <c r="AJ2586" s="69"/>
      <c r="AK2586" s="69"/>
      <c r="AL2586" s="69"/>
      <c r="AM2586" s="69"/>
      <c r="AN2586" s="69"/>
      <c r="AO2586" s="69"/>
      <c r="AP2586" s="69"/>
      <c r="AQ2586" s="69"/>
      <c r="AR2586" s="69"/>
      <c r="AS2586" s="69"/>
      <c r="AT2586" s="69"/>
      <c r="AU2586" s="69"/>
      <c r="AV2586" s="69"/>
      <c r="AW2586" s="69"/>
      <c r="AX2586" s="69"/>
      <c r="AY2586" s="69"/>
      <c r="AZ2586" s="69"/>
      <c r="BA2586" s="69"/>
      <c r="BB2586" s="69"/>
      <c r="BC2586" s="69"/>
    </row>
    <row r="2587">
      <c r="A2587" s="68"/>
      <c r="B2587" s="68"/>
      <c r="C2587" s="68"/>
      <c r="D2587" s="68"/>
      <c r="E2587" s="68"/>
      <c r="F2587" s="68"/>
      <c r="G2587" s="68"/>
      <c r="H2587" s="68"/>
      <c r="I2587" s="69"/>
      <c r="J2587" s="69"/>
      <c r="K2587" s="71"/>
      <c r="L2587" s="69"/>
      <c r="M2587" s="69"/>
      <c r="N2587" s="72"/>
      <c r="O2587" s="69"/>
      <c r="P2587" s="69"/>
      <c r="Q2587" s="69"/>
      <c r="R2587" s="69"/>
      <c r="S2587" s="69"/>
      <c r="T2587" s="69"/>
      <c r="U2587" s="69"/>
      <c r="V2587" s="69"/>
      <c r="W2587" s="69"/>
      <c r="X2587" s="69"/>
      <c r="Y2587" s="69"/>
      <c r="Z2587" s="69"/>
      <c r="AA2587" s="69"/>
      <c r="AB2587" s="69"/>
      <c r="AC2587" s="69"/>
      <c r="AD2587" s="69"/>
      <c r="AE2587" s="69"/>
      <c r="AF2587" s="69"/>
      <c r="AG2587" s="69"/>
      <c r="AH2587" s="69"/>
      <c r="AI2587" s="69"/>
      <c r="AJ2587" s="69"/>
      <c r="AK2587" s="69"/>
      <c r="AL2587" s="69"/>
      <c r="AM2587" s="69"/>
      <c r="AN2587" s="69"/>
      <c r="AO2587" s="69"/>
      <c r="AP2587" s="69"/>
      <c r="AQ2587" s="69"/>
      <c r="AR2587" s="69"/>
      <c r="AS2587" s="69"/>
      <c r="AT2587" s="69"/>
      <c r="AU2587" s="69"/>
      <c r="AV2587" s="69"/>
      <c r="AW2587" s="69"/>
      <c r="AX2587" s="69"/>
      <c r="AY2587" s="69"/>
      <c r="AZ2587" s="69"/>
      <c r="BA2587" s="69"/>
      <c r="BB2587" s="69"/>
      <c r="BC2587" s="69"/>
    </row>
    <row r="2588">
      <c r="A2588" s="68"/>
      <c r="B2588" s="68"/>
      <c r="C2588" s="68"/>
      <c r="D2588" s="68"/>
      <c r="E2588" s="68"/>
      <c r="F2588" s="68"/>
      <c r="G2588" s="68"/>
      <c r="H2588" s="68"/>
      <c r="I2588" s="69"/>
      <c r="J2588" s="69"/>
      <c r="K2588" s="71"/>
      <c r="L2588" s="69"/>
      <c r="M2588" s="69"/>
      <c r="N2588" s="72"/>
      <c r="O2588" s="69"/>
      <c r="P2588" s="69"/>
      <c r="Q2588" s="69"/>
      <c r="R2588" s="69"/>
      <c r="S2588" s="69"/>
      <c r="T2588" s="69"/>
      <c r="U2588" s="69"/>
      <c r="V2588" s="69"/>
      <c r="W2588" s="69"/>
      <c r="X2588" s="69"/>
      <c r="Y2588" s="69"/>
      <c r="Z2588" s="69"/>
      <c r="AA2588" s="69"/>
      <c r="AB2588" s="69"/>
      <c r="AC2588" s="69"/>
      <c r="AD2588" s="69"/>
      <c r="AE2588" s="69"/>
      <c r="AF2588" s="69"/>
      <c r="AG2588" s="69"/>
      <c r="AH2588" s="69"/>
      <c r="AI2588" s="69"/>
      <c r="AJ2588" s="69"/>
      <c r="AK2588" s="69"/>
      <c r="AL2588" s="69"/>
      <c r="AM2588" s="69"/>
      <c r="AN2588" s="69"/>
      <c r="AO2588" s="69"/>
      <c r="AP2588" s="69"/>
      <c r="AQ2588" s="69"/>
      <c r="AR2588" s="69"/>
      <c r="AS2588" s="69"/>
      <c r="AT2588" s="69"/>
      <c r="AU2588" s="69"/>
      <c r="AV2588" s="69"/>
      <c r="AW2588" s="69"/>
      <c r="AX2588" s="69"/>
      <c r="AY2588" s="69"/>
      <c r="AZ2588" s="69"/>
      <c r="BA2588" s="69"/>
      <c r="BB2588" s="69"/>
      <c r="BC2588" s="69"/>
    </row>
    <row r="2589">
      <c r="A2589" s="68"/>
      <c r="B2589" s="68"/>
      <c r="C2589" s="68"/>
      <c r="D2589" s="68"/>
      <c r="E2589" s="68"/>
      <c r="F2589" s="68"/>
      <c r="G2589" s="68"/>
      <c r="H2589" s="68"/>
      <c r="I2589" s="69"/>
      <c r="J2589" s="69"/>
      <c r="K2589" s="71"/>
      <c r="L2589" s="69"/>
      <c r="M2589" s="69"/>
      <c r="N2589" s="72"/>
      <c r="O2589" s="69"/>
      <c r="P2589" s="69"/>
      <c r="Q2589" s="69"/>
      <c r="R2589" s="69"/>
      <c r="S2589" s="69"/>
      <c r="T2589" s="69"/>
      <c r="U2589" s="69"/>
      <c r="V2589" s="69"/>
      <c r="W2589" s="69"/>
      <c r="X2589" s="69"/>
      <c r="Y2589" s="69"/>
      <c r="Z2589" s="69"/>
      <c r="AA2589" s="69"/>
      <c r="AB2589" s="69"/>
      <c r="AC2589" s="69"/>
      <c r="AD2589" s="69"/>
      <c r="AE2589" s="69"/>
      <c r="AF2589" s="69"/>
      <c r="AG2589" s="69"/>
      <c r="AH2589" s="69"/>
      <c r="AI2589" s="69"/>
      <c r="AJ2589" s="69"/>
      <c r="AK2589" s="69"/>
      <c r="AL2589" s="69"/>
      <c r="AM2589" s="69"/>
      <c r="AN2589" s="69"/>
      <c r="AO2589" s="69"/>
      <c r="AP2589" s="69"/>
      <c r="AQ2589" s="69"/>
      <c r="AR2589" s="69"/>
      <c r="AS2589" s="69"/>
      <c r="AT2589" s="69"/>
      <c r="AU2589" s="69"/>
      <c r="AV2589" s="69"/>
      <c r="AW2589" s="69"/>
      <c r="AX2589" s="69"/>
      <c r="AY2589" s="69"/>
      <c r="AZ2589" s="69"/>
      <c r="BA2589" s="69"/>
      <c r="BB2589" s="69"/>
      <c r="BC2589" s="69"/>
    </row>
    <row r="2590">
      <c r="A2590" s="68"/>
      <c r="B2590" s="68"/>
      <c r="C2590" s="68"/>
      <c r="D2590" s="68"/>
      <c r="E2590" s="68"/>
      <c r="F2590" s="68"/>
      <c r="G2590" s="68"/>
      <c r="H2590" s="68"/>
      <c r="I2590" s="69"/>
      <c r="J2590" s="69"/>
      <c r="K2590" s="71"/>
      <c r="L2590" s="69"/>
      <c r="M2590" s="69"/>
      <c r="N2590" s="72"/>
      <c r="O2590" s="69"/>
      <c r="P2590" s="69"/>
      <c r="Q2590" s="69"/>
      <c r="R2590" s="69"/>
      <c r="S2590" s="69"/>
      <c r="T2590" s="69"/>
      <c r="U2590" s="69"/>
      <c r="V2590" s="69"/>
      <c r="W2590" s="69"/>
      <c r="X2590" s="69"/>
      <c r="Y2590" s="69"/>
      <c r="Z2590" s="69"/>
      <c r="AA2590" s="69"/>
      <c r="AB2590" s="69"/>
      <c r="AC2590" s="69"/>
      <c r="AD2590" s="69"/>
      <c r="AE2590" s="69"/>
      <c r="AF2590" s="69"/>
      <c r="AG2590" s="69"/>
      <c r="AH2590" s="69"/>
      <c r="AI2590" s="69"/>
      <c r="AJ2590" s="69"/>
      <c r="AK2590" s="69"/>
      <c r="AL2590" s="69"/>
      <c r="AM2590" s="69"/>
      <c r="AN2590" s="69"/>
      <c r="AO2590" s="69"/>
      <c r="AP2590" s="69"/>
      <c r="AQ2590" s="69"/>
      <c r="AR2590" s="69"/>
      <c r="AS2590" s="69"/>
      <c r="AT2590" s="69"/>
      <c r="AU2590" s="69"/>
      <c r="AV2590" s="69"/>
      <c r="AW2590" s="69"/>
      <c r="AX2590" s="69"/>
      <c r="AY2590" s="69"/>
      <c r="AZ2590" s="69"/>
      <c r="BA2590" s="69"/>
      <c r="BB2590" s="69"/>
      <c r="BC2590" s="69"/>
    </row>
    <row r="2591">
      <c r="A2591" s="68"/>
      <c r="B2591" s="68"/>
      <c r="C2591" s="68"/>
      <c r="D2591" s="68"/>
      <c r="E2591" s="68"/>
      <c r="F2591" s="68"/>
      <c r="G2591" s="68"/>
      <c r="H2591" s="68"/>
      <c r="I2591" s="69"/>
      <c r="J2591" s="69"/>
      <c r="K2591" s="71"/>
      <c r="L2591" s="69"/>
      <c r="M2591" s="69"/>
      <c r="N2591" s="72"/>
      <c r="O2591" s="69"/>
      <c r="P2591" s="69"/>
      <c r="Q2591" s="69"/>
      <c r="R2591" s="69"/>
      <c r="S2591" s="69"/>
      <c r="T2591" s="69"/>
      <c r="U2591" s="69"/>
      <c r="V2591" s="69"/>
      <c r="W2591" s="69"/>
      <c r="X2591" s="69"/>
      <c r="Y2591" s="69"/>
      <c r="Z2591" s="69"/>
      <c r="AA2591" s="69"/>
      <c r="AB2591" s="69"/>
      <c r="AC2591" s="69"/>
      <c r="AD2591" s="69"/>
      <c r="AE2591" s="69"/>
      <c r="AF2591" s="69"/>
      <c r="AG2591" s="69"/>
      <c r="AH2591" s="69"/>
      <c r="AI2591" s="69"/>
      <c r="AJ2591" s="69"/>
      <c r="AK2591" s="69"/>
      <c r="AL2591" s="69"/>
      <c r="AM2591" s="69"/>
      <c r="AN2591" s="69"/>
      <c r="AO2591" s="69"/>
      <c r="AP2591" s="69"/>
      <c r="AQ2591" s="69"/>
      <c r="AR2591" s="69"/>
      <c r="AS2591" s="69"/>
      <c r="AT2591" s="69"/>
      <c r="AU2591" s="69"/>
      <c r="AV2591" s="69"/>
      <c r="AW2591" s="69"/>
      <c r="AX2591" s="69"/>
      <c r="AY2591" s="69"/>
      <c r="AZ2591" s="69"/>
      <c r="BA2591" s="69"/>
      <c r="BB2591" s="69"/>
      <c r="BC2591" s="69"/>
    </row>
    <row r="2592">
      <c r="A2592" s="68"/>
      <c r="B2592" s="68"/>
      <c r="C2592" s="68"/>
      <c r="D2592" s="68"/>
      <c r="E2592" s="68"/>
      <c r="F2592" s="68"/>
      <c r="G2592" s="68"/>
      <c r="H2592" s="68"/>
      <c r="I2592" s="69"/>
      <c r="J2592" s="69"/>
      <c r="K2592" s="71"/>
      <c r="L2592" s="69"/>
      <c r="M2592" s="69"/>
      <c r="N2592" s="72"/>
      <c r="O2592" s="69"/>
      <c r="P2592" s="69"/>
      <c r="Q2592" s="69"/>
      <c r="R2592" s="69"/>
      <c r="S2592" s="69"/>
      <c r="T2592" s="69"/>
      <c r="U2592" s="69"/>
      <c r="V2592" s="69"/>
      <c r="W2592" s="69"/>
      <c r="X2592" s="69"/>
      <c r="Y2592" s="69"/>
      <c r="Z2592" s="69"/>
      <c r="AA2592" s="69"/>
      <c r="AB2592" s="69"/>
      <c r="AC2592" s="69"/>
      <c r="AD2592" s="69"/>
      <c r="AE2592" s="69"/>
      <c r="AF2592" s="69"/>
      <c r="AG2592" s="69"/>
      <c r="AH2592" s="69"/>
      <c r="AI2592" s="69"/>
      <c r="AJ2592" s="69"/>
      <c r="AK2592" s="69"/>
      <c r="AL2592" s="69"/>
      <c r="AM2592" s="69"/>
      <c r="AN2592" s="69"/>
      <c r="AO2592" s="69"/>
      <c r="AP2592" s="69"/>
      <c r="AQ2592" s="69"/>
      <c r="AR2592" s="69"/>
      <c r="AS2592" s="69"/>
      <c r="AT2592" s="69"/>
      <c r="AU2592" s="69"/>
      <c r="AV2592" s="69"/>
      <c r="AW2592" s="69"/>
      <c r="AX2592" s="69"/>
      <c r="AY2592" s="69"/>
      <c r="AZ2592" s="69"/>
      <c r="BA2592" s="69"/>
      <c r="BB2592" s="69"/>
      <c r="BC2592" s="69"/>
    </row>
    <row r="2593">
      <c r="A2593" s="68"/>
      <c r="B2593" s="68"/>
      <c r="C2593" s="68"/>
      <c r="D2593" s="68"/>
      <c r="E2593" s="68"/>
      <c r="F2593" s="68"/>
      <c r="G2593" s="68"/>
      <c r="H2593" s="68"/>
      <c r="I2593" s="69"/>
      <c r="J2593" s="69"/>
      <c r="K2593" s="71"/>
      <c r="L2593" s="69"/>
      <c r="M2593" s="69"/>
      <c r="N2593" s="72"/>
      <c r="O2593" s="69"/>
      <c r="P2593" s="69"/>
      <c r="Q2593" s="69"/>
      <c r="R2593" s="69"/>
      <c r="S2593" s="69"/>
      <c r="T2593" s="69"/>
      <c r="U2593" s="69"/>
      <c r="V2593" s="69"/>
      <c r="W2593" s="69"/>
      <c r="X2593" s="69"/>
      <c r="Y2593" s="69"/>
      <c r="Z2593" s="69"/>
      <c r="AA2593" s="69"/>
      <c r="AB2593" s="69"/>
      <c r="AC2593" s="69"/>
      <c r="AD2593" s="69"/>
      <c r="AE2593" s="69"/>
      <c r="AF2593" s="69"/>
      <c r="AG2593" s="69"/>
      <c r="AH2593" s="69"/>
      <c r="AI2593" s="69"/>
      <c r="AJ2593" s="69"/>
      <c r="AK2593" s="69"/>
      <c r="AL2593" s="69"/>
      <c r="AM2593" s="69"/>
      <c r="AN2593" s="69"/>
      <c r="AO2593" s="69"/>
      <c r="AP2593" s="69"/>
      <c r="AQ2593" s="69"/>
      <c r="AR2593" s="69"/>
      <c r="AS2593" s="69"/>
      <c r="AT2593" s="69"/>
      <c r="AU2593" s="69"/>
      <c r="AV2593" s="69"/>
      <c r="AW2593" s="69"/>
      <c r="AX2593" s="69"/>
      <c r="AY2593" s="69"/>
      <c r="AZ2593" s="69"/>
      <c r="BA2593" s="69"/>
      <c r="BB2593" s="69"/>
      <c r="BC2593" s="69"/>
    </row>
    <row r="2594">
      <c r="A2594" s="68"/>
      <c r="B2594" s="68"/>
      <c r="C2594" s="68"/>
      <c r="D2594" s="68"/>
      <c r="E2594" s="68"/>
      <c r="F2594" s="68"/>
      <c r="G2594" s="68"/>
      <c r="H2594" s="68"/>
      <c r="I2594" s="69"/>
      <c r="J2594" s="69"/>
      <c r="K2594" s="71"/>
      <c r="L2594" s="69"/>
      <c r="M2594" s="69"/>
      <c r="N2594" s="72"/>
      <c r="O2594" s="69"/>
      <c r="P2594" s="69"/>
      <c r="Q2594" s="69"/>
      <c r="R2594" s="69"/>
      <c r="S2594" s="69"/>
      <c r="T2594" s="69"/>
      <c r="U2594" s="69"/>
      <c r="V2594" s="69"/>
      <c r="W2594" s="69"/>
      <c r="X2594" s="69"/>
      <c r="Y2594" s="69"/>
      <c r="Z2594" s="69"/>
      <c r="AA2594" s="69"/>
      <c r="AB2594" s="69"/>
      <c r="AC2594" s="69"/>
      <c r="AD2594" s="69"/>
      <c r="AE2594" s="69"/>
      <c r="AF2594" s="69"/>
      <c r="AG2594" s="69"/>
      <c r="AH2594" s="69"/>
      <c r="AI2594" s="69"/>
      <c r="AJ2594" s="69"/>
      <c r="AK2594" s="69"/>
      <c r="AL2594" s="69"/>
      <c r="AM2594" s="69"/>
      <c r="AN2594" s="69"/>
      <c r="AO2594" s="69"/>
      <c r="AP2594" s="69"/>
      <c r="AQ2594" s="69"/>
      <c r="AR2594" s="69"/>
      <c r="AS2594" s="69"/>
      <c r="AT2594" s="69"/>
      <c r="AU2594" s="69"/>
      <c r="AV2594" s="69"/>
      <c r="AW2594" s="69"/>
      <c r="AX2594" s="69"/>
      <c r="AY2594" s="69"/>
      <c r="AZ2594" s="69"/>
      <c r="BA2594" s="69"/>
      <c r="BB2594" s="69"/>
      <c r="BC2594" s="69"/>
    </row>
    <row r="2595">
      <c r="A2595" s="68"/>
      <c r="B2595" s="68"/>
      <c r="C2595" s="68"/>
      <c r="D2595" s="68"/>
      <c r="E2595" s="68"/>
      <c r="F2595" s="68"/>
      <c r="G2595" s="68"/>
      <c r="H2595" s="68"/>
      <c r="I2595" s="69"/>
      <c r="J2595" s="69"/>
      <c r="K2595" s="71"/>
      <c r="L2595" s="69"/>
      <c r="M2595" s="69"/>
      <c r="N2595" s="72"/>
      <c r="O2595" s="69"/>
      <c r="P2595" s="69"/>
      <c r="Q2595" s="69"/>
      <c r="R2595" s="69"/>
      <c r="S2595" s="69"/>
      <c r="T2595" s="69"/>
      <c r="U2595" s="69"/>
      <c r="V2595" s="69"/>
      <c r="W2595" s="69"/>
      <c r="X2595" s="69"/>
      <c r="Y2595" s="69"/>
      <c r="Z2595" s="69"/>
      <c r="AA2595" s="69"/>
      <c r="AB2595" s="69"/>
      <c r="AC2595" s="69"/>
      <c r="AD2595" s="69"/>
      <c r="AE2595" s="69"/>
      <c r="AF2595" s="69"/>
      <c r="AG2595" s="69"/>
      <c r="AH2595" s="69"/>
      <c r="AI2595" s="69"/>
      <c r="AJ2595" s="69"/>
      <c r="AK2595" s="69"/>
      <c r="AL2595" s="69"/>
      <c r="AM2595" s="69"/>
      <c r="AN2595" s="69"/>
      <c r="AO2595" s="69"/>
      <c r="AP2595" s="69"/>
      <c r="AQ2595" s="69"/>
      <c r="AR2595" s="69"/>
      <c r="AS2595" s="69"/>
      <c r="AT2595" s="69"/>
      <c r="AU2595" s="69"/>
      <c r="AV2595" s="69"/>
      <c r="AW2595" s="69"/>
      <c r="AX2595" s="69"/>
      <c r="AY2595" s="69"/>
      <c r="AZ2595" s="69"/>
      <c r="BA2595" s="69"/>
      <c r="BB2595" s="69"/>
      <c r="BC2595" s="69"/>
    </row>
    <row r="2596">
      <c r="A2596" s="68"/>
      <c r="B2596" s="68"/>
      <c r="C2596" s="68"/>
      <c r="D2596" s="68"/>
      <c r="E2596" s="68"/>
      <c r="F2596" s="68"/>
      <c r="G2596" s="68"/>
      <c r="H2596" s="68"/>
      <c r="I2596" s="69"/>
      <c r="J2596" s="69"/>
      <c r="K2596" s="71"/>
      <c r="L2596" s="69"/>
      <c r="M2596" s="69"/>
      <c r="N2596" s="72"/>
      <c r="O2596" s="69"/>
      <c r="P2596" s="69"/>
      <c r="Q2596" s="69"/>
      <c r="R2596" s="69"/>
      <c r="S2596" s="69"/>
      <c r="T2596" s="69"/>
      <c r="U2596" s="69"/>
      <c r="V2596" s="69"/>
      <c r="W2596" s="69"/>
      <c r="X2596" s="69"/>
      <c r="Y2596" s="69"/>
      <c r="Z2596" s="69"/>
      <c r="AA2596" s="69"/>
      <c r="AB2596" s="69"/>
      <c r="AC2596" s="69"/>
      <c r="AD2596" s="69"/>
      <c r="AE2596" s="69"/>
      <c r="AF2596" s="69"/>
      <c r="AG2596" s="69"/>
      <c r="AH2596" s="69"/>
      <c r="AI2596" s="69"/>
      <c r="AJ2596" s="69"/>
      <c r="AK2596" s="69"/>
      <c r="AL2596" s="69"/>
      <c r="AM2596" s="69"/>
      <c r="AN2596" s="69"/>
      <c r="AO2596" s="69"/>
      <c r="AP2596" s="69"/>
      <c r="AQ2596" s="69"/>
      <c r="AR2596" s="69"/>
      <c r="AS2596" s="69"/>
      <c r="AT2596" s="69"/>
      <c r="AU2596" s="69"/>
      <c r="AV2596" s="69"/>
      <c r="AW2596" s="69"/>
      <c r="AX2596" s="69"/>
      <c r="AY2596" s="69"/>
      <c r="AZ2596" s="69"/>
      <c r="BA2596" s="69"/>
      <c r="BB2596" s="69"/>
      <c r="BC2596" s="69"/>
    </row>
    <row r="2597">
      <c r="A2597" s="68"/>
      <c r="B2597" s="68"/>
      <c r="C2597" s="68"/>
      <c r="D2597" s="68"/>
      <c r="E2597" s="68"/>
      <c r="F2597" s="68"/>
      <c r="G2597" s="68"/>
      <c r="H2597" s="68"/>
      <c r="I2597" s="69"/>
      <c r="J2597" s="69"/>
      <c r="K2597" s="71"/>
      <c r="L2597" s="69"/>
      <c r="M2597" s="69"/>
      <c r="N2597" s="72"/>
      <c r="O2597" s="69"/>
      <c r="P2597" s="69"/>
      <c r="Q2597" s="69"/>
      <c r="R2597" s="69"/>
      <c r="S2597" s="69"/>
      <c r="T2597" s="69"/>
      <c r="U2597" s="69"/>
      <c r="V2597" s="69"/>
      <c r="W2597" s="69"/>
      <c r="X2597" s="69"/>
      <c r="Y2597" s="69"/>
      <c r="Z2597" s="69"/>
      <c r="AA2597" s="69"/>
      <c r="AB2597" s="69"/>
      <c r="AC2597" s="69"/>
      <c r="AD2597" s="69"/>
      <c r="AE2597" s="69"/>
      <c r="AF2597" s="69"/>
      <c r="AG2597" s="69"/>
      <c r="AH2597" s="69"/>
      <c r="AI2597" s="69"/>
      <c r="AJ2597" s="69"/>
      <c r="AK2597" s="69"/>
      <c r="AL2597" s="69"/>
      <c r="AM2597" s="69"/>
      <c r="AN2597" s="69"/>
      <c r="AO2597" s="69"/>
      <c r="AP2597" s="69"/>
      <c r="AQ2597" s="69"/>
      <c r="AR2597" s="69"/>
      <c r="AS2597" s="69"/>
      <c r="AT2597" s="69"/>
      <c r="AU2597" s="69"/>
      <c r="AV2597" s="69"/>
      <c r="AW2597" s="69"/>
      <c r="AX2597" s="69"/>
      <c r="AY2597" s="69"/>
      <c r="AZ2597" s="69"/>
      <c r="BA2597" s="69"/>
      <c r="BB2597" s="69"/>
      <c r="BC2597" s="69"/>
    </row>
    <row r="2598">
      <c r="A2598" s="68"/>
      <c r="B2598" s="68"/>
      <c r="C2598" s="68"/>
      <c r="D2598" s="68"/>
      <c r="E2598" s="68"/>
      <c r="F2598" s="68"/>
      <c r="G2598" s="68"/>
      <c r="H2598" s="68"/>
      <c r="I2598" s="69"/>
      <c r="J2598" s="69"/>
      <c r="K2598" s="71"/>
      <c r="L2598" s="69"/>
      <c r="M2598" s="69"/>
      <c r="N2598" s="72"/>
      <c r="O2598" s="69"/>
      <c r="P2598" s="69"/>
      <c r="Q2598" s="69"/>
      <c r="R2598" s="69"/>
      <c r="S2598" s="69"/>
      <c r="T2598" s="69"/>
      <c r="U2598" s="69"/>
      <c r="V2598" s="69"/>
      <c r="W2598" s="69"/>
      <c r="X2598" s="69"/>
      <c r="Y2598" s="69"/>
      <c r="Z2598" s="69"/>
      <c r="AA2598" s="69"/>
      <c r="AB2598" s="69"/>
      <c r="AC2598" s="69"/>
      <c r="AD2598" s="69"/>
      <c r="AE2598" s="69"/>
      <c r="AF2598" s="69"/>
      <c r="AG2598" s="69"/>
      <c r="AH2598" s="69"/>
      <c r="AI2598" s="69"/>
      <c r="AJ2598" s="69"/>
      <c r="AK2598" s="69"/>
      <c r="AL2598" s="69"/>
      <c r="AM2598" s="69"/>
      <c r="AN2598" s="69"/>
      <c r="AO2598" s="69"/>
      <c r="AP2598" s="69"/>
      <c r="AQ2598" s="69"/>
      <c r="AR2598" s="69"/>
      <c r="AS2598" s="69"/>
      <c r="AT2598" s="69"/>
      <c r="AU2598" s="69"/>
      <c r="AV2598" s="69"/>
      <c r="AW2598" s="69"/>
      <c r="AX2598" s="69"/>
      <c r="AY2598" s="69"/>
      <c r="AZ2598" s="69"/>
      <c r="BA2598" s="69"/>
      <c r="BB2598" s="69"/>
      <c r="BC2598" s="69"/>
    </row>
    <row r="2599">
      <c r="A2599" s="68"/>
      <c r="B2599" s="68"/>
      <c r="C2599" s="68"/>
      <c r="D2599" s="68"/>
      <c r="E2599" s="68"/>
      <c r="F2599" s="68"/>
      <c r="G2599" s="68"/>
      <c r="H2599" s="68"/>
      <c r="I2599" s="69"/>
      <c r="J2599" s="69"/>
      <c r="K2599" s="71"/>
      <c r="L2599" s="69"/>
      <c r="M2599" s="69"/>
      <c r="N2599" s="72"/>
      <c r="O2599" s="69"/>
      <c r="P2599" s="69"/>
      <c r="Q2599" s="69"/>
      <c r="R2599" s="69"/>
      <c r="S2599" s="69"/>
      <c r="T2599" s="69"/>
      <c r="U2599" s="69"/>
      <c r="V2599" s="69"/>
      <c r="W2599" s="69"/>
      <c r="X2599" s="69"/>
      <c r="Y2599" s="69"/>
      <c r="Z2599" s="69"/>
      <c r="AA2599" s="69"/>
      <c r="AB2599" s="69"/>
      <c r="AC2599" s="69"/>
      <c r="AD2599" s="69"/>
      <c r="AE2599" s="69"/>
      <c r="AF2599" s="69"/>
      <c r="AG2599" s="69"/>
      <c r="AH2599" s="69"/>
      <c r="AI2599" s="69"/>
      <c r="AJ2599" s="69"/>
      <c r="AK2599" s="69"/>
      <c r="AL2599" s="69"/>
      <c r="AM2599" s="69"/>
      <c r="AN2599" s="69"/>
      <c r="AO2599" s="69"/>
      <c r="AP2599" s="69"/>
      <c r="AQ2599" s="69"/>
      <c r="AR2599" s="69"/>
      <c r="AS2599" s="69"/>
      <c r="AT2599" s="69"/>
      <c r="AU2599" s="69"/>
      <c r="AV2599" s="69"/>
      <c r="AW2599" s="69"/>
      <c r="AX2599" s="69"/>
      <c r="AY2599" s="69"/>
      <c r="AZ2599" s="69"/>
      <c r="BA2599" s="69"/>
      <c r="BB2599" s="69"/>
      <c r="BC2599" s="69"/>
    </row>
    <row r="2600">
      <c r="A2600" s="68"/>
      <c r="B2600" s="68"/>
      <c r="C2600" s="68"/>
      <c r="D2600" s="68"/>
      <c r="E2600" s="68"/>
      <c r="F2600" s="68"/>
      <c r="G2600" s="68"/>
      <c r="H2600" s="68"/>
      <c r="I2600" s="69"/>
      <c r="J2600" s="69"/>
      <c r="K2600" s="71"/>
      <c r="L2600" s="69"/>
      <c r="M2600" s="69"/>
      <c r="N2600" s="72"/>
      <c r="O2600" s="69"/>
      <c r="P2600" s="69"/>
      <c r="Q2600" s="69"/>
      <c r="R2600" s="69"/>
      <c r="S2600" s="69"/>
      <c r="T2600" s="69"/>
      <c r="U2600" s="69"/>
      <c r="V2600" s="69"/>
      <c r="W2600" s="69"/>
      <c r="X2600" s="69"/>
      <c r="Y2600" s="69"/>
      <c r="Z2600" s="69"/>
      <c r="AA2600" s="69"/>
      <c r="AB2600" s="69"/>
      <c r="AC2600" s="69"/>
      <c r="AD2600" s="69"/>
      <c r="AE2600" s="69"/>
      <c r="AF2600" s="69"/>
      <c r="AG2600" s="69"/>
      <c r="AH2600" s="69"/>
      <c r="AI2600" s="69"/>
      <c r="AJ2600" s="69"/>
      <c r="AK2600" s="69"/>
      <c r="AL2600" s="69"/>
      <c r="AM2600" s="69"/>
      <c r="AN2600" s="69"/>
      <c r="AO2600" s="69"/>
      <c r="AP2600" s="69"/>
      <c r="AQ2600" s="69"/>
      <c r="AR2600" s="69"/>
      <c r="AS2600" s="69"/>
      <c r="AT2600" s="69"/>
      <c r="AU2600" s="69"/>
      <c r="AV2600" s="69"/>
      <c r="AW2600" s="69"/>
      <c r="AX2600" s="69"/>
      <c r="AY2600" s="69"/>
      <c r="AZ2600" s="69"/>
      <c r="BA2600" s="69"/>
      <c r="BB2600" s="69"/>
      <c r="BC2600" s="69"/>
    </row>
    <row r="2601">
      <c r="A2601" s="68"/>
      <c r="B2601" s="68"/>
      <c r="C2601" s="68"/>
      <c r="D2601" s="68"/>
      <c r="E2601" s="68"/>
      <c r="F2601" s="68"/>
      <c r="G2601" s="68"/>
      <c r="H2601" s="68"/>
      <c r="I2601" s="69"/>
      <c r="J2601" s="69"/>
      <c r="K2601" s="71"/>
      <c r="L2601" s="69"/>
      <c r="M2601" s="69"/>
      <c r="N2601" s="72"/>
      <c r="O2601" s="69"/>
      <c r="P2601" s="69"/>
      <c r="Q2601" s="69"/>
      <c r="R2601" s="69"/>
      <c r="S2601" s="69"/>
      <c r="T2601" s="69"/>
      <c r="U2601" s="69"/>
      <c r="V2601" s="69"/>
      <c r="W2601" s="69"/>
      <c r="X2601" s="69"/>
      <c r="Y2601" s="69"/>
      <c r="Z2601" s="69"/>
      <c r="AA2601" s="69"/>
      <c r="AB2601" s="69"/>
      <c r="AC2601" s="69"/>
      <c r="AD2601" s="69"/>
      <c r="AE2601" s="69"/>
      <c r="AF2601" s="69"/>
      <c r="AG2601" s="69"/>
      <c r="AH2601" s="69"/>
      <c r="AI2601" s="69"/>
      <c r="AJ2601" s="69"/>
      <c r="AK2601" s="69"/>
      <c r="AL2601" s="69"/>
      <c r="AM2601" s="69"/>
      <c r="AN2601" s="69"/>
      <c r="AO2601" s="69"/>
      <c r="AP2601" s="69"/>
      <c r="AQ2601" s="69"/>
      <c r="AR2601" s="69"/>
      <c r="AS2601" s="69"/>
      <c r="AT2601" s="69"/>
      <c r="AU2601" s="69"/>
      <c r="AV2601" s="69"/>
      <c r="AW2601" s="69"/>
      <c r="AX2601" s="69"/>
      <c r="AY2601" s="69"/>
      <c r="AZ2601" s="69"/>
      <c r="BA2601" s="69"/>
      <c r="BB2601" s="69"/>
      <c r="BC2601" s="69"/>
    </row>
    <row r="2602">
      <c r="A2602" s="68"/>
      <c r="B2602" s="68"/>
      <c r="C2602" s="68"/>
      <c r="D2602" s="68"/>
      <c r="E2602" s="68"/>
      <c r="F2602" s="68"/>
      <c r="G2602" s="68"/>
      <c r="H2602" s="68"/>
      <c r="I2602" s="69"/>
      <c r="J2602" s="69"/>
      <c r="K2602" s="71"/>
      <c r="L2602" s="69"/>
      <c r="M2602" s="69"/>
      <c r="N2602" s="72"/>
      <c r="O2602" s="69"/>
      <c r="P2602" s="69"/>
      <c r="Q2602" s="69"/>
      <c r="R2602" s="69"/>
      <c r="S2602" s="69"/>
      <c r="T2602" s="69"/>
      <c r="U2602" s="69"/>
      <c r="V2602" s="69"/>
      <c r="W2602" s="69"/>
      <c r="X2602" s="69"/>
      <c r="Y2602" s="69"/>
      <c r="Z2602" s="69"/>
      <c r="AA2602" s="69"/>
      <c r="AB2602" s="69"/>
      <c r="AC2602" s="69"/>
      <c r="AD2602" s="69"/>
      <c r="AE2602" s="69"/>
      <c r="AF2602" s="69"/>
      <c r="AG2602" s="69"/>
      <c r="AH2602" s="69"/>
      <c r="AI2602" s="69"/>
      <c r="AJ2602" s="69"/>
      <c r="AK2602" s="69"/>
      <c r="AL2602" s="69"/>
      <c r="AM2602" s="69"/>
      <c r="AN2602" s="69"/>
      <c r="AO2602" s="69"/>
      <c r="AP2602" s="69"/>
      <c r="AQ2602" s="69"/>
      <c r="AR2602" s="69"/>
      <c r="AS2602" s="69"/>
      <c r="AT2602" s="69"/>
      <c r="AU2602" s="69"/>
      <c r="AV2602" s="69"/>
      <c r="AW2602" s="69"/>
      <c r="AX2602" s="69"/>
      <c r="AY2602" s="69"/>
      <c r="AZ2602" s="69"/>
      <c r="BA2602" s="69"/>
      <c r="BB2602" s="69"/>
      <c r="BC2602" s="69"/>
    </row>
    <row r="2603">
      <c r="A2603" s="68"/>
      <c r="B2603" s="68"/>
      <c r="C2603" s="68"/>
      <c r="D2603" s="68"/>
      <c r="E2603" s="68"/>
      <c r="F2603" s="68"/>
      <c r="G2603" s="68"/>
      <c r="H2603" s="68"/>
      <c r="I2603" s="69"/>
      <c r="J2603" s="69"/>
      <c r="K2603" s="71"/>
      <c r="L2603" s="69"/>
      <c r="M2603" s="69"/>
      <c r="N2603" s="72"/>
      <c r="O2603" s="69"/>
      <c r="P2603" s="69"/>
      <c r="Q2603" s="69"/>
      <c r="R2603" s="69"/>
      <c r="S2603" s="69"/>
      <c r="T2603" s="69"/>
      <c r="U2603" s="69"/>
      <c r="V2603" s="69"/>
      <c r="W2603" s="69"/>
      <c r="X2603" s="69"/>
      <c r="Y2603" s="69"/>
      <c r="Z2603" s="69"/>
      <c r="AA2603" s="69"/>
      <c r="AB2603" s="69"/>
      <c r="AC2603" s="69"/>
      <c r="AD2603" s="69"/>
      <c r="AE2603" s="69"/>
      <c r="AF2603" s="69"/>
      <c r="AG2603" s="69"/>
      <c r="AH2603" s="69"/>
      <c r="AI2603" s="69"/>
      <c r="AJ2603" s="69"/>
      <c r="AK2603" s="69"/>
      <c r="AL2603" s="69"/>
      <c r="AM2603" s="69"/>
      <c r="AN2603" s="69"/>
      <c r="AO2603" s="69"/>
      <c r="AP2603" s="69"/>
      <c r="AQ2603" s="69"/>
      <c r="AR2603" s="69"/>
      <c r="AS2603" s="69"/>
      <c r="AT2603" s="69"/>
      <c r="AU2603" s="69"/>
      <c r="AV2603" s="69"/>
      <c r="AW2603" s="69"/>
      <c r="AX2603" s="69"/>
      <c r="AY2603" s="69"/>
      <c r="AZ2603" s="69"/>
      <c r="BA2603" s="69"/>
      <c r="BB2603" s="69"/>
      <c r="BC2603" s="69"/>
    </row>
    <row r="2604">
      <c r="A2604" s="68"/>
      <c r="B2604" s="68"/>
      <c r="C2604" s="68"/>
      <c r="D2604" s="68"/>
      <c r="E2604" s="68"/>
      <c r="F2604" s="68"/>
      <c r="G2604" s="68"/>
      <c r="H2604" s="68"/>
      <c r="I2604" s="69"/>
      <c r="J2604" s="69"/>
      <c r="K2604" s="71"/>
      <c r="L2604" s="69"/>
      <c r="M2604" s="69"/>
      <c r="N2604" s="72"/>
      <c r="O2604" s="69"/>
      <c r="P2604" s="69"/>
      <c r="Q2604" s="69"/>
      <c r="R2604" s="69"/>
      <c r="S2604" s="69"/>
      <c r="T2604" s="69"/>
      <c r="U2604" s="69"/>
      <c r="V2604" s="69"/>
      <c r="W2604" s="69"/>
      <c r="X2604" s="69"/>
      <c r="Y2604" s="69"/>
      <c r="Z2604" s="69"/>
      <c r="AA2604" s="69"/>
      <c r="AB2604" s="69"/>
      <c r="AC2604" s="69"/>
      <c r="AD2604" s="69"/>
      <c r="AE2604" s="69"/>
      <c r="AF2604" s="69"/>
      <c r="AG2604" s="69"/>
      <c r="AH2604" s="69"/>
      <c r="AI2604" s="69"/>
      <c r="AJ2604" s="69"/>
      <c r="AK2604" s="69"/>
      <c r="AL2604" s="69"/>
      <c r="AM2604" s="69"/>
      <c r="AN2604" s="69"/>
      <c r="AO2604" s="69"/>
      <c r="AP2604" s="69"/>
      <c r="AQ2604" s="69"/>
      <c r="AR2604" s="69"/>
      <c r="AS2604" s="69"/>
      <c r="AT2604" s="69"/>
      <c r="AU2604" s="69"/>
      <c r="AV2604" s="69"/>
      <c r="AW2604" s="69"/>
      <c r="AX2604" s="69"/>
      <c r="AY2604" s="69"/>
      <c r="AZ2604" s="69"/>
      <c r="BA2604" s="69"/>
      <c r="BB2604" s="69"/>
      <c r="BC2604" s="69"/>
    </row>
    <row r="2605">
      <c r="A2605" s="68"/>
      <c r="B2605" s="68"/>
      <c r="C2605" s="68"/>
      <c r="D2605" s="68"/>
      <c r="E2605" s="68"/>
      <c r="F2605" s="68"/>
      <c r="G2605" s="68"/>
      <c r="H2605" s="68"/>
      <c r="I2605" s="69"/>
      <c r="J2605" s="69"/>
      <c r="K2605" s="71"/>
      <c r="L2605" s="69"/>
      <c r="M2605" s="69"/>
      <c r="N2605" s="72"/>
      <c r="O2605" s="69"/>
      <c r="P2605" s="69"/>
      <c r="Q2605" s="69"/>
      <c r="R2605" s="69"/>
      <c r="S2605" s="69"/>
      <c r="T2605" s="69"/>
      <c r="U2605" s="69"/>
      <c r="V2605" s="69"/>
      <c r="W2605" s="69"/>
      <c r="X2605" s="69"/>
      <c r="Y2605" s="69"/>
      <c r="Z2605" s="69"/>
      <c r="AA2605" s="69"/>
      <c r="AB2605" s="69"/>
      <c r="AC2605" s="69"/>
      <c r="AD2605" s="69"/>
      <c r="AE2605" s="69"/>
      <c r="AF2605" s="69"/>
      <c r="AG2605" s="69"/>
      <c r="AH2605" s="69"/>
      <c r="AI2605" s="69"/>
      <c r="AJ2605" s="69"/>
      <c r="AK2605" s="69"/>
      <c r="AL2605" s="69"/>
      <c r="AM2605" s="69"/>
      <c r="AN2605" s="69"/>
      <c r="AO2605" s="69"/>
      <c r="AP2605" s="69"/>
      <c r="AQ2605" s="69"/>
      <c r="AR2605" s="69"/>
      <c r="AS2605" s="69"/>
      <c r="AT2605" s="69"/>
      <c r="AU2605" s="69"/>
      <c r="AV2605" s="69"/>
      <c r="AW2605" s="69"/>
      <c r="AX2605" s="69"/>
      <c r="AY2605" s="69"/>
      <c r="AZ2605" s="69"/>
      <c r="BA2605" s="69"/>
      <c r="BB2605" s="69"/>
      <c r="BC2605" s="69"/>
    </row>
    <row r="2606">
      <c r="A2606" s="68"/>
      <c r="B2606" s="68"/>
      <c r="C2606" s="68"/>
      <c r="D2606" s="68"/>
      <c r="E2606" s="68"/>
      <c r="F2606" s="68"/>
      <c r="G2606" s="68"/>
      <c r="H2606" s="68"/>
      <c r="I2606" s="69"/>
      <c r="J2606" s="69"/>
      <c r="K2606" s="71"/>
      <c r="L2606" s="69"/>
      <c r="M2606" s="69"/>
      <c r="N2606" s="72"/>
      <c r="O2606" s="69"/>
      <c r="P2606" s="69"/>
      <c r="Q2606" s="69"/>
      <c r="R2606" s="69"/>
      <c r="S2606" s="69"/>
      <c r="T2606" s="69"/>
      <c r="U2606" s="69"/>
      <c r="V2606" s="69"/>
      <c r="W2606" s="69"/>
      <c r="X2606" s="69"/>
      <c r="Y2606" s="69"/>
      <c r="Z2606" s="69"/>
      <c r="AA2606" s="69"/>
      <c r="AB2606" s="69"/>
      <c r="AC2606" s="69"/>
      <c r="AD2606" s="69"/>
      <c r="AE2606" s="69"/>
      <c r="AF2606" s="69"/>
      <c r="AG2606" s="69"/>
      <c r="AH2606" s="69"/>
      <c r="AI2606" s="69"/>
      <c r="AJ2606" s="69"/>
      <c r="AK2606" s="69"/>
      <c r="AL2606" s="69"/>
      <c r="AM2606" s="69"/>
      <c r="AN2606" s="69"/>
      <c r="AO2606" s="69"/>
      <c r="AP2606" s="69"/>
      <c r="AQ2606" s="69"/>
      <c r="AR2606" s="69"/>
      <c r="AS2606" s="69"/>
      <c r="AT2606" s="69"/>
      <c r="AU2606" s="69"/>
      <c r="AV2606" s="69"/>
      <c r="AW2606" s="69"/>
      <c r="AX2606" s="69"/>
      <c r="AY2606" s="69"/>
      <c r="AZ2606" s="69"/>
      <c r="BA2606" s="69"/>
      <c r="BB2606" s="69"/>
      <c r="BC2606" s="69"/>
    </row>
    <row r="2607">
      <c r="A2607" s="68"/>
      <c r="B2607" s="68"/>
      <c r="C2607" s="68"/>
      <c r="D2607" s="68"/>
      <c r="E2607" s="68"/>
      <c r="F2607" s="68"/>
      <c r="G2607" s="68"/>
      <c r="H2607" s="68"/>
      <c r="I2607" s="69"/>
      <c r="J2607" s="69"/>
      <c r="K2607" s="71"/>
      <c r="L2607" s="69"/>
      <c r="M2607" s="69"/>
      <c r="N2607" s="72"/>
      <c r="O2607" s="69"/>
      <c r="P2607" s="69"/>
      <c r="Q2607" s="69"/>
      <c r="R2607" s="69"/>
      <c r="S2607" s="69"/>
      <c r="T2607" s="69"/>
      <c r="U2607" s="69"/>
      <c r="V2607" s="69"/>
      <c r="W2607" s="69"/>
      <c r="X2607" s="69"/>
      <c r="Y2607" s="69"/>
      <c r="Z2607" s="69"/>
      <c r="AA2607" s="69"/>
      <c r="AB2607" s="69"/>
      <c r="AC2607" s="69"/>
      <c r="AD2607" s="69"/>
      <c r="AE2607" s="69"/>
      <c r="AF2607" s="69"/>
      <c r="AG2607" s="69"/>
      <c r="AH2607" s="69"/>
      <c r="AI2607" s="69"/>
      <c r="AJ2607" s="69"/>
      <c r="AK2607" s="69"/>
      <c r="AL2607" s="69"/>
      <c r="AM2607" s="69"/>
      <c r="AN2607" s="69"/>
      <c r="AO2607" s="69"/>
      <c r="AP2607" s="69"/>
      <c r="AQ2607" s="69"/>
      <c r="AR2607" s="69"/>
      <c r="AS2607" s="69"/>
      <c r="AT2607" s="69"/>
      <c r="AU2607" s="69"/>
      <c r="AV2607" s="69"/>
      <c r="AW2607" s="69"/>
      <c r="AX2607" s="69"/>
      <c r="AY2607" s="69"/>
      <c r="AZ2607" s="69"/>
      <c r="BA2607" s="69"/>
      <c r="BB2607" s="69"/>
      <c r="BC2607" s="69"/>
    </row>
    <row r="2608">
      <c r="A2608" s="68"/>
      <c r="B2608" s="68"/>
      <c r="C2608" s="68"/>
      <c r="D2608" s="68"/>
      <c r="E2608" s="68"/>
      <c r="F2608" s="68"/>
      <c r="G2608" s="68"/>
      <c r="H2608" s="68"/>
      <c r="I2608" s="69"/>
      <c r="J2608" s="69"/>
      <c r="K2608" s="71"/>
      <c r="L2608" s="69"/>
      <c r="M2608" s="69"/>
      <c r="N2608" s="72"/>
      <c r="O2608" s="69"/>
      <c r="P2608" s="69"/>
      <c r="Q2608" s="69"/>
      <c r="R2608" s="69"/>
      <c r="S2608" s="69"/>
      <c r="T2608" s="69"/>
      <c r="U2608" s="69"/>
      <c r="V2608" s="69"/>
      <c r="W2608" s="69"/>
      <c r="X2608" s="69"/>
      <c r="Y2608" s="69"/>
      <c r="Z2608" s="69"/>
      <c r="AA2608" s="69"/>
      <c r="AB2608" s="69"/>
      <c r="AC2608" s="69"/>
      <c r="AD2608" s="69"/>
      <c r="AE2608" s="69"/>
      <c r="AF2608" s="69"/>
      <c r="AG2608" s="69"/>
      <c r="AH2608" s="69"/>
      <c r="AI2608" s="69"/>
      <c r="AJ2608" s="69"/>
      <c r="AK2608" s="69"/>
      <c r="AL2608" s="69"/>
      <c r="AM2608" s="69"/>
      <c r="AN2608" s="69"/>
      <c r="AO2608" s="69"/>
      <c r="AP2608" s="69"/>
      <c r="AQ2608" s="69"/>
      <c r="AR2608" s="69"/>
      <c r="AS2608" s="69"/>
      <c r="AT2608" s="69"/>
      <c r="AU2608" s="69"/>
      <c r="AV2608" s="69"/>
      <c r="AW2608" s="69"/>
      <c r="AX2608" s="69"/>
      <c r="AY2608" s="69"/>
      <c r="AZ2608" s="69"/>
      <c r="BA2608" s="69"/>
      <c r="BB2608" s="69"/>
      <c r="BC2608" s="69"/>
    </row>
    <row r="2609">
      <c r="A2609" s="68"/>
      <c r="B2609" s="68"/>
      <c r="C2609" s="68"/>
      <c r="D2609" s="68"/>
      <c r="E2609" s="68"/>
      <c r="F2609" s="68"/>
      <c r="G2609" s="68"/>
      <c r="H2609" s="68"/>
      <c r="I2609" s="69"/>
      <c r="J2609" s="69"/>
      <c r="K2609" s="71"/>
      <c r="L2609" s="69"/>
      <c r="M2609" s="69"/>
      <c r="N2609" s="72"/>
      <c r="O2609" s="69"/>
      <c r="P2609" s="69"/>
      <c r="Q2609" s="69"/>
      <c r="R2609" s="69"/>
      <c r="S2609" s="69"/>
      <c r="T2609" s="69"/>
      <c r="U2609" s="69"/>
      <c r="V2609" s="69"/>
      <c r="W2609" s="69"/>
      <c r="X2609" s="69"/>
      <c r="Y2609" s="69"/>
      <c r="Z2609" s="69"/>
      <c r="AA2609" s="69"/>
      <c r="AB2609" s="69"/>
      <c r="AC2609" s="69"/>
      <c r="AD2609" s="69"/>
      <c r="AE2609" s="69"/>
      <c r="AF2609" s="69"/>
      <c r="AG2609" s="69"/>
      <c r="AH2609" s="69"/>
      <c r="AI2609" s="69"/>
      <c r="AJ2609" s="69"/>
      <c r="AK2609" s="69"/>
      <c r="AL2609" s="69"/>
      <c r="AM2609" s="69"/>
      <c r="AN2609" s="69"/>
      <c r="AO2609" s="69"/>
      <c r="AP2609" s="69"/>
      <c r="AQ2609" s="69"/>
      <c r="AR2609" s="69"/>
      <c r="AS2609" s="69"/>
      <c r="AT2609" s="69"/>
      <c r="AU2609" s="69"/>
      <c r="AV2609" s="69"/>
      <c r="AW2609" s="69"/>
      <c r="AX2609" s="69"/>
      <c r="AY2609" s="69"/>
      <c r="AZ2609" s="69"/>
      <c r="BA2609" s="69"/>
      <c r="BB2609" s="69"/>
      <c r="BC2609" s="69"/>
    </row>
    <row r="2610">
      <c r="A2610" s="68"/>
      <c r="B2610" s="68"/>
      <c r="C2610" s="68"/>
      <c r="D2610" s="68"/>
      <c r="E2610" s="68"/>
      <c r="F2610" s="68"/>
      <c r="G2610" s="68"/>
      <c r="H2610" s="68"/>
      <c r="I2610" s="69"/>
      <c r="J2610" s="69"/>
      <c r="K2610" s="71"/>
      <c r="L2610" s="69"/>
      <c r="M2610" s="69"/>
      <c r="N2610" s="72"/>
      <c r="O2610" s="69"/>
      <c r="P2610" s="69"/>
      <c r="Q2610" s="69"/>
      <c r="R2610" s="69"/>
      <c r="S2610" s="69"/>
      <c r="T2610" s="69"/>
      <c r="U2610" s="69"/>
      <c r="V2610" s="69"/>
      <c r="W2610" s="69"/>
      <c r="X2610" s="69"/>
      <c r="Y2610" s="69"/>
      <c r="Z2610" s="69"/>
      <c r="AA2610" s="69"/>
      <c r="AB2610" s="69"/>
      <c r="AC2610" s="69"/>
      <c r="AD2610" s="69"/>
      <c r="AE2610" s="69"/>
      <c r="AF2610" s="69"/>
      <c r="AG2610" s="69"/>
      <c r="AH2610" s="69"/>
      <c r="AI2610" s="69"/>
      <c r="AJ2610" s="69"/>
      <c r="AK2610" s="69"/>
      <c r="AL2610" s="69"/>
      <c r="AM2610" s="69"/>
      <c r="AN2610" s="69"/>
      <c r="AO2610" s="69"/>
      <c r="AP2610" s="69"/>
      <c r="AQ2610" s="69"/>
      <c r="AR2610" s="69"/>
      <c r="AS2610" s="69"/>
      <c r="AT2610" s="69"/>
      <c r="AU2610" s="69"/>
      <c r="AV2610" s="69"/>
      <c r="AW2610" s="69"/>
      <c r="AX2610" s="69"/>
      <c r="AY2610" s="69"/>
      <c r="AZ2610" s="69"/>
      <c r="BA2610" s="69"/>
      <c r="BB2610" s="69"/>
      <c r="BC2610" s="69"/>
    </row>
    <row r="2611">
      <c r="A2611" s="68"/>
      <c r="B2611" s="68"/>
      <c r="C2611" s="68"/>
      <c r="D2611" s="68"/>
      <c r="E2611" s="68"/>
      <c r="F2611" s="68"/>
      <c r="G2611" s="68"/>
      <c r="H2611" s="68"/>
      <c r="I2611" s="69"/>
      <c r="J2611" s="69"/>
      <c r="K2611" s="71"/>
      <c r="L2611" s="69"/>
      <c r="M2611" s="69"/>
      <c r="N2611" s="72"/>
      <c r="O2611" s="69"/>
      <c r="P2611" s="69"/>
      <c r="Q2611" s="69"/>
      <c r="R2611" s="69"/>
      <c r="S2611" s="69"/>
      <c r="T2611" s="69"/>
      <c r="U2611" s="69"/>
      <c r="V2611" s="69"/>
      <c r="W2611" s="69"/>
      <c r="X2611" s="69"/>
      <c r="Y2611" s="69"/>
      <c r="Z2611" s="69"/>
      <c r="AA2611" s="69"/>
      <c r="AB2611" s="69"/>
      <c r="AC2611" s="69"/>
      <c r="AD2611" s="69"/>
      <c r="AE2611" s="69"/>
      <c r="AF2611" s="69"/>
      <c r="AG2611" s="69"/>
      <c r="AH2611" s="69"/>
      <c r="AI2611" s="69"/>
      <c r="AJ2611" s="69"/>
      <c r="AK2611" s="69"/>
      <c r="AL2611" s="69"/>
      <c r="AM2611" s="69"/>
      <c r="AN2611" s="69"/>
      <c r="AO2611" s="69"/>
      <c r="AP2611" s="69"/>
      <c r="AQ2611" s="69"/>
      <c r="AR2611" s="69"/>
      <c r="AS2611" s="69"/>
      <c r="AT2611" s="69"/>
      <c r="AU2611" s="69"/>
      <c r="AV2611" s="69"/>
      <c r="AW2611" s="69"/>
      <c r="AX2611" s="69"/>
      <c r="AY2611" s="69"/>
      <c r="AZ2611" s="69"/>
      <c r="BA2611" s="69"/>
      <c r="BB2611" s="69"/>
      <c r="BC2611" s="69"/>
    </row>
    <row r="2612">
      <c r="A2612" s="68"/>
      <c r="B2612" s="68"/>
      <c r="C2612" s="68"/>
      <c r="D2612" s="68"/>
      <c r="E2612" s="68"/>
      <c r="F2612" s="68"/>
      <c r="G2612" s="68"/>
      <c r="H2612" s="68"/>
      <c r="I2612" s="69"/>
      <c r="J2612" s="69"/>
      <c r="K2612" s="71"/>
      <c r="L2612" s="69"/>
      <c r="M2612" s="69"/>
      <c r="N2612" s="72"/>
      <c r="O2612" s="69"/>
      <c r="P2612" s="69"/>
      <c r="Q2612" s="69"/>
      <c r="R2612" s="69"/>
      <c r="S2612" s="69"/>
      <c r="T2612" s="69"/>
      <c r="U2612" s="69"/>
      <c r="V2612" s="69"/>
      <c r="W2612" s="69"/>
      <c r="X2612" s="69"/>
      <c r="Y2612" s="69"/>
      <c r="Z2612" s="69"/>
      <c r="AA2612" s="69"/>
      <c r="AB2612" s="69"/>
      <c r="AC2612" s="69"/>
      <c r="AD2612" s="69"/>
      <c r="AE2612" s="69"/>
      <c r="AF2612" s="69"/>
      <c r="AG2612" s="69"/>
      <c r="AH2612" s="69"/>
      <c r="AI2612" s="69"/>
      <c r="AJ2612" s="69"/>
      <c r="AK2612" s="69"/>
      <c r="AL2612" s="69"/>
      <c r="AM2612" s="69"/>
      <c r="AN2612" s="69"/>
      <c r="AO2612" s="69"/>
      <c r="AP2612" s="69"/>
      <c r="AQ2612" s="69"/>
      <c r="AR2612" s="69"/>
      <c r="AS2612" s="69"/>
      <c r="AT2612" s="69"/>
      <c r="AU2612" s="69"/>
      <c r="AV2612" s="69"/>
      <c r="AW2612" s="69"/>
      <c r="AX2612" s="69"/>
      <c r="AY2612" s="69"/>
      <c r="AZ2612" s="69"/>
      <c r="BA2612" s="69"/>
      <c r="BB2612" s="69"/>
      <c r="BC2612" s="69"/>
    </row>
    <row r="2613">
      <c r="A2613" s="68"/>
      <c r="B2613" s="68"/>
      <c r="C2613" s="68"/>
      <c r="D2613" s="68"/>
      <c r="E2613" s="68"/>
      <c r="F2613" s="68"/>
      <c r="G2613" s="68"/>
      <c r="H2613" s="68"/>
      <c r="I2613" s="69"/>
      <c r="J2613" s="69"/>
      <c r="K2613" s="71"/>
      <c r="L2613" s="69"/>
      <c r="M2613" s="69"/>
      <c r="N2613" s="72"/>
      <c r="O2613" s="69"/>
      <c r="P2613" s="69"/>
      <c r="Q2613" s="69"/>
      <c r="R2613" s="69"/>
      <c r="S2613" s="69"/>
      <c r="T2613" s="69"/>
      <c r="U2613" s="69"/>
      <c r="V2613" s="69"/>
      <c r="W2613" s="69"/>
      <c r="X2613" s="69"/>
      <c r="Y2613" s="69"/>
      <c r="Z2613" s="69"/>
      <c r="AA2613" s="69"/>
      <c r="AB2613" s="69"/>
      <c r="AC2613" s="69"/>
      <c r="AD2613" s="69"/>
      <c r="AE2613" s="69"/>
      <c r="AF2613" s="69"/>
      <c r="AG2613" s="69"/>
      <c r="AH2613" s="69"/>
      <c r="AI2613" s="69"/>
      <c r="AJ2613" s="69"/>
      <c r="AK2613" s="69"/>
      <c r="AL2613" s="69"/>
      <c r="AM2613" s="69"/>
      <c r="AN2613" s="69"/>
      <c r="AO2613" s="69"/>
      <c r="AP2613" s="69"/>
      <c r="AQ2613" s="69"/>
      <c r="AR2613" s="69"/>
      <c r="AS2613" s="69"/>
      <c r="AT2613" s="69"/>
      <c r="AU2613" s="69"/>
      <c r="AV2613" s="69"/>
      <c r="AW2613" s="69"/>
      <c r="AX2613" s="69"/>
      <c r="AY2613" s="69"/>
      <c r="AZ2613" s="69"/>
      <c r="BA2613" s="69"/>
      <c r="BB2613" s="69"/>
      <c r="BC2613" s="69"/>
    </row>
    <row r="2614">
      <c r="A2614" s="68"/>
      <c r="B2614" s="68"/>
      <c r="C2614" s="68"/>
      <c r="D2614" s="68"/>
      <c r="E2614" s="68"/>
      <c r="F2614" s="68"/>
      <c r="G2614" s="68"/>
      <c r="H2614" s="68"/>
      <c r="I2614" s="69"/>
      <c r="J2614" s="69"/>
      <c r="K2614" s="71"/>
      <c r="L2614" s="69"/>
      <c r="M2614" s="69"/>
      <c r="N2614" s="72"/>
      <c r="O2614" s="69"/>
      <c r="P2614" s="69"/>
      <c r="Q2614" s="69"/>
      <c r="R2614" s="69"/>
      <c r="S2614" s="69"/>
      <c r="T2614" s="69"/>
      <c r="U2614" s="69"/>
      <c r="V2614" s="69"/>
      <c r="W2614" s="69"/>
      <c r="X2614" s="69"/>
      <c r="Y2614" s="69"/>
      <c r="Z2614" s="69"/>
      <c r="AA2614" s="69"/>
      <c r="AB2614" s="69"/>
      <c r="AC2614" s="69"/>
      <c r="AD2614" s="69"/>
      <c r="AE2614" s="69"/>
      <c r="AF2614" s="69"/>
      <c r="AG2614" s="69"/>
      <c r="AH2614" s="69"/>
      <c r="AI2614" s="69"/>
      <c r="AJ2614" s="69"/>
      <c r="AK2614" s="69"/>
      <c r="AL2614" s="69"/>
      <c r="AM2614" s="69"/>
      <c r="AN2614" s="69"/>
      <c r="AO2614" s="69"/>
      <c r="AP2614" s="69"/>
      <c r="AQ2614" s="69"/>
      <c r="AR2614" s="69"/>
      <c r="AS2614" s="69"/>
      <c r="AT2614" s="69"/>
      <c r="AU2614" s="69"/>
      <c r="AV2614" s="69"/>
      <c r="AW2614" s="69"/>
      <c r="AX2614" s="69"/>
      <c r="AY2614" s="69"/>
      <c r="AZ2614" s="69"/>
      <c r="BA2614" s="69"/>
      <c r="BB2614" s="69"/>
      <c r="BC2614" s="69"/>
    </row>
    <row r="2615">
      <c r="A2615" s="68"/>
      <c r="B2615" s="68"/>
      <c r="C2615" s="68"/>
      <c r="D2615" s="68"/>
      <c r="E2615" s="68"/>
      <c r="F2615" s="68"/>
      <c r="G2615" s="68"/>
      <c r="H2615" s="68"/>
      <c r="I2615" s="69"/>
      <c r="J2615" s="69"/>
      <c r="K2615" s="71"/>
      <c r="L2615" s="69"/>
      <c r="M2615" s="69"/>
      <c r="N2615" s="72"/>
      <c r="O2615" s="69"/>
      <c r="P2615" s="69"/>
      <c r="Q2615" s="69"/>
      <c r="R2615" s="69"/>
      <c r="S2615" s="69"/>
      <c r="T2615" s="69"/>
      <c r="U2615" s="69"/>
      <c r="V2615" s="69"/>
      <c r="W2615" s="69"/>
      <c r="X2615" s="69"/>
      <c r="Y2615" s="69"/>
      <c r="Z2615" s="69"/>
      <c r="AA2615" s="69"/>
      <c r="AB2615" s="69"/>
      <c r="AC2615" s="69"/>
      <c r="AD2615" s="69"/>
      <c r="AE2615" s="69"/>
      <c r="AF2615" s="69"/>
      <c r="AG2615" s="69"/>
      <c r="AH2615" s="69"/>
      <c r="AI2615" s="69"/>
      <c r="AJ2615" s="69"/>
      <c r="AK2615" s="69"/>
      <c r="AL2615" s="69"/>
      <c r="AM2615" s="69"/>
      <c r="AN2615" s="69"/>
      <c r="AO2615" s="69"/>
      <c r="AP2615" s="69"/>
      <c r="AQ2615" s="69"/>
      <c r="AR2615" s="69"/>
      <c r="AS2615" s="69"/>
      <c r="AT2615" s="69"/>
      <c r="AU2615" s="69"/>
      <c r="AV2615" s="69"/>
      <c r="AW2615" s="69"/>
      <c r="AX2615" s="69"/>
      <c r="AY2615" s="69"/>
      <c r="AZ2615" s="69"/>
      <c r="BA2615" s="69"/>
      <c r="BB2615" s="69"/>
      <c r="BC2615" s="69"/>
    </row>
    <row r="2616">
      <c r="A2616" s="68"/>
      <c r="B2616" s="68"/>
      <c r="C2616" s="68"/>
      <c r="D2616" s="68"/>
      <c r="E2616" s="68"/>
      <c r="F2616" s="68"/>
      <c r="G2616" s="68"/>
      <c r="H2616" s="68"/>
      <c r="I2616" s="69"/>
      <c r="J2616" s="69"/>
      <c r="K2616" s="71"/>
      <c r="L2616" s="69"/>
      <c r="M2616" s="69"/>
      <c r="N2616" s="72"/>
      <c r="O2616" s="69"/>
      <c r="P2616" s="69"/>
      <c r="Q2616" s="69"/>
      <c r="R2616" s="69"/>
      <c r="S2616" s="69"/>
      <c r="T2616" s="69"/>
      <c r="U2616" s="69"/>
      <c r="V2616" s="69"/>
      <c r="W2616" s="69"/>
      <c r="X2616" s="69"/>
      <c r="Y2616" s="69"/>
      <c r="Z2616" s="69"/>
      <c r="AA2616" s="69"/>
      <c r="AB2616" s="69"/>
      <c r="AC2616" s="69"/>
      <c r="AD2616" s="69"/>
      <c r="AE2616" s="69"/>
      <c r="AF2616" s="69"/>
      <c r="AG2616" s="69"/>
      <c r="AH2616" s="69"/>
      <c r="AI2616" s="69"/>
      <c r="AJ2616" s="69"/>
      <c r="AK2616" s="69"/>
      <c r="AL2616" s="69"/>
      <c r="AM2616" s="69"/>
      <c r="AN2616" s="69"/>
      <c r="AO2616" s="69"/>
      <c r="AP2616" s="69"/>
      <c r="AQ2616" s="69"/>
      <c r="AR2616" s="69"/>
      <c r="AS2616" s="69"/>
      <c r="AT2616" s="69"/>
      <c r="AU2616" s="69"/>
      <c r="AV2616" s="69"/>
      <c r="AW2616" s="69"/>
      <c r="AX2616" s="69"/>
      <c r="AY2616" s="69"/>
      <c r="AZ2616" s="69"/>
      <c r="BA2616" s="69"/>
      <c r="BB2616" s="69"/>
      <c r="BC2616" s="69"/>
    </row>
    <row r="2617">
      <c r="A2617" s="68"/>
      <c r="B2617" s="68"/>
      <c r="C2617" s="68"/>
      <c r="D2617" s="68"/>
      <c r="E2617" s="68"/>
      <c r="F2617" s="68"/>
      <c r="G2617" s="68"/>
      <c r="H2617" s="68"/>
      <c r="I2617" s="69"/>
      <c r="J2617" s="69"/>
      <c r="K2617" s="71"/>
      <c r="L2617" s="69"/>
      <c r="M2617" s="69"/>
      <c r="N2617" s="72"/>
      <c r="O2617" s="69"/>
      <c r="P2617" s="69"/>
      <c r="Q2617" s="69"/>
      <c r="R2617" s="69"/>
      <c r="S2617" s="69"/>
      <c r="T2617" s="69"/>
      <c r="U2617" s="69"/>
      <c r="V2617" s="69"/>
      <c r="W2617" s="69"/>
      <c r="X2617" s="69"/>
      <c r="Y2617" s="69"/>
      <c r="Z2617" s="69"/>
      <c r="AA2617" s="69"/>
      <c r="AB2617" s="69"/>
      <c r="AC2617" s="69"/>
      <c r="AD2617" s="69"/>
      <c r="AE2617" s="69"/>
      <c r="AF2617" s="69"/>
      <c r="AG2617" s="69"/>
      <c r="AH2617" s="69"/>
      <c r="AI2617" s="69"/>
      <c r="AJ2617" s="69"/>
      <c r="AK2617" s="69"/>
      <c r="AL2617" s="69"/>
      <c r="AM2617" s="69"/>
      <c r="AN2617" s="69"/>
      <c r="AO2617" s="69"/>
      <c r="AP2617" s="69"/>
      <c r="AQ2617" s="69"/>
      <c r="AR2617" s="69"/>
      <c r="AS2617" s="69"/>
      <c r="AT2617" s="69"/>
      <c r="AU2617" s="69"/>
      <c r="AV2617" s="69"/>
      <c r="AW2617" s="69"/>
      <c r="AX2617" s="69"/>
      <c r="AY2617" s="69"/>
      <c r="AZ2617" s="69"/>
      <c r="BA2617" s="69"/>
      <c r="BB2617" s="69"/>
      <c r="BC2617" s="69"/>
    </row>
    <row r="2618">
      <c r="A2618" s="68"/>
      <c r="B2618" s="68"/>
      <c r="C2618" s="68"/>
      <c r="D2618" s="68"/>
      <c r="E2618" s="68"/>
      <c r="F2618" s="68"/>
      <c r="G2618" s="68"/>
      <c r="H2618" s="68"/>
      <c r="I2618" s="69"/>
      <c r="J2618" s="69"/>
      <c r="K2618" s="71"/>
      <c r="L2618" s="69"/>
      <c r="M2618" s="69"/>
      <c r="N2618" s="72"/>
      <c r="O2618" s="69"/>
      <c r="P2618" s="69"/>
      <c r="Q2618" s="69"/>
      <c r="R2618" s="69"/>
      <c r="S2618" s="69"/>
      <c r="T2618" s="69"/>
      <c r="U2618" s="69"/>
      <c r="V2618" s="69"/>
      <c r="W2618" s="69"/>
      <c r="X2618" s="69"/>
      <c r="Y2618" s="69"/>
      <c r="Z2618" s="69"/>
      <c r="AA2618" s="69"/>
      <c r="AB2618" s="69"/>
      <c r="AC2618" s="69"/>
      <c r="AD2618" s="69"/>
      <c r="AE2618" s="69"/>
      <c r="AF2618" s="69"/>
      <c r="AG2618" s="69"/>
      <c r="AH2618" s="69"/>
      <c r="AI2618" s="69"/>
      <c r="AJ2618" s="69"/>
      <c r="AK2618" s="69"/>
      <c r="AL2618" s="69"/>
      <c r="AM2618" s="69"/>
      <c r="AN2618" s="69"/>
      <c r="AO2618" s="69"/>
      <c r="AP2618" s="69"/>
      <c r="AQ2618" s="69"/>
      <c r="AR2618" s="69"/>
      <c r="AS2618" s="69"/>
      <c r="AT2618" s="69"/>
      <c r="AU2618" s="69"/>
      <c r="AV2618" s="69"/>
      <c r="AW2618" s="69"/>
      <c r="AX2618" s="69"/>
      <c r="AY2618" s="69"/>
      <c r="AZ2618" s="69"/>
      <c r="BA2618" s="69"/>
      <c r="BB2618" s="69"/>
      <c r="BC2618" s="69"/>
    </row>
    <row r="2619">
      <c r="A2619" s="68"/>
      <c r="B2619" s="68"/>
      <c r="C2619" s="68"/>
      <c r="D2619" s="68"/>
      <c r="E2619" s="68"/>
      <c r="F2619" s="68"/>
      <c r="G2619" s="68"/>
      <c r="H2619" s="68"/>
      <c r="I2619" s="69"/>
      <c r="J2619" s="69"/>
      <c r="K2619" s="71"/>
      <c r="L2619" s="69"/>
      <c r="M2619" s="69"/>
      <c r="N2619" s="72"/>
      <c r="O2619" s="69"/>
      <c r="P2619" s="69"/>
      <c r="Q2619" s="69"/>
      <c r="R2619" s="69"/>
      <c r="S2619" s="69"/>
      <c r="T2619" s="69"/>
      <c r="U2619" s="69"/>
      <c r="V2619" s="69"/>
      <c r="W2619" s="69"/>
      <c r="X2619" s="69"/>
      <c r="Y2619" s="69"/>
      <c r="Z2619" s="69"/>
      <c r="AA2619" s="69"/>
      <c r="AB2619" s="69"/>
      <c r="AC2619" s="69"/>
      <c r="AD2619" s="69"/>
      <c r="AE2619" s="69"/>
      <c r="AF2619" s="69"/>
      <c r="AG2619" s="69"/>
      <c r="AH2619" s="69"/>
      <c r="AI2619" s="69"/>
      <c r="AJ2619" s="69"/>
      <c r="AK2619" s="69"/>
      <c r="AL2619" s="69"/>
      <c r="AM2619" s="69"/>
      <c r="AN2619" s="69"/>
      <c r="AO2619" s="69"/>
      <c r="AP2619" s="69"/>
      <c r="AQ2619" s="69"/>
      <c r="AR2619" s="69"/>
      <c r="AS2619" s="69"/>
      <c r="AT2619" s="69"/>
      <c r="AU2619" s="69"/>
      <c r="AV2619" s="69"/>
      <c r="AW2619" s="69"/>
      <c r="AX2619" s="69"/>
      <c r="AY2619" s="69"/>
      <c r="AZ2619" s="69"/>
      <c r="BA2619" s="69"/>
      <c r="BB2619" s="69"/>
      <c r="BC2619" s="69"/>
    </row>
    <row r="2620">
      <c r="A2620" s="68"/>
      <c r="B2620" s="68"/>
      <c r="C2620" s="68"/>
      <c r="D2620" s="68"/>
      <c r="E2620" s="68"/>
      <c r="F2620" s="68"/>
      <c r="G2620" s="68"/>
      <c r="H2620" s="68"/>
      <c r="I2620" s="69"/>
      <c r="J2620" s="69"/>
      <c r="K2620" s="71"/>
      <c r="L2620" s="69"/>
      <c r="M2620" s="69"/>
      <c r="N2620" s="72"/>
      <c r="O2620" s="69"/>
      <c r="P2620" s="69"/>
      <c r="Q2620" s="69"/>
      <c r="R2620" s="69"/>
      <c r="S2620" s="69"/>
      <c r="T2620" s="69"/>
      <c r="U2620" s="69"/>
      <c r="V2620" s="69"/>
      <c r="W2620" s="69"/>
      <c r="X2620" s="69"/>
      <c r="Y2620" s="69"/>
      <c r="Z2620" s="69"/>
      <c r="AA2620" s="69"/>
      <c r="AB2620" s="69"/>
      <c r="AC2620" s="69"/>
      <c r="AD2620" s="69"/>
      <c r="AE2620" s="69"/>
      <c r="AF2620" s="69"/>
      <c r="AG2620" s="69"/>
      <c r="AH2620" s="69"/>
      <c r="AI2620" s="69"/>
      <c r="AJ2620" s="69"/>
      <c r="AK2620" s="69"/>
      <c r="AL2620" s="69"/>
      <c r="AM2620" s="69"/>
      <c r="AN2620" s="69"/>
      <c r="AO2620" s="69"/>
      <c r="AP2620" s="69"/>
      <c r="AQ2620" s="69"/>
      <c r="AR2620" s="69"/>
      <c r="AS2620" s="69"/>
      <c r="AT2620" s="69"/>
      <c r="AU2620" s="69"/>
      <c r="AV2620" s="69"/>
      <c r="AW2620" s="69"/>
      <c r="AX2620" s="69"/>
      <c r="AY2620" s="69"/>
      <c r="AZ2620" s="69"/>
      <c r="BA2620" s="69"/>
      <c r="BB2620" s="69"/>
      <c r="BC2620" s="69"/>
    </row>
    <row r="2621">
      <c r="A2621" s="68"/>
      <c r="B2621" s="68"/>
      <c r="C2621" s="68"/>
      <c r="D2621" s="68"/>
      <c r="E2621" s="68"/>
      <c r="F2621" s="68"/>
      <c r="G2621" s="68"/>
      <c r="H2621" s="68"/>
      <c r="I2621" s="69"/>
      <c r="J2621" s="69"/>
      <c r="K2621" s="71"/>
      <c r="L2621" s="69"/>
      <c r="M2621" s="69"/>
      <c r="N2621" s="72"/>
      <c r="O2621" s="69"/>
      <c r="P2621" s="69"/>
      <c r="Q2621" s="69"/>
      <c r="R2621" s="69"/>
      <c r="S2621" s="69"/>
      <c r="T2621" s="69"/>
      <c r="U2621" s="69"/>
      <c r="V2621" s="69"/>
      <c r="W2621" s="69"/>
      <c r="X2621" s="69"/>
      <c r="Y2621" s="69"/>
      <c r="Z2621" s="69"/>
      <c r="AA2621" s="69"/>
      <c r="AB2621" s="69"/>
      <c r="AC2621" s="69"/>
      <c r="AD2621" s="69"/>
      <c r="AE2621" s="69"/>
      <c r="AF2621" s="69"/>
      <c r="AG2621" s="69"/>
      <c r="AH2621" s="69"/>
      <c r="AI2621" s="69"/>
      <c r="AJ2621" s="69"/>
      <c r="AK2621" s="69"/>
      <c r="AL2621" s="69"/>
      <c r="AM2621" s="69"/>
      <c r="AN2621" s="69"/>
      <c r="AO2621" s="69"/>
      <c r="AP2621" s="69"/>
      <c r="AQ2621" s="69"/>
      <c r="AR2621" s="69"/>
      <c r="AS2621" s="69"/>
      <c r="AT2621" s="69"/>
      <c r="AU2621" s="69"/>
      <c r="AV2621" s="69"/>
      <c r="AW2621" s="69"/>
      <c r="AX2621" s="69"/>
      <c r="AY2621" s="69"/>
      <c r="AZ2621" s="69"/>
      <c r="BA2621" s="69"/>
      <c r="BB2621" s="69"/>
      <c r="BC2621" s="69"/>
    </row>
    <row r="2622">
      <c r="A2622" s="68"/>
      <c r="B2622" s="68"/>
      <c r="C2622" s="68"/>
      <c r="D2622" s="68"/>
      <c r="E2622" s="68"/>
      <c r="F2622" s="68"/>
      <c r="G2622" s="68"/>
      <c r="H2622" s="68"/>
      <c r="I2622" s="69"/>
      <c r="J2622" s="69"/>
      <c r="K2622" s="71"/>
      <c r="L2622" s="69"/>
      <c r="M2622" s="69"/>
      <c r="N2622" s="72"/>
      <c r="O2622" s="69"/>
      <c r="P2622" s="69"/>
      <c r="Q2622" s="69"/>
      <c r="R2622" s="69"/>
      <c r="S2622" s="69"/>
      <c r="T2622" s="69"/>
      <c r="U2622" s="69"/>
      <c r="V2622" s="69"/>
      <c r="W2622" s="69"/>
      <c r="X2622" s="69"/>
      <c r="Y2622" s="69"/>
      <c r="Z2622" s="69"/>
      <c r="AA2622" s="69"/>
      <c r="AB2622" s="69"/>
      <c r="AC2622" s="69"/>
      <c r="AD2622" s="69"/>
      <c r="AE2622" s="69"/>
      <c r="AF2622" s="69"/>
      <c r="AG2622" s="69"/>
      <c r="AH2622" s="69"/>
      <c r="AI2622" s="69"/>
      <c r="AJ2622" s="69"/>
      <c r="AK2622" s="69"/>
      <c r="AL2622" s="69"/>
      <c r="AM2622" s="69"/>
      <c r="AN2622" s="69"/>
      <c r="AO2622" s="69"/>
      <c r="AP2622" s="69"/>
      <c r="AQ2622" s="69"/>
      <c r="AR2622" s="69"/>
      <c r="AS2622" s="69"/>
      <c r="AT2622" s="69"/>
      <c r="AU2622" s="69"/>
      <c r="AV2622" s="69"/>
      <c r="AW2622" s="69"/>
      <c r="AX2622" s="69"/>
      <c r="AY2622" s="69"/>
      <c r="AZ2622" s="69"/>
      <c r="BA2622" s="69"/>
      <c r="BB2622" s="69"/>
      <c r="BC2622" s="69"/>
    </row>
    <row r="2623">
      <c r="A2623" s="68"/>
      <c r="B2623" s="68"/>
      <c r="C2623" s="68"/>
      <c r="D2623" s="68"/>
      <c r="E2623" s="68"/>
      <c r="F2623" s="68"/>
      <c r="G2623" s="68"/>
      <c r="H2623" s="68"/>
      <c r="I2623" s="69"/>
      <c r="J2623" s="69"/>
      <c r="K2623" s="71"/>
      <c r="L2623" s="69"/>
      <c r="M2623" s="69"/>
      <c r="N2623" s="72"/>
      <c r="O2623" s="69"/>
      <c r="P2623" s="69"/>
      <c r="Q2623" s="69"/>
      <c r="R2623" s="69"/>
      <c r="S2623" s="69"/>
      <c r="T2623" s="69"/>
      <c r="U2623" s="69"/>
      <c r="V2623" s="69"/>
      <c r="W2623" s="69"/>
      <c r="X2623" s="69"/>
      <c r="Y2623" s="69"/>
      <c r="Z2623" s="69"/>
      <c r="AA2623" s="69"/>
      <c r="AB2623" s="69"/>
      <c r="AC2623" s="69"/>
      <c r="AD2623" s="69"/>
      <c r="AE2623" s="69"/>
      <c r="AF2623" s="69"/>
      <c r="AG2623" s="69"/>
      <c r="AH2623" s="69"/>
      <c r="AI2623" s="69"/>
      <c r="AJ2623" s="69"/>
      <c r="AK2623" s="69"/>
      <c r="AL2623" s="69"/>
      <c r="AM2623" s="69"/>
      <c r="AN2623" s="69"/>
      <c r="AO2623" s="69"/>
      <c r="AP2623" s="69"/>
      <c r="AQ2623" s="69"/>
      <c r="AR2623" s="69"/>
      <c r="AS2623" s="69"/>
      <c r="AT2623" s="69"/>
      <c r="AU2623" s="69"/>
      <c r="AV2623" s="69"/>
      <c r="AW2623" s="69"/>
      <c r="AX2623" s="69"/>
      <c r="AY2623" s="69"/>
      <c r="AZ2623" s="69"/>
      <c r="BA2623" s="69"/>
      <c r="BB2623" s="69"/>
      <c r="BC2623" s="69"/>
    </row>
    <row r="2624">
      <c r="A2624" s="68"/>
      <c r="B2624" s="68"/>
      <c r="C2624" s="68"/>
      <c r="D2624" s="68"/>
      <c r="E2624" s="68"/>
      <c r="F2624" s="68"/>
      <c r="G2624" s="68"/>
      <c r="H2624" s="68"/>
      <c r="I2624" s="69"/>
      <c r="J2624" s="69"/>
      <c r="K2624" s="71"/>
      <c r="L2624" s="69"/>
      <c r="M2624" s="69"/>
      <c r="N2624" s="72"/>
      <c r="O2624" s="69"/>
      <c r="P2624" s="69"/>
      <c r="Q2624" s="69"/>
      <c r="R2624" s="69"/>
      <c r="S2624" s="69"/>
      <c r="T2624" s="69"/>
      <c r="U2624" s="69"/>
      <c r="V2624" s="69"/>
      <c r="W2624" s="69"/>
      <c r="X2624" s="69"/>
      <c r="Y2624" s="69"/>
      <c r="Z2624" s="69"/>
      <c r="AA2624" s="69"/>
      <c r="AB2624" s="69"/>
      <c r="AC2624" s="69"/>
      <c r="AD2624" s="69"/>
      <c r="AE2624" s="69"/>
      <c r="AF2624" s="69"/>
      <c r="AG2624" s="69"/>
      <c r="AH2624" s="69"/>
      <c r="AI2624" s="69"/>
      <c r="AJ2624" s="69"/>
      <c r="AK2624" s="69"/>
      <c r="AL2624" s="69"/>
      <c r="AM2624" s="69"/>
      <c r="AN2624" s="69"/>
      <c r="AO2624" s="69"/>
      <c r="AP2624" s="69"/>
      <c r="AQ2624" s="69"/>
      <c r="AR2624" s="69"/>
      <c r="AS2624" s="69"/>
      <c r="AT2624" s="69"/>
      <c r="AU2624" s="69"/>
      <c r="AV2624" s="69"/>
      <c r="AW2624" s="69"/>
      <c r="AX2624" s="69"/>
      <c r="AY2624" s="69"/>
      <c r="AZ2624" s="69"/>
      <c r="BA2624" s="69"/>
      <c r="BB2624" s="69"/>
      <c r="BC2624" s="69"/>
    </row>
    <row r="2625">
      <c r="A2625" s="68"/>
      <c r="B2625" s="68"/>
      <c r="C2625" s="68"/>
      <c r="D2625" s="68"/>
      <c r="E2625" s="68"/>
      <c r="F2625" s="68"/>
      <c r="G2625" s="68"/>
      <c r="H2625" s="68"/>
      <c r="I2625" s="69"/>
      <c r="J2625" s="69"/>
      <c r="K2625" s="71"/>
      <c r="L2625" s="69"/>
      <c r="M2625" s="69"/>
      <c r="N2625" s="72"/>
      <c r="O2625" s="69"/>
      <c r="P2625" s="69"/>
      <c r="Q2625" s="69"/>
      <c r="R2625" s="69"/>
      <c r="S2625" s="69"/>
      <c r="T2625" s="69"/>
      <c r="U2625" s="69"/>
      <c r="V2625" s="69"/>
      <c r="W2625" s="69"/>
      <c r="X2625" s="69"/>
      <c r="Y2625" s="69"/>
      <c r="Z2625" s="69"/>
      <c r="AA2625" s="69"/>
      <c r="AB2625" s="69"/>
      <c r="AC2625" s="69"/>
      <c r="AD2625" s="69"/>
      <c r="AE2625" s="69"/>
      <c r="AF2625" s="69"/>
      <c r="AG2625" s="69"/>
      <c r="AH2625" s="69"/>
      <c r="AI2625" s="69"/>
      <c r="AJ2625" s="69"/>
      <c r="AK2625" s="69"/>
      <c r="AL2625" s="69"/>
      <c r="AM2625" s="69"/>
      <c r="AN2625" s="69"/>
      <c r="AO2625" s="69"/>
      <c r="AP2625" s="69"/>
      <c r="AQ2625" s="69"/>
      <c r="AR2625" s="69"/>
      <c r="AS2625" s="69"/>
      <c r="AT2625" s="69"/>
      <c r="AU2625" s="69"/>
      <c r="AV2625" s="69"/>
      <c r="AW2625" s="69"/>
      <c r="AX2625" s="69"/>
      <c r="AY2625" s="69"/>
      <c r="AZ2625" s="69"/>
      <c r="BA2625" s="69"/>
      <c r="BB2625" s="69"/>
      <c r="BC2625" s="69"/>
    </row>
    <row r="2626">
      <c r="A2626" s="68"/>
      <c r="B2626" s="68"/>
      <c r="C2626" s="68"/>
      <c r="D2626" s="68"/>
      <c r="E2626" s="68"/>
      <c r="F2626" s="68"/>
      <c r="G2626" s="68"/>
      <c r="H2626" s="68"/>
      <c r="I2626" s="69"/>
      <c r="J2626" s="69"/>
      <c r="K2626" s="71"/>
      <c r="L2626" s="69"/>
      <c r="M2626" s="69"/>
      <c r="N2626" s="72"/>
      <c r="O2626" s="69"/>
      <c r="P2626" s="69"/>
      <c r="Q2626" s="69"/>
      <c r="R2626" s="69"/>
      <c r="S2626" s="69"/>
      <c r="T2626" s="69"/>
      <c r="U2626" s="69"/>
      <c r="V2626" s="69"/>
      <c r="W2626" s="69"/>
      <c r="X2626" s="69"/>
      <c r="Y2626" s="69"/>
      <c r="Z2626" s="69"/>
      <c r="AA2626" s="69"/>
      <c r="AB2626" s="69"/>
      <c r="AC2626" s="69"/>
      <c r="AD2626" s="69"/>
      <c r="AE2626" s="69"/>
      <c r="AF2626" s="69"/>
      <c r="AG2626" s="69"/>
      <c r="AH2626" s="69"/>
      <c r="AI2626" s="69"/>
      <c r="AJ2626" s="69"/>
      <c r="AK2626" s="69"/>
      <c r="AL2626" s="69"/>
      <c r="AM2626" s="69"/>
      <c r="AN2626" s="69"/>
      <c r="AO2626" s="69"/>
      <c r="AP2626" s="69"/>
      <c r="AQ2626" s="69"/>
      <c r="AR2626" s="69"/>
      <c r="AS2626" s="69"/>
      <c r="AT2626" s="69"/>
      <c r="AU2626" s="69"/>
      <c r="AV2626" s="69"/>
      <c r="AW2626" s="69"/>
      <c r="AX2626" s="69"/>
      <c r="AY2626" s="69"/>
      <c r="AZ2626" s="69"/>
      <c r="BA2626" s="69"/>
      <c r="BB2626" s="69"/>
      <c r="BC2626" s="69"/>
    </row>
    <row r="2627">
      <c r="A2627" s="68"/>
      <c r="B2627" s="68"/>
      <c r="C2627" s="68"/>
      <c r="D2627" s="68"/>
      <c r="E2627" s="68"/>
      <c r="F2627" s="68"/>
      <c r="G2627" s="68"/>
      <c r="H2627" s="68"/>
      <c r="I2627" s="69"/>
      <c r="J2627" s="69"/>
      <c r="K2627" s="71"/>
      <c r="L2627" s="69"/>
      <c r="M2627" s="69"/>
      <c r="N2627" s="72"/>
      <c r="O2627" s="69"/>
      <c r="P2627" s="69"/>
      <c r="Q2627" s="69"/>
      <c r="R2627" s="69"/>
      <c r="S2627" s="69"/>
      <c r="T2627" s="69"/>
      <c r="U2627" s="69"/>
      <c r="V2627" s="69"/>
      <c r="W2627" s="69"/>
      <c r="X2627" s="69"/>
      <c r="Y2627" s="69"/>
      <c r="Z2627" s="69"/>
      <c r="AA2627" s="69"/>
      <c r="AB2627" s="69"/>
      <c r="AC2627" s="69"/>
      <c r="AD2627" s="69"/>
      <c r="AE2627" s="69"/>
      <c r="AF2627" s="69"/>
      <c r="AG2627" s="69"/>
      <c r="AH2627" s="69"/>
      <c r="AI2627" s="69"/>
      <c r="AJ2627" s="69"/>
      <c r="AK2627" s="69"/>
      <c r="AL2627" s="69"/>
      <c r="AM2627" s="69"/>
      <c r="AN2627" s="69"/>
      <c r="AO2627" s="69"/>
      <c r="AP2627" s="69"/>
      <c r="AQ2627" s="69"/>
      <c r="AR2627" s="69"/>
      <c r="AS2627" s="69"/>
      <c r="AT2627" s="69"/>
      <c r="AU2627" s="69"/>
      <c r="AV2627" s="69"/>
      <c r="AW2627" s="69"/>
      <c r="AX2627" s="69"/>
      <c r="AY2627" s="69"/>
      <c r="AZ2627" s="69"/>
      <c r="BA2627" s="69"/>
      <c r="BB2627" s="69"/>
      <c r="BC2627" s="69"/>
    </row>
    <row r="2628">
      <c r="A2628" s="68"/>
      <c r="B2628" s="68"/>
      <c r="C2628" s="68"/>
      <c r="D2628" s="68"/>
      <c r="E2628" s="68"/>
      <c r="F2628" s="68"/>
      <c r="G2628" s="68"/>
      <c r="H2628" s="68"/>
      <c r="I2628" s="69"/>
      <c r="J2628" s="69"/>
      <c r="K2628" s="71"/>
      <c r="L2628" s="69"/>
      <c r="M2628" s="69"/>
      <c r="N2628" s="72"/>
      <c r="O2628" s="69"/>
      <c r="P2628" s="69"/>
      <c r="Q2628" s="69"/>
      <c r="R2628" s="69"/>
      <c r="S2628" s="69"/>
      <c r="T2628" s="69"/>
      <c r="U2628" s="69"/>
      <c r="V2628" s="69"/>
      <c r="W2628" s="69"/>
      <c r="X2628" s="69"/>
      <c r="Y2628" s="69"/>
      <c r="Z2628" s="69"/>
      <c r="AA2628" s="69"/>
      <c r="AB2628" s="69"/>
      <c r="AC2628" s="69"/>
      <c r="AD2628" s="69"/>
      <c r="AE2628" s="69"/>
      <c r="AF2628" s="69"/>
      <c r="AG2628" s="69"/>
      <c r="AH2628" s="69"/>
      <c r="AI2628" s="69"/>
      <c r="AJ2628" s="69"/>
      <c r="AK2628" s="69"/>
      <c r="AL2628" s="69"/>
      <c r="AM2628" s="69"/>
      <c r="AN2628" s="69"/>
      <c r="AO2628" s="69"/>
      <c r="AP2628" s="69"/>
      <c r="AQ2628" s="69"/>
      <c r="AR2628" s="69"/>
      <c r="AS2628" s="69"/>
      <c r="AT2628" s="69"/>
      <c r="AU2628" s="69"/>
      <c r="AV2628" s="69"/>
      <c r="AW2628" s="69"/>
      <c r="AX2628" s="69"/>
      <c r="AY2628" s="69"/>
      <c r="AZ2628" s="69"/>
      <c r="BA2628" s="69"/>
      <c r="BB2628" s="69"/>
      <c r="BC2628" s="69"/>
    </row>
    <row r="2629">
      <c r="A2629" s="68"/>
      <c r="B2629" s="68"/>
      <c r="C2629" s="68"/>
      <c r="D2629" s="68"/>
      <c r="E2629" s="68"/>
      <c r="F2629" s="68"/>
      <c r="G2629" s="68"/>
      <c r="H2629" s="68"/>
      <c r="I2629" s="69"/>
      <c r="J2629" s="69"/>
      <c r="K2629" s="71"/>
      <c r="L2629" s="69"/>
      <c r="M2629" s="69"/>
      <c r="N2629" s="72"/>
      <c r="O2629" s="69"/>
      <c r="P2629" s="69"/>
      <c r="Q2629" s="69"/>
      <c r="R2629" s="69"/>
      <c r="S2629" s="69"/>
      <c r="T2629" s="69"/>
      <c r="U2629" s="69"/>
      <c r="V2629" s="69"/>
      <c r="W2629" s="69"/>
      <c r="X2629" s="69"/>
      <c r="Y2629" s="69"/>
      <c r="Z2629" s="69"/>
      <c r="AA2629" s="69"/>
      <c r="AB2629" s="69"/>
      <c r="AC2629" s="69"/>
      <c r="AD2629" s="69"/>
      <c r="AE2629" s="69"/>
      <c r="AF2629" s="69"/>
      <c r="AG2629" s="69"/>
      <c r="AH2629" s="69"/>
      <c r="AI2629" s="69"/>
      <c r="AJ2629" s="69"/>
      <c r="AK2629" s="69"/>
      <c r="AL2629" s="69"/>
      <c r="AM2629" s="69"/>
      <c r="AN2629" s="69"/>
      <c r="AO2629" s="69"/>
      <c r="AP2629" s="69"/>
      <c r="AQ2629" s="69"/>
      <c r="AR2629" s="69"/>
      <c r="AS2629" s="69"/>
      <c r="AT2629" s="69"/>
      <c r="AU2629" s="69"/>
      <c r="AV2629" s="69"/>
      <c r="AW2629" s="69"/>
      <c r="AX2629" s="69"/>
      <c r="AY2629" s="69"/>
      <c r="AZ2629" s="69"/>
      <c r="BA2629" s="69"/>
      <c r="BB2629" s="69"/>
      <c r="BC2629" s="69"/>
    </row>
    <row r="2630">
      <c r="A2630" s="68"/>
      <c r="B2630" s="68"/>
      <c r="C2630" s="68"/>
      <c r="D2630" s="68"/>
      <c r="E2630" s="68"/>
      <c r="F2630" s="68"/>
      <c r="G2630" s="68"/>
      <c r="H2630" s="68"/>
      <c r="I2630" s="69"/>
      <c r="J2630" s="69"/>
      <c r="K2630" s="71"/>
      <c r="L2630" s="69"/>
      <c r="M2630" s="69"/>
      <c r="N2630" s="72"/>
      <c r="O2630" s="69"/>
      <c r="P2630" s="69"/>
      <c r="Q2630" s="69"/>
      <c r="R2630" s="69"/>
      <c r="S2630" s="69"/>
      <c r="T2630" s="69"/>
      <c r="U2630" s="69"/>
      <c r="V2630" s="69"/>
      <c r="W2630" s="69"/>
      <c r="X2630" s="69"/>
      <c r="Y2630" s="69"/>
      <c r="Z2630" s="69"/>
      <c r="AA2630" s="69"/>
      <c r="AB2630" s="69"/>
      <c r="AC2630" s="69"/>
      <c r="AD2630" s="69"/>
      <c r="AE2630" s="69"/>
      <c r="AF2630" s="69"/>
      <c r="AG2630" s="69"/>
      <c r="AH2630" s="69"/>
      <c r="AI2630" s="69"/>
      <c r="AJ2630" s="69"/>
      <c r="AK2630" s="69"/>
      <c r="AL2630" s="69"/>
      <c r="AM2630" s="69"/>
      <c r="AN2630" s="69"/>
      <c r="AO2630" s="69"/>
      <c r="AP2630" s="69"/>
      <c r="AQ2630" s="69"/>
      <c r="AR2630" s="69"/>
      <c r="AS2630" s="69"/>
      <c r="AT2630" s="69"/>
      <c r="AU2630" s="69"/>
      <c r="AV2630" s="69"/>
      <c r="AW2630" s="69"/>
      <c r="AX2630" s="69"/>
      <c r="AY2630" s="69"/>
      <c r="AZ2630" s="69"/>
      <c r="BA2630" s="69"/>
      <c r="BB2630" s="69"/>
      <c r="BC2630" s="69"/>
    </row>
    <row r="2631">
      <c r="A2631" s="68"/>
      <c r="B2631" s="68"/>
      <c r="C2631" s="68"/>
      <c r="D2631" s="68"/>
      <c r="E2631" s="68"/>
      <c r="F2631" s="68"/>
      <c r="G2631" s="68"/>
      <c r="H2631" s="68"/>
      <c r="I2631" s="69"/>
      <c r="J2631" s="69"/>
      <c r="K2631" s="71"/>
      <c r="L2631" s="69"/>
      <c r="M2631" s="69"/>
      <c r="N2631" s="72"/>
      <c r="O2631" s="69"/>
      <c r="P2631" s="69"/>
      <c r="Q2631" s="69"/>
      <c r="R2631" s="69"/>
      <c r="S2631" s="69"/>
      <c r="T2631" s="69"/>
      <c r="U2631" s="69"/>
      <c r="V2631" s="69"/>
      <c r="W2631" s="69"/>
      <c r="X2631" s="69"/>
      <c r="Y2631" s="69"/>
      <c r="Z2631" s="69"/>
      <c r="AA2631" s="69"/>
      <c r="AB2631" s="69"/>
      <c r="AC2631" s="69"/>
      <c r="AD2631" s="69"/>
      <c r="AE2631" s="69"/>
      <c r="AF2631" s="69"/>
      <c r="AG2631" s="69"/>
      <c r="AH2631" s="69"/>
      <c r="AI2631" s="69"/>
      <c r="AJ2631" s="69"/>
      <c r="AK2631" s="69"/>
      <c r="AL2631" s="69"/>
      <c r="AM2631" s="69"/>
      <c r="AN2631" s="69"/>
      <c r="AO2631" s="69"/>
      <c r="AP2631" s="69"/>
      <c r="AQ2631" s="69"/>
      <c r="AR2631" s="69"/>
      <c r="AS2631" s="69"/>
      <c r="AT2631" s="69"/>
      <c r="AU2631" s="69"/>
      <c r="AV2631" s="69"/>
      <c r="AW2631" s="69"/>
      <c r="AX2631" s="69"/>
      <c r="AY2631" s="69"/>
      <c r="AZ2631" s="69"/>
      <c r="BA2631" s="69"/>
      <c r="BB2631" s="69"/>
      <c r="BC2631" s="69"/>
    </row>
    <row r="2632">
      <c r="A2632" s="68"/>
      <c r="B2632" s="68"/>
      <c r="C2632" s="68"/>
      <c r="D2632" s="68"/>
      <c r="E2632" s="68"/>
      <c r="F2632" s="68"/>
      <c r="G2632" s="68"/>
      <c r="H2632" s="68"/>
      <c r="I2632" s="69"/>
      <c r="J2632" s="69"/>
      <c r="K2632" s="71"/>
      <c r="L2632" s="69"/>
      <c r="M2632" s="69"/>
      <c r="N2632" s="72"/>
      <c r="O2632" s="69"/>
      <c r="P2632" s="69"/>
      <c r="Q2632" s="69"/>
      <c r="R2632" s="69"/>
      <c r="S2632" s="69"/>
      <c r="T2632" s="69"/>
      <c r="U2632" s="69"/>
      <c r="V2632" s="69"/>
      <c r="W2632" s="69"/>
      <c r="X2632" s="69"/>
      <c r="Y2632" s="69"/>
      <c r="Z2632" s="69"/>
      <c r="AA2632" s="69"/>
      <c r="AB2632" s="69"/>
      <c r="AC2632" s="69"/>
      <c r="AD2632" s="69"/>
      <c r="AE2632" s="69"/>
      <c r="AF2632" s="69"/>
      <c r="AG2632" s="69"/>
      <c r="AH2632" s="69"/>
      <c r="AI2632" s="69"/>
      <c r="AJ2632" s="69"/>
      <c r="AK2632" s="69"/>
      <c r="AL2632" s="69"/>
      <c r="AM2632" s="69"/>
      <c r="AN2632" s="69"/>
      <c r="AO2632" s="69"/>
      <c r="AP2632" s="69"/>
      <c r="AQ2632" s="69"/>
      <c r="AR2632" s="69"/>
      <c r="AS2632" s="69"/>
      <c r="AT2632" s="69"/>
      <c r="AU2632" s="69"/>
      <c r="AV2632" s="69"/>
      <c r="AW2632" s="69"/>
      <c r="AX2632" s="69"/>
      <c r="AY2632" s="69"/>
      <c r="AZ2632" s="69"/>
      <c r="BA2632" s="69"/>
      <c r="BB2632" s="69"/>
      <c r="BC2632" s="69"/>
    </row>
    <row r="2633">
      <c r="A2633" s="68"/>
      <c r="B2633" s="68"/>
      <c r="C2633" s="68"/>
      <c r="D2633" s="68"/>
      <c r="E2633" s="68"/>
      <c r="F2633" s="68"/>
      <c r="G2633" s="68"/>
      <c r="H2633" s="68"/>
      <c r="I2633" s="69"/>
      <c r="J2633" s="69"/>
      <c r="K2633" s="71"/>
      <c r="L2633" s="69"/>
      <c r="M2633" s="69"/>
      <c r="N2633" s="72"/>
      <c r="O2633" s="69"/>
      <c r="P2633" s="69"/>
      <c r="Q2633" s="69"/>
      <c r="R2633" s="69"/>
      <c r="S2633" s="69"/>
      <c r="T2633" s="69"/>
      <c r="U2633" s="69"/>
      <c r="V2633" s="69"/>
      <c r="W2633" s="69"/>
      <c r="X2633" s="69"/>
      <c r="Y2633" s="69"/>
      <c r="Z2633" s="69"/>
      <c r="AA2633" s="69"/>
      <c r="AB2633" s="69"/>
      <c r="AC2633" s="69"/>
      <c r="AD2633" s="69"/>
      <c r="AE2633" s="69"/>
      <c r="AF2633" s="69"/>
      <c r="AG2633" s="69"/>
      <c r="AH2633" s="69"/>
      <c r="AI2633" s="69"/>
      <c r="AJ2633" s="69"/>
      <c r="AK2633" s="69"/>
      <c r="AL2633" s="69"/>
      <c r="AM2633" s="69"/>
      <c r="AN2633" s="69"/>
      <c r="AO2633" s="69"/>
      <c r="AP2633" s="69"/>
      <c r="AQ2633" s="69"/>
      <c r="AR2633" s="69"/>
      <c r="AS2633" s="69"/>
      <c r="AT2633" s="69"/>
      <c r="AU2633" s="69"/>
      <c r="AV2633" s="69"/>
      <c r="AW2633" s="69"/>
      <c r="AX2633" s="69"/>
      <c r="AY2633" s="69"/>
      <c r="AZ2633" s="69"/>
      <c r="BA2633" s="69"/>
      <c r="BB2633" s="69"/>
      <c r="BC2633" s="69"/>
    </row>
    <row r="2634">
      <c r="A2634" s="68"/>
      <c r="B2634" s="68"/>
      <c r="C2634" s="68"/>
      <c r="D2634" s="68"/>
      <c r="E2634" s="68"/>
      <c r="F2634" s="68"/>
      <c r="G2634" s="68"/>
      <c r="H2634" s="68"/>
      <c r="I2634" s="69"/>
      <c r="J2634" s="69"/>
      <c r="K2634" s="71"/>
      <c r="L2634" s="69"/>
      <c r="M2634" s="69"/>
      <c r="N2634" s="72"/>
      <c r="O2634" s="69"/>
      <c r="P2634" s="69"/>
      <c r="Q2634" s="69"/>
      <c r="R2634" s="69"/>
      <c r="S2634" s="69"/>
      <c r="T2634" s="69"/>
      <c r="U2634" s="69"/>
      <c r="V2634" s="69"/>
      <c r="W2634" s="69"/>
      <c r="X2634" s="69"/>
      <c r="Y2634" s="69"/>
      <c r="Z2634" s="69"/>
      <c r="AA2634" s="69"/>
      <c r="AB2634" s="69"/>
      <c r="AC2634" s="69"/>
      <c r="AD2634" s="69"/>
      <c r="AE2634" s="69"/>
      <c r="AF2634" s="69"/>
      <c r="AG2634" s="69"/>
      <c r="AH2634" s="69"/>
      <c r="AI2634" s="69"/>
      <c r="AJ2634" s="69"/>
      <c r="AK2634" s="69"/>
      <c r="AL2634" s="69"/>
      <c r="AM2634" s="69"/>
      <c r="AN2634" s="69"/>
      <c r="AO2634" s="69"/>
      <c r="AP2634" s="69"/>
      <c r="AQ2634" s="69"/>
      <c r="AR2634" s="69"/>
      <c r="AS2634" s="69"/>
      <c r="AT2634" s="69"/>
      <c r="AU2634" s="69"/>
      <c r="AV2634" s="69"/>
      <c r="AW2634" s="69"/>
      <c r="AX2634" s="69"/>
      <c r="AY2634" s="69"/>
      <c r="AZ2634" s="69"/>
      <c r="BA2634" s="69"/>
      <c r="BB2634" s="69"/>
      <c r="BC2634" s="69"/>
    </row>
    <row r="2635">
      <c r="A2635" s="68"/>
      <c r="B2635" s="68"/>
      <c r="C2635" s="68"/>
      <c r="D2635" s="68"/>
      <c r="E2635" s="68"/>
      <c r="F2635" s="68"/>
      <c r="G2635" s="68"/>
      <c r="H2635" s="68"/>
      <c r="I2635" s="69"/>
      <c r="J2635" s="69"/>
      <c r="K2635" s="71"/>
      <c r="L2635" s="69"/>
      <c r="M2635" s="69"/>
      <c r="N2635" s="72"/>
      <c r="O2635" s="69"/>
      <c r="P2635" s="69"/>
      <c r="Q2635" s="69"/>
      <c r="R2635" s="69"/>
      <c r="S2635" s="69"/>
      <c r="T2635" s="69"/>
      <c r="U2635" s="69"/>
      <c r="V2635" s="69"/>
      <c r="W2635" s="69"/>
      <c r="X2635" s="69"/>
      <c r="Y2635" s="69"/>
      <c r="Z2635" s="69"/>
      <c r="AA2635" s="69"/>
      <c r="AB2635" s="69"/>
      <c r="AC2635" s="69"/>
      <c r="AD2635" s="69"/>
      <c r="AE2635" s="69"/>
      <c r="AF2635" s="69"/>
      <c r="AG2635" s="69"/>
      <c r="AH2635" s="69"/>
      <c r="AI2635" s="69"/>
      <c r="AJ2635" s="69"/>
      <c r="AK2635" s="69"/>
      <c r="AL2635" s="69"/>
      <c r="AM2635" s="69"/>
      <c r="AN2635" s="69"/>
      <c r="AO2635" s="69"/>
      <c r="AP2635" s="69"/>
      <c r="AQ2635" s="69"/>
      <c r="AR2635" s="69"/>
      <c r="AS2635" s="69"/>
      <c r="AT2635" s="69"/>
      <c r="AU2635" s="69"/>
      <c r="AV2635" s="69"/>
      <c r="AW2635" s="69"/>
      <c r="AX2635" s="69"/>
      <c r="AY2635" s="69"/>
      <c r="AZ2635" s="69"/>
      <c r="BA2635" s="69"/>
      <c r="BB2635" s="69"/>
      <c r="BC2635" s="69"/>
    </row>
    <row r="2636">
      <c r="A2636" s="68"/>
      <c r="B2636" s="68"/>
      <c r="C2636" s="68"/>
      <c r="D2636" s="68"/>
      <c r="E2636" s="68"/>
      <c r="F2636" s="68"/>
      <c r="G2636" s="68"/>
      <c r="H2636" s="68"/>
      <c r="I2636" s="69"/>
      <c r="J2636" s="69"/>
      <c r="K2636" s="71"/>
      <c r="L2636" s="69"/>
      <c r="M2636" s="69"/>
      <c r="N2636" s="72"/>
      <c r="O2636" s="69"/>
      <c r="P2636" s="69"/>
      <c r="Q2636" s="69"/>
      <c r="R2636" s="69"/>
      <c r="S2636" s="69"/>
      <c r="T2636" s="69"/>
      <c r="U2636" s="69"/>
      <c r="V2636" s="69"/>
      <c r="W2636" s="69"/>
      <c r="X2636" s="69"/>
      <c r="Y2636" s="69"/>
      <c r="Z2636" s="69"/>
      <c r="AA2636" s="69"/>
      <c r="AB2636" s="69"/>
      <c r="AC2636" s="69"/>
      <c r="AD2636" s="69"/>
      <c r="AE2636" s="69"/>
      <c r="AF2636" s="69"/>
      <c r="AG2636" s="69"/>
      <c r="AH2636" s="69"/>
      <c r="AI2636" s="69"/>
      <c r="AJ2636" s="69"/>
      <c r="AK2636" s="69"/>
      <c r="AL2636" s="69"/>
      <c r="AM2636" s="69"/>
      <c r="AN2636" s="69"/>
      <c r="AO2636" s="69"/>
      <c r="AP2636" s="69"/>
      <c r="AQ2636" s="69"/>
      <c r="AR2636" s="69"/>
      <c r="AS2636" s="69"/>
      <c r="AT2636" s="69"/>
      <c r="AU2636" s="69"/>
      <c r="AV2636" s="69"/>
      <c r="AW2636" s="69"/>
      <c r="AX2636" s="69"/>
      <c r="AY2636" s="69"/>
      <c r="AZ2636" s="69"/>
      <c r="BA2636" s="69"/>
      <c r="BB2636" s="69"/>
      <c r="BC2636" s="69"/>
    </row>
    <row r="2637">
      <c r="A2637" s="68"/>
      <c r="B2637" s="68"/>
      <c r="C2637" s="68"/>
      <c r="D2637" s="68"/>
      <c r="E2637" s="68"/>
      <c r="F2637" s="68"/>
      <c r="G2637" s="68"/>
      <c r="H2637" s="68"/>
      <c r="I2637" s="69"/>
      <c r="J2637" s="69"/>
      <c r="K2637" s="71"/>
      <c r="L2637" s="69"/>
      <c r="M2637" s="69"/>
      <c r="N2637" s="72"/>
      <c r="O2637" s="69"/>
      <c r="P2637" s="69"/>
      <c r="Q2637" s="69"/>
      <c r="R2637" s="69"/>
      <c r="S2637" s="69"/>
      <c r="T2637" s="69"/>
      <c r="U2637" s="69"/>
      <c r="V2637" s="69"/>
      <c r="W2637" s="69"/>
      <c r="X2637" s="69"/>
      <c r="Y2637" s="69"/>
      <c r="Z2637" s="69"/>
      <c r="AA2637" s="69"/>
      <c r="AB2637" s="69"/>
      <c r="AC2637" s="69"/>
      <c r="AD2637" s="69"/>
      <c r="AE2637" s="69"/>
      <c r="AF2637" s="69"/>
      <c r="AG2637" s="69"/>
      <c r="AH2637" s="69"/>
      <c r="AI2637" s="69"/>
      <c r="AJ2637" s="69"/>
      <c r="AK2637" s="69"/>
      <c r="AL2637" s="69"/>
      <c r="AM2637" s="69"/>
      <c r="AN2637" s="69"/>
      <c r="AO2637" s="69"/>
      <c r="AP2637" s="69"/>
      <c r="AQ2637" s="69"/>
      <c r="AR2637" s="69"/>
      <c r="AS2637" s="69"/>
      <c r="AT2637" s="69"/>
      <c r="AU2637" s="69"/>
      <c r="AV2637" s="69"/>
      <c r="AW2637" s="69"/>
      <c r="AX2637" s="69"/>
      <c r="AY2637" s="69"/>
      <c r="AZ2637" s="69"/>
      <c r="BA2637" s="69"/>
      <c r="BB2637" s="69"/>
      <c r="BC2637" s="69"/>
    </row>
    <row r="2638">
      <c r="A2638" s="68"/>
      <c r="B2638" s="68"/>
      <c r="C2638" s="68"/>
      <c r="D2638" s="68"/>
      <c r="E2638" s="68"/>
      <c r="F2638" s="68"/>
      <c r="G2638" s="68"/>
      <c r="H2638" s="68"/>
      <c r="I2638" s="69"/>
      <c r="J2638" s="69"/>
      <c r="K2638" s="71"/>
      <c r="L2638" s="69"/>
      <c r="M2638" s="69"/>
      <c r="N2638" s="72"/>
      <c r="O2638" s="69"/>
      <c r="P2638" s="69"/>
      <c r="Q2638" s="69"/>
      <c r="R2638" s="69"/>
      <c r="S2638" s="69"/>
      <c r="T2638" s="69"/>
      <c r="U2638" s="69"/>
      <c r="V2638" s="69"/>
      <c r="W2638" s="69"/>
      <c r="X2638" s="69"/>
      <c r="Y2638" s="69"/>
      <c r="Z2638" s="69"/>
      <c r="AA2638" s="69"/>
      <c r="AB2638" s="69"/>
      <c r="AC2638" s="69"/>
      <c r="AD2638" s="69"/>
      <c r="AE2638" s="69"/>
      <c r="AF2638" s="69"/>
      <c r="AG2638" s="69"/>
      <c r="AH2638" s="69"/>
      <c r="AI2638" s="69"/>
      <c r="AJ2638" s="69"/>
      <c r="AK2638" s="69"/>
      <c r="AL2638" s="69"/>
      <c r="AM2638" s="69"/>
      <c r="AN2638" s="69"/>
      <c r="AO2638" s="69"/>
      <c r="AP2638" s="69"/>
      <c r="AQ2638" s="69"/>
      <c r="AR2638" s="69"/>
      <c r="AS2638" s="69"/>
      <c r="AT2638" s="69"/>
      <c r="AU2638" s="69"/>
      <c r="AV2638" s="69"/>
      <c r="AW2638" s="69"/>
      <c r="AX2638" s="69"/>
      <c r="AY2638" s="69"/>
      <c r="AZ2638" s="69"/>
      <c r="BA2638" s="69"/>
      <c r="BB2638" s="69"/>
      <c r="BC2638" s="69"/>
    </row>
    <row r="2639">
      <c r="A2639" s="68"/>
      <c r="B2639" s="68"/>
      <c r="C2639" s="68"/>
      <c r="D2639" s="68"/>
      <c r="E2639" s="68"/>
      <c r="F2639" s="68"/>
      <c r="G2639" s="68"/>
      <c r="H2639" s="68"/>
      <c r="I2639" s="69"/>
      <c r="J2639" s="69"/>
      <c r="K2639" s="71"/>
      <c r="L2639" s="69"/>
      <c r="M2639" s="69"/>
      <c r="N2639" s="72"/>
      <c r="O2639" s="69"/>
      <c r="P2639" s="69"/>
      <c r="Q2639" s="69"/>
      <c r="R2639" s="69"/>
      <c r="S2639" s="69"/>
      <c r="T2639" s="69"/>
      <c r="U2639" s="69"/>
      <c r="V2639" s="69"/>
      <c r="W2639" s="69"/>
      <c r="X2639" s="69"/>
      <c r="Y2639" s="69"/>
      <c r="Z2639" s="69"/>
      <c r="AA2639" s="69"/>
      <c r="AB2639" s="69"/>
      <c r="AC2639" s="69"/>
      <c r="AD2639" s="69"/>
      <c r="AE2639" s="69"/>
      <c r="AF2639" s="69"/>
      <c r="AG2639" s="69"/>
      <c r="AH2639" s="69"/>
      <c r="AI2639" s="69"/>
      <c r="AJ2639" s="69"/>
      <c r="AK2639" s="69"/>
      <c r="AL2639" s="69"/>
      <c r="AM2639" s="69"/>
      <c r="AN2639" s="69"/>
      <c r="AO2639" s="69"/>
      <c r="AP2639" s="69"/>
      <c r="AQ2639" s="69"/>
      <c r="AR2639" s="69"/>
      <c r="AS2639" s="69"/>
      <c r="AT2639" s="69"/>
      <c r="AU2639" s="69"/>
      <c r="AV2639" s="69"/>
      <c r="AW2639" s="69"/>
      <c r="AX2639" s="69"/>
      <c r="AY2639" s="69"/>
      <c r="AZ2639" s="69"/>
      <c r="BA2639" s="69"/>
      <c r="BB2639" s="69"/>
      <c r="BC2639" s="69"/>
    </row>
    <row r="2640">
      <c r="A2640" s="68"/>
      <c r="B2640" s="68"/>
      <c r="C2640" s="68"/>
      <c r="D2640" s="68"/>
      <c r="E2640" s="68"/>
      <c r="F2640" s="68"/>
      <c r="G2640" s="68"/>
      <c r="H2640" s="68"/>
      <c r="I2640" s="69"/>
      <c r="J2640" s="69"/>
      <c r="K2640" s="71"/>
      <c r="L2640" s="69"/>
      <c r="M2640" s="69"/>
      <c r="N2640" s="72"/>
      <c r="O2640" s="69"/>
      <c r="P2640" s="69"/>
      <c r="Q2640" s="69"/>
      <c r="R2640" s="69"/>
      <c r="S2640" s="69"/>
      <c r="T2640" s="69"/>
      <c r="U2640" s="69"/>
      <c r="V2640" s="69"/>
      <c r="W2640" s="69"/>
      <c r="X2640" s="69"/>
      <c r="Y2640" s="69"/>
      <c r="Z2640" s="69"/>
      <c r="AA2640" s="69"/>
      <c r="AB2640" s="69"/>
      <c r="AC2640" s="69"/>
      <c r="AD2640" s="69"/>
      <c r="AE2640" s="69"/>
      <c r="AF2640" s="69"/>
      <c r="AG2640" s="69"/>
      <c r="AH2640" s="69"/>
      <c r="AI2640" s="69"/>
      <c r="AJ2640" s="69"/>
      <c r="AK2640" s="69"/>
      <c r="AL2640" s="69"/>
      <c r="AM2640" s="69"/>
      <c r="AN2640" s="69"/>
      <c r="AO2640" s="69"/>
      <c r="AP2640" s="69"/>
      <c r="AQ2640" s="69"/>
      <c r="AR2640" s="69"/>
      <c r="AS2640" s="69"/>
      <c r="AT2640" s="69"/>
      <c r="AU2640" s="69"/>
      <c r="AV2640" s="69"/>
      <c r="AW2640" s="69"/>
      <c r="AX2640" s="69"/>
      <c r="AY2640" s="69"/>
      <c r="AZ2640" s="69"/>
      <c r="BA2640" s="69"/>
      <c r="BB2640" s="69"/>
      <c r="BC2640" s="69"/>
    </row>
    <row r="2641">
      <c r="A2641" s="68"/>
      <c r="B2641" s="68"/>
      <c r="C2641" s="68"/>
      <c r="D2641" s="68"/>
      <c r="E2641" s="68"/>
      <c r="F2641" s="68"/>
      <c r="G2641" s="68"/>
      <c r="H2641" s="68"/>
      <c r="I2641" s="69"/>
      <c r="J2641" s="69"/>
      <c r="K2641" s="71"/>
      <c r="L2641" s="69"/>
      <c r="M2641" s="69"/>
      <c r="N2641" s="72"/>
      <c r="O2641" s="69"/>
      <c r="P2641" s="69"/>
      <c r="Q2641" s="69"/>
      <c r="R2641" s="69"/>
      <c r="S2641" s="69"/>
      <c r="T2641" s="69"/>
      <c r="U2641" s="69"/>
      <c r="V2641" s="69"/>
      <c r="W2641" s="69"/>
      <c r="X2641" s="69"/>
      <c r="Y2641" s="69"/>
      <c r="Z2641" s="69"/>
      <c r="AA2641" s="69"/>
      <c r="AB2641" s="69"/>
      <c r="AC2641" s="69"/>
      <c r="AD2641" s="69"/>
      <c r="AE2641" s="69"/>
      <c r="AF2641" s="69"/>
      <c r="AG2641" s="69"/>
      <c r="AH2641" s="69"/>
      <c r="AI2641" s="69"/>
      <c r="AJ2641" s="69"/>
      <c r="AK2641" s="69"/>
      <c r="AL2641" s="69"/>
      <c r="AM2641" s="69"/>
      <c r="AN2641" s="69"/>
      <c r="AO2641" s="69"/>
      <c r="AP2641" s="69"/>
      <c r="AQ2641" s="69"/>
      <c r="AR2641" s="69"/>
      <c r="AS2641" s="69"/>
      <c r="AT2641" s="69"/>
      <c r="AU2641" s="69"/>
      <c r="AV2641" s="69"/>
      <c r="AW2641" s="69"/>
      <c r="AX2641" s="69"/>
      <c r="AY2641" s="69"/>
      <c r="AZ2641" s="69"/>
      <c r="BA2641" s="69"/>
      <c r="BB2641" s="69"/>
      <c r="BC2641" s="69"/>
    </row>
    <row r="2642">
      <c r="A2642" s="68"/>
      <c r="B2642" s="68"/>
      <c r="C2642" s="68"/>
      <c r="D2642" s="68"/>
      <c r="E2642" s="68"/>
      <c r="F2642" s="68"/>
      <c r="G2642" s="68"/>
      <c r="H2642" s="68"/>
      <c r="I2642" s="69"/>
      <c r="J2642" s="69"/>
      <c r="K2642" s="71"/>
      <c r="L2642" s="69"/>
      <c r="M2642" s="69"/>
      <c r="N2642" s="72"/>
      <c r="O2642" s="69"/>
      <c r="P2642" s="69"/>
      <c r="Q2642" s="69"/>
      <c r="R2642" s="69"/>
      <c r="S2642" s="69"/>
      <c r="T2642" s="69"/>
      <c r="U2642" s="69"/>
      <c r="V2642" s="69"/>
      <c r="W2642" s="69"/>
      <c r="X2642" s="69"/>
      <c r="Y2642" s="69"/>
      <c r="Z2642" s="69"/>
      <c r="AA2642" s="69"/>
      <c r="AB2642" s="69"/>
      <c r="AC2642" s="69"/>
      <c r="AD2642" s="69"/>
      <c r="AE2642" s="69"/>
      <c r="AF2642" s="69"/>
      <c r="AG2642" s="69"/>
      <c r="AH2642" s="69"/>
      <c r="AI2642" s="69"/>
      <c r="AJ2642" s="69"/>
      <c r="AK2642" s="69"/>
      <c r="AL2642" s="69"/>
      <c r="AM2642" s="69"/>
      <c r="AN2642" s="69"/>
      <c r="AO2642" s="69"/>
      <c r="AP2642" s="69"/>
      <c r="AQ2642" s="69"/>
      <c r="AR2642" s="69"/>
      <c r="AS2642" s="69"/>
      <c r="AT2642" s="69"/>
      <c r="AU2642" s="69"/>
      <c r="AV2642" s="69"/>
      <c r="AW2642" s="69"/>
      <c r="AX2642" s="69"/>
      <c r="AY2642" s="69"/>
      <c r="AZ2642" s="69"/>
      <c r="BA2642" s="69"/>
      <c r="BB2642" s="69"/>
      <c r="BC2642" s="69"/>
    </row>
    <row r="2643">
      <c r="A2643" s="68"/>
      <c r="B2643" s="68"/>
      <c r="C2643" s="68"/>
      <c r="D2643" s="68"/>
      <c r="E2643" s="68"/>
      <c r="F2643" s="68"/>
      <c r="G2643" s="68"/>
      <c r="H2643" s="68"/>
      <c r="I2643" s="69"/>
      <c r="J2643" s="69"/>
      <c r="K2643" s="71"/>
      <c r="L2643" s="69"/>
      <c r="M2643" s="69"/>
      <c r="N2643" s="72"/>
      <c r="O2643" s="69"/>
      <c r="P2643" s="69"/>
      <c r="Q2643" s="69"/>
      <c r="R2643" s="69"/>
      <c r="S2643" s="69"/>
      <c r="T2643" s="69"/>
      <c r="U2643" s="69"/>
      <c r="V2643" s="69"/>
      <c r="W2643" s="69"/>
      <c r="X2643" s="69"/>
      <c r="Y2643" s="69"/>
      <c r="Z2643" s="69"/>
      <c r="AA2643" s="69"/>
      <c r="AB2643" s="69"/>
      <c r="AC2643" s="69"/>
      <c r="AD2643" s="69"/>
      <c r="AE2643" s="69"/>
      <c r="AF2643" s="69"/>
      <c r="AG2643" s="69"/>
      <c r="AH2643" s="69"/>
      <c r="AI2643" s="69"/>
      <c r="AJ2643" s="69"/>
      <c r="AK2643" s="69"/>
      <c r="AL2643" s="69"/>
      <c r="AM2643" s="69"/>
      <c r="AN2643" s="69"/>
      <c r="AO2643" s="69"/>
      <c r="AP2643" s="69"/>
      <c r="AQ2643" s="69"/>
      <c r="AR2643" s="69"/>
      <c r="AS2643" s="69"/>
      <c r="AT2643" s="69"/>
      <c r="AU2643" s="69"/>
      <c r="AV2643" s="69"/>
      <c r="AW2643" s="69"/>
      <c r="AX2643" s="69"/>
      <c r="AY2643" s="69"/>
      <c r="AZ2643" s="69"/>
      <c r="BA2643" s="69"/>
      <c r="BB2643" s="69"/>
      <c r="BC2643" s="69"/>
    </row>
    <row r="2644">
      <c r="A2644" s="68"/>
      <c r="B2644" s="68"/>
      <c r="C2644" s="68"/>
      <c r="D2644" s="68"/>
      <c r="E2644" s="68"/>
      <c r="F2644" s="68"/>
      <c r="G2644" s="68"/>
      <c r="H2644" s="68"/>
      <c r="I2644" s="69"/>
      <c r="J2644" s="69"/>
      <c r="K2644" s="71"/>
      <c r="L2644" s="69"/>
      <c r="M2644" s="69"/>
      <c r="N2644" s="72"/>
      <c r="O2644" s="69"/>
      <c r="P2644" s="69"/>
      <c r="Q2644" s="69"/>
      <c r="R2644" s="69"/>
      <c r="S2644" s="69"/>
      <c r="T2644" s="69"/>
      <c r="U2644" s="69"/>
      <c r="V2644" s="69"/>
      <c r="W2644" s="69"/>
      <c r="X2644" s="69"/>
      <c r="Y2644" s="69"/>
      <c r="Z2644" s="69"/>
      <c r="AA2644" s="69"/>
      <c r="AB2644" s="69"/>
      <c r="AC2644" s="69"/>
      <c r="AD2644" s="69"/>
      <c r="AE2644" s="69"/>
      <c r="AF2644" s="69"/>
      <c r="AG2644" s="69"/>
      <c r="AH2644" s="69"/>
      <c r="AI2644" s="69"/>
      <c r="AJ2644" s="69"/>
      <c r="AK2644" s="69"/>
      <c r="AL2644" s="69"/>
      <c r="AM2644" s="69"/>
      <c r="AN2644" s="69"/>
      <c r="AO2644" s="69"/>
      <c r="AP2644" s="69"/>
      <c r="AQ2644" s="69"/>
      <c r="AR2644" s="69"/>
      <c r="AS2644" s="69"/>
      <c r="AT2644" s="69"/>
      <c r="AU2644" s="69"/>
      <c r="AV2644" s="69"/>
      <c r="AW2644" s="69"/>
      <c r="AX2644" s="69"/>
      <c r="AY2644" s="69"/>
      <c r="AZ2644" s="69"/>
      <c r="BA2644" s="69"/>
      <c r="BB2644" s="69"/>
      <c r="BC2644" s="69"/>
    </row>
    <row r="2645">
      <c r="A2645" s="68"/>
      <c r="B2645" s="68"/>
      <c r="C2645" s="68"/>
      <c r="D2645" s="68"/>
      <c r="E2645" s="68"/>
      <c r="F2645" s="68"/>
      <c r="G2645" s="68"/>
      <c r="H2645" s="68"/>
      <c r="I2645" s="69"/>
      <c r="J2645" s="69"/>
      <c r="K2645" s="71"/>
      <c r="L2645" s="69"/>
      <c r="M2645" s="69"/>
      <c r="N2645" s="72"/>
      <c r="O2645" s="69"/>
      <c r="P2645" s="69"/>
      <c r="Q2645" s="69"/>
      <c r="R2645" s="69"/>
      <c r="S2645" s="69"/>
      <c r="T2645" s="69"/>
      <c r="U2645" s="69"/>
      <c r="V2645" s="69"/>
      <c r="W2645" s="69"/>
      <c r="X2645" s="69"/>
      <c r="Y2645" s="69"/>
      <c r="Z2645" s="69"/>
      <c r="AA2645" s="69"/>
      <c r="AB2645" s="69"/>
      <c r="AC2645" s="69"/>
      <c r="AD2645" s="69"/>
      <c r="AE2645" s="69"/>
      <c r="AF2645" s="69"/>
      <c r="AG2645" s="69"/>
      <c r="AH2645" s="69"/>
      <c r="AI2645" s="69"/>
      <c r="AJ2645" s="69"/>
      <c r="AK2645" s="69"/>
      <c r="AL2645" s="69"/>
      <c r="AM2645" s="69"/>
      <c r="AN2645" s="69"/>
      <c r="AO2645" s="69"/>
      <c r="AP2645" s="69"/>
      <c r="AQ2645" s="69"/>
      <c r="AR2645" s="69"/>
      <c r="AS2645" s="69"/>
      <c r="AT2645" s="69"/>
      <c r="AU2645" s="69"/>
      <c r="AV2645" s="69"/>
      <c r="AW2645" s="69"/>
      <c r="AX2645" s="69"/>
      <c r="AY2645" s="69"/>
      <c r="AZ2645" s="69"/>
      <c r="BA2645" s="69"/>
      <c r="BB2645" s="69"/>
      <c r="BC2645" s="69"/>
    </row>
    <row r="2646">
      <c r="A2646" s="68"/>
      <c r="B2646" s="68"/>
      <c r="C2646" s="68"/>
      <c r="D2646" s="68"/>
      <c r="E2646" s="68"/>
      <c r="F2646" s="68"/>
      <c r="G2646" s="68"/>
      <c r="H2646" s="68"/>
      <c r="I2646" s="69"/>
      <c r="J2646" s="69"/>
      <c r="K2646" s="71"/>
      <c r="L2646" s="69"/>
      <c r="M2646" s="69"/>
      <c r="N2646" s="72"/>
      <c r="O2646" s="69"/>
      <c r="P2646" s="69"/>
      <c r="Q2646" s="69"/>
      <c r="R2646" s="69"/>
      <c r="S2646" s="69"/>
      <c r="T2646" s="69"/>
      <c r="U2646" s="69"/>
      <c r="V2646" s="69"/>
      <c r="W2646" s="69"/>
      <c r="X2646" s="69"/>
      <c r="Y2646" s="69"/>
      <c r="Z2646" s="69"/>
      <c r="AA2646" s="69"/>
      <c r="AB2646" s="69"/>
      <c r="AC2646" s="69"/>
      <c r="AD2646" s="69"/>
      <c r="AE2646" s="69"/>
      <c r="AF2646" s="69"/>
      <c r="AG2646" s="69"/>
      <c r="AH2646" s="69"/>
      <c r="AI2646" s="69"/>
      <c r="AJ2646" s="69"/>
      <c r="AK2646" s="69"/>
      <c r="AL2646" s="69"/>
      <c r="AM2646" s="69"/>
      <c r="AN2646" s="69"/>
      <c r="AO2646" s="69"/>
      <c r="AP2646" s="69"/>
      <c r="AQ2646" s="69"/>
      <c r="AR2646" s="69"/>
      <c r="AS2646" s="69"/>
      <c r="AT2646" s="69"/>
      <c r="AU2646" s="69"/>
      <c r="AV2646" s="69"/>
      <c r="AW2646" s="69"/>
      <c r="AX2646" s="69"/>
      <c r="AY2646" s="69"/>
      <c r="AZ2646" s="69"/>
      <c r="BA2646" s="69"/>
      <c r="BB2646" s="69"/>
      <c r="BC2646" s="69"/>
    </row>
    <row r="2647">
      <c r="A2647" s="68"/>
      <c r="B2647" s="68"/>
      <c r="C2647" s="68"/>
      <c r="D2647" s="68"/>
      <c r="E2647" s="68"/>
      <c r="F2647" s="68"/>
      <c r="G2647" s="68"/>
      <c r="H2647" s="68"/>
      <c r="I2647" s="69"/>
      <c r="J2647" s="69"/>
      <c r="K2647" s="71"/>
      <c r="L2647" s="69"/>
      <c r="M2647" s="69"/>
      <c r="N2647" s="72"/>
      <c r="O2647" s="69"/>
      <c r="P2647" s="69"/>
      <c r="Q2647" s="69"/>
      <c r="R2647" s="69"/>
      <c r="S2647" s="69"/>
      <c r="T2647" s="69"/>
      <c r="U2647" s="69"/>
      <c r="V2647" s="69"/>
      <c r="W2647" s="69"/>
      <c r="X2647" s="69"/>
      <c r="Y2647" s="69"/>
      <c r="Z2647" s="69"/>
      <c r="AA2647" s="69"/>
      <c r="AB2647" s="69"/>
      <c r="AC2647" s="69"/>
      <c r="AD2647" s="69"/>
      <c r="AE2647" s="69"/>
      <c r="AF2647" s="69"/>
      <c r="AG2647" s="69"/>
      <c r="AH2647" s="69"/>
      <c r="AI2647" s="69"/>
      <c r="AJ2647" s="69"/>
      <c r="AK2647" s="69"/>
      <c r="AL2647" s="69"/>
      <c r="AM2647" s="69"/>
      <c r="AN2647" s="69"/>
      <c r="AO2647" s="69"/>
      <c r="AP2647" s="69"/>
      <c r="AQ2647" s="69"/>
      <c r="AR2647" s="69"/>
      <c r="AS2647" s="69"/>
      <c r="AT2647" s="69"/>
      <c r="AU2647" s="69"/>
      <c r="AV2647" s="69"/>
      <c r="AW2647" s="69"/>
      <c r="AX2647" s="69"/>
      <c r="AY2647" s="69"/>
      <c r="AZ2647" s="69"/>
      <c r="BA2647" s="69"/>
      <c r="BB2647" s="69"/>
      <c r="BC2647" s="69"/>
    </row>
    <row r="2648">
      <c r="A2648" s="68"/>
      <c r="B2648" s="68"/>
      <c r="C2648" s="68"/>
      <c r="D2648" s="68"/>
      <c r="E2648" s="68"/>
      <c r="F2648" s="68"/>
      <c r="G2648" s="68"/>
      <c r="H2648" s="68"/>
      <c r="I2648" s="69"/>
      <c r="J2648" s="69"/>
      <c r="K2648" s="71"/>
      <c r="L2648" s="69"/>
      <c r="M2648" s="69"/>
      <c r="N2648" s="72"/>
      <c r="O2648" s="69"/>
      <c r="P2648" s="69"/>
      <c r="Q2648" s="69"/>
      <c r="R2648" s="69"/>
      <c r="S2648" s="69"/>
      <c r="T2648" s="69"/>
      <c r="U2648" s="69"/>
      <c r="V2648" s="69"/>
      <c r="W2648" s="69"/>
      <c r="X2648" s="69"/>
      <c r="Y2648" s="69"/>
      <c r="Z2648" s="69"/>
      <c r="AA2648" s="69"/>
      <c r="AB2648" s="69"/>
      <c r="AC2648" s="69"/>
      <c r="AD2648" s="69"/>
      <c r="AE2648" s="69"/>
      <c r="AF2648" s="69"/>
      <c r="AG2648" s="69"/>
      <c r="AH2648" s="69"/>
      <c r="AI2648" s="69"/>
      <c r="AJ2648" s="69"/>
      <c r="AK2648" s="69"/>
      <c r="AL2648" s="69"/>
      <c r="AM2648" s="69"/>
      <c r="AN2648" s="69"/>
      <c r="AO2648" s="69"/>
      <c r="AP2648" s="69"/>
      <c r="AQ2648" s="69"/>
      <c r="AR2648" s="69"/>
      <c r="AS2648" s="69"/>
      <c r="AT2648" s="69"/>
      <c r="AU2648" s="69"/>
      <c r="AV2648" s="69"/>
      <c r="AW2648" s="69"/>
      <c r="AX2648" s="69"/>
      <c r="AY2648" s="69"/>
      <c r="AZ2648" s="69"/>
      <c r="BA2648" s="69"/>
      <c r="BB2648" s="69"/>
      <c r="BC2648" s="69"/>
    </row>
    <row r="2649">
      <c r="A2649" s="68"/>
      <c r="B2649" s="68"/>
      <c r="C2649" s="68"/>
      <c r="D2649" s="68"/>
      <c r="E2649" s="68"/>
      <c r="F2649" s="68"/>
      <c r="G2649" s="68"/>
      <c r="H2649" s="68"/>
      <c r="I2649" s="69"/>
      <c r="J2649" s="69"/>
      <c r="K2649" s="71"/>
      <c r="L2649" s="69"/>
      <c r="M2649" s="69"/>
      <c r="N2649" s="72"/>
      <c r="O2649" s="69"/>
      <c r="P2649" s="69"/>
      <c r="Q2649" s="69"/>
      <c r="R2649" s="69"/>
      <c r="S2649" s="69"/>
      <c r="T2649" s="69"/>
      <c r="U2649" s="69"/>
      <c r="V2649" s="69"/>
      <c r="W2649" s="69"/>
      <c r="X2649" s="69"/>
      <c r="Y2649" s="69"/>
      <c r="Z2649" s="69"/>
      <c r="AA2649" s="69"/>
      <c r="AB2649" s="69"/>
      <c r="AC2649" s="69"/>
      <c r="AD2649" s="69"/>
      <c r="AE2649" s="69"/>
      <c r="AF2649" s="69"/>
      <c r="AG2649" s="69"/>
      <c r="AH2649" s="69"/>
      <c r="AI2649" s="69"/>
      <c r="AJ2649" s="69"/>
      <c r="AK2649" s="69"/>
      <c r="AL2649" s="69"/>
      <c r="AM2649" s="69"/>
      <c r="AN2649" s="69"/>
      <c r="AO2649" s="69"/>
      <c r="AP2649" s="69"/>
      <c r="AQ2649" s="69"/>
      <c r="AR2649" s="69"/>
      <c r="AS2649" s="69"/>
      <c r="AT2649" s="69"/>
      <c r="AU2649" s="69"/>
      <c r="AV2649" s="69"/>
      <c r="AW2649" s="69"/>
      <c r="AX2649" s="69"/>
      <c r="AY2649" s="69"/>
      <c r="AZ2649" s="69"/>
      <c r="BA2649" s="69"/>
      <c r="BB2649" s="69"/>
      <c r="BC2649" s="69"/>
    </row>
    <row r="2650">
      <c r="A2650" s="68"/>
      <c r="B2650" s="68"/>
      <c r="C2650" s="68"/>
      <c r="D2650" s="68"/>
      <c r="E2650" s="68"/>
      <c r="F2650" s="68"/>
      <c r="G2650" s="68"/>
      <c r="H2650" s="68"/>
      <c r="I2650" s="69"/>
      <c r="J2650" s="69"/>
      <c r="K2650" s="71"/>
      <c r="L2650" s="69"/>
      <c r="M2650" s="69"/>
      <c r="N2650" s="72"/>
      <c r="O2650" s="69"/>
      <c r="P2650" s="69"/>
      <c r="Q2650" s="69"/>
      <c r="R2650" s="69"/>
      <c r="S2650" s="69"/>
      <c r="T2650" s="69"/>
      <c r="U2650" s="69"/>
      <c r="V2650" s="69"/>
      <c r="W2650" s="69"/>
      <c r="X2650" s="69"/>
      <c r="Y2650" s="69"/>
      <c r="Z2650" s="69"/>
      <c r="AA2650" s="69"/>
      <c r="AB2650" s="69"/>
      <c r="AC2650" s="69"/>
      <c r="AD2650" s="69"/>
      <c r="AE2650" s="69"/>
      <c r="AF2650" s="69"/>
      <c r="AG2650" s="69"/>
      <c r="AH2650" s="69"/>
      <c r="AI2650" s="69"/>
      <c r="AJ2650" s="69"/>
      <c r="AK2650" s="69"/>
      <c r="AL2650" s="69"/>
      <c r="AM2650" s="69"/>
      <c r="AN2650" s="69"/>
      <c r="AO2650" s="69"/>
      <c r="AP2650" s="69"/>
      <c r="AQ2650" s="69"/>
      <c r="AR2650" s="69"/>
      <c r="AS2650" s="69"/>
      <c r="AT2650" s="69"/>
      <c r="AU2650" s="69"/>
      <c r="AV2650" s="69"/>
      <c r="AW2650" s="69"/>
      <c r="AX2650" s="69"/>
      <c r="AY2650" s="69"/>
      <c r="AZ2650" s="69"/>
      <c r="BA2650" s="69"/>
      <c r="BB2650" s="69"/>
      <c r="BC2650" s="69"/>
    </row>
    <row r="2651">
      <c r="A2651" s="68"/>
      <c r="B2651" s="68"/>
      <c r="C2651" s="68"/>
      <c r="D2651" s="68"/>
      <c r="E2651" s="68"/>
      <c r="F2651" s="68"/>
      <c r="G2651" s="68"/>
      <c r="H2651" s="68"/>
      <c r="I2651" s="69"/>
      <c r="J2651" s="69"/>
      <c r="K2651" s="71"/>
      <c r="L2651" s="69"/>
      <c r="M2651" s="69"/>
      <c r="N2651" s="72"/>
      <c r="O2651" s="69"/>
      <c r="P2651" s="69"/>
      <c r="Q2651" s="69"/>
      <c r="R2651" s="69"/>
      <c r="S2651" s="69"/>
      <c r="T2651" s="69"/>
      <c r="U2651" s="69"/>
      <c r="V2651" s="69"/>
      <c r="W2651" s="69"/>
      <c r="X2651" s="69"/>
      <c r="Y2651" s="69"/>
      <c r="Z2651" s="69"/>
      <c r="AA2651" s="69"/>
      <c r="AB2651" s="69"/>
      <c r="AC2651" s="69"/>
      <c r="AD2651" s="69"/>
      <c r="AE2651" s="69"/>
      <c r="AF2651" s="69"/>
      <c r="AG2651" s="69"/>
      <c r="AH2651" s="69"/>
      <c r="AI2651" s="69"/>
      <c r="AJ2651" s="69"/>
      <c r="AK2651" s="69"/>
      <c r="AL2651" s="69"/>
      <c r="AM2651" s="69"/>
      <c r="AN2651" s="69"/>
      <c r="AO2651" s="69"/>
      <c r="AP2651" s="69"/>
      <c r="AQ2651" s="69"/>
      <c r="AR2651" s="69"/>
      <c r="AS2651" s="69"/>
      <c r="AT2651" s="69"/>
      <c r="AU2651" s="69"/>
      <c r="AV2651" s="69"/>
      <c r="AW2651" s="69"/>
      <c r="AX2651" s="69"/>
      <c r="AY2651" s="69"/>
      <c r="AZ2651" s="69"/>
      <c r="BA2651" s="69"/>
      <c r="BB2651" s="69"/>
      <c r="BC2651" s="69"/>
    </row>
    <row r="2652">
      <c r="A2652" s="68"/>
      <c r="B2652" s="68"/>
      <c r="C2652" s="68"/>
      <c r="D2652" s="68"/>
      <c r="E2652" s="68"/>
      <c r="F2652" s="68"/>
      <c r="G2652" s="68"/>
      <c r="H2652" s="68"/>
      <c r="I2652" s="69"/>
      <c r="J2652" s="69"/>
      <c r="K2652" s="71"/>
      <c r="L2652" s="69"/>
      <c r="M2652" s="69"/>
      <c r="N2652" s="72"/>
      <c r="O2652" s="69"/>
      <c r="P2652" s="69"/>
      <c r="Q2652" s="69"/>
      <c r="R2652" s="69"/>
      <c r="S2652" s="69"/>
      <c r="T2652" s="69"/>
      <c r="U2652" s="69"/>
      <c r="V2652" s="69"/>
      <c r="W2652" s="69"/>
      <c r="X2652" s="69"/>
      <c r="Y2652" s="69"/>
      <c r="Z2652" s="69"/>
      <c r="AA2652" s="69"/>
      <c r="AB2652" s="69"/>
      <c r="AC2652" s="69"/>
      <c r="AD2652" s="69"/>
      <c r="AE2652" s="69"/>
      <c r="AF2652" s="69"/>
      <c r="AG2652" s="69"/>
      <c r="AH2652" s="69"/>
      <c r="AI2652" s="69"/>
      <c r="AJ2652" s="69"/>
      <c r="AK2652" s="69"/>
      <c r="AL2652" s="69"/>
      <c r="AM2652" s="69"/>
      <c r="AN2652" s="69"/>
      <c r="AO2652" s="69"/>
      <c r="AP2652" s="69"/>
      <c r="AQ2652" s="69"/>
      <c r="AR2652" s="69"/>
      <c r="AS2652" s="69"/>
      <c r="AT2652" s="69"/>
      <c r="AU2652" s="69"/>
      <c r="AV2652" s="69"/>
      <c r="AW2652" s="69"/>
      <c r="AX2652" s="69"/>
      <c r="AY2652" s="69"/>
      <c r="AZ2652" s="69"/>
      <c r="BA2652" s="69"/>
      <c r="BB2652" s="69"/>
      <c r="BC2652" s="69"/>
    </row>
    <row r="2653">
      <c r="A2653" s="68"/>
      <c r="B2653" s="68"/>
      <c r="C2653" s="68"/>
      <c r="D2653" s="68"/>
      <c r="E2653" s="68"/>
      <c r="F2653" s="68"/>
      <c r="G2653" s="68"/>
      <c r="H2653" s="68"/>
      <c r="I2653" s="69"/>
      <c r="J2653" s="69"/>
      <c r="K2653" s="71"/>
      <c r="L2653" s="69"/>
      <c r="M2653" s="69"/>
      <c r="N2653" s="72"/>
      <c r="O2653" s="69"/>
      <c r="P2653" s="69"/>
      <c r="Q2653" s="69"/>
      <c r="R2653" s="69"/>
      <c r="S2653" s="69"/>
      <c r="T2653" s="69"/>
      <c r="U2653" s="69"/>
      <c r="V2653" s="69"/>
      <c r="W2653" s="69"/>
      <c r="X2653" s="69"/>
      <c r="Y2653" s="69"/>
      <c r="Z2653" s="69"/>
      <c r="AA2653" s="69"/>
      <c r="AB2653" s="69"/>
      <c r="AC2653" s="69"/>
      <c r="AD2653" s="69"/>
      <c r="AE2653" s="69"/>
      <c r="AF2653" s="69"/>
      <c r="AG2653" s="69"/>
      <c r="AH2653" s="69"/>
      <c r="AI2653" s="69"/>
      <c r="AJ2653" s="69"/>
      <c r="AK2653" s="69"/>
      <c r="AL2653" s="69"/>
      <c r="AM2653" s="69"/>
      <c r="AN2653" s="69"/>
      <c r="AO2653" s="69"/>
      <c r="AP2653" s="69"/>
      <c r="AQ2653" s="69"/>
      <c r="AR2653" s="69"/>
      <c r="AS2653" s="69"/>
      <c r="AT2653" s="69"/>
      <c r="AU2653" s="69"/>
      <c r="AV2653" s="69"/>
      <c r="AW2653" s="69"/>
      <c r="AX2653" s="69"/>
      <c r="AY2653" s="69"/>
      <c r="AZ2653" s="69"/>
      <c r="BA2653" s="69"/>
      <c r="BB2653" s="69"/>
      <c r="BC2653" s="69"/>
    </row>
    <row r="2654">
      <c r="A2654" s="68"/>
      <c r="B2654" s="68"/>
      <c r="C2654" s="68"/>
      <c r="D2654" s="68"/>
      <c r="E2654" s="68"/>
      <c r="F2654" s="68"/>
      <c r="G2654" s="68"/>
      <c r="H2654" s="68"/>
      <c r="I2654" s="69"/>
      <c r="J2654" s="69"/>
      <c r="K2654" s="71"/>
      <c r="L2654" s="69"/>
      <c r="M2654" s="69"/>
      <c r="N2654" s="72"/>
      <c r="O2654" s="69"/>
      <c r="P2654" s="69"/>
      <c r="Q2654" s="69"/>
      <c r="R2654" s="69"/>
      <c r="S2654" s="69"/>
      <c r="T2654" s="69"/>
      <c r="U2654" s="69"/>
      <c r="V2654" s="69"/>
      <c r="W2654" s="69"/>
      <c r="X2654" s="69"/>
      <c r="Y2654" s="69"/>
      <c r="Z2654" s="69"/>
      <c r="AA2654" s="69"/>
      <c r="AB2654" s="69"/>
      <c r="AC2654" s="69"/>
      <c r="AD2654" s="69"/>
      <c r="AE2654" s="69"/>
      <c r="AF2654" s="69"/>
      <c r="AG2654" s="69"/>
      <c r="AH2654" s="69"/>
      <c r="AI2654" s="69"/>
      <c r="AJ2654" s="69"/>
      <c r="AK2654" s="69"/>
      <c r="AL2654" s="69"/>
      <c r="AM2654" s="69"/>
      <c r="AN2654" s="69"/>
      <c r="AO2654" s="69"/>
      <c r="AP2654" s="69"/>
      <c r="AQ2654" s="69"/>
      <c r="AR2654" s="69"/>
      <c r="AS2654" s="69"/>
      <c r="AT2654" s="69"/>
      <c r="AU2654" s="69"/>
      <c r="AV2654" s="69"/>
      <c r="AW2654" s="69"/>
      <c r="AX2654" s="69"/>
      <c r="AY2654" s="69"/>
      <c r="AZ2654" s="69"/>
      <c r="BA2654" s="69"/>
      <c r="BB2654" s="69"/>
      <c r="BC2654" s="69"/>
    </row>
    <row r="2655">
      <c r="A2655" s="68"/>
      <c r="B2655" s="68"/>
      <c r="C2655" s="68"/>
      <c r="D2655" s="68"/>
      <c r="E2655" s="68"/>
      <c r="F2655" s="68"/>
      <c r="G2655" s="68"/>
      <c r="H2655" s="68"/>
      <c r="I2655" s="69"/>
      <c r="J2655" s="69"/>
      <c r="K2655" s="71"/>
      <c r="L2655" s="69"/>
      <c r="M2655" s="69"/>
      <c r="N2655" s="72"/>
      <c r="O2655" s="69"/>
      <c r="P2655" s="69"/>
      <c r="Q2655" s="69"/>
      <c r="R2655" s="69"/>
      <c r="S2655" s="69"/>
      <c r="T2655" s="69"/>
      <c r="U2655" s="69"/>
      <c r="V2655" s="69"/>
      <c r="W2655" s="69"/>
      <c r="X2655" s="69"/>
      <c r="Y2655" s="69"/>
      <c r="Z2655" s="69"/>
      <c r="AA2655" s="69"/>
      <c r="AB2655" s="69"/>
      <c r="AC2655" s="69"/>
      <c r="AD2655" s="69"/>
      <c r="AE2655" s="69"/>
      <c r="AF2655" s="69"/>
      <c r="AG2655" s="69"/>
      <c r="AH2655" s="69"/>
      <c r="AI2655" s="69"/>
      <c r="AJ2655" s="69"/>
      <c r="AK2655" s="69"/>
      <c r="AL2655" s="69"/>
      <c r="AM2655" s="69"/>
      <c r="AN2655" s="69"/>
      <c r="AO2655" s="69"/>
      <c r="AP2655" s="69"/>
      <c r="AQ2655" s="69"/>
      <c r="AR2655" s="69"/>
      <c r="AS2655" s="69"/>
      <c r="AT2655" s="69"/>
      <c r="AU2655" s="69"/>
      <c r="AV2655" s="69"/>
      <c r="AW2655" s="69"/>
      <c r="AX2655" s="69"/>
      <c r="AY2655" s="69"/>
      <c r="AZ2655" s="69"/>
      <c r="BA2655" s="69"/>
      <c r="BB2655" s="69"/>
      <c r="BC2655" s="69"/>
    </row>
    <row r="2656">
      <c r="A2656" s="68"/>
      <c r="B2656" s="68"/>
      <c r="C2656" s="68"/>
      <c r="D2656" s="68"/>
      <c r="E2656" s="68"/>
      <c r="F2656" s="68"/>
      <c r="G2656" s="68"/>
      <c r="H2656" s="68"/>
      <c r="I2656" s="69"/>
      <c r="J2656" s="69"/>
      <c r="K2656" s="71"/>
      <c r="L2656" s="69"/>
      <c r="M2656" s="69"/>
      <c r="N2656" s="72"/>
      <c r="O2656" s="69"/>
      <c r="P2656" s="69"/>
      <c r="Q2656" s="69"/>
      <c r="R2656" s="69"/>
      <c r="S2656" s="69"/>
      <c r="T2656" s="69"/>
      <c r="U2656" s="69"/>
      <c r="V2656" s="69"/>
      <c r="W2656" s="69"/>
      <c r="X2656" s="69"/>
      <c r="Y2656" s="69"/>
      <c r="Z2656" s="69"/>
      <c r="AA2656" s="69"/>
      <c r="AB2656" s="69"/>
      <c r="AC2656" s="69"/>
      <c r="AD2656" s="69"/>
      <c r="AE2656" s="69"/>
      <c r="AF2656" s="69"/>
      <c r="AG2656" s="69"/>
      <c r="AH2656" s="69"/>
      <c r="AI2656" s="69"/>
      <c r="AJ2656" s="69"/>
      <c r="AK2656" s="69"/>
      <c r="AL2656" s="69"/>
      <c r="AM2656" s="69"/>
      <c r="AN2656" s="69"/>
      <c r="AO2656" s="69"/>
      <c r="AP2656" s="69"/>
      <c r="AQ2656" s="69"/>
      <c r="AR2656" s="69"/>
      <c r="AS2656" s="69"/>
      <c r="AT2656" s="69"/>
      <c r="AU2656" s="69"/>
      <c r="AV2656" s="69"/>
      <c r="AW2656" s="69"/>
      <c r="AX2656" s="69"/>
      <c r="AY2656" s="69"/>
      <c r="AZ2656" s="69"/>
      <c r="BA2656" s="69"/>
      <c r="BB2656" s="69"/>
      <c r="BC2656" s="69"/>
    </row>
    <row r="2657">
      <c r="A2657" s="68"/>
      <c r="B2657" s="68"/>
      <c r="C2657" s="68"/>
      <c r="D2657" s="68"/>
      <c r="E2657" s="68"/>
      <c r="F2657" s="68"/>
      <c r="G2657" s="68"/>
      <c r="H2657" s="68"/>
      <c r="I2657" s="69"/>
      <c r="J2657" s="69"/>
      <c r="K2657" s="71"/>
      <c r="L2657" s="69"/>
      <c r="M2657" s="69"/>
      <c r="N2657" s="72"/>
      <c r="O2657" s="69"/>
      <c r="P2657" s="69"/>
      <c r="Q2657" s="69"/>
      <c r="R2657" s="69"/>
      <c r="S2657" s="69"/>
      <c r="T2657" s="69"/>
      <c r="U2657" s="69"/>
      <c r="V2657" s="69"/>
      <c r="W2657" s="69"/>
      <c r="X2657" s="69"/>
      <c r="Y2657" s="69"/>
      <c r="Z2657" s="69"/>
      <c r="AA2657" s="69"/>
      <c r="AB2657" s="69"/>
      <c r="AC2657" s="69"/>
      <c r="AD2657" s="69"/>
      <c r="AE2657" s="69"/>
      <c r="AF2657" s="69"/>
      <c r="AG2657" s="69"/>
      <c r="AH2657" s="69"/>
      <c r="AI2657" s="69"/>
      <c r="AJ2657" s="69"/>
      <c r="AK2657" s="69"/>
      <c r="AL2657" s="69"/>
      <c r="AM2657" s="69"/>
      <c r="AN2657" s="69"/>
      <c r="AO2657" s="69"/>
      <c r="AP2657" s="69"/>
      <c r="AQ2657" s="69"/>
      <c r="AR2657" s="69"/>
      <c r="AS2657" s="69"/>
      <c r="AT2657" s="69"/>
      <c r="AU2657" s="69"/>
      <c r="AV2657" s="69"/>
      <c r="AW2657" s="69"/>
      <c r="AX2657" s="69"/>
      <c r="AY2657" s="69"/>
      <c r="AZ2657" s="69"/>
      <c r="BA2657" s="69"/>
      <c r="BB2657" s="69"/>
      <c r="BC2657" s="69"/>
    </row>
    <row r="2658">
      <c r="A2658" s="68"/>
      <c r="B2658" s="68"/>
      <c r="C2658" s="68"/>
      <c r="D2658" s="68"/>
      <c r="E2658" s="68"/>
      <c r="F2658" s="68"/>
      <c r="G2658" s="68"/>
      <c r="H2658" s="68"/>
      <c r="I2658" s="69"/>
      <c r="J2658" s="69"/>
      <c r="K2658" s="71"/>
      <c r="L2658" s="69"/>
      <c r="M2658" s="69"/>
      <c r="N2658" s="72"/>
      <c r="O2658" s="69"/>
      <c r="P2658" s="69"/>
      <c r="Q2658" s="69"/>
      <c r="R2658" s="69"/>
      <c r="S2658" s="69"/>
      <c r="T2658" s="69"/>
      <c r="U2658" s="69"/>
      <c r="V2658" s="69"/>
      <c r="W2658" s="69"/>
      <c r="X2658" s="69"/>
      <c r="Y2658" s="69"/>
      <c r="Z2658" s="69"/>
      <c r="AA2658" s="69"/>
      <c r="AB2658" s="69"/>
      <c r="AC2658" s="69"/>
      <c r="AD2658" s="69"/>
      <c r="AE2658" s="69"/>
      <c r="AF2658" s="69"/>
      <c r="AG2658" s="69"/>
      <c r="AH2658" s="69"/>
      <c r="AI2658" s="69"/>
      <c r="AJ2658" s="69"/>
      <c r="AK2658" s="69"/>
      <c r="AL2658" s="69"/>
      <c r="AM2658" s="69"/>
      <c r="AN2658" s="69"/>
      <c r="AO2658" s="69"/>
      <c r="AP2658" s="69"/>
      <c r="AQ2658" s="69"/>
      <c r="AR2658" s="69"/>
      <c r="AS2658" s="69"/>
      <c r="AT2658" s="69"/>
      <c r="AU2658" s="69"/>
      <c r="AV2658" s="69"/>
      <c r="AW2658" s="69"/>
      <c r="AX2658" s="69"/>
      <c r="AY2658" s="69"/>
      <c r="AZ2658" s="69"/>
      <c r="BA2658" s="69"/>
      <c r="BB2658" s="69"/>
      <c r="BC2658" s="69"/>
    </row>
    <row r="2659">
      <c r="A2659" s="68"/>
      <c r="B2659" s="68"/>
      <c r="C2659" s="68"/>
      <c r="D2659" s="68"/>
      <c r="E2659" s="68"/>
      <c r="F2659" s="68"/>
      <c r="G2659" s="68"/>
      <c r="H2659" s="68"/>
      <c r="I2659" s="69"/>
      <c r="J2659" s="69"/>
      <c r="K2659" s="71"/>
      <c r="L2659" s="69"/>
      <c r="M2659" s="69"/>
      <c r="N2659" s="72"/>
      <c r="O2659" s="69"/>
      <c r="P2659" s="69"/>
      <c r="Q2659" s="69"/>
      <c r="R2659" s="69"/>
      <c r="S2659" s="69"/>
      <c r="T2659" s="69"/>
      <c r="U2659" s="69"/>
      <c r="V2659" s="69"/>
      <c r="W2659" s="69"/>
      <c r="X2659" s="69"/>
      <c r="Y2659" s="69"/>
      <c r="Z2659" s="69"/>
      <c r="AA2659" s="69"/>
      <c r="AB2659" s="69"/>
      <c r="AC2659" s="69"/>
      <c r="AD2659" s="69"/>
      <c r="AE2659" s="69"/>
      <c r="AF2659" s="69"/>
      <c r="AG2659" s="69"/>
      <c r="AH2659" s="69"/>
      <c r="AI2659" s="69"/>
      <c r="AJ2659" s="69"/>
      <c r="AK2659" s="69"/>
      <c r="AL2659" s="69"/>
      <c r="AM2659" s="69"/>
      <c r="AN2659" s="69"/>
      <c r="AO2659" s="69"/>
      <c r="AP2659" s="69"/>
      <c r="AQ2659" s="69"/>
      <c r="AR2659" s="69"/>
      <c r="AS2659" s="69"/>
      <c r="AT2659" s="69"/>
      <c r="AU2659" s="69"/>
      <c r="AV2659" s="69"/>
      <c r="AW2659" s="69"/>
      <c r="AX2659" s="69"/>
      <c r="AY2659" s="69"/>
      <c r="AZ2659" s="69"/>
      <c r="BA2659" s="69"/>
      <c r="BB2659" s="69"/>
      <c r="BC2659" s="69"/>
    </row>
    <row r="2660">
      <c r="A2660" s="68"/>
      <c r="B2660" s="68"/>
      <c r="C2660" s="68"/>
      <c r="D2660" s="68"/>
      <c r="E2660" s="68"/>
      <c r="F2660" s="68"/>
      <c r="G2660" s="68"/>
      <c r="H2660" s="68"/>
      <c r="I2660" s="69"/>
      <c r="J2660" s="69"/>
      <c r="K2660" s="71"/>
      <c r="L2660" s="69"/>
      <c r="M2660" s="69"/>
      <c r="N2660" s="72"/>
      <c r="O2660" s="69"/>
      <c r="P2660" s="69"/>
      <c r="Q2660" s="69"/>
      <c r="R2660" s="69"/>
      <c r="S2660" s="69"/>
      <c r="T2660" s="69"/>
      <c r="U2660" s="69"/>
      <c r="V2660" s="69"/>
      <c r="W2660" s="69"/>
      <c r="X2660" s="69"/>
      <c r="Y2660" s="69"/>
      <c r="Z2660" s="69"/>
      <c r="AA2660" s="69"/>
      <c r="AB2660" s="69"/>
      <c r="AC2660" s="69"/>
      <c r="AD2660" s="69"/>
      <c r="AE2660" s="69"/>
      <c r="AF2660" s="69"/>
      <c r="AG2660" s="69"/>
      <c r="AH2660" s="69"/>
      <c r="AI2660" s="69"/>
      <c r="AJ2660" s="69"/>
      <c r="AK2660" s="69"/>
      <c r="AL2660" s="69"/>
      <c r="AM2660" s="69"/>
      <c r="AN2660" s="69"/>
      <c r="AO2660" s="69"/>
      <c r="AP2660" s="69"/>
      <c r="AQ2660" s="69"/>
      <c r="AR2660" s="69"/>
      <c r="AS2660" s="69"/>
      <c r="AT2660" s="69"/>
      <c r="AU2660" s="69"/>
      <c r="AV2660" s="69"/>
      <c r="AW2660" s="69"/>
      <c r="AX2660" s="69"/>
      <c r="AY2660" s="69"/>
      <c r="AZ2660" s="69"/>
      <c r="BA2660" s="69"/>
      <c r="BB2660" s="69"/>
      <c r="BC2660" s="69"/>
    </row>
    <row r="2661">
      <c r="A2661" s="68"/>
      <c r="B2661" s="68"/>
      <c r="C2661" s="68"/>
      <c r="D2661" s="68"/>
      <c r="E2661" s="68"/>
      <c r="F2661" s="68"/>
      <c r="G2661" s="68"/>
      <c r="H2661" s="68"/>
      <c r="I2661" s="69"/>
      <c r="J2661" s="69"/>
      <c r="K2661" s="71"/>
      <c r="L2661" s="69"/>
      <c r="M2661" s="69"/>
      <c r="N2661" s="72"/>
      <c r="O2661" s="69"/>
      <c r="P2661" s="69"/>
      <c r="Q2661" s="69"/>
      <c r="R2661" s="69"/>
      <c r="S2661" s="69"/>
      <c r="T2661" s="69"/>
      <c r="U2661" s="69"/>
      <c r="V2661" s="69"/>
      <c r="W2661" s="69"/>
      <c r="X2661" s="69"/>
      <c r="Y2661" s="69"/>
      <c r="Z2661" s="69"/>
      <c r="AA2661" s="69"/>
      <c r="AB2661" s="69"/>
      <c r="AC2661" s="69"/>
      <c r="AD2661" s="69"/>
      <c r="AE2661" s="69"/>
      <c r="AF2661" s="69"/>
      <c r="AG2661" s="69"/>
      <c r="AH2661" s="69"/>
      <c r="AI2661" s="69"/>
      <c r="AJ2661" s="69"/>
      <c r="AK2661" s="69"/>
      <c r="AL2661" s="69"/>
      <c r="AM2661" s="69"/>
      <c r="AN2661" s="69"/>
      <c r="AO2661" s="69"/>
      <c r="AP2661" s="69"/>
      <c r="AQ2661" s="69"/>
      <c r="AR2661" s="69"/>
      <c r="AS2661" s="69"/>
      <c r="AT2661" s="69"/>
      <c r="AU2661" s="69"/>
      <c r="AV2661" s="69"/>
      <c r="AW2661" s="69"/>
      <c r="AX2661" s="69"/>
      <c r="AY2661" s="69"/>
      <c r="AZ2661" s="69"/>
      <c r="BA2661" s="69"/>
      <c r="BB2661" s="69"/>
      <c r="BC2661" s="69"/>
    </row>
    <row r="2662">
      <c r="A2662" s="68"/>
      <c r="B2662" s="68"/>
      <c r="C2662" s="68"/>
      <c r="D2662" s="68"/>
      <c r="E2662" s="68"/>
      <c r="F2662" s="68"/>
      <c r="G2662" s="68"/>
      <c r="H2662" s="68"/>
      <c r="I2662" s="69"/>
      <c r="J2662" s="69"/>
      <c r="K2662" s="71"/>
      <c r="L2662" s="69"/>
      <c r="M2662" s="69"/>
      <c r="N2662" s="72"/>
      <c r="O2662" s="69"/>
      <c r="P2662" s="69"/>
      <c r="Q2662" s="69"/>
      <c r="R2662" s="69"/>
      <c r="S2662" s="69"/>
      <c r="T2662" s="69"/>
      <c r="U2662" s="69"/>
      <c r="V2662" s="69"/>
      <c r="W2662" s="69"/>
      <c r="X2662" s="69"/>
      <c r="Y2662" s="69"/>
      <c r="Z2662" s="69"/>
      <c r="AA2662" s="69"/>
      <c r="AB2662" s="69"/>
      <c r="AC2662" s="69"/>
      <c r="AD2662" s="69"/>
      <c r="AE2662" s="69"/>
      <c r="AF2662" s="69"/>
      <c r="AG2662" s="69"/>
      <c r="AH2662" s="69"/>
      <c r="AI2662" s="69"/>
      <c r="AJ2662" s="69"/>
      <c r="AK2662" s="69"/>
      <c r="AL2662" s="69"/>
      <c r="AM2662" s="69"/>
      <c r="AN2662" s="69"/>
      <c r="AO2662" s="69"/>
      <c r="AP2662" s="69"/>
      <c r="AQ2662" s="69"/>
      <c r="AR2662" s="69"/>
      <c r="AS2662" s="69"/>
      <c r="AT2662" s="69"/>
      <c r="AU2662" s="69"/>
      <c r="AV2662" s="69"/>
      <c r="AW2662" s="69"/>
      <c r="AX2662" s="69"/>
      <c r="AY2662" s="69"/>
      <c r="AZ2662" s="69"/>
      <c r="BA2662" s="69"/>
      <c r="BB2662" s="69"/>
      <c r="BC2662" s="69"/>
    </row>
    <row r="2663">
      <c r="A2663" s="68"/>
      <c r="B2663" s="68"/>
      <c r="C2663" s="68"/>
      <c r="D2663" s="68"/>
      <c r="E2663" s="68"/>
      <c r="F2663" s="68"/>
      <c r="G2663" s="68"/>
      <c r="H2663" s="68"/>
      <c r="I2663" s="69"/>
      <c r="J2663" s="69"/>
      <c r="K2663" s="71"/>
      <c r="L2663" s="69"/>
      <c r="M2663" s="69"/>
      <c r="N2663" s="72"/>
      <c r="O2663" s="69"/>
      <c r="P2663" s="69"/>
      <c r="Q2663" s="69"/>
      <c r="R2663" s="69"/>
      <c r="S2663" s="69"/>
      <c r="T2663" s="69"/>
      <c r="U2663" s="69"/>
      <c r="V2663" s="69"/>
      <c r="W2663" s="69"/>
      <c r="X2663" s="69"/>
      <c r="Y2663" s="69"/>
      <c r="Z2663" s="69"/>
      <c r="AA2663" s="69"/>
      <c r="AB2663" s="69"/>
      <c r="AC2663" s="69"/>
      <c r="AD2663" s="69"/>
      <c r="AE2663" s="69"/>
      <c r="AF2663" s="69"/>
      <c r="AG2663" s="69"/>
      <c r="AH2663" s="69"/>
      <c r="AI2663" s="69"/>
      <c r="AJ2663" s="69"/>
      <c r="AK2663" s="69"/>
      <c r="AL2663" s="69"/>
      <c r="AM2663" s="69"/>
      <c r="AN2663" s="69"/>
      <c r="AO2663" s="69"/>
      <c r="AP2663" s="69"/>
      <c r="AQ2663" s="69"/>
      <c r="AR2663" s="69"/>
      <c r="AS2663" s="69"/>
      <c r="AT2663" s="69"/>
      <c r="AU2663" s="69"/>
      <c r="AV2663" s="69"/>
      <c r="AW2663" s="69"/>
      <c r="AX2663" s="69"/>
      <c r="AY2663" s="69"/>
      <c r="AZ2663" s="69"/>
      <c r="BA2663" s="69"/>
      <c r="BB2663" s="69"/>
      <c r="BC2663" s="69"/>
    </row>
    <row r="2664">
      <c r="A2664" s="68"/>
      <c r="B2664" s="68"/>
      <c r="C2664" s="68"/>
      <c r="D2664" s="68"/>
      <c r="E2664" s="68"/>
      <c r="F2664" s="68"/>
      <c r="G2664" s="68"/>
      <c r="H2664" s="68"/>
      <c r="I2664" s="69"/>
      <c r="J2664" s="69"/>
      <c r="K2664" s="71"/>
      <c r="L2664" s="69"/>
      <c r="M2664" s="69"/>
      <c r="N2664" s="72"/>
      <c r="O2664" s="69"/>
      <c r="P2664" s="69"/>
      <c r="Q2664" s="69"/>
      <c r="R2664" s="69"/>
      <c r="S2664" s="69"/>
      <c r="T2664" s="69"/>
      <c r="U2664" s="69"/>
      <c r="V2664" s="69"/>
      <c r="W2664" s="69"/>
      <c r="X2664" s="69"/>
      <c r="Y2664" s="69"/>
      <c r="Z2664" s="69"/>
      <c r="AA2664" s="69"/>
      <c r="AB2664" s="69"/>
      <c r="AC2664" s="69"/>
      <c r="AD2664" s="69"/>
      <c r="AE2664" s="69"/>
      <c r="AF2664" s="69"/>
      <c r="AG2664" s="69"/>
      <c r="AH2664" s="69"/>
      <c r="AI2664" s="69"/>
      <c r="AJ2664" s="69"/>
      <c r="AK2664" s="69"/>
      <c r="AL2664" s="69"/>
      <c r="AM2664" s="69"/>
      <c r="AN2664" s="69"/>
      <c r="AO2664" s="69"/>
      <c r="AP2664" s="69"/>
      <c r="AQ2664" s="69"/>
      <c r="AR2664" s="69"/>
      <c r="AS2664" s="69"/>
      <c r="AT2664" s="69"/>
      <c r="AU2664" s="69"/>
      <c r="AV2664" s="69"/>
      <c r="AW2664" s="69"/>
      <c r="AX2664" s="69"/>
      <c r="AY2664" s="69"/>
      <c r="AZ2664" s="69"/>
      <c r="BA2664" s="69"/>
      <c r="BB2664" s="69"/>
      <c r="BC2664" s="69"/>
    </row>
    <row r="2665">
      <c r="A2665" s="68"/>
      <c r="B2665" s="68"/>
      <c r="C2665" s="68"/>
      <c r="D2665" s="68"/>
      <c r="E2665" s="68"/>
      <c r="F2665" s="68"/>
      <c r="G2665" s="68"/>
      <c r="H2665" s="68"/>
      <c r="I2665" s="69"/>
      <c r="J2665" s="69"/>
      <c r="K2665" s="71"/>
      <c r="L2665" s="69"/>
      <c r="M2665" s="69"/>
      <c r="N2665" s="72"/>
      <c r="O2665" s="69"/>
      <c r="P2665" s="69"/>
      <c r="Q2665" s="69"/>
      <c r="R2665" s="69"/>
      <c r="S2665" s="69"/>
      <c r="T2665" s="69"/>
      <c r="U2665" s="69"/>
      <c r="V2665" s="69"/>
      <c r="W2665" s="69"/>
      <c r="X2665" s="69"/>
      <c r="Y2665" s="69"/>
      <c r="Z2665" s="69"/>
      <c r="AA2665" s="69"/>
      <c r="AB2665" s="69"/>
      <c r="AC2665" s="69"/>
      <c r="AD2665" s="69"/>
      <c r="AE2665" s="69"/>
      <c r="AF2665" s="69"/>
      <c r="AG2665" s="69"/>
      <c r="AH2665" s="69"/>
      <c r="AI2665" s="69"/>
      <c r="AJ2665" s="69"/>
      <c r="AK2665" s="69"/>
      <c r="AL2665" s="69"/>
      <c r="AM2665" s="69"/>
      <c r="AN2665" s="69"/>
      <c r="AO2665" s="69"/>
      <c r="AP2665" s="69"/>
      <c r="AQ2665" s="69"/>
      <c r="AR2665" s="69"/>
      <c r="AS2665" s="69"/>
      <c r="AT2665" s="69"/>
      <c r="AU2665" s="69"/>
      <c r="AV2665" s="69"/>
      <c r="AW2665" s="69"/>
      <c r="AX2665" s="69"/>
      <c r="AY2665" s="69"/>
      <c r="AZ2665" s="69"/>
      <c r="BA2665" s="69"/>
      <c r="BB2665" s="69"/>
      <c r="BC2665" s="69"/>
    </row>
    <row r="2666">
      <c r="A2666" s="68"/>
      <c r="B2666" s="68"/>
      <c r="C2666" s="68"/>
      <c r="D2666" s="68"/>
      <c r="E2666" s="68"/>
      <c r="F2666" s="68"/>
      <c r="G2666" s="68"/>
      <c r="H2666" s="68"/>
      <c r="I2666" s="69"/>
      <c r="J2666" s="69"/>
      <c r="K2666" s="71"/>
      <c r="L2666" s="69"/>
      <c r="M2666" s="69"/>
      <c r="N2666" s="72"/>
      <c r="O2666" s="69"/>
      <c r="P2666" s="69"/>
      <c r="Q2666" s="69"/>
      <c r="R2666" s="69"/>
      <c r="S2666" s="69"/>
      <c r="T2666" s="69"/>
      <c r="U2666" s="69"/>
      <c r="V2666" s="69"/>
      <c r="W2666" s="69"/>
      <c r="X2666" s="69"/>
      <c r="Y2666" s="69"/>
      <c r="Z2666" s="69"/>
      <c r="AA2666" s="69"/>
      <c r="AB2666" s="69"/>
      <c r="AC2666" s="69"/>
      <c r="AD2666" s="69"/>
      <c r="AE2666" s="69"/>
      <c r="AF2666" s="69"/>
      <c r="AG2666" s="69"/>
      <c r="AH2666" s="69"/>
      <c r="AI2666" s="69"/>
      <c r="AJ2666" s="69"/>
      <c r="AK2666" s="69"/>
      <c r="AL2666" s="69"/>
      <c r="AM2666" s="69"/>
      <c r="AN2666" s="69"/>
      <c r="AO2666" s="69"/>
      <c r="AP2666" s="69"/>
      <c r="AQ2666" s="69"/>
      <c r="AR2666" s="69"/>
      <c r="AS2666" s="69"/>
      <c r="AT2666" s="69"/>
      <c r="AU2666" s="69"/>
      <c r="AV2666" s="69"/>
      <c r="AW2666" s="69"/>
      <c r="AX2666" s="69"/>
      <c r="AY2666" s="69"/>
      <c r="AZ2666" s="69"/>
      <c r="BA2666" s="69"/>
      <c r="BB2666" s="69"/>
      <c r="BC2666" s="69"/>
    </row>
    <row r="2667">
      <c r="A2667" s="68"/>
      <c r="B2667" s="68"/>
      <c r="C2667" s="68"/>
      <c r="D2667" s="68"/>
      <c r="E2667" s="68"/>
      <c r="F2667" s="68"/>
      <c r="G2667" s="68"/>
      <c r="H2667" s="68"/>
      <c r="I2667" s="69"/>
      <c r="J2667" s="69"/>
      <c r="K2667" s="71"/>
      <c r="L2667" s="69"/>
      <c r="M2667" s="69"/>
      <c r="N2667" s="72"/>
      <c r="O2667" s="69"/>
      <c r="P2667" s="69"/>
      <c r="Q2667" s="69"/>
      <c r="R2667" s="69"/>
      <c r="S2667" s="69"/>
      <c r="T2667" s="69"/>
      <c r="U2667" s="69"/>
      <c r="V2667" s="69"/>
      <c r="W2667" s="69"/>
      <c r="X2667" s="69"/>
      <c r="Y2667" s="69"/>
      <c r="Z2667" s="69"/>
      <c r="AA2667" s="69"/>
      <c r="AB2667" s="69"/>
      <c r="AC2667" s="69"/>
      <c r="AD2667" s="69"/>
      <c r="AE2667" s="69"/>
      <c r="AF2667" s="69"/>
      <c r="AG2667" s="69"/>
      <c r="AH2667" s="69"/>
      <c r="AI2667" s="69"/>
      <c r="AJ2667" s="69"/>
      <c r="AK2667" s="69"/>
      <c r="AL2667" s="69"/>
      <c r="AM2667" s="69"/>
      <c r="AN2667" s="69"/>
      <c r="AO2667" s="69"/>
      <c r="AP2667" s="69"/>
      <c r="AQ2667" s="69"/>
      <c r="AR2667" s="69"/>
      <c r="AS2667" s="69"/>
      <c r="AT2667" s="69"/>
      <c r="AU2667" s="69"/>
      <c r="AV2667" s="69"/>
      <c r="AW2667" s="69"/>
      <c r="AX2667" s="69"/>
      <c r="AY2667" s="69"/>
      <c r="AZ2667" s="69"/>
      <c r="BA2667" s="69"/>
      <c r="BB2667" s="69"/>
      <c r="BC2667" s="69"/>
    </row>
    <row r="2668">
      <c r="A2668" s="68"/>
      <c r="B2668" s="68"/>
      <c r="C2668" s="68"/>
      <c r="D2668" s="68"/>
      <c r="E2668" s="68"/>
      <c r="F2668" s="68"/>
      <c r="G2668" s="68"/>
      <c r="H2668" s="68"/>
      <c r="I2668" s="69"/>
      <c r="J2668" s="69"/>
      <c r="K2668" s="71"/>
      <c r="L2668" s="69"/>
      <c r="M2668" s="69"/>
      <c r="N2668" s="72"/>
      <c r="O2668" s="69"/>
      <c r="P2668" s="69"/>
      <c r="Q2668" s="69"/>
      <c r="R2668" s="69"/>
      <c r="S2668" s="69"/>
      <c r="T2668" s="69"/>
      <c r="U2668" s="69"/>
      <c r="V2668" s="69"/>
      <c r="W2668" s="69"/>
      <c r="X2668" s="69"/>
      <c r="Y2668" s="69"/>
      <c r="Z2668" s="69"/>
      <c r="AA2668" s="69"/>
      <c r="AB2668" s="69"/>
      <c r="AC2668" s="69"/>
      <c r="AD2668" s="69"/>
      <c r="AE2668" s="69"/>
      <c r="AF2668" s="69"/>
      <c r="AG2668" s="69"/>
      <c r="AH2668" s="69"/>
      <c r="AI2668" s="69"/>
      <c r="AJ2668" s="69"/>
      <c r="AK2668" s="69"/>
      <c r="AL2668" s="69"/>
      <c r="AM2668" s="69"/>
      <c r="AN2668" s="69"/>
      <c r="AO2668" s="69"/>
      <c r="AP2668" s="69"/>
      <c r="AQ2668" s="69"/>
      <c r="AR2668" s="69"/>
      <c r="AS2668" s="69"/>
      <c r="AT2668" s="69"/>
      <c r="AU2668" s="69"/>
      <c r="AV2668" s="69"/>
      <c r="AW2668" s="69"/>
      <c r="AX2668" s="69"/>
      <c r="AY2668" s="69"/>
      <c r="AZ2668" s="69"/>
      <c r="BA2668" s="69"/>
      <c r="BB2668" s="69"/>
      <c r="BC2668" s="69"/>
    </row>
    <row r="2669">
      <c r="A2669" s="68"/>
      <c r="B2669" s="68"/>
      <c r="C2669" s="68"/>
      <c r="D2669" s="68"/>
      <c r="E2669" s="68"/>
      <c r="F2669" s="68"/>
      <c r="G2669" s="68"/>
      <c r="H2669" s="68"/>
      <c r="I2669" s="69"/>
      <c r="J2669" s="69"/>
      <c r="K2669" s="71"/>
      <c r="L2669" s="69"/>
      <c r="M2669" s="69"/>
      <c r="N2669" s="72"/>
      <c r="O2669" s="69"/>
      <c r="P2669" s="69"/>
      <c r="Q2669" s="69"/>
      <c r="R2669" s="69"/>
      <c r="S2669" s="69"/>
      <c r="T2669" s="69"/>
      <c r="U2669" s="69"/>
      <c r="V2669" s="69"/>
      <c r="W2669" s="69"/>
      <c r="X2669" s="69"/>
      <c r="Y2669" s="69"/>
      <c r="Z2669" s="69"/>
      <c r="AA2669" s="69"/>
      <c r="AB2669" s="69"/>
      <c r="AC2669" s="69"/>
      <c r="AD2669" s="69"/>
      <c r="AE2669" s="69"/>
      <c r="AF2669" s="69"/>
      <c r="AG2669" s="69"/>
      <c r="AH2669" s="69"/>
      <c r="AI2669" s="69"/>
      <c r="AJ2669" s="69"/>
      <c r="AK2669" s="69"/>
      <c r="AL2669" s="69"/>
      <c r="AM2669" s="69"/>
      <c r="AN2669" s="69"/>
      <c r="AO2669" s="69"/>
      <c r="AP2669" s="69"/>
      <c r="AQ2669" s="69"/>
      <c r="AR2669" s="69"/>
      <c r="AS2669" s="69"/>
      <c r="AT2669" s="69"/>
      <c r="AU2669" s="69"/>
      <c r="AV2669" s="69"/>
      <c r="AW2669" s="69"/>
      <c r="AX2669" s="69"/>
      <c r="AY2669" s="69"/>
      <c r="AZ2669" s="69"/>
      <c r="BA2669" s="69"/>
      <c r="BB2669" s="69"/>
      <c r="BC2669" s="69"/>
    </row>
    <row r="2670">
      <c r="A2670" s="68"/>
      <c r="B2670" s="68"/>
      <c r="C2670" s="68"/>
      <c r="D2670" s="68"/>
      <c r="E2670" s="68"/>
      <c r="F2670" s="68"/>
      <c r="G2670" s="68"/>
      <c r="H2670" s="68"/>
      <c r="I2670" s="69"/>
      <c r="J2670" s="69"/>
      <c r="K2670" s="71"/>
      <c r="L2670" s="69"/>
      <c r="M2670" s="69"/>
      <c r="N2670" s="72"/>
      <c r="O2670" s="69"/>
      <c r="P2670" s="69"/>
      <c r="Q2670" s="69"/>
      <c r="R2670" s="69"/>
      <c r="S2670" s="69"/>
      <c r="T2670" s="69"/>
      <c r="U2670" s="69"/>
      <c r="V2670" s="69"/>
      <c r="W2670" s="69"/>
      <c r="X2670" s="69"/>
      <c r="Y2670" s="69"/>
      <c r="Z2670" s="69"/>
      <c r="AA2670" s="69"/>
      <c r="AB2670" s="69"/>
      <c r="AC2670" s="69"/>
      <c r="AD2670" s="69"/>
      <c r="AE2670" s="69"/>
      <c r="AF2670" s="69"/>
      <c r="AG2670" s="69"/>
      <c r="AH2670" s="69"/>
      <c r="AI2670" s="69"/>
      <c r="AJ2670" s="69"/>
      <c r="AK2670" s="69"/>
      <c r="AL2670" s="69"/>
      <c r="AM2670" s="69"/>
      <c r="AN2670" s="69"/>
      <c r="AO2670" s="69"/>
      <c r="AP2670" s="69"/>
      <c r="AQ2670" s="69"/>
      <c r="AR2670" s="69"/>
      <c r="AS2670" s="69"/>
      <c r="AT2670" s="69"/>
      <c r="AU2670" s="69"/>
      <c r="AV2670" s="69"/>
      <c r="AW2670" s="69"/>
      <c r="AX2670" s="69"/>
      <c r="AY2670" s="69"/>
      <c r="AZ2670" s="69"/>
      <c r="BA2670" s="69"/>
      <c r="BB2670" s="69"/>
      <c r="BC2670" s="69"/>
    </row>
    <row r="2671">
      <c r="A2671" s="68"/>
      <c r="B2671" s="68"/>
      <c r="C2671" s="68"/>
      <c r="D2671" s="68"/>
      <c r="E2671" s="68"/>
      <c r="F2671" s="68"/>
      <c r="G2671" s="68"/>
      <c r="H2671" s="68"/>
      <c r="I2671" s="69"/>
      <c r="J2671" s="69"/>
      <c r="K2671" s="71"/>
      <c r="L2671" s="69"/>
      <c r="M2671" s="69"/>
      <c r="N2671" s="72"/>
      <c r="O2671" s="69"/>
      <c r="P2671" s="69"/>
      <c r="Q2671" s="69"/>
      <c r="R2671" s="69"/>
      <c r="S2671" s="69"/>
      <c r="T2671" s="69"/>
      <c r="U2671" s="69"/>
      <c r="V2671" s="69"/>
      <c r="W2671" s="69"/>
      <c r="X2671" s="69"/>
      <c r="Y2671" s="69"/>
      <c r="Z2671" s="69"/>
      <c r="AA2671" s="69"/>
      <c r="AB2671" s="69"/>
      <c r="AC2671" s="69"/>
      <c r="AD2671" s="69"/>
      <c r="AE2671" s="69"/>
      <c r="AF2671" s="69"/>
      <c r="AG2671" s="69"/>
      <c r="AH2671" s="69"/>
      <c r="AI2671" s="69"/>
      <c r="AJ2671" s="69"/>
      <c r="AK2671" s="69"/>
      <c r="AL2671" s="69"/>
      <c r="AM2671" s="69"/>
      <c r="AN2671" s="69"/>
      <c r="AO2671" s="69"/>
      <c r="AP2671" s="69"/>
      <c r="AQ2671" s="69"/>
      <c r="AR2671" s="69"/>
      <c r="AS2671" s="69"/>
      <c r="AT2671" s="69"/>
      <c r="AU2671" s="69"/>
      <c r="AV2671" s="69"/>
      <c r="AW2671" s="69"/>
      <c r="AX2671" s="69"/>
      <c r="AY2671" s="69"/>
      <c r="AZ2671" s="69"/>
      <c r="BA2671" s="69"/>
      <c r="BB2671" s="69"/>
      <c r="BC2671" s="69"/>
    </row>
    <row r="2672">
      <c r="A2672" s="68"/>
      <c r="B2672" s="68"/>
      <c r="C2672" s="68"/>
      <c r="D2672" s="68"/>
      <c r="E2672" s="68"/>
      <c r="F2672" s="68"/>
      <c r="G2672" s="68"/>
      <c r="H2672" s="68"/>
      <c r="I2672" s="69"/>
      <c r="J2672" s="69"/>
      <c r="K2672" s="71"/>
      <c r="L2672" s="69"/>
      <c r="M2672" s="69"/>
      <c r="N2672" s="72"/>
      <c r="O2672" s="69"/>
      <c r="P2672" s="69"/>
      <c r="Q2672" s="69"/>
      <c r="R2672" s="69"/>
      <c r="S2672" s="69"/>
      <c r="T2672" s="69"/>
      <c r="U2672" s="69"/>
      <c r="V2672" s="69"/>
      <c r="W2672" s="69"/>
      <c r="X2672" s="69"/>
      <c r="Y2672" s="69"/>
      <c r="Z2672" s="69"/>
      <c r="AA2672" s="69"/>
      <c r="AB2672" s="69"/>
      <c r="AC2672" s="69"/>
      <c r="AD2672" s="69"/>
      <c r="AE2672" s="69"/>
      <c r="AF2672" s="69"/>
      <c r="AG2672" s="69"/>
      <c r="AH2672" s="69"/>
      <c r="AI2672" s="69"/>
      <c r="AJ2672" s="69"/>
      <c r="AK2672" s="69"/>
      <c r="AL2672" s="69"/>
      <c r="AM2672" s="69"/>
      <c r="AN2672" s="69"/>
      <c r="AO2672" s="69"/>
      <c r="AP2672" s="69"/>
      <c r="AQ2672" s="69"/>
      <c r="AR2672" s="69"/>
      <c r="AS2672" s="69"/>
      <c r="AT2672" s="69"/>
      <c r="AU2672" s="69"/>
      <c r="AV2672" s="69"/>
      <c r="AW2672" s="69"/>
      <c r="AX2672" s="69"/>
      <c r="AY2672" s="69"/>
      <c r="AZ2672" s="69"/>
      <c r="BA2672" s="69"/>
      <c r="BB2672" s="69"/>
      <c r="BC2672" s="69"/>
    </row>
    <row r="2673">
      <c r="A2673" s="68"/>
      <c r="B2673" s="68"/>
      <c r="C2673" s="68"/>
      <c r="D2673" s="68"/>
      <c r="E2673" s="68"/>
      <c r="F2673" s="68"/>
      <c r="G2673" s="68"/>
      <c r="H2673" s="68"/>
      <c r="I2673" s="69"/>
      <c r="J2673" s="69"/>
      <c r="K2673" s="71"/>
      <c r="L2673" s="69"/>
      <c r="M2673" s="69"/>
      <c r="N2673" s="72"/>
      <c r="O2673" s="69"/>
      <c r="P2673" s="69"/>
      <c r="Q2673" s="69"/>
      <c r="R2673" s="69"/>
      <c r="S2673" s="69"/>
      <c r="T2673" s="69"/>
      <c r="U2673" s="69"/>
      <c r="V2673" s="69"/>
      <c r="W2673" s="69"/>
      <c r="X2673" s="69"/>
      <c r="Y2673" s="69"/>
      <c r="Z2673" s="69"/>
      <c r="AA2673" s="69"/>
      <c r="AB2673" s="69"/>
      <c r="AC2673" s="69"/>
      <c r="AD2673" s="69"/>
      <c r="AE2673" s="69"/>
      <c r="AF2673" s="69"/>
      <c r="AG2673" s="69"/>
      <c r="AH2673" s="69"/>
      <c r="AI2673" s="69"/>
      <c r="AJ2673" s="69"/>
      <c r="AK2673" s="69"/>
      <c r="AL2673" s="69"/>
      <c r="AM2673" s="69"/>
      <c r="AN2673" s="69"/>
      <c r="AO2673" s="69"/>
      <c r="AP2673" s="69"/>
      <c r="AQ2673" s="69"/>
      <c r="AR2673" s="69"/>
      <c r="AS2673" s="69"/>
      <c r="AT2673" s="69"/>
      <c r="AU2673" s="69"/>
      <c r="AV2673" s="69"/>
      <c r="AW2673" s="69"/>
      <c r="AX2673" s="69"/>
      <c r="AY2673" s="69"/>
      <c r="AZ2673" s="69"/>
      <c r="BA2673" s="69"/>
      <c r="BB2673" s="69"/>
      <c r="BC2673" s="69"/>
    </row>
    <row r="2674">
      <c r="A2674" s="68"/>
      <c r="B2674" s="68"/>
      <c r="C2674" s="68"/>
      <c r="D2674" s="68"/>
      <c r="E2674" s="68"/>
      <c r="F2674" s="68"/>
      <c r="G2674" s="68"/>
      <c r="H2674" s="68"/>
      <c r="I2674" s="69"/>
      <c r="J2674" s="69"/>
      <c r="K2674" s="71"/>
      <c r="L2674" s="69"/>
      <c r="M2674" s="69"/>
      <c r="N2674" s="72"/>
      <c r="O2674" s="69"/>
      <c r="P2674" s="69"/>
      <c r="Q2674" s="69"/>
      <c r="R2674" s="69"/>
      <c r="S2674" s="69"/>
      <c r="T2674" s="69"/>
      <c r="U2674" s="69"/>
      <c r="V2674" s="69"/>
      <c r="W2674" s="69"/>
      <c r="X2674" s="69"/>
      <c r="Y2674" s="69"/>
      <c r="Z2674" s="69"/>
      <c r="AA2674" s="69"/>
      <c r="AB2674" s="69"/>
      <c r="AC2674" s="69"/>
      <c r="AD2674" s="69"/>
      <c r="AE2674" s="69"/>
      <c r="AF2674" s="69"/>
      <c r="AG2674" s="69"/>
      <c r="AH2674" s="69"/>
      <c r="AI2674" s="69"/>
      <c r="AJ2674" s="69"/>
      <c r="AK2674" s="69"/>
      <c r="AL2674" s="69"/>
      <c r="AM2674" s="69"/>
      <c r="AN2674" s="69"/>
      <c r="AO2674" s="69"/>
      <c r="AP2674" s="69"/>
      <c r="AQ2674" s="69"/>
      <c r="AR2674" s="69"/>
      <c r="AS2674" s="69"/>
      <c r="AT2674" s="69"/>
      <c r="AU2674" s="69"/>
      <c r="AV2674" s="69"/>
      <c r="AW2674" s="69"/>
      <c r="AX2674" s="69"/>
      <c r="AY2674" s="69"/>
      <c r="AZ2674" s="69"/>
      <c r="BA2674" s="69"/>
      <c r="BB2674" s="69"/>
      <c r="BC2674" s="69"/>
    </row>
    <row r="2675">
      <c r="A2675" s="68"/>
      <c r="B2675" s="68"/>
      <c r="C2675" s="68"/>
      <c r="D2675" s="68"/>
      <c r="E2675" s="68"/>
      <c r="F2675" s="68"/>
      <c r="G2675" s="68"/>
      <c r="H2675" s="68"/>
      <c r="I2675" s="69"/>
      <c r="J2675" s="69"/>
      <c r="K2675" s="71"/>
      <c r="L2675" s="69"/>
      <c r="M2675" s="69"/>
      <c r="N2675" s="72"/>
      <c r="O2675" s="69"/>
      <c r="P2675" s="69"/>
      <c r="Q2675" s="69"/>
      <c r="R2675" s="69"/>
      <c r="S2675" s="69"/>
      <c r="T2675" s="69"/>
      <c r="U2675" s="69"/>
      <c r="V2675" s="69"/>
      <c r="W2675" s="69"/>
      <c r="X2675" s="69"/>
      <c r="Y2675" s="69"/>
      <c r="Z2675" s="69"/>
      <c r="AA2675" s="69"/>
      <c r="AB2675" s="69"/>
      <c r="AC2675" s="69"/>
      <c r="AD2675" s="69"/>
      <c r="AE2675" s="69"/>
      <c r="AF2675" s="69"/>
      <c r="AG2675" s="69"/>
      <c r="AH2675" s="69"/>
      <c r="AI2675" s="69"/>
      <c r="AJ2675" s="69"/>
      <c r="AK2675" s="69"/>
      <c r="AL2675" s="69"/>
      <c r="AM2675" s="69"/>
      <c r="AN2675" s="69"/>
      <c r="AO2675" s="69"/>
      <c r="AP2675" s="69"/>
      <c r="AQ2675" s="69"/>
      <c r="AR2675" s="69"/>
      <c r="AS2675" s="69"/>
      <c r="AT2675" s="69"/>
      <c r="AU2675" s="69"/>
      <c r="AV2675" s="69"/>
      <c r="AW2675" s="69"/>
      <c r="AX2675" s="69"/>
      <c r="AY2675" s="69"/>
      <c r="AZ2675" s="69"/>
      <c r="BA2675" s="69"/>
      <c r="BB2675" s="69"/>
      <c r="BC2675" s="69"/>
    </row>
    <row r="2676">
      <c r="A2676" s="68"/>
      <c r="B2676" s="68"/>
      <c r="C2676" s="68"/>
      <c r="D2676" s="68"/>
      <c r="E2676" s="68"/>
      <c r="F2676" s="68"/>
      <c r="G2676" s="68"/>
      <c r="H2676" s="68"/>
      <c r="I2676" s="69"/>
      <c r="J2676" s="69"/>
      <c r="K2676" s="71"/>
      <c r="L2676" s="69"/>
      <c r="M2676" s="69"/>
      <c r="N2676" s="72"/>
      <c r="O2676" s="69"/>
      <c r="P2676" s="69"/>
      <c r="Q2676" s="69"/>
      <c r="R2676" s="69"/>
      <c r="S2676" s="69"/>
      <c r="T2676" s="69"/>
      <c r="U2676" s="69"/>
      <c r="V2676" s="69"/>
      <c r="W2676" s="69"/>
      <c r="X2676" s="69"/>
      <c r="Y2676" s="69"/>
      <c r="Z2676" s="69"/>
      <c r="AA2676" s="69"/>
      <c r="AB2676" s="69"/>
      <c r="AC2676" s="69"/>
      <c r="AD2676" s="69"/>
      <c r="AE2676" s="69"/>
      <c r="AF2676" s="69"/>
      <c r="AG2676" s="69"/>
      <c r="AH2676" s="69"/>
      <c r="AI2676" s="69"/>
      <c r="AJ2676" s="69"/>
      <c r="AK2676" s="69"/>
      <c r="AL2676" s="69"/>
      <c r="AM2676" s="69"/>
      <c r="AN2676" s="69"/>
      <c r="AO2676" s="69"/>
      <c r="AP2676" s="69"/>
      <c r="AQ2676" s="69"/>
      <c r="AR2676" s="69"/>
      <c r="AS2676" s="69"/>
      <c r="AT2676" s="69"/>
      <c r="AU2676" s="69"/>
      <c r="AV2676" s="69"/>
      <c r="AW2676" s="69"/>
      <c r="AX2676" s="69"/>
      <c r="AY2676" s="69"/>
      <c r="AZ2676" s="69"/>
      <c r="BA2676" s="69"/>
      <c r="BB2676" s="69"/>
      <c r="BC2676" s="69"/>
    </row>
    <row r="2677">
      <c r="A2677" s="68"/>
      <c r="B2677" s="68"/>
      <c r="C2677" s="68"/>
      <c r="D2677" s="68"/>
      <c r="E2677" s="68"/>
      <c r="F2677" s="68"/>
      <c r="G2677" s="68"/>
      <c r="H2677" s="68"/>
      <c r="I2677" s="69"/>
      <c r="J2677" s="69"/>
      <c r="K2677" s="71"/>
      <c r="L2677" s="69"/>
      <c r="M2677" s="69"/>
      <c r="N2677" s="72"/>
      <c r="O2677" s="69"/>
      <c r="P2677" s="69"/>
      <c r="Q2677" s="69"/>
      <c r="R2677" s="69"/>
      <c r="S2677" s="69"/>
      <c r="T2677" s="69"/>
      <c r="U2677" s="69"/>
      <c r="V2677" s="69"/>
      <c r="W2677" s="69"/>
      <c r="X2677" s="69"/>
      <c r="Y2677" s="69"/>
      <c r="Z2677" s="69"/>
      <c r="AA2677" s="69"/>
      <c r="AB2677" s="69"/>
      <c r="AC2677" s="69"/>
      <c r="AD2677" s="69"/>
      <c r="AE2677" s="69"/>
      <c r="AF2677" s="69"/>
      <c r="AG2677" s="69"/>
      <c r="AH2677" s="69"/>
      <c r="AI2677" s="69"/>
      <c r="AJ2677" s="69"/>
      <c r="AK2677" s="69"/>
      <c r="AL2677" s="69"/>
      <c r="AM2677" s="69"/>
      <c r="AN2677" s="69"/>
      <c r="AO2677" s="69"/>
      <c r="AP2677" s="69"/>
      <c r="AQ2677" s="69"/>
      <c r="AR2677" s="69"/>
      <c r="AS2677" s="69"/>
      <c r="AT2677" s="69"/>
      <c r="AU2677" s="69"/>
      <c r="AV2677" s="69"/>
      <c r="AW2677" s="69"/>
      <c r="AX2677" s="69"/>
      <c r="AY2677" s="69"/>
      <c r="AZ2677" s="69"/>
      <c r="BA2677" s="69"/>
      <c r="BB2677" s="69"/>
      <c r="BC2677" s="69"/>
    </row>
    <row r="2678">
      <c r="A2678" s="68"/>
      <c r="B2678" s="68"/>
      <c r="C2678" s="68"/>
      <c r="D2678" s="68"/>
      <c r="E2678" s="68"/>
      <c r="F2678" s="68"/>
      <c r="G2678" s="68"/>
      <c r="H2678" s="68"/>
      <c r="I2678" s="69"/>
      <c r="J2678" s="69"/>
      <c r="K2678" s="71"/>
      <c r="L2678" s="69"/>
      <c r="M2678" s="69"/>
      <c r="N2678" s="72"/>
      <c r="O2678" s="69"/>
      <c r="P2678" s="69"/>
      <c r="Q2678" s="69"/>
      <c r="R2678" s="69"/>
      <c r="S2678" s="69"/>
      <c r="T2678" s="69"/>
      <c r="U2678" s="69"/>
      <c r="V2678" s="69"/>
      <c r="W2678" s="69"/>
      <c r="X2678" s="69"/>
      <c r="Y2678" s="69"/>
      <c r="Z2678" s="69"/>
      <c r="AA2678" s="69"/>
      <c r="AB2678" s="69"/>
      <c r="AC2678" s="69"/>
      <c r="AD2678" s="69"/>
      <c r="AE2678" s="69"/>
      <c r="AF2678" s="69"/>
      <c r="AG2678" s="69"/>
      <c r="AH2678" s="69"/>
      <c r="AI2678" s="69"/>
      <c r="AJ2678" s="69"/>
      <c r="AK2678" s="69"/>
      <c r="AL2678" s="69"/>
      <c r="AM2678" s="69"/>
      <c r="AN2678" s="69"/>
      <c r="AO2678" s="69"/>
      <c r="AP2678" s="69"/>
      <c r="AQ2678" s="69"/>
      <c r="AR2678" s="69"/>
      <c r="AS2678" s="69"/>
      <c r="AT2678" s="69"/>
      <c r="AU2678" s="69"/>
      <c r="AV2678" s="69"/>
      <c r="AW2678" s="69"/>
      <c r="AX2678" s="69"/>
      <c r="AY2678" s="69"/>
      <c r="AZ2678" s="69"/>
      <c r="BA2678" s="69"/>
      <c r="BB2678" s="69"/>
      <c r="BC2678" s="69"/>
    </row>
    <row r="2679">
      <c r="A2679" s="68"/>
      <c r="B2679" s="68"/>
      <c r="C2679" s="68"/>
      <c r="D2679" s="68"/>
      <c r="E2679" s="68"/>
      <c r="F2679" s="68"/>
      <c r="G2679" s="68"/>
      <c r="H2679" s="68"/>
      <c r="I2679" s="69"/>
      <c r="J2679" s="69"/>
      <c r="K2679" s="71"/>
      <c r="L2679" s="69"/>
      <c r="M2679" s="69"/>
      <c r="N2679" s="72"/>
      <c r="O2679" s="69"/>
      <c r="P2679" s="69"/>
      <c r="Q2679" s="69"/>
      <c r="R2679" s="69"/>
      <c r="S2679" s="69"/>
      <c r="T2679" s="69"/>
      <c r="U2679" s="69"/>
      <c r="V2679" s="69"/>
      <c r="W2679" s="69"/>
      <c r="X2679" s="69"/>
      <c r="Y2679" s="69"/>
      <c r="Z2679" s="69"/>
      <c r="AA2679" s="69"/>
      <c r="AB2679" s="69"/>
      <c r="AC2679" s="69"/>
      <c r="AD2679" s="69"/>
      <c r="AE2679" s="69"/>
      <c r="AF2679" s="69"/>
      <c r="AG2679" s="69"/>
      <c r="AH2679" s="69"/>
      <c r="AI2679" s="69"/>
      <c r="AJ2679" s="69"/>
      <c r="AK2679" s="69"/>
      <c r="AL2679" s="69"/>
      <c r="AM2679" s="69"/>
      <c r="AN2679" s="69"/>
      <c r="AO2679" s="69"/>
      <c r="AP2679" s="69"/>
      <c r="AQ2679" s="69"/>
      <c r="AR2679" s="69"/>
      <c r="AS2679" s="69"/>
      <c r="AT2679" s="69"/>
      <c r="AU2679" s="69"/>
      <c r="AV2679" s="69"/>
      <c r="AW2679" s="69"/>
      <c r="AX2679" s="69"/>
      <c r="AY2679" s="69"/>
      <c r="AZ2679" s="69"/>
      <c r="BA2679" s="69"/>
      <c r="BB2679" s="69"/>
      <c r="BC2679" s="69"/>
    </row>
    <row r="2680">
      <c r="A2680" s="68"/>
      <c r="B2680" s="68"/>
      <c r="C2680" s="68"/>
      <c r="D2680" s="68"/>
      <c r="E2680" s="68"/>
      <c r="F2680" s="68"/>
      <c r="G2680" s="68"/>
      <c r="H2680" s="68"/>
      <c r="I2680" s="69"/>
      <c r="J2680" s="69"/>
      <c r="K2680" s="71"/>
      <c r="L2680" s="69"/>
      <c r="M2680" s="69"/>
      <c r="N2680" s="72"/>
      <c r="O2680" s="69"/>
      <c r="P2680" s="69"/>
      <c r="Q2680" s="69"/>
      <c r="R2680" s="69"/>
      <c r="S2680" s="69"/>
      <c r="T2680" s="69"/>
      <c r="U2680" s="69"/>
      <c r="V2680" s="69"/>
      <c r="W2680" s="69"/>
      <c r="X2680" s="69"/>
      <c r="Y2680" s="69"/>
      <c r="Z2680" s="69"/>
      <c r="AA2680" s="69"/>
      <c r="AB2680" s="69"/>
      <c r="AC2680" s="69"/>
      <c r="AD2680" s="69"/>
      <c r="AE2680" s="69"/>
      <c r="AF2680" s="69"/>
      <c r="AG2680" s="69"/>
      <c r="AH2680" s="69"/>
      <c r="AI2680" s="69"/>
      <c r="AJ2680" s="69"/>
      <c r="AK2680" s="69"/>
      <c r="AL2680" s="69"/>
      <c r="AM2680" s="69"/>
      <c r="AN2680" s="69"/>
      <c r="AO2680" s="69"/>
      <c r="AP2680" s="69"/>
      <c r="AQ2680" s="69"/>
      <c r="AR2680" s="69"/>
      <c r="AS2680" s="69"/>
      <c r="AT2680" s="69"/>
      <c r="AU2680" s="69"/>
      <c r="AV2680" s="69"/>
      <c r="AW2680" s="69"/>
      <c r="AX2680" s="69"/>
      <c r="AY2680" s="69"/>
      <c r="AZ2680" s="69"/>
      <c r="BA2680" s="69"/>
      <c r="BB2680" s="69"/>
      <c r="BC2680" s="69"/>
    </row>
    <row r="2681">
      <c r="A2681" s="68"/>
      <c r="B2681" s="68"/>
      <c r="C2681" s="68"/>
      <c r="D2681" s="68"/>
      <c r="E2681" s="68"/>
      <c r="F2681" s="68"/>
      <c r="G2681" s="68"/>
      <c r="H2681" s="68"/>
      <c r="I2681" s="69"/>
      <c r="J2681" s="69"/>
      <c r="K2681" s="71"/>
      <c r="L2681" s="69"/>
      <c r="M2681" s="69"/>
      <c r="N2681" s="72"/>
      <c r="O2681" s="69"/>
      <c r="P2681" s="69"/>
      <c r="Q2681" s="69"/>
      <c r="R2681" s="69"/>
      <c r="S2681" s="69"/>
      <c r="T2681" s="69"/>
      <c r="U2681" s="69"/>
      <c r="V2681" s="69"/>
      <c r="W2681" s="69"/>
      <c r="X2681" s="69"/>
      <c r="Y2681" s="69"/>
      <c r="Z2681" s="69"/>
      <c r="AA2681" s="69"/>
      <c r="AB2681" s="69"/>
      <c r="AC2681" s="69"/>
      <c r="AD2681" s="69"/>
      <c r="AE2681" s="69"/>
      <c r="AF2681" s="69"/>
      <c r="AG2681" s="69"/>
      <c r="AH2681" s="69"/>
      <c r="AI2681" s="69"/>
      <c r="AJ2681" s="69"/>
      <c r="AK2681" s="69"/>
      <c r="AL2681" s="69"/>
      <c r="AM2681" s="69"/>
      <c r="AN2681" s="69"/>
      <c r="AO2681" s="69"/>
      <c r="AP2681" s="69"/>
      <c r="AQ2681" s="69"/>
      <c r="AR2681" s="69"/>
      <c r="AS2681" s="69"/>
      <c r="AT2681" s="69"/>
      <c r="AU2681" s="69"/>
      <c r="AV2681" s="69"/>
      <c r="AW2681" s="69"/>
      <c r="AX2681" s="69"/>
      <c r="AY2681" s="69"/>
      <c r="AZ2681" s="69"/>
      <c r="BA2681" s="69"/>
      <c r="BB2681" s="69"/>
      <c r="BC2681" s="69"/>
    </row>
    <row r="2682">
      <c r="A2682" s="68"/>
      <c r="B2682" s="68"/>
      <c r="C2682" s="68"/>
      <c r="D2682" s="68"/>
      <c r="E2682" s="68"/>
      <c r="F2682" s="68"/>
      <c r="G2682" s="68"/>
      <c r="H2682" s="68"/>
      <c r="I2682" s="69"/>
      <c r="J2682" s="69"/>
      <c r="K2682" s="71"/>
      <c r="L2682" s="69"/>
      <c r="M2682" s="69"/>
      <c r="N2682" s="72"/>
      <c r="O2682" s="69"/>
      <c r="P2682" s="69"/>
      <c r="Q2682" s="69"/>
      <c r="R2682" s="69"/>
      <c r="S2682" s="69"/>
      <c r="T2682" s="69"/>
      <c r="U2682" s="69"/>
      <c r="V2682" s="69"/>
      <c r="W2682" s="69"/>
      <c r="X2682" s="69"/>
      <c r="Y2682" s="69"/>
      <c r="Z2682" s="69"/>
      <c r="AA2682" s="69"/>
      <c r="AB2682" s="69"/>
      <c r="AC2682" s="69"/>
      <c r="AD2682" s="69"/>
      <c r="AE2682" s="69"/>
      <c r="AF2682" s="69"/>
      <c r="AG2682" s="69"/>
      <c r="AH2682" s="69"/>
      <c r="AI2682" s="69"/>
      <c r="AJ2682" s="69"/>
      <c r="AK2682" s="69"/>
      <c r="AL2682" s="69"/>
      <c r="AM2682" s="69"/>
      <c r="AN2682" s="69"/>
      <c r="AO2682" s="69"/>
      <c r="AP2682" s="69"/>
      <c r="AQ2682" s="69"/>
      <c r="AR2682" s="69"/>
      <c r="AS2682" s="69"/>
      <c r="AT2682" s="69"/>
      <c r="AU2682" s="69"/>
      <c r="AV2682" s="69"/>
      <c r="AW2682" s="69"/>
      <c r="AX2682" s="69"/>
      <c r="AY2682" s="69"/>
      <c r="AZ2682" s="69"/>
      <c r="BA2682" s="69"/>
      <c r="BB2682" s="69"/>
      <c r="BC2682" s="69"/>
    </row>
    <row r="2683">
      <c r="A2683" s="68"/>
      <c r="B2683" s="68"/>
      <c r="C2683" s="68"/>
      <c r="D2683" s="68"/>
      <c r="E2683" s="68"/>
      <c r="F2683" s="68"/>
      <c r="G2683" s="68"/>
      <c r="H2683" s="68"/>
      <c r="I2683" s="69"/>
      <c r="J2683" s="69"/>
      <c r="K2683" s="71"/>
      <c r="L2683" s="69"/>
      <c r="M2683" s="69"/>
      <c r="N2683" s="72"/>
      <c r="O2683" s="69"/>
      <c r="P2683" s="69"/>
      <c r="Q2683" s="69"/>
      <c r="R2683" s="69"/>
      <c r="S2683" s="69"/>
      <c r="T2683" s="69"/>
      <c r="U2683" s="69"/>
      <c r="V2683" s="69"/>
      <c r="W2683" s="69"/>
      <c r="X2683" s="69"/>
      <c r="Y2683" s="69"/>
      <c r="Z2683" s="69"/>
      <c r="AA2683" s="69"/>
      <c r="AB2683" s="69"/>
      <c r="AC2683" s="69"/>
      <c r="AD2683" s="69"/>
      <c r="AE2683" s="69"/>
      <c r="AF2683" s="69"/>
      <c r="AG2683" s="69"/>
      <c r="AH2683" s="69"/>
      <c r="AI2683" s="69"/>
      <c r="AJ2683" s="69"/>
      <c r="AK2683" s="69"/>
      <c r="AL2683" s="69"/>
      <c r="AM2683" s="69"/>
      <c r="AN2683" s="69"/>
      <c r="AO2683" s="69"/>
      <c r="AP2683" s="69"/>
      <c r="AQ2683" s="69"/>
      <c r="AR2683" s="69"/>
      <c r="AS2683" s="69"/>
      <c r="AT2683" s="69"/>
      <c r="AU2683" s="69"/>
      <c r="AV2683" s="69"/>
      <c r="AW2683" s="69"/>
      <c r="AX2683" s="69"/>
      <c r="AY2683" s="69"/>
      <c r="AZ2683" s="69"/>
      <c r="BA2683" s="69"/>
      <c r="BB2683" s="69"/>
      <c r="BC2683" s="69"/>
    </row>
    <row r="2684">
      <c r="A2684" s="68"/>
      <c r="B2684" s="68"/>
      <c r="C2684" s="68"/>
      <c r="D2684" s="68"/>
      <c r="E2684" s="68"/>
      <c r="F2684" s="68"/>
      <c r="G2684" s="68"/>
      <c r="H2684" s="68"/>
      <c r="I2684" s="69"/>
      <c r="J2684" s="69"/>
      <c r="K2684" s="71"/>
      <c r="L2684" s="69"/>
      <c r="M2684" s="69"/>
      <c r="N2684" s="72"/>
      <c r="O2684" s="69"/>
      <c r="P2684" s="69"/>
      <c r="Q2684" s="69"/>
      <c r="R2684" s="69"/>
      <c r="S2684" s="69"/>
      <c r="T2684" s="69"/>
      <c r="U2684" s="69"/>
      <c r="V2684" s="69"/>
      <c r="W2684" s="69"/>
      <c r="X2684" s="69"/>
      <c r="Y2684" s="69"/>
      <c r="Z2684" s="69"/>
      <c r="AA2684" s="69"/>
      <c r="AB2684" s="69"/>
      <c r="AC2684" s="69"/>
      <c r="AD2684" s="69"/>
      <c r="AE2684" s="69"/>
      <c r="AF2684" s="69"/>
      <c r="AG2684" s="69"/>
      <c r="AH2684" s="69"/>
      <c r="AI2684" s="69"/>
      <c r="AJ2684" s="69"/>
      <c r="AK2684" s="69"/>
      <c r="AL2684" s="69"/>
      <c r="AM2684" s="69"/>
      <c r="AN2684" s="69"/>
      <c r="AO2684" s="69"/>
      <c r="AP2684" s="69"/>
      <c r="AQ2684" s="69"/>
      <c r="AR2684" s="69"/>
      <c r="AS2684" s="69"/>
      <c r="AT2684" s="69"/>
      <c r="AU2684" s="69"/>
      <c r="AV2684" s="69"/>
      <c r="AW2684" s="69"/>
      <c r="AX2684" s="69"/>
      <c r="AY2684" s="69"/>
      <c r="AZ2684" s="69"/>
      <c r="BA2684" s="69"/>
      <c r="BB2684" s="69"/>
      <c r="BC2684" s="69"/>
    </row>
    <row r="2685">
      <c r="A2685" s="68"/>
      <c r="B2685" s="68"/>
      <c r="C2685" s="68"/>
      <c r="D2685" s="68"/>
      <c r="E2685" s="68"/>
      <c r="F2685" s="68"/>
      <c r="G2685" s="68"/>
      <c r="H2685" s="68"/>
      <c r="I2685" s="69"/>
      <c r="J2685" s="69"/>
      <c r="K2685" s="71"/>
      <c r="L2685" s="69"/>
      <c r="M2685" s="69"/>
      <c r="N2685" s="72"/>
      <c r="O2685" s="69"/>
      <c r="P2685" s="69"/>
      <c r="Q2685" s="69"/>
      <c r="R2685" s="69"/>
      <c r="S2685" s="69"/>
      <c r="T2685" s="69"/>
      <c r="U2685" s="69"/>
      <c r="V2685" s="69"/>
      <c r="W2685" s="69"/>
      <c r="X2685" s="69"/>
      <c r="Y2685" s="69"/>
      <c r="Z2685" s="69"/>
      <c r="AA2685" s="69"/>
      <c r="AB2685" s="69"/>
      <c r="AC2685" s="69"/>
      <c r="AD2685" s="69"/>
      <c r="AE2685" s="69"/>
      <c r="AF2685" s="69"/>
      <c r="AG2685" s="69"/>
      <c r="AH2685" s="69"/>
      <c r="AI2685" s="69"/>
      <c r="AJ2685" s="69"/>
      <c r="AK2685" s="69"/>
      <c r="AL2685" s="69"/>
      <c r="AM2685" s="69"/>
      <c r="AN2685" s="69"/>
      <c r="AO2685" s="69"/>
      <c r="AP2685" s="69"/>
      <c r="AQ2685" s="69"/>
      <c r="AR2685" s="69"/>
      <c r="AS2685" s="69"/>
      <c r="AT2685" s="69"/>
      <c r="AU2685" s="69"/>
      <c r="AV2685" s="69"/>
      <c r="AW2685" s="69"/>
      <c r="AX2685" s="69"/>
      <c r="AY2685" s="69"/>
      <c r="AZ2685" s="69"/>
      <c r="BA2685" s="69"/>
      <c r="BB2685" s="69"/>
      <c r="BC2685" s="69"/>
    </row>
    <row r="2686">
      <c r="A2686" s="68"/>
      <c r="B2686" s="68"/>
      <c r="C2686" s="68"/>
      <c r="D2686" s="68"/>
      <c r="E2686" s="68"/>
      <c r="F2686" s="68"/>
      <c r="G2686" s="68"/>
      <c r="H2686" s="68"/>
      <c r="I2686" s="69"/>
      <c r="J2686" s="69"/>
      <c r="K2686" s="71"/>
      <c r="L2686" s="69"/>
      <c r="M2686" s="69"/>
      <c r="N2686" s="72"/>
      <c r="O2686" s="69"/>
      <c r="P2686" s="69"/>
      <c r="Q2686" s="69"/>
      <c r="R2686" s="69"/>
      <c r="S2686" s="69"/>
      <c r="T2686" s="69"/>
      <c r="U2686" s="69"/>
      <c r="V2686" s="69"/>
      <c r="W2686" s="69"/>
      <c r="X2686" s="69"/>
      <c r="Y2686" s="69"/>
      <c r="Z2686" s="69"/>
      <c r="AA2686" s="69"/>
      <c r="AB2686" s="69"/>
      <c r="AC2686" s="69"/>
      <c r="AD2686" s="69"/>
      <c r="AE2686" s="69"/>
      <c r="AF2686" s="69"/>
      <c r="AG2686" s="69"/>
      <c r="AH2686" s="69"/>
      <c r="AI2686" s="69"/>
      <c r="AJ2686" s="69"/>
      <c r="AK2686" s="69"/>
      <c r="AL2686" s="69"/>
      <c r="AM2686" s="69"/>
      <c r="AN2686" s="69"/>
      <c r="AO2686" s="69"/>
      <c r="AP2686" s="69"/>
      <c r="AQ2686" s="69"/>
      <c r="AR2686" s="69"/>
      <c r="AS2686" s="69"/>
      <c r="AT2686" s="69"/>
      <c r="AU2686" s="69"/>
      <c r="AV2686" s="69"/>
      <c r="AW2686" s="69"/>
      <c r="AX2686" s="69"/>
      <c r="AY2686" s="69"/>
      <c r="AZ2686" s="69"/>
      <c r="BA2686" s="69"/>
      <c r="BB2686" s="69"/>
      <c r="BC2686" s="69"/>
    </row>
    <row r="2687">
      <c r="A2687" s="68"/>
      <c r="B2687" s="68"/>
      <c r="C2687" s="68"/>
      <c r="D2687" s="68"/>
      <c r="E2687" s="68"/>
      <c r="F2687" s="68"/>
      <c r="G2687" s="68"/>
      <c r="H2687" s="68"/>
      <c r="I2687" s="69"/>
      <c r="J2687" s="69"/>
      <c r="K2687" s="71"/>
      <c r="L2687" s="69"/>
      <c r="M2687" s="69"/>
      <c r="N2687" s="72"/>
      <c r="O2687" s="69"/>
      <c r="P2687" s="69"/>
      <c r="Q2687" s="69"/>
      <c r="R2687" s="69"/>
      <c r="S2687" s="69"/>
      <c r="T2687" s="69"/>
      <c r="U2687" s="69"/>
      <c r="V2687" s="69"/>
      <c r="W2687" s="69"/>
      <c r="X2687" s="69"/>
      <c r="Y2687" s="69"/>
      <c r="Z2687" s="69"/>
      <c r="AA2687" s="69"/>
      <c r="AB2687" s="69"/>
      <c r="AC2687" s="69"/>
      <c r="AD2687" s="69"/>
      <c r="AE2687" s="69"/>
      <c r="AF2687" s="69"/>
      <c r="AG2687" s="69"/>
      <c r="AH2687" s="69"/>
      <c r="AI2687" s="69"/>
      <c r="AJ2687" s="69"/>
      <c r="AK2687" s="69"/>
      <c r="AL2687" s="69"/>
      <c r="AM2687" s="69"/>
      <c r="AN2687" s="69"/>
      <c r="AO2687" s="69"/>
      <c r="AP2687" s="69"/>
      <c r="AQ2687" s="69"/>
      <c r="AR2687" s="69"/>
      <c r="AS2687" s="69"/>
      <c r="AT2687" s="69"/>
      <c r="AU2687" s="69"/>
      <c r="AV2687" s="69"/>
      <c r="AW2687" s="69"/>
      <c r="AX2687" s="69"/>
      <c r="AY2687" s="69"/>
      <c r="AZ2687" s="69"/>
      <c r="BA2687" s="69"/>
      <c r="BB2687" s="69"/>
      <c r="BC2687" s="69"/>
    </row>
    <row r="2688">
      <c r="A2688" s="68"/>
      <c r="B2688" s="68"/>
      <c r="C2688" s="68"/>
      <c r="D2688" s="68"/>
      <c r="E2688" s="68"/>
      <c r="F2688" s="68"/>
      <c r="G2688" s="68"/>
      <c r="H2688" s="68"/>
      <c r="I2688" s="69"/>
      <c r="J2688" s="69"/>
      <c r="K2688" s="71"/>
      <c r="L2688" s="69"/>
      <c r="M2688" s="69"/>
      <c r="N2688" s="72"/>
      <c r="O2688" s="69"/>
      <c r="P2688" s="69"/>
      <c r="Q2688" s="69"/>
      <c r="R2688" s="69"/>
      <c r="S2688" s="69"/>
      <c r="T2688" s="69"/>
      <c r="U2688" s="69"/>
      <c r="V2688" s="69"/>
      <c r="W2688" s="69"/>
      <c r="X2688" s="69"/>
      <c r="Y2688" s="69"/>
      <c r="Z2688" s="69"/>
      <c r="AA2688" s="69"/>
      <c r="AB2688" s="69"/>
      <c r="AC2688" s="69"/>
      <c r="AD2688" s="69"/>
      <c r="AE2688" s="69"/>
      <c r="AF2688" s="69"/>
      <c r="AG2688" s="69"/>
      <c r="AH2688" s="69"/>
      <c r="AI2688" s="69"/>
      <c r="AJ2688" s="69"/>
      <c r="AK2688" s="69"/>
      <c r="AL2688" s="69"/>
      <c r="AM2688" s="69"/>
      <c r="AN2688" s="69"/>
      <c r="AO2688" s="69"/>
      <c r="AP2688" s="69"/>
      <c r="AQ2688" s="69"/>
      <c r="AR2688" s="69"/>
      <c r="AS2688" s="69"/>
      <c r="AT2688" s="69"/>
      <c r="AU2688" s="69"/>
      <c r="AV2688" s="69"/>
      <c r="AW2688" s="69"/>
      <c r="AX2688" s="69"/>
      <c r="AY2688" s="69"/>
      <c r="AZ2688" s="69"/>
      <c r="BA2688" s="69"/>
      <c r="BB2688" s="69"/>
      <c r="BC2688" s="69"/>
    </row>
    <row r="2689">
      <c r="A2689" s="68"/>
      <c r="B2689" s="68"/>
      <c r="C2689" s="68"/>
      <c r="D2689" s="68"/>
      <c r="E2689" s="68"/>
      <c r="F2689" s="68"/>
      <c r="G2689" s="68"/>
      <c r="H2689" s="68"/>
      <c r="I2689" s="69"/>
      <c r="J2689" s="69"/>
      <c r="K2689" s="71"/>
      <c r="L2689" s="69"/>
      <c r="M2689" s="69"/>
      <c r="N2689" s="72"/>
      <c r="O2689" s="69"/>
      <c r="P2689" s="69"/>
      <c r="Q2689" s="69"/>
      <c r="R2689" s="69"/>
      <c r="S2689" s="69"/>
      <c r="T2689" s="69"/>
      <c r="U2689" s="69"/>
      <c r="V2689" s="69"/>
      <c r="W2689" s="69"/>
      <c r="X2689" s="69"/>
      <c r="Y2689" s="69"/>
      <c r="Z2689" s="69"/>
      <c r="AA2689" s="69"/>
      <c r="AB2689" s="69"/>
      <c r="AC2689" s="69"/>
      <c r="AD2689" s="69"/>
      <c r="AE2689" s="69"/>
      <c r="AF2689" s="69"/>
      <c r="AG2689" s="69"/>
      <c r="AH2689" s="69"/>
      <c r="AI2689" s="69"/>
      <c r="AJ2689" s="69"/>
      <c r="AK2689" s="69"/>
      <c r="AL2689" s="69"/>
      <c r="AM2689" s="69"/>
      <c r="AN2689" s="69"/>
      <c r="AO2689" s="69"/>
      <c r="AP2689" s="69"/>
      <c r="AQ2689" s="69"/>
      <c r="AR2689" s="69"/>
      <c r="AS2689" s="69"/>
      <c r="AT2689" s="69"/>
      <c r="AU2689" s="69"/>
      <c r="AV2689" s="69"/>
      <c r="AW2689" s="69"/>
      <c r="AX2689" s="69"/>
      <c r="AY2689" s="69"/>
      <c r="AZ2689" s="69"/>
      <c r="BA2689" s="69"/>
      <c r="BB2689" s="69"/>
      <c r="BC2689" s="69"/>
    </row>
    <row r="2690">
      <c r="A2690" s="68"/>
      <c r="B2690" s="68"/>
      <c r="C2690" s="68"/>
      <c r="D2690" s="68"/>
      <c r="E2690" s="68"/>
      <c r="F2690" s="68"/>
      <c r="G2690" s="68"/>
      <c r="H2690" s="68"/>
      <c r="I2690" s="69"/>
      <c r="J2690" s="69"/>
      <c r="K2690" s="71"/>
      <c r="L2690" s="69"/>
      <c r="M2690" s="69"/>
      <c r="N2690" s="72"/>
      <c r="O2690" s="69"/>
      <c r="P2690" s="69"/>
      <c r="Q2690" s="69"/>
      <c r="R2690" s="69"/>
      <c r="S2690" s="69"/>
      <c r="T2690" s="69"/>
      <c r="U2690" s="69"/>
      <c r="V2690" s="69"/>
      <c r="W2690" s="69"/>
      <c r="X2690" s="69"/>
      <c r="Y2690" s="69"/>
      <c r="Z2690" s="69"/>
      <c r="AA2690" s="69"/>
      <c r="AB2690" s="69"/>
      <c r="AC2690" s="69"/>
      <c r="AD2690" s="69"/>
      <c r="AE2690" s="69"/>
      <c r="AF2690" s="69"/>
      <c r="AG2690" s="69"/>
      <c r="AH2690" s="69"/>
      <c r="AI2690" s="69"/>
      <c r="AJ2690" s="69"/>
      <c r="AK2690" s="69"/>
      <c r="AL2690" s="69"/>
      <c r="AM2690" s="69"/>
      <c r="AN2690" s="69"/>
      <c r="AO2690" s="69"/>
      <c r="AP2690" s="69"/>
      <c r="AQ2690" s="69"/>
      <c r="AR2690" s="69"/>
      <c r="AS2690" s="69"/>
      <c r="AT2690" s="69"/>
      <c r="AU2690" s="69"/>
      <c r="AV2690" s="69"/>
      <c r="AW2690" s="69"/>
      <c r="AX2690" s="69"/>
      <c r="AY2690" s="69"/>
      <c r="AZ2690" s="69"/>
      <c r="BA2690" s="69"/>
      <c r="BB2690" s="69"/>
      <c r="BC2690" s="69"/>
    </row>
    <row r="2691">
      <c r="A2691" s="68"/>
      <c r="B2691" s="68"/>
      <c r="C2691" s="68"/>
      <c r="D2691" s="68"/>
      <c r="E2691" s="68"/>
      <c r="F2691" s="68"/>
      <c r="G2691" s="68"/>
      <c r="H2691" s="68"/>
      <c r="I2691" s="69"/>
      <c r="J2691" s="69"/>
      <c r="K2691" s="71"/>
      <c r="L2691" s="69"/>
      <c r="M2691" s="69"/>
      <c r="N2691" s="72"/>
      <c r="O2691" s="69"/>
      <c r="P2691" s="69"/>
      <c r="Q2691" s="69"/>
      <c r="R2691" s="69"/>
      <c r="S2691" s="69"/>
      <c r="T2691" s="69"/>
      <c r="U2691" s="69"/>
      <c r="V2691" s="69"/>
      <c r="W2691" s="69"/>
      <c r="X2691" s="69"/>
      <c r="Y2691" s="69"/>
      <c r="Z2691" s="69"/>
      <c r="AA2691" s="69"/>
      <c r="AB2691" s="69"/>
      <c r="AC2691" s="69"/>
      <c r="AD2691" s="69"/>
      <c r="AE2691" s="69"/>
      <c r="AF2691" s="69"/>
      <c r="AG2691" s="69"/>
      <c r="AH2691" s="69"/>
      <c r="AI2691" s="69"/>
      <c r="AJ2691" s="69"/>
      <c r="AK2691" s="69"/>
      <c r="AL2691" s="69"/>
      <c r="AM2691" s="69"/>
      <c r="AN2691" s="69"/>
      <c r="AO2691" s="69"/>
      <c r="AP2691" s="69"/>
      <c r="AQ2691" s="69"/>
      <c r="AR2691" s="69"/>
      <c r="AS2691" s="69"/>
      <c r="AT2691" s="69"/>
      <c r="AU2691" s="69"/>
      <c r="AV2691" s="69"/>
      <c r="AW2691" s="69"/>
      <c r="AX2691" s="69"/>
      <c r="AY2691" s="69"/>
      <c r="AZ2691" s="69"/>
      <c r="BA2691" s="69"/>
      <c r="BB2691" s="69"/>
      <c r="BC2691" s="69"/>
    </row>
    <row r="2692">
      <c r="A2692" s="68"/>
      <c r="B2692" s="68"/>
      <c r="C2692" s="68"/>
      <c r="D2692" s="68"/>
      <c r="E2692" s="68"/>
      <c r="F2692" s="68"/>
      <c r="G2692" s="68"/>
      <c r="H2692" s="68"/>
      <c r="I2692" s="69"/>
      <c r="J2692" s="69"/>
      <c r="K2692" s="71"/>
      <c r="L2692" s="69"/>
      <c r="M2692" s="69"/>
      <c r="N2692" s="72"/>
      <c r="O2692" s="69"/>
      <c r="P2692" s="69"/>
      <c r="Q2692" s="69"/>
      <c r="R2692" s="69"/>
      <c r="S2692" s="69"/>
      <c r="T2692" s="69"/>
      <c r="U2692" s="69"/>
      <c r="V2692" s="69"/>
      <c r="W2692" s="69"/>
      <c r="X2692" s="69"/>
      <c r="Y2692" s="69"/>
      <c r="Z2692" s="69"/>
      <c r="AA2692" s="69"/>
      <c r="AB2692" s="69"/>
      <c r="AC2692" s="69"/>
      <c r="AD2692" s="69"/>
      <c r="AE2692" s="69"/>
      <c r="AF2692" s="69"/>
      <c r="AG2692" s="69"/>
      <c r="AH2692" s="69"/>
      <c r="AI2692" s="69"/>
      <c r="AJ2692" s="69"/>
      <c r="AK2692" s="69"/>
      <c r="AL2692" s="69"/>
      <c r="AM2692" s="69"/>
      <c r="AN2692" s="69"/>
      <c r="AO2692" s="69"/>
      <c r="AP2692" s="69"/>
      <c r="AQ2692" s="69"/>
      <c r="AR2692" s="69"/>
      <c r="AS2692" s="69"/>
      <c r="AT2692" s="69"/>
      <c r="AU2692" s="69"/>
      <c r="AV2692" s="69"/>
      <c r="AW2692" s="69"/>
      <c r="AX2692" s="69"/>
      <c r="AY2692" s="69"/>
      <c r="AZ2692" s="69"/>
      <c r="BA2692" s="69"/>
      <c r="BB2692" s="69"/>
      <c r="BC2692" s="69"/>
    </row>
    <row r="2693">
      <c r="A2693" s="68"/>
      <c r="B2693" s="68"/>
      <c r="C2693" s="68"/>
      <c r="D2693" s="68"/>
      <c r="E2693" s="68"/>
      <c r="F2693" s="68"/>
      <c r="G2693" s="68"/>
      <c r="H2693" s="68"/>
      <c r="I2693" s="69"/>
      <c r="J2693" s="69"/>
      <c r="K2693" s="71"/>
      <c r="L2693" s="69"/>
      <c r="M2693" s="69"/>
      <c r="N2693" s="72"/>
      <c r="O2693" s="69"/>
      <c r="P2693" s="69"/>
      <c r="Q2693" s="69"/>
      <c r="R2693" s="69"/>
      <c r="S2693" s="69"/>
      <c r="T2693" s="69"/>
      <c r="U2693" s="69"/>
      <c r="V2693" s="69"/>
      <c r="W2693" s="69"/>
      <c r="X2693" s="69"/>
      <c r="Y2693" s="69"/>
      <c r="Z2693" s="69"/>
      <c r="AA2693" s="69"/>
      <c r="AB2693" s="69"/>
      <c r="AC2693" s="69"/>
      <c r="AD2693" s="69"/>
      <c r="AE2693" s="69"/>
      <c r="AF2693" s="69"/>
      <c r="AG2693" s="69"/>
      <c r="AH2693" s="69"/>
      <c r="AI2693" s="69"/>
      <c r="AJ2693" s="69"/>
      <c r="AK2693" s="69"/>
      <c r="AL2693" s="69"/>
      <c r="AM2693" s="69"/>
      <c r="AN2693" s="69"/>
      <c r="AO2693" s="69"/>
      <c r="AP2693" s="69"/>
      <c r="AQ2693" s="69"/>
      <c r="AR2693" s="69"/>
      <c r="AS2693" s="69"/>
      <c r="AT2693" s="69"/>
      <c r="AU2693" s="69"/>
      <c r="AV2693" s="69"/>
      <c r="AW2693" s="69"/>
      <c r="AX2693" s="69"/>
      <c r="AY2693" s="69"/>
      <c r="AZ2693" s="69"/>
      <c r="BA2693" s="69"/>
      <c r="BB2693" s="69"/>
      <c r="BC2693" s="69"/>
    </row>
    <row r="2694">
      <c r="A2694" s="68"/>
      <c r="B2694" s="68"/>
      <c r="C2694" s="68"/>
      <c r="D2694" s="68"/>
      <c r="E2694" s="68"/>
      <c r="F2694" s="68"/>
      <c r="G2694" s="68"/>
      <c r="H2694" s="68"/>
      <c r="I2694" s="69"/>
      <c r="J2694" s="69"/>
      <c r="K2694" s="71"/>
      <c r="L2694" s="69"/>
      <c r="M2694" s="69"/>
      <c r="N2694" s="72"/>
      <c r="O2694" s="69"/>
      <c r="P2694" s="69"/>
      <c r="Q2694" s="69"/>
      <c r="R2694" s="69"/>
      <c r="S2694" s="69"/>
      <c r="T2694" s="69"/>
      <c r="U2694" s="69"/>
      <c r="V2694" s="69"/>
      <c r="W2694" s="69"/>
      <c r="X2694" s="69"/>
      <c r="Y2694" s="69"/>
      <c r="Z2694" s="69"/>
      <c r="AA2694" s="69"/>
      <c r="AB2694" s="69"/>
      <c r="AC2694" s="69"/>
      <c r="AD2694" s="69"/>
      <c r="AE2694" s="69"/>
      <c r="AF2694" s="69"/>
      <c r="AG2694" s="69"/>
      <c r="AH2694" s="69"/>
      <c r="AI2694" s="69"/>
      <c r="AJ2694" s="69"/>
      <c r="AK2694" s="69"/>
      <c r="AL2694" s="69"/>
      <c r="AM2694" s="69"/>
      <c r="AN2694" s="69"/>
      <c r="AO2694" s="69"/>
      <c r="AP2694" s="69"/>
      <c r="AQ2694" s="69"/>
      <c r="AR2694" s="69"/>
      <c r="AS2694" s="69"/>
      <c r="AT2694" s="69"/>
      <c r="AU2694" s="69"/>
      <c r="AV2694" s="69"/>
      <c r="AW2694" s="69"/>
      <c r="AX2694" s="69"/>
      <c r="AY2694" s="69"/>
      <c r="AZ2694" s="69"/>
      <c r="BA2694" s="69"/>
      <c r="BB2694" s="69"/>
      <c r="BC2694" s="69"/>
    </row>
    <row r="2695">
      <c r="A2695" s="68"/>
      <c r="B2695" s="68"/>
      <c r="C2695" s="68"/>
      <c r="D2695" s="68"/>
      <c r="E2695" s="68"/>
      <c r="F2695" s="68"/>
      <c r="G2695" s="68"/>
      <c r="H2695" s="68"/>
      <c r="I2695" s="69"/>
      <c r="J2695" s="69"/>
      <c r="K2695" s="71"/>
      <c r="L2695" s="69"/>
      <c r="M2695" s="69"/>
      <c r="N2695" s="72"/>
      <c r="O2695" s="69"/>
      <c r="P2695" s="69"/>
      <c r="Q2695" s="69"/>
      <c r="R2695" s="69"/>
      <c r="S2695" s="69"/>
      <c r="T2695" s="69"/>
      <c r="U2695" s="69"/>
      <c r="V2695" s="69"/>
      <c r="W2695" s="69"/>
      <c r="X2695" s="69"/>
      <c r="Y2695" s="69"/>
      <c r="Z2695" s="69"/>
      <c r="AA2695" s="69"/>
      <c r="AB2695" s="69"/>
      <c r="AC2695" s="69"/>
      <c r="AD2695" s="69"/>
      <c r="AE2695" s="69"/>
      <c r="AF2695" s="69"/>
      <c r="AG2695" s="69"/>
      <c r="AH2695" s="69"/>
      <c r="AI2695" s="69"/>
      <c r="AJ2695" s="69"/>
      <c r="AK2695" s="69"/>
      <c r="AL2695" s="69"/>
      <c r="AM2695" s="69"/>
      <c r="AN2695" s="69"/>
      <c r="AO2695" s="69"/>
      <c r="AP2695" s="69"/>
      <c r="AQ2695" s="69"/>
      <c r="AR2695" s="69"/>
      <c r="AS2695" s="69"/>
      <c r="AT2695" s="69"/>
      <c r="AU2695" s="69"/>
      <c r="AV2695" s="69"/>
      <c r="AW2695" s="69"/>
      <c r="AX2695" s="69"/>
      <c r="AY2695" s="69"/>
      <c r="AZ2695" s="69"/>
      <c r="BA2695" s="69"/>
      <c r="BB2695" s="69"/>
      <c r="BC2695" s="69"/>
    </row>
    <row r="2696">
      <c r="A2696" s="68"/>
      <c r="B2696" s="68"/>
      <c r="C2696" s="68"/>
      <c r="D2696" s="68"/>
      <c r="E2696" s="68"/>
      <c r="F2696" s="68"/>
      <c r="G2696" s="68"/>
      <c r="H2696" s="68"/>
      <c r="I2696" s="69"/>
      <c r="J2696" s="69"/>
      <c r="K2696" s="71"/>
      <c r="L2696" s="69"/>
      <c r="M2696" s="69"/>
      <c r="N2696" s="72"/>
      <c r="O2696" s="69"/>
      <c r="P2696" s="69"/>
      <c r="Q2696" s="69"/>
      <c r="R2696" s="69"/>
      <c r="S2696" s="69"/>
      <c r="T2696" s="69"/>
      <c r="U2696" s="69"/>
      <c r="V2696" s="69"/>
      <c r="W2696" s="69"/>
      <c r="X2696" s="69"/>
      <c r="Y2696" s="69"/>
      <c r="Z2696" s="69"/>
      <c r="AA2696" s="69"/>
      <c r="AB2696" s="69"/>
      <c r="AC2696" s="69"/>
      <c r="AD2696" s="69"/>
      <c r="AE2696" s="69"/>
      <c r="AF2696" s="69"/>
      <c r="AG2696" s="69"/>
      <c r="AH2696" s="69"/>
      <c r="AI2696" s="69"/>
      <c r="AJ2696" s="69"/>
      <c r="AK2696" s="69"/>
      <c r="AL2696" s="69"/>
      <c r="AM2696" s="69"/>
      <c r="AN2696" s="69"/>
      <c r="AO2696" s="69"/>
      <c r="AP2696" s="69"/>
      <c r="AQ2696" s="69"/>
      <c r="AR2696" s="69"/>
      <c r="AS2696" s="69"/>
      <c r="AT2696" s="69"/>
      <c r="AU2696" s="69"/>
      <c r="AV2696" s="69"/>
      <c r="AW2696" s="69"/>
      <c r="AX2696" s="69"/>
      <c r="AY2696" s="69"/>
      <c r="AZ2696" s="69"/>
      <c r="BA2696" s="69"/>
      <c r="BB2696" s="69"/>
      <c r="BC2696" s="69"/>
    </row>
    <row r="2697">
      <c r="A2697" s="68"/>
      <c r="B2697" s="68"/>
      <c r="C2697" s="68"/>
      <c r="D2697" s="68"/>
      <c r="E2697" s="68"/>
      <c r="F2697" s="68"/>
      <c r="G2697" s="68"/>
      <c r="H2697" s="68"/>
      <c r="I2697" s="69"/>
      <c r="J2697" s="69"/>
      <c r="K2697" s="71"/>
      <c r="L2697" s="69"/>
      <c r="M2697" s="69"/>
      <c r="N2697" s="72"/>
      <c r="O2697" s="69"/>
      <c r="P2697" s="69"/>
      <c r="Q2697" s="69"/>
      <c r="R2697" s="69"/>
      <c r="S2697" s="69"/>
      <c r="T2697" s="69"/>
      <c r="U2697" s="69"/>
      <c r="V2697" s="69"/>
      <c r="W2697" s="69"/>
      <c r="X2697" s="69"/>
      <c r="Y2697" s="69"/>
      <c r="Z2697" s="69"/>
      <c r="AA2697" s="69"/>
      <c r="AB2697" s="69"/>
      <c r="AC2697" s="69"/>
      <c r="AD2697" s="69"/>
      <c r="AE2697" s="69"/>
      <c r="AF2697" s="69"/>
      <c r="AG2697" s="69"/>
      <c r="AH2697" s="69"/>
      <c r="AI2697" s="69"/>
      <c r="AJ2697" s="69"/>
      <c r="AK2697" s="69"/>
      <c r="AL2697" s="69"/>
      <c r="AM2697" s="69"/>
      <c r="AN2697" s="69"/>
      <c r="AO2697" s="69"/>
      <c r="AP2697" s="69"/>
      <c r="AQ2697" s="69"/>
      <c r="AR2697" s="69"/>
      <c r="AS2697" s="69"/>
      <c r="AT2697" s="69"/>
      <c r="AU2697" s="69"/>
      <c r="AV2697" s="69"/>
      <c r="AW2697" s="69"/>
      <c r="AX2697" s="69"/>
      <c r="AY2697" s="69"/>
      <c r="AZ2697" s="69"/>
      <c r="BA2697" s="69"/>
      <c r="BB2697" s="69"/>
      <c r="BC2697" s="69"/>
    </row>
    <row r="2698">
      <c r="A2698" s="68"/>
      <c r="B2698" s="68"/>
      <c r="C2698" s="68"/>
      <c r="D2698" s="68"/>
      <c r="E2698" s="68"/>
      <c r="F2698" s="68"/>
      <c r="G2698" s="68"/>
      <c r="H2698" s="68"/>
      <c r="I2698" s="69"/>
      <c r="J2698" s="69"/>
      <c r="K2698" s="71"/>
      <c r="L2698" s="69"/>
      <c r="M2698" s="69"/>
      <c r="N2698" s="72"/>
      <c r="O2698" s="69"/>
      <c r="P2698" s="69"/>
      <c r="Q2698" s="69"/>
      <c r="R2698" s="69"/>
      <c r="S2698" s="69"/>
      <c r="T2698" s="69"/>
      <c r="U2698" s="69"/>
      <c r="V2698" s="69"/>
      <c r="W2698" s="69"/>
      <c r="X2698" s="69"/>
      <c r="Y2698" s="69"/>
      <c r="Z2698" s="69"/>
      <c r="AA2698" s="69"/>
      <c r="AB2698" s="69"/>
      <c r="AC2698" s="69"/>
      <c r="AD2698" s="69"/>
      <c r="AE2698" s="69"/>
      <c r="AF2698" s="69"/>
      <c r="AG2698" s="69"/>
      <c r="AH2698" s="69"/>
      <c r="AI2698" s="69"/>
      <c r="AJ2698" s="69"/>
      <c r="AK2698" s="69"/>
      <c r="AL2698" s="69"/>
      <c r="AM2698" s="69"/>
      <c r="AN2698" s="69"/>
      <c r="AO2698" s="69"/>
      <c r="AP2698" s="69"/>
      <c r="AQ2698" s="69"/>
      <c r="AR2698" s="69"/>
      <c r="AS2698" s="69"/>
      <c r="AT2698" s="69"/>
      <c r="AU2698" s="69"/>
      <c r="AV2698" s="69"/>
      <c r="AW2698" s="69"/>
      <c r="AX2698" s="69"/>
      <c r="AY2698" s="69"/>
      <c r="AZ2698" s="69"/>
      <c r="BA2698" s="69"/>
      <c r="BB2698" s="69"/>
      <c r="BC2698" s="69"/>
    </row>
    <row r="2699">
      <c r="A2699" s="68"/>
      <c r="B2699" s="68"/>
      <c r="C2699" s="68"/>
      <c r="D2699" s="68"/>
      <c r="E2699" s="68"/>
      <c r="F2699" s="68"/>
      <c r="G2699" s="68"/>
      <c r="H2699" s="68"/>
      <c r="I2699" s="69"/>
      <c r="J2699" s="69"/>
      <c r="K2699" s="71"/>
      <c r="L2699" s="69"/>
      <c r="M2699" s="69"/>
      <c r="N2699" s="72"/>
      <c r="O2699" s="69"/>
      <c r="P2699" s="69"/>
      <c r="Q2699" s="69"/>
      <c r="R2699" s="69"/>
      <c r="S2699" s="69"/>
      <c r="T2699" s="69"/>
      <c r="U2699" s="69"/>
      <c r="V2699" s="69"/>
      <c r="W2699" s="69"/>
      <c r="X2699" s="69"/>
      <c r="Y2699" s="69"/>
      <c r="Z2699" s="69"/>
      <c r="AA2699" s="69"/>
      <c r="AB2699" s="69"/>
      <c r="AC2699" s="69"/>
      <c r="AD2699" s="69"/>
      <c r="AE2699" s="69"/>
      <c r="AF2699" s="69"/>
      <c r="AG2699" s="69"/>
      <c r="AH2699" s="69"/>
      <c r="AI2699" s="69"/>
      <c r="AJ2699" s="69"/>
      <c r="AK2699" s="69"/>
      <c r="AL2699" s="69"/>
      <c r="AM2699" s="69"/>
      <c r="AN2699" s="69"/>
      <c r="AO2699" s="69"/>
      <c r="AP2699" s="69"/>
      <c r="AQ2699" s="69"/>
      <c r="AR2699" s="69"/>
      <c r="AS2699" s="69"/>
      <c r="AT2699" s="69"/>
      <c r="AU2699" s="69"/>
      <c r="AV2699" s="69"/>
      <c r="AW2699" s="69"/>
      <c r="AX2699" s="69"/>
      <c r="AY2699" s="69"/>
      <c r="AZ2699" s="69"/>
      <c r="BA2699" s="69"/>
      <c r="BB2699" s="69"/>
      <c r="BC2699" s="69"/>
    </row>
    <row r="2700">
      <c r="A2700" s="68"/>
      <c r="B2700" s="68"/>
      <c r="C2700" s="68"/>
      <c r="D2700" s="68"/>
      <c r="E2700" s="68"/>
      <c r="F2700" s="68"/>
      <c r="G2700" s="68"/>
      <c r="H2700" s="68"/>
      <c r="I2700" s="69"/>
      <c r="J2700" s="69"/>
      <c r="K2700" s="71"/>
      <c r="L2700" s="69"/>
      <c r="M2700" s="69"/>
      <c r="N2700" s="72"/>
      <c r="O2700" s="69"/>
      <c r="P2700" s="69"/>
      <c r="Q2700" s="69"/>
      <c r="R2700" s="69"/>
      <c r="S2700" s="69"/>
      <c r="T2700" s="69"/>
      <c r="U2700" s="69"/>
      <c r="V2700" s="69"/>
      <c r="W2700" s="69"/>
      <c r="X2700" s="69"/>
      <c r="Y2700" s="69"/>
      <c r="Z2700" s="69"/>
      <c r="AA2700" s="69"/>
      <c r="AB2700" s="69"/>
      <c r="AC2700" s="69"/>
      <c r="AD2700" s="69"/>
      <c r="AE2700" s="69"/>
      <c r="AF2700" s="69"/>
      <c r="AG2700" s="69"/>
      <c r="AH2700" s="69"/>
      <c r="AI2700" s="69"/>
      <c r="AJ2700" s="69"/>
      <c r="AK2700" s="69"/>
      <c r="AL2700" s="69"/>
      <c r="AM2700" s="69"/>
      <c r="AN2700" s="69"/>
      <c r="AO2700" s="69"/>
      <c r="AP2700" s="69"/>
      <c r="AQ2700" s="69"/>
      <c r="AR2700" s="69"/>
      <c r="AS2700" s="69"/>
      <c r="AT2700" s="69"/>
      <c r="AU2700" s="69"/>
      <c r="AV2700" s="69"/>
      <c r="AW2700" s="69"/>
      <c r="AX2700" s="69"/>
      <c r="AY2700" s="69"/>
      <c r="AZ2700" s="69"/>
      <c r="BA2700" s="69"/>
      <c r="BB2700" s="69"/>
      <c r="BC2700" s="69"/>
    </row>
    <row r="2701">
      <c r="A2701" s="68"/>
      <c r="B2701" s="68"/>
      <c r="C2701" s="68"/>
      <c r="D2701" s="68"/>
      <c r="E2701" s="68"/>
      <c r="F2701" s="68"/>
      <c r="G2701" s="68"/>
      <c r="H2701" s="68"/>
      <c r="I2701" s="69"/>
      <c r="J2701" s="69"/>
      <c r="K2701" s="71"/>
      <c r="L2701" s="69"/>
      <c r="M2701" s="69"/>
      <c r="N2701" s="72"/>
      <c r="O2701" s="69"/>
      <c r="P2701" s="69"/>
      <c r="Q2701" s="69"/>
      <c r="R2701" s="69"/>
      <c r="S2701" s="69"/>
      <c r="T2701" s="69"/>
      <c r="U2701" s="69"/>
      <c r="V2701" s="69"/>
      <c r="W2701" s="69"/>
      <c r="X2701" s="69"/>
      <c r="Y2701" s="69"/>
      <c r="Z2701" s="69"/>
      <c r="AA2701" s="69"/>
      <c r="AB2701" s="69"/>
      <c r="AC2701" s="69"/>
      <c r="AD2701" s="69"/>
      <c r="AE2701" s="69"/>
      <c r="AF2701" s="69"/>
      <c r="AG2701" s="69"/>
      <c r="AH2701" s="69"/>
      <c r="AI2701" s="69"/>
      <c r="AJ2701" s="69"/>
      <c r="AK2701" s="69"/>
      <c r="AL2701" s="69"/>
      <c r="AM2701" s="69"/>
      <c r="AN2701" s="69"/>
      <c r="AO2701" s="69"/>
      <c r="AP2701" s="69"/>
      <c r="AQ2701" s="69"/>
      <c r="AR2701" s="69"/>
      <c r="AS2701" s="69"/>
      <c r="AT2701" s="69"/>
      <c r="AU2701" s="69"/>
      <c r="AV2701" s="69"/>
      <c r="AW2701" s="69"/>
      <c r="AX2701" s="69"/>
      <c r="AY2701" s="69"/>
      <c r="AZ2701" s="69"/>
      <c r="BA2701" s="69"/>
      <c r="BB2701" s="69"/>
      <c r="BC2701" s="69"/>
    </row>
    <row r="2702">
      <c r="A2702" s="68"/>
      <c r="B2702" s="68"/>
      <c r="C2702" s="68"/>
      <c r="D2702" s="68"/>
      <c r="E2702" s="68"/>
      <c r="F2702" s="68"/>
      <c r="G2702" s="68"/>
      <c r="H2702" s="68"/>
      <c r="I2702" s="69"/>
      <c r="J2702" s="69"/>
      <c r="K2702" s="71"/>
      <c r="L2702" s="69"/>
      <c r="M2702" s="69"/>
      <c r="N2702" s="72"/>
      <c r="O2702" s="69"/>
      <c r="P2702" s="69"/>
      <c r="Q2702" s="69"/>
      <c r="R2702" s="69"/>
      <c r="S2702" s="69"/>
      <c r="T2702" s="69"/>
      <c r="U2702" s="69"/>
      <c r="V2702" s="69"/>
      <c r="W2702" s="69"/>
      <c r="X2702" s="69"/>
      <c r="Y2702" s="69"/>
      <c r="Z2702" s="69"/>
      <c r="AA2702" s="69"/>
      <c r="AB2702" s="69"/>
      <c r="AC2702" s="69"/>
      <c r="AD2702" s="69"/>
      <c r="AE2702" s="69"/>
      <c r="AF2702" s="69"/>
      <c r="AG2702" s="69"/>
      <c r="AH2702" s="69"/>
      <c r="AI2702" s="69"/>
      <c r="AJ2702" s="69"/>
      <c r="AK2702" s="69"/>
      <c r="AL2702" s="69"/>
      <c r="AM2702" s="69"/>
      <c r="AN2702" s="69"/>
      <c r="AO2702" s="69"/>
      <c r="AP2702" s="69"/>
      <c r="AQ2702" s="69"/>
      <c r="AR2702" s="69"/>
      <c r="AS2702" s="69"/>
      <c r="AT2702" s="69"/>
      <c r="AU2702" s="69"/>
      <c r="AV2702" s="69"/>
      <c r="AW2702" s="69"/>
      <c r="AX2702" s="69"/>
      <c r="AY2702" s="69"/>
      <c r="AZ2702" s="69"/>
      <c r="BA2702" s="69"/>
      <c r="BB2702" s="69"/>
      <c r="BC2702" s="69"/>
    </row>
    <row r="2703">
      <c r="A2703" s="68"/>
      <c r="B2703" s="68"/>
      <c r="C2703" s="68"/>
      <c r="D2703" s="68"/>
      <c r="E2703" s="68"/>
      <c r="F2703" s="68"/>
      <c r="G2703" s="68"/>
      <c r="H2703" s="68"/>
      <c r="I2703" s="69"/>
      <c r="J2703" s="69"/>
      <c r="K2703" s="71"/>
      <c r="L2703" s="69"/>
      <c r="M2703" s="69"/>
      <c r="N2703" s="72"/>
      <c r="O2703" s="69"/>
      <c r="P2703" s="69"/>
      <c r="Q2703" s="69"/>
      <c r="R2703" s="69"/>
      <c r="S2703" s="69"/>
      <c r="T2703" s="69"/>
      <c r="U2703" s="69"/>
      <c r="V2703" s="69"/>
      <c r="W2703" s="69"/>
      <c r="X2703" s="69"/>
      <c r="Y2703" s="69"/>
      <c r="Z2703" s="69"/>
      <c r="AA2703" s="69"/>
      <c r="AB2703" s="69"/>
      <c r="AC2703" s="69"/>
      <c r="AD2703" s="69"/>
      <c r="AE2703" s="69"/>
      <c r="AF2703" s="69"/>
      <c r="AG2703" s="69"/>
      <c r="AH2703" s="69"/>
      <c r="AI2703" s="69"/>
      <c r="AJ2703" s="69"/>
      <c r="AK2703" s="69"/>
      <c r="AL2703" s="69"/>
      <c r="AM2703" s="69"/>
      <c r="AN2703" s="69"/>
      <c r="AO2703" s="69"/>
      <c r="AP2703" s="69"/>
      <c r="AQ2703" s="69"/>
      <c r="AR2703" s="69"/>
      <c r="AS2703" s="69"/>
      <c r="AT2703" s="69"/>
      <c r="AU2703" s="69"/>
      <c r="AV2703" s="69"/>
      <c r="AW2703" s="69"/>
      <c r="AX2703" s="69"/>
      <c r="AY2703" s="69"/>
      <c r="AZ2703" s="69"/>
      <c r="BA2703" s="69"/>
      <c r="BB2703" s="69"/>
      <c r="BC2703" s="69"/>
    </row>
    <row r="2704">
      <c r="A2704" s="68"/>
      <c r="B2704" s="68"/>
      <c r="C2704" s="68"/>
      <c r="D2704" s="68"/>
      <c r="E2704" s="68"/>
      <c r="F2704" s="68"/>
      <c r="G2704" s="68"/>
      <c r="H2704" s="68"/>
      <c r="I2704" s="69"/>
      <c r="J2704" s="69"/>
      <c r="K2704" s="71"/>
      <c r="L2704" s="69"/>
      <c r="M2704" s="69"/>
      <c r="N2704" s="72"/>
      <c r="O2704" s="69"/>
      <c r="P2704" s="69"/>
      <c r="Q2704" s="69"/>
      <c r="R2704" s="69"/>
      <c r="S2704" s="69"/>
      <c r="T2704" s="69"/>
      <c r="U2704" s="69"/>
      <c r="V2704" s="69"/>
      <c r="W2704" s="69"/>
      <c r="X2704" s="69"/>
      <c r="Y2704" s="69"/>
      <c r="Z2704" s="69"/>
      <c r="AA2704" s="69"/>
      <c r="AB2704" s="69"/>
      <c r="AC2704" s="69"/>
      <c r="AD2704" s="69"/>
      <c r="AE2704" s="69"/>
      <c r="AF2704" s="69"/>
      <c r="AG2704" s="69"/>
      <c r="AH2704" s="69"/>
      <c r="AI2704" s="69"/>
      <c r="AJ2704" s="69"/>
      <c r="AK2704" s="69"/>
      <c r="AL2704" s="69"/>
      <c r="AM2704" s="69"/>
      <c r="AN2704" s="69"/>
      <c r="AO2704" s="69"/>
      <c r="AP2704" s="69"/>
      <c r="AQ2704" s="69"/>
      <c r="AR2704" s="69"/>
      <c r="AS2704" s="69"/>
      <c r="AT2704" s="69"/>
      <c r="AU2704" s="69"/>
      <c r="AV2704" s="69"/>
      <c r="AW2704" s="69"/>
      <c r="AX2704" s="69"/>
      <c r="AY2704" s="69"/>
      <c r="AZ2704" s="69"/>
      <c r="BA2704" s="69"/>
      <c r="BB2704" s="69"/>
      <c r="BC2704" s="69"/>
    </row>
    <row r="2705">
      <c r="A2705" s="68"/>
      <c r="B2705" s="68"/>
      <c r="C2705" s="68"/>
      <c r="D2705" s="68"/>
      <c r="E2705" s="68"/>
      <c r="F2705" s="68"/>
      <c r="G2705" s="68"/>
      <c r="H2705" s="68"/>
      <c r="I2705" s="69"/>
      <c r="J2705" s="69"/>
      <c r="K2705" s="71"/>
      <c r="L2705" s="69"/>
      <c r="M2705" s="69"/>
      <c r="N2705" s="72"/>
      <c r="O2705" s="69"/>
      <c r="P2705" s="69"/>
      <c r="Q2705" s="69"/>
      <c r="R2705" s="69"/>
      <c r="S2705" s="69"/>
      <c r="T2705" s="69"/>
      <c r="U2705" s="69"/>
      <c r="V2705" s="69"/>
      <c r="W2705" s="69"/>
      <c r="X2705" s="69"/>
      <c r="Y2705" s="69"/>
      <c r="Z2705" s="69"/>
      <c r="AA2705" s="69"/>
      <c r="AB2705" s="69"/>
      <c r="AC2705" s="69"/>
      <c r="AD2705" s="69"/>
      <c r="AE2705" s="69"/>
      <c r="AF2705" s="69"/>
      <c r="AG2705" s="69"/>
      <c r="AH2705" s="69"/>
      <c r="AI2705" s="69"/>
      <c r="AJ2705" s="69"/>
      <c r="AK2705" s="69"/>
      <c r="AL2705" s="69"/>
      <c r="AM2705" s="69"/>
      <c r="AN2705" s="69"/>
      <c r="AO2705" s="69"/>
      <c r="AP2705" s="69"/>
      <c r="AQ2705" s="69"/>
      <c r="AR2705" s="69"/>
      <c r="AS2705" s="69"/>
      <c r="AT2705" s="69"/>
      <c r="AU2705" s="69"/>
      <c r="AV2705" s="69"/>
      <c r="AW2705" s="69"/>
      <c r="AX2705" s="69"/>
      <c r="AY2705" s="69"/>
      <c r="AZ2705" s="69"/>
      <c r="BA2705" s="69"/>
      <c r="BB2705" s="69"/>
      <c r="BC2705" s="69"/>
    </row>
    <row r="2706">
      <c r="A2706" s="68"/>
      <c r="B2706" s="68"/>
      <c r="C2706" s="68"/>
      <c r="D2706" s="68"/>
      <c r="E2706" s="68"/>
      <c r="F2706" s="68"/>
      <c r="G2706" s="68"/>
      <c r="H2706" s="68"/>
      <c r="I2706" s="69"/>
      <c r="J2706" s="69"/>
      <c r="K2706" s="71"/>
      <c r="L2706" s="69"/>
      <c r="M2706" s="69"/>
      <c r="N2706" s="72"/>
      <c r="O2706" s="69"/>
      <c r="P2706" s="69"/>
      <c r="Q2706" s="69"/>
      <c r="R2706" s="69"/>
      <c r="S2706" s="69"/>
      <c r="T2706" s="69"/>
      <c r="U2706" s="69"/>
      <c r="V2706" s="69"/>
      <c r="W2706" s="69"/>
      <c r="X2706" s="69"/>
      <c r="Y2706" s="69"/>
      <c r="Z2706" s="69"/>
      <c r="AA2706" s="69"/>
      <c r="AB2706" s="69"/>
      <c r="AC2706" s="69"/>
      <c r="AD2706" s="69"/>
      <c r="AE2706" s="69"/>
      <c r="AF2706" s="69"/>
      <c r="AG2706" s="69"/>
      <c r="AH2706" s="69"/>
      <c r="AI2706" s="69"/>
      <c r="AJ2706" s="69"/>
      <c r="AK2706" s="69"/>
      <c r="AL2706" s="69"/>
      <c r="AM2706" s="69"/>
      <c r="AN2706" s="69"/>
      <c r="AO2706" s="69"/>
      <c r="AP2706" s="69"/>
      <c r="AQ2706" s="69"/>
      <c r="AR2706" s="69"/>
      <c r="AS2706" s="69"/>
      <c r="AT2706" s="69"/>
      <c r="AU2706" s="69"/>
      <c r="AV2706" s="69"/>
      <c r="AW2706" s="69"/>
      <c r="AX2706" s="69"/>
      <c r="AY2706" s="69"/>
      <c r="AZ2706" s="69"/>
      <c r="BA2706" s="69"/>
      <c r="BB2706" s="69"/>
      <c r="BC2706" s="69"/>
    </row>
    <row r="2707">
      <c r="A2707" s="68"/>
      <c r="B2707" s="68"/>
      <c r="C2707" s="68"/>
      <c r="D2707" s="68"/>
      <c r="E2707" s="68"/>
      <c r="F2707" s="68"/>
      <c r="G2707" s="68"/>
      <c r="H2707" s="68"/>
      <c r="I2707" s="69"/>
      <c r="J2707" s="69"/>
      <c r="K2707" s="71"/>
      <c r="L2707" s="69"/>
      <c r="M2707" s="69"/>
      <c r="N2707" s="72"/>
      <c r="O2707" s="69"/>
      <c r="P2707" s="69"/>
      <c r="Q2707" s="69"/>
      <c r="R2707" s="69"/>
      <c r="S2707" s="69"/>
      <c r="T2707" s="69"/>
      <c r="U2707" s="69"/>
      <c r="V2707" s="69"/>
      <c r="W2707" s="69"/>
      <c r="X2707" s="69"/>
      <c r="Y2707" s="69"/>
      <c r="Z2707" s="69"/>
      <c r="AA2707" s="69"/>
      <c r="AB2707" s="69"/>
      <c r="AC2707" s="69"/>
      <c r="AD2707" s="69"/>
      <c r="AE2707" s="69"/>
      <c r="AF2707" s="69"/>
      <c r="AG2707" s="69"/>
      <c r="AH2707" s="69"/>
      <c r="AI2707" s="69"/>
      <c r="AJ2707" s="69"/>
      <c r="AK2707" s="69"/>
      <c r="AL2707" s="69"/>
      <c r="AM2707" s="69"/>
      <c r="AN2707" s="69"/>
      <c r="AO2707" s="69"/>
      <c r="AP2707" s="69"/>
      <c r="AQ2707" s="69"/>
      <c r="AR2707" s="69"/>
      <c r="AS2707" s="69"/>
      <c r="AT2707" s="69"/>
      <c r="AU2707" s="69"/>
      <c r="AV2707" s="69"/>
      <c r="AW2707" s="69"/>
      <c r="AX2707" s="69"/>
      <c r="AY2707" s="69"/>
      <c r="AZ2707" s="69"/>
      <c r="BA2707" s="69"/>
      <c r="BB2707" s="69"/>
      <c r="BC2707" s="69"/>
    </row>
    <row r="2708">
      <c r="A2708" s="68"/>
      <c r="B2708" s="68"/>
      <c r="C2708" s="68"/>
      <c r="D2708" s="68"/>
      <c r="E2708" s="68"/>
      <c r="F2708" s="68"/>
      <c r="G2708" s="68"/>
      <c r="H2708" s="68"/>
      <c r="I2708" s="69"/>
      <c r="J2708" s="69"/>
      <c r="K2708" s="71"/>
      <c r="L2708" s="69"/>
      <c r="M2708" s="69"/>
      <c r="N2708" s="72"/>
      <c r="O2708" s="69"/>
      <c r="P2708" s="69"/>
      <c r="Q2708" s="69"/>
      <c r="R2708" s="69"/>
      <c r="S2708" s="69"/>
      <c r="T2708" s="69"/>
      <c r="U2708" s="69"/>
      <c r="V2708" s="69"/>
      <c r="W2708" s="69"/>
      <c r="X2708" s="69"/>
      <c r="Y2708" s="69"/>
      <c r="Z2708" s="69"/>
      <c r="AA2708" s="69"/>
      <c r="AB2708" s="69"/>
      <c r="AC2708" s="69"/>
      <c r="AD2708" s="69"/>
      <c r="AE2708" s="69"/>
      <c r="AF2708" s="69"/>
      <c r="AG2708" s="69"/>
      <c r="AH2708" s="69"/>
      <c r="AI2708" s="69"/>
      <c r="AJ2708" s="69"/>
      <c r="AK2708" s="69"/>
      <c r="AL2708" s="69"/>
      <c r="AM2708" s="69"/>
      <c r="AN2708" s="69"/>
      <c r="AO2708" s="69"/>
      <c r="AP2708" s="69"/>
      <c r="AQ2708" s="69"/>
      <c r="AR2708" s="69"/>
      <c r="AS2708" s="69"/>
      <c r="AT2708" s="69"/>
      <c r="AU2708" s="69"/>
      <c r="AV2708" s="69"/>
      <c r="AW2708" s="69"/>
      <c r="AX2708" s="69"/>
      <c r="AY2708" s="69"/>
      <c r="AZ2708" s="69"/>
      <c r="BA2708" s="69"/>
      <c r="BB2708" s="69"/>
      <c r="BC2708" s="69"/>
    </row>
    <row r="2709">
      <c r="A2709" s="68"/>
      <c r="B2709" s="68"/>
      <c r="C2709" s="68"/>
      <c r="D2709" s="68"/>
      <c r="E2709" s="68"/>
      <c r="F2709" s="68"/>
      <c r="G2709" s="68"/>
      <c r="H2709" s="68"/>
      <c r="I2709" s="69"/>
      <c r="J2709" s="69"/>
      <c r="K2709" s="71"/>
      <c r="L2709" s="69"/>
      <c r="M2709" s="69"/>
      <c r="N2709" s="72"/>
      <c r="O2709" s="69"/>
      <c r="P2709" s="69"/>
      <c r="Q2709" s="69"/>
      <c r="R2709" s="69"/>
      <c r="S2709" s="69"/>
      <c r="T2709" s="69"/>
      <c r="U2709" s="69"/>
      <c r="V2709" s="69"/>
      <c r="W2709" s="69"/>
      <c r="X2709" s="69"/>
      <c r="Y2709" s="69"/>
      <c r="Z2709" s="69"/>
      <c r="AA2709" s="69"/>
      <c r="AB2709" s="69"/>
      <c r="AC2709" s="69"/>
      <c r="AD2709" s="69"/>
      <c r="AE2709" s="69"/>
      <c r="AF2709" s="69"/>
      <c r="AG2709" s="69"/>
      <c r="AH2709" s="69"/>
      <c r="AI2709" s="69"/>
      <c r="AJ2709" s="69"/>
      <c r="AK2709" s="69"/>
      <c r="AL2709" s="69"/>
      <c r="AM2709" s="69"/>
      <c r="AN2709" s="69"/>
      <c r="AO2709" s="69"/>
      <c r="AP2709" s="69"/>
      <c r="AQ2709" s="69"/>
      <c r="AR2709" s="69"/>
      <c r="AS2709" s="69"/>
      <c r="AT2709" s="69"/>
      <c r="AU2709" s="69"/>
      <c r="AV2709" s="69"/>
      <c r="AW2709" s="69"/>
      <c r="AX2709" s="69"/>
      <c r="AY2709" s="69"/>
      <c r="AZ2709" s="69"/>
      <c r="BA2709" s="69"/>
      <c r="BB2709" s="69"/>
      <c r="BC2709" s="69"/>
    </row>
    <row r="2710">
      <c r="A2710" s="68"/>
      <c r="B2710" s="68"/>
      <c r="C2710" s="68"/>
      <c r="D2710" s="68"/>
      <c r="E2710" s="68"/>
      <c r="F2710" s="68"/>
      <c r="G2710" s="68"/>
      <c r="H2710" s="68"/>
      <c r="I2710" s="69"/>
      <c r="J2710" s="69"/>
      <c r="K2710" s="71"/>
      <c r="L2710" s="69"/>
      <c r="M2710" s="69"/>
      <c r="N2710" s="72"/>
      <c r="O2710" s="69"/>
      <c r="P2710" s="69"/>
      <c r="Q2710" s="69"/>
      <c r="R2710" s="69"/>
      <c r="S2710" s="69"/>
      <c r="T2710" s="69"/>
      <c r="U2710" s="69"/>
      <c r="V2710" s="69"/>
      <c r="W2710" s="69"/>
      <c r="X2710" s="69"/>
      <c r="Y2710" s="69"/>
      <c r="Z2710" s="69"/>
      <c r="AA2710" s="69"/>
      <c r="AB2710" s="69"/>
      <c r="AC2710" s="69"/>
      <c r="AD2710" s="69"/>
      <c r="AE2710" s="69"/>
      <c r="AF2710" s="69"/>
      <c r="AG2710" s="69"/>
      <c r="AH2710" s="69"/>
      <c r="AI2710" s="69"/>
      <c r="AJ2710" s="69"/>
      <c r="AK2710" s="69"/>
      <c r="AL2710" s="69"/>
      <c r="AM2710" s="69"/>
      <c r="AN2710" s="69"/>
      <c r="AO2710" s="69"/>
      <c r="AP2710" s="69"/>
      <c r="AQ2710" s="69"/>
      <c r="AR2710" s="69"/>
      <c r="AS2710" s="69"/>
      <c r="AT2710" s="69"/>
      <c r="AU2710" s="69"/>
      <c r="AV2710" s="69"/>
      <c r="AW2710" s="69"/>
      <c r="AX2710" s="69"/>
      <c r="AY2710" s="69"/>
      <c r="AZ2710" s="69"/>
      <c r="BA2710" s="69"/>
      <c r="BB2710" s="69"/>
      <c r="BC2710" s="69"/>
    </row>
    <row r="2711">
      <c r="A2711" s="68"/>
      <c r="B2711" s="68"/>
      <c r="C2711" s="68"/>
      <c r="D2711" s="68"/>
      <c r="E2711" s="68"/>
      <c r="F2711" s="68"/>
      <c r="G2711" s="68"/>
      <c r="H2711" s="68"/>
      <c r="I2711" s="69"/>
      <c r="J2711" s="69"/>
      <c r="K2711" s="71"/>
      <c r="L2711" s="69"/>
      <c r="M2711" s="69"/>
      <c r="N2711" s="72"/>
      <c r="O2711" s="69"/>
      <c r="P2711" s="69"/>
      <c r="Q2711" s="69"/>
      <c r="R2711" s="69"/>
      <c r="S2711" s="69"/>
      <c r="T2711" s="69"/>
      <c r="U2711" s="69"/>
      <c r="V2711" s="69"/>
      <c r="W2711" s="69"/>
      <c r="X2711" s="69"/>
      <c r="Y2711" s="69"/>
      <c r="Z2711" s="69"/>
      <c r="AA2711" s="69"/>
      <c r="AB2711" s="69"/>
      <c r="AC2711" s="69"/>
      <c r="AD2711" s="69"/>
      <c r="AE2711" s="69"/>
      <c r="AF2711" s="69"/>
      <c r="AG2711" s="69"/>
      <c r="AH2711" s="69"/>
      <c r="AI2711" s="69"/>
      <c r="AJ2711" s="69"/>
      <c r="AK2711" s="69"/>
      <c r="AL2711" s="69"/>
      <c r="AM2711" s="69"/>
      <c r="AN2711" s="69"/>
      <c r="AO2711" s="69"/>
      <c r="AP2711" s="69"/>
      <c r="AQ2711" s="69"/>
      <c r="AR2711" s="69"/>
      <c r="AS2711" s="69"/>
      <c r="AT2711" s="69"/>
      <c r="AU2711" s="69"/>
      <c r="AV2711" s="69"/>
      <c r="AW2711" s="69"/>
      <c r="AX2711" s="69"/>
      <c r="AY2711" s="69"/>
      <c r="AZ2711" s="69"/>
      <c r="BA2711" s="69"/>
      <c r="BB2711" s="69"/>
      <c r="BC2711" s="69"/>
    </row>
    <row r="2712">
      <c r="A2712" s="68"/>
      <c r="B2712" s="68"/>
      <c r="C2712" s="68"/>
      <c r="D2712" s="68"/>
      <c r="E2712" s="68"/>
      <c r="F2712" s="68"/>
      <c r="G2712" s="68"/>
      <c r="H2712" s="68"/>
      <c r="I2712" s="69"/>
      <c r="J2712" s="69"/>
      <c r="K2712" s="71"/>
      <c r="L2712" s="69"/>
      <c r="M2712" s="69"/>
      <c r="N2712" s="72"/>
      <c r="O2712" s="69"/>
      <c r="P2712" s="69"/>
      <c r="Q2712" s="69"/>
      <c r="R2712" s="69"/>
      <c r="S2712" s="69"/>
      <c r="T2712" s="69"/>
      <c r="U2712" s="69"/>
      <c r="V2712" s="69"/>
      <c r="W2712" s="69"/>
      <c r="X2712" s="69"/>
      <c r="Y2712" s="69"/>
      <c r="Z2712" s="69"/>
      <c r="AA2712" s="69"/>
      <c r="AB2712" s="69"/>
      <c r="AC2712" s="69"/>
      <c r="AD2712" s="69"/>
      <c r="AE2712" s="69"/>
      <c r="AF2712" s="69"/>
      <c r="AG2712" s="69"/>
      <c r="AH2712" s="69"/>
      <c r="AI2712" s="69"/>
      <c r="AJ2712" s="69"/>
      <c r="AK2712" s="69"/>
      <c r="AL2712" s="69"/>
      <c r="AM2712" s="69"/>
      <c r="AN2712" s="69"/>
      <c r="AO2712" s="69"/>
      <c r="AP2712" s="69"/>
      <c r="AQ2712" s="69"/>
      <c r="AR2712" s="69"/>
      <c r="AS2712" s="69"/>
      <c r="AT2712" s="69"/>
      <c r="AU2712" s="69"/>
      <c r="AV2712" s="69"/>
      <c r="AW2712" s="69"/>
      <c r="AX2712" s="69"/>
      <c r="AY2712" s="69"/>
      <c r="AZ2712" s="69"/>
      <c r="BA2712" s="69"/>
      <c r="BB2712" s="69"/>
      <c r="BC2712" s="69"/>
    </row>
    <row r="2713">
      <c r="A2713" s="68"/>
      <c r="B2713" s="68"/>
      <c r="C2713" s="68"/>
      <c r="D2713" s="68"/>
      <c r="E2713" s="68"/>
      <c r="F2713" s="68"/>
      <c r="G2713" s="68"/>
      <c r="H2713" s="68"/>
      <c r="I2713" s="69"/>
      <c r="J2713" s="69"/>
      <c r="K2713" s="71"/>
      <c r="L2713" s="69"/>
      <c r="M2713" s="69"/>
      <c r="N2713" s="72"/>
      <c r="O2713" s="69"/>
      <c r="P2713" s="69"/>
      <c r="Q2713" s="69"/>
      <c r="R2713" s="69"/>
      <c r="S2713" s="69"/>
      <c r="T2713" s="69"/>
      <c r="U2713" s="69"/>
      <c r="V2713" s="69"/>
      <c r="W2713" s="69"/>
      <c r="X2713" s="69"/>
      <c r="Y2713" s="69"/>
      <c r="Z2713" s="69"/>
      <c r="AA2713" s="69"/>
      <c r="AB2713" s="69"/>
      <c r="AC2713" s="69"/>
      <c r="AD2713" s="69"/>
      <c r="AE2713" s="69"/>
      <c r="AF2713" s="69"/>
      <c r="AG2713" s="69"/>
      <c r="AH2713" s="69"/>
      <c r="AI2713" s="69"/>
      <c r="AJ2713" s="69"/>
      <c r="AK2713" s="69"/>
      <c r="AL2713" s="69"/>
      <c r="AM2713" s="69"/>
      <c r="AN2713" s="69"/>
      <c r="AO2713" s="69"/>
      <c r="AP2713" s="69"/>
      <c r="AQ2713" s="69"/>
      <c r="AR2713" s="69"/>
      <c r="AS2713" s="69"/>
      <c r="AT2713" s="69"/>
      <c r="AU2713" s="69"/>
      <c r="AV2713" s="69"/>
      <c r="AW2713" s="69"/>
      <c r="AX2713" s="69"/>
      <c r="AY2713" s="69"/>
      <c r="AZ2713" s="69"/>
      <c r="BA2713" s="69"/>
      <c r="BB2713" s="69"/>
      <c r="BC2713" s="69"/>
    </row>
    <row r="2714">
      <c r="A2714" s="68"/>
      <c r="B2714" s="68"/>
      <c r="C2714" s="68"/>
      <c r="D2714" s="68"/>
      <c r="E2714" s="68"/>
      <c r="F2714" s="68"/>
      <c r="G2714" s="68"/>
      <c r="H2714" s="68"/>
      <c r="I2714" s="69"/>
      <c r="J2714" s="69"/>
      <c r="K2714" s="71"/>
      <c r="L2714" s="69"/>
      <c r="M2714" s="69"/>
      <c r="N2714" s="72"/>
      <c r="O2714" s="69"/>
      <c r="P2714" s="69"/>
      <c r="Q2714" s="69"/>
      <c r="R2714" s="69"/>
      <c r="S2714" s="69"/>
      <c r="T2714" s="69"/>
      <c r="U2714" s="69"/>
      <c r="V2714" s="69"/>
      <c r="W2714" s="69"/>
      <c r="X2714" s="69"/>
      <c r="Y2714" s="69"/>
      <c r="Z2714" s="69"/>
      <c r="AA2714" s="69"/>
      <c r="AB2714" s="69"/>
      <c r="AC2714" s="69"/>
      <c r="AD2714" s="69"/>
      <c r="AE2714" s="69"/>
      <c r="AF2714" s="69"/>
      <c r="AG2714" s="69"/>
      <c r="AH2714" s="69"/>
      <c r="AI2714" s="69"/>
      <c r="AJ2714" s="69"/>
      <c r="AK2714" s="69"/>
      <c r="AL2714" s="69"/>
      <c r="AM2714" s="69"/>
      <c r="AN2714" s="69"/>
      <c r="AO2714" s="69"/>
      <c r="AP2714" s="69"/>
      <c r="AQ2714" s="69"/>
      <c r="AR2714" s="69"/>
      <c r="AS2714" s="69"/>
      <c r="AT2714" s="69"/>
      <c r="AU2714" s="69"/>
      <c r="AV2714" s="69"/>
      <c r="AW2714" s="69"/>
      <c r="AX2714" s="69"/>
      <c r="AY2714" s="69"/>
      <c r="AZ2714" s="69"/>
      <c r="BA2714" s="69"/>
      <c r="BB2714" s="69"/>
      <c r="BC2714" s="69"/>
    </row>
    <row r="2715">
      <c r="A2715" s="68"/>
      <c r="B2715" s="68"/>
      <c r="C2715" s="68"/>
      <c r="D2715" s="68"/>
      <c r="E2715" s="68"/>
      <c r="F2715" s="68"/>
      <c r="G2715" s="68"/>
      <c r="H2715" s="68"/>
      <c r="I2715" s="69"/>
      <c r="J2715" s="69"/>
      <c r="K2715" s="71"/>
      <c r="L2715" s="69"/>
      <c r="M2715" s="69"/>
      <c r="N2715" s="72"/>
      <c r="O2715" s="69"/>
      <c r="P2715" s="69"/>
      <c r="Q2715" s="69"/>
      <c r="R2715" s="69"/>
      <c r="S2715" s="69"/>
      <c r="T2715" s="69"/>
      <c r="U2715" s="69"/>
      <c r="V2715" s="69"/>
      <c r="W2715" s="69"/>
      <c r="X2715" s="69"/>
      <c r="Y2715" s="69"/>
      <c r="Z2715" s="69"/>
      <c r="AA2715" s="69"/>
      <c r="AB2715" s="69"/>
      <c r="AC2715" s="69"/>
      <c r="AD2715" s="69"/>
      <c r="AE2715" s="69"/>
      <c r="AF2715" s="69"/>
      <c r="AG2715" s="69"/>
      <c r="AH2715" s="69"/>
      <c r="AI2715" s="69"/>
      <c r="AJ2715" s="69"/>
      <c r="AK2715" s="69"/>
      <c r="AL2715" s="69"/>
      <c r="AM2715" s="69"/>
      <c r="AN2715" s="69"/>
      <c r="AO2715" s="69"/>
      <c r="AP2715" s="69"/>
      <c r="AQ2715" s="69"/>
      <c r="AR2715" s="69"/>
      <c r="AS2715" s="69"/>
      <c r="AT2715" s="69"/>
      <c r="AU2715" s="69"/>
      <c r="AV2715" s="69"/>
      <c r="AW2715" s="69"/>
      <c r="AX2715" s="69"/>
      <c r="AY2715" s="69"/>
      <c r="AZ2715" s="69"/>
      <c r="BA2715" s="69"/>
      <c r="BB2715" s="69"/>
      <c r="BC2715" s="69"/>
    </row>
    <row r="2716">
      <c r="A2716" s="68"/>
      <c r="B2716" s="68"/>
      <c r="C2716" s="68"/>
      <c r="D2716" s="68"/>
      <c r="E2716" s="68"/>
      <c r="F2716" s="68"/>
      <c r="G2716" s="68"/>
      <c r="H2716" s="68"/>
      <c r="I2716" s="69"/>
      <c r="J2716" s="69"/>
      <c r="K2716" s="71"/>
      <c r="L2716" s="69"/>
      <c r="M2716" s="69"/>
      <c r="N2716" s="72"/>
      <c r="O2716" s="69"/>
      <c r="P2716" s="69"/>
      <c r="Q2716" s="69"/>
      <c r="R2716" s="69"/>
      <c r="S2716" s="69"/>
      <c r="T2716" s="69"/>
      <c r="U2716" s="69"/>
      <c r="V2716" s="69"/>
      <c r="W2716" s="69"/>
      <c r="X2716" s="69"/>
      <c r="Y2716" s="69"/>
      <c r="Z2716" s="69"/>
      <c r="AA2716" s="69"/>
      <c r="AB2716" s="69"/>
      <c r="AC2716" s="69"/>
      <c r="AD2716" s="69"/>
      <c r="AE2716" s="69"/>
      <c r="AF2716" s="69"/>
      <c r="AG2716" s="69"/>
      <c r="AH2716" s="69"/>
      <c r="AI2716" s="69"/>
      <c r="AJ2716" s="69"/>
      <c r="AK2716" s="69"/>
      <c r="AL2716" s="69"/>
      <c r="AM2716" s="69"/>
      <c r="AN2716" s="69"/>
      <c r="AO2716" s="69"/>
      <c r="AP2716" s="69"/>
      <c r="AQ2716" s="69"/>
      <c r="AR2716" s="69"/>
      <c r="AS2716" s="69"/>
      <c r="AT2716" s="69"/>
      <c r="AU2716" s="69"/>
      <c r="AV2716" s="69"/>
      <c r="AW2716" s="69"/>
      <c r="AX2716" s="69"/>
      <c r="AY2716" s="69"/>
      <c r="AZ2716" s="69"/>
      <c r="BA2716" s="69"/>
      <c r="BB2716" s="69"/>
      <c r="BC2716" s="69"/>
    </row>
    <row r="2717">
      <c r="A2717" s="68"/>
      <c r="B2717" s="68"/>
      <c r="C2717" s="68"/>
      <c r="D2717" s="68"/>
      <c r="E2717" s="68"/>
      <c r="F2717" s="68"/>
      <c r="G2717" s="68"/>
      <c r="H2717" s="68"/>
      <c r="I2717" s="69"/>
      <c r="J2717" s="69"/>
      <c r="K2717" s="71"/>
      <c r="L2717" s="69"/>
      <c r="M2717" s="69"/>
      <c r="N2717" s="72"/>
      <c r="O2717" s="69"/>
      <c r="P2717" s="69"/>
      <c r="Q2717" s="69"/>
      <c r="R2717" s="69"/>
      <c r="S2717" s="69"/>
      <c r="T2717" s="69"/>
      <c r="U2717" s="69"/>
      <c r="V2717" s="69"/>
      <c r="W2717" s="69"/>
      <c r="X2717" s="69"/>
      <c r="Y2717" s="69"/>
      <c r="Z2717" s="69"/>
      <c r="AA2717" s="69"/>
      <c r="AB2717" s="69"/>
      <c r="AC2717" s="69"/>
      <c r="AD2717" s="69"/>
      <c r="AE2717" s="69"/>
      <c r="AF2717" s="69"/>
      <c r="AG2717" s="69"/>
      <c r="AH2717" s="69"/>
      <c r="AI2717" s="69"/>
      <c r="AJ2717" s="69"/>
      <c r="AK2717" s="69"/>
      <c r="AL2717" s="69"/>
      <c r="AM2717" s="69"/>
      <c r="AN2717" s="69"/>
      <c r="AO2717" s="69"/>
      <c r="AP2717" s="69"/>
      <c r="AQ2717" s="69"/>
      <c r="AR2717" s="69"/>
      <c r="AS2717" s="69"/>
      <c r="AT2717" s="69"/>
      <c r="AU2717" s="69"/>
      <c r="AV2717" s="69"/>
      <c r="AW2717" s="69"/>
      <c r="AX2717" s="69"/>
      <c r="AY2717" s="69"/>
      <c r="AZ2717" s="69"/>
      <c r="BA2717" s="69"/>
      <c r="BB2717" s="69"/>
      <c r="BC2717" s="69"/>
    </row>
    <row r="2718">
      <c r="A2718" s="68"/>
      <c r="B2718" s="68"/>
      <c r="C2718" s="68"/>
      <c r="D2718" s="68"/>
      <c r="E2718" s="68"/>
      <c r="F2718" s="68"/>
      <c r="G2718" s="68"/>
      <c r="H2718" s="68"/>
      <c r="I2718" s="69"/>
      <c r="J2718" s="69"/>
      <c r="K2718" s="71"/>
      <c r="L2718" s="69"/>
      <c r="M2718" s="69"/>
      <c r="N2718" s="72"/>
      <c r="O2718" s="69"/>
      <c r="P2718" s="69"/>
      <c r="Q2718" s="69"/>
      <c r="R2718" s="69"/>
      <c r="S2718" s="69"/>
      <c r="T2718" s="69"/>
      <c r="U2718" s="69"/>
      <c r="V2718" s="69"/>
      <c r="W2718" s="69"/>
      <c r="X2718" s="69"/>
      <c r="Y2718" s="69"/>
      <c r="Z2718" s="69"/>
      <c r="AA2718" s="69"/>
      <c r="AB2718" s="69"/>
      <c r="AC2718" s="69"/>
      <c r="AD2718" s="69"/>
      <c r="AE2718" s="69"/>
      <c r="AF2718" s="69"/>
      <c r="AG2718" s="69"/>
      <c r="AH2718" s="69"/>
      <c r="AI2718" s="69"/>
      <c r="AJ2718" s="69"/>
      <c r="AK2718" s="69"/>
      <c r="AL2718" s="69"/>
      <c r="AM2718" s="69"/>
      <c r="AN2718" s="69"/>
      <c r="AO2718" s="69"/>
      <c r="AP2718" s="69"/>
      <c r="AQ2718" s="69"/>
      <c r="AR2718" s="69"/>
      <c r="AS2718" s="69"/>
      <c r="AT2718" s="69"/>
      <c r="AU2718" s="69"/>
      <c r="AV2718" s="69"/>
      <c r="AW2718" s="69"/>
      <c r="AX2718" s="69"/>
      <c r="AY2718" s="69"/>
      <c r="AZ2718" s="69"/>
      <c r="BA2718" s="69"/>
      <c r="BB2718" s="69"/>
      <c r="BC2718" s="69"/>
    </row>
    <row r="2719">
      <c r="A2719" s="68"/>
      <c r="B2719" s="68"/>
      <c r="C2719" s="68"/>
      <c r="D2719" s="68"/>
      <c r="E2719" s="68"/>
      <c r="F2719" s="68"/>
      <c r="G2719" s="68"/>
      <c r="H2719" s="68"/>
      <c r="I2719" s="69"/>
      <c r="J2719" s="69"/>
      <c r="K2719" s="71"/>
      <c r="L2719" s="69"/>
      <c r="M2719" s="69"/>
      <c r="N2719" s="72"/>
      <c r="O2719" s="69"/>
      <c r="P2719" s="69"/>
      <c r="Q2719" s="69"/>
      <c r="R2719" s="69"/>
      <c r="S2719" s="69"/>
      <c r="T2719" s="69"/>
      <c r="U2719" s="69"/>
      <c r="V2719" s="69"/>
      <c r="W2719" s="69"/>
      <c r="X2719" s="69"/>
      <c r="Y2719" s="69"/>
      <c r="Z2719" s="69"/>
      <c r="AA2719" s="69"/>
      <c r="AB2719" s="69"/>
      <c r="AC2719" s="69"/>
      <c r="AD2719" s="69"/>
      <c r="AE2719" s="69"/>
      <c r="AF2719" s="69"/>
      <c r="AG2719" s="69"/>
      <c r="AH2719" s="69"/>
      <c r="AI2719" s="69"/>
      <c r="AJ2719" s="69"/>
      <c r="AK2719" s="69"/>
      <c r="AL2719" s="69"/>
      <c r="AM2719" s="69"/>
      <c r="AN2719" s="69"/>
      <c r="AO2719" s="69"/>
      <c r="AP2719" s="69"/>
      <c r="AQ2719" s="69"/>
      <c r="AR2719" s="69"/>
      <c r="AS2719" s="69"/>
      <c r="AT2719" s="69"/>
      <c r="AU2719" s="69"/>
      <c r="AV2719" s="69"/>
      <c r="AW2719" s="69"/>
      <c r="AX2719" s="69"/>
      <c r="AY2719" s="69"/>
      <c r="AZ2719" s="69"/>
      <c r="BA2719" s="69"/>
      <c r="BB2719" s="69"/>
      <c r="BC2719" s="69"/>
    </row>
    <row r="2720">
      <c r="A2720" s="68"/>
      <c r="B2720" s="68"/>
      <c r="C2720" s="68"/>
      <c r="D2720" s="68"/>
      <c r="E2720" s="68"/>
      <c r="F2720" s="68"/>
      <c r="G2720" s="68"/>
      <c r="H2720" s="68"/>
      <c r="I2720" s="69"/>
      <c r="J2720" s="69"/>
      <c r="K2720" s="71"/>
      <c r="L2720" s="69"/>
      <c r="M2720" s="69"/>
      <c r="N2720" s="72"/>
      <c r="O2720" s="69"/>
      <c r="P2720" s="69"/>
      <c r="Q2720" s="69"/>
      <c r="R2720" s="69"/>
      <c r="S2720" s="69"/>
      <c r="T2720" s="69"/>
      <c r="U2720" s="69"/>
      <c r="V2720" s="69"/>
      <c r="W2720" s="69"/>
      <c r="X2720" s="69"/>
      <c r="Y2720" s="69"/>
      <c r="Z2720" s="69"/>
      <c r="AA2720" s="69"/>
      <c r="AB2720" s="69"/>
      <c r="AC2720" s="69"/>
      <c r="AD2720" s="69"/>
      <c r="AE2720" s="69"/>
      <c r="AF2720" s="69"/>
      <c r="AG2720" s="69"/>
      <c r="AH2720" s="69"/>
      <c r="AI2720" s="69"/>
      <c r="AJ2720" s="69"/>
      <c r="AK2720" s="69"/>
      <c r="AL2720" s="69"/>
      <c r="AM2720" s="69"/>
      <c r="AN2720" s="69"/>
      <c r="AO2720" s="69"/>
      <c r="AP2720" s="69"/>
      <c r="AQ2720" s="69"/>
      <c r="AR2720" s="69"/>
      <c r="AS2720" s="69"/>
      <c r="AT2720" s="69"/>
      <c r="AU2720" s="69"/>
      <c r="AV2720" s="69"/>
      <c r="AW2720" s="69"/>
      <c r="AX2720" s="69"/>
      <c r="AY2720" s="69"/>
      <c r="AZ2720" s="69"/>
      <c r="BA2720" s="69"/>
      <c r="BB2720" s="69"/>
      <c r="BC2720" s="69"/>
    </row>
    <row r="2721">
      <c r="A2721" s="68"/>
      <c r="B2721" s="68"/>
      <c r="C2721" s="68"/>
      <c r="D2721" s="68"/>
      <c r="E2721" s="68"/>
      <c r="F2721" s="68"/>
      <c r="G2721" s="68"/>
      <c r="H2721" s="68"/>
      <c r="I2721" s="69"/>
      <c r="J2721" s="69"/>
      <c r="K2721" s="71"/>
      <c r="L2721" s="69"/>
      <c r="M2721" s="69"/>
      <c r="N2721" s="72"/>
      <c r="O2721" s="69"/>
      <c r="P2721" s="69"/>
      <c r="Q2721" s="69"/>
      <c r="R2721" s="69"/>
      <c r="S2721" s="69"/>
      <c r="T2721" s="69"/>
      <c r="U2721" s="69"/>
      <c r="V2721" s="69"/>
      <c r="W2721" s="69"/>
      <c r="X2721" s="69"/>
      <c r="Y2721" s="69"/>
      <c r="Z2721" s="69"/>
      <c r="AA2721" s="69"/>
      <c r="AB2721" s="69"/>
      <c r="AC2721" s="69"/>
      <c r="AD2721" s="69"/>
      <c r="AE2721" s="69"/>
      <c r="AF2721" s="69"/>
      <c r="AG2721" s="69"/>
      <c r="AH2721" s="69"/>
      <c r="AI2721" s="69"/>
      <c r="AJ2721" s="69"/>
      <c r="AK2721" s="69"/>
      <c r="AL2721" s="69"/>
      <c r="AM2721" s="69"/>
      <c r="AN2721" s="69"/>
      <c r="AO2721" s="69"/>
      <c r="AP2721" s="69"/>
      <c r="AQ2721" s="69"/>
      <c r="AR2721" s="69"/>
      <c r="AS2721" s="69"/>
      <c r="AT2721" s="69"/>
      <c r="AU2721" s="69"/>
      <c r="AV2721" s="69"/>
      <c r="AW2721" s="69"/>
      <c r="AX2721" s="69"/>
      <c r="AY2721" s="69"/>
      <c r="AZ2721" s="69"/>
      <c r="BA2721" s="69"/>
      <c r="BB2721" s="69"/>
      <c r="BC2721" s="69"/>
    </row>
    <row r="2722">
      <c r="A2722" s="68"/>
      <c r="B2722" s="68"/>
      <c r="C2722" s="68"/>
      <c r="D2722" s="68"/>
      <c r="E2722" s="68"/>
      <c r="F2722" s="68"/>
      <c r="G2722" s="68"/>
      <c r="H2722" s="68"/>
      <c r="I2722" s="69"/>
      <c r="J2722" s="69"/>
      <c r="K2722" s="71"/>
      <c r="L2722" s="69"/>
      <c r="M2722" s="69"/>
      <c r="N2722" s="72"/>
      <c r="O2722" s="69"/>
      <c r="P2722" s="69"/>
      <c r="Q2722" s="69"/>
      <c r="R2722" s="69"/>
      <c r="S2722" s="69"/>
      <c r="T2722" s="69"/>
      <c r="U2722" s="69"/>
      <c r="V2722" s="69"/>
      <c r="W2722" s="69"/>
      <c r="X2722" s="69"/>
      <c r="Y2722" s="69"/>
      <c r="Z2722" s="69"/>
      <c r="AA2722" s="69"/>
      <c r="AB2722" s="69"/>
      <c r="AC2722" s="69"/>
      <c r="AD2722" s="69"/>
      <c r="AE2722" s="69"/>
      <c r="AF2722" s="69"/>
      <c r="AG2722" s="69"/>
      <c r="AH2722" s="69"/>
      <c r="AI2722" s="69"/>
      <c r="AJ2722" s="69"/>
      <c r="AK2722" s="69"/>
      <c r="AL2722" s="69"/>
      <c r="AM2722" s="69"/>
      <c r="AN2722" s="69"/>
      <c r="AO2722" s="69"/>
      <c r="AP2722" s="69"/>
      <c r="AQ2722" s="69"/>
      <c r="AR2722" s="69"/>
      <c r="AS2722" s="69"/>
      <c r="AT2722" s="69"/>
      <c r="AU2722" s="69"/>
      <c r="AV2722" s="69"/>
      <c r="AW2722" s="69"/>
      <c r="AX2722" s="69"/>
      <c r="AY2722" s="69"/>
      <c r="AZ2722" s="69"/>
      <c r="BA2722" s="69"/>
      <c r="BB2722" s="69"/>
      <c r="BC2722" s="69"/>
    </row>
    <row r="2723">
      <c r="A2723" s="68"/>
      <c r="B2723" s="68"/>
      <c r="C2723" s="68"/>
      <c r="D2723" s="68"/>
      <c r="E2723" s="68"/>
      <c r="F2723" s="68"/>
      <c r="G2723" s="68"/>
      <c r="H2723" s="68"/>
      <c r="I2723" s="69"/>
      <c r="J2723" s="69"/>
      <c r="K2723" s="71"/>
      <c r="L2723" s="69"/>
      <c r="M2723" s="69"/>
      <c r="N2723" s="72"/>
      <c r="O2723" s="69"/>
      <c r="P2723" s="69"/>
      <c r="Q2723" s="69"/>
      <c r="R2723" s="69"/>
      <c r="S2723" s="69"/>
      <c r="T2723" s="69"/>
      <c r="U2723" s="69"/>
      <c r="V2723" s="69"/>
      <c r="W2723" s="69"/>
      <c r="X2723" s="69"/>
      <c r="Y2723" s="69"/>
      <c r="Z2723" s="69"/>
      <c r="AA2723" s="69"/>
      <c r="AB2723" s="69"/>
      <c r="AC2723" s="69"/>
      <c r="AD2723" s="69"/>
      <c r="AE2723" s="69"/>
      <c r="AF2723" s="69"/>
      <c r="AG2723" s="69"/>
      <c r="AH2723" s="69"/>
      <c r="AI2723" s="69"/>
      <c r="AJ2723" s="69"/>
      <c r="AK2723" s="69"/>
      <c r="AL2723" s="69"/>
      <c r="AM2723" s="69"/>
      <c r="AN2723" s="69"/>
      <c r="AO2723" s="69"/>
      <c r="AP2723" s="69"/>
      <c r="AQ2723" s="69"/>
      <c r="AR2723" s="69"/>
      <c r="AS2723" s="69"/>
      <c r="AT2723" s="69"/>
      <c r="AU2723" s="69"/>
      <c r="AV2723" s="69"/>
      <c r="AW2723" s="69"/>
      <c r="AX2723" s="69"/>
      <c r="AY2723" s="69"/>
      <c r="AZ2723" s="69"/>
      <c r="BA2723" s="69"/>
      <c r="BB2723" s="69"/>
      <c r="BC2723" s="69"/>
    </row>
    <row r="2724">
      <c r="A2724" s="68"/>
      <c r="B2724" s="68"/>
      <c r="C2724" s="68"/>
      <c r="D2724" s="68"/>
      <c r="E2724" s="68"/>
      <c r="F2724" s="68"/>
      <c r="G2724" s="68"/>
      <c r="H2724" s="68"/>
      <c r="I2724" s="69"/>
      <c r="J2724" s="69"/>
      <c r="K2724" s="71"/>
      <c r="L2724" s="69"/>
      <c r="M2724" s="69"/>
      <c r="N2724" s="72"/>
      <c r="O2724" s="69"/>
      <c r="P2724" s="69"/>
      <c r="Q2724" s="69"/>
      <c r="R2724" s="69"/>
      <c r="S2724" s="69"/>
      <c r="T2724" s="69"/>
      <c r="U2724" s="69"/>
      <c r="V2724" s="69"/>
      <c r="W2724" s="69"/>
      <c r="X2724" s="69"/>
      <c r="Y2724" s="69"/>
      <c r="Z2724" s="69"/>
      <c r="AA2724" s="69"/>
      <c r="AB2724" s="69"/>
      <c r="AC2724" s="69"/>
      <c r="AD2724" s="69"/>
      <c r="AE2724" s="69"/>
      <c r="AF2724" s="69"/>
      <c r="AG2724" s="69"/>
      <c r="AH2724" s="69"/>
      <c r="AI2724" s="69"/>
      <c r="AJ2724" s="69"/>
      <c r="AK2724" s="69"/>
      <c r="AL2724" s="69"/>
      <c r="AM2724" s="69"/>
      <c r="AN2724" s="69"/>
      <c r="AO2724" s="69"/>
      <c r="AP2724" s="69"/>
      <c r="AQ2724" s="69"/>
      <c r="AR2724" s="69"/>
      <c r="AS2724" s="69"/>
      <c r="AT2724" s="69"/>
      <c r="AU2724" s="69"/>
      <c r="AV2724" s="69"/>
      <c r="AW2724" s="69"/>
      <c r="AX2724" s="69"/>
      <c r="AY2724" s="69"/>
      <c r="AZ2724" s="69"/>
      <c r="BA2724" s="69"/>
      <c r="BB2724" s="69"/>
      <c r="BC2724" s="69"/>
    </row>
    <row r="2725">
      <c r="A2725" s="68"/>
      <c r="B2725" s="68"/>
      <c r="C2725" s="68"/>
      <c r="D2725" s="68"/>
      <c r="E2725" s="68"/>
      <c r="F2725" s="68"/>
      <c r="G2725" s="68"/>
      <c r="H2725" s="68"/>
      <c r="I2725" s="69"/>
      <c r="J2725" s="69"/>
      <c r="K2725" s="71"/>
      <c r="L2725" s="69"/>
      <c r="M2725" s="69"/>
      <c r="N2725" s="72"/>
      <c r="O2725" s="69"/>
      <c r="P2725" s="69"/>
      <c r="Q2725" s="69"/>
      <c r="R2725" s="69"/>
      <c r="S2725" s="69"/>
      <c r="T2725" s="69"/>
      <c r="U2725" s="69"/>
      <c r="V2725" s="69"/>
      <c r="W2725" s="69"/>
      <c r="X2725" s="69"/>
      <c r="Y2725" s="69"/>
      <c r="Z2725" s="69"/>
      <c r="AA2725" s="69"/>
      <c r="AB2725" s="69"/>
      <c r="AC2725" s="69"/>
      <c r="AD2725" s="69"/>
      <c r="AE2725" s="69"/>
      <c r="AF2725" s="69"/>
      <c r="AG2725" s="69"/>
      <c r="AH2725" s="69"/>
      <c r="AI2725" s="69"/>
      <c r="AJ2725" s="69"/>
      <c r="AK2725" s="69"/>
      <c r="AL2725" s="69"/>
      <c r="AM2725" s="69"/>
      <c r="AN2725" s="69"/>
      <c r="AO2725" s="69"/>
      <c r="AP2725" s="69"/>
      <c r="AQ2725" s="69"/>
      <c r="AR2725" s="69"/>
      <c r="AS2725" s="69"/>
      <c r="AT2725" s="69"/>
      <c r="AU2725" s="69"/>
      <c r="AV2725" s="69"/>
      <c r="AW2725" s="69"/>
      <c r="AX2725" s="69"/>
      <c r="AY2725" s="69"/>
      <c r="AZ2725" s="69"/>
      <c r="BA2725" s="69"/>
      <c r="BB2725" s="69"/>
      <c r="BC2725" s="69"/>
    </row>
    <row r="2726">
      <c r="A2726" s="68"/>
      <c r="B2726" s="68"/>
      <c r="C2726" s="68"/>
      <c r="D2726" s="68"/>
      <c r="E2726" s="68"/>
      <c r="F2726" s="68"/>
      <c r="G2726" s="68"/>
      <c r="H2726" s="68"/>
      <c r="I2726" s="69"/>
      <c r="J2726" s="69"/>
      <c r="K2726" s="71"/>
      <c r="L2726" s="69"/>
      <c r="M2726" s="69"/>
      <c r="N2726" s="72"/>
      <c r="O2726" s="69"/>
      <c r="P2726" s="69"/>
      <c r="Q2726" s="69"/>
      <c r="R2726" s="69"/>
      <c r="S2726" s="69"/>
      <c r="T2726" s="69"/>
      <c r="U2726" s="69"/>
      <c r="V2726" s="69"/>
      <c r="W2726" s="69"/>
      <c r="X2726" s="69"/>
      <c r="Y2726" s="69"/>
      <c r="Z2726" s="69"/>
      <c r="AA2726" s="69"/>
      <c r="AB2726" s="69"/>
      <c r="AC2726" s="69"/>
      <c r="AD2726" s="69"/>
      <c r="AE2726" s="69"/>
      <c r="AF2726" s="69"/>
      <c r="AG2726" s="69"/>
      <c r="AH2726" s="69"/>
      <c r="AI2726" s="69"/>
      <c r="AJ2726" s="69"/>
      <c r="AK2726" s="69"/>
      <c r="AL2726" s="69"/>
      <c r="AM2726" s="69"/>
      <c r="AN2726" s="69"/>
      <c r="AO2726" s="69"/>
      <c r="AP2726" s="69"/>
      <c r="AQ2726" s="69"/>
      <c r="AR2726" s="69"/>
      <c r="AS2726" s="69"/>
      <c r="AT2726" s="69"/>
      <c r="AU2726" s="69"/>
      <c r="AV2726" s="69"/>
      <c r="AW2726" s="69"/>
      <c r="AX2726" s="69"/>
      <c r="AY2726" s="69"/>
      <c r="AZ2726" s="69"/>
      <c r="BA2726" s="69"/>
      <c r="BB2726" s="69"/>
      <c r="BC2726" s="69"/>
    </row>
    <row r="2727">
      <c r="A2727" s="68"/>
      <c r="B2727" s="68"/>
      <c r="C2727" s="68"/>
      <c r="D2727" s="68"/>
      <c r="E2727" s="68"/>
      <c r="F2727" s="68"/>
      <c r="G2727" s="68"/>
      <c r="H2727" s="68"/>
      <c r="I2727" s="69"/>
      <c r="J2727" s="69"/>
      <c r="K2727" s="71"/>
      <c r="L2727" s="69"/>
      <c r="M2727" s="69"/>
      <c r="N2727" s="72"/>
      <c r="O2727" s="69"/>
      <c r="P2727" s="69"/>
      <c r="Q2727" s="69"/>
      <c r="R2727" s="69"/>
      <c r="S2727" s="69"/>
      <c r="T2727" s="69"/>
      <c r="U2727" s="69"/>
      <c r="V2727" s="69"/>
      <c r="W2727" s="69"/>
      <c r="X2727" s="69"/>
      <c r="Y2727" s="69"/>
      <c r="Z2727" s="69"/>
      <c r="AA2727" s="69"/>
      <c r="AB2727" s="69"/>
      <c r="AC2727" s="69"/>
      <c r="AD2727" s="69"/>
      <c r="AE2727" s="69"/>
      <c r="AF2727" s="69"/>
      <c r="AG2727" s="69"/>
      <c r="AH2727" s="69"/>
      <c r="AI2727" s="69"/>
      <c r="AJ2727" s="69"/>
      <c r="AK2727" s="69"/>
      <c r="AL2727" s="69"/>
      <c r="AM2727" s="69"/>
      <c r="AN2727" s="69"/>
      <c r="AO2727" s="69"/>
      <c r="AP2727" s="69"/>
      <c r="AQ2727" s="69"/>
      <c r="AR2727" s="69"/>
      <c r="AS2727" s="69"/>
      <c r="AT2727" s="69"/>
      <c r="AU2727" s="69"/>
      <c r="AV2727" s="69"/>
      <c r="AW2727" s="69"/>
      <c r="AX2727" s="69"/>
      <c r="AY2727" s="69"/>
      <c r="AZ2727" s="69"/>
      <c r="BA2727" s="69"/>
      <c r="BB2727" s="69"/>
      <c r="BC2727" s="69"/>
    </row>
    <row r="2728">
      <c r="A2728" s="68"/>
      <c r="B2728" s="68"/>
      <c r="C2728" s="68"/>
      <c r="D2728" s="68"/>
      <c r="E2728" s="68"/>
      <c r="F2728" s="68"/>
      <c r="G2728" s="68"/>
      <c r="H2728" s="68"/>
      <c r="I2728" s="69"/>
      <c r="J2728" s="69"/>
      <c r="K2728" s="71"/>
      <c r="L2728" s="69"/>
      <c r="M2728" s="69"/>
      <c r="N2728" s="72"/>
      <c r="O2728" s="69"/>
      <c r="P2728" s="69"/>
      <c r="Q2728" s="69"/>
      <c r="R2728" s="69"/>
      <c r="S2728" s="69"/>
      <c r="T2728" s="69"/>
      <c r="U2728" s="69"/>
      <c r="V2728" s="69"/>
      <c r="W2728" s="69"/>
      <c r="X2728" s="69"/>
      <c r="Y2728" s="69"/>
      <c r="Z2728" s="69"/>
      <c r="AA2728" s="69"/>
      <c r="AB2728" s="69"/>
      <c r="AC2728" s="69"/>
      <c r="AD2728" s="69"/>
      <c r="AE2728" s="69"/>
      <c r="AF2728" s="69"/>
      <c r="AG2728" s="69"/>
      <c r="AH2728" s="69"/>
      <c r="AI2728" s="69"/>
      <c r="AJ2728" s="69"/>
      <c r="AK2728" s="69"/>
      <c r="AL2728" s="69"/>
      <c r="AM2728" s="69"/>
      <c r="AN2728" s="69"/>
      <c r="AO2728" s="69"/>
      <c r="AP2728" s="69"/>
      <c r="AQ2728" s="69"/>
      <c r="AR2728" s="69"/>
      <c r="AS2728" s="69"/>
      <c r="AT2728" s="69"/>
      <c r="AU2728" s="69"/>
      <c r="AV2728" s="69"/>
      <c r="AW2728" s="69"/>
      <c r="AX2728" s="69"/>
      <c r="AY2728" s="69"/>
      <c r="AZ2728" s="69"/>
      <c r="BA2728" s="69"/>
      <c r="BB2728" s="69"/>
      <c r="BC2728" s="69"/>
    </row>
    <row r="2729">
      <c r="A2729" s="68"/>
      <c r="B2729" s="68"/>
      <c r="C2729" s="68"/>
      <c r="D2729" s="68"/>
      <c r="E2729" s="68"/>
      <c r="F2729" s="68"/>
      <c r="G2729" s="68"/>
      <c r="H2729" s="68"/>
      <c r="I2729" s="69"/>
      <c r="J2729" s="69"/>
      <c r="K2729" s="71"/>
      <c r="L2729" s="69"/>
      <c r="M2729" s="69"/>
      <c r="N2729" s="72"/>
      <c r="O2729" s="69"/>
      <c r="P2729" s="69"/>
      <c r="Q2729" s="69"/>
      <c r="R2729" s="69"/>
      <c r="S2729" s="69"/>
      <c r="T2729" s="69"/>
      <c r="U2729" s="69"/>
      <c r="V2729" s="69"/>
      <c r="W2729" s="69"/>
      <c r="X2729" s="69"/>
      <c r="Y2729" s="69"/>
      <c r="Z2729" s="69"/>
      <c r="AA2729" s="69"/>
      <c r="AB2729" s="69"/>
      <c r="AC2729" s="69"/>
      <c r="AD2729" s="69"/>
      <c r="AE2729" s="69"/>
      <c r="AF2729" s="69"/>
      <c r="AG2729" s="69"/>
      <c r="AH2729" s="69"/>
      <c r="AI2729" s="69"/>
      <c r="AJ2729" s="69"/>
      <c r="AK2729" s="69"/>
      <c r="AL2729" s="69"/>
      <c r="AM2729" s="69"/>
      <c r="AN2729" s="69"/>
      <c r="AO2729" s="69"/>
      <c r="AP2729" s="69"/>
      <c r="AQ2729" s="69"/>
      <c r="AR2729" s="69"/>
      <c r="AS2729" s="69"/>
      <c r="AT2729" s="69"/>
      <c r="AU2729" s="69"/>
      <c r="AV2729" s="69"/>
      <c r="AW2729" s="69"/>
      <c r="AX2729" s="69"/>
      <c r="AY2729" s="69"/>
      <c r="AZ2729" s="69"/>
      <c r="BA2729" s="69"/>
      <c r="BB2729" s="69"/>
      <c r="BC2729" s="69"/>
    </row>
    <row r="2730">
      <c r="A2730" s="68"/>
      <c r="B2730" s="68"/>
      <c r="C2730" s="68"/>
      <c r="D2730" s="68"/>
      <c r="E2730" s="68"/>
      <c r="F2730" s="68"/>
      <c r="G2730" s="68"/>
      <c r="H2730" s="68"/>
      <c r="I2730" s="69"/>
      <c r="J2730" s="69"/>
      <c r="K2730" s="71"/>
      <c r="L2730" s="69"/>
      <c r="M2730" s="69"/>
      <c r="N2730" s="72"/>
      <c r="O2730" s="69"/>
      <c r="P2730" s="69"/>
      <c r="Q2730" s="69"/>
      <c r="R2730" s="69"/>
      <c r="S2730" s="69"/>
      <c r="T2730" s="69"/>
      <c r="U2730" s="69"/>
      <c r="V2730" s="69"/>
      <c r="W2730" s="69"/>
      <c r="X2730" s="69"/>
      <c r="Y2730" s="69"/>
      <c r="Z2730" s="69"/>
      <c r="AA2730" s="69"/>
      <c r="AB2730" s="69"/>
      <c r="AC2730" s="69"/>
      <c r="AD2730" s="69"/>
      <c r="AE2730" s="69"/>
      <c r="AF2730" s="69"/>
      <c r="AG2730" s="69"/>
      <c r="AH2730" s="69"/>
      <c r="AI2730" s="69"/>
      <c r="AJ2730" s="69"/>
      <c r="AK2730" s="69"/>
      <c r="AL2730" s="69"/>
      <c r="AM2730" s="69"/>
      <c r="AN2730" s="69"/>
      <c r="AO2730" s="69"/>
      <c r="AP2730" s="69"/>
      <c r="AQ2730" s="69"/>
      <c r="AR2730" s="69"/>
      <c r="AS2730" s="69"/>
      <c r="AT2730" s="69"/>
      <c r="AU2730" s="69"/>
      <c r="AV2730" s="69"/>
      <c r="AW2730" s="69"/>
      <c r="AX2730" s="69"/>
      <c r="AY2730" s="69"/>
      <c r="AZ2730" s="69"/>
      <c r="BA2730" s="69"/>
      <c r="BB2730" s="69"/>
      <c r="BC2730" s="69"/>
    </row>
    <row r="2731">
      <c r="A2731" s="68"/>
      <c r="B2731" s="68"/>
      <c r="C2731" s="68"/>
      <c r="D2731" s="68"/>
      <c r="E2731" s="68"/>
      <c r="F2731" s="68"/>
      <c r="G2731" s="68"/>
      <c r="H2731" s="68"/>
      <c r="I2731" s="69"/>
      <c r="J2731" s="69"/>
      <c r="K2731" s="71"/>
      <c r="L2731" s="69"/>
      <c r="M2731" s="69"/>
      <c r="N2731" s="72"/>
      <c r="O2731" s="69"/>
      <c r="P2731" s="69"/>
      <c r="Q2731" s="69"/>
      <c r="R2731" s="69"/>
      <c r="S2731" s="69"/>
      <c r="T2731" s="69"/>
      <c r="U2731" s="69"/>
      <c r="V2731" s="69"/>
      <c r="W2731" s="69"/>
      <c r="X2731" s="69"/>
      <c r="Y2731" s="69"/>
      <c r="Z2731" s="69"/>
      <c r="AA2731" s="69"/>
      <c r="AB2731" s="69"/>
      <c r="AC2731" s="69"/>
      <c r="AD2731" s="69"/>
      <c r="AE2731" s="69"/>
      <c r="AF2731" s="69"/>
      <c r="AG2731" s="69"/>
      <c r="AH2731" s="69"/>
      <c r="AI2731" s="69"/>
      <c r="AJ2731" s="69"/>
      <c r="AK2731" s="69"/>
      <c r="AL2731" s="69"/>
      <c r="AM2731" s="69"/>
      <c r="AN2731" s="69"/>
      <c r="AO2731" s="69"/>
      <c r="AP2731" s="69"/>
      <c r="AQ2731" s="69"/>
      <c r="AR2731" s="69"/>
      <c r="AS2731" s="69"/>
      <c r="AT2731" s="69"/>
      <c r="AU2731" s="69"/>
      <c r="AV2731" s="69"/>
      <c r="AW2731" s="69"/>
      <c r="AX2731" s="69"/>
      <c r="AY2731" s="69"/>
      <c r="AZ2731" s="69"/>
      <c r="BA2731" s="69"/>
      <c r="BB2731" s="69"/>
      <c r="BC2731" s="69"/>
    </row>
    <row r="2732">
      <c r="A2732" s="68"/>
      <c r="B2732" s="68"/>
      <c r="C2732" s="68"/>
      <c r="D2732" s="68"/>
      <c r="E2732" s="68"/>
      <c r="F2732" s="68"/>
      <c r="G2732" s="68"/>
      <c r="H2732" s="68"/>
      <c r="I2732" s="69"/>
      <c r="J2732" s="69"/>
      <c r="K2732" s="71"/>
      <c r="L2732" s="69"/>
      <c r="M2732" s="69"/>
      <c r="N2732" s="72"/>
      <c r="O2732" s="69"/>
      <c r="P2732" s="69"/>
      <c r="Q2732" s="69"/>
      <c r="R2732" s="69"/>
      <c r="S2732" s="69"/>
      <c r="T2732" s="69"/>
      <c r="U2732" s="69"/>
      <c r="V2732" s="69"/>
      <c r="W2732" s="69"/>
      <c r="X2732" s="69"/>
      <c r="Y2732" s="69"/>
      <c r="Z2732" s="69"/>
      <c r="AA2732" s="69"/>
      <c r="AB2732" s="69"/>
      <c r="AC2732" s="69"/>
      <c r="AD2732" s="69"/>
      <c r="AE2732" s="69"/>
      <c r="AF2732" s="69"/>
      <c r="AG2732" s="69"/>
      <c r="AH2732" s="69"/>
      <c r="AI2732" s="69"/>
      <c r="AJ2732" s="69"/>
      <c r="AK2732" s="69"/>
      <c r="AL2732" s="69"/>
      <c r="AM2732" s="69"/>
      <c r="AN2732" s="69"/>
      <c r="AO2732" s="69"/>
      <c r="AP2732" s="69"/>
      <c r="AQ2732" s="69"/>
      <c r="AR2732" s="69"/>
      <c r="AS2732" s="69"/>
      <c r="AT2732" s="69"/>
      <c r="AU2732" s="69"/>
      <c r="AV2732" s="69"/>
      <c r="AW2732" s="69"/>
      <c r="AX2732" s="69"/>
      <c r="AY2732" s="69"/>
      <c r="AZ2732" s="69"/>
      <c r="BA2732" s="69"/>
      <c r="BB2732" s="69"/>
      <c r="BC2732" s="69"/>
    </row>
    <row r="2733">
      <c r="A2733" s="68"/>
      <c r="B2733" s="68"/>
      <c r="C2733" s="68"/>
      <c r="D2733" s="68"/>
      <c r="E2733" s="68"/>
      <c r="F2733" s="68"/>
      <c r="G2733" s="68"/>
      <c r="H2733" s="68"/>
      <c r="I2733" s="69"/>
      <c r="J2733" s="69"/>
      <c r="K2733" s="71"/>
      <c r="L2733" s="69"/>
      <c r="M2733" s="69"/>
      <c r="N2733" s="72"/>
      <c r="O2733" s="69"/>
      <c r="P2733" s="69"/>
      <c r="Q2733" s="69"/>
      <c r="R2733" s="69"/>
      <c r="S2733" s="69"/>
      <c r="T2733" s="69"/>
      <c r="U2733" s="69"/>
      <c r="V2733" s="69"/>
      <c r="W2733" s="69"/>
      <c r="X2733" s="69"/>
      <c r="Y2733" s="69"/>
      <c r="Z2733" s="69"/>
      <c r="AA2733" s="69"/>
      <c r="AB2733" s="69"/>
      <c r="AC2733" s="69"/>
      <c r="AD2733" s="69"/>
      <c r="AE2733" s="69"/>
      <c r="AF2733" s="69"/>
      <c r="AG2733" s="69"/>
      <c r="AH2733" s="69"/>
      <c r="AI2733" s="69"/>
      <c r="AJ2733" s="69"/>
      <c r="AK2733" s="69"/>
      <c r="AL2733" s="69"/>
      <c r="AM2733" s="69"/>
      <c r="AN2733" s="69"/>
      <c r="AO2733" s="69"/>
      <c r="AP2733" s="69"/>
      <c r="AQ2733" s="69"/>
      <c r="AR2733" s="69"/>
      <c r="AS2733" s="69"/>
      <c r="AT2733" s="69"/>
      <c r="AU2733" s="69"/>
      <c r="AV2733" s="69"/>
      <c r="AW2733" s="69"/>
      <c r="AX2733" s="69"/>
      <c r="AY2733" s="69"/>
      <c r="AZ2733" s="69"/>
      <c r="BA2733" s="69"/>
      <c r="BB2733" s="69"/>
      <c r="BC2733" s="69"/>
    </row>
    <row r="2734">
      <c r="A2734" s="68"/>
      <c r="B2734" s="68"/>
      <c r="C2734" s="68"/>
      <c r="D2734" s="68"/>
      <c r="E2734" s="68"/>
      <c r="F2734" s="68"/>
      <c r="G2734" s="68"/>
      <c r="H2734" s="68"/>
      <c r="I2734" s="69"/>
      <c r="J2734" s="69"/>
      <c r="K2734" s="71"/>
      <c r="L2734" s="69"/>
      <c r="M2734" s="69"/>
      <c r="N2734" s="72"/>
      <c r="O2734" s="69"/>
      <c r="P2734" s="69"/>
      <c r="Q2734" s="69"/>
      <c r="R2734" s="69"/>
      <c r="S2734" s="69"/>
      <c r="T2734" s="69"/>
      <c r="U2734" s="69"/>
      <c r="V2734" s="69"/>
      <c r="W2734" s="69"/>
      <c r="X2734" s="69"/>
      <c r="Y2734" s="69"/>
      <c r="Z2734" s="69"/>
      <c r="AA2734" s="69"/>
      <c r="AB2734" s="69"/>
      <c r="AC2734" s="69"/>
      <c r="AD2734" s="69"/>
      <c r="AE2734" s="69"/>
      <c r="AF2734" s="69"/>
      <c r="AG2734" s="69"/>
      <c r="AH2734" s="69"/>
      <c r="AI2734" s="69"/>
      <c r="AJ2734" s="69"/>
      <c r="AK2734" s="69"/>
      <c r="AL2734" s="69"/>
      <c r="AM2734" s="69"/>
      <c r="AN2734" s="69"/>
      <c r="AO2734" s="69"/>
      <c r="AP2734" s="69"/>
      <c r="AQ2734" s="69"/>
      <c r="AR2734" s="69"/>
      <c r="AS2734" s="69"/>
      <c r="AT2734" s="69"/>
      <c r="AU2734" s="69"/>
      <c r="AV2734" s="69"/>
      <c r="AW2734" s="69"/>
      <c r="AX2734" s="69"/>
      <c r="AY2734" s="69"/>
      <c r="AZ2734" s="69"/>
      <c r="BA2734" s="69"/>
      <c r="BB2734" s="69"/>
      <c r="BC2734" s="69"/>
    </row>
    <row r="2735">
      <c r="A2735" s="68"/>
      <c r="B2735" s="68"/>
      <c r="C2735" s="68"/>
      <c r="D2735" s="68"/>
      <c r="E2735" s="68"/>
      <c r="F2735" s="68"/>
      <c r="G2735" s="68"/>
      <c r="H2735" s="68"/>
      <c r="I2735" s="69"/>
      <c r="J2735" s="69"/>
      <c r="K2735" s="71"/>
      <c r="L2735" s="69"/>
      <c r="M2735" s="69"/>
      <c r="N2735" s="72"/>
      <c r="O2735" s="69"/>
      <c r="P2735" s="69"/>
      <c r="Q2735" s="69"/>
      <c r="R2735" s="69"/>
      <c r="S2735" s="69"/>
      <c r="T2735" s="69"/>
      <c r="U2735" s="69"/>
      <c r="V2735" s="69"/>
      <c r="W2735" s="69"/>
      <c r="X2735" s="69"/>
      <c r="Y2735" s="69"/>
      <c r="Z2735" s="69"/>
      <c r="AA2735" s="69"/>
      <c r="AB2735" s="69"/>
      <c r="AC2735" s="69"/>
      <c r="AD2735" s="69"/>
      <c r="AE2735" s="69"/>
      <c r="AF2735" s="69"/>
      <c r="AG2735" s="69"/>
      <c r="AH2735" s="69"/>
      <c r="AI2735" s="69"/>
      <c r="AJ2735" s="69"/>
      <c r="AK2735" s="69"/>
      <c r="AL2735" s="69"/>
      <c r="AM2735" s="69"/>
      <c r="AN2735" s="69"/>
      <c r="AO2735" s="69"/>
      <c r="AP2735" s="69"/>
      <c r="AQ2735" s="69"/>
      <c r="AR2735" s="69"/>
      <c r="AS2735" s="69"/>
      <c r="AT2735" s="69"/>
      <c r="AU2735" s="69"/>
      <c r="AV2735" s="69"/>
      <c r="AW2735" s="69"/>
      <c r="AX2735" s="69"/>
      <c r="AY2735" s="69"/>
      <c r="AZ2735" s="69"/>
      <c r="BA2735" s="69"/>
      <c r="BB2735" s="69"/>
      <c r="BC2735" s="69"/>
    </row>
    <row r="2736">
      <c r="A2736" s="68"/>
      <c r="B2736" s="68"/>
      <c r="C2736" s="68"/>
      <c r="D2736" s="68"/>
      <c r="E2736" s="68"/>
      <c r="F2736" s="68"/>
      <c r="G2736" s="68"/>
      <c r="H2736" s="68"/>
      <c r="I2736" s="69"/>
      <c r="J2736" s="69"/>
      <c r="K2736" s="71"/>
      <c r="L2736" s="69"/>
      <c r="M2736" s="69"/>
      <c r="N2736" s="72"/>
      <c r="O2736" s="69"/>
      <c r="P2736" s="69"/>
      <c r="Q2736" s="69"/>
      <c r="R2736" s="69"/>
      <c r="S2736" s="69"/>
      <c r="T2736" s="69"/>
      <c r="U2736" s="69"/>
      <c r="V2736" s="69"/>
      <c r="W2736" s="69"/>
      <c r="X2736" s="69"/>
      <c r="Y2736" s="69"/>
      <c r="Z2736" s="69"/>
      <c r="AA2736" s="69"/>
      <c r="AB2736" s="69"/>
      <c r="AC2736" s="69"/>
      <c r="AD2736" s="69"/>
      <c r="AE2736" s="69"/>
      <c r="AF2736" s="69"/>
      <c r="AG2736" s="69"/>
      <c r="AH2736" s="69"/>
      <c r="AI2736" s="69"/>
      <c r="AJ2736" s="69"/>
      <c r="AK2736" s="69"/>
      <c r="AL2736" s="69"/>
      <c r="AM2736" s="69"/>
      <c r="AN2736" s="69"/>
      <c r="AO2736" s="69"/>
      <c r="AP2736" s="69"/>
      <c r="AQ2736" s="69"/>
      <c r="AR2736" s="69"/>
      <c r="AS2736" s="69"/>
      <c r="AT2736" s="69"/>
      <c r="AU2736" s="69"/>
      <c r="AV2736" s="69"/>
      <c r="AW2736" s="69"/>
      <c r="AX2736" s="69"/>
      <c r="AY2736" s="69"/>
      <c r="AZ2736" s="69"/>
      <c r="BA2736" s="69"/>
      <c r="BB2736" s="69"/>
      <c r="BC2736" s="69"/>
    </row>
    <row r="2737">
      <c r="A2737" s="68"/>
      <c r="B2737" s="68"/>
      <c r="C2737" s="68"/>
      <c r="D2737" s="68"/>
      <c r="E2737" s="68"/>
      <c r="F2737" s="68"/>
      <c r="G2737" s="68"/>
      <c r="H2737" s="68"/>
      <c r="I2737" s="69"/>
      <c r="J2737" s="69"/>
      <c r="K2737" s="71"/>
      <c r="L2737" s="69"/>
      <c r="M2737" s="69"/>
      <c r="N2737" s="72"/>
      <c r="O2737" s="69"/>
      <c r="P2737" s="69"/>
      <c r="Q2737" s="69"/>
      <c r="R2737" s="69"/>
      <c r="S2737" s="69"/>
      <c r="T2737" s="69"/>
      <c r="U2737" s="69"/>
      <c r="V2737" s="69"/>
      <c r="W2737" s="69"/>
      <c r="X2737" s="69"/>
      <c r="Y2737" s="69"/>
      <c r="Z2737" s="69"/>
      <c r="AA2737" s="69"/>
      <c r="AB2737" s="69"/>
      <c r="AC2737" s="69"/>
      <c r="AD2737" s="69"/>
      <c r="AE2737" s="69"/>
      <c r="AF2737" s="69"/>
      <c r="AG2737" s="69"/>
      <c r="AH2737" s="69"/>
      <c r="AI2737" s="69"/>
      <c r="AJ2737" s="69"/>
      <c r="AK2737" s="69"/>
      <c r="AL2737" s="69"/>
      <c r="AM2737" s="69"/>
      <c r="AN2737" s="69"/>
      <c r="AO2737" s="69"/>
      <c r="AP2737" s="69"/>
      <c r="AQ2737" s="69"/>
      <c r="AR2737" s="69"/>
      <c r="AS2737" s="69"/>
      <c r="AT2737" s="69"/>
      <c r="AU2737" s="69"/>
      <c r="AV2737" s="69"/>
      <c r="AW2737" s="69"/>
      <c r="AX2737" s="69"/>
      <c r="AY2737" s="69"/>
      <c r="AZ2737" s="69"/>
      <c r="BA2737" s="69"/>
      <c r="BB2737" s="69"/>
      <c r="BC2737" s="69"/>
    </row>
    <row r="2738">
      <c r="A2738" s="68"/>
      <c r="B2738" s="68"/>
      <c r="C2738" s="68"/>
      <c r="D2738" s="68"/>
      <c r="E2738" s="68"/>
      <c r="F2738" s="68"/>
      <c r="G2738" s="68"/>
      <c r="H2738" s="68"/>
      <c r="I2738" s="69"/>
      <c r="J2738" s="69"/>
      <c r="K2738" s="71"/>
      <c r="L2738" s="69"/>
      <c r="M2738" s="69"/>
      <c r="N2738" s="72"/>
      <c r="O2738" s="69"/>
      <c r="P2738" s="69"/>
      <c r="Q2738" s="69"/>
      <c r="R2738" s="69"/>
      <c r="S2738" s="69"/>
      <c r="T2738" s="69"/>
      <c r="U2738" s="69"/>
      <c r="V2738" s="69"/>
      <c r="W2738" s="69"/>
      <c r="X2738" s="69"/>
      <c r="Y2738" s="69"/>
      <c r="Z2738" s="69"/>
      <c r="AA2738" s="69"/>
      <c r="AB2738" s="69"/>
      <c r="AC2738" s="69"/>
      <c r="AD2738" s="69"/>
      <c r="AE2738" s="69"/>
      <c r="AF2738" s="69"/>
      <c r="AG2738" s="69"/>
      <c r="AH2738" s="69"/>
      <c r="AI2738" s="69"/>
      <c r="AJ2738" s="69"/>
      <c r="AK2738" s="69"/>
      <c r="AL2738" s="69"/>
      <c r="AM2738" s="69"/>
      <c r="AN2738" s="69"/>
      <c r="AO2738" s="69"/>
      <c r="AP2738" s="69"/>
      <c r="AQ2738" s="69"/>
      <c r="AR2738" s="69"/>
      <c r="AS2738" s="69"/>
      <c r="AT2738" s="69"/>
      <c r="AU2738" s="69"/>
      <c r="AV2738" s="69"/>
      <c r="AW2738" s="69"/>
      <c r="AX2738" s="69"/>
      <c r="AY2738" s="69"/>
      <c r="AZ2738" s="69"/>
      <c r="BA2738" s="69"/>
      <c r="BB2738" s="69"/>
      <c r="BC2738" s="69"/>
    </row>
    <row r="2739">
      <c r="A2739" s="68"/>
      <c r="B2739" s="68"/>
      <c r="C2739" s="68"/>
      <c r="D2739" s="68"/>
      <c r="E2739" s="68"/>
      <c r="F2739" s="68"/>
      <c r="G2739" s="68"/>
      <c r="H2739" s="68"/>
      <c r="I2739" s="69"/>
      <c r="J2739" s="69"/>
      <c r="K2739" s="71"/>
      <c r="L2739" s="69"/>
      <c r="M2739" s="69"/>
      <c r="N2739" s="72"/>
      <c r="O2739" s="69"/>
      <c r="P2739" s="69"/>
      <c r="Q2739" s="69"/>
      <c r="R2739" s="69"/>
      <c r="S2739" s="69"/>
      <c r="T2739" s="69"/>
      <c r="U2739" s="69"/>
      <c r="V2739" s="69"/>
      <c r="W2739" s="69"/>
      <c r="X2739" s="69"/>
      <c r="Y2739" s="69"/>
      <c r="Z2739" s="69"/>
      <c r="AA2739" s="69"/>
      <c r="AB2739" s="69"/>
      <c r="AC2739" s="69"/>
      <c r="AD2739" s="69"/>
      <c r="AE2739" s="69"/>
      <c r="AF2739" s="69"/>
      <c r="AG2739" s="69"/>
      <c r="AH2739" s="69"/>
      <c r="AI2739" s="69"/>
      <c r="AJ2739" s="69"/>
      <c r="AK2739" s="69"/>
      <c r="AL2739" s="69"/>
      <c r="AM2739" s="69"/>
      <c r="AN2739" s="69"/>
      <c r="AO2739" s="69"/>
      <c r="AP2739" s="69"/>
      <c r="AQ2739" s="69"/>
      <c r="AR2739" s="69"/>
      <c r="AS2739" s="69"/>
      <c r="AT2739" s="69"/>
      <c r="AU2739" s="69"/>
      <c r="AV2739" s="69"/>
      <c r="AW2739" s="69"/>
      <c r="AX2739" s="69"/>
      <c r="AY2739" s="69"/>
      <c r="AZ2739" s="69"/>
      <c r="BA2739" s="69"/>
      <c r="BB2739" s="69"/>
      <c r="BC2739" s="69"/>
    </row>
    <row r="2740">
      <c r="A2740" s="68"/>
      <c r="B2740" s="68"/>
      <c r="C2740" s="68"/>
      <c r="D2740" s="68"/>
      <c r="E2740" s="68"/>
      <c r="F2740" s="68"/>
      <c r="G2740" s="68"/>
      <c r="H2740" s="68"/>
      <c r="I2740" s="69"/>
      <c r="J2740" s="69"/>
      <c r="K2740" s="71"/>
      <c r="L2740" s="69"/>
      <c r="M2740" s="69"/>
      <c r="N2740" s="72"/>
      <c r="O2740" s="69"/>
      <c r="P2740" s="69"/>
      <c r="Q2740" s="69"/>
      <c r="R2740" s="69"/>
      <c r="S2740" s="69"/>
      <c r="T2740" s="69"/>
      <c r="U2740" s="69"/>
      <c r="V2740" s="69"/>
      <c r="W2740" s="69"/>
      <c r="X2740" s="69"/>
      <c r="Y2740" s="69"/>
      <c r="Z2740" s="69"/>
      <c r="AA2740" s="69"/>
      <c r="AB2740" s="69"/>
      <c r="AC2740" s="69"/>
      <c r="AD2740" s="69"/>
      <c r="AE2740" s="69"/>
      <c r="AF2740" s="69"/>
      <c r="AG2740" s="69"/>
      <c r="AH2740" s="69"/>
      <c r="AI2740" s="69"/>
      <c r="AJ2740" s="69"/>
      <c r="AK2740" s="69"/>
      <c r="AL2740" s="69"/>
      <c r="AM2740" s="69"/>
      <c r="AN2740" s="69"/>
      <c r="AO2740" s="69"/>
      <c r="AP2740" s="69"/>
      <c r="AQ2740" s="69"/>
      <c r="AR2740" s="69"/>
      <c r="AS2740" s="69"/>
      <c r="AT2740" s="69"/>
      <c r="AU2740" s="69"/>
      <c r="AV2740" s="69"/>
      <c r="AW2740" s="69"/>
      <c r="AX2740" s="69"/>
      <c r="AY2740" s="69"/>
      <c r="AZ2740" s="69"/>
      <c r="BA2740" s="69"/>
      <c r="BB2740" s="69"/>
      <c r="BC2740" s="69"/>
    </row>
    <row r="2741">
      <c r="A2741" s="68"/>
      <c r="B2741" s="68"/>
      <c r="C2741" s="68"/>
      <c r="D2741" s="68"/>
      <c r="E2741" s="68"/>
      <c r="F2741" s="68"/>
      <c r="G2741" s="68"/>
      <c r="H2741" s="68"/>
      <c r="I2741" s="69"/>
      <c r="J2741" s="69"/>
      <c r="K2741" s="71"/>
      <c r="L2741" s="69"/>
      <c r="M2741" s="69"/>
      <c r="N2741" s="72"/>
      <c r="O2741" s="69"/>
      <c r="P2741" s="69"/>
      <c r="Q2741" s="69"/>
      <c r="R2741" s="69"/>
      <c r="S2741" s="69"/>
      <c r="T2741" s="69"/>
      <c r="U2741" s="69"/>
      <c r="V2741" s="69"/>
      <c r="W2741" s="69"/>
      <c r="X2741" s="69"/>
      <c r="Y2741" s="69"/>
      <c r="Z2741" s="69"/>
      <c r="AA2741" s="69"/>
      <c r="AB2741" s="69"/>
      <c r="AC2741" s="69"/>
      <c r="AD2741" s="69"/>
      <c r="AE2741" s="69"/>
      <c r="AF2741" s="69"/>
      <c r="AG2741" s="69"/>
      <c r="AH2741" s="69"/>
      <c r="AI2741" s="69"/>
      <c r="AJ2741" s="69"/>
      <c r="AK2741" s="69"/>
      <c r="AL2741" s="69"/>
      <c r="AM2741" s="69"/>
      <c r="AN2741" s="69"/>
      <c r="AO2741" s="69"/>
      <c r="AP2741" s="69"/>
      <c r="AQ2741" s="69"/>
      <c r="AR2741" s="69"/>
      <c r="AS2741" s="69"/>
      <c r="AT2741" s="69"/>
      <c r="AU2741" s="69"/>
      <c r="AV2741" s="69"/>
      <c r="AW2741" s="69"/>
      <c r="AX2741" s="69"/>
      <c r="AY2741" s="69"/>
      <c r="AZ2741" s="69"/>
      <c r="BA2741" s="69"/>
      <c r="BB2741" s="69"/>
      <c r="BC2741" s="69"/>
    </row>
    <row r="2742">
      <c r="A2742" s="68"/>
      <c r="B2742" s="68"/>
      <c r="C2742" s="68"/>
      <c r="D2742" s="68"/>
      <c r="E2742" s="68"/>
      <c r="F2742" s="68"/>
      <c r="G2742" s="68"/>
      <c r="H2742" s="68"/>
      <c r="I2742" s="69"/>
      <c r="J2742" s="69"/>
      <c r="K2742" s="71"/>
      <c r="L2742" s="69"/>
      <c r="M2742" s="69"/>
      <c r="N2742" s="72"/>
      <c r="O2742" s="69"/>
      <c r="P2742" s="69"/>
      <c r="Q2742" s="69"/>
      <c r="R2742" s="69"/>
      <c r="S2742" s="69"/>
      <c r="T2742" s="69"/>
      <c r="U2742" s="69"/>
      <c r="V2742" s="69"/>
      <c r="W2742" s="69"/>
      <c r="X2742" s="69"/>
      <c r="Y2742" s="69"/>
      <c r="Z2742" s="69"/>
      <c r="AA2742" s="69"/>
      <c r="AB2742" s="69"/>
      <c r="AC2742" s="69"/>
      <c r="AD2742" s="69"/>
      <c r="AE2742" s="69"/>
      <c r="AF2742" s="69"/>
      <c r="AG2742" s="69"/>
      <c r="AH2742" s="69"/>
      <c r="AI2742" s="69"/>
      <c r="AJ2742" s="69"/>
      <c r="AK2742" s="69"/>
      <c r="AL2742" s="69"/>
      <c r="AM2742" s="69"/>
      <c r="AN2742" s="69"/>
      <c r="AO2742" s="69"/>
      <c r="AP2742" s="69"/>
      <c r="AQ2742" s="69"/>
      <c r="AR2742" s="69"/>
      <c r="AS2742" s="69"/>
      <c r="AT2742" s="69"/>
      <c r="AU2742" s="69"/>
      <c r="AV2742" s="69"/>
      <c r="AW2742" s="69"/>
      <c r="AX2742" s="69"/>
      <c r="AY2742" s="69"/>
      <c r="AZ2742" s="69"/>
      <c r="BA2742" s="69"/>
      <c r="BB2742" s="69"/>
      <c r="BC2742" s="69"/>
    </row>
    <row r="2743">
      <c r="A2743" s="68"/>
      <c r="B2743" s="68"/>
      <c r="C2743" s="68"/>
      <c r="D2743" s="68"/>
      <c r="E2743" s="68"/>
      <c r="F2743" s="68"/>
      <c r="G2743" s="68"/>
      <c r="H2743" s="68"/>
      <c r="I2743" s="69"/>
      <c r="J2743" s="69"/>
      <c r="K2743" s="71"/>
      <c r="L2743" s="69"/>
      <c r="M2743" s="69"/>
      <c r="N2743" s="72"/>
      <c r="O2743" s="69"/>
      <c r="P2743" s="69"/>
      <c r="Q2743" s="69"/>
      <c r="R2743" s="69"/>
      <c r="S2743" s="69"/>
      <c r="T2743" s="69"/>
      <c r="U2743" s="69"/>
      <c r="V2743" s="69"/>
      <c r="W2743" s="69"/>
      <c r="X2743" s="69"/>
      <c r="Y2743" s="69"/>
      <c r="Z2743" s="69"/>
      <c r="AA2743" s="69"/>
      <c r="AB2743" s="69"/>
      <c r="AC2743" s="69"/>
      <c r="AD2743" s="69"/>
      <c r="AE2743" s="69"/>
      <c r="AF2743" s="69"/>
      <c r="AG2743" s="69"/>
      <c r="AH2743" s="69"/>
      <c r="AI2743" s="69"/>
      <c r="AJ2743" s="69"/>
      <c r="AK2743" s="69"/>
      <c r="AL2743" s="69"/>
      <c r="AM2743" s="69"/>
      <c r="AN2743" s="69"/>
      <c r="AO2743" s="69"/>
      <c r="AP2743" s="69"/>
      <c r="AQ2743" s="69"/>
      <c r="AR2743" s="69"/>
      <c r="AS2743" s="69"/>
      <c r="AT2743" s="69"/>
      <c r="AU2743" s="69"/>
      <c r="AV2743" s="69"/>
      <c r="AW2743" s="69"/>
      <c r="AX2743" s="69"/>
      <c r="AY2743" s="69"/>
      <c r="AZ2743" s="69"/>
      <c r="BA2743" s="69"/>
      <c r="BB2743" s="69"/>
      <c r="BC2743" s="69"/>
    </row>
    <row r="2744">
      <c r="A2744" s="68"/>
      <c r="B2744" s="68"/>
      <c r="C2744" s="68"/>
      <c r="D2744" s="68"/>
      <c r="E2744" s="68"/>
      <c r="F2744" s="68"/>
      <c r="G2744" s="68"/>
      <c r="H2744" s="68"/>
      <c r="I2744" s="69"/>
      <c r="J2744" s="69"/>
      <c r="K2744" s="71"/>
      <c r="L2744" s="69"/>
      <c r="M2744" s="69"/>
      <c r="N2744" s="72"/>
      <c r="O2744" s="69"/>
      <c r="P2744" s="69"/>
      <c r="Q2744" s="69"/>
      <c r="R2744" s="69"/>
      <c r="S2744" s="69"/>
      <c r="T2744" s="69"/>
      <c r="U2744" s="69"/>
      <c r="V2744" s="69"/>
      <c r="W2744" s="69"/>
      <c r="X2744" s="69"/>
      <c r="Y2744" s="69"/>
      <c r="Z2744" s="69"/>
      <c r="AA2744" s="69"/>
      <c r="AB2744" s="69"/>
      <c r="AC2744" s="69"/>
      <c r="AD2744" s="69"/>
      <c r="AE2744" s="69"/>
      <c r="AF2744" s="69"/>
      <c r="AG2744" s="69"/>
      <c r="AH2744" s="69"/>
      <c r="AI2744" s="69"/>
      <c r="AJ2744" s="69"/>
      <c r="AK2744" s="69"/>
      <c r="AL2744" s="69"/>
      <c r="AM2744" s="69"/>
      <c r="AN2744" s="69"/>
      <c r="AO2744" s="69"/>
      <c r="AP2744" s="69"/>
      <c r="AQ2744" s="69"/>
      <c r="AR2744" s="69"/>
      <c r="AS2744" s="69"/>
      <c r="AT2744" s="69"/>
      <c r="AU2744" s="69"/>
      <c r="AV2744" s="69"/>
      <c r="AW2744" s="69"/>
      <c r="AX2744" s="69"/>
      <c r="AY2744" s="69"/>
      <c r="AZ2744" s="69"/>
      <c r="BA2744" s="69"/>
      <c r="BB2744" s="69"/>
      <c r="BC2744" s="69"/>
    </row>
    <row r="2745">
      <c r="A2745" s="68"/>
      <c r="B2745" s="68"/>
      <c r="C2745" s="68"/>
      <c r="D2745" s="68"/>
      <c r="E2745" s="68"/>
      <c r="F2745" s="68"/>
      <c r="G2745" s="68"/>
      <c r="H2745" s="68"/>
      <c r="I2745" s="69"/>
      <c r="J2745" s="69"/>
      <c r="K2745" s="71"/>
      <c r="L2745" s="69"/>
      <c r="M2745" s="69"/>
      <c r="N2745" s="72"/>
      <c r="O2745" s="69"/>
      <c r="P2745" s="69"/>
      <c r="Q2745" s="69"/>
      <c r="R2745" s="69"/>
      <c r="S2745" s="69"/>
      <c r="T2745" s="69"/>
      <c r="U2745" s="69"/>
      <c r="V2745" s="69"/>
      <c r="W2745" s="69"/>
      <c r="X2745" s="69"/>
      <c r="Y2745" s="69"/>
      <c r="Z2745" s="69"/>
      <c r="AA2745" s="69"/>
      <c r="AB2745" s="69"/>
      <c r="AC2745" s="69"/>
      <c r="AD2745" s="69"/>
      <c r="AE2745" s="69"/>
      <c r="AF2745" s="69"/>
      <c r="AG2745" s="69"/>
      <c r="AH2745" s="69"/>
      <c r="AI2745" s="69"/>
      <c r="AJ2745" s="69"/>
      <c r="AK2745" s="69"/>
      <c r="AL2745" s="69"/>
      <c r="AM2745" s="69"/>
      <c r="AN2745" s="69"/>
      <c r="AO2745" s="69"/>
      <c r="AP2745" s="69"/>
      <c r="AQ2745" s="69"/>
      <c r="AR2745" s="69"/>
      <c r="AS2745" s="69"/>
      <c r="AT2745" s="69"/>
      <c r="AU2745" s="69"/>
      <c r="AV2745" s="69"/>
      <c r="AW2745" s="69"/>
      <c r="AX2745" s="69"/>
      <c r="AY2745" s="69"/>
      <c r="AZ2745" s="69"/>
      <c r="BA2745" s="69"/>
      <c r="BB2745" s="69"/>
      <c r="BC2745" s="69"/>
    </row>
    <row r="2746">
      <c r="A2746" s="68"/>
      <c r="B2746" s="68"/>
      <c r="C2746" s="68"/>
      <c r="D2746" s="68"/>
      <c r="E2746" s="68"/>
      <c r="F2746" s="68"/>
      <c r="G2746" s="68"/>
      <c r="H2746" s="68"/>
      <c r="I2746" s="69"/>
      <c r="J2746" s="69"/>
      <c r="K2746" s="71"/>
      <c r="L2746" s="69"/>
      <c r="M2746" s="69"/>
      <c r="N2746" s="72"/>
      <c r="O2746" s="69"/>
      <c r="P2746" s="69"/>
      <c r="Q2746" s="69"/>
      <c r="R2746" s="69"/>
      <c r="S2746" s="69"/>
      <c r="T2746" s="69"/>
      <c r="U2746" s="69"/>
      <c r="V2746" s="69"/>
      <c r="W2746" s="69"/>
      <c r="X2746" s="69"/>
      <c r="Y2746" s="69"/>
      <c r="Z2746" s="69"/>
      <c r="AA2746" s="69"/>
      <c r="AB2746" s="69"/>
      <c r="AC2746" s="69"/>
      <c r="AD2746" s="69"/>
      <c r="AE2746" s="69"/>
      <c r="AF2746" s="69"/>
      <c r="AG2746" s="69"/>
      <c r="AH2746" s="69"/>
      <c r="AI2746" s="69"/>
      <c r="AJ2746" s="69"/>
      <c r="AK2746" s="69"/>
      <c r="AL2746" s="69"/>
      <c r="AM2746" s="69"/>
      <c r="AN2746" s="69"/>
      <c r="AO2746" s="69"/>
      <c r="AP2746" s="69"/>
      <c r="AQ2746" s="69"/>
      <c r="AR2746" s="69"/>
      <c r="AS2746" s="69"/>
      <c r="AT2746" s="69"/>
      <c r="AU2746" s="69"/>
      <c r="AV2746" s="69"/>
      <c r="AW2746" s="69"/>
      <c r="AX2746" s="69"/>
      <c r="AY2746" s="69"/>
      <c r="AZ2746" s="69"/>
      <c r="BA2746" s="69"/>
      <c r="BB2746" s="69"/>
      <c r="BC2746" s="69"/>
    </row>
    <row r="2747">
      <c r="A2747" s="68"/>
      <c r="B2747" s="68"/>
      <c r="C2747" s="68"/>
      <c r="D2747" s="68"/>
      <c r="E2747" s="68"/>
      <c r="F2747" s="68"/>
      <c r="G2747" s="68"/>
      <c r="H2747" s="68"/>
      <c r="I2747" s="69"/>
      <c r="J2747" s="69"/>
      <c r="K2747" s="71"/>
      <c r="L2747" s="69"/>
      <c r="M2747" s="69"/>
      <c r="N2747" s="72"/>
      <c r="O2747" s="69"/>
      <c r="P2747" s="69"/>
      <c r="Q2747" s="69"/>
      <c r="R2747" s="69"/>
      <c r="S2747" s="69"/>
      <c r="T2747" s="69"/>
      <c r="U2747" s="69"/>
      <c r="V2747" s="69"/>
      <c r="W2747" s="69"/>
      <c r="X2747" s="69"/>
      <c r="Y2747" s="69"/>
      <c r="Z2747" s="69"/>
      <c r="AA2747" s="69"/>
      <c r="AB2747" s="69"/>
      <c r="AC2747" s="69"/>
      <c r="AD2747" s="69"/>
      <c r="AE2747" s="69"/>
      <c r="AF2747" s="69"/>
      <c r="AG2747" s="69"/>
      <c r="AH2747" s="69"/>
      <c r="AI2747" s="69"/>
      <c r="AJ2747" s="69"/>
      <c r="AK2747" s="69"/>
      <c r="AL2747" s="69"/>
      <c r="AM2747" s="69"/>
      <c r="AN2747" s="69"/>
      <c r="AO2747" s="69"/>
      <c r="AP2747" s="69"/>
      <c r="AQ2747" s="69"/>
      <c r="AR2747" s="69"/>
      <c r="AS2747" s="69"/>
      <c r="AT2747" s="69"/>
      <c r="AU2747" s="69"/>
      <c r="AV2747" s="69"/>
      <c r="AW2747" s="69"/>
      <c r="AX2747" s="69"/>
      <c r="AY2747" s="69"/>
      <c r="AZ2747" s="69"/>
      <c r="BA2747" s="69"/>
      <c r="BB2747" s="69"/>
      <c r="BC2747" s="69"/>
    </row>
    <row r="2748">
      <c r="A2748" s="68"/>
      <c r="B2748" s="68"/>
      <c r="C2748" s="68"/>
      <c r="D2748" s="68"/>
      <c r="E2748" s="68"/>
      <c r="F2748" s="68"/>
      <c r="G2748" s="68"/>
      <c r="H2748" s="68"/>
      <c r="I2748" s="69"/>
      <c r="J2748" s="69"/>
      <c r="K2748" s="71"/>
      <c r="L2748" s="69"/>
      <c r="M2748" s="69"/>
      <c r="N2748" s="72"/>
      <c r="O2748" s="69"/>
      <c r="P2748" s="69"/>
      <c r="Q2748" s="69"/>
      <c r="R2748" s="69"/>
      <c r="S2748" s="69"/>
      <c r="T2748" s="69"/>
      <c r="U2748" s="69"/>
      <c r="V2748" s="69"/>
      <c r="W2748" s="69"/>
      <c r="X2748" s="69"/>
      <c r="Y2748" s="69"/>
      <c r="Z2748" s="69"/>
      <c r="AA2748" s="69"/>
      <c r="AB2748" s="69"/>
      <c r="AC2748" s="69"/>
      <c r="AD2748" s="69"/>
      <c r="AE2748" s="69"/>
      <c r="AF2748" s="69"/>
      <c r="AG2748" s="69"/>
      <c r="AH2748" s="69"/>
      <c r="AI2748" s="69"/>
      <c r="AJ2748" s="69"/>
      <c r="AK2748" s="69"/>
      <c r="AL2748" s="69"/>
      <c r="AM2748" s="69"/>
      <c r="AN2748" s="69"/>
      <c r="AO2748" s="69"/>
      <c r="AP2748" s="69"/>
      <c r="AQ2748" s="69"/>
      <c r="AR2748" s="69"/>
      <c r="AS2748" s="69"/>
      <c r="AT2748" s="69"/>
      <c r="AU2748" s="69"/>
      <c r="AV2748" s="69"/>
      <c r="AW2748" s="69"/>
      <c r="AX2748" s="69"/>
      <c r="AY2748" s="69"/>
      <c r="AZ2748" s="69"/>
      <c r="BA2748" s="69"/>
      <c r="BB2748" s="69"/>
      <c r="BC2748" s="69"/>
    </row>
    <row r="2749">
      <c r="A2749" s="68"/>
      <c r="B2749" s="68"/>
      <c r="C2749" s="68"/>
      <c r="D2749" s="68"/>
      <c r="E2749" s="68"/>
      <c r="F2749" s="68"/>
      <c r="G2749" s="68"/>
      <c r="H2749" s="68"/>
      <c r="I2749" s="69"/>
      <c r="J2749" s="69"/>
      <c r="K2749" s="71"/>
      <c r="L2749" s="69"/>
      <c r="M2749" s="69"/>
      <c r="N2749" s="72"/>
      <c r="O2749" s="69"/>
      <c r="P2749" s="69"/>
      <c r="Q2749" s="69"/>
      <c r="R2749" s="69"/>
      <c r="S2749" s="69"/>
      <c r="T2749" s="69"/>
      <c r="U2749" s="69"/>
      <c r="V2749" s="69"/>
      <c r="W2749" s="69"/>
      <c r="X2749" s="69"/>
      <c r="Y2749" s="69"/>
      <c r="Z2749" s="69"/>
      <c r="AA2749" s="69"/>
      <c r="AB2749" s="69"/>
      <c r="AC2749" s="69"/>
      <c r="AD2749" s="69"/>
      <c r="AE2749" s="69"/>
      <c r="AF2749" s="69"/>
      <c r="AG2749" s="69"/>
      <c r="AH2749" s="69"/>
      <c r="AI2749" s="69"/>
      <c r="AJ2749" s="69"/>
      <c r="AK2749" s="69"/>
      <c r="AL2749" s="69"/>
      <c r="AM2749" s="69"/>
      <c r="AN2749" s="69"/>
      <c r="AO2749" s="69"/>
      <c r="AP2749" s="69"/>
      <c r="AQ2749" s="69"/>
      <c r="AR2749" s="69"/>
      <c r="AS2749" s="69"/>
      <c r="AT2749" s="69"/>
      <c r="AU2749" s="69"/>
      <c r="AV2749" s="69"/>
      <c r="AW2749" s="69"/>
      <c r="AX2749" s="69"/>
      <c r="AY2749" s="69"/>
      <c r="AZ2749" s="69"/>
      <c r="BA2749" s="69"/>
      <c r="BB2749" s="69"/>
      <c r="BC2749" s="69"/>
    </row>
    <row r="2750">
      <c r="A2750" s="68"/>
      <c r="B2750" s="68"/>
      <c r="C2750" s="68"/>
      <c r="D2750" s="68"/>
      <c r="E2750" s="68"/>
      <c r="F2750" s="68"/>
      <c r="G2750" s="68"/>
      <c r="H2750" s="68"/>
      <c r="I2750" s="69"/>
      <c r="J2750" s="69"/>
      <c r="K2750" s="71"/>
      <c r="L2750" s="69"/>
      <c r="M2750" s="69"/>
      <c r="N2750" s="72"/>
      <c r="O2750" s="69"/>
      <c r="P2750" s="69"/>
      <c r="Q2750" s="69"/>
      <c r="R2750" s="69"/>
      <c r="S2750" s="69"/>
      <c r="T2750" s="69"/>
      <c r="U2750" s="69"/>
      <c r="V2750" s="69"/>
      <c r="W2750" s="69"/>
      <c r="X2750" s="69"/>
      <c r="Y2750" s="69"/>
      <c r="Z2750" s="69"/>
      <c r="AA2750" s="69"/>
      <c r="AB2750" s="69"/>
      <c r="AC2750" s="69"/>
      <c r="AD2750" s="69"/>
      <c r="AE2750" s="69"/>
      <c r="AF2750" s="69"/>
      <c r="AG2750" s="69"/>
      <c r="AH2750" s="69"/>
      <c r="AI2750" s="69"/>
      <c r="AJ2750" s="69"/>
      <c r="AK2750" s="69"/>
      <c r="AL2750" s="69"/>
      <c r="AM2750" s="69"/>
      <c r="AN2750" s="69"/>
      <c r="AO2750" s="69"/>
      <c r="AP2750" s="69"/>
      <c r="AQ2750" s="69"/>
      <c r="AR2750" s="69"/>
      <c r="AS2750" s="69"/>
      <c r="AT2750" s="69"/>
      <c r="AU2750" s="69"/>
      <c r="AV2750" s="69"/>
      <c r="AW2750" s="69"/>
      <c r="AX2750" s="69"/>
      <c r="AY2750" s="69"/>
      <c r="AZ2750" s="69"/>
      <c r="BA2750" s="69"/>
      <c r="BB2750" s="69"/>
      <c r="BC2750" s="69"/>
    </row>
    <row r="2751">
      <c r="A2751" s="68"/>
      <c r="B2751" s="68"/>
      <c r="C2751" s="68"/>
      <c r="D2751" s="68"/>
      <c r="E2751" s="68"/>
      <c r="F2751" s="68"/>
      <c r="G2751" s="68"/>
      <c r="H2751" s="68"/>
      <c r="I2751" s="69"/>
      <c r="J2751" s="69"/>
      <c r="K2751" s="71"/>
      <c r="L2751" s="69"/>
      <c r="M2751" s="69"/>
      <c r="N2751" s="72"/>
      <c r="O2751" s="69"/>
      <c r="P2751" s="69"/>
      <c r="Q2751" s="69"/>
      <c r="R2751" s="69"/>
      <c r="S2751" s="69"/>
      <c r="T2751" s="69"/>
      <c r="U2751" s="69"/>
      <c r="V2751" s="69"/>
      <c r="W2751" s="69"/>
      <c r="X2751" s="69"/>
      <c r="Y2751" s="69"/>
      <c r="Z2751" s="69"/>
      <c r="AA2751" s="69"/>
      <c r="AB2751" s="69"/>
      <c r="AC2751" s="69"/>
      <c r="AD2751" s="69"/>
      <c r="AE2751" s="69"/>
      <c r="AF2751" s="69"/>
      <c r="AG2751" s="69"/>
      <c r="AH2751" s="69"/>
      <c r="AI2751" s="69"/>
      <c r="AJ2751" s="69"/>
      <c r="AK2751" s="69"/>
      <c r="AL2751" s="69"/>
      <c r="AM2751" s="69"/>
      <c r="AN2751" s="69"/>
      <c r="AO2751" s="69"/>
      <c r="AP2751" s="69"/>
      <c r="AQ2751" s="69"/>
      <c r="AR2751" s="69"/>
      <c r="AS2751" s="69"/>
      <c r="AT2751" s="69"/>
      <c r="AU2751" s="69"/>
      <c r="AV2751" s="69"/>
      <c r="AW2751" s="69"/>
      <c r="AX2751" s="69"/>
      <c r="AY2751" s="69"/>
      <c r="AZ2751" s="69"/>
      <c r="BA2751" s="69"/>
      <c r="BB2751" s="69"/>
      <c r="BC2751" s="69"/>
    </row>
    <row r="2752">
      <c r="A2752" s="68"/>
      <c r="B2752" s="68"/>
      <c r="C2752" s="68"/>
      <c r="D2752" s="68"/>
      <c r="E2752" s="68"/>
      <c r="F2752" s="68"/>
      <c r="G2752" s="68"/>
      <c r="H2752" s="68"/>
      <c r="I2752" s="69"/>
      <c r="J2752" s="69"/>
      <c r="K2752" s="71"/>
      <c r="L2752" s="69"/>
      <c r="M2752" s="69"/>
      <c r="N2752" s="72"/>
      <c r="O2752" s="69"/>
      <c r="P2752" s="69"/>
      <c r="Q2752" s="69"/>
      <c r="R2752" s="69"/>
      <c r="S2752" s="69"/>
      <c r="T2752" s="69"/>
      <c r="U2752" s="69"/>
      <c r="V2752" s="69"/>
      <c r="W2752" s="69"/>
      <c r="X2752" s="69"/>
      <c r="Y2752" s="69"/>
      <c r="Z2752" s="69"/>
      <c r="AA2752" s="69"/>
      <c r="AB2752" s="69"/>
      <c r="AC2752" s="69"/>
      <c r="AD2752" s="69"/>
      <c r="AE2752" s="69"/>
      <c r="AF2752" s="69"/>
      <c r="AG2752" s="69"/>
      <c r="AH2752" s="69"/>
      <c r="AI2752" s="69"/>
      <c r="AJ2752" s="69"/>
      <c r="AK2752" s="69"/>
      <c r="AL2752" s="69"/>
      <c r="AM2752" s="69"/>
      <c r="AN2752" s="69"/>
      <c r="AO2752" s="69"/>
      <c r="AP2752" s="69"/>
      <c r="AQ2752" s="69"/>
      <c r="AR2752" s="69"/>
      <c r="AS2752" s="69"/>
      <c r="AT2752" s="69"/>
      <c r="AU2752" s="69"/>
      <c r="AV2752" s="69"/>
      <c r="AW2752" s="69"/>
      <c r="AX2752" s="69"/>
      <c r="AY2752" s="69"/>
      <c r="AZ2752" s="69"/>
      <c r="BA2752" s="69"/>
      <c r="BB2752" s="69"/>
      <c r="BC2752" s="69"/>
    </row>
    <row r="2753">
      <c r="A2753" s="68"/>
      <c r="B2753" s="68"/>
      <c r="C2753" s="68"/>
      <c r="D2753" s="68"/>
      <c r="E2753" s="68"/>
      <c r="F2753" s="68"/>
      <c r="G2753" s="68"/>
      <c r="H2753" s="68"/>
      <c r="I2753" s="69"/>
      <c r="J2753" s="69"/>
      <c r="K2753" s="71"/>
      <c r="L2753" s="69"/>
      <c r="M2753" s="69"/>
      <c r="N2753" s="72"/>
      <c r="O2753" s="69"/>
      <c r="P2753" s="69"/>
      <c r="Q2753" s="69"/>
      <c r="R2753" s="69"/>
      <c r="S2753" s="69"/>
      <c r="T2753" s="69"/>
      <c r="U2753" s="69"/>
      <c r="V2753" s="69"/>
      <c r="W2753" s="69"/>
      <c r="X2753" s="69"/>
      <c r="Y2753" s="69"/>
      <c r="Z2753" s="69"/>
      <c r="AA2753" s="69"/>
      <c r="AB2753" s="69"/>
      <c r="AC2753" s="69"/>
      <c r="AD2753" s="69"/>
      <c r="AE2753" s="69"/>
      <c r="AF2753" s="69"/>
      <c r="AG2753" s="69"/>
      <c r="AH2753" s="69"/>
      <c r="AI2753" s="69"/>
      <c r="AJ2753" s="69"/>
      <c r="AK2753" s="69"/>
      <c r="AL2753" s="69"/>
      <c r="AM2753" s="69"/>
      <c r="AN2753" s="69"/>
      <c r="AO2753" s="69"/>
      <c r="AP2753" s="69"/>
      <c r="AQ2753" s="69"/>
      <c r="AR2753" s="69"/>
      <c r="AS2753" s="69"/>
      <c r="AT2753" s="69"/>
      <c r="AU2753" s="69"/>
      <c r="AV2753" s="69"/>
      <c r="AW2753" s="69"/>
      <c r="AX2753" s="69"/>
      <c r="AY2753" s="69"/>
      <c r="AZ2753" s="69"/>
      <c r="BA2753" s="69"/>
      <c r="BB2753" s="69"/>
      <c r="BC2753" s="69"/>
    </row>
    <row r="2754">
      <c r="A2754" s="68"/>
      <c r="B2754" s="68"/>
      <c r="C2754" s="68"/>
      <c r="D2754" s="68"/>
      <c r="E2754" s="68"/>
      <c r="F2754" s="68"/>
      <c r="G2754" s="68"/>
      <c r="H2754" s="68"/>
      <c r="I2754" s="69"/>
      <c r="J2754" s="69"/>
      <c r="K2754" s="71"/>
      <c r="L2754" s="69"/>
      <c r="M2754" s="69"/>
      <c r="N2754" s="72"/>
      <c r="O2754" s="69"/>
      <c r="P2754" s="69"/>
      <c r="Q2754" s="69"/>
      <c r="R2754" s="69"/>
      <c r="S2754" s="69"/>
      <c r="T2754" s="69"/>
      <c r="U2754" s="69"/>
      <c r="V2754" s="69"/>
      <c r="W2754" s="69"/>
      <c r="X2754" s="69"/>
      <c r="Y2754" s="69"/>
      <c r="Z2754" s="69"/>
      <c r="AA2754" s="69"/>
      <c r="AB2754" s="69"/>
      <c r="AC2754" s="69"/>
      <c r="AD2754" s="69"/>
      <c r="AE2754" s="69"/>
      <c r="AF2754" s="69"/>
      <c r="AG2754" s="69"/>
      <c r="AH2754" s="69"/>
      <c r="AI2754" s="69"/>
      <c r="AJ2754" s="69"/>
      <c r="AK2754" s="69"/>
      <c r="AL2754" s="69"/>
      <c r="AM2754" s="69"/>
      <c r="AN2754" s="69"/>
      <c r="AO2754" s="69"/>
      <c r="AP2754" s="69"/>
      <c r="AQ2754" s="69"/>
      <c r="AR2754" s="69"/>
      <c r="AS2754" s="69"/>
      <c r="AT2754" s="69"/>
      <c r="AU2754" s="69"/>
      <c r="AV2754" s="69"/>
      <c r="AW2754" s="69"/>
      <c r="AX2754" s="69"/>
      <c r="AY2754" s="69"/>
      <c r="AZ2754" s="69"/>
      <c r="BA2754" s="69"/>
      <c r="BB2754" s="69"/>
      <c r="BC2754" s="69"/>
    </row>
    <row r="2755">
      <c r="A2755" s="68"/>
      <c r="B2755" s="68"/>
      <c r="C2755" s="68"/>
      <c r="D2755" s="68"/>
      <c r="E2755" s="68"/>
      <c r="F2755" s="68"/>
      <c r="G2755" s="68"/>
      <c r="H2755" s="68"/>
      <c r="I2755" s="69"/>
      <c r="J2755" s="69"/>
      <c r="K2755" s="71"/>
      <c r="L2755" s="69"/>
      <c r="M2755" s="69"/>
      <c r="N2755" s="72"/>
      <c r="O2755" s="69"/>
      <c r="P2755" s="69"/>
      <c r="Q2755" s="69"/>
      <c r="R2755" s="69"/>
      <c r="S2755" s="69"/>
      <c r="T2755" s="69"/>
      <c r="U2755" s="69"/>
      <c r="V2755" s="69"/>
      <c r="W2755" s="69"/>
      <c r="X2755" s="69"/>
      <c r="Y2755" s="69"/>
      <c r="Z2755" s="69"/>
      <c r="AA2755" s="69"/>
      <c r="AB2755" s="69"/>
      <c r="AC2755" s="69"/>
      <c r="AD2755" s="69"/>
      <c r="AE2755" s="69"/>
      <c r="AF2755" s="69"/>
      <c r="AG2755" s="69"/>
      <c r="AH2755" s="69"/>
      <c r="AI2755" s="69"/>
      <c r="AJ2755" s="69"/>
      <c r="AK2755" s="69"/>
      <c r="AL2755" s="69"/>
      <c r="AM2755" s="69"/>
      <c r="AN2755" s="69"/>
      <c r="AO2755" s="69"/>
      <c r="AP2755" s="69"/>
      <c r="AQ2755" s="69"/>
      <c r="AR2755" s="69"/>
      <c r="AS2755" s="69"/>
      <c r="AT2755" s="69"/>
      <c r="AU2755" s="69"/>
      <c r="AV2755" s="69"/>
      <c r="AW2755" s="69"/>
      <c r="AX2755" s="69"/>
      <c r="AY2755" s="69"/>
      <c r="AZ2755" s="69"/>
      <c r="BA2755" s="69"/>
      <c r="BB2755" s="69"/>
      <c r="BC2755" s="69"/>
    </row>
    <row r="2756">
      <c r="A2756" s="68"/>
      <c r="B2756" s="68"/>
      <c r="C2756" s="68"/>
      <c r="D2756" s="68"/>
      <c r="E2756" s="68"/>
      <c r="F2756" s="68"/>
      <c r="G2756" s="68"/>
      <c r="H2756" s="68"/>
      <c r="I2756" s="69"/>
      <c r="J2756" s="69"/>
      <c r="K2756" s="71"/>
      <c r="L2756" s="69"/>
      <c r="M2756" s="69"/>
      <c r="N2756" s="72"/>
      <c r="O2756" s="69"/>
      <c r="P2756" s="69"/>
      <c r="Q2756" s="69"/>
      <c r="R2756" s="69"/>
      <c r="S2756" s="69"/>
      <c r="T2756" s="69"/>
      <c r="U2756" s="69"/>
      <c r="V2756" s="69"/>
      <c r="W2756" s="69"/>
      <c r="X2756" s="69"/>
      <c r="Y2756" s="69"/>
      <c r="Z2756" s="69"/>
      <c r="AA2756" s="69"/>
      <c r="AB2756" s="69"/>
      <c r="AC2756" s="69"/>
      <c r="AD2756" s="69"/>
      <c r="AE2756" s="69"/>
      <c r="AF2756" s="69"/>
      <c r="AG2756" s="69"/>
      <c r="AH2756" s="69"/>
      <c r="AI2756" s="69"/>
      <c r="AJ2756" s="69"/>
      <c r="AK2756" s="69"/>
      <c r="AL2756" s="69"/>
      <c r="AM2756" s="69"/>
      <c r="AN2756" s="69"/>
      <c r="AO2756" s="69"/>
      <c r="AP2756" s="69"/>
      <c r="AQ2756" s="69"/>
      <c r="AR2756" s="69"/>
      <c r="AS2756" s="69"/>
      <c r="AT2756" s="69"/>
      <c r="AU2756" s="69"/>
      <c r="AV2756" s="69"/>
      <c r="AW2756" s="69"/>
      <c r="AX2756" s="69"/>
      <c r="AY2756" s="69"/>
      <c r="AZ2756" s="69"/>
      <c r="BA2756" s="69"/>
      <c r="BB2756" s="69"/>
      <c r="BC2756" s="69"/>
    </row>
    <row r="2757">
      <c r="A2757" s="68"/>
      <c r="B2757" s="68"/>
      <c r="C2757" s="68"/>
      <c r="D2757" s="68"/>
      <c r="E2757" s="68"/>
      <c r="F2757" s="68"/>
      <c r="G2757" s="68"/>
      <c r="H2757" s="68"/>
      <c r="I2757" s="69"/>
      <c r="J2757" s="69"/>
      <c r="K2757" s="71"/>
      <c r="L2757" s="69"/>
      <c r="M2757" s="69"/>
      <c r="N2757" s="72"/>
      <c r="O2757" s="69"/>
      <c r="P2757" s="69"/>
      <c r="Q2757" s="69"/>
      <c r="R2757" s="69"/>
      <c r="S2757" s="69"/>
      <c r="T2757" s="69"/>
      <c r="U2757" s="69"/>
      <c r="V2757" s="69"/>
      <c r="W2757" s="69"/>
      <c r="X2757" s="69"/>
      <c r="Y2757" s="69"/>
      <c r="Z2757" s="69"/>
      <c r="AA2757" s="69"/>
      <c r="AB2757" s="69"/>
      <c r="AC2757" s="69"/>
      <c r="AD2757" s="69"/>
      <c r="AE2757" s="69"/>
      <c r="AF2757" s="69"/>
      <c r="AG2757" s="69"/>
      <c r="AH2757" s="69"/>
      <c r="AI2757" s="69"/>
      <c r="AJ2757" s="69"/>
      <c r="AK2757" s="69"/>
      <c r="AL2757" s="69"/>
      <c r="AM2757" s="69"/>
      <c r="AN2757" s="69"/>
      <c r="AO2757" s="69"/>
      <c r="AP2757" s="69"/>
      <c r="AQ2757" s="69"/>
      <c r="AR2757" s="69"/>
      <c r="AS2757" s="69"/>
      <c r="AT2757" s="69"/>
      <c r="AU2757" s="69"/>
      <c r="AV2757" s="69"/>
      <c r="AW2757" s="69"/>
      <c r="AX2757" s="69"/>
      <c r="AY2757" s="69"/>
      <c r="AZ2757" s="69"/>
      <c r="BA2757" s="69"/>
      <c r="BB2757" s="69"/>
      <c r="BC2757" s="69"/>
    </row>
    <row r="2758">
      <c r="A2758" s="68"/>
      <c r="B2758" s="68"/>
      <c r="C2758" s="68"/>
      <c r="D2758" s="68"/>
      <c r="E2758" s="68"/>
      <c r="F2758" s="68"/>
      <c r="G2758" s="68"/>
      <c r="H2758" s="68"/>
      <c r="I2758" s="69"/>
      <c r="J2758" s="69"/>
      <c r="K2758" s="71"/>
      <c r="L2758" s="69"/>
      <c r="M2758" s="69"/>
      <c r="N2758" s="72"/>
      <c r="O2758" s="69"/>
      <c r="P2758" s="69"/>
      <c r="Q2758" s="69"/>
      <c r="R2758" s="69"/>
      <c r="S2758" s="69"/>
      <c r="T2758" s="69"/>
      <c r="U2758" s="69"/>
      <c r="V2758" s="69"/>
      <c r="W2758" s="69"/>
      <c r="X2758" s="69"/>
      <c r="Y2758" s="69"/>
      <c r="Z2758" s="69"/>
      <c r="AA2758" s="69"/>
      <c r="AB2758" s="69"/>
      <c r="AC2758" s="69"/>
      <c r="AD2758" s="69"/>
      <c r="AE2758" s="69"/>
      <c r="AF2758" s="69"/>
      <c r="AG2758" s="69"/>
      <c r="AH2758" s="69"/>
      <c r="AI2758" s="69"/>
      <c r="AJ2758" s="69"/>
      <c r="AK2758" s="69"/>
      <c r="AL2758" s="69"/>
      <c r="AM2758" s="69"/>
      <c r="AN2758" s="69"/>
      <c r="AO2758" s="69"/>
      <c r="AP2758" s="69"/>
      <c r="AQ2758" s="69"/>
      <c r="AR2758" s="69"/>
      <c r="AS2758" s="69"/>
      <c r="AT2758" s="69"/>
      <c r="AU2758" s="69"/>
      <c r="AV2758" s="69"/>
      <c r="AW2758" s="69"/>
      <c r="AX2758" s="69"/>
      <c r="AY2758" s="69"/>
      <c r="AZ2758" s="69"/>
      <c r="BA2758" s="69"/>
      <c r="BB2758" s="69"/>
      <c r="BC2758" s="69"/>
    </row>
    <row r="2759">
      <c r="A2759" s="68"/>
      <c r="B2759" s="68"/>
      <c r="C2759" s="68"/>
      <c r="D2759" s="68"/>
      <c r="E2759" s="68"/>
      <c r="F2759" s="68"/>
      <c r="G2759" s="68"/>
      <c r="H2759" s="68"/>
      <c r="I2759" s="69"/>
      <c r="J2759" s="69"/>
      <c r="K2759" s="71"/>
      <c r="L2759" s="69"/>
      <c r="M2759" s="69"/>
      <c r="N2759" s="72"/>
      <c r="O2759" s="69"/>
      <c r="P2759" s="69"/>
      <c r="Q2759" s="69"/>
      <c r="R2759" s="69"/>
      <c r="S2759" s="69"/>
      <c r="T2759" s="69"/>
      <c r="U2759" s="69"/>
      <c r="V2759" s="69"/>
      <c r="W2759" s="69"/>
      <c r="X2759" s="69"/>
      <c r="Y2759" s="69"/>
      <c r="Z2759" s="69"/>
      <c r="AA2759" s="69"/>
      <c r="AB2759" s="69"/>
      <c r="AC2759" s="69"/>
      <c r="AD2759" s="69"/>
      <c r="AE2759" s="69"/>
      <c r="AF2759" s="69"/>
      <c r="AG2759" s="69"/>
      <c r="AH2759" s="69"/>
      <c r="AI2759" s="69"/>
      <c r="AJ2759" s="69"/>
      <c r="AK2759" s="69"/>
      <c r="AL2759" s="69"/>
      <c r="AM2759" s="69"/>
      <c r="AN2759" s="69"/>
      <c r="AO2759" s="69"/>
      <c r="AP2759" s="69"/>
      <c r="AQ2759" s="69"/>
      <c r="AR2759" s="69"/>
      <c r="AS2759" s="69"/>
      <c r="AT2759" s="69"/>
      <c r="AU2759" s="69"/>
      <c r="AV2759" s="69"/>
      <c r="AW2759" s="69"/>
      <c r="AX2759" s="69"/>
      <c r="AY2759" s="69"/>
      <c r="AZ2759" s="69"/>
      <c r="BA2759" s="69"/>
      <c r="BB2759" s="69"/>
      <c r="BC2759" s="69"/>
    </row>
    <row r="2760">
      <c r="A2760" s="68"/>
      <c r="B2760" s="68"/>
      <c r="C2760" s="68"/>
      <c r="D2760" s="68"/>
      <c r="E2760" s="68"/>
      <c r="F2760" s="68"/>
      <c r="G2760" s="68"/>
      <c r="H2760" s="68"/>
      <c r="I2760" s="69"/>
      <c r="J2760" s="69"/>
      <c r="K2760" s="71"/>
      <c r="L2760" s="69"/>
      <c r="M2760" s="69"/>
      <c r="N2760" s="72"/>
      <c r="O2760" s="69"/>
      <c r="P2760" s="69"/>
      <c r="Q2760" s="69"/>
      <c r="R2760" s="69"/>
      <c r="S2760" s="69"/>
      <c r="T2760" s="69"/>
      <c r="U2760" s="69"/>
      <c r="V2760" s="69"/>
      <c r="W2760" s="69"/>
      <c r="X2760" s="69"/>
      <c r="Y2760" s="69"/>
      <c r="Z2760" s="69"/>
      <c r="AA2760" s="69"/>
      <c r="AB2760" s="69"/>
      <c r="AC2760" s="69"/>
      <c r="AD2760" s="69"/>
      <c r="AE2760" s="69"/>
      <c r="AF2760" s="69"/>
      <c r="AG2760" s="69"/>
      <c r="AH2760" s="69"/>
      <c r="AI2760" s="69"/>
      <c r="AJ2760" s="69"/>
      <c r="AK2760" s="69"/>
      <c r="AL2760" s="69"/>
      <c r="AM2760" s="69"/>
      <c r="AN2760" s="69"/>
      <c r="AO2760" s="69"/>
      <c r="AP2760" s="69"/>
      <c r="AQ2760" s="69"/>
      <c r="AR2760" s="69"/>
      <c r="AS2760" s="69"/>
      <c r="AT2760" s="69"/>
      <c r="AU2760" s="69"/>
      <c r="AV2760" s="69"/>
      <c r="AW2760" s="69"/>
      <c r="AX2760" s="69"/>
      <c r="AY2760" s="69"/>
      <c r="AZ2760" s="69"/>
      <c r="BA2760" s="69"/>
      <c r="BB2760" s="69"/>
      <c r="BC2760" s="69"/>
    </row>
    <row r="2761">
      <c r="A2761" s="68"/>
      <c r="B2761" s="68"/>
      <c r="C2761" s="68"/>
      <c r="D2761" s="68"/>
      <c r="E2761" s="68"/>
      <c r="F2761" s="68"/>
      <c r="G2761" s="68"/>
      <c r="H2761" s="68"/>
      <c r="I2761" s="69"/>
      <c r="J2761" s="69"/>
      <c r="K2761" s="71"/>
      <c r="L2761" s="69"/>
      <c r="M2761" s="69"/>
      <c r="N2761" s="72"/>
      <c r="O2761" s="69"/>
      <c r="P2761" s="69"/>
      <c r="Q2761" s="69"/>
      <c r="R2761" s="69"/>
      <c r="S2761" s="69"/>
      <c r="T2761" s="69"/>
      <c r="U2761" s="69"/>
      <c r="V2761" s="69"/>
      <c r="W2761" s="69"/>
      <c r="X2761" s="69"/>
      <c r="Y2761" s="69"/>
      <c r="Z2761" s="69"/>
      <c r="AA2761" s="69"/>
      <c r="AB2761" s="69"/>
      <c r="AC2761" s="69"/>
      <c r="AD2761" s="69"/>
      <c r="AE2761" s="69"/>
      <c r="AF2761" s="69"/>
      <c r="AG2761" s="69"/>
      <c r="AH2761" s="69"/>
      <c r="AI2761" s="69"/>
      <c r="AJ2761" s="69"/>
      <c r="AK2761" s="69"/>
      <c r="AL2761" s="69"/>
      <c r="AM2761" s="69"/>
      <c r="AN2761" s="69"/>
      <c r="AO2761" s="69"/>
      <c r="AP2761" s="69"/>
      <c r="AQ2761" s="69"/>
      <c r="AR2761" s="69"/>
      <c r="AS2761" s="69"/>
      <c r="AT2761" s="69"/>
      <c r="AU2761" s="69"/>
      <c r="AV2761" s="69"/>
      <c r="AW2761" s="69"/>
      <c r="AX2761" s="69"/>
      <c r="AY2761" s="69"/>
      <c r="AZ2761" s="69"/>
      <c r="BA2761" s="69"/>
      <c r="BB2761" s="69"/>
      <c r="BC2761" s="69"/>
    </row>
    <row r="2762">
      <c r="A2762" s="68"/>
      <c r="B2762" s="68"/>
      <c r="C2762" s="68"/>
      <c r="D2762" s="68"/>
      <c r="E2762" s="68"/>
      <c r="F2762" s="68"/>
      <c r="G2762" s="68"/>
      <c r="H2762" s="68"/>
      <c r="I2762" s="69"/>
      <c r="J2762" s="69"/>
      <c r="K2762" s="71"/>
      <c r="L2762" s="69"/>
      <c r="M2762" s="69"/>
      <c r="N2762" s="72"/>
      <c r="O2762" s="69"/>
      <c r="P2762" s="69"/>
      <c r="Q2762" s="69"/>
      <c r="R2762" s="69"/>
      <c r="S2762" s="69"/>
      <c r="T2762" s="69"/>
      <c r="U2762" s="69"/>
      <c r="V2762" s="69"/>
      <c r="W2762" s="69"/>
      <c r="X2762" s="69"/>
      <c r="Y2762" s="69"/>
      <c r="Z2762" s="69"/>
      <c r="AA2762" s="69"/>
      <c r="AB2762" s="69"/>
      <c r="AC2762" s="69"/>
      <c r="AD2762" s="69"/>
      <c r="AE2762" s="69"/>
      <c r="AF2762" s="69"/>
      <c r="AG2762" s="69"/>
      <c r="AH2762" s="69"/>
      <c r="AI2762" s="69"/>
      <c r="AJ2762" s="69"/>
      <c r="AK2762" s="69"/>
      <c r="AL2762" s="69"/>
      <c r="AM2762" s="69"/>
      <c r="AN2762" s="69"/>
      <c r="AO2762" s="69"/>
      <c r="AP2762" s="69"/>
      <c r="AQ2762" s="69"/>
      <c r="AR2762" s="69"/>
      <c r="AS2762" s="69"/>
      <c r="AT2762" s="69"/>
      <c r="AU2762" s="69"/>
      <c r="AV2762" s="69"/>
      <c r="AW2762" s="69"/>
      <c r="AX2762" s="69"/>
      <c r="AY2762" s="69"/>
      <c r="AZ2762" s="69"/>
      <c r="BA2762" s="69"/>
      <c r="BB2762" s="69"/>
      <c r="BC2762" s="69"/>
    </row>
    <row r="2763">
      <c r="A2763" s="68"/>
      <c r="B2763" s="68"/>
      <c r="C2763" s="68"/>
      <c r="D2763" s="68"/>
      <c r="E2763" s="68"/>
      <c r="F2763" s="68"/>
      <c r="G2763" s="68"/>
      <c r="H2763" s="68"/>
      <c r="I2763" s="69"/>
      <c r="J2763" s="69"/>
      <c r="K2763" s="71"/>
      <c r="L2763" s="69"/>
      <c r="M2763" s="69"/>
      <c r="N2763" s="72"/>
      <c r="O2763" s="69"/>
      <c r="P2763" s="69"/>
      <c r="Q2763" s="69"/>
      <c r="R2763" s="69"/>
      <c r="S2763" s="69"/>
      <c r="T2763" s="69"/>
      <c r="U2763" s="69"/>
      <c r="V2763" s="69"/>
      <c r="W2763" s="69"/>
      <c r="X2763" s="69"/>
      <c r="Y2763" s="69"/>
      <c r="Z2763" s="69"/>
      <c r="AA2763" s="69"/>
      <c r="AB2763" s="69"/>
      <c r="AC2763" s="69"/>
      <c r="AD2763" s="69"/>
      <c r="AE2763" s="69"/>
      <c r="AF2763" s="69"/>
      <c r="AG2763" s="69"/>
      <c r="AH2763" s="69"/>
      <c r="AI2763" s="69"/>
      <c r="AJ2763" s="69"/>
      <c r="AK2763" s="69"/>
      <c r="AL2763" s="69"/>
      <c r="AM2763" s="69"/>
      <c r="AN2763" s="69"/>
      <c r="AO2763" s="69"/>
      <c r="AP2763" s="69"/>
      <c r="AQ2763" s="69"/>
      <c r="AR2763" s="69"/>
      <c r="AS2763" s="69"/>
      <c r="AT2763" s="69"/>
      <c r="AU2763" s="69"/>
      <c r="AV2763" s="69"/>
      <c r="AW2763" s="69"/>
      <c r="AX2763" s="69"/>
      <c r="AY2763" s="69"/>
      <c r="AZ2763" s="69"/>
      <c r="BA2763" s="69"/>
      <c r="BB2763" s="69"/>
      <c r="BC2763" s="69"/>
    </row>
    <row r="2764">
      <c r="A2764" s="68"/>
      <c r="B2764" s="68"/>
      <c r="C2764" s="68"/>
      <c r="D2764" s="68"/>
      <c r="E2764" s="68"/>
      <c r="F2764" s="68"/>
      <c r="G2764" s="68"/>
      <c r="H2764" s="68"/>
      <c r="I2764" s="69"/>
      <c r="J2764" s="69"/>
      <c r="K2764" s="71"/>
      <c r="L2764" s="69"/>
      <c r="M2764" s="69"/>
      <c r="N2764" s="72"/>
      <c r="O2764" s="69"/>
      <c r="P2764" s="69"/>
      <c r="Q2764" s="69"/>
      <c r="R2764" s="69"/>
      <c r="S2764" s="69"/>
      <c r="T2764" s="69"/>
      <c r="U2764" s="69"/>
      <c r="V2764" s="69"/>
      <c r="W2764" s="69"/>
      <c r="X2764" s="69"/>
      <c r="Y2764" s="69"/>
      <c r="Z2764" s="69"/>
      <c r="AA2764" s="69"/>
      <c r="AB2764" s="69"/>
      <c r="AC2764" s="69"/>
      <c r="AD2764" s="69"/>
      <c r="AE2764" s="69"/>
      <c r="AF2764" s="69"/>
      <c r="AG2764" s="69"/>
      <c r="AH2764" s="69"/>
      <c r="AI2764" s="69"/>
      <c r="AJ2764" s="69"/>
      <c r="AK2764" s="69"/>
      <c r="AL2764" s="69"/>
      <c r="AM2764" s="69"/>
      <c r="AN2764" s="69"/>
      <c r="AO2764" s="69"/>
      <c r="AP2764" s="69"/>
      <c r="AQ2764" s="69"/>
      <c r="AR2764" s="69"/>
      <c r="AS2764" s="69"/>
      <c r="AT2764" s="69"/>
      <c r="AU2764" s="69"/>
      <c r="AV2764" s="69"/>
      <c r="AW2764" s="69"/>
      <c r="AX2764" s="69"/>
      <c r="AY2764" s="69"/>
      <c r="AZ2764" s="69"/>
      <c r="BA2764" s="69"/>
      <c r="BB2764" s="69"/>
      <c r="BC2764" s="69"/>
    </row>
    <row r="2765">
      <c r="A2765" s="68"/>
      <c r="B2765" s="68"/>
      <c r="C2765" s="68"/>
      <c r="D2765" s="68"/>
      <c r="E2765" s="68"/>
      <c r="F2765" s="68"/>
      <c r="G2765" s="68"/>
      <c r="H2765" s="68"/>
      <c r="I2765" s="69"/>
      <c r="J2765" s="69"/>
      <c r="K2765" s="71"/>
      <c r="L2765" s="69"/>
      <c r="M2765" s="69"/>
      <c r="N2765" s="72"/>
      <c r="O2765" s="69"/>
      <c r="P2765" s="69"/>
      <c r="Q2765" s="69"/>
      <c r="R2765" s="69"/>
      <c r="S2765" s="69"/>
      <c r="T2765" s="69"/>
      <c r="U2765" s="69"/>
      <c r="V2765" s="69"/>
      <c r="W2765" s="69"/>
      <c r="X2765" s="69"/>
      <c r="Y2765" s="69"/>
      <c r="Z2765" s="69"/>
      <c r="AA2765" s="69"/>
      <c r="AB2765" s="69"/>
      <c r="AC2765" s="69"/>
      <c r="AD2765" s="69"/>
      <c r="AE2765" s="69"/>
      <c r="AF2765" s="69"/>
      <c r="AG2765" s="69"/>
      <c r="AH2765" s="69"/>
      <c r="AI2765" s="69"/>
      <c r="AJ2765" s="69"/>
      <c r="AK2765" s="69"/>
      <c r="AL2765" s="69"/>
      <c r="AM2765" s="69"/>
      <c r="AN2765" s="69"/>
      <c r="AO2765" s="69"/>
      <c r="AP2765" s="69"/>
      <c r="AQ2765" s="69"/>
      <c r="AR2765" s="69"/>
      <c r="AS2765" s="69"/>
      <c r="AT2765" s="69"/>
      <c r="AU2765" s="69"/>
      <c r="AV2765" s="69"/>
      <c r="AW2765" s="69"/>
      <c r="AX2765" s="69"/>
      <c r="AY2765" s="69"/>
      <c r="AZ2765" s="69"/>
      <c r="BA2765" s="69"/>
      <c r="BB2765" s="69"/>
      <c r="BC2765" s="69"/>
    </row>
    <row r="2766">
      <c r="A2766" s="68"/>
      <c r="B2766" s="68"/>
      <c r="C2766" s="68"/>
      <c r="D2766" s="68"/>
      <c r="E2766" s="68"/>
      <c r="F2766" s="68"/>
      <c r="G2766" s="68"/>
      <c r="H2766" s="68"/>
      <c r="I2766" s="69"/>
      <c r="J2766" s="69"/>
      <c r="K2766" s="71"/>
      <c r="L2766" s="69"/>
      <c r="M2766" s="69"/>
      <c r="N2766" s="72"/>
      <c r="O2766" s="69"/>
      <c r="P2766" s="69"/>
      <c r="Q2766" s="69"/>
      <c r="R2766" s="69"/>
      <c r="S2766" s="69"/>
      <c r="T2766" s="69"/>
      <c r="U2766" s="69"/>
      <c r="V2766" s="69"/>
      <c r="W2766" s="69"/>
      <c r="X2766" s="69"/>
      <c r="Y2766" s="69"/>
      <c r="Z2766" s="69"/>
      <c r="AA2766" s="69"/>
      <c r="AB2766" s="69"/>
      <c r="AC2766" s="69"/>
      <c r="AD2766" s="69"/>
      <c r="AE2766" s="69"/>
      <c r="AF2766" s="69"/>
      <c r="AG2766" s="69"/>
      <c r="AH2766" s="69"/>
      <c r="AI2766" s="69"/>
      <c r="AJ2766" s="69"/>
      <c r="AK2766" s="69"/>
      <c r="AL2766" s="69"/>
      <c r="AM2766" s="69"/>
      <c r="AN2766" s="69"/>
      <c r="AO2766" s="69"/>
      <c r="AP2766" s="69"/>
      <c r="AQ2766" s="69"/>
      <c r="AR2766" s="69"/>
      <c r="AS2766" s="69"/>
      <c r="AT2766" s="69"/>
      <c r="AU2766" s="69"/>
      <c r="AV2766" s="69"/>
      <c r="AW2766" s="69"/>
      <c r="AX2766" s="69"/>
      <c r="AY2766" s="69"/>
      <c r="AZ2766" s="69"/>
      <c r="BA2766" s="69"/>
      <c r="BB2766" s="69"/>
      <c r="BC2766" s="69"/>
    </row>
    <row r="2767">
      <c r="A2767" s="68"/>
      <c r="B2767" s="68"/>
      <c r="C2767" s="68"/>
      <c r="D2767" s="68"/>
      <c r="E2767" s="68"/>
      <c r="F2767" s="68"/>
      <c r="G2767" s="68"/>
      <c r="H2767" s="68"/>
      <c r="I2767" s="69"/>
      <c r="J2767" s="69"/>
      <c r="K2767" s="71"/>
      <c r="L2767" s="69"/>
      <c r="M2767" s="69"/>
      <c r="N2767" s="72"/>
      <c r="O2767" s="69"/>
      <c r="P2767" s="69"/>
      <c r="Q2767" s="69"/>
      <c r="R2767" s="69"/>
      <c r="S2767" s="69"/>
      <c r="T2767" s="69"/>
      <c r="U2767" s="69"/>
      <c r="V2767" s="69"/>
      <c r="W2767" s="69"/>
      <c r="X2767" s="69"/>
      <c r="Y2767" s="69"/>
      <c r="Z2767" s="69"/>
      <c r="AA2767" s="69"/>
      <c r="AB2767" s="69"/>
      <c r="AC2767" s="69"/>
      <c r="AD2767" s="69"/>
      <c r="AE2767" s="69"/>
      <c r="AF2767" s="69"/>
      <c r="AG2767" s="69"/>
      <c r="AH2767" s="69"/>
      <c r="AI2767" s="69"/>
      <c r="AJ2767" s="69"/>
      <c r="AK2767" s="69"/>
      <c r="AL2767" s="69"/>
      <c r="AM2767" s="69"/>
      <c r="AN2767" s="69"/>
      <c r="AO2767" s="69"/>
      <c r="AP2767" s="69"/>
      <c r="AQ2767" s="69"/>
      <c r="AR2767" s="69"/>
      <c r="AS2767" s="69"/>
      <c r="AT2767" s="69"/>
      <c r="AU2767" s="69"/>
      <c r="AV2767" s="69"/>
      <c r="AW2767" s="69"/>
      <c r="AX2767" s="69"/>
      <c r="AY2767" s="69"/>
      <c r="AZ2767" s="69"/>
      <c r="BA2767" s="69"/>
      <c r="BB2767" s="69"/>
      <c r="BC2767" s="69"/>
    </row>
    <row r="2768">
      <c r="A2768" s="68"/>
      <c r="B2768" s="68"/>
      <c r="C2768" s="68"/>
      <c r="D2768" s="68"/>
      <c r="E2768" s="68"/>
      <c r="F2768" s="68"/>
      <c r="G2768" s="68"/>
      <c r="H2768" s="68"/>
      <c r="I2768" s="69"/>
      <c r="J2768" s="69"/>
      <c r="K2768" s="71"/>
      <c r="L2768" s="69"/>
      <c r="M2768" s="69"/>
      <c r="N2768" s="72"/>
      <c r="O2768" s="69"/>
      <c r="P2768" s="69"/>
      <c r="Q2768" s="69"/>
      <c r="R2768" s="69"/>
      <c r="S2768" s="69"/>
      <c r="T2768" s="69"/>
      <c r="U2768" s="69"/>
      <c r="V2768" s="69"/>
      <c r="W2768" s="69"/>
      <c r="X2768" s="69"/>
      <c r="Y2768" s="69"/>
      <c r="Z2768" s="69"/>
      <c r="AA2768" s="69"/>
      <c r="AB2768" s="69"/>
      <c r="AC2768" s="69"/>
      <c r="AD2768" s="69"/>
      <c r="AE2768" s="69"/>
      <c r="AF2768" s="69"/>
      <c r="AG2768" s="69"/>
      <c r="AH2768" s="69"/>
      <c r="AI2768" s="69"/>
      <c r="AJ2768" s="69"/>
      <c r="AK2768" s="69"/>
      <c r="AL2768" s="69"/>
      <c r="AM2768" s="69"/>
      <c r="AN2768" s="69"/>
      <c r="AO2768" s="69"/>
      <c r="AP2768" s="69"/>
      <c r="AQ2768" s="69"/>
      <c r="AR2768" s="69"/>
      <c r="AS2768" s="69"/>
      <c r="AT2768" s="69"/>
      <c r="AU2768" s="69"/>
      <c r="AV2768" s="69"/>
      <c r="AW2768" s="69"/>
      <c r="AX2768" s="69"/>
      <c r="AY2768" s="69"/>
      <c r="AZ2768" s="69"/>
      <c r="BA2768" s="69"/>
      <c r="BB2768" s="69"/>
      <c r="BC2768" s="69"/>
    </row>
    <row r="2769">
      <c r="A2769" s="68"/>
      <c r="B2769" s="68"/>
      <c r="C2769" s="68"/>
      <c r="D2769" s="68"/>
      <c r="E2769" s="68"/>
      <c r="F2769" s="68"/>
      <c r="G2769" s="68"/>
      <c r="H2769" s="68"/>
      <c r="I2769" s="69"/>
      <c r="J2769" s="69"/>
      <c r="K2769" s="71"/>
      <c r="L2769" s="69"/>
      <c r="M2769" s="69"/>
      <c r="N2769" s="72"/>
      <c r="O2769" s="69"/>
      <c r="P2769" s="69"/>
      <c r="Q2769" s="69"/>
      <c r="R2769" s="69"/>
      <c r="S2769" s="69"/>
      <c r="T2769" s="69"/>
      <c r="U2769" s="69"/>
      <c r="V2769" s="69"/>
      <c r="W2769" s="69"/>
      <c r="X2769" s="69"/>
      <c r="Y2769" s="69"/>
      <c r="Z2769" s="69"/>
      <c r="AA2769" s="69"/>
      <c r="AB2769" s="69"/>
      <c r="AC2769" s="69"/>
      <c r="AD2769" s="69"/>
      <c r="AE2769" s="69"/>
      <c r="AF2769" s="69"/>
      <c r="AG2769" s="69"/>
      <c r="AH2769" s="69"/>
      <c r="AI2769" s="69"/>
      <c r="AJ2769" s="69"/>
      <c r="AK2769" s="69"/>
      <c r="AL2769" s="69"/>
      <c r="AM2769" s="69"/>
      <c r="AN2769" s="69"/>
      <c r="AO2769" s="69"/>
      <c r="AP2769" s="69"/>
      <c r="AQ2769" s="69"/>
      <c r="AR2769" s="69"/>
      <c r="AS2769" s="69"/>
      <c r="AT2769" s="69"/>
      <c r="AU2769" s="69"/>
      <c r="AV2769" s="69"/>
      <c r="AW2769" s="69"/>
      <c r="AX2769" s="69"/>
      <c r="AY2769" s="69"/>
      <c r="AZ2769" s="69"/>
      <c r="BA2769" s="69"/>
      <c r="BB2769" s="69"/>
      <c r="BC2769" s="69"/>
    </row>
    <row r="2770">
      <c r="A2770" s="68"/>
      <c r="B2770" s="68"/>
      <c r="C2770" s="68"/>
      <c r="D2770" s="68"/>
      <c r="E2770" s="68"/>
      <c r="F2770" s="68"/>
      <c r="G2770" s="68"/>
      <c r="H2770" s="68"/>
      <c r="I2770" s="69"/>
      <c r="J2770" s="69"/>
      <c r="K2770" s="71"/>
      <c r="L2770" s="69"/>
      <c r="M2770" s="69"/>
      <c r="N2770" s="72"/>
      <c r="O2770" s="69"/>
      <c r="P2770" s="69"/>
      <c r="Q2770" s="69"/>
      <c r="R2770" s="69"/>
      <c r="S2770" s="69"/>
      <c r="T2770" s="69"/>
      <c r="U2770" s="69"/>
      <c r="V2770" s="69"/>
      <c r="W2770" s="69"/>
      <c r="X2770" s="69"/>
      <c r="Y2770" s="69"/>
      <c r="Z2770" s="69"/>
      <c r="AA2770" s="69"/>
      <c r="AB2770" s="69"/>
      <c r="AC2770" s="69"/>
      <c r="AD2770" s="69"/>
      <c r="AE2770" s="69"/>
      <c r="AF2770" s="69"/>
      <c r="AG2770" s="69"/>
      <c r="AH2770" s="69"/>
      <c r="AI2770" s="69"/>
      <c r="AJ2770" s="69"/>
      <c r="AK2770" s="69"/>
      <c r="AL2770" s="69"/>
      <c r="AM2770" s="69"/>
      <c r="AN2770" s="69"/>
      <c r="AO2770" s="69"/>
      <c r="AP2770" s="69"/>
      <c r="AQ2770" s="69"/>
      <c r="AR2770" s="69"/>
      <c r="AS2770" s="69"/>
      <c r="AT2770" s="69"/>
      <c r="AU2770" s="69"/>
      <c r="AV2770" s="69"/>
      <c r="AW2770" s="69"/>
      <c r="AX2770" s="69"/>
      <c r="AY2770" s="69"/>
      <c r="AZ2770" s="69"/>
      <c r="BA2770" s="69"/>
      <c r="BB2770" s="69"/>
      <c r="BC2770" s="69"/>
    </row>
    <row r="2771">
      <c r="A2771" s="68"/>
      <c r="B2771" s="68"/>
      <c r="C2771" s="68"/>
      <c r="D2771" s="68"/>
      <c r="E2771" s="68"/>
      <c r="F2771" s="68"/>
      <c r="G2771" s="68"/>
      <c r="H2771" s="68"/>
      <c r="I2771" s="69"/>
      <c r="J2771" s="69"/>
      <c r="K2771" s="71"/>
      <c r="L2771" s="69"/>
      <c r="M2771" s="69"/>
      <c r="N2771" s="72"/>
      <c r="O2771" s="69"/>
      <c r="P2771" s="69"/>
      <c r="Q2771" s="69"/>
      <c r="R2771" s="69"/>
      <c r="S2771" s="69"/>
      <c r="T2771" s="69"/>
      <c r="U2771" s="69"/>
      <c r="V2771" s="69"/>
      <c r="W2771" s="69"/>
      <c r="X2771" s="69"/>
      <c r="Y2771" s="69"/>
      <c r="Z2771" s="69"/>
      <c r="AA2771" s="69"/>
      <c r="AB2771" s="69"/>
      <c r="AC2771" s="69"/>
      <c r="AD2771" s="69"/>
      <c r="AE2771" s="69"/>
      <c r="AF2771" s="69"/>
      <c r="AG2771" s="69"/>
      <c r="AH2771" s="69"/>
      <c r="AI2771" s="69"/>
      <c r="AJ2771" s="69"/>
      <c r="AK2771" s="69"/>
      <c r="AL2771" s="69"/>
      <c r="AM2771" s="69"/>
      <c r="AN2771" s="69"/>
      <c r="AO2771" s="69"/>
      <c r="AP2771" s="69"/>
      <c r="AQ2771" s="69"/>
      <c r="AR2771" s="69"/>
      <c r="AS2771" s="69"/>
      <c r="AT2771" s="69"/>
      <c r="AU2771" s="69"/>
      <c r="AV2771" s="69"/>
      <c r="AW2771" s="69"/>
      <c r="AX2771" s="69"/>
      <c r="AY2771" s="69"/>
      <c r="AZ2771" s="69"/>
      <c r="BA2771" s="69"/>
      <c r="BB2771" s="69"/>
      <c r="BC2771" s="69"/>
    </row>
    <row r="2772">
      <c r="A2772" s="68"/>
      <c r="B2772" s="68"/>
      <c r="C2772" s="68"/>
      <c r="D2772" s="68"/>
      <c r="E2772" s="68"/>
      <c r="F2772" s="68"/>
      <c r="G2772" s="68"/>
      <c r="H2772" s="68"/>
      <c r="I2772" s="69"/>
      <c r="J2772" s="69"/>
      <c r="K2772" s="71"/>
      <c r="L2772" s="69"/>
      <c r="M2772" s="69"/>
      <c r="N2772" s="72"/>
      <c r="O2772" s="69"/>
      <c r="P2772" s="69"/>
      <c r="Q2772" s="69"/>
      <c r="R2772" s="69"/>
      <c r="S2772" s="69"/>
      <c r="T2772" s="69"/>
      <c r="U2772" s="69"/>
      <c r="V2772" s="69"/>
      <c r="W2772" s="69"/>
      <c r="X2772" s="69"/>
      <c r="Y2772" s="69"/>
      <c r="Z2772" s="69"/>
      <c r="AA2772" s="69"/>
      <c r="AB2772" s="69"/>
      <c r="AC2772" s="69"/>
      <c r="AD2772" s="69"/>
      <c r="AE2772" s="69"/>
      <c r="AF2772" s="69"/>
      <c r="AG2772" s="69"/>
      <c r="AH2772" s="69"/>
      <c r="AI2772" s="69"/>
      <c r="AJ2772" s="69"/>
      <c r="AK2772" s="69"/>
      <c r="AL2772" s="69"/>
      <c r="AM2772" s="69"/>
      <c r="AN2772" s="69"/>
      <c r="AO2772" s="69"/>
      <c r="AP2772" s="69"/>
      <c r="AQ2772" s="69"/>
      <c r="AR2772" s="69"/>
      <c r="AS2772" s="69"/>
      <c r="AT2772" s="69"/>
      <c r="AU2772" s="69"/>
      <c r="AV2772" s="69"/>
      <c r="AW2772" s="69"/>
      <c r="AX2772" s="69"/>
      <c r="AY2772" s="69"/>
      <c r="AZ2772" s="69"/>
      <c r="BA2772" s="69"/>
      <c r="BB2772" s="69"/>
      <c r="BC2772" s="69"/>
    </row>
    <row r="2773">
      <c r="A2773" s="68"/>
      <c r="B2773" s="68"/>
      <c r="C2773" s="68"/>
      <c r="D2773" s="68"/>
      <c r="E2773" s="68"/>
      <c r="F2773" s="68"/>
      <c r="G2773" s="68"/>
      <c r="H2773" s="68"/>
      <c r="I2773" s="69"/>
      <c r="J2773" s="69"/>
      <c r="K2773" s="71"/>
      <c r="L2773" s="69"/>
      <c r="M2773" s="69"/>
      <c r="N2773" s="72"/>
      <c r="O2773" s="69"/>
      <c r="P2773" s="69"/>
      <c r="Q2773" s="69"/>
      <c r="R2773" s="69"/>
      <c r="S2773" s="69"/>
      <c r="T2773" s="69"/>
      <c r="U2773" s="69"/>
      <c r="V2773" s="69"/>
      <c r="W2773" s="69"/>
      <c r="X2773" s="69"/>
      <c r="Y2773" s="69"/>
      <c r="Z2773" s="69"/>
      <c r="AA2773" s="69"/>
      <c r="AB2773" s="69"/>
      <c r="AC2773" s="69"/>
      <c r="AD2773" s="69"/>
      <c r="AE2773" s="69"/>
      <c r="AF2773" s="69"/>
      <c r="AG2773" s="69"/>
      <c r="AH2773" s="69"/>
      <c r="AI2773" s="69"/>
      <c r="AJ2773" s="69"/>
      <c r="AK2773" s="69"/>
      <c r="AL2773" s="69"/>
      <c r="AM2773" s="69"/>
      <c r="AN2773" s="69"/>
      <c r="AO2773" s="69"/>
      <c r="AP2773" s="69"/>
      <c r="AQ2773" s="69"/>
      <c r="AR2773" s="69"/>
      <c r="AS2773" s="69"/>
      <c r="AT2773" s="69"/>
      <c r="AU2773" s="69"/>
      <c r="AV2773" s="69"/>
      <c r="AW2773" s="69"/>
      <c r="AX2773" s="69"/>
      <c r="AY2773" s="69"/>
      <c r="AZ2773" s="69"/>
      <c r="BA2773" s="69"/>
      <c r="BB2773" s="69"/>
      <c r="BC2773" s="69"/>
    </row>
    <row r="2774">
      <c r="A2774" s="68"/>
      <c r="B2774" s="68"/>
      <c r="C2774" s="68"/>
      <c r="D2774" s="68"/>
      <c r="E2774" s="68"/>
      <c r="F2774" s="68"/>
      <c r="G2774" s="68"/>
      <c r="H2774" s="68"/>
      <c r="I2774" s="69"/>
      <c r="J2774" s="69"/>
      <c r="K2774" s="71"/>
      <c r="L2774" s="69"/>
      <c r="M2774" s="69"/>
      <c r="N2774" s="72"/>
      <c r="O2774" s="69"/>
      <c r="P2774" s="69"/>
      <c r="Q2774" s="69"/>
      <c r="R2774" s="69"/>
      <c r="S2774" s="69"/>
      <c r="T2774" s="69"/>
      <c r="U2774" s="69"/>
      <c r="V2774" s="69"/>
      <c r="W2774" s="69"/>
      <c r="X2774" s="69"/>
      <c r="Y2774" s="69"/>
      <c r="Z2774" s="69"/>
      <c r="AA2774" s="69"/>
      <c r="AB2774" s="69"/>
      <c r="AC2774" s="69"/>
      <c r="AD2774" s="69"/>
      <c r="AE2774" s="69"/>
      <c r="AF2774" s="69"/>
      <c r="AG2774" s="69"/>
      <c r="AH2774" s="69"/>
      <c r="AI2774" s="69"/>
      <c r="AJ2774" s="69"/>
      <c r="AK2774" s="69"/>
      <c r="AL2774" s="69"/>
      <c r="AM2774" s="69"/>
      <c r="AN2774" s="69"/>
      <c r="AO2774" s="69"/>
      <c r="AP2774" s="69"/>
      <c r="AQ2774" s="69"/>
      <c r="AR2774" s="69"/>
      <c r="AS2774" s="69"/>
      <c r="AT2774" s="69"/>
      <c r="AU2774" s="69"/>
      <c r="AV2774" s="69"/>
      <c r="AW2774" s="69"/>
      <c r="AX2774" s="69"/>
      <c r="AY2774" s="69"/>
      <c r="AZ2774" s="69"/>
      <c r="BA2774" s="69"/>
      <c r="BB2774" s="69"/>
      <c r="BC2774" s="69"/>
    </row>
    <row r="2775">
      <c r="A2775" s="68"/>
      <c r="B2775" s="68"/>
      <c r="C2775" s="68"/>
      <c r="D2775" s="68"/>
      <c r="E2775" s="68"/>
      <c r="F2775" s="68"/>
      <c r="G2775" s="68"/>
      <c r="H2775" s="68"/>
      <c r="I2775" s="69"/>
      <c r="J2775" s="69"/>
      <c r="K2775" s="71"/>
      <c r="L2775" s="69"/>
      <c r="M2775" s="69"/>
      <c r="N2775" s="72"/>
      <c r="O2775" s="69"/>
      <c r="P2775" s="69"/>
      <c r="Q2775" s="69"/>
      <c r="R2775" s="69"/>
      <c r="S2775" s="69"/>
      <c r="T2775" s="69"/>
      <c r="U2775" s="69"/>
      <c r="V2775" s="69"/>
      <c r="W2775" s="69"/>
      <c r="X2775" s="69"/>
      <c r="Y2775" s="69"/>
      <c r="Z2775" s="69"/>
      <c r="AA2775" s="69"/>
      <c r="AB2775" s="69"/>
      <c r="AC2775" s="69"/>
      <c r="AD2775" s="69"/>
      <c r="AE2775" s="69"/>
      <c r="AF2775" s="69"/>
      <c r="AG2775" s="69"/>
      <c r="AH2775" s="69"/>
      <c r="AI2775" s="69"/>
      <c r="AJ2775" s="69"/>
      <c r="AK2775" s="69"/>
      <c r="AL2775" s="69"/>
      <c r="AM2775" s="69"/>
      <c r="AN2775" s="69"/>
      <c r="AO2775" s="69"/>
      <c r="AP2775" s="69"/>
      <c r="AQ2775" s="69"/>
      <c r="AR2775" s="69"/>
      <c r="AS2775" s="69"/>
      <c r="AT2775" s="69"/>
      <c r="AU2775" s="69"/>
      <c r="AV2775" s="69"/>
      <c r="AW2775" s="69"/>
      <c r="AX2775" s="69"/>
      <c r="AY2775" s="69"/>
      <c r="AZ2775" s="69"/>
      <c r="BA2775" s="69"/>
      <c r="BB2775" s="69"/>
      <c r="BC2775" s="69"/>
    </row>
    <row r="2776">
      <c r="A2776" s="68"/>
      <c r="B2776" s="68"/>
      <c r="C2776" s="68"/>
      <c r="D2776" s="68"/>
      <c r="E2776" s="68"/>
      <c r="F2776" s="68"/>
      <c r="G2776" s="68"/>
      <c r="H2776" s="68"/>
      <c r="I2776" s="69"/>
      <c r="J2776" s="69"/>
      <c r="K2776" s="71"/>
      <c r="L2776" s="69"/>
      <c r="M2776" s="69"/>
      <c r="N2776" s="72"/>
      <c r="O2776" s="69"/>
      <c r="P2776" s="69"/>
      <c r="Q2776" s="69"/>
      <c r="R2776" s="69"/>
      <c r="S2776" s="69"/>
      <c r="T2776" s="69"/>
      <c r="U2776" s="69"/>
      <c r="V2776" s="69"/>
      <c r="W2776" s="69"/>
      <c r="X2776" s="69"/>
      <c r="Y2776" s="69"/>
      <c r="Z2776" s="69"/>
      <c r="AA2776" s="69"/>
      <c r="AB2776" s="69"/>
      <c r="AC2776" s="69"/>
      <c r="AD2776" s="69"/>
      <c r="AE2776" s="69"/>
      <c r="AF2776" s="69"/>
      <c r="AG2776" s="69"/>
      <c r="AH2776" s="69"/>
      <c r="AI2776" s="69"/>
      <c r="AJ2776" s="69"/>
      <c r="AK2776" s="69"/>
      <c r="AL2776" s="69"/>
      <c r="AM2776" s="69"/>
      <c r="AN2776" s="69"/>
      <c r="AO2776" s="69"/>
      <c r="AP2776" s="69"/>
      <c r="AQ2776" s="69"/>
      <c r="AR2776" s="69"/>
      <c r="AS2776" s="69"/>
      <c r="AT2776" s="69"/>
      <c r="AU2776" s="69"/>
      <c r="AV2776" s="69"/>
      <c r="AW2776" s="69"/>
      <c r="AX2776" s="69"/>
      <c r="AY2776" s="69"/>
      <c r="AZ2776" s="69"/>
      <c r="BA2776" s="69"/>
      <c r="BB2776" s="69"/>
      <c r="BC2776" s="69"/>
    </row>
    <row r="2777">
      <c r="A2777" s="68"/>
      <c r="B2777" s="68"/>
      <c r="C2777" s="68"/>
      <c r="D2777" s="68"/>
      <c r="E2777" s="68"/>
      <c r="F2777" s="68"/>
      <c r="G2777" s="68"/>
      <c r="H2777" s="68"/>
      <c r="I2777" s="69"/>
      <c r="J2777" s="69"/>
      <c r="K2777" s="71"/>
      <c r="L2777" s="69"/>
      <c r="M2777" s="69"/>
      <c r="N2777" s="72"/>
      <c r="O2777" s="69"/>
      <c r="P2777" s="69"/>
      <c r="Q2777" s="69"/>
      <c r="R2777" s="69"/>
      <c r="S2777" s="69"/>
      <c r="T2777" s="69"/>
      <c r="U2777" s="69"/>
      <c r="V2777" s="69"/>
      <c r="W2777" s="69"/>
      <c r="X2777" s="69"/>
      <c r="Y2777" s="69"/>
      <c r="Z2777" s="69"/>
      <c r="AA2777" s="69"/>
      <c r="AB2777" s="69"/>
      <c r="AC2777" s="69"/>
      <c r="AD2777" s="69"/>
      <c r="AE2777" s="69"/>
      <c r="AF2777" s="69"/>
      <c r="AG2777" s="69"/>
      <c r="AH2777" s="69"/>
      <c r="AI2777" s="69"/>
      <c r="AJ2777" s="69"/>
      <c r="AK2777" s="69"/>
      <c r="AL2777" s="69"/>
      <c r="AM2777" s="69"/>
      <c r="AN2777" s="69"/>
      <c r="AO2777" s="69"/>
      <c r="AP2777" s="69"/>
      <c r="AQ2777" s="69"/>
      <c r="AR2777" s="69"/>
      <c r="AS2777" s="69"/>
      <c r="AT2777" s="69"/>
      <c r="AU2777" s="69"/>
      <c r="AV2777" s="69"/>
      <c r="AW2777" s="69"/>
      <c r="AX2777" s="69"/>
      <c r="AY2777" s="69"/>
      <c r="AZ2777" s="69"/>
      <c r="BA2777" s="69"/>
      <c r="BB2777" s="69"/>
      <c r="BC2777" s="69"/>
    </row>
    <row r="2778">
      <c r="A2778" s="68"/>
      <c r="B2778" s="68"/>
      <c r="C2778" s="68"/>
      <c r="D2778" s="68"/>
      <c r="E2778" s="68"/>
      <c r="F2778" s="68"/>
      <c r="G2778" s="68"/>
      <c r="H2778" s="68"/>
      <c r="I2778" s="69"/>
      <c r="J2778" s="69"/>
      <c r="K2778" s="71"/>
      <c r="L2778" s="69"/>
      <c r="M2778" s="69"/>
      <c r="N2778" s="72"/>
      <c r="O2778" s="69"/>
      <c r="P2778" s="69"/>
      <c r="Q2778" s="69"/>
      <c r="R2778" s="69"/>
      <c r="S2778" s="69"/>
      <c r="T2778" s="69"/>
      <c r="U2778" s="69"/>
      <c r="V2778" s="69"/>
      <c r="W2778" s="69"/>
      <c r="X2778" s="69"/>
      <c r="Y2778" s="69"/>
      <c r="Z2778" s="69"/>
      <c r="AA2778" s="69"/>
      <c r="AB2778" s="69"/>
      <c r="AC2778" s="69"/>
      <c r="AD2778" s="69"/>
      <c r="AE2778" s="69"/>
      <c r="AF2778" s="69"/>
      <c r="AG2778" s="69"/>
      <c r="AH2778" s="69"/>
      <c r="AI2778" s="69"/>
      <c r="AJ2778" s="69"/>
      <c r="AK2778" s="69"/>
      <c r="AL2778" s="69"/>
      <c r="AM2778" s="69"/>
      <c r="AN2778" s="69"/>
      <c r="AO2778" s="69"/>
      <c r="AP2778" s="69"/>
      <c r="AQ2778" s="69"/>
      <c r="AR2778" s="69"/>
      <c r="AS2778" s="69"/>
      <c r="AT2778" s="69"/>
      <c r="AU2778" s="69"/>
      <c r="AV2778" s="69"/>
      <c r="AW2778" s="69"/>
      <c r="AX2778" s="69"/>
      <c r="AY2778" s="69"/>
      <c r="AZ2778" s="69"/>
      <c r="BA2778" s="69"/>
      <c r="BB2778" s="69"/>
      <c r="BC2778" s="69"/>
    </row>
    <row r="2779">
      <c r="A2779" s="68"/>
      <c r="B2779" s="68"/>
      <c r="C2779" s="68"/>
      <c r="D2779" s="68"/>
      <c r="E2779" s="68"/>
      <c r="F2779" s="68"/>
      <c r="G2779" s="68"/>
      <c r="H2779" s="68"/>
      <c r="I2779" s="69"/>
      <c r="J2779" s="69"/>
      <c r="K2779" s="71"/>
      <c r="L2779" s="69"/>
      <c r="M2779" s="69"/>
      <c r="N2779" s="72"/>
      <c r="O2779" s="69"/>
      <c r="P2779" s="69"/>
      <c r="Q2779" s="69"/>
      <c r="R2779" s="69"/>
      <c r="S2779" s="69"/>
      <c r="T2779" s="69"/>
      <c r="U2779" s="69"/>
      <c r="V2779" s="69"/>
      <c r="W2779" s="69"/>
      <c r="X2779" s="69"/>
      <c r="Y2779" s="69"/>
      <c r="Z2779" s="69"/>
      <c r="AA2779" s="69"/>
      <c r="AB2779" s="69"/>
      <c r="AC2779" s="69"/>
      <c r="AD2779" s="69"/>
      <c r="AE2779" s="69"/>
      <c r="AF2779" s="69"/>
      <c r="AG2779" s="69"/>
      <c r="AH2779" s="69"/>
      <c r="AI2779" s="69"/>
      <c r="AJ2779" s="69"/>
      <c r="AK2779" s="69"/>
      <c r="AL2779" s="69"/>
      <c r="AM2779" s="69"/>
      <c r="AN2779" s="69"/>
      <c r="AO2779" s="69"/>
      <c r="AP2779" s="69"/>
      <c r="AQ2779" s="69"/>
      <c r="AR2779" s="69"/>
      <c r="AS2779" s="69"/>
      <c r="AT2779" s="69"/>
      <c r="AU2779" s="69"/>
      <c r="AV2779" s="69"/>
      <c r="AW2779" s="69"/>
      <c r="AX2779" s="69"/>
      <c r="AY2779" s="69"/>
      <c r="AZ2779" s="69"/>
      <c r="BA2779" s="69"/>
      <c r="BB2779" s="69"/>
      <c r="BC2779" s="69"/>
    </row>
    <row r="2780">
      <c r="A2780" s="68"/>
      <c r="B2780" s="68"/>
      <c r="C2780" s="68"/>
      <c r="D2780" s="68"/>
      <c r="E2780" s="68"/>
      <c r="F2780" s="68"/>
      <c r="G2780" s="68"/>
      <c r="H2780" s="68"/>
      <c r="I2780" s="69"/>
      <c r="J2780" s="69"/>
      <c r="K2780" s="71"/>
      <c r="L2780" s="69"/>
      <c r="M2780" s="69"/>
      <c r="N2780" s="72"/>
      <c r="O2780" s="69"/>
      <c r="P2780" s="69"/>
      <c r="Q2780" s="69"/>
      <c r="R2780" s="69"/>
      <c r="S2780" s="69"/>
      <c r="T2780" s="69"/>
      <c r="U2780" s="69"/>
      <c r="V2780" s="69"/>
      <c r="W2780" s="69"/>
      <c r="X2780" s="69"/>
      <c r="Y2780" s="69"/>
      <c r="Z2780" s="69"/>
      <c r="AA2780" s="69"/>
      <c r="AB2780" s="69"/>
      <c r="AC2780" s="69"/>
      <c r="AD2780" s="69"/>
      <c r="AE2780" s="69"/>
      <c r="AF2780" s="69"/>
      <c r="AG2780" s="69"/>
      <c r="AH2780" s="69"/>
      <c r="AI2780" s="69"/>
      <c r="AJ2780" s="69"/>
      <c r="AK2780" s="69"/>
      <c r="AL2780" s="69"/>
      <c r="AM2780" s="69"/>
      <c r="AN2780" s="69"/>
      <c r="AO2780" s="69"/>
      <c r="AP2780" s="69"/>
      <c r="AQ2780" s="69"/>
      <c r="AR2780" s="69"/>
      <c r="AS2780" s="69"/>
      <c r="AT2780" s="69"/>
      <c r="AU2780" s="69"/>
      <c r="AV2780" s="69"/>
      <c r="AW2780" s="69"/>
      <c r="AX2780" s="69"/>
      <c r="AY2780" s="69"/>
      <c r="AZ2780" s="69"/>
      <c r="BA2780" s="69"/>
      <c r="BB2780" s="69"/>
      <c r="BC2780" s="69"/>
    </row>
    <row r="2781">
      <c r="A2781" s="68"/>
      <c r="B2781" s="68"/>
      <c r="C2781" s="68"/>
      <c r="D2781" s="68"/>
      <c r="E2781" s="68"/>
      <c r="F2781" s="68"/>
      <c r="G2781" s="68"/>
      <c r="H2781" s="68"/>
      <c r="I2781" s="69"/>
      <c r="J2781" s="69"/>
      <c r="K2781" s="71"/>
      <c r="L2781" s="69"/>
      <c r="M2781" s="69"/>
      <c r="N2781" s="72"/>
      <c r="O2781" s="69"/>
      <c r="P2781" s="69"/>
      <c r="Q2781" s="69"/>
      <c r="R2781" s="69"/>
      <c r="S2781" s="69"/>
      <c r="T2781" s="69"/>
      <c r="U2781" s="69"/>
      <c r="V2781" s="69"/>
      <c r="W2781" s="69"/>
      <c r="X2781" s="69"/>
      <c r="Y2781" s="69"/>
      <c r="Z2781" s="69"/>
      <c r="AA2781" s="69"/>
      <c r="AB2781" s="69"/>
      <c r="AC2781" s="69"/>
      <c r="AD2781" s="69"/>
      <c r="AE2781" s="69"/>
      <c r="AF2781" s="69"/>
      <c r="AG2781" s="69"/>
      <c r="AH2781" s="69"/>
      <c r="AI2781" s="69"/>
      <c r="AJ2781" s="69"/>
      <c r="AK2781" s="69"/>
      <c r="AL2781" s="69"/>
      <c r="AM2781" s="69"/>
      <c r="AN2781" s="69"/>
      <c r="AO2781" s="69"/>
      <c r="AP2781" s="69"/>
      <c r="AQ2781" s="69"/>
      <c r="AR2781" s="69"/>
      <c r="AS2781" s="69"/>
      <c r="AT2781" s="69"/>
      <c r="AU2781" s="69"/>
      <c r="AV2781" s="69"/>
      <c r="AW2781" s="69"/>
      <c r="AX2781" s="69"/>
      <c r="AY2781" s="69"/>
      <c r="AZ2781" s="69"/>
      <c r="BA2781" s="69"/>
      <c r="BB2781" s="69"/>
      <c r="BC2781" s="69"/>
    </row>
    <row r="2782">
      <c r="A2782" s="68"/>
      <c r="B2782" s="68"/>
      <c r="C2782" s="68"/>
      <c r="D2782" s="68"/>
      <c r="E2782" s="68"/>
      <c r="F2782" s="68"/>
      <c r="G2782" s="68"/>
      <c r="H2782" s="68"/>
      <c r="I2782" s="69"/>
      <c r="J2782" s="69"/>
      <c r="K2782" s="71"/>
      <c r="L2782" s="69"/>
      <c r="M2782" s="69"/>
      <c r="N2782" s="72"/>
      <c r="O2782" s="69"/>
      <c r="P2782" s="69"/>
      <c r="Q2782" s="69"/>
      <c r="R2782" s="69"/>
      <c r="S2782" s="69"/>
      <c r="T2782" s="69"/>
      <c r="U2782" s="69"/>
      <c r="V2782" s="69"/>
      <c r="W2782" s="69"/>
      <c r="X2782" s="69"/>
      <c r="Y2782" s="69"/>
      <c r="Z2782" s="69"/>
      <c r="AA2782" s="69"/>
      <c r="AB2782" s="69"/>
      <c r="AC2782" s="69"/>
      <c r="AD2782" s="69"/>
      <c r="AE2782" s="69"/>
      <c r="AF2782" s="69"/>
      <c r="AG2782" s="69"/>
      <c r="AH2782" s="69"/>
      <c r="AI2782" s="69"/>
      <c r="AJ2782" s="69"/>
      <c r="AK2782" s="69"/>
      <c r="AL2782" s="69"/>
      <c r="AM2782" s="69"/>
      <c r="AN2782" s="69"/>
      <c r="AO2782" s="69"/>
      <c r="AP2782" s="69"/>
      <c r="AQ2782" s="69"/>
      <c r="AR2782" s="69"/>
      <c r="AS2782" s="69"/>
      <c r="AT2782" s="69"/>
      <c r="AU2782" s="69"/>
      <c r="AV2782" s="69"/>
      <c r="AW2782" s="69"/>
      <c r="AX2782" s="69"/>
      <c r="AY2782" s="69"/>
      <c r="AZ2782" s="69"/>
      <c r="BA2782" s="69"/>
      <c r="BB2782" s="69"/>
      <c r="BC2782" s="69"/>
    </row>
    <row r="2783">
      <c r="A2783" s="68"/>
      <c r="B2783" s="68"/>
      <c r="C2783" s="68"/>
      <c r="D2783" s="68"/>
      <c r="E2783" s="68"/>
      <c r="F2783" s="68"/>
      <c r="G2783" s="68"/>
      <c r="H2783" s="68"/>
      <c r="I2783" s="69"/>
      <c r="J2783" s="69"/>
      <c r="K2783" s="71"/>
      <c r="L2783" s="69"/>
      <c r="M2783" s="69"/>
      <c r="N2783" s="72"/>
      <c r="O2783" s="69"/>
      <c r="P2783" s="69"/>
      <c r="Q2783" s="69"/>
      <c r="R2783" s="69"/>
      <c r="S2783" s="69"/>
      <c r="T2783" s="69"/>
      <c r="U2783" s="69"/>
      <c r="V2783" s="69"/>
      <c r="W2783" s="69"/>
      <c r="X2783" s="69"/>
      <c r="Y2783" s="69"/>
      <c r="Z2783" s="69"/>
      <c r="AA2783" s="69"/>
      <c r="AB2783" s="69"/>
      <c r="AC2783" s="69"/>
      <c r="AD2783" s="69"/>
      <c r="AE2783" s="69"/>
      <c r="AF2783" s="69"/>
      <c r="AG2783" s="69"/>
      <c r="AH2783" s="69"/>
      <c r="AI2783" s="69"/>
      <c r="AJ2783" s="69"/>
      <c r="AK2783" s="69"/>
      <c r="AL2783" s="69"/>
      <c r="AM2783" s="69"/>
      <c r="AN2783" s="69"/>
      <c r="AO2783" s="69"/>
      <c r="AP2783" s="69"/>
      <c r="AQ2783" s="69"/>
      <c r="AR2783" s="69"/>
      <c r="AS2783" s="69"/>
      <c r="AT2783" s="69"/>
      <c r="AU2783" s="69"/>
      <c r="AV2783" s="69"/>
      <c r="AW2783" s="69"/>
      <c r="AX2783" s="69"/>
      <c r="AY2783" s="69"/>
      <c r="AZ2783" s="69"/>
      <c r="BA2783" s="69"/>
      <c r="BB2783" s="69"/>
      <c r="BC2783" s="69"/>
    </row>
    <row r="2784">
      <c r="A2784" s="68"/>
      <c r="B2784" s="68"/>
      <c r="C2784" s="68"/>
      <c r="D2784" s="68"/>
      <c r="E2784" s="68"/>
      <c r="F2784" s="68"/>
      <c r="G2784" s="68"/>
      <c r="H2784" s="68"/>
      <c r="I2784" s="69"/>
      <c r="J2784" s="69"/>
      <c r="K2784" s="71"/>
      <c r="L2784" s="69"/>
      <c r="M2784" s="69"/>
      <c r="N2784" s="72"/>
      <c r="O2784" s="69"/>
      <c r="P2784" s="69"/>
      <c r="Q2784" s="69"/>
      <c r="R2784" s="69"/>
      <c r="S2784" s="69"/>
      <c r="T2784" s="69"/>
      <c r="U2784" s="69"/>
      <c r="V2784" s="69"/>
      <c r="W2784" s="69"/>
      <c r="X2784" s="69"/>
      <c r="Y2784" s="69"/>
      <c r="Z2784" s="69"/>
      <c r="AA2784" s="69"/>
      <c r="AB2784" s="69"/>
      <c r="AC2784" s="69"/>
      <c r="AD2784" s="69"/>
      <c r="AE2784" s="69"/>
      <c r="AF2784" s="69"/>
      <c r="AG2784" s="69"/>
      <c r="AH2784" s="69"/>
      <c r="AI2784" s="69"/>
      <c r="AJ2784" s="69"/>
      <c r="AK2784" s="69"/>
      <c r="AL2784" s="69"/>
      <c r="AM2784" s="69"/>
      <c r="AN2784" s="69"/>
      <c r="AO2784" s="69"/>
      <c r="AP2784" s="69"/>
      <c r="AQ2784" s="69"/>
      <c r="AR2784" s="69"/>
      <c r="AS2784" s="69"/>
      <c r="AT2784" s="69"/>
      <c r="AU2784" s="69"/>
      <c r="AV2784" s="69"/>
      <c r="AW2784" s="69"/>
      <c r="AX2784" s="69"/>
      <c r="AY2784" s="69"/>
      <c r="AZ2784" s="69"/>
      <c r="BA2784" s="69"/>
      <c r="BB2784" s="69"/>
      <c r="BC2784" s="69"/>
    </row>
    <row r="2785">
      <c r="A2785" s="68"/>
      <c r="B2785" s="68"/>
      <c r="C2785" s="68"/>
      <c r="D2785" s="68"/>
      <c r="E2785" s="68"/>
      <c r="F2785" s="68"/>
      <c r="G2785" s="68"/>
      <c r="H2785" s="68"/>
      <c r="I2785" s="69"/>
      <c r="J2785" s="69"/>
      <c r="K2785" s="71"/>
      <c r="L2785" s="69"/>
      <c r="M2785" s="69"/>
      <c r="N2785" s="72"/>
      <c r="O2785" s="69"/>
      <c r="P2785" s="69"/>
      <c r="Q2785" s="69"/>
      <c r="R2785" s="69"/>
      <c r="S2785" s="69"/>
      <c r="T2785" s="69"/>
      <c r="U2785" s="69"/>
      <c r="V2785" s="69"/>
      <c r="W2785" s="69"/>
      <c r="X2785" s="69"/>
      <c r="Y2785" s="69"/>
      <c r="Z2785" s="69"/>
      <c r="AA2785" s="69"/>
      <c r="AB2785" s="69"/>
      <c r="AC2785" s="69"/>
      <c r="AD2785" s="69"/>
      <c r="AE2785" s="69"/>
      <c r="AF2785" s="69"/>
      <c r="AG2785" s="69"/>
      <c r="AH2785" s="69"/>
      <c r="AI2785" s="69"/>
      <c r="AJ2785" s="69"/>
      <c r="AK2785" s="69"/>
      <c r="AL2785" s="69"/>
      <c r="AM2785" s="69"/>
      <c r="AN2785" s="69"/>
      <c r="AO2785" s="69"/>
      <c r="AP2785" s="69"/>
      <c r="AQ2785" s="69"/>
      <c r="AR2785" s="69"/>
      <c r="AS2785" s="69"/>
      <c r="AT2785" s="69"/>
      <c r="AU2785" s="69"/>
      <c r="AV2785" s="69"/>
      <c r="AW2785" s="69"/>
      <c r="AX2785" s="69"/>
      <c r="AY2785" s="69"/>
      <c r="AZ2785" s="69"/>
      <c r="BA2785" s="69"/>
      <c r="BB2785" s="69"/>
      <c r="BC2785" s="69"/>
    </row>
    <row r="2786">
      <c r="A2786" s="68"/>
      <c r="B2786" s="68"/>
      <c r="C2786" s="68"/>
      <c r="D2786" s="68"/>
      <c r="E2786" s="68"/>
      <c r="F2786" s="68"/>
      <c r="G2786" s="68"/>
      <c r="H2786" s="68"/>
      <c r="I2786" s="69"/>
      <c r="J2786" s="69"/>
      <c r="K2786" s="71"/>
      <c r="L2786" s="69"/>
      <c r="M2786" s="69"/>
      <c r="N2786" s="72"/>
      <c r="O2786" s="69"/>
      <c r="P2786" s="69"/>
      <c r="Q2786" s="69"/>
      <c r="R2786" s="69"/>
      <c r="S2786" s="69"/>
      <c r="T2786" s="69"/>
      <c r="U2786" s="69"/>
      <c r="V2786" s="69"/>
      <c r="W2786" s="69"/>
      <c r="X2786" s="69"/>
      <c r="Y2786" s="69"/>
      <c r="Z2786" s="69"/>
      <c r="AA2786" s="69"/>
      <c r="AB2786" s="69"/>
      <c r="AC2786" s="69"/>
      <c r="AD2786" s="69"/>
      <c r="AE2786" s="69"/>
      <c r="AF2786" s="69"/>
      <c r="AG2786" s="69"/>
      <c r="AH2786" s="69"/>
      <c r="AI2786" s="69"/>
      <c r="AJ2786" s="69"/>
      <c r="AK2786" s="69"/>
      <c r="AL2786" s="69"/>
      <c r="AM2786" s="69"/>
      <c r="AN2786" s="69"/>
      <c r="AO2786" s="69"/>
      <c r="AP2786" s="69"/>
      <c r="AQ2786" s="69"/>
      <c r="AR2786" s="69"/>
      <c r="AS2786" s="69"/>
      <c r="AT2786" s="69"/>
      <c r="AU2786" s="69"/>
      <c r="AV2786" s="69"/>
      <c r="AW2786" s="69"/>
      <c r="AX2786" s="69"/>
      <c r="AY2786" s="69"/>
      <c r="AZ2786" s="69"/>
      <c r="BA2786" s="69"/>
      <c r="BB2786" s="69"/>
      <c r="BC2786" s="69"/>
    </row>
    <row r="2787">
      <c r="A2787" s="68"/>
      <c r="B2787" s="68"/>
      <c r="C2787" s="68"/>
      <c r="D2787" s="68"/>
      <c r="E2787" s="68"/>
      <c r="F2787" s="68"/>
      <c r="G2787" s="68"/>
      <c r="H2787" s="68"/>
      <c r="I2787" s="69"/>
      <c r="J2787" s="69"/>
      <c r="K2787" s="71"/>
      <c r="L2787" s="69"/>
      <c r="M2787" s="69"/>
      <c r="N2787" s="72"/>
      <c r="O2787" s="69"/>
      <c r="P2787" s="69"/>
      <c r="Q2787" s="69"/>
      <c r="R2787" s="69"/>
      <c r="S2787" s="69"/>
      <c r="T2787" s="69"/>
      <c r="U2787" s="69"/>
      <c r="V2787" s="69"/>
      <c r="W2787" s="69"/>
      <c r="X2787" s="69"/>
      <c r="Y2787" s="69"/>
      <c r="Z2787" s="69"/>
      <c r="AA2787" s="69"/>
      <c r="AB2787" s="69"/>
      <c r="AC2787" s="69"/>
      <c r="AD2787" s="69"/>
      <c r="AE2787" s="69"/>
      <c r="AF2787" s="69"/>
      <c r="AG2787" s="69"/>
      <c r="AH2787" s="69"/>
      <c r="AI2787" s="69"/>
      <c r="AJ2787" s="69"/>
      <c r="AK2787" s="69"/>
      <c r="AL2787" s="69"/>
      <c r="AM2787" s="69"/>
      <c r="AN2787" s="69"/>
      <c r="AO2787" s="69"/>
      <c r="AP2787" s="69"/>
      <c r="AQ2787" s="69"/>
      <c r="AR2787" s="69"/>
      <c r="AS2787" s="69"/>
      <c r="AT2787" s="69"/>
      <c r="AU2787" s="69"/>
      <c r="AV2787" s="69"/>
      <c r="AW2787" s="69"/>
      <c r="AX2787" s="69"/>
      <c r="AY2787" s="69"/>
      <c r="AZ2787" s="69"/>
      <c r="BA2787" s="69"/>
      <c r="BB2787" s="69"/>
      <c r="BC2787" s="69"/>
    </row>
    <row r="2788">
      <c r="A2788" s="68"/>
      <c r="B2788" s="68"/>
      <c r="C2788" s="68"/>
      <c r="D2788" s="68"/>
      <c r="E2788" s="68"/>
      <c r="F2788" s="68"/>
      <c r="G2788" s="68"/>
      <c r="H2788" s="68"/>
      <c r="I2788" s="69"/>
      <c r="J2788" s="69"/>
      <c r="K2788" s="71"/>
      <c r="L2788" s="69"/>
      <c r="M2788" s="69"/>
      <c r="N2788" s="72"/>
      <c r="O2788" s="69"/>
      <c r="P2788" s="69"/>
      <c r="Q2788" s="69"/>
      <c r="R2788" s="69"/>
      <c r="S2788" s="69"/>
      <c r="T2788" s="69"/>
      <c r="U2788" s="69"/>
      <c r="V2788" s="69"/>
      <c r="W2788" s="69"/>
      <c r="X2788" s="69"/>
      <c r="Y2788" s="69"/>
      <c r="Z2788" s="69"/>
      <c r="AA2788" s="69"/>
      <c r="AB2788" s="69"/>
      <c r="AC2788" s="69"/>
      <c r="AD2788" s="69"/>
      <c r="AE2788" s="69"/>
      <c r="AF2788" s="69"/>
      <c r="AG2788" s="69"/>
      <c r="AH2788" s="69"/>
      <c r="AI2788" s="69"/>
      <c r="AJ2788" s="69"/>
      <c r="AK2788" s="69"/>
      <c r="AL2788" s="69"/>
      <c r="AM2788" s="69"/>
      <c r="AN2788" s="69"/>
      <c r="AO2788" s="69"/>
      <c r="AP2788" s="69"/>
      <c r="AQ2788" s="69"/>
      <c r="AR2788" s="69"/>
      <c r="AS2788" s="69"/>
      <c r="AT2788" s="69"/>
      <c r="AU2788" s="69"/>
      <c r="AV2788" s="69"/>
      <c r="AW2788" s="69"/>
      <c r="AX2788" s="69"/>
      <c r="AY2788" s="69"/>
      <c r="AZ2788" s="69"/>
      <c r="BA2788" s="69"/>
      <c r="BB2788" s="69"/>
      <c r="BC2788" s="69"/>
    </row>
    <row r="2789">
      <c r="A2789" s="68"/>
      <c r="B2789" s="68"/>
      <c r="C2789" s="68"/>
      <c r="D2789" s="68"/>
      <c r="E2789" s="68"/>
      <c r="F2789" s="68"/>
      <c r="G2789" s="68"/>
      <c r="H2789" s="68"/>
      <c r="I2789" s="69"/>
      <c r="J2789" s="69"/>
      <c r="K2789" s="71"/>
      <c r="L2789" s="69"/>
      <c r="M2789" s="69"/>
      <c r="N2789" s="72"/>
      <c r="O2789" s="69"/>
      <c r="P2789" s="69"/>
      <c r="Q2789" s="69"/>
      <c r="R2789" s="69"/>
      <c r="S2789" s="69"/>
      <c r="T2789" s="69"/>
      <c r="U2789" s="69"/>
      <c r="V2789" s="69"/>
      <c r="W2789" s="69"/>
      <c r="X2789" s="69"/>
      <c r="Y2789" s="69"/>
      <c r="Z2789" s="69"/>
      <c r="AA2789" s="69"/>
      <c r="AB2789" s="69"/>
      <c r="AC2789" s="69"/>
      <c r="AD2789" s="69"/>
      <c r="AE2789" s="69"/>
      <c r="AF2789" s="69"/>
      <c r="AG2789" s="69"/>
      <c r="AH2789" s="69"/>
      <c r="AI2789" s="69"/>
      <c r="AJ2789" s="69"/>
      <c r="AK2789" s="69"/>
      <c r="AL2789" s="69"/>
      <c r="AM2789" s="69"/>
      <c r="AN2789" s="69"/>
      <c r="AO2789" s="69"/>
      <c r="AP2789" s="69"/>
      <c r="AQ2789" s="69"/>
      <c r="AR2789" s="69"/>
      <c r="AS2789" s="69"/>
      <c r="AT2789" s="69"/>
      <c r="AU2789" s="69"/>
      <c r="AV2789" s="69"/>
      <c r="AW2789" s="69"/>
      <c r="AX2789" s="69"/>
      <c r="AY2789" s="69"/>
      <c r="AZ2789" s="69"/>
      <c r="BA2789" s="69"/>
      <c r="BB2789" s="69"/>
      <c r="BC2789" s="69"/>
    </row>
    <row r="2790">
      <c r="A2790" s="68"/>
      <c r="B2790" s="68"/>
      <c r="C2790" s="68"/>
      <c r="D2790" s="68"/>
      <c r="E2790" s="68"/>
      <c r="F2790" s="68"/>
      <c r="G2790" s="68"/>
      <c r="H2790" s="68"/>
      <c r="I2790" s="69"/>
      <c r="J2790" s="69"/>
      <c r="K2790" s="71"/>
      <c r="L2790" s="69"/>
      <c r="M2790" s="69"/>
      <c r="N2790" s="72"/>
      <c r="O2790" s="69"/>
      <c r="P2790" s="69"/>
      <c r="Q2790" s="69"/>
      <c r="R2790" s="69"/>
      <c r="S2790" s="69"/>
      <c r="T2790" s="69"/>
      <c r="U2790" s="69"/>
      <c r="V2790" s="69"/>
      <c r="W2790" s="69"/>
      <c r="X2790" s="69"/>
      <c r="Y2790" s="69"/>
      <c r="Z2790" s="69"/>
      <c r="AA2790" s="69"/>
      <c r="AB2790" s="69"/>
      <c r="AC2790" s="69"/>
      <c r="AD2790" s="69"/>
      <c r="AE2790" s="69"/>
      <c r="AF2790" s="69"/>
      <c r="AG2790" s="69"/>
      <c r="AH2790" s="69"/>
      <c r="AI2790" s="69"/>
      <c r="AJ2790" s="69"/>
      <c r="AK2790" s="69"/>
      <c r="AL2790" s="69"/>
      <c r="AM2790" s="69"/>
      <c r="AN2790" s="69"/>
      <c r="AO2790" s="69"/>
      <c r="AP2790" s="69"/>
      <c r="AQ2790" s="69"/>
      <c r="AR2790" s="69"/>
      <c r="AS2790" s="69"/>
      <c r="AT2790" s="69"/>
      <c r="AU2790" s="69"/>
      <c r="AV2790" s="69"/>
      <c r="AW2790" s="69"/>
      <c r="AX2790" s="69"/>
      <c r="AY2790" s="69"/>
      <c r="AZ2790" s="69"/>
      <c r="BA2790" s="69"/>
      <c r="BB2790" s="69"/>
      <c r="BC2790" s="69"/>
    </row>
    <row r="2791">
      <c r="A2791" s="68"/>
      <c r="B2791" s="68"/>
      <c r="C2791" s="68"/>
      <c r="D2791" s="68"/>
      <c r="E2791" s="68"/>
      <c r="F2791" s="68"/>
      <c r="G2791" s="68"/>
      <c r="H2791" s="68"/>
      <c r="I2791" s="69"/>
      <c r="J2791" s="69"/>
      <c r="K2791" s="71"/>
      <c r="L2791" s="69"/>
      <c r="M2791" s="69"/>
      <c r="N2791" s="72"/>
      <c r="O2791" s="69"/>
      <c r="P2791" s="69"/>
      <c r="Q2791" s="69"/>
      <c r="R2791" s="69"/>
      <c r="S2791" s="69"/>
      <c r="T2791" s="69"/>
      <c r="U2791" s="69"/>
      <c r="V2791" s="69"/>
      <c r="W2791" s="69"/>
      <c r="X2791" s="69"/>
      <c r="Y2791" s="69"/>
      <c r="Z2791" s="69"/>
      <c r="AA2791" s="69"/>
      <c r="AB2791" s="69"/>
      <c r="AC2791" s="69"/>
      <c r="AD2791" s="69"/>
      <c r="AE2791" s="69"/>
      <c r="AF2791" s="69"/>
      <c r="AG2791" s="69"/>
      <c r="AH2791" s="69"/>
      <c r="AI2791" s="69"/>
      <c r="AJ2791" s="69"/>
      <c r="AK2791" s="69"/>
      <c r="AL2791" s="69"/>
      <c r="AM2791" s="69"/>
      <c r="AN2791" s="69"/>
      <c r="AO2791" s="69"/>
      <c r="AP2791" s="69"/>
      <c r="AQ2791" s="69"/>
      <c r="AR2791" s="69"/>
      <c r="AS2791" s="69"/>
      <c r="AT2791" s="69"/>
      <c r="AU2791" s="69"/>
      <c r="AV2791" s="69"/>
      <c r="AW2791" s="69"/>
      <c r="AX2791" s="69"/>
      <c r="AY2791" s="69"/>
      <c r="AZ2791" s="69"/>
      <c r="BA2791" s="69"/>
      <c r="BB2791" s="69"/>
      <c r="BC2791" s="69"/>
    </row>
    <row r="2792">
      <c r="A2792" s="68"/>
      <c r="B2792" s="68"/>
      <c r="C2792" s="68"/>
      <c r="D2792" s="68"/>
      <c r="E2792" s="68"/>
      <c r="F2792" s="68"/>
      <c r="G2792" s="68"/>
      <c r="H2792" s="68"/>
      <c r="I2792" s="69"/>
      <c r="J2792" s="69"/>
      <c r="K2792" s="71"/>
      <c r="L2792" s="69"/>
      <c r="M2792" s="69"/>
      <c r="N2792" s="72"/>
      <c r="O2792" s="69"/>
      <c r="P2792" s="69"/>
      <c r="Q2792" s="69"/>
      <c r="R2792" s="69"/>
      <c r="S2792" s="69"/>
      <c r="T2792" s="69"/>
      <c r="U2792" s="69"/>
      <c r="V2792" s="69"/>
      <c r="W2792" s="69"/>
      <c r="X2792" s="69"/>
      <c r="Y2792" s="69"/>
      <c r="Z2792" s="69"/>
      <c r="AA2792" s="69"/>
      <c r="AB2792" s="69"/>
      <c r="AC2792" s="69"/>
      <c r="AD2792" s="69"/>
      <c r="AE2792" s="69"/>
      <c r="AF2792" s="69"/>
      <c r="AG2792" s="69"/>
      <c r="AH2792" s="69"/>
      <c r="AI2792" s="69"/>
      <c r="AJ2792" s="69"/>
      <c r="AK2792" s="69"/>
      <c r="AL2792" s="69"/>
      <c r="AM2792" s="69"/>
      <c r="AN2792" s="69"/>
      <c r="AO2792" s="69"/>
      <c r="AP2792" s="69"/>
      <c r="AQ2792" s="69"/>
      <c r="AR2792" s="69"/>
      <c r="AS2792" s="69"/>
      <c r="AT2792" s="69"/>
      <c r="AU2792" s="69"/>
      <c r="AV2792" s="69"/>
      <c r="AW2792" s="69"/>
      <c r="AX2792" s="69"/>
      <c r="AY2792" s="69"/>
      <c r="AZ2792" s="69"/>
      <c r="BA2792" s="69"/>
      <c r="BB2792" s="69"/>
      <c r="BC2792" s="69"/>
    </row>
    <row r="2793">
      <c r="A2793" s="68"/>
      <c r="B2793" s="68"/>
      <c r="C2793" s="68"/>
      <c r="D2793" s="68"/>
      <c r="E2793" s="68"/>
      <c r="F2793" s="68"/>
      <c r="G2793" s="68"/>
      <c r="H2793" s="68"/>
      <c r="I2793" s="69"/>
      <c r="J2793" s="69"/>
      <c r="K2793" s="71"/>
      <c r="L2793" s="69"/>
      <c r="M2793" s="69"/>
      <c r="N2793" s="72"/>
      <c r="O2793" s="69"/>
      <c r="P2793" s="69"/>
      <c r="Q2793" s="69"/>
      <c r="R2793" s="69"/>
      <c r="S2793" s="69"/>
      <c r="T2793" s="69"/>
      <c r="U2793" s="69"/>
      <c r="V2793" s="69"/>
      <c r="W2793" s="69"/>
      <c r="X2793" s="69"/>
      <c r="Y2793" s="69"/>
      <c r="Z2793" s="69"/>
      <c r="AA2793" s="69"/>
      <c r="AB2793" s="69"/>
      <c r="AC2793" s="69"/>
      <c r="AD2793" s="69"/>
      <c r="AE2793" s="69"/>
      <c r="AF2793" s="69"/>
      <c r="AG2793" s="69"/>
      <c r="AH2793" s="69"/>
      <c r="AI2793" s="69"/>
      <c r="AJ2793" s="69"/>
      <c r="AK2793" s="69"/>
      <c r="AL2793" s="69"/>
      <c r="AM2793" s="69"/>
      <c r="AN2793" s="69"/>
      <c r="AO2793" s="69"/>
      <c r="AP2793" s="69"/>
      <c r="AQ2793" s="69"/>
      <c r="AR2793" s="69"/>
      <c r="AS2793" s="69"/>
      <c r="AT2793" s="69"/>
      <c r="AU2793" s="69"/>
      <c r="AV2793" s="69"/>
      <c r="AW2793" s="69"/>
      <c r="AX2793" s="69"/>
      <c r="AY2793" s="69"/>
      <c r="AZ2793" s="69"/>
      <c r="BA2793" s="69"/>
      <c r="BB2793" s="69"/>
      <c r="BC2793" s="69"/>
    </row>
    <row r="2794">
      <c r="A2794" s="68"/>
      <c r="B2794" s="68"/>
      <c r="C2794" s="68"/>
      <c r="D2794" s="68"/>
      <c r="E2794" s="68"/>
      <c r="F2794" s="68"/>
      <c r="G2794" s="68"/>
      <c r="H2794" s="68"/>
      <c r="I2794" s="69"/>
      <c r="J2794" s="69"/>
      <c r="K2794" s="71"/>
      <c r="L2794" s="69"/>
      <c r="M2794" s="69"/>
      <c r="N2794" s="72"/>
      <c r="O2794" s="69"/>
      <c r="P2794" s="69"/>
      <c r="Q2794" s="69"/>
      <c r="R2794" s="69"/>
      <c r="S2794" s="69"/>
      <c r="T2794" s="69"/>
      <c r="U2794" s="69"/>
      <c r="V2794" s="69"/>
      <c r="W2794" s="69"/>
      <c r="X2794" s="69"/>
      <c r="Y2794" s="69"/>
      <c r="Z2794" s="69"/>
      <c r="AA2794" s="69"/>
      <c r="AB2794" s="69"/>
      <c r="AC2794" s="69"/>
      <c r="AD2794" s="69"/>
      <c r="AE2794" s="69"/>
      <c r="AF2794" s="69"/>
      <c r="AG2794" s="69"/>
      <c r="AH2794" s="69"/>
      <c r="AI2794" s="69"/>
      <c r="AJ2794" s="69"/>
      <c r="AK2794" s="69"/>
      <c r="AL2794" s="69"/>
      <c r="AM2794" s="69"/>
      <c r="AN2794" s="69"/>
      <c r="AO2794" s="69"/>
      <c r="AP2794" s="69"/>
      <c r="AQ2794" s="69"/>
      <c r="AR2794" s="69"/>
      <c r="AS2794" s="69"/>
      <c r="AT2794" s="69"/>
      <c r="AU2794" s="69"/>
      <c r="AV2794" s="69"/>
      <c r="AW2794" s="69"/>
      <c r="AX2794" s="69"/>
      <c r="AY2794" s="69"/>
      <c r="AZ2794" s="69"/>
      <c r="BA2794" s="69"/>
      <c r="BB2794" s="69"/>
      <c r="BC2794" s="69"/>
    </row>
    <row r="2795">
      <c r="A2795" s="68"/>
      <c r="B2795" s="68"/>
      <c r="C2795" s="68"/>
      <c r="D2795" s="68"/>
      <c r="E2795" s="68"/>
      <c r="F2795" s="68"/>
      <c r="G2795" s="68"/>
      <c r="H2795" s="68"/>
      <c r="I2795" s="69"/>
      <c r="J2795" s="69"/>
      <c r="K2795" s="71"/>
      <c r="L2795" s="69"/>
      <c r="M2795" s="69"/>
      <c r="N2795" s="72"/>
      <c r="O2795" s="69"/>
      <c r="P2795" s="69"/>
      <c r="Q2795" s="69"/>
      <c r="R2795" s="69"/>
      <c r="S2795" s="69"/>
      <c r="T2795" s="69"/>
      <c r="U2795" s="69"/>
      <c r="V2795" s="69"/>
      <c r="W2795" s="69"/>
      <c r="X2795" s="69"/>
      <c r="Y2795" s="69"/>
      <c r="Z2795" s="69"/>
      <c r="AA2795" s="69"/>
      <c r="AB2795" s="69"/>
      <c r="AC2795" s="69"/>
      <c r="AD2795" s="69"/>
      <c r="AE2795" s="69"/>
      <c r="AF2795" s="69"/>
      <c r="AG2795" s="69"/>
      <c r="AH2795" s="69"/>
      <c r="AI2795" s="69"/>
      <c r="AJ2795" s="69"/>
      <c r="AK2795" s="69"/>
      <c r="AL2795" s="69"/>
      <c r="AM2795" s="69"/>
      <c r="AN2795" s="69"/>
      <c r="AO2795" s="69"/>
      <c r="AP2795" s="69"/>
      <c r="AQ2795" s="69"/>
      <c r="AR2795" s="69"/>
      <c r="AS2795" s="69"/>
      <c r="AT2795" s="69"/>
      <c r="AU2795" s="69"/>
      <c r="AV2795" s="69"/>
      <c r="AW2795" s="69"/>
      <c r="AX2795" s="69"/>
      <c r="AY2795" s="69"/>
      <c r="AZ2795" s="69"/>
      <c r="BA2795" s="69"/>
      <c r="BB2795" s="69"/>
      <c r="BC2795" s="69"/>
    </row>
    <row r="2796">
      <c r="A2796" s="68"/>
      <c r="B2796" s="68"/>
      <c r="C2796" s="68"/>
      <c r="D2796" s="68"/>
      <c r="E2796" s="68"/>
      <c r="F2796" s="68"/>
      <c r="G2796" s="68"/>
      <c r="H2796" s="68"/>
      <c r="I2796" s="69"/>
      <c r="J2796" s="69"/>
      <c r="K2796" s="71"/>
      <c r="L2796" s="69"/>
      <c r="M2796" s="69"/>
      <c r="N2796" s="72"/>
      <c r="O2796" s="69"/>
      <c r="P2796" s="69"/>
      <c r="Q2796" s="69"/>
      <c r="R2796" s="69"/>
      <c r="S2796" s="69"/>
      <c r="T2796" s="69"/>
      <c r="U2796" s="69"/>
      <c r="V2796" s="69"/>
      <c r="W2796" s="69"/>
      <c r="X2796" s="69"/>
      <c r="Y2796" s="69"/>
      <c r="Z2796" s="69"/>
      <c r="AA2796" s="69"/>
      <c r="AB2796" s="69"/>
      <c r="AC2796" s="69"/>
      <c r="AD2796" s="69"/>
      <c r="AE2796" s="69"/>
      <c r="AF2796" s="69"/>
      <c r="AG2796" s="69"/>
      <c r="AH2796" s="69"/>
      <c r="AI2796" s="69"/>
      <c r="AJ2796" s="69"/>
      <c r="AK2796" s="69"/>
      <c r="AL2796" s="69"/>
      <c r="AM2796" s="69"/>
      <c r="AN2796" s="69"/>
      <c r="AO2796" s="69"/>
      <c r="AP2796" s="69"/>
      <c r="AQ2796" s="69"/>
      <c r="AR2796" s="69"/>
      <c r="AS2796" s="69"/>
      <c r="AT2796" s="69"/>
      <c r="AU2796" s="69"/>
      <c r="AV2796" s="69"/>
      <c r="AW2796" s="69"/>
      <c r="AX2796" s="69"/>
      <c r="AY2796" s="69"/>
      <c r="AZ2796" s="69"/>
      <c r="BA2796" s="69"/>
      <c r="BB2796" s="69"/>
      <c r="BC2796" s="69"/>
    </row>
    <row r="2797">
      <c r="A2797" s="68"/>
      <c r="B2797" s="68"/>
      <c r="C2797" s="68"/>
      <c r="D2797" s="68"/>
      <c r="E2797" s="68"/>
      <c r="F2797" s="68"/>
      <c r="G2797" s="68"/>
      <c r="H2797" s="68"/>
      <c r="I2797" s="69"/>
      <c r="J2797" s="69"/>
      <c r="K2797" s="71"/>
      <c r="L2797" s="69"/>
      <c r="M2797" s="69"/>
      <c r="N2797" s="72"/>
      <c r="O2797" s="69"/>
      <c r="P2797" s="69"/>
      <c r="Q2797" s="69"/>
      <c r="R2797" s="69"/>
      <c r="S2797" s="69"/>
      <c r="T2797" s="69"/>
      <c r="U2797" s="69"/>
      <c r="V2797" s="69"/>
      <c r="W2797" s="69"/>
      <c r="X2797" s="69"/>
      <c r="Y2797" s="69"/>
      <c r="Z2797" s="69"/>
      <c r="AA2797" s="69"/>
      <c r="AB2797" s="69"/>
      <c r="AC2797" s="69"/>
      <c r="AD2797" s="69"/>
      <c r="AE2797" s="69"/>
      <c r="AF2797" s="69"/>
      <c r="AG2797" s="69"/>
      <c r="AH2797" s="69"/>
      <c r="AI2797" s="69"/>
      <c r="AJ2797" s="69"/>
      <c r="AK2797" s="69"/>
      <c r="AL2797" s="69"/>
      <c r="AM2797" s="69"/>
      <c r="AN2797" s="69"/>
      <c r="AO2797" s="69"/>
      <c r="AP2797" s="69"/>
      <c r="AQ2797" s="69"/>
      <c r="AR2797" s="69"/>
      <c r="AS2797" s="69"/>
      <c r="AT2797" s="69"/>
      <c r="AU2797" s="69"/>
      <c r="AV2797" s="69"/>
      <c r="AW2797" s="69"/>
      <c r="AX2797" s="69"/>
      <c r="AY2797" s="69"/>
      <c r="AZ2797" s="69"/>
      <c r="BA2797" s="69"/>
      <c r="BB2797" s="69"/>
      <c r="BC2797" s="69"/>
    </row>
    <row r="2798">
      <c r="A2798" s="68"/>
      <c r="B2798" s="68"/>
      <c r="C2798" s="68"/>
      <c r="D2798" s="68"/>
      <c r="E2798" s="68"/>
      <c r="F2798" s="68"/>
      <c r="G2798" s="68"/>
      <c r="H2798" s="68"/>
      <c r="I2798" s="69"/>
      <c r="J2798" s="69"/>
      <c r="K2798" s="71"/>
      <c r="L2798" s="69"/>
      <c r="M2798" s="69"/>
      <c r="N2798" s="72"/>
      <c r="O2798" s="69"/>
      <c r="P2798" s="69"/>
      <c r="Q2798" s="69"/>
      <c r="R2798" s="69"/>
      <c r="S2798" s="69"/>
      <c r="T2798" s="69"/>
      <c r="U2798" s="69"/>
      <c r="V2798" s="69"/>
      <c r="W2798" s="69"/>
      <c r="X2798" s="69"/>
      <c r="Y2798" s="69"/>
      <c r="Z2798" s="69"/>
      <c r="AA2798" s="69"/>
      <c r="AB2798" s="69"/>
      <c r="AC2798" s="69"/>
      <c r="AD2798" s="69"/>
      <c r="AE2798" s="69"/>
      <c r="AF2798" s="69"/>
      <c r="AG2798" s="69"/>
      <c r="AH2798" s="69"/>
      <c r="AI2798" s="69"/>
      <c r="AJ2798" s="69"/>
      <c r="AK2798" s="69"/>
      <c r="AL2798" s="69"/>
      <c r="AM2798" s="69"/>
      <c r="AN2798" s="69"/>
      <c r="AO2798" s="69"/>
      <c r="AP2798" s="69"/>
      <c r="AQ2798" s="69"/>
      <c r="AR2798" s="69"/>
      <c r="AS2798" s="69"/>
      <c r="AT2798" s="69"/>
      <c r="AU2798" s="69"/>
      <c r="AV2798" s="69"/>
      <c r="AW2798" s="69"/>
      <c r="AX2798" s="69"/>
      <c r="AY2798" s="69"/>
      <c r="AZ2798" s="69"/>
      <c r="BA2798" s="69"/>
      <c r="BB2798" s="69"/>
      <c r="BC2798" s="69"/>
    </row>
    <row r="2799">
      <c r="A2799" s="68"/>
      <c r="B2799" s="68"/>
      <c r="C2799" s="68"/>
      <c r="D2799" s="68"/>
      <c r="E2799" s="68"/>
      <c r="F2799" s="68"/>
      <c r="G2799" s="68"/>
      <c r="H2799" s="68"/>
      <c r="I2799" s="69"/>
      <c r="J2799" s="69"/>
      <c r="K2799" s="71"/>
      <c r="L2799" s="69"/>
      <c r="M2799" s="69"/>
      <c r="N2799" s="72"/>
      <c r="O2799" s="69"/>
      <c r="P2799" s="69"/>
      <c r="Q2799" s="69"/>
      <c r="R2799" s="69"/>
      <c r="S2799" s="69"/>
      <c r="T2799" s="69"/>
      <c r="U2799" s="69"/>
      <c r="V2799" s="69"/>
      <c r="W2799" s="69"/>
      <c r="X2799" s="69"/>
      <c r="Y2799" s="69"/>
      <c r="Z2799" s="69"/>
      <c r="AA2799" s="69"/>
      <c r="AB2799" s="69"/>
      <c r="AC2799" s="69"/>
      <c r="AD2799" s="69"/>
      <c r="AE2799" s="69"/>
      <c r="AF2799" s="69"/>
      <c r="AG2799" s="69"/>
      <c r="AH2799" s="69"/>
      <c r="AI2799" s="69"/>
      <c r="AJ2799" s="69"/>
      <c r="AK2799" s="69"/>
      <c r="AL2799" s="69"/>
      <c r="AM2799" s="69"/>
      <c r="AN2799" s="69"/>
      <c r="AO2799" s="69"/>
      <c r="AP2799" s="69"/>
      <c r="AQ2799" s="69"/>
      <c r="AR2799" s="69"/>
      <c r="AS2799" s="69"/>
      <c r="AT2799" s="69"/>
      <c r="AU2799" s="69"/>
      <c r="AV2799" s="69"/>
      <c r="AW2799" s="69"/>
      <c r="AX2799" s="69"/>
      <c r="AY2799" s="69"/>
      <c r="AZ2799" s="69"/>
      <c r="BA2799" s="69"/>
      <c r="BB2799" s="69"/>
      <c r="BC2799" s="69"/>
    </row>
    <row r="2800">
      <c r="A2800" s="68"/>
      <c r="B2800" s="68"/>
      <c r="C2800" s="68"/>
      <c r="D2800" s="68"/>
      <c r="E2800" s="68"/>
      <c r="F2800" s="68"/>
      <c r="G2800" s="68"/>
      <c r="H2800" s="68"/>
      <c r="I2800" s="69"/>
      <c r="J2800" s="69"/>
      <c r="K2800" s="71"/>
      <c r="L2800" s="69"/>
      <c r="M2800" s="69"/>
      <c r="N2800" s="72"/>
      <c r="O2800" s="69"/>
      <c r="P2800" s="69"/>
      <c r="Q2800" s="69"/>
      <c r="R2800" s="69"/>
      <c r="S2800" s="69"/>
      <c r="T2800" s="69"/>
      <c r="U2800" s="69"/>
      <c r="V2800" s="69"/>
      <c r="W2800" s="69"/>
      <c r="X2800" s="69"/>
      <c r="Y2800" s="69"/>
      <c r="Z2800" s="69"/>
      <c r="AA2800" s="69"/>
      <c r="AB2800" s="69"/>
      <c r="AC2800" s="69"/>
      <c r="AD2800" s="69"/>
      <c r="AE2800" s="69"/>
      <c r="AF2800" s="69"/>
      <c r="AG2800" s="69"/>
      <c r="AH2800" s="69"/>
      <c r="AI2800" s="69"/>
      <c r="AJ2800" s="69"/>
      <c r="AK2800" s="69"/>
      <c r="AL2800" s="69"/>
      <c r="AM2800" s="69"/>
      <c r="AN2800" s="69"/>
      <c r="AO2800" s="69"/>
      <c r="AP2800" s="69"/>
      <c r="AQ2800" s="69"/>
      <c r="AR2800" s="69"/>
      <c r="AS2800" s="69"/>
      <c r="AT2800" s="69"/>
      <c r="AU2800" s="69"/>
      <c r="AV2800" s="69"/>
      <c r="AW2800" s="69"/>
      <c r="AX2800" s="69"/>
      <c r="AY2800" s="69"/>
      <c r="AZ2800" s="69"/>
      <c r="BA2800" s="69"/>
      <c r="BB2800" s="69"/>
      <c r="BC2800" s="69"/>
    </row>
    <row r="2801">
      <c r="A2801" s="68"/>
      <c r="B2801" s="68"/>
      <c r="C2801" s="68"/>
      <c r="D2801" s="68"/>
      <c r="E2801" s="68"/>
      <c r="F2801" s="68"/>
      <c r="G2801" s="68"/>
      <c r="H2801" s="68"/>
      <c r="I2801" s="69"/>
      <c r="J2801" s="69"/>
      <c r="K2801" s="71"/>
      <c r="L2801" s="69"/>
      <c r="M2801" s="69"/>
      <c r="N2801" s="72"/>
      <c r="O2801" s="69"/>
      <c r="P2801" s="69"/>
      <c r="Q2801" s="69"/>
      <c r="R2801" s="69"/>
      <c r="S2801" s="69"/>
      <c r="T2801" s="69"/>
      <c r="U2801" s="69"/>
      <c r="V2801" s="69"/>
      <c r="W2801" s="69"/>
      <c r="X2801" s="69"/>
      <c r="Y2801" s="69"/>
      <c r="Z2801" s="69"/>
      <c r="AA2801" s="69"/>
      <c r="AB2801" s="69"/>
      <c r="AC2801" s="69"/>
      <c r="AD2801" s="69"/>
      <c r="AE2801" s="69"/>
      <c r="AF2801" s="69"/>
      <c r="AG2801" s="69"/>
      <c r="AH2801" s="69"/>
      <c r="AI2801" s="69"/>
      <c r="AJ2801" s="69"/>
      <c r="AK2801" s="69"/>
      <c r="AL2801" s="69"/>
      <c r="AM2801" s="69"/>
      <c r="AN2801" s="69"/>
      <c r="AO2801" s="69"/>
      <c r="AP2801" s="69"/>
      <c r="AQ2801" s="69"/>
      <c r="AR2801" s="69"/>
      <c r="AS2801" s="69"/>
      <c r="AT2801" s="69"/>
      <c r="AU2801" s="69"/>
      <c r="AV2801" s="69"/>
      <c r="AW2801" s="69"/>
      <c r="AX2801" s="69"/>
      <c r="AY2801" s="69"/>
      <c r="AZ2801" s="69"/>
      <c r="BA2801" s="69"/>
      <c r="BB2801" s="69"/>
      <c r="BC2801" s="69"/>
    </row>
    <row r="2802">
      <c r="A2802" s="68"/>
      <c r="B2802" s="68"/>
      <c r="C2802" s="68"/>
      <c r="D2802" s="68"/>
      <c r="E2802" s="68"/>
      <c r="F2802" s="68"/>
      <c r="G2802" s="68"/>
      <c r="H2802" s="68"/>
      <c r="I2802" s="69"/>
      <c r="J2802" s="69"/>
      <c r="K2802" s="71"/>
      <c r="L2802" s="69"/>
      <c r="M2802" s="69"/>
      <c r="N2802" s="72"/>
      <c r="O2802" s="69"/>
      <c r="P2802" s="69"/>
      <c r="Q2802" s="69"/>
      <c r="R2802" s="69"/>
      <c r="S2802" s="69"/>
      <c r="T2802" s="69"/>
      <c r="U2802" s="69"/>
      <c r="V2802" s="69"/>
      <c r="W2802" s="69"/>
      <c r="X2802" s="69"/>
      <c r="Y2802" s="69"/>
      <c r="Z2802" s="69"/>
      <c r="AA2802" s="69"/>
      <c r="AB2802" s="69"/>
      <c r="AC2802" s="69"/>
      <c r="AD2802" s="69"/>
      <c r="AE2802" s="69"/>
      <c r="AF2802" s="69"/>
      <c r="AG2802" s="69"/>
      <c r="AH2802" s="69"/>
      <c r="AI2802" s="69"/>
      <c r="AJ2802" s="69"/>
      <c r="AK2802" s="69"/>
      <c r="AL2802" s="69"/>
      <c r="AM2802" s="69"/>
      <c r="AN2802" s="69"/>
      <c r="AO2802" s="69"/>
      <c r="AP2802" s="69"/>
      <c r="AQ2802" s="69"/>
      <c r="AR2802" s="69"/>
      <c r="AS2802" s="69"/>
      <c r="AT2802" s="69"/>
      <c r="AU2802" s="69"/>
      <c r="AV2802" s="69"/>
      <c r="AW2802" s="69"/>
      <c r="AX2802" s="69"/>
      <c r="AY2802" s="69"/>
      <c r="AZ2802" s="69"/>
      <c r="BA2802" s="69"/>
      <c r="BB2802" s="69"/>
      <c r="BC2802" s="69"/>
    </row>
    <row r="2803">
      <c r="A2803" s="68"/>
      <c r="B2803" s="68"/>
      <c r="C2803" s="68"/>
      <c r="D2803" s="68"/>
      <c r="E2803" s="68"/>
      <c r="F2803" s="68"/>
      <c r="G2803" s="68"/>
      <c r="H2803" s="68"/>
      <c r="I2803" s="69"/>
      <c r="J2803" s="69"/>
      <c r="K2803" s="71"/>
      <c r="L2803" s="69"/>
      <c r="M2803" s="69"/>
      <c r="N2803" s="72"/>
      <c r="O2803" s="69"/>
      <c r="P2803" s="69"/>
      <c r="Q2803" s="69"/>
      <c r="R2803" s="69"/>
      <c r="S2803" s="69"/>
      <c r="T2803" s="69"/>
      <c r="U2803" s="69"/>
      <c r="V2803" s="69"/>
      <c r="W2803" s="69"/>
      <c r="X2803" s="69"/>
      <c r="Y2803" s="69"/>
      <c r="Z2803" s="69"/>
      <c r="AA2803" s="69"/>
      <c r="AB2803" s="69"/>
      <c r="AC2803" s="69"/>
      <c r="AD2803" s="69"/>
      <c r="AE2803" s="69"/>
      <c r="AF2803" s="69"/>
      <c r="AG2803" s="69"/>
      <c r="AH2803" s="69"/>
      <c r="AI2803" s="69"/>
      <c r="AJ2803" s="69"/>
      <c r="AK2803" s="69"/>
      <c r="AL2803" s="69"/>
      <c r="AM2803" s="69"/>
      <c r="AN2803" s="69"/>
      <c r="AO2803" s="69"/>
      <c r="AP2803" s="69"/>
      <c r="AQ2803" s="69"/>
      <c r="AR2803" s="69"/>
      <c r="AS2803" s="69"/>
      <c r="AT2803" s="69"/>
      <c r="AU2803" s="69"/>
      <c r="AV2803" s="69"/>
      <c r="AW2803" s="69"/>
      <c r="AX2803" s="69"/>
      <c r="AY2803" s="69"/>
      <c r="AZ2803" s="69"/>
      <c r="BA2803" s="69"/>
      <c r="BB2803" s="69"/>
      <c r="BC2803" s="69"/>
    </row>
    <row r="2804">
      <c r="A2804" s="68"/>
      <c r="B2804" s="68"/>
      <c r="C2804" s="68"/>
      <c r="D2804" s="68"/>
      <c r="E2804" s="68"/>
      <c r="F2804" s="68"/>
      <c r="G2804" s="68"/>
      <c r="H2804" s="68"/>
      <c r="I2804" s="69"/>
      <c r="J2804" s="69"/>
      <c r="K2804" s="71"/>
      <c r="L2804" s="69"/>
      <c r="M2804" s="69"/>
      <c r="N2804" s="72"/>
      <c r="O2804" s="69"/>
      <c r="P2804" s="69"/>
      <c r="Q2804" s="69"/>
      <c r="R2804" s="69"/>
      <c r="S2804" s="69"/>
      <c r="T2804" s="69"/>
      <c r="U2804" s="69"/>
      <c r="V2804" s="69"/>
      <c r="W2804" s="69"/>
      <c r="X2804" s="69"/>
      <c r="Y2804" s="69"/>
      <c r="Z2804" s="69"/>
      <c r="AA2804" s="69"/>
      <c r="AB2804" s="69"/>
      <c r="AC2804" s="69"/>
      <c r="AD2804" s="69"/>
      <c r="AE2804" s="69"/>
      <c r="AF2804" s="69"/>
      <c r="AG2804" s="69"/>
      <c r="AH2804" s="69"/>
      <c r="AI2804" s="69"/>
      <c r="AJ2804" s="69"/>
      <c r="AK2804" s="69"/>
      <c r="AL2804" s="69"/>
      <c r="AM2804" s="69"/>
      <c r="AN2804" s="69"/>
      <c r="AO2804" s="69"/>
      <c r="AP2804" s="69"/>
      <c r="AQ2804" s="69"/>
      <c r="AR2804" s="69"/>
      <c r="AS2804" s="69"/>
      <c r="AT2804" s="69"/>
      <c r="AU2804" s="69"/>
      <c r="AV2804" s="69"/>
      <c r="AW2804" s="69"/>
      <c r="AX2804" s="69"/>
      <c r="AY2804" s="69"/>
      <c r="AZ2804" s="69"/>
      <c r="BA2804" s="69"/>
      <c r="BB2804" s="69"/>
      <c r="BC2804" s="69"/>
    </row>
    <row r="2805">
      <c r="A2805" s="68"/>
      <c r="B2805" s="68"/>
      <c r="C2805" s="68"/>
      <c r="D2805" s="68"/>
      <c r="E2805" s="68"/>
      <c r="F2805" s="68"/>
      <c r="G2805" s="68"/>
      <c r="H2805" s="68"/>
      <c r="I2805" s="69"/>
      <c r="J2805" s="69"/>
      <c r="K2805" s="71"/>
      <c r="L2805" s="69"/>
      <c r="M2805" s="69"/>
      <c r="N2805" s="72"/>
      <c r="O2805" s="69"/>
      <c r="P2805" s="69"/>
      <c r="Q2805" s="69"/>
      <c r="R2805" s="69"/>
      <c r="S2805" s="69"/>
      <c r="T2805" s="69"/>
      <c r="U2805" s="69"/>
      <c r="V2805" s="69"/>
      <c r="W2805" s="69"/>
      <c r="X2805" s="69"/>
      <c r="Y2805" s="69"/>
      <c r="Z2805" s="69"/>
      <c r="AA2805" s="69"/>
      <c r="AB2805" s="69"/>
      <c r="AC2805" s="69"/>
      <c r="AD2805" s="69"/>
      <c r="AE2805" s="69"/>
      <c r="AF2805" s="69"/>
      <c r="AG2805" s="69"/>
      <c r="AH2805" s="69"/>
      <c r="AI2805" s="69"/>
      <c r="AJ2805" s="69"/>
      <c r="AK2805" s="69"/>
      <c r="AL2805" s="69"/>
      <c r="AM2805" s="69"/>
      <c r="AN2805" s="69"/>
      <c r="AO2805" s="69"/>
      <c r="AP2805" s="69"/>
      <c r="AQ2805" s="69"/>
      <c r="AR2805" s="69"/>
      <c r="AS2805" s="69"/>
      <c r="AT2805" s="69"/>
      <c r="AU2805" s="69"/>
      <c r="AV2805" s="69"/>
      <c r="AW2805" s="69"/>
      <c r="AX2805" s="69"/>
      <c r="AY2805" s="69"/>
      <c r="AZ2805" s="69"/>
      <c r="BA2805" s="69"/>
      <c r="BB2805" s="69"/>
      <c r="BC2805" s="69"/>
    </row>
    <row r="2806">
      <c r="A2806" s="68"/>
      <c r="B2806" s="68"/>
      <c r="C2806" s="68"/>
      <c r="D2806" s="68"/>
      <c r="E2806" s="68"/>
      <c r="F2806" s="68"/>
      <c r="G2806" s="68"/>
      <c r="H2806" s="68"/>
      <c r="I2806" s="69"/>
      <c r="J2806" s="69"/>
      <c r="K2806" s="71"/>
      <c r="L2806" s="69"/>
      <c r="M2806" s="69"/>
      <c r="N2806" s="72"/>
      <c r="O2806" s="69"/>
      <c r="P2806" s="69"/>
      <c r="Q2806" s="69"/>
      <c r="R2806" s="69"/>
      <c r="S2806" s="69"/>
      <c r="T2806" s="69"/>
      <c r="U2806" s="69"/>
      <c r="V2806" s="69"/>
      <c r="W2806" s="69"/>
      <c r="X2806" s="69"/>
      <c r="Y2806" s="69"/>
      <c r="Z2806" s="69"/>
      <c r="AA2806" s="69"/>
      <c r="AB2806" s="69"/>
      <c r="AC2806" s="69"/>
      <c r="AD2806" s="69"/>
      <c r="AE2806" s="69"/>
      <c r="AF2806" s="69"/>
      <c r="AG2806" s="69"/>
      <c r="AH2806" s="69"/>
      <c r="AI2806" s="69"/>
      <c r="AJ2806" s="69"/>
      <c r="AK2806" s="69"/>
      <c r="AL2806" s="69"/>
      <c r="AM2806" s="69"/>
      <c r="AN2806" s="69"/>
      <c r="AO2806" s="69"/>
      <c r="AP2806" s="69"/>
      <c r="AQ2806" s="69"/>
      <c r="AR2806" s="69"/>
      <c r="AS2806" s="69"/>
      <c r="AT2806" s="69"/>
      <c r="AU2806" s="69"/>
      <c r="AV2806" s="69"/>
      <c r="AW2806" s="69"/>
      <c r="AX2806" s="69"/>
      <c r="AY2806" s="69"/>
      <c r="AZ2806" s="69"/>
      <c r="BA2806" s="69"/>
      <c r="BB2806" s="69"/>
      <c r="BC2806" s="69"/>
    </row>
    <row r="2807">
      <c r="A2807" s="68"/>
      <c r="B2807" s="68"/>
      <c r="C2807" s="68"/>
      <c r="D2807" s="68"/>
      <c r="E2807" s="68"/>
      <c r="F2807" s="68"/>
      <c r="G2807" s="68"/>
      <c r="H2807" s="68"/>
      <c r="I2807" s="69"/>
      <c r="J2807" s="69"/>
      <c r="K2807" s="71"/>
      <c r="L2807" s="69"/>
      <c r="M2807" s="69"/>
      <c r="N2807" s="72"/>
      <c r="O2807" s="69"/>
      <c r="P2807" s="69"/>
      <c r="Q2807" s="69"/>
      <c r="R2807" s="69"/>
      <c r="S2807" s="69"/>
      <c r="T2807" s="69"/>
      <c r="U2807" s="69"/>
      <c r="V2807" s="69"/>
      <c r="W2807" s="69"/>
      <c r="X2807" s="69"/>
      <c r="Y2807" s="69"/>
      <c r="Z2807" s="69"/>
      <c r="AA2807" s="69"/>
      <c r="AB2807" s="69"/>
      <c r="AC2807" s="69"/>
      <c r="AD2807" s="69"/>
      <c r="AE2807" s="69"/>
      <c r="AF2807" s="69"/>
      <c r="AG2807" s="69"/>
      <c r="AH2807" s="69"/>
      <c r="AI2807" s="69"/>
      <c r="AJ2807" s="69"/>
      <c r="AK2807" s="69"/>
      <c r="AL2807" s="69"/>
      <c r="AM2807" s="69"/>
      <c r="AN2807" s="69"/>
      <c r="AO2807" s="69"/>
      <c r="AP2807" s="69"/>
      <c r="AQ2807" s="69"/>
      <c r="AR2807" s="69"/>
      <c r="AS2807" s="69"/>
      <c r="AT2807" s="69"/>
      <c r="AU2807" s="69"/>
      <c r="AV2807" s="69"/>
      <c r="AW2807" s="69"/>
      <c r="AX2807" s="69"/>
      <c r="AY2807" s="69"/>
      <c r="AZ2807" s="69"/>
      <c r="BA2807" s="69"/>
      <c r="BB2807" s="69"/>
      <c r="BC2807" s="69"/>
    </row>
    <row r="2808">
      <c r="A2808" s="68"/>
      <c r="B2808" s="68"/>
      <c r="C2808" s="68"/>
      <c r="D2808" s="68"/>
      <c r="E2808" s="68"/>
      <c r="F2808" s="68"/>
      <c r="G2808" s="68"/>
      <c r="H2808" s="68"/>
      <c r="I2808" s="69"/>
      <c r="J2808" s="69"/>
      <c r="K2808" s="71"/>
      <c r="L2808" s="69"/>
      <c r="M2808" s="69"/>
      <c r="N2808" s="72"/>
      <c r="O2808" s="69"/>
      <c r="P2808" s="69"/>
      <c r="Q2808" s="69"/>
      <c r="R2808" s="69"/>
      <c r="S2808" s="69"/>
      <c r="T2808" s="69"/>
      <c r="U2808" s="69"/>
      <c r="V2808" s="69"/>
      <c r="W2808" s="69"/>
      <c r="X2808" s="69"/>
      <c r="Y2808" s="69"/>
      <c r="Z2808" s="69"/>
      <c r="AA2808" s="69"/>
      <c r="AB2808" s="69"/>
      <c r="AC2808" s="69"/>
      <c r="AD2808" s="69"/>
      <c r="AE2808" s="69"/>
      <c r="AF2808" s="69"/>
      <c r="AG2808" s="69"/>
      <c r="AH2808" s="69"/>
      <c r="AI2808" s="69"/>
      <c r="AJ2808" s="69"/>
      <c r="AK2808" s="69"/>
      <c r="AL2808" s="69"/>
      <c r="AM2808" s="69"/>
      <c r="AN2808" s="69"/>
      <c r="AO2808" s="69"/>
      <c r="AP2808" s="69"/>
      <c r="AQ2808" s="69"/>
      <c r="AR2808" s="69"/>
      <c r="AS2808" s="69"/>
      <c r="AT2808" s="69"/>
      <c r="AU2808" s="69"/>
      <c r="AV2808" s="69"/>
      <c r="AW2808" s="69"/>
      <c r="AX2808" s="69"/>
      <c r="AY2808" s="69"/>
      <c r="AZ2808" s="69"/>
      <c r="BA2808" s="69"/>
      <c r="BB2808" s="69"/>
      <c r="BC2808" s="69"/>
    </row>
    <row r="2809">
      <c r="A2809" s="68"/>
      <c r="B2809" s="68"/>
      <c r="C2809" s="68"/>
      <c r="D2809" s="68"/>
      <c r="E2809" s="68"/>
      <c r="F2809" s="68"/>
      <c r="G2809" s="68"/>
      <c r="H2809" s="68"/>
      <c r="I2809" s="69"/>
      <c r="J2809" s="69"/>
      <c r="K2809" s="71"/>
      <c r="L2809" s="69"/>
      <c r="M2809" s="69"/>
      <c r="N2809" s="72"/>
      <c r="O2809" s="69"/>
      <c r="P2809" s="69"/>
      <c r="Q2809" s="69"/>
      <c r="R2809" s="69"/>
      <c r="S2809" s="69"/>
      <c r="T2809" s="69"/>
      <c r="U2809" s="69"/>
      <c r="V2809" s="69"/>
      <c r="W2809" s="69"/>
      <c r="X2809" s="69"/>
      <c r="Y2809" s="69"/>
      <c r="Z2809" s="69"/>
      <c r="AA2809" s="69"/>
      <c r="AB2809" s="69"/>
      <c r="AC2809" s="69"/>
      <c r="AD2809" s="69"/>
      <c r="AE2809" s="69"/>
      <c r="AF2809" s="69"/>
      <c r="AG2809" s="69"/>
      <c r="AH2809" s="69"/>
      <c r="AI2809" s="69"/>
      <c r="AJ2809" s="69"/>
      <c r="AK2809" s="69"/>
      <c r="AL2809" s="69"/>
      <c r="AM2809" s="69"/>
      <c r="AN2809" s="69"/>
      <c r="AO2809" s="69"/>
      <c r="AP2809" s="69"/>
      <c r="AQ2809" s="69"/>
      <c r="AR2809" s="69"/>
      <c r="AS2809" s="69"/>
      <c r="AT2809" s="69"/>
      <c r="AU2809" s="69"/>
      <c r="AV2809" s="69"/>
      <c r="AW2809" s="69"/>
      <c r="AX2809" s="69"/>
      <c r="AY2809" s="69"/>
      <c r="AZ2809" s="69"/>
      <c r="BA2809" s="69"/>
      <c r="BB2809" s="69"/>
      <c r="BC2809" s="69"/>
    </row>
    <row r="2810">
      <c r="A2810" s="68"/>
      <c r="B2810" s="68"/>
      <c r="C2810" s="68"/>
      <c r="D2810" s="68"/>
      <c r="E2810" s="68"/>
      <c r="F2810" s="68"/>
      <c r="G2810" s="68"/>
      <c r="H2810" s="68"/>
      <c r="I2810" s="69"/>
      <c r="J2810" s="69"/>
      <c r="K2810" s="71"/>
      <c r="L2810" s="69"/>
      <c r="M2810" s="69"/>
      <c r="N2810" s="72"/>
      <c r="O2810" s="69"/>
      <c r="P2810" s="69"/>
      <c r="Q2810" s="69"/>
      <c r="R2810" s="69"/>
      <c r="S2810" s="69"/>
      <c r="T2810" s="69"/>
      <c r="U2810" s="69"/>
      <c r="V2810" s="69"/>
      <c r="W2810" s="69"/>
      <c r="X2810" s="69"/>
      <c r="Y2810" s="69"/>
      <c r="Z2810" s="69"/>
      <c r="AA2810" s="69"/>
      <c r="AB2810" s="69"/>
      <c r="AC2810" s="69"/>
      <c r="AD2810" s="69"/>
      <c r="AE2810" s="69"/>
      <c r="AF2810" s="69"/>
      <c r="AG2810" s="69"/>
      <c r="AH2810" s="69"/>
      <c r="AI2810" s="69"/>
      <c r="AJ2810" s="69"/>
      <c r="AK2810" s="69"/>
      <c r="AL2810" s="69"/>
      <c r="AM2810" s="69"/>
      <c r="AN2810" s="69"/>
      <c r="AO2810" s="69"/>
      <c r="AP2810" s="69"/>
      <c r="AQ2810" s="69"/>
      <c r="AR2810" s="69"/>
      <c r="AS2810" s="69"/>
      <c r="AT2810" s="69"/>
      <c r="AU2810" s="69"/>
      <c r="AV2810" s="69"/>
      <c r="AW2810" s="69"/>
      <c r="AX2810" s="69"/>
      <c r="AY2810" s="69"/>
      <c r="AZ2810" s="69"/>
      <c r="BA2810" s="69"/>
      <c r="BB2810" s="69"/>
      <c r="BC2810" s="69"/>
    </row>
    <row r="2811">
      <c r="A2811" s="68"/>
      <c r="B2811" s="68"/>
      <c r="C2811" s="68"/>
      <c r="D2811" s="68"/>
      <c r="E2811" s="68"/>
      <c r="F2811" s="68"/>
      <c r="G2811" s="68"/>
      <c r="H2811" s="68"/>
      <c r="I2811" s="69"/>
      <c r="J2811" s="69"/>
      <c r="K2811" s="71"/>
      <c r="L2811" s="69"/>
      <c r="M2811" s="69"/>
      <c r="N2811" s="72"/>
      <c r="O2811" s="69"/>
      <c r="P2811" s="69"/>
      <c r="Q2811" s="69"/>
      <c r="R2811" s="69"/>
      <c r="S2811" s="69"/>
      <c r="T2811" s="69"/>
      <c r="U2811" s="69"/>
      <c r="V2811" s="69"/>
      <c r="W2811" s="69"/>
      <c r="X2811" s="69"/>
      <c r="Y2811" s="69"/>
      <c r="Z2811" s="69"/>
      <c r="AA2811" s="69"/>
      <c r="AB2811" s="69"/>
      <c r="AC2811" s="69"/>
      <c r="AD2811" s="69"/>
      <c r="AE2811" s="69"/>
      <c r="AF2811" s="69"/>
      <c r="AG2811" s="69"/>
      <c r="AH2811" s="69"/>
      <c r="AI2811" s="69"/>
      <c r="AJ2811" s="69"/>
      <c r="AK2811" s="69"/>
      <c r="AL2811" s="69"/>
      <c r="AM2811" s="69"/>
      <c r="AN2811" s="69"/>
      <c r="AO2811" s="69"/>
      <c r="AP2811" s="69"/>
      <c r="AQ2811" s="69"/>
      <c r="AR2811" s="69"/>
      <c r="AS2811" s="69"/>
      <c r="AT2811" s="69"/>
      <c r="AU2811" s="69"/>
      <c r="AV2811" s="69"/>
      <c r="AW2811" s="69"/>
      <c r="AX2811" s="69"/>
      <c r="AY2811" s="69"/>
      <c r="AZ2811" s="69"/>
      <c r="BA2811" s="69"/>
      <c r="BB2811" s="69"/>
      <c r="BC2811" s="69"/>
    </row>
    <row r="2812">
      <c r="A2812" s="68"/>
      <c r="B2812" s="68"/>
      <c r="C2812" s="68"/>
      <c r="D2812" s="68"/>
      <c r="E2812" s="68"/>
      <c r="F2812" s="68"/>
      <c r="G2812" s="68"/>
      <c r="H2812" s="68"/>
      <c r="I2812" s="69"/>
      <c r="J2812" s="69"/>
      <c r="K2812" s="71"/>
      <c r="L2812" s="69"/>
      <c r="M2812" s="69"/>
      <c r="N2812" s="72"/>
      <c r="O2812" s="69"/>
      <c r="P2812" s="69"/>
      <c r="Q2812" s="69"/>
      <c r="R2812" s="69"/>
      <c r="S2812" s="69"/>
      <c r="T2812" s="69"/>
      <c r="U2812" s="69"/>
      <c r="V2812" s="69"/>
      <c r="W2812" s="69"/>
      <c r="X2812" s="69"/>
      <c r="Y2812" s="69"/>
      <c r="Z2812" s="69"/>
      <c r="AA2812" s="69"/>
      <c r="AB2812" s="69"/>
      <c r="AC2812" s="69"/>
      <c r="AD2812" s="69"/>
      <c r="AE2812" s="69"/>
      <c r="AF2812" s="69"/>
      <c r="AG2812" s="69"/>
      <c r="AH2812" s="69"/>
      <c r="AI2812" s="69"/>
      <c r="AJ2812" s="69"/>
      <c r="AK2812" s="69"/>
      <c r="AL2812" s="69"/>
      <c r="AM2812" s="69"/>
      <c r="AN2812" s="69"/>
      <c r="AO2812" s="69"/>
      <c r="AP2812" s="69"/>
      <c r="AQ2812" s="69"/>
      <c r="AR2812" s="69"/>
      <c r="AS2812" s="69"/>
      <c r="AT2812" s="69"/>
      <c r="AU2812" s="69"/>
      <c r="AV2812" s="69"/>
      <c r="AW2812" s="69"/>
      <c r="AX2812" s="69"/>
      <c r="AY2812" s="69"/>
      <c r="AZ2812" s="69"/>
      <c r="BA2812" s="69"/>
      <c r="BB2812" s="69"/>
      <c r="BC2812" s="69"/>
    </row>
    <row r="2813">
      <c r="A2813" s="68"/>
      <c r="B2813" s="68"/>
      <c r="C2813" s="68"/>
      <c r="D2813" s="68"/>
      <c r="E2813" s="68"/>
      <c r="F2813" s="68"/>
      <c r="G2813" s="68"/>
      <c r="H2813" s="68"/>
      <c r="I2813" s="69"/>
      <c r="J2813" s="69"/>
      <c r="K2813" s="71"/>
      <c r="L2813" s="69"/>
      <c r="M2813" s="69"/>
      <c r="N2813" s="72"/>
      <c r="O2813" s="69"/>
      <c r="P2813" s="69"/>
      <c r="Q2813" s="69"/>
      <c r="R2813" s="69"/>
      <c r="S2813" s="69"/>
      <c r="T2813" s="69"/>
      <c r="U2813" s="69"/>
      <c r="V2813" s="69"/>
      <c r="W2813" s="69"/>
      <c r="X2813" s="69"/>
      <c r="Y2813" s="69"/>
      <c r="Z2813" s="69"/>
      <c r="AA2813" s="69"/>
      <c r="AB2813" s="69"/>
      <c r="AC2813" s="69"/>
      <c r="AD2813" s="69"/>
      <c r="AE2813" s="69"/>
      <c r="AF2813" s="69"/>
      <c r="AG2813" s="69"/>
      <c r="AH2813" s="69"/>
      <c r="AI2813" s="69"/>
      <c r="AJ2813" s="69"/>
      <c r="AK2813" s="69"/>
      <c r="AL2813" s="69"/>
      <c r="AM2813" s="69"/>
      <c r="AN2813" s="69"/>
      <c r="AO2813" s="69"/>
      <c r="AP2813" s="69"/>
      <c r="AQ2813" s="69"/>
      <c r="AR2813" s="69"/>
      <c r="AS2813" s="69"/>
      <c r="AT2813" s="69"/>
      <c r="AU2813" s="69"/>
      <c r="AV2813" s="69"/>
      <c r="AW2813" s="69"/>
      <c r="AX2813" s="69"/>
      <c r="AY2813" s="69"/>
      <c r="AZ2813" s="69"/>
      <c r="BA2813" s="69"/>
      <c r="BB2813" s="69"/>
      <c r="BC2813" s="69"/>
    </row>
    <row r="2814">
      <c r="A2814" s="68"/>
      <c r="B2814" s="68"/>
      <c r="C2814" s="68"/>
      <c r="D2814" s="68"/>
      <c r="E2814" s="68"/>
      <c r="F2814" s="68"/>
      <c r="G2814" s="68"/>
      <c r="H2814" s="68"/>
      <c r="I2814" s="69"/>
      <c r="J2814" s="69"/>
      <c r="K2814" s="71"/>
      <c r="L2814" s="69"/>
      <c r="M2814" s="69"/>
      <c r="N2814" s="72"/>
      <c r="O2814" s="69"/>
      <c r="P2814" s="69"/>
      <c r="Q2814" s="69"/>
      <c r="R2814" s="69"/>
      <c r="S2814" s="69"/>
      <c r="T2814" s="69"/>
      <c r="U2814" s="69"/>
      <c r="V2814" s="69"/>
      <c r="W2814" s="69"/>
      <c r="X2814" s="69"/>
      <c r="Y2814" s="69"/>
      <c r="Z2814" s="69"/>
      <c r="AA2814" s="69"/>
      <c r="AB2814" s="69"/>
      <c r="AC2814" s="69"/>
      <c r="AD2814" s="69"/>
      <c r="AE2814" s="69"/>
      <c r="AF2814" s="69"/>
      <c r="AG2814" s="69"/>
      <c r="AH2814" s="69"/>
      <c r="AI2814" s="69"/>
      <c r="AJ2814" s="69"/>
      <c r="AK2814" s="69"/>
      <c r="AL2814" s="69"/>
      <c r="AM2814" s="69"/>
      <c r="AN2814" s="69"/>
      <c r="AO2814" s="69"/>
      <c r="AP2814" s="69"/>
      <c r="AQ2814" s="69"/>
      <c r="AR2814" s="69"/>
      <c r="AS2814" s="69"/>
      <c r="AT2814" s="69"/>
      <c r="AU2814" s="69"/>
      <c r="AV2814" s="69"/>
      <c r="AW2814" s="69"/>
      <c r="AX2814" s="69"/>
      <c r="AY2814" s="69"/>
      <c r="AZ2814" s="69"/>
      <c r="BA2814" s="69"/>
      <c r="BB2814" s="69"/>
      <c r="BC2814" s="69"/>
    </row>
    <row r="2815">
      <c r="A2815" s="68"/>
      <c r="B2815" s="68"/>
      <c r="C2815" s="68"/>
      <c r="D2815" s="68"/>
      <c r="E2815" s="68"/>
      <c r="F2815" s="68"/>
      <c r="G2815" s="68"/>
      <c r="H2815" s="68"/>
      <c r="I2815" s="69"/>
      <c r="J2815" s="69"/>
      <c r="K2815" s="71"/>
      <c r="L2815" s="69"/>
      <c r="M2815" s="69"/>
      <c r="N2815" s="72"/>
      <c r="O2815" s="69"/>
      <c r="P2815" s="69"/>
      <c r="Q2815" s="69"/>
      <c r="R2815" s="69"/>
      <c r="S2815" s="69"/>
      <c r="T2815" s="69"/>
      <c r="U2815" s="69"/>
      <c r="V2815" s="69"/>
      <c r="W2815" s="69"/>
      <c r="X2815" s="69"/>
      <c r="Y2815" s="69"/>
      <c r="Z2815" s="69"/>
      <c r="AA2815" s="69"/>
      <c r="AB2815" s="69"/>
      <c r="AC2815" s="69"/>
      <c r="AD2815" s="69"/>
      <c r="AE2815" s="69"/>
      <c r="AF2815" s="69"/>
      <c r="AG2815" s="69"/>
      <c r="AH2815" s="69"/>
      <c r="AI2815" s="69"/>
      <c r="AJ2815" s="69"/>
      <c r="AK2815" s="69"/>
      <c r="AL2815" s="69"/>
      <c r="AM2815" s="69"/>
      <c r="AN2815" s="69"/>
      <c r="AO2815" s="69"/>
      <c r="AP2815" s="69"/>
      <c r="AQ2815" s="69"/>
      <c r="AR2815" s="69"/>
      <c r="AS2815" s="69"/>
      <c r="AT2815" s="69"/>
      <c r="AU2815" s="69"/>
      <c r="AV2815" s="69"/>
      <c r="AW2815" s="69"/>
      <c r="AX2815" s="69"/>
      <c r="AY2815" s="69"/>
      <c r="AZ2815" s="69"/>
      <c r="BA2815" s="69"/>
      <c r="BB2815" s="69"/>
      <c r="BC2815" s="69"/>
    </row>
    <row r="2816">
      <c r="A2816" s="68"/>
      <c r="B2816" s="68"/>
      <c r="C2816" s="68"/>
      <c r="D2816" s="68"/>
      <c r="E2816" s="68"/>
      <c r="F2816" s="68"/>
      <c r="G2816" s="68"/>
      <c r="H2816" s="68"/>
      <c r="I2816" s="69"/>
      <c r="J2816" s="69"/>
      <c r="K2816" s="71"/>
      <c r="L2816" s="69"/>
      <c r="M2816" s="69"/>
      <c r="N2816" s="72"/>
      <c r="O2816" s="69"/>
      <c r="P2816" s="69"/>
      <c r="Q2816" s="69"/>
      <c r="R2816" s="69"/>
      <c r="S2816" s="69"/>
      <c r="T2816" s="69"/>
      <c r="U2816" s="69"/>
      <c r="V2816" s="69"/>
      <c r="W2816" s="69"/>
      <c r="X2816" s="69"/>
      <c r="Y2816" s="69"/>
      <c r="Z2816" s="69"/>
      <c r="AA2816" s="69"/>
      <c r="AB2816" s="69"/>
      <c r="AC2816" s="69"/>
      <c r="AD2816" s="69"/>
      <c r="AE2816" s="69"/>
      <c r="AF2816" s="69"/>
      <c r="AG2816" s="69"/>
      <c r="AH2816" s="69"/>
      <c r="AI2816" s="69"/>
      <c r="AJ2816" s="69"/>
      <c r="AK2816" s="69"/>
      <c r="AL2816" s="69"/>
      <c r="AM2816" s="69"/>
      <c r="AN2816" s="69"/>
      <c r="AO2816" s="69"/>
      <c r="AP2816" s="69"/>
      <c r="AQ2816" s="69"/>
      <c r="AR2816" s="69"/>
      <c r="AS2816" s="69"/>
      <c r="AT2816" s="69"/>
      <c r="AU2816" s="69"/>
      <c r="AV2816" s="69"/>
      <c r="AW2816" s="69"/>
      <c r="AX2816" s="69"/>
      <c r="AY2816" s="69"/>
      <c r="AZ2816" s="69"/>
      <c r="BA2816" s="69"/>
      <c r="BB2816" s="69"/>
      <c r="BC2816" s="69"/>
    </row>
    <row r="2817">
      <c r="A2817" s="68"/>
      <c r="B2817" s="68"/>
      <c r="C2817" s="68"/>
      <c r="D2817" s="68"/>
      <c r="E2817" s="68"/>
      <c r="F2817" s="68"/>
      <c r="G2817" s="68"/>
      <c r="H2817" s="68"/>
      <c r="I2817" s="69"/>
      <c r="J2817" s="69"/>
      <c r="K2817" s="71"/>
      <c r="L2817" s="69"/>
      <c r="M2817" s="69"/>
      <c r="N2817" s="72"/>
      <c r="O2817" s="69"/>
      <c r="P2817" s="69"/>
      <c r="Q2817" s="69"/>
      <c r="R2817" s="69"/>
      <c r="S2817" s="69"/>
      <c r="T2817" s="69"/>
      <c r="U2817" s="69"/>
      <c r="V2817" s="69"/>
      <c r="W2817" s="69"/>
      <c r="X2817" s="69"/>
      <c r="Y2817" s="69"/>
      <c r="Z2817" s="69"/>
      <c r="AA2817" s="69"/>
      <c r="AB2817" s="69"/>
      <c r="AC2817" s="69"/>
      <c r="AD2817" s="69"/>
      <c r="AE2817" s="69"/>
      <c r="AF2817" s="69"/>
      <c r="AG2817" s="69"/>
      <c r="AH2817" s="69"/>
      <c r="AI2817" s="69"/>
      <c r="AJ2817" s="69"/>
      <c r="AK2817" s="69"/>
      <c r="AL2817" s="69"/>
      <c r="AM2817" s="69"/>
      <c r="AN2817" s="69"/>
      <c r="AO2817" s="69"/>
      <c r="AP2817" s="69"/>
      <c r="AQ2817" s="69"/>
      <c r="AR2817" s="69"/>
      <c r="AS2817" s="69"/>
      <c r="AT2817" s="69"/>
      <c r="AU2817" s="69"/>
      <c r="AV2817" s="69"/>
      <c r="AW2817" s="69"/>
      <c r="AX2817" s="69"/>
      <c r="AY2817" s="69"/>
      <c r="AZ2817" s="69"/>
      <c r="BA2817" s="69"/>
      <c r="BB2817" s="69"/>
      <c r="BC2817" s="69"/>
    </row>
    <row r="2818">
      <c r="A2818" s="68"/>
      <c r="B2818" s="68"/>
      <c r="C2818" s="68"/>
      <c r="D2818" s="68"/>
      <c r="E2818" s="68"/>
      <c r="F2818" s="68"/>
      <c r="G2818" s="68"/>
      <c r="H2818" s="68"/>
      <c r="I2818" s="69"/>
      <c r="J2818" s="69"/>
      <c r="K2818" s="71"/>
      <c r="L2818" s="69"/>
      <c r="M2818" s="69"/>
      <c r="N2818" s="72"/>
      <c r="O2818" s="69"/>
      <c r="P2818" s="69"/>
      <c r="Q2818" s="69"/>
      <c r="R2818" s="69"/>
      <c r="S2818" s="69"/>
      <c r="T2818" s="69"/>
      <c r="U2818" s="69"/>
      <c r="V2818" s="69"/>
      <c r="W2818" s="69"/>
      <c r="X2818" s="69"/>
      <c r="Y2818" s="69"/>
      <c r="Z2818" s="69"/>
      <c r="AA2818" s="69"/>
      <c r="AB2818" s="69"/>
      <c r="AC2818" s="69"/>
      <c r="AD2818" s="69"/>
      <c r="AE2818" s="69"/>
      <c r="AF2818" s="69"/>
      <c r="AG2818" s="69"/>
      <c r="AH2818" s="69"/>
      <c r="AI2818" s="69"/>
      <c r="AJ2818" s="69"/>
      <c r="AK2818" s="69"/>
      <c r="AL2818" s="69"/>
      <c r="AM2818" s="69"/>
      <c r="AN2818" s="69"/>
      <c r="AO2818" s="69"/>
      <c r="AP2818" s="69"/>
      <c r="AQ2818" s="69"/>
      <c r="AR2818" s="69"/>
      <c r="AS2818" s="69"/>
      <c r="AT2818" s="69"/>
      <c r="AU2818" s="69"/>
      <c r="AV2818" s="69"/>
      <c r="AW2818" s="69"/>
      <c r="AX2818" s="69"/>
      <c r="AY2818" s="69"/>
      <c r="AZ2818" s="69"/>
      <c r="BA2818" s="69"/>
      <c r="BB2818" s="69"/>
      <c r="BC2818" s="69"/>
    </row>
    <row r="2819">
      <c r="A2819" s="68"/>
      <c r="B2819" s="68"/>
      <c r="C2819" s="68"/>
      <c r="D2819" s="68"/>
      <c r="E2819" s="68"/>
      <c r="F2819" s="68"/>
      <c r="G2819" s="68"/>
      <c r="H2819" s="68"/>
      <c r="I2819" s="69"/>
      <c r="J2819" s="69"/>
      <c r="K2819" s="71"/>
      <c r="L2819" s="69"/>
      <c r="M2819" s="69"/>
      <c r="N2819" s="72"/>
      <c r="O2819" s="69"/>
      <c r="P2819" s="69"/>
      <c r="Q2819" s="69"/>
      <c r="R2819" s="69"/>
      <c r="S2819" s="69"/>
      <c r="T2819" s="69"/>
      <c r="U2819" s="69"/>
      <c r="V2819" s="69"/>
      <c r="W2819" s="69"/>
      <c r="X2819" s="69"/>
      <c r="Y2819" s="69"/>
      <c r="Z2819" s="69"/>
      <c r="AA2819" s="69"/>
      <c r="AB2819" s="69"/>
      <c r="AC2819" s="69"/>
      <c r="AD2819" s="69"/>
      <c r="AE2819" s="69"/>
      <c r="AF2819" s="69"/>
      <c r="AG2819" s="69"/>
      <c r="AH2819" s="69"/>
      <c r="AI2819" s="69"/>
      <c r="AJ2819" s="69"/>
      <c r="AK2819" s="69"/>
      <c r="AL2819" s="69"/>
      <c r="AM2819" s="69"/>
      <c r="AN2819" s="69"/>
      <c r="AO2819" s="69"/>
      <c r="AP2819" s="69"/>
      <c r="AQ2819" s="69"/>
      <c r="AR2819" s="69"/>
      <c r="AS2819" s="69"/>
      <c r="AT2819" s="69"/>
      <c r="AU2819" s="69"/>
      <c r="AV2819" s="69"/>
      <c r="AW2819" s="69"/>
      <c r="AX2819" s="69"/>
      <c r="AY2819" s="69"/>
      <c r="AZ2819" s="69"/>
      <c r="BA2819" s="69"/>
      <c r="BB2819" s="69"/>
      <c r="BC2819" s="69"/>
    </row>
    <row r="2820">
      <c r="A2820" s="68"/>
      <c r="B2820" s="68"/>
      <c r="C2820" s="68"/>
      <c r="D2820" s="68"/>
      <c r="E2820" s="68"/>
      <c r="F2820" s="68"/>
      <c r="G2820" s="68"/>
      <c r="H2820" s="68"/>
      <c r="I2820" s="69"/>
      <c r="J2820" s="69"/>
      <c r="K2820" s="71"/>
      <c r="L2820" s="69"/>
      <c r="M2820" s="69"/>
      <c r="N2820" s="72"/>
      <c r="O2820" s="69"/>
      <c r="P2820" s="69"/>
      <c r="Q2820" s="69"/>
      <c r="R2820" s="69"/>
      <c r="S2820" s="69"/>
      <c r="T2820" s="69"/>
      <c r="U2820" s="69"/>
      <c r="V2820" s="69"/>
      <c r="W2820" s="69"/>
      <c r="X2820" s="69"/>
      <c r="Y2820" s="69"/>
      <c r="Z2820" s="69"/>
      <c r="AA2820" s="69"/>
      <c r="AB2820" s="69"/>
      <c r="AC2820" s="69"/>
      <c r="AD2820" s="69"/>
      <c r="AE2820" s="69"/>
      <c r="AF2820" s="69"/>
      <c r="AG2820" s="69"/>
      <c r="AH2820" s="69"/>
      <c r="AI2820" s="69"/>
      <c r="AJ2820" s="69"/>
      <c r="AK2820" s="69"/>
      <c r="AL2820" s="69"/>
      <c r="AM2820" s="69"/>
      <c r="AN2820" s="69"/>
      <c r="AO2820" s="69"/>
      <c r="AP2820" s="69"/>
      <c r="AQ2820" s="69"/>
      <c r="AR2820" s="69"/>
      <c r="AS2820" s="69"/>
      <c r="AT2820" s="69"/>
      <c r="AU2820" s="69"/>
      <c r="AV2820" s="69"/>
      <c r="AW2820" s="69"/>
      <c r="AX2820" s="69"/>
      <c r="AY2820" s="69"/>
      <c r="AZ2820" s="69"/>
      <c r="BA2820" s="69"/>
      <c r="BB2820" s="69"/>
      <c r="BC2820" s="69"/>
    </row>
    <row r="2821">
      <c r="A2821" s="68"/>
      <c r="B2821" s="68"/>
      <c r="C2821" s="68"/>
      <c r="D2821" s="68"/>
      <c r="E2821" s="68"/>
      <c r="F2821" s="68"/>
      <c r="G2821" s="68"/>
      <c r="H2821" s="68"/>
      <c r="I2821" s="69"/>
      <c r="J2821" s="69"/>
      <c r="K2821" s="71"/>
      <c r="L2821" s="69"/>
      <c r="M2821" s="69"/>
      <c r="N2821" s="72"/>
      <c r="O2821" s="69"/>
      <c r="P2821" s="69"/>
      <c r="Q2821" s="69"/>
      <c r="R2821" s="69"/>
      <c r="S2821" s="69"/>
      <c r="T2821" s="69"/>
      <c r="U2821" s="69"/>
      <c r="V2821" s="69"/>
      <c r="W2821" s="69"/>
      <c r="X2821" s="69"/>
      <c r="Y2821" s="69"/>
      <c r="Z2821" s="69"/>
      <c r="AA2821" s="69"/>
      <c r="AB2821" s="69"/>
      <c r="AC2821" s="69"/>
      <c r="AD2821" s="69"/>
      <c r="AE2821" s="69"/>
      <c r="AF2821" s="69"/>
      <c r="AG2821" s="69"/>
      <c r="AH2821" s="69"/>
      <c r="AI2821" s="69"/>
      <c r="AJ2821" s="69"/>
      <c r="AK2821" s="69"/>
      <c r="AL2821" s="69"/>
      <c r="AM2821" s="69"/>
      <c r="AN2821" s="69"/>
      <c r="AO2821" s="69"/>
      <c r="AP2821" s="69"/>
      <c r="AQ2821" s="69"/>
      <c r="AR2821" s="69"/>
      <c r="AS2821" s="69"/>
      <c r="AT2821" s="69"/>
      <c r="AU2821" s="69"/>
      <c r="AV2821" s="69"/>
      <c r="AW2821" s="69"/>
      <c r="AX2821" s="69"/>
      <c r="AY2821" s="69"/>
      <c r="AZ2821" s="69"/>
      <c r="BA2821" s="69"/>
      <c r="BB2821" s="69"/>
      <c r="BC2821" s="69"/>
    </row>
    <row r="2822">
      <c r="A2822" s="68"/>
      <c r="B2822" s="68"/>
      <c r="C2822" s="68"/>
      <c r="D2822" s="68"/>
      <c r="E2822" s="68"/>
      <c r="F2822" s="68"/>
      <c r="G2822" s="68"/>
      <c r="H2822" s="68"/>
      <c r="I2822" s="69"/>
      <c r="J2822" s="69"/>
      <c r="K2822" s="71"/>
      <c r="L2822" s="69"/>
      <c r="M2822" s="69"/>
      <c r="N2822" s="72"/>
      <c r="O2822" s="69"/>
      <c r="P2822" s="69"/>
      <c r="Q2822" s="69"/>
      <c r="R2822" s="69"/>
      <c r="S2822" s="69"/>
      <c r="T2822" s="69"/>
      <c r="U2822" s="69"/>
      <c r="V2822" s="69"/>
      <c r="W2822" s="69"/>
      <c r="X2822" s="69"/>
      <c r="Y2822" s="69"/>
      <c r="Z2822" s="69"/>
      <c r="AA2822" s="69"/>
      <c r="AB2822" s="69"/>
      <c r="AC2822" s="69"/>
      <c r="AD2822" s="69"/>
      <c r="AE2822" s="69"/>
      <c r="AF2822" s="69"/>
      <c r="AG2822" s="69"/>
      <c r="AH2822" s="69"/>
      <c r="AI2822" s="69"/>
      <c r="AJ2822" s="69"/>
      <c r="AK2822" s="69"/>
      <c r="AL2822" s="69"/>
      <c r="AM2822" s="69"/>
      <c r="AN2822" s="69"/>
      <c r="AO2822" s="69"/>
      <c r="AP2822" s="69"/>
      <c r="AQ2822" s="69"/>
      <c r="AR2822" s="69"/>
      <c r="AS2822" s="69"/>
      <c r="AT2822" s="69"/>
      <c r="AU2822" s="69"/>
      <c r="AV2822" s="69"/>
      <c r="AW2822" s="69"/>
      <c r="AX2822" s="69"/>
      <c r="AY2822" s="69"/>
      <c r="AZ2822" s="69"/>
      <c r="BA2822" s="69"/>
      <c r="BB2822" s="69"/>
      <c r="BC2822" s="69"/>
    </row>
    <row r="2823">
      <c r="A2823" s="68"/>
      <c r="B2823" s="68"/>
      <c r="C2823" s="68"/>
      <c r="D2823" s="68"/>
      <c r="E2823" s="68"/>
      <c r="F2823" s="68"/>
      <c r="G2823" s="68"/>
      <c r="H2823" s="68"/>
      <c r="I2823" s="69"/>
      <c r="J2823" s="69"/>
      <c r="K2823" s="71"/>
      <c r="L2823" s="69"/>
      <c r="M2823" s="69"/>
      <c r="N2823" s="72"/>
      <c r="O2823" s="69"/>
      <c r="P2823" s="69"/>
      <c r="Q2823" s="69"/>
      <c r="R2823" s="69"/>
      <c r="S2823" s="69"/>
      <c r="T2823" s="69"/>
      <c r="U2823" s="69"/>
      <c r="V2823" s="69"/>
      <c r="W2823" s="69"/>
      <c r="X2823" s="69"/>
      <c r="Y2823" s="69"/>
      <c r="Z2823" s="69"/>
      <c r="AA2823" s="69"/>
      <c r="AB2823" s="69"/>
      <c r="AC2823" s="69"/>
      <c r="AD2823" s="69"/>
      <c r="AE2823" s="69"/>
      <c r="AF2823" s="69"/>
      <c r="AG2823" s="69"/>
      <c r="AH2823" s="69"/>
      <c r="AI2823" s="69"/>
      <c r="AJ2823" s="69"/>
      <c r="AK2823" s="69"/>
      <c r="AL2823" s="69"/>
      <c r="AM2823" s="69"/>
      <c r="AN2823" s="69"/>
      <c r="AO2823" s="69"/>
      <c r="AP2823" s="69"/>
      <c r="AQ2823" s="69"/>
      <c r="AR2823" s="69"/>
      <c r="AS2823" s="69"/>
      <c r="AT2823" s="69"/>
      <c r="AU2823" s="69"/>
      <c r="AV2823" s="69"/>
      <c r="AW2823" s="69"/>
      <c r="AX2823" s="69"/>
      <c r="AY2823" s="69"/>
      <c r="AZ2823" s="69"/>
      <c r="BA2823" s="69"/>
      <c r="BB2823" s="69"/>
      <c r="BC2823" s="69"/>
    </row>
    <row r="2824">
      <c r="A2824" s="68"/>
      <c r="B2824" s="68"/>
      <c r="C2824" s="68"/>
      <c r="D2824" s="68"/>
      <c r="E2824" s="68"/>
      <c r="F2824" s="68"/>
      <c r="G2824" s="68"/>
      <c r="H2824" s="68"/>
      <c r="I2824" s="69"/>
      <c r="J2824" s="69"/>
      <c r="K2824" s="71"/>
      <c r="L2824" s="69"/>
      <c r="M2824" s="69"/>
      <c r="N2824" s="72"/>
      <c r="O2824" s="69"/>
      <c r="P2824" s="69"/>
      <c r="Q2824" s="69"/>
      <c r="R2824" s="69"/>
      <c r="S2824" s="69"/>
      <c r="T2824" s="69"/>
      <c r="U2824" s="69"/>
      <c r="V2824" s="69"/>
      <c r="W2824" s="69"/>
      <c r="X2824" s="69"/>
      <c r="Y2824" s="69"/>
      <c r="Z2824" s="69"/>
      <c r="AA2824" s="69"/>
      <c r="AB2824" s="69"/>
      <c r="AC2824" s="69"/>
      <c r="AD2824" s="69"/>
      <c r="AE2824" s="69"/>
      <c r="AF2824" s="69"/>
      <c r="AG2824" s="69"/>
      <c r="AH2824" s="69"/>
      <c r="AI2824" s="69"/>
      <c r="AJ2824" s="69"/>
      <c r="AK2824" s="69"/>
      <c r="AL2824" s="69"/>
      <c r="AM2824" s="69"/>
      <c r="AN2824" s="69"/>
      <c r="AO2824" s="69"/>
      <c r="AP2824" s="69"/>
      <c r="AQ2824" s="69"/>
      <c r="AR2824" s="69"/>
      <c r="AS2824" s="69"/>
      <c r="AT2824" s="69"/>
      <c r="AU2824" s="69"/>
      <c r="AV2824" s="69"/>
      <c r="AW2824" s="69"/>
      <c r="AX2824" s="69"/>
      <c r="AY2824" s="69"/>
      <c r="AZ2824" s="69"/>
      <c r="BA2824" s="69"/>
      <c r="BB2824" s="69"/>
      <c r="BC2824" s="69"/>
    </row>
    <row r="2825">
      <c r="A2825" s="68"/>
      <c r="B2825" s="68"/>
      <c r="C2825" s="68"/>
      <c r="D2825" s="68"/>
      <c r="E2825" s="68"/>
      <c r="F2825" s="68"/>
      <c r="G2825" s="68"/>
      <c r="H2825" s="68"/>
      <c r="I2825" s="69"/>
      <c r="J2825" s="69"/>
      <c r="K2825" s="71"/>
      <c r="L2825" s="69"/>
      <c r="M2825" s="69"/>
      <c r="N2825" s="72"/>
      <c r="O2825" s="69"/>
      <c r="P2825" s="69"/>
      <c r="Q2825" s="69"/>
      <c r="R2825" s="69"/>
      <c r="S2825" s="69"/>
      <c r="T2825" s="69"/>
      <c r="U2825" s="69"/>
      <c r="V2825" s="69"/>
      <c r="W2825" s="69"/>
      <c r="X2825" s="69"/>
      <c r="Y2825" s="69"/>
      <c r="Z2825" s="69"/>
      <c r="AA2825" s="69"/>
      <c r="AB2825" s="69"/>
      <c r="AC2825" s="69"/>
      <c r="AD2825" s="69"/>
      <c r="AE2825" s="69"/>
      <c r="AF2825" s="69"/>
      <c r="AG2825" s="69"/>
      <c r="AH2825" s="69"/>
      <c r="AI2825" s="69"/>
      <c r="AJ2825" s="69"/>
      <c r="AK2825" s="69"/>
      <c r="AL2825" s="69"/>
      <c r="AM2825" s="69"/>
      <c r="AN2825" s="69"/>
      <c r="AO2825" s="69"/>
      <c r="AP2825" s="69"/>
      <c r="AQ2825" s="69"/>
      <c r="AR2825" s="69"/>
      <c r="AS2825" s="69"/>
      <c r="AT2825" s="69"/>
      <c r="AU2825" s="69"/>
      <c r="AV2825" s="69"/>
      <c r="AW2825" s="69"/>
      <c r="AX2825" s="69"/>
      <c r="AY2825" s="69"/>
      <c r="AZ2825" s="69"/>
      <c r="BA2825" s="69"/>
      <c r="BB2825" s="69"/>
      <c r="BC2825" s="69"/>
    </row>
    <row r="2826">
      <c r="A2826" s="68"/>
      <c r="B2826" s="68"/>
      <c r="C2826" s="68"/>
      <c r="D2826" s="68"/>
      <c r="E2826" s="68"/>
      <c r="F2826" s="68"/>
      <c r="G2826" s="68"/>
      <c r="H2826" s="68"/>
      <c r="I2826" s="69"/>
      <c r="J2826" s="69"/>
      <c r="K2826" s="71"/>
      <c r="L2826" s="69"/>
      <c r="M2826" s="69"/>
      <c r="N2826" s="72"/>
      <c r="O2826" s="69"/>
      <c r="P2826" s="69"/>
      <c r="Q2826" s="69"/>
      <c r="R2826" s="69"/>
      <c r="S2826" s="69"/>
      <c r="T2826" s="69"/>
      <c r="U2826" s="69"/>
      <c r="V2826" s="69"/>
      <c r="W2826" s="69"/>
      <c r="X2826" s="69"/>
      <c r="Y2826" s="69"/>
      <c r="Z2826" s="69"/>
      <c r="AA2826" s="69"/>
      <c r="AB2826" s="69"/>
      <c r="AC2826" s="69"/>
      <c r="AD2826" s="69"/>
      <c r="AE2826" s="69"/>
      <c r="AF2826" s="69"/>
      <c r="AG2826" s="69"/>
      <c r="AH2826" s="69"/>
      <c r="AI2826" s="69"/>
      <c r="AJ2826" s="69"/>
      <c r="AK2826" s="69"/>
      <c r="AL2826" s="69"/>
      <c r="AM2826" s="69"/>
      <c r="AN2826" s="69"/>
      <c r="AO2826" s="69"/>
      <c r="AP2826" s="69"/>
      <c r="AQ2826" s="69"/>
      <c r="AR2826" s="69"/>
      <c r="AS2826" s="69"/>
      <c r="AT2826" s="69"/>
      <c r="AU2826" s="69"/>
      <c r="AV2826" s="69"/>
      <c r="AW2826" s="69"/>
      <c r="AX2826" s="69"/>
      <c r="AY2826" s="69"/>
      <c r="AZ2826" s="69"/>
      <c r="BA2826" s="69"/>
      <c r="BB2826" s="69"/>
      <c r="BC2826" s="69"/>
    </row>
    <row r="2827">
      <c r="A2827" s="68"/>
      <c r="B2827" s="68"/>
      <c r="C2827" s="68"/>
      <c r="D2827" s="68"/>
      <c r="E2827" s="68"/>
      <c r="F2827" s="68"/>
      <c r="G2827" s="68"/>
      <c r="H2827" s="68"/>
      <c r="I2827" s="69"/>
      <c r="J2827" s="69"/>
      <c r="K2827" s="71"/>
      <c r="L2827" s="69"/>
      <c r="M2827" s="69"/>
      <c r="N2827" s="72"/>
      <c r="O2827" s="69"/>
      <c r="P2827" s="69"/>
      <c r="Q2827" s="69"/>
      <c r="R2827" s="69"/>
      <c r="S2827" s="69"/>
      <c r="T2827" s="69"/>
      <c r="U2827" s="69"/>
      <c r="V2827" s="69"/>
      <c r="W2827" s="69"/>
      <c r="X2827" s="69"/>
      <c r="Y2827" s="69"/>
      <c r="Z2827" s="69"/>
      <c r="AA2827" s="69"/>
      <c r="AB2827" s="69"/>
      <c r="AC2827" s="69"/>
      <c r="AD2827" s="69"/>
      <c r="AE2827" s="69"/>
      <c r="AF2827" s="69"/>
      <c r="AG2827" s="69"/>
      <c r="AH2827" s="69"/>
      <c r="AI2827" s="69"/>
      <c r="AJ2827" s="69"/>
      <c r="AK2827" s="69"/>
      <c r="AL2827" s="69"/>
      <c r="AM2827" s="69"/>
      <c r="AN2827" s="69"/>
      <c r="AO2827" s="69"/>
      <c r="AP2827" s="69"/>
      <c r="AQ2827" s="69"/>
      <c r="AR2827" s="69"/>
      <c r="AS2827" s="69"/>
      <c r="AT2827" s="69"/>
      <c r="AU2827" s="69"/>
      <c r="AV2827" s="69"/>
      <c r="AW2827" s="69"/>
      <c r="AX2827" s="69"/>
      <c r="AY2827" s="69"/>
      <c r="AZ2827" s="69"/>
      <c r="BA2827" s="69"/>
      <c r="BB2827" s="69"/>
      <c r="BC2827" s="69"/>
    </row>
    <row r="2828">
      <c r="A2828" s="68"/>
      <c r="B2828" s="68"/>
      <c r="C2828" s="68"/>
      <c r="D2828" s="68"/>
      <c r="E2828" s="68"/>
      <c r="F2828" s="68"/>
      <c r="G2828" s="68"/>
      <c r="H2828" s="68"/>
      <c r="I2828" s="69"/>
      <c r="J2828" s="69"/>
      <c r="K2828" s="71"/>
      <c r="L2828" s="69"/>
      <c r="M2828" s="69"/>
      <c r="N2828" s="72"/>
      <c r="O2828" s="69"/>
      <c r="P2828" s="69"/>
      <c r="Q2828" s="69"/>
      <c r="R2828" s="69"/>
      <c r="S2828" s="69"/>
      <c r="T2828" s="69"/>
      <c r="U2828" s="69"/>
      <c r="V2828" s="69"/>
      <c r="W2828" s="69"/>
      <c r="X2828" s="69"/>
      <c r="Y2828" s="69"/>
      <c r="Z2828" s="69"/>
      <c r="AA2828" s="69"/>
      <c r="AB2828" s="69"/>
      <c r="AC2828" s="69"/>
      <c r="AD2828" s="69"/>
      <c r="AE2828" s="69"/>
      <c r="AF2828" s="69"/>
      <c r="AG2828" s="69"/>
      <c r="AH2828" s="69"/>
      <c r="AI2828" s="69"/>
      <c r="AJ2828" s="69"/>
      <c r="AK2828" s="69"/>
      <c r="AL2828" s="69"/>
      <c r="AM2828" s="69"/>
      <c r="AN2828" s="69"/>
      <c r="AO2828" s="69"/>
      <c r="AP2828" s="69"/>
      <c r="AQ2828" s="69"/>
      <c r="AR2828" s="69"/>
      <c r="AS2828" s="69"/>
      <c r="AT2828" s="69"/>
      <c r="AU2828" s="69"/>
      <c r="AV2828" s="69"/>
      <c r="AW2828" s="69"/>
      <c r="AX2828" s="69"/>
      <c r="AY2828" s="69"/>
      <c r="AZ2828" s="69"/>
      <c r="BA2828" s="69"/>
      <c r="BB2828" s="69"/>
      <c r="BC2828" s="69"/>
    </row>
    <row r="2829">
      <c r="A2829" s="68"/>
      <c r="B2829" s="68"/>
      <c r="C2829" s="68"/>
      <c r="D2829" s="68"/>
      <c r="E2829" s="68"/>
      <c r="F2829" s="68"/>
      <c r="G2829" s="68"/>
      <c r="H2829" s="68"/>
      <c r="I2829" s="69"/>
      <c r="J2829" s="69"/>
      <c r="K2829" s="71"/>
      <c r="L2829" s="69"/>
      <c r="M2829" s="69"/>
      <c r="N2829" s="72"/>
      <c r="O2829" s="69"/>
      <c r="P2829" s="69"/>
      <c r="Q2829" s="69"/>
      <c r="R2829" s="69"/>
      <c r="S2829" s="69"/>
      <c r="T2829" s="69"/>
      <c r="U2829" s="69"/>
      <c r="V2829" s="69"/>
      <c r="W2829" s="69"/>
      <c r="X2829" s="69"/>
      <c r="Y2829" s="69"/>
      <c r="Z2829" s="69"/>
      <c r="AA2829" s="69"/>
      <c r="AB2829" s="69"/>
      <c r="AC2829" s="69"/>
      <c r="AD2829" s="69"/>
      <c r="AE2829" s="69"/>
      <c r="AF2829" s="69"/>
      <c r="AG2829" s="69"/>
      <c r="AH2829" s="69"/>
      <c r="AI2829" s="69"/>
      <c r="AJ2829" s="69"/>
      <c r="AK2829" s="69"/>
      <c r="AL2829" s="69"/>
      <c r="AM2829" s="69"/>
      <c r="AN2829" s="69"/>
      <c r="AO2829" s="69"/>
      <c r="AP2829" s="69"/>
      <c r="AQ2829" s="69"/>
      <c r="AR2829" s="69"/>
      <c r="AS2829" s="69"/>
      <c r="AT2829" s="69"/>
      <c r="AU2829" s="69"/>
      <c r="AV2829" s="69"/>
      <c r="AW2829" s="69"/>
      <c r="AX2829" s="69"/>
      <c r="AY2829" s="69"/>
      <c r="AZ2829" s="69"/>
      <c r="BA2829" s="69"/>
      <c r="BB2829" s="69"/>
      <c r="BC2829" s="69"/>
    </row>
    <row r="2830">
      <c r="A2830" s="68"/>
      <c r="B2830" s="68"/>
      <c r="C2830" s="68"/>
      <c r="D2830" s="68"/>
      <c r="E2830" s="68"/>
      <c r="F2830" s="68"/>
      <c r="G2830" s="68"/>
      <c r="H2830" s="68"/>
      <c r="I2830" s="69"/>
      <c r="J2830" s="69"/>
      <c r="K2830" s="71"/>
      <c r="L2830" s="69"/>
      <c r="M2830" s="69"/>
      <c r="N2830" s="72"/>
      <c r="O2830" s="69"/>
      <c r="P2830" s="69"/>
      <c r="Q2830" s="69"/>
      <c r="R2830" s="69"/>
      <c r="S2830" s="69"/>
      <c r="T2830" s="69"/>
      <c r="U2830" s="69"/>
      <c r="V2830" s="69"/>
      <c r="W2830" s="69"/>
      <c r="X2830" s="69"/>
      <c r="Y2830" s="69"/>
      <c r="Z2830" s="69"/>
      <c r="AA2830" s="69"/>
      <c r="AB2830" s="69"/>
      <c r="AC2830" s="69"/>
      <c r="AD2830" s="69"/>
      <c r="AE2830" s="69"/>
      <c r="AF2830" s="69"/>
      <c r="AG2830" s="69"/>
      <c r="AH2830" s="69"/>
      <c r="AI2830" s="69"/>
      <c r="AJ2830" s="69"/>
      <c r="AK2830" s="69"/>
      <c r="AL2830" s="69"/>
      <c r="AM2830" s="69"/>
      <c r="AN2830" s="69"/>
      <c r="AO2830" s="69"/>
      <c r="AP2830" s="69"/>
      <c r="AQ2830" s="69"/>
      <c r="AR2830" s="69"/>
      <c r="AS2830" s="69"/>
      <c r="AT2830" s="69"/>
      <c r="AU2830" s="69"/>
      <c r="AV2830" s="69"/>
      <c r="AW2830" s="69"/>
      <c r="AX2830" s="69"/>
      <c r="AY2830" s="69"/>
      <c r="AZ2830" s="69"/>
      <c r="BA2830" s="69"/>
      <c r="BB2830" s="69"/>
      <c r="BC2830" s="69"/>
    </row>
    <row r="2831">
      <c r="A2831" s="68"/>
      <c r="B2831" s="68"/>
      <c r="C2831" s="68"/>
      <c r="D2831" s="68"/>
      <c r="E2831" s="68"/>
      <c r="F2831" s="68"/>
      <c r="G2831" s="68"/>
      <c r="H2831" s="68"/>
      <c r="I2831" s="69"/>
      <c r="J2831" s="69"/>
      <c r="K2831" s="71"/>
      <c r="L2831" s="69"/>
      <c r="M2831" s="69"/>
      <c r="N2831" s="72"/>
      <c r="O2831" s="69"/>
      <c r="P2831" s="69"/>
      <c r="Q2831" s="69"/>
      <c r="R2831" s="69"/>
      <c r="S2831" s="69"/>
      <c r="T2831" s="69"/>
      <c r="U2831" s="69"/>
      <c r="V2831" s="69"/>
      <c r="W2831" s="69"/>
      <c r="X2831" s="69"/>
      <c r="Y2831" s="69"/>
      <c r="Z2831" s="69"/>
      <c r="AA2831" s="69"/>
      <c r="AB2831" s="69"/>
      <c r="AC2831" s="69"/>
      <c r="AD2831" s="69"/>
      <c r="AE2831" s="69"/>
      <c r="AF2831" s="69"/>
      <c r="AG2831" s="69"/>
      <c r="AH2831" s="69"/>
      <c r="AI2831" s="69"/>
      <c r="AJ2831" s="69"/>
      <c r="AK2831" s="69"/>
      <c r="AL2831" s="69"/>
      <c r="AM2831" s="69"/>
      <c r="AN2831" s="69"/>
      <c r="AO2831" s="69"/>
      <c r="AP2831" s="69"/>
      <c r="AQ2831" s="69"/>
      <c r="AR2831" s="69"/>
      <c r="AS2831" s="69"/>
      <c r="AT2831" s="69"/>
      <c r="AU2831" s="69"/>
      <c r="AV2831" s="69"/>
      <c r="AW2831" s="69"/>
      <c r="AX2831" s="69"/>
      <c r="AY2831" s="69"/>
      <c r="AZ2831" s="69"/>
      <c r="BA2831" s="69"/>
      <c r="BB2831" s="69"/>
      <c r="BC2831" s="69"/>
    </row>
    <row r="2832">
      <c r="A2832" s="68"/>
      <c r="B2832" s="68"/>
      <c r="C2832" s="68"/>
      <c r="D2832" s="68"/>
      <c r="E2832" s="68"/>
      <c r="F2832" s="68"/>
      <c r="G2832" s="68"/>
      <c r="H2832" s="68"/>
      <c r="I2832" s="69"/>
      <c r="J2832" s="69"/>
      <c r="K2832" s="71"/>
      <c r="L2832" s="69"/>
      <c r="M2832" s="69"/>
      <c r="N2832" s="72"/>
      <c r="O2832" s="69"/>
      <c r="P2832" s="69"/>
      <c r="Q2832" s="69"/>
      <c r="R2832" s="69"/>
      <c r="S2832" s="69"/>
      <c r="T2832" s="69"/>
      <c r="U2832" s="69"/>
      <c r="V2832" s="69"/>
      <c r="W2832" s="69"/>
      <c r="X2832" s="69"/>
      <c r="Y2832" s="69"/>
      <c r="Z2832" s="69"/>
      <c r="AA2832" s="69"/>
      <c r="AB2832" s="69"/>
      <c r="AC2832" s="69"/>
      <c r="AD2832" s="69"/>
      <c r="AE2832" s="69"/>
      <c r="AF2832" s="69"/>
      <c r="AG2832" s="69"/>
      <c r="AH2832" s="69"/>
      <c r="AI2832" s="69"/>
      <c r="AJ2832" s="69"/>
      <c r="AK2832" s="69"/>
      <c r="AL2832" s="69"/>
      <c r="AM2832" s="69"/>
      <c r="AN2832" s="69"/>
      <c r="AO2832" s="69"/>
      <c r="AP2832" s="69"/>
      <c r="AQ2832" s="69"/>
      <c r="AR2832" s="69"/>
      <c r="AS2832" s="69"/>
      <c r="AT2832" s="69"/>
      <c r="AU2832" s="69"/>
      <c r="AV2832" s="69"/>
      <c r="AW2832" s="69"/>
      <c r="AX2832" s="69"/>
      <c r="AY2832" s="69"/>
      <c r="AZ2832" s="69"/>
      <c r="BA2832" s="69"/>
      <c r="BB2832" s="69"/>
      <c r="BC2832" s="69"/>
    </row>
    <row r="2833">
      <c r="A2833" s="68"/>
      <c r="B2833" s="68"/>
      <c r="C2833" s="68"/>
      <c r="D2833" s="68"/>
      <c r="E2833" s="68"/>
      <c r="F2833" s="68"/>
      <c r="G2833" s="68"/>
      <c r="H2833" s="68"/>
      <c r="I2833" s="69"/>
      <c r="J2833" s="69"/>
      <c r="K2833" s="71"/>
      <c r="L2833" s="69"/>
      <c r="M2833" s="69"/>
      <c r="N2833" s="72"/>
      <c r="O2833" s="69"/>
      <c r="P2833" s="69"/>
      <c r="Q2833" s="69"/>
      <c r="R2833" s="69"/>
      <c r="S2833" s="69"/>
      <c r="T2833" s="69"/>
      <c r="U2833" s="69"/>
      <c r="V2833" s="69"/>
      <c r="W2833" s="69"/>
      <c r="X2833" s="69"/>
      <c r="Y2833" s="69"/>
      <c r="Z2833" s="69"/>
      <c r="AA2833" s="69"/>
      <c r="AB2833" s="69"/>
      <c r="AC2833" s="69"/>
      <c r="AD2833" s="69"/>
      <c r="AE2833" s="69"/>
      <c r="AF2833" s="69"/>
      <c r="AG2833" s="69"/>
      <c r="AH2833" s="69"/>
      <c r="AI2833" s="69"/>
      <c r="AJ2833" s="69"/>
      <c r="AK2833" s="69"/>
      <c r="AL2833" s="69"/>
      <c r="AM2833" s="69"/>
      <c r="AN2833" s="69"/>
      <c r="AO2833" s="69"/>
      <c r="AP2833" s="69"/>
      <c r="AQ2833" s="69"/>
      <c r="AR2833" s="69"/>
      <c r="AS2833" s="69"/>
      <c r="AT2833" s="69"/>
      <c r="AU2833" s="69"/>
      <c r="AV2833" s="69"/>
      <c r="AW2833" s="69"/>
      <c r="AX2833" s="69"/>
      <c r="AY2833" s="69"/>
      <c r="AZ2833" s="69"/>
      <c r="BA2833" s="69"/>
      <c r="BB2833" s="69"/>
      <c r="BC2833" s="69"/>
    </row>
    <row r="2834">
      <c r="A2834" s="68"/>
      <c r="B2834" s="68"/>
      <c r="C2834" s="68"/>
      <c r="D2834" s="68"/>
      <c r="E2834" s="68"/>
      <c r="F2834" s="68"/>
      <c r="G2834" s="68"/>
      <c r="H2834" s="68"/>
      <c r="I2834" s="69"/>
      <c r="J2834" s="69"/>
      <c r="K2834" s="71"/>
      <c r="L2834" s="69"/>
      <c r="M2834" s="69"/>
      <c r="N2834" s="72"/>
      <c r="O2834" s="69"/>
      <c r="P2834" s="69"/>
      <c r="Q2834" s="69"/>
      <c r="R2834" s="69"/>
      <c r="S2834" s="69"/>
      <c r="T2834" s="69"/>
      <c r="U2834" s="69"/>
      <c r="V2834" s="69"/>
      <c r="W2834" s="69"/>
      <c r="X2834" s="69"/>
      <c r="Y2834" s="69"/>
      <c r="Z2834" s="69"/>
      <c r="AA2834" s="69"/>
      <c r="AB2834" s="69"/>
      <c r="AC2834" s="69"/>
      <c r="AD2834" s="69"/>
      <c r="AE2834" s="69"/>
      <c r="AF2834" s="69"/>
      <c r="AG2834" s="69"/>
      <c r="AH2834" s="69"/>
      <c r="AI2834" s="69"/>
      <c r="AJ2834" s="69"/>
      <c r="AK2834" s="69"/>
      <c r="AL2834" s="69"/>
      <c r="AM2834" s="69"/>
      <c r="AN2834" s="69"/>
      <c r="AO2834" s="69"/>
      <c r="AP2834" s="69"/>
      <c r="AQ2834" s="69"/>
      <c r="AR2834" s="69"/>
      <c r="AS2834" s="69"/>
      <c r="AT2834" s="69"/>
      <c r="AU2834" s="69"/>
      <c r="AV2834" s="69"/>
      <c r="AW2834" s="69"/>
      <c r="AX2834" s="69"/>
      <c r="AY2834" s="69"/>
      <c r="AZ2834" s="69"/>
      <c r="BA2834" s="69"/>
      <c r="BB2834" s="69"/>
      <c r="BC2834" s="69"/>
    </row>
    <row r="2835">
      <c r="A2835" s="68"/>
      <c r="B2835" s="68"/>
      <c r="C2835" s="68"/>
      <c r="D2835" s="68"/>
      <c r="E2835" s="68"/>
      <c r="F2835" s="68"/>
      <c r="G2835" s="68"/>
      <c r="H2835" s="68"/>
      <c r="I2835" s="69"/>
      <c r="J2835" s="69"/>
      <c r="K2835" s="71"/>
      <c r="L2835" s="69"/>
      <c r="M2835" s="69"/>
      <c r="N2835" s="72"/>
      <c r="O2835" s="69"/>
      <c r="P2835" s="69"/>
      <c r="Q2835" s="69"/>
      <c r="R2835" s="69"/>
      <c r="S2835" s="69"/>
      <c r="T2835" s="69"/>
      <c r="U2835" s="69"/>
      <c r="V2835" s="69"/>
      <c r="W2835" s="69"/>
      <c r="X2835" s="69"/>
      <c r="Y2835" s="69"/>
      <c r="Z2835" s="69"/>
      <c r="AA2835" s="69"/>
      <c r="AB2835" s="69"/>
      <c r="AC2835" s="69"/>
      <c r="AD2835" s="69"/>
      <c r="AE2835" s="69"/>
      <c r="AF2835" s="69"/>
      <c r="AG2835" s="69"/>
      <c r="AH2835" s="69"/>
      <c r="AI2835" s="69"/>
      <c r="AJ2835" s="69"/>
      <c r="AK2835" s="69"/>
      <c r="AL2835" s="69"/>
      <c r="AM2835" s="69"/>
      <c r="AN2835" s="69"/>
      <c r="AO2835" s="69"/>
      <c r="AP2835" s="69"/>
      <c r="AQ2835" s="69"/>
      <c r="AR2835" s="69"/>
      <c r="AS2835" s="69"/>
      <c r="AT2835" s="69"/>
      <c r="AU2835" s="69"/>
      <c r="AV2835" s="69"/>
      <c r="AW2835" s="69"/>
      <c r="AX2835" s="69"/>
      <c r="AY2835" s="69"/>
      <c r="AZ2835" s="69"/>
      <c r="BA2835" s="69"/>
      <c r="BB2835" s="69"/>
      <c r="BC2835" s="69"/>
    </row>
    <row r="2836">
      <c r="A2836" s="68"/>
      <c r="B2836" s="68"/>
      <c r="C2836" s="68"/>
      <c r="D2836" s="68"/>
      <c r="E2836" s="68"/>
      <c r="F2836" s="68"/>
      <c r="G2836" s="68"/>
      <c r="H2836" s="68"/>
      <c r="I2836" s="69"/>
      <c r="J2836" s="69"/>
      <c r="K2836" s="71"/>
      <c r="L2836" s="69"/>
      <c r="M2836" s="69"/>
      <c r="N2836" s="72"/>
      <c r="O2836" s="69"/>
      <c r="P2836" s="69"/>
      <c r="Q2836" s="69"/>
      <c r="R2836" s="69"/>
      <c r="S2836" s="69"/>
      <c r="T2836" s="69"/>
      <c r="U2836" s="69"/>
      <c r="V2836" s="69"/>
      <c r="W2836" s="69"/>
      <c r="X2836" s="69"/>
      <c r="Y2836" s="69"/>
      <c r="Z2836" s="69"/>
      <c r="AA2836" s="69"/>
      <c r="AB2836" s="69"/>
      <c r="AC2836" s="69"/>
      <c r="AD2836" s="69"/>
      <c r="AE2836" s="69"/>
      <c r="AF2836" s="69"/>
      <c r="AG2836" s="69"/>
      <c r="AH2836" s="69"/>
      <c r="AI2836" s="69"/>
      <c r="AJ2836" s="69"/>
      <c r="AK2836" s="69"/>
      <c r="AL2836" s="69"/>
      <c r="AM2836" s="69"/>
      <c r="AN2836" s="69"/>
      <c r="AO2836" s="69"/>
      <c r="AP2836" s="69"/>
      <c r="AQ2836" s="69"/>
      <c r="AR2836" s="69"/>
      <c r="AS2836" s="69"/>
      <c r="AT2836" s="69"/>
      <c r="AU2836" s="69"/>
      <c r="AV2836" s="69"/>
      <c r="AW2836" s="69"/>
      <c r="AX2836" s="69"/>
      <c r="AY2836" s="69"/>
      <c r="AZ2836" s="69"/>
      <c r="BA2836" s="69"/>
      <c r="BB2836" s="69"/>
      <c r="BC2836" s="69"/>
    </row>
    <row r="2837">
      <c r="A2837" s="68"/>
      <c r="B2837" s="68"/>
      <c r="C2837" s="68"/>
      <c r="D2837" s="68"/>
      <c r="E2837" s="68"/>
      <c r="F2837" s="68"/>
      <c r="G2837" s="68"/>
      <c r="H2837" s="68"/>
      <c r="I2837" s="69"/>
      <c r="J2837" s="69"/>
      <c r="K2837" s="71"/>
      <c r="L2837" s="69"/>
      <c r="M2837" s="69"/>
      <c r="N2837" s="72"/>
      <c r="O2837" s="69"/>
      <c r="P2837" s="69"/>
      <c r="Q2837" s="69"/>
      <c r="R2837" s="69"/>
      <c r="S2837" s="69"/>
      <c r="T2837" s="69"/>
      <c r="U2837" s="69"/>
      <c r="V2837" s="69"/>
      <c r="W2837" s="69"/>
      <c r="X2837" s="69"/>
      <c r="Y2837" s="69"/>
      <c r="Z2837" s="69"/>
      <c r="AA2837" s="69"/>
      <c r="AB2837" s="69"/>
      <c r="AC2837" s="69"/>
      <c r="AD2837" s="69"/>
      <c r="AE2837" s="69"/>
      <c r="AF2837" s="69"/>
      <c r="AG2837" s="69"/>
      <c r="AH2837" s="69"/>
      <c r="AI2837" s="69"/>
      <c r="AJ2837" s="69"/>
      <c r="AK2837" s="69"/>
      <c r="AL2837" s="69"/>
      <c r="AM2837" s="69"/>
      <c r="AN2837" s="69"/>
      <c r="AO2837" s="69"/>
      <c r="AP2837" s="69"/>
      <c r="AQ2837" s="69"/>
      <c r="AR2837" s="69"/>
      <c r="AS2837" s="69"/>
      <c r="AT2837" s="69"/>
      <c r="AU2837" s="69"/>
      <c r="AV2837" s="69"/>
      <c r="AW2837" s="69"/>
      <c r="AX2837" s="69"/>
      <c r="AY2837" s="69"/>
      <c r="AZ2837" s="69"/>
      <c r="BA2837" s="69"/>
      <c r="BB2837" s="69"/>
      <c r="BC2837" s="69"/>
    </row>
    <row r="2838">
      <c r="A2838" s="68"/>
      <c r="B2838" s="68"/>
      <c r="C2838" s="68"/>
      <c r="D2838" s="68"/>
      <c r="E2838" s="68"/>
      <c r="F2838" s="68"/>
      <c r="G2838" s="68"/>
      <c r="H2838" s="68"/>
      <c r="I2838" s="69"/>
      <c r="J2838" s="69"/>
      <c r="K2838" s="71"/>
      <c r="L2838" s="69"/>
      <c r="M2838" s="69"/>
      <c r="N2838" s="72"/>
      <c r="O2838" s="69"/>
      <c r="P2838" s="69"/>
      <c r="Q2838" s="69"/>
      <c r="R2838" s="69"/>
      <c r="S2838" s="69"/>
      <c r="T2838" s="69"/>
      <c r="U2838" s="69"/>
      <c r="V2838" s="69"/>
      <c r="W2838" s="69"/>
      <c r="X2838" s="69"/>
      <c r="Y2838" s="69"/>
      <c r="Z2838" s="69"/>
      <c r="AA2838" s="69"/>
      <c r="AB2838" s="69"/>
      <c r="AC2838" s="69"/>
      <c r="AD2838" s="69"/>
      <c r="AE2838" s="69"/>
      <c r="AF2838" s="69"/>
      <c r="AG2838" s="69"/>
      <c r="AH2838" s="69"/>
      <c r="AI2838" s="69"/>
      <c r="AJ2838" s="69"/>
      <c r="AK2838" s="69"/>
      <c r="AL2838" s="69"/>
      <c r="AM2838" s="69"/>
      <c r="AN2838" s="69"/>
      <c r="AO2838" s="69"/>
      <c r="AP2838" s="69"/>
      <c r="AQ2838" s="69"/>
      <c r="AR2838" s="69"/>
      <c r="AS2838" s="69"/>
      <c r="AT2838" s="69"/>
      <c r="AU2838" s="69"/>
      <c r="AV2838" s="69"/>
      <c r="AW2838" s="69"/>
      <c r="AX2838" s="69"/>
      <c r="AY2838" s="69"/>
      <c r="AZ2838" s="69"/>
      <c r="BA2838" s="69"/>
      <c r="BB2838" s="69"/>
      <c r="BC2838" s="69"/>
    </row>
    <row r="2839">
      <c r="A2839" s="68"/>
      <c r="B2839" s="68"/>
      <c r="C2839" s="68"/>
      <c r="D2839" s="68"/>
      <c r="E2839" s="68"/>
      <c r="F2839" s="68"/>
      <c r="G2839" s="68"/>
      <c r="H2839" s="68"/>
      <c r="I2839" s="69"/>
      <c r="J2839" s="69"/>
      <c r="K2839" s="71"/>
      <c r="L2839" s="69"/>
      <c r="M2839" s="69"/>
      <c r="N2839" s="72"/>
      <c r="O2839" s="69"/>
      <c r="P2839" s="69"/>
      <c r="Q2839" s="69"/>
      <c r="R2839" s="69"/>
      <c r="S2839" s="69"/>
      <c r="T2839" s="69"/>
      <c r="U2839" s="69"/>
      <c r="V2839" s="69"/>
      <c r="W2839" s="69"/>
      <c r="X2839" s="69"/>
      <c r="Y2839" s="69"/>
      <c r="Z2839" s="69"/>
      <c r="AA2839" s="69"/>
      <c r="AB2839" s="69"/>
      <c r="AC2839" s="69"/>
      <c r="AD2839" s="69"/>
      <c r="AE2839" s="69"/>
      <c r="AF2839" s="69"/>
      <c r="AG2839" s="69"/>
      <c r="AH2839" s="69"/>
      <c r="AI2839" s="69"/>
      <c r="AJ2839" s="69"/>
      <c r="AK2839" s="69"/>
      <c r="AL2839" s="69"/>
      <c r="AM2839" s="69"/>
      <c r="AN2839" s="69"/>
      <c r="AO2839" s="69"/>
      <c r="AP2839" s="69"/>
      <c r="AQ2839" s="69"/>
      <c r="AR2839" s="69"/>
      <c r="AS2839" s="69"/>
      <c r="AT2839" s="69"/>
      <c r="AU2839" s="69"/>
      <c r="AV2839" s="69"/>
      <c r="AW2839" s="69"/>
      <c r="AX2839" s="69"/>
      <c r="AY2839" s="69"/>
      <c r="AZ2839" s="69"/>
      <c r="BA2839" s="69"/>
      <c r="BB2839" s="69"/>
      <c r="BC2839" s="69"/>
    </row>
    <row r="2840">
      <c r="A2840" s="68"/>
      <c r="B2840" s="68"/>
      <c r="C2840" s="68"/>
      <c r="D2840" s="68"/>
      <c r="E2840" s="68"/>
      <c r="F2840" s="68"/>
      <c r="G2840" s="68"/>
      <c r="H2840" s="68"/>
      <c r="I2840" s="69"/>
      <c r="J2840" s="69"/>
      <c r="K2840" s="71"/>
      <c r="L2840" s="69"/>
      <c r="M2840" s="69"/>
      <c r="N2840" s="72"/>
      <c r="O2840" s="69"/>
      <c r="P2840" s="69"/>
      <c r="Q2840" s="69"/>
      <c r="R2840" s="69"/>
      <c r="S2840" s="69"/>
      <c r="T2840" s="69"/>
      <c r="U2840" s="69"/>
      <c r="V2840" s="69"/>
      <c r="W2840" s="69"/>
      <c r="X2840" s="69"/>
      <c r="Y2840" s="69"/>
      <c r="Z2840" s="69"/>
      <c r="AA2840" s="69"/>
      <c r="AB2840" s="69"/>
      <c r="AC2840" s="69"/>
      <c r="AD2840" s="69"/>
      <c r="AE2840" s="69"/>
      <c r="AF2840" s="69"/>
      <c r="AG2840" s="69"/>
      <c r="AH2840" s="69"/>
      <c r="AI2840" s="69"/>
      <c r="AJ2840" s="69"/>
      <c r="AK2840" s="69"/>
      <c r="AL2840" s="69"/>
      <c r="AM2840" s="69"/>
      <c r="AN2840" s="69"/>
      <c r="AO2840" s="69"/>
      <c r="AP2840" s="69"/>
      <c r="AQ2840" s="69"/>
      <c r="AR2840" s="69"/>
      <c r="AS2840" s="69"/>
      <c r="AT2840" s="69"/>
      <c r="AU2840" s="69"/>
      <c r="AV2840" s="69"/>
      <c r="AW2840" s="69"/>
      <c r="AX2840" s="69"/>
      <c r="AY2840" s="69"/>
      <c r="AZ2840" s="69"/>
      <c r="BA2840" s="69"/>
      <c r="BB2840" s="69"/>
      <c r="BC2840" s="69"/>
    </row>
    <row r="2841">
      <c r="A2841" s="68"/>
      <c r="B2841" s="68"/>
      <c r="C2841" s="68"/>
      <c r="D2841" s="68"/>
      <c r="E2841" s="68"/>
      <c r="F2841" s="68"/>
      <c r="G2841" s="68"/>
      <c r="H2841" s="68"/>
      <c r="I2841" s="69"/>
      <c r="J2841" s="69"/>
      <c r="K2841" s="71"/>
      <c r="L2841" s="69"/>
      <c r="M2841" s="69"/>
      <c r="N2841" s="72"/>
      <c r="O2841" s="69"/>
      <c r="P2841" s="69"/>
      <c r="Q2841" s="69"/>
      <c r="R2841" s="69"/>
      <c r="S2841" s="69"/>
      <c r="T2841" s="69"/>
      <c r="U2841" s="69"/>
      <c r="V2841" s="69"/>
      <c r="W2841" s="69"/>
      <c r="X2841" s="69"/>
      <c r="Y2841" s="69"/>
      <c r="Z2841" s="69"/>
      <c r="AA2841" s="69"/>
      <c r="AB2841" s="69"/>
      <c r="AC2841" s="69"/>
      <c r="AD2841" s="69"/>
      <c r="AE2841" s="69"/>
      <c r="AF2841" s="69"/>
      <c r="AG2841" s="69"/>
      <c r="AH2841" s="69"/>
      <c r="AI2841" s="69"/>
      <c r="AJ2841" s="69"/>
      <c r="AK2841" s="69"/>
      <c r="AL2841" s="69"/>
      <c r="AM2841" s="69"/>
      <c r="AN2841" s="69"/>
      <c r="AO2841" s="69"/>
      <c r="AP2841" s="69"/>
      <c r="AQ2841" s="69"/>
      <c r="AR2841" s="69"/>
      <c r="AS2841" s="69"/>
      <c r="AT2841" s="69"/>
      <c r="AU2841" s="69"/>
      <c r="AV2841" s="69"/>
      <c r="AW2841" s="69"/>
      <c r="AX2841" s="69"/>
      <c r="AY2841" s="69"/>
      <c r="AZ2841" s="69"/>
      <c r="BA2841" s="69"/>
      <c r="BB2841" s="69"/>
      <c r="BC2841" s="69"/>
    </row>
    <row r="2842">
      <c r="A2842" s="68"/>
      <c r="B2842" s="68"/>
      <c r="C2842" s="68"/>
      <c r="D2842" s="68"/>
      <c r="E2842" s="68"/>
      <c r="F2842" s="68"/>
      <c r="G2842" s="68"/>
      <c r="H2842" s="68"/>
      <c r="I2842" s="69"/>
      <c r="J2842" s="69"/>
      <c r="K2842" s="71"/>
      <c r="L2842" s="69"/>
      <c r="M2842" s="69"/>
      <c r="N2842" s="72"/>
      <c r="O2842" s="69"/>
      <c r="P2842" s="69"/>
      <c r="Q2842" s="69"/>
      <c r="R2842" s="69"/>
      <c r="S2842" s="69"/>
      <c r="T2842" s="69"/>
      <c r="U2842" s="69"/>
      <c r="V2842" s="69"/>
      <c r="W2842" s="69"/>
      <c r="X2842" s="69"/>
      <c r="Y2842" s="69"/>
      <c r="Z2842" s="69"/>
      <c r="AA2842" s="69"/>
      <c r="AB2842" s="69"/>
      <c r="AC2842" s="69"/>
      <c r="AD2842" s="69"/>
      <c r="AE2842" s="69"/>
      <c r="AF2842" s="69"/>
      <c r="AG2842" s="69"/>
      <c r="AH2842" s="69"/>
      <c r="AI2842" s="69"/>
      <c r="AJ2842" s="69"/>
      <c r="AK2842" s="69"/>
      <c r="AL2842" s="69"/>
      <c r="AM2842" s="69"/>
      <c r="AN2842" s="69"/>
      <c r="AO2842" s="69"/>
      <c r="AP2842" s="69"/>
      <c r="AQ2842" s="69"/>
      <c r="AR2842" s="69"/>
      <c r="AS2842" s="69"/>
      <c r="AT2842" s="69"/>
      <c r="AU2842" s="69"/>
      <c r="AV2842" s="69"/>
      <c r="AW2842" s="69"/>
      <c r="AX2842" s="69"/>
      <c r="AY2842" s="69"/>
      <c r="AZ2842" s="69"/>
      <c r="BA2842" s="69"/>
      <c r="BB2842" s="69"/>
      <c r="BC2842" s="69"/>
    </row>
    <row r="2843">
      <c r="A2843" s="68"/>
      <c r="B2843" s="68"/>
      <c r="C2843" s="68"/>
      <c r="D2843" s="68"/>
      <c r="E2843" s="68"/>
      <c r="F2843" s="68"/>
      <c r="G2843" s="68"/>
      <c r="H2843" s="68"/>
      <c r="I2843" s="69"/>
      <c r="J2843" s="69"/>
      <c r="K2843" s="71"/>
      <c r="L2843" s="69"/>
      <c r="M2843" s="69"/>
      <c r="N2843" s="72"/>
      <c r="O2843" s="69"/>
      <c r="P2843" s="69"/>
      <c r="Q2843" s="69"/>
      <c r="R2843" s="69"/>
      <c r="S2843" s="69"/>
      <c r="T2843" s="69"/>
      <c r="U2843" s="69"/>
      <c r="V2843" s="69"/>
      <c r="W2843" s="69"/>
      <c r="X2843" s="69"/>
      <c r="Y2843" s="69"/>
      <c r="Z2843" s="69"/>
      <c r="AA2843" s="69"/>
      <c r="AB2843" s="69"/>
      <c r="AC2843" s="69"/>
      <c r="AD2843" s="69"/>
      <c r="AE2843" s="69"/>
      <c r="AF2843" s="69"/>
      <c r="AG2843" s="69"/>
      <c r="AH2843" s="69"/>
      <c r="AI2843" s="69"/>
      <c r="AJ2843" s="69"/>
      <c r="AK2843" s="69"/>
      <c r="AL2843" s="69"/>
      <c r="AM2843" s="69"/>
      <c r="AN2843" s="69"/>
      <c r="AO2843" s="69"/>
      <c r="AP2843" s="69"/>
      <c r="AQ2843" s="69"/>
      <c r="AR2843" s="69"/>
      <c r="AS2843" s="69"/>
      <c r="AT2843" s="69"/>
      <c r="AU2843" s="69"/>
      <c r="AV2843" s="69"/>
      <c r="AW2843" s="69"/>
      <c r="AX2843" s="69"/>
      <c r="AY2843" s="69"/>
      <c r="AZ2843" s="69"/>
      <c r="BA2843" s="69"/>
      <c r="BB2843" s="69"/>
      <c r="BC2843" s="69"/>
    </row>
    <row r="2844">
      <c r="A2844" s="68"/>
      <c r="B2844" s="68"/>
      <c r="C2844" s="68"/>
      <c r="D2844" s="68"/>
      <c r="E2844" s="68"/>
      <c r="F2844" s="68"/>
      <c r="G2844" s="68"/>
      <c r="H2844" s="68"/>
      <c r="I2844" s="69"/>
      <c r="J2844" s="69"/>
      <c r="K2844" s="71"/>
      <c r="L2844" s="69"/>
      <c r="M2844" s="69"/>
      <c r="N2844" s="72"/>
      <c r="O2844" s="69"/>
      <c r="P2844" s="69"/>
      <c r="Q2844" s="69"/>
      <c r="R2844" s="69"/>
      <c r="S2844" s="69"/>
      <c r="T2844" s="69"/>
      <c r="U2844" s="69"/>
      <c r="V2844" s="69"/>
      <c r="W2844" s="69"/>
      <c r="X2844" s="69"/>
      <c r="Y2844" s="69"/>
      <c r="Z2844" s="69"/>
      <c r="AA2844" s="69"/>
      <c r="AB2844" s="69"/>
      <c r="AC2844" s="69"/>
      <c r="AD2844" s="69"/>
      <c r="AE2844" s="69"/>
      <c r="AF2844" s="69"/>
      <c r="AG2844" s="69"/>
      <c r="AH2844" s="69"/>
      <c r="AI2844" s="69"/>
      <c r="AJ2844" s="69"/>
      <c r="AK2844" s="69"/>
      <c r="AL2844" s="69"/>
      <c r="AM2844" s="69"/>
      <c r="AN2844" s="69"/>
      <c r="AO2844" s="69"/>
      <c r="AP2844" s="69"/>
      <c r="AQ2844" s="69"/>
      <c r="AR2844" s="69"/>
      <c r="AS2844" s="69"/>
      <c r="AT2844" s="69"/>
      <c r="AU2844" s="69"/>
      <c r="AV2844" s="69"/>
      <c r="AW2844" s="69"/>
      <c r="AX2844" s="69"/>
      <c r="AY2844" s="69"/>
      <c r="AZ2844" s="69"/>
      <c r="BA2844" s="69"/>
      <c r="BB2844" s="69"/>
      <c r="BC2844" s="69"/>
    </row>
    <row r="2845">
      <c r="A2845" s="68"/>
      <c r="B2845" s="68"/>
      <c r="C2845" s="68"/>
      <c r="D2845" s="68"/>
      <c r="E2845" s="68"/>
      <c r="F2845" s="68"/>
      <c r="G2845" s="68"/>
      <c r="H2845" s="68"/>
      <c r="I2845" s="69"/>
      <c r="J2845" s="69"/>
      <c r="K2845" s="71"/>
      <c r="L2845" s="69"/>
      <c r="M2845" s="69"/>
      <c r="N2845" s="72"/>
      <c r="O2845" s="69"/>
      <c r="P2845" s="69"/>
      <c r="Q2845" s="69"/>
      <c r="R2845" s="69"/>
      <c r="S2845" s="69"/>
      <c r="T2845" s="69"/>
      <c r="U2845" s="69"/>
      <c r="V2845" s="69"/>
      <c r="W2845" s="69"/>
      <c r="X2845" s="69"/>
      <c r="Y2845" s="69"/>
      <c r="Z2845" s="69"/>
      <c r="AA2845" s="69"/>
      <c r="AB2845" s="69"/>
      <c r="AC2845" s="69"/>
      <c r="AD2845" s="69"/>
      <c r="AE2845" s="69"/>
      <c r="AF2845" s="69"/>
      <c r="AG2845" s="69"/>
      <c r="AH2845" s="69"/>
      <c r="AI2845" s="69"/>
      <c r="AJ2845" s="69"/>
      <c r="AK2845" s="69"/>
      <c r="AL2845" s="69"/>
      <c r="AM2845" s="69"/>
      <c r="AN2845" s="69"/>
      <c r="AO2845" s="69"/>
      <c r="AP2845" s="69"/>
      <c r="AQ2845" s="69"/>
      <c r="AR2845" s="69"/>
      <c r="AS2845" s="69"/>
      <c r="AT2845" s="69"/>
      <c r="AU2845" s="69"/>
      <c r="AV2845" s="69"/>
      <c r="AW2845" s="69"/>
      <c r="AX2845" s="69"/>
      <c r="AY2845" s="69"/>
      <c r="AZ2845" s="69"/>
      <c r="BA2845" s="69"/>
      <c r="BB2845" s="69"/>
      <c r="BC2845" s="69"/>
    </row>
    <row r="2846">
      <c r="A2846" s="68"/>
      <c r="B2846" s="68"/>
      <c r="C2846" s="68"/>
      <c r="D2846" s="68"/>
      <c r="E2846" s="68"/>
      <c r="F2846" s="68"/>
      <c r="G2846" s="68"/>
      <c r="H2846" s="68"/>
      <c r="I2846" s="69"/>
      <c r="J2846" s="69"/>
      <c r="K2846" s="71"/>
      <c r="L2846" s="69"/>
      <c r="M2846" s="69"/>
      <c r="N2846" s="72"/>
      <c r="O2846" s="69"/>
      <c r="P2846" s="69"/>
      <c r="Q2846" s="69"/>
      <c r="R2846" s="69"/>
      <c r="S2846" s="69"/>
      <c r="T2846" s="69"/>
      <c r="U2846" s="69"/>
      <c r="V2846" s="69"/>
      <c r="W2846" s="69"/>
      <c r="X2846" s="69"/>
      <c r="Y2846" s="69"/>
      <c r="Z2846" s="69"/>
      <c r="AA2846" s="69"/>
      <c r="AB2846" s="69"/>
      <c r="AC2846" s="69"/>
      <c r="AD2846" s="69"/>
      <c r="AE2846" s="69"/>
      <c r="AF2846" s="69"/>
      <c r="AG2846" s="69"/>
      <c r="AH2846" s="69"/>
      <c r="AI2846" s="69"/>
      <c r="AJ2846" s="69"/>
      <c r="AK2846" s="69"/>
      <c r="AL2846" s="69"/>
      <c r="AM2846" s="69"/>
      <c r="AN2846" s="69"/>
      <c r="AO2846" s="69"/>
      <c r="AP2846" s="69"/>
      <c r="AQ2846" s="69"/>
      <c r="AR2846" s="69"/>
      <c r="AS2846" s="69"/>
      <c r="AT2846" s="69"/>
      <c r="AU2846" s="69"/>
      <c r="AV2846" s="69"/>
      <c r="AW2846" s="69"/>
      <c r="AX2846" s="69"/>
      <c r="AY2846" s="69"/>
      <c r="AZ2846" s="69"/>
      <c r="BA2846" s="69"/>
      <c r="BB2846" s="69"/>
      <c r="BC2846" s="69"/>
    </row>
    <row r="2847">
      <c r="A2847" s="68"/>
      <c r="B2847" s="68"/>
      <c r="C2847" s="68"/>
      <c r="D2847" s="68"/>
      <c r="E2847" s="68"/>
      <c r="F2847" s="68"/>
      <c r="G2847" s="68"/>
      <c r="H2847" s="68"/>
      <c r="I2847" s="69"/>
      <c r="J2847" s="69"/>
      <c r="K2847" s="71"/>
      <c r="L2847" s="69"/>
      <c r="M2847" s="69"/>
      <c r="N2847" s="72"/>
      <c r="O2847" s="69"/>
      <c r="P2847" s="69"/>
      <c r="Q2847" s="69"/>
      <c r="R2847" s="69"/>
      <c r="S2847" s="69"/>
      <c r="T2847" s="69"/>
      <c r="U2847" s="69"/>
      <c r="V2847" s="69"/>
      <c r="W2847" s="69"/>
      <c r="X2847" s="69"/>
      <c r="Y2847" s="69"/>
      <c r="Z2847" s="69"/>
      <c r="AA2847" s="69"/>
      <c r="AB2847" s="69"/>
      <c r="AC2847" s="69"/>
      <c r="AD2847" s="69"/>
      <c r="AE2847" s="69"/>
      <c r="AF2847" s="69"/>
      <c r="AG2847" s="69"/>
      <c r="AH2847" s="69"/>
      <c r="AI2847" s="69"/>
      <c r="AJ2847" s="69"/>
      <c r="AK2847" s="69"/>
      <c r="AL2847" s="69"/>
      <c r="AM2847" s="69"/>
      <c r="AN2847" s="69"/>
      <c r="AO2847" s="69"/>
      <c r="AP2847" s="69"/>
      <c r="AQ2847" s="69"/>
      <c r="AR2847" s="69"/>
      <c r="AS2847" s="69"/>
      <c r="AT2847" s="69"/>
      <c r="AU2847" s="69"/>
      <c r="AV2847" s="69"/>
      <c r="AW2847" s="69"/>
      <c r="AX2847" s="69"/>
      <c r="AY2847" s="69"/>
      <c r="AZ2847" s="69"/>
      <c r="BA2847" s="69"/>
      <c r="BB2847" s="69"/>
      <c r="BC2847" s="69"/>
    </row>
    <row r="2848">
      <c r="A2848" s="68"/>
      <c r="B2848" s="68"/>
      <c r="C2848" s="68"/>
      <c r="D2848" s="68"/>
      <c r="E2848" s="68"/>
      <c r="F2848" s="68"/>
      <c r="G2848" s="68"/>
      <c r="H2848" s="68"/>
      <c r="I2848" s="69"/>
      <c r="J2848" s="69"/>
      <c r="K2848" s="71"/>
      <c r="L2848" s="69"/>
      <c r="M2848" s="69"/>
      <c r="N2848" s="72"/>
      <c r="O2848" s="69"/>
      <c r="P2848" s="69"/>
      <c r="Q2848" s="69"/>
      <c r="R2848" s="69"/>
      <c r="S2848" s="69"/>
      <c r="T2848" s="69"/>
      <c r="U2848" s="69"/>
      <c r="V2848" s="69"/>
      <c r="W2848" s="69"/>
      <c r="X2848" s="69"/>
      <c r="Y2848" s="69"/>
      <c r="Z2848" s="69"/>
      <c r="AA2848" s="69"/>
      <c r="AB2848" s="69"/>
      <c r="AC2848" s="69"/>
      <c r="AD2848" s="69"/>
      <c r="AE2848" s="69"/>
      <c r="AF2848" s="69"/>
      <c r="AG2848" s="69"/>
      <c r="AH2848" s="69"/>
      <c r="AI2848" s="69"/>
      <c r="AJ2848" s="69"/>
      <c r="AK2848" s="69"/>
      <c r="AL2848" s="69"/>
      <c r="AM2848" s="69"/>
      <c r="AN2848" s="69"/>
      <c r="AO2848" s="69"/>
      <c r="AP2848" s="69"/>
      <c r="AQ2848" s="69"/>
      <c r="AR2848" s="69"/>
      <c r="AS2848" s="69"/>
      <c r="AT2848" s="69"/>
      <c r="AU2848" s="69"/>
      <c r="AV2848" s="69"/>
      <c r="AW2848" s="69"/>
      <c r="AX2848" s="69"/>
      <c r="AY2848" s="69"/>
      <c r="AZ2848" s="69"/>
      <c r="BA2848" s="69"/>
      <c r="BB2848" s="69"/>
      <c r="BC2848" s="69"/>
    </row>
    <row r="2849">
      <c r="A2849" s="68"/>
      <c r="B2849" s="68"/>
      <c r="C2849" s="68"/>
      <c r="D2849" s="68"/>
      <c r="E2849" s="68"/>
      <c r="F2849" s="68"/>
      <c r="G2849" s="68"/>
      <c r="H2849" s="68"/>
      <c r="I2849" s="69"/>
      <c r="J2849" s="69"/>
      <c r="K2849" s="71"/>
      <c r="L2849" s="69"/>
      <c r="M2849" s="69"/>
      <c r="N2849" s="72"/>
      <c r="O2849" s="69"/>
      <c r="P2849" s="69"/>
      <c r="Q2849" s="69"/>
      <c r="R2849" s="69"/>
      <c r="S2849" s="69"/>
      <c r="T2849" s="69"/>
      <c r="U2849" s="69"/>
      <c r="V2849" s="69"/>
      <c r="W2849" s="69"/>
      <c r="X2849" s="69"/>
      <c r="Y2849" s="69"/>
      <c r="Z2849" s="69"/>
      <c r="AA2849" s="69"/>
      <c r="AB2849" s="69"/>
      <c r="AC2849" s="69"/>
      <c r="AD2849" s="69"/>
      <c r="AE2849" s="69"/>
      <c r="AF2849" s="69"/>
      <c r="AG2849" s="69"/>
      <c r="AH2849" s="69"/>
      <c r="AI2849" s="69"/>
      <c r="AJ2849" s="69"/>
      <c r="AK2849" s="69"/>
      <c r="AL2849" s="69"/>
      <c r="AM2849" s="69"/>
      <c r="AN2849" s="69"/>
      <c r="AO2849" s="69"/>
      <c r="AP2849" s="69"/>
      <c r="AQ2849" s="69"/>
      <c r="AR2849" s="69"/>
      <c r="AS2849" s="69"/>
      <c r="AT2849" s="69"/>
      <c r="AU2849" s="69"/>
      <c r="AV2849" s="69"/>
      <c r="AW2849" s="69"/>
      <c r="AX2849" s="69"/>
      <c r="AY2849" s="69"/>
      <c r="AZ2849" s="69"/>
      <c r="BA2849" s="69"/>
      <c r="BB2849" s="69"/>
      <c r="BC2849" s="69"/>
    </row>
    <row r="2850">
      <c r="A2850" s="68"/>
      <c r="B2850" s="68"/>
      <c r="C2850" s="68"/>
      <c r="D2850" s="68"/>
      <c r="E2850" s="68"/>
      <c r="F2850" s="68"/>
      <c r="G2850" s="68"/>
      <c r="H2850" s="68"/>
      <c r="I2850" s="69"/>
      <c r="J2850" s="69"/>
      <c r="K2850" s="71"/>
      <c r="L2850" s="69"/>
      <c r="M2850" s="69"/>
      <c r="N2850" s="72"/>
      <c r="O2850" s="69"/>
      <c r="P2850" s="69"/>
      <c r="Q2850" s="69"/>
      <c r="R2850" s="69"/>
      <c r="S2850" s="69"/>
      <c r="T2850" s="69"/>
      <c r="U2850" s="69"/>
      <c r="V2850" s="69"/>
      <c r="W2850" s="69"/>
      <c r="X2850" s="69"/>
      <c r="Y2850" s="69"/>
      <c r="Z2850" s="69"/>
      <c r="AA2850" s="69"/>
      <c r="AB2850" s="69"/>
      <c r="AC2850" s="69"/>
      <c r="AD2850" s="69"/>
      <c r="AE2850" s="69"/>
      <c r="AF2850" s="69"/>
      <c r="AG2850" s="69"/>
      <c r="AH2850" s="69"/>
      <c r="AI2850" s="69"/>
      <c r="AJ2850" s="69"/>
      <c r="AK2850" s="69"/>
      <c r="AL2850" s="69"/>
      <c r="AM2850" s="69"/>
      <c r="AN2850" s="69"/>
      <c r="AO2850" s="69"/>
      <c r="AP2850" s="69"/>
      <c r="AQ2850" s="69"/>
      <c r="AR2850" s="69"/>
      <c r="AS2850" s="69"/>
      <c r="AT2850" s="69"/>
      <c r="AU2850" s="69"/>
      <c r="AV2850" s="69"/>
      <c r="AW2850" s="69"/>
      <c r="AX2850" s="69"/>
      <c r="AY2850" s="69"/>
      <c r="AZ2850" s="69"/>
      <c r="BA2850" s="69"/>
      <c r="BB2850" s="69"/>
      <c r="BC2850" s="69"/>
    </row>
    <row r="2851">
      <c r="A2851" s="68"/>
      <c r="B2851" s="68"/>
      <c r="C2851" s="68"/>
      <c r="D2851" s="68"/>
      <c r="E2851" s="68"/>
      <c r="F2851" s="68"/>
      <c r="G2851" s="68"/>
      <c r="H2851" s="68"/>
      <c r="I2851" s="69"/>
      <c r="J2851" s="69"/>
      <c r="K2851" s="71"/>
      <c r="L2851" s="69"/>
      <c r="M2851" s="69"/>
      <c r="N2851" s="72"/>
      <c r="O2851" s="69"/>
      <c r="P2851" s="69"/>
      <c r="Q2851" s="69"/>
      <c r="R2851" s="69"/>
      <c r="S2851" s="69"/>
      <c r="T2851" s="69"/>
      <c r="U2851" s="69"/>
      <c r="V2851" s="69"/>
      <c r="W2851" s="69"/>
      <c r="X2851" s="69"/>
      <c r="Y2851" s="69"/>
      <c r="Z2851" s="69"/>
      <c r="AA2851" s="69"/>
      <c r="AB2851" s="69"/>
      <c r="AC2851" s="69"/>
      <c r="AD2851" s="69"/>
      <c r="AE2851" s="69"/>
      <c r="AF2851" s="69"/>
      <c r="AG2851" s="69"/>
      <c r="AH2851" s="69"/>
      <c r="AI2851" s="69"/>
      <c r="AJ2851" s="69"/>
      <c r="AK2851" s="69"/>
      <c r="AL2851" s="69"/>
      <c r="AM2851" s="69"/>
      <c r="AN2851" s="69"/>
      <c r="AO2851" s="69"/>
      <c r="AP2851" s="69"/>
      <c r="AQ2851" s="69"/>
      <c r="AR2851" s="69"/>
      <c r="AS2851" s="69"/>
      <c r="AT2851" s="69"/>
      <c r="AU2851" s="69"/>
      <c r="AV2851" s="69"/>
      <c r="AW2851" s="69"/>
      <c r="AX2851" s="69"/>
      <c r="AY2851" s="69"/>
      <c r="AZ2851" s="69"/>
      <c r="BA2851" s="69"/>
      <c r="BB2851" s="69"/>
      <c r="BC2851" s="69"/>
    </row>
    <row r="2852">
      <c r="A2852" s="68"/>
      <c r="B2852" s="68"/>
      <c r="C2852" s="68"/>
      <c r="D2852" s="68"/>
      <c r="E2852" s="68"/>
      <c r="F2852" s="68"/>
      <c r="G2852" s="68"/>
      <c r="H2852" s="68"/>
      <c r="I2852" s="69"/>
      <c r="J2852" s="69"/>
      <c r="K2852" s="71"/>
      <c r="L2852" s="69"/>
      <c r="M2852" s="69"/>
      <c r="N2852" s="72"/>
      <c r="O2852" s="69"/>
      <c r="P2852" s="69"/>
      <c r="Q2852" s="69"/>
      <c r="R2852" s="69"/>
      <c r="S2852" s="69"/>
      <c r="T2852" s="69"/>
      <c r="U2852" s="69"/>
      <c r="V2852" s="69"/>
      <c r="W2852" s="69"/>
      <c r="X2852" s="69"/>
      <c r="Y2852" s="69"/>
      <c r="Z2852" s="69"/>
      <c r="AA2852" s="69"/>
      <c r="AB2852" s="69"/>
      <c r="AC2852" s="69"/>
      <c r="AD2852" s="69"/>
      <c r="AE2852" s="69"/>
      <c r="AF2852" s="69"/>
      <c r="AG2852" s="69"/>
      <c r="AH2852" s="69"/>
      <c r="AI2852" s="69"/>
      <c r="AJ2852" s="69"/>
      <c r="AK2852" s="69"/>
      <c r="AL2852" s="69"/>
      <c r="AM2852" s="69"/>
      <c r="AN2852" s="69"/>
      <c r="AO2852" s="69"/>
      <c r="AP2852" s="69"/>
      <c r="AQ2852" s="69"/>
      <c r="AR2852" s="69"/>
      <c r="AS2852" s="69"/>
      <c r="AT2852" s="69"/>
      <c r="AU2852" s="69"/>
      <c r="AV2852" s="69"/>
      <c r="AW2852" s="69"/>
      <c r="AX2852" s="69"/>
      <c r="AY2852" s="69"/>
      <c r="AZ2852" s="69"/>
      <c r="BA2852" s="69"/>
      <c r="BB2852" s="69"/>
      <c r="BC2852" s="69"/>
    </row>
    <row r="2853">
      <c r="A2853" s="68"/>
      <c r="B2853" s="68"/>
      <c r="C2853" s="68"/>
      <c r="D2853" s="68"/>
      <c r="E2853" s="68"/>
      <c r="F2853" s="68"/>
      <c r="G2853" s="68"/>
      <c r="H2853" s="68"/>
      <c r="I2853" s="69"/>
      <c r="J2853" s="69"/>
      <c r="K2853" s="71"/>
      <c r="L2853" s="69"/>
      <c r="M2853" s="69"/>
      <c r="N2853" s="72"/>
      <c r="O2853" s="69"/>
      <c r="P2853" s="69"/>
      <c r="Q2853" s="69"/>
      <c r="R2853" s="69"/>
      <c r="S2853" s="69"/>
      <c r="T2853" s="69"/>
      <c r="U2853" s="69"/>
      <c r="V2853" s="69"/>
      <c r="W2853" s="69"/>
      <c r="X2853" s="69"/>
      <c r="Y2853" s="69"/>
      <c r="Z2853" s="69"/>
      <c r="AA2853" s="69"/>
      <c r="AB2853" s="69"/>
      <c r="AC2853" s="69"/>
      <c r="AD2853" s="69"/>
      <c r="AE2853" s="69"/>
      <c r="AF2853" s="69"/>
      <c r="AG2853" s="69"/>
      <c r="AH2853" s="69"/>
      <c r="AI2853" s="69"/>
      <c r="AJ2853" s="69"/>
      <c r="AK2853" s="69"/>
      <c r="AL2853" s="69"/>
      <c r="AM2853" s="69"/>
      <c r="AN2853" s="69"/>
      <c r="AO2853" s="69"/>
      <c r="AP2853" s="69"/>
      <c r="AQ2853" s="69"/>
      <c r="AR2853" s="69"/>
      <c r="AS2853" s="69"/>
      <c r="AT2853" s="69"/>
      <c r="AU2853" s="69"/>
      <c r="AV2853" s="69"/>
      <c r="AW2853" s="69"/>
      <c r="AX2853" s="69"/>
      <c r="AY2853" s="69"/>
      <c r="AZ2853" s="69"/>
      <c r="BA2853" s="69"/>
      <c r="BB2853" s="69"/>
      <c r="BC2853" s="69"/>
    </row>
    <row r="2854">
      <c r="A2854" s="68"/>
      <c r="B2854" s="68"/>
      <c r="C2854" s="68"/>
      <c r="D2854" s="68"/>
      <c r="E2854" s="68"/>
      <c r="F2854" s="68"/>
      <c r="G2854" s="68"/>
      <c r="H2854" s="68"/>
      <c r="I2854" s="69"/>
      <c r="J2854" s="69"/>
      <c r="K2854" s="71"/>
      <c r="L2854" s="69"/>
      <c r="M2854" s="69"/>
      <c r="N2854" s="72"/>
      <c r="O2854" s="69"/>
      <c r="P2854" s="69"/>
      <c r="Q2854" s="69"/>
      <c r="R2854" s="69"/>
      <c r="S2854" s="69"/>
      <c r="T2854" s="69"/>
      <c r="U2854" s="69"/>
      <c r="V2854" s="69"/>
      <c r="W2854" s="69"/>
      <c r="X2854" s="69"/>
      <c r="Y2854" s="69"/>
      <c r="Z2854" s="69"/>
      <c r="AA2854" s="69"/>
      <c r="AB2854" s="69"/>
      <c r="AC2854" s="69"/>
      <c r="AD2854" s="69"/>
      <c r="AE2854" s="69"/>
      <c r="AF2854" s="69"/>
      <c r="AG2854" s="69"/>
      <c r="AH2854" s="69"/>
      <c r="AI2854" s="69"/>
      <c r="AJ2854" s="69"/>
      <c r="AK2854" s="69"/>
      <c r="AL2854" s="69"/>
      <c r="AM2854" s="69"/>
      <c r="AN2854" s="69"/>
      <c r="AO2854" s="69"/>
      <c r="AP2854" s="69"/>
      <c r="AQ2854" s="69"/>
      <c r="AR2854" s="69"/>
      <c r="AS2854" s="69"/>
      <c r="AT2854" s="69"/>
      <c r="AU2854" s="69"/>
      <c r="AV2854" s="69"/>
      <c r="AW2854" s="69"/>
      <c r="AX2854" s="69"/>
      <c r="AY2854" s="69"/>
      <c r="AZ2854" s="69"/>
      <c r="BA2854" s="69"/>
      <c r="BB2854" s="69"/>
      <c r="BC2854" s="69"/>
    </row>
    <row r="2855">
      <c r="A2855" s="68"/>
      <c r="B2855" s="68"/>
      <c r="C2855" s="68"/>
      <c r="D2855" s="68"/>
      <c r="E2855" s="68"/>
      <c r="F2855" s="68"/>
      <c r="G2855" s="68"/>
      <c r="H2855" s="68"/>
      <c r="I2855" s="69"/>
      <c r="J2855" s="69"/>
      <c r="K2855" s="71"/>
      <c r="L2855" s="69"/>
      <c r="M2855" s="69"/>
      <c r="N2855" s="72"/>
      <c r="O2855" s="69"/>
      <c r="P2855" s="69"/>
      <c r="Q2855" s="69"/>
      <c r="R2855" s="69"/>
      <c r="S2855" s="69"/>
      <c r="T2855" s="69"/>
      <c r="U2855" s="69"/>
      <c r="V2855" s="69"/>
      <c r="W2855" s="69"/>
      <c r="X2855" s="69"/>
      <c r="Y2855" s="69"/>
      <c r="Z2855" s="69"/>
      <c r="AA2855" s="69"/>
      <c r="AB2855" s="69"/>
      <c r="AC2855" s="69"/>
      <c r="AD2855" s="69"/>
      <c r="AE2855" s="69"/>
      <c r="AF2855" s="69"/>
      <c r="AG2855" s="69"/>
      <c r="AH2855" s="69"/>
      <c r="AI2855" s="69"/>
      <c r="AJ2855" s="69"/>
      <c r="AK2855" s="69"/>
      <c r="AL2855" s="69"/>
      <c r="AM2855" s="69"/>
      <c r="AN2855" s="69"/>
      <c r="AO2855" s="69"/>
      <c r="AP2855" s="69"/>
      <c r="AQ2855" s="69"/>
      <c r="AR2855" s="69"/>
      <c r="AS2855" s="69"/>
      <c r="AT2855" s="69"/>
      <c r="AU2855" s="69"/>
      <c r="AV2855" s="69"/>
      <c r="AW2855" s="69"/>
      <c r="AX2855" s="69"/>
      <c r="AY2855" s="69"/>
      <c r="AZ2855" s="69"/>
      <c r="BA2855" s="69"/>
      <c r="BB2855" s="69"/>
      <c r="BC2855" s="69"/>
    </row>
    <row r="2856">
      <c r="A2856" s="68"/>
      <c r="B2856" s="68"/>
      <c r="C2856" s="68"/>
      <c r="D2856" s="68"/>
      <c r="E2856" s="68"/>
      <c r="F2856" s="68"/>
      <c r="G2856" s="68"/>
      <c r="H2856" s="68"/>
      <c r="I2856" s="69"/>
      <c r="J2856" s="69"/>
      <c r="K2856" s="71"/>
      <c r="L2856" s="69"/>
      <c r="M2856" s="69"/>
      <c r="N2856" s="72"/>
      <c r="O2856" s="69"/>
      <c r="P2856" s="69"/>
      <c r="Q2856" s="69"/>
      <c r="R2856" s="69"/>
      <c r="S2856" s="69"/>
      <c r="T2856" s="69"/>
      <c r="U2856" s="69"/>
      <c r="V2856" s="69"/>
      <c r="W2856" s="69"/>
      <c r="X2856" s="69"/>
      <c r="Y2856" s="69"/>
      <c r="Z2856" s="69"/>
      <c r="AA2856" s="69"/>
      <c r="AB2856" s="69"/>
      <c r="AC2856" s="69"/>
      <c r="AD2856" s="69"/>
      <c r="AE2856" s="69"/>
      <c r="AF2856" s="69"/>
      <c r="AG2856" s="69"/>
      <c r="AH2856" s="69"/>
      <c r="AI2856" s="69"/>
      <c r="AJ2856" s="69"/>
      <c r="AK2856" s="69"/>
      <c r="AL2856" s="69"/>
      <c r="AM2856" s="69"/>
      <c r="AN2856" s="69"/>
      <c r="AO2856" s="69"/>
      <c r="AP2856" s="69"/>
      <c r="AQ2856" s="69"/>
      <c r="AR2856" s="69"/>
      <c r="AS2856" s="69"/>
      <c r="AT2856" s="69"/>
      <c r="AU2856" s="69"/>
      <c r="AV2856" s="69"/>
      <c r="AW2856" s="69"/>
      <c r="AX2856" s="69"/>
      <c r="AY2856" s="69"/>
      <c r="AZ2856" s="69"/>
      <c r="BA2856" s="69"/>
      <c r="BB2856" s="69"/>
      <c r="BC2856" s="69"/>
    </row>
    <row r="2857">
      <c r="A2857" s="68"/>
      <c r="B2857" s="68"/>
      <c r="C2857" s="68"/>
      <c r="D2857" s="68"/>
      <c r="E2857" s="68"/>
      <c r="F2857" s="68"/>
      <c r="G2857" s="68"/>
      <c r="H2857" s="68"/>
      <c r="I2857" s="69"/>
      <c r="J2857" s="69"/>
      <c r="K2857" s="71"/>
      <c r="L2857" s="69"/>
      <c r="M2857" s="69"/>
      <c r="N2857" s="72"/>
      <c r="O2857" s="69"/>
      <c r="P2857" s="69"/>
      <c r="Q2857" s="69"/>
      <c r="R2857" s="69"/>
      <c r="S2857" s="69"/>
      <c r="T2857" s="69"/>
      <c r="U2857" s="69"/>
      <c r="V2857" s="69"/>
      <c r="W2857" s="69"/>
      <c r="X2857" s="69"/>
      <c r="Y2857" s="69"/>
      <c r="Z2857" s="69"/>
      <c r="AA2857" s="69"/>
      <c r="AB2857" s="69"/>
      <c r="AC2857" s="69"/>
      <c r="AD2857" s="69"/>
      <c r="AE2857" s="69"/>
      <c r="AF2857" s="69"/>
      <c r="AG2857" s="69"/>
      <c r="AH2857" s="69"/>
      <c r="AI2857" s="69"/>
      <c r="AJ2857" s="69"/>
      <c r="AK2857" s="69"/>
      <c r="AL2857" s="69"/>
      <c r="AM2857" s="69"/>
      <c r="AN2857" s="69"/>
      <c r="AO2857" s="69"/>
      <c r="AP2857" s="69"/>
      <c r="AQ2857" s="69"/>
      <c r="AR2857" s="69"/>
      <c r="AS2857" s="69"/>
      <c r="AT2857" s="69"/>
      <c r="AU2857" s="69"/>
      <c r="AV2857" s="69"/>
      <c r="AW2857" s="69"/>
      <c r="AX2857" s="69"/>
      <c r="AY2857" s="69"/>
      <c r="AZ2857" s="69"/>
      <c r="BA2857" s="69"/>
      <c r="BB2857" s="69"/>
      <c r="BC2857" s="69"/>
    </row>
    <row r="2858">
      <c r="A2858" s="68"/>
      <c r="B2858" s="68"/>
      <c r="C2858" s="68"/>
      <c r="D2858" s="68"/>
      <c r="E2858" s="68"/>
      <c r="F2858" s="68"/>
      <c r="G2858" s="68"/>
      <c r="H2858" s="68"/>
      <c r="I2858" s="69"/>
      <c r="J2858" s="69"/>
      <c r="K2858" s="71"/>
      <c r="L2858" s="69"/>
      <c r="M2858" s="69"/>
      <c r="N2858" s="72"/>
      <c r="O2858" s="69"/>
      <c r="P2858" s="69"/>
      <c r="Q2858" s="69"/>
      <c r="R2858" s="69"/>
      <c r="S2858" s="69"/>
      <c r="T2858" s="69"/>
      <c r="U2858" s="69"/>
      <c r="V2858" s="69"/>
      <c r="W2858" s="69"/>
      <c r="X2858" s="69"/>
      <c r="Y2858" s="69"/>
      <c r="Z2858" s="69"/>
      <c r="AA2858" s="69"/>
      <c r="AB2858" s="69"/>
      <c r="AC2858" s="69"/>
      <c r="AD2858" s="69"/>
      <c r="AE2858" s="69"/>
      <c r="AF2858" s="69"/>
      <c r="AG2858" s="69"/>
      <c r="AH2858" s="69"/>
      <c r="AI2858" s="69"/>
      <c r="AJ2858" s="69"/>
      <c r="AK2858" s="69"/>
      <c r="AL2858" s="69"/>
      <c r="AM2858" s="69"/>
      <c r="AN2858" s="69"/>
      <c r="AO2858" s="69"/>
      <c r="AP2858" s="69"/>
      <c r="AQ2858" s="69"/>
      <c r="AR2858" s="69"/>
      <c r="AS2858" s="69"/>
      <c r="AT2858" s="69"/>
      <c r="AU2858" s="69"/>
      <c r="AV2858" s="69"/>
      <c r="AW2858" s="69"/>
      <c r="AX2858" s="69"/>
      <c r="AY2858" s="69"/>
      <c r="AZ2858" s="69"/>
      <c r="BA2858" s="69"/>
      <c r="BB2858" s="69"/>
      <c r="BC2858" s="69"/>
    </row>
    <row r="2859">
      <c r="A2859" s="68"/>
      <c r="B2859" s="68"/>
      <c r="C2859" s="68"/>
      <c r="D2859" s="68"/>
      <c r="E2859" s="68"/>
      <c r="F2859" s="68"/>
      <c r="G2859" s="68"/>
      <c r="H2859" s="68"/>
      <c r="I2859" s="69"/>
      <c r="J2859" s="69"/>
      <c r="K2859" s="71"/>
      <c r="L2859" s="69"/>
      <c r="M2859" s="69"/>
      <c r="N2859" s="72"/>
      <c r="O2859" s="69"/>
      <c r="P2859" s="69"/>
      <c r="Q2859" s="69"/>
      <c r="R2859" s="69"/>
      <c r="S2859" s="69"/>
      <c r="T2859" s="69"/>
      <c r="U2859" s="69"/>
      <c r="V2859" s="69"/>
      <c r="W2859" s="69"/>
      <c r="X2859" s="69"/>
      <c r="Y2859" s="69"/>
      <c r="Z2859" s="69"/>
      <c r="AA2859" s="69"/>
      <c r="AB2859" s="69"/>
      <c r="AC2859" s="69"/>
      <c r="AD2859" s="69"/>
      <c r="AE2859" s="69"/>
      <c r="AF2859" s="69"/>
      <c r="AG2859" s="69"/>
      <c r="AH2859" s="69"/>
      <c r="AI2859" s="69"/>
      <c r="AJ2859" s="69"/>
      <c r="AK2859" s="69"/>
      <c r="AL2859" s="69"/>
      <c r="AM2859" s="69"/>
      <c r="AN2859" s="69"/>
      <c r="AO2859" s="69"/>
      <c r="AP2859" s="69"/>
      <c r="AQ2859" s="69"/>
      <c r="AR2859" s="69"/>
      <c r="AS2859" s="69"/>
      <c r="AT2859" s="69"/>
      <c r="AU2859" s="69"/>
      <c r="AV2859" s="69"/>
      <c r="AW2859" s="69"/>
      <c r="AX2859" s="69"/>
      <c r="AY2859" s="69"/>
      <c r="AZ2859" s="69"/>
      <c r="BA2859" s="69"/>
      <c r="BB2859" s="69"/>
      <c r="BC2859" s="69"/>
    </row>
    <row r="2860">
      <c r="A2860" s="68"/>
      <c r="B2860" s="68"/>
      <c r="C2860" s="68"/>
      <c r="D2860" s="68"/>
      <c r="E2860" s="68"/>
      <c r="F2860" s="68"/>
      <c r="G2860" s="68"/>
      <c r="H2860" s="68"/>
      <c r="I2860" s="69"/>
      <c r="J2860" s="69"/>
      <c r="K2860" s="71"/>
      <c r="L2860" s="69"/>
      <c r="M2860" s="69"/>
      <c r="N2860" s="72"/>
      <c r="O2860" s="69"/>
      <c r="P2860" s="69"/>
      <c r="Q2860" s="69"/>
      <c r="R2860" s="69"/>
      <c r="S2860" s="69"/>
      <c r="T2860" s="69"/>
      <c r="U2860" s="69"/>
      <c r="V2860" s="69"/>
      <c r="W2860" s="69"/>
      <c r="X2860" s="69"/>
      <c r="Y2860" s="69"/>
      <c r="Z2860" s="69"/>
      <c r="AA2860" s="69"/>
      <c r="AB2860" s="69"/>
      <c r="AC2860" s="69"/>
      <c r="AD2860" s="69"/>
      <c r="AE2860" s="69"/>
      <c r="AF2860" s="69"/>
      <c r="AG2860" s="69"/>
      <c r="AH2860" s="69"/>
      <c r="AI2860" s="69"/>
      <c r="AJ2860" s="69"/>
      <c r="AK2860" s="69"/>
      <c r="AL2860" s="69"/>
      <c r="AM2860" s="69"/>
      <c r="AN2860" s="69"/>
      <c r="AO2860" s="69"/>
      <c r="AP2860" s="69"/>
      <c r="AQ2860" s="69"/>
      <c r="AR2860" s="69"/>
      <c r="AS2860" s="69"/>
      <c r="AT2860" s="69"/>
      <c r="AU2860" s="69"/>
      <c r="AV2860" s="69"/>
      <c r="AW2860" s="69"/>
      <c r="AX2860" s="69"/>
      <c r="AY2860" s="69"/>
      <c r="AZ2860" s="69"/>
      <c r="BA2860" s="69"/>
      <c r="BB2860" s="69"/>
      <c r="BC2860" s="69"/>
    </row>
    <row r="2861">
      <c r="A2861" s="68"/>
      <c r="B2861" s="68"/>
      <c r="C2861" s="68"/>
      <c r="D2861" s="68"/>
      <c r="E2861" s="68"/>
      <c r="F2861" s="68"/>
      <c r="G2861" s="68"/>
      <c r="H2861" s="68"/>
      <c r="I2861" s="69"/>
      <c r="J2861" s="69"/>
      <c r="K2861" s="71"/>
      <c r="L2861" s="69"/>
      <c r="M2861" s="69"/>
      <c r="N2861" s="72"/>
      <c r="O2861" s="69"/>
      <c r="P2861" s="69"/>
      <c r="Q2861" s="69"/>
      <c r="R2861" s="69"/>
      <c r="S2861" s="69"/>
      <c r="T2861" s="69"/>
      <c r="U2861" s="69"/>
      <c r="V2861" s="69"/>
      <c r="W2861" s="69"/>
      <c r="X2861" s="69"/>
      <c r="Y2861" s="69"/>
      <c r="Z2861" s="69"/>
      <c r="AA2861" s="69"/>
      <c r="AB2861" s="69"/>
      <c r="AC2861" s="69"/>
      <c r="AD2861" s="69"/>
      <c r="AE2861" s="69"/>
      <c r="AF2861" s="69"/>
      <c r="AG2861" s="69"/>
      <c r="AH2861" s="69"/>
      <c r="AI2861" s="69"/>
      <c r="AJ2861" s="69"/>
      <c r="AK2861" s="69"/>
      <c r="AL2861" s="69"/>
      <c r="AM2861" s="69"/>
      <c r="AN2861" s="69"/>
      <c r="AO2861" s="69"/>
      <c r="AP2861" s="69"/>
      <c r="AQ2861" s="69"/>
      <c r="AR2861" s="69"/>
      <c r="AS2861" s="69"/>
      <c r="AT2861" s="69"/>
      <c r="AU2861" s="69"/>
      <c r="AV2861" s="69"/>
      <c r="AW2861" s="69"/>
      <c r="AX2861" s="69"/>
      <c r="AY2861" s="69"/>
      <c r="AZ2861" s="69"/>
      <c r="BA2861" s="69"/>
      <c r="BB2861" s="69"/>
      <c r="BC2861" s="69"/>
    </row>
    <row r="2862">
      <c r="A2862" s="68"/>
      <c r="B2862" s="68"/>
      <c r="C2862" s="68"/>
      <c r="D2862" s="68"/>
      <c r="E2862" s="68"/>
      <c r="F2862" s="68"/>
      <c r="G2862" s="68"/>
      <c r="H2862" s="68"/>
      <c r="I2862" s="69"/>
      <c r="J2862" s="69"/>
      <c r="K2862" s="71"/>
      <c r="L2862" s="69"/>
      <c r="M2862" s="69"/>
      <c r="N2862" s="72"/>
      <c r="O2862" s="69"/>
      <c r="P2862" s="69"/>
      <c r="Q2862" s="69"/>
      <c r="R2862" s="69"/>
      <c r="S2862" s="69"/>
      <c r="T2862" s="69"/>
      <c r="U2862" s="69"/>
      <c r="V2862" s="69"/>
      <c r="W2862" s="69"/>
      <c r="X2862" s="69"/>
      <c r="Y2862" s="69"/>
      <c r="Z2862" s="69"/>
      <c r="AA2862" s="69"/>
      <c r="AB2862" s="69"/>
      <c r="AC2862" s="69"/>
      <c r="AD2862" s="69"/>
      <c r="AE2862" s="69"/>
      <c r="AF2862" s="69"/>
      <c r="AG2862" s="69"/>
      <c r="AH2862" s="69"/>
      <c r="AI2862" s="69"/>
      <c r="AJ2862" s="69"/>
      <c r="AK2862" s="69"/>
      <c r="AL2862" s="69"/>
      <c r="AM2862" s="69"/>
      <c r="AN2862" s="69"/>
      <c r="AO2862" s="69"/>
      <c r="AP2862" s="69"/>
      <c r="AQ2862" s="69"/>
      <c r="AR2862" s="69"/>
      <c r="AS2862" s="69"/>
      <c r="AT2862" s="69"/>
      <c r="AU2862" s="69"/>
      <c r="AV2862" s="69"/>
      <c r="AW2862" s="69"/>
      <c r="AX2862" s="69"/>
      <c r="AY2862" s="69"/>
      <c r="AZ2862" s="69"/>
      <c r="BA2862" s="69"/>
      <c r="BB2862" s="69"/>
      <c r="BC2862" s="69"/>
    </row>
    <row r="2863">
      <c r="A2863" s="68"/>
      <c r="B2863" s="68"/>
      <c r="C2863" s="68"/>
      <c r="D2863" s="68"/>
      <c r="E2863" s="68"/>
      <c r="F2863" s="68"/>
      <c r="G2863" s="68"/>
      <c r="H2863" s="68"/>
      <c r="I2863" s="69"/>
      <c r="J2863" s="69"/>
      <c r="K2863" s="71"/>
      <c r="L2863" s="69"/>
      <c r="M2863" s="69"/>
      <c r="N2863" s="72"/>
      <c r="O2863" s="69"/>
      <c r="P2863" s="69"/>
      <c r="Q2863" s="69"/>
      <c r="R2863" s="69"/>
      <c r="S2863" s="69"/>
      <c r="T2863" s="69"/>
      <c r="U2863" s="69"/>
      <c r="V2863" s="69"/>
      <c r="W2863" s="69"/>
      <c r="X2863" s="69"/>
      <c r="Y2863" s="69"/>
      <c r="Z2863" s="69"/>
      <c r="AA2863" s="69"/>
      <c r="AB2863" s="69"/>
      <c r="AC2863" s="69"/>
      <c r="AD2863" s="69"/>
      <c r="AE2863" s="69"/>
      <c r="AF2863" s="69"/>
      <c r="AG2863" s="69"/>
      <c r="AH2863" s="69"/>
      <c r="AI2863" s="69"/>
      <c r="AJ2863" s="69"/>
      <c r="AK2863" s="69"/>
      <c r="AL2863" s="69"/>
      <c r="AM2863" s="69"/>
      <c r="AN2863" s="69"/>
      <c r="AO2863" s="69"/>
      <c r="AP2863" s="69"/>
      <c r="AQ2863" s="69"/>
      <c r="AR2863" s="69"/>
      <c r="AS2863" s="69"/>
      <c r="AT2863" s="69"/>
      <c r="AU2863" s="69"/>
      <c r="AV2863" s="69"/>
      <c r="AW2863" s="69"/>
      <c r="AX2863" s="69"/>
      <c r="AY2863" s="69"/>
      <c r="AZ2863" s="69"/>
      <c r="BA2863" s="69"/>
      <c r="BB2863" s="69"/>
      <c r="BC2863" s="69"/>
    </row>
    <row r="2864">
      <c r="A2864" s="68"/>
      <c r="B2864" s="68"/>
      <c r="C2864" s="68"/>
      <c r="D2864" s="68"/>
      <c r="E2864" s="68"/>
      <c r="F2864" s="68"/>
      <c r="G2864" s="68"/>
      <c r="H2864" s="68"/>
      <c r="I2864" s="69"/>
      <c r="J2864" s="69"/>
      <c r="K2864" s="71"/>
      <c r="L2864" s="69"/>
      <c r="M2864" s="69"/>
      <c r="N2864" s="72"/>
      <c r="O2864" s="69"/>
      <c r="P2864" s="69"/>
      <c r="Q2864" s="69"/>
      <c r="R2864" s="69"/>
      <c r="S2864" s="69"/>
      <c r="T2864" s="69"/>
      <c r="U2864" s="69"/>
      <c r="V2864" s="69"/>
      <c r="W2864" s="69"/>
      <c r="X2864" s="69"/>
      <c r="Y2864" s="69"/>
      <c r="Z2864" s="69"/>
      <c r="AA2864" s="69"/>
      <c r="AB2864" s="69"/>
      <c r="AC2864" s="69"/>
      <c r="AD2864" s="69"/>
      <c r="AE2864" s="69"/>
      <c r="AF2864" s="69"/>
      <c r="AG2864" s="69"/>
      <c r="AH2864" s="69"/>
      <c r="AI2864" s="69"/>
      <c r="AJ2864" s="69"/>
      <c r="AK2864" s="69"/>
      <c r="AL2864" s="69"/>
      <c r="AM2864" s="69"/>
      <c r="AN2864" s="69"/>
      <c r="AO2864" s="69"/>
      <c r="AP2864" s="69"/>
      <c r="AQ2864" s="69"/>
      <c r="AR2864" s="69"/>
      <c r="AS2864" s="69"/>
      <c r="AT2864" s="69"/>
      <c r="AU2864" s="69"/>
      <c r="AV2864" s="69"/>
      <c r="AW2864" s="69"/>
      <c r="AX2864" s="69"/>
      <c r="AY2864" s="69"/>
      <c r="AZ2864" s="69"/>
      <c r="BA2864" s="69"/>
      <c r="BB2864" s="69"/>
      <c r="BC2864" s="69"/>
    </row>
    <row r="2865">
      <c r="A2865" s="68"/>
      <c r="B2865" s="68"/>
      <c r="C2865" s="68"/>
      <c r="D2865" s="68"/>
      <c r="E2865" s="68"/>
      <c r="F2865" s="68"/>
      <c r="G2865" s="68"/>
      <c r="H2865" s="68"/>
      <c r="I2865" s="69"/>
      <c r="J2865" s="69"/>
      <c r="K2865" s="71"/>
      <c r="L2865" s="69"/>
      <c r="M2865" s="69"/>
      <c r="N2865" s="72"/>
      <c r="O2865" s="69"/>
      <c r="P2865" s="69"/>
      <c r="Q2865" s="69"/>
      <c r="R2865" s="69"/>
      <c r="S2865" s="69"/>
      <c r="T2865" s="69"/>
      <c r="U2865" s="69"/>
      <c r="V2865" s="69"/>
      <c r="W2865" s="69"/>
      <c r="X2865" s="69"/>
      <c r="Y2865" s="69"/>
      <c r="Z2865" s="69"/>
      <c r="AA2865" s="69"/>
      <c r="AB2865" s="69"/>
      <c r="AC2865" s="69"/>
      <c r="AD2865" s="69"/>
      <c r="AE2865" s="69"/>
      <c r="AF2865" s="69"/>
      <c r="AG2865" s="69"/>
      <c r="AH2865" s="69"/>
      <c r="AI2865" s="69"/>
      <c r="AJ2865" s="69"/>
      <c r="AK2865" s="69"/>
      <c r="AL2865" s="69"/>
      <c r="AM2865" s="69"/>
      <c r="AN2865" s="69"/>
      <c r="AO2865" s="69"/>
      <c r="AP2865" s="69"/>
      <c r="AQ2865" s="69"/>
      <c r="AR2865" s="69"/>
      <c r="AS2865" s="69"/>
      <c r="AT2865" s="69"/>
      <c r="AU2865" s="69"/>
      <c r="AV2865" s="69"/>
      <c r="AW2865" s="69"/>
      <c r="AX2865" s="69"/>
      <c r="AY2865" s="69"/>
      <c r="AZ2865" s="69"/>
      <c r="BA2865" s="69"/>
      <c r="BB2865" s="69"/>
      <c r="BC2865" s="69"/>
    </row>
    <row r="2866">
      <c r="A2866" s="68"/>
      <c r="B2866" s="68"/>
      <c r="C2866" s="68"/>
      <c r="D2866" s="68"/>
      <c r="E2866" s="68"/>
      <c r="F2866" s="68"/>
      <c r="G2866" s="68"/>
      <c r="H2866" s="68"/>
      <c r="I2866" s="69"/>
      <c r="J2866" s="69"/>
      <c r="K2866" s="71"/>
      <c r="L2866" s="69"/>
      <c r="M2866" s="69"/>
      <c r="N2866" s="72"/>
      <c r="O2866" s="69"/>
      <c r="P2866" s="69"/>
      <c r="Q2866" s="69"/>
      <c r="R2866" s="69"/>
      <c r="S2866" s="69"/>
      <c r="T2866" s="69"/>
      <c r="U2866" s="69"/>
      <c r="V2866" s="69"/>
      <c r="W2866" s="69"/>
      <c r="X2866" s="69"/>
      <c r="Y2866" s="69"/>
      <c r="Z2866" s="69"/>
      <c r="AA2866" s="69"/>
      <c r="AB2866" s="69"/>
      <c r="AC2866" s="69"/>
      <c r="AD2866" s="69"/>
      <c r="AE2866" s="69"/>
      <c r="AF2866" s="69"/>
      <c r="AG2866" s="69"/>
      <c r="AH2866" s="69"/>
      <c r="AI2866" s="69"/>
      <c r="AJ2866" s="69"/>
      <c r="AK2866" s="69"/>
      <c r="AL2866" s="69"/>
      <c r="AM2866" s="69"/>
      <c r="AN2866" s="69"/>
      <c r="AO2866" s="69"/>
      <c r="AP2866" s="69"/>
      <c r="AQ2866" s="69"/>
      <c r="AR2866" s="69"/>
      <c r="AS2866" s="69"/>
      <c r="AT2866" s="69"/>
      <c r="AU2866" s="69"/>
      <c r="AV2866" s="69"/>
      <c r="AW2866" s="69"/>
      <c r="AX2866" s="69"/>
      <c r="AY2866" s="69"/>
      <c r="AZ2866" s="69"/>
      <c r="BA2866" s="69"/>
      <c r="BB2866" s="69"/>
      <c r="BC2866" s="69"/>
    </row>
    <row r="2867">
      <c r="A2867" s="68"/>
      <c r="B2867" s="68"/>
      <c r="C2867" s="68"/>
      <c r="D2867" s="68"/>
      <c r="E2867" s="68"/>
      <c r="F2867" s="68"/>
      <c r="G2867" s="68"/>
      <c r="H2867" s="68"/>
      <c r="I2867" s="69"/>
      <c r="J2867" s="69"/>
      <c r="K2867" s="71"/>
      <c r="L2867" s="69"/>
      <c r="M2867" s="69"/>
      <c r="N2867" s="72"/>
      <c r="O2867" s="69"/>
      <c r="P2867" s="69"/>
      <c r="Q2867" s="69"/>
      <c r="R2867" s="69"/>
      <c r="S2867" s="69"/>
      <c r="T2867" s="69"/>
      <c r="U2867" s="69"/>
      <c r="V2867" s="69"/>
      <c r="W2867" s="69"/>
      <c r="X2867" s="69"/>
      <c r="Y2867" s="69"/>
      <c r="Z2867" s="69"/>
      <c r="AA2867" s="69"/>
      <c r="AB2867" s="69"/>
      <c r="AC2867" s="69"/>
      <c r="AD2867" s="69"/>
      <c r="AE2867" s="69"/>
      <c r="AF2867" s="69"/>
      <c r="AG2867" s="69"/>
      <c r="AH2867" s="69"/>
      <c r="AI2867" s="69"/>
      <c r="AJ2867" s="69"/>
      <c r="AK2867" s="69"/>
      <c r="AL2867" s="69"/>
      <c r="AM2867" s="69"/>
      <c r="AN2867" s="69"/>
      <c r="AO2867" s="69"/>
      <c r="AP2867" s="69"/>
      <c r="AQ2867" s="69"/>
      <c r="AR2867" s="69"/>
      <c r="AS2867" s="69"/>
      <c r="AT2867" s="69"/>
      <c r="AU2867" s="69"/>
      <c r="AV2867" s="69"/>
      <c r="AW2867" s="69"/>
      <c r="AX2867" s="69"/>
      <c r="AY2867" s="69"/>
      <c r="AZ2867" s="69"/>
      <c r="BA2867" s="69"/>
      <c r="BB2867" s="69"/>
      <c r="BC2867" s="69"/>
    </row>
    <row r="2868">
      <c r="A2868" s="68"/>
      <c r="B2868" s="68"/>
      <c r="C2868" s="68"/>
      <c r="D2868" s="68"/>
      <c r="E2868" s="68"/>
      <c r="F2868" s="68"/>
      <c r="G2868" s="68"/>
      <c r="H2868" s="68"/>
      <c r="I2868" s="69"/>
      <c r="J2868" s="69"/>
      <c r="K2868" s="71"/>
      <c r="L2868" s="69"/>
      <c r="M2868" s="69"/>
      <c r="N2868" s="72"/>
      <c r="O2868" s="69"/>
      <c r="P2868" s="69"/>
      <c r="Q2868" s="69"/>
      <c r="R2868" s="69"/>
      <c r="S2868" s="69"/>
      <c r="T2868" s="69"/>
      <c r="U2868" s="69"/>
      <c r="V2868" s="69"/>
      <c r="W2868" s="69"/>
      <c r="X2868" s="69"/>
      <c r="Y2868" s="69"/>
      <c r="Z2868" s="69"/>
      <c r="AA2868" s="69"/>
      <c r="AB2868" s="69"/>
      <c r="AC2868" s="69"/>
      <c r="AD2868" s="69"/>
      <c r="AE2868" s="69"/>
      <c r="AF2868" s="69"/>
      <c r="AG2868" s="69"/>
      <c r="AH2868" s="69"/>
      <c r="AI2868" s="69"/>
      <c r="AJ2868" s="69"/>
      <c r="AK2868" s="69"/>
      <c r="AL2868" s="69"/>
      <c r="AM2868" s="69"/>
      <c r="AN2868" s="69"/>
      <c r="AO2868" s="69"/>
      <c r="AP2868" s="69"/>
      <c r="AQ2868" s="69"/>
      <c r="AR2868" s="69"/>
      <c r="AS2868" s="69"/>
      <c r="AT2868" s="69"/>
      <c r="AU2868" s="69"/>
      <c r="AV2868" s="69"/>
      <c r="AW2868" s="69"/>
      <c r="AX2868" s="69"/>
      <c r="AY2868" s="69"/>
      <c r="AZ2868" s="69"/>
      <c r="BA2868" s="69"/>
      <c r="BB2868" s="69"/>
      <c r="BC2868" s="69"/>
    </row>
    <row r="2869">
      <c r="A2869" s="68"/>
      <c r="B2869" s="68"/>
      <c r="C2869" s="68"/>
      <c r="D2869" s="68"/>
      <c r="E2869" s="68"/>
      <c r="F2869" s="68"/>
      <c r="G2869" s="68"/>
      <c r="H2869" s="68"/>
      <c r="I2869" s="69"/>
      <c r="J2869" s="69"/>
      <c r="K2869" s="71"/>
      <c r="L2869" s="69"/>
      <c r="M2869" s="69"/>
      <c r="N2869" s="72"/>
      <c r="O2869" s="69"/>
      <c r="P2869" s="69"/>
      <c r="Q2869" s="69"/>
      <c r="R2869" s="69"/>
      <c r="S2869" s="69"/>
      <c r="T2869" s="69"/>
      <c r="U2869" s="69"/>
      <c r="V2869" s="69"/>
      <c r="W2869" s="69"/>
      <c r="X2869" s="69"/>
      <c r="Y2869" s="69"/>
      <c r="Z2869" s="69"/>
      <c r="AA2869" s="69"/>
      <c r="AB2869" s="69"/>
      <c r="AC2869" s="69"/>
      <c r="AD2869" s="69"/>
      <c r="AE2869" s="69"/>
      <c r="AF2869" s="69"/>
      <c r="AG2869" s="69"/>
      <c r="AH2869" s="69"/>
      <c r="AI2869" s="69"/>
      <c r="AJ2869" s="69"/>
      <c r="AK2869" s="69"/>
      <c r="AL2869" s="69"/>
      <c r="AM2869" s="69"/>
      <c r="AN2869" s="69"/>
      <c r="AO2869" s="69"/>
      <c r="AP2869" s="69"/>
      <c r="AQ2869" s="69"/>
      <c r="AR2869" s="69"/>
      <c r="AS2869" s="69"/>
      <c r="AT2869" s="69"/>
      <c r="AU2869" s="69"/>
      <c r="AV2869" s="69"/>
      <c r="AW2869" s="69"/>
      <c r="AX2869" s="69"/>
      <c r="AY2869" s="69"/>
      <c r="AZ2869" s="69"/>
      <c r="BA2869" s="69"/>
      <c r="BB2869" s="69"/>
      <c r="BC2869" s="69"/>
    </row>
    <row r="2870">
      <c r="A2870" s="68"/>
      <c r="B2870" s="68"/>
      <c r="C2870" s="68"/>
      <c r="D2870" s="68"/>
      <c r="E2870" s="68"/>
      <c r="F2870" s="68"/>
      <c r="G2870" s="68"/>
      <c r="H2870" s="68"/>
      <c r="I2870" s="69"/>
      <c r="J2870" s="69"/>
      <c r="K2870" s="71"/>
      <c r="L2870" s="69"/>
      <c r="M2870" s="69"/>
      <c r="N2870" s="72"/>
      <c r="O2870" s="69"/>
      <c r="P2870" s="69"/>
      <c r="Q2870" s="69"/>
      <c r="R2870" s="69"/>
      <c r="S2870" s="69"/>
      <c r="T2870" s="69"/>
      <c r="U2870" s="69"/>
      <c r="V2870" s="69"/>
      <c r="W2870" s="69"/>
      <c r="X2870" s="69"/>
      <c r="Y2870" s="69"/>
      <c r="Z2870" s="69"/>
      <c r="AA2870" s="69"/>
      <c r="AB2870" s="69"/>
      <c r="AC2870" s="69"/>
      <c r="AD2870" s="69"/>
      <c r="AE2870" s="69"/>
      <c r="AF2870" s="69"/>
      <c r="AG2870" s="69"/>
      <c r="AH2870" s="69"/>
      <c r="AI2870" s="69"/>
      <c r="AJ2870" s="69"/>
      <c r="AK2870" s="69"/>
      <c r="AL2870" s="69"/>
      <c r="AM2870" s="69"/>
      <c r="AN2870" s="69"/>
      <c r="AO2870" s="69"/>
      <c r="AP2870" s="69"/>
      <c r="AQ2870" s="69"/>
      <c r="AR2870" s="69"/>
      <c r="AS2870" s="69"/>
      <c r="AT2870" s="69"/>
      <c r="AU2870" s="69"/>
      <c r="AV2870" s="69"/>
      <c r="AW2870" s="69"/>
      <c r="AX2870" s="69"/>
      <c r="AY2870" s="69"/>
      <c r="AZ2870" s="69"/>
      <c r="BA2870" s="69"/>
      <c r="BB2870" s="69"/>
      <c r="BC2870" s="69"/>
    </row>
    <row r="2871">
      <c r="A2871" s="68"/>
      <c r="B2871" s="68"/>
      <c r="C2871" s="68"/>
      <c r="D2871" s="68"/>
      <c r="E2871" s="68"/>
      <c r="F2871" s="68"/>
      <c r="G2871" s="68"/>
      <c r="H2871" s="68"/>
      <c r="I2871" s="69"/>
      <c r="J2871" s="69"/>
      <c r="K2871" s="71"/>
      <c r="L2871" s="69"/>
      <c r="M2871" s="69"/>
      <c r="N2871" s="72"/>
      <c r="O2871" s="69"/>
      <c r="P2871" s="69"/>
      <c r="Q2871" s="69"/>
      <c r="R2871" s="69"/>
      <c r="S2871" s="69"/>
      <c r="T2871" s="69"/>
      <c r="U2871" s="69"/>
      <c r="V2871" s="69"/>
      <c r="W2871" s="69"/>
      <c r="X2871" s="69"/>
      <c r="Y2871" s="69"/>
      <c r="Z2871" s="69"/>
      <c r="AA2871" s="69"/>
      <c r="AB2871" s="69"/>
      <c r="AC2871" s="69"/>
      <c r="AD2871" s="69"/>
      <c r="AE2871" s="69"/>
      <c r="AF2871" s="69"/>
      <c r="AG2871" s="69"/>
      <c r="AH2871" s="69"/>
      <c r="AI2871" s="69"/>
      <c r="AJ2871" s="69"/>
      <c r="AK2871" s="69"/>
      <c r="AL2871" s="69"/>
      <c r="AM2871" s="69"/>
      <c r="AN2871" s="69"/>
      <c r="AO2871" s="69"/>
      <c r="AP2871" s="69"/>
      <c r="AQ2871" s="69"/>
      <c r="AR2871" s="69"/>
      <c r="AS2871" s="69"/>
      <c r="AT2871" s="69"/>
      <c r="AU2871" s="69"/>
      <c r="AV2871" s="69"/>
      <c r="AW2871" s="69"/>
      <c r="AX2871" s="69"/>
      <c r="AY2871" s="69"/>
      <c r="AZ2871" s="69"/>
      <c r="BA2871" s="69"/>
      <c r="BB2871" s="69"/>
      <c r="BC2871" s="69"/>
    </row>
    <row r="2872">
      <c r="A2872" s="68"/>
      <c r="B2872" s="68"/>
      <c r="C2872" s="68"/>
      <c r="D2872" s="68"/>
      <c r="E2872" s="68"/>
      <c r="F2872" s="68"/>
      <c r="G2872" s="68"/>
      <c r="H2872" s="68"/>
      <c r="I2872" s="69"/>
      <c r="J2872" s="69"/>
      <c r="K2872" s="71"/>
      <c r="L2872" s="69"/>
      <c r="M2872" s="69"/>
      <c r="N2872" s="72"/>
      <c r="O2872" s="69"/>
      <c r="P2872" s="69"/>
      <c r="Q2872" s="69"/>
      <c r="R2872" s="69"/>
      <c r="S2872" s="69"/>
      <c r="T2872" s="69"/>
      <c r="U2872" s="69"/>
      <c r="V2872" s="69"/>
      <c r="W2872" s="69"/>
      <c r="X2872" s="69"/>
      <c r="Y2872" s="69"/>
      <c r="Z2872" s="69"/>
      <c r="AA2872" s="69"/>
      <c r="AB2872" s="69"/>
      <c r="AC2872" s="69"/>
      <c r="AD2872" s="69"/>
      <c r="AE2872" s="69"/>
      <c r="AF2872" s="69"/>
      <c r="AG2872" s="69"/>
      <c r="AH2872" s="69"/>
      <c r="AI2872" s="69"/>
      <c r="AJ2872" s="69"/>
      <c r="AK2872" s="69"/>
      <c r="AL2872" s="69"/>
      <c r="AM2872" s="69"/>
      <c r="AN2872" s="69"/>
      <c r="AO2872" s="69"/>
      <c r="AP2872" s="69"/>
      <c r="AQ2872" s="69"/>
      <c r="AR2872" s="69"/>
      <c r="AS2872" s="69"/>
      <c r="AT2872" s="69"/>
      <c r="AU2872" s="69"/>
      <c r="AV2872" s="69"/>
      <c r="AW2872" s="69"/>
      <c r="AX2872" s="69"/>
      <c r="AY2872" s="69"/>
      <c r="AZ2872" s="69"/>
      <c r="BA2872" s="69"/>
      <c r="BB2872" s="69"/>
      <c r="BC2872" s="69"/>
    </row>
    <row r="2873">
      <c r="A2873" s="68"/>
      <c r="B2873" s="68"/>
      <c r="C2873" s="68"/>
      <c r="D2873" s="68"/>
      <c r="E2873" s="68"/>
      <c r="F2873" s="68"/>
      <c r="G2873" s="68"/>
      <c r="H2873" s="68"/>
      <c r="I2873" s="69"/>
      <c r="J2873" s="69"/>
      <c r="K2873" s="71"/>
      <c r="L2873" s="69"/>
      <c r="M2873" s="69"/>
      <c r="N2873" s="72"/>
      <c r="O2873" s="69"/>
      <c r="P2873" s="69"/>
      <c r="Q2873" s="69"/>
      <c r="R2873" s="69"/>
      <c r="S2873" s="69"/>
      <c r="T2873" s="69"/>
      <c r="U2873" s="69"/>
      <c r="V2873" s="69"/>
      <c r="W2873" s="69"/>
      <c r="X2873" s="69"/>
      <c r="Y2873" s="69"/>
      <c r="Z2873" s="69"/>
      <c r="AA2873" s="69"/>
      <c r="AB2873" s="69"/>
      <c r="AC2873" s="69"/>
      <c r="AD2873" s="69"/>
      <c r="AE2873" s="69"/>
      <c r="AF2873" s="69"/>
      <c r="AG2873" s="69"/>
      <c r="AH2873" s="69"/>
      <c r="AI2873" s="69"/>
      <c r="AJ2873" s="69"/>
      <c r="AK2873" s="69"/>
      <c r="AL2873" s="69"/>
      <c r="AM2873" s="69"/>
      <c r="AN2873" s="69"/>
      <c r="AO2873" s="69"/>
      <c r="AP2873" s="69"/>
      <c r="AQ2873" s="69"/>
      <c r="AR2873" s="69"/>
      <c r="AS2873" s="69"/>
      <c r="AT2873" s="69"/>
      <c r="AU2873" s="69"/>
      <c r="AV2873" s="69"/>
      <c r="AW2873" s="69"/>
      <c r="AX2873" s="69"/>
      <c r="AY2873" s="69"/>
      <c r="AZ2873" s="69"/>
      <c r="BA2873" s="69"/>
      <c r="BB2873" s="69"/>
      <c r="BC2873" s="69"/>
    </row>
    <row r="2874">
      <c r="A2874" s="68"/>
      <c r="B2874" s="68"/>
      <c r="C2874" s="68"/>
      <c r="D2874" s="68"/>
      <c r="E2874" s="68"/>
      <c r="F2874" s="68"/>
      <c r="G2874" s="68"/>
      <c r="H2874" s="68"/>
      <c r="I2874" s="69"/>
      <c r="J2874" s="69"/>
      <c r="K2874" s="71"/>
      <c r="L2874" s="69"/>
      <c r="M2874" s="69"/>
      <c r="N2874" s="72"/>
      <c r="O2874" s="69"/>
      <c r="P2874" s="69"/>
      <c r="Q2874" s="69"/>
      <c r="R2874" s="69"/>
      <c r="S2874" s="69"/>
      <c r="T2874" s="69"/>
      <c r="U2874" s="69"/>
      <c r="V2874" s="69"/>
      <c r="W2874" s="69"/>
      <c r="X2874" s="69"/>
      <c r="Y2874" s="69"/>
      <c r="Z2874" s="69"/>
      <c r="AA2874" s="69"/>
      <c r="AB2874" s="69"/>
      <c r="AC2874" s="69"/>
      <c r="AD2874" s="69"/>
      <c r="AE2874" s="69"/>
      <c r="AF2874" s="69"/>
      <c r="AG2874" s="69"/>
      <c r="AH2874" s="69"/>
      <c r="AI2874" s="69"/>
      <c r="AJ2874" s="69"/>
      <c r="AK2874" s="69"/>
      <c r="AL2874" s="69"/>
      <c r="AM2874" s="69"/>
      <c r="AN2874" s="69"/>
      <c r="AO2874" s="69"/>
      <c r="AP2874" s="69"/>
      <c r="AQ2874" s="69"/>
      <c r="AR2874" s="69"/>
      <c r="AS2874" s="69"/>
      <c r="AT2874" s="69"/>
      <c r="AU2874" s="69"/>
      <c r="AV2874" s="69"/>
      <c r="AW2874" s="69"/>
      <c r="AX2874" s="69"/>
      <c r="AY2874" s="69"/>
      <c r="AZ2874" s="69"/>
      <c r="BA2874" s="69"/>
      <c r="BB2874" s="69"/>
      <c r="BC2874" s="69"/>
    </row>
    <row r="2875">
      <c r="A2875" s="68"/>
      <c r="B2875" s="68"/>
      <c r="C2875" s="68"/>
      <c r="D2875" s="68"/>
      <c r="E2875" s="68"/>
      <c r="F2875" s="68"/>
      <c r="G2875" s="68"/>
      <c r="H2875" s="68"/>
      <c r="I2875" s="69"/>
      <c r="J2875" s="69"/>
      <c r="K2875" s="71"/>
      <c r="L2875" s="69"/>
      <c r="M2875" s="69"/>
      <c r="N2875" s="72"/>
      <c r="O2875" s="69"/>
      <c r="P2875" s="69"/>
      <c r="Q2875" s="69"/>
      <c r="R2875" s="69"/>
      <c r="S2875" s="69"/>
      <c r="T2875" s="69"/>
      <c r="U2875" s="69"/>
      <c r="V2875" s="69"/>
      <c r="W2875" s="69"/>
      <c r="X2875" s="69"/>
      <c r="Y2875" s="69"/>
      <c r="Z2875" s="69"/>
      <c r="AA2875" s="69"/>
      <c r="AB2875" s="69"/>
      <c r="AC2875" s="69"/>
      <c r="AD2875" s="69"/>
      <c r="AE2875" s="69"/>
      <c r="AF2875" s="69"/>
      <c r="AG2875" s="69"/>
      <c r="AH2875" s="69"/>
      <c r="AI2875" s="69"/>
      <c r="AJ2875" s="69"/>
      <c r="AK2875" s="69"/>
      <c r="AL2875" s="69"/>
      <c r="AM2875" s="69"/>
      <c r="AN2875" s="69"/>
      <c r="AO2875" s="69"/>
      <c r="AP2875" s="69"/>
      <c r="AQ2875" s="69"/>
      <c r="AR2875" s="69"/>
      <c r="AS2875" s="69"/>
      <c r="AT2875" s="69"/>
      <c r="AU2875" s="69"/>
      <c r="AV2875" s="69"/>
      <c r="AW2875" s="69"/>
      <c r="AX2875" s="69"/>
      <c r="AY2875" s="69"/>
      <c r="AZ2875" s="69"/>
      <c r="BA2875" s="69"/>
      <c r="BB2875" s="69"/>
      <c r="BC2875" s="69"/>
    </row>
    <row r="2876">
      <c r="A2876" s="68"/>
      <c r="B2876" s="68"/>
      <c r="C2876" s="68"/>
      <c r="D2876" s="68"/>
      <c r="E2876" s="68"/>
      <c r="F2876" s="68"/>
      <c r="G2876" s="68"/>
      <c r="H2876" s="68"/>
      <c r="I2876" s="69"/>
      <c r="J2876" s="69"/>
      <c r="K2876" s="71"/>
      <c r="L2876" s="69"/>
      <c r="M2876" s="69"/>
      <c r="N2876" s="72"/>
      <c r="O2876" s="69"/>
      <c r="P2876" s="69"/>
      <c r="Q2876" s="69"/>
      <c r="R2876" s="69"/>
      <c r="S2876" s="69"/>
      <c r="T2876" s="69"/>
      <c r="U2876" s="69"/>
      <c r="V2876" s="69"/>
      <c r="W2876" s="69"/>
      <c r="X2876" s="69"/>
      <c r="Y2876" s="69"/>
      <c r="Z2876" s="69"/>
      <c r="AA2876" s="69"/>
      <c r="AB2876" s="69"/>
      <c r="AC2876" s="69"/>
      <c r="AD2876" s="69"/>
      <c r="AE2876" s="69"/>
      <c r="AF2876" s="69"/>
      <c r="AG2876" s="69"/>
      <c r="AH2876" s="69"/>
      <c r="AI2876" s="69"/>
      <c r="AJ2876" s="69"/>
      <c r="AK2876" s="69"/>
      <c r="AL2876" s="69"/>
      <c r="AM2876" s="69"/>
      <c r="AN2876" s="69"/>
      <c r="AO2876" s="69"/>
      <c r="AP2876" s="69"/>
      <c r="AQ2876" s="69"/>
      <c r="AR2876" s="69"/>
      <c r="AS2876" s="69"/>
      <c r="AT2876" s="69"/>
      <c r="AU2876" s="69"/>
      <c r="AV2876" s="69"/>
      <c r="AW2876" s="69"/>
      <c r="AX2876" s="69"/>
      <c r="AY2876" s="69"/>
      <c r="AZ2876" s="69"/>
      <c r="BA2876" s="69"/>
      <c r="BB2876" s="69"/>
      <c r="BC2876" s="69"/>
    </row>
    <row r="2877">
      <c r="A2877" s="68"/>
      <c r="B2877" s="68"/>
      <c r="C2877" s="68"/>
      <c r="D2877" s="68"/>
      <c r="E2877" s="68"/>
      <c r="F2877" s="68"/>
      <c r="G2877" s="68"/>
      <c r="H2877" s="68"/>
      <c r="I2877" s="69"/>
      <c r="J2877" s="69"/>
      <c r="K2877" s="71"/>
      <c r="L2877" s="69"/>
      <c r="M2877" s="69"/>
      <c r="N2877" s="72"/>
      <c r="O2877" s="69"/>
      <c r="P2877" s="69"/>
      <c r="Q2877" s="69"/>
      <c r="R2877" s="69"/>
      <c r="S2877" s="69"/>
      <c r="T2877" s="69"/>
      <c r="U2877" s="69"/>
      <c r="V2877" s="69"/>
      <c r="W2877" s="69"/>
      <c r="X2877" s="69"/>
      <c r="Y2877" s="69"/>
      <c r="Z2877" s="69"/>
      <c r="AA2877" s="69"/>
      <c r="AB2877" s="69"/>
      <c r="AC2877" s="69"/>
      <c r="AD2877" s="69"/>
      <c r="AE2877" s="69"/>
      <c r="AF2877" s="69"/>
      <c r="AG2877" s="69"/>
      <c r="AH2877" s="69"/>
      <c r="AI2877" s="69"/>
      <c r="AJ2877" s="69"/>
      <c r="AK2877" s="69"/>
      <c r="AL2877" s="69"/>
      <c r="AM2877" s="69"/>
      <c r="AN2877" s="69"/>
      <c r="AO2877" s="69"/>
      <c r="AP2877" s="69"/>
      <c r="AQ2877" s="69"/>
      <c r="AR2877" s="69"/>
      <c r="AS2877" s="69"/>
      <c r="AT2877" s="69"/>
      <c r="AU2877" s="69"/>
      <c r="AV2877" s="69"/>
      <c r="AW2877" s="69"/>
      <c r="AX2877" s="69"/>
      <c r="AY2877" s="69"/>
      <c r="AZ2877" s="69"/>
      <c r="BA2877" s="69"/>
      <c r="BB2877" s="69"/>
      <c r="BC2877" s="69"/>
    </row>
    <row r="2878">
      <c r="A2878" s="68"/>
      <c r="B2878" s="68"/>
      <c r="C2878" s="68"/>
      <c r="D2878" s="68"/>
      <c r="E2878" s="68"/>
      <c r="F2878" s="68"/>
      <c r="G2878" s="68"/>
      <c r="H2878" s="68"/>
      <c r="I2878" s="69"/>
      <c r="J2878" s="69"/>
      <c r="K2878" s="71"/>
      <c r="L2878" s="69"/>
      <c r="M2878" s="69"/>
      <c r="N2878" s="72"/>
      <c r="O2878" s="69"/>
      <c r="P2878" s="69"/>
      <c r="Q2878" s="69"/>
      <c r="R2878" s="69"/>
      <c r="S2878" s="69"/>
      <c r="T2878" s="69"/>
      <c r="U2878" s="69"/>
      <c r="V2878" s="69"/>
      <c r="W2878" s="69"/>
      <c r="X2878" s="69"/>
      <c r="Y2878" s="69"/>
      <c r="Z2878" s="69"/>
      <c r="AA2878" s="69"/>
      <c r="AB2878" s="69"/>
      <c r="AC2878" s="69"/>
      <c r="AD2878" s="69"/>
      <c r="AE2878" s="69"/>
      <c r="AF2878" s="69"/>
      <c r="AG2878" s="69"/>
      <c r="AH2878" s="69"/>
      <c r="AI2878" s="69"/>
      <c r="AJ2878" s="69"/>
      <c r="AK2878" s="69"/>
      <c r="AL2878" s="69"/>
      <c r="AM2878" s="69"/>
      <c r="AN2878" s="69"/>
      <c r="AO2878" s="69"/>
      <c r="AP2878" s="69"/>
      <c r="AQ2878" s="69"/>
      <c r="AR2878" s="69"/>
      <c r="AS2878" s="69"/>
      <c r="AT2878" s="69"/>
      <c r="AU2878" s="69"/>
      <c r="AV2878" s="69"/>
      <c r="AW2878" s="69"/>
      <c r="AX2878" s="69"/>
      <c r="AY2878" s="69"/>
      <c r="AZ2878" s="69"/>
      <c r="BA2878" s="69"/>
      <c r="BB2878" s="69"/>
      <c r="BC2878" s="69"/>
    </row>
    <row r="2879">
      <c r="A2879" s="68"/>
      <c r="B2879" s="68"/>
      <c r="C2879" s="68"/>
      <c r="D2879" s="68"/>
      <c r="E2879" s="68"/>
      <c r="F2879" s="68"/>
      <c r="G2879" s="68"/>
      <c r="H2879" s="68"/>
      <c r="I2879" s="69"/>
      <c r="J2879" s="69"/>
      <c r="K2879" s="71"/>
      <c r="L2879" s="69"/>
      <c r="M2879" s="69"/>
      <c r="N2879" s="72"/>
      <c r="O2879" s="69"/>
      <c r="P2879" s="69"/>
      <c r="Q2879" s="69"/>
      <c r="R2879" s="69"/>
      <c r="S2879" s="69"/>
      <c r="T2879" s="69"/>
      <c r="U2879" s="69"/>
      <c r="V2879" s="69"/>
      <c r="W2879" s="69"/>
      <c r="X2879" s="69"/>
      <c r="Y2879" s="69"/>
      <c r="Z2879" s="69"/>
      <c r="AA2879" s="69"/>
      <c r="AB2879" s="69"/>
      <c r="AC2879" s="69"/>
      <c r="AD2879" s="69"/>
      <c r="AE2879" s="69"/>
      <c r="AF2879" s="69"/>
      <c r="AG2879" s="69"/>
      <c r="AH2879" s="69"/>
      <c r="AI2879" s="69"/>
      <c r="AJ2879" s="69"/>
      <c r="AK2879" s="69"/>
      <c r="AL2879" s="69"/>
      <c r="AM2879" s="69"/>
      <c r="AN2879" s="69"/>
      <c r="AO2879" s="69"/>
      <c r="AP2879" s="69"/>
      <c r="AQ2879" s="69"/>
      <c r="AR2879" s="69"/>
      <c r="AS2879" s="69"/>
      <c r="AT2879" s="69"/>
      <c r="AU2879" s="69"/>
      <c r="AV2879" s="69"/>
      <c r="AW2879" s="69"/>
      <c r="AX2879" s="69"/>
      <c r="AY2879" s="69"/>
      <c r="AZ2879" s="69"/>
      <c r="BA2879" s="69"/>
      <c r="BB2879" s="69"/>
      <c r="BC2879" s="69"/>
    </row>
    <row r="2880">
      <c r="A2880" s="68"/>
      <c r="B2880" s="68"/>
      <c r="C2880" s="68"/>
      <c r="D2880" s="68"/>
      <c r="E2880" s="68"/>
      <c r="F2880" s="68"/>
      <c r="G2880" s="68"/>
      <c r="H2880" s="68"/>
      <c r="I2880" s="69"/>
      <c r="J2880" s="69"/>
      <c r="K2880" s="71"/>
      <c r="L2880" s="69"/>
      <c r="M2880" s="69"/>
      <c r="N2880" s="72"/>
      <c r="O2880" s="69"/>
      <c r="P2880" s="69"/>
      <c r="Q2880" s="69"/>
      <c r="R2880" s="69"/>
      <c r="S2880" s="69"/>
      <c r="T2880" s="69"/>
      <c r="U2880" s="69"/>
      <c r="V2880" s="69"/>
      <c r="W2880" s="69"/>
      <c r="X2880" s="69"/>
      <c r="Y2880" s="69"/>
      <c r="Z2880" s="69"/>
      <c r="AA2880" s="69"/>
      <c r="AB2880" s="69"/>
      <c r="AC2880" s="69"/>
      <c r="AD2880" s="69"/>
      <c r="AE2880" s="69"/>
      <c r="AF2880" s="69"/>
      <c r="AG2880" s="69"/>
      <c r="AH2880" s="69"/>
      <c r="AI2880" s="69"/>
      <c r="AJ2880" s="69"/>
      <c r="AK2880" s="69"/>
      <c r="AL2880" s="69"/>
      <c r="AM2880" s="69"/>
      <c r="AN2880" s="69"/>
      <c r="AO2880" s="69"/>
      <c r="AP2880" s="69"/>
      <c r="AQ2880" s="69"/>
      <c r="AR2880" s="69"/>
      <c r="AS2880" s="69"/>
      <c r="AT2880" s="69"/>
      <c r="AU2880" s="69"/>
      <c r="AV2880" s="69"/>
      <c r="AW2880" s="69"/>
      <c r="AX2880" s="69"/>
      <c r="AY2880" s="69"/>
      <c r="AZ2880" s="69"/>
      <c r="BA2880" s="69"/>
      <c r="BB2880" s="69"/>
      <c r="BC2880" s="69"/>
    </row>
    <row r="2881">
      <c r="A2881" s="68"/>
      <c r="B2881" s="68"/>
      <c r="C2881" s="68"/>
      <c r="D2881" s="68"/>
      <c r="E2881" s="68"/>
      <c r="F2881" s="68"/>
      <c r="G2881" s="68"/>
      <c r="H2881" s="68"/>
      <c r="I2881" s="69"/>
      <c r="J2881" s="69"/>
      <c r="K2881" s="71"/>
      <c r="L2881" s="69"/>
      <c r="M2881" s="69"/>
      <c r="N2881" s="72"/>
      <c r="O2881" s="69"/>
      <c r="P2881" s="69"/>
      <c r="Q2881" s="69"/>
      <c r="R2881" s="69"/>
      <c r="S2881" s="69"/>
      <c r="T2881" s="69"/>
      <c r="U2881" s="69"/>
      <c r="V2881" s="69"/>
      <c r="W2881" s="69"/>
      <c r="X2881" s="69"/>
      <c r="Y2881" s="69"/>
      <c r="Z2881" s="69"/>
      <c r="AA2881" s="69"/>
      <c r="AB2881" s="69"/>
      <c r="AC2881" s="69"/>
      <c r="AD2881" s="69"/>
      <c r="AE2881" s="69"/>
      <c r="AF2881" s="69"/>
      <c r="AG2881" s="69"/>
      <c r="AH2881" s="69"/>
      <c r="AI2881" s="69"/>
      <c r="AJ2881" s="69"/>
      <c r="AK2881" s="69"/>
      <c r="AL2881" s="69"/>
      <c r="AM2881" s="69"/>
      <c r="AN2881" s="69"/>
      <c r="AO2881" s="69"/>
      <c r="AP2881" s="69"/>
      <c r="AQ2881" s="69"/>
      <c r="AR2881" s="69"/>
      <c r="AS2881" s="69"/>
      <c r="AT2881" s="69"/>
      <c r="AU2881" s="69"/>
      <c r="AV2881" s="69"/>
      <c r="AW2881" s="69"/>
      <c r="AX2881" s="69"/>
      <c r="AY2881" s="69"/>
      <c r="AZ2881" s="69"/>
      <c r="BA2881" s="69"/>
      <c r="BB2881" s="69"/>
      <c r="BC2881" s="69"/>
    </row>
    <row r="2882">
      <c r="A2882" s="68"/>
      <c r="B2882" s="68"/>
      <c r="C2882" s="68"/>
      <c r="D2882" s="68"/>
      <c r="E2882" s="68"/>
      <c r="F2882" s="68"/>
      <c r="G2882" s="68"/>
      <c r="H2882" s="68"/>
      <c r="I2882" s="69"/>
      <c r="J2882" s="69"/>
      <c r="K2882" s="71"/>
      <c r="L2882" s="69"/>
      <c r="M2882" s="69"/>
      <c r="N2882" s="72"/>
      <c r="O2882" s="69"/>
      <c r="P2882" s="69"/>
      <c r="Q2882" s="69"/>
      <c r="R2882" s="69"/>
      <c r="S2882" s="69"/>
      <c r="T2882" s="69"/>
      <c r="U2882" s="69"/>
      <c r="V2882" s="69"/>
      <c r="W2882" s="69"/>
      <c r="X2882" s="69"/>
      <c r="Y2882" s="69"/>
      <c r="Z2882" s="69"/>
      <c r="AA2882" s="69"/>
      <c r="AB2882" s="69"/>
      <c r="AC2882" s="69"/>
      <c r="AD2882" s="69"/>
      <c r="AE2882" s="69"/>
      <c r="AF2882" s="69"/>
      <c r="AG2882" s="69"/>
      <c r="AH2882" s="69"/>
      <c r="AI2882" s="69"/>
      <c r="AJ2882" s="69"/>
      <c r="AK2882" s="69"/>
      <c r="AL2882" s="69"/>
      <c r="AM2882" s="69"/>
      <c r="AN2882" s="69"/>
      <c r="AO2882" s="69"/>
      <c r="AP2882" s="69"/>
      <c r="AQ2882" s="69"/>
      <c r="AR2882" s="69"/>
      <c r="AS2882" s="69"/>
      <c r="AT2882" s="69"/>
      <c r="AU2882" s="69"/>
      <c r="AV2882" s="69"/>
      <c r="AW2882" s="69"/>
      <c r="AX2882" s="69"/>
      <c r="AY2882" s="69"/>
      <c r="AZ2882" s="69"/>
      <c r="BA2882" s="69"/>
      <c r="BB2882" s="69"/>
      <c r="BC2882" s="69"/>
    </row>
    <row r="2883">
      <c r="A2883" s="68"/>
      <c r="B2883" s="68"/>
      <c r="C2883" s="68"/>
      <c r="D2883" s="68"/>
      <c r="E2883" s="68"/>
      <c r="F2883" s="68"/>
      <c r="G2883" s="68"/>
      <c r="H2883" s="68"/>
      <c r="I2883" s="69"/>
      <c r="J2883" s="69"/>
      <c r="K2883" s="71"/>
      <c r="L2883" s="69"/>
      <c r="M2883" s="69"/>
      <c r="N2883" s="72"/>
      <c r="O2883" s="69"/>
      <c r="P2883" s="69"/>
      <c r="Q2883" s="69"/>
      <c r="R2883" s="69"/>
      <c r="S2883" s="69"/>
      <c r="T2883" s="69"/>
      <c r="U2883" s="69"/>
      <c r="V2883" s="69"/>
      <c r="W2883" s="69"/>
      <c r="X2883" s="69"/>
      <c r="Y2883" s="69"/>
      <c r="Z2883" s="69"/>
      <c r="AA2883" s="69"/>
      <c r="AB2883" s="69"/>
      <c r="AC2883" s="69"/>
      <c r="AD2883" s="69"/>
      <c r="AE2883" s="69"/>
      <c r="AF2883" s="69"/>
      <c r="AG2883" s="69"/>
      <c r="AH2883" s="69"/>
      <c r="AI2883" s="69"/>
      <c r="AJ2883" s="69"/>
      <c r="AK2883" s="69"/>
      <c r="AL2883" s="69"/>
      <c r="AM2883" s="69"/>
      <c r="AN2883" s="69"/>
      <c r="AO2883" s="69"/>
      <c r="AP2883" s="69"/>
      <c r="AQ2883" s="69"/>
      <c r="AR2883" s="69"/>
      <c r="AS2883" s="69"/>
      <c r="AT2883" s="69"/>
      <c r="AU2883" s="69"/>
      <c r="AV2883" s="69"/>
      <c r="AW2883" s="69"/>
      <c r="AX2883" s="69"/>
      <c r="AY2883" s="69"/>
      <c r="AZ2883" s="69"/>
      <c r="BA2883" s="69"/>
      <c r="BB2883" s="69"/>
      <c r="BC2883" s="69"/>
    </row>
    <row r="2884">
      <c r="A2884" s="68"/>
      <c r="B2884" s="68"/>
      <c r="C2884" s="68"/>
      <c r="D2884" s="68"/>
      <c r="E2884" s="68"/>
      <c r="F2884" s="68"/>
      <c r="G2884" s="68"/>
      <c r="H2884" s="68"/>
      <c r="I2884" s="69"/>
      <c r="J2884" s="69"/>
      <c r="K2884" s="71"/>
      <c r="L2884" s="69"/>
      <c r="M2884" s="69"/>
      <c r="N2884" s="72"/>
      <c r="O2884" s="69"/>
      <c r="P2884" s="69"/>
      <c r="Q2884" s="69"/>
      <c r="R2884" s="69"/>
      <c r="S2884" s="69"/>
      <c r="T2884" s="69"/>
      <c r="U2884" s="69"/>
      <c r="V2884" s="69"/>
      <c r="W2884" s="69"/>
      <c r="X2884" s="69"/>
      <c r="Y2884" s="69"/>
      <c r="Z2884" s="69"/>
      <c r="AA2884" s="69"/>
      <c r="AB2884" s="69"/>
      <c r="AC2884" s="69"/>
      <c r="AD2884" s="69"/>
      <c r="AE2884" s="69"/>
      <c r="AF2884" s="69"/>
      <c r="AG2884" s="69"/>
      <c r="AH2884" s="69"/>
      <c r="AI2884" s="69"/>
      <c r="AJ2884" s="69"/>
      <c r="AK2884" s="69"/>
      <c r="AL2884" s="69"/>
      <c r="AM2884" s="69"/>
      <c r="AN2884" s="69"/>
      <c r="AO2884" s="69"/>
      <c r="AP2884" s="69"/>
      <c r="AQ2884" s="69"/>
      <c r="AR2884" s="69"/>
      <c r="AS2884" s="69"/>
      <c r="AT2884" s="69"/>
      <c r="AU2884" s="69"/>
      <c r="AV2884" s="69"/>
      <c r="AW2884" s="69"/>
      <c r="AX2884" s="69"/>
      <c r="AY2884" s="69"/>
      <c r="AZ2884" s="69"/>
      <c r="BA2884" s="69"/>
      <c r="BB2884" s="69"/>
      <c r="BC2884" s="69"/>
    </row>
    <row r="2885">
      <c r="A2885" s="68"/>
      <c r="B2885" s="68"/>
      <c r="C2885" s="68"/>
      <c r="D2885" s="68"/>
      <c r="E2885" s="68"/>
      <c r="F2885" s="68"/>
      <c r="G2885" s="68"/>
      <c r="H2885" s="68"/>
      <c r="I2885" s="69"/>
      <c r="J2885" s="69"/>
      <c r="K2885" s="71"/>
      <c r="L2885" s="69"/>
      <c r="M2885" s="69"/>
      <c r="N2885" s="72"/>
      <c r="O2885" s="69"/>
      <c r="P2885" s="69"/>
      <c r="Q2885" s="69"/>
      <c r="R2885" s="69"/>
      <c r="S2885" s="69"/>
      <c r="T2885" s="69"/>
      <c r="U2885" s="69"/>
      <c r="V2885" s="69"/>
      <c r="W2885" s="69"/>
      <c r="X2885" s="69"/>
      <c r="Y2885" s="69"/>
      <c r="Z2885" s="69"/>
      <c r="AA2885" s="69"/>
      <c r="AB2885" s="69"/>
      <c r="AC2885" s="69"/>
      <c r="AD2885" s="69"/>
      <c r="AE2885" s="69"/>
      <c r="AF2885" s="69"/>
      <c r="AG2885" s="69"/>
      <c r="AH2885" s="69"/>
      <c r="AI2885" s="69"/>
      <c r="AJ2885" s="69"/>
      <c r="AK2885" s="69"/>
      <c r="AL2885" s="69"/>
      <c r="AM2885" s="69"/>
      <c r="AN2885" s="69"/>
      <c r="AO2885" s="69"/>
      <c r="AP2885" s="69"/>
      <c r="AQ2885" s="69"/>
      <c r="AR2885" s="69"/>
      <c r="AS2885" s="69"/>
      <c r="AT2885" s="69"/>
      <c r="AU2885" s="69"/>
      <c r="AV2885" s="69"/>
      <c r="AW2885" s="69"/>
      <c r="AX2885" s="69"/>
      <c r="AY2885" s="69"/>
      <c r="AZ2885" s="69"/>
      <c r="BA2885" s="69"/>
      <c r="BB2885" s="69"/>
      <c r="BC2885" s="69"/>
    </row>
    <row r="2886">
      <c r="A2886" s="68"/>
      <c r="B2886" s="68"/>
      <c r="C2886" s="68"/>
      <c r="D2886" s="68"/>
      <c r="E2886" s="68"/>
      <c r="F2886" s="68"/>
      <c r="G2886" s="68"/>
      <c r="H2886" s="68"/>
      <c r="I2886" s="69"/>
      <c r="J2886" s="69"/>
      <c r="K2886" s="71"/>
      <c r="L2886" s="69"/>
      <c r="M2886" s="69"/>
      <c r="N2886" s="72"/>
      <c r="O2886" s="69"/>
      <c r="P2886" s="69"/>
      <c r="Q2886" s="69"/>
      <c r="R2886" s="69"/>
      <c r="S2886" s="69"/>
      <c r="T2886" s="69"/>
      <c r="U2886" s="69"/>
      <c r="V2886" s="69"/>
      <c r="W2886" s="69"/>
      <c r="X2886" s="69"/>
      <c r="Y2886" s="69"/>
      <c r="Z2886" s="69"/>
      <c r="AA2886" s="69"/>
      <c r="AB2886" s="69"/>
      <c r="AC2886" s="69"/>
      <c r="AD2886" s="69"/>
      <c r="AE2886" s="69"/>
      <c r="AF2886" s="69"/>
      <c r="AG2886" s="69"/>
      <c r="AH2886" s="69"/>
      <c r="AI2886" s="69"/>
      <c r="AJ2886" s="69"/>
      <c r="AK2886" s="69"/>
      <c r="AL2886" s="69"/>
      <c r="AM2886" s="69"/>
      <c r="AN2886" s="69"/>
      <c r="AO2886" s="69"/>
      <c r="AP2886" s="69"/>
      <c r="AQ2886" s="69"/>
      <c r="AR2886" s="69"/>
      <c r="AS2886" s="69"/>
      <c r="AT2886" s="69"/>
      <c r="AU2886" s="69"/>
      <c r="AV2886" s="69"/>
      <c r="AW2886" s="69"/>
      <c r="AX2886" s="69"/>
      <c r="AY2886" s="69"/>
      <c r="AZ2886" s="69"/>
      <c r="BA2886" s="69"/>
      <c r="BB2886" s="69"/>
      <c r="BC2886" s="69"/>
    </row>
    <row r="2887">
      <c r="A2887" s="68"/>
      <c r="B2887" s="68"/>
      <c r="C2887" s="68"/>
      <c r="D2887" s="68"/>
      <c r="E2887" s="68"/>
      <c r="F2887" s="68"/>
      <c r="G2887" s="68"/>
      <c r="H2887" s="68"/>
      <c r="I2887" s="69"/>
      <c r="J2887" s="69"/>
      <c r="K2887" s="71"/>
      <c r="L2887" s="69"/>
      <c r="M2887" s="69"/>
      <c r="N2887" s="72"/>
      <c r="O2887" s="69"/>
      <c r="P2887" s="69"/>
      <c r="Q2887" s="69"/>
      <c r="R2887" s="69"/>
      <c r="S2887" s="69"/>
      <c r="T2887" s="69"/>
      <c r="U2887" s="69"/>
      <c r="V2887" s="69"/>
      <c r="W2887" s="69"/>
      <c r="X2887" s="69"/>
      <c r="Y2887" s="69"/>
      <c r="Z2887" s="69"/>
      <c r="AA2887" s="69"/>
      <c r="AB2887" s="69"/>
      <c r="AC2887" s="69"/>
      <c r="AD2887" s="69"/>
      <c r="AE2887" s="69"/>
      <c r="AF2887" s="69"/>
      <c r="AG2887" s="69"/>
      <c r="AH2887" s="69"/>
      <c r="AI2887" s="69"/>
      <c r="AJ2887" s="69"/>
      <c r="AK2887" s="69"/>
      <c r="AL2887" s="69"/>
      <c r="AM2887" s="69"/>
      <c r="AN2887" s="69"/>
      <c r="AO2887" s="69"/>
      <c r="AP2887" s="69"/>
      <c r="AQ2887" s="69"/>
      <c r="AR2887" s="69"/>
      <c r="AS2887" s="69"/>
      <c r="AT2887" s="69"/>
      <c r="AU2887" s="69"/>
      <c r="AV2887" s="69"/>
      <c r="AW2887" s="69"/>
      <c r="AX2887" s="69"/>
      <c r="AY2887" s="69"/>
      <c r="AZ2887" s="69"/>
      <c r="BA2887" s="69"/>
      <c r="BB2887" s="69"/>
      <c r="BC2887" s="69"/>
    </row>
    <row r="2888">
      <c r="A2888" s="68"/>
      <c r="B2888" s="68"/>
      <c r="C2888" s="68"/>
      <c r="D2888" s="68"/>
      <c r="E2888" s="68"/>
      <c r="F2888" s="68"/>
      <c r="G2888" s="68"/>
      <c r="H2888" s="68"/>
      <c r="I2888" s="69"/>
      <c r="J2888" s="69"/>
      <c r="K2888" s="71"/>
      <c r="L2888" s="69"/>
      <c r="M2888" s="69"/>
      <c r="N2888" s="72"/>
      <c r="O2888" s="69"/>
      <c r="P2888" s="69"/>
      <c r="Q2888" s="69"/>
      <c r="R2888" s="69"/>
      <c r="S2888" s="69"/>
      <c r="T2888" s="69"/>
      <c r="U2888" s="69"/>
      <c r="V2888" s="69"/>
      <c r="W2888" s="69"/>
      <c r="X2888" s="69"/>
      <c r="Y2888" s="69"/>
      <c r="Z2888" s="69"/>
      <c r="AA2888" s="69"/>
      <c r="AB2888" s="69"/>
      <c r="AC2888" s="69"/>
      <c r="AD2888" s="69"/>
      <c r="AE2888" s="69"/>
      <c r="AF2888" s="69"/>
      <c r="AG2888" s="69"/>
      <c r="AH2888" s="69"/>
      <c r="AI2888" s="69"/>
      <c r="AJ2888" s="69"/>
      <c r="AK2888" s="69"/>
      <c r="AL2888" s="69"/>
      <c r="AM2888" s="69"/>
      <c r="AN2888" s="69"/>
      <c r="AO2888" s="69"/>
      <c r="AP2888" s="69"/>
      <c r="AQ2888" s="69"/>
      <c r="AR2888" s="69"/>
      <c r="AS2888" s="69"/>
      <c r="AT2888" s="69"/>
      <c r="AU2888" s="69"/>
      <c r="AV2888" s="69"/>
      <c r="AW2888" s="69"/>
      <c r="AX2888" s="69"/>
      <c r="AY2888" s="69"/>
      <c r="AZ2888" s="69"/>
      <c r="BA2888" s="69"/>
      <c r="BB2888" s="69"/>
      <c r="BC2888" s="69"/>
    </row>
    <row r="2889">
      <c r="A2889" s="68"/>
      <c r="B2889" s="68"/>
      <c r="C2889" s="68"/>
      <c r="D2889" s="68"/>
      <c r="E2889" s="68"/>
      <c r="F2889" s="68"/>
      <c r="G2889" s="68"/>
      <c r="H2889" s="68"/>
      <c r="I2889" s="69"/>
      <c r="J2889" s="69"/>
      <c r="K2889" s="71"/>
      <c r="L2889" s="69"/>
      <c r="M2889" s="69"/>
      <c r="N2889" s="72"/>
      <c r="O2889" s="69"/>
      <c r="P2889" s="69"/>
      <c r="Q2889" s="69"/>
      <c r="R2889" s="69"/>
      <c r="S2889" s="69"/>
      <c r="T2889" s="69"/>
      <c r="U2889" s="69"/>
      <c r="V2889" s="69"/>
      <c r="W2889" s="69"/>
      <c r="X2889" s="69"/>
      <c r="Y2889" s="69"/>
      <c r="Z2889" s="69"/>
      <c r="AA2889" s="69"/>
      <c r="AB2889" s="69"/>
      <c r="AC2889" s="69"/>
      <c r="AD2889" s="69"/>
      <c r="AE2889" s="69"/>
      <c r="AF2889" s="69"/>
      <c r="AG2889" s="69"/>
      <c r="AH2889" s="69"/>
      <c r="AI2889" s="69"/>
      <c r="AJ2889" s="69"/>
      <c r="AK2889" s="69"/>
      <c r="AL2889" s="69"/>
      <c r="AM2889" s="69"/>
      <c r="AN2889" s="69"/>
      <c r="AO2889" s="69"/>
      <c r="AP2889" s="69"/>
      <c r="AQ2889" s="69"/>
      <c r="AR2889" s="69"/>
      <c r="AS2889" s="69"/>
      <c r="AT2889" s="69"/>
      <c r="AU2889" s="69"/>
      <c r="AV2889" s="69"/>
      <c r="AW2889" s="69"/>
      <c r="AX2889" s="69"/>
      <c r="AY2889" s="69"/>
      <c r="AZ2889" s="69"/>
      <c r="BA2889" s="69"/>
      <c r="BB2889" s="69"/>
      <c r="BC2889" s="69"/>
    </row>
    <row r="2890">
      <c r="A2890" s="68"/>
      <c r="B2890" s="68"/>
      <c r="C2890" s="68"/>
      <c r="D2890" s="68"/>
      <c r="E2890" s="68"/>
      <c r="F2890" s="68"/>
      <c r="G2890" s="68"/>
      <c r="H2890" s="68"/>
      <c r="I2890" s="69"/>
      <c r="J2890" s="69"/>
      <c r="K2890" s="71"/>
      <c r="L2890" s="69"/>
      <c r="M2890" s="69"/>
      <c r="N2890" s="72"/>
      <c r="O2890" s="69"/>
      <c r="P2890" s="69"/>
      <c r="Q2890" s="69"/>
      <c r="R2890" s="69"/>
      <c r="S2890" s="69"/>
      <c r="T2890" s="69"/>
      <c r="U2890" s="69"/>
      <c r="V2890" s="69"/>
      <c r="W2890" s="69"/>
      <c r="X2890" s="69"/>
      <c r="Y2890" s="69"/>
      <c r="Z2890" s="69"/>
      <c r="AA2890" s="69"/>
      <c r="AB2890" s="69"/>
      <c r="AC2890" s="69"/>
      <c r="AD2890" s="69"/>
      <c r="AE2890" s="69"/>
      <c r="AF2890" s="69"/>
      <c r="AG2890" s="69"/>
      <c r="AH2890" s="69"/>
      <c r="AI2890" s="69"/>
      <c r="AJ2890" s="69"/>
      <c r="AK2890" s="69"/>
      <c r="AL2890" s="69"/>
      <c r="AM2890" s="69"/>
      <c r="AN2890" s="69"/>
      <c r="AO2890" s="69"/>
      <c r="AP2890" s="69"/>
      <c r="AQ2890" s="69"/>
      <c r="AR2890" s="69"/>
      <c r="AS2890" s="69"/>
      <c r="AT2890" s="69"/>
      <c r="AU2890" s="69"/>
      <c r="AV2890" s="69"/>
      <c r="AW2890" s="69"/>
      <c r="AX2890" s="69"/>
      <c r="AY2890" s="69"/>
      <c r="AZ2890" s="69"/>
      <c r="BA2890" s="69"/>
      <c r="BB2890" s="69"/>
      <c r="BC2890" s="69"/>
    </row>
    <row r="2891">
      <c r="A2891" s="68"/>
      <c r="B2891" s="68"/>
      <c r="C2891" s="68"/>
      <c r="D2891" s="68"/>
      <c r="E2891" s="68"/>
      <c r="F2891" s="68"/>
      <c r="G2891" s="68"/>
      <c r="H2891" s="68"/>
      <c r="I2891" s="69"/>
      <c r="J2891" s="69"/>
      <c r="K2891" s="71"/>
      <c r="L2891" s="69"/>
      <c r="M2891" s="69"/>
      <c r="N2891" s="72"/>
      <c r="O2891" s="69"/>
      <c r="P2891" s="69"/>
      <c r="Q2891" s="69"/>
      <c r="R2891" s="69"/>
      <c r="S2891" s="69"/>
      <c r="T2891" s="69"/>
      <c r="U2891" s="69"/>
      <c r="V2891" s="69"/>
      <c r="W2891" s="69"/>
      <c r="X2891" s="69"/>
      <c r="Y2891" s="69"/>
      <c r="Z2891" s="69"/>
      <c r="AA2891" s="69"/>
      <c r="AB2891" s="69"/>
      <c r="AC2891" s="69"/>
      <c r="AD2891" s="69"/>
      <c r="AE2891" s="69"/>
      <c r="AF2891" s="69"/>
      <c r="AG2891" s="69"/>
      <c r="AH2891" s="69"/>
      <c r="AI2891" s="69"/>
      <c r="AJ2891" s="69"/>
      <c r="AK2891" s="69"/>
      <c r="AL2891" s="69"/>
      <c r="AM2891" s="69"/>
      <c r="AN2891" s="69"/>
      <c r="AO2891" s="69"/>
      <c r="AP2891" s="69"/>
      <c r="AQ2891" s="69"/>
      <c r="AR2891" s="69"/>
      <c r="AS2891" s="69"/>
      <c r="AT2891" s="69"/>
      <c r="AU2891" s="69"/>
      <c r="AV2891" s="69"/>
      <c r="AW2891" s="69"/>
      <c r="AX2891" s="69"/>
      <c r="AY2891" s="69"/>
      <c r="AZ2891" s="69"/>
      <c r="BA2891" s="69"/>
      <c r="BB2891" s="69"/>
      <c r="BC2891" s="69"/>
    </row>
    <row r="2892">
      <c r="A2892" s="68"/>
      <c r="B2892" s="68"/>
      <c r="C2892" s="68"/>
      <c r="D2892" s="68"/>
      <c r="E2892" s="68"/>
      <c r="F2892" s="68"/>
      <c r="G2892" s="68"/>
      <c r="H2892" s="68"/>
      <c r="I2892" s="69"/>
      <c r="J2892" s="69"/>
      <c r="K2892" s="71"/>
      <c r="L2892" s="69"/>
      <c r="M2892" s="69"/>
      <c r="N2892" s="72"/>
      <c r="O2892" s="69"/>
      <c r="P2892" s="69"/>
      <c r="Q2892" s="69"/>
      <c r="R2892" s="69"/>
      <c r="S2892" s="69"/>
      <c r="T2892" s="69"/>
      <c r="U2892" s="69"/>
      <c r="V2892" s="69"/>
      <c r="W2892" s="69"/>
      <c r="X2892" s="69"/>
      <c r="Y2892" s="69"/>
      <c r="Z2892" s="69"/>
      <c r="AA2892" s="69"/>
      <c r="AB2892" s="69"/>
      <c r="AC2892" s="69"/>
      <c r="AD2892" s="69"/>
      <c r="AE2892" s="69"/>
      <c r="AF2892" s="69"/>
      <c r="AG2892" s="69"/>
      <c r="AH2892" s="69"/>
      <c r="AI2892" s="69"/>
      <c r="AJ2892" s="69"/>
      <c r="AK2892" s="69"/>
      <c r="AL2892" s="69"/>
      <c r="AM2892" s="69"/>
      <c r="AN2892" s="69"/>
      <c r="AO2892" s="69"/>
      <c r="AP2892" s="69"/>
      <c r="AQ2892" s="69"/>
      <c r="AR2892" s="69"/>
      <c r="AS2892" s="69"/>
      <c r="AT2892" s="69"/>
      <c r="AU2892" s="69"/>
      <c r="AV2892" s="69"/>
      <c r="AW2892" s="69"/>
      <c r="AX2892" s="69"/>
      <c r="AY2892" s="69"/>
      <c r="AZ2892" s="69"/>
      <c r="BA2892" s="69"/>
      <c r="BB2892" s="69"/>
      <c r="BC2892" s="69"/>
    </row>
    <row r="2893">
      <c r="A2893" s="68"/>
      <c r="B2893" s="68"/>
      <c r="C2893" s="68"/>
      <c r="D2893" s="68"/>
      <c r="E2893" s="68"/>
      <c r="F2893" s="68"/>
      <c r="G2893" s="68"/>
      <c r="H2893" s="68"/>
      <c r="I2893" s="69"/>
      <c r="J2893" s="69"/>
      <c r="K2893" s="71"/>
      <c r="L2893" s="69"/>
      <c r="M2893" s="69"/>
      <c r="N2893" s="72"/>
      <c r="O2893" s="69"/>
      <c r="P2893" s="69"/>
      <c r="Q2893" s="69"/>
      <c r="R2893" s="69"/>
      <c r="S2893" s="69"/>
      <c r="T2893" s="69"/>
      <c r="U2893" s="69"/>
      <c r="V2893" s="69"/>
      <c r="W2893" s="69"/>
      <c r="X2893" s="69"/>
      <c r="Y2893" s="69"/>
      <c r="Z2893" s="69"/>
      <c r="AA2893" s="69"/>
      <c r="AB2893" s="69"/>
      <c r="AC2893" s="69"/>
      <c r="AD2893" s="69"/>
      <c r="AE2893" s="69"/>
      <c r="AF2893" s="69"/>
      <c r="AG2893" s="69"/>
      <c r="AH2893" s="69"/>
      <c r="AI2893" s="69"/>
      <c r="AJ2893" s="69"/>
      <c r="AK2893" s="69"/>
      <c r="AL2893" s="69"/>
      <c r="AM2893" s="69"/>
      <c r="AN2893" s="69"/>
      <c r="AO2893" s="69"/>
      <c r="AP2893" s="69"/>
      <c r="AQ2893" s="69"/>
      <c r="AR2893" s="69"/>
      <c r="AS2893" s="69"/>
      <c r="AT2893" s="69"/>
      <c r="AU2893" s="69"/>
      <c r="AV2893" s="69"/>
      <c r="AW2893" s="69"/>
      <c r="AX2893" s="69"/>
      <c r="AY2893" s="69"/>
      <c r="AZ2893" s="69"/>
      <c r="BA2893" s="69"/>
      <c r="BB2893" s="69"/>
      <c r="BC2893" s="69"/>
    </row>
    <row r="2894">
      <c r="A2894" s="68"/>
      <c r="B2894" s="68"/>
      <c r="C2894" s="68"/>
      <c r="D2894" s="68"/>
      <c r="E2894" s="68"/>
      <c r="F2894" s="68"/>
      <c r="G2894" s="68"/>
      <c r="H2894" s="68"/>
      <c r="I2894" s="69"/>
      <c r="J2894" s="69"/>
      <c r="K2894" s="71"/>
      <c r="L2894" s="69"/>
      <c r="M2894" s="69"/>
      <c r="N2894" s="72"/>
      <c r="O2894" s="69"/>
      <c r="P2894" s="69"/>
      <c r="Q2894" s="69"/>
      <c r="R2894" s="69"/>
      <c r="S2894" s="69"/>
      <c r="T2894" s="69"/>
      <c r="U2894" s="69"/>
      <c r="V2894" s="69"/>
      <c r="W2894" s="69"/>
      <c r="X2894" s="69"/>
      <c r="Y2894" s="69"/>
      <c r="Z2894" s="69"/>
      <c r="AA2894" s="69"/>
      <c r="AB2894" s="69"/>
      <c r="AC2894" s="69"/>
      <c r="AD2894" s="69"/>
      <c r="AE2894" s="69"/>
      <c r="AF2894" s="69"/>
      <c r="AG2894" s="69"/>
      <c r="AH2894" s="69"/>
      <c r="AI2894" s="69"/>
      <c r="AJ2894" s="69"/>
      <c r="AK2894" s="69"/>
      <c r="AL2894" s="69"/>
      <c r="AM2894" s="69"/>
      <c r="AN2894" s="69"/>
      <c r="AO2894" s="69"/>
      <c r="AP2894" s="69"/>
      <c r="AQ2894" s="69"/>
      <c r="AR2894" s="69"/>
      <c r="AS2894" s="69"/>
      <c r="AT2894" s="69"/>
      <c r="AU2894" s="69"/>
      <c r="AV2894" s="69"/>
      <c r="AW2894" s="69"/>
      <c r="AX2894" s="69"/>
      <c r="AY2894" s="69"/>
      <c r="AZ2894" s="69"/>
      <c r="BA2894" s="69"/>
      <c r="BB2894" s="69"/>
      <c r="BC2894" s="69"/>
    </row>
    <row r="2895">
      <c r="A2895" s="68"/>
      <c r="B2895" s="68"/>
      <c r="C2895" s="68"/>
      <c r="D2895" s="68"/>
      <c r="E2895" s="68"/>
      <c r="F2895" s="68"/>
      <c r="G2895" s="68"/>
      <c r="H2895" s="68"/>
      <c r="I2895" s="69"/>
      <c r="J2895" s="69"/>
      <c r="K2895" s="71"/>
      <c r="L2895" s="69"/>
      <c r="M2895" s="69"/>
      <c r="N2895" s="72"/>
      <c r="O2895" s="69"/>
      <c r="P2895" s="69"/>
      <c r="Q2895" s="69"/>
      <c r="R2895" s="69"/>
      <c r="S2895" s="69"/>
      <c r="T2895" s="69"/>
      <c r="U2895" s="69"/>
      <c r="V2895" s="69"/>
      <c r="W2895" s="69"/>
      <c r="X2895" s="69"/>
      <c r="Y2895" s="69"/>
      <c r="Z2895" s="69"/>
      <c r="AA2895" s="69"/>
      <c r="AB2895" s="69"/>
      <c r="AC2895" s="69"/>
      <c r="AD2895" s="69"/>
      <c r="AE2895" s="69"/>
      <c r="AF2895" s="69"/>
      <c r="AG2895" s="69"/>
      <c r="AH2895" s="69"/>
      <c r="AI2895" s="69"/>
      <c r="AJ2895" s="69"/>
      <c r="AK2895" s="69"/>
      <c r="AL2895" s="69"/>
      <c r="AM2895" s="69"/>
      <c r="AN2895" s="69"/>
      <c r="AO2895" s="69"/>
      <c r="AP2895" s="69"/>
      <c r="AQ2895" s="69"/>
      <c r="AR2895" s="69"/>
      <c r="AS2895" s="69"/>
      <c r="AT2895" s="69"/>
      <c r="AU2895" s="69"/>
      <c r="AV2895" s="69"/>
      <c r="AW2895" s="69"/>
      <c r="AX2895" s="69"/>
      <c r="AY2895" s="69"/>
      <c r="AZ2895" s="69"/>
      <c r="BA2895" s="69"/>
      <c r="BB2895" s="69"/>
      <c r="BC2895" s="69"/>
    </row>
    <row r="2896">
      <c r="A2896" s="68"/>
      <c r="B2896" s="68"/>
      <c r="C2896" s="68"/>
      <c r="D2896" s="68"/>
      <c r="E2896" s="68"/>
      <c r="F2896" s="68"/>
      <c r="G2896" s="68"/>
      <c r="H2896" s="68"/>
      <c r="I2896" s="69"/>
      <c r="J2896" s="69"/>
      <c r="K2896" s="71"/>
      <c r="L2896" s="69"/>
      <c r="M2896" s="69"/>
      <c r="N2896" s="72"/>
      <c r="O2896" s="69"/>
      <c r="P2896" s="69"/>
      <c r="Q2896" s="69"/>
      <c r="R2896" s="69"/>
      <c r="S2896" s="69"/>
      <c r="T2896" s="69"/>
      <c r="U2896" s="69"/>
      <c r="V2896" s="69"/>
      <c r="W2896" s="69"/>
      <c r="X2896" s="69"/>
      <c r="Y2896" s="69"/>
      <c r="Z2896" s="69"/>
      <c r="AA2896" s="69"/>
      <c r="AB2896" s="69"/>
      <c r="AC2896" s="69"/>
      <c r="AD2896" s="69"/>
      <c r="AE2896" s="69"/>
      <c r="AF2896" s="69"/>
      <c r="AG2896" s="69"/>
      <c r="AH2896" s="69"/>
      <c r="AI2896" s="69"/>
      <c r="AJ2896" s="69"/>
      <c r="AK2896" s="69"/>
      <c r="AL2896" s="69"/>
      <c r="AM2896" s="69"/>
      <c r="AN2896" s="69"/>
      <c r="AO2896" s="69"/>
      <c r="AP2896" s="69"/>
      <c r="AQ2896" s="69"/>
      <c r="AR2896" s="69"/>
      <c r="AS2896" s="69"/>
      <c r="AT2896" s="69"/>
      <c r="AU2896" s="69"/>
      <c r="AV2896" s="69"/>
      <c r="AW2896" s="69"/>
      <c r="AX2896" s="69"/>
      <c r="AY2896" s="69"/>
      <c r="AZ2896" s="69"/>
      <c r="BA2896" s="69"/>
      <c r="BB2896" s="69"/>
      <c r="BC2896" s="69"/>
    </row>
    <row r="2897">
      <c r="A2897" s="68"/>
      <c r="B2897" s="68"/>
      <c r="C2897" s="68"/>
      <c r="D2897" s="68"/>
      <c r="E2897" s="68"/>
      <c r="F2897" s="68"/>
      <c r="G2897" s="68"/>
      <c r="H2897" s="68"/>
      <c r="I2897" s="69"/>
      <c r="J2897" s="69"/>
      <c r="K2897" s="71"/>
      <c r="L2897" s="69"/>
      <c r="M2897" s="69"/>
      <c r="N2897" s="72"/>
      <c r="O2897" s="69"/>
      <c r="P2897" s="69"/>
      <c r="Q2897" s="69"/>
      <c r="R2897" s="69"/>
      <c r="S2897" s="69"/>
      <c r="T2897" s="69"/>
      <c r="U2897" s="69"/>
      <c r="V2897" s="69"/>
      <c r="W2897" s="69"/>
      <c r="X2897" s="69"/>
      <c r="Y2897" s="69"/>
      <c r="Z2897" s="69"/>
      <c r="AA2897" s="69"/>
      <c r="AB2897" s="69"/>
      <c r="AC2897" s="69"/>
      <c r="AD2897" s="69"/>
      <c r="AE2897" s="69"/>
      <c r="AF2897" s="69"/>
      <c r="AG2897" s="69"/>
      <c r="AH2897" s="69"/>
      <c r="AI2897" s="69"/>
      <c r="AJ2897" s="69"/>
      <c r="AK2897" s="69"/>
      <c r="AL2897" s="69"/>
      <c r="AM2897" s="69"/>
      <c r="AN2897" s="69"/>
      <c r="AO2897" s="69"/>
      <c r="AP2897" s="69"/>
      <c r="AQ2897" s="69"/>
      <c r="AR2897" s="69"/>
      <c r="AS2897" s="69"/>
      <c r="AT2897" s="69"/>
      <c r="AU2897" s="69"/>
      <c r="AV2897" s="69"/>
      <c r="AW2897" s="69"/>
      <c r="AX2897" s="69"/>
      <c r="AY2897" s="69"/>
      <c r="AZ2897" s="69"/>
      <c r="BA2897" s="69"/>
      <c r="BB2897" s="69"/>
      <c r="BC2897" s="69"/>
    </row>
    <row r="2898">
      <c r="A2898" s="68"/>
      <c r="B2898" s="68"/>
      <c r="C2898" s="68"/>
      <c r="D2898" s="68"/>
      <c r="E2898" s="68"/>
      <c r="F2898" s="68"/>
      <c r="G2898" s="68"/>
      <c r="H2898" s="68"/>
      <c r="I2898" s="69"/>
      <c r="J2898" s="69"/>
      <c r="K2898" s="71"/>
      <c r="L2898" s="69"/>
      <c r="M2898" s="69"/>
      <c r="N2898" s="72"/>
      <c r="O2898" s="69"/>
      <c r="P2898" s="69"/>
      <c r="Q2898" s="69"/>
      <c r="R2898" s="69"/>
      <c r="S2898" s="69"/>
      <c r="T2898" s="69"/>
      <c r="U2898" s="69"/>
      <c r="V2898" s="69"/>
      <c r="W2898" s="69"/>
      <c r="X2898" s="69"/>
      <c r="Y2898" s="69"/>
      <c r="Z2898" s="69"/>
      <c r="AA2898" s="69"/>
      <c r="AB2898" s="69"/>
      <c r="AC2898" s="69"/>
      <c r="AD2898" s="69"/>
      <c r="AE2898" s="69"/>
      <c r="AF2898" s="69"/>
      <c r="AG2898" s="69"/>
      <c r="AH2898" s="69"/>
      <c r="AI2898" s="69"/>
      <c r="AJ2898" s="69"/>
      <c r="AK2898" s="69"/>
      <c r="AL2898" s="69"/>
      <c r="AM2898" s="69"/>
      <c r="AN2898" s="69"/>
      <c r="AO2898" s="69"/>
      <c r="AP2898" s="69"/>
      <c r="AQ2898" s="69"/>
      <c r="AR2898" s="69"/>
      <c r="AS2898" s="69"/>
      <c r="AT2898" s="69"/>
      <c r="AU2898" s="69"/>
      <c r="AV2898" s="69"/>
      <c r="AW2898" s="69"/>
      <c r="AX2898" s="69"/>
      <c r="AY2898" s="69"/>
      <c r="AZ2898" s="69"/>
      <c r="BA2898" s="69"/>
      <c r="BB2898" s="69"/>
      <c r="BC2898" s="69"/>
    </row>
    <row r="2899">
      <c r="A2899" s="68"/>
      <c r="B2899" s="68"/>
      <c r="C2899" s="68"/>
      <c r="D2899" s="68"/>
      <c r="E2899" s="68"/>
      <c r="F2899" s="68"/>
      <c r="G2899" s="68"/>
      <c r="H2899" s="68"/>
      <c r="I2899" s="69"/>
      <c r="J2899" s="69"/>
      <c r="K2899" s="71"/>
      <c r="L2899" s="69"/>
      <c r="M2899" s="69"/>
      <c r="N2899" s="72"/>
      <c r="O2899" s="69"/>
      <c r="P2899" s="69"/>
      <c r="Q2899" s="69"/>
      <c r="R2899" s="69"/>
      <c r="S2899" s="69"/>
      <c r="T2899" s="69"/>
      <c r="U2899" s="69"/>
      <c r="V2899" s="69"/>
      <c r="W2899" s="69"/>
      <c r="X2899" s="69"/>
      <c r="Y2899" s="69"/>
      <c r="Z2899" s="69"/>
      <c r="AA2899" s="69"/>
      <c r="AB2899" s="69"/>
      <c r="AC2899" s="69"/>
      <c r="AD2899" s="69"/>
      <c r="AE2899" s="69"/>
      <c r="AF2899" s="69"/>
      <c r="AG2899" s="69"/>
      <c r="AH2899" s="69"/>
      <c r="AI2899" s="69"/>
      <c r="AJ2899" s="69"/>
      <c r="AK2899" s="69"/>
      <c r="AL2899" s="69"/>
      <c r="AM2899" s="69"/>
      <c r="AN2899" s="69"/>
      <c r="AO2899" s="69"/>
      <c r="AP2899" s="69"/>
      <c r="AQ2899" s="69"/>
      <c r="AR2899" s="69"/>
      <c r="AS2899" s="69"/>
      <c r="AT2899" s="69"/>
      <c r="AU2899" s="69"/>
      <c r="AV2899" s="69"/>
      <c r="AW2899" s="69"/>
      <c r="AX2899" s="69"/>
      <c r="AY2899" s="69"/>
      <c r="AZ2899" s="69"/>
      <c r="BA2899" s="69"/>
      <c r="BB2899" s="69"/>
      <c r="BC2899" s="69"/>
    </row>
    <row r="2900">
      <c r="A2900" s="68"/>
      <c r="B2900" s="68"/>
      <c r="C2900" s="68"/>
      <c r="D2900" s="68"/>
      <c r="E2900" s="68"/>
      <c r="F2900" s="68"/>
      <c r="G2900" s="68"/>
      <c r="H2900" s="68"/>
      <c r="I2900" s="69"/>
      <c r="J2900" s="69"/>
      <c r="K2900" s="71"/>
      <c r="L2900" s="69"/>
      <c r="M2900" s="69"/>
      <c r="N2900" s="72"/>
      <c r="O2900" s="69"/>
      <c r="P2900" s="69"/>
      <c r="Q2900" s="69"/>
      <c r="R2900" s="69"/>
      <c r="S2900" s="69"/>
      <c r="T2900" s="69"/>
      <c r="U2900" s="69"/>
      <c r="V2900" s="69"/>
      <c r="W2900" s="69"/>
      <c r="X2900" s="69"/>
      <c r="Y2900" s="69"/>
      <c r="Z2900" s="69"/>
      <c r="AA2900" s="69"/>
      <c r="AB2900" s="69"/>
      <c r="AC2900" s="69"/>
      <c r="AD2900" s="69"/>
      <c r="AE2900" s="69"/>
      <c r="AF2900" s="69"/>
      <c r="AG2900" s="69"/>
      <c r="AH2900" s="69"/>
      <c r="AI2900" s="69"/>
      <c r="AJ2900" s="69"/>
      <c r="AK2900" s="69"/>
      <c r="AL2900" s="69"/>
      <c r="AM2900" s="69"/>
      <c r="AN2900" s="69"/>
      <c r="AO2900" s="69"/>
      <c r="AP2900" s="69"/>
      <c r="AQ2900" s="69"/>
      <c r="AR2900" s="69"/>
      <c r="AS2900" s="69"/>
      <c r="AT2900" s="69"/>
      <c r="AU2900" s="69"/>
      <c r="AV2900" s="69"/>
      <c r="AW2900" s="69"/>
      <c r="AX2900" s="69"/>
      <c r="AY2900" s="69"/>
      <c r="AZ2900" s="69"/>
      <c r="BA2900" s="69"/>
      <c r="BB2900" s="69"/>
      <c r="BC2900" s="69"/>
    </row>
    <row r="2901">
      <c r="A2901" s="68"/>
      <c r="B2901" s="68"/>
      <c r="C2901" s="68"/>
      <c r="D2901" s="68"/>
      <c r="E2901" s="68"/>
      <c r="F2901" s="68"/>
      <c r="G2901" s="68"/>
      <c r="H2901" s="68"/>
      <c r="I2901" s="69"/>
      <c r="J2901" s="69"/>
      <c r="K2901" s="71"/>
      <c r="L2901" s="69"/>
      <c r="M2901" s="69"/>
      <c r="N2901" s="72"/>
      <c r="O2901" s="69"/>
      <c r="P2901" s="69"/>
      <c r="Q2901" s="69"/>
      <c r="R2901" s="69"/>
      <c r="S2901" s="69"/>
      <c r="T2901" s="69"/>
      <c r="U2901" s="69"/>
      <c r="V2901" s="69"/>
      <c r="W2901" s="69"/>
      <c r="X2901" s="69"/>
      <c r="Y2901" s="69"/>
      <c r="Z2901" s="69"/>
      <c r="AA2901" s="69"/>
      <c r="AB2901" s="69"/>
      <c r="AC2901" s="69"/>
      <c r="AD2901" s="69"/>
      <c r="AE2901" s="69"/>
      <c r="AF2901" s="69"/>
      <c r="AG2901" s="69"/>
      <c r="AH2901" s="69"/>
      <c r="AI2901" s="69"/>
      <c r="AJ2901" s="69"/>
      <c r="AK2901" s="69"/>
      <c r="AL2901" s="69"/>
      <c r="AM2901" s="69"/>
      <c r="AN2901" s="69"/>
      <c r="AO2901" s="69"/>
      <c r="AP2901" s="69"/>
      <c r="AQ2901" s="69"/>
      <c r="AR2901" s="69"/>
      <c r="AS2901" s="69"/>
      <c r="AT2901" s="69"/>
      <c r="AU2901" s="69"/>
      <c r="AV2901" s="69"/>
      <c r="AW2901" s="69"/>
      <c r="AX2901" s="69"/>
      <c r="AY2901" s="69"/>
      <c r="AZ2901" s="69"/>
      <c r="BA2901" s="69"/>
      <c r="BB2901" s="69"/>
      <c r="BC2901" s="69"/>
    </row>
    <row r="2902">
      <c r="A2902" s="68"/>
      <c r="B2902" s="68"/>
      <c r="C2902" s="68"/>
      <c r="D2902" s="68"/>
      <c r="E2902" s="68"/>
      <c r="F2902" s="68"/>
      <c r="G2902" s="68"/>
      <c r="H2902" s="68"/>
      <c r="I2902" s="69"/>
      <c r="J2902" s="69"/>
      <c r="K2902" s="71"/>
      <c r="L2902" s="69"/>
      <c r="M2902" s="69"/>
      <c r="N2902" s="72"/>
      <c r="O2902" s="69"/>
      <c r="P2902" s="69"/>
      <c r="Q2902" s="69"/>
      <c r="R2902" s="69"/>
      <c r="S2902" s="69"/>
      <c r="T2902" s="69"/>
      <c r="U2902" s="69"/>
      <c r="V2902" s="69"/>
      <c r="W2902" s="69"/>
      <c r="X2902" s="69"/>
      <c r="Y2902" s="69"/>
      <c r="Z2902" s="69"/>
      <c r="AA2902" s="69"/>
      <c r="AB2902" s="69"/>
      <c r="AC2902" s="69"/>
      <c r="AD2902" s="69"/>
      <c r="AE2902" s="69"/>
      <c r="AF2902" s="69"/>
      <c r="AG2902" s="69"/>
      <c r="AH2902" s="69"/>
      <c r="AI2902" s="69"/>
      <c r="AJ2902" s="69"/>
      <c r="AK2902" s="69"/>
      <c r="AL2902" s="69"/>
      <c r="AM2902" s="69"/>
      <c r="AN2902" s="69"/>
      <c r="AO2902" s="69"/>
      <c r="AP2902" s="69"/>
      <c r="AQ2902" s="69"/>
      <c r="AR2902" s="69"/>
      <c r="AS2902" s="69"/>
      <c r="AT2902" s="69"/>
      <c r="AU2902" s="69"/>
      <c r="AV2902" s="69"/>
      <c r="AW2902" s="69"/>
      <c r="AX2902" s="69"/>
      <c r="AY2902" s="69"/>
      <c r="AZ2902" s="69"/>
      <c r="BA2902" s="69"/>
      <c r="BB2902" s="69"/>
      <c r="BC2902" s="69"/>
    </row>
    <row r="2903">
      <c r="A2903" s="68"/>
      <c r="B2903" s="68"/>
      <c r="C2903" s="68"/>
      <c r="D2903" s="68"/>
      <c r="E2903" s="68"/>
      <c r="F2903" s="68"/>
      <c r="G2903" s="68"/>
      <c r="H2903" s="68"/>
      <c r="I2903" s="69"/>
      <c r="J2903" s="69"/>
      <c r="K2903" s="71"/>
      <c r="L2903" s="69"/>
      <c r="M2903" s="69"/>
      <c r="N2903" s="72"/>
      <c r="O2903" s="69"/>
      <c r="P2903" s="69"/>
      <c r="Q2903" s="69"/>
      <c r="R2903" s="69"/>
      <c r="S2903" s="69"/>
      <c r="T2903" s="69"/>
      <c r="U2903" s="69"/>
      <c r="V2903" s="69"/>
      <c r="W2903" s="69"/>
      <c r="X2903" s="69"/>
      <c r="Y2903" s="69"/>
      <c r="Z2903" s="69"/>
      <c r="AA2903" s="69"/>
      <c r="AB2903" s="69"/>
      <c r="AC2903" s="69"/>
      <c r="AD2903" s="69"/>
      <c r="AE2903" s="69"/>
      <c r="AF2903" s="69"/>
      <c r="AG2903" s="69"/>
      <c r="AH2903" s="69"/>
      <c r="AI2903" s="69"/>
      <c r="AJ2903" s="69"/>
      <c r="AK2903" s="69"/>
      <c r="AL2903" s="69"/>
      <c r="AM2903" s="69"/>
      <c r="AN2903" s="69"/>
      <c r="AO2903" s="69"/>
      <c r="AP2903" s="69"/>
      <c r="AQ2903" s="69"/>
      <c r="AR2903" s="69"/>
      <c r="AS2903" s="69"/>
      <c r="AT2903" s="69"/>
      <c r="AU2903" s="69"/>
      <c r="AV2903" s="69"/>
      <c r="AW2903" s="69"/>
      <c r="AX2903" s="69"/>
      <c r="AY2903" s="69"/>
      <c r="AZ2903" s="69"/>
      <c r="BA2903" s="69"/>
      <c r="BB2903" s="69"/>
      <c r="BC2903" s="69"/>
    </row>
    <row r="2904">
      <c r="A2904" s="68"/>
      <c r="B2904" s="68"/>
      <c r="C2904" s="68"/>
      <c r="D2904" s="68"/>
      <c r="E2904" s="68"/>
      <c r="F2904" s="68"/>
      <c r="G2904" s="68"/>
      <c r="H2904" s="68"/>
      <c r="I2904" s="69"/>
      <c r="J2904" s="69"/>
      <c r="K2904" s="71"/>
      <c r="L2904" s="69"/>
      <c r="M2904" s="69"/>
      <c r="N2904" s="72"/>
      <c r="O2904" s="69"/>
      <c r="P2904" s="69"/>
      <c r="Q2904" s="69"/>
      <c r="R2904" s="69"/>
      <c r="S2904" s="69"/>
      <c r="T2904" s="69"/>
      <c r="U2904" s="69"/>
      <c r="V2904" s="69"/>
      <c r="W2904" s="69"/>
      <c r="X2904" s="69"/>
      <c r="Y2904" s="69"/>
      <c r="Z2904" s="69"/>
      <c r="AA2904" s="69"/>
      <c r="AB2904" s="69"/>
      <c r="AC2904" s="69"/>
      <c r="AD2904" s="69"/>
      <c r="AE2904" s="69"/>
      <c r="AF2904" s="69"/>
      <c r="AG2904" s="69"/>
      <c r="AH2904" s="69"/>
      <c r="AI2904" s="69"/>
      <c r="AJ2904" s="69"/>
      <c r="AK2904" s="69"/>
      <c r="AL2904" s="69"/>
      <c r="AM2904" s="69"/>
      <c r="AN2904" s="69"/>
      <c r="AO2904" s="69"/>
      <c r="AP2904" s="69"/>
      <c r="AQ2904" s="69"/>
      <c r="AR2904" s="69"/>
      <c r="AS2904" s="69"/>
      <c r="AT2904" s="69"/>
      <c r="AU2904" s="69"/>
      <c r="AV2904" s="69"/>
      <c r="AW2904" s="69"/>
      <c r="AX2904" s="69"/>
      <c r="AY2904" s="69"/>
      <c r="AZ2904" s="69"/>
      <c r="BA2904" s="69"/>
      <c r="BB2904" s="69"/>
      <c r="BC2904" s="69"/>
    </row>
    <row r="2905">
      <c r="A2905" s="68"/>
      <c r="B2905" s="68"/>
      <c r="C2905" s="68"/>
      <c r="D2905" s="68"/>
      <c r="E2905" s="68"/>
      <c r="F2905" s="68"/>
      <c r="G2905" s="68"/>
      <c r="H2905" s="68"/>
      <c r="I2905" s="69"/>
      <c r="J2905" s="69"/>
      <c r="K2905" s="71"/>
      <c r="L2905" s="69"/>
      <c r="M2905" s="69"/>
      <c r="N2905" s="72"/>
      <c r="O2905" s="69"/>
      <c r="P2905" s="69"/>
      <c r="Q2905" s="69"/>
      <c r="R2905" s="69"/>
      <c r="S2905" s="69"/>
      <c r="T2905" s="69"/>
      <c r="U2905" s="69"/>
      <c r="V2905" s="69"/>
      <c r="W2905" s="69"/>
      <c r="X2905" s="69"/>
      <c r="Y2905" s="69"/>
      <c r="Z2905" s="69"/>
      <c r="AA2905" s="69"/>
      <c r="AB2905" s="69"/>
      <c r="AC2905" s="69"/>
      <c r="AD2905" s="69"/>
      <c r="AE2905" s="69"/>
      <c r="AF2905" s="69"/>
      <c r="AG2905" s="69"/>
      <c r="AH2905" s="69"/>
      <c r="AI2905" s="69"/>
      <c r="AJ2905" s="69"/>
      <c r="AK2905" s="69"/>
      <c r="AL2905" s="69"/>
      <c r="AM2905" s="69"/>
      <c r="AN2905" s="69"/>
      <c r="AO2905" s="69"/>
      <c r="AP2905" s="69"/>
      <c r="AQ2905" s="69"/>
      <c r="AR2905" s="69"/>
      <c r="AS2905" s="69"/>
      <c r="AT2905" s="69"/>
      <c r="AU2905" s="69"/>
      <c r="AV2905" s="69"/>
      <c r="AW2905" s="69"/>
      <c r="AX2905" s="69"/>
      <c r="AY2905" s="69"/>
      <c r="AZ2905" s="69"/>
      <c r="BA2905" s="69"/>
      <c r="BB2905" s="69"/>
      <c r="BC2905" s="69"/>
    </row>
    <row r="2906">
      <c r="A2906" s="68"/>
      <c r="B2906" s="68"/>
      <c r="C2906" s="68"/>
      <c r="D2906" s="68"/>
      <c r="E2906" s="68"/>
      <c r="F2906" s="68"/>
      <c r="G2906" s="68"/>
      <c r="H2906" s="68"/>
      <c r="I2906" s="69"/>
      <c r="J2906" s="69"/>
      <c r="K2906" s="71"/>
      <c r="L2906" s="69"/>
      <c r="M2906" s="69"/>
      <c r="N2906" s="72"/>
      <c r="O2906" s="69"/>
      <c r="P2906" s="69"/>
      <c r="Q2906" s="69"/>
      <c r="R2906" s="69"/>
      <c r="S2906" s="69"/>
      <c r="T2906" s="69"/>
      <c r="U2906" s="69"/>
      <c r="V2906" s="69"/>
      <c r="W2906" s="69"/>
      <c r="X2906" s="69"/>
      <c r="Y2906" s="69"/>
      <c r="Z2906" s="69"/>
      <c r="AA2906" s="69"/>
      <c r="AB2906" s="69"/>
      <c r="AC2906" s="69"/>
      <c r="AD2906" s="69"/>
      <c r="AE2906" s="69"/>
      <c r="AF2906" s="69"/>
      <c r="AG2906" s="69"/>
      <c r="AH2906" s="69"/>
      <c r="AI2906" s="69"/>
      <c r="AJ2906" s="69"/>
      <c r="AK2906" s="69"/>
      <c r="AL2906" s="69"/>
      <c r="AM2906" s="69"/>
      <c r="AN2906" s="69"/>
      <c r="AO2906" s="69"/>
      <c r="AP2906" s="69"/>
      <c r="AQ2906" s="69"/>
      <c r="AR2906" s="69"/>
      <c r="AS2906" s="69"/>
      <c r="AT2906" s="69"/>
      <c r="AU2906" s="69"/>
      <c r="AV2906" s="69"/>
      <c r="AW2906" s="69"/>
      <c r="AX2906" s="69"/>
      <c r="AY2906" s="69"/>
      <c r="AZ2906" s="69"/>
      <c r="BA2906" s="69"/>
      <c r="BB2906" s="69"/>
      <c r="BC2906" s="69"/>
    </row>
    <row r="2907">
      <c r="A2907" s="68"/>
      <c r="B2907" s="68"/>
      <c r="C2907" s="68"/>
      <c r="D2907" s="68"/>
      <c r="E2907" s="68"/>
      <c r="F2907" s="68"/>
      <c r="G2907" s="68"/>
      <c r="H2907" s="68"/>
      <c r="I2907" s="69"/>
      <c r="J2907" s="69"/>
      <c r="K2907" s="71"/>
      <c r="L2907" s="69"/>
      <c r="M2907" s="69"/>
      <c r="N2907" s="72"/>
      <c r="O2907" s="69"/>
      <c r="P2907" s="69"/>
      <c r="Q2907" s="69"/>
      <c r="R2907" s="69"/>
      <c r="S2907" s="69"/>
      <c r="T2907" s="69"/>
      <c r="U2907" s="69"/>
      <c r="V2907" s="69"/>
      <c r="W2907" s="69"/>
      <c r="X2907" s="69"/>
      <c r="Y2907" s="69"/>
      <c r="Z2907" s="69"/>
      <c r="AA2907" s="69"/>
      <c r="AB2907" s="69"/>
      <c r="AC2907" s="69"/>
      <c r="AD2907" s="69"/>
      <c r="AE2907" s="69"/>
      <c r="AF2907" s="69"/>
      <c r="AG2907" s="69"/>
      <c r="AH2907" s="69"/>
      <c r="AI2907" s="69"/>
      <c r="AJ2907" s="69"/>
      <c r="AK2907" s="69"/>
      <c r="AL2907" s="69"/>
      <c r="AM2907" s="69"/>
      <c r="AN2907" s="69"/>
      <c r="AO2907" s="69"/>
      <c r="AP2907" s="69"/>
      <c r="AQ2907" s="69"/>
      <c r="AR2907" s="69"/>
      <c r="AS2907" s="69"/>
      <c r="AT2907" s="69"/>
      <c r="AU2907" s="69"/>
      <c r="AV2907" s="69"/>
      <c r="AW2907" s="69"/>
      <c r="AX2907" s="69"/>
      <c r="AY2907" s="69"/>
      <c r="AZ2907" s="69"/>
      <c r="BA2907" s="69"/>
      <c r="BB2907" s="69"/>
      <c r="BC2907" s="69"/>
    </row>
    <row r="2908">
      <c r="A2908" s="68"/>
      <c r="B2908" s="68"/>
      <c r="C2908" s="68"/>
      <c r="D2908" s="68"/>
      <c r="E2908" s="68"/>
      <c r="F2908" s="68"/>
      <c r="G2908" s="68"/>
      <c r="H2908" s="68"/>
      <c r="I2908" s="69"/>
      <c r="J2908" s="69"/>
      <c r="K2908" s="71"/>
      <c r="L2908" s="69"/>
      <c r="M2908" s="69"/>
      <c r="N2908" s="72"/>
      <c r="O2908" s="69"/>
      <c r="P2908" s="69"/>
      <c r="Q2908" s="69"/>
      <c r="R2908" s="69"/>
      <c r="S2908" s="69"/>
      <c r="T2908" s="69"/>
      <c r="U2908" s="69"/>
      <c r="V2908" s="69"/>
      <c r="W2908" s="69"/>
      <c r="X2908" s="69"/>
      <c r="Y2908" s="69"/>
      <c r="Z2908" s="69"/>
      <c r="AA2908" s="69"/>
      <c r="AB2908" s="69"/>
      <c r="AC2908" s="69"/>
      <c r="AD2908" s="69"/>
      <c r="AE2908" s="69"/>
      <c r="AF2908" s="69"/>
      <c r="AG2908" s="69"/>
      <c r="AH2908" s="69"/>
      <c r="AI2908" s="69"/>
      <c r="AJ2908" s="69"/>
      <c r="AK2908" s="69"/>
      <c r="AL2908" s="69"/>
      <c r="AM2908" s="69"/>
      <c r="AN2908" s="69"/>
      <c r="AO2908" s="69"/>
      <c r="AP2908" s="69"/>
      <c r="AQ2908" s="69"/>
      <c r="AR2908" s="69"/>
      <c r="AS2908" s="69"/>
      <c r="AT2908" s="69"/>
      <c r="AU2908" s="69"/>
      <c r="AV2908" s="69"/>
      <c r="AW2908" s="69"/>
      <c r="AX2908" s="69"/>
      <c r="AY2908" s="69"/>
      <c r="AZ2908" s="69"/>
      <c r="BA2908" s="69"/>
      <c r="BB2908" s="69"/>
      <c r="BC2908" s="69"/>
    </row>
    <row r="2909">
      <c r="A2909" s="68"/>
      <c r="B2909" s="68"/>
      <c r="C2909" s="68"/>
      <c r="D2909" s="68"/>
      <c r="E2909" s="68"/>
      <c r="F2909" s="68"/>
      <c r="G2909" s="68"/>
      <c r="H2909" s="68"/>
      <c r="I2909" s="69"/>
      <c r="J2909" s="69"/>
      <c r="K2909" s="71"/>
      <c r="L2909" s="69"/>
      <c r="M2909" s="69"/>
      <c r="N2909" s="72"/>
      <c r="O2909" s="69"/>
      <c r="P2909" s="69"/>
      <c r="Q2909" s="69"/>
      <c r="R2909" s="69"/>
      <c r="S2909" s="69"/>
      <c r="T2909" s="69"/>
      <c r="U2909" s="69"/>
      <c r="V2909" s="69"/>
      <c r="W2909" s="69"/>
      <c r="X2909" s="69"/>
      <c r="Y2909" s="69"/>
      <c r="Z2909" s="69"/>
      <c r="AA2909" s="69"/>
      <c r="AB2909" s="69"/>
      <c r="AC2909" s="69"/>
      <c r="AD2909" s="69"/>
      <c r="AE2909" s="69"/>
      <c r="AF2909" s="69"/>
      <c r="AG2909" s="69"/>
      <c r="AH2909" s="69"/>
      <c r="AI2909" s="69"/>
      <c r="AJ2909" s="69"/>
      <c r="AK2909" s="69"/>
      <c r="AL2909" s="69"/>
      <c r="AM2909" s="69"/>
      <c r="AN2909" s="69"/>
      <c r="AO2909" s="69"/>
      <c r="AP2909" s="69"/>
      <c r="AQ2909" s="69"/>
      <c r="AR2909" s="69"/>
      <c r="AS2909" s="69"/>
      <c r="AT2909" s="69"/>
      <c r="AU2909" s="69"/>
      <c r="AV2909" s="69"/>
      <c r="AW2909" s="69"/>
      <c r="AX2909" s="69"/>
      <c r="AY2909" s="69"/>
      <c r="AZ2909" s="69"/>
      <c r="BA2909" s="69"/>
      <c r="BB2909" s="69"/>
      <c r="BC2909" s="69"/>
    </row>
    <row r="2910">
      <c r="A2910" s="68"/>
      <c r="B2910" s="68"/>
      <c r="C2910" s="68"/>
      <c r="D2910" s="68"/>
      <c r="E2910" s="68"/>
      <c r="F2910" s="68"/>
      <c r="G2910" s="68"/>
      <c r="H2910" s="68"/>
      <c r="I2910" s="69"/>
      <c r="J2910" s="69"/>
      <c r="K2910" s="71"/>
      <c r="L2910" s="69"/>
      <c r="M2910" s="69"/>
      <c r="N2910" s="72"/>
      <c r="O2910" s="69"/>
      <c r="P2910" s="69"/>
      <c r="Q2910" s="69"/>
      <c r="R2910" s="69"/>
      <c r="S2910" s="69"/>
      <c r="T2910" s="69"/>
      <c r="U2910" s="69"/>
      <c r="V2910" s="69"/>
      <c r="W2910" s="69"/>
      <c r="X2910" s="69"/>
      <c r="Y2910" s="69"/>
      <c r="Z2910" s="69"/>
      <c r="AA2910" s="69"/>
      <c r="AB2910" s="69"/>
      <c r="AC2910" s="69"/>
      <c r="AD2910" s="69"/>
      <c r="AE2910" s="69"/>
      <c r="AF2910" s="69"/>
      <c r="AG2910" s="69"/>
      <c r="AH2910" s="69"/>
      <c r="AI2910" s="69"/>
      <c r="AJ2910" s="69"/>
      <c r="AK2910" s="69"/>
      <c r="AL2910" s="69"/>
      <c r="AM2910" s="69"/>
      <c r="AN2910" s="69"/>
      <c r="AO2910" s="69"/>
      <c r="AP2910" s="69"/>
      <c r="AQ2910" s="69"/>
      <c r="AR2910" s="69"/>
      <c r="AS2910" s="69"/>
      <c r="AT2910" s="69"/>
      <c r="AU2910" s="69"/>
      <c r="AV2910" s="69"/>
      <c r="AW2910" s="69"/>
      <c r="AX2910" s="69"/>
      <c r="AY2910" s="69"/>
      <c r="AZ2910" s="69"/>
      <c r="BA2910" s="69"/>
      <c r="BB2910" s="69"/>
      <c r="BC2910" s="69"/>
    </row>
    <row r="2911">
      <c r="A2911" s="68"/>
      <c r="B2911" s="68"/>
      <c r="C2911" s="68"/>
      <c r="D2911" s="68"/>
      <c r="E2911" s="68"/>
      <c r="F2911" s="68"/>
      <c r="G2911" s="68"/>
      <c r="H2911" s="68"/>
      <c r="I2911" s="69"/>
      <c r="J2911" s="69"/>
      <c r="K2911" s="71"/>
      <c r="L2911" s="69"/>
      <c r="M2911" s="69"/>
      <c r="N2911" s="72"/>
      <c r="O2911" s="69"/>
      <c r="P2911" s="69"/>
      <c r="Q2911" s="69"/>
      <c r="R2911" s="69"/>
      <c r="S2911" s="69"/>
      <c r="T2911" s="69"/>
      <c r="U2911" s="69"/>
      <c r="V2911" s="69"/>
      <c r="W2911" s="69"/>
      <c r="X2911" s="69"/>
      <c r="Y2911" s="69"/>
      <c r="Z2911" s="69"/>
      <c r="AA2911" s="69"/>
      <c r="AB2911" s="69"/>
      <c r="AC2911" s="69"/>
      <c r="AD2911" s="69"/>
      <c r="AE2911" s="69"/>
      <c r="AF2911" s="69"/>
      <c r="AG2911" s="69"/>
      <c r="AH2911" s="69"/>
      <c r="AI2911" s="69"/>
      <c r="AJ2911" s="69"/>
      <c r="AK2911" s="69"/>
      <c r="AL2911" s="69"/>
      <c r="AM2911" s="69"/>
      <c r="AN2911" s="69"/>
      <c r="AO2911" s="69"/>
      <c r="AP2911" s="69"/>
      <c r="AQ2911" s="69"/>
      <c r="AR2911" s="69"/>
      <c r="AS2911" s="69"/>
      <c r="AT2911" s="69"/>
      <c r="AU2911" s="69"/>
      <c r="AV2911" s="69"/>
      <c r="AW2911" s="69"/>
      <c r="AX2911" s="69"/>
      <c r="AY2911" s="69"/>
      <c r="AZ2911" s="69"/>
      <c r="BA2911" s="69"/>
      <c r="BB2911" s="69"/>
      <c r="BC2911" s="69"/>
    </row>
    <row r="2912">
      <c r="A2912" s="68"/>
      <c r="B2912" s="68"/>
      <c r="C2912" s="68"/>
      <c r="D2912" s="68"/>
      <c r="E2912" s="68"/>
      <c r="F2912" s="68"/>
      <c r="G2912" s="68"/>
      <c r="H2912" s="68"/>
      <c r="I2912" s="69"/>
      <c r="J2912" s="69"/>
      <c r="K2912" s="71"/>
      <c r="L2912" s="69"/>
      <c r="M2912" s="69"/>
      <c r="N2912" s="72"/>
      <c r="O2912" s="69"/>
      <c r="P2912" s="69"/>
      <c r="Q2912" s="69"/>
      <c r="R2912" s="69"/>
      <c r="S2912" s="69"/>
      <c r="T2912" s="69"/>
      <c r="U2912" s="69"/>
      <c r="V2912" s="69"/>
      <c r="W2912" s="69"/>
      <c r="X2912" s="69"/>
      <c r="Y2912" s="69"/>
      <c r="Z2912" s="69"/>
      <c r="AA2912" s="69"/>
      <c r="AB2912" s="69"/>
      <c r="AC2912" s="69"/>
      <c r="AD2912" s="69"/>
      <c r="AE2912" s="69"/>
      <c r="AF2912" s="69"/>
      <c r="AG2912" s="69"/>
      <c r="AH2912" s="69"/>
      <c r="AI2912" s="69"/>
      <c r="AJ2912" s="69"/>
      <c r="AK2912" s="69"/>
      <c r="AL2912" s="69"/>
      <c r="AM2912" s="69"/>
      <c r="AN2912" s="69"/>
      <c r="AO2912" s="69"/>
      <c r="AP2912" s="69"/>
      <c r="AQ2912" s="69"/>
      <c r="AR2912" s="69"/>
      <c r="AS2912" s="69"/>
      <c r="AT2912" s="69"/>
      <c r="AU2912" s="69"/>
      <c r="AV2912" s="69"/>
      <c r="AW2912" s="69"/>
      <c r="AX2912" s="69"/>
      <c r="AY2912" s="69"/>
      <c r="AZ2912" s="69"/>
      <c r="BA2912" s="69"/>
      <c r="BB2912" s="69"/>
      <c r="BC2912" s="69"/>
    </row>
    <row r="2913">
      <c r="A2913" s="68"/>
      <c r="B2913" s="68"/>
      <c r="C2913" s="68"/>
      <c r="D2913" s="68"/>
      <c r="E2913" s="68"/>
      <c r="F2913" s="68"/>
      <c r="G2913" s="68"/>
      <c r="H2913" s="68"/>
      <c r="I2913" s="69"/>
      <c r="J2913" s="69"/>
      <c r="K2913" s="71"/>
      <c r="L2913" s="69"/>
      <c r="M2913" s="69"/>
      <c r="N2913" s="72"/>
      <c r="O2913" s="69"/>
      <c r="P2913" s="69"/>
      <c r="Q2913" s="69"/>
      <c r="R2913" s="69"/>
      <c r="S2913" s="69"/>
      <c r="T2913" s="69"/>
      <c r="U2913" s="69"/>
      <c r="V2913" s="69"/>
      <c r="W2913" s="69"/>
      <c r="X2913" s="69"/>
      <c r="Y2913" s="69"/>
      <c r="Z2913" s="69"/>
      <c r="AA2913" s="69"/>
      <c r="AB2913" s="69"/>
      <c r="AC2913" s="69"/>
      <c r="AD2913" s="69"/>
      <c r="AE2913" s="69"/>
      <c r="AF2913" s="69"/>
      <c r="AG2913" s="69"/>
      <c r="AH2913" s="69"/>
      <c r="AI2913" s="69"/>
      <c r="AJ2913" s="69"/>
      <c r="AK2913" s="69"/>
      <c r="AL2913" s="69"/>
      <c r="AM2913" s="69"/>
      <c r="AN2913" s="69"/>
      <c r="AO2913" s="69"/>
      <c r="AP2913" s="69"/>
      <c r="AQ2913" s="69"/>
      <c r="AR2913" s="69"/>
      <c r="AS2913" s="69"/>
      <c r="AT2913" s="69"/>
      <c r="AU2913" s="69"/>
      <c r="AV2913" s="69"/>
      <c r="AW2913" s="69"/>
      <c r="AX2913" s="69"/>
      <c r="AY2913" s="69"/>
      <c r="AZ2913" s="69"/>
      <c r="BA2913" s="69"/>
      <c r="BB2913" s="69"/>
      <c r="BC2913" s="69"/>
    </row>
    <row r="2914">
      <c r="A2914" s="68"/>
      <c r="B2914" s="68"/>
      <c r="C2914" s="68"/>
      <c r="D2914" s="68"/>
      <c r="E2914" s="68"/>
      <c r="F2914" s="68"/>
      <c r="G2914" s="68"/>
      <c r="H2914" s="68"/>
      <c r="I2914" s="69"/>
      <c r="J2914" s="69"/>
      <c r="K2914" s="71"/>
      <c r="L2914" s="69"/>
      <c r="M2914" s="69"/>
      <c r="N2914" s="72"/>
      <c r="O2914" s="69"/>
      <c r="P2914" s="69"/>
      <c r="Q2914" s="69"/>
      <c r="R2914" s="69"/>
      <c r="S2914" s="69"/>
      <c r="T2914" s="69"/>
      <c r="U2914" s="69"/>
      <c r="V2914" s="69"/>
      <c r="W2914" s="69"/>
      <c r="X2914" s="69"/>
      <c r="Y2914" s="69"/>
      <c r="Z2914" s="69"/>
      <c r="AA2914" s="69"/>
      <c r="AB2914" s="69"/>
      <c r="AC2914" s="69"/>
      <c r="AD2914" s="69"/>
      <c r="AE2914" s="69"/>
      <c r="AF2914" s="69"/>
      <c r="AG2914" s="69"/>
      <c r="AH2914" s="69"/>
      <c r="AI2914" s="69"/>
      <c r="AJ2914" s="69"/>
      <c r="AK2914" s="69"/>
      <c r="AL2914" s="69"/>
      <c r="AM2914" s="69"/>
      <c r="AN2914" s="69"/>
      <c r="AO2914" s="69"/>
      <c r="AP2914" s="69"/>
      <c r="AQ2914" s="69"/>
      <c r="AR2914" s="69"/>
      <c r="AS2914" s="69"/>
      <c r="AT2914" s="69"/>
      <c r="AU2914" s="69"/>
      <c r="AV2914" s="69"/>
      <c r="AW2914" s="69"/>
      <c r="AX2914" s="69"/>
      <c r="AY2914" s="69"/>
      <c r="AZ2914" s="69"/>
      <c r="BA2914" s="69"/>
      <c r="BB2914" s="69"/>
      <c r="BC2914" s="69"/>
    </row>
    <row r="2915">
      <c r="A2915" s="68"/>
      <c r="B2915" s="68"/>
      <c r="C2915" s="68"/>
      <c r="D2915" s="68"/>
      <c r="E2915" s="68"/>
      <c r="F2915" s="68"/>
      <c r="G2915" s="68"/>
      <c r="H2915" s="68"/>
      <c r="I2915" s="69"/>
      <c r="J2915" s="69"/>
      <c r="K2915" s="71"/>
      <c r="L2915" s="69"/>
      <c r="M2915" s="69"/>
      <c r="N2915" s="72"/>
      <c r="O2915" s="69"/>
      <c r="P2915" s="69"/>
      <c r="Q2915" s="69"/>
      <c r="R2915" s="69"/>
      <c r="S2915" s="69"/>
      <c r="T2915" s="69"/>
      <c r="U2915" s="69"/>
      <c r="V2915" s="69"/>
      <c r="W2915" s="69"/>
      <c r="X2915" s="69"/>
      <c r="Y2915" s="69"/>
      <c r="Z2915" s="69"/>
      <c r="AA2915" s="69"/>
      <c r="AB2915" s="69"/>
      <c r="AC2915" s="69"/>
      <c r="AD2915" s="69"/>
      <c r="AE2915" s="69"/>
      <c r="AF2915" s="69"/>
      <c r="AG2915" s="69"/>
      <c r="AH2915" s="69"/>
      <c r="AI2915" s="69"/>
      <c r="AJ2915" s="69"/>
      <c r="AK2915" s="69"/>
      <c r="AL2915" s="69"/>
      <c r="AM2915" s="69"/>
      <c r="AN2915" s="69"/>
      <c r="AO2915" s="69"/>
      <c r="AP2915" s="69"/>
      <c r="AQ2915" s="69"/>
      <c r="AR2915" s="69"/>
      <c r="AS2915" s="69"/>
      <c r="AT2915" s="69"/>
      <c r="AU2915" s="69"/>
      <c r="AV2915" s="69"/>
      <c r="AW2915" s="69"/>
      <c r="AX2915" s="69"/>
      <c r="AY2915" s="69"/>
      <c r="AZ2915" s="69"/>
      <c r="BA2915" s="69"/>
      <c r="BB2915" s="69"/>
      <c r="BC2915" s="69"/>
    </row>
    <row r="2916">
      <c r="A2916" s="68"/>
      <c r="B2916" s="68"/>
      <c r="C2916" s="68"/>
      <c r="D2916" s="68"/>
      <c r="E2916" s="68"/>
      <c r="F2916" s="68"/>
      <c r="G2916" s="68"/>
      <c r="H2916" s="68"/>
      <c r="I2916" s="69"/>
      <c r="J2916" s="69"/>
      <c r="K2916" s="71"/>
      <c r="L2916" s="69"/>
      <c r="M2916" s="69"/>
      <c r="N2916" s="72"/>
      <c r="O2916" s="69"/>
      <c r="P2916" s="69"/>
      <c r="Q2916" s="69"/>
      <c r="R2916" s="69"/>
      <c r="S2916" s="69"/>
      <c r="T2916" s="69"/>
      <c r="U2916" s="69"/>
      <c r="V2916" s="69"/>
      <c r="W2916" s="69"/>
      <c r="X2916" s="69"/>
      <c r="Y2916" s="69"/>
      <c r="Z2916" s="69"/>
      <c r="AA2916" s="69"/>
      <c r="AB2916" s="69"/>
      <c r="AC2916" s="69"/>
      <c r="AD2916" s="69"/>
      <c r="AE2916" s="69"/>
      <c r="AF2916" s="69"/>
      <c r="AG2916" s="69"/>
      <c r="AH2916" s="69"/>
      <c r="AI2916" s="69"/>
      <c r="AJ2916" s="69"/>
      <c r="AK2916" s="69"/>
      <c r="AL2916" s="69"/>
      <c r="AM2916" s="69"/>
      <c r="AN2916" s="69"/>
      <c r="AO2916" s="69"/>
      <c r="AP2916" s="69"/>
      <c r="AQ2916" s="69"/>
      <c r="AR2916" s="69"/>
      <c r="AS2916" s="69"/>
      <c r="AT2916" s="69"/>
      <c r="AU2916" s="69"/>
      <c r="AV2916" s="69"/>
      <c r="AW2916" s="69"/>
      <c r="AX2916" s="69"/>
      <c r="AY2916" s="69"/>
      <c r="AZ2916" s="69"/>
      <c r="BA2916" s="69"/>
      <c r="BB2916" s="69"/>
      <c r="BC2916" s="69"/>
    </row>
    <row r="2917">
      <c r="A2917" s="68"/>
      <c r="B2917" s="68"/>
      <c r="C2917" s="68"/>
      <c r="D2917" s="68"/>
      <c r="E2917" s="68"/>
      <c r="F2917" s="68"/>
      <c r="G2917" s="68"/>
      <c r="H2917" s="68"/>
      <c r="I2917" s="69"/>
      <c r="J2917" s="69"/>
      <c r="K2917" s="71"/>
      <c r="L2917" s="69"/>
      <c r="M2917" s="69"/>
      <c r="N2917" s="72"/>
      <c r="O2917" s="69"/>
      <c r="P2917" s="69"/>
      <c r="Q2917" s="69"/>
      <c r="R2917" s="69"/>
      <c r="S2917" s="69"/>
      <c r="T2917" s="69"/>
      <c r="U2917" s="69"/>
      <c r="V2917" s="69"/>
      <c r="W2917" s="69"/>
      <c r="X2917" s="69"/>
      <c r="Y2917" s="69"/>
      <c r="Z2917" s="69"/>
      <c r="AA2917" s="69"/>
      <c r="AB2917" s="69"/>
      <c r="AC2917" s="69"/>
      <c r="AD2917" s="69"/>
      <c r="AE2917" s="69"/>
      <c r="AF2917" s="69"/>
      <c r="AG2917" s="69"/>
      <c r="AH2917" s="69"/>
      <c r="AI2917" s="69"/>
      <c r="AJ2917" s="69"/>
      <c r="AK2917" s="69"/>
      <c r="AL2917" s="69"/>
      <c r="AM2917" s="69"/>
      <c r="AN2917" s="69"/>
      <c r="AO2917" s="69"/>
      <c r="AP2917" s="69"/>
      <c r="AQ2917" s="69"/>
      <c r="AR2917" s="69"/>
      <c r="AS2917" s="69"/>
      <c r="AT2917" s="69"/>
      <c r="AU2917" s="69"/>
      <c r="AV2917" s="69"/>
      <c r="AW2917" s="69"/>
      <c r="AX2917" s="69"/>
      <c r="AY2917" s="69"/>
      <c r="AZ2917" s="69"/>
      <c r="BA2917" s="69"/>
      <c r="BB2917" s="69"/>
      <c r="BC2917" s="69"/>
    </row>
    <row r="2918">
      <c r="A2918" s="68"/>
      <c r="B2918" s="68"/>
      <c r="C2918" s="68"/>
      <c r="D2918" s="68"/>
      <c r="E2918" s="68"/>
      <c r="F2918" s="68"/>
      <c r="G2918" s="68"/>
      <c r="H2918" s="68"/>
      <c r="I2918" s="69"/>
      <c r="J2918" s="69"/>
      <c r="K2918" s="71"/>
      <c r="L2918" s="69"/>
      <c r="M2918" s="69"/>
      <c r="N2918" s="72"/>
      <c r="O2918" s="69"/>
      <c r="P2918" s="69"/>
      <c r="Q2918" s="69"/>
      <c r="R2918" s="69"/>
      <c r="S2918" s="69"/>
      <c r="T2918" s="69"/>
      <c r="U2918" s="69"/>
      <c r="V2918" s="69"/>
      <c r="W2918" s="69"/>
      <c r="X2918" s="69"/>
      <c r="Y2918" s="69"/>
      <c r="Z2918" s="69"/>
      <c r="AA2918" s="69"/>
      <c r="AB2918" s="69"/>
      <c r="AC2918" s="69"/>
      <c r="AD2918" s="69"/>
      <c r="AE2918" s="69"/>
      <c r="AF2918" s="69"/>
      <c r="AG2918" s="69"/>
      <c r="AH2918" s="69"/>
      <c r="AI2918" s="69"/>
      <c r="AJ2918" s="69"/>
      <c r="AK2918" s="69"/>
      <c r="AL2918" s="69"/>
      <c r="AM2918" s="69"/>
      <c r="AN2918" s="69"/>
      <c r="AO2918" s="69"/>
      <c r="AP2918" s="69"/>
      <c r="AQ2918" s="69"/>
      <c r="AR2918" s="69"/>
      <c r="AS2918" s="69"/>
      <c r="AT2918" s="69"/>
      <c r="AU2918" s="69"/>
      <c r="AV2918" s="69"/>
      <c r="AW2918" s="69"/>
      <c r="AX2918" s="69"/>
      <c r="AY2918" s="69"/>
      <c r="AZ2918" s="69"/>
      <c r="BA2918" s="69"/>
      <c r="BB2918" s="69"/>
      <c r="BC2918" s="69"/>
    </row>
    <row r="2919">
      <c r="A2919" s="68"/>
      <c r="B2919" s="68"/>
      <c r="C2919" s="68"/>
      <c r="D2919" s="68"/>
      <c r="E2919" s="68"/>
      <c r="F2919" s="68"/>
      <c r="G2919" s="68"/>
      <c r="H2919" s="68"/>
      <c r="I2919" s="69"/>
      <c r="J2919" s="69"/>
      <c r="K2919" s="71"/>
      <c r="L2919" s="69"/>
      <c r="M2919" s="69"/>
      <c r="N2919" s="72"/>
      <c r="O2919" s="69"/>
      <c r="P2919" s="69"/>
      <c r="Q2919" s="69"/>
      <c r="R2919" s="69"/>
      <c r="S2919" s="69"/>
      <c r="T2919" s="69"/>
      <c r="U2919" s="69"/>
      <c r="V2919" s="69"/>
      <c r="W2919" s="69"/>
      <c r="X2919" s="69"/>
      <c r="Y2919" s="69"/>
      <c r="Z2919" s="69"/>
      <c r="AA2919" s="69"/>
      <c r="AB2919" s="69"/>
      <c r="AC2919" s="69"/>
      <c r="AD2919" s="69"/>
      <c r="AE2919" s="69"/>
      <c r="AF2919" s="69"/>
      <c r="AG2919" s="69"/>
      <c r="AH2919" s="69"/>
      <c r="AI2919" s="69"/>
      <c r="AJ2919" s="69"/>
      <c r="AK2919" s="69"/>
      <c r="AL2919" s="69"/>
      <c r="AM2919" s="69"/>
      <c r="AN2919" s="69"/>
      <c r="AO2919" s="69"/>
      <c r="AP2919" s="69"/>
      <c r="AQ2919" s="69"/>
      <c r="AR2919" s="69"/>
      <c r="AS2919" s="69"/>
      <c r="AT2919" s="69"/>
      <c r="AU2919" s="69"/>
      <c r="AV2919" s="69"/>
      <c r="AW2919" s="69"/>
      <c r="AX2919" s="69"/>
      <c r="AY2919" s="69"/>
      <c r="AZ2919" s="69"/>
      <c r="BA2919" s="69"/>
      <c r="BB2919" s="69"/>
      <c r="BC2919" s="69"/>
    </row>
    <row r="2920">
      <c r="A2920" s="68"/>
      <c r="B2920" s="68"/>
      <c r="C2920" s="68"/>
      <c r="D2920" s="68"/>
      <c r="E2920" s="68"/>
      <c r="F2920" s="68"/>
      <c r="G2920" s="68"/>
      <c r="H2920" s="68"/>
      <c r="I2920" s="69"/>
      <c r="J2920" s="69"/>
      <c r="K2920" s="71"/>
      <c r="L2920" s="69"/>
      <c r="M2920" s="69"/>
      <c r="N2920" s="72"/>
      <c r="O2920" s="69"/>
      <c r="P2920" s="69"/>
      <c r="Q2920" s="69"/>
      <c r="R2920" s="69"/>
      <c r="S2920" s="69"/>
      <c r="T2920" s="69"/>
      <c r="U2920" s="69"/>
      <c r="V2920" s="69"/>
      <c r="W2920" s="69"/>
      <c r="X2920" s="69"/>
      <c r="Y2920" s="69"/>
      <c r="Z2920" s="69"/>
      <c r="AA2920" s="69"/>
      <c r="AB2920" s="69"/>
      <c r="AC2920" s="69"/>
      <c r="AD2920" s="69"/>
      <c r="AE2920" s="69"/>
      <c r="AF2920" s="69"/>
      <c r="AG2920" s="69"/>
      <c r="AH2920" s="69"/>
      <c r="AI2920" s="69"/>
      <c r="AJ2920" s="69"/>
      <c r="AK2920" s="69"/>
      <c r="AL2920" s="69"/>
      <c r="AM2920" s="69"/>
      <c r="AN2920" s="69"/>
      <c r="AO2920" s="69"/>
      <c r="AP2920" s="69"/>
      <c r="AQ2920" s="69"/>
      <c r="AR2920" s="69"/>
      <c r="AS2920" s="69"/>
      <c r="AT2920" s="69"/>
      <c r="AU2920" s="69"/>
      <c r="AV2920" s="69"/>
      <c r="AW2920" s="69"/>
      <c r="AX2920" s="69"/>
      <c r="AY2920" s="69"/>
      <c r="AZ2920" s="69"/>
      <c r="BA2920" s="69"/>
      <c r="BB2920" s="69"/>
      <c r="BC2920" s="69"/>
    </row>
    <row r="2921">
      <c r="A2921" s="68"/>
      <c r="B2921" s="68"/>
      <c r="C2921" s="68"/>
      <c r="D2921" s="68"/>
      <c r="E2921" s="68"/>
      <c r="F2921" s="68"/>
      <c r="G2921" s="68"/>
      <c r="H2921" s="68"/>
      <c r="I2921" s="69"/>
      <c r="J2921" s="69"/>
      <c r="K2921" s="71"/>
      <c r="L2921" s="69"/>
      <c r="M2921" s="69"/>
      <c r="N2921" s="72"/>
      <c r="O2921" s="69"/>
      <c r="P2921" s="69"/>
      <c r="Q2921" s="69"/>
      <c r="R2921" s="69"/>
      <c r="S2921" s="69"/>
      <c r="T2921" s="69"/>
      <c r="U2921" s="69"/>
      <c r="V2921" s="69"/>
      <c r="W2921" s="69"/>
      <c r="X2921" s="69"/>
      <c r="Y2921" s="69"/>
      <c r="Z2921" s="69"/>
      <c r="AA2921" s="69"/>
      <c r="AB2921" s="69"/>
      <c r="AC2921" s="69"/>
      <c r="AD2921" s="69"/>
      <c r="AE2921" s="69"/>
      <c r="AF2921" s="69"/>
      <c r="AG2921" s="69"/>
      <c r="AH2921" s="69"/>
      <c r="AI2921" s="69"/>
      <c r="AJ2921" s="69"/>
      <c r="AK2921" s="69"/>
      <c r="AL2921" s="69"/>
      <c r="AM2921" s="69"/>
      <c r="AN2921" s="69"/>
      <c r="AO2921" s="69"/>
      <c r="AP2921" s="69"/>
      <c r="AQ2921" s="69"/>
      <c r="AR2921" s="69"/>
      <c r="AS2921" s="69"/>
      <c r="AT2921" s="69"/>
      <c r="AU2921" s="69"/>
      <c r="AV2921" s="69"/>
      <c r="AW2921" s="69"/>
      <c r="AX2921" s="69"/>
      <c r="AY2921" s="69"/>
      <c r="AZ2921" s="69"/>
      <c r="BA2921" s="69"/>
      <c r="BB2921" s="69"/>
      <c r="BC2921" s="69"/>
    </row>
    <row r="2922">
      <c r="A2922" s="68"/>
      <c r="B2922" s="68"/>
      <c r="C2922" s="68"/>
      <c r="D2922" s="68"/>
      <c r="E2922" s="68"/>
      <c r="F2922" s="68"/>
      <c r="G2922" s="68"/>
      <c r="H2922" s="68"/>
      <c r="I2922" s="69"/>
      <c r="J2922" s="69"/>
      <c r="K2922" s="71"/>
      <c r="L2922" s="69"/>
      <c r="M2922" s="69"/>
      <c r="N2922" s="72"/>
      <c r="O2922" s="69"/>
      <c r="P2922" s="69"/>
      <c r="Q2922" s="69"/>
      <c r="R2922" s="69"/>
      <c r="S2922" s="69"/>
      <c r="T2922" s="69"/>
      <c r="U2922" s="69"/>
      <c r="V2922" s="69"/>
      <c r="W2922" s="69"/>
      <c r="X2922" s="69"/>
      <c r="Y2922" s="69"/>
      <c r="Z2922" s="69"/>
      <c r="AA2922" s="69"/>
      <c r="AB2922" s="69"/>
      <c r="AC2922" s="69"/>
      <c r="AD2922" s="69"/>
      <c r="AE2922" s="69"/>
      <c r="AF2922" s="69"/>
      <c r="AG2922" s="69"/>
      <c r="AH2922" s="69"/>
      <c r="AI2922" s="69"/>
      <c r="AJ2922" s="69"/>
      <c r="AK2922" s="69"/>
      <c r="AL2922" s="69"/>
      <c r="AM2922" s="69"/>
      <c r="AN2922" s="69"/>
      <c r="AO2922" s="69"/>
      <c r="AP2922" s="69"/>
      <c r="AQ2922" s="69"/>
      <c r="AR2922" s="69"/>
      <c r="AS2922" s="69"/>
      <c r="AT2922" s="69"/>
      <c r="AU2922" s="69"/>
      <c r="AV2922" s="69"/>
      <c r="AW2922" s="69"/>
      <c r="AX2922" s="69"/>
      <c r="AY2922" s="69"/>
      <c r="AZ2922" s="69"/>
      <c r="BA2922" s="69"/>
      <c r="BB2922" s="69"/>
      <c r="BC2922" s="69"/>
    </row>
    <row r="2923">
      <c r="A2923" s="68"/>
      <c r="B2923" s="68"/>
      <c r="C2923" s="68"/>
      <c r="D2923" s="68"/>
      <c r="E2923" s="68"/>
      <c r="F2923" s="68"/>
      <c r="G2923" s="68"/>
      <c r="H2923" s="68"/>
      <c r="I2923" s="69"/>
      <c r="J2923" s="69"/>
      <c r="K2923" s="71"/>
      <c r="L2923" s="69"/>
      <c r="M2923" s="69"/>
      <c r="N2923" s="72"/>
      <c r="O2923" s="69"/>
      <c r="P2923" s="69"/>
      <c r="Q2923" s="69"/>
      <c r="R2923" s="69"/>
      <c r="S2923" s="69"/>
      <c r="T2923" s="69"/>
      <c r="U2923" s="69"/>
      <c r="V2923" s="69"/>
      <c r="W2923" s="69"/>
      <c r="X2923" s="69"/>
      <c r="Y2923" s="69"/>
      <c r="Z2923" s="69"/>
      <c r="AA2923" s="69"/>
      <c r="AB2923" s="69"/>
      <c r="AC2923" s="69"/>
      <c r="AD2923" s="69"/>
      <c r="AE2923" s="69"/>
      <c r="AF2923" s="69"/>
      <c r="AG2923" s="69"/>
      <c r="AH2923" s="69"/>
      <c r="AI2923" s="69"/>
      <c r="AJ2923" s="69"/>
      <c r="AK2923" s="69"/>
      <c r="AL2923" s="69"/>
      <c r="AM2923" s="69"/>
      <c r="AN2923" s="69"/>
      <c r="AO2923" s="69"/>
      <c r="AP2923" s="69"/>
      <c r="AQ2923" s="69"/>
      <c r="AR2923" s="69"/>
      <c r="AS2923" s="69"/>
      <c r="AT2923" s="69"/>
      <c r="AU2923" s="69"/>
      <c r="AV2923" s="69"/>
      <c r="AW2923" s="69"/>
      <c r="AX2923" s="69"/>
      <c r="AY2923" s="69"/>
      <c r="AZ2923" s="69"/>
      <c r="BA2923" s="69"/>
      <c r="BB2923" s="69"/>
      <c r="BC2923" s="69"/>
    </row>
    <row r="2924">
      <c r="A2924" s="68"/>
      <c r="B2924" s="68"/>
      <c r="C2924" s="68"/>
      <c r="D2924" s="68"/>
      <c r="E2924" s="68"/>
      <c r="F2924" s="68"/>
      <c r="G2924" s="68"/>
      <c r="H2924" s="68"/>
      <c r="I2924" s="69"/>
      <c r="J2924" s="69"/>
      <c r="K2924" s="71"/>
      <c r="L2924" s="69"/>
      <c r="M2924" s="69"/>
      <c r="N2924" s="72"/>
      <c r="O2924" s="69"/>
      <c r="P2924" s="69"/>
      <c r="Q2924" s="69"/>
      <c r="R2924" s="69"/>
      <c r="S2924" s="69"/>
      <c r="T2924" s="69"/>
      <c r="U2924" s="69"/>
      <c r="V2924" s="69"/>
      <c r="W2924" s="69"/>
      <c r="X2924" s="69"/>
      <c r="Y2924" s="69"/>
      <c r="Z2924" s="69"/>
      <c r="AA2924" s="69"/>
      <c r="AB2924" s="69"/>
      <c r="AC2924" s="69"/>
      <c r="AD2924" s="69"/>
      <c r="AE2924" s="69"/>
      <c r="AF2924" s="69"/>
      <c r="AG2924" s="69"/>
      <c r="AH2924" s="69"/>
      <c r="AI2924" s="69"/>
      <c r="AJ2924" s="69"/>
      <c r="AK2924" s="69"/>
      <c r="AL2924" s="69"/>
      <c r="AM2924" s="69"/>
      <c r="AN2924" s="69"/>
      <c r="AO2924" s="69"/>
      <c r="AP2924" s="69"/>
      <c r="AQ2924" s="69"/>
      <c r="AR2924" s="69"/>
      <c r="AS2924" s="69"/>
      <c r="AT2924" s="69"/>
      <c r="AU2924" s="69"/>
      <c r="AV2924" s="69"/>
      <c r="AW2924" s="69"/>
      <c r="AX2924" s="69"/>
      <c r="AY2924" s="69"/>
      <c r="AZ2924" s="69"/>
      <c r="BA2924" s="69"/>
      <c r="BB2924" s="69"/>
      <c r="BC2924" s="69"/>
    </row>
    <row r="2925">
      <c r="A2925" s="68"/>
      <c r="B2925" s="68"/>
      <c r="C2925" s="68"/>
      <c r="D2925" s="68"/>
      <c r="E2925" s="68"/>
      <c r="F2925" s="68"/>
      <c r="G2925" s="68"/>
      <c r="H2925" s="68"/>
      <c r="I2925" s="69"/>
      <c r="J2925" s="69"/>
      <c r="K2925" s="71"/>
      <c r="L2925" s="69"/>
      <c r="M2925" s="69"/>
      <c r="N2925" s="72"/>
      <c r="O2925" s="69"/>
      <c r="P2925" s="69"/>
      <c r="Q2925" s="69"/>
      <c r="R2925" s="69"/>
      <c r="S2925" s="69"/>
      <c r="T2925" s="69"/>
      <c r="U2925" s="69"/>
      <c r="V2925" s="69"/>
      <c r="W2925" s="69"/>
      <c r="X2925" s="69"/>
      <c r="Y2925" s="69"/>
      <c r="Z2925" s="69"/>
      <c r="AA2925" s="69"/>
      <c r="AB2925" s="69"/>
      <c r="AC2925" s="69"/>
      <c r="AD2925" s="69"/>
      <c r="AE2925" s="69"/>
      <c r="AF2925" s="69"/>
      <c r="AG2925" s="69"/>
      <c r="AH2925" s="69"/>
      <c r="AI2925" s="69"/>
      <c r="AJ2925" s="69"/>
      <c r="AK2925" s="69"/>
      <c r="AL2925" s="69"/>
      <c r="AM2925" s="69"/>
      <c r="AN2925" s="69"/>
      <c r="AO2925" s="69"/>
      <c r="AP2925" s="69"/>
      <c r="AQ2925" s="69"/>
      <c r="AR2925" s="69"/>
      <c r="AS2925" s="69"/>
      <c r="AT2925" s="69"/>
      <c r="AU2925" s="69"/>
      <c r="AV2925" s="69"/>
      <c r="AW2925" s="69"/>
      <c r="AX2925" s="69"/>
      <c r="AY2925" s="69"/>
      <c r="AZ2925" s="69"/>
      <c r="BA2925" s="69"/>
      <c r="BB2925" s="69"/>
      <c r="BC2925" s="69"/>
    </row>
    <row r="2926">
      <c r="A2926" s="68"/>
      <c r="B2926" s="68"/>
      <c r="C2926" s="68"/>
      <c r="D2926" s="68"/>
      <c r="E2926" s="68"/>
      <c r="F2926" s="68"/>
      <c r="G2926" s="68"/>
      <c r="H2926" s="68"/>
      <c r="I2926" s="69"/>
      <c r="J2926" s="69"/>
      <c r="K2926" s="71"/>
      <c r="L2926" s="69"/>
      <c r="M2926" s="69"/>
      <c r="N2926" s="72"/>
      <c r="O2926" s="69"/>
      <c r="P2926" s="69"/>
      <c r="Q2926" s="69"/>
      <c r="R2926" s="69"/>
      <c r="S2926" s="69"/>
      <c r="T2926" s="69"/>
      <c r="U2926" s="69"/>
      <c r="V2926" s="69"/>
      <c r="W2926" s="69"/>
      <c r="X2926" s="69"/>
      <c r="Y2926" s="69"/>
      <c r="Z2926" s="69"/>
      <c r="AA2926" s="69"/>
      <c r="AB2926" s="69"/>
      <c r="AC2926" s="69"/>
      <c r="AD2926" s="69"/>
      <c r="AE2926" s="69"/>
      <c r="AF2926" s="69"/>
      <c r="AG2926" s="69"/>
      <c r="AH2926" s="69"/>
      <c r="AI2926" s="69"/>
      <c r="AJ2926" s="69"/>
      <c r="AK2926" s="69"/>
      <c r="AL2926" s="69"/>
      <c r="AM2926" s="69"/>
      <c r="AN2926" s="69"/>
      <c r="AO2926" s="69"/>
      <c r="AP2926" s="69"/>
      <c r="AQ2926" s="69"/>
      <c r="AR2926" s="69"/>
      <c r="AS2926" s="69"/>
      <c r="AT2926" s="69"/>
      <c r="AU2926" s="69"/>
      <c r="AV2926" s="69"/>
      <c r="AW2926" s="69"/>
      <c r="AX2926" s="69"/>
      <c r="AY2926" s="69"/>
      <c r="AZ2926" s="69"/>
      <c r="BA2926" s="69"/>
      <c r="BB2926" s="69"/>
      <c r="BC2926" s="69"/>
    </row>
    <row r="2927">
      <c r="A2927" s="68"/>
      <c r="B2927" s="68"/>
      <c r="C2927" s="68"/>
      <c r="D2927" s="68"/>
      <c r="E2927" s="68"/>
      <c r="F2927" s="68"/>
      <c r="G2927" s="68"/>
      <c r="H2927" s="68"/>
      <c r="I2927" s="69"/>
      <c r="J2927" s="69"/>
      <c r="K2927" s="71"/>
      <c r="L2927" s="69"/>
      <c r="M2927" s="69"/>
      <c r="N2927" s="72"/>
      <c r="O2927" s="69"/>
      <c r="P2927" s="69"/>
      <c r="Q2927" s="69"/>
      <c r="R2927" s="69"/>
      <c r="S2927" s="69"/>
      <c r="T2927" s="69"/>
      <c r="U2927" s="69"/>
      <c r="V2927" s="69"/>
      <c r="W2927" s="69"/>
      <c r="X2927" s="69"/>
      <c r="Y2927" s="69"/>
      <c r="Z2927" s="69"/>
      <c r="AA2927" s="69"/>
      <c r="AB2927" s="69"/>
      <c r="AC2927" s="69"/>
      <c r="AD2927" s="69"/>
      <c r="AE2927" s="69"/>
      <c r="AF2927" s="69"/>
      <c r="AG2927" s="69"/>
      <c r="AH2927" s="69"/>
      <c r="AI2927" s="69"/>
      <c r="AJ2927" s="69"/>
      <c r="AK2927" s="69"/>
      <c r="AL2927" s="69"/>
      <c r="AM2927" s="69"/>
      <c r="AN2927" s="69"/>
      <c r="AO2927" s="69"/>
      <c r="AP2927" s="69"/>
      <c r="AQ2927" s="69"/>
      <c r="AR2927" s="69"/>
      <c r="AS2927" s="69"/>
      <c r="AT2927" s="69"/>
      <c r="AU2927" s="69"/>
      <c r="AV2927" s="69"/>
      <c r="AW2927" s="69"/>
      <c r="AX2927" s="69"/>
      <c r="AY2927" s="69"/>
      <c r="AZ2927" s="69"/>
      <c r="BA2927" s="69"/>
      <c r="BB2927" s="69"/>
      <c r="BC2927" s="69"/>
    </row>
    <row r="2928">
      <c r="A2928" s="68"/>
      <c r="B2928" s="68"/>
      <c r="C2928" s="68"/>
      <c r="D2928" s="68"/>
      <c r="E2928" s="68"/>
      <c r="F2928" s="68"/>
      <c r="G2928" s="68"/>
      <c r="H2928" s="68"/>
      <c r="I2928" s="69"/>
      <c r="J2928" s="69"/>
      <c r="K2928" s="71"/>
      <c r="L2928" s="69"/>
      <c r="M2928" s="69"/>
      <c r="N2928" s="72"/>
      <c r="O2928" s="69"/>
      <c r="P2928" s="69"/>
      <c r="Q2928" s="69"/>
      <c r="R2928" s="69"/>
      <c r="S2928" s="69"/>
      <c r="T2928" s="69"/>
      <c r="U2928" s="69"/>
      <c r="V2928" s="69"/>
      <c r="W2928" s="69"/>
      <c r="X2928" s="69"/>
      <c r="Y2928" s="69"/>
      <c r="Z2928" s="69"/>
      <c r="AA2928" s="69"/>
      <c r="AB2928" s="69"/>
      <c r="AC2928" s="69"/>
      <c r="AD2928" s="69"/>
      <c r="AE2928" s="69"/>
      <c r="AF2928" s="69"/>
      <c r="AG2928" s="69"/>
      <c r="AH2928" s="69"/>
      <c r="AI2928" s="69"/>
      <c r="AJ2928" s="69"/>
      <c r="AK2928" s="69"/>
      <c r="AL2928" s="69"/>
      <c r="AM2928" s="69"/>
      <c r="AN2928" s="69"/>
      <c r="AO2928" s="69"/>
      <c r="AP2928" s="69"/>
      <c r="AQ2928" s="69"/>
      <c r="AR2928" s="69"/>
      <c r="AS2928" s="69"/>
      <c r="AT2928" s="69"/>
      <c r="AU2928" s="69"/>
      <c r="AV2928" s="69"/>
      <c r="AW2928" s="69"/>
      <c r="AX2928" s="69"/>
      <c r="AY2928" s="69"/>
      <c r="AZ2928" s="69"/>
      <c r="BA2928" s="69"/>
      <c r="BB2928" s="69"/>
      <c r="BC2928" s="69"/>
    </row>
  </sheetData>
  <dataValidations>
    <dataValidation type="list" allowBlank="1" showErrorMessage="1" sqref="H1">
      <formula1>romaneio!$Z$2:$Z$50</formula1>
    </dataValidation>
    <dataValidation type="list" allowBlank="1" showErrorMessage="1" sqref="P1">
      <formula1>romaneio!$AI2:$AI50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2" max="3" width="19.86"/>
  </cols>
  <sheetData>
    <row r="1" ht="30.0" customHeight="1">
      <c r="A1" s="77" t="s">
        <v>617</v>
      </c>
      <c r="B1" s="77" t="s">
        <v>8</v>
      </c>
      <c r="C1" s="77" t="s">
        <v>618</v>
      </c>
    </row>
    <row r="2">
      <c r="A2" s="78" t="s">
        <v>234</v>
      </c>
      <c r="B2" s="78" t="s">
        <v>619</v>
      </c>
      <c r="C2" s="78" t="s">
        <v>235</v>
      </c>
    </row>
    <row r="3">
      <c r="A3" s="78" t="s">
        <v>237</v>
      </c>
      <c r="B3" s="78" t="s">
        <v>620</v>
      </c>
      <c r="C3" s="78" t="s">
        <v>71</v>
      </c>
    </row>
    <row r="4">
      <c r="A4" s="78" t="s">
        <v>238</v>
      </c>
      <c r="B4" s="78" t="s">
        <v>621</v>
      </c>
      <c r="C4" s="78" t="s">
        <v>239</v>
      </c>
    </row>
    <row r="5">
      <c r="A5" s="78" t="s">
        <v>240</v>
      </c>
      <c r="B5" s="78" t="s">
        <v>622</v>
      </c>
      <c r="C5" s="78" t="s">
        <v>241</v>
      </c>
    </row>
    <row r="6">
      <c r="A6" s="78" t="s">
        <v>242</v>
      </c>
      <c r="B6" s="78" t="s">
        <v>623</v>
      </c>
      <c r="C6" s="78" t="s">
        <v>243</v>
      </c>
    </row>
    <row r="7">
      <c r="A7" s="78" t="s">
        <v>244</v>
      </c>
      <c r="B7" s="78" t="s">
        <v>624</v>
      </c>
      <c r="C7" s="78" t="s">
        <v>245</v>
      </c>
    </row>
    <row r="8">
      <c r="A8" s="78" t="s">
        <v>246</v>
      </c>
      <c r="B8" s="78" t="s">
        <v>625</v>
      </c>
      <c r="C8" s="78" t="s">
        <v>247</v>
      </c>
    </row>
    <row r="9">
      <c r="A9" s="78" t="s">
        <v>248</v>
      </c>
      <c r="B9" s="78" t="s">
        <v>626</v>
      </c>
      <c r="C9" s="78" t="s">
        <v>219</v>
      </c>
    </row>
    <row r="10">
      <c r="A10" s="78" t="s">
        <v>249</v>
      </c>
      <c r="B10" s="78" t="s">
        <v>627</v>
      </c>
      <c r="C10" s="78" t="s">
        <v>250</v>
      </c>
    </row>
    <row r="11">
      <c r="A11" s="78" t="s">
        <v>251</v>
      </c>
      <c r="B11" s="78" t="s">
        <v>628</v>
      </c>
      <c r="C11" s="78" t="s">
        <v>252</v>
      </c>
    </row>
    <row r="12">
      <c r="A12" s="78" t="s">
        <v>253</v>
      </c>
      <c r="B12" s="78" t="s">
        <v>629</v>
      </c>
      <c r="C12" s="78" t="s">
        <v>254</v>
      </c>
    </row>
    <row r="13">
      <c r="A13" s="78" t="s">
        <v>255</v>
      </c>
      <c r="B13" s="78" t="s">
        <v>630</v>
      </c>
      <c r="C13" s="78" t="s">
        <v>220</v>
      </c>
    </row>
    <row r="14">
      <c r="A14" s="78" t="s">
        <v>256</v>
      </c>
      <c r="B14" s="78" t="s">
        <v>631</v>
      </c>
      <c r="C14" s="78" t="s">
        <v>221</v>
      </c>
    </row>
    <row r="15">
      <c r="A15" s="78" t="s">
        <v>257</v>
      </c>
      <c r="B15" s="78" t="s">
        <v>632</v>
      </c>
      <c r="C15" s="78" t="s">
        <v>222</v>
      </c>
    </row>
    <row r="16">
      <c r="A16" s="78" t="s">
        <v>258</v>
      </c>
      <c r="B16" s="78" t="s">
        <v>633</v>
      </c>
      <c r="C16" s="78" t="s">
        <v>259</v>
      </c>
    </row>
    <row r="17">
      <c r="A17" s="78" t="s">
        <v>260</v>
      </c>
      <c r="B17" s="78" t="s">
        <v>634</v>
      </c>
      <c r="C17" s="78" t="s">
        <v>223</v>
      </c>
    </row>
    <row r="18">
      <c r="A18" s="78" t="s">
        <v>261</v>
      </c>
      <c r="B18" s="78" t="s">
        <v>635</v>
      </c>
      <c r="C18" s="78" t="s">
        <v>262</v>
      </c>
    </row>
    <row r="19">
      <c r="A19" s="78" t="s">
        <v>263</v>
      </c>
      <c r="B19" s="78" t="s">
        <v>636</v>
      </c>
      <c r="C19" s="78" t="s">
        <v>264</v>
      </c>
    </row>
    <row r="20">
      <c r="A20" s="78" t="s">
        <v>265</v>
      </c>
      <c r="B20" s="78" t="s">
        <v>637</v>
      </c>
      <c r="C20" s="78" t="s">
        <v>266</v>
      </c>
    </row>
    <row r="21">
      <c r="A21" s="78" t="s">
        <v>267</v>
      </c>
      <c r="B21" s="78" t="s">
        <v>638</v>
      </c>
      <c r="C21" s="78" t="s">
        <v>268</v>
      </c>
    </row>
    <row r="22">
      <c r="A22" s="78" t="s">
        <v>269</v>
      </c>
      <c r="B22" s="78" t="s">
        <v>639</v>
      </c>
      <c r="C22" s="78" t="s">
        <v>270</v>
      </c>
    </row>
    <row r="23">
      <c r="A23" s="78" t="s">
        <v>271</v>
      </c>
      <c r="B23" s="78" t="s">
        <v>640</v>
      </c>
      <c r="C23" s="78" t="s">
        <v>272</v>
      </c>
    </row>
    <row r="24">
      <c r="A24" s="78" t="s">
        <v>273</v>
      </c>
      <c r="B24" s="78" t="s">
        <v>641</v>
      </c>
      <c r="C24" s="78" t="s">
        <v>274</v>
      </c>
    </row>
    <row r="25">
      <c r="A25" s="78" t="s">
        <v>275</v>
      </c>
      <c r="B25" s="78" t="s">
        <v>642</v>
      </c>
      <c r="C25" s="78" t="s">
        <v>276</v>
      </c>
    </row>
    <row r="26">
      <c r="A26" s="78" t="s">
        <v>277</v>
      </c>
      <c r="B26" s="78" t="s">
        <v>643</v>
      </c>
      <c r="C26" s="78" t="s">
        <v>68</v>
      </c>
    </row>
    <row r="27">
      <c r="A27" s="78" t="s">
        <v>278</v>
      </c>
      <c r="B27" s="78" t="s">
        <v>644</v>
      </c>
      <c r="C27" s="78" t="s">
        <v>279</v>
      </c>
    </row>
    <row r="28">
      <c r="A28" s="78" t="s">
        <v>280</v>
      </c>
      <c r="B28" s="78" t="s">
        <v>645</v>
      </c>
      <c r="C28" s="78" t="s">
        <v>281</v>
      </c>
    </row>
    <row r="29">
      <c r="A29" s="78" t="s">
        <v>282</v>
      </c>
      <c r="B29" s="78" t="s">
        <v>646</v>
      </c>
      <c r="C29" s="78" t="s">
        <v>283</v>
      </c>
    </row>
    <row r="30">
      <c r="A30" s="78" t="s">
        <v>284</v>
      </c>
      <c r="B30" s="78" t="s">
        <v>647</v>
      </c>
      <c r="C30" s="78" t="s">
        <v>285</v>
      </c>
    </row>
    <row r="31">
      <c r="A31" s="78" t="s">
        <v>286</v>
      </c>
      <c r="B31" s="78" t="s">
        <v>648</v>
      </c>
      <c r="C31" s="78" t="s">
        <v>287</v>
      </c>
    </row>
    <row r="32">
      <c r="A32" s="78" t="s">
        <v>288</v>
      </c>
      <c r="B32" s="78" t="s">
        <v>649</v>
      </c>
      <c r="C32" s="78" t="s">
        <v>289</v>
      </c>
    </row>
    <row r="33">
      <c r="A33" s="78" t="s">
        <v>290</v>
      </c>
      <c r="B33" s="78" t="s">
        <v>650</v>
      </c>
      <c r="C33" s="78" t="s">
        <v>291</v>
      </c>
    </row>
    <row r="34">
      <c r="A34" s="78" t="s">
        <v>292</v>
      </c>
      <c r="B34" s="78" t="s">
        <v>651</v>
      </c>
      <c r="C34" s="78" t="s">
        <v>293</v>
      </c>
    </row>
    <row r="35">
      <c r="A35" s="78" t="s">
        <v>294</v>
      </c>
      <c r="B35" s="78" t="s">
        <v>652</v>
      </c>
      <c r="C35" s="78" t="s">
        <v>295</v>
      </c>
    </row>
    <row r="36">
      <c r="A36" s="78" t="s">
        <v>296</v>
      </c>
      <c r="B36" s="78" t="s">
        <v>653</v>
      </c>
      <c r="C36" s="78" t="s">
        <v>297</v>
      </c>
    </row>
    <row r="37">
      <c r="A37" s="78" t="s">
        <v>298</v>
      </c>
      <c r="B37" s="78" t="s">
        <v>654</v>
      </c>
      <c r="C37" s="78" t="s">
        <v>299</v>
      </c>
    </row>
    <row r="38">
      <c r="A38" s="78" t="s">
        <v>300</v>
      </c>
      <c r="B38" s="78" t="s">
        <v>655</v>
      </c>
      <c r="C38" s="78" t="s">
        <v>301</v>
      </c>
    </row>
    <row r="39">
      <c r="A39" s="78" t="s">
        <v>302</v>
      </c>
      <c r="B39" s="78" t="s">
        <v>656</v>
      </c>
      <c r="C39" s="78" t="s">
        <v>303</v>
      </c>
    </row>
    <row r="40">
      <c r="A40" s="78" t="s">
        <v>304</v>
      </c>
      <c r="B40" s="78" t="s">
        <v>657</v>
      </c>
      <c r="C40" s="78" t="s">
        <v>305</v>
      </c>
    </row>
    <row r="41">
      <c r="A41" s="78" t="s">
        <v>306</v>
      </c>
      <c r="B41" s="78" t="s">
        <v>658</v>
      </c>
      <c r="C41" s="78" t="s">
        <v>307</v>
      </c>
    </row>
    <row r="42">
      <c r="A42" s="78" t="s">
        <v>308</v>
      </c>
      <c r="B42" s="78" t="s">
        <v>659</v>
      </c>
      <c r="C42" s="78" t="s">
        <v>309</v>
      </c>
    </row>
    <row r="43">
      <c r="A43" s="78" t="s">
        <v>310</v>
      </c>
      <c r="B43" s="78" t="s">
        <v>660</v>
      </c>
      <c r="C43" s="78" t="s">
        <v>311</v>
      </c>
    </row>
    <row r="44">
      <c r="A44" s="78" t="s">
        <v>312</v>
      </c>
      <c r="B44" s="78" t="s">
        <v>661</v>
      </c>
      <c r="C44" s="78" t="s">
        <v>313</v>
      </c>
    </row>
    <row r="45">
      <c r="A45" s="78" t="s">
        <v>314</v>
      </c>
      <c r="B45" s="78" t="s">
        <v>662</v>
      </c>
      <c r="C45" s="78" t="s">
        <v>315</v>
      </c>
    </row>
    <row r="46">
      <c r="A46" s="78" t="s">
        <v>316</v>
      </c>
      <c r="B46" s="78" t="s">
        <v>663</v>
      </c>
      <c r="C46" s="78" t="s">
        <v>317</v>
      </c>
    </row>
    <row r="47">
      <c r="A47" s="78" t="s">
        <v>318</v>
      </c>
      <c r="B47" s="78" t="s">
        <v>664</v>
      </c>
      <c r="C47" s="78" t="s">
        <v>319</v>
      </c>
    </row>
    <row r="48">
      <c r="A48" s="78" t="s">
        <v>320</v>
      </c>
      <c r="B48" s="78" t="s">
        <v>665</v>
      </c>
      <c r="C48" s="78" t="s">
        <v>321</v>
      </c>
    </row>
    <row r="49">
      <c r="A49" s="78" t="s">
        <v>322</v>
      </c>
      <c r="B49" s="78" t="s">
        <v>666</v>
      </c>
      <c r="C49" s="78" t="s">
        <v>323</v>
      </c>
    </row>
    <row r="50">
      <c r="A50" s="78" t="s">
        <v>324</v>
      </c>
      <c r="B50" s="78" t="s">
        <v>667</v>
      </c>
      <c r="C50" s="78" t="s">
        <v>325</v>
      </c>
    </row>
    <row r="51">
      <c r="A51" s="78" t="s">
        <v>326</v>
      </c>
      <c r="B51" s="78" t="s">
        <v>668</v>
      </c>
      <c r="C51" s="78" t="s">
        <v>327</v>
      </c>
    </row>
    <row r="52">
      <c r="A52" s="78" t="s">
        <v>328</v>
      </c>
      <c r="B52" s="78" t="s">
        <v>669</v>
      </c>
      <c r="C52" s="78" t="s">
        <v>329</v>
      </c>
    </row>
    <row r="53">
      <c r="A53" s="78" t="s">
        <v>330</v>
      </c>
      <c r="B53" s="78" t="s">
        <v>670</v>
      </c>
      <c r="C53" s="78" t="s">
        <v>331</v>
      </c>
    </row>
    <row r="54">
      <c r="A54" s="78" t="s">
        <v>332</v>
      </c>
      <c r="B54" s="78" t="s">
        <v>671</v>
      </c>
      <c r="C54" s="78" t="s">
        <v>333</v>
      </c>
    </row>
    <row r="55">
      <c r="A55" s="78" t="s">
        <v>334</v>
      </c>
      <c r="B55" s="78" t="s">
        <v>672</v>
      </c>
      <c r="C55" s="78" t="s">
        <v>69</v>
      </c>
    </row>
    <row r="56">
      <c r="A56" s="78" t="s">
        <v>335</v>
      </c>
      <c r="B56" s="78" t="s">
        <v>673</v>
      </c>
      <c r="C56" s="78" t="s">
        <v>336</v>
      </c>
    </row>
    <row r="57">
      <c r="A57" s="78" t="s">
        <v>337</v>
      </c>
      <c r="B57" s="78" t="s">
        <v>674</v>
      </c>
      <c r="C57" s="78" t="s">
        <v>70</v>
      </c>
    </row>
    <row r="58">
      <c r="A58" s="78" t="s">
        <v>338</v>
      </c>
      <c r="B58" s="78" t="s">
        <v>675</v>
      </c>
      <c r="C58" s="78" t="s">
        <v>339</v>
      </c>
    </row>
    <row r="59">
      <c r="A59" s="78" t="s">
        <v>340</v>
      </c>
      <c r="B59" s="78" t="s">
        <v>676</v>
      </c>
      <c r="C59" s="78" t="s">
        <v>341</v>
      </c>
    </row>
    <row r="60">
      <c r="A60" s="78" t="s">
        <v>342</v>
      </c>
      <c r="B60" s="78" t="s">
        <v>677</v>
      </c>
      <c r="C60" s="78" t="s">
        <v>343</v>
      </c>
    </row>
    <row r="61">
      <c r="A61" s="78" t="s">
        <v>344</v>
      </c>
      <c r="B61" s="78" t="s">
        <v>678</v>
      </c>
      <c r="C61" s="78" t="s">
        <v>345</v>
      </c>
    </row>
    <row r="62">
      <c r="A62" s="78" t="s">
        <v>346</v>
      </c>
      <c r="B62" s="78" t="s">
        <v>679</v>
      </c>
      <c r="C62" s="78" t="s">
        <v>66</v>
      </c>
    </row>
    <row r="63">
      <c r="A63" s="78" t="s">
        <v>347</v>
      </c>
      <c r="B63" s="78" t="s">
        <v>680</v>
      </c>
      <c r="C63" s="78" t="s">
        <v>66</v>
      </c>
    </row>
    <row r="64">
      <c r="A64" s="78" t="s">
        <v>348</v>
      </c>
      <c r="B64" s="78" t="s">
        <v>681</v>
      </c>
      <c r="C64" s="78" t="s">
        <v>57</v>
      </c>
    </row>
    <row r="65">
      <c r="A65" s="78" t="s">
        <v>349</v>
      </c>
      <c r="B65" s="78" t="s">
        <v>682</v>
      </c>
      <c r="C65" s="78" t="s">
        <v>350</v>
      </c>
    </row>
    <row r="66">
      <c r="A66" s="78" t="s">
        <v>351</v>
      </c>
      <c r="B66" s="78" t="s">
        <v>683</v>
      </c>
      <c r="C66" s="78" t="s">
        <v>352</v>
      </c>
    </row>
    <row r="67">
      <c r="A67" s="78" t="s">
        <v>353</v>
      </c>
      <c r="B67" s="78" t="s">
        <v>684</v>
      </c>
      <c r="C67" s="78" t="s">
        <v>354</v>
      </c>
    </row>
    <row r="68">
      <c r="A68" s="78" t="s">
        <v>355</v>
      </c>
      <c r="B68" s="78" t="s">
        <v>685</v>
      </c>
      <c r="C68" s="78" t="s">
        <v>356</v>
      </c>
    </row>
    <row r="69">
      <c r="A69" s="78" t="s">
        <v>357</v>
      </c>
      <c r="B69" s="78" t="s">
        <v>686</v>
      </c>
      <c r="C69" s="78" t="s">
        <v>358</v>
      </c>
    </row>
    <row r="70">
      <c r="A70" s="78" t="s">
        <v>359</v>
      </c>
      <c r="B70" s="78" t="s">
        <v>687</v>
      </c>
      <c r="C70" s="78" t="s">
        <v>57</v>
      </c>
    </row>
    <row r="71">
      <c r="A71" s="78"/>
      <c r="B71" s="78"/>
      <c r="C71" s="78"/>
    </row>
    <row r="72">
      <c r="A72" s="78"/>
      <c r="B72" s="78"/>
      <c r="C72" s="78"/>
    </row>
    <row r="73">
      <c r="A73" s="78"/>
      <c r="B73" s="78"/>
      <c r="C73" s="78"/>
    </row>
    <row r="74">
      <c r="A74" s="78"/>
      <c r="B74" s="78"/>
      <c r="C74" s="78"/>
    </row>
    <row r="75">
      <c r="A75" s="78"/>
      <c r="B75" s="78"/>
      <c r="C75" s="78"/>
    </row>
    <row r="76">
      <c r="A76" s="78"/>
      <c r="B76" s="78"/>
      <c r="C76" s="78"/>
    </row>
    <row r="77">
      <c r="A77" s="78"/>
      <c r="B77" s="78"/>
      <c r="C77" s="78"/>
    </row>
    <row r="78">
      <c r="A78" s="78"/>
      <c r="B78" s="78"/>
      <c r="C78" s="78"/>
    </row>
    <row r="79">
      <c r="A79" s="78"/>
      <c r="B79" s="78"/>
      <c r="C79" s="78"/>
    </row>
    <row r="80">
      <c r="A80" s="78"/>
      <c r="B80" s="78"/>
      <c r="C80" s="78"/>
    </row>
    <row r="81">
      <c r="A81" s="78"/>
      <c r="B81" s="78"/>
      <c r="C81" s="78"/>
    </row>
    <row r="82">
      <c r="A82" s="78"/>
      <c r="B82" s="78"/>
      <c r="C82" s="78"/>
    </row>
    <row r="83">
      <c r="A83" s="78"/>
      <c r="B83" s="78"/>
      <c r="C83" s="78"/>
    </row>
    <row r="84">
      <c r="A84" s="78"/>
      <c r="B84" s="78"/>
      <c r="C84" s="78"/>
    </row>
    <row r="85">
      <c r="A85" s="78"/>
      <c r="B85" s="78"/>
      <c r="C85" s="78"/>
    </row>
    <row r="86">
      <c r="A86" s="78"/>
      <c r="B86" s="78"/>
      <c r="C86" s="78"/>
    </row>
    <row r="87">
      <c r="A87" s="78"/>
      <c r="B87" s="78"/>
      <c r="C87" s="78"/>
    </row>
    <row r="88">
      <c r="A88" s="78"/>
      <c r="B88" s="78"/>
      <c r="C88" s="78"/>
    </row>
    <row r="89">
      <c r="A89" s="78"/>
      <c r="B89" s="78"/>
      <c r="C89" s="78"/>
    </row>
    <row r="90">
      <c r="A90" s="78"/>
      <c r="B90" s="78"/>
      <c r="C90" s="78"/>
    </row>
    <row r="91">
      <c r="A91" s="78"/>
      <c r="B91" s="78"/>
      <c r="C91" s="78"/>
    </row>
    <row r="92">
      <c r="A92" s="78"/>
      <c r="B92" s="78"/>
      <c r="C92" s="78"/>
    </row>
    <row r="93">
      <c r="A93" s="78"/>
      <c r="B93" s="78"/>
      <c r="C93" s="78"/>
    </row>
    <row r="94">
      <c r="A94" s="78"/>
      <c r="B94" s="78"/>
      <c r="C94" s="78"/>
    </row>
    <row r="95">
      <c r="A95" s="78"/>
      <c r="B95" s="78"/>
      <c r="C95" s="78"/>
    </row>
    <row r="96">
      <c r="A96" s="78"/>
      <c r="B96" s="78"/>
      <c r="C96" s="78"/>
    </row>
    <row r="97">
      <c r="A97" s="78"/>
      <c r="B97" s="78"/>
      <c r="C97" s="78"/>
    </row>
    <row r="98">
      <c r="A98" s="78"/>
      <c r="B98" s="78"/>
      <c r="C98" s="78"/>
    </row>
    <row r="99">
      <c r="A99" s="78"/>
      <c r="B99" s="78"/>
      <c r="C99" s="78"/>
    </row>
    <row r="100">
      <c r="A100" s="78"/>
      <c r="B100" s="78"/>
      <c r="C100" s="7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8.0"/>
    <col customWidth="1" min="2" max="4" width="19.29"/>
  </cols>
  <sheetData>
    <row r="1" ht="30.0" customHeight="1">
      <c r="A1" s="79" t="s">
        <v>474</v>
      </c>
      <c r="B1" s="79" t="s">
        <v>475</v>
      </c>
      <c r="C1" s="79" t="s">
        <v>230</v>
      </c>
      <c r="D1" s="79" t="s">
        <v>8</v>
      </c>
    </row>
    <row r="2">
      <c r="A2" s="80" t="s">
        <v>476</v>
      </c>
      <c r="B2" s="80" t="s">
        <v>477</v>
      </c>
      <c r="C2" s="80" t="s">
        <v>478</v>
      </c>
      <c r="D2" s="80" t="s">
        <v>688</v>
      </c>
    </row>
    <row r="3">
      <c r="A3" s="80" t="s">
        <v>479</v>
      </c>
      <c r="B3" s="80" t="s">
        <v>477</v>
      </c>
      <c r="C3" s="80" t="s">
        <v>478</v>
      </c>
      <c r="D3" s="80" t="s">
        <v>689</v>
      </c>
    </row>
    <row r="4">
      <c r="A4" s="80" t="s">
        <v>480</v>
      </c>
      <c r="B4" s="80" t="s">
        <v>477</v>
      </c>
      <c r="C4" s="80" t="s">
        <v>478</v>
      </c>
      <c r="D4" s="80" t="s">
        <v>690</v>
      </c>
    </row>
    <row r="5">
      <c r="A5" s="80" t="s">
        <v>481</v>
      </c>
      <c r="B5" s="80" t="s">
        <v>477</v>
      </c>
      <c r="C5" s="80" t="s">
        <v>478</v>
      </c>
      <c r="D5" s="80" t="s">
        <v>691</v>
      </c>
    </row>
    <row r="6">
      <c r="A6" s="80" t="s">
        <v>482</v>
      </c>
      <c r="B6" s="80" t="s">
        <v>477</v>
      </c>
      <c r="C6" s="80" t="s">
        <v>478</v>
      </c>
      <c r="D6" s="80" t="s">
        <v>692</v>
      </c>
    </row>
    <row r="7">
      <c r="A7" s="80" t="s">
        <v>483</v>
      </c>
      <c r="B7" s="80" t="s">
        <v>477</v>
      </c>
      <c r="C7" s="80" t="s">
        <v>478</v>
      </c>
      <c r="D7" s="80" t="s">
        <v>693</v>
      </c>
    </row>
    <row r="8">
      <c r="A8" s="80" t="s">
        <v>484</v>
      </c>
      <c r="B8" s="80" t="s">
        <v>477</v>
      </c>
      <c r="C8" s="80" t="s">
        <v>478</v>
      </c>
      <c r="D8" s="80" t="s">
        <v>694</v>
      </c>
    </row>
    <row r="9">
      <c r="A9" s="80" t="s">
        <v>485</v>
      </c>
      <c r="B9" s="80" t="s">
        <v>477</v>
      </c>
      <c r="C9" s="80" t="s">
        <v>478</v>
      </c>
      <c r="D9" s="80" t="s">
        <v>695</v>
      </c>
    </row>
    <row r="10">
      <c r="A10" s="80" t="s">
        <v>486</v>
      </c>
      <c r="B10" s="80" t="s">
        <v>477</v>
      </c>
      <c r="C10" s="80" t="s">
        <v>478</v>
      </c>
      <c r="D10" s="48" t="s">
        <v>694</v>
      </c>
    </row>
    <row r="11">
      <c r="A11" s="80" t="s">
        <v>487</v>
      </c>
      <c r="B11" s="80" t="s">
        <v>488</v>
      </c>
      <c r="C11" s="80" t="s">
        <v>478</v>
      </c>
      <c r="D11" s="80" t="s">
        <v>696</v>
      </c>
    </row>
    <row r="12">
      <c r="A12" s="80" t="s">
        <v>489</v>
      </c>
      <c r="B12" s="80" t="s">
        <v>488</v>
      </c>
      <c r="C12" s="80" t="s">
        <v>478</v>
      </c>
      <c r="D12" s="80" t="s">
        <v>696</v>
      </c>
    </row>
    <row r="13">
      <c r="A13" s="80" t="s">
        <v>490</v>
      </c>
      <c r="B13" s="80" t="s">
        <v>488</v>
      </c>
      <c r="C13" s="80" t="s">
        <v>478</v>
      </c>
      <c r="D13" s="80" t="s">
        <v>697</v>
      </c>
    </row>
    <row r="14">
      <c r="A14" s="80" t="s">
        <v>491</v>
      </c>
      <c r="B14" s="80" t="s">
        <v>492</v>
      </c>
      <c r="C14" s="80" t="s">
        <v>478</v>
      </c>
      <c r="D14" s="80" t="s">
        <v>698</v>
      </c>
    </row>
    <row r="15">
      <c r="A15" s="48" t="s">
        <v>494</v>
      </c>
      <c r="B15" s="48" t="s">
        <v>495</v>
      </c>
      <c r="C15" s="48" t="s">
        <v>478</v>
      </c>
      <c r="D15" s="80" t="s">
        <v>699</v>
      </c>
    </row>
    <row r="16">
      <c r="A16" s="80" t="s">
        <v>496</v>
      </c>
      <c r="B16" s="80" t="s">
        <v>497</v>
      </c>
      <c r="C16" s="80" t="s">
        <v>478</v>
      </c>
      <c r="D16" s="80" t="s">
        <v>700</v>
      </c>
    </row>
    <row r="17">
      <c r="A17" s="80" t="s">
        <v>498</v>
      </c>
      <c r="B17" s="80" t="s">
        <v>497</v>
      </c>
      <c r="C17" s="80" t="s">
        <v>478</v>
      </c>
      <c r="D17" s="80" t="s">
        <v>701</v>
      </c>
    </row>
    <row r="18">
      <c r="A18" s="80" t="s">
        <v>499</v>
      </c>
      <c r="B18" s="80" t="s">
        <v>497</v>
      </c>
      <c r="C18" s="80" t="s">
        <v>478</v>
      </c>
      <c r="D18" s="80" t="s">
        <v>701</v>
      </c>
    </row>
    <row r="19">
      <c r="A19" s="80" t="s">
        <v>500</v>
      </c>
      <c r="B19" s="80" t="s">
        <v>497</v>
      </c>
      <c r="C19" s="80" t="s">
        <v>478</v>
      </c>
      <c r="D19" s="48" t="s">
        <v>702</v>
      </c>
    </row>
    <row r="20">
      <c r="A20" s="80" t="s">
        <v>501</v>
      </c>
      <c r="B20" s="80" t="s">
        <v>497</v>
      </c>
      <c r="C20" s="80" t="s">
        <v>478</v>
      </c>
      <c r="D20" s="48" t="s">
        <v>703</v>
      </c>
    </row>
    <row r="21">
      <c r="A21" s="80" t="s">
        <v>502</v>
      </c>
      <c r="B21" s="80" t="s">
        <v>497</v>
      </c>
      <c r="C21" s="80" t="s">
        <v>478</v>
      </c>
      <c r="D21" s="80" t="s">
        <v>704</v>
      </c>
    </row>
    <row r="22">
      <c r="A22" s="80" t="s">
        <v>504</v>
      </c>
      <c r="B22" s="80" t="s">
        <v>505</v>
      </c>
      <c r="C22" s="80" t="s">
        <v>478</v>
      </c>
      <c r="D22" s="48" t="s">
        <v>705</v>
      </c>
    </row>
    <row r="23">
      <c r="A23" s="80" t="s">
        <v>506</v>
      </c>
      <c r="B23" s="80" t="s">
        <v>505</v>
      </c>
      <c r="C23" s="80" t="s">
        <v>478</v>
      </c>
      <c r="D23" s="48" t="s">
        <v>705</v>
      </c>
    </row>
    <row r="24">
      <c r="A24" s="80" t="s">
        <v>507</v>
      </c>
      <c r="B24" s="80" t="s">
        <v>505</v>
      </c>
      <c r="C24" s="80" t="s">
        <v>478</v>
      </c>
      <c r="D24" s="48" t="s">
        <v>705</v>
      </c>
    </row>
    <row r="25">
      <c r="A25" s="80" t="s">
        <v>508</v>
      </c>
      <c r="B25" s="80" t="s">
        <v>505</v>
      </c>
      <c r="C25" s="80" t="s">
        <v>478</v>
      </c>
      <c r="D25" s="80" t="s">
        <v>706</v>
      </c>
    </row>
    <row r="26">
      <c r="A26" s="80" t="s">
        <v>509</v>
      </c>
      <c r="B26" s="80" t="s">
        <v>505</v>
      </c>
      <c r="C26" s="80" t="s">
        <v>478</v>
      </c>
      <c r="D26" s="48" t="s">
        <v>707</v>
      </c>
    </row>
    <row r="27">
      <c r="A27" s="80" t="s">
        <v>510</v>
      </c>
      <c r="B27" s="80" t="s">
        <v>511</v>
      </c>
      <c r="C27" s="80" t="s">
        <v>478</v>
      </c>
      <c r="D27" s="80" t="s">
        <v>708</v>
      </c>
    </row>
    <row r="28">
      <c r="A28" s="80" t="s">
        <v>512</v>
      </c>
      <c r="B28" s="80" t="s">
        <v>511</v>
      </c>
      <c r="C28" s="80" t="s">
        <v>478</v>
      </c>
      <c r="D28" s="80" t="s">
        <v>709</v>
      </c>
    </row>
    <row r="29">
      <c r="A29" s="80" t="s">
        <v>513</v>
      </c>
      <c r="B29" s="80" t="s">
        <v>511</v>
      </c>
      <c r="C29" s="80" t="s">
        <v>478</v>
      </c>
      <c r="D29" s="80" t="s">
        <v>710</v>
      </c>
    </row>
    <row r="30">
      <c r="A30" s="48" t="s">
        <v>514</v>
      </c>
      <c r="B30" s="48" t="s">
        <v>511</v>
      </c>
      <c r="C30" s="48" t="s">
        <v>478</v>
      </c>
      <c r="D30" s="80" t="s">
        <v>711</v>
      </c>
    </row>
    <row r="31">
      <c r="A31" s="80" t="s">
        <v>515</v>
      </c>
      <c r="B31" s="80" t="s">
        <v>516</v>
      </c>
      <c r="C31" s="80" t="s">
        <v>478</v>
      </c>
      <c r="D31" s="80" t="s">
        <v>712</v>
      </c>
    </row>
    <row r="32">
      <c r="A32" s="80" t="s">
        <v>517</v>
      </c>
      <c r="B32" s="80" t="s">
        <v>516</v>
      </c>
      <c r="C32" s="80" t="s">
        <v>478</v>
      </c>
      <c r="D32" s="48" t="s">
        <v>713</v>
      </c>
    </row>
    <row r="33">
      <c r="A33" s="80" t="s">
        <v>518</v>
      </c>
      <c r="B33" s="80" t="s">
        <v>516</v>
      </c>
      <c r="C33" s="80" t="s">
        <v>478</v>
      </c>
      <c r="D33" s="48" t="s">
        <v>714</v>
      </c>
    </row>
    <row r="34">
      <c r="A34" s="80" t="s">
        <v>519</v>
      </c>
      <c r="B34" s="80" t="s">
        <v>516</v>
      </c>
      <c r="C34" s="80" t="s">
        <v>478</v>
      </c>
      <c r="D34" s="48" t="s">
        <v>715</v>
      </c>
    </row>
    <row r="35">
      <c r="A35" s="80" t="s">
        <v>520</v>
      </c>
      <c r="B35" s="80" t="s">
        <v>521</v>
      </c>
      <c r="C35" s="80" t="s">
        <v>478</v>
      </c>
      <c r="D35" s="80" t="s">
        <v>716</v>
      </c>
    </row>
    <row r="36">
      <c r="A36" s="80" t="s">
        <v>522</v>
      </c>
      <c r="B36" s="80" t="s">
        <v>521</v>
      </c>
      <c r="C36" s="80" t="s">
        <v>478</v>
      </c>
      <c r="D36" s="80" t="s">
        <v>717</v>
      </c>
    </row>
    <row r="37">
      <c r="A37" s="80" t="s">
        <v>523</v>
      </c>
      <c r="B37" s="80" t="s">
        <v>521</v>
      </c>
      <c r="C37" s="80" t="s">
        <v>478</v>
      </c>
      <c r="D37" s="80" t="s">
        <v>718</v>
      </c>
    </row>
    <row r="38">
      <c r="A38" s="80" t="s">
        <v>524</v>
      </c>
      <c r="B38" s="80" t="s">
        <v>521</v>
      </c>
      <c r="C38" s="80" t="s">
        <v>478</v>
      </c>
      <c r="D38" s="48" t="s">
        <v>716</v>
      </c>
    </row>
    <row r="39">
      <c r="A39" s="80" t="s">
        <v>525</v>
      </c>
      <c r="B39" s="80" t="s">
        <v>521</v>
      </c>
      <c r="C39" s="80" t="s">
        <v>478</v>
      </c>
      <c r="D39" s="80" t="s">
        <v>718</v>
      </c>
    </row>
    <row r="40">
      <c r="A40" s="80" t="s">
        <v>526</v>
      </c>
      <c r="B40" s="80" t="s">
        <v>521</v>
      </c>
      <c r="C40" s="80" t="s">
        <v>478</v>
      </c>
      <c r="D40" s="80" t="s">
        <v>719</v>
      </c>
    </row>
    <row r="41">
      <c r="A41" s="48" t="s">
        <v>527</v>
      </c>
      <c r="B41" s="48" t="s">
        <v>521</v>
      </c>
      <c r="C41" s="48" t="s">
        <v>478</v>
      </c>
      <c r="D41" s="80" t="s">
        <v>720</v>
      </c>
    </row>
    <row r="42">
      <c r="A42" s="48" t="s">
        <v>527</v>
      </c>
      <c r="B42" s="48" t="s">
        <v>521</v>
      </c>
      <c r="C42" s="48" t="s">
        <v>478</v>
      </c>
      <c r="D42" s="80" t="s">
        <v>720</v>
      </c>
    </row>
    <row r="43">
      <c r="A43" s="48" t="s">
        <v>528</v>
      </c>
      <c r="B43" s="48" t="s">
        <v>529</v>
      </c>
      <c r="C43" s="48" t="s">
        <v>478</v>
      </c>
      <c r="D43" s="48" t="s">
        <v>721</v>
      </c>
    </row>
    <row r="44">
      <c r="A44" s="80" t="s">
        <v>530</v>
      </c>
      <c r="B44" s="80" t="s">
        <v>531</v>
      </c>
      <c r="C44" s="80" t="s">
        <v>478</v>
      </c>
      <c r="D44" s="80" t="s">
        <v>722</v>
      </c>
    </row>
    <row r="45">
      <c r="A45" s="80" t="s">
        <v>532</v>
      </c>
      <c r="B45" s="80" t="s">
        <v>533</v>
      </c>
      <c r="C45" s="80" t="s">
        <v>478</v>
      </c>
      <c r="D45" s="80" t="s">
        <v>723</v>
      </c>
    </row>
    <row r="46">
      <c r="A46" s="80" t="s">
        <v>534</v>
      </c>
      <c r="B46" s="80" t="s">
        <v>533</v>
      </c>
      <c r="C46" s="80" t="s">
        <v>478</v>
      </c>
      <c r="D46" s="80" t="s">
        <v>724</v>
      </c>
    </row>
    <row r="47">
      <c r="A47" s="80" t="s">
        <v>535</v>
      </c>
      <c r="B47" s="80" t="s">
        <v>533</v>
      </c>
      <c r="C47" s="80" t="s">
        <v>478</v>
      </c>
      <c r="D47" s="80" t="s">
        <v>721</v>
      </c>
    </row>
    <row r="48">
      <c r="A48" s="80" t="s">
        <v>536</v>
      </c>
      <c r="B48" s="80" t="s">
        <v>533</v>
      </c>
      <c r="C48" s="80" t="s">
        <v>478</v>
      </c>
      <c r="D48" s="48" t="s">
        <v>725</v>
      </c>
    </row>
    <row r="49">
      <c r="A49" s="80" t="s">
        <v>537</v>
      </c>
      <c r="B49" s="80" t="s">
        <v>533</v>
      </c>
      <c r="C49" s="80" t="s">
        <v>478</v>
      </c>
      <c r="D49" s="48" t="s">
        <v>726</v>
      </c>
    </row>
    <row r="50">
      <c r="A50" s="80" t="s">
        <v>538</v>
      </c>
      <c r="B50" s="80" t="s">
        <v>533</v>
      </c>
      <c r="C50" s="80" t="s">
        <v>478</v>
      </c>
      <c r="D50" s="48" t="s">
        <v>725</v>
      </c>
    </row>
    <row r="51">
      <c r="A51" s="80" t="s">
        <v>539</v>
      </c>
      <c r="B51" s="80" t="s">
        <v>540</v>
      </c>
      <c r="C51" s="80" t="s">
        <v>478</v>
      </c>
      <c r="D51" s="48" t="s">
        <v>727</v>
      </c>
    </row>
    <row r="52">
      <c r="A52" s="80" t="s">
        <v>541</v>
      </c>
      <c r="B52" s="80" t="s">
        <v>540</v>
      </c>
      <c r="C52" s="80" t="s">
        <v>478</v>
      </c>
      <c r="D52" s="80" t="s">
        <v>728</v>
      </c>
    </row>
    <row r="53">
      <c r="A53" s="80" t="s">
        <v>542</v>
      </c>
      <c r="B53" s="80" t="s">
        <v>540</v>
      </c>
      <c r="C53" s="80" t="s">
        <v>478</v>
      </c>
      <c r="D53" s="80" t="s">
        <v>729</v>
      </c>
    </row>
    <row r="54">
      <c r="A54" s="80" t="s">
        <v>543</v>
      </c>
      <c r="B54" s="80" t="s">
        <v>540</v>
      </c>
      <c r="C54" s="80" t="s">
        <v>478</v>
      </c>
      <c r="D54" s="80" t="s">
        <v>729</v>
      </c>
    </row>
    <row r="55">
      <c r="A55" s="80" t="s">
        <v>544</v>
      </c>
      <c r="B55" s="80" t="s">
        <v>540</v>
      </c>
      <c r="C55" s="80" t="s">
        <v>478</v>
      </c>
      <c r="D55" s="80" t="s">
        <v>730</v>
      </c>
    </row>
    <row r="56">
      <c r="A56" s="80" t="s">
        <v>545</v>
      </c>
      <c r="B56" s="80" t="s">
        <v>546</v>
      </c>
      <c r="C56" s="80" t="s">
        <v>478</v>
      </c>
      <c r="D56" s="80" t="s">
        <v>731</v>
      </c>
    </row>
    <row r="57">
      <c r="A57" s="80" t="s">
        <v>547</v>
      </c>
      <c r="B57" s="80" t="s">
        <v>546</v>
      </c>
      <c r="C57" s="80" t="s">
        <v>478</v>
      </c>
      <c r="D57" s="80" t="s">
        <v>732</v>
      </c>
    </row>
    <row r="58">
      <c r="A58" s="80" t="s">
        <v>548</v>
      </c>
      <c r="B58" s="80" t="s">
        <v>546</v>
      </c>
      <c r="C58" s="80" t="s">
        <v>478</v>
      </c>
      <c r="D58" s="80" t="s">
        <v>733</v>
      </c>
    </row>
    <row r="59">
      <c r="A59" s="80" t="s">
        <v>549</v>
      </c>
      <c r="B59" s="80" t="s">
        <v>546</v>
      </c>
      <c r="C59" s="80" t="s">
        <v>478</v>
      </c>
      <c r="D59" s="80" t="s">
        <v>734</v>
      </c>
    </row>
    <row r="60">
      <c r="A60" s="80" t="s">
        <v>550</v>
      </c>
      <c r="B60" s="80" t="s">
        <v>546</v>
      </c>
      <c r="C60" s="80" t="s">
        <v>478</v>
      </c>
      <c r="D60" s="80" t="s">
        <v>735</v>
      </c>
    </row>
    <row r="61">
      <c r="A61" s="48" t="s">
        <v>551</v>
      </c>
      <c r="B61" s="80" t="s">
        <v>546</v>
      </c>
      <c r="C61" s="80" t="s">
        <v>478</v>
      </c>
      <c r="D61" s="80" t="s">
        <v>736</v>
      </c>
    </row>
    <row r="62">
      <c r="A62" s="48" t="s">
        <v>552</v>
      </c>
      <c r="B62" s="48" t="s">
        <v>553</v>
      </c>
      <c r="C62" s="48" t="s">
        <v>478</v>
      </c>
      <c r="D62" s="80" t="s">
        <v>737</v>
      </c>
    </row>
    <row r="63">
      <c r="A63" s="48" t="s">
        <v>554</v>
      </c>
      <c r="B63" s="48" t="s">
        <v>546</v>
      </c>
      <c r="C63" s="48" t="s">
        <v>478</v>
      </c>
      <c r="D63" s="80" t="s">
        <v>738</v>
      </c>
    </row>
    <row r="64">
      <c r="A64" s="80" t="s">
        <v>555</v>
      </c>
      <c r="B64" s="80" t="s">
        <v>556</v>
      </c>
      <c r="C64" s="80" t="s">
        <v>478</v>
      </c>
      <c r="D64" s="48" t="s">
        <v>739</v>
      </c>
    </row>
    <row r="65">
      <c r="A65" s="80" t="s">
        <v>557</v>
      </c>
      <c r="B65" s="80" t="s">
        <v>556</v>
      </c>
      <c r="C65" s="80" t="s">
        <v>478</v>
      </c>
      <c r="D65" s="48" t="s">
        <v>739</v>
      </c>
    </row>
    <row r="66">
      <c r="A66" s="80" t="s">
        <v>558</v>
      </c>
      <c r="B66" s="80" t="s">
        <v>556</v>
      </c>
      <c r="C66" s="80" t="s">
        <v>478</v>
      </c>
      <c r="D66" s="48" t="s">
        <v>740</v>
      </c>
    </row>
    <row r="67">
      <c r="A67" s="80" t="s">
        <v>559</v>
      </c>
      <c r="B67" s="80" t="s">
        <v>556</v>
      </c>
      <c r="C67" s="80" t="s">
        <v>478</v>
      </c>
      <c r="D67" s="80" t="s">
        <v>740</v>
      </c>
    </row>
    <row r="68">
      <c r="A68" s="80" t="s">
        <v>560</v>
      </c>
      <c r="B68" s="80" t="s">
        <v>556</v>
      </c>
      <c r="C68" s="80" t="s">
        <v>478</v>
      </c>
      <c r="D68" s="48" t="s">
        <v>740</v>
      </c>
    </row>
    <row r="69">
      <c r="A69" s="80" t="s">
        <v>561</v>
      </c>
      <c r="B69" s="80" t="s">
        <v>556</v>
      </c>
      <c r="C69" s="80" t="s">
        <v>478</v>
      </c>
      <c r="D69" s="48" t="s">
        <v>740</v>
      </c>
    </row>
    <row r="70">
      <c r="A70" s="80" t="s">
        <v>562</v>
      </c>
      <c r="B70" s="80" t="s">
        <v>556</v>
      </c>
      <c r="C70" s="80" t="s">
        <v>478</v>
      </c>
      <c r="D70" s="48" t="s">
        <v>740</v>
      </c>
    </row>
    <row r="71">
      <c r="A71" s="80" t="s">
        <v>563</v>
      </c>
      <c r="B71" s="80" t="s">
        <v>556</v>
      </c>
      <c r="C71" s="80" t="s">
        <v>478</v>
      </c>
      <c r="D71" s="80" t="s">
        <v>741</v>
      </c>
    </row>
    <row r="72">
      <c r="A72" s="80" t="s">
        <v>564</v>
      </c>
      <c r="B72" s="80" t="s">
        <v>556</v>
      </c>
      <c r="C72" s="80" t="s">
        <v>478</v>
      </c>
      <c r="D72" s="80" t="s">
        <v>741</v>
      </c>
    </row>
    <row r="73">
      <c r="A73" s="80" t="s">
        <v>565</v>
      </c>
      <c r="B73" s="80" t="s">
        <v>556</v>
      </c>
      <c r="C73" s="80" t="s">
        <v>478</v>
      </c>
      <c r="D73" s="48" t="s">
        <v>742</v>
      </c>
    </row>
    <row r="74">
      <c r="A74" s="80" t="s">
        <v>566</v>
      </c>
      <c r="B74" s="80" t="s">
        <v>556</v>
      </c>
      <c r="C74" s="80" t="s">
        <v>478</v>
      </c>
      <c r="D74" s="48" t="s">
        <v>740</v>
      </c>
    </row>
    <row r="75">
      <c r="A75" s="80" t="s">
        <v>567</v>
      </c>
      <c r="B75" s="80" t="s">
        <v>556</v>
      </c>
      <c r="C75" s="80" t="s">
        <v>478</v>
      </c>
      <c r="D75" s="80" t="s">
        <v>740</v>
      </c>
    </row>
    <row r="76">
      <c r="A76" s="80" t="s">
        <v>568</v>
      </c>
      <c r="B76" s="80" t="s">
        <v>569</v>
      </c>
      <c r="C76" s="80" t="s">
        <v>478</v>
      </c>
      <c r="D76" s="48" t="s">
        <v>743</v>
      </c>
    </row>
    <row r="77">
      <c r="A77" s="80" t="s">
        <v>570</v>
      </c>
      <c r="B77" s="80" t="s">
        <v>569</v>
      </c>
      <c r="C77" s="80" t="s">
        <v>478</v>
      </c>
      <c r="D77" s="80" t="s">
        <v>744</v>
      </c>
    </row>
    <row r="78">
      <c r="A78" s="80" t="s">
        <v>571</v>
      </c>
      <c r="B78" s="80" t="s">
        <v>572</v>
      </c>
      <c r="C78" s="80" t="s">
        <v>478</v>
      </c>
      <c r="D78" s="48" t="s">
        <v>745</v>
      </c>
    </row>
    <row r="79">
      <c r="A79" s="80" t="s">
        <v>573</v>
      </c>
      <c r="B79" s="80" t="s">
        <v>572</v>
      </c>
      <c r="C79" s="80" t="s">
        <v>478</v>
      </c>
      <c r="D79" s="80" t="s">
        <v>746</v>
      </c>
    </row>
    <row r="80">
      <c r="A80" s="80" t="s">
        <v>574</v>
      </c>
      <c r="B80" s="80" t="s">
        <v>572</v>
      </c>
      <c r="C80" s="80" t="s">
        <v>478</v>
      </c>
      <c r="D80" s="48" t="s">
        <v>745</v>
      </c>
    </row>
    <row r="81">
      <c r="A81" s="80" t="s">
        <v>575</v>
      </c>
      <c r="B81" s="80" t="s">
        <v>572</v>
      </c>
      <c r="C81" s="80" t="s">
        <v>478</v>
      </c>
      <c r="D81" s="80" t="s">
        <v>747</v>
      </c>
    </row>
    <row r="82">
      <c r="A82" s="80" t="s">
        <v>576</v>
      </c>
      <c r="B82" s="80" t="s">
        <v>572</v>
      </c>
      <c r="C82" s="80" t="s">
        <v>478</v>
      </c>
      <c r="D82" s="80" t="s">
        <v>748</v>
      </c>
    </row>
    <row r="83">
      <c r="A83" s="80" t="s">
        <v>577</v>
      </c>
      <c r="B83" s="80" t="s">
        <v>572</v>
      </c>
      <c r="C83" s="80" t="s">
        <v>478</v>
      </c>
      <c r="D83" s="48" t="s">
        <v>749</v>
      </c>
    </row>
    <row r="84">
      <c r="A84" s="80" t="s">
        <v>578</v>
      </c>
      <c r="B84" s="80" t="s">
        <v>572</v>
      </c>
      <c r="C84" s="80" t="s">
        <v>478</v>
      </c>
      <c r="D84" s="48" t="s">
        <v>749</v>
      </c>
    </row>
    <row r="85">
      <c r="A85" s="80" t="s">
        <v>579</v>
      </c>
      <c r="B85" s="80" t="s">
        <v>572</v>
      </c>
      <c r="C85" s="80" t="s">
        <v>478</v>
      </c>
      <c r="D85" s="48" t="s">
        <v>750</v>
      </c>
    </row>
    <row r="86">
      <c r="A86" s="80" t="s">
        <v>580</v>
      </c>
      <c r="B86" s="80" t="s">
        <v>572</v>
      </c>
      <c r="C86" s="80" t="s">
        <v>478</v>
      </c>
      <c r="D86" s="48" t="s">
        <v>751</v>
      </c>
    </row>
    <row r="87">
      <c r="A87" s="80" t="s">
        <v>581</v>
      </c>
      <c r="B87" s="80" t="s">
        <v>572</v>
      </c>
      <c r="C87" s="80" t="s">
        <v>478</v>
      </c>
      <c r="D87" s="48" t="s">
        <v>752</v>
      </c>
    </row>
    <row r="88">
      <c r="A88" s="80" t="s">
        <v>582</v>
      </c>
      <c r="B88" s="80" t="s">
        <v>572</v>
      </c>
      <c r="C88" s="80" t="s">
        <v>478</v>
      </c>
      <c r="D88" s="80" t="s">
        <v>747</v>
      </c>
    </row>
    <row r="89">
      <c r="A89" s="80" t="s">
        <v>583</v>
      </c>
      <c r="B89" s="80" t="s">
        <v>572</v>
      </c>
      <c r="C89" s="80" t="s">
        <v>478</v>
      </c>
      <c r="D89" s="48" t="s">
        <v>753</v>
      </c>
    </row>
    <row r="90">
      <c r="A90" s="80" t="s">
        <v>584</v>
      </c>
      <c r="B90" s="80" t="s">
        <v>572</v>
      </c>
      <c r="C90" s="80" t="s">
        <v>478</v>
      </c>
      <c r="D90" s="48" t="s">
        <v>753</v>
      </c>
    </row>
    <row r="91">
      <c r="A91" s="80" t="s">
        <v>585</v>
      </c>
      <c r="B91" s="80" t="s">
        <v>572</v>
      </c>
      <c r="C91" s="80" t="s">
        <v>478</v>
      </c>
      <c r="D91" s="48" t="s">
        <v>753</v>
      </c>
    </row>
    <row r="92">
      <c r="A92" s="80" t="s">
        <v>586</v>
      </c>
      <c r="B92" s="80" t="s">
        <v>572</v>
      </c>
      <c r="C92" s="80" t="s">
        <v>478</v>
      </c>
      <c r="D92" s="48" t="s">
        <v>723</v>
      </c>
    </row>
    <row r="93">
      <c r="A93" s="80" t="s">
        <v>587</v>
      </c>
      <c r="B93" s="80" t="s">
        <v>572</v>
      </c>
      <c r="C93" s="80" t="s">
        <v>478</v>
      </c>
      <c r="D93" s="80" t="s">
        <v>754</v>
      </c>
    </row>
    <row r="94">
      <c r="A94" s="80" t="s">
        <v>588</v>
      </c>
      <c r="B94" s="80" t="s">
        <v>572</v>
      </c>
      <c r="C94" s="80" t="s">
        <v>478</v>
      </c>
      <c r="D94" s="48" t="s">
        <v>755</v>
      </c>
    </row>
    <row r="95">
      <c r="A95" s="80" t="s">
        <v>589</v>
      </c>
      <c r="B95" s="80" t="s">
        <v>572</v>
      </c>
      <c r="C95" s="80" t="s">
        <v>478</v>
      </c>
      <c r="D95" s="48" t="s">
        <v>751</v>
      </c>
    </row>
    <row r="96">
      <c r="A96" s="80" t="s">
        <v>590</v>
      </c>
      <c r="B96" s="80" t="s">
        <v>572</v>
      </c>
      <c r="C96" s="80" t="s">
        <v>478</v>
      </c>
      <c r="D96" s="80" t="s">
        <v>706</v>
      </c>
    </row>
    <row r="97">
      <c r="A97" s="80" t="s">
        <v>591</v>
      </c>
      <c r="B97" s="80" t="s">
        <v>592</v>
      </c>
      <c r="C97" s="80" t="s">
        <v>478</v>
      </c>
      <c r="D97" s="80" t="s">
        <v>756</v>
      </c>
    </row>
    <row r="98">
      <c r="A98" s="80" t="s">
        <v>593</v>
      </c>
      <c r="B98" s="80" t="s">
        <v>592</v>
      </c>
      <c r="C98" s="80" t="s">
        <v>478</v>
      </c>
      <c r="D98" s="80" t="s">
        <v>757</v>
      </c>
    </row>
    <row r="99">
      <c r="A99" s="80" t="s">
        <v>594</v>
      </c>
      <c r="B99" s="80" t="s">
        <v>592</v>
      </c>
      <c r="C99" s="80" t="s">
        <v>478</v>
      </c>
      <c r="D99" s="80" t="s">
        <v>758</v>
      </c>
    </row>
    <row r="100">
      <c r="A100" s="80" t="s">
        <v>595</v>
      </c>
      <c r="B100" s="80" t="s">
        <v>592</v>
      </c>
      <c r="C100" s="80" t="s">
        <v>478</v>
      </c>
      <c r="D100" s="80" t="s">
        <v>759</v>
      </c>
    </row>
    <row r="101">
      <c r="A101" s="80" t="s">
        <v>596</v>
      </c>
      <c r="B101" s="80" t="s">
        <v>592</v>
      </c>
      <c r="C101" s="80" t="s">
        <v>478</v>
      </c>
      <c r="D101" s="80" t="s">
        <v>760</v>
      </c>
    </row>
    <row r="102">
      <c r="A102" s="48" t="s">
        <v>597</v>
      </c>
      <c r="B102" s="48" t="s">
        <v>598</v>
      </c>
      <c r="C102" s="48" t="s">
        <v>478</v>
      </c>
      <c r="D102" s="80" t="s">
        <v>761</v>
      </c>
    </row>
    <row r="103">
      <c r="A103" s="48" t="s">
        <v>599</v>
      </c>
      <c r="B103" s="48" t="s">
        <v>598</v>
      </c>
      <c r="C103" s="48" t="s">
        <v>478</v>
      </c>
      <c r="D103" s="80" t="s">
        <v>762</v>
      </c>
    </row>
    <row r="104">
      <c r="A104" s="80" t="s">
        <v>600</v>
      </c>
      <c r="B104" s="80" t="s">
        <v>601</v>
      </c>
      <c r="C104" s="80" t="s">
        <v>478</v>
      </c>
      <c r="D104" s="80" t="s">
        <v>763</v>
      </c>
    </row>
    <row r="105">
      <c r="A105" s="80" t="s">
        <v>602</v>
      </c>
      <c r="B105" s="80" t="s">
        <v>601</v>
      </c>
      <c r="C105" s="80" t="s">
        <v>478</v>
      </c>
      <c r="D105" s="80" t="s">
        <v>764</v>
      </c>
    </row>
    <row r="106">
      <c r="A106" s="48" t="s">
        <v>602</v>
      </c>
      <c r="B106" s="80" t="s">
        <v>601</v>
      </c>
      <c r="C106" s="48" t="s">
        <v>478</v>
      </c>
      <c r="D106" s="80" t="s">
        <v>764</v>
      </c>
    </row>
    <row r="107">
      <c r="A107" s="48" t="s">
        <v>603</v>
      </c>
      <c r="B107" s="80" t="s">
        <v>601</v>
      </c>
      <c r="C107" s="48" t="s">
        <v>478</v>
      </c>
      <c r="D107" s="48" t="s">
        <v>765</v>
      </c>
    </row>
    <row r="108">
      <c r="A108" s="80" t="s">
        <v>609</v>
      </c>
      <c r="B108" s="48" t="s">
        <v>766</v>
      </c>
      <c r="C108" s="48" t="s">
        <v>478</v>
      </c>
      <c r="D108" s="80" t="s">
        <v>767</v>
      </c>
    </row>
    <row r="109">
      <c r="A109" s="80" t="s">
        <v>611</v>
      </c>
      <c r="B109" s="49" t="s">
        <v>601</v>
      </c>
      <c r="C109" s="81" t="s">
        <v>478</v>
      </c>
      <c r="D109" s="80" t="s">
        <v>768</v>
      </c>
    </row>
    <row r="110">
      <c r="A110" s="48" t="s">
        <v>612</v>
      </c>
      <c r="B110" s="48" t="s">
        <v>769</v>
      </c>
      <c r="C110" s="81" t="s">
        <v>478</v>
      </c>
      <c r="D110" s="48" t="s">
        <v>770</v>
      </c>
    </row>
    <row r="111">
      <c r="A111" s="48"/>
      <c r="B111" s="80"/>
      <c r="C111" s="48"/>
      <c r="D111" s="48"/>
    </row>
    <row r="112">
      <c r="A112" s="48"/>
      <c r="B112" s="80"/>
      <c r="C112" s="48"/>
      <c r="D112" s="48"/>
    </row>
    <row r="113">
      <c r="A113" s="48"/>
      <c r="B113" s="80"/>
      <c r="C113" s="48"/>
      <c r="D113" s="48"/>
    </row>
    <row r="114">
      <c r="A114" s="48"/>
      <c r="B114" s="80"/>
      <c r="C114" s="48"/>
      <c r="D114" s="48"/>
    </row>
    <row r="115">
      <c r="A115" s="48"/>
      <c r="B115" s="80"/>
      <c r="C115" s="48"/>
      <c r="D115" s="48"/>
    </row>
    <row r="116">
      <c r="A116" s="48"/>
      <c r="B116" s="80"/>
      <c r="C116" s="48"/>
      <c r="D116" s="48"/>
    </row>
    <row r="117">
      <c r="A117" s="48"/>
      <c r="B117" s="80"/>
      <c r="C117" s="48"/>
      <c r="D117" s="48"/>
    </row>
    <row r="118">
      <c r="A118" s="48"/>
      <c r="B118" s="80"/>
      <c r="C118" s="48"/>
      <c r="D118" s="48"/>
    </row>
    <row r="119">
      <c r="A119" s="48"/>
      <c r="B119" s="80"/>
      <c r="C119" s="48"/>
      <c r="D119" s="48"/>
    </row>
    <row r="120">
      <c r="A120" s="48"/>
      <c r="B120" s="80"/>
      <c r="C120" s="48"/>
      <c r="D120" s="48"/>
    </row>
    <row r="121">
      <c r="A121" s="48"/>
      <c r="B121" s="80"/>
      <c r="C121" s="48"/>
      <c r="D121" s="48"/>
    </row>
    <row r="122">
      <c r="A122" s="48"/>
      <c r="B122" s="80"/>
      <c r="C122" s="48"/>
      <c r="D122" s="48"/>
    </row>
    <row r="123">
      <c r="A123" s="48"/>
      <c r="B123" s="80"/>
      <c r="C123" s="48"/>
      <c r="D123" s="48"/>
    </row>
    <row r="124">
      <c r="A124" s="48"/>
      <c r="B124" s="80"/>
      <c r="C124" s="48"/>
      <c r="D124" s="48"/>
    </row>
    <row r="125">
      <c r="A125" s="48"/>
      <c r="B125" s="80"/>
      <c r="C125" s="48"/>
      <c r="D125" s="48"/>
    </row>
    <row r="126">
      <c r="A126" s="48"/>
      <c r="B126" s="80"/>
      <c r="C126" s="48"/>
      <c r="D126" s="48"/>
    </row>
    <row r="127">
      <c r="A127" s="48"/>
      <c r="B127" s="80"/>
      <c r="C127" s="48"/>
      <c r="D127" s="48"/>
    </row>
    <row r="128">
      <c r="A128" s="48"/>
      <c r="B128" s="80"/>
      <c r="C128" s="48"/>
      <c r="D128" s="48"/>
    </row>
    <row r="129">
      <c r="A129" s="48"/>
      <c r="B129" s="80"/>
      <c r="C129" s="48"/>
      <c r="D129" s="48"/>
    </row>
    <row r="130">
      <c r="A130" s="48"/>
      <c r="B130" s="80"/>
      <c r="C130" s="48"/>
      <c r="D130" s="48"/>
    </row>
    <row r="131">
      <c r="A131" s="48"/>
      <c r="B131" s="80"/>
      <c r="C131" s="48"/>
      <c r="D131" s="48"/>
    </row>
    <row r="132">
      <c r="A132" s="48"/>
      <c r="B132" s="80"/>
      <c r="C132" s="48"/>
      <c r="D132" s="48"/>
    </row>
    <row r="133">
      <c r="A133" s="48"/>
      <c r="B133" s="80"/>
      <c r="C133" s="48"/>
      <c r="D133" s="48"/>
    </row>
    <row r="134">
      <c r="A134" s="48"/>
      <c r="B134" s="80"/>
      <c r="C134" s="48"/>
      <c r="D134" s="48"/>
    </row>
    <row r="135">
      <c r="A135" s="48"/>
      <c r="B135" s="80"/>
      <c r="C135" s="48"/>
      <c r="D135" s="48"/>
    </row>
    <row r="136">
      <c r="A136" s="48"/>
      <c r="B136" s="80"/>
      <c r="C136" s="48"/>
      <c r="D136" s="48"/>
    </row>
    <row r="137">
      <c r="A137" s="48"/>
      <c r="B137" s="80"/>
      <c r="C137" s="48"/>
      <c r="D137" s="4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32.43"/>
    <col customWidth="1" min="4" max="4" width="32.43"/>
  </cols>
  <sheetData>
    <row r="1" ht="30.0" customHeight="1">
      <c r="A1" s="47" t="s">
        <v>0</v>
      </c>
      <c r="B1" s="82" t="s">
        <v>771</v>
      </c>
      <c r="C1" s="83"/>
      <c r="D1" s="82" t="s">
        <v>772</v>
      </c>
      <c r="E1" s="84"/>
      <c r="F1" s="84"/>
      <c r="G1" s="85"/>
    </row>
    <row r="2">
      <c r="A2" s="86" t="str">
        <f t="array" ref="A2:A2886">entrega_devolu!A2:A6876</f>
        <v>90585145e1fe</v>
      </c>
      <c r="B2" s="87" t="str">
        <f t="array" ref="B2:B6876">UPPER(A2:A6876)</f>
        <v>90585145E1FE</v>
      </c>
      <c r="C2" s="88"/>
      <c r="D2" s="87" t="str">
        <f>IFERROR(__xludf.DUMMYFUNCTION("UNIQUE(entrega_devolu!F2:F6876)"),"ALEXSANDRO")</f>
        <v>ALEXSANDRO</v>
      </c>
      <c r="E2" s="89"/>
      <c r="F2" s="90"/>
      <c r="G2" s="90"/>
    </row>
    <row r="3">
      <c r="A3" s="86" t="s">
        <v>21</v>
      </c>
      <c r="B3" s="87" t="s">
        <v>773</v>
      </c>
      <c r="C3" s="91"/>
      <c r="D3" s="87" t="str">
        <f>IFERROR(__xludf.DUMMYFUNCTION("""COMPUTED_VALUE"""),"DANILO")</f>
        <v>DANILO</v>
      </c>
      <c r="E3" s="90"/>
      <c r="F3" s="90"/>
      <c r="G3" s="90"/>
    </row>
    <row r="4">
      <c r="A4" s="86" t="s">
        <v>22</v>
      </c>
      <c r="B4" s="87" t="s">
        <v>774</v>
      </c>
      <c r="C4" s="91"/>
      <c r="D4" s="87" t="str">
        <f>IFERROR(__xludf.DUMMYFUNCTION("""COMPUTED_VALUE"""),"GUILHERME")</f>
        <v>GUILHERME</v>
      </c>
      <c r="E4" s="90"/>
      <c r="F4" s="90"/>
      <c r="G4" s="90"/>
    </row>
    <row r="5">
      <c r="A5" s="86" t="s">
        <v>23</v>
      </c>
      <c r="B5" s="87" t="s">
        <v>23</v>
      </c>
      <c r="C5" s="91"/>
      <c r="D5" s="87" t="str">
        <f>IFERROR(__xludf.DUMMYFUNCTION("""COMPUTED_VALUE"""),"JAIRO")</f>
        <v>JAIRO</v>
      </c>
      <c r="E5" s="90"/>
      <c r="F5" s="90"/>
      <c r="G5" s="90"/>
    </row>
    <row r="6">
      <c r="A6" s="86" t="s">
        <v>26</v>
      </c>
      <c r="B6" s="87" t="s">
        <v>26</v>
      </c>
      <c r="C6" s="91"/>
      <c r="D6" s="87" t="str">
        <f>IFERROR(__xludf.DUMMYFUNCTION("""COMPUTED_VALUE"""),"JEANE")</f>
        <v>JEANE</v>
      </c>
      <c r="E6" s="90"/>
      <c r="F6" s="90"/>
      <c r="G6" s="90"/>
    </row>
    <row r="7">
      <c r="A7" s="86" t="s">
        <v>27</v>
      </c>
      <c r="B7" s="87" t="s">
        <v>27</v>
      </c>
      <c r="C7" s="91"/>
      <c r="D7" s="87" t="str">
        <f>IFERROR(__xludf.DUMMYFUNCTION("""COMPUTED_VALUE"""),"JOHN WESNNEY")</f>
        <v>JOHN WESNNEY</v>
      </c>
      <c r="E7" s="90"/>
      <c r="F7" s="90"/>
      <c r="G7" s="90"/>
    </row>
    <row r="8">
      <c r="A8" s="86" t="s">
        <v>28</v>
      </c>
      <c r="B8" s="87" t="s">
        <v>28</v>
      </c>
      <c r="C8" s="91"/>
      <c r="D8" s="87" t="str">
        <f>IFERROR(__xludf.DUMMYFUNCTION("""COMPUTED_VALUE"""),"JONATHAN")</f>
        <v>JONATHAN</v>
      </c>
      <c r="E8" s="90"/>
      <c r="F8" s="90"/>
      <c r="G8" s="90"/>
    </row>
    <row r="9">
      <c r="A9" s="86" t="s">
        <v>29</v>
      </c>
      <c r="B9" s="87" t="s">
        <v>29</v>
      </c>
      <c r="C9" s="91"/>
      <c r="D9" s="87" t="str">
        <f>IFERROR(__xludf.DUMMYFUNCTION("""COMPUTED_VALUE"""),"MATHEUS COORD")</f>
        <v>MATHEUS COORD</v>
      </c>
      <c r="E9" s="90"/>
      <c r="F9" s="90"/>
      <c r="G9" s="90"/>
    </row>
    <row r="10">
      <c r="A10" s="86" t="s">
        <v>30</v>
      </c>
      <c r="B10" s="87" t="s">
        <v>30</v>
      </c>
      <c r="C10" s="91"/>
      <c r="D10" s="87" t="str">
        <f>IFERROR(__xludf.DUMMYFUNCTION("""COMPUTED_VALUE"""),"MATHEUS HANIEL")</f>
        <v>MATHEUS HANIEL</v>
      </c>
      <c r="E10" s="90"/>
      <c r="F10" s="90"/>
      <c r="G10" s="90"/>
    </row>
    <row r="11">
      <c r="A11" s="86" t="s">
        <v>31</v>
      </c>
      <c r="B11" s="87" t="s">
        <v>31</v>
      </c>
      <c r="C11" s="91"/>
      <c r="D11" s="87" t="str">
        <f>IFERROR(__xludf.DUMMYFUNCTION("""COMPUTED_VALUE"""),"PEDRO")</f>
        <v>PEDRO</v>
      </c>
      <c r="E11" s="90"/>
      <c r="F11" s="90"/>
      <c r="G11" s="90"/>
    </row>
    <row r="12">
      <c r="A12" s="86" t="s">
        <v>32</v>
      </c>
      <c r="B12" s="87" t="s">
        <v>32</v>
      </c>
      <c r="C12" s="91"/>
      <c r="D12" s="87" t="str">
        <f>IFERROR(__xludf.DUMMYFUNCTION("""COMPUTED_VALUE"""),"YTALO")</f>
        <v>YTALO</v>
      </c>
      <c r="E12" s="90"/>
      <c r="F12" s="90"/>
      <c r="G12" s="90"/>
    </row>
    <row r="13">
      <c r="A13" s="86" t="s">
        <v>33</v>
      </c>
      <c r="B13" s="87" t="s">
        <v>33</v>
      </c>
      <c r="C13" s="91"/>
      <c r="D13" s="87"/>
      <c r="E13" s="90"/>
      <c r="F13" s="90"/>
      <c r="G13" s="90"/>
    </row>
    <row r="14">
      <c r="A14" s="86" t="s">
        <v>34</v>
      </c>
      <c r="B14" s="87" t="s">
        <v>34</v>
      </c>
      <c r="C14" s="91"/>
      <c r="D14" s="87"/>
      <c r="E14" s="90"/>
      <c r="F14" s="90"/>
      <c r="G14" s="90"/>
    </row>
    <row r="15">
      <c r="A15" s="86" t="s">
        <v>35</v>
      </c>
      <c r="B15" s="87" t="s">
        <v>35</v>
      </c>
      <c r="C15" s="91"/>
      <c r="D15" s="92"/>
      <c r="E15" s="90"/>
      <c r="F15" s="90"/>
      <c r="G15" s="90"/>
    </row>
    <row r="16">
      <c r="A16" s="86" t="s">
        <v>36</v>
      </c>
      <c r="B16" s="87" t="s">
        <v>36</v>
      </c>
      <c r="C16" s="91"/>
      <c r="D16" s="92"/>
      <c r="E16" s="90"/>
      <c r="F16" s="90"/>
      <c r="G16" s="90"/>
    </row>
    <row r="17">
      <c r="A17" s="86" t="s">
        <v>37</v>
      </c>
      <c r="B17" s="87" t="s">
        <v>37</v>
      </c>
      <c r="C17" s="91"/>
      <c r="D17" s="92"/>
      <c r="E17" s="90"/>
      <c r="F17" s="90"/>
      <c r="G17" s="90"/>
    </row>
    <row r="18">
      <c r="A18" s="86" t="s">
        <v>38</v>
      </c>
      <c r="B18" s="87" t="s">
        <v>38</v>
      </c>
      <c r="C18" s="91"/>
      <c r="D18" s="92"/>
      <c r="E18" s="90"/>
      <c r="F18" s="90"/>
      <c r="G18" s="90"/>
    </row>
    <row r="19">
      <c r="A19" s="86" t="s">
        <v>39</v>
      </c>
      <c r="B19" s="87" t="s">
        <v>39</v>
      </c>
      <c r="C19" s="91"/>
      <c r="D19" s="92"/>
      <c r="E19" s="90"/>
      <c r="F19" s="90"/>
      <c r="G19" s="90"/>
    </row>
    <row r="20">
      <c r="A20" s="86" t="s">
        <v>40</v>
      </c>
      <c r="B20" s="87" t="s">
        <v>40</v>
      </c>
      <c r="C20" s="88"/>
      <c r="D20" s="92"/>
      <c r="E20" s="89"/>
      <c r="F20" s="90"/>
      <c r="G20" s="90"/>
    </row>
    <row r="21">
      <c r="A21" s="86" t="s">
        <v>41</v>
      </c>
      <c r="B21" s="87" t="s">
        <v>41</v>
      </c>
      <c r="C21" s="88"/>
      <c r="D21" s="92"/>
      <c r="E21" s="89"/>
      <c r="F21" s="90"/>
      <c r="G21" s="90"/>
    </row>
    <row r="22">
      <c r="A22" s="86" t="s">
        <v>42</v>
      </c>
      <c r="B22" s="87" t="s">
        <v>42</v>
      </c>
      <c r="C22" s="88"/>
      <c r="D22" s="92"/>
      <c r="E22" s="89"/>
      <c r="F22" s="90"/>
      <c r="G22" s="90"/>
    </row>
    <row r="23">
      <c r="A23" s="86" t="s">
        <v>43</v>
      </c>
      <c r="B23" s="87" t="s">
        <v>43</v>
      </c>
      <c r="C23" s="88"/>
      <c r="D23" s="92"/>
      <c r="E23" s="90"/>
      <c r="F23" s="90"/>
      <c r="G23" s="90"/>
    </row>
    <row r="24">
      <c r="A24" s="86" t="s">
        <v>44</v>
      </c>
      <c r="B24" s="87" t="s">
        <v>44</v>
      </c>
      <c r="C24" s="88"/>
      <c r="D24" s="92"/>
      <c r="E24" s="90"/>
      <c r="F24" s="90"/>
      <c r="G24" s="90"/>
    </row>
    <row r="25">
      <c r="A25" s="86" t="s">
        <v>45</v>
      </c>
      <c r="B25" s="87" t="s">
        <v>45</v>
      </c>
      <c r="C25" s="88"/>
      <c r="D25" s="92"/>
      <c r="E25" s="90"/>
      <c r="F25" s="90"/>
      <c r="G25" s="90"/>
    </row>
    <row r="26">
      <c r="A26" s="86" t="s">
        <v>46</v>
      </c>
      <c r="B26" s="87" t="s">
        <v>46</v>
      </c>
      <c r="C26" s="88"/>
      <c r="D26" s="92"/>
      <c r="E26" s="90"/>
      <c r="F26" s="90"/>
      <c r="G26" s="90"/>
    </row>
    <row r="27">
      <c r="A27" s="86" t="s">
        <v>47</v>
      </c>
      <c r="B27" s="87" t="s">
        <v>47</v>
      </c>
      <c r="C27" s="88"/>
      <c r="D27" s="92"/>
      <c r="E27" s="90"/>
      <c r="F27" s="90"/>
      <c r="G27" s="90"/>
    </row>
    <row r="28">
      <c r="A28" s="86" t="s">
        <v>48</v>
      </c>
      <c r="B28" s="87" t="s">
        <v>48</v>
      </c>
      <c r="C28" s="88"/>
      <c r="D28" s="92"/>
      <c r="E28" s="90"/>
      <c r="F28" s="90"/>
      <c r="G28" s="90"/>
    </row>
    <row r="29">
      <c r="A29" s="86" t="s">
        <v>49</v>
      </c>
      <c r="B29" s="87" t="s">
        <v>49</v>
      </c>
      <c r="C29" s="88"/>
      <c r="D29" s="92"/>
      <c r="E29" s="90"/>
      <c r="F29" s="90"/>
      <c r="G29" s="90"/>
    </row>
    <row r="30">
      <c r="A30" s="86" t="s">
        <v>50</v>
      </c>
      <c r="B30" s="87" t="s">
        <v>50</v>
      </c>
      <c r="C30" s="88"/>
      <c r="D30" s="92"/>
      <c r="E30" s="89"/>
      <c r="F30" s="90"/>
      <c r="G30" s="90"/>
    </row>
    <row r="31">
      <c r="A31" s="86" t="s">
        <v>51</v>
      </c>
      <c r="B31" s="87" t="s">
        <v>51</v>
      </c>
      <c r="C31" s="88"/>
      <c r="D31" s="92"/>
      <c r="E31" s="89"/>
      <c r="F31" s="90"/>
      <c r="G31" s="90"/>
    </row>
    <row r="32">
      <c r="A32" s="86" t="s">
        <v>52</v>
      </c>
      <c r="B32" s="87" t="s">
        <v>52</v>
      </c>
      <c r="C32" s="88"/>
      <c r="D32" s="92"/>
      <c r="E32" s="89"/>
      <c r="F32" s="90"/>
      <c r="G32" s="90"/>
    </row>
    <row r="33">
      <c r="A33" s="86" t="s">
        <v>53</v>
      </c>
      <c r="B33" s="87" t="s">
        <v>53</v>
      </c>
      <c r="C33" s="88"/>
      <c r="D33" s="92"/>
      <c r="E33" s="89"/>
      <c r="F33" s="90"/>
      <c r="G33" s="90"/>
    </row>
    <row r="34">
      <c r="A34" s="86" t="s">
        <v>54</v>
      </c>
      <c r="B34" s="87" t="s">
        <v>54</v>
      </c>
      <c r="C34" s="88"/>
      <c r="D34" s="92"/>
      <c r="E34" s="89"/>
      <c r="F34" s="90"/>
      <c r="G34" s="90"/>
    </row>
    <row r="35">
      <c r="A35" s="86" t="s">
        <v>55</v>
      </c>
      <c r="B35" s="87" t="s">
        <v>55</v>
      </c>
      <c r="C35" s="88"/>
      <c r="D35" s="92"/>
      <c r="E35" s="89"/>
      <c r="F35" s="90"/>
      <c r="G35" s="90"/>
    </row>
    <row r="36">
      <c r="A36" s="86" t="s">
        <v>56</v>
      </c>
      <c r="B36" s="87" t="s">
        <v>56</v>
      </c>
      <c r="C36" s="88"/>
      <c r="D36" s="92"/>
      <c r="E36" s="89"/>
      <c r="F36" s="90"/>
      <c r="G36" s="90"/>
    </row>
    <row r="37">
      <c r="A37" s="86" t="s">
        <v>57</v>
      </c>
      <c r="B37" s="87" t="s">
        <v>57</v>
      </c>
      <c r="C37" s="88"/>
      <c r="D37" s="92"/>
      <c r="E37" s="89"/>
      <c r="F37" s="90"/>
      <c r="G37" s="90"/>
    </row>
    <row r="38">
      <c r="A38" s="86" t="s">
        <v>60</v>
      </c>
      <c r="B38" s="87" t="s">
        <v>60</v>
      </c>
      <c r="C38" s="88"/>
      <c r="D38" s="92"/>
      <c r="E38" s="89"/>
      <c r="F38" s="90"/>
      <c r="G38" s="90"/>
    </row>
    <row r="39">
      <c r="A39" s="86" t="s">
        <v>62</v>
      </c>
      <c r="B39" s="87" t="s">
        <v>62</v>
      </c>
      <c r="C39" s="88"/>
      <c r="D39" s="92"/>
      <c r="E39" s="89"/>
      <c r="F39" s="90"/>
      <c r="G39" s="90"/>
    </row>
    <row r="40">
      <c r="A40" s="86" t="s">
        <v>63</v>
      </c>
      <c r="B40" s="87" t="s">
        <v>63</v>
      </c>
      <c r="C40" s="88"/>
      <c r="D40" s="92"/>
      <c r="E40" s="89"/>
      <c r="F40" s="90"/>
      <c r="G40" s="90"/>
    </row>
    <row r="41">
      <c r="A41" s="86" t="s">
        <v>64</v>
      </c>
      <c r="B41" s="87" t="s">
        <v>64</v>
      </c>
      <c r="C41" s="88"/>
      <c r="D41" s="92"/>
      <c r="E41" s="89"/>
      <c r="F41" s="90"/>
      <c r="G41" s="90"/>
    </row>
    <row r="42">
      <c r="A42" s="86" t="s">
        <v>65</v>
      </c>
      <c r="B42" s="87" t="s">
        <v>65</v>
      </c>
      <c r="C42" s="88"/>
      <c r="D42" s="92"/>
      <c r="E42" s="89"/>
      <c r="F42" s="90"/>
      <c r="G42" s="90"/>
    </row>
    <row r="43">
      <c r="A43" s="86" t="s">
        <v>66</v>
      </c>
      <c r="B43" s="87" t="s">
        <v>66</v>
      </c>
      <c r="C43" s="88"/>
      <c r="D43" s="92"/>
      <c r="E43" s="89"/>
      <c r="F43" s="90"/>
      <c r="G43" s="90"/>
    </row>
    <row r="44">
      <c r="A44" s="86" t="s">
        <v>68</v>
      </c>
      <c r="B44" s="87" t="s">
        <v>68</v>
      </c>
      <c r="C44" s="88"/>
      <c r="D44" s="92"/>
      <c r="E44" s="89"/>
      <c r="F44" s="90"/>
      <c r="G44" s="90"/>
    </row>
    <row r="45">
      <c r="A45" s="86" t="s">
        <v>69</v>
      </c>
      <c r="B45" s="87" t="s">
        <v>69</v>
      </c>
      <c r="C45" s="88"/>
      <c r="D45" s="92"/>
      <c r="E45" s="89"/>
      <c r="F45" s="90"/>
      <c r="G45" s="90"/>
    </row>
    <row r="46">
      <c r="A46" s="86" t="s">
        <v>70</v>
      </c>
      <c r="B46" s="87" t="s">
        <v>70</v>
      </c>
      <c r="C46" s="88"/>
      <c r="D46" s="92"/>
      <c r="E46" s="89"/>
      <c r="F46" s="90"/>
      <c r="G46" s="90"/>
    </row>
    <row r="47">
      <c r="A47" s="86" t="s">
        <v>71</v>
      </c>
      <c r="B47" s="87" t="s">
        <v>71</v>
      </c>
      <c r="C47" s="88"/>
      <c r="D47" s="92"/>
      <c r="E47" s="89"/>
      <c r="F47" s="90"/>
      <c r="G47" s="90"/>
    </row>
    <row r="48">
      <c r="A48" s="86" t="s">
        <v>72</v>
      </c>
      <c r="B48" s="87" t="s">
        <v>72</v>
      </c>
      <c r="C48" s="88"/>
      <c r="D48" s="92"/>
      <c r="E48" s="89"/>
      <c r="F48" s="90"/>
      <c r="G48" s="90"/>
    </row>
    <row r="49">
      <c r="A49" s="86" t="s">
        <v>73</v>
      </c>
      <c r="B49" s="87" t="s">
        <v>73</v>
      </c>
      <c r="C49" s="88"/>
      <c r="D49" s="92"/>
      <c r="E49" s="89"/>
      <c r="F49" s="90"/>
      <c r="G49" s="90"/>
    </row>
    <row r="50">
      <c r="A50" s="86" t="s">
        <v>74</v>
      </c>
      <c r="B50" s="87" t="s">
        <v>74</v>
      </c>
      <c r="C50" s="88"/>
      <c r="D50" s="92"/>
      <c r="E50" s="89"/>
      <c r="F50" s="90"/>
      <c r="G50" s="90"/>
    </row>
    <row r="51">
      <c r="A51" s="86" t="s">
        <v>75</v>
      </c>
      <c r="B51" s="87" t="s">
        <v>75</v>
      </c>
      <c r="C51" s="88"/>
      <c r="D51" s="92"/>
      <c r="E51" s="89"/>
      <c r="F51" s="90"/>
      <c r="G51" s="90"/>
    </row>
    <row r="52">
      <c r="A52" s="86" t="s">
        <v>76</v>
      </c>
      <c r="B52" s="87" t="s">
        <v>76</v>
      </c>
      <c r="C52" s="88"/>
      <c r="D52" s="92"/>
      <c r="E52" s="89"/>
      <c r="F52" s="90"/>
      <c r="G52" s="90"/>
    </row>
    <row r="53">
      <c r="A53" s="86" t="s">
        <v>77</v>
      </c>
      <c r="B53" s="87" t="s">
        <v>77</v>
      </c>
      <c r="C53" s="88"/>
      <c r="D53" s="92"/>
      <c r="E53" s="89"/>
      <c r="F53" s="90"/>
      <c r="G53" s="90"/>
    </row>
    <row r="54">
      <c r="A54" s="86" t="s">
        <v>78</v>
      </c>
      <c r="B54" s="87" t="s">
        <v>78</v>
      </c>
      <c r="C54" s="88"/>
      <c r="D54" s="92"/>
      <c r="E54" s="89"/>
      <c r="F54" s="90"/>
      <c r="G54" s="90"/>
    </row>
    <row r="55">
      <c r="A55" s="86" t="s">
        <v>79</v>
      </c>
      <c r="B55" s="87" t="s">
        <v>79</v>
      </c>
      <c r="C55" s="88"/>
      <c r="D55" s="92"/>
      <c r="E55" s="89"/>
      <c r="F55" s="89"/>
      <c r="G55" s="89"/>
    </row>
    <row r="56">
      <c r="A56" s="86" t="s">
        <v>80</v>
      </c>
      <c r="B56" s="87" t="s">
        <v>80</v>
      </c>
      <c r="C56" s="88"/>
      <c r="D56" s="92"/>
      <c r="E56" s="89"/>
      <c r="F56" s="89"/>
      <c r="G56" s="89"/>
    </row>
    <row r="57">
      <c r="A57" s="86" t="s">
        <v>81</v>
      </c>
      <c r="B57" s="87" t="s">
        <v>81</v>
      </c>
      <c r="C57" s="88"/>
      <c r="D57" s="92"/>
      <c r="E57" s="89"/>
      <c r="F57" s="89"/>
      <c r="G57" s="89"/>
    </row>
    <row r="58">
      <c r="A58" s="86" t="s">
        <v>82</v>
      </c>
      <c r="B58" s="87" t="s">
        <v>82</v>
      </c>
      <c r="C58" s="88"/>
      <c r="D58" s="92"/>
      <c r="E58" s="89"/>
      <c r="F58" s="89"/>
      <c r="G58" s="89"/>
    </row>
    <row r="59">
      <c r="A59" s="86" t="s">
        <v>83</v>
      </c>
      <c r="B59" s="87" t="s">
        <v>83</v>
      </c>
      <c r="C59" s="88"/>
      <c r="D59" s="92"/>
      <c r="E59" s="89"/>
      <c r="F59" s="89"/>
      <c r="G59" s="89"/>
    </row>
    <row r="60">
      <c r="A60" s="86" t="s">
        <v>84</v>
      </c>
      <c r="B60" s="87" t="s">
        <v>84</v>
      </c>
      <c r="C60" s="88"/>
      <c r="D60" s="92"/>
      <c r="E60" s="89"/>
      <c r="F60" s="89"/>
      <c r="G60" s="89"/>
    </row>
    <row r="61">
      <c r="A61" s="86" t="s">
        <v>85</v>
      </c>
      <c r="B61" s="87" t="s">
        <v>85</v>
      </c>
      <c r="C61" s="88"/>
      <c r="D61" s="92"/>
      <c r="E61" s="89"/>
      <c r="F61" s="89"/>
      <c r="G61" s="89"/>
    </row>
    <row r="62">
      <c r="A62" s="86" t="s">
        <v>86</v>
      </c>
      <c r="B62" s="87" t="s">
        <v>86</v>
      </c>
      <c r="C62" s="88"/>
      <c r="D62" s="92"/>
      <c r="E62" s="89"/>
      <c r="F62" s="89"/>
      <c r="G62" s="89"/>
    </row>
    <row r="63">
      <c r="A63" s="86" t="s">
        <v>87</v>
      </c>
      <c r="B63" s="87" t="s">
        <v>87</v>
      </c>
      <c r="C63" s="88"/>
      <c r="D63" s="92"/>
      <c r="E63" s="89"/>
      <c r="F63" s="89"/>
      <c r="G63" s="89"/>
    </row>
    <row r="64">
      <c r="A64" s="86" t="s">
        <v>88</v>
      </c>
      <c r="B64" s="87" t="s">
        <v>88</v>
      </c>
      <c r="C64" s="88"/>
      <c r="D64" s="92"/>
      <c r="E64" s="89"/>
      <c r="F64" s="89"/>
      <c r="G64" s="89"/>
    </row>
    <row r="65">
      <c r="A65" s="86" t="s">
        <v>89</v>
      </c>
      <c r="B65" s="87" t="s">
        <v>89</v>
      </c>
      <c r="C65" s="88"/>
      <c r="D65" s="92"/>
      <c r="E65" s="89"/>
      <c r="F65" s="89"/>
      <c r="G65" s="89"/>
    </row>
    <row r="66">
      <c r="A66" s="86" t="s">
        <v>90</v>
      </c>
      <c r="B66" s="87" t="s">
        <v>90</v>
      </c>
      <c r="C66" s="88"/>
      <c r="D66" s="92"/>
      <c r="E66" s="89"/>
      <c r="F66" s="89"/>
      <c r="G66" s="89"/>
    </row>
    <row r="67">
      <c r="A67" s="86" t="s">
        <v>91</v>
      </c>
      <c r="B67" s="87" t="s">
        <v>91</v>
      </c>
      <c r="C67" s="88"/>
      <c r="D67" s="92"/>
      <c r="E67" s="89"/>
      <c r="F67" s="89"/>
      <c r="G67" s="89"/>
    </row>
    <row r="68">
      <c r="A68" s="86" t="s">
        <v>92</v>
      </c>
      <c r="B68" s="87" t="s">
        <v>92</v>
      </c>
      <c r="C68" s="88"/>
      <c r="D68" s="92"/>
      <c r="E68" s="89"/>
      <c r="F68" s="89"/>
      <c r="G68" s="89"/>
    </row>
    <row r="69">
      <c r="A69" s="86" t="s">
        <v>93</v>
      </c>
      <c r="B69" s="87" t="s">
        <v>93</v>
      </c>
      <c r="C69" s="88"/>
      <c r="D69" s="92"/>
      <c r="E69" s="89"/>
      <c r="F69" s="89"/>
      <c r="G69" s="89"/>
    </row>
    <row r="70">
      <c r="A70" s="86" t="s">
        <v>94</v>
      </c>
      <c r="B70" s="87" t="s">
        <v>94</v>
      </c>
      <c r="C70" s="88"/>
      <c r="D70" s="92"/>
      <c r="E70" s="89"/>
      <c r="F70" s="89"/>
      <c r="G70" s="89"/>
    </row>
    <row r="71">
      <c r="A71" s="86" t="s">
        <v>95</v>
      </c>
      <c r="B71" s="87" t="s">
        <v>95</v>
      </c>
      <c r="C71" s="88"/>
      <c r="D71" s="92"/>
      <c r="E71" s="89"/>
      <c r="F71" s="89"/>
      <c r="G71" s="89"/>
    </row>
    <row r="72">
      <c r="A72" s="86" t="s">
        <v>96</v>
      </c>
      <c r="B72" s="87" t="s">
        <v>96</v>
      </c>
      <c r="C72" s="88"/>
      <c r="D72" s="92"/>
      <c r="E72" s="89"/>
      <c r="F72" s="89"/>
      <c r="G72" s="89"/>
    </row>
    <row r="73">
      <c r="A73" s="86" t="s">
        <v>97</v>
      </c>
      <c r="B73" s="87" t="s">
        <v>97</v>
      </c>
      <c r="C73" s="88"/>
      <c r="D73" s="92"/>
      <c r="E73" s="89"/>
      <c r="F73" s="89"/>
      <c r="G73" s="89"/>
    </row>
    <row r="74">
      <c r="A74" s="86" t="s">
        <v>98</v>
      </c>
      <c r="B74" s="87" t="s">
        <v>98</v>
      </c>
      <c r="C74" s="88"/>
      <c r="D74" s="92"/>
      <c r="E74" s="89"/>
      <c r="F74" s="89"/>
      <c r="G74" s="89"/>
    </row>
    <row r="75">
      <c r="A75" s="86" t="s">
        <v>99</v>
      </c>
      <c r="B75" s="87" t="s">
        <v>99</v>
      </c>
      <c r="C75" s="88"/>
      <c r="D75" s="92"/>
      <c r="E75" s="89"/>
      <c r="F75" s="89"/>
      <c r="G75" s="89"/>
    </row>
    <row r="76">
      <c r="A76" s="86" t="s">
        <v>100</v>
      </c>
      <c r="B76" s="87" t="s">
        <v>100</v>
      </c>
      <c r="C76" s="88"/>
      <c r="D76" s="92"/>
      <c r="E76" s="89"/>
      <c r="F76" s="89"/>
      <c r="G76" s="89"/>
    </row>
    <row r="77">
      <c r="A77" s="86" t="s">
        <v>101</v>
      </c>
      <c r="B77" s="87" t="s">
        <v>101</v>
      </c>
      <c r="C77" s="88"/>
      <c r="D77" s="92"/>
      <c r="E77" s="89"/>
      <c r="F77" s="89"/>
      <c r="G77" s="89"/>
    </row>
    <row r="78">
      <c r="A78" s="86" t="s">
        <v>102</v>
      </c>
      <c r="B78" s="87" t="s">
        <v>102</v>
      </c>
      <c r="C78" s="88"/>
      <c r="D78" s="92"/>
      <c r="E78" s="89"/>
      <c r="F78" s="89"/>
      <c r="G78" s="89"/>
    </row>
    <row r="79">
      <c r="A79" s="86" t="s">
        <v>103</v>
      </c>
      <c r="B79" s="87" t="s">
        <v>103</v>
      </c>
      <c r="C79" s="88"/>
      <c r="D79" s="92"/>
      <c r="E79" s="89"/>
      <c r="F79" s="89"/>
      <c r="G79" s="89"/>
    </row>
    <row r="80">
      <c r="A80" s="86" t="s">
        <v>104</v>
      </c>
      <c r="B80" s="87" t="s">
        <v>104</v>
      </c>
      <c r="C80" s="88"/>
      <c r="D80" s="92"/>
      <c r="E80" s="89"/>
      <c r="F80" s="89"/>
      <c r="G80" s="89"/>
    </row>
    <row r="81">
      <c r="A81" s="86" t="s">
        <v>105</v>
      </c>
      <c r="B81" s="87" t="s">
        <v>105</v>
      </c>
      <c r="C81" s="88"/>
      <c r="D81" s="92"/>
      <c r="E81" s="89"/>
      <c r="F81" s="89"/>
      <c r="G81" s="89"/>
    </row>
    <row r="82">
      <c r="A82" s="86" t="s">
        <v>106</v>
      </c>
      <c r="B82" s="87" t="s">
        <v>106</v>
      </c>
      <c r="C82" s="88"/>
      <c r="D82" s="92"/>
      <c r="E82" s="89"/>
      <c r="F82" s="89"/>
      <c r="G82" s="89"/>
    </row>
    <row r="83">
      <c r="A83" s="86" t="s">
        <v>107</v>
      </c>
      <c r="B83" s="87" t="s">
        <v>107</v>
      </c>
      <c r="C83" s="88"/>
      <c r="D83" s="92"/>
      <c r="E83" s="89"/>
      <c r="F83" s="89"/>
      <c r="G83" s="89"/>
    </row>
    <row r="84">
      <c r="A84" s="86" t="s">
        <v>108</v>
      </c>
      <c r="B84" s="87" t="s">
        <v>108</v>
      </c>
      <c r="C84" s="88"/>
      <c r="D84" s="92"/>
      <c r="E84" s="89"/>
      <c r="F84" s="89"/>
      <c r="G84" s="89"/>
    </row>
    <row r="85">
      <c r="A85" s="86" t="s">
        <v>109</v>
      </c>
      <c r="B85" s="87" t="s">
        <v>109</v>
      </c>
      <c r="C85" s="88"/>
      <c r="D85" s="92"/>
      <c r="E85" s="89"/>
      <c r="F85" s="89"/>
      <c r="G85" s="89"/>
    </row>
    <row r="86">
      <c r="A86" s="86" t="s">
        <v>110</v>
      </c>
      <c r="B86" s="87" t="s">
        <v>110</v>
      </c>
      <c r="C86" s="88"/>
      <c r="D86" s="92"/>
      <c r="E86" s="89"/>
      <c r="F86" s="89"/>
      <c r="G86" s="89"/>
    </row>
    <row r="87">
      <c r="A87" s="86" t="s">
        <v>111</v>
      </c>
      <c r="B87" s="87" t="s">
        <v>111</v>
      </c>
      <c r="C87" s="88"/>
      <c r="D87" s="92"/>
      <c r="E87" s="89"/>
      <c r="F87" s="89"/>
      <c r="G87" s="89"/>
    </row>
    <row r="88">
      <c r="A88" s="86" t="s">
        <v>112</v>
      </c>
      <c r="B88" s="87" t="s">
        <v>112</v>
      </c>
      <c r="C88" s="88"/>
      <c r="D88" s="92"/>
      <c r="E88" s="89"/>
      <c r="F88" s="89"/>
      <c r="G88" s="89"/>
    </row>
    <row r="89">
      <c r="A89" s="86" t="s">
        <v>113</v>
      </c>
      <c r="B89" s="87" t="s">
        <v>113</v>
      </c>
      <c r="C89" s="88"/>
      <c r="D89" s="92"/>
      <c r="E89" s="89"/>
      <c r="F89" s="89"/>
      <c r="G89" s="89"/>
    </row>
    <row r="90">
      <c r="A90" s="86" t="s">
        <v>114</v>
      </c>
      <c r="B90" s="87" t="s">
        <v>114</v>
      </c>
      <c r="C90" s="88"/>
      <c r="D90" s="92"/>
      <c r="E90" s="89"/>
      <c r="F90" s="89"/>
      <c r="G90" s="89"/>
    </row>
    <row r="91">
      <c r="A91" s="86" t="s">
        <v>115</v>
      </c>
      <c r="B91" s="87" t="s">
        <v>115</v>
      </c>
      <c r="C91" s="88"/>
      <c r="D91" s="92"/>
      <c r="E91" s="89"/>
      <c r="F91" s="89"/>
      <c r="G91" s="89"/>
    </row>
    <row r="92">
      <c r="A92" s="86" t="s">
        <v>116</v>
      </c>
      <c r="B92" s="87" t="s">
        <v>116</v>
      </c>
      <c r="C92" s="88"/>
      <c r="D92" s="92"/>
      <c r="E92" s="89"/>
      <c r="F92" s="89"/>
      <c r="G92" s="89"/>
    </row>
    <row r="93">
      <c r="A93" s="86" t="s">
        <v>117</v>
      </c>
      <c r="B93" s="87" t="s">
        <v>117</v>
      </c>
      <c r="C93" s="88"/>
      <c r="D93" s="92"/>
      <c r="E93" s="89"/>
      <c r="F93" s="89"/>
      <c r="G93" s="89"/>
    </row>
    <row r="94">
      <c r="A94" s="86" t="s">
        <v>118</v>
      </c>
      <c r="B94" s="87" t="s">
        <v>118</v>
      </c>
      <c r="C94" s="88"/>
      <c r="D94" s="92"/>
      <c r="E94" s="89"/>
      <c r="F94" s="89"/>
      <c r="G94" s="89"/>
    </row>
    <row r="95">
      <c r="A95" s="86" t="s">
        <v>119</v>
      </c>
      <c r="B95" s="87" t="s">
        <v>119</v>
      </c>
      <c r="C95" s="88"/>
      <c r="D95" s="92"/>
      <c r="E95" s="89"/>
      <c r="F95" s="89"/>
      <c r="G95" s="89"/>
    </row>
    <row r="96">
      <c r="A96" s="86" t="s">
        <v>120</v>
      </c>
      <c r="B96" s="87" t="s">
        <v>120</v>
      </c>
      <c r="C96" s="88"/>
      <c r="D96" s="92"/>
      <c r="E96" s="89"/>
      <c r="F96" s="89"/>
      <c r="G96" s="89"/>
    </row>
    <row r="97">
      <c r="A97" s="86" t="s">
        <v>121</v>
      </c>
      <c r="B97" s="87" t="s">
        <v>121</v>
      </c>
      <c r="C97" s="88"/>
      <c r="D97" s="92"/>
      <c r="E97" s="89"/>
      <c r="F97" s="89"/>
      <c r="G97" s="89"/>
    </row>
    <row r="98">
      <c r="A98" s="86" t="s">
        <v>122</v>
      </c>
      <c r="B98" s="87" t="s">
        <v>122</v>
      </c>
      <c r="C98" s="88"/>
      <c r="D98" s="92"/>
      <c r="E98" s="89"/>
      <c r="F98" s="89"/>
      <c r="G98" s="89"/>
    </row>
    <row r="99">
      <c r="A99" s="86" t="s">
        <v>124</v>
      </c>
      <c r="B99" s="87" t="s">
        <v>124</v>
      </c>
      <c r="C99" s="88"/>
      <c r="D99" s="92"/>
      <c r="E99" s="89"/>
      <c r="F99" s="89"/>
      <c r="G99" s="89"/>
    </row>
    <row r="100">
      <c r="A100" s="86" t="s">
        <v>125</v>
      </c>
      <c r="B100" s="87" t="s">
        <v>125</v>
      </c>
      <c r="C100" s="88"/>
      <c r="D100" s="92"/>
      <c r="E100" s="89"/>
      <c r="F100" s="89"/>
      <c r="G100" s="89"/>
    </row>
    <row r="101">
      <c r="A101" s="86" t="s">
        <v>126</v>
      </c>
      <c r="B101" s="87" t="s">
        <v>126</v>
      </c>
      <c r="C101" s="88"/>
      <c r="D101" s="92"/>
      <c r="E101" s="89"/>
      <c r="F101" s="89"/>
      <c r="G101" s="89"/>
    </row>
    <row r="102">
      <c r="A102" s="86" t="s">
        <v>127</v>
      </c>
      <c r="B102" s="87" t="s">
        <v>127</v>
      </c>
      <c r="C102" s="88"/>
      <c r="D102" s="92"/>
      <c r="E102" s="89"/>
      <c r="F102" s="89"/>
      <c r="G102" s="89"/>
    </row>
    <row r="103">
      <c r="A103" s="86" t="s">
        <v>128</v>
      </c>
      <c r="B103" s="87" t="s">
        <v>128</v>
      </c>
      <c r="C103" s="88"/>
      <c r="D103" s="92"/>
      <c r="E103" s="89"/>
      <c r="F103" s="89"/>
      <c r="G103" s="89"/>
    </row>
    <row r="104">
      <c r="A104" s="86" t="s">
        <v>129</v>
      </c>
      <c r="B104" s="87" t="s">
        <v>129</v>
      </c>
      <c r="C104" s="88"/>
      <c r="D104" s="92"/>
      <c r="E104" s="89"/>
      <c r="F104" s="89"/>
      <c r="G104" s="89"/>
    </row>
    <row r="105">
      <c r="A105" s="86" t="s">
        <v>130</v>
      </c>
      <c r="B105" s="87" t="s">
        <v>130</v>
      </c>
      <c r="C105" s="88"/>
      <c r="D105" s="92"/>
      <c r="E105" s="89"/>
      <c r="F105" s="89"/>
      <c r="G105" s="89"/>
    </row>
    <row r="106">
      <c r="A106" s="86" t="s">
        <v>131</v>
      </c>
      <c r="B106" s="87" t="s">
        <v>131</v>
      </c>
      <c r="C106" s="88"/>
      <c r="D106" s="92"/>
      <c r="E106" s="89"/>
      <c r="F106" s="89"/>
      <c r="G106" s="89"/>
    </row>
    <row r="107">
      <c r="A107" s="86" t="s">
        <v>132</v>
      </c>
      <c r="B107" s="87" t="s">
        <v>132</v>
      </c>
      <c r="C107" s="88"/>
      <c r="D107" s="92"/>
      <c r="E107" s="89"/>
      <c r="F107" s="89"/>
      <c r="G107" s="89"/>
    </row>
    <row r="108">
      <c r="A108" s="86" t="s">
        <v>133</v>
      </c>
      <c r="B108" s="87" t="s">
        <v>133</v>
      </c>
      <c r="C108" s="88"/>
      <c r="D108" s="92"/>
      <c r="E108" s="89"/>
      <c r="F108" s="89"/>
      <c r="G108" s="89"/>
    </row>
    <row r="109">
      <c r="A109" s="86" t="s">
        <v>134</v>
      </c>
      <c r="B109" s="87" t="s">
        <v>134</v>
      </c>
      <c r="C109" s="88"/>
      <c r="D109" s="92"/>
      <c r="E109" s="89"/>
      <c r="F109" s="89"/>
      <c r="G109" s="89"/>
    </row>
    <row r="110">
      <c r="A110" s="86" t="s">
        <v>135</v>
      </c>
      <c r="B110" s="87" t="s">
        <v>135</v>
      </c>
      <c r="C110" s="88"/>
      <c r="D110" s="92"/>
      <c r="E110" s="89"/>
      <c r="F110" s="89"/>
      <c r="G110" s="89"/>
    </row>
    <row r="111">
      <c r="A111" s="86" t="s">
        <v>136</v>
      </c>
      <c r="B111" s="87" t="s">
        <v>136</v>
      </c>
      <c r="C111" s="88"/>
      <c r="D111" s="92"/>
      <c r="E111" s="89"/>
      <c r="F111" s="89"/>
      <c r="G111" s="89"/>
    </row>
    <row r="112">
      <c r="A112" s="86" t="s">
        <v>137</v>
      </c>
      <c r="B112" s="87" t="s">
        <v>137</v>
      </c>
      <c r="C112" s="88"/>
      <c r="D112" s="92"/>
      <c r="E112" s="89"/>
      <c r="F112" s="89"/>
      <c r="G112" s="89"/>
    </row>
    <row r="113">
      <c r="A113" s="86" t="s">
        <v>138</v>
      </c>
      <c r="B113" s="87" t="s">
        <v>138</v>
      </c>
      <c r="C113" s="88"/>
      <c r="D113" s="92"/>
      <c r="E113" s="89"/>
      <c r="F113" s="89"/>
      <c r="G113" s="89"/>
    </row>
    <row r="114">
      <c r="A114" s="86" t="s">
        <v>139</v>
      </c>
      <c r="B114" s="87" t="s">
        <v>139</v>
      </c>
      <c r="C114" s="88"/>
      <c r="D114" s="92"/>
      <c r="E114" s="89"/>
      <c r="F114" s="89"/>
      <c r="G114" s="89"/>
    </row>
    <row r="115">
      <c r="A115" s="86" t="s">
        <v>140</v>
      </c>
      <c r="B115" s="87" t="s">
        <v>140</v>
      </c>
      <c r="C115" s="88"/>
      <c r="D115" s="92"/>
      <c r="E115" s="89"/>
      <c r="F115" s="89"/>
      <c r="G115" s="89"/>
    </row>
    <row r="116">
      <c r="A116" s="86" t="s">
        <v>141</v>
      </c>
      <c r="B116" s="87" t="s">
        <v>775</v>
      </c>
      <c r="C116" s="88"/>
      <c r="D116" s="92"/>
      <c r="E116" s="89"/>
      <c r="F116" s="89"/>
      <c r="G116" s="89"/>
    </row>
    <row r="117">
      <c r="A117" s="86" t="s">
        <v>143</v>
      </c>
      <c r="B117" s="87" t="s">
        <v>776</v>
      </c>
      <c r="C117" s="88"/>
      <c r="D117" s="92"/>
      <c r="E117" s="89"/>
      <c r="F117" s="89"/>
      <c r="G117" s="89"/>
    </row>
    <row r="118">
      <c r="A118" s="86" t="s">
        <v>145</v>
      </c>
      <c r="B118" s="87" t="s">
        <v>145</v>
      </c>
      <c r="C118" s="88"/>
      <c r="D118" s="92"/>
      <c r="E118" s="89"/>
      <c r="F118" s="89"/>
      <c r="G118" s="89"/>
    </row>
    <row r="119">
      <c r="A119" s="86" t="s">
        <v>147</v>
      </c>
      <c r="B119" s="87" t="s">
        <v>147</v>
      </c>
      <c r="C119" s="88"/>
      <c r="D119" s="92"/>
      <c r="E119" s="89"/>
      <c r="F119" s="89"/>
      <c r="G119" s="89"/>
    </row>
    <row r="120">
      <c r="A120" s="86" t="s">
        <v>148</v>
      </c>
      <c r="B120" s="87" t="s">
        <v>777</v>
      </c>
      <c r="C120" s="88"/>
      <c r="D120" s="92"/>
      <c r="E120" s="89"/>
      <c r="F120" s="89"/>
      <c r="G120" s="89"/>
    </row>
    <row r="121">
      <c r="A121" s="86" t="s">
        <v>149</v>
      </c>
      <c r="B121" s="87" t="s">
        <v>778</v>
      </c>
      <c r="C121" s="88"/>
      <c r="D121" s="92"/>
      <c r="E121" s="89"/>
      <c r="F121" s="89"/>
      <c r="G121" s="89"/>
    </row>
    <row r="122">
      <c r="A122" s="86" t="s">
        <v>150</v>
      </c>
      <c r="B122" s="87" t="s">
        <v>150</v>
      </c>
      <c r="C122" s="88"/>
      <c r="D122" s="92"/>
      <c r="E122" s="89"/>
      <c r="F122" s="89"/>
      <c r="G122" s="89"/>
    </row>
    <row r="123">
      <c r="A123" s="86" t="s">
        <v>151</v>
      </c>
      <c r="B123" s="87" t="s">
        <v>151</v>
      </c>
      <c r="C123" s="88"/>
      <c r="D123" s="92"/>
      <c r="E123" s="89"/>
      <c r="F123" s="89"/>
      <c r="G123" s="89"/>
    </row>
    <row r="124">
      <c r="A124" s="86" t="s">
        <v>152</v>
      </c>
      <c r="B124" s="87" t="s">
        <v>152</v>
      </c>
      <c r="C124" s="88"/>
      <c r="D124" s="92"/>
      <c r="E124" s="89"/>
      <c r="F124" s="89"/>
      <c r="G124" s="89"/>
    </row>
    <row r="125">
      <c r="A125" s="86" t="s">
        <v>153</v>
      </c>
      <c r="B125" s="87" t="s">
        <v>153</v>
      </c>
      <c r="C125" s="88"/>
      <c r="D125" s="92"/>
      <c r="E125" s="89"/>
      <c r="F125" s="89"/>
      <c r="G125" s="89"/>
    </row>
    <row r="126">
      <c r="A126" s="86" t="s">
        <v>154</v>
      </c>
      <c r="B126" s="87" t="s">
        <v>154</v>
      </c>
      <c r="C126" s="88"/>
      <c r="D126" s="92"/>
      <c r="E126" s="89"/>
      <c r="F126" s="89"/>
      <c r="G126" s="89"/>
    </row>
    <row r="127">
      <c r="A127" s="86" t="s">
        <v>155</v>
      </c>
      <c r="B127" s="87" t="s">
        <v>155</v>
      </c>
      <c r="C127" s="88"/>
      <c r="D127" s="92"/>
      <c r="E127" s="89"/>
      <c r="F127" s="89"/>
      <c r="G127" s="89"/>
    </row>
    <row r="128">
      <c r="A128" s="86" t="s">
        <v>156</v>
      </c>
      <c r="B128" s="87" t="s">
        <v>156</v>
      </c>
      <c r="C128" s="88"/>
      <c r="D128" s="92"/>
      <c r="E128" s="89"/>
      <c r="F128" s="89"/>
      <c r="G128" s="89"/>
    </row>
    <row r="129">
      <c r="A129" s="86" t="s">
        <v>157</v>
      </c>
      <c r="B129" s="87" t="s">
        <v>157</v>
      </c>
      <c r="C129" s="88"/>
      <c r="D129" s="92"/>
      <c r="E129" s="89"/>
      <c r="F129" s="89"/>
      <c r="G129" s="89"/>
    </row>
    <row r="130">
      <c r="A130" s="86" t="s">
        <v>158</v>
      </c>
      <c r="B130" s="87" t="s">
        <v>158</v>
      </c>
      <c r="C130" s="88"/>
      <c r="D130" s="92"/>
      <c r="E130" s="89"/>
      <c r="F130" s="89"/>
      <c r="G130" s="89"/>
    </row>
    <row r="131">
      <c r="A131" s="86" t="s">
        <v>159</v>
      </c>
      <c r="B131" s="87" t="s">
        <v>159</v>
      </c>
      <c r="C131" s="88"/>
      <c r="D131" s="92"/>
      <c r="E131" s="89"/>
      <c r="F131" s="89"/>
      <c r="G131" s="89"/>
    </row>
    <row r="132">
      <c r="A132" s="86" t="s">
        <v>160</v>
      </c>
      <c r="B132" s="87" t="s">
        <v>160</v>
      </c>
      <c r="C132" s="88"/>
      <c r="D132" s="92"/>
      <c r="E132" s="89"/>
      <c r="F132" s="89"/>
      <c r="G132" s="89"/>
    </row>
    <row r="133">
      <c r="A133" s="86" t="s">
        <v>162</v>
      </c>
      <c r="B133" s="87" t="s">
        <v>162</v>
      </c>
      <c r="C133" s="88"/>
      <c r="D133" s="92"/>
      <c r="E133" s="89"/>
      <c r="F133" s="89"/>
      <c r="G133" s="89"/>
    </row>
    <row r="134">
      <c r="A134" s="86" t="s">
        <v>163</v>
      </c>
      <c r="B134" s="87" t="s">
        <v>163</v>
      </c>
      <c r="C134" s="88"/>
      <c r="D134" s="92"/>
      <c r="E134" s="89"/>
      <c r="F134" s="89"/>
      <c r="G134" s="89"/>
    </row>
    <row r="135">
      <c r="A135" s="86" t="s">
        <v>164</v>
      </c>
      <c r="B135" s="87" t="s">
        <v>164</v>
      </c>
      <c r="C135" s="88"/>
      <c r="D135" s="92"/>
      <c r="E135" s="89"/>
      <c r="F135" s="89"/>
      <c r="G135" s="89"/>
    </row>
    <row r="136">
      <c r="A136" s="86" t="s">
        <v>165</v>
      </c>
      <c r="B136" s="87" t="s">
        <v>165</v>
      </c>
      <c r="C136" s="88"/>
      <c r="D136" s="92"/>
      <c r="E136" s="89"/>
      <c r="F136" s="89"/>
      <c r="G136" s="89"/>
    </row>
    <row r="137">
      <c r="A137" s="86" t="s">
        <v>166</v>
      </c>
      <c r="B137" s="87" t="s">
        <v>166</v>
      </c>
      <c r="C137" s="88"/>
      <c r="D137" s="92"/>
      <c r="E137" s="89"/>
      <c r="F137" s="89"/>
      <c r="G137" s="89"/>
    </row>
    <row r="138">
      <c r="A138" s="86" t="s">
        <v>167</v>
      </c>
      <c r="B138" s="87" t="s">
        <v>167</v>
      </c>
      <c r="C138" s="88"/>
      <c r="D138" s="92"/>
      <c r="E138" s="89"/>
      <c r="F138" s="89"/>
      <c r="G138" s="89"/>
    </row>
    <row r="139">
      <c r="A139" s="86" t="s">
        <v>168</v>
      </c>
      <c r="B139" s="87" t="s">
        <v>168</v>
      </c>
      <c r="C139" s="88"/>
      <c r="D139" s="92"/>
      <c r="E139" s="89"/>
      <c r="F139" s="89"/>
      <c r="G139" s="89"/>
    </row>
    <row r="140">
      <c r="A140" s="86" t="s">
        <v>169</v>
      </c>
      <c r="B140" s="87" t="s">
        <v>169</v>
      </c>
      <c r="C140" s="88"/>
      <c r="D140" s="92"/>
      <c r="E140" s="89"/>
      <c r="F140" s="89"/>
      <c r="G140" s="89"/>
    </row>
    <row r="141">
      <c r="A141" s="86" t="s">
        <v>170</v>
      </c>
      <c r="B141" s="87" t="s">
        <v>170</v>
      </c>
      <c r="C141" s="88"/>
      <c r="D141" s="92"/>
      <c r="E141" s="89"/>
      <c r="F141" s="89"/>
      <c r="G141" s="89"/>
    </row>
    <row r="142">
      <c r="A142" s="86" t="s">
        <v>171</v>
      </c>
      <c r="B142" s="87" t="s">
        <v>171</v>
      </c>
      <c r="C142" s="88"/>
      <c r="D142" s="92"/>
      <c r="E142" s="89"/>
      <c r="F142" s="89"/>
      <c r="G142" s="89"/>
    </row>
    <row r="143">
      <c r="A143" s="86" t="s">
        <v>172</v>
      </c>
      <c r="B143" s="87" t="s">
        <v>172</v>
      </c>
      <c r="C143" s="88"/>
      <c r="D143" s="92"/>
      <c r="E143" s="89"/>
      <c r="F143" s="89"/>
      <c r="G143" s="89"/>
    </row>
    <row r="144">
      <c r="A144" s="86" t="s">
        <v>173</v>
      </c>
      <c r="B144" s="87" t="s">
        <v>173</v>
      </c>
      <c r="C144" s="88"/>
      <c r="D144" s="92"/>
      <c r="E144" s="89"/>
      <c r="F144" s="89"/>
      <c r="G144" s="89"/>
    </row>
    <row r="145">
      <c r="A145" s="86" t="s">
        <v>174</v>
      </c>
      <c r="B145" s="87" t="s">
        <v>174</v>
      </c>
      <c r="C145" s="88"/>
      <c r="D145" s="92"/>
      <c r="E145" s="89"/>
      <c r="F145" s="89"/>
      <c r="G145" s="89"/>
    </row>
    <row r="146">
      <c r="A146" s="86" t="s">
        <v>175</v>
      </c>
      <c r="B146" s="87" t="s">
        <v>175</v>
      </c>
      <c r="C146" s="88"/>
      <c r="D146" s="92"/>
      <c r="E146" s="89"/>
      <c r="F146" s="89"/>
      <c r="G146" s="89"/>
    </row>
    <row r="147">
      <c r="A147" s="86" t="s">
        <v>177</v>
      </c>
      <c r="B147" s="87" t="s">
        <v>177</v>
      </c>
      <c r="C147" s="88"/>
      <c r="D147" s="92"/>
      <c r="E147" s="89"/>
      <c r="F147" s="89"/>
      <c r="G147" s="89"/>
    </row>
    <row r="148">
      <c r="A148" s="86" t="s">
        <v>178</v>
      </c>
      <c r="B148" s="87" t="s">
        <v>178</v>
      </c>
      <c r="C148" s="88"/>
      <c r="D148" s="92"/>
      <c r="E148" s="89"/>
      <c r="F148" s="89"/>
      <c r="G148" s="89"/>
    </row>
    <row r="149">
      <c r="A149" s="86" t="s">
        <v>179</v>
      </c>
      <c r="B149" s="87" t="s">
        <v>179</v>
      </c>
      <c r="C149" s="88"/>
      <c r="D149" s="92"/>
      <c r="E149" s="89"/>
      <c r="F149" s="89"/>
      <c r="G149" s="89"/>
    </row>
    <row r="150">
      <c r="A150" s="86" t="s">
        <v>180</v>
      </c>
      <c r="B150" s="87" t="s">
        <v>180</v>
      </c>
      <c r="C150" s="88"/>
      <c r="D150" s="92"/>
      <c r="E150" s="89"/>
      <c r="F150" s="89"/>
      <c r="G150" s="89"/>
    </row>
    <row r="151">
      <c r="A151" s="86" t="s">
        <v>181</v>
      </c>
      <c r="B151" s="87" t="s">
        <v>181</v>
      </c>
      <c r="C151" s="88"/>
      <c r="D151" s="92"/>
      <c r="E151" s="89"/>
      <c r="F151" s="89"/>
      <c r="G151" s="89"/>
    </row>
    <row r="152">
      <c r="A152" s="86" t="s">
        <v>182</v>
      </c>
      <c r="B152" s="87" t="s">
        <v>182</v>
      </c>
      <c r="C152" s="88"/>
      <c r="D152" s="92"/>
      <c r="E152" s="89"/>
      <c r="F152" s="89"/>
      <c r="G152" s="89"/>
    </row>
    <row r="153">
      <c r="A153" s="86" t="s">
        <v>183</v>
      </c>
      <c r="B153" s="87" t="s">
        <v>183</v>
      </c>
      <c r="C153" s="88"/>
      <c r="D153" s="92"/>
      <c r="E153" s="89"/>
      <c r="F153" s="89"/>
      <c r="G153" s="89"/>
    </row>
    <row r="154">
      <c r="A154" s="86" t="s">
        <v>184</v>
      </c>
      <c r="B154" s="87" t="s">
        <v>184</v>
      </c>
      <c r="C154" s="88"/>
      <c r="D154" s="92"/>
      <c r="E154" s="89"/>
      <c r="F154" s="89"/>
      <c r="G154" s="89"/>
    </row>
    <row r="155">
      <c r="A155" s="86" t="s">
        <v>185</v>
      </c>
      <c r="B155" s="87" t="s">
        <v>185</v>
      </c>
      <c r="C155" s="88"/>
      <c r="D155" s="92"/>
      <c r="E155" s="89"/>
      <c r="F155" s="89"/>
      <c r="G155" s="89"/>
    </row>
    <row r="156">
      <c r="A156" s="86" t="s">
        <v>186</v>
      </c>
      <c r="B156" s="87" t="s">
        <v>186</v>
      </c>
      <c r="C156" s="88"/>
      <c r="D156" s="92"/>
      <c r="E156" s="89"/>
      <c r="F156" s="89"/>
      <c r="G156" s="89"/>
    </row>
    <row r="157">
      <c r="A157" s="86" t="s">
        <v>187</v>
      </c>
      <c r="B157" s="87" t="s">
        <v>187</v>
      </c>
      <c r="C157" s="88"/>
      <c r="D157" s="92"/>
      <c r="E157" s="89"/>
      <c r="F157" s="89"/>
      <c r="G157" s="89"/>
    </row>
    <row r="158">
      <c r="A158" s="86" t="s">
        <v>188</v>
      </c>
      <c r="B158" s="87" t="s">
        <v>188</v>
      </c>
      <c r="C158" s="88"/>
      <c r="D158" s="92"/>
      <c r="E158" s="89"/>
      <c r="F158" s="89"/>
      <c r="G158" s="89"/>
    </row>
    <row r="159">
      <c r="A159" s="86" t="s">
        <v>189</v>
      </c>
      <c r="B159" s="87" t="s">
        <v>189</v>
      </c>
      <c r="C159" s="88"/>
      <c r="D159" s="92"/>
      <c r="E159" s="89"/>
      <c r="F159" s="89"/>
      <c r="G159" s="89"/>
    </row>
    <row r="160">
      <c r="A160" s="86" t="s">
        <v>190</v>
      </c>
      <c r="B160" s="87" t="s">
        <v>190</v>
      </c>
      <c r="C160" s="88"/>
      <c r="D160" s="92"/>
      <c r="E160" s="89"/>
      <c r="F160" s="89"/>
      <c r="G160" s="89"/>
    </row>
    <row r="161">
      <c r="A161" s="86" t="s">
        <v>191</v>
      </c>
      <c r="B161" s="87" t="s">
        <v>191</v>
      </c>
      <c r="C161" s="88"/>
      <c r="D161" s="92"/>
      <c r="E161" s="89"/>
      <c r="F161" s="89"/>
      <c r="G161" s="89"/>
    </row>
    <row r="162">
      <c r="A162" s="86" t="s">
        <v>192</v>
      </c>
      <c r="B162" s="87" t="s">
        <v>192</v>
      </c>
      <c r="C162" s="88"/>
      <c r="D162" s="92"/>
      <c r="E162" s="89"/>
      <c r="F162" s="89"/>
      <c r="G162" s="89"/>
    </row>
    <row r="163">
      <c r="A163" s="86" t="s">
        <v>193</v>
      </c>
      <c r="B163" s="87" t="s">
        <v>193</v>
      </c>
      <c r="C163" s="88"/>
      <c r="D163" s="92"/>
      <c r="E163" s="89"/>
      <c r="F163" s="89"/>
      <c r="G163" s="89"/>
    </row>
    <row r="164">
      <c r="A164" s="86" t="s">
        <v>194</v>
      </c>
      <c r="B164" s="87" t="s">
        <v>194</v>
      </c>
      <c r="C164" s="88"/>
      <c r="D164" s="92"/>
      <c r="E164" s="89"/>
      <c r="F164" s="89"/>
      <c r="G164" s="89"/>
    </row>
    <row r="165">
      <c r="A165" s="86" t="s">
        <v>195</v>
      </c>
      <c r="B165" s="87" t="s">
        <v>195</v>
      </c>
      <c r="C165" s="88"/>
      <c r="D165" s="92"/>
      <c r="E165" s="89"/>
      <c r="F165" s="89"/>
      <c r="G165" s="89"/>
    </row>
    <row r="166">
      <c r="A166" s="86" t="s">
        <v>196</v>
      </c>
      <c r="B166" s="87" t="s">
        <v>196</v>
      </c>
      <c r="C166" s="88"/>
      <c r="D166" s="92"/>
      <c r="E166" s="89"/>
      <c r="F166" s="89"/>
      <c r="G166" s="89"/>
    </row>
    <row r="167">
      <c r="A167" s="86" t="s">
        <v>197</v>
      </c>
      <c r="B167" s="87" t="s">
        <v>197</v>
      </c>
      <c r="C167" s="88"/>
      <c r="D167" s="92"/>
      <c r="E167" s="89"/>
      <c r="F167" s="89"/>
      <c r="G167" s="89"/>
    </row>
    <row r="168">
      <c r="A168" s="86" t="s">
        <v>198</v>
      </c>
      <c r="B168" s="87" t="s">
        <v>198</v>
      </c>
      <c r="C168" s="88"/>
      <c r="D168" s="92"/>
      <c r="E168" s="89"/>
      <c r="F168" s="89"/>
      <c r="G168" s="89"/>
    </row>
    <row r="169">
      <c r="A169" s="86" t="s">
        <v>199</v>
      </c>
      <c r="B169" s="87" t="s">
        <v>199</v>
      </c>
      <c r="C169" s="88"/>
      <c r="D169" s="92"/>
      <c r="E169" s="89"/>
      <c r="F169" s="89"/>
      <c r="G169" s="89"/>
    </row>
    <row r="170">
      <c r="A170" s="86" t="s">
        <v>200</v>
      </c>
      <c r="B170" s="87" t="s">
        <v>200</v>
      </c>
      <c r="C170" s="88"/>
      <c r="D170" s="92"/>
      <c r="E170" s="89"/>
      <c r="F170" s="89"/>
      <c r="G170" s="89"/>
    </row>
    <row r="171">
      <c r="A171" s="86" t="s">
        <v>201</v>
      </c>
      <c r="B171" s="87" t="s">
        <v>201</v>
      </c>
      <c r="C171" s="88"/>
      <c r="D171" s="92"/>
      <c r="E171" s="89"/>
      <c r="F171" s="89"/>
      <c r="G171" s="89"/>
    </row>
    <row r="172">
      <c r="A172" s="86" t="s">
        <v>202</v>
      </c>
      <c r="B172" s="87" t="s">
        <v>202</v>
      </c>
      <c r="C172" s="88"/>
      <c r="D172" s="92"/>
      <c r="E172" s="89"/>
      <c r="F172" s="89"/>
      <c r="G172" s="89"/>
    </row>
    <row r="173">
      <c r="A173" s="86" t="s">
        <v>203</v>
      </c>
      <c r="B173" s="87" t="s">
        <v>203</v>
      </c>
      <c r="C173" s="88"/>
      <c r="D173" s="92"/>
      <c r="E173" s="89"/>
      <c r="F173" s="89"/>
      <c r="G173" s="89"/>
    </row>
    <row r="174">
      <c r="A174" s="86" t="s">
        <v>204</v>
      </c>
      <c r="B174" s="87" t="s">
        <v>204</v>
      </c>
      <c r="C174" s="88"/>
      <c r="D174" s="92"/>
      <c r="E174" s="89"/>
      <c r="F174" s="89"/>
      <c r="G174" s="89"/>
    </row>
    <row r="175">
      <c r="A175" s="86" t="s">
        <v>205</v>
      </c>
      <c r="B175" s="87" t="s">
        <v>205</v>
      </c>
      <c r="C175" s="88"/>
      <c r="D175" s="92"/>
      <c r="E175" s="89"/>
      <c r="F175" s="89"/>
      <c r="G175" s="89"/>
    </row>
    <row r="176">
      <c r="A176" s="86" t="s">
        <v>206</v>
      </c>
      <c r="B176" s="87" t="s">
        <v>206</v>
      </c>
      <c r="C176" s="88"/>
      <c r="D176" s="92"/>
      <c r="E176" s="89"/>
      <c r="F176" s="89"/>
      <c r="G176" s="89"/>
    </row>
    <row r="177">
      <c r="A177" s="86" t="s">
        <v>207</v>
      </c>
      <c r="B177" s="87" t="s">
        <v>207</v>
      </c>
      <c r="C177" s="88"/>
      <c r="D177" s="92"/>
      <c r="E177" s="89"/>
      <c r="F177" s="89"/>
      <c r="G177" s="89"/>
    </row>
    <row r="178">
      <c r="A178" s="86" t="s">
        <v>208</v>
      </c>
      <c r="B178" s="87" t="s">
        <v>208</v>
      </c>
      <c r="C178" s="88"/>
      <c r="D178" s="92"/>
      <c r="E178" s="89"/>
      <c r="F178" s="89"/>
      <c r="G178" s="89"/>
    </row>
    <row r="179">
      <c r="A179" s="86" t="s">
        <v>209</v>
      </c>
      <c r="B179" s="87" t="s">
        <v>209</v>
      </c>
      <c r="C179" s="88"/>
      <c r="D179" s="92"/>
      <c r="E179" s="89"/>
      <c r="F179" s="89"/>
      <c r="G179" s="89"/>
    </row>
    <row r="180">
      <c r="A180" s="86" t="s">
        <v>210</v>
      </c>
      <c r="B180" s="87" t="s">
        <v>210</v>
      </c>
      <c r="C180" s="88"/>
      <c r="D180" s="92"/>
      <c r="E180" s="89"/>
      <c r="F180" s="89"/>
      <c r="G180" s="89"/>
    </row>
    <row r="181">
      <c r="A181" s="86" t="s">
        <v>211</v>
      </c>
      <c r="B181" s="87" t="s">
        <v>211</v>
      </c>
      <c r="C181" s="88"/>
      <c r="D181" s="92"/>
      <c r="E181" s="89"/>
      <c r="F181" s="89"/>
      <c r="G181" s="89"/>
    </row>
    <row r="182">
      <c r="A182" s="86" t="s">
        <v>212</v>
      </c>
      <c r="B182" s="87" t="s">
        <v>212</v>
      </c>
      <c r="C182" s="88"/>
      <c r="D182" s="92"/>
      <c r="E182" s="89"/>
      <c r="F182" s="89"/>
      <c r="G182" s="89"/>
    </row>
    <row r="183">
      <c r="A183" s="86" t="s">
        <v>213</v>
      </c>
      <c r="B183" s="87" t="s">
        <v>213</v>
      </c>
      <c r="C183" s="88"/>
      <c r="D183" s="92"/>
      <c r="E183" s="89"/>
      <c r="F183" s="89"/>
      <c r="G183" s="89"/>
    </row>
    <row r="184">
      <c r="A184" s="86" t="s">
        <v>214</v>
      </c>
      <c r="B184" s="87" t="s">
        <v>214</v>
      </c>
      <c r="C184" s="88"/>
      <c r="D184" s="92"/>
      <c r="E184" s="89"/>
      <c r="F184" s="89"/>
      <c r="G184" s="89"/>
    </row>
    <row r="185">
      <c r="A185" s="86" t="s">
        <v>215</v>
      </c>
      <c r="B185" s="87" t="s">
        <v>215</v>
      </c>
      <c r="C185" s="88"/>
      <c r="D185" s="92"/>
      <c r="E185" s="89"/>
      <c r="F185" s="89"/>
      <c r="G185" s="89"/>
    </row>
    <row r="186">
      <c r="A186" s="86" t="s">
        <v>216</v>
      </c>
      <c r="B186" s="87" t="s">
        <v>216</v>
      </c>
      <c r="C186" s="88"/>
      <c r="D186" s="92"/>
      <c r="E186" s="89"/>
      <c r="F186" s="89"/>
      <c r="G186" s="89"/>
    </row>
    <row r="187">
      <c r="A187" s="86" t="s">
        <v>217</v>
      </c>
      <c r="B187" s="87" t="s">
        <v>217</v>
      </c>
      <c r="C187" s="88"/>
      <c r="D187" s="92"/>
      <c r="E187" s="89"/>
      <c r="F187" s="89"/>
      <c r="G187" s="89"/>
    </row>
    <row r="188">
      <c r="A188" s="86" t="s">
        <v>218</v>
      </c>
      <c r="B188" s="87" t="s">
        <v>218</v>
      </c>
      <c r="C188" s="88"/>
      <c r="D188" s="92"/>
      <c r="E188" s="89"/>
      <c r="F188" s="89"/>
      <c r="G188" s="89"/>
    </row>
    <row r="189">
      <c r="A189" s="86" t="s">
        <v>219</v>
      </c>
      <c r="B189" s="87" t="s">
        <v>219</v>
      </c>
      <c r="C189" s="88"/>
      <c r="D189" s="92"/>
      <c r="E189" s="89"/>
      <c r="F189" s="89"/>
      <c r="G189" s="89"/>
    </row>
    <row r="190">
      <c r="A190" s="86" t="s">
        <v>220</v>
      </c>
      <c r="B190" s="87" t="s">
        <v>220</v>
      </c>
      <c r="C190" s="88"/>
      <c r="D190" s="92"/>
      <c r="E190" s="89"/>
      <c r="F190" s="89"/>
      <c r="G190" s="89"/>
    </row>
    <row r="191">
      <c r="A191" s="86" t="s">
        <v>221</v>
      </c>
      <c r="B191" s="87" t="s">
        <v>221</v>
      </c>
      <c r="C191" s="88"/>
      <c r="D191" s="92"/>
      <c r="E191" s="89"/>
      <c r="F191" s="89"/>
      <c r="G191" s="89"/>
    </row>
    <row r="192">
      <c r="A192" s="86" t="s">
        <v>222</v>
      </c>
      <c r="B192" s="87" t="s">
        <v>222</v>
      </c>
      <c r="C192" s="88"/>
      <c r="D192" s="92"/>
      <c r="E192" s="89"/>
      <c r="F192" s="89"/>
      <c r="G192" s="89"/>
    </row>
    <row r="193">
      <c r="A193" s="86" t="s">
        <v>223</v>
      </c>
      <c r="B193" s="87" t="s">
        <v>223</v>
      </c>
      <c r="C193" s="88"/>
      <c r="D193" s="92"/>
      <c r="E193" s="89"/>
      <c r="F193" s="89"/>
      <c r="G193" s="89"/>
    </row>
    <row r="194">
      <c r="A194" s="86" t="s">
        <v>224</v>
      </c>
      <c r="B194" s="87" t="s">
        <v>224</v>
      </c>
      <c r="C194" s="88"/>
      <c r="D194" s="92"/>
      <c r="E194" s="89"/>
      <c r="F194" s="89"/>
      <c r="G194" s="89"/>
    </row>
    <row r="195">
      <c r="A195" s="86" t="s">
        <v>225</v>
      </c>
      <c r="B195" s="87" t="s">
        <v>225</v>
      </c>
      <c r="C195" s="88"/>
      <c r="D195" s="92"/>
      <c r="E195" s="89"/>
      <c r="F195" s="89"/>
      <c r="G195" s="89"/>
    </row>
    <row r="196">
      <c r="A196" s="86" t="s">
        <v>226</v>
      </c>
      <c r="B196" s="87" t="s">
        <v>226</v>
      </c>
      <c r="C196" s="88"/>
      <c r="D196" s="92"/>
      <c r="E196" s="89"/>
      <c r="F196" s="89"/>
      <c r="G196" s="89"/>
    </row>
    <row r="197">
      <c r="A197" s="86"/>
      <c r="B197" s="87" t="s">
        <v>779</v>
      </c>
      <c r="C197" s="88"/>
      <c r="D197" s="92"/>
      <c r="E197" s="89"/>
      <c r="F197" s="89"/>
      <c r="G197" s="89"/>
    </row>
    <row r="198">
      <c r="A198" s="86"/>
      <c r="B198" s="87" t="s">
        <v>779</v>
      </c>
      <c r="C198" s="88"/>
      <c r="D198" s="92"/>
      <c r="E198" s="89"/>
      <c r="F198" s="89"/>
      <c r="G198" s="89"/>
    </row>
    <row r="199">
      <c r="A199" s="86"/>
      <c r="B199" s="87" t="s">
        <v>779</v>
      </c>
      <c r="C199" s="88"/>
      <c r="D199" s="92"/>
      <c r="E199" s="89"/>
      <c r="F199" s="89"/>
      <c r="G199" s="89"/>
    </row>
    <row r="200">
      <c r="A200" s="86"/>
      <c r="B200" s="87" t="s">
        <v>779</v>
      </c>
      <c r="C200" s="88"/>
      <c r="D200" s="92"/>
      <c r="E200" s="89"/>
      <c r="F200" s="89"/>
      <c r="G200" s="89"/>
    </row>
    <row r="201">
      <c r="A201" s="86"/>
      <c r="B201" s="87" t="s">
        <v>779</v>
      </c>
      <c r="C201" s="88"/>
      <c r="D201" s="92"/>
      <c r="E201" s="89"/>
      <c r="F201" s="89"/>
      <c r="G201" s="89"/>
    </row>
    <row r="202">
      <c r="A202" s="86"/>
      <c r="B202" s="87" t="s">
        <v>779</v>
      </c>
      <c r="C202" s="88"/>
      <c r="D202" s="92"/>
      <c r="E202" s="89"/>
      <c r="F202" s="89"/>
      <c r="G202" s="89"/>
    </row>
    <row r="203">
      <c r="A203" s="86"/>
      <c r="B203" s="87" t="s">
        <v>779</v>
      </c>
      <c r="C203" s="88"/>
      <c r="D203" s="92"/>
      <c r="E203" s="89"/>
      <c r="F203" s="89"/>
      <c r="G203" s="89"/>
    </row>
    <row r="204">
      <c r="A204" s="86"/>
      <c r="B204" s="87" t="s">
        <v>779</v>
      </c>
      <c r="C204" s="88"/>
      <c r="D204" s="92"/>
      <c r="E204" s="89"/>
      <c r="F204" s="89"/>
      <c r="G204" s="89"/>
    </row>
    <row r="205">
      <c r="A205" s="86"/>
      <c r="B205" s="87" t="s">
        <v>779</v>
      </c>
      <c r="C205" s="88"/>
      <c r="D205" s="92"/>
      <c r="E205" s="89"/>
      <c r="F205" s="89"/>
      <c r="G205" s="89"/>
    </row>
    <row r="206">
      <c r="A206" s="86"/>
      <c r="B206" s="87" t="s">
        <v>779</v>
      </c>
      <c r="C206" s="88"/>
      <c r="D206" s="92"/>
      <c r="E206" s="89"/>
      <c r="F206" s="89"/>
      <c r="G206" s="89"/>
    </row>
    <row r="207">
      <c r="A207" s="86"/>
      <c r="B207" s="87" t="s">
        <v>779</v>
      </c>
      <c r="C207" s="88"/>
      <c r="D207" s="92"/>
      <c r="E207" s="89"/>
      <c r="F207" s="89"/>
      <c r="G207" s="89"/>
    </row>
    <row r="208">
      <c r="A208" s="86"/>
      <c r="B208" s="87" t="s">
        <v>779</v>
      </c>
      <c r="C208" s="88"/>
      <c r="D208" s="92"/>
      <c r="E208" s="89"/>
      <c r="F208" s="89"/>
      <c r="G208" s="89"/>
    </row>
    <row r="209">
      <c r="A209" s="86"/>
      <c r="B209" s="87" t="s">
        <v>779</v>
      </c>
      <c r="C209" s="88"/>
      <c r="D209" s="92"/>
      <c r="E209" s="89"/>
      <c r="F209" s="89"/>
      <c r="G209" s="89"/>
    </row>
    <row r="210">
      <c r="A210" s="86"/>
      <c r="B210" s="87" t="s">
        <v>779</v>
      </c>
      <c r="C210" s="88"/>
      <c r="D210" s="92"/>
      <c r="E210" s="89"/>
      <c r="F210" s="89"/>
      <c r="G210" s="89"/>
    </row>
    <row r="211">
      <c r="A211" s="86"/>
      <c r="B211" s="87" t="s">
        <v>779</v>
      </c>
      <c r="C211" s="88"/>
      <c r="D211" s="92"/>
      <c r="E211" s="89"/>
      <c r="F211" s="89"/>
      <c r="G211" s="89"/>
    </row>
    <row r="212">
      <c r="A212" s="86"/>
      <c r="B212" s="87" t="s">
        <v>779</v>
      </c>
      <c r="C212" s="88"/>
      <c r="D212" s="92"/>
      <c r="E212" s="89"/>
      <c r="F212" s="89"/>
      <c r="G212" s="89"/>
    </row>
    <row r="213">
      <c r="A213" s="86"/>
      <c r="B213" s="87" t="s">
        <v>779</v>
      </c>
      <c r="C213" s="88"/>
      <c r="D213" s="92"/>
      <c r="E213" s="89"/>
      <c r="F213" s="89"/>
      <c r="G213" s="89"/>
    </row>
    <row r="214">
      <c r="A214" s="86"/>
      <c r="B214" s="87" t="s">
        <v>779</v>
      </c>
      <c r="C214" s="88"/>
      <c r="D214" s="92"/>
      <c r="E214" s="89"/>
      <c r="F214" s="89"/>
      <c r="G214" s="89"/>
    </row>
    <row r="215">
      <c r="A215" s="86"/>
      <c r="B215" s="87" t="s">
        <v>779</v>
      </c>
      <c r="C215" s="88"/>
      <c r="D215" s="92"/>
      <c r="E215" s="89"/>
      <c r="F215" s="89"/>
      <c r="G215" s="89"/>
    </row>
    <row r="216">
      <c r="A216" s="86"/>
      <c r="B216" s="87" t="s">
        <v>779</v>
      </c>
      <c r="C216" s="88"/>
      <c r="D216" s="92"/>
      <c r="E216" s="89"/>
      <c r="F216" s="89"/>
      <c r="G216" s="89"/>
    </row>
    <row r="217">
      <c r="A217" s="86"/>
      <c r="B217" s="87" t="s">
        <v>779</v>
      </c>
      <c r="C217" s="88"/>
      <c r="D217" s="92"/>
      <c r="E217" s="89"/>
      <c r="F217" s="89"/>
      <c r="G217" s="89"/>
    </row>
    <row r="218">
      <c r="A218" s="86"/>
      <c r="B218" s="87" t="s">
        <v>779</v>
      </c>
      <c r="C218" s="88"/>
      <c r="D218" s="92"/>
      <c r="E218" s="89"/>
      <c r="F218" s="89"/>
      <c r="G218" s="89"/>
    </row>
    <row r="219">
      <c r="A219" s="86"/>
      <c r="B219" s="87" t="s">
        <v>779</v>
      </c>
      <c r="C219" s="88"/>
      <c r="D219" s="92"/>
      <c r="E219" s="89"/>
      <c r="F219" s="89"/>
      <c r="G219" s="89"/>
    </row>
    <row r="220">
      <c r="A220" s="86"/>
      <c r="B220" s="87" t="s">
        <v>779</v>
      </c>
      <c r="C220" s="88"/>
      <c r="D220" s="92"/>
      <c r="E220" s="89"/>
      <c r="F220" s="89"/>
      <c r="G220" s="89"/>
    </row>
    <row r="221">
      <c r="A221" s="86"/>
      <c r="B221" s="87" t="s">
        <v>779</v>
      </c>
      <c r="C221" s="88"/>
      <c r="D221" s="92"/>
      <c r="E221" s="89"/>
      <c r="F221" s="89"/>
      <c r="G221" s="89"/>
    </row>
    <row r="222">
      <c r="A222" s="86"/>
      <c r="B222" s="87" t="s">
        <v>779</v>
      </c>
      <c r="C222" s="88"/>
      <c r="D222" s="92"/>
      <c r="E222" s="89"/>
      <c r="F222" s="89"/>
      <c r="G222" s="89"/>
    </row>
    <row r="223">
      <c r="A223" s="86"/>
      <c r="B223" s="87" t="s">
        <v>779</v>
      </c>
      <c r="C223" s="88"/>
      <c r="D223" s="92"/>
      <c r="E223" s="89"/>
      <c r="F223" s="89"/>
      <c r="G223" s="89"/>
    </row>
    <row r="224">
      <c r="A224" s="86"/>
      <c r="B224" s="87" t="s">
        <v>779</v>
      </c>
      <c r="C224" s="88"/>
      <c r="D224" s="92"/>
      <c r="E224" s="89"/>
      <c r="F224" s="89"/>
      <c r="G224" s="89"/>
    </row>
    <row r="225">
      <c r="A225" s="86"/>
      <c r="B225" s="87" t="s">
        <v>779</v>
      </c>
      <c r="C225" s="88"/>
      <c r="D225" s="92"/>
      <c r="E225" s="89"/>
      <c r="F225" s="89"/>
      <c r="G225" s="89"/>
    </row>
    <row r="226">
      <c r="A226" s="86"/>
      <c r="B226" s="87" t="s">
        <v>779</v>
      </c>
      <c r="C226" s="88"/>
      <c r="D226" s="92"/>
      <c r="E226" s="89"/>
      <c r="F226" s="89"/>
      <c r="G226" s="89"/>
    </row>
    <row r="227">
      <c r="A227" s="86"/>
      <c r="B227" s="87" t="s">
        <v>779</v>
      </c>
      <c r="C227" s="88"/>
      <c r="D227" s="92"/>
      <c r="E227" s="89"/>
      <c r="F227" s="89"/>
      <c r="G227" s="89"/>
    </row>
    <row r="228">
      <c r="A228" s="86"/>
      <c r="B228" s="87" t="s">
        <v>779</v>
      </c>
      <c r="C228" s="88"/>
      <c r="D228" s="92"/>
      <c r="E228" s="89"/>
      <c r="F228" s="89"/>
      <c r="G228" s="89"/>
    </row>
    <row r="229">
      <c r="A229" s="86"/>
      <c r="B229" s="87" t="s">
        <v>779</v>
      </c>
      <c r="C229" s="88"/>
      <c r="D229" s="92"/>
      <c r="E229" s="89"/>
      <c r="F229" s="89"/>
      <c r="G229" s="89"/>
    </row>
    <row r="230">
      <c r="A230" s="86"/>
      <c r="B230" s="87" t="s">
        <v>779</v>
      </c>
      <c r="C230" s="88"/>
      <c r="D230" s="92"/>
      <c r="E230" s="89"/>
      <c r="F230" s="89"/>
      <c r="G230" s="89"/>
    </row>
    <row r="231">
      <c r="A231" s="86"/>
      <c r="B231" s="87" t="s">
        <v>779</v>
      </c>
      <c r="C231" s="88"/>
      <c r="D231" s="92"/>
      <c r="E231" s="89"/>
      <c r="F231" s="89"/>
      <c r="G231" s="89"/>
    </row>
    <row r="232">
      <c r="A232" s="86"/>
      <c r="B232" s="87" t="s">
        <v>779</v>
      </c>
      <c r="C232" s="88"/>
      <c r="D232" s="92"/>
      <c r="E232" s="89"/>
      <c r="F232" s="89"/>
      <c r="G232" s="89"/>
    </row>
    <row r="233">
      <c r="A233" s="86"/>
      <c r="B233" s="87" t="s">
        <v>779</v>
      </c>
      <c r="C233" s="88"/>
      <c r="D233" s="92"/>
      <c r="E233" s="89"/>
      <c r="F233" s="89"/>
      <c r="G233" s="89"/>
    </row>
    <row r="234">
      <c r="A234" s="86"/>
      <c r="B234" s="87" t="s">
        <v>779</v>
      </c>
      <c r="C234" s="88"/>
      <c r="D234" s="92"/>
      <c r="E234" s="89"/>
      <c r="F234" s="89"/>
      <c r="G234" s="89"/>
    </row>
    <row r="235">
      <c r="A235" s="86"/>
      <c r="B235" s="87" t="s">
        <v>779</v>
      </c>
      <c r="C235" s="88"/>
      <c r="D235" s="92"/>
      <c r="E235" s="89"/>
      <c r="F235" s="89"/>
      <c r="G235" s="89"/>
    </row>
    <row r="236">
      <c r="A236" s="86"/>
      <c r="B236" s="87" t="s">
        <v>779</v>
      </c>
      <c r="C236" s="88"/>
      <c r="D236" s="92"/>
      <c r="E236" s="89"/>
      <c r="F236" s="89"/>
      <c r="G236" s="89"/>
    </row>
    <row r="237">
      <c r="A237" s="86"/>
      <c r="B237" s="87" t="s">
        <v>779</v>
      </c>
      <c r="C237" s="88"/>
      <c r="D237" s="92"/>
      <c r="E237" s="89"/>
      <c r="F237" s="89"/>
      <c r="G237" s="89"/>
    </row>
    <row r="238">
      <c r="A238" s="86"/>
      <c r="B238" s="87" t="s">
        <v>779</v>
      </c>
      <c r="C238" s="88"/>
      <c r="D238" s="92"/>
      <c r="E238" s="89"/>
      <c r="F238" s="89"/>
      <c r="G238" s="89"/>
    </row>
    <row r="239">
      <c r="A239" s="86"/>
      <c r="B239" s="87" t="s">
        <v>779</v>
      </c>
      <c r="C239" s="88"/>
      <c r="D239" s="92"/>
      <c r="E239" s="89"/>
      <c r="F239" s="89"/>
      <c r="G239" s="89"/>
    </row>
    <row r="240">
      <c r="A240" s="86"/>
      <c r="B240" s="87" t="s">
        <v>779</v>
      </c>
      <c r="C240" s="88"/>
      <c r="D240" s="92"/>
      <c r="E240" s="89"/>
      <c r="F240" s="89"/>
      <c r="G240" s="89"/>
    </row>
    <row r="241">
      <c r="A241" s="86"/>
      <c r="B241" s="87" t="s">
        <v>779</v>
      </c>
      <c r="C241" s="88"/>
      <c r="D241" s="92"/>
      <c r="E241" s="89"/>
      <c r="F241" s="89"/>
      <c r="G241" s="89"/>
    </row>
    <row r="242">
      <c r="A242" s="86"/>
      <c r="B242" s="87" t="s">
        <v>779</v>
      </c>
      <c r="C242" s="88"/>
      <c r="D242" s="92"/>
      <c r="E242" s="89"/>
      <c r="F242" s="89"/>
      <c r="G242" s="89"/>
    </row>
    <row r="243">
      <c r="A243" s="86"/>
      <c r="B243" s="87" t="s">
        <v>779</v>
      </c>
      <c r="C243" s="88"/>
      <c r="D243" s="92"/>
      <c r="E243" s="89"/>
      <c r="F243" s="89"/>
      <c r="G243" s="89"/>
    </row>
    <row r="244">
      <c r="A244" s="86"/>
      <c r="B244" s="87" t="s">
        <v>779</v>
      </c>
      <c r="C244" s="88"/>
      <c r="D244" s="92"/>
      <c r="E244" s="89"/>
      <c r="F244" s="89"/>
      <c r="G244" s="89"/>
    </row>
    <row r="245">
      <c r="A245" s="86"/>
      <c r="B245" s="87" t="s">
        <v>779</v>
      </c>
      <c r="C245" s="88"/>
      <c r="D245" s="92"/>
      <c r="E245" s="89"/>
      <c r="F245" s="89"/>
      <c r="G245" s="89"/>
    </row>
    <row r="246">
      <c r="A246" s="86"/>
      <c r="B246" s="87" t="s">
        <v>779</v>
      </c>
      <c r="C246" s="88"/>
      <c r="D246" s="92"/>
      <c r="E246" s="89"/>
      <c r="F246" s="89"/>
      <c r="G246" s="89"/>
    </row>
    <row r="247">
      <c r="A247" s="86"/>
      <c r="B247" s="87" t="s">
        <v>779</v>
      </c>
      <c r="C247" s="88"/>
      <c r="D247" s="92"/>
      <c r="E247" s="89"/>
      <c r="F247" s="89"/>
      <c r="G247" s="89"/>
    </row>
    <row r="248">
      <c r="A248" s="86"/>
      <c r="B248" s="87" t="s">
        <v>779</v>
      </c>
      <c r="C248" s="88"/>
      <c r="D248" s="92"/>
      <c r="E248" s="89"/>
      <c r="F248" s="89"/>
      <c r="G248" s="89"/>
    </row>
    <row r="249">
      <c r="A249" s="86"/>
      <c r="B249" s="87" t="s">
        <v>779</v>
      </c>
      <c r="C249" s="88"/>
      <c r="D249" s="92"/>
      <c r="E249" s="89"/>
      <c r="F249" s="89"/>
      <c r="G249" s="89"/>
    </row>
    <row r="250">
      <c r="A250" s="86"/>
      <c r="B250" s="87" t="s">
        <v>779</v>
      </c>
      <c r="C250" s="88"/>
      <c r="D250" s="92"/>
      <c r="E250" s="89"/>
      <c r="F250" s="89"/>
      <c r="G250" s="89"/>
    </row>
    <row r="251">
      <c r="A251" s="86"/>
      <c r="B251" s="87" t="s">
        <v>779</v>
      </c>
      <c r="C251" s="88"/>
      <c r="D251" s="92"/>
      <c r="E251" s="89"/>
      <c r="F251" s="89"/>
      <c r="G251" s="89"/>
    </row>
    <row r="252">
      <c r="A252" s="86"/>
      <c r="B252" s="87" t="s">
        <v>779</v>
      </c>
      <c r="C252" s="88"/>
      <c r="D252" s="92"/>
      <c r="E252" s="89"/>
      <c r="F252" s="89"/>
      <c r="G252" s="89"/>
    </row>
    <row r="253">
      <c r="A253" s="86"/>
      <c r="B253" s="87" t="s">
        <v>779</v>
      </c>
      <c r="C253" s="88"/>
      <c r="D253" s="92"/>
      <c r="E253" s="89"/>
      <c r="F253" s="89"/>
      <c r="G253" s="89"/>
    </row>
    <row r="254">
      <c r="A254" s="86"/>
      <c r="B254" s="87" t="s">
        <v>779</v>
      </c>
      <c r="C254" s="88"/>
      <c r="D254" s="92"/>
      <c r="E254" s="89"/>
      <c r="F254" s="89"/>
      <c r="G254" s="89"/>
    </row>
    <row r="255">
      <c r="A255" s="86"/>
      <c r="B255" s="87" t="s">
        <v>779</v>
      </c>
      <c r="C255" s="88"/>
      <c r="D255" s="92"/>
      <c r="E255" s="89"/>
      <c r="F255" s="89"/>
      <c r="G255" s="89"/>
    </row>
    <row r="256">
      <c r="A256" s="86"/>
      <c r="B256" s="87" t="s">
        <v>779</v>
      </c>
      <c r="C256" s="88"/>
      <c r="D256" s="92"/>
      <c r="E256" s="89"/>
      <c r="F256" s="89"/>
      <c r="G256" s="89"/>
    </row>
    <row r="257">
      <c r="A257" s="86"/>
      <c r="B257" s="87" t="s">
        <v>779</v>
      </c>
      <c r="C257" s="88"/>
      <c r="D257" s="92"/>
      <c r="E257" s="89"/>
      <c r="F257" s="89"/>
      <c r="G257" s="89"/>
    </row>
    <row r="258">
      <c r="A258" s="86"/>
      <c r="B258" s="87" t="s">
        <v>779</v>
      </c>
      <c r="C258" s="88"/>
      <c r="D258" s="92"/>
      <c r="E258" s="89"/>
      <c r="F258" s="89"/>
      <c r="G258" s="89"/>
    </row>
    <row r="259">
      <c r="A259" s="86"/>
      <c r="B259" s="87" t="s">
        <v>779</v>
      </c>
      <c r="C259" s="88"/>
      <c r="D259" s="92"/>
      <c r="E259" s="89"/>
      <c r="F259" s="89"/>
      <c r="G259" s="89"/>
    </row>
    <row r="260">
      <c r="A260" s="86"/>
      <c r="B260" s="87" t="s">
        <v>779</v>
      </c>
      <c r="C260" s="88"/>
      <c r="D260" s="92"/>
      <c r="E260" s="89"/>
      <c r="F260" s="89"/>
      <c r="G260" s="89"/>
    </row>
    <row r="261">
      <c r="A261" s="86"/>
      <c r="B261" s="87" t="s">
        <v>779</v>
      </c>
      <c r="C261" s="88"/>
      <c r="D261" s="92"/>
      <c r="E261" s="89"/>
      <c r="F261" s="89"/>
      <c r="G261" s="89"/>
    </row>
    <row r="262">
      <c r="A262" s="86"/>
      <c r="B262" s="87" t="s">
        <v>779</v>
      </c>
      <c r="C262" s="88"/>
      <c r="D262" s="92"/>
      <c r="E262" s="89"/>
      <c r="F262" s="89"/>
      <c r="G262" s="89"/>
    </row>
    <row r="263">
      <c r="A263" s="86"/>
      <c r="B263" s="87" t="s">
        <v>779</v>
      </c>
      <c r="C263" s="88"/>
      <c r="D263" s="92"/>
      <c r="E263" s="89"/>
      <c r="F263" s="89"/>
      <c r="G263" s="89"/>
    </row>
    <row r="264">
      <c r="A264" s="86"/>
      <c r="B264" s="87" t="s">
        <v>779</v>
      </c>
      <c r="C264" s="88"/>
      <c r="D264" s="92"/>
      <c r="E264" s="89"/>
      <c r="F264" s="89"/>
      <c r="G264" s="89"/>
    </row>
    <row r="265">
      <c r="A265" s="86"/>
      <c r="B265" s="87" t="s">
        <v>779</v>
      </c>
      <c r="C265" s="88"/>
      <c r="D265" s="92"/>
      <c r="E265" s="89"/>
      <c r="F265" s="89"/>
      <c r="G265" s="89"/>
    </row>
    <row r="266">
      <c r="A266" s="86"/>
      <c r="B266" s="87" t="s">
        <v>779</v>
      </c>
      <c r="C266" s="88"/>
      <c r="D266" s="92"/>
      <c r="E266" s="89"/>
      <c r="F266" s="89"/>
      <c r="G266" s="89"/>
    </row>
    <row r="267">
      <c r="A267" s="86"/>
      <c r="B267" s="87" t="s">
        <v>779</v>
      </c>
      <c r="C267" s="88"/>
      <c r="D267" s="92"/>
      <c r="E267" s="89"/>
      <c r="F267" s="89"/>
      <c r="G267" s="89"/>
    </row>
    <row r="268">
      <c r="A268" s="86"/>
      <c r="B268" s="87" t="s">
        <v>779</v>
      </c>
      <c r="C268" s="88"/>
      <c r="D268" s="92"/>
      <c r="E268" s="89"/>
      <c r="F268" s="89"/>
      <c r="G268" s="89"/>
    </row>
    <row r="269">
      <c r="A269" s="86"/>
      <c r="B269" s="87" t="s">
        <v>779</v>
      </c>
      <c r="C269" s="88"/>
      <c r="D269" s="92"/>
      <c r="E269" s="89"/>
      <c r="F269" s="89"/>
      <c r="G269" s="89"/>
    </row>
    <row r="270">
      <c r="A270" s="86"/>
      <c r="B270" s="87" t="s">
        <v>779</v>
      </c>
      <c r="C270" s="88"/>
      <c r="D270" s="92"/>
      <c r="E270" s="89"/>
      <c r="F270" s="89"/>
      <c r="G270" s="89"/>
    </row>
    <row r="271">
      <c r="A271" s="86"/>
      <c r="B271" s="87" t="s">
        <v>779</v>
      </c>
      <c r="C271" s="88"/>
      <c r="D271" s="92"/>
      <c r="E271" s="89"/>
      <c r="F271" s="89"/>
      <c r="G271" s="89"/>
    </row>
    <row r="272">
      <c r="A272" s="86"/>
      <c r="B272" s="87" t="s">
        <v>779</v>
      </c>
      <c r="C272" s="88"/>
      <c r="D272" s="92"/>
      <c r="E272" s="89"/>
      <c r="F272" s="89"/>
      <c r="G272" s="89"/>
    </row>
    <row r="273">
      <c r="A273" s="86"/>
      <c r="B273" s="87" t="s">
        <v>779</v>
      </c>
      <c r="C273" s="88"/>
      <c r="D273" s="92"/>
      <c r="E273" s="89"/>
      <c r="F273" s="89"/>
      <c r="G273" s="89"/>
    </row>
    <row r="274">
      <c r="A274" s="86"/>
      <c r="B274" s="87" t="s">
        <v>779</v>
      </c>
      <c r="C274" s="88"/>
      <c r="D274" s="92"/>
      <c r="E274" s="89"/>
      <c r="F274" s="89"/>
      <c r="G274" s="89"/>
    </row>
    <row r="275">
      <c r="A275" s="86"/>
      <c r="B275" s="87" t="s">
        <v>779</v>
      </c>
      <c r="C275" s="88"/>
      <c r="D275" s="92"/>
      <c r="E275" s="89"/>
      <c r="F275" s="89"/>
      <c r="G275" s="89"/>
    </row>
    <row r="276">
      <c r="A276" s="86"/>
      <c r="B276" s="87" t="s">
        <v>779</v>
      </c>
      <c r="C276" s="88"/>
      <c r="D276" s="92"/>
      <c r="E276" s="89"/>
      <c r="F276" s="89"/>
      <c r="G276" s="89"/>
    </row>
    <row r="277">
      <c r="A277" s="86"/>
      <c r="B277" s="87" t="s">
        <v>779</v>
      </c>
      <c r="C277" s="88"/>
      <c r="D277" s="92"/>
      <c r="E277" s="89"/>
      <c r="F277" s="89"/>
      <c r="G277" s="89"/>
    </row>
    <row r="278">
      <c r="A278" s="86"/>
      <c r="B278" s="87" t="s">
        <v>779</v>
      </c>
      <c r="C278" s="88"/>
      <c r="D278" s="92"/>
      <c r="E278" s="89"/>
      <c r="F278" s="89"/>
      <c r="G278" s="89"/>
    </row>
    <row r="279">
      <c r="A279" s="86"/>
      <c r="B279" s="87" t="s">
        <v>779</v>
      </c>
      <c r="C279" s="88"/>
      <c r="D279" s="92"/>
      <c r="E279" s="89"/>
      <c r="F279" s="89"/>
      <c r="G279" s="89"/>
    </row>
    <row r="280">
      <c r="A280" s="86"/>
      <c r="B280" s="87" t="s">
        <v>779</v>
      </c>
      <c r="C280" s="88"/>
      <c r="D280" s="92"/>
      <c r="E280" s="89"/>
      <c r="F280" s="89"/>
      <c r="G280" s="89"/>
    </row>
    <row r="281">
      <c r="A281" s="86"/>
      <c r="B281" s="87" t="s">
        <v>779</v>
      </c>
      <c r="C281" s="88"/>
      <c r="D281" s="92"/>
      <c r="E281" s="89"/>
      <c r="F281" s="89"/>
      <c r="G281" s="89"/>
    </row>
    <row r="282">
      <c r="A282" s="86"/>
      <c r="B282" s="87" t="s">
        <v>779</v>
      </c>
      <c r="C282" s="88"/>
      <c r="D282" s="92"/>
      <c r="E282" s="89"/>
      <c r="F282" s="89"/>
      <c r="G282" s="89"/>
    </row>
    <row r="283">
      <c r="A283" s="86"/>
      <c r="B283" s="87" t="s">
        <v>779</v>
      </c>
      <c r="C283" s="88"/>
      <c r="D283" s="92"/>
      <c r="E283" s="89"/>
      <c r="F283" s="89"/>
      <c r="G283" s="89"/>
    </row>
    <row r="284">
      <c r="A284" s="86"/>
      <c r="B284" s="87" t="s">
        <v>779</v>
      </c>
      <c r="C284" s="88"/>
      <c r="D284" s="92"/>
      <c r="E284" s="89"/>
      <c r="F284" s="89"/>
      <c r="G284" s="89"/>
    </row>
    <row r="285">
      <c r="A285" s="86"/>
      <c r="B285" s="87" t="s">
        <v>779</v>
      </c>
      <c r="C285" s="88"/>
      <c r="D285" s="92"/>
      <c r="E285" s="89"/>
      <c r="F285" s="89"/>
      <c r="G285" s="89"/>
    </row>
    <row r="286">
      <c r="A286" s="86"/>
      <c r="B286" s="87" t="s">
        <v>779</v>
      </c>
      <c r="C286" s="88"/>
      <c r="D286" s="92"/>
      <c r="E286" s="89"/>
      <c r="F286" s="89"/>
      <c r="G286" s="89"/>
    </row>
    <row r="287">
      <c r="A287" s="86"/>
      <c r="B287" s="87" t="s">
        <v>779</v>
      </c>
      <c r="C287" s="88"/>
      <c r="D287" s="92"/>
      <c r="E287" s="89"/>
      <c r="F287" s="89"/>
      <c r="G287" s="89"/>
    </row>
    <row r="288">
      <c r="A288" s="86"/>
      <c r="B288" s="87" t="s">
        <v>779</v>
      </c>
      <c r="C288" s="88"/>
      <c r="D288" s="92"/>
      <c r="E288" s="89"/>
      <c r="F288" s="89"/>
      <c r="G288" s="89"/>
    </row>
    <row r="289">
      <c r="A289" s="86"/>
      <c r="B289" s="87" t="s">
        <v>779</v>
      </c>
      <c r="C289" s="88"/>
      <c r="D289" s="92"/>
      <c r="E289" s="89"/>
      <c r="F289" s="89"/>
      <c r="G289" s="89"/>
    </row>
    <row r="290">
      <c r="A290" s="86"/>
      <c r="B290" s="87" t="s">
        <v>779</v>
      </c>
      <c r="C290" s="88"/>
      <c r="D290" s="92"/>
      <c r="E290" s="89"/>
      <c r="F290" s="89"/>
      <c r="G290" s="89"/>
    </row>
    <row r="291">
      <c r="A291" s="86"/>
      <c r="B291" s="87" t="s">
        <v>779</v>
      </c>
      <c r="C291" s="88"/>
      <c r="D291" s="92"/>
      <c r="E291" s="89"/>
      <c r="F291" s="89"/>
      <c r="G291" s="89"/>
    </row>
    <row r="292">
      <c r="A292" s="86"/>
      <c r="B292" s="87" t="s">
        <v>779</v>
      </c>
      <c r="C292" s="88"/>
      <c r="D292" s="92"/>
      <c r="E292" s="89"/>
      <c r="F292" s="89"/>
      <c r="G292" s="89"/>
    </row>
    <row r="293">
      <c r="A293" s="86"/>
      <c r="B293" s="87" t="s">
        <v>779</v>
      </c>
      <c r="C293" s="88"/>
      <c r="D293" s="92"/>
      <c r="E293" s="89"/>
      <c r="F293" s="89"/>
      <c r="G293" s="89"/>
    </row>
    <row r="294">
      <c r="A294" s="86"/>
      <c r="B294" s="87" t="s">
        <v>779</v>
      </c>
      <c r="C294" s="88"/>
      <c r="D294" s="92"/>
      <c r="E294" s="89"/>
      <c r="F294" s="89"/>
      <c r="G294" s="89"/>
    </row>
    <row r="295">
      <c r="A295" s="86"/>
      <c r="B295" s="87" t="s">
        <v>779</v>
      </c>
      <c r="C295" s="88"/>
      <c r="D295" s="92"/>
      <c r="E295" s="89"/>
      <c r="F295" s="89"/>
      <c r="G295" s="89"/>
    </row>
    <row r="296">
      <c r="A296" s="86"/>
      <c r="B296" s="87" t="s">
        <v>779</v>
      </c>
      <c r="C296" s="88"/>
      <c r="D296" s="92"/>
      <c r="E296" s="89"/>
      <c r="F296" s="89"/>
      <c r="G296" s="89"/>
    </row>
    <row r="297">
      <c r="A297" s="86"/>
      <c r="B297" s="87" t="s">
        <v>779</v>
      </c>
      <c r="C297" s="88"/>
      <c r="D297" s="92"/>
      <c r="E297" s="89"/>
      <c r="F297" s="89"/>
      <c r="G297" s="89"/>
    </row>
    <row r="298">
      <c r="A298" s="86"/>
      <c r="B298" s="87" t="s">
        <v>779</v>
      </c>
      <c r="C298" s="88"/>
      <c r="D298" s="92"/>
      <c r="E298" s="89"/>
      <c r="F298" s="89"/>
      <c r="G298" s="89"/>
    </row>
    <row r="299">
      <c r="A299" s="86"/>
      <c r="B299" s="87" t="s">
        <v>779</v>
      </c>
      <c r="C299" s="88"/>
      <c r="D299" s="92"/>
      <c r="E299" s="89"/>
      <c r="F299" s="89"/>
      <c r="G299" s="89"/>
    </row>
    <row r="300">
      <c r="A300" s="86"/>
      <c r="B300" s="87" t="s">
        <v>779</v>
      </c>
      <c r="C300" s="88"/>
      <c r="D300" s="92"/>
      <c r="E300" s="89"/>
      <c r="F300" s="89"/>
      <c r="G300" s="89"/>
    </row>
    <row r="301">
      <c r="A301" s="86"/>
      <c r="B301" s="87" t="s">
        <v>779</v>
      </c>
      <c r="C301" s="88"/>
      <c r="D301" s="92"/>
      <c r="E301" s="89"/>
      <c r="F301" s="89"/>
      <c r="G301" s="89"/>
    </row>
    <row r="302">
      <c r="A302" s="86"/>
      <c r="B302" s="87" t="s">
        <v>779</v>
      </c>
      <c r="C302" s="88"/>
      <c r="D302" s="92"/>
      <c r="E302" s="89"/>
      <c r="F302" s="89"/>
      <c r="G302" s="89"/>
    </row>
    <row r="303">
      <c r="A303" s="86"/>
      <c r="B303" s="87" t="s">
        <v>779</v>
      </c>
      <c r="C303" s="88"/>
      <c r="D303" s="92"/>
      <c r="E303" s="89"/>
      <c r="F303" s="89"/>
      <c r="G303" s="89"/>
    </row>
    <row r="304">
      <c r="A304" s="86"/>
      <c r="B304" s="87" t="s">
        <v>779</v>
      </c>
      <c r="C304" s="88"/>
      <c r="D304" s="92"/>
      <c r="E304" s="89"/>
      <c r="F304" s="89"/>
      <c r="G304" s="89"/>
    </row>
    <row r="305">
      <c r="A305" s="86"/>
      <c r="B305" s="87" t="s">
        <v>779</v>
      </c>
      <c r="C305" s="88"/>
      <c r="D305" s="92"/>
      <c r="E305" s="89"/>
      <c r="F305" s="89"/>
      <c r="G305" s="89"/>
    </row>
    <row r="306">
      <c r="A306" s="86"/>
      <c r="B306" s="87" t="s">
        <v>779</v>
      </c>
      <c r="C306" s="88"/>
      <c r="D306" s="92"/>
      <c r="E306" s="89"/>
      <c r="F306" s="89"/>
      <c r="G306" s="89"/>
    </row>
    <row r="307">
      <c r="A307" s="86"/>
      <c r="B307" s="87" t="s">
        <v>779</v>
      </c>
      <c r="C307" s="88"/>
      <c r="D307" s="92"/>
      <c r="E307" s="89"/>
      <c r="F307" s="89"/>
      <c r="G307" s="89"/>
    </row>
    <row r="308">
      <c r="A308" s="86"/>
      <c r="B308" s="87" t="s">
        <v>779</v>
      </c>
      <c r="C308" s="88"/>
      <c r="D308" s="92"/>
      <c r="E308" s="89"/>
      <c r="F308" s="89"/>
      <c r="G308" s="89"/>
    </row>
    <row r="309">
      <c r="A309" s="86"/>
      <c r="B309" s="87" t="s">
        <v>779</v>
      </c>
      <c r="C309" s="88"/>
      <c r="D309" s="92"/>
      <c r="E309" s="89"/>
      <c r="F309" s="89"/>
      <c r="G309" s="89"/>
    </row>
    <row r="310">
      <c r="A310" s="86"/>
      <c r="B310" s="87" t="s">
        <v>779</v>
      </c>
      <c r="C310" s="88"/>
      <c r="D310" s="92"/>
      <c r="E310" s="89"/>
      <c r="F310" s="89"/>
      <c r="G310" s="89"/>
    </row>
    <row r="311">
      <c r="A311" s="86"/>
      <c r="B311" s="87" t="s">
        <v>779</v>
      </c>
      <c r="C311" s="88"/>
      <c r="D311" s="92"/>
      <c r="E311" s="89"/>
      <c r="F311" s="89"/>
      <c r="G311" s="89"/>
    </row>
    <row r="312">
      <c r="A312" s="86"/>
      <c r="B312" s="87" t="s">
        <v>779</v>
      </c>
      <c r="C312" s="88"/>
      <c r="D312" s="92"/>
      <c r="E312" s="89"/>
      <c r="F312" s="89"/>
      <c r="G312" s="89"/>
    </row>
    <row r="313">
      <c r="A313" s="86"/>
      <c r="B313" s="87" t="s">
        <v>779</v>
      </c>
      <c r="C313" s="88"/>
      <c r="D313" s="92"/>
      <c r="E313" s="89"/>
      <c r="F313" s="89"/>
      <c r="G313" s="89"/>
    </row>
    <row r="314">
      <c r="A314" s="86"/>
      <c r="B314" s="87" t="s">
        <v>779</v>
      </c>
      <c r="C314" s="88"/>
      <c r="D314" s="92"/>
      <c r="E314" s="89"/>
      <c r="F314" s="89"/>
      <c r="G314" s="89"/>
    </row>
    <row r="315">
      <c r="A315" s="86"/>
      <c r="B315" s="87" t="s">
        <v>779</v>
      </c>
      <c r="C315" s="88"/>
      <c r="D315" s="92"/>
      <c r="E315" s="89"/>
      <c r="F315" s="89"/>
      <c r="G315" s="89"/>
    </row>
    <row r="316">
      <c r="A316" s="86"/>
      <c r="B316" s="87" t="s">
        <v>779</v>
      </c>
      <c r="C316" s="88"/>
      <c r="D316" s="92"/>
      <c r="E316" s="89"/>
      <c r="F316" s="89"/>
      <c r="G316" s="89"/>
    </row>
    <row r="317">
      <c r="A317" s="86"/>
      <c r="B317" s="87" t="s">
        <v>779</v>
      </c>
      <c r="C317" s="88"/>
      <c r="D317" s="92"/>
      <c r="E317" s="89"/>
      <c r="F317" s="89"/>
      <c r="G317" s="89"/>
    </row>
    <row r="318">
      <c r="A318" s="86"/>
      <c r="B318" s="87" t="s">
        <v>779</v>
      </c>
      <c r="C318" s="88"/>
      <c r="D318" s="92"/>
      <c r="E318" s="89"/>
      <c r="F318" s="89"/>
      <c r="G318" s="89"/>
    </row>
    <row r="319">
      <c r="A319" s="86"/>
      <c r="B319" s="87" t="s">
        <v>779</v>
      </c>
      <c r="C319" s="88"/>
      <c r="D319" s="92"/>
      <c r="E319" s="89"/>
      <c r="F319" s="89"/>
      <c r="G319" s="89"/>
    </row>
    <row r="320">
      <c r="A320" s="86"/>
      <c r="B320" s="87" t="s">
        <v>779</v>
      </c>
      <c r="C320" s="88"/>
      <c r="D320" s="92"/>
      <c r="E320" s="89"/>
      <c r="F320" s="89"/>
      <c r="G320" s="89"/>
    </row>
    <row r="321">
      <c r="A321" s="86"/>
      <c r="B321" s="87" t="s">
        <v>779</v>
      </c>
      <c r="C321" s="88"/>
      <c r="D321" s="92"/>
      <c r="E321" s="89"/>
      <c r="F321" s="89"/>
      <c r="G321" s="89"/>
    </row>
    <row r="322">
      <c r="A322" s="86"/>
      <c r="B322" s="87" t="s">
        <v>779</v>
      </c>
      <c r="C322" s="88"/>
      <c r="D322" s="92"/>
      <c r="E322" s="89"/>
      <c r="F322" s="89"/>
      <c r="G322" s="89"/>
    </row>
    <row r="323">
      <c r="A323" s="86"/>
      <c r="B323" s="87" t="s">
        <v>779</v>
      </c>
      <c r="C323" s="88"/>
      <c r="D323" s="92"/>
      <c r="E323" s="89"/>
      <c r="F323" s="89"/>
      <c r="G323" s="89"/>
    </row>
    <row r="324">
      <c r="A324" s="86"/>
      <c r="B324" s="87" t="s">
        <v>779</v>
      </c>
      <c r="C324" s="88"/>
      <c r="D324" s="92"/>
      <c r="E324" s="89"/>
      <c r="F324" s="89"/>
      <c r="G324" s="89"/>
    </row>
    <row r="325">
      <c r="A325" s="86"/>
      <c r="B325" s="87" t="s">
        <v>779</v>
      </c>
      <c r="C325" s="88"/>
      <c r="D325" s="92"/>
      <c r="E325" s="89"/>
      <c r="F325" s="89"/>
      <c r="G325" s="89"/>
    </row>
    <row r="326">
      <c r="A326" s="86"/>
      <c r="B326" s="87" t="s">
        <v>779</v>
      </c>
      <c r="C326" s="88"/>
      <c r="D326" s="92"/>
      <c r="E326" s="89"/>
      <c r="F326" s="89"/>
      <c r="G326" s="89"/>
    </row>
    <row r="327">
      <c r="A327" s="86"/>
      <c r="B327" s="87" t="s">
        <v>779</v>
      </c>
      <c r="C327" s="88"/>
      <c r="D327" s="92"/>
      <c r="E327" s="89"/>
      <c r="F327" s="89"/>
      <c r="G327" s="89"/>
    </row>
    <row r="328">
      <c r="A328" s="86"/>
      <c r="B328" s="87" t="s">
        <v>779</v>
      </c>
      <c r="C328" s="88"/>
      <c r="D328" s="92"/>
      <c r="E328" s="89"/>
      <c r="F328" s="89"/>
      <c r="G328" s="89"/>
    </row>
    <row r="329">
      <c r="A329" s="86"/>
      <c r="B329" s="87" t="s">
        <v>779</v>
      </c>
      <c r="C329" s="88"/>
      <c r="D329" s="92"/>
      <c r="E329" s="89"/>
      <c r="F329" s="89"/>
      <c r="G329" s="89"/>
    </row>
    <row r="330">
      <c r="A330" s="86"/>
      <c r="B330" s="87" t="s">
        <v>779</v>
      </c>
      <c r="C330" s="88"/>
      <c r="D330" s="92"/>
      <c r="E330" s="89"/>
      <c r="F330" s="89"/>
      <c r="G330" s="89"/>
    </row>
    <row r="331">
      <c r="A331" s="86"/>
      <c r="B331" s="87" t="s">
        <v>779</v>
      </c>
      <c r="C331" s="88"/>
      <c r="D331" s="92"/>
      <c r="E331" s="89"/>
      <c r="F331" s="89"/>
      <c r="G331" s="89"/>
    </row>
    <row r="332">
      <c r="A332" s="86"/>
      <c r="B332" s="87" t="s">
        <v>779</v>
      </c>
      <c r="C332" s="88"/>
      <c r="D332" s="92"/>
      <c r="E332" s="89"/>
      <c r="F332" s="89"/>
      <c r="G332" s="89"/>
    </row>
    <row r="333">
      <c r="A333" s="86"/>
      <c r="B333" s="87" t="s">
        <v>779</v>
      </c>
      <c r="C333" s="88"/>
      <c r="D333" s="92"/>
      <c r="E333" s="89"/>
      <c r="F333" s="89"/>
      <c r="G333" s="89"/>
    </row>
    <row r="334">
      <c r="A334" s="86"/>
      <c r="B334" s="87" t="s">
        <v>779</v>
      </c>
      <c r="C334" s="88"/>
      <c r="D334" s="92"/>
      <c r="E334" s="89"/>
      <c r="F334" s="89"/>
      <c r="G334" s="89"/>
    </row>
    <row r="335">
      <c r="A335" s="86"/>
      <c r="B335" s="87" t="s">
        <v>779</v>
      </c>
      <c r="C335" s="88"/>
      <c r="D335" s="92"/>
      <c r="E335" s="89"/>
      <c r="F335" s="89"/>
      <c r="G335" s="89"/>
    </row>
    <row r="336">
      <c r="A336" s="86"/>
      <c r="B336" s="87" t="s">
        <v>779</v>
      </c>
      <c r="C336" s="88"/>
      <c r="D336" s="92"/>
      <c r="E336" s="89"/>
      <c r="F336" s="89"/>
      <c r="G336" s="89"/>
    </row>
    <row r="337">
      <c r="A337" s="86"/>
      <c r="B337" s="87" t="s">
        <v>779</v>
      </c>
      <c r="C337" s="88"/>
      <c r="D337" s="92"/>
      <c r="E337" s="89"/>
      <c r="F337" s="89"/>
      <c r="G337" s="89"/>
    </row>
    <row r="338">
      <c r="A338" s="86"/>
      <c r="B338" s="87" t="s">
        <v>779</v>
      </c>
      <c r="C338" s="88"/>
      <c r="D338" s="92"/>
      <c r="E338" s="89"/>
      <c r="F338" s="89"/>
      <c r="G338" s="89"/>
    </row>
    <row r="339">
      <c r="A339" s="86"/>
      <c r="B339" s="87" t="s">
        <v>779</v>
      </c>
      <c r="C339" s="88"/>
      <c r="D339" s="92"/>
      <c r="E339" s="89"/>
      <c r="F339" s="89"/>
      <c r="G339" s="89"/>
    </row>
    <row r="340">
      <c r="A340" s="86"/>
      <c r="B340" s="87" t="s">
        <v>779</v>
      </c>
      <c r="C340" s="88"/>
      <c r="D340" s="92"/>
      <c r="E340" s="89"/>
      <c r="F340" s="89"/>
      <c r="G340" s="89"/>
    </row>
    <row r="341">
      <c r="A341" s="86"/>
      <c r="B341" s="87" t="s">
        <v>779</v>
      </c>
      <c r="C341" s="88"/>
      <c r="D341" s="92"/>
      <c r="E341" s="89"/>
      <c r="F341" s="89"/>
      <c r="G341" s="89"/>
    </row>
    <row r="342">
      <c r="A342" s="86"/>
      <c r="B342" s="87" t="s">
        <v>779</v>
      </c>
      <c r="C342" s="88"/>
      <c r="D342" s="92"/>
      <c r="E342" s="89"/>
      <c r="F342" s="89"/>
      <c r="G342" s="89"/>
    </row>
    <row r="343">
      <c r="A343" s="86"/>
      <c r="B343" s="87" t="s">
        <v>779</v>
      </c>
      <c r="C343" s="88"/>
      <c r="D343" s="92"/>
      <c r="E343" s="89"/>
      <c r="F343" s="89"/>
      <c r="G343" s="89"/>
    </row>
    <row r="344">
      <c r="A344" s="86"/>
      <c r="B344" s="87" t="s">
        <v>779</v>
      </c>
      <c r="C344" s="88"/>
      <c r="D344" s="92"/>
      <c r="E344" s="89"/>
      <c r="F344" s="89"/>
      <c r="G344" s="89"/>
    </row>
    <row r="345">
      <c r="A345" s="86"/>
      <c r="B345" s="87" t="s">
        <v>779</v>
      </c>
      <c r="C345" s="88"/>
      <c r="D345" s="92"/>
      <c r="E345" s="89"/>
      <c r="F345" s="89"/>
      <c r="G345" s="89"/>
    </row>
    <row r="346">
      <c r="A346" s="86"/>
      <c r="B346" s="87" t="s">
        <v>779</v>
      </c>
      <c r="C346" s="88"/>
      <c r="D346" s="92"/>
      <c r="E346" s="89"/>
      <c r="F346" s="89"/>
      <c r="G346" s="89"/>
    </row>
    <row r="347">
      <c r="A347" s="86"/>
      <c r="B347" s="87" t="s">
        <v>779</v>
      </c>
      <c r="C347" s="88"/>
      <c r="D347" s="92"/>
      <c r="E347" s="89"/>
      <c r="F347" s="89"/>
      <c r="G347" s="89"/>
    </row>
    <row r="348">
      <c r="A348" s="86"/>
      <c r="B348" s="87" t="s">
        <v>779</v>
      </c>
      <c r="C348" s="88"/>
      <c r="D348" s="92"/>
      <c r="E348" s="89"/>
      <c r="F348" s="89"/>
      <c r="G348" s="89"/>
    </row>
    <row r="349">
      <c r="A349" s="86"/>
      <c r="B349" s="87" t="s">
        <v>779</v>
      </c>
      <c r="C349" s="88"/>
      <c r="D349" s="92"/>
      <c r="E349" s="89"/>
      <c r="F349" s="89"/>
      <c r="G349" s="89"/>
    </row>
    <row r="350">
      <c r="A350" s="86"/>
      <c r="B350" s="87" t="s">
        <v>779</v>
      </c>
      <c r="C350" s="88"/>
      <c r="D350" s="92"/>
      <c r="E350" s="89"/>
      <c r="F350" s="89"/>
      <c r="G350" s="89"/>
    </row>
    <row r="351">
      <c r="A351" s="86"/>
      <c r="B351" s="87" t="s">
        <v>779</v>
      </c>
      <c r="C351" s="88"/>
      <c r="D351" s="92"/>
      <c r="E351" s="89"/>
      <c r="F351" s="89"/>
      <c r="G351" s="89"/>
    </row>
    <row r="352">
      <c r="A352" s="86"/>
      <c r="B352" s="87" t="s">
        <v>779</v>
      </c>
      <c r="C352" s="88"/>
      <c r="D352" s="92"/>
      <c r="E352" s="89"/>
      <c r="F352" s="89"/>
      <c r="G352" s="89"/>
    </row>
    <row r="353">
      <c r="A353" s="86"/>
      <c r="B353" s="87" t="s">
        <v>779</v>
      </c>
      <c r="C353" s="88"/>
      <c r="D353" s="92"/>
      <c r="E353" s="89"/>
      <c r="F353" s="89"/>
      <c r="G353" s="89"/>
    </row>
    <row r="354">
      <c r="A354" s="86"/>
      <c r="B354" s="87" t="s">
        <v>779</v>
      </c>
      <c r="C354" s="88"/>
      <c r="D354" s="92"/>
      <c r="E354" s="89"/>
      <c r="F354" s="89"/>
      <c r="G354" s="89"/>
    </row>
    <row r="355">
      <c r="A355" s="86"/>
      <c r="B355" s="87" t="s">
        <v>779</v>
      </c>
      <c r="C355" s="88"/>
      <c r="D355" s="92"/>
      <c r="E355" s="89"/>
      <c r="F355" s="89"/>
      <c r="G355" s="89"/>
    </row>
    <row r="356">
      <c r="A356" s="86"/>
      <c r="B356" s="87" t="s">
        <v>779</v>
      </c>
      <c r="C356" s="88"/>
      <c r="D356" s="92"/>
      <c r="E356" s="89"/>
      <c r="F356" s="89"/>
      <c r="G356" s="89"/>
    </row>
    <row r="357">
      <c r="A357" s="86"/>
      <c r="B357" s="87" t="s">
        <v>779</v>
      </c>
      <c r="C357" s="88"/>
      <c r="D357" s="92"/>
      <c r="E357" s="89"/>
      <c r="F357" s="89"/>
      <c r="G357" s="89"/>
    </row>
    <row r="358">
      <c r="A358" s="86"/>
      <c r="B358" s="87" t="s">
        <v>779</v>
      </c>
      <c r="C358" s="88"/>
      <c r="D358" s="92"/>
      <c r="E358" s="89"/>
      <c r="F358" s="89"/>
      <c r="G358" s="89"/>
    </row>
    <row r="359">
      <c r="A359" s="86"/>
      <c r="B359" s="87" t="s">
        <v>779</v>
      </c>
      <c r="C359" s="88"/>
      <c r="D359" s="92"/>
      <c r="E359" s="89"/>
      <c r="F359" s="89"/>
      <c r="G359" s="89"/>
    </row>
    <row r="360">
      <c r="A360" s="86"/>
      <c r="B360" s="87" t="s">
        <v>779</v>
      </c>
      <c r="C360" s="88"/>
      <c r="D360" s="92"/>
      <c r="E360" s="89"/>
      <c r="F360" s="89"/>
      <c r="G360" s="89"/>
    </row>
    <row r="361">
      <c r="A361" s="86"/>
      <c r="B361" s="87" t="s">
        <v>779</v>
      </c>
      <c r="C361" s="88"/>
      <c r="D361" s="92"/>
      <c r="E361" s="89"/>
      <c r="F361" s="89"/>
      <c r="G361" s="89"/>
    </row>
    <row r="362">
      <c r="A362" s="86"/>
      <c r="B362" s="87" t="s">
        <v>779</v>
      </c>
      <c r="C362" s="88"/>
      <c r="D362" s="92"/>
      <c r="E362" s="89"/>
      <c r="F362" s="89"/>
      <c r="G362" s="89"/>
    </row>
    <row r="363">
      <c r="A363" s="86"/>
      <c r="B363" s="87" t="s">
        <v>779</v>
      </c>
      <c r="C363" s="88"/>
      <c r="D363" s="92"/>
      <c r="E363" s="89"/>
      <c r="F363" s="89"/>
      <c r="G363" s="89"/>
    </row>
    <row r="364">
      <c r="A364" s="86"/>
      <c r="B364" s="87" t="s">
        <v>779</v>
      </c>
      <c r="C364" s="88"/>
      <c r="D364" s="92"/>
      <c r="E364" s="89"/>
      <c r="F364" s="89"/>
      <c r="G364" s="89"/>
    </row>
    <row r="365">
      <c r="A365" s="86"/>
      <c r="B365" s="87" t="s">
        <v>779</v>
      </c>
      <c r="C365" s="88"/>
      <c r="D365" s="92"/>
      <c r="E365" s="89"/>
      <c r="F365" s="89"/>
      <c r="G365" s="89"/>
    </row>
    <row r="366">
      <c r="A366" s="86"/>
      <c r="B366" s="87" t="s">
        <v>779</v>
      </c>
      <c r="C366" s="88"/>
      <c r="D366" s="92"/>
      <c r="E366" s="89"/>
      <c r="F366" s="89"/>
      <c r="G366" s="89"/>
    </row>
    <row r="367">
      <c r="A367" s="86"/>
      <c r="B367" s="87" t="s">
        <v>779</v>
      </c>
      <c r="C367" s="88"/>
      <c r="D367" s="92"/>
      <c r="E367" s="89"/>
      <c r="F367" s="89"/>
      <c r="G367" s="89"/>
    </row>
    <row r="368">
      <c r="A368" s="86"/>
      <c r="B368" s="87" t="s">
        <v>779</v>
      </c>
      <c r="C368" s="88"/>
      <c r="D368" s="92"/>
      <c r="E368" s="89"/>
      <c r="F368" s="89"/>
      <c r="G368" s="89"/>
    </row>
    <row r="369">
      <c r="A369" s="86"/>
      <c r="B369" s="87" t="s">
        <v>779</v>
      </c>
      <c r="C369" s="88"/>
      <c r="D369" s="92"/>
      <c r="E369" s="89"/>
      <c r="F369" s="89"/>
      <c r="G369" s="89"/>
    </row>
    <row r="370">
      <c r="A370" s="86"/>
      <c r="B370" s="87" t="s">
        <v>779</v>
      </c>
      <c r="C370" s="88"/>
      <c r="D370" s="92"/>
      <c r="E370" s="89"/>
      <c r="F370" s="89"/>
      <c r="G370" s="89"/>
    </row>
    <row r="371">
      <c r="A371" s="86"/>
      <c r="B371" s="87" t="s">
        <v>779</v>
      </c>
      <c r="C371" s="88"/>
      <c r="D371" s="92"/>
      <c r="E371" s="89"/>
      <c r="F371" s="89"/>
      <c r="G371" s="89"/>
    </row>
    <row r="372">
      <c r="A372" s="86"/>
      <c r="B372" s="87" t="s">
        <v>779</v>
      </c>
      <c r="C372" s="88"/>
      <c r="D372" s="92"/>
      <c r="E372" s="89"/>
      <c r="F372" s="89"/>
      <c r="G372" s="89"/>
    </row>
    <row r="373">
      <c r="A373" s="86"/>
      <c r="B373" s="87" t="s">
        <v>779</v>
      </c>
      <c r="C373" s="88"/>
      <c r="D373" s="92"/>
      <c r="E373" s="89"/>
      <c r="F373" s="89"/>
      <c r="G373" s="89"/>
    </row>
    <row r="374">
      <c r="A374" s="86"/>
      <c r="B374" s="87" t="s">
        <v>779</v>
      </c>
      <c r="C374" s="88"/>
      <c r="D374" s="92"/>
      <c r="E374" s="89"/>
      <c r="F374" s="89"/>
      <c r="G374" s="89"/>
    </row>
    <row r="375">
      <c r="A375" s="86"/>
      <c r="B375" s="87" t="s">
        <v>779</v>
      </c>
      <c r="C375" s="88"/>
      <c r="D375" s="92"/>
      <c r="E375" s="89"/>
      <c r="F375" s="89"/>
      <c r="G375" s="89"/>
    </row>
    <row r="376">
      <c r="A376" s="86"/>
      <c r="B376" s="87" t="s">
        <v>779</v>
      </c>
      <c r="C376" s="88"/>
      <c r="D376" s="92"/>
      <c r="E376" s="89"/>
      <c r="F376" s="89"/>
      <c r="G376" s="89"/>
    </row>
    <row r="377">
      <c r="A377" s="86"/>
      <c r="B377" s="87" t="s">
        <v>779</v>
      </c>
      <c r="C377" s="88"/>
      <c r="D377" s="92"/>
      <c r="E377" s="89"/>
      <c r="F377" s="89"/>
      <c r="G377" s="89"/>
    </row>
    <row r="378">
      <c r="A378" s="86"/>
      <c r="B378" s="87" t="s">
        <v>779</v>
      </c>
      <c r="C378" s="88"/>
      <c r="D378" s="92"/>
      <c r="E378" s="89"/>
      <c r="F378" s="89"/>
      <c r="G378" s="89"/>
    </row>
    <row r="379">
      <c r="A379" s="86"/>
      <c r="B379" s="87" t="s">
        <v>779</v>
      </c>
      <c r="C379" s="88"/>
      <c r="D379" s="92"/>
      <c r="E379" s="89"/>
      <c r="F379" s="89"/>
      <c r="G379" s="89"/>
    </row>
    <row r="380">
      <c r="A380" s="86"/>
      <c r="B380" s="87" t="s">
        <v>779</v>
      </c>
      <c r="C380" s="88"/>
      <c r="D380" s="92"/>
      <c r="E380" s="89"/>
      <c r="F380" s="89"/>
      <c r="G380" s="89"/>
    </row>
    <row r="381">
      <c r="A381" s="86"/>
      <c r="B381" s="87" t="s">
        <v>779</v>
      </c>
      <c r="C381" s="88"/>
      <c r="D381" s="92"/>
      <c r="E381" s="89"/>
      <c r="F381" s="89"/>
      <c r="G381" s="89"/>
    </row>
    <row r="382">
      <c r="A382" s="86"/>
      <c r="B382" s="87" t="s">
        <v>779</v>
      </c>
      <c r="C382" s="88"/>
      <c r="D382" s="92"/>
      <c r="E382" s="89"/>
      <c r="F382" s="89"/>
      <c r="G382" s="89"/>
    </row>
    <row r="383">
      <c r="A383" s="86"/>
      <c r="B383" s="87" t="s">
        <v>779</v>
      </c>
      <c r="C383" s="88"/>
      <c r="D383" s="92"/>
      <c r="E383" s="89"/>
      <c r="F383" s="89"/>
      <c r="G383" s="89"/>
    </row>
    <row r="384">
      <c r="A384" s="86"/>
      <c r="B384" s="87" t="s">
        <v>779</v>
      </c>
      <c r="C384" s="88"/>
      <c r="D384" s="92"/>
      <c r="E384" s="89"/>
      <c r="F384" s="89"/>
      <c r="G384" s="89"/>
    </row>
    <row r="385">
      <c r="A385" s="86"/>
      <c r="B385" s="87" t="s">
        <v>779</v>
      </c>
      <c r="C385" s="88"/>
      <c r="D385" s="92"/>
      <c r="E385" s="89"/>
      <c r="F385" s="89"/>
      <c r="G385" s="89"/>
    </row>
    <row r="386">
      <c r="A386" s="86"/>
      <c r="B386" s="87" t="s">
        <v>779</v>
      </c>
      <c r="C386" s="88"/>
      <c r="D386" s="92"/>
      <c r="E386" s="89"/>
      <c r="F386" s="89"/>
      <c r="G386" s="89"/>
    </row>
    <row r="387">
      <c r="A387" s="86"/>
      <c r="B387" s="87" t="s">
        <v>779</v>
      </c>
      <c r="C387" s="88"/>
      <c r="D387" s="92"/>
      <c r="E387" s="89"/>
      <c r="F387" s="89"/>
      <c r="G387" s="89"/>
    </row>
    <row r="388">
      <c r="A388" s="86"/>
      <c r="B388" s="87" t="s">
        <v>779</v>
      </c>
      <c r="C388" s="88"/>
      <c r="D388" s="92"/>
      <c r="E388" s="89"/>
      <c r="F388" s="89"/>
      <c r="G388" s="89"/>
    </row>
    <row r="389">
      <c r="A389" s="86"/>
      <c r="B389" s="87" t="s">
        <v>779</v>
      </c>
      <c r="C389" s="88"/>
      <c r="D389" s="92"/>
      <c r="E389" s="89"/>
      <c r="F389" s="89"/>
      <c r="G389" s="89"/>
    </row>
    <row r="390">
      <c r="A390" s="86"/>
      <c r="B390" s="87" t="s">
        <v>779</v>
      </c>
      <c r="C390" s="88"/>
      <c r="D390" s="92"/>
      <c r="E390" s="89"/>
      <c r="F390" s="89"/>
      <c r="G390" s="89"/>
    </row>
    <row r="391">
      <c r="A391" s="86"/>
      <c r="B391" s="87" t="s">
        <v>779</v>
      </c>
      <c r="C391" s="88"/>
      <c r="D391" s="92"/>
      <c r="E391" s="89"/>
      <c r="F391" s="89"/>
      <c r="G391" s="89"/>
    </row>
    <row r="392">
      <c r="A392" s="86"/>
      <c r="B392" s="87" t="s">
        <v>779</v>
      </c>
      <c r="C392" s="88"/>
      <c r="D392" s="92"/>
      <c r="E392" s="89"/>
      <c r="F392" s="89"/>
      <c r="G392" s="89"/>
    </row>
    <row r="393">
      <c r="A393" s="86"/>
      <c r="B393" s="87" t="s">
        <v>779</v>
      </c>
      <c r="C393" s="88"/>
      <c r="D393" s="92"/>
      <c r="E393" s="89"/>
      <c r="F393" s="89"/>
      <c r="G393" s="89"/>
    </row>
    <row r="394">
      <c r="A394" s="86"/>
      <c r="B394" s="87" t="s">
        <v>779</v>
      </c>
      <c r="C394" s="88"/>
      <c r="D394" s="92"/>
      <c r="E394" s="89"/>
      <c r="F394" s="89"/>
      <c r="G394" s="89"/>
    </row>
    <row r="395">
      <c r="A395" s="86"/>
      <c r="B395" s="87" t="s">
        <v>779</v>
      </c>
      <c r="C395" s="88"/>
      <c r="D395" s="92"/>
      <c r="E395" s="89"/>
      <c r="F395" s="89"/>
      <c r="G395" s="89"/>
    </row>
    <row r="396">
      <c r="A396" s="86"/>
      <c r="B396" s="87" t="s">
        <v>779</v>
      </c>
      <c r="C396" s="88"/>
      <c r="D396" s="92"/>
      <c r="E396" s="89"/>
      <c r="F396" s="89"/>
      <c r="G396" s="89"/>
    </row>
    <row r="397">
      <c r="A397" s="86"/>
      <c r="B397" s="87" t="s">
        <v>779</v>
      </c>
      <c r="C397" s="88"/>
      <c r="D397" s="92"/>
      <c r="E397" s="89"/>
      <c r="F397" s="89"/>
      <c r="G397" s="89"/>
    </row>
    <row r="398">
      <c r="A398" s="86"/>
      <c r="B398" s="87" t="s">
        <v>779</v>
      </c>
      <c r="C398" s="88"/>
      <c r="D398" s="92"/>
      <c r="E398" s="89"/>
      <c r="F398" s="89"/>
      <c r="G398" s="89"/>
    </row>
    <row r="399">
      <c r="A399" s="86"/>
      <c r="B399" s="87" t="s">
        <v>779</v>
      </c>
      <c r="C399" s="88"/>
      <c r="D399" s="92"/>
      <c r="E399" s="89"/>
      <c r="F399" s="89"/>
      <c r="G399" s="89"/>
    </row>
    <row r="400">
      <c r="A400" s="86"/>
      <c r="B400" s="87" t="s">
        <v>779</v>
      </c>
      <c r="C400" s="88"/>
      <c r="D400" s="92"/>
      <c r="E400" s="89"/>
      <c r="F400" s="89"/>
      <c r="G400" s="89"/>
    </row>
    <row r="401">
      <c r="A401" s="86"/>
      <c r="B401" s="87" t="s">
        <v>779</v>
      </c>
      <c r="C401" s="88"/>
      <c r="D401" s="92"/>
      <c r="E401" s="89"/>
      <c r="F401" s="89"/>
      <c r="G401" s="89"/>
    </row>
    <row r="402">
      <c r="A402" s="86"/>
      <c r="B402" s="87" t="s">
        <v>779</v>
      </c>
      <c r="C402" s="88"/>
      <c r="D402" s="92"/>
      <c r="E402" s="89"/>
      <c r="F402" s="89"/>
      <c r="G402" s="89"/>
    </row>
    <row r="403">
      <c r="A403" s="86"/>
      <c r="B403" s="87" t="s">
        <v>779</v>
      </c>
      <c r="C403" s="88"/>
      <c r="D403" s="92"/>
      <c r="E403" s="89"/>
      <c r="F403" s="89"/>
      <c r="G403" s="89"/>
    </row>
    <row r="404">
      <c r="A404" s="86"/>
      <c r="B404" s="87" t="s">
        <v>779</v>
      </c>
      <c r="C404" s="88"/>
      <c r="D404" s="92"/>
      <c r="E404" s="89"/>
      <c r="F404" s="89"/>
      <c r="G404" s="89"/>
    </row>
    <row r="405">
      <c r="A405" s="86"/>
      <c r="B405" s="87" t="s">
        <v>779</v>
      </c>
      <c r="C405" s="88"/>
      <c r="D405" s="92"/>
      <c r="E405" s="89"/>
      <c r="F405" s="89"/>
      <c r="G405" s="89"/>
    </row>
    <row r="406">
      <c r="A406" s="86"/>
      <c r="B406" s="87" t="s">
        <v>779</v>
      </c>
      <c r="C406" s="88"/>
      <c r="D406" s="92"/>
      <c r="E406" s="89"/>
      <c r="F406" s="89"/>
      <c r="G406" s="89"/>
    </row>
    <row r="407">
      <c r="A407" s="86"/>
      <c r="B407" s="87" t="s">
        <v>779</v>
      </c>
      <c r="C407" s="88"/>
      <c r="D407" s="92"/>
      <c r="E407" s="89"/>
      <c r="F407" s="89"/>
      <c r="G407" s="89"/>
    </row>
    <row r="408">
      <c r="A408" s="86"/>
      <c r="B408" s="87" t="s">
        <v>779</v>
      </c>
      <c r="C408" s="88"/>
      <c r="D408" s="92"/>
      <c r="E408" s="89"/>
      <c r="F408" s="89"/>
      <c r="G408" s="89"/>
    </row>
    <row r="409">
      <c r="A409" s="86"/>
      <c r="B409" s="87" t="s">
        <v>779</v>
      </c>
      <c r="C409" s="88"/>
      <c r="D409" s="92"/>
      <c r="E409" s="89"/>
      <c r="F409" s="89"/>
      <c r="G409" s="89"/>
    </row>
    <row r="410">
      <c r="A410" s="86"/>
      <c r="B410" s="87" t="s">
        <v>779</v>
      </c>
      <c r="C410" s="88"/>
      <c r="D410" s="92"/>
      <c r="E410" s="89"/>
      <c r="F410" s="89"/>
      <c r="G410" s="89"/>
    </row>
    <row r="411">
      <c r="A411" s="86"/>
      <c r="B411" s="87" t="s">
        <v>779</v>
      </c>
      <c r="C411" s="88"/>
      <c r="D411" s="92"/>
      <c r="E411" s="89"/>
      <c r="F411" s="89"/>
      <c r="G411" s="89"/>
    </row>
    <row r="412">
      <c r="A412" s="86"/>
      <c r="B412" s="87" t="s">
        <v>779</v>
      </c>
      <c r="C412" s="88"/>
      <c r="D412" s="92"/>
      <c r="E412" s="89"/>
      <c r="F412" s="89"/>
      <c r="G412" s="89"/>
    </row>
    <row r="413">
      <c r="A413" s="86"/>
      <c r="B413" s="87" t="s">
        <v>779</v>
      </c>
      <c r="C413" s="88"/>
      <c r="D413" s="92"/>
      <c r="E413" s="89"/>
      <c r="F413" s="89"/>
      <c r="G413" s="89"/>
    </row>
    <row r="414">
      <c r="A414" s="86"/>
      <c r="B414" s="87" t="s">
        <v>779</v>
      </c>
      <c r="C414" s="88"/>
      <c r="D414" s="92"/>
      <c r="E414" s="89"/>
      <c r="F414" s="89"/>
      <c r="G414" s="89"/>
    </row>
    <row r="415">
      <c r="A415" s="86"/>
      <c r="B415" s="87" t="s">
        <v>779</v>
      </c>
      <c r="C415" s="88"/>
      <c r="D415" s="92"/>
      <c r="E415" s="89"/>
      <c r="F415" s="89"/>
      <c r="G415" s="89"/>
    </row>
    <row r="416">
      <c r="A416" s="86"/>
      <c r="B416" s="87" t="s">
        <v>779</v>
      </c>
      <c r="C416" s="88"/>
      <c r="D416" s="92"/>
      <c r="E416" s="89"/>
      <c r="F416" s="89"/>
      <c r="G416" s="89"/>
    </row>
    <row r="417">
      <c r="A417" s="86"/>
      <c r="B417" s="87" t="s">
        <v>779</v>
      </c>
      <c r="C417" s="88"/>
      <c r="D417" s="92"/>
      <c r="E417" s="89"/>
      <c r="F417" s="89"/>
      <c r="G417" s="89"/>
    </row>
    <row r="418">
      <c r="A418" s="86"/>
      <c r="B418" s="87" t="s">
        <v>779</v>
      </c>
      <c r="C418" s="88"/>
      <c r="D418" s="92"/>
      <c r="E418" s="89"/>
      <c r="F418" s="89"/>
      <c r="G418" s="89"/>
    </row>
    <row r="419">
      <c r="A419" s="86"/>
      <c r="B419" s="87" t="s">
        <v>779</v>
      </c>
      <c r="C419" s="88"/>
      <c r="D419" s="92"/>
      <c r="E419" s="89"/>
      <c r="F419" s="89"/>
      <c r="G419" s="89"/>
    </row>
    <row r="420">
      <c r="A420" s="86"/>
      <c r="B420" s="87" t="s">
        <v>779</v>
      </c>
      <c r="C420" s="88"/>
      <c r="D420" s="92"/>
      <c r="E420" s="89"/>
      <c r="F420" s="89"/>
      <c r="G420" s="89"/>
    </row>
    <row r="421">
      <c r="A421" s="86"/>
      <c r="B421" s="87" t="s">
        <v>779</v>
      </c>
      <c r="C421" s="88"/>
      <c r="D421" s="92"/>
      <c r="E421" s="89"/>
      <c r="F421" s="89"/>
      <c r="G421" s="89"/>
    </row>
    <row r="422">
      <c r="A422" s="86"/>
      <c r="B422" s="87" t="s">
        <v>779</v>
      </c>
      <c r="C422" s="88"/>
      <c r="D422" s="92"/>
      <c r="E422" s="89"/>
      <c r="F422" s="89"/>
      <c r="G422" s="89"/>
    </row>
    <row r="423">
      <c r="A423" s="86"/>
      <c r="B423" s="87" t="s">
        <v>779</v>
      </c>
      <c r="C423" s="88"/>
      <c r="D423" s="92"/>
      <c r="E423" s="89"/>
      <c r="F423" s="89"/>
      <c r="G423" s="89"/>
    </row>
    <row r="424">
      <c r="A424" s="86"/>
      <c r="B424" s="87" t="s">
        <v>779</v>
      </c>
      <c r="C424" s="88"/>
      <c r="D424" s="92"/>
      <c r="E424" s="89"/>
      <c r="F424" s="89"/>
      <c r="G424" s="89"/>
    </row>
    <row r="425">
      <c r="A425" s="86"/>
      <c r="B425" s="87" t="s">
        <v>779</v>
      </c>
      <c r="C425" s="88"/>
      <c r="D425" s="92"/>
      <c r="E425" s="89"/>
      <c r="F425" s="89"/>
      <c r="G425" s="89"/>
    </row>
    <row r="426">
      <c r="A426" s="86"/>
      <c r="B426" s="87" t="s">
        <v>779</v>
      </c>
      <c r="C426" s="88"/>
      <c r="D426" s="92"/>
      <c r="E426" s="89"/>
      <c r="F426" s="89"/>
      <c r="G426" s="89"/>
    </row>
    <row r="427">
      <c r="A427" s="86"/>
      <c r="B427" s="87" t="s">
        <v>779</v>
      </c>
      <c r="C427" s="88"/>
      <c r="D427" s="92"/>
      <c r="E427" s="89"/>
      <c r="F427" s="89"/>
      <c r="G427" s="89"/>
    </row>
    <row r="428">
      <c r="A428" s="86"/>
      <c r="B428" s="87" t="s">
        <v>779</v>
      </c>
      <c r="C428" s="88"/>
      <c r="D428" s="92"/>
      <c r="E428" s="89"/>
      <c r="F428" s="89"/>
      <c r="G428" s="89"/>
    </row>
    <row r="429">
      <c r="A429" s="86"/>
      <c r="B429" s="87" t="s">
        <v>779</v>
      </c>
      <c r="C429" s="88"/>
      <c r="D429" s="92"/>
      <c r="E429" s="89"/>
      <c r="F429" s="89"/>
      <c r="G429" s="89"/>
    </row>
    <row r="430">
      <c r="A430" s="86"/>
      <c r="B430" s="87" t="s">
        <v>779</v>
      </c>
      <c r="C430" s="88"/>
      <c r="D430" s="92"/>
      <c r="E430" s="89"/>
      <c r="F430" s="89"/>
      <c r="G430" s="89"/>
    </row>
    <row r="431">
      <c r="A431" s="86"/>
      <c r="B431" s="87" t="s">
        <v>779</v>
      </c>
      <c r="C431" s="88"/>
      <c r="D431" s="92"/>
      <c r="E431" s="89"/>
      <c r="F431" s="89"/>
      <c r="G431" s="89"/>
    </row>
    <row r="432">
      <c r="A432" s="86"/>
      <c r="B432" s="87" t="s">
        <v>779</v>
      </c>
      <c r="C432" s="88"/>
      <c r="D432" s="92"/>
      <c r="E432" s="89"/>
      <c r="F432" s="89"/>
      <c r="G432" s="89"/>
    </row>
    <row r="433">
      <c r="A433" s="86"/>
      <c r="B433" s="87" t="s">
        <v>779</v>
      </c>
      <c r="C433" s="88"/>
      <c r="D433" s="92"/>
      <c r="E433" s="89"/>
      <c r="F433" s="89"/>
      <c r="G433" s="89"/>
    </row>
    <row r="434">
      <c r="A434" s="86"/>
      <c r="B434" s="87" t="s">
        <v>779</v>
      </c>
      <c r="C434" s="88"/>
      <c r="D434" s="92"/>
      <c r="E434" s="89"/>
      <c r="F434" s="89"/>
      <c r="G434" s="89"/>
    </row>
    <row r="435">
      <c r="A435" s="86"/>
      <c r="B435" s="87" t="s">
        <v>779</v>
      </c>
      <c r="C435" s="88"/>
      <c r="D435" s="92"/>
      <c r="E435" s="89"/>
      <c r="F435" s="89"/>
      <c r="G435" s="89"/>
    </row>
    <row r="436">
      <c r="A436" s="86"/>
      <c r="B436" s="87" t="s">
        <v>779</v>
      </c>
      <c r="C436" s="88"/>
      <c r="D436" s="92"/>
      <c r="E436" s="89"/>
      <c r="F436" s="89"/>
      <c r="G436" s="89"/>
    </row>
    <row r="437">
      <c r="A437" s="86"/>
      <c r="B437" s="87" t="s">
        <v>779</v>
      </c>
      <c r="C437" s="88"/>
      <c r="D437" s="92"/>
      <c r="E437" s="89"/>
      <c r="F437" s="89"/>
      <c r="G437" s="89"/>
    </row>
    <row r="438">
      <c r="A438" s="86"/>
      <c r="B438" s="87" t="s">
        <v>779</v>
      </c>
      <c r="C438" s="88"/>
      <c r="D438" s="92"/>
      <c r="E438" s="89"/>
      <c r="F438" s="89"/>
      <c r="G438" s="89"/>
    </row>
    <row r="439">
      <c r="A439" s="86"/>
      <c r="B439" s="87" t="s">
        <v>779</v>
      </c>
      <c r="C439" s="88"/>
      <c r="D439" s="92"/>
      <c r="E439" s="89"/>
      <c r="F439" s="89"/>
      <c r="G439" s="89"/>
    </row>
    <row r="440">
      <c r="A440" s="86"/>
      <c r="B440" s="87" t="s">
        <v>779</v>
      </c>
      <c r="C440" s="88"/>
      <c r="D440" s="92"/>
      <c r="E440" s="89"/>
      <c r="F440" s="89"/>
      <c r="G440" s="89"/>
    </row>
    <row r="441">
      <c r="A441" s="86"/>
      <c r="B441" s="87" t="s">
        <v>779</v>
      </c>
      <c r="C441" s="88"/>
      <c r="D441" s="92"/>
      <c r="E441" s="89"/>
      <c r="F441" s="89"/>
      <c r="G441" s="89"/>
    </row>
    <row r="442">
      <c r="A442" s="86"/>
      <c r="B442" s="87" t="s">
        <v>779</v>
      </c>
      <c r="C442" s="88"/>
      <c r="D442" s="92"/>
      <c r="E442" s="89"/>
      <c r="F442" s="89"/>
      <c r="G442" s="89"/>
    </row>
    <row r="443">
      <c r="A443" s="86"/>
      <c r="B443" s="87" t="s">
        <v>779</v>
      </c>
      <c r="C443" s="88"/>
      <c r="D443" s="92"/>
      <c r="E443" s="89"/>
      <c r="F443" s="89"/>
      <c r="G443" s="89"/>
    </row>
    <row r="444">
      <c r="A444" s="86"/>
      <c r="B444" s="87" t="s">
        <v>779</v>
      </c>
      <c r="C444" s="88"/>
      <c r="D444" s="92"/>
      <c r="E444" s="89"/>
      <c r="F444" s="89"/>
      <c r="G444" s="89"/>
    </row>
    <row r="445">
      <c r="A445" s="86"/>
      <c r="B445" s="87" t="s">
        <v>779</v>
      </c>
      <c r="C445" s="88"/>
      <c r="D445" s="92"/>
      <c r="E445" s="89"/>
      <c r="F445" s="89"/>
      <c r="G445" s="89"/>
    </row>
    <row r="446">
      <c r="A446" s="86"/>
      <c r="B446" s="87" t="s">
        <v>779</v>
      </c>
      <c r="C446" s="88"/>
      <c r="D446" s="92"/>
      <c r="E446" s="89"/>
      <c r="F446" s="89"/>
      <c r="G446" s="89"/>
    </row>
    <row r="447">
      <c r="A447" s="86"/>
      <c r="B447" s="87" t="s">
        <v>779</v>
      </c>
      <c r="C447" s="88"/>
      <c r="D447" s="92"/>
      <c r="E447" s="89"/>
      <c r="F447" s="89"/>
      <c r="G447" s="89"/>
    </row>
    <row r="448">
      <c r="A448" s="86"/>
      <c r="B448" s="87" t="s">
        <v>779</v>
      </c>
      <c r="C448" s="88"/>
      <c r="D448" s="92"/>
      <c r="E448" s="89"/>
      <c r="F448" s="89"/>
      <c r="G448" s="89"/>
    </row>
    <row r="449">
      <c r="A449" s="86"/>
      <c r="B449" s="87" t="s">
        <v>779</v>
      </c>
      <c r="C449" s="88"/>
      <c r="D449" s="92"/>
      <c r="E449" s="89"/>
      <c r="F449" s="89"/>
      <c r="G449" s="89"/>
    </row>
    <row r="450">
      <c r="A450" s="86"/>
      <c r="B450" s="87" t="s">
        <v>779</v>
      </c>
      <c r="C450" s="88"/>
      <c r="D450" s="92"/>
      <c r="E450" s="89"/>
      <c r="F450" s="89"/>
      <c r="G450" s="89"/>
    </row>
    <row r="451">
      <c r="A451" s="86"/>
      <c r="B451" s="87" t="s">
        <v>779</v>
      </c>
      <c r="C451" s="88"/>
      <c r="D451" s="92"/>
      <c r="E451" s="89"/>
      <c r="F451" s="89"/>
      <c r="G451" s="89"/>
    </row>
    <row r="452">
      <c r="A452" s="86"/>
      <c r="B452" s="87" t="s">
        <v>779</v>
      </c>
      <c r="C452" s="88"/>
      <c r="D452" s="92"/>
      <c r="E452" s="89"/>
      <c r="F452" s="89"/>
      <c r="G452" s="89"/>
    </row>
    <row r="453">
      <c r="A453" s="86"/>
      <c r="B453" s="87" t="s">
        <v>779</v>
      </c>
      <c r="C453" s="88"/>
      <c r="D453" s="92"/>
      <c r="E453" s="89"/>
      <c r="F453" s="89"/>
      <c r="G453" s="89"/>
    </row>
    <row r="454">
      <c r="A454" s="86"/>
      <c r="B454" s="87" t="s">
        <v>779</v>
      </c>
      <c r="C454" s="88"/>
      <c r="D454" s="92"/>
      <c r="E454" s="89"/>
      <c r="F454" s="89"/>
      <c r="G454" s="89"/>
    </row>
    <row r="455">
      <c r="A455" s="86"/>
      <c r="B455" s="87" t="s">
        <v>779</v>
      </c>
      <c r="C455" s="88"/>
      <c r="D455" s="92"/>
      <c r="E455" s="89"/>
      <c r="F455" s="89"/>
      <c r="G455" s="89"/>
    </row>
    <row r="456">
      <c r="A456" s="86"/>
      <c r="B456" s="87" t="s">
        <v>779</v>
      </c>
      <c r="C456" s="88"/>
      <c r="D456" s="92"/>
      <c r="E456" s="89"/>
      <c r="F456" s="89"/>
      <c r="G456" s="89"/>
    </row>
    <row r="457">
      <c r="A457" s="86"/>
      <c r="B457" s="87" t="s">
        <v>779</v>
      </c>
      <c r="C457" s="88"/>
      <c r="D457" s="92"/>
      <c r="E457" s="89"/>
      <c r="F457" s="89"/>
      <c r="G457" s="89"/>
    </row>
    <row r="458">
      <c r="A458" s="86"/>
      <c r="B458" s="87" t="s">
        <v>779</v>
      </c>
      <c r="C458" s="88"/>
      <c r="D458" s="92"/>
      <c r="E458" s="89"/>
      <c r="F458" s="89"/>
      <c r="G458" s="89"/>
    </row>
    <row r="459">
      <c r="A459" s="86"/>
      <c r="B459" s="87" t="s">
        <v>779</v>
      </c>
      <c r="C459" s="88"/>
      <c r="D459" s="92"/>
      <c r="E459" s="89"/>
      <c r="F459" s="89"/>
      <c r="G459" s="89"/>
    </row>
    <row r="460">
      <c r="A460" s="86"/>
      <c r="B460" s="87" t="s">
        <v>779</v>
      </c>
      <c r="C460" s="88"/>
      <c r="D460" s="92"/>
      <c r="E460" s="89"/>
      <c r="F460" s="89"/>
      <c r="G460" s="89"/>
    </row>
    <row r="461">
      <c r="A461" s="86"/>
      <c r="B461" s="87" t="s">
        <v>779</v>
      </c>
      <c r="C461" s="88"/>
      <c r="D461" s="92"/>
      <c r="E461" s="89"/>
      <c r="F461" s="89"/>
      <c r="G461" s="89"/>
    </row>
    <row r="462">
      <c r="A462" s="86"/>
      <c r="B462" s="87" t="s">
        <v>779</v>
      </c>
      <c r="C462" s="88"/>
      <c r="D462" s="92"/>
      <c r="E462" s="89"/>
      <c r="F462" s="89"/>
      <c r="G462" s="89"/>
    </row>
    <row r="463">
      <c r="A463" s="86"/>
      <c r="B463" s="87" t="s">
        <v>779</v>
      </c>
      <c r="C463" s="88"/>
      <c r="D463" s="92"/>
      <c r="E463" s="89"/>
      <c r="F463" s="89"/>
      <c r="G463" s="89"/>
    </row>
    <row r="464">
      <c r="A464" s="86"/>
      <c r="B464" s="87" t="s">
        <v>779</v>
      </c>
      <c r="C464" s="88"/>
      <c r="D464" s="92"/>
      <c r="E464" s="89"/>
      <c r="F464" s="89"/>
      <c r="G464" s="89"/>
    </row>
    <row r="465">
      <c r="A465" s="86"/>
      <c r="B465" s="87" t="s">
        <v>779</v>
      </c>
      <c r="C465" s="88"/>
      <c r="D465" s="92"/>
      <c r="E465" s="89"/>
      <c r="F465" s="89"/>
      <c r="G465" s="89"/>
    </row>
    <row r="466">
      <c r="A466" s="86"/>
      <c r="B466" s="87" t="s">
        <v>779</v>
      </c>
      <c r="C466" s="88"/>
      <c r="D466" s="92"/>
      <c r="E466" s="89"/>
      <c r="F466" s="89"/>
      <c r="G466" s="89"/>
    </row>
    <row r="467">
      <c r="A467" s="86"/>
      <c r="B467" s="87" t="s">
        <v>779</v>
      </c>
      <c r="C467" s="88"/>
      <c r="D467" s="92"/>
      <c r="E467" s="89"/>
      <c r="F467" s="89"/>
      <c r="G467" s="89"/>
    </row>
    <row r="468">
      <c r="A468" s="86"/>
      <c r="B468" s="87" t="s">
        <v>779</v>
      </c>
      <c r="C468" s="88"/>
      <c r="D468" s="92"/>
      <c r="E468" s="89"/>
      <c r="F468" s="89"/>
      <c r="G468" s="89"/>
    </row>
    <row r="469">
      <c r="A469" s="86"/>
      <c r="B469" s="87" t="s">
        <v>779</v>
      </c>
      <c r="C469" s="88"/>
      <c r="D469" s="92"/>
      <c r="E469" s="89"/>
      <c r="F469" s="89"/>
      <c r="G469" s="89"/>
    </row>
    <row r="470">
      <c r="A470" s="86"/>
      <c r="B470" s="87" t="s">
        <v>779</v>
      </c>
      <c r="C470" s="88"/>
      <c r="D470" s="92"/>
      <c r="E470" s="89"/>
      <c r="F470" s="89"/>
      <c r="G470" s="89"/>
    </row>
    <row r="471">
      <c r="A471" s="86"/>
      <c r="B471" s="87" t="s">
        <v>779</v>
      </c>
      <c r="C471" s="88"/>
      <c r="D471" s="92"/>
      <c r="E471" s="89"/>
      <c r="F471" s="89"/>
      <c r="G471" s="89"/>
    </row>
    <row r="472">
      <c r="A472" s="86"/>
      <c r="B472" s="87" t="s">
        <v>779</v>
      </c>
      <c r="C472" s="88"/>
      <c r="D472" s="92"/>
      <c r="E472" s="89"/>
      <c r="F472" s="89"/>
      <c r="G472" s="89"/>
    </row>
    <row r="473">
      <c r="A473" s="86"/>
      <c r="B473" s="87" t="s">
        <v>779</v>
      </c>
      <c r="C473" s="88"/>
      <c r="D473" s="92"/>
      <c r="E473" s="89"/>
      <c r="F473" s="89"/>
      <c r="G473" s="89"/>
    </row>
    <row r="474">
      <c r="A474" s="86"/>
      <c r="B474" s="87" t="s">
        <v>779</v>
      </c>
      <c r="C474" s="88"/>
      <c r="D474" s="92"/>
      <c r="E474" s="89"/>
      <c r="F474" s="89"/>
      <c r="G474" s="89"/>
    </row>
    <row r="475">
      <c r="A475" s="86"/>
      <c r="B475" s="87" t="s">
        <v>779</v>
      </c>
      <c r="C475" s="88"/>
      <c r="D475" s="92"/>
      <c r="E475" s="89"/>
      <c r="F475" s="89"/>
      <c r="G475" s="89"/>
    </row>
    <row r="476">
      <c r="A476" s="86"/>
      <c r="B476" s="87" t="s">
        <v>779</v>
      </c>
      <c r="C476" s="88"/>
      <c r="D476" s="92"/>
      <c r="E476" s="89"/>
      <c r="F476" s="89"/>
      <c r="G476" s="89"/>
    </row>
    <row r="477">
      <c r="A477" s="86"/>
      <c r="B477" s="87" t="s">
        <v>779</v>
      </c>
      <c r="C477" s="88"/>
      <c r="D477" s="92"/>
      <c r="E477" s="89"/>
      <c r="F477" s="89"/>
      <c r="G477" s="89"/>
    </row>
    <row r="478">
      <c r="A478" s="86"/>
      <c r="B478" s="87" t="s">
        <v>779</v>
      </c>
      <c r="C478" s="88"/>
      <c r="D478" s="92"/>
      <c r="E478" s="89"/>
      <c r="F478" s="89"/>
      <c r="G478" s="89"/>
    </row>
    <row r="479">
      <c r="A479" s="86"/>
      <c r="B479" s="87" t="s">
        <v>779</v>
      </c>
      <c r="C479" s="88"/>
      <c r="D479" s="92"/>
      <c r="E479" s="89"/>
      <c r="F479" s="89"/>
      <c r="G479" s="89"/>
    </row>
    <row r="480">
      <c r="A480" s="86"/>
      <c r="B480" s="87" t="s">
        <v>779</v>
      </c>
      <c r="C480" s="88"/>
      <c r="D480" s="92"/>
      <c r="E480" s="89"/>
      <c r="F480" s="89"/>
      <c r="G480" s="89"/>
    </row>
    <row r="481">
      <c r="A481" s="86"/>
      <c r="B481" s="87" t="s">
        <v>779</v>
      </c>
      <c r="C481" s="88"/>
      <c r="D481" s="92"/>
      <c r="E481" s="89"/>
      <c r="F481" s="89"/>
      <c r="G481" s="89"/>
    </row>
    <row r="482">
      <c r="A482" s="86"/>
      <c r="B482" s="87" t="s">
        <v>779</v>
      </c>
      <c r="C482" s="88"/>
      <c r="D482" s="92"/>
      <c r="E482" s="89"/>
      <c r="F482" s="89"/>
      <c r="G482" s="89"/>
    </row>
    <row r="483">
      <c r="A483" s="86"/>
      <c r="B483" s="87" t="s">
        <v>779</v>
      </c>
      <c r="C483" s="88"/>
      <c r="D483" s="92"/>
      <c r="E483" s="89"/>
      <c r="F483" s="89"/>
      <c r="G483" s="89"/>
    </row>
    <row r="484">
      <c r="A484" s="86"/>
      <c r="B484" s="87" t="s">
        <v>779</v>
      </c>
      <c r="C484" s="88"/>
      <c r="D484" s="92"/>
      <c r="E484" s="89"/>
      <c r="F484" s="89"/>
      <c r="G484" s="89"/>
    </row>
    <row r="485">
      <c r="A485" s="86"/>
      <c r="B485" s="87" t="s">
        <v>779</v>
      </c>
      <c r="C485" s="88"/>
      <c r="D485" s="92"/>
      <c r="E485" s="89"/>
      <c r="F485" s="89"/>
      <c r="G485" s="89"/>
    </row>
    <row r="486">
      <c r="A486" s="86"/>
      <c r="B486" s="87" t="s">
        <v>779</v>
      </c>
      <c r="C486" s="88"/>
      <c r="D486" s="92"/>
      <c r="E486" s="89"/>
      <c r="F486" s="89"/>
      <c r="G486" s="89"/>
    </row>
    <row r="487">
      <c r="A487" s="86"/>
      <c r="B487" s="87" t="s">
        <v>779</v>
      </c>
      <c r="C487" s="88"/>
      <c r="D487" s="92"/>
      <c r="E487" s="89"/>
      <c r="F487" s="89"/>
      <c r="G487" s="89"/>
    </row>
    <row r="488">
      <c r="A488" s="86"/>
      <c r="B488" s="87" t="s">
        <v>779</v>
      </c>
      <c r="C488" s="88"/>
      <c r="D488" s="92"/>
      <c r="E488" s="89"/>
      <c r="F488" s="89"/>
      <c r="G488" s="89"/>
    </row>
    <row r="489">
      <c r="A489" s="86"/>
      <c r="B489" s="87" t="s">
        <v>779</v>
      </c>
      <c r="C489" s="88"/>
      <c r="D489" s="92"/>
      <c r="E489" s="89"/>
      <c r="F489" s="89"/>
      <c r="G489" s="89"/>
    </row>
    <row r="490">
      <c r="A490" s="86"/>
      <c r="B490" s="87" t="s">
        <v>779</v>
      </c>
      <c r="C490" s="88"/>
      <c r="D490" s="92"/>
      <c r="E490" s="89"/>
      <c r="F490" s="89"/>
      <c r="G490" s="89"/>
    </row>
    <row r="491">
      <c r="A491" s="86"/>
      <c r="B491" s="87" t="s">
        <v>779</v>
      </c>
      <c r="C491" s="88"/>
      <c r="D491" s="92"/>
      <c r="E491" s="89"/>
      <c r="F491" s="89"/>
      <c r="G491" s="89"/>
    </row>
    <row r="492">
      <c r="A492" s="86"/>
      <c r="B492" s="87" t="s">
        <v>779</v>
      </c>
      <c r="C492" s="88"/>
      <c r="D492" s="92"/>
      <c r="E492" s="89"/>
      <c r="F492" s="89"/>
      <c r="G492" s="89"/>
    </row>
    <row r="493">
      <c r="A493" s="86"/>
      <c r="B493" s="87" t="s">
        <v>779</v>
      </c>
      <c r="C493" s="88"/>
      <c r="D493" s="92"/>
      <c r="E493" s="89"/>
      <c r="F493" s="89"/>
      <c r="G493" s="89"/>
    </row>
    <row r="494">
      <c r="A494" s="86"/>
      <c r="B494" s="87" t="s">
        <v>779</v>
      </c>
      <c r="C494" s="88"/>
      <c r="D494" s="92"/>
      <c r="E494" s="89"/>
      <c r="F494" s="89"/>
      <c r="G494" s="89"/>
    </row>
    <row r="495">
      <c r="A495" s="86"/>
      <c r="B495" s="87" t="s">
        <v>779</v>
      </c>
      <c r="C495" s="88"/>
      <c r="D495" s="92"/>
      <c r="E495" s="89"/>
      <c r="F495" s="89"/>
      <c r="G495" s="89"/>
    </row>
    <row r="496">
      <c r="A496" s="86"/>
      <c r="B496" s="87" t="s">
        <v>779</v>
      </c>
      <c r="C496" s="88"/>
      <c r="D496" s="92"/>
      <c r="E496" s="89"/>
      <c r="F496" s="89"/>
      <c r="G496" s="89"/>
    </row>
    <row r="497">
      <c r="A497" s="93"/>
      <c r="B497" s="87" t="s">
        <v>779</v>
      </c>
      <c r="C497" s="88"/>
      <c r="D497" s="92"/>
      <c r="E497" s="89"/>
      <c r="F497" s="89"/>
      <c r="G497" s="89"/>
    </row>
    <row r="498">
      <c r="A498" s="93"/>
      <c r="B498" s="87" t="s">
        <v>779</v>
      </c>
      <c r="C498" s="88"/>
      <c r="D498" s="92"/>
      <c r="E498" s="89"/>
      <c r="F498" s="89"/>
      <c r="G498" s="89"/>
    </row>
    <row r="499">
      <c r="A499" s="93"/>
      <c r="B499" s="87" t="s">
        <v>779</v>
      </c>
      <c r="C499" s="88"/>
      <c r="D499" s="92"/>
      <c r="E499" s="89"/>
      <c r="F499" s="89"/>
      <c r="G499" s="89"/>
    </row>
    <row r="500">
      <c r="A500" s="93"/>
      <c r="B500" s="87" t="s">
        <v>779</v>
      </c>
      <c r="C500" s="88"/>
      <c r="D500" s="92"/>
      <c r="E500" s="89"/>
      <c r="F500" s="89"/>
      <c r="G500" s="89"/>
    </row>
    <row r="501">
      <c r="A501" s="93"/>
      <c r="B501" s="87" t="s">
        <v>779</v>
      </c>
      <c r="C501" s="88"/>
      <c r="D501" s="92"/>
      <c r="E501" s="89"/>
      <c r="F501" s="89"/>
      <c r="G501" s="89"/>
    </row>
    <row r="502">
      <c r="A502" s="93"/>
      <c r="B502" s="87" t="s">
        <v>779</v>
      </c>
      <c r="C502" s="88"/>
      <c r="D502" s="92"/>
      <c r="E502" s="89"/>
      <c r="F502" s="89"/>
      <c r="G502" s="89"/>
    </row>
    <row r="503">
      <c r="A503" s="93"/>
      <c r="B503" s="87" t="s">
        <v>779</v>
      </c>
      <c r="C503" s="88"/>
      <c r="D503" s="92"/>
      <c r="E503" s="89"/>
      <c r="F503" s="89"/>
      <c r="G503" s="89"/>
    </row>
    <row r="504">
      <c r="A504" s="93"/>
      <c r="B504" s="87" t="s">
        <v>779</v>
      </c>
      <c r="C504" s="88"/>
      <c r="D504" s="92"/>
      <c r="E504" s="89"/>
      <c r="F504" s="89"/>
      <c r="G504" s="89"/>
    </row>
    <row r="505">
      <c r="A505" s="93"/>
      <c r="B505" s="87" t="s">
        <v>779</v>
      </c>
      <c r="C505" s="88"/>
      <c r="D505" s="92"/>
      <c r="E505" s="89"/>
      <c r="F505" s="89"/>
      <c r="G505" s="89"/>
    </row>
    <row r="506">
      <c r="A506" s="93"/>
      <c r="B506" s="87" t="s">
        <v>779</v>
      </c>
      <c r="C506" s="88"/>
      <c r="D506" s="92"/>
      <c r="E506" s="89"/>
      <c r="F506" s="89"/>
      <c r="G506" s="89"/>
    </row>
    <row r="507">
      <c r="A507" s="93"/>
      <c r="B507" s="87" t="s">
        <v>779</v>
      </c>
      <c r="C507" s="88"/>
      <c r="D507" s="92"/>
      <c r="E507" s="89"/>
      <c r="F507" s="89"/>
      <c r="G507" s="89"/>
    </row>
    <row r="508">
      <c r="A508" s="93"/>
      <c r="B508" s="87" t="s">
        <v>779</v>
      </c>
      <c r="C508" s="88"/>
      <c r="D508" s="92"/>
      <c r="E508" s="89"/>
      <c r="F508" s="89"/>
      <c r="G508" s="89"/>
    </row>
    <row r="509">
      <c r="A509" s="93"/>
      <c r="B509" s="87" t="s">
        <v>779</v>
      </c>
      <c r="C509" s="88"/>
      <c r="D509" s="92"/>
      <c r="E509" s="89"/>
      <c r="F509" s="89"/>
      <c r="G509" s="89"/>
    </row>
    <row r="510">
      <c r="A510" s="93"/>
      <c r="B510" s="87" t="s">
        <v>779</v>
      </c>
      <c r="C510" s="88"/>
      <c r="D510" s="92"/>
      <c r="E510" s="89"/>
      <c r="F510" s="89"/>
      <c r="G510" s="89"/>
    </row>
    <row r="511">
      <c r="A511" s="93"/>
      <c r="B511" s="87" t="s">
        <v>779</v>
      </c>
      <c r="C511" s="88"/>
      <c r="D511" s="92"/>
      <c r="E511" s="89"/>
      <c r="F511" s="89"/>
      <c r="G511" s="89"/>
    </row>
    <row r="512">
      <c r="A512" s="93"/>
      <c r="B512" s="87" t="s">
        <v>779</v>
      </c>
      <c r="C512" s="88"/>
      <c r="D512" s="92"/>
      <c r="E512" s="89"/>
      <c r="F512" s="89"/>
      <c r="G512" s="89"/>
    </row>
    <row r="513">
      <c r="A513" s="93"/>
      <c r="B513" s="87" t="s">
        <v>779</v>
      </c>
      <c r="C513" s="88"/>
      <c r="D513" s="92"/>
      <c r="E513" s="89"/>
      <c r="F513" s="89"/>
      <c r="G513" s="89"/>
    </row>
    <row r="514">
      <c r="A514" s="93"/>
      <c r="B514" s="87" t="s">
        <v>779</v>
      </c>
      <c r="C514" s="88"/>
      <c r="D514" s="92"/>
      <c r="E514" s="89"/>
      <c r="F514" s="89"/>
      <c r="G514" s="89"/>
    </row>
    <row r="515">
      <c r="A515" s="93"/>
      <c r="B515" s="87" t="s">
        <v>779</v>
      </c>
      <c r="C515" s="88"/>
      <c r="D515" s="92"/>
      <c r="E515" s="89"/>
      <c r="F515" s="89"/>
      <c r="G515" s="89"/>
    </row>
    <row r="516">
      <c r="A516" s="93"/>
      <c r="B516" s="87" t="s">
        <v>779</v>
      </c>
      <c r="C516" s="88"/>
      <c r="D516" s="92"/>
      <c r="E516" s="89"/>
      <c r="F516" s="89"/>
      <c r="G516" s="89"/>
    </row>
    <row r="517">
      <c r="A517" s="93"/>
      <c r="B517" s="87" t="s">
        <v>779</v>
      </c>
      <c r="C517" s="88"/>
      <c r="D517" s="92"/>
      <c r="E517" s="89"/>
      <c r="F517" s="89"/>
      <c r="G517" s="89"/>
    </row>
    <row r="518">
      <c r="A518" s="93"/>
      <c r="B518" s="87" t="s">
        <v>779</v>
      </c>
      <c r="C518" s="88"/>
      <c r="D518" s="92"/>
      <c r="E518" s="89"/>
      <c r="F518" s="89"/>
      <c r="G518" s="89"/>
    </row>
    <row r="519">
      <c r="A519" s="93"/>
      <c r="B519" s="87" t="s">
        <v>779</v>
      </c>
      <c r="C519" s="88"/>
      <c r="D519" s="92"/>
      <c r="E519" s="89"/>
      <c r="F519" s="89"/>
      <c r="G519" s="89"/>
    </row>
    <row r="520">
      <c r="A520" s="93"/>
      <c r="B520" s="87" t="s">
        <v>779</v>
      </c>
      <c r="C520" s="88"/>
      <c r="D520" s="92"/>
      <c r="E520" s="89"/>
      <c r="F520" s="89"/>
      <c r="G520" s="89"/>
    </row>
    <row r="521">
      <c r="A521" s="93"/>
      <c r="B521" s="87" t="s">
        <v>779</v>
      </c>
      <c r="C521" s="88"/>
      <c r="D521" s="92"/>
      <c r="E521" s="89"/>
      <c r="F521" s="89"/>
      <c r="G521" s="89"/>
    </row>
    <row r="522">
      <c r="A522" s="93"/>
      <c r="B522" s="87" t="s">
        <v>779</v>
      </c>
      <c r="C522" s="88"/>
      <c r="D522" s="92"/>
      <c r="E522" s="89"/>
      <c r="F522" s="89"/>
      <c r="G522" s="89"/>
    </row>
    <row r="523">
      <c r="A523" s="93"/>
      <c r="B523" s="87" t="s">
        <v>779</v>
      </c>
      <c r="C523" s="88"/>
      <c r="D523" s="92"/>
      <c r="E523" s="89"/>
      <c r="F523" s="89"/>
      <c r="G523" s="89"/>
    </row>
    <row r="524">
      <c r="A524" s="93"/>
      <c r="B524" s="87" t="s">
        <v>779</v>
      </c>
      <c r="C524" s="88"/>
      <c r="D524" s="92"/>
      <c r="E524" s="89"/>
      <c r="F524" s="89"/>
      <c r="G524" s="89"/>
    </row>
    <row r="525">
      <c r="A525" s="93"/>
      <c r="B525" s="87" t="s">
        <v>779</v>
      </c>
      <c r="C525" s="88"/>
      <c r="D525" s="92"/>
      <c r="E525" s="89"/>
      <c r="F525" s="89"/>
      <c r="G525" s="89"/>
    </row>
    <row r="526">
      <c r="A526" s="93"/>
      <c r="B526" s="87" t="s">
        <v>779</v>
      </c>
      <c r="C526" s="88"/>
      <c r="D526" s="92"/>
      <c r="E526" s="89"/>
      <c r="F526" s="89"/>
      <c r="G526" s="89"/>
    </row>
    <row r="527">
      <c r="A527" s="93"/>
      <c r="B527" s="87" t="s">
        <v>779</v>
      </c>
      <c r="C527" s="88"/>
      <c r="D527" s="92"/>
      <c r="E527" s="89"/>
      <c r="F527" s="89"/>
      <c r="G527" s="89"/>
    </row>
    <row r="528">
      <c r="A528" s="93"/>
      <c r="B528" s="87" t="s">
        <v>779</v>
      </c>
      <c r="C528" s="88"/>
      <c r="D528" s="92"/>
      <c r="E528" s="89"/>
      <c r="F528" s="89"/>
      <c r="G528" s="89"/>
    </row>
    <row r="529">
      <c r="A529" s="93"/>
      <c r="B529" s="87" t="s">
        <v>779</v>
      </c>
      <c r="C529" s="88"/>
      <c r="D529" s="92"/>
      <c r="E529" s="89"/>
      <c r="F529" s="89"/>
      <c r="G529" s="89"/>
    </row>
    <row r="530">
      <c r="A530" s="93"/>
      <c r="B530" s="87" t="s">
        <v>779</v>
      </c>
      <c r="C530" s="88"/>
      <c r="D530" s="92"/>
      <c r="E530" s="89"/>
      <c r="F530" s="89"/>
      <c r="G530" s="89"/>
    </row>
    <row r="531">
      <c r="A531" s="93"/>
      <c r="B531" s="87" t="s">
        <v>779</v>
      </c>
      <c r="C531" s="88"/>
      <c r="D531" s="92"/>
      <c r="E531" s="89"/>
      <c r="F531" s="89"/>
      <c r="G531" s="89"/>
    </row>
    <row r="532">
      <c r="A532" s="93"/>
      <c r="B532" s="87" t="s">
        <v>779</v>
      </c>
      <c r="C532" s="88"/>
      <c r="D532" s="92"/>
      <c r="E532" s="89"/>
      <c r="F532" s="89"/>
      <c r="G532" s="89"/>
    </row>
    <row r="533">
      <c r="A533" s="93"/>
      <c r="B533" s="87" t="s">
        <v>779</v>
      </c>
      <c r="C533" s="88"/>
      <c r="D533" s="92"/>
      <c r="E533" s="89"/>
      <c r="F533" s="89"/>
      <c r="G533" s="89"/>
    </row>
    <row r="534">
      <c r="A534" s="93"/>
      <c r="B534" s="87" t="s">
        <v>779</v>
      </c>
      <c r="C534" s="88"/>
      <c r="D534" s="92"/>
      <c r="E534" s="89"/>
      <c r="F534" s="89"/>
      <c r="G534" s="89"/>
    </row>
    <row r="535">
      <c r="A535" s="93"/>
      <c r="B535" s="87" t="s">
        <v>779</v>
      </c>
      <c r="C535" s="88"/>
      <c r="D535" s="92"/>
      <c r="E535" s="89"/>
      <c r="F535" s="89"/>
      <c r="G535" s="89"/>
    </row>
    <row r="536">
      <c r="A536" s="93"/>
      <c r="B536" s="87" t="s">
        <v>779</v>
      </c>
      <c r="C536" s="88"/>
      <c r="D536" s="92"/>
      <c r="E536" s="89"/>
      <c r="F536" s="89"/>
      <c r="G536" s="89"/>
    </row>
    <row r="537">
      <c r="A537" s="93"/>
      <c r="B537" s="87" t="s">
        <v>779</v>
      </c>
      <c r="C537" s="88"/>
      <c r="D537" s="92"/>
      <c r="E537" s="89"/>
      <c r="F537" s="89"/>
      <c r="G537" s="89"/>
    </row>
    <row r="538">
      <c r="A538" s="93"/>
      <c r="B538" s="87" t="s">
        <v>779</v>
      </c>
      <c r="C538" s="88"/>
      <c r="D538" s="92"/>
      <c r="E538" s="89"/>
      <c r="F538" s="89"/>
      <c r="G538" s="89"/>
    </row>
    <row r="539">
      <c r="A539" s="93"/>
      <c r="B539" s="87" t="s">
        <v>779</v>
      </c>
      <c r="C539" s="88"/>
      <c r="D539" s="92"/>
      <c r="E539" s="89"/>
      <c r="F539" s="89"/>
      <c r="G539" s="89"/>
    </row>
    <row r="540">
      <c r="A540" s="93"/>
      <c r="B540" s="87" t="s">
        <v>779</v>
      </c>
      <c r="C540" s="88"/>
      <c r="D540" s="92"/>
      <c r="E540" s="89"/>
      <c r="F540" s="89"/>
      <c r="G540" s="89"/>
    </row>
    <row r="541">
      <c r="A541" s="93"/>
      <c r="B541" s="87" t="s">
        <v>779</v>
      </c>
      <c r="C541" s="88"/>
      <c r="D541" s="92"/>
      <c r="E541" s="89"/>
      <c r="F541" s="89"/>
      <c r="G541" s="89"/>
    </row>
    <row r="542">
      <c r="A542" s="93"/>
      <c r="B542" s="87" t="s">
        <v>779</v>
      </c>
      <c r="C542" s="88"/>
      <c r="D542" s="92"/>
      <c r="E542" s="89"/>
      <c r="F542" s="89"/>
      <c r="G542" s="89"/>
    </row>
    <row r="543">
      <c r="A543" s="93"/>
      <c r="B543" s="87" t="s">
        <v>779</v>
      </c>
      <c r="C543" s="88"/>
      <c r="D543" s="92"/>
      <c r="E543" s="89"/>
      <c r="F543" s="89"/>
      <c r="G543" s="89"/>
    </row>
    <row r="544">
      <c r="A544" s="93"/>
      <c r="B544" s="87" t="s">
        <v>779</v>
      </c>
      <c r="C544" s="88"/>
      <c r="D544" s="92"/>
      <c r="E544" s="89"/>
      <c r="F544" s="89"/>
      <c r="G544" s="89"/>
    </row>
    <row r="545">
      <c r="A545" s="93"/>
      <c r="B545" s="87" t="s">
        <v>779</v>
      </c>
      <c r="C545" s="88"/>
      <c r="D545" s="92"/>
      <c r="E545" s="89"/>
      <c r="F545" s="89"/>
      <c r="G545" s="89"/>
    </row>
    <row r="546">
      <c r="A546" s="93"/>
      <c r="B546" s="87" t="s">
        <v>779</v>
      </c>
      <c r="C546" s="88"/>
      <c r="D546" s="92"/>
      <c r="E546" s="89"/>
      <c r="F546" s="89"/>
      <c r="G546" s="89"/>
    </row>
    <row r="547">
      <c r="A547" s="93"/>
      <c r="B547" s="87" t="s">
        <v>779</v>
      </c>
      <c r="C547" s="88"/>
      <c r="D547" s="92"/>
      <c r="E547" s="89"/>
      <c r="F547" s="89"/>
      <c r="G547" s="89"/>
    </row>
    <row r="548">
      <c r="A548" s="93"/>
      <c r="B548" s="87" t="s">
        <v>779</v>
      </c>
      <c r="C548" s="88"/>
      <c r="D548" s="92"/>
      <c r="E548" s="89"/>
      <c r="F548" s="89"/>
      <c r="G548" s="89"/>
    </row>
    <row r="549">
      <c r="A549" s="93"/>
      <c r="B549" s="87" t="s">
        <v>779</v>
      </c>
      <c r="C549" s="88"/>
      <c r="D549" s="92"/>
      <c r="E549" s="89"/>
      <c r="F549" s="89"/>
      <c r="G549" s="89"/>
    </row>
    <row r="550">
      <c r="A550" s="93"/>
      <c r="B550" s="87" t="s">
        <v>779</v>
      </c>
      <c r="C550" s="88"/>
      <c r="D550" s="92"/>
      <c r="E550" s="89"/>
      <c r="F550" s="89"/>
      <c r="G550" s="89"/>
    </row>
    <row r="551">
      <c r="A551" s="93"/>
      <c r="B551" s="87" t="s">
        <v>779</v>
      </c>
      <c r="C551" s="88"/>
      <c r="D551" s="92"/>
      <c r="E551" s="89"/>
      <c r="F551" s="89"/>
      <c r="G551" s="89"/>
    </row>
    <row r="552">
      <c r="A552" s="93"/>
      <c r="B552" s="87" t="s">
        <v>779</v>
      </c>
      <c r="C552" s="88"/>
      <c r="D552" s="92"/>
      <c r="E552" s="89"/>
      <c r="F552" s="89"/>
      <c r="G552" s="89"/>
    </row>
    <row r="553">
      <c r="A553" s="93"/>
      <c r="B553" s="87" t="s">
        <v>779</v>
      </c>
      <c r="C553" s="88"/>
      <c r="D553" s="92"/>
      <c r="E553" s="89"/>
      <c r="F553" s="89"/>
      <c r="G553" s="89"/>
    </row>
    <row r="554">
      <c r="A554" s="93"/>
      <c r="B554" s="87" t="s">
        <v>779</v>
      </c>
      <c r="C554" s="88"/>
      <c r="D554" s="92"/>
      <c r="E554" s="89"/>
      <c r="F554" s="89"/>
      <c r="G554" s="89"/>
    </row>
    <row r="555">
      <c r="A555" s="93"/>
      <c r="B555" s="87" t="s">
        <v>779</v>
      </c>
      <c r="C555" s="88"/>
      <c r="D555" s="92"/>
      <c r="E555" s="89"/>
      <c r="F555" s="89"/>
      <c r="G555" s="89"/>
    </row>
    <row r="556">
      <c r="A556" s="93"/>
      <c r="B556" s="87" t="s">
        <v>779</v>
      </c>
      <c r="C556" s="88"/>
      <c r="D556" s="92"/>
      <c r="E556" s="89"/>
      <c r="F556" s="89"/>
      <c r="G556" s="89"/>
    </row>
    <row r="557">
      <c r="A557" s="93"/>
      <c r="B557" s="87" t="s">
        <v>779</v>
      </c>
      <c r="C557" s="88"/>
      <c r="D557" s="92"/>
      <c r="E557" s="89"/>
      <c r="F557" s="89"/>
      <c r="G557" s="89"/>
    </row>
    <row r="558">
      <c r="A558" s="93"/>
      <c r="B558" s="87" t="s">
        <v>779</v>
      </c>
      <c r="C558" s="88"/>
      <c r="D558" s="92"/>
      <c r="E558" s="89"/>
      <c r="F558" s="89"/>
      <c r="G558" s="89"/>
    </row>
    <row r="559">
      <c r="A559" s="93"/>
      <c r="B559" s="87" t="s">
        <v>779</v>
      </c>
      <c r="C559" s="88"/>
      <c r="D559" s="92"/>
      <c r="E559" s="89"/>
      <c r="F559" s="89"/>
      <c r="G559" s="89"/>
    </row>
    <row r="560">
      <c r="A560" s="93"/>
      <c r="B560" s="87" t="s">
        <v>779</v>
      </c>
      <c r="C560" s="88"/>
      <c r="D560" s="92"/>
      <c r="E560" s="89"/>
      <c r="F560" s="89"/>
      <c r="G560" s="89"/>
    </row>
    <row r="561">
      <c r="A561" s="93"/>
      <c r="B561" s="87" t="s">
        <v>779</v>
      </c>
      <c r="C561" s="88"/>
      <c r="D561" s="92"/>
      <c r="E561" s="89"/>
      <c r="F561" s="89"/>
      <c r="G561" s="89"/>
    </row>
    <row r="562">
      <c r="A562" s="93"/>
      <c r="B562" s="87" t="s">
        <v>779</v>
      </c>
      <c r="C562" s="88"/>
      <c r="D562" s="92"/>
      <c r="E562" s="89"/>
      <c r="F562" s="89"/>
      <c r="G562" s="89"/>
    </row>
    <row r="563">
      <c r="A563" s="93"/>
      <c r="B563" s="87" t="s">
        <v>779</v>
      </c>
      <c r="C563" s="88"/>
      <c r="D563" s="92"/>
      <c r="E563" s="89"/>
      <c r="F563" s="89"/>
      <c r="G563" s="89"/>
    </row>
    <row r="564">
      <c r="A564" s="93"/>
      <c r="B564" s="87" t="s">
        <v>779</v>
      </c>
      <c r="C564" s="88"/>
      <c r="D564" s="92"/>
      <c r="E564" s="89"/>
      <c r="F564" s="89"/>
      <c r="G564" s="89"/>
    </row>
    <row r="565">
      <c r="A565" s="93"/>
      <c r="B565" s="87" t="s">
        <v>779</v>
      </c>
      <c r="C565" s="88"/>
      <c r="D565" s="92"/>
      <c r="E565" s="89"/>
      <c r="F565" s="89"/>
      <c r="G565" s="89"/>
    </row>
    <row r="566">
      <c r="A566" s="93"/>
      <c r="B566" s="87" t="s">
        <v>779</v>
      </c>
      <c r="C566" s="88"/>
      <c r="D566" s="92"/>
      <c r="E566" s="89"/>
      <c r="F566" s="89"/>
      <c r="G566" s="89"/>
    </row>
    <row r="567">
      <c r="A567" s="93"/>
      <c r="B567" s="87" t="s">
        <v>779</v>
      </c>
      <c r="C567" s="88"/>
      <c r="D567" s="92"/>
      <c r="E567" s="89"/>
      <c r="F567" s="89"/>
      <c r="G567" s="89"/>
    </row>
    <row r="568">
      <c r="A568" s="93"/>
      <c r="B568" s="87" t="s">
        <v>779</v>
      </c>
      <c r="C568" s="88"/>
      <c r="D568" s="92"/>
      <c r="E568" s="89"/>
      <c r="F568" s="89"/>
      <c r="G568" s="89"/>
    </row>
    <row r="569">
      <c r="A569" s="93"/>
      <c r="B569" s="87" t="s">
        <v>779</v>
      </c>
      <c r="C569" s="88"/>
      <c r="D569" s="92"/>
      <c r="E569" s="89"/>
      <c r="F569" s="89"/>
      <c r="G569" s="89"/>
    </row>
    <row r="570">
      <c r="A570" s="93"/>
      <c r="B570" s="87" t="s">
        <v>779</v>
      </c>
      <c r="C570" s="88"/>
      <c r="D570" s="92"/>
      <c r="E570" s="89"/>
      <c r="F570" s="89"/>
      <c r="G570" s="89"/>
    </row>
    <row r="571">
      <c r="A571" s="93"/>
      <c r="B571" s="87" t="s">
        <v>779</v>
      </c>
      <c r="C571" s="88"/>
      <c r="D571" s="92"/>
      <c r="E571" s="89"/>
      <c r="F571" s="89"/>
      <c r="G571" s="89"/>
    </row>
    <row r="572">
      <c r="A572" s="93"/>
      <c r="B572" s="87" t="s">
        <v>779</v>
      </c>
      <c r="C572" s="88"/>
      <c r="D572" s="92"/>
      <c r="E572" s="89"/>
      <c r="F572" s="89"/>
      <c r="G572" s="89"/>
    </row>
    <row r="573">
      <c r="A573" s="93"/>
      <c r="B573" s="87" t="s">
        <v>779</v>
      </c>
      <c r="C573" s="88"/>
      <c r="D573" s="92"/>
      <c r="E573" s="89"/>
      <c r="F573" s="89"/>
      <c r="G573" s="89"/>
    </row>
    <row r="574">
      <c r="A574" s="93"/>
      <c r="B574" s="87" t="s">
        <v>779</v>
      </c>
      <c r="C574" s="88"/>
      <c r="D574" s="92"/>
      <c r="E574" s="89"/>
      <c r="F574" s="89"/>
      <c r="G574" s="89"/>
    </row>
    <row r="575">
      <c r="A575" s="93"/>
      <c r="B575" s="87" t="s">
        <v>779</v>
      </c>
      <c r="C575" s="88"/>
      <c r="D575" s="92"/>
      <c r="E575" s="89"/>
      <c r="F575" s="89"/>
      <c r="G575" s="89"/>
    </row>
    <row r="576">
      <c r="A576" s="93"/>
      <c r="B576" s="87" t="s">
        <v>779</v>
      </c>
      <c r="C576" s="88"/>
      <c r="D576" s="92"/>
      <c r="E576" s="89"/>
      <c r="F576" s="89"/>
      <c r="G576" s="89"/>
    </row>
    <row r="577">
      <c r="A577" s="93"/>
      <c r="B577" s="87" t="s">
        <v>779</v>
      </c>
      <c r="C577" s="88"/>
      <c r="D577" s="92"/>
      <c r="E577" s="89"/>
      <c r="F577" s="89"/>
      <c r="G577" s="89"/>
    </row>
    <row r="578">
      <c r="A578" s="93"/>
      <c r="B578" s="87" t="s">
        <v>779</v>
      </c>
      <c r="C578" s="88"/>
      <c r="D578" s="92"/>
      <c r="E578" s="89"/>
      <c r="F578" s="89"/>
      <c r="G578" s="89"/>
    </row>
    <row r="579">
      <c r="A579" s="93"/>
      <c r="B579" s="87" t="s">
        <v>779</v>
      </c>
      <c r="C579" s="88"/>
      <c r="D579" s="92"/>
      <c r="E579" s="89"/>
      <c r="F579" s="89"/>
      <c r="G579" s="89"/>
    </row>
    <row r="580">
      <c r="A580" s="93"/>
      <c r="B580" s="87" t="s">
        <v>779</v>
      </c>
      <c r="C580" s="88"/>
      <c r="D580" s="92"/>
      <c r="E580" s="89"/>
      <c r="F580" s="89"/>
      <c r="G580" s="89"/>
    </row>
    <row r="581">
      <c r="A581" s="93"/>
      <c r="B581" s="87" t="s">
        <v>779</v>
      </c>
      <c r="C581" s="88"/>
      <c r="D581" s="92"/>
      <c r="E581" s="89"/>
      <c r="F581" s="89"/>
      <c r="G581" s="89"/>
    </row>
    <row r="582">
      <c r="A582" s="93"/>
      <c r="B582" s="87" t="s">
        <v>779</v>
      </c>
      <c r="C582" s="88"/>
      <c r="D582" s="92"/>
      <c r="E582" s="89"/>
      <c r="F582" s="89"/>
      <c r="G582" s="89"/>
    </row>
    <row r="583">
      <c r="A583" s="93"/>
      <c r="B583" s="87" t="s">
        <v>779</v>
      </c>
      <c r="C583" s="88"/>
      <c r="D583" s="92"/>
      <c r="E583" s="89"/>
      <c r="F583" s="89"/>
      <c r="G583" s="89"/>
    </row>
    <row r="584">
      <c r="A584" s="93"/>
      <c r="B584" s="87" t="s">
        <v>779</v>
      </c>
      <c r="C584" s="88"/>
      <c r="D584" s="92"/>
      <c r="E584" s="89"/>
      <c r="F584" s="89"/>
      <c r="G584" s="89"/>
    </row>
    <row r="585">
      <c r="A585" s="93"/>
      <c r="B585" s="87" t="s">
        <v>779</v>
      </c>
      <c r="C585" s="88"/>
      <c r="D585" s="92"/>
      <c r="E585" s="89"/>
      <c r="F585" s="89"/>
      <c r="G585" s="89"/>
    </row>
    <row r="586">
      <c r="A586" s="93"/>
      <c r="B586" s="87" t="s">
        <v>779</v>
      </c>
      <c r="C586" s="88"/>
      <c r="D586" s="92"/>
      <c r="E586" s="89"/>
      <c r="F586" s="89"/>
      <c r="G586" s="89"/>
    </row>
    <row r="587">
      <c r="A587" s="93"/>
      <c r="B587" s="87" t="s">
        <v>779</v>
      </c>
      <c r="C587" s="88"/>
      <c r="D587" s="92"/>
      <c r="E587" s="89"/>
      <c r="F587" s="89"/>
      <c r="G587" s="89"/>
    </row>
    <row r="588">
      <c r="A588" s="93"/>
      <c r="B588" s="87" t="s">
        <v>779</v>
      </c>
      <c r="C588" s="88"/>
      <c r="D588" s="92"/>
      <c r="E588" s="89"/>
      <c r="F588" s="89"/>
      <c r="G588" s="89"/>
    </row>
    <row r="589">
      <c r="A589" s="93"/>
      <c r="B589" s="87" t="s">
        <v>779</v>
      </c>
      <c r="C589" s="88"/>
      <c r="D589" s="92"/>
      <c r="E589" s="89"/>
      <c r="F589" s="89"/>
      <c r="G589" s="89"/>
    </row>
    <row r="590">
      <c r="A590" s="93"/>
      <c r="B590" s="87" t="s">
        <v>779</v>
      </c>
      <c r="C590" s="88"/>
      <c r="D590" s="92"/>
      <c r="E590" s="89"/>
      <c r="F590" s="89"/>
      <c r="G590" s="89"/>
    </row>
    <row r="591">
      <c r="A591" s="93"/>
      <c r="B591" s="87" t="s">
        <v>779</v>
      </c>
      <c r="C591" s="88"/>
      <c r="D591" s="92"/>
      <c r="E591" s="89"/>
      <c r="F591" s="89"/>
      <c r="G591" s="89"/>
    </row>
    <row r="592">
      <c r="A592" s="93"/>
      <c r="B592" s="87" t="s">
        <v>779</v>
      </c>
      <c r="C592" s="88"/>
      <c r="D592" s="92"/>
      <c r="E592" s="89"/>
      <c r="F592" s="89"/>
      <c r="G592" s="89"/>
    </row>
    <row r="593">
      <c r="A593" s="93"/>
      <c r="B593" s="87" t="s">
        <v>779</v>
      </c>
      <c r="C593" s="88"/>
      <c r="D593" s="92"/>
      <c r="E593" s="89"/>
      <c r="F593" s="89"/>
      <c r="G593" s="89"/>
    </row>
    <row r="594">
      <c r="A594" s="93"/>
      <c r="B594" s="87" t="s">
        <v>779</v>
      </c>
      <c r="C594" s="88"/>
      <c r="D594" s="92"/>
      <c r="E594" s="89"/>
      <c r="F594" s="89"/>
      <c r="G594" s="89"/>
    </row>
    <row r="595">
      <c r="A595" s="93"/>
      <c r="B595" s="87" t="s">
        <v>779</v>
      </c>
      <c r="C595" s="88"/>
      <c r="D595" s="92"/>
      <c r="E595" s="89"/>
      <c r="F595" s="89"/>
      <c r="G595" s="89"/>
    </row>
    <row r="596">
      <c r="A596" s="93"/>
      <c r="B596" s="87" t="s">
        <v>779</v>
      </c>
      <c r="C596" s="88"/>
      <c r="D596" s="92"/>
      <c r="E596" s="89"/>
      <c r="F596" s="89"/>
      <c r="G596" s="89"/>
    </row>
    <row r="597">
      <c r="A597" s="93"/>
      <c r="B597" s="87" t="s">
        <v>779</v>
      </c>
      <c r="C597" s="88"/>
      <c r="D597" s="92"/>
      <c r="E597" s="89"/>
      <c r="F597" s="89"/>
      <c r="G597" s="89"/>
    </row>
    <row r="598">
      <c r="A598" s="93"/>
      <c r="B598" s="87" t="s">
        <v>779</v>
      </c>
      <c r="C598" s="88"/>
      <c r="D598" s="92"/>
      <c r="E598" s="89"/>
      <c r="F598" s="89"/>
      <c r="G598" s="89"/>
    </row>
    <row r="599">
      <c r="A599" s="93"/>
      <c r="B599" s="87" t="s">
        <v>779</v>
      </c>
      <c r="C599" s="88"/>
      <c r="D599" s="92"/>
      <c r="E599" s="89"/>
      <c r="F599" s="89"/>
      <c r="G599" s="89"/>
    </row>
    <row r="600">
      <c r="A600" s="93"/>
      <c r="B600" s="87" t="s">
        <v>779</v>
      </c>
      <c r="C600" s="88"/>
      <c r="D600" s="92"/>
      <c r="E600" s="89"/>
      <c r="F600" s="89"/>
      <c r="G600" s="89"/>
    </row>
    <row r="601">
      <c r="A601" s="93"/>
      <c r="B601" s="87" t="s">
        <v>779</v>
      </c>
      <c r="C601" s="88"/>
      <c r="D601" s="92"/>
      <c r="E601" s="89"/>
      <c r="F601" s="89"/>
      <c r="G601" s="89"/>
    </row>
    <row r="602">
      <c r="A602" s="93"/>
      <c r="B602" s="87" t="s">
        <v>779</v>
      </c>
      <c r="C602" s="88"/>
      <c r="D602" s="92"/>
      <c r="E602" s="89"/>
      <c r="F602" s="89"/>
      <c r="G602" s="89"/>
    </row>
    <row r="603">
      <c r="A603" s="93"/>
      <c r="B603" s="87" t="s">
        <v>779</v>
      </c>
      <c r="C603" s="88"/>
      <c r="D603" s="92"/>
      <c r="E603" s="89"/>
      <c r="F603" s="89"/>
      <c r="G603" s="89"/>
    </row>
    <row r="604">
      <c r="A604" s="93"/>
      <c r="B604" s="87" t="s">
        <v>779</v>
      </c>
      <c r="C604" s="88"/>
      <c r="D604" s="92"/>
      <c r="E604" s="89"/>
      <c r="F604" s="89"/>
      <c r="G604" s="89"/>
    </row>
    <row r="605">
      <c r="A605" s="93"/>
      <c r="B605" s="87" t="s">
        <v>779</v>
      </c>
      <c r="C605" s="88"/>
      <c r="D605" s="92"/>
      <c r="E605" s="89"/>
      <c r="F605" s="89"/>
      <c r="G605" s="89"/>
    </row>
    <row r="606">
      <c r="A606" s="93"/>
      <c r="B606" s="87" t="s">
        <v>779</v>
      </c>
      <c r="C606" s="88"/>
      <c r="D606" s="92"/>
      <c r="E606" s="89"/>
      <c r="F606" s="89"/>
      <c r="G606" s="89"/>
    </row>
    <row r="607">
      <c r="A607" s="93"/>
      <c r="B607" s="87" t="s">
        <v>779</v>
      </c>
      <c r="C607" s="88"/>
      <c r="D607" s="92"/>
      <c r="E607" s="89"/>
      <c r="F607" s="89"/>
      <c r="G607" s="89"/>
    </row>
    <row r="608">
      <c r="A608" s="93"/>
      <c r="B608" s="87" t="s">
        <v>779</v>
      </c>
      <c r="C608" s="88"/>
      <c r="D608" s="92"/>
      <c r="E608" s="89"/>
      <c r="F608" s="89"/>
      <c r="G608" s="89"/>
    </row>
    <row r="609">
      <c r="A609" s="93"/>
      <c r="B609" s="87" t="s">
        <v>779</v>
      </c>
      <c r="C609" s="88"/>
      <c r="D609" s="92"/>
      <c r="E609" s="89"/>
      <c r="F609" s="89"/>
      <c r="G609" s="89"/>
    </row>
    <row r="610">
      <c r="A610" s="93"/>
      <c r="B610" s="87" t="s">
        <v>779</v>
      </c>
      <c r="C610" s="88"/>
      <c r="D610" s="92"/>
      <c r="E610" s="89"/>
      <c r="F610" s="89"/>
      <c r="G610" s="89"/>
    </row>
    <row r="611">
      <c r="A611" s="93"/>
      <c r="B611" s="87" t="s">
        <v>779</v>
      </c>
      <c r="C611" s="88"/>
      <c r="D611" s="92"/>
      <c r="E611" s="89"/>
      <c r="F611" s="89"/>
      <c r="G611" s="89"/>
    </row>
    <row r="612">
      <c r="A612" s="93"/>
      <c r="B612" s="87" t="s">
        <v>779</v>
      </c>
      <c r="C612" s="88"/>
      <c r="D612" s="92"/>
      <c r="E612" s="89"/>
      <c r="F612" s="89"/>
      <c r="G612" s="89"/>
    </row>
    <row r="613">
      <c r="A613" s="93"/>
      <c r="B613" s="87" t="s">
        <v>779</v>
      </c>
      <c r="C613" s="88"/>
      <c r="D613" s="92"/>
      <c r="E613" s="89"/>
      <c r="F613" s="89"/>
      <c r="G613" s="89"/>
    </row>
    <row r="614">
      <c r="A614" s="93"/>
      <c r="B614" s="87" t="s">
        <v>779</v>
      </c>
      <c r="C614" s="88"/>
      <c r="D614" s="92"/>
      <c r="E614" s="89"/>
      <c r="F614" s="89"/>
      <c r="G614" s="89"/>
    </row>
    <row r="615">
      <c r="A615" s="93"/>
      <c r="B615" s="87" t="s">
        <v>779</v>
      </c>
      <c r="C615" s="88"/>
      <c r="D615" s="92"/>
      <c r="E615" s="89"/>
      <c r="F615" s="89"/>
      <c r="G615" s="89"/>
    </row>
    <row r="616">
      <c r="A616" s="93"/>
      <c r="B616" s="87" t="s">
        <v>779</v>
      </c>
      <c r="C616" s="88"/>
      <c r="D616" s="92"/>
      <c r="E616" s="89"/>
      <c r="F616" s="89"/>
      <c r="G616" s="89"/>
    </row>
    <row r="617">
      <c r="A617" s="93"/>
      <c r="B617" s="87" t="s">
        <v>779</v>
      </c>
      <c r="C617" s="88"/>
      <c r="D617" s="92"/>
      <c r="E617" s="89"/>
      <c r="F617" s="89"/>
      <c r="G617" s="89"/>
    </row>
    <row r="618">
      <c r="A618" s="93"/>
      <c r="B618" s="87" t="s">
        <v>779</v>
      </c>
      <c r="C618" s="88"/>
      <c r="D618" s="92"/>
      <c r="E618" s="89"/>
      <c r="F618" s="89"/>
      <c r="G618" s="89"/>
    </row>
    <row r="619">
      <c r="A619" s="93"/>
      <c r="B619" s="87" t="s">
        <v>779</v>
      </c>
      <c r="C619" s="88"/>
      <c r="D619" s="92"/>
      <c r="E619" s="89"/>
      <c r="F619" s="89"/>
      <c r="G619" s="89"/>
    </row>
    <row r="620">
      <c r="A620" s="93"/>
      <c r="B620" s="87" t="s">
        <v>779</v>
      </c>
      <c r="C620" s="88"/>
      <c r="D620" s="92"/>
      <c r="E620" s="89"/>
      <c r="F620" s="89"/>
      <c r="G620" s="89"/>
    </row>
    <row r="621">
      <c r="A621" s="93"/>
      <c r="B621" s="87" t="s">
        <v>779</v>
      </c>
      <c r="C621" s="88"/>
      <c r="D621" s="92"/>
      <c r="E621" s="89"/>
      <c r="F621" s="89"/>
      <c r="G621" s="89"/>
    </row>
    <row r="622">
      <c r="A622" s="93"/>
      <c r="B622" s="87" t="s">
        <v>779</v>
      </c>
      <c r="C622" s="88"/>
      <c r="D622" s="92"/>
      <c r="E622" s="89"/>
      <c r="F622" s="89"/>
      <c r="G622" s="89"/>
    </row>
    <row r="623">
      <c r="A623" s="93"/>
      <c r="B623" s="87" t="s">
        <v>779</v>
      </c>
      <c r="C623" s="88"/>
      <c r="D623" s="92"/>
      <c r="E623" s="89"/>
      <c r="F623" s="89"/>
      <c r="G623" s="89"/>
    </row>
    <row r="624">
      <c r="A624" s="93"/>
      <c r="B624" s="87" t="s">
        <v>779</v>
      </c>
      <c r="C624" s="88"/>
      <c r="D624" s="92"/>
      <c r="E624" s="89"/>
      <c r="F624" s="89"/>
      <c r="G624" s="89"/>
    </row>
    <row r="625">
      <c r="A625" s="93"/>
      <c r="B625" s="87" t="s">
        <v>779</v>
      </c>
      <c r="C625" s="88"/>
      <c r="D625" s="92"/>
      <c r="E625" s="89"/>
      <c r="F625" s="89"/>
      <c r="G625" s="89"/>
    </row>
    <row r="626">
      <c r="A626" s="93"/>
      <c r="B626" s="87" t="s">
        <v>779</v>
      </c>
      <c r="C626" s="88"/>
      <c r="D626" s="92"/>
      <c r="E626" s="89"/>
      <c r="F626" s="89"/>
      <c r="G626" s="89"/>
    </row>
    <row r="627">
      <c r="A627" s="93"/>
      <c r="B627" s="87" t="s">
        <v>779</v>
      </c>
      <c r="C627" s="88"/>
      <c r="D627" s="92"/>
      <c r="E627" s="89"/>
      <c r="F627" s="89"/>
      <c r="G627" s="89"/>
    </row>
    <row r="628">
      <c r="A628" s="93"/>
      <c r="B628" s="87" t="s">
        <v>779</v>
      </c>
      <c r="C628" s="88"/>
      <c r="D628" s="92"/>
      <c r="E628" s="89"/>
      <c r="F628" s="89"/>
      <c r="G628" s="89"/>
    </row>
    <row r="629">
      <c r="A629" s="93"/>
      <c r="B629" s="87" t="s">
        <v>779</v>
      </c>
      <c r="C629" s="88"/>
      <c r="D629" s="92"/>
      <c r="E629" s="89"/>
      <c r="F629" s="89"/>
      <c r="G629" s="89"/>
    </row>
    <row r="630">
      <c r="A630" s="93"/>
      <c r="B630" s="87" t="s">
        <v>779</v>
      </c>
      <c r="C630" s="88"/>
      <c r="D630" s="92"/>
      <c r="E630" s="89"/>
      <c r="F630" s="89"/>
      <c r="G630" s="89"/>
    </row>
    <row r="631">
      <c r="A631" s="93"/>
      <c r="B631" s="87" t="s">
        <v>779</v>
      </c>
      <c r="C631" s="88"/>
      <c r="D631" s="92"/>
      <c r="E631" s="89"/>
      <c r="F631" s="89"/>
      <c r="G631" s="89"/>
    </row>
    <row r="632">
      <c r="A632" s="93"/>
      <c r="B632" s="87" t="s">
        <v>779</v>
      </c>
      <c r="C632" s="88"/>
      <c r="D632" s="92"/>
      <c r="E632" s="89"/>
      <c r="F632" s="89"/>
      <c r="G632" s="89"/>
    </row>
    <row r="633">
      <c r="A633" s="93"/>
      <c r="B633" s="87" t="s">
        <v>779</v>
      </c>
      <c r="C633" s="88"/>
      <c r="D633" s="92"/>
      <c r="E633" s="89"/>
      <c r="F633" s="89"/>
      <c r="G633" s="89"/>
    </row>
    <row r="634">
      <c r="A634" s="93"/>
      <c r="B634" s="87" t="s">
        <v>779</v>
      </c>
      <c r="C634" s="88"/>
      <c r="D634" s="92"/>
      <c r="E634" s="89"/>
      <c r="F634" s="89"/>
      <c r="G634" s="89"/>
    </row>
    <row r="635">
      <c r="A635" s="93"/>
      <c r="B635" s="87" t="s">
        <v>779</v>
      </c>
      <c r="C635" s="88"/>
      <c r="D635" s="92"/>
      <c r="E635" s="89"/>
      <c r="F635" s="89"/>
      <c r="G635" s="89"/>
    </row>
    <row r="636">
      <c r="A636" s="93"/>
      <c r="B636" s="87" t="s">
        <v>779</v>
      </c>
      <c r="C636" s="88"/>
      <c r="D636" s="92"/>
      <c r="E636" s="89"/>
      <c r="F636" s="89"/>
      <c r="G636" s="89"/>
    </row>
    <row r="637">
      <c r="A637" s="93"/>
      <c r="B637" s="87" t="s">
        <v>779</v>
      </c>
      <c r="C637" s="88"/>
      <c r="D637" s="92"/>
      <c r="E637" s="89"/>
      <c r="F637" s="89"/>
      <c r="G637" s="89"/>
    </row>
    <row r="638">
      <c r="A638" s="93"/>
      <c r="B638" s="87" t="s">
        <v>779</v>
      </c>
      <c r="C638" s="88"/>
      <c r="D638" s="92"/>
      <c r="E638" s="89"/>
      <c r="F638" s="89"/>
      <c r="G638" s="89"/>
    </row>
    <row r="639">
      <c r="A639" s="93"/>
      <c r="B639" s="87" t="s">
        <v>779</v>
      </c>
      <c r="C639" s="88"/>
      <c r="D639" s="92"/>
      <c r="E639" s="89"/>
      <c r="F639" s="89"/>
      <c r="G639" s="89"/>
    </row>
    <row r="640">
      <c r="A640" s="93"/>
      <c r="B640" s="87" t="s">
        <v>779</v>
      </c>
      <c r="C640" s="88"/>
      <c r="D640" s="92"/>
      <c r="E640" s="89"/>
      <c r="F640" s="89"/>
      <c r="G640" s="89"/>
    </row>
    <row r="641">
      <c r="A641" s="93"/>
      <c r="B641" s="87" t="s">
        <v>779</v>
      </c>
      <c r="C641" s="88"/>
      <c r="D641" s="92"/>
      <c r="E641" s="89"/>
      <c r="F641" s="89"/>
      <c r="G641" s="89"/>
    </row>
    <row r="642">
      <c r="A642" s="93"/>
      <c r="B642" s="87" t="s">
        <v>779</v>
      </c>
      <c r="C642" s="88"/>
      <c r="D642" s="92"/>
      <c r="E642" s="89"/>
      <c r="F642" s="89"/>
      <c r="G642" s="89"/>
    </row>
    <row r="643">
      <c r="A643" s="93"/>
      <c r="B643" s="87" t="s">
        <v>779</v>
      </c>
      <c r="C643" s="88"/>
      <c r="D643" s="92"/>
      <c r="E643" s="89"/>
      <c r="F643" s="89"/>
      <c r="G643" s="89"/>
    </row>
    <row r="644">
      <c r="A644" s="93"/>
      <c r="B644" s="87" t="s">
        <v>779</v>
      </c>
      <c r="C644" s="88"/>
      <c r="D644" s="92"/>
      <c r="E644" s="89"/>
      <c r="F644" s="89"/>
      <c r="G644" s="89"/>
    </row>
    <row r="645">
      <c r="A645" s="93"/>
      <c r="B645" s="87" t="s">
        <v>779</v>
      </c>
      <c r="C645" s="88"/>
      <c r="D645" s="92"/>
      <c r="E645" s="89"/>
      <c r="F645" s="89"/>
      <c r="G645" s="89"/>
    </row>
    <row r="646">
      <c r="A646" s="93"/>
      <c r="B646" s="87" t="s">
        <v>779</v>
      </c>
      <c r="C646" s="88"/>
      <c r="D646" s="92"/>
      <c r="E646" s="89"/>
      <c r="F646" s="89"/>
      <c r="G646" s="89"/>
    </row>
    <row r="647">
      <c r="A647" s="93"/>
      <c r="B647" s="87" t="s">
        <v>779</v>
      </c>
      <c r="C647" s="88"/>
      <c r="D647" s="92"/>
      <c r="E647" s="89"/>
      <c r="F647" s="89"/>
      <c r="G647" s="89"/>
    </row>
    <row r="648">
      <c r="A648" s="93"/>
      <c r="B648" s="87" t="s">
        <v>779</v>
      </c>
      <c r="C648" s="88"/>
      <c r="D648" s="92"/>
      <c r="E648" s="89"/>
      <c r="F648" s="89"/>
      <c r="G648" s="89"/>
    </row>
    <row r="649">
      <c r="A649" s="93"/>
      <c r="B649" s="87" t="s">
        <v>779</v>
      </c>
      <c r="C649" s="88"/>
      <c r="D649" s="92"/>
      <c r="E649" s="89"/>
      <c r="F649" s="89"/>
      <c r="G649" s="89"/>
    </row>
    <row r="650">
      <c r="A650" s="93"/>
      <c r="B650" s="87" t="s">
        <v>779</v>
      </c>
      <c r="C650" s="88"/>
      <c r="D650" s="92"/>
      <c r="E650" s="89"/>
      <c r="F650" s="89"/>
      <c r="G650" s="89"/>
    </row>
    <row r="651">
      <c r="A651" s="93"/>
      <c r="B651" s="87" t="s">
        <v>779</v>
      </c>
      <c r="C651" s="88"/>
      <c r="D651" s="92"/>
      <c r="E651" s="89"/>
      <c r="F651" s="89"/>
      <c r="G651" s="89"/>
    </row>
    <row r="652">
      <c r="A652" s="93"/>
      <c r="B652" s="87" t="s">
        <v>779</v>
      </c>
      <c r="C652" s="88"/>
      <c r="D652" s="92"/>
      <c r="E652" s="89"/>
      <c r="F652" s="89"/>
      <c r="G652" s="89"/>
    </row>
    <row r="653">
      <c r="A653" s="93"/>
      <c r="B653" s="87" t="s">
        <v>779</v>
      </c>
      <c r="C653" s="88"/>
      <c r="D653" s="92"/>
      <c r="E653" s="89"/>
      <c r="F653" s="89"/>
      <c r="G653" s="89"/>
    </row>
    <row r="654">
      <c r="A654" s="93"/>
      <c r="B654" s="87" t="s">
        <v>779</v>
      </c>
      <c r="C654" s="88"/>
      <c r="D654" s="92"/>
      <c r="E654" s="89"/>
      <c r="F654" s="89"/>
      <c r="G654" s="89"/>
    </row>
    <row r="655">
      <c r="A655" s="93"/>
      <c r="B655" s="87" t="s">
        <v>779</v>
      </c>
      <c r="C655" s="88"/>
      <c r="D655" s="92"/>
      <c r="E655" s="89"/>
      <c r="F655" s="89"/>
      <c r="G655" s="89"/>
    </row>
    <row r="656">
      <c r="A656" s="93"/>
      <c r="B656" s="87" t="s">
        <v>779</v>
      </c>
      <c r="C656" s="88"/>
      <c r="D656" s="92"/>
      <c r="E656" s="89"/>
      <c r="F656" s="89"/>
      <c r="G656" s="89"/>
    </row>
    <row r="657">
      <c r="A657" s="93"/>
      <c r="B657" s="87" t="s">
        <v>779</v>
      </c>
      <c r="C657" s="88"/>
      <c r="D657" s="92"/>
      <c r="E657" s="89"/>
      <c r="F657" s="89"/>
      <c r="G657" s="89"/>
    </row>
    <row r="658">
      <c r="A658" s="93"/>
      <c r="B658" s="87" t="s">
        <v>779</v>
      </c>
      <c r="C658" s="88"/>
      <c r="D658" s="92"/>
      <c r="E658" s="89"/>
      <c r="F658" s="89"/>
      <c r="G658" s="89"/>
    </row>
    <row r="659">
      <c r="A659" s="93"/>
      <c r="B659" s="87" t="s">
        <v>779</v>
      </c>
      <c r="C659" s="88"/>
      <c r="D659" s="92"/>
      <c r="E659" s="89"/>
      <c r="F659" s="89"/>
      <c r="G659" s="89"/>
    </row>
    <row r="660">
      <c r="A660" s="93"/>
      <c r="B660" s="87" t="s">
        <v>779</v>
      </c>
      <c r="C660" s="88"/>
      <c r="D660" s="92"/>
      <c r="E660" s="89"/>
      <c r="F660" s="89"/>
      <c r="G660" s="89"/>
    </row>
    <row r="661">
      <c r="A661" s="93"/>
      <c r="B661" s="87" t="s">
        <v>779</v>
      </c>
      <c r="C661" s="88"/>
      <c r="D661" s="92"/>
      <c r="E661" s="89"/>
      <c r="F661" s="89"/>
      <c r="G661" s="89"/>
    </row>
    <row r="662">
      <c r="A662" s="93"/>
      <c r="B662" s="87" t="s">
        <v>779</v>
      </c>
      <c r="C662" s="88"/>
      <c r="D662" s="92"/>
      <c r="E662" s="89"/>
      <c r="F662" s="89"/>
      <c r="G662" s="89"/>
    </row>
    <row r="663">
      <c r="A663" s="93"/>
      <c r="B663" s="87" t="s">
        <v>779</v>
      </c>
      <c r="C663" s="88"/>
      <c r="D663" s="92"/>
      <c r="E663" s="89"/>
      <c r="F663" s="89"/>
      <c r="G663" s="89"/>
    </row>
    <row r="664">
      <c r="A664" s="93"/>
      <c r="B664" s="87" t="s">
        <v>779</v>
      </c>
      <c r="C664" s="88"/>
      <c r="D664" s="92"/>
      <c r="E664" s="89"/>
      <c r="F664" s="89"/>
      <c r="G664" s="89"/>
    </row>
    <row r="665">
      <c r="A665" s="93"/>
      <c r="B665" s="87" t="s">
        <v>779</v>
      </c>
      <c r="C665" s="88"/>
      <c r="D665" s="92"/>
      <c r="E665" s="89"/>
      <c r="F665" s="89"/>
      <c r="G665" s="89"/>
    </row>
    <row r="666">
      <c r="A666" s="93"/>
      <c r="B666" s="87" t="s">
        <v>779</v>
      </c>
      <c r="C666" s="88"/>
      <c r="D666" s="92"/>
      <c r="E666" s="89"/>
      <c r="F666" s="89"/>
      <c r="G666" s="89"/>
    </row>
    <row r="667">
      <c r="A667" s="93"/>
      <c r="B667" s="87" t="s">
        <v>779</v>
      </c>
      <c r="C667" s="88"/>
      <c r="D667" s="92"/>
      <c r="E667" s="89"/>
      <c r="F667" s="89"/>
      <c r="G667" s="89"/>
    </row>
    <row r="668">
      <c r="A668" s="93"/>
      <c r="B668" s="87" t="s">
        <v>779</v>
      </c>
      <c r="C668" s="88"/>
      <c r="D668" s="92"/>
      <c r="E668" s="89"/>
      <c r="F668" s="89"/>
      <c r="G668" s="89"/>
    </row>
    <row r="669">
      <c r="A669" s="93"/>
      <c r="B669" s="87" t="s">
        <v>779</v>
      </c>
      <c r="C669" s="88"/>
      <c r="D669" s="92"/>
      <c r="E669" s="89"/>
      <c r="F669" s="89"/>
      <c r="G669" s="89"/>
    </row>
    <row r="670">
      <c r="A670" s="93"/>
      <c r="B670" s="87" t="s">
        <v>779</v>
      </c>
      <c r="C670" s="88"/>
      <c r="D670" s="92"/>
      <c r="E670" s="89"/>
      <c r="F670" s="89"/>
      <c r="G670" s="89"/>
    </row>
    <row r="671">
      <c r="A671" s="93"/>
      <c r="B671" s="87" t="s">
        <v>779</v>
      </c>
      <c r="C671" s="88"/>
      <c r="D671" s="92"/>
      <c r="E671" s="89"/>
      <c r="F671" s="89"/>
      <c r="G671" s="89"/>
    </row>
    <row r="672">
      <c r="A672" s="93"/>
      <c r="B672" s="87" t="s">
        <v>779</v>
      </c>
      <c r="C672" s="88"/>
      <c r="D672" s="92"/>
      <c r="E672" s="89"/>
      <c r="F672" s="89"/>
      <c r="G672" s="89"/>
    </row>
    <row r="673">
      <c r="A673" s="93"/>
      <c r="B673" s="87" t="s">
        <v>779</v>
      </c>
      <c r="C673" s="88"/>
      <c r="D673" s="92"/>
      <c r="E673" s="89"/>
      <c r="F673" s="89"/>
      <c r="G673" s="89"/>
    </row>
    <row r="674">
      <c r="A674" s="93"/>
      <c r="B674" s="87" t="s">
        <v>779</v>
      </c>
      <c r="C674" s="88"/>
      <c r="D674" s="92"/>
      <c r="E674" s="89"/>
      <c r="F674" s="89"/>
      <c r="G674" s="89"/>
    </row>
    <row r="675">
      <c r="A675" s="93"/>
      <c r="B675" s="87" t="s">
        <v>779</v>
      </c>
      <c r="C675" s="88"/>
      <c r="D675" s="92"/>
      <c r="E675" s="89"/>
      <c r="F675" s="89"/>
      <c r="G675" s="89"/>
    </row>
    <row r="676">
      <c r="A676" s="93"/>
      <c r="B676" s="87" t="s">
        <v>779</v>
      </c>
      <c r="C676" s="88"/>
      <c r="D676" s="92"/>
      <c r="E676" s="89"/>
      <c r="F676" s="89"/>
      <c r="G676" s="89"/>
    </row>
    <row r="677">
      <c r="A677" s="93"/>
      <c r="B677" s="87" t="s">
        <v>779</v>
      </c>
      <c r="C677" s="88"/>
      <c r="D677" s="92"/>
      <c r="E677" s="89"/>
      <c r="F677" s="89"/>
      <c r="G677" s="89"/>
    </row>
    <row r="678">
      <c r="A678" s="93"/>
      <c r="B678" s="87" t="s">
        <v>779</v>
      </c>
      <c r="C678" s="88"/>
      <c r="D678" s="92"/>
      <c r="E678" s="89"/>
      <c r="F678" s="89"/>
      <c r="G678" s="89"/>
    </row>
    <row r="679">
      <c r="A679" s="93"/>
      <c r="B679" s="87" t="s">
        <v>779</v>
      </c>
      <c r="C679" s="88"/>
      <c r="D679" s="92"/>
      <c r="E679" s="89"/>
      <c r="F679" s="89"/>
      <c r="G679" s="89"/>
    </row>
    <row r="680">
      <c r="A680" s="93"/>
      <c r="B680" s="87" t="s">
        <v>779</v>
      </c>
      <c r="C680" s="88"/>
      <c r="D680" s="92"/>
      <c r="E680" s="89"/>
      <c r="F680" s="89"/>
      <c r="G680" s="89"/>
    </row>
    <row r="681">
      <c r="A681" s="93"/>
      <c r="B681" s="87" t="s">
        <v>779</v>
      </c>
      <c r="C681" s="88"/>
      <c r="D681" s="92"/>
      <c r="E681" s="89"/>
      <c r="F681" s="89"/>
      <c r="G681" s="89"/>
    </row>
    <row r="682">
      <c r="A682" s="93"/>
      <c r="B682" s="87" t="s">
        <v>779</v>
      </c>
      <c r="C682" s="88"/>
      <c r="D682" s="92"/>
      <c r="E682" s="89"/>
      <c r="F682" s="89"/>
      <c r="G682" s="89"/>
    </row>
    <row r="683">
      <c r="A683" s="93"/>
      <c r="B683" s="87" t="s">
        <v>779</v>
      </c>
      <c r="C683" s="88"/>
      <c r="D683" s="92"/>
      <c r="E683" s="89"/>
      <c r="F683" s="89"/>
      <c r="G683" s="89"/>
    </row>
    <row r="684">
      <c r="A684" s="93"/>
      <c r="B684" s="87" t="s">
        <v>779</v>
      </c>
      <c r="C684" s="88"/>
      <c r="D684" s="92"/>
      <c r="E684" s="89"/>
      <c r="F684" s="89"/>
      <c r="G684" s="89"/>
    </row>
    <row r="685">
      <c r="A685" s="93"/>
      <c r="B685" s="87" t="s">
        <v>779</v>
      </c>
      <c r="C685" s="88"/>
      <c r="D685" s="92"/>
      <c r="E685" s="89"/>
      <c r="F685" s="89"/>
      <c r="G685" s="89"/>
    </row>
    <row r="686">
      <c r="A686" s="93"/>
      <c r="B686" s="87" t="s">
        <v>779</v>
      </c>
      <c r="C686" s="88"/>
      <c r="D686" s="92"/>
      <c r="E686" s="89"/>
      <c r="F686" s="89"/>
      <c r="G686" s="89"/>
    </row>
    <row r="687">
      <c r="A687" s="93"/>
      <c r="B687" s="87" t="s">
        <v>779</v>
      </c>
      <c r="C687" s="88"/>
      <c r="D687" s="92"/>
      <c r="E687" s="89"/>
      <c r="F687" s="89"/>
      <c r="G687" s="89"/>
    </row>
    <row r="688">
      <c r="A688" s="93"/>
      <c r="B688" s="87" t="s">
        <v>779</v>
      </c>
      <c r="C688" s="88"/>
      <c r="D688" s="92"/>
      <c r="E688" s="89"/>
      <c r="F688" s="89"/>
      <c r="G688" s="89"/>
    </row>
    <row r="689">
      <c r="A689" s="93"/>
      <c r="B689" s="87" t="s">
        <v>779</v>
      </c>
      <c r="C689" s="88"/>
      <c r="D689" s="92"/>
      <c r="E689" s="89"/>
      <c r="F689" s="89"/>
      <c r="G689" s="89"/>
    </row>
    <row r="690">
      <c r="A690" s="93"/>
      <c r="B690" s="87" t="s">
        <v>779</v>
      </c>
      <c r="C690" s="88"/>
      <c r="D690" s="92"/>
      <c r="E690" s="89"/>
      <c r="F690" s="89"/>
      <c r="G690" s="89"/>
    </row>
    <row r="691">
      <c r="A691" s="93"/>
      <c r="B691" s="87" t="s">
        <v>779</v>
      </c>
      <c r="C691" s="88"/>
      <c r="D691" s="92"/>
      <c r="E691" s="89"/>
      <c r="F691" s="89"/>
      <c r="G691" s="89"/>
    </row>
    <row r="692">
      <c r="A692" s="93"/>
      <c r="B692" s="87" t="s">
        <v>779</v>
      </c>
      <c r="C692" s="88"/>
      <c r="D692" s="92"/>
      <c r="E692" s="89"/>
      <c r="F692" s="89"/>
      <c r="G692" s="89"/>
    </row>
    <row r="693">
      <c r="A693" s="93"/>
      <c r="B693" s="87" t="s">
        <v>779</v>
      </c>
      <c r="C693" s="88"/>
      <c r="D693" s="92"/>
      <c r="E693" s="89"/>
      <c r="F693" s="89"/>
      <c r="G693" s="89"/>
    </row>
    <row r="694">
      <c r="A694" s="93"/>
      <c r="B694" s="87" t="s">
        <v>779</v>
      </c>
      <c r="C694" s="88"/>
      <c r="D694" s="92"/>
      <c r="E694" s="89"/>
      <c r="F694" s="89"/>
      <c r="G694" s="89"/>
    </row>
    <row r="695">
      <c r="A695" s="93"/>
      <c r="B695" s="87" t="s">
        <v>779</v>
      </c>
      <c r="C695" s="88"/>
      <c r="D695" s="92"/>
      <c r="E695" s="89"/>
      <c r="F695" s="89"/>
      <c r="G695" s="89"/>
    </row>
    <row r="696">
      <c r="A696" s="93"/>
      <c r="B696" s="87" t="s">
        <v>779</v>
      </c>
      <c r="C696" s="88"/>
      <c r="D696" s="92"/>
      <c r="E696" s="89"/>
      <c r="F696" s="89"/>
      <c r="G696" s="89"/>
    </row>
    <row r="697">
      <c r="A697" s="93"/>
      <c r="B697" s="87" t="s">
        <v>779</v>
      </c>
      <c r="C697" s="88"/>
      <c r="D697" s="92"/>
      <c r="E697" s="89"/>
      <c r="F697" s="89"/>
      <c r="G697" s="89"/>
    </row>
    <row r="698">
      <c r="A698" s="93"/>
      <c r="B698" s="87" t="s">
        <v>779</v>
      </c>
      <c r="C698" s="88"/>
      <c r="D698" s="92"/>
      <c r="E698" s="89"/>
      <c r="F698" s="89"/>
      <c r="G698" s="89"/>
    </row>
    <row r="699">
      <c r="A699" s="93"/>
      <c r="B699" s="87" t="s">
        <v>779</v>
      </c>
      <c r="C699" s="88"/>
      <c r="D699" s="92"/>
      <c r="E699" s="89"/>
      <c r="F699" s="89"/>
      <c r="G699" s="89"/>
    </row>
    <row r="700">
      <c r="A700" s="93"/>
      <c r="B700" s="87" t="s">
        <v>779</v>
      </c>
      <c r="C700" s="88"/>
      <c r="D700" s="92"/>
      <c r="E700" s="89"/>
      <c r="F700" s="89"/>
      <c r="G700" s="89"/>
    </row>
    <row r="701">
      <c r="A701" s="93"/>
      <c r="B701" s="87" t="s">
        <v>779</v>
      </c>
      <c r="C701" s="88"/>
      <c r="D701" s="92"/>
      <c r="E701" s="89"/>
      <c r="F701" s="89"/>
      <c r="G701" s="89"/>
    </row>
    <row r="702">
      <c r="A702" s="93"/>
      <c r="B702" s="87" t="s">
        <v>779</v>
      </c>
      <c r="C702" s="88"/>
      <c r="D702" s="92"/>
      <c r="E702" s="89"/>
      <c r="F702" s="89"/>
      <c r="G702" s="89"/>
    </row>
    <row r="703">
      <c r="A703" s="93"/>
      <c r="B703" s="87" t="s">
        <v>779</v>
      </c>
      <c r="C703" s="88"/>
      <c r="D703" s="92"/>
      <c r="E703" s="89"/>
      <c r="F703" s="89"/>
      <c r="G703" s="89"/>
    </row>
    <row r="704">
      <c r="A704" s="93"/>
      <c r="B704" s="87" t="s">
        <v>779</v>
      </c>
      <c r="C704" s="88"/>
      <c r="D704" s="92"/>
      <c r="E704" s="89"/>
      <c r="F704" s="89"/>
      <c r="G704" s="89"/>
    </row>
    <row r="705">
      <c r="A705" s="93"/>
      <c r="B705" s="87" t="s">
        <v>779</v>
      </c>
      <c r="C705" s="88"/>
      <c r="D705" s="92"/>
      <c r="E705" s="89"/>
      <c r="F705" s="89"/>
      <c r="G705" s="89"/>
    </row>
    <row r="706">
      <c r="A706" s="93"/>
      <c r="B706" s="87" t="s">
        <v>779</v>
      </c>
      <c r="C706" s="88"/>
      <c r="D706" s="92"/>
      <c r="E706" s="89"/>
      <c r="F706" s="89"/>
      <c r="G706" s="89"/>
    </row>
    <row r="707">
      <c r="A707" s="93"/>
      <c r="B707" s="87" t="s">
        <v>779</v>
      </c>
      <c r="C707" s="88"/>
      <c r="D707" s="92"/>
      <c r="E707" s="89"/>
      <c r="F707" s="89"/>
      <c r="G707" s="89"/>
    </row>
    <row r="708">
      <c r="A708" s="93"/>
      <c r="B708" s="87" t="s">
        <v>779</v>
      </c>
      <c r="C708" s="88"/>
      <c r="D708" s="92"/>
      <c r="E708" s="89"/>
      <c r="F708" s="89"/>
      <c r="G708" s="89"/>
    </row>
    <row r="709">
      <c r="A709" s="93"/>
      <c r="B709" s="87" t="s">
        <v>779</v>
      </c>
      <c r="C709" s="88"/>
      <c r="D709" s="92"/>
      <c r="E709" s="89"/>
      <c r="F709" s="89"/>
      <c r="G709" s="89"/>
    </row>
    <row r="710">
      <c r="A710" s="93"/>
      <c r="B710" s="87" t="s">
        <v>779</v>
      </c>
      <c r="C710" s="88"/>
      <c r="D710" s="92"/>
      <c r="E710" s="89"/>
      <c r="F710" s="89"/>
      <c r="G710" s="89"/>
    </row>
    <row r="711">
      <c r="A711" s="93"/>
      <c r="B711" s="87" t="s">
        <v>779</v>
      </c>
      <c r="C711" s="88"/>
      <c r="D711" s="92"/>
      <c r="E711" s="89"/>
      <c r="F711" s="89"/>
      <c r="G711" s="89"/>
    </row>
    <row r="712">
      <c r="A712" s="93"/>
      <c r="B712" s="87" t="s">
        <v>779</v>
      </c>
      <c r="C712" s="88"/>
      <c r="D712" s="92"/>
      <c r="E712" s="89"/>
      <c r="F712" s="89"/>
      <c r="G712" s="89"/>
    </row>
    <row r="713">
      <c r="A713" s="93"/>
      <c r="B713" s="87" t="s">
        <v>779</v>
      </c>
      <c r="C713" s="88"/>
      <c r="D713" s="92"/>
      <c r="E713" s="89"/>
      <c r="F713" s="89"/>
      <c r="G713" s="89"/>
    </row>
    <row r="714">
      <c r="A714" s="93"/>
      <c r="B714" s="87" t="s">
        <v>779</v>
      </c>
      <c r="C714" s="88"/>
      <c r="D714" s="92"/>
      <c r="E714" s="89"/>
      <c r="F714" s="89"/>
      <c r="G714" s="89"/>
    </row>
    <row r="715">
      <c r="A715" s="93"/>
      <c r="B715" s="87" t="s">
        <v>779</v>
      </c>
      <c r="C715" s="88"/>
      <c r="D715" s="92"/>
      <c r="E715" s="89"/>
      <c r="F715" s="89"/>
      <c r="G715" s="89"/>
    </row>
    <row r="716">
      <c r="A716" s="93"/>
      <c r="B716" s="87" t="s">
        <v>779</v>
      </c>
      <c r="C716" s="88"/>
      <c r="D716" s="92"/>
      <c r="E716" s="89"/>
      <c r="F716" s="89"/>
      <c r="G716" s="89"/>
    </row>
    <row r="717">
      <c r="A717" s="93"/>
      <c r="B717" s="87" t="s">
        <v>779</v>
      </c>
      <c r="C717" s="88"/>
      <c r="D717" s="92"/>
      <c r="E717" s="89"/>
      <c r="F717" s="89"/>
      <c r="G717" s="89"/>
    </row>
    <row r="718">
      <c r="A718" s="93"/>
      <c r="B718" s="87" t="s">
        <v>779</v>
      </c>
      <c r="C718" s="88"/>
      <c r="D718" s="92"/>
      <c r="E718" s="89"/>
      <c r="F718" s="89"/>
      <c r="G718" s="89"/>
    </row>
    <row r="719">
      <c r="A719" s="93"/>
      <c r="B719" s="87" t="s">
        <v>779</v>
      </c>
      <c r="C719" s="88"/>
      <c r="D719" s="92"/>
      <c r="E719" s="89"/>
      <c r="F719" s="89"/>
      <c r="G719" s="89"/>
    </row>
    <row r="720">
      <c r="A720" s="93"/>
      <c r="B720" s="87" t="s">
        <v>779</v>
      </c>
      <c r="C720" s="88"/>
      <c r="D720" s="92"/>
      <c r="E720" s="89"/>
      <c r="F720" s="89"/>
      <c r="G720" s="89"/>
    </row>
    <row r="721">
      <c r="A721" s="93"/>
      <c r="B721" s="87" t="s">
        <v>779</v>
      </c>
      <c r="C721" s="88"/>
      <c r="D721" s="92"/>
      <c r="E721" s="89"/>
      <c r="F721" s="89"/>
      <c r="G721" s="89"/>
    </row>
    <row r="722">
      <c r="A722" s="93"/>
      <c r="B722" s="87" t="s">
        <v>779</v>
      </c>
      <c r="C722" s="88"/>
      <c r="D722" s="92"/>
      <c r="E722" s="89"/>
      <c r="F722" s="89"/>
      <c r="G722" s="89"/>
    </row>
    <row r="723">
      <c r="A723" s="93"/>
      <c r="B723" s="87" t="s">
        <v>779</v>
      </c>
      <c r="C723" s="88"/>
      <c r="D723" s="92"/>
      <c r="E723" s="89"/>
      <c r="F723" s="89"/>
      <c r="G723" s="89"/>
    </row>
    <row r="724">
      <c r="A724" s="93"/>
      <c r="B724" s="87" t="s">
        <v>779</v>
      </c>
      <c r="C724" s="88"/>
      <c r="D724" s="92"/>
      <c r="E724" s="89"/>
      <c r="F724" s="89"/>
      <c r="G724" s="89"/>
    </row>
    <row r="725">
      <c r="A725" s="93"/>
      <c r="B725" s="87" t="s">
        <v>779</v>
      </c>
      <c r="C725" s="88"/>
      <c r="D725" s="92"/>
      <c r="E725" s="89"/>
      <c r="F725" s="89"/>
      <c r="G725" s="89"/>
    </row>
    <row r="726">
      <c r="A726" s="93"/>
      <c r="B726" s="87" t="s">
        <v>779</v>
      </c>
      <c r="C726" s="88"/>
      <c r="D726" s="92"/>
      <c r="E726" s="89"/>
      <c r="F726" s="89"/>
      <c r="G726" s="89"/>
    </row>
    <row r="727">
      <c r="A727" s="93"/>
      <c r="B727" s="87" t="s">
        <v>779</v>
      </c>
      <c r="C727" s="88"/>
      <c r="D727" s="92"/>
      <c r="E727" s="89"/>
      <c r="F727" s="89"/>
      <c r="G727" s="89"/>
    </row>
    <row r="728">
      <c r="A728" s="93"/>
      <c r="B728" s="87" t="s">
        <v>779</v>
      </c>
      <c r="C728" s="88"/>
      <c r="D728" s="92"/>
      <c r="E728" s="89"/>
      <c r="F728" s="89"/>
      <c r="G728" s="89"/>
    </row>
    <row r="729">
      <c r="A729" s="93"/>
      <c r="B729" s="87" t="s">
        <v>779</v>
      </c>
      <c r="C729" s="88"/>
      <c r="D729" s="92"/>
      <c r="E729" s="89"/>
      <c r="F729" s="89"/>
      <c r="G729" s="89"/>
    </row>
    <row r="730">
      <c r="A730" s="93"/>
      <c r="B730" s="87" t="s">
        <v>779</v>
      </c>
      <c r="C730" s="88"/>
      <c r="D730" s="92"/>
      <c r="E730" s="89"/>
      <c r="F730" s="89"/>
      <c r="G730" s="89"/>
    </row>
    <row r="731">
      <c r="A731" s="93"/>
      <c r="B731" s="87" t="s">
        <v>779</v>
      </c>
      <c r="C731" s="88"/>
      <c r="D731" s="92"/>
      <c r="E731" s="89"/>
      <c r="F731" s="89"/>
      <c r="G731" s="89"/>
    </row>
    <row r="732">
      <c r="A732" s="93"/>
      <c r="B732" s="87" t="s">
        <v>779</v>
      </c>
      <c r="C732" s="88"/>
      <c r="D732" s="92"/>
      <c r="E732" s="89"/>
      <c r="F732" s="89"/>
      <c r="G732" s="89"/>
    </row>
    <row r="733">
      <c r="A733" s="93"/>
      <c r="B733" s="87" t="s">
        <v>779</v>
      </c>
      <c r="C733" s="88"/>
      <c r="D733" s="92"/>
      <c r="E733" s="89"/>
      <c r="F733" s="89"/>
      <c r="G733" s="89"/>
    </row>
    <row r="734">
      <c r="A734" s="93"/>
      <c r="B734" s="87" t="s">
        <v>779</v>
      </c>
      <c r="C734" s="88"/>
      <c r="D734" s="92"/>
      <c r="E734" s="89"/>
      <c r="F734" s="89"/>
      <c r="G734" s="89"/>
    </row>
    <row r="735">
      <c r="A735" s="93"/>
      <c r="B735" s="87" t="s">
        <v>779</v>
      </c>
      <c r="C735" s="88"/>
      <c r="D735" s="92"/>
      <c r="E735" s="89"/>
      <c r="F735" s="89"/>
      <c r="G735" s="89"/>
    </row>
    <row r="736">
      <c r="A736" s="93"/>
      <c r="B736" s="87" t="s">
        <v>779</v>
      </c>
      <c r="C736" s="88"/>
      <c r="D736" s="92"/>
      <c r="E736" s="89"/>
      <c r="F736" s="89"/>
      <c r="G736" s="89"/>
    </row>
    <row r="737">
      <c r="A737" s="93"/>
      <c r="B737" s="87" t="s">
        <v>779</v>
      </c>
      <c r="C737" s="88"/>
      <c r="D737" s="92"/>
      <c r="E737" s="89"/>
      <c r="F737" s="89"/>
      <c r="G737" s="89"/>
    </row>
    <row r="738">
      <c r="A738" s="93"/>
      <c r="B738" s="87" t="s">
        <v>779</v>
      </c>
      <c r="C738" s="88"/>
      <c r="D738" s="92"/>
      <c r="E738" s="89"/>
      <c r="F738" s="89"/>
      <c r="G738" s="89"/>
    </row>
    <row r="739">
      <c r="A739" s="93"/>
      <c r="B739" s="87" t="s">
        <v>779</v>
      </c>
      <c r="C739" s="88"/>
      <c r="D739" s="92"/>
      <c r="E739" s="89"/>
      <c r="F739" s="89"/>
      <c r="G739" s="89"/>
    </row>
    <row r="740">
      <c r="A740" s="93"/>
      <c r="B740" s="87" t="s">
        <v>779</v>
      </c>
      <c r="C740" s="88"/>
      <c r="D740" s="92"/>
      <c r="E740" s="89"/>
      <c r="F740" s="89"/>
      <c r="G740" s="89"/>
    </row>
    <row r="741">
      <c r="A741" s="93"/>
      <c r="B741" s="87" t="s">
        <v>779</v>
      </c>
      <c r="C741" s="88"/>
      <c r="D741" s="92"/>
      <c r="E741" s="89"/>
      <c r="F741" s="89"/>
      <c r="G741" s="89"/>
    </row>
    <row r="742">
      <c r="A742" s="93"/>
      <c r="B742" s="87" t="s">
        <v>779</v>
      </c>
      <c r="C742" s="88"/>
      <c r="D742" s="92"/>
      <c r="E742" s="89"/>
      <c r="F742" s="89"/>
      <c r="G742" s="89"/>
    </row>
    <row r="743">
      <c r="A743" s="93"/>
      <c r="B743" s="87" t="s">
        <v>779</v>
      </c>
      <c r="C743" s="88"/>
      <c r="D743" s="92"/>
      <c r="E743" s="89"/>
      <c r="F743" s="89"/>
      <c r="G743" s="89"/>
    </row>
    <row r="744">
      <c r="A744" s="93"/>
      <c r="B744" s="87" t="s">
        <v>779</v>
      </c>
      <c r="C744" s="88"/>
      <c r="D744" s="92"/>
      <c r="E744" s="89"/>
      <c r="F744" s="89"/>
      <c r="G744" s="89"/>
    </row>
    <row r="745">
      <c r="A745" s="93"/>
      <c r="B745" s="87" t="s">
        <v>779</v>
      </c>
      <c r="C745" s="88"/>
      <c r="D745" s="92"/>
      <c r="E745" s="89"/>
      <c r="F745" s="89"/>
      <c r="G745" s="89"/>
    </row>
    <row r="746">
      <c r="A746" s="93"/>
      <c r="B746" s="87" t="s">
        <v>779</v>
      </c>
      <c r="C746" s="88"/>
      <c r="D746" s="92"/>
      <c r="E746" s="89"/>
      <c r="F746" s="89"/>
      <c r="G746" s="89"/>
    </row>
    <row r="747">
      <c r="A747" s="93"/>
      <c r="B747" s="87" t="s">
        <v>779</v>
      </c>
      <c r="C747" s="88"/>
      <c r="D747" s="92"/>
      <c r="E747" s="89"/>
      <c r="F747" s="89"/>
      <c r="G747" s="89"/>
    </row>
    <row r="748">
      <c r="A748" s="93"/>
      <c r="B748" s="87" t="s">
        <v>779</v>
      </c>
      <c r="C748" s="88"/>
      <c r="D748" s="92"/>
      <c r="E748" s="89"/>
      <c r="F748" s="89"/>
      <c r="G748" s="89"/>
    </row>
    <row r="749">
      <c r="A749" s="93"/>
      <c r="B749" s="87" t="s">
        <v>779</v>
      </c>
      <c r="C749" s="88"/>
      <c r="D749" s="92"/>
      <c r="E749" s="89"/>
      <c r="F749" s="89"/>
      <c r="G749" s="89"/>
    </row>
    <row r="750">
      <c r="A750" s="93"/>
      <c r="B750" s="87" t="s">
        <v>779</v>
      </c>
      <c r="C750" s="88"/>
      <c r="D750" s="92"/>
      <c r="E750" s="89"/>
      <c r="F750" s="89"/>
      <c r="G750" s="89"/>
    </row>
    <row r="751">
      <c r="A751" s="93"/>
      <c r="B751" s="87" t="s">
        <v>779</v>
      </c>
      <c r="C751" s="88"/>
      <c r="D751" s="92"/>
      <c r="E751" s="89"/>
      <c r="F751" s="89"/>
      <c r="G751" s="89"/>
    </row>
    <row r="752">
      <c r="A752" s="93"/>
      <c r="B752" s="87" t="s">
        <v>779</v>
      </c>
      <c r="C752" s="88"/>
      <c r="D752" s="92"/>
      <c r="E752" s="89"/>
      <c r="F752" s="89"/>
      <c r="G752" s="89"/>
    </row>
    <row r="753">
      <c r="A753" s="93"/>
      <c r="B753" s="87" t="s">
        <v>779</v>
      </c>
      <c r="C753" s="88"/>
      <c r="D753" s="92"/>
      <c r="E753" s="89"/>
      <c r="F753" s="89"/>
      <c r="G753" s="89"/>
    </row>
    <row r="754">
      <c r="A754" s="93"/>
      <c r="B754" s="87" t="s">
        <v>779</v>
      </c>
      <c r="C754" s="88"/>
      <c r="D754" s="92"/>
      <c r="E754" s="89"/>
      <c r="F754" s="89"/>
      <c r="G754" s="89"/>
    </row>
    <row r="755">
      <c r="A755" s="93"/>
      <c r="B755" s="87" t="s">
        <v>779</v>
      </c>
      <c r="C755" s="88"/>
      <c r="D755" s="92"/>
      <c r="E755" s="89"/>
      <c r="F755" s="89"/>
      <c r="G755" s="89"/>
    </row>
    <row r="756">
      <c r="A756" s="93"/>
      <c r="B756" s="87" t="s">
        <v>779</v>
      </c>
      <c r="C756" s="88"/>
      <c r="D756" s="92"/>
      <c r="E756" s="89"/>
      <c r="F756" s="89"/>
      <c r="G756" s="89"/>
    </row>
    <row r="757">
      <c r="A757" s="93"/>
      <c r="B757" s="87" t="s">
        <v>779</v>
      </c>
      <c r="C757" s="88"/>
      <c r="D757" s="92"/>
      <c r="E757" s="89"/>
      <c r="F757" s="89"/>
      <c r="G757" s="89"/>
    </row>
    <row r="758">
      <c r="A758" s="93"/>
      <c r="B758" s="87" t="s">
        <v>779</v>
      </c>
      <c r="C758" s="88"/>
      <c r="D758" s="92"/>
      <c r="E758" s="89"/>
      <c r="F758" s="89"/>
      <c r="G758" s="89"/>
    </row>
    <row r="759">
      <c r="A759" s="93"/>
      <c r="B759" s="87" t="s">
        <v>779</v>
      </c>
      <c r="C759" s="88"/>
      <c r="D759" s="92"/>
      <c r="E759" s="89"/>
      <c r="F759" s="89"/>
      <c r="G759" s="89"/>
    </row>
    <row r="760">
      <c r="A760" s="93"/>
      <c r="B760" s="87" t="s">
        <v>779</v>
      </c>
      <c r="C760" s="88"/>
      <c r="D760" s="92"/>
      <c r="E760" s="89"/>
      <c r="F760" s="89"/>
      <c r="G760" s="89"/>
    </row>
    <row r="761">
      <c r="A761" s="93"/>
      <c r="B761" s="87" t="s">
        <v>779</v>
      </c>
      <c r="C761" s="88"/>
      <c r="D761" s="92"/>
      <c r="E761" s="89"/>
      <c r="F761" s="89"/>
      <c r="G761" s="89"/>
    </row>
    <row r="762">
      <c r="A762" s="93"/>
      <c r="B762" s="87" t="s">
        <v>779</v>
      </c>
      <c r="C762" s="88"/>
      <c r="D762" s="92"/>
      <c r="E762" s="89"/>
      <c r="F762" s="89"/>
      <c r="G762" s="89"/>
    </row>
    <row r="763">
      <c r="A763" s="93"/>
      <c r="B763" s="87" t="s">
        <v>779</v>
      </c>
      <c r="C763" s="88"/>
      <c r="D763" s="92"/>
      <c r="E763" s="89"/>
      <c r="F763" s="89"/>
      <c r="G763" s="89"/>
    </row>
    <row r="764">
      <c r="A764" s="93"/>
      <c r="B764" s="87" t="s">
        <v>779</v>
      </c>
      <c r="C764" s="88"/>
      <c r="D764" s="92"/>
      <c r="E764" s="89"/>
      <c r="F764" s="89"/>
      <c r="G764" s="89"/>
    </row>
    <row r="765">
      <c r="A765" s="93"/>
      <c r="B765" s="87" t="s">
        <v>779</v>
      </c>
      <c r="C765" s="88"/>
      <c r="D765" s="92"/>
      <c r="E765" s="89"/>
      <c r="F765" s="89"/>
      <c r="G765" s="89"/>
    </row>
    <row r="766">
      <c r="A766" s="93"/>
      <c r="B766" s="87" t="s">
        <v>779</v>
      </c>
      <c r="C766" s="88"/>
      <c r="D766" s="92"/>
      <c r="E766" s="89"/>
      <c r="F766" s="89"/>
      <c r="G766" s="89"/>
    </row>
    <row r="767">
      <c r="A767" s="93"/>
      <c r="B767" s="87" t="s">
        <v>779</v>
      </c>
      <c r="C767" s="88"/>
      <c r="D767" s="92"/>
      <c r="E767" s="89"/>
      <c r="F767" s="89"/>
      <c r="G767" s="89"/>
    </row>
    <row r="768">
      <c r="A768" s="93"/>
      <c r="B768" s="87" t="s">
        <v>779</v>
      </c>
      <c r="C768" s="88"/>
      <c r="D768" s="92"/>
      <c r="E768" s="89"/>
      <c r="F768" s="89"/>
      <c r="G768" s="89"/>
    </row>
    <row r="769">
      <c r="A769" s="93"/>
      <c r="B769" s="87" t="s">
        <v>779</v>
      </c>
      <c r="C769" s="88"/>
      <c r="D769" s="92"/>
      <c r="E769" s="89"/>
      <c r="F769" s="89"/>
      <c r="G769" s="89"/>
    </row>
    <row r="770">
      <c r="A770" s="93"/>
      <c r="B770" s="87" t="s">
        <v>779</v>
      </c>
      <c r="C770" s="88"/>
      <c r="D770" s="92"/>
      <c r="E770" s="89"/>
      <c r="F770" s="89"/>
      <c r="G770" s="89"/>
    </row>
    <row r="771">
      <c r="A771" s="93"/>
      <c r="B771" s="87" t="s">
        <v>779</v>
      </c>
      <c r="C771" s="88"/>
      <c r="D771" s="92"/>
      <c r="E771" s="89"/>
      <c r="F771" s="89"/>
      <c r="G771" s="89"/>
    </row>
    <row r="772">
      <c r="A772" s="93"/>
      <c r="B772" s="87" t="s">
        <v>779</v>
      </c>
      <c r="C772" s="88"/>
      <c r="D772" s="92"/>
      <c r="E772" s="89"/>
      <c r="F772" s="89"/>
      <c r="G772" s="89"/>
    </row>
    <row r="773">
      <c r="A773" s="93"/>
      <c r="B773" s="87" t="s">
        <v>779</v>
      </c>
      <c r="C773" s="88"/>
      <c r="D773" s="92"/>
      <c r="E773" s="89"/>
      <c r="F773" s="89"/>
      <c r="G773" s="89"/>
    </row>
    <row r="774">
      <c r="A774" s="93"/>
      <c r="B774" s="87" t="s">
        <v>779</v>
      </c>
      <c r="C774" s="88"/>
      <c r="D774" s="92"/>
      <c r="E774" s="89"/>
      <c r="F774" s="89"/>
      <c r="G774" s="89"/>
    </row>
    <row r="775">
      <c r="A775" s="93"/>
      <c r="B775" s="87" t="s">
        <v>779</v>
      </c>
      <c r="C775" s="88"/>
      <c r="D775" s="92"/>
      <c r="E775" s="89"/>
      <c r="F775" s="89"/>
      <c r="G775" s="89"/>
    </row>
    <row r="776">
      <c r="A776" s="93"/>
      <c r="B776" s="87" t="s">
        <v>779</v>
      </c>
      <c r="C776" s="88"/>
      <c r="D776" s="92"/>
      <c r="E776" s="89"/>
      <c r="F776" s="89"/>
      <c r="G776" s="89"/>
    </row>
    <row r="777">
      <c r="A777" s="93"/>
      <c r="B777" s="87" t="s">
        <v>779</v>
      </c>
      <c r="C777" s="88"/>
      <c r="D777" s="92"/>
      <c r="E777" s="89"/>
      <c r="F777" s="89"/>
      <c r="G777" s="89"/>
    </row>
    <row r="778">
      <c r="A778" s="93"/>
      <c r="B778" s="87" t="s">
        <v>779</v>
      </c>
      <c r="C778" s="88"/>
      <c r="D778" s="92"/>
      <c r="E778" s="89"/>
      <c r="F778" s="89"/>
      <c r="G778" s="89"/>
    </row>
    <row r="779">
      <c r="A779" s="93"/>
      <c r="B779" s="87" t="s">
        <v>779</v>
      </c>
      <c r="C779" s="88"/>
      <c r="D779" s="92"/>
      <c r="E779" s="89"/>
      <c r="F779" s="89"/>
      <c r="G779" s="89"/>
    </row>
    <row r="780">
      <c r="A780" s="93"/>
      <c r="B780" s="87" t="s">
        <v>779</v>
      </c>
      <c r="C780" s="88"/>
      <c r="D780" s="92"/>
      <c r="E780" s="89"/>
      <c r="F780" s="89"/>
      <c r="G780" s="89"/>
    </row>
    <row r="781">
      <c r="A781" s="93"/>
      <c r="B781" s="87" t="s">
        <v>779</v>
      </c>
      <c r="C781" s="88"/>
      <c r="D781" s="92"/>
      <c r="E781" s="89"/>
      <c r="F781" s="89"/>
      <c r="G781" s="89"/>
    </row>
    <row r="782">
      <c r="A782" s="93"/>
      <c r="B782" s="87" t="s">
        <v>779</v>
      </c>
      <c r="C782" s="88"/>
      <c r="D782" s="92"/>
      <c r="E782" s="89"/>
      <c r="F782" s="89"/>
      <c r="G782" s="89"/>
    </row>
    <row r="783">
      <c r="A783" s="93"/>
      <c r="B783" s="87" t="s">
        <v>779</v>
      </c>
      <c r="C783" s="88"/>
      <c r="D783" s="92"/>
      <c r="E783" s="89"/>
      <c r="F783" s="89"/>
      <c r="G783" s="89"/>
    </row>
    <row r="784">
      <c r="A784" s="93"/>
      <c r="B784" s="87" t="s">
        <v>779</v>
      </c>
      <c r="C784" s="88"/>
      <c r="D784" s="92"/>
      <c r="E784" s="89"/>
      <c r="F784" s="89"/>
      <c r="G784" s="89"/>
    </row>
    <row r="785">
      <c r="A785" s="93"/>
      <c r="B785" s="87" t="s">
        <v>779</v>
      </c>
      <c r="C785" s="88"/>
      <c r="D785" s="92"/>
      <c r="E785" s="89"/>
      <c r="F785" s="89"/>
      <c r="G785" s="89"/>
    </row>
    <row r="786">
      <c r="A786" s="93"/>
      <c r="B786" s="87" t="s">
        <v>779</v>
      </c>
      <c r="C786" s="88"/>
      <c r="D786" s="92"/>
      <c r="E786" s="89"/>
      <c r="F786" s="89"/>
      <c r="G786" s="89"/>
    </row>
    <row r="787">
      <c r="A787" s="93"/>
      <c r="B787" s="87" t="s">
        <v>779</v>
      </c>
      <c r="C787" s="88"/>
      <c r="D787" s="92"/>
      <c r="E787" s="89"/>
      <c r="F787" s="89"/>
      <c r="G787" s="89"/>
    </row>
    <row r="788">
      <c r="A788" s="93"/>
      <c r="B788" s="87" t="s">
        <v>779</v>
      </c>
      <c r="C788" s="88"/>
      <c r="D788" s="92"/>
      <c r="E788" s="89"/>
      <c r="F788" s="89"/>
      <c r="G788" s="89"/>
    </row>
    <row r="789">
      <c r="A789" s="93"/>
      <c r="B789" s="87" t="s">
        <v>779</v>
      </c>
      <c r="C789" s="88"/>
      <c r="D789" s="92"/>
      <c r="E789" s="89"/>
      <c r="F789" s="89"/>
      <c r="G789" s="89"/>
    </row>
    <row r="790">
      <c r="A790" s="93"/>
      <c r="B790" s="87" t="s">
        <v>779</v>
      </c>
      <c r="C790" s="88"/>
      <c r="D790" s="92"/>
      <c r="E790" s="89"/>
      <c r="F790" s="89"/>
      <c r="G790" s="89"/>
    </row>
    <row r="791">
      <c r="A791" s="93"/>
      <c r="B791" s="87" t="s">
        <v>779</v>
      </c>
      <c r="C791" s="88"/>
      <c r="D791" s="92"/>
      <c r="E791" s="89"/>
      <c r="F791" s="89"/>
      <c r="G791" s="89"/>
    </row>
    <row r="792">
      <c r="A792" s="93"/>
      <c r="B792" s="87" t="s">
        <v>779</v>
      </c>
      <c r="C792" s="88"/>
      <c r="D792" s="92"/>
      <c r="E792" s="89"/>
      <c r="F792" s="89"/>
      <c r="G792" s="89"/>
    </row>
    <row r="793">
      <c r="A793" s="93"/>
      <c r="B793" s="87" t="s">
        <v>779</v>
      </c>
      <c r="C793" s="88"/>
      <c r="D793" s="92"/>
      <c r="E793" s="89"/>
      <c r="F793" s="89"/>
      <c r="G793" s="89"/>
    </row>
    <row r="794">
      <c r="A794" s="93"/>
      <c r="B794" s="87" t="s">
        <v>779</v>
      </c>
      <c r="C794" s="88"/>
      <c r="D794" s="92"/>
      <c r="E794" s="89"/>
      <c r="F794" s="89"/>
      <c r="G794" s="89"/>
    </row>
    <row r="795">
      <c r="A795" s="93"/>
      <c r="B795" s="87" t="s">
        <v>779</v>
      </c>
      <c r="C795" s="88"/>
      <c r="D795" s="92"/>
      <c r="E795" s="89"/>
      <c r="F795" s="89"/>
      <c r="G795" s="89"/>
    </row>
    <row r="796">
      <c r="A796" s="93"/>
      <c r="B796" s="87" t="s">
        <v>779</v>
      </c>
      <c r="C796" s="88"/>
      <c r="D796" s="92"/>
      <c r="E796" s="89"/>
      <c r="F796" s="89"/>
      <c r="G796" s="89"/>
    </row>
    <row r="797">
      <c r="A797" s="93"/>
      <c r="B797" s="87" t="s">
        <v>779</v>
      </c>
      <c r="C797" s="88"/>
      <c r="D797" s="92"/>
      <c r="E797" s="89"/>
      <c r="F797" s="89"/>
      <c r="G797" s="89"/>
    </row>
    <row r="798">
      <c r="A798" s="93"/>
      <c r="B798" s="87" t="s">
        <v>779</v>
      </c>
      <c r="C798" s="88"/>
      <c r="D798" s="92"/>
      <c r="E798" s="89"/>
      <c r="F798" s="89"/>
      <c r="G798" s="89"/>
    </row>
    <row r="799">
      <c r="A799" s="93"/>
      <c r="B799" s="87" t="s">
        <v>779</v>
      </c>
      <c r="C799" s="88"/>
      <c r="D799" s="92"/>
      <c r="E799" s="89"/>
      <c r="F799" s="89"/>
      <c r="G799" s="89"/>
    </row>
    <row r="800">
      <c r="A800" s="93"/>
      <c r="B800" s="87" t="s">
        <v>779</v>
      </c>
      <c r="C800" s="88"/>
      <c r="D800" s="92"/>
      <c r="E800" s="89"/>
      <c r="F800" s="89"/>
      <c r="G800" s="89"/>
    </row>
    <row r="801">
      <c r="A801" s="93"/>
      <c r="B801" s="87" t="s">
        <v>779</v>
      </c>
      <c r="C801" s="88"/>
      <c r="D801" s="92"/>
      <c r="E801" s="89"/>
      <c r="F801" s="89"/>
      <c r="G801" s="89"/>
    </row>
    <row r="802">
      <c r="A802" s="93"/>
      <c r="B802" s="87" t="s">
        <v>779</v>
      </c>
      <c r="C802" s="88"/>
      <c r="D802" s="92"/>
      <c r="E802" s="89"/>
      <c r="F802" s="89"/>
      <c r="G802" s="89"/>
    </row>
    <row r="803">
      <c r="A803" s="93"/>
      <c r="B803" s="87" t="s">
        <v>779</v>
      </c>
      <c r="C803" s="88"/>
      <c r="D803" s="92"/>
      <c r="E803" s="89"/>
      <c r="F803" s="89"/>
      <c r="G803" s="89"/>
    </row>
    <row r="804">
      <c r="A804" s="93"/>
      <c r="B804" s="87" t="s">
        <v>779</v>
      </c>
      <c r="C804" s="88"/>
      <c r="D804" s="92"/>
      <c r="E804" s="89"/>
      <c r="F804" s="89"/>
      <c r="G804" s="89"/>
    </row>
    <row r="805">
      <c r="A805" s="93"/>
      <c r="B805" s="87" t="s">
        <v>779</v>
      </c>
      <c r="C805" s="88"/>
      <c r="D805" s="92"/>
      <c r="E805" s="89"/>
      <c r="F805" s="89"/>
      <c r="G805" s="89"/>
    </row>
    <row r="806">
      <c r="A806" s="93"/>
      <c r="B806" s="87" t="s">
        <v>779</v>
      </c>
      <c r="C806" s="88"/>
      <c r="D806" s="92"/>
      <c r="E806" s="89"/>
      <c r="F806" s="89"/>
      <c r="G806" s="89"/>
    </row>
    <row r="807">
      <c r="A807" s="93"/>
      <c r="B807" s="87" t="s">
        <v>779</v>
      </c>
      <c r="C807" s="88"/>
      <c r="D807" s="92"/>
      <c r="E807" s="89"/>
      <c r="F807" s="89"/>
      <c r="G807" s="89"/>
    </row>
    <row r="808">
      <c r="A808" s="93"/>
      <c r="B808" s="87" t="s">
        <v>779</v>
      </c>
      <c r="C808" s="88"/>
      <c r="D808" s="92"/>
      <c r="E808" s="89"/>
      <c r="F808" s="89"/>
      <c r="G808" s="89"/>
    </row>
    <row r="809">
      <c r="A809" s="93"/>
      <c r="B809" s="87" t="s">
        <v>779</v>
      </c>
      <c r="C809" s="88"/>
      <c r="D809" s="92"/>
      <c r="E809" s="89"/>
      <c r="F809" s="89"/>
      <c r="G809" s="89"/>
    </row>
    <row r="810">
      <c r="A810" s="93"/>
      <c r="B810" s="87" t="s">
        <v>779</v>
      </c>
      <c r="C810" s="88"/>
      <c r="D810" s="92"/>
      <c r="E810" s="89"/>
      <c r="F810" s="89"/>
      <c r="G810" s="89"/>
    </row>
    <row r="811">
      <c r="A811" s="93"/>
      <c r="B811" s="87" t="s">
        <v>779</v>
      </c>
      <c r="C811" s="88"/>
      <c r="D811" s="92"/>
      <c r="E811" s="89"/>
      <c r="F811" s="89"/>
      <c r="G811" s="89"/>
    </row>
    <row r="812">
      <c r="A812" s="93"/>
      <c r="B812" s="87" t="s">
        <v>779</v>
      </c>
      <c r="C812" s="88"/>
      <c r="D812" s="92"/>
      <c r="E812" s="89"/>
      <c r="F812" s="89"/>
      <c r="G812" s="89"/>
    </row>
    <row r="813">
      <c r="A813" s="93"/>
      <c r="B813" s="87" t="s">
        <v>779</v>
      </c>
      <c r="C813" s="88"/>
      <c r="D813" s="92"/>
      <c r="E813" s="89"/>
      <c r="F813" s="89"/>
      <c r="G813" s="89"/>
    </row>
    <row r="814">
      <c r="A814" s="93"/>
      <c r="B814" s="87" t="s">
        <v>779</v>
      </c>
      <c r="C814" s="88"/>
      <c r="D814" s="92"/>
      <c r="E814" s="89"/>
      <c r="F814" s="89"/>
      <c r="G814" s="89"/>
    </row>
    <row r="815">
      <c r="A815" s="93"/>
      <c r="B815" s="87" t="s">
        <v>779</v>
      </c>
      <c r="C815" s="88"/>
      <c r="D815" s="92"/>
      <c r="E815" s="89"/>
      <c r="F815" s="89"/>
      <c r="G815" s="89"/>
    </row>
    <row r="816">
      <c r="A816" s="93"/>
      <c r="B816" s="87" t="s">
        <v>779</v>
      </c>
      <c r="C816" s="88"/>
      <c r="D816" s="92"/>
      <c r="E816" s="89"/>
      <c r="F816" s="89"/>
      <c r="G816" s="89"/>
    </row>
    <row r="817">
      <c r="A817" s="93"/>
      <c r="B817" s="87" t="s">
        <v>779</v>
      </c>
      <c r="C817" s="88"/>
      <c r="D817" s="92"/>
      <c r="E817" s="89"/>
      <c r="F817" s="89"/>
      <c r="G817" s="89"/>
    </row>
    <row r="818">
      <c r="A818" s="93"/>
      <c r="B818" s="87" t="s">
        <v>779</v>
      </c>
      <c r="C818" s="88"/>
      <c r="D818" s="92"/>
      <c r="E818" s="89"/>
      <c r="F818" s="89"/>
      <c r="G818" s="89"/>
    </row>
    <row r="819">
      <c r="A819" s="93"/>
      <c r="B819" s="87" t="s">
        <v>779</v>
      </c>
      <c r="C819" s="88"/>
      <c r="D819" s="92"/>
      <c r="E819" s="89"/>
      <c r="F819" s="89"/>
      <c r="G819" s="89"/>
    </row>
    <row r="820">
      <c r="A820" s="93"/>
      <c r="B820" s="87" t="s">
        <v>779</v>
      </c>
      <c r="C820" s="88"/>
      <c r="D820" s="92"/>
      <c r="E820" s="89"/>
      <c r="F820" s="89"/>
      <c r="G820" s="89"/>
    </row>
    <row r="821">
      <c r="A821" s="93"/>
      <c r="B821" s="87" t="s">
        <v>779</v>
      </c>
      <c r="C821" s="88"/>
      <c r="D821" s="92"/>
      <c r="E821" s="89"/>
      <c r="F821" s="89"/>
      <c r="G821" s="89"/>
    </row>
    <row r="822">
      <c r="A822" s="93"/>
      <c r="B822" s="87" t="s">
        <v>779</v>
      </c>
      <c r="C822" s="88"/>
      <c r="D822" s="92"/>
      <c r="E822" s="89"/>
      <c r="F822" s="89"/>
      <c r="G822" s="89"/>
    </row>
    <row r="823">
      <c r="A823" s="93"/>
      <c r="B823" s="87" t="s">
        <v>779</v>
      </c>
      <c r="C823" s="88"/>
      <c r="D823" s="92"/>
      <c r="E823" s="89"/>
      <c r="F823" s="89"/>
      <c r="G823" s="89"/>
    </row>
    <row r="824">
      <c r="A824" s="93"/>
      <c r="B824" s="87" t="s">
        <v>779</v>
      </c>
      <c r="C824" s="88"/>
      <c r="D824" s="92"/>
      <c r="E824" s="89"/>
      <c r="F824" s="89"/>
      <c r="G824" s="89"/>
    </row>
    <row r="825">
      <c r="A825" s="93"/>
      <c r="B825" s="87" t="s">
        <v>779</v>
      </c>
      <c r="C825" s="88"/>
      <c r="D825" s="92"/>
      <c r="E825" s="89"/>
      <c r="F825" s="89"/>
      <c r="G825" s="89"/>
    </row>
    <row r="826">
      <c r="A826" s="93"/>
      <c r="B826" s="87" t="s">
        <v>779</v>
      </c>
      <c r="C826" s="88"/>
      <c r="D826" s="92"/>
      <c r="E826" s="89"/>
      <c r="F826" s="89"/>
      <c r="G826" s="89"/>
    </row>
    <row r="827">
      <c r="A827" s="93"/>
      <c r="B827" s="87" t="s">
        <v>779</v>
      </c>
      <c r="C827" s="88"/>
      <c r="D827" s="92"/>
      <c r="E827" s="89"/>
      <c r="F827" s="89"/>
      <c r="G827" s="89"/>
    </row>
    <row r="828">
      <c r="A828" s="93"/>
      <c r="B828" s="87" t="s">
        <v>779</v>
      </c>
      <c r="C828" s="88"/>
      <c r="D828" s="92"/>
      <c r="E828" s="89"/>
      <c r="F828" s="89"/>
      <c r="G828" s="89"/>
    </row>
    <row r="829">
      <c r="A829" s="93"/>
      <c r="B829" s="87" t="s">
        <v>779</v>
      </c>
      <c r="C829" s="88"/>
      <c r="D829" s="92"/>
      <c r="E829" s="89"/>
      <c r="F829" s="89"/>
      <c r="G829" s="89"/>
    </row>
    <row r="830">
      <c r="A830" s="93"/>
      <c r="B830" s="87" t="s">
        <v>779</v>
      </c>
      <c r="C830" s="88"/>
      <c r="D830" s="92"/>
      <c r="E830" s="89"/>
      <c r="F830" s="89"/>
      <c r="G830" s="89"/>
    </row>
    <row r="831">
      <c r="A831" s="93"/>
      <c r="B831" s="87" t="s">
        <v>779</v>
      </c>
      <c r="C831" s="88"/>
      <c r="D831" s="92"/>
      <c r="E831" s="89"/>
      <c r="F831" s="89"/>
      <c r="G831" s="89"/>
    </row>
    <row r="832">
      <c r="A832" s="93"/>
      <c r="B832" s="87" t="s">
        <v>779</v>
      </c>
      <c r="C832" s="88"/>
      <c r="D832" s="92"/>
      <c r="E832" s="89"/>
      <c r="F832" s="89"/>
      <c r="G832" s="89"/>
    </row>
    <row r="833">
      <c r="A833" s="93"/>
      <c r="B833" s="87" t="s">
        <v>779</v>
      </c>
      <c r="C833" s="88"/>
      <c r="D833" s="92"/>
      <c r="E833" s="89"/>
      <c r="F833" s="89"/>
      <c r="G833" s="89"/>
    </row>
    <row r="834">
      <c r="A834" s="93"/>
      <c r="B834" s="87" t="s">
        <v>779</v>
      </c>
      <c r="C834" s="88"/>
      <c r="D834" s="92"/>
      <c r="E834" s="89"/>
      <c r="F834" s="89"/>
      <c r="G834" s="89"/>
    </row>
    <row r="835">
      <c r="A835" s="93"/>
      <c r="B835" s="87" t="s">
        <v>779</v>
      </c>
      <c r="C835" s="88"/>
      <c r="D835" s="92"/>
      <c r="E835" s="89"/>
      <c r="F835" s="89"/>
      <c r="G835" s="89"/>
    </row>
    <row r="836">
      <c r="A836" s="93"/>
      <c r="B836" s="87" t="s">
        <v>779</v>
      </c>
      <c r="C836" s="88"/>
      <c r="D836" s="92"/>
      <c r="E836" s="89"/>
      <c r="F836" s="89"/>
      <c r="G836" s="89"/>
    </row>
    <row r="837">
      <c r="A837" s="93"/>
      <c r="B837" s="87" t="s">
        <v>779</v>
      </c>
      <c r="C837" s="88"/>
      <c r="D837" s="92"/>
      <c r="E837" s="89"/>
      <c r="F837" s="89"/>
      <c r="G837" s="89"/>
    </row>
    <row r="838">
      <c r="A838" s="93"/>
      <c r="B838" s="87" t="s">
        <v>779</v>
      </c>
      <c r="C838" s="88"/>
      <c r="D838" s="92"/>
      <c r="E838" s="89"/>
      <c r="F838" s="89"/>
      <c r="G838" s="89"/>
    </row>
    <row r="839">
      <c r="A839" s="93"/>
      <c r="B839" s="87" t="s">
        <v>779</v>
      </c>
      <c r="C839" s="88"/>
      <c r="D839" s="92"/>
      <c r="E839" s="89"/>
      <c r="F839" s="89"/>
      <c r="G839" s="89"/>
    </row>
    <row r="840">
      <c r="A840" s="93"/>
      <c r="B840" s="87" t="s">
        <v>779</v>
      </c>
      <c r="C840" s="88"/>
      <c r="D840" s="92"/>
      <c r="E840" s="89"/>
      <c r="F840" s="89"/>
      <c r="G840" s="89"/>
    </row>
    <row r="841">
      <c r="A841" s="93"/>
      <c r="B841" s="87" t="s">
        <v>779</v>
      </c>
      <c r="C841" s="88"/>
      <c r="D841" s="92"/>
      <c r="E841" s="89"/>
      <c r="F841" s="89"/>
      <c r="G841" s="89"/>
    </row>
    <row r="842">
      <c r="A842" s="93"/>
      <c r="B842" s="87" t="s">
        <v>779</v>
      </c>
      <c r="C842" s="88"/>
      <c r="D842" s="92"/>
      <c r="E842" s="89"/>
      <c r="F842" s="89"/>
      <c r="G842" s="89"/>
    </row>
    <row r="843">
      <c r="A843" s="93"/>
      <c r="B843" s="87" t="s">
        <v>779</v>
      </c>
      <c r="C843" s="88"/>
      <c r="D843" s="92"/>
      <c r="E843" s="89"/>
      <c r="F843" s="89"/>
      <c r="G843" s="89"/>
    </row>
    <row r="844">
      <c r="A844" s="93"/>
      <c r="B844" s="87" t="s">
        <v>779</v>
      </c>
      <c r="C844" s="88"/>
      <c r="D844" s="92"/>
      <c r="E844" s="89"/>
      <c r="F844" s="89"/>
      <c r="G844" s="89"/>
    </row>
    <row r="845">
      <c r="A845" s="93"/>
      <c r="B845" s="87" t="s">
        <v>779</v>
      </c>
      <c r="C845" s="88"/>
      <c r="D845" s="92"/>
      <c r="E845" s="89"/>
      <c r="F845" s="89"/>
      <c r="G845" s="89"/>
    </row>
    <row r="846">
      <c r="A846" s="93"/>
      <c r="B846" s="87" t="s">
        <v>779</v>
      </c>
      <c r="C846" s="88"/>
      <c r="D846" s="92"/>
      <c r="E846" s="89"/>
      <c r="F846" s="89"/>
      <c r="G846" s="89"/>
    </row>
    <row r="847">
      <c r="A847" s="93"/>
      <c r="B847" s="87" t="s">
        <v>779</v>
      </c>
      <c r="C847" s="88"/>
      <c r="D847" s="92"/>
      <c r="E847" s="89"/>
      <c r="F847" s="89"/>
      <c r="G847" s="89"/>
    </row>
    <row r="848">
      <c r="A848" s="93"/>
      <c r="B848" s="87" t="s">
        <v>779</v>
      </c>
      <c r="C848" s="88"/>
      <c r="D848" s="92"/>
      <c r="E848" s="89"/>
      <c r="F848" s="89"/>
      <c r="G848" s="89"/>
    </row>
    <row r="849">
      <c r="A849" s="93"/>
      <c r="B849" s="87" t="s">
        <v>779</v>
      </c>
      <c r="C849" s="88"/>
      <c r="D849" s="92"/>
      <c r="E849" s="89"/>
      <c r="F849" s="89"/>
      <c r="G849" s="89"/>
    </row>
    <row r="850">
      <c r="A850" s="93"/>
      <c r="B850" s="87" t="s">
        <v>779</v>
      </c>
      <c r="C850" s="88"/>
      <c r="D850" s="92"/>
      <c r="E850" s="89"/>
      <c r="F850" s="89"/>
      <c r="G850" s="89"/>
    </row>
    <row r="851">
      <c r="A851" s="93"/>
      <c r="B851" s="87" t="s">
        <v>779</v>
      </c>
      <c r="C851" s="88"/>
      <c r="D851" s="92"/>
      <c r="E851" s="89"/>
      <c r="F851" s="89"/>
      <c r="G851" s="89"/>
    </row>
    <row r="852">
      <c r="A852" s="93"/>
      <c r="B852" s="87" t="s">
        <v>779</v>
      </c>
      <c r="C852" s="88"/>
      <c r="D852" s="92"/>
      <c r="E852" s="89"/>
      <c r="F852" s="89"/>
      <c r="G852" s="89"/>
    </row>
    <row r="853">
      <c r="A853" s="93"/>
      <c r="B853" s="87" t="s">
        <v>779</v>
      </c>
      <c r="C853" s="88"/>
      <c r="D853" s="92"/>
      <c r="E853" s="89"/>
      <c r="F853" s="89"/>
      <c r="G853" s="89"/>
    </row>
    <row r="854">
      <c r="A854" s="93"/>
      <c r="B854" s="87" t="s">
        <v>779</v>
      </c>
      <c r="C854" s="88"/>
      <c r="D854" s="92"/>
      <c r="E854" s="89"/>
      <c r="F854" s="89"/>
      <c r="G854" s="89"/>
    </row>
    <row r="855">
      <c r="A855" s="93"/>
      <c r="B855" s="87" t="s">
        <v>779</v>
      </c>
      <c r="C855" s="88"/>
      <c r="D855" s="92"/>
      <c r="E855" s="89"/>
      <c r="F855" s="89"/>
      <c r="G855" s="89"/>
    </row>
    <row r="856">
      <c r="A856" s="93"/>
      <c r="B856" s="87" t="s">
        <v>779</v>
      </c>
      <c r="C856" s="88"/>
      <c r="D856" s="92"/>
      <c r="E856" s="89"/>
      <c r="F856" s="89"/>
      <c r="G856" s="89"/>
    </row>
    <row r="857">
      <c r="A857" s="93"/>
      <c r="B857" s="87" t="s">
        <v>779</v>
      </c>
      <c r="C857" s="88"/>
      <c r="D857" s="92"/>
      <c r="E857" s="89"/>
      <c r="F857" s="89"/>
      <c r="G857" s="89"/>
    </row>
    <row r="858">
      <c r="A858" s="93"/>
      <c r="B858" s="87" t="s">
        <v>779</v>
      </c>
      <c r="C858" s="88"/>
      <c r="D858" s="92"/>
      <c r="E858" s="89"/>
      <c r="F858" s="89"/>
      <c r="G858" s="89"/>
    </row>
    <row r="859">
      <c r="A859" s="93"/>
      <c r="B859" s="87" t="s">
        <v>779</v>
      </c>
      <c r="C859" s="88"/>
      <c r="D859" s="92"/>
      <c r="E859" s="89"/>
      <c r="F859" s="89"/>
      <c r="G859" s="89"/>
    </row>
    <row r="860">
      <c r="A860" s="93"/>
      <c r="B860" s="87" t="s">
        <v>779</v>
      </c>
      <c r="C860" s="88"/>
      <c r="D860" s="92"/>
      <c r="E860" s="89"/>
      <c r="F860" s="89"/>
      <c r="G860" s="89"/>
    </row>
    <row r="861">
      <c r="A861" s="93"/>
      <c r="B861" s="87" t="s">
        <v>779</v>
      </c>
      <c r="C861" s="88"/>
      <c r="D861" s="92"/>
      <c r="E861" s="89"/>
      <c r="F861" s="89"/>
      <c r="G861" s="89"/>
    </row>
    <row r="862">
      <c r="A862" s="93"/>
      <c r="B862" s="87" t="s">
        <v>779</v>
      </c>
      <c r="C862" s="88"/>
      <c r="D862" s="92"/>
      <c r="E862" s="89"/>
      <c r="F862" s="89"/>
      <c r="G862" s="89"/>
    </row>
    <row r="863">
      <c r="A863" s="93"/>
      <c r="B863" s="87" t="s">
        <v>779</v>
      </c>
      <c r="C863" s="88"/>
      <c r="D863" s="92"/>
      <c r="E863" s="89"/>
      <c r="F863" s="89"/>
      <c r="G863" s="89"/>
    </row>
    <row r="864">
      <c r="A864" s="93"/>
      <c r="B864" s="87" t="s">
        <v>779</v>
      </c>
      <c r="C864" s="88"/>
      <c r="D864" s="92"/>
      <c r="E864" s="89"/>
      <c r="F864" s="89"/>
      <c r="G864" s="89"/>
    </row>
    <row r="865">
      <c r="A865" s="93"/>
      <c r="B865" s="87" t="s">
        <v>779</v>
      </c>
      <c r="C865" s="88"/>
      <c r="D865" s="92"/>
      <c r="E865" s="89"/>
      <c r="F865" s="89"/>
      <c r="G865" s="89"/>
    </row>
    <row r="866">
      <c r="A866" s="93"/>
      <c r="B866" s="87" t="s">
        <v>779</v>
      </c>
      <c r="C866" s="88"/>
      <c r="D866" s="92"/>
      <c r="E866" s="89"/>
      <c r="F866" s="89"/>
      <c r="G866" s="89"/>
    </row>
    <row r="867">
      <c r="A867" s="93"/>
      <c r="B867" s="87" t="s">
        <v>779</v>
      </c>
      <c r="C867" s="88"/>
      <c r="D867" s="92"/>
      <c r="E867" s="89"/>
      <c r="F867" s="89"/>
      <c r="G867" s="89"/>
    </row>
    <row r="868">
      <c r="A868" s="93"/>
      <c r="B868" s="87" t="s">
        <v>779</v>
      </c>
      <c r="C868" s="88"/>
      <c r="D868" s="92"/>
      <c r="E868" s="89"/>
      <c r="F868" s="89"/>
      <c r="G868" s="89"/>
    </row>
    <row r="869">
      <c r="A869" s="93"/>
      <c r="B869" s="87" t="s">
        <v>779</v>
      </c>
      <c r="C869" s="88"/>
      <c r="D869" s="92"/>
      <c r="E869" s="89"/>
      <c r="F869" s="89"/>
      <c r="G869" s="89"/>
    </row>
    <row r="870">
      <c r="A870" s="93"/>
      <c r="B870" s="87" t="s">
        <v>779</v>
      </c>
      <c r="C870" s="88"/>
      <c r="D870" s="92"/>
      <c r="E870" s="89"/>
      <c r="F870" s="89"/>
      <c r="G870" s="89"/>
    </row>
    <row r="871">
      <c r="A871" s="93"/>
      <c r="B871" s="87" t="s">
        <v>779</v>
      </c>
      <c r="C871" s="88"/>
      <c r="D871" s="92"/>
      <c r="E871" s="89"/>
      <c r="F871" s="89"/>
      <c r="G871" s="89"/>
    </row>
    <row r="872">
      <c r="A872" s="93"/>
      <c r="B872" s="87" t="s">
        <v>779</v>
      </c>
      <c r="C872" s="88"/>
      <c r="D872" s="92"/>
      <c r="E872" s="89"/>
      <c r="F872" s="89"/>
      <c r="G872" s="89"/>
    </row>
    <row r="873">
      <c r="A873" s="93"/>
      <c r="B873" s="87" t="s">
        <v>779</v>
      </c>
      <c r="C873" s="88"/>
      <c r="D873" s="92"/>
      <c r="E873" s="89"/>
      <c r="F873" s="89"/>
      <c r="G873" s="89"/>
    </row>
    <row r="874">
      <c r="A874" s="93"/>
      <c r="B874" s="87" t="s">
        <v>779</v>
      </c>
      <c r="C874" s="88"/>
      <c r="D874" s="92"/>
      <c r="E874" s="89"/>
      <c r="F874" s="89"/>
      <c r="G874" s="89"/>
    </row>
    <row r="875">
      <c r="A875" s="93"/>
      <c r="B875" s="87" t="s">
        <v>779</v>
      </c>
      <c r="C875" s="88"/>
      <c r="D875" s="92"/>
      <c r="E875" s="89"/>
      <c r="F875" s="89"/>
      <c r="G875" s="89"/>
    </row>
    <row r="876">
      <c r="A876" s="93"/>
      <c r="B876" s="87" t="s">
        <v>779</v>
      </c>
      <c r="C876" s="88"/>
      <c r="D876" s="92"/>
      <c r="E876" s="89"/>
      <c r="F876" s="89"/>
      <c r="G876" s="89"/>
    </row>
    <row r="877">
      <c r="A877" s="93"/>
      <c r="B877" s="87" t="s">
        <v>779</v>
      </c>
      <c r="C877" s="88"/>
      <c r="D877" s="92"/>
      <c r="E877" s="89"/>
      <c r="F877" s="89"/>
      <c r="G877" s="89"/>
    </row>
    <row r="878">
      <c r="A878" s="93"/>
      <c r="B878" s="87" t="s">
        <v>779</v>
      </c>
      <c r="C878" s="88"/>
      <c r="D878" s="92"/>
      <c r="E878" s="89"/>
      <c r="F878" s="89"/>
      <c r="G878" s="89"/>
    </row>
    <row r="879">
      <c r="A879" s="93"/>
      <c r="B879" s="87" t="s">
        <v>779</v>
      </c>
      <c r="C879" s="88"/>
      <c r="D879" s="92"/>
      <c r="E879" s="89"/>
      <c r="F879" s="89"/>
      <c r="G879" s="89"/>
    </row>
    <row r="880">
      <c r="A880" s="93"/>
      <c r="B880" s="87" t="s">
        <v>779</v>
      </c>
      <c r="C880" s="88"/>
      <c r="D880" s="92"/>
      <c r="E880" s="89"/>
      <c r="F880" s="89"/>
      <c r="G880" s="89"/>
    </row>
    <row r="881">
      <c r="A881" s="93"/>
      <c r="B881" s="87" t="s">
        <v>779</v>
      </c>
      <c r="C881" s="88"/>
      <c r="D881" s="92"/>
      <c r="E881" s="89"/>
      <c r="F881" s="89"/>
      <c r="G881" s="89"/>
    </row>
    <row r="882">
      <c r="A882" s="93"/>
      <c r="B882" s="87" t="s">
        <v>779</v>
      </c>
      <c r="C882" s="88"/>
      <c r="D882" s="92"/>
      <c r="E882" s="89"/>
      <c r="F882" s="89"/>
      <c r="G882" s="89"/>
    </row>
    <row r="883">
      <c r="A883" s="93"/>
      <c r="B883" s="87" t="s">
        <v>779</v>
      </c>
      <c r="C883" s="88"/>
      <c r="D883" s="92"/>
      <c r="E883" s="89"/>
      <c r="F883" s="89"/>
      <c r="G883" s="89"/>
    </row>
    <row r="884">
      <c r="A884" s="93"/>
      <c r="B884" s="87" t="s">
        <v>779</v>
      </c>
      <c r="C884" s="88"/>
      <c r="D884" s="92"/>
      <c r="E884" s="89"/>
      <c r="F884" s="89"/>
      <c r="G884" s="89"/>
    </row>
    <row r="885">
      <c r="A885" s="93"/>
      <c r="B885" s="87" t="s">
        <v>779</v>
      </c>
      <c r="C885" s="88"/>
      <c r="D885" s="92"/>
      <c r="E885" s="89"/>
      <c r="F885" s="89"/>
      <c r="G885" s="89"/>
    </row>
    <row r="886">
      <c r="A886" s="93"/>
      <c r="B886" s="87" t="s">
        <v>779</v>
      </c>
      <c r="C886" s="88"/>
      <c r="D886" s="92"/>
      <c r="E886" s="89"/>
      <c r="F886" s="89"/>
      <c r="G886" s="89"/>
    </row>
    <row r="887">
      <c r="A887" s="93"/>
      <c r="B887" s="87" t="s">
        <v>779</v>
      </c>
      <c r="C887" s="88"/>
      <c r="D887" s="92"/>
      <c r="E887" s="89"/>
      <c r="F887" s="89"/>
      <c r="G887" s="89"/>
    </row>
    <row r="888">
      <c r="A888" s="93"/>
      <c r="B888" s="87" t="s">
        <v>779</v>
      </c>
      <c r="C888" s="88"/>
      <c r="D888" s="92"/>
      <c r="E888" s="89"/>
      <c r="F888" s="89"/>
      <c r="G888" s="89"/>
    </row>
    <row r="889">
      <c r="A889" s="93"/>
      <c r="B889" s="87" t="s">
        <v>779</v>
      </c>
      <c r="C889" s="88"/>
      <c r="D889" s="92"/>
      <c r="E889" s="89"/>
      <c r="F889" s="89"/>
      <c r="G889" s="89"/>
    </row>
    <row r="890">
      <c r="A890" s="93"/>
      <c r="B890" s="87" t="s">
        <v>779</v>
      </c>
      <c r="C890" s="88"/>
      <c r="D890" s="92"/>
      <c r="E890" s="89"/>
      <c r="F890" s="89"/>
      <c r="G890" s="89"/>
    </row>
    <row r="891">
      <c r="A891" s="93"/>
      <c r="B891" s="87" t="s">
        <v>779</v>
      </c>
      <c r="C891" s="88"/>
      <c r="D891" s="92"/>
      <c r="E891" s="89"/>
      <c r="F891" s="89"/>
      <c r="G891" s="89"/>
    </row>
    <row r="892">
      <c r="A892" s="93"/>
      <c r="B892" s="87" t="s">
        <v>779</v>
      </c>
      <c r="C892" s="88"/>
      <c r="D892" s="92"/>
      <c r="E892" s="89"/>
      <c r="F892" s="89"/>
      <c r="G892" s="89"/>
    </row>
    <row r="893">
      <c r="A893" s="93"/>
      <c r="B893" s="87" t="s">
        <v>779</v>
      </c>
      <c r="C893" s="88"/>
      <c r="D893" s="92"/>
      <c r="E893" s="89"/>
      <c r="F893" s="89"/>
      <c r="G893" s="89"/>
    </row>
    <row r="894">
      <c r="A894" s="93"/>
      <c r="B894" s="87" t="s">
        <v>779</v>
      </c>
      <c r="C894" s="88"/>
      <c r="D894" s="92"/>
      <c r="E894" s="89"/>
      <c r="F894" s="89"/>
      <c r="G894" s="89"/>
    </row>
    <row r="895">
      <c r="A895" s="93"/>
      <c r="B895" s="87" t="s">
        <v>779</v>
      </c>
      <c r="C895" s="88"/>
      <c r="D895" s="92"/>
      <c r="E895" s="89"/>
      <c r="F895" s="89"/>
      <c r="G895" s="89"/>
    </row>
    <row r="896">
      <c r="A896" s="93"/>
      <c r="B896" s="87" t="s">
        <v>779</v>
      </c>
      <c r="C896" s="88"/>
      <c r="D896" s="92"/>
      <c r="E896" s="89"/>
      <c r="F896" s="89"/>
      <c r="G896" s="89"/>
    </row>
    <row r="897">
      <c r="A897" s="93"/>
      <c r="B897" s="87" t="s">
        <v>779</v>
      </c>
      <c r="C897" s="88"/>
      <c r="D897" s="92"/>
      <c r="E897" s="89"/>
      <c r="F897" s="89"/>
      <c r="G897" s="89"/>
    </row>
    <row r="898">
      <c r="A898" s="93"/>
      <c r="B898" s="87" t="s">
        <v>779</v>
      </c>
      <c r="C898" s="88"/>
      <c r="D898" s="92"/>
      <c r="E898" s="89"/>
      <c r="F898" s="89"/>
      <c r="G898" s="89"/>
    </row>
    <row r="899">
      <c r="A899" s="93"/>
      <c r="B899" s="87" t="s">
        <v>779</v>
      </c>
      <c r="C899" s="88"/>
      <c r="D899" s="92"/>
      <c r="E899" s="89"/>
      <c r="F899" s="89"/>
      <c r="G899" s="89"/>
    </row>
    <row r="900">
      <c r="A900" s="93"/>
      <c r="B900" s="87" t="s">
        <v>779</v>
      </c>
      <c r="C900" s="88"/>
      <c r="D900" s="92"/>
      <c r="E900" s="89"/>
      <c r="F900" s="89"/>
      <c r="G900" s="89"/>
    </row>
    <row r="901">
      <c r="A901" s="93"/>
      <c r="B901" s="87" t="s">
        <v>779</v>
      </c>
      <c r="C901" s="88"/>
      <c r="D901" s="92"/>
      <c r="E901" s="89"/>
      <c r="F901" s="89"/>
      <c r="G901" s="89"/>
    </row>
    <row r="902">
      <c r="A902" s="93"/>
      <c r="B902" s="87" t="s">
        <v>779</v>
      </c>
      <c r="C902" s="88"/>
      <c r="D902" s="92"/>
      <c r="E902" s="89"/>
      <c r="F902" s="89"/>
      <c r="G902" s="89"/>
    </row>
    <row r="903">
      <c r="A903" s="93"/>
      <c r="B903" s="87" t="s">
        <v>779</v>
      </c>
      <c r="C903" s="88"/>
      <c r="D903" s="92"/>
      <c r="E903" s="89"/>
      <c r="F903" s="89"/>
      <c r="G903" s="89"/>
    </row>
    <row r="904">
      <c r="A904" s="93"/>
      <c r="B904" s="87" t="s">
        <v>779</v>
      </c>
      <c r="C904" s="88"/>
      <c r="D904" s="92"/>
      <c r="E904" s="89"/>
      <c r="F904" s="89"/>
      <c r="G904" s="89"/>
    </row>
    <row r="905">
      <c r="A905" s="93"/>
      <c r="B905" s="87" t="s">
        <v>779</v>
      </c>
      <c r="C905" s="88"/>
      <c r="D905" s="92"/>
      <c r="E905" s="89"/>
      <c r="F905" s="89"/>
      <c r="G905" s="89"/>
    </row>
    <row r="906">
      <c r="A906" s="93"/>
      <c r="B906" s="87" t="s">
        <v>779</v>
      </c>
      <c r="C906" s="88"/>
      <c r="D906" s="92"/>
      <c r="E906" s="89"/>
      <c r="F906" s="89"/>
      <c r="G906" s="89"/>
    </row>
    <row r="907">
      <c r="A907" s="93"/>
      <c r="B907" s="87" t="s">
        <v>779</v>
      </c>
      <c r="C907" s="88"/>
      <c r="D907" s="92"/>
      <c r="E907" s="89"/>
      <c r="F907" s="89"/>
      <c r="G907" s="89"/>
    </row>
    <row r="908">
      <c r="A908" s="93"/>
      <c r="B908" s="87" t="s">
        <v>779</v>
      </c>
      <c r="C908" s="88"/>
      <c r="D908" s="92"/>
      <c r="E908" s="89"/>
      <c r="F908" s="89"/>
      <c r="G908" s="89"/>
    </row>
    <row r="909">
      <c r="A909" s="93"/>
      <c r="B909" s="87" t="s">
        <v>779</v>
      </c>
      <c r="C909" s="88"/>
      <c r="D909" s="92"/>
      <c r="E909" s="89"/>
      <c r="F909" s="89"/>
      <c r="G909" s="89"/>
    </row>
    <row r="910">
      <c r="A910" s="93"/>
      <c r="B910" s="87" t="s">
        <v>779</v>
      </c>
      <c r="C910" s="88"/>
      <c r="D910" s="92"/>
      <c r="E910" s="89"/>
      <c r="F910" s="89"/>
      <c r="G910" s="89"/>
    </row>
    <row r="911">
      <c r="A911" s="93"/>
      <c r="B911" s="87" t="s">
        <v>779</v>
      </c>
      <c r="C911" s="88"/>
      <c r="D911" s="92"/>
      <c r="E911" s="89"/>
      <c r="F911" s="89"/>
      <c r="G911" s="89"/>
    </row>
    <row r="912">
      <c r="A912" s="93"/>
      <c r="B912" s="87" t="s">
        <v>779</v>
      </c>
      <c r="C912" s="88"/>
      <c r="D912" s="92"/>
      <c r="E912" s="89"/>
      <c r="F912" s="89"/>
      <c r="G912" s="89"/>
    </row>
    <row r="913">
      <c r="A913" s="93"/>
      <c r="B913" s="87" t="s">
        <v>779</v>
      </c>
      <c r="C913" s="88"/>
      <c r="D913" s="92"/>
      <c r="E913" s="89"/>
      <c r="F913" s="89"/>
      <c r="G913" s="89"/>
    </row>
    <row r="914">
      <c r="A914" s="93"/>
      <c r="B914" s="87" t="s">
        <v>779</v>
      </c>
      <c r="C914" s="88"/>
      <c r="D914" s="92"/>
      <c r="E914" s="89"/>
      <c r="F914" s="89"/>
      <c r="G914" s="89"/>
    </row>
    <row r="915">
      <c r="A915" s="93"/>
      <c r="B915" s="87" t="s">
        <v>779</v>
      </c>
      <c r="C915" s="88"/>
      <c r="D915" s="92"/>
      <c r="E915" s="89"/>
      <c r="F915" s="89"/>
      <c r="G915" s="89"/>
    </row>
    <row r="916">
      <c r="A916" s="93"/>
      <c r="B916" s="87" t="s">
        <v>779</v>
      </c>
      <c r="C916" s="88"/>
      <c r="D916" s="92"/>
      <c r="E916" s="89"/>
      <c r="F916" s="89"/>
      <c r="G916" s="89"/>
    </row>
    <row r="917">
      <c r="A917" s="93"/>
      <c r="B917" s="87" t="s">
        <v>779</v>
      </c>
      <c r="C917" s="88"/>
      <c r="D917" s="92"/>
      <c r="E917" s="89"/>
      <c r="F917" s="89"/>
      <c r="G917" s="89"/>
    </row>
    <row r="918">
      <c r="A918" s="93"/>
      <c r="B918" s="87" t="s">
        <v>779</v>
      </c>
      <c r="C918" s="88"/>
      <c r="D918" s="92"/>
      <c r="E918" s="89"/>
      <c r="F918" s="89"/>
      <c r="G918" s="89"/>
    </row>
    <row r="919">
      <c r="A919" s="93"/>
      <c r="B919" s="87" t="s">
        <v>779</v>
      </c>
      <c r="C919" s="88"/>
      <c r="D919" s="92"/>
      <c r="E919" s="89"/>
      <c r="F919" s="89"/>
      <c r="G919" s="89"/>
    </row>
    <row r="920">
      <c r="A920" s="93"/>
      <c r="B920" s="87" t="s">
        <v>779</v>
      </c>
      <c r="C920" s="88"/>
      <c r="D920" s="92"/>
      <c r="E920" s="89"/>
      <c r="F920" s="89"/>
      <c r="G920" s="89"/>
    </row>
    <row r="921">
      <c r="A921" s="93"/>
      <c r="B921" s="87" t="s">
        <v>779</v>
      </c>
      <c r="C921" s="88"/>
      <c r="D921" s="92"/>
      <c r="E921" s="89"/>
      <c r="F921" s="89"/>
      <c r="G921" s="89"/>
    </row>
    <row r="922">
      <c r="A922" s="93"/>
      <c r="B922" s="87" t="s">
        <v>779</v>
      </c>
      <c r="C922" s="88"/>
      <c r="D922" s="92"/>
      <c r="E922" s="89"/>
      <c r="F922" s="89"/>
      <c r="G922" s="89"/>
    </row>
    <row r="923">
      <c r="A923" s="93"/>
      <c r="B923" s="87" t="s">
        <v>779</v>
      </c>
      <c r="C923" s="88"/>
      <c r="D923" s="92"/>
      <c r="E923" s="89"/>
      <c r="F923" s="89"/>
      <c r="G923" s="89"/>
    </row>
    <row r="924">
      <c r="A924" s="93"/>
      <c r="B924" s="87" t="s">
        <v>779</v>
      </c>
      <c r="C924" s="88"/>
      <c r="D924" s="92"/>
      <c r="E924" s="89"/>
      <c r="F924" s="89"/>
      <c r="G924" s="89"/>
    </row>
    <row r="925">
      <c r="A925" s="93"/>
      <c r="B925" s="87" t="s">
        <v>779</v>
      </c>
      <c r="C925" s="88"/>
      <c r="D925" s="92"/>
      <c r="E925" s="89"/>
      <c r="F925" s="89"/>
      <c r="G925" s="89"/>
    </row>
    <row r="926">
      <c r="A926" s="93"/>
      <c r="B926" s="87" t="s">
        <v>779</v>
      </c>
      <c r="C926" s="88"/>
      <c r="D926" s="92"/>
      <c r="E926" s="89"/>
      <c r="F926" s="89"/>
      <c r="G926" s="89"/>
    </row>
    <row r="927">
      <c r="A927" s="93"/>
      <c r="B927" s="87" t="s">
        <v>779</v>
      </c>
      <c r="C927" s="88"/>
      <c r="D927" s="92"/>
      <c r="E927" s="89"/>
      <c r="F927" s="89"/>
      <c r="G927" s="89"/>
    </row>
    <row r="928">
      <c r="A928" s="93"/>
      <c r="B928" s="87" t="s">
        <v>779</v>
      </c>
      <c r="C928" s="88"/>
      <c r="D928" s="92"/>
      <c r="E928" s="89"/>
      <c r="F928" s="89"/>
      <c r="G928" s="89"/>
    </row>
    <row r="929">
      <c r="A929" s="93"/>
      <c r="B929" s="87" t="s">
        <v>779</v>
      </c>
      <c r="C929" s="88"/>
      <c r="D929" s="92"/>
      <c r="E929" s="89"/>
      <c r="F929" s="89"/>
      <c r="G929" s="89"/>
    </row>
    <row r="930">
      <c r="A930" s="93"/>
      <c r="B930" s="87" t="s">
        <v>779</v>
      </c>
      <c r="C930" s="88"/>
      <c r="D930" s="92"/>
      <c r="E930" s="89"/>
      <c r="F930" s="89"/>
      <c r="G930" s="89"/>
    </row>
    <row r="931">
      <c r="A931" s="93"/>
      <c r="B931" s="87" t="s">
        <v>779</v>
      </c>
      <c r="C931" s="88"/>
      <c r="D931" s="92"/>
      <c r="E931" s="89"/>
      <c r="F931" s="89"/>
      <c r="G931" s="89"/>
    </row>
    <row r="932">
      <c r="A932" s="93"/>
      <c r="B932" s="87" t="s">
        <v>779</v>
      </c>
      <c r="C932" s="88"/>
      <c r="D932" s="92"/>
      <c r="E932" s="89"/>
      <c r="F932" s="89"/>
      <c r="G932" s="89"/>
    </row>
    <row r="933">
      <c r="A933" s="93"/>
      <c r="B933" s="87" t="s">
        <v>779</v>
      </c>
      <c r="C933" s="88"/>
      <c r="D933" s="92"/>
      <c r="E933" s="89"/>
      <c r="F933" s="89"/>
      <c r="G933" s="89"/>
    </row>
    <row r="934">
      <c r="A934" s="93"/>
      <c r="B934" s="87" t="s">
        <v>779</v>
      </c>
      <c r="C934" s="88"/>
      <c r="D934" s="92"/>
      <c r="E934" s="89"/>
      <c r="F934" s="89"/>
      <c r="G934" s="89"/>
    </row>
    <row r="935">
      <c r="A935" s="93"/>
      <c r="B935" s="87" t="s">
        <v>779</v>
      </c>
      <c r="C935" s="88"/>
      <c r="D935" s="92"/>
      <c r="E935" s="89"/>
      <c r="F935" s="89"/>
      <c r="G935" s="89"/>
    </row>
    <row r="936">
      <c r="A936" s="93"/>
      <c r="B936" s="87" t="s">
        <v>779</v>
      </c>
      <c r="C936" s="88"/>
      <c r="D936" s="92"/>
      <c r="E936" s="89"/>
      <c r="F936" s="89"/>
      <c r="G936" s="89"/>
    </row>
    <row r="937">
      <c r="A937" s="93"/>
      <c r="B937" s="87" t="s">
        <v>779</v>
      </c>
      <c r="C937" s="88"/>
      <c r="D937" s="92"/>
      <c r="E937" s="89"/>
      <c r="F937" s="89"/>
      <c r="G937" s="89"/>
    </row>
    <row r="938">
      <c r="A938" s="93"/>
      <c r="B938" s="87" t="s">
        <v>779</v>
      </c>
      <c r="C938" s="88"/>
      <c r="D938" s="92"/>
      <c r="E938" s="89"/>
      <c r="F938" s="89"/>
      <c r="G938" s="89"/>
    </row>
    <row r="939">
      <c r="A939" s="93"/>
      <c r="B939" s="87" t="s">
        <v>779</v>
      </c>
      <c r="C939" s="88"/>
      <c r="D939" s="92"/>
      <c r="E939" s="89"/>
      <c r="F939" s="89"/>
      <c r="G939" s="89"/>
    </row>
    <row r="940">
      <c r="A940" s="93"/>
      <c r="B940" s="87" t="s">
        <v>779</v>
      </c>
      <c r="C940" s="88"/>
      <c r="D940" s="92"/>
      <c r="E940" s="89"/>
      <c r="F940" s="89"/>
      <c r="G940" s="89"/>
    </row>
    <row r="941">
      <c r="A941" s="93"/>
      <c r="B941" s="87" t="s">
        <v>779</v>
      </c>
      <c r="C941" s="88"/>
      <c r="D941" s="92"/>
      <c r="E941" s="89"/>
      <c r="F941" s="89"/>
      <c r="G941" s="89"/>
    </row>
    <row r="942">
      <c r="A942" s="93"/>
      <c r="B942" s="87" t="s">
        <v>779</v>
      </c>
      <c r="C942" s="88"/>
      <c r="D942" s="92"/>
      <c r="E942" s="89"/>
      <c r="F942" s="89"/>
      <c r="G942" s="89"/>
    </row>
    <row r="943">
      <c r="A943" s="93"/>
      <c r="B943" s="87" t="s">
        <v>779</v>
      </c>
      <c r="C943" s="88"/>
      <c r="D943" s="92"/>
      <c r="E943" s="89"/>
      <c r="F943" s="89"/>
      <c r="G943" s="89"/>
    </row>
    <row r="944">
      <c r="A944" s="93"/>
      <c r="B944" s="87" t="s">
        <v>779</v>
      </c>
      <c r="C944" s="88"/>
      <c r="D944" s="92"/>
      <c r="E944" s="89"/>
      <c r="F944" s="89"/>
      <c r="G944" s="89"/>
    </row>
    <row r="945">
      <c r="A945" s="93"/>
      <c r="B945" s="87" t="s">
        <v>779</v>
      </c>
      <c r="C945" s="88"/>
      <c r="D945" s="92"/>
      <c r="E945" s="89"/>
      <c r="F945" s="89"/>
      <c r="G945" s="89"/>
    </row>
    <row r="946">
      <c r="A946" s="93"/>
      <c r="B946" s="87" t="s">
        <v>779</v>
      </c>
      <c r="C946" s="88"/>
      <c r="D946" s="92"/>
      <c r="E946" s="89"/>
      <c r="F946" s="89"/>
      <c r="G946" s="89"/>
    </row>
    <row r="947">
      <c r="A947" s="93"/>
      <c r="B947" s="87" t="s">
        <v>779</v>
      </c>
      <c r="C947" s="88"/>
      <c r="D947" s="92"/>
      <c r="E947" s="89"/>
      <c r="F947" s="89"/>
      <c r="G947" s="89"/>
    </row>
    <row r="948">
      <c r="A948" s="93"/>
      <c r="B948" s="87" t="s">
        <v>779</v>
      </c>
      <c r="C948" s="88"/>
      <c r="D948" s="92"/>
      <c r="E948" s="89"/>
      <c r="F948" s="89"/>
      <c r="G948" s="89"/>
    </row>
    <row r="949">
      <c r="A949" s="93"/>
      <c r="B949" s="87" t="s">
        <v>779</v>
      </c>
      <c r="C949" s="88"/>
      <c r="D949" s="92"/>
      <c r="E949" s="89"/>
      <c r="F949" s="89"/>
      <c r="G949" s="89"/>
    </row>
    <row r="950">
      <c r="A950" s="93"/>
      <c r="B950" s="87" t="s">
        <v>779</v>
      </c>
      <c r="C950" s="88"/>
      <c r="D950" s="92"/>
      <c r="E950" s="89"/>
      <c r="F950" s="89"/>
      <c r="G950" s="89"/>
    </row>
    <row r="951">
      <c r="A951" s="93"/>
      <c r="B951" s="87" t="s">
        <v>779</v>
      </c>
      <c r="C951" s="88"/>
      <c r="D951" s="92"/>
      <c r="E951" s="89"/>
      <c r="F951" s="89"/>
      <c r="G951" s="89"/>
    </row>
    <row r="952">
      <c r="A952" s="93"/>
      <c r="B952" s="87" t="s">
        <v>779</v>
      </c>
      <c r="C952" s="88"/>
      <c r="D952" s="92"/>
      <c r="E952" s="89"/>
      <c r="F952" s="89"/>
      <c r="G952" s="89"/>
    </row>
    <row r="953">
      <c r="A953" s="93"/>
      <c r="B953" s="87" t="s">
        <v>779</v>
      </c>
      <c r="C953" s="88"/>
      <c r="D953" s="92"/>
      <c r="E953" s="89"/>
      <c r="F953" s="89"/>
      <c r="G953" s="89"/>
    </row>
    <row r="954">
      <c r="A954" s="93"/>
      <c r="B954" s="87" t="s">
        <v>779</v>
      </c>
      <c r="C954" s="88"/>
      <c r="D954" s="92"/>
      <c r="E954" s="89"/>
      <c r="F954" s="89"/>
      <c r="G954" s="89"/>
    </row>
    <row r="955">
      <c r="A955" s="93"/>
      <c r="B955" s="87" t="s">
        <v>779</v>
      </c>
      <c r="C955" s="88"/>
      <c r="D955" s="92"/>
      <c r="E955" s="89"/>
      <c r="F955" s="89"/>
      <c r="G955" s="89"/>
    </row>
    <row r="956">
      <c r="A956" s="93"/>
      <c r="B956" s="87" t="s">
        <v>779</v>
      </c>
      <c r="C956" s="88"/>
      <c r="D956" s="92"/>
      <c r="E956" s="89"/>
      <c r="F956" s="89"/>
      <c r="G956" s="89"/>
    </row>
    <row r="957">
      <c r="A957" s="93"/>
      <c r="B957" s="87" t="s">
        <v>779</v>
      </c>
      <c r="C957" s="88"/>
      <c r="D957" s="92"/>
      <c r="E957" s="89"/>
      <c r="F957" s="89"/>
      <c r="G957" s="89"/>
    </row>
    <row r="958">
      <c r="A958" s="93"/>
      <c r="B958" s="87" t="s">
        <v>779</v>
      </c>
      <c r="C958" s="88"/>
      <c r="D958" s="92"/>
      <c r="E958" s="89"/>
      <c r="F958" s="89"/>
      <c r="G958" s="89"/>
    </row>
    <row r="959">
      <c r="A959" s="93"/>
      <c r="B959" s="87" t="s">
        <v>779</v>
      </c>
      <c r="C959" s="88"/>
      <c r="D959" s="92"/>
      <c r="E959" s="89"/>
      <c r="F959" s="89"/>
      <c r="G959" s="89"/>
    </row>
    <row r="960">
      <c r="A960" s="93"/>
      <c r="B960" s="87" t="s">
        <v>779</v>
      </c>
      <c r="C960" s="88"/>
      <c r="D960" s="92"/>
      <c r="E960" s="89"/>
      <c r="F960" s="89"/>
      <c r="G960" s="89"/>
    </row>
    <row r="961">
      <c r="A961" s="93"/>
      <c r="B961" s="87" t="s">
        <v>779</v>
      </c>
      <c r="C961" s="88"/>
      <c r="D961" s="92"/>
      <c r="E961" s="89"/>
      <c r="F961" s="89"/>
      <c r="G961" s="89"/>
    </row>
    <row r="962">
      <c r="A962" s="93"/>
      <c r="B962" s="87" t="s">
        <v>779</v>
      </c>
      <c r="C962" s="88"/>
      <c r="D962" s="92"/>
      <c r="E962" s="89"/>
      <c r="F962" s="89"/>
      <c r="G962" s="89"/>
    </row>
    <row r="963">
      <c r="A963" s="93"/>
      <c r="B963" s="87" t="s">
        <v>779</v>
      </c>
      <c r="C963" s="88"/>
      <c r="D963" s="92"/>
      <c r="E963" s="89"/>
      <c r="F963" s="89"/>
      <c r="G963" s="89"/>
    </row>
    <row r="964">
      <c r="A964" s="93"/>
      <c r="B964" s="87" t="s">
        <v>779</v>
      </c>
      <c r="C964" s="88"/>
      <c r="D964" s="92"/>
      <c r="E964" s="89"/>
      <c r="F964" s="89"/>
      <c r="G964" s="89"/>
    </row>
    <row r="965">
      <c r="A965" s="93"/>
      <c r="B965" s="87" t="s">
        <v>779</v>
      </c>
      <c r="C965" s="88"/>
      <c r="D965" s="92"/>
      <c r="E965" s="89"/>
      <c r="F965" s="89"/>
      <c r="G965" s="89"/>
    </row>
    <row r="966">
      <c r="A966" s="93"/>
      <c r="B966" s="87" t="s">
        <v>779</v>
      </c>
      <c r="C966" s="88"/>
      <c r="D966" s="92"/>
      <c r="E966" s="89"/>
      <c r="F966" s="89"/>
      <c r="G966" s="89"/>
    </row>
    <row r="967">
      <c r="A967" s="93"/>
      <c r="B967" s="87" t="s">
        <v>779</v>
      </c>
      <c r="C967" s="88"/>
      <c r="D967" s="92"/>
      <c r="E967" s="89"/>
      <c r="F967" s="89"/>
      <c r="G967" s="89"/>
    </row>
    <row r="968">
      <c r="A968" s="93"/>
      <c r="B968" s="87" t="s">
        <v>779</v>
      </c>
      <c r="C968" s="88"/>
      <c r="D968" s="92"/>
      <c r="E968" s="89"/>
      <c r="F968" s="89"/>
      <c r="G968" s="89"/>
    </row>
    <row r="969">
      <c r="A969" s="93"/>
      <c r="B969" s="87" t="s">
        <v>779</v>
      </c>
      <c r="C969" s="88"/>
      <c r="D969" s="92"/>
      <c r="E969" s="89"/>
      <c r="F969" s="89"/>
      <c r="G969" s="89"/>
    </row>
    <row r="970">
      <c r="A970" s="93"/>
      <c r="B970" s="87" t="s">
        <v>779</v>
      </c>
      <c r="C970" s="88"/>
      <c r="D970" s="92"/>
      <c r="E970" s="89"/>
      <c r="F970" s="89"/>
      <c r="G970" s="89"/>
    </row>
    <row r="971">
      <c r="A971" s="93"/>
      <c r="B971" s="87" t="s">
        <v>779</v>
      </c>
      <c r="C971" s="88"/>
      <c r="D971" s="92"/>
      <c r="E971" s="89"/>
      <c r="F971" s="89"/>
      <c r="G971" s="89"/>
    </row>
    <row r="972">
      <c r="A972" s="93"/>
      <c r="B972" s="87" t="s">
        <v>779</v>
      </c>
      <c r="C972" s="88"/>
      <c r="D972" s="92"/>
      <c r="E972" s="89"/>
      <c r="F972" s="89"/>
      <c r="G972" s="89"/>
    </row>
    <row r="973">
      <c r="A973" s="93"/>
      <c r="B973" s="87" t="s">
        <v>779</v>
      </c>
      <c r="C973" s="88"/>
      <c r="D973" s="92"/>
      <c r="E973" s="89"/>
      <c r="F973" s="89"/>
      <c r="G973" s="89"/>
    </row>
    <row r="974">
      <c r="A974" s="93"/>
      <c r="B974" s="87" t="s">
        <v>779</v>
      </c>
      <c r="C974" s="88"/>
      <c r="D974" s="92"/>
      <c r="E974" s="89"/>
      <c r="F974" s="89"/>
      <c r="G974" s="89"/>
    </row>
    <row r="975">
      <c r="A975" s="93"/>
      <c r="B975" s="87" t="s">
        <v>779</v>
      </c>
      <c r="C975" s="88"/>
      <c r="D975" s="92"/>
      <c r="E975" s="89"/>
      <c r="F975" s="89"/>
      <c r="G975" s="89"/>
    </row>
    <row r="976">
      <c r="A976" s="93"/>
      <c r="B976" s="87" t="s">
        <v>779</v>
      </c>
      <c r="C976" s="88"/>
      <c r="D976" s="92"/>
      <c r="E976" s="89"/>
      <c r="F976" s="89"/>
      <c r="G976" s="89"/>
    </row>
    <row r="977">
      <c r="A977" s="93"/>
      <c r="B977" s="87" t="s">
        <v>779</v>
      </c>
      <c r="C977" s="88"/>
      <c r="D977" s="92"/>
      <c r="E977" s="89"/>
      <c r="F977" s="89"/>
      <c r="G977" s="89"/>
    </row>
    <row r="978">
      <c r="A978" s="93"/>
      <c r="B978" s="87" t="s">
        <v>779</v>
      </c>
      <c r="C978" s="88"/>
      <c r="D978" s="92"/>
      <c r="E978" s="89"/>
      <c r="F978" s="89"/>
      <c r="G978" s="89"/>
    </row>
    <row r="979">
      <c r="A979" s="93"/>
      <c r="B979" s="87" t="s">
        <v>779</v>
      </c>
      <c r="C979" s="88"/>
      <c r="D979" s="92"/>
      <c r="E979" s="89"/>
      <c r="F979" s="89"/>
      <c r="G979" s="89"/>
    </row>
    <row r="980">
      <c r="A980" s="93"/>
      <c r="B980" s="87" t="s">
        <v>779</v>
      </c>
      <c r="C980" s="88"/>
      <c r="D980" s="92"/>
      <c r="E980" s="89"/>
      <c r="F980" s="89"/>
      <c r="G980" s="89"/>
    </row>
    <row r="981">
      <c r="A981" s="93"/>
      <c r="B981" s="87" t="s">
        <v>779</v>
      </c>
      <c r="C981" s="88"/>
      <c r="D981" s="92"/>
      <c r="E981" s="89"/>
      <c r="F981" s="89"/>
      <c r="G981" s="89"/>
    </row>
    <row r="982">
      <c r="A982" s="93"/>
      <c r="B982" s="87" t="s">
        <v>779</v>
      </c>
      <c r="C982" s="88"/>
      <c r="D982" s="92"/>
      <c r="E982" s="89"/>
      <c r="F982" s="89"/>
      <c r="G982" s="89"/>
    </row>
    <row r="983">
      <c r="A983" s="93"/>
      <c r="B983" s="87" t="s">
        <v>779</v>
      </c>
      <c r="C983" s="88"/>
      <c r="D983" s="92"/>
      <c r="E983" s="89"/>
      <c r="F983" s="89"/>
      <c r="G983" s="89"/>
    </row>
    <row r="984">
      <c r="A984" s="93"/>
      <c r="B984" s="87" t="s">
        <v>779</v>
      </c>
      <c r="C984" s="88"/>
      <c r="D984" s="92"/>
      <c r="E984" s="89"/>
      <c r="F984" s="89"/>
      <c r="G984" s="89"/>
    </row>
    <row r="985">
      <c r="A985" s="93"/>
      <c r="B985" s="87" t="s">
        <v>779</v>
      </c>
      <c r="C985" s="88"/>
      <c r="D985" s="92"/>
      <c r="E985" s="89"/>
      <c r="F985" s="89"/>
      <c r="G985" s="89"/>
    </row>
    <row r="986">
      <c r="A986" s="93"/>
      <c r="B986" s="87" t="s">
        <v>779</v>
      </c>
      <c r="C986" s="88"/>
      <c r="D986" s="92"/>
      <c r="E986" s="89"/>
      <c r="F986" s="89"/>
      <c r="G986" s="89"/>
    </row>
    <row r="987">
      <c r="A987" s="93"/>
      <c r="B987" s="87" t="s">
        <v>779</v>
      </c>
      <c r="C987" s="88"/>
      <c r="D987" s="92"/>
      <c r="E987" s="89"/>
      <c r="F987" s="89"/>
      <c r="G987" s="89"/>
    </row>
    <row r="988">
      <c r="A988" s="93"/>
      <c r="B988" s="87" t="s">
        <v>779</v>
      </c>
      <c r="C988" s="88"/>
      <c r="D988" s="92"/>
      <c r="E988" s="89"/>
      <c r="F988" s="89"/>
      <c r="G988" s="89"/>
    </row>
    <row r="989">
      <c r="A989" s="93"/>
      <c r="B989" s="87" t="s">
        <v>779</v>
      </c>
      <c r="C989" s="88"/>
      <c r="D989" s="92"/>
      <c r="E989" s="89"/>
      <c r="F989" s="89"/>
      <c r="G989" s="89"/>
    </row>
    <row r="990">
      <c r="A990" s="93"/>
      <c r="B990" s="87" t="s">
        <v>779</v>
      </c>
      <c r="C990" s="88"/>
      <c r="D990" s="92"/>
      <c r="E990" s="89"/>
      <c r="F990" s="89"/>
      <c r="G990" s="89"/>
    </row>
    <row r="991">
      <c r="A991" s="93"/>
      <c r="B991" s="87" t="s">
        <v>779</v>
      </c>
      <c r="C991" s="88"/>
      <c r="D991" s="92"/>
      <c r="E991" s="89"/>
      <c r="F991" s="89"/>
      <c r="G991" s="89"/>
    </row>
    <row r="992">
      <c r="A992" s="93"/>
      <c r="B992" s="87" t="s">
        <v>779</v>
      </c>
      <c r="C992" s="88"/>
      <c r="D992" s="92"/>
      <c r="E992" s="89"/>
      <c r="F992" s="89"/>
      <c r="G992" s="89"/>
    </row>
    <row r="993">
      <c r="A993" s="93"/>
      <c r="B993" s="87" t="s">
        <v>779</v>
      </c>
      <c r="C993" s="88"/>
      <c r="D993" s="92"/>
      <c r="E993" s="89"/>
      <c r="F993" s="89"/>
      <c r="G993" s="89"/>
    </row>
    <row r="994">
      <c r="A994" s="93"/>
      <c r="B994" s="87" t="s">
        <v>779</v>
      </c>
      <c r="C994" s="88"/>
      <c r="D994" s="92"/>
      <c r="E994" s="89"/>
      <c r="F994" s="89"/>
      <c r="G994" s="89"/>
    </row>
    <row r="995">
      <c r="A995" s="93"/>
      <c r="B995" s="87" t="s">
        <v>779</v>
      </c>
      <c r="C995" s="88"/>
      <c r="D995" s="92"/>
      <c r="E995" s="89"/>
      <c r="F995" s="89"/>
      <c r="G995" s="89"/>
    </row>
    <row r="996">
      <c r="A996" s="93"/>
      <c r="B996" s="87" t="s">
        <v>779</v>
      </c>
      <c r="C996" s="88"/>
      <c r="D996" s="92"/>
      <c r="E996" s="89"/>
      <c r="F996" s="89"/>
      <c r="G996" s="89"/>
    </row>
    <row r="997">
      <c r="A997" s="93"/>
      <c r="B997" s="87" t="s">
        <v>779</v>
      </c>
      <c r="C997" s="88"/>
      <c r="D997" s="92"/>
      <c r="E997" s="89"/>
      <c r="F997" s="89"/>
      <c r="G997" s="89"/>
    </row>
    <row r="998">
      <c r="A998" s="93"/>
      <c r="B998" s="87" t="s">
        <v>779</v>
      </c>
      <c r="C998" s="88"/>
      <c r="D998" s="92"/>
      <c r="E998" s="89"/>
      <c r="F998" s="89"/>
      <c r="G998" s="89"/>
    </row>
    <row r="999">
      <c r="A999" s="93"/>
      <c r="B999" s="87" t="s">
        <v>779</v>
      </c>
      <c r="C999" s="88"/>
      <c r="D999" s="92"/>
      <c r="E999" s="89"/>
      <c r="F999" s="89"/>
      <c r="G999" s="89"/>
    </row>
    <row r="1000">
      <c r="A1000" s="93"/>
      <c r="B1000" s="87" t="s">
        <v>779</v>
      </c>
      <c r="C1000" s="88"/>
      <c r="D1000" s="92"/>
      <c r="E1000" s="89"/>
      <c r="F1000" s="89"/>
      <c r="G1000" s="89"/>
    </row>
    <row r="1001">
      <c r="A1001" s="93"/>
      <c r="B1001" s="87" t="s">
        <v>779</v>
      </c>
      <c r="C1001" s="88"/>
      <c r="D1001" s="92"/>
      <c r="E1001" s="89"/>
      <c r="F1001" s="89"/>
      <c r="G1001" s="89"/>
    </row>
    <row r="1002">
      <c r="A1002" s="93"/>
      <c r="B1002" s="87" t="s">
        <v>779</v>
      </c>
      <c r="C1002" s="88"/>
      <c r="D1002" s="92"/>
      <c r="E1002" s="89"/>
      <c r="F1002" s="89"/>
      <c r="G1002" s="89"/>
    </row>
    <row r="1003">
      <c r="A1003" s="93"/>
      <c r="B1003" s="87" t="s">
        <v>779</v>
      </c>
      <c r="C1003" s="88"/>
      <c r="D1003" s="92"/>
      <c r="E1003" s="89"/>
      <c r="F1003" s="89"/>
      <c r="G1003" s="89"/>
    </row>
    <row r="1004">
      <c r="A1004" s="93"/>
      <c r="B1004" s="87" t="s">
        <v>779</v>
      </c>
      <c r="C1004" s="88"/>
      <c r="D1004" s="92"/>
      <c r="E1004" s="89"/>
      <c r="F1004" s="89"/>
      <c r="G1004" s="89"/>
    </row>
    <row r="1005">
      <c r="A1005" s="93"/>
      <c r="B1005" s="87" t="s">
        <v>779</v>
      </c>
      <c r="C1005" s="88"/>
      <c r="D1005" s="92"/>
      <c r="E1005" s="89"/>
      <c r="F1005" s="89"/>
      <c r="G1005" s="89"/>
    </row>
    <row r="1006">
      <c r="A1006" s="93"/>
      <c r="B1006" s="87" t="s">
        <v>779</v>
      </c>
      <c r="C1006" s="88"/>
      <c r="D1006" s="92"/>
      <c r="E1006" s="89"/>
      <c r="F1006" s="89"/>
      <c r="G1006" s="89"/>
    </row>
    <row r="1007">
      <c r="A1007" s="93"/>
      <c r="B1007" s="87" t="s">
        <v>779</v>
      </c>
      <c r="C1007" s="88"/>
      <c r="D1007" s="92"/>
      <c r="E1007" s="89"/>
      <c r="F1007" s="89"/>
      <c r="G1007" s="89"/>
    </row>
    <row r="1008">
      <c r="A1008" s="93"/>
      <c r="B1008" s="87" t="s">
        <v>779</v>
      </c>
      <c r="C1008" s="88"/>
      <c r="D1008" s="92"/>
      <c r="E1008" s="89"/>
      <c r="F1008" s="89"/>
      <c r="G1008" s="89"/>
    </row>
    <row r="1009">
      <c r="A1009" s="93"/>
      <c r="B1009" s="87" t="s">
        <v>779</v>
      </c>
      <c r="C1009" s="88"/>
      <c r="D1009" s="92"/>
      <c r="E1009" s="89"/>
      <c r="F1009" s="89"/>
      <c r="G1009" s="89"/>
    </row>
    <row r="1010">
      <c r="A1010" s="93"/>
      <c r="B1010" s="87" t="s">
        <v>779</v>
      </c>
      <c r="C1010" s="88"/>
      <c r="D1010" s="92"/>
      <c r="E1010" s="89"/>
      <c r="F1010" s="89"/>
      <c r="G1010" s="89"/>
    </row>
    <row r="1011">
      <c r="A1011" s="93"/>
      <c r="B1011" s="87" t="s">
        <v>779</v>
      </c>
      <c r="C1011" s="88"/>
      <c r="D1011" s="92"/>
      <c r="E1011" s="89"/>
      <c r="F1011" s="89"/>
      <c r="G1011" s="89"/>
    </row>
    <row r="1012">
      <c r="A1012" s="93"/>
      <c r="B1012" s="87" t="s">
        <v>779</v>
      </c>
      <c r="C1012" s="88"/>
      <c r="D1012" s="92"/>
      <c r="E1012" s="89"/>
      <c r="F1012" s="89"/>
      <c r="G1012" s="89"/>
    </row>
    <row r="1013">
      <c r="A1013" s="93"/>
      <c r="B1013" s="87" t="s">
        <v>779</v>
      </c>
      <c r="C1013" s="88"/>
      <c r="D1013" s="92"/>
      <c r="E1013" s="89"/>
      <c r="F1013" s="89"/>
      <c r="G1013" s="89"/>
    </row>
    <row r="1014">
      <c r="A1014" s="93"/>
      <c r="B1014" s="87" t="s">
        <v>779</v>
      </c>
      <c r="C1014" s="88"/>
      <c r="D1014" s="92"/>
      <c r="E1014" s="89"/>
      <c r="F1014" s="89"/>
      <c r="G1014" s="89"/>
    </row>
    <row r="1015">
      <c r="A1015" s="93"/>
      <c r="B1015" s="87" t="s">
        <v>779</v>
      </c>
      <c r="C1015" s="88"/>
      <c r="D1015" s="92"/>
      <c r="E1015" s="89"/>
      <c r="F1015" s="89"/>
      <c r="G1015" s="89"/>
    </row>
    <row r="1016">
      <c r="A1016" s="93"/>
      <c r="B1016" s="87" t="s">
        <v>779</v>
      </c>
      <c r="C1016" s="88"/>
      <c r="D1016" s="92"/>
      <c r="E1016" s="89"/>
      <c r="F1016" s="89"/>
      <c r="G1016" s="89"/>
    </row>
    <row r="1017">
      <c r="A1017" s="93"/>
      <c r="B1017" s="87" t="s">
        <v>779</v>
      </c>
      <c r="C1017" s="88"/>
      <c r="D1017" s="92"/>
      <c r="E1017" s="89"/>
      <c r="F1017" s="89"/>
      <c r="G1017" s="89"/>
    </row>
    <row r="1018">
      <c r="A1018" s="93"/>
      <c r="B1018" s="87" t="s">
        <v>779</v>
      </c>
      <c r="C1018" s="88"/>
      <c r="D1018" s="92"/>
      <c r="E1018" s="89"/>
      <c r="F1018" s="89"/>
      <c r="G1018" s="89"/>
    </row>
    <row r="1019">
      <c r="A1019" s="93"/>
      <c r="B1019" s="87" t="s">
        <v>779</v>
      </c>
      <c r="C1019" s="88"/>
      <c r="D1019" s="92"/>
      <c r="E1019" s="89"/>
      <c r="F1019" s="89"/>
      <c r="G1019" s="89"/>
    </row>
    <row r="1020">
      <c r="A1020" s="93"/>
      <c r="B1020" s="87" t="s">
        <v>779</v>
      </c>
      <c r="C1020" s="88"/>
      <c r="D1020" s="92"/>
      <c r="E1020" s="89"/>
      <c r="F1020" s="89"/>
      <c r="G1020" s="89"/>
    </row>
    <row r="1021">
      <c r="A1021" s="93"/>
      <c r="B1021" s="87" t="s">
        <v>779</v>
      </c>
      <c r="C1021" s="88"/>
      <c r="D1021" s="92"/>
      <c r="E1021" s="89"/>
      <c r="F1021" s="89"/>
      <c r="G1021" s="89"/>
    </row>
    <row r="1022">
      <c r="A1022" s="93"/>
      <c r="B1022" s="87" t="s">
        <v>779</v>
      </c>
      <c r="C1022" s="88"/>
      <c r="D1022" s="92"/>
      <c r="E1022" s="89"/>
      <c r="F1022" s="89"/>
      <c r="G1022" s="89"/>
    </row>
    <row r="1023">
      <c r="A1023" s="93"/>
      <c r="B1023" s="87" t="s">
        <v>779</v>
      </c>
      <c r="C1023" s="88"/>
      <c r="D1023" s="92"/>
      <c r="E1023" s="89"/>
      <c r="F1023" s="89"/>
      <c r="G1023" s="89"/>
    </row>
    <row r="1024">
      <c r="A1024" s="93"/>
      <c r="B1024" s="87" t="s">
        <v>779</v>
      </c>
      <c r="C1024" s="88"/>
      <c r="D1024" s="92"/>
      <c r="E1024" s="89"/>
      <c r="F1024" s="89"/>
      <c r="G1024" s="89"/>
    </row>
    <row r="1025">
      <c r="A1025" s="93"/>
      <c r="B1025" s="87" t="s">
        <v>779</v>
      </c>
      <c r="C1025" s="88"/>
      <c r="D1025" s="92"/>
      <c r="E1025" s="89"/>
      <c r="F1025" s="89"/>
      <c r="G1025" s="89"/>
    </row>
    <row r="1026">
      <c r="A1026" s="93"/>
      <c r="B1026" s="87" t="s">
        <v>779</v>
      </c>
      <c r="C1026" s="88"/>
      <c r="D1026" s="92"/>
      <c r="E1026" s="89"/>
      <c r="F1026" s="89"/>
      <c r="G1026" s="89"/>
    </row>
    <row r="1027">
      <c r="A1027" s="93"/>
      <c r="B1027" s="87" t="s">
        <v>779</v>
      </c>
      <c r="C1027" s="88"/>
      <c r="D1027" s="92"/>
      <c r="E1027" s="89"/>
      <c r="F1027" s="89"/>
      <c r="G1027" s="89"/>
    </row>
    <row r="1028">
      <c r="A1028" s="93"/>
      <c r="B1028" s="87" t="s">
        <v>779</v>
      </c>
      <c r="C1028" s="88"/>
      <c r="D1028" s="92"/>
      <c r="E1028" s="89"/>
      <c r="F1028" s="89"/>
      <c r="G1028" s="89"/>
    </row>
    <row r="1029">
      <c r="A1029" s="93"/>
      <c r="B1029" s="87" t="s">
        <v>779</v>
      </c>
      <c r="C1029" s="88"/>
      <c r="D1029" s="92"/>
      <c r="E1029" s="89"/>
      <c r="F1029" s="89"/>
      <c r="G1029" s="89"/>
    </row>
    <row r="1030">
      <c r="A1030" s="93"/>
      <c r="B1030" s="87" t="s">
        <v>779</v>
      </c>
      <c r="C1030" s="88"/>
      <c r="D1030" s="92"/>
      <c r="E1030" s="89"/>
      <c r="F1030" s="89"/>
      <c r="G1030" s="89"/>
    </row>
    <row r="1031">
      <c r="A1031" s="93"/>
      <c r="B1031" s="87" t="s">
        <v>779</v>
      </c>
      <c r="C1031" s="88"/>
      <c r="D1031" s="92"/>
      <c r="E1031" s="89"/>
      <c r="F1031" s="89"/>
      <c r="G1031" s="89"/>
    </row>
    <row r="1032">
      <c r="A1032" s="93"/>
      <c r="B1032" s="87" t="s">
        <v>779</v>
      </c>
      <c r="C1032" s="88"/>
      <c r="D1032" s="92"/>
      <c r="E1032" s="89"/>
      <c r="F1032" s="89"/>
      <c r="G1032" s="89"/>
    </row>
    <row r="1033">
      <c r="A1033" s="93"/>
      <c r="B1033" s="87" t="s">
        <v>779</v>
      </c>
      <c r="C1033" s="88"/>
      <c r="D1033" s="92"/>
      <c r="E1033" s="89"/>
      <c r="F1033" s="89"/>
      <c r="G1033" s="89"/>
    </row>
    <row r="1034">
      <c r="A1034" s="93"/>
      <c r="B1034" s="87" t="s">
        <v>779</v>
      </c>
      <c r="C1034" s="88"/>
      <c r="D1034" s="92"/>
      <c r="E1034" s="89"/>
      <c r="F1034" s="89"/>
      <c r="G1034" s="89"/>
    </row>
    <row r="1035">
      <c r="A1035" s="93"/>
      <c r="B1035" s="87" t="s">
        <v>779</v>
      </c>
      <c r="C1035" s="88"/>
      <c r="D1035" s="92"/>
      <c r="E1035" s="89"/>
      <c r="F1035" s="89"/>
      <c r="G1035" s="89"/>
    </row>
    <row r="1036">
      <c r="A1036" s="93"/>
      <c r="B1036" s="87" t="s">
        <v>779</v>
      </c>
      <c r="C1036" s="88"/>
      <c r="D1036" s="92"/>
      <c r="E1036" s="89"/>
      <c r="F1036" s="89"/>
      <c r="G1036" s="89"/>
    </row>
    <row r="1037">
      <c r="A1037" s="93"/>
      <c r="B1037" s="87" t="s">
        <v>779</v>
      </c>
      <c r="C1037" s="88"/>
      <c r="D1037" s="92"/>
      <c r="E1037" s="89"/>
      <c r="F1037" s="89"/>
      <c r="G1037" s="89"/>
    </row>
    <row r="1038">
      <c r="A1038" s="93"/>
      <c r="B1038" s="87" t="s">
        <v>779</v>
      </c>
      <c r="C1038" s="88"/>
      <c r="D1038" s="92"/>
      <c r="E1038" s="89"/>
      <c r="F1038" s="89"/>
      <c r="G1038" s="89"/>
    </row>
    <row r="1039">
      <c r="A1039" s="93"/>
      <c r="B1039" s="87" t="s">
        <v>779</v>
      </c>
      <c r="C1039" s="88"/>
      <c r="D1039" s="92"/>
      <c r="E1039" s="89"/>
      <c r="F1039" s="89"/>
      <c r="G1039" s="89"/>
    </row>
    <row r="1040">
      <c r="A1040" s="93"/>
      <c r="B1040" s="87" t="s">
        <v>779</v>
      </c>
      <c r="C1040" s="88"/>
      <c r="D1040" s="92"/>
      <c r="E1040" s="89"/>
      <c r="F1040" s="89"/>
      <c r="G1040" s="89"/>
    </row>
    <row r="1041">
      <c r="A1041" s="93"/>
      <c r="B1041" s="87" t="s">
        <v>779</v>
      </c>
      <c r="C1041" s="88"/>
      <c r="D1041" s="92"/>
      <c r="E1041" s="89"/>
      <c r="F1041" s="89"/>
      <c r="G1041" s="89"/>
    </row>
    <row r="1042">
      <c r="A1042" s="93"/>
      <c r="B1042" s="87" t="s">
        <v>779</v>
      </c>
      <c r="C1042" s="88"/>
      <c r="D1042" s="92"/>
      <c r="E1042" s="89"/>
      <c r="F1042" s="89"/>
      <c r="G1042" s="89"/>
    </row>
    <row r="1043">
      <c r="A1043" s="93"/>
      <c r="B1043" s="87" t="s">
        <v>779</v>
      </c>
      <c r="C1043" s="88"/>
      <c r="D1043" s="92"/>
      <c r="E1043" s="89"/>
      <c r="F1043" s="89"/>
      <c r="G1043" s="89"/>
    </row>
    <row r="1044">
      <c r="A1044" s="93"/>
      <c r="B1044" s="87" t="s">
        <v>779</v>
      </c>
      <c r="C1044" s="88"/>
      <c r="D1044" s="92"/>
      <c r="E1044" s="89"/>
      <c r="F1044" s="89"/>
      <c r="G1044" s="89"/>
    </row>
    <row r="1045">
      <c r="A1045" s="93"/>
      <c r="B1045" s="87" t="s">
        <v>779</v>
      </c>
      <c r="C1045" s="88"/>
      <c r="D1045" s="92"/>
      <c r="E1045" s="89"/>
      <c r="F1045" s="89"/>
      <c r="G1045" s="89"/>
    </row>
    <row r="1046">
      <c r="A1046" s="93"/>
      <c r="B1046" s="87" t="s">
        <v>779</v>
      </c>
      <c r="C1046" s="88"/>
      <c r="D1046" s="92"/>
      <c r="E1046" s="89"/>
      <c r="F1046" s="89"/>
      <c r="G1046" s="89"/>
    </row>
    <row r="1047">
      <c r="A1047" s="93"/>
      <c r="B1047" s="87" t="s">
        <v>779</v>
      </c>
      <c r="C1047" s="88"/>
      <c r="D1047" s="92"/>
      <c r="E1047" s="89"/>
      <c r="F1047" s="89"/>
      <c r="G1047" s="89"/>
    </row>
    <row r="1048">
      <c r="A1048" s="93"/>
      <c r="B1048" s="87" t="s">
        <v>779</v>
      </c>
      <c r="C1048" s="88"/>
      <c r="D1048" s="92"/>
      <c r="E1048" s="89"/>
      <c r="F1048" s="89"/>
      <c r="G1048" s="89"/>
    </row>
    <row r="1049">
      <c r="A1049" s="93"/>
      <c r="B1049" s="87" t="s">
        <v>779</v>
      </c>
      <c r="C1049" s="88"/>
      <c r="D1049" s="92"/>
      <c r="E1049" s="89"/>
      <c r="F1049" s="89"/>
      <c r="G1049" s="89"/>
    </row>
    <row r="1050">
      <c r="A1050" s="93"/>
      <c r="B1050" s="87" t="s">
        <v>779</v>
      </c>
      <c r="C1050" s="88"/>
      <c r="D1050" s="92"/>
      <c r="E1050" s="89"/>
      <c r="F1050" s="89"/>
      <c r="G1050" s="89"/>
    </row>
    <row r="1051">
      <c r="A1051" s="93"/>
      <c r="B1051" s="87" t="s">
        <v>779</v>
      </c>
      <c r="C1051" s="88"/>
      <c r="D1051" s="92"/>
      <c r="E1051" s="89"/>
      <c r="F1051" s="89"/>
      <c r="G1051" s="89"/>
    </row>
    <row r="1052">
      <c r="A1052" s="93"/>
      <c r="B1052" s="87" t="s">
        <v>779</v>
      </c>
      <c r="C1052" s="88"/>
      <c r="D1052" s="92"/>
      <c r="E1052" s="89"/>
      <c r="F1052" s="89"/>
      <c r="G1052" s="89"/>
    </row>
    <row r="1053">
      <c r="A1053" s="93"/>
      <c r="B1053" s="87" t="s">
        <v>779</v>
      </c>
      <c r="C1053" s="88"/>
      <c r="D1053" s="92"/>
      <c r="E1053" s="89"/>
      <c r="F1053" s="89"/>
      <c r="G1053" s="89"/>
    </row>
    <row r="1054">
      <c r="A1054" s="93"/>
      <c r="B1054" s="87" t="s">
        <v>779</v>
      </c>
      <c r="C1054" s="88"/>
      <c r="D1054" s="92"/>
      <c r="E1054" s="89"/>
      <c r="F1054" s="89"/>
      <c r="G1054" s="89"/>
    </row>
    <row r="1055">
      <c r="A1055" s="93"/>
      <c r="B1055" s="87" t="s">
        <v>779</v>
      </c>
      <c r="C1055" s="88"/>
      <c r="D1055" s="92"/>
      <c r="E1055" s="89"/>
      <c r="F1055" s="89"/>
      <c r="G1055" s="89"/>
    </row>
    <row r="1056">
      <c r="A1056" s="93"/>
      <c r="B1056" s="87" t="s">
        <v>779</v>
      </c>
      <c r="C1056" s="88"/>
      <c r="D1056" s="92"/>
      <c r="E1056" s="89"/>
      <c r="F1056" s="89"/>
      <c r="G1056" s="89"/>
    </row>
    <row r="1057">
      <c r="A1057" s="93"/>
      <c r="B1057" s="87" t="s">
        <v>779</v>
      </c>
      <c r="C1057" s="88"/>
      <c r="D1057" s="92"/>
      <c r="E1057" s="89"/>
      <c r="F1057" s="89"/>
      <c r="G1057" s="89"/>
    </row>
    <row r="1058">
      <c r="A1058" s="93"/>
      <c r="B1058" s="87" t="s">
        <v>779</v>
      </c>
      <c r="C1058" s="88"/>
      <c r="D1058" s="92"/>
      <c r="E1058" s="89"/>
      <c r="F1058" s="89"/>
      <c r="G1058" s="89"/>
    </row>
    <row r="1059">
      <c r="A1059" s="93"/>
      <c r="B1059" s="87" t="s">
        <v>779</v>
      </c>
      <c r="C1059" s="88"/>
      <c r="D1059" s="92"/>
      <c r="E1059" s="89"/>
      <c r="F1059" s="89"/>
      <c r="G1059" s="89"/>
    </row>
    <row r="1060">
      <c r="A1060" s="93"/>
      <c r="B1060" s="87" t="s">
        <v>779</v>
      </c>
      <c r="C1060" s="88"/>
      <c r="D1060" s="92"/>
      <c r="E1060" s="89"/>
      <c r="F1060" s="89"/>
      <c r="G1060" s="89"/>
    </row>
    <row r="1061">
      <c r="A1061" s="93"/>
      <c r="B1061" s="87" t="s">
        <v>779</v>
      </c>
      <c r="C1061" s="88"/>
      <c r="D1061" s="92"/>
      <c r="E1061" s="89"/>
      <c r="F1061" s="89"/>
      <c r="G1061" s="89"/>
    </row>
    <row r="1062">
      <c r="A1062" s="93"/>
      <c r="B1062" s="87" t="s">
        <v>779</v>
      </c>
      <c r="C1062" s="88"/>
      <c r="D1062" s="92"/>
      <c r="E1062" s="89"/>
      <c r="F1062" s="89"/>
      <c r="G1062" s="89"/>
    </row>
    <row r="1063">
      <c r="A1063" s="93"/>
      <c r="B1063" s="87" t="s">
        <v>779</v>
      </c>
      <c r="C1063" s="88"/>
      <c r="D1063" s="92"/>
      <c r="E1063" s="89"/>
      <c r="F1063" s="89"/>
      <c r="G1063" s="89"/>
    </row>
    <row r="1064">
      <c r="A1064" s="93"/>
      <c r="B1064" s="87" t="s">
        <v>779</v>
      </c>
      <c r="C1064" s="88"/>
      <c r="D1064" s="92"/>
      <c r="E1064" s="89"/>
      <c r="F1064" s="89"/>
      <c r="G1064" s="89"/>
    </row>
    <row r="1065">
      <c r="A1065" s="93"/>
      <c r="B1065" s="87" t="s">
        <v>779</v>
      </c>
      <c r="C1065" s="88"/>
      <c r="D1065" s="92"/>
      <c r="E1065" s="89"/>
      <c r="F1065" s="89"/>
      <c r="G1065" s="89"/>
    </row>
    <row r="1066">
      <c r="A1066" s="93"/>
      <c r="B1066" s="87" t="s">
        <v>779</v>
      </c>
      <c r="C1066" s="88"/>
      <c r="D1066" s="92"/>
      <c r="E1066" s="89"/>
      <c r="F1066" s="89"/>
      <c r="G1066" s="89"/>
    </row>
    <row r="1067">
      <c r="A1067" s="93"/>
      <c r="B1067" s="87" t="s">
        <v>779</v>
      </c>
      <c r="C1067" s="88"/>
      <c r="D1067" s="92"/>
      <c r="E1067" s="89"/>
      <c r="F1067" s="89"/>
      <c r="G1067" s="89"/>
    </row>
    <row r="1068">
      <c r="A1068" s="93"/>
      <c r="B1068" s="87" t="s">
        <v>779</v>
      </c>
      <c r="C1068" s="88"/>
      <c r="D1068" s="92"/>
      <c r="E1068" s="89"/>
      <c r="F1068" s="89"/>
      <c r="G1068" s="89"/>
    </row>
    <row r="1069">
      <c r="A1069" s="93"/>
      <c r="B1069" s="87" t="s">
        <v>779</v>
      </c>
      <c r="C1069" s="88"/>
      <c r="D1069" s="92"/>
      <c r="E1069" s="89"/>
      <c r="F1069" s="89"/>
      <c r="G1069" s="89"/>
    </row>
    <row r="1070">
      <c r="A1070" s="93"/>
      <c r="B1070" s="87" t="s">
        <v>779</v>
      </c>
      <c r="C1070" s="88"/>
      <c r="D1070" s="92"/>
      <c r="E1070" s="89"/>
      <c r="F1070" s="89"/>
      <c r="G1070" s="89"/>
    </row>
    <row r="1071">
      <c r="A1071" s="93"/>
      <c r="B1071" s="87" t="s">
        <v>779</v>
      </c>
      <c r="C1071" s="88"/>
      <c r="D1071" s="92"/>
      <c r="E1071" s="89"/>
      <c r="F1071" s="89"/>
      <c r="G1071" s="89"/>
    </row>
    <row r="1072">
      <c r="A1072" s="93"/>
      <c r="B1072" s="87" t="s">
        <v>779</v>
      </c>
      <c r="C1072" s="88"/>
      <c r="D1072" s="92"/>
      <c r="E1072" s="89"/>
      <c r="F1072" s="89"/>
      <c r="G1072" s="89"/>
    </row>
    <row r="1073">
      <c r="A1073" s="93"/>
      <c r="B1073" s="87" t="s">
        <v>779</v>
      </c>
      <c r="C1073" s="88"/>
      <c r="D1073" s="92"/>
      <c r="E1073" s="89"/>
      <c r="F1073" s="89"/>
      <c r="G1073" s="89"/>
    </row>
    <row r="1074">
      <c r="A1074" s="93"/>
      <c r="B1074" s="87" t="s">
        <v>779</v>
      </c>
      <c r="C1074" s="88"/>
      <c r="D1074" s="92"/>
      <c r="E1074" s="89"/>
      <c r="F1074" s="89"/>
      <c r="G1074" s="89"/>
    </row>
    <row r="1075">
      <c r="A1075" s="93"/>
      <c r="B1075" s="87" t="s">
        <v>779</v>
      </c>
      <c r="C1075" s="88"/>
      <c r="D1075" s="92"/>
      <c r="E1075" s="89"/>
      <c r="F1075" s="89"/>
      <c r="G1075" s="89"/>
    </row>
    <row r="1076">
      <c r="A1076" s="93"/>
      <c r="B1076" s="87" t="s">
        <v>779</v>
      </c>
      <c r="C1076" s="88"/>
      <c r="D1076" s="92"/>
      <c r="E1076" s="89"/>
      <c r="F1076" s="89"/>
      <c r="G1076" s="89"/>
    </row>
    <row r="1077">
      <c r="A1077" s="93"/>
      <c r="B1077" s="87" t="s">
        <v>779</v>
      </c>
      <c r="C1077" s="88"/>
      <c r="D1077" s="92"/>
      <c r="E1077" s="89"/>
      <c r="F1077" s="89"/>
      <c r="G1077" s="89"/>
    </row>
    <row r="1078">
      <c r="A1078" s="93"/>
      <c r="B1078" s="87" t="s">
        <v>779</v>
      </c>
      <c r="C1078" s="88"/>
      <c r="D1078" s="92"/>
      <c r="E1078" s="89"/>
      <c r="F1078" s="89"/>
      <c r="G1078" s="89"/>
    </row>
    <row r="1079">
      <c r="A1079" s="93"/>
      <c r="B1079" s="87" t="s">
        <v>779</v>
      </c>
      <c r="C1079" s="88"/>
      <c r="D1079" s="92"/>
      <c r="E1079" s="89"/>
      <c r="F1079" s="89"/>
      <c r="G1079" s="89"/>
    </row>
    <row r="1080">
      <c r="A1080" s="93"/>
      <c r="B1080" s="87" t="s">
        <v>779</v>
      </c>
      <c r="C1080" s="88"/>
      <c r="D1080" s="92"/>
      <c r="E1080" s="89"/>
      <c r="F1080" s="89"/>
      <c r="G1080" s="89"/>
    </row>
    <row r="1081">
      <c r="A1081" s="93"/>
      <c r="B1081" s="87" t="s">
        <v>779</v>
      </c>
      <c r="C1081" s="88"/>
      <c r="D1081" s="92"/>
      <c r="E1081" s="89"/>
      <c r="F1081" s="89"/>
      <c r="G1081" s="89"/>
    </row>
    <row r="1082">
      <c r="A1082" s="93"/>
      <c r="B1082" s="87" t="s">
        <v>779</v>
      </c>
      <c r="C1082" s="88"/>
      <c r="D1082" s="92"/>
      <c r="E1082" s="89"/>
      <c r="F1082" s="89"/>
      <c r="G1082" s="89"/>
    </row>
    <row r="1083">
      <c r="A1083" s="93"/>
      <c r="B1083" s="87" t="s">
        <v>779</v>
      </c>
      <c r="C1083" s="88"/>
      <c r="D1083" s="92"/>
      <c r="E1083" s="89"/>
      <c r="F1083" s="89"/>
      <c r="G1083" s="89"/>
    </row>
    <row r="1084">
      <c r="A1084" s="93"/>
      <c r="B1084" s="87" t="s">
        <v>779</v>
      </c>
      <c r="C1084" s="88"/>
      <c r="D1084" s="92"/>
      <c r="E1084" s="89"/>
      <c r="F1084" s="89"/>
      <c r="G1084" s="89"/>
    </row>
    <row r="1085">
      <c r="A1085" s="93"/>
      <c r="B1085" s="87" t="s">
        <v>779</v>
      </c>
      <c r="C1085" s="88"/>
      <c r="D1085" s="92"/>
      <c r="E1085" s="89"/>
      <c r="F1085" s="89"/>
      <c r="G1085" s="89"/>
    </row>
    <row r="1086">
      <c r="A1086" s="93"/>
      <c r="B1086" s="87" t="s">
        <v>779</v>
      </c>
      <c r="C1086" s="88"/>
      <c r="D1086" s="92"/>
      <c r="E1086" s="89"/>
      <c r="F1086" s="89"/>
      <c r="G1086" s="89"/>
    </row>
    <row r="1087">
      <c r="A1087" s="93"/>
      <c r="B1087" s="87" t="s">
        <v>779</v>
      </c>
      <c r="C1087" s="88"/>
      <c r="D1087" s="92"/>
      <c r="E1087" s="89"/>
      <c r="F1087" s="89"/>
      <c r="G1087" s="89"/>
    </row>
    <row r="1088">
      <c r="A1088" s="93"/>
      <c r="B1088" s="87" t="s">
        <v>779</v>
      </c>
      <c r="C1088" s="88"/>
      <c r="D1088" s="92"/>
      <c r="E1088" s="89"/>
      <c r="F1088" s="89"/>
      <c r="G1088" s="89"/>
    </row>
    <row r="1089">
      <c r="A1089" s="93"/>
      <c r="B1089" s="87" t="s">
        <v>779</v>
      </c>
      <c r="C1089" s="88"/>
      <c r="D1089" s="92"/>
      <c r="E1089" s="89"/>
      <c r="F1089" s="89"/>
      <c r="G1089" s="89"/>
    </row>
    <row r="1090">
      <c r="A1090" s="93"/>
      <c r="B1090" s="87" t="s">
        <v>779</v>
      </c>
      <c r="C1090" s="88"/>
      <c r="D1090" s="92"/>
      <c r="E1090" s="89"/>
      <c r="F1090" s="89"/>
      <c r="G1090" s="89"/>
    </row>
    <row r="1091">
      <c r="A1091" s="93"/>
      <c r="B1091" s="87" t="s">
        <v>779</v>
      </c>
      <c r="C1091" s="88"/>
      <c r="D1091" s="92"/>
      <c r="E1091" s="89"/>
      <c r="F1091" s="89"/>
      <c r="G1091" s="89"/>
    </row>
    <row r="1092">
      <c r="A1092" s="93"/>
      <c r="B1092" s="87" t="s">
        <v>779</v>
      </c>
      <c r="C1092" s="88"/>
      <c r="D1092" s="92"/>
      <c r="E1092" s="89"/>
      <c r="F1092" s="89"/>
      <c r="G1092" s="89"/>
    </row>
    <row r="1093">
      <c r="A1093" s="93"/>
      <c r="B1093" s="87" t="s">
        <v>779</v>
      </c>
      <c r="C1093" s="88"/>
      <c r="D1093" s="92"/>
      <c r="E1093" s="89"/>
      <c r="F1093" s="89"/>
      <c r="G1093" s="89"/>
    </row>
    <row r="1094">
      <c r="A1094" s="93"/>
      <c r="B1094" s="87" t="s">
        <v>779</v>
      </c>
      <c r="C1094" s="88"/>
      <c r="D1094" s="92"/>
      <c r="E1094" s="89"/>
      <c r="F1094" s="89"/>
      <c r="G1094" s="89"/>
    </row>
    <row r="1095">
      <c r="A1095" s="93"/>
      <c r="B1095" s="87" t="s">
        <v>779</v>
      </c>
      <c r="C1095" s="88"/>
      <c r="D1095" s="92"/>
      <c r="E1095" s="89"/>
      <c r="F1095" s="89"/>
      <c r="G1095" s="89"/>
    </row>
    <row r="1096">
      <c r="A1096" s="93"/>
      <c r="B1096" s="87" t="s">
        <v>779</v>
      </c>
      <c r="C1096" s="88"/>
      <c r="D1096" s="92"/>
      <c r="E1096" s="89"/>
      <c r="F1096" s="89"/>
      <c r="G1096" s="89"/>
    </row>
    <row r="1097">
      <c r="A1097" s="93"/>
      <c r="B1097" s="87" t="s">
        <v>779</v>
      </c>
      <c r="C1097" s="88"/>
      <c r="D1097" s="92"/>
      <c r="E1097" s="89"/>
      <c r="F1097" s="89"/>
      <c r="G1097" s="89"/>
    </row>
    <row r="1098">
      <c r="A1098" s="93"/>
      <c r="B1098" s="87" t="s">
        <v>779</v>
      </c>
      <c r="C1098" s="88"/>
      <c r="D1098" s="92"/>
      <c r="E1098" s="89"/>
      <c r="F1098" s="89"/>
      <c r="G1098" s="89"/>
    </row>
    <row r="1099">
      <c r="A1099" s="93"/>
      <c r="B1099" s="87" t="s">
        <v>779</v>
      </c>
      <c r="C1099" s="88"/>
      <c r="D1099" s="92"/>
      <c r="E1099" s="89"/>
      <c r="F1099" s="89"/>
      <c r="G1099" s="89"/>
    </row>
    <row r="1100">
      <c r="A1100" s="93"/>
      <c r="B1100" s="87" t="s">
        <v>779</v>
      </c>
      <c r="C1100" s="88"/>
      <c r="D1100" s="92"/>
      <c r="E1100" s="89"/>
      <c r="F1100" s="89"/>
      <c r="G1100" s="89"/>
    </row>
    <row r="1101">
      <c r="A1101" s="93"/>
      <c r="B1101" s="87" t="s">
        <v>779</v>
      </c>
      <c r="C1101" s="88"/>
      <c r="D1101" s="92"/>
      <c r="E1101" s="89"/>
      <c r="F1101" s="89"/>
      <c r="G1101" s="89"/>
    </row>
    <row r="1102">
      <c r="A1102" s="93"/>
      <c r="B1102" s="87" t="s">
        <v>779</v>
      </c>
      <c r="C1102" s="88"/>
      <c r="D1102" s="92"/>
      <c r="E1102" s="89"/>
      <c r="F1102" s="89"/>
      <c r="G1102" s="89"/>
    </row>
    <row r="1103">
      <c r="A1103" s="93"/>
      <c r="B1103" s="87" t="s">
        <v>779</v>
      </c>
      <c r="C1103" s="88"/>
      <c r="D1103" s="92"/>
      <c r="E1103" s="89"/>
      <c r="F1103" s="89"/>
      <c r="G1103" s="89"/>
    </row>
    <row r="1104">
      <c r="A1104" s="93"/>
      <c r="B1104" s="87" t="s">
        <v>779</v>
      </c>
      <c r="C1104" s="88"/>
      <c r="D1104" s="92"/>
      <c r="E1104" s="89"/>
      <c r="F1104" s="89"/>
      <c r="G1104" s="89"/>
    </row>
    <row r="1105">
      <c r="A1105" s="93"/>
      <c r="B1105" s="87" t="s">
        <v>779</v>
      </c>
      <c r="C1105" s="88"/>
      <c r="D1105" s="92"/>
      <c r="E1105" s="89"/>
      <c r="F1105" s="89"/>
      <c r="G1105" s="89"/>
    </row>
    <row r="1106">
      <c r="A1106" s="93"/>
      <c r="B1106" s="87" t="s">
        <v>779</v>
      </c>
      <c r="C1106" s="88"/>
      <c r="D1106" s="92"/>
      <c r="E1106" s="89"/>
      <c r="F1106" s="89"/>
      <c r="G1106" s="89"/>
    </row>
    <row r="1107">
      <c r="A1107" s="93"/>
      <c r="B1107" s="87" t="s">
        <v>779</v>
      </c>
      <c r="C1107" s="88"/>
      <c r="D1107" s="92"/>
      <c r="E1107" s="89"/>
      <c r="F1107" s="89"/>
      <c r="G1107" s="89"/>
    </row>
    <row r="1108">
      <c r="A1108" s="93"/>
      <c r="B1108" s="87" t="s">
        <v>779</v>
      </c>
      <c r="C1108" s="88"/>
      <c r="D1108" s="92"/>
      <c r="E1108" s="89"/>
      <c r="F1108" s="89"/>
      <c r="G1108" s="89"/>
    </row>
    <row r="1109">
      <c r="A1109" s="93"/>
      <c r="B1109" s="87" t="s">
        <v>779</v>
      </c>
      <c r="C1109" s="88"/>
      <c r="D1109" s="92"/>
      <c r="E1109" s="89"/>
      <c r="F1109" s="89"/>
      <c r="G1109" s="89"/>
    </row>
    <row r="1110">
      <c r="A1110" s="93"/>
      <c r="B1110" s="87" t="s">
        <v>779</v>
      </c>
      <c r="C1110" s="88"/>
      <c r="D1110" s="92"/>
      <c r="E1110" s="89"/>
      <c r="F1110" s="89"/>
      <c r="G1110" s="89"/>
    </row>
    <row r="1111">
      <c r="A1111" s="93"/>
      <c r="B1111" s="87" t="s">
        <v>779</v>
      </c>
      <c r="C1111" s="88"/>
      <c r="D1111" s="92"/>
      <c r="E1111" s="89"/>
      <c r="F1111" s="89"/>
      <c r="G1111" s="89"/>
    </row>
    <row r="1112">
      <c r="A1112" s="93"/>
      <c r="B1112" s="87" t="s">
        <v>779</v>
      </c>
      <c r="C1112" s="88"/>
      <c r="D1112" s="92"/>
      <c r="E1112" s="89"/>
      <c r="F1112" s="89"/>
      <c r="G1112" s="89"/>
    </row>
    <row r="1113">
      <c r="A1113" s="93"/>
      <c r="B1113" s="87" t="s">
        <v>779</v>
      </c>
      <c r="C1113" s="88"/>
      <c r="D1113" s="92"/>
      <c r="E1113" s="89"/>
      <c r="F1113" s="89"/>
      <c r="G1113" s="89"/>
    </row>
    <row r="1114">
      <c r="A1114" s="93"/>
      <c r="B1114" s="87" t="s">
        <v>779</v>
      </c>
      <c r="C1114" s="88"/>
      <c r="D1114" s="92"/>
      <c r="E1114" s="89"/>
      <c r="F1114" s="89"/>
      <c r="G1114" s="89"/>
    </row>
    <row r="1115">
      <c r="A1115" s="93"/>
      <c r="B1115" s="87" t="s">
        <v>779</v>
      </c>
      <c r="C1115" s="88"/>
      <c r="D1115" s="92"/>
      <c r="E1115" s="89"/>
      <c r="F1115" s="89"/>
      <c r="G1115" s="89"/>
    </row>
    <row r="1116">
      <c r="A1116" s="93"/>
      <c r="B1116" s="87" t="s">
        <v>779</v>
      </c>
      <c r="C1116" s="88"/>
      <c r="D1116" s="92"/>
      <c r="E1116" s="89"/>
      <c r="F1116" s="89"/>
      <c r="G1116" s="89"/>
    </row>
    <row r="1117">
      <c r="A1117" s="93"/>
      <c r="B1117" s="87" t="s">
        <v>779</v>
      </c>
      <c r="C1117" s="88"/>
      <c r="D1117" s="92"/>
      <c r="E1117" s="89"/>
      <c r="F1117" s="89"/>
      <c r="G1117" s="89"/>
    </row>
    <row r="1118">
      <c r="A1118" s="93"/>
      <c r="B1118" s="87" t="s">
        <v>779</v>
      </c>
      <c r="C1118" s="88"/>
      <c r="D1118" s="92"/>
      <c r="E1118" s="89"/>
      <c r="F1118" s="89"/>
      <c r="G1118" s="89"/>
    </row>
    <row r="1119">
      <c r="A1119" s="93"/>
      <c r="B1119" s="87" t="s">
        <v>779</v>
      </c>
      <c r="C1119" s="88"/>
      <c r="D1119" s="92"/>
      <c r="E1119" s="89"/>
      <c r="F1119" s="89"/>
      <c r="G1119" s="89"/>
    </row>
    <row r="1120">
      <c r="A1120" s="93"/>
      <c r="B1120" s="87" t="s">
        <v>779</v>
      </c>
      <c r="C1120" s="88"/>
      <c r="D1120" s="92"/>
      <c r="E1120" s="89"/>
      <c r="F1120" s="89"/>
      <c r="G1120" s="89"/>
    </row>
    <row r="1121">
      <c r="A1121" s="93"/>
      <c r="B1121" s="87" t="s">
        <v>779</v>
      </c>
      <c r="C1121" s="88"/>
      <c r="D1121" s="92"/>
      <c r="E1121" s="89"/>
      <c r="F1121" s="89"/>
      <c r="G1121" s="89"/>
    </row>
    <row r="1122">
      <c r="A1122" s="93"/>
      <c r="B1122" s="87" t="s">
        <v>779</v>
      </c>
      <c r="C1122" s="88"/>
      <c r="D1122" s="92"/>
      <c r="E1122" s="89"/>
      <c r="F1122" s="89"/>
      <c r="G1122" s="89"/>
    </row>
    <row r="1123">
      <c r="A1123" s="93"/>
      <c r="B1123" s="87" t="s">
        <v>779</v>
      </c>
      <c r="C1123" s="88"/>
      <c r="D1123" s="92"/>
      <c r="E1123" s="89"/>
      <c r="F1123" s="89"/>
      <c r="G1123" s="89"/>
    </row>
    <row r="1124">
      <c r="A1124" s="93"/>
      <c r="B1124" s="87" t="s">
        <v>779</v>
      </c>
      <c r="C1124" s="88"/>
      <c r="D1124" s="92"/>
      <c r="E1124" s="89"/>
      <c r="F1124" s="89"/>
      <c r="G1124" s="89"/>
    </row>
    <row r="1125">
      <c r="A1125" s="93"/>
      <c r="B1125" s="87" t="s">
        <v>779</v>
      </c>
      <c r="C1125" s="88"/>
      <c r="D1125" s="92"/>
      <c r="E1125" s="89"/>
      <c r="F1125" s="89"/>
      <c r="G1125" s="89"/>
    </row>
    <row r="1126">
      <c r="A1126" s="93"/>
      <c r="B1126" s="87" t="s">
        <v>779</v>
      </c>
      <c r="C1126" s="88"/>
      <c r="D1126" s="92"/>
      <c r="E1126" s="89"/>
      <c r="F1126" s="89"/>
      <c r="G1126" s="89"/>
    </row>
    <row r="1127">
      <c r="A1127" s="93"/>
      <c r="B1127" s="87" t="s">
        <v>779</v>
      </c>
      <c r="C1127" s="88"/>
      <c r="D1127" s="92"/>
      <c r="E1127" s="89"/>
      <c r="F1127" s="89"/>
      <c r="G1127" s="89"/>
    </row>
    <row r="1128">
      <c r="A1128" s="93"/>
      <c r="B1128" s="87" t="s">
        <v>779</v>
      </c>
      <c r="C1128" s="88"/>
      <c r="D1128" s="92"/>
      <c r="E1128" s="89"/>
      <c r="F1128" s="89"/>
      <c r="G1128" s="89"/>
    </row>
    <row r="1129">
      <c r="A1129" s="93"/>
      <c r="B1129" s="87" t="s">
        <v>779</v>
      </c>
      <c r="C1129" s="88"/>
      <c r="D1129" s="92"/>
      <c r="E1129" s="89"/>
      <c r="F1129" s="89"/>
      <c r="G1129" s="89"/>
    </row>
    <row r="1130">
      <c r="A1130" s="93"/>
      <c r="B1130" s="87" t="s">
        <v>779</v>
      </c>
      <c r="C1130" s="88"/>
      <c r="D1130" s="92"/>
      <c r="E1130" s="89"/>
      <c r="F1130" s="89"/>
      <c r="G1130" s="89"/>
    </row>
    <row r="1131">
      <c r="A1131" s="93"/>
      <c r="B1131" s="87" t="s">
        <v>779</v>
      </c>
      <c r="C1131" s="88"/>
      <c r="D1131" s="92"/>
      <c r="E1131" s="89"/>
      <c r="F1131" s="89"/>
      <c r="G1131" s="89"/>
    </row>
    <row r="1132">
      <c r="A1132" s="93"/>
      <c r="B1132" s="87" t="s">
        <v>779</v>
      </c>
      <c r="C1132" s="88"/>
      <c r="D1132" s="92"/>
      <c r="E1132" s="89"/>
      <c r="F1132" s="89"/>
      <c r="G1132" s="89"/>
    </row>
    <row r="1133">
      <c r="A1133" s="93"/>
      <c r="B1133" s="87" t="s">
        <v>779</v>
      </c>
      <c r="C1133" s="88"/>
      <c r="D1133" s="92"/>
      <c r="E1133" s="89"/>
      <c r="F1133" s="89"/>
      <c r="G1133" s="89"/>
    </row>
    <row r="1134">
      <c r="A1134" s="93"/>
      <c r="B1134" s="87" t="s">
        <v>779</v>
      </c>
      <c r="C1134" s="88"/>
      <c r="D1134" s="92"/>
      <c r="E1134" s="89"/>
      <c r="F1134" s="89"/>
      <c r="G1134" s="89"/>
    </row>
    <row r="1135">
      <c r="A1135" s="93"/>
      <c r="B1135" s="87" t="s">
        <v>779</v>
      </c>
      <c r="C1135" s="88"/>
      <c r="D1135" s="92"/>
      <c r="E1135" s="89"/>
      <c r="F1135" s="89"/>
      <c r="G1135" s="89"/>
    </row>
    <row r="1136">
      <c r="A1136" s="93"/>
      <c r="B1136" s="87" t="s">
        <v>779</v>
      </c>
      <c r="C1136" s="88"/>
      <c r="D1136" s="92"/>
      <c r="E1136" s="89"/>
      <c r="F1136" s="89"/>
      <c r="G1136" s="89"/>
    </row>
    <row r="1137">
      <c r="A1137" s="93"/>
      <c r="B1137" s="87" t="s">
        <v>779</v>
      </c>
      <c r="C1137" s="88"/>
      <c r="D1137" s="92"/>
      <c r="E1137" s="89"/>
      <c r="F1137" s="89"/>
      <c r="G1137" s="89"/>
    </row>
    <row r="1138">
      <c r="A1138" s="93"/>
      <c r="B1138" s="87" t="s">
        <v>779</v>
      </c>
      <c r="C1138" s="88"/>
      <c r="D1138" s="92"/>
      <c r="E1138" s="89"/>
      <c r="F1138" s="89"/>
      <c r="G1138" s="89"/>
    </row>
    <row r="1139">
      <c r="A1139" s="93"/>
      <c r="B1139" s="87" t="s">
        <v>779</v>
      </c>
      <c r="C1139" s="88"/>
      <c r="D1139" s="92"/>
      <c r="E1139" s="89"/>
      <c r="F1139" s="89"/>
      <c r="G1139" s="89"/>
    </row>
    <row r="1140">
      <c r="A1140" s="93"/>
      <c r="B1140" s="87" t="s">
        <v>779</v>
      </c>
      <c r="C1140" s="88"/>
      <c r="D1140" s="92"/>
      <c r="E1140" s="89"/>
      <c r="F1140" s="89"/>
      <c r="G1140" s="89"/>
    </row>
    <row r="1141">
      <c r="A1141" s="93"/>
      <c r="B1141" s="87" t="s">
        <v>779</v>
      </c>
      <c r="C1141" s="88"/>
      <c r="D1141" s="92"/>
      <c r="E1141" s="89"/>
      <c r="F1141" s="89"/>
      <c r="G1141" s="89"/>
    </row>
    <row r="1142">
      <c r="A1142" s="93"/>
      <c r="B1142" s="87" t="s">
        <v>779</v>
      </c>
      <c r="C1142" s="88"/>
      <c r="D1142" s="92"/>
      <c r="E1142" s="89"/>
      <c r="F1142" s="89"/>
      <c r="G1142" s="89"/>
    </row>
    <row r="1143">
      <c r="A1143" s="93"/>
      <c r="B1143" s="87" t="s">
        <v>779</v>
      </c>
      <c r="C1143" s="88"/>
      <c r="D1143" s="92"/>
      <c r="E1143" s="89"/>
      <c r="F1143" s="89"/>
      <c r="G1143" s="89"/>
    </row>
    <row r="1144">
      <c r="A1144" s="93"/>
      <c r="B1144" s="87" t="s">
        <v>779</v>
      </c>
      <c r="C1144" s="88"/>
      <c r="D1144" s="92"/>
      <c r="E1144" s="89"/>
      <c r="F1144" s="89"/>
      <c r="G1144" s="89"/>
    </row>
    <row r="1145">
      <c r="A1145" s="93"/>
      <c r="B1145" s="87" t="s">
        <v>779</v>
      </c>
      <c r="C1145" s="88"/>
      <c r="D1145" s="92"/>
      <c r="E1145" s="89"/>
      <c r="F1145" s="89"/>
      <c r="G1145" s="89"/>
    </row>
    <row r="1146">
      <c r="A1146" s="93"/>
      <c r="B1146" s="87" t="s">
        <v>779</v>
      </c>
      <c r="C1146" s="88"/>
      <c r="D1146" s="92"/>
      <c r="E1146" s="89"/>
      <c r="F1146" s="89"/>
      <c r="G1146" s="89"/>
    </row>
    <row r="1147">
      <c r="A1147" s="93"/>
      <c r="B1147" s="87" t="s">
        <v>779</v>
      </c>
      <c r="C1147" s="88"/>
      <c r="D1147" s="92"/>
      <c r="E1147" s="89"/>
      <c r="F1147" s="89"/>
      <c r="G1147" s="89"/>
    </row>
    <row r="1148">
      <c r="A1148" s="93"/>
      <c r="B1148" s="87" t="s">
        <v>779</v>
      </c>
      <c r="C1148" s="88"/>
      <c r="D1148" s="92"/>
      <c r="E1148" s="89"/>
      <c r="F1148" s="89"/>
      <c r="G1148" s="89"/>
    </row>
    <row r="1149">
      <c r="A1149" s="93"/>
      <c r="B1149" s="87" t="s">
        <v>779</v>
      </c>
      <c r="C1149" s="88"/>
      <c r="D1149" s="92"/>
      <c r="E1149" s="89"/>
      <c r="F1149" s="89"/>
      <c r="G1149" s="89"/>
    </row>
    <row r="1150">
      <c r="A1150" s="93"/>
      <c r="B1150" s="87" t="s">
        <v>779</v>
      </c>
      <c r="C1150" s="88"/>
      <c r="D1150" s="92"/>
      <c r="E1150" s="89"/>
      <c r="F1150" s="89"/>
      <c r="G1150" s="89"/>
    </row>
    <row r="1151">
      <c r="A1151" s="93"/>
      <c r="B1151" s="87" t="s">
        <v>779</v>
      </c>
      <c r="C1151" s="88"/>
      <c r="D1151" s="92"/>
      <c r="E1151" s="89"/>
      <c r="F1151" s="89"/>
      <c r="G1151" s="89"/>
    </row>
    <row r="1152">
      <c r="A1152" s="93"/>
      <c r="B1152" s="87" t="s">
        <v>779</v>
      </c>
      <c r="C1152" s="88"/>
      <c r="D1152" s="92"/>
      <c r="E1152" s="89"/>
      <c r="F1152" s="89"/>
      <c r="G1152" s="89"/>
    </row>
    <row r="1153">
      <c r="A1153" s="93"/>
      <c r="B1153" s="87" t="s">
        <v>779</v>
      </c>
      <c r="C1153" s="88"/>
      <c r="D1153" s="92"/>
      <c r="E1153" s="89"/>
      <c r="F1153" s="89"/>
      <c r="G1153" s="89"/>
    </row>
    <row r="1154">
      <c r="A1154" s="93"/>
      <c r="B1154" s="87" t="s">
        <v>779</v>
      </c>
      <c r="C1154" s="88"/>
      <c r="D1154" s="92"/>
      <c r="E1154" s="89"/>
      <c r="F1154" s="89"/>
      <c r="G1154" s="89"/>
    </row>
    <row r="1155">
      <c r="A1155" s="93"/>
      <c r="B1155" s="87" t="s">
        <v>779</v>
      </c>
      <c r="C1155" s="88"/>
      <c r="D1155" s="92"/>
      <c r="E1155" s="89"/>
      <c r="F1155" s="89"/>
      <c r="G1155" s="89"/>
    </row>
    <row r="1156">
      <c r="A1156" s="93"/>
      <c r="B1156" s="87" t="s">
        <v>779</v>
      </c>
      <c r="C1156" s="88"/>
      <c r="D1156" s="92"/>
      <c r="E1156" s="89"/>
      <c r="F1156" s="89"/>
      <c r="G1156" s="89"/>
    </row>
    <row r="1157">
      <c r="A1157" s="93"/>
      <c r="B1157" s="87" t="s">
        <v>779</v>
      </c>
      <c r="C1157" s="88"/>
      <c r="D1157" s="92"/>
      <c r="E1157" s="89"/>
      <c r="F1157" s="89"/>
      <c r="G1157" s="89"/>
    </row>
    <row r="1158">
      <c r="A1158" s="93"/>
      <c r="B1158" s="87" t="s">
        <v>779</v>
      </c>
      <c r="C1158" s="88"/>
      <c r="D1158" s="92"/>
      <c r="E1158" s="89"/>
      <c r="F1158" s="89"/>
      <c r="G1158" s="89"/>
    </row>
    <row r="1159">
      <c r="A1159" s="93"/>
      <c r="B1159" s="87" t="s">
        <v>779</v>
      </c>
      <c r="C1159" s="88"/>
      <c r="D1159" s="92"/>
      <c r="E1159" s="89"/>
      <c r="F1159" s="89"/>
      <c r="G1159" s="89"/>
    </row>
    <row r="1160">
      <c r="A1160" s="93"/>
      <c r="B1160" s="87" t="s">
        <v>779</v>
      </c>
      <c r="C1160" s="88"/>
      <c r="D1160" s="92"/>
      <c r="E1160" s="89"/>
      <c r="F1160" s="89"/>
      <c r="G1160" s="89"/>
    </row>
    <row r="1161">
      <c r="A1161" s="93"/>
      <c r="B1161" s="87" t="s">
        <v>779</v>
      </c>
      <c r="C1161" s="88"/>
      <c r="D1161" s="92"/>
      <c r="E1161" s="89"/>
      <c r="F1161" s="89"/>
      <c r="G1161" s="89"/>
    </row>
    <row r="1162">
      <c r="A1162" s="93"/>
      <c r="B1162" s="87" t="s">
        <v>779</v>
      </c>
      <c r="C1162" s="88"/>
      <c r="D1162" s="92"/>
      <c r="E1162" s="89"/>
      <c r="F1162" s="89"/>
      <c r="G1162" s="89"/>
    </row>
    <row r="1163">
      <c r="A1163" s="93"/>
      <c r="B1163" s="87" t="s">
        <v>779</v>
      </c>
      <c r="C1163" s="88"/>
      <c r="D1163" s="92"/>
      <c r="E1163" s="89"/>
      <c r="F1163" s="89"/>
      <c r="G1163" s="89"/>
    </row>
    <row r="1164">
      <c r="A1164" s="93"/>
      <c r="B1164" s="87" t="s">
        <v>779</v>
      </c>
      <c r="C1164" s="88"/>
      <c r="D1164" s="92"/>
      <c r="E1164" s="89"/>
      <c r="F1164" s="89"/>
      <c r="G1164" s="89"/>
    </row>
    <row r="1165">
      <c r="A1165" s="93"/>
      <c r="B1165" s="87" t="s">
        <v>779</v>
      </c>
      <c r="C1165" s="88"/>
      <c r="D1165" s="92"/>
      <c r="E1165" s="89"/>
      <c r="F1165" s="89"/>
      <c r="G1165" s="89"/>
    </row>
    <row r="1166">
      <c r="A1166" s="93"/>
      <c r="B1166" s="87" t="s">
        <v>779</v>
      </c>
      <c r="C1166" s="88"/>
      <c r="D1166" s="92"/>
      <c r="E1166" s="89"/>
      <c r="F1166" s="89"/>
      <c r="G1166" s="89"/>
    </row>
    <row r="1167">
      <c r="A1167" s="93"/>
      <c r="B1167" s="87" t="s">
        <v>779</v>
      </c>
      <c r="C1167" s="88"/>
      <c r="D1167" s="92"/>
      <c r="E1167" s="89"/>
      <c r="F1167" s="89"/>
      <c r="G1167" s="89"/>
    </row>
    <row r="1168">
      <c r="A1168" s="93"/>
      <c r="B1168" s="87" t="s">
        <v>779</v>
      </c>
      <c r="C1168" s="88"/>
      <c r="D1168" s="92"/>
      <c r="E1168" s="89"/>
      <c r="F1168" s="89"/>
      <c r="G1168" s="89"/>
    </row>
    <row r="1169">
      <c r="A1169" s="93"/>
      <c r="B1169" s="87" t="s">
        <v>779</v>
      </c>
      <c r="C1169" s="88"/>
      <c r="D1169" s="92"/>
      <c r="E1169" s="89"/>
      <c r="F1169" s="89"/>
      <c r="G1169" s="89"/>
    </row>
    <row r="1170">
      <c r="A1170" s="93"/>
      <c r="B1170" s="87" t="s">
        <v>779</v>
      </c>
      <c r="C1170" s="88"/>
      <c r="D1170" s="92"/>
      <c r="E1170" s="89"/>
      <c r="F1170" s="89"/>
      <c r="G1170" s="89"/>
    </row>
    <row r="1171">
      <c r="A1171" s="93"/>
      <c r="B1171" s="87" t="s">
        <v>779</v>
      </c>
      <c r="C1171" s="88"/>
      <c r="D1171" s="92"/>
      <c r="E1171" s="89"/>
      <c r="F1171" s="89"/>
      <c r="G1171" s="89"/>
    </row>
    <row r="1172">
      <c r="A1172" s="93"/>
      <c r="B1172" s="87" t="s">
        <v>779</v>
      </c>
      <c r="C1172" s="88"/>
      <c r="D1172" s="92"/>
      <c r="E1172" s="89"/>
      <c r="F1172" s="89"/>
      <c r="G1172" s="89"/>
    </row>
    <row r="1173">
      <c r="A1173" s="93"/>
      <c r="B1173" s="87" t="s">
        <v>779</v>
      </c>
      <c r="C1173" s="88"/>
      <c r="D1173" s="92"/>
      <c r="E1173" s="89"/>
      <c r="F1173" s="89"/>
      <c r="G1173" s="89"/>
    </row>
    <row r="1174">
      <c r="A1174" s="93"/>
      <c r="B1174" s="87" t="s">
        <v>779</v>
      </c>
      <c r="C1174" s="88"/>
      <c r="D1174" s="92"/>
      <c r="E1174" s="89"/>
      <c r="F1174" s="89"/>
      <c r="G1174" s="89"/>
    </row>
    <row r="1175">
      <c r="A1175" s="93"/>
      <c r="B1175" s="87" t="s">
        <v>779</v>
      </c>
      <c r="C1175" s="88"/>
      <c r="D1175" s="92"/>
      <c r="E1175" s="89"/>
      <c r="F1175" s="89"/>
      <c r="G1175" s="89"/>
    </row>
    <row r="1176">
      <c r="A1176" s="93"/>
      <c r="B1176" s="87" t="s">
        <v>779</v>
      </c>
      <c r="C1176" s="88"/>
      <c r="D1176" s="92"/>
      <c r="E1176" s="89"/>
      <c r="F1176" s="89"/>
      <c r="G1176" s="89"/>
    </row>
    <row r="1177">
      <c r="A1177" s="93"/>
      <c r="B1177" s="87" t="s">
        <v>779</v>
      </c>
      <c r="C1177" s="88"/>
      <c r="D1177" s="92"/>
      <c r="E1177" s="89"/>
      <c r="F1177" s="89"/>
      <c r="G1177" s="89"/>
    </row>
    <row r="1178">
      <c r="A1178" s="93"/>
      <c r="B1178" s="87" t="s">
        <v>779</v>
      </c>
      <c r="C1178" s="88"/>
      <c r="D1178" s="92"/>
      <c r="E1178" s="89"/>
      <c r="F1178" s="89"/>
      <c r="G1178" s="89"/>
    </row>
    <row r="1179">
      <c r="A1179" s="93"/>
      <c r="B1179" s="87" t="s">
        <v>779</v>
      </c>
      <c r="C1179" s="88"/>
      <c r="D1179" s="92"/>
      <c r="E1179" s="89"/>
      <c r="F1179" s="89"/>
      <c r="G1179" s="89"/>
    </row>
    <row r="1180">
      <c r="A1180" s="93"/>
      <c r="B1180" s="87" t="s">
        <v>779</v>
      </c>
      <c r="C1180" s="88"/>
      <c r="D1180" s="92"/>
      <c r="E1180" s="89"/>
      <c r="F1180" s="89"/>
      <c r="G1180" s="89"/>
    </row>
    <row r="1181">
      <c r="A1181" s="93"/>
      <c r="B1181" s="87" t="s">
        <v>779</v>
      </c>
      <c r="C1181" s="88"/>
      <c r="D1181" s="92"/>
      <c r="E1181" s="89"/>
      <c r="F1181" s="89"/>
      <c r="G1181" s="89"/>
    </row>
    <row r="1182">
      <c r="A1182" s="93"/>
      <c r="B1182" s="87" t="s">
        <v>779</v>
      </c>
      <c r="C1182" s="88"/>
      <c r="D1182" s="92"/>
      <c r="E1182" s="89"/>
      <c r="F1182" s="89"/>
      <c r="G1182" s="89"/>
    </row>
    <row r="1183">
      <c r="A1183" s="93"/>
      <c r="B1183" s="87" t="s">
        <v>779</v>
      </c>
      <c r="C1183" s="88"/>
      <c r="D1183" s="92"/>
      <c r="E1183" s="89"/>
      <c r="F1183" s="89"/>
      <c r="G1183" s="89"/>
    </row>
    <row r="1184">
      <c r="A1184" s="93"/>
      <c r="B1184" s="87" t="s">
        <v>779</v>
      </c>
      <c r="C1184" s="88"/>
      <c r="D1184" s="92"/>
      <c r="E1184" s="89"/>
      <c r="F1184" s="89"/>
      <c r="G1184" s="89"/>
    </row>
    <row r="1185">
      <c r="A1185" s="93"/>
      <c r="B1185" s="87" t="s">
        <v>779</v>
      </c>
      <c r="C1185" s="88"/>
      <c r="D1185" s="92"/>
      <c r="E1185" s="89"/>
      <c r="F1185" s="89"/>
      <c r="G1185" s="89"/>
    </row>
    <row r="1186">
      <c r="A1186" s="93"/>
      <c r="B1186" s="87" t="s">
        <v>779</v>
      </c>
      <c r="C1186" s="88"/>
      <c r="D1186" s="92"/>
      <c r="E1186" s="89"/>
      <c r="F1186" s="89"/>
      <c r="G1186" s="89"/>
    </row>
    <row r="1187">
      <c r="A1187" s="93"/>
      <c r="B1187" s="87" t="s">
        <v>779</v>
      </c>
      <c r="C1187" s="88"/>
      <c r="D1187" s="92"/>
      <c r="E1187" s="89"/>
      <c r="F1187" s="89"/>
      <c r="G1187" s="89"/>
    </row>
    <row r="1188">
      <c r="A1188" s="93"/>
      <c r="B1188" s="87" t="s">
        <v>779</v>
      </c>
      <c r="C1188" s="88"/>
      <c r="D1188" s="92"/>
      <c r="E1188" s="89"/>
      <c r="F1188" s="89"/>
      <c r="G1188" s="89"/>
    </row>
    <row r="1189">
      <c r="A1189" s="93"/>
      <c r="B1189" s="87" t="s">
        <v>779</v>
      </c>
      <c r="C1189" s="88"/>
      <c r="D1189" s="92"/>
      <c r="E1189" s="89"/>
      <c r="F1189" s="89"/>
      <c r="G1189" s="89"/>
    </row>
    <row r="1190">
      <c r="A1190" s="93"/>
      <c r="B1190" s="87" t="s">
        <v>779</v>
      </c>
      <c r="C1190" s="88"/>
      <c r="D1190" s="92"/>
      <c r="E1190" s="89"/>
      <c r="F1190" s="89"/>
      <c r="G1190" s="89"/>
    </row>
    <row r="1191">
      <c r="A1191" s="93"/>
      <c r="B1191" s="87" t="s">
        <v>779</v>
      </c>
      <c r="C1191" s="88"/>
      <c r="D1191" s="92"/>
      <c r="E1191" s="89"/>
      <c r="F1191" s="89"/>
      <c r="G1191" s="89"/>
    </row>
    <row r="1192">
      <c r="A1192" s="93"/>
      <c r="B1192" s="87" t="s">
        <v>779</v>
      </c>
      <c r="C1192" s="88"/>
      <c r="D1192" s="92"/>
      <c r="E1192" s="89"/>
      <c r="F1192" s="89"/>
      <c r="G1192" s="89"/>
    </row>
    <row r="1193">
      <c r="A1193" s="93"/>
      <c r="B1193" s="87" t="s">
        <v>779</v>
      </c>
      <c r="C1193" s="88"/>
      <c r="D1193" s="92"/>
      <c r="E1193" s="89"/>
      <c r="F1193" s="89"/>
      <c r="G1193" s="89"/>
    </row>
    <row r="1194">
      <c r="A1194" s="93"/>
      <c r="B1194" s="87" t="s">
        <v>779</v>
      </c>
      <c r="C1194" s="88"/>
      <c r="D1194" s="92"/>
      <c r="E1194" s="89"/>
      <c r="F1194" s="89"/>
      <c r="G1194" s="89"/>
    </row>
    <row r="1195">
      <c r="A1195" s="93"/>
      <c r="B1195" s="87" t="s">
        <v>779</v>
      </c>
      <c r="C1195" s="88"/>
      <c r="D1195" s="92"/>
      <c r="E1195" s="89"/>
      <c r="F1195" s="89"/>
      <c r="G1195" s="89"/>
    </row>
    <row r="1196">
      <c r="A1196" s="93"/>
      <c r="B1196" s="87" t="s">
        <v>779</v>
      </c>
      <c r="C1196" s="88"/>
      <c r="D1196" s="92"/>
      <c r="E1196" s="89"/>
      <c r="F1196" s="89"/>
      <c r="G1196" s="89"/>
    </row>
    <row r="1197">
      <c r="A1197" s="93"/>
      <c r="B1197" s="87" t="s">
        <v>779</v>
      </c>
      <c r="C1197" s="88"/>
      <c r="D1197" s="92"/>
      <c r="E1197" s="89"/>
      <c r="F1197" s="89"/>
      <c r="G1197" s="89"/>
    </row>
    <row r="1198">
      <c r="A1198" s="93"/>
      <c r="B1198" s="87" t="s">
        <v>779</v>
      </c>
      <c r="C1198" s="88"/>
      <c r="D1198" s="92"/>
      <c r="E1198" s="89"/>
      <c r="F1198" s="89"/>
      <c r="G1198" s="89"/>
    </row>
    <row r="1199">
      <c r="A1199" s="93"/>
      <c r="B1199" s="87" t="s">
        <v>779</v>
      </c>
      <c r="C1199" s="88"/>
      <c r="D1199" s="92"/>
      <c r="E1199" s="89"/>
      <c r="F1199" s="89"/>
      <c r="G1199" s="89"/>
    </row>
    <row r="1200">
      <c r="A1200" s="93"/>
      <c r="B1200" s="87" t="s">
        <v>779</v>
      </c>
      <c r="C1200" s="88"/>
      <c r="D1200" s="92"/>
      <c r="E1200" s="89"/>
      <c r="F1200" s="89"/>
      <c r="G1200" s="89"/>
    </row>
    <row r="1201">
      <c r="A1201" s="93"/>
      <c r="B1201" s="87" t="s">
        <v>779</v>
      </c>
      <c r="C1201" s="88"/>
      <c r="D1201" s="92"/>
      <c r="E1201" s="89"/>
      <c r="F1201" s="89"/>
      <c r="G1201" s="89"/>
    </row>
    <row r="1202">
      <c r="A1202" s="93"/>
      <c r="B1202" s="87" t="s">
        <v>779</v>
      </c>
      <c r="C1202" s="88"/>
      <c r="D1202" s="92"/>
      <c r="E1202" s="89"/>
      <c r="F1202" s="89"/>
      <c r="G1202" s="89"/>
    </row>
    <row r="1203">
      <c r="A1203" s="93"/>
      <c r="B1203" s="87" t="s">
        <v>779</v>
      </c>
      <c r="C1203" s="88"/>
      <c r="D1203" s="92"/>
      <c r="E1203" s="89"/>
      <c r="F1203" s="89"/>
      <c r="G1203" s="89"/>
    </row>
    <row r="1204">
      <c r="A1204" s="93"/>
      <c r="B1204" s="87" t="s">
        <v>779</v>
      </c>
      <c r="C1204" s="88"/>
      <c r="D1204" s="92"/>
      <c r="E1204" s="89"/>
      <c r="F1204" s="89"/>
      <c r="G1204" s="89"/>
    </row>
    <row r="1205">
      <c r="A1205" s="93"/>
      <c r="B1205" s="87" t="s">
        <v>779</v>
      </c>
      <c r="C1205" s="88"/>
      <c r="D1205" s="92"/>
      <c r="E1205" s="89"/>
      <c r="F1205" s="89"/>
      <c r="G1205" s="89"/>
    </row>
    <row r="1206">
      <c r="A1206" s="93"/>
      <c r="B1206" s="87" t="s">
        <v>779</v>
      </c>
      <c r="C1206" s="88"/>
      <c r="D1206" s="92"/>
      <c r="E1206" s="89"/>
      <c r="F1206" s="89"/>
      <c r="G1206" s="89"/>
    </row>
    <row r="1207">
      <c r="A1207" s="93"/>
      <c r="B1207" s="87" t="s">
        <v>779</v>
      </c>
      <c r="C1207" s="88"/>
      <c r="D1207" s="92"/>
      <c r="E1207" s="89"/>
      <c r="F1207" s="89"/>
      <c r="G1207" s="89"/>
    </row>
    <row r="1208">
      <c r="A1208" s="93"/>
      <c r="B1208" s="87" t="s">
        <v>779</v>
      </c>
      <c r="C1208" s="88"/>
      <c r="D1208" s="92"/>
      <c r="E1208" s="89"/>
      <c r="F1208" s="89"/>
      <c r="G1208" s="89"/>
    </row>
    <row r="1209">
      <c r="A1209" s="93"/>
      <c r="B1209" s="87" t="s">
        <v>779</v>
      </c>
      <c r="C1209" s="88"/>
      <c r="D1209" s="92"/>
      <c r="E1209" s="89"/>
      <c r="F1209" s="89"/>
      <c r="G1209" s="89"/>
    </row>
    <row r="1210">
      <c r="A1210" s="93"/>
      <c r="B1210" s="87" t="s">
        <v>779</v>
      </c>
      <c r="C1210" s="88"/>
      <c r="D1210" s="92"/>
      <c r="E1210" s="89"/>
      <c r="F1210" s="89"/>
      <c r="G1210" s="89"/>
    </row>
    <row r="1211">
      <c r="A1211" s="93"/>
      <c r="B1211" s="87" t="s">
        <v>779</v>
      </c>
      <c r="C1211" s="88"/>
      <c r="D1211" s="92"/>
      <c r="E1211" s="89"/>
      <c r="F1211" s="89"/>
      <c r="G1211" s="89"/>
    </row>
    <row r="1212">
      <c r="A1212" s="93"/>
      <c r="B1212" s="87" t="s">
        <v>779</v>
      </c>
      <c r="C1212" s="88"/>
      <c r="D1212" s="92"/>
      <c r="E1212" s="89"/>
      <c r="F1212" s="89"/>
      <c r="G1212" s="89"/>
    </row>
    <row r="1213">
      <c r="A1213" s="93"/>
      <c r="B1213" s="87" t="s">
        <v>779</v>
      </c>
      <c r="C1213" s="88"/>
      <c r="D1213" s="92"/>
      <c r="E1213" s="89"/>
      <c r="F1213" s="89"/>
      <c r="G1213" s="89"/>
    </row>
    <row r="1214">
      <c r="A1214" s="93"/>
      <c r="B1214" s="87" t="s">
        <v>779</v>
      </c>
      <c r="C1214" s="88"/>
      <c r="D1214" s="92"/>
      <c r="E1214" s="89"/>
      <c r="F1214" s="89"/>
      <c r="G1214" s="89"/>
    </row>
    <row r="1215">
      <c r="A1215" s="93"/>
      <c r="B1215" s="87" t="s">
        <v>779</v>
      </c>
      <c r="C1215" s="88"/>
      <c r="D1215" s="92"/>
      <c r="E1215" s="89"/>
      <c r="F1215" s="89"/>
      <c r="G1215" s="89"/>
    </row>
    <row r="1216">
      <c r="A1216" s="93"/>
      <c r="B1216" s="87" t="s">
        <v>779</v>
      </c>
      <c r="C1216" s="88"/>
      <c r="D1216" s="92"/>
      <c r="E1216" s="89"/>
      <c r="F1216" s="89"/>
      <c r="G1216" s="89"/>
    </row>
    <row r="1217">
      <c r="A1217" s="93"/>
      <c r="B1217" s="87" t="s">
        <v>779</v>
      </c>
      <c r="C1217" s="88"/>
      <c r="D1217" s="92"/>
      <c r="E1217" s="89"/>
      <c r="F1217" s="89"/>
      <c r="G1217" s="89"/>
    </row>
    <row r="1218">
      <c r="A1218" s="93"/>
      <c r="B1218" s="87" t="s">
        <v>779</v>
      </c>
      <c r="C1218" s="88"/>
      <c r="D1218" s="92"/>
      <c r="E1218" s="89"/>
      <c r="F1218" s="89"/>
      <c r="G1218" s="89"/>
    </row>
    <row r="1219">
      <c r="A1219" s="93"/>
      <c r="B1219" s="87" t="s">
        <v>779</v>
      </c>
      <c r="C1219" s="88"/>
      <c r="D1219" s="92"/>
      <c r="E1219" s="89"/>
      <c r="F1219" s="89"/>
      <c r="G1219" s="89"/>
    </row>
    <row r="1220">
      <c r="A1220" s="93"/>
      <c r="B1220" s="87" t="s">
        <v>779</v>
      </c>
      <c r="C1220" s="88"/>
      <c r="D1220" s="92"/>
      <c r="E1220" s="89"/>
      <c r="F1220" s="89"/>
      <c r="G1220" s="89"/>
    </row>
    <row r="1221">
      <c r="A1221" s="93"/>
      <c r="B1221" s="87" t="s">
        <v>779</v>
      </c>
      <c r="C1221" s="88"/>
      <c r="D1221" s="92"/>
      <c r="E1221" s="89"/>
      <c r="F1221" s="89"/>
      <c r="G1221" s="89"/>
    </row>
    <row r="1222">
      <c r="A1222" s="93"/>
      <c r="B1222" s="87" t="s">
        <v>779</v>
      </c>
      <c r="C1222" s="88"/>
      <c r="D1222" s="92"/>
      <c r="E1222" s="89"/>
      <c r="F1222" s="89"/>
      <c r="G1222" s="89"/>
    </row>
    <row r="1223">
      <c r="A1223" s="93"/>
      <c r="B1223" s="87" t="s">
        <v>779</v>
      </c>
      <c r="C1223" s="88"/>
      <c r="D1223" s="92"/>
      <c r="E1223" s="89"/>
      <c r="F1223" s="89"/>
      <c r="G1223" s="89"/>
    </row>
    <row r="1224">
      <c r="A1224" s="93"/>
      <c r="B1224" s="87" t="s">
        <v>779</v>
      </c>
      <c r="C1224" s="88"/>
      <c r="D1224" s="92"/>
      <c r="E1224" s="89"/>
      <c r="F1224" s="89"/>
      <c r="G1224" s="89"/>
    </row>
    <row r="1225">
      <c r="A1225" s="93"/>
      <c r="B1225" s="87" t="s">
        <v>779</v>
      </c>
      <c r="C1225" s="88"/>
      <c r="D1225" s="92"/>
      <c r="E1225" s="89"/>
      <c r="F1225" s="89"/>
      <c r="G1225" s="89"/>
    </row>
    <row r="1226">
      <c r="A1226" s="93"/>
      <c r="B1226" s="87" t="s">
        <v>779</v>
      </c>
      <c r="C1226" s="88"/>
      <c r="D1226" s="92"/>
      <c r="E1226" s="89"/>
      <c r="F1226" s="89"/>
      <c r="G1226" s="89"/>
    </row>
    <row r="1227">
      <c r="A1227" s="93"/>
      <c r="B1227" s="87" t="s">
        <v>779</v>
      </c>
      <c r="C1227" s="88"/>
      <c r="D1227" s="92"/>
      <c r="E1227" s="89"/>
      <c r="F1227" s="89"/>
      <c r="G1227" s="89"/>
    </row>
    <row r="1228">
      <c r="A1228" s="93"/>
      <c r="B1228" s="87" t="s">
        <v>779</v>
      </c>
      <c r="C1228" s="88"/>
      <c r="D1228" s="92"/>
      <c r="E1228" s="89"/>
      <c r="F1228" s="89"/>
      <c r="G1228" s="89"/>
    </row>
    <row r="1229">
      <c r="A1229" s="93"/>
      <c r="B1229" s="87" t="s">
        <v>779</v>
      </c>
      <c r="C1229" s="88"/>
      <c r="D1229" s="92"/>
      <c r="E1229" s="89"/>
      <c r="F1229" s="89"/>
      <c r="G1229" s="89"/>
    </row>
    <row r="1230">
      <c r="A1230" s="93"/>
      <c r="B1230" s="87" t="s">
        <v>779</v>
      </c>
      <c r="C1230" s="88"/>
      <c r="D1230" s="92"/>
      <c r="E1230" s="89"/>
      <c r="F1230" s="89"/>
      <c r="G1230" s="89"/>
    </row>
    <row r="1231">
      <c r="A1231" s="93"/>
      <c r="B1231" s="87" t="s">
        <v>779</v>
      </c>
      <c r="C1231" s="88"/>
      <c r="D1231" s="92"/>
      <c r="E1231" s="89"/>
      <c r="F1231" s="89"/>
      <c r="G1231" s="89"/>
    </row>
    <row r="1232">
      <c r="A1232" s="93"/>
      <c r="B1232" s="87" t="s">
        <v>779</v>
      </c>
      <c r="C1232" s="88"/>
      <c r="D1232" s="92"/>
      <c r="E1232" s="89"/>
      <c r="F1232" s="89"/>
      <c r="G1232" s="89"/>
    </row>
    <row r="1233">
      <c r="A1233" s="93"/>
      <c r="B1233" s="87" t="s">
        <v>779</v>
      </c>
      <c r="C1233" s="88"/>
      <c r="D1233" s="92"/>
      <c r="E1233" s="89"/>
      <c r="F1233" s="89"/>
      <c r="G1233" s="89"/>
    </row>
    <row r="1234">
      <c r="A1234" s="93"/>
      <c r="B1234" s="87" t="s">
        <v>779</v>
      </c>
      <c r="C1234" s="88"/>
      <c r="D1234" s="92"/>
      <c r="E1234" s="89"/>
      <c r="F1234" s="89"/>
      <c r="G1234" s="89"/>
    </row>
    <row r="1235">
      <c r="A1235" s="93"/>
      <c r="B1235" s="87" t="s">
        <v>779</v>
      </c>
      <c r="C1235" s="88"/>
      <c r="D1235" s="92"/>
      <c r="E1235" s="89"/>
      <c r="F1235" s="89"/>
      <c r="G1235" s="89"/>
    </row>
    <row r="1236">
      <c r="A1236" s="93"/>
      <c r="B1236" s="87" t="s">
        <v>779</v>
      </c>
      <c r="C1236" s="88"/>
      <c r="D1236" s="92"/>
      <c r="E1236" s="89"/>
      <c r="F1236" s="89"/>
      <c r="G1236" s="89"/>
    </row>
    <row r="1237">
      <c r="A1237" s="93"/>
      <c r="B1237" s="87" t="s">
        <v>779</v>
      </c>
      <c r="C1237" s="88"/>
      <c r="D1237" s="92"/>
      <c r="E1237" s="89"/>
      <c r="F1237" s="89"/>
      <c r="G1237" s="89"/>
    </row>
    <row r="1238">
      <c r="A1238" s="93"/>
      <c r="B1238" s="87" t="s">
        <v>779</v>
      </c>
      <c r="C1238" s="88"/>
      <c r="D1238" s="92"/>
      <c r="E1238" s="89"/>
      <c r="F1238" s="89"/>
      <c r="G1238" s="89"/>
    </row>
    <row r="1239">
      <c r="A1239" s="93"/>
      <c r="B1239" s="87" t="s">
        <v>779</v>
      </c>
      <c r="C1239" s="88"/>
      <c r="D1239" s="92"/>
      <c r="E1239" s="89"/>
      <c r="F1239" s="89"/>
      <c r="G1239" s="89"/>
    </row>
    <row r="1240">
      <c r="A1240" s="93"/>
      <c r="B1240" s="87" t="s">
        <v>779</v>
      </c>
      <c r="C1240" s="88"/>
      <c r="D1240" s="92"/>
      <c r="E1240" s="89"/>
      <c r="F1240" s="89"/>
      <c r="G1240" s="89"/>
    </row>
    <row r="1241">
      <c r="A1241" s="93"/>
      <c r="B1241" s="87" t="s">
        <v>779</v>
      </c>
      <c r="C1241" s="88"/>
      <c r="D1241" s="92"/>
      <c r="E1241" s="89"/>
      <c r="F1241" s="89"/>
      <c r="G1241" s="89"/>
    </row>
    <row r="1242">
      <c r="A1242" s="93"/>
      <c r="B1242" s="87" t="s">
        <v>779</v>
      </c>
      <c r="C1242" s="88"/>
      <c r="D1242" s="92"/>
      <c r="E1242" s="89"/>
      <c r="F1242" s="89"/>
      <c r="G1242" s="89"/>
    </row>
    <row r="1243">
      <c r="A1243" s="93"/>
      <c r="B1243" s="87" t="s">
        <v>779</v>
      </c>
      <c r="C1243" s="88"/>
      <c r="D1243" s="92"/>
      <c r="E1243" s="89"/>
      <c r="F1243" s="89"/>
      <c r="G1243" s="89"/>
    </row>
    <row r="1244">
      <c r="A1244" s="93"/>
      <c r="B1244" s="87" t="s">
        <v>779</v>
      </c>
      <c r="C1244" s="88"/>
      <c r="D1244" s="92"/>
      <c r="E1244" s="89"/>
      <c r="F1244" s="89"/>
      <c r="G1244" s="89"/>
    </row>
    <row r="1245">
      <c r="A1245" s="93"/>
      <c r="B1245" s="87" t="s">
        <v>779</v>
      </c>
      <c r="C1245" s="88"/>
      <c r="D1245" s="92"/>
      <c r="E1245" s="89"/>
      <c r="F1245" s="89"/>
      <c r="G1245" s="89"/>
    </row>
    <row r="1246">
      <c r="A1246" s="93"/>
      <c r="B1246" s="87" t="s">
        <v>779</v>
      </c>
      <c r="C1246" s="88"/>
      <c r="D1246" s="92"/>
      <c r="E1246" s="89"/>
      <c r="F1246" s="89"/>
      <c r="G1246" s="89"/>
    </row>
    <row r="1247">
      <c r="A1247" s="93"/>
      <c r="B1247" s="87" t="s">
        <v>779</v>
      </c>
      <c r="C1247" s="88"/>
      <c r="D1247" s="92"/>
      <c r="E1247" s="89"/>
      <c r="F1247" s="89"/>
      <c r="G1247" s="89"/>
    </row>
    <row r="1248">
      <c r="A1248" s="93"/>
      <c r="B1248" s="87" t="s">
        <v>779</v>
      </c>
      <c r="C1248" s="88"/>
      <c r="D1248" s="92"/>
      <c r="E1248" s="89"/>
      <c r="F1248" s="89"/>
      <c r="G1248" s="89"/>
    </row>
    <row r="1249">
      <c r="A1249" s="93"/>
      <c r="B1249" s="87" t="s">
        <v>779</v>
      </c>
      <c r="C1249" s="88"/>
      <c r="D1249" s="92"/>
      <c r="E1249" s="89"/>
      <c r="F1249" s="89"/>
      <c r="G1249" s="89"/>
    </row>
    <row r="1250">
      <c r="A1250" s="93"/>
      <c r="B1250" s="87" t="s">
        <v>779</v>
      </c>
      <c r="C1250" s="88"/>
      <c r="D1250" s="92"/>
      <c r="E1250" s="89"/>
      <c r="F1250" s="89"/>
      <c r="G1250" s="89"/>
    </row>
    <row r="1251">
      <c r="A1251" s="93"/>
      <c r="B1251" s="87" t="s">
        <v>779</v>
      </c>
      <c r="C1251" s="88"/>
      <c r="D1251" s="92"/>
      <c r="E1251" s="89"/>
      <c r="F1251" s="89"/>
      <c r="G1251" s="89"/>
    </row>
    <row r="1252">
      <c r="A1252" s="93"/>
      <c r="B1252" s="87" t="s">
        <v>779</v>
      </c>
      <c r="C1252" s="88"/>
      <c r="D1252" s="92"/>
      <c r="E1252" s="89"/>
      <c r="F1252" s="89"/>
      <c r="G1252" s="89"/>
    </row>
    <row r="1253">
      <c r="A1253" s="93"/>
      <c r="B1253" s="87" t="s">
        <v>779</v>
      </c>
      <c r="C1253" s="88"/>
      <c r="D1253" s="92"/>
      <c r="E1253" s="89"/>
      <c r="F1253" s="89"/>
      <c r="G1253" s="89"/>
    </row>
    <row r="1254">
      <c r="A1254" s="93"/>
      <c r="B1254" s="87" t="s">
        <v>779</v>
      </c>
      <c r="C1254" s="88"/>
      <c r="D1254" s="92"/>
      <c r="E1254" s="89"/>
      <c r="F1254" s="89"/>
      <c r="G1254" s="89"/>
    </row>
    <row r="1255">
      <c r="A1255" s="93"/>
      <c r="B1255" s="87" t="s">
        <v>779</v>
      </c>
      <c r="C1255" s="88"/>
      <c r="D1255" s="92"/>
      <c r="E1255" s="89"/>
      <c r="F1255" s="89"/>
      <c r="G1255" s="89"/>
    </row>
    <row r="1256">
      <c r="A1256" s="93"/>
      <c r="B1256" s="87" t="s">
        <v>779</v>
      </c>
      <c r="C1256" s="88"/>
      <c r="D1256" s="92"/>
      <c r="E1256" s="89"/>
      <c r="F1256" s="89"/>
      <c r="G1256" s="89"/>
    </row>
    <row r="1257">
      <c r="A1257" s="93"/>
      <c r="B1257" s="87" t="s">
        <v>779</v>
      </c>
      <c r="C1257" s="88"/>
      <c r="D1257" s="92"/>
      <c r="E1257" s="89"/>
      <c r="F1257" s="89"/>
      <c r="G1257" s="89"/>
    </row>
    <row r="1258">
      <c r="A1258" s="93"/>
      <c r="B1258" s="87" t="s">
        <v>779</v>
      </c>
      <c r="C1258" s="88"/>
      <c r="D1258" s="92"/>
      <c r="E1258" s="89"/>
      <c r="F1258" s="89"/>
      <c r="G1258" s="89"/>
    </row>
    <row r="1259">
      <c r="A1259" s="93"/>
      <c r="B1259" s="87" t="s">
        <v>779</v>
      </c>
      <c r="C1259" s="88"/>
      <c r="D1259" s="92"/>
      <c r="E1259" s="89"/>
      <c r="F1259" s="89"/>
      <c r="G1259" s="89"/>
    </row>
    <row r="1260">
      <c r="A1260" s="93"/>
      <c r="B1260" s="87" t="s">
        <v>779</v>
      </c>
      <c r="C1260" s="88"/>
      <c r="D1260" s="92"/>
      <c r="E1260" s="89"/>
      <c r="F1260" s="89"/>
      <c r="G1260" s="89"/>
    </row>
    <row r="1261">
      <c r="A1261" s="93"/>
      <c r="B1261" s="87" t="s">
        <v>779</v>
      </c>
      <c r="C1261" s="88"/>
      <c r="D1261" s="92"/>
      <c r="E1261" s="89"/>
      <c r="F1261" s="89"/>
      <c r="G1261" s="89"/>
    </row>
    <row r="1262">
      <c r="A1262" s="93"/>
      <c r="B1262" s="87" t="s">
        <v>779</v>
      </c>
      <c r="C1262" s="88"/>
      <c r="D1262" s="92"/>
      <c r="E1262" s="89"/>
      <c r="F1262" s="89"/>
      <c r="G1262" s="89"/>
    </row>
    <row r="1263">
      <c r="A1263" s="93"/>
      <c r="B1263" s="87" t="s">
        <v>779</v>
      </c>
      <c r="C1263" s="88"/>
      <c r="D1263" s="92"/>
      <c r="E1263" s="89"/>
      <c r="F1263" s="89"/>
      <c r="G1263" s="89"/>
    </row>
    <row r="1264">
      <c r="A1264" s="93"/>
      <c r="B1264" s="87" t="s">
        <v>779</v>
      </c>
      <c r="C1264" s="88"/>
      <c r="D1264" s="92"/>
      <c r="E1264" s="89"/>
      <c r="F1264" s="89"/>
      <c r="G1264" s="89"/>
    </row>
    <row r="1265">
      <c r="A1265" s="93"/>
      <c r="B1265" s="87" t="s">
        <v>779</v>
      </c>
      <c r="C1265" s="88"/>
      <c r="D1265" s="92"/>
      <c r="E1265" s="89"/>
      <c r="F1265" s="89"/>
      <c r="G1265" s="89"/>
    </row>
    <row r="1266">
      <c r="A1266" s="93"/>
      <c r="B1266" s="87" t="s">
        <v>779</v>
      </c>
      <c r="C1266" s="88"/>
      <c r="D1266" s="92"/>
      <c r="E1266" s="89"/>
      <c r="F1266" s="89"/>
      <c r="G1266" s="89"/>
    </row>
    <row r="1267">
      <c r="A1267" s="93"/>
      <c r="B1267" s="87" t="s">
        <v>779</v>
      </c>
      <c r="C1267" s="88"/>
      <c r="D1267" s="92"/>
      <c r="E1267" s="89"/>
      <c r="F1267" s="89"/>
      <c r="G1267" s="89"/>
    </row>
    <row r="1268">
      <c r="A1268" s="93"/>
      <c r="B1268" s="87" t="s">
        <v>779</v>
      </c>
      <c r="C1268" s="88"/>
      <c r="D1268" s="92"/>
      <c r="E1268" s="89"/>
      <c r="F1268" s="89"/>
      <c r="G1268" s="89"/>
    </row>
    <row r="1269">
      <c r="A1269" s="93"/>
      <c r="B1269" s="87" t="s">
        <v>779</v>
      </c>
      <c r="C1269" s="88"/>
      <c r="D1269" s="92"/>
      <c r="E1269" s="89"/>
      <c r="F1269" s="89"/>
      <c r="G1269" s="89"/>
    </row>
    <row r="1270">
      <c r="A1270" s="93"/>
      <c r="B1270" s="87" t="s">
        <v>779</v>
      </c>
      <c r="C1270" s="88"/>
      <c r="D1270" s="92"/>
      <c r="E1270" s="89"/>
      <c r="F1270" s="89"/>
      <c r="G1270" s="89"/>
    </row>
    <row r="1271">
      <c r="A1271" s="93"/>
      <c r="B1271" s="87" t="s">
        <v>779</v>
      </c>
      <c r="C1271" s="88"/>
      <c r="D1271" s="92"/>
      <c r="E1271" s="89"/>
      <c r="F1271" s="89"/>
      <c r="G1271" s="89"/>
    </row>
    <row r="1272">
      <c r="A1272" s="93"/>
      <c r="B1272" s="87" t="s">
        <v>779</v>
      </c>
      <c r="C1272" s="88"/>
      <c r="D1272" s="92"/>
      <c r="E1272" s="89"/>
      <c r="F1272" s="89"/>
      <c r="G1272" s="89"/>
    </row>
    <row r="1273">
      <c r="A1273" s="93"/>
      <c r="B1273" s="87" t="s">
        <v>779</v>
      </c>
      <c r="C1273" s="88"/>
      <c r="D1273" s="92"/>
      <c r="E1273" s="89"/>
      <c r="F1273" s="89"/>
      <c r="G1273" s="89"/>
    </row>
    <row r="1274">
      <c r="A1274" s="93"/>
      <c r="B1274" s="87" t="s">
        <v>779</v>
      </c>
      <c r="C1274" s="88"/>
      <c r="D1274" s="92"/>
      <c r="E1274" s="89"/>
      <c r="F1274" s="89"/>
      <c r="G1274" s="89"/>
    </row>
    <row r="1275">
      <c r="A1275" s="93"/>
      <c r="B1275" s="87" t="s">
        <v>779</v>
      </c>
      <c r="C1275" s="88"/>
      <c r="D1275" s="92"/>
      <c r="E1275" s="89"/>
      <c r="F1275" s="89"/>
      <c r="G1275" s="89"/>
    </row>
    <row r="1276">
      <c r="A1276" s="93"/>
      <c r="B1276" s="87" t="s">
        <v>779</v>
      </c>
      <c r="C1276" s="88"/>
      <c r="D1276" s="92"/>
      <c r="E1276" s="89"/>
      <c r="F1276" s="89"/>
      <c r="G1276" s="89"/>
    </row>
    <row r="1277">
      <c r="A1277" s="93"/>
      <c r="B1277" s="87" t="s">
        <v>779</v>
      </c>
      <c r="C1277" s="88"/>
      <c r="D1277" s="92"/>
      <c r="E1277" s="89"/>
      <c r="F1277" s="89"/>
      <c r="G1277" s="89"/>
    </row>
    <row r="1278">
      <c r="A1278" s="93"/>
      <c r="B1278" s="87" t="s">
        <v>779</v>
      </c>
      <c r="C1278" s="88"/>
      <c r="D1278" s="92"/>
      <c r="E1278" s="89"/>
      <c r="F1278" s="89"/>
      <c r="G1278" s="89"/>
    </row>
    <row r="1279">
      <c r="A1279" s="93"/>
      <c r="B1279" s="87" t="s">
        <v>779</v>
      </c>
      <c r="C1279" s="88"/>
      <c r="D1279" s="92"/>
      <c r="E1279" s="89"/>
      <c r="F1279" s="89"/>
      <c r="G1279" s="89"/>
    </row>
    <row r="1280">
      <c r="A1280" s="93"/>
      <c r="B1280" s="87" t="s">
        <v>779</v>
      </c>
      <c r="C1280" s="88"/>
      <c r="D1280" s="92"/>
      <c r="E1280" s="89"/>
      <c r="F1280" s="89"/>
      <c r="G1280" s="89"/>
    </row>
    <row r="1281">
      <c r="A1281" s="93"/>
      <c r="B1281" s="87" t="s">
        <v>779</v>
      </c>
      <c r="C1281" s="88"/>
      <c r="D1281" s="92"/>
      <c r="E1281" s="89"/>
      <c r="F1281" s="89"/>
      <c r="G1281" s="89"/>
    </row>
    <row r="1282">
      <c r="A1282" s="93"/>
      <c r="B1282" s="87" t="s">
        <v>779</v>
      </c>
      <c r="C1282" s="88"/>
      <c r="D1282" s="92"/>
      <c r="E1282" s="89"/>
      <c r="F1282" s="89"/>
      <c r="G1282" s="89"/>
    </row>
    <row r="1283">
      <c r="A1283" s="93"/>
      <c r="B1283" s="87" t="s">
        <v>779</v>
      </c>
      <c r="C1283" s="88"/>
      <c r="D1283" s="92"/>
      <c r="E1283" s="89"/>
      <c r="F1283" s="89"/>
      <c r="G1283" s="89"/>
    </row>
    <row r="1284">
      <c r="A1284" s="93"/>
      <c r="B1284" s="87" t="s">
        <v>779</v>
      </c>
      <c r="C1284" s="88"/>
      <c r="D1284" s="92"/>
      <c r="E1284" s="89"/>
      <c r="F1284" s="89"/>
      <c r="G1284" s="89"/>
    </row>
    <row r="1285">
      <c r="A1285" s="93"/>
      <c r="B1285" s="87" t="s">
        <v>779</v>
      </c>
      <c r="C1285" s="88"/>
      <c r="D1285" s="92"/>
      <c r="E1285" s="89"/>
      <c r="F1285" s="89"/>
      <c r="G1285" s="89"/>
    </row>
    <row r="1286">
      <c r="A1286" s="93"/>
      <c r="B1286" s="87" t="s">
        <v>779</v>
      </c>
      <c r="C1286" s="88"/>
      <c r="D1286" s="92"/>
      <c r="E1286" s="89"/>
      <c r="F1286" s="89"/>
      <c r="G1286" s="89"/>
    </row>
    <row r="1287">
      <c r="A1287" s="93"/>
      <c r="B1287" s="87" t="s">
        <v>779</v>
      </c>
      <c r="C1287" s="88"/>
      <c r="D1287" s="92"/>
      <c r="E1287" s="89"/>
      <c r="F1287" s="89"/>
      <c r="G1287" s="89"/>
    </row>
    <row r="1288">
      <c r="A1288" s="93"/>
      <c r="B1288" s="87" t="s">
        <v>779</v>
      </c>
      <c r="C1288" s="88"/>
      <c r="D1288" s="92"/>
      <c r="E1288" s="89"/>
      <c r="F1288" s="89"/>
      <c r="G1288" s="89"/>
    </row>
    <row r="1289">
      <c r="A1289" s="93"/>
      <c r="B1289" s="87" t="s">
        <v>779</v>
      </c>
      <c r="C1289" s="88"/>
      <c r="D1289" s="92"/>
      <c r="E1289" s="89"/>
      <c r="F1289" s="89"/>
      <c r="G1289" s="89"/>
    </row>
    <row r="1290">
      <c r="A1290" s="93"/>
      <c r="B1290" s="87" t="s">
        <v>779</v>
      </c>
      <c r="C1290" s="88"/>
      <c r="D1290" s="92"/>
      <c r="E1290" s="89"/>
      <c r="F1290" s="89"/>
      <c r="G1290" s="89"/>
    </row>
    <row r="1291">
      <c r="A1291" s="93"/>
      <c r="B1291" s="87" t="s">
        <v>779</v>
      </c>
      <c r="C1291" s="88"/>
      <c r="D1291" s="92"/>
      <c r="E1291" s="89"/>
      <c r="F1291" s="89"/>
      <c r="G1291" s="89"/>
    </row>
    <row r="1292">
      <c r="A1292" s="93"/>
      <c r="B1292" s="87" t="s">
        <v>779</v>
      </c>
      <c r="C1292" s="88"/>
      <c r="D1292" s="92"/>
      <c r="E1292" s="89"/>
      <c r="F1292" s="89"/>
      <c r="G1292" s="89"/>
    </row>
    <row r="1293">
      <c r="A1293" s="93"/>
      <c r="B1293" s="87" t="s">
        <v>779</v>
      </c>
      <c r="C1293" s="88"/>
      <c r="D1293" s="92"/>
      <c r="E1293" s="89"/>
      <c r="F1293" s="89"/>
      <c r="G1293" s="89"/>
    </row>
    <row r="1294">
      <c r="A1294" s="93"/>
      <c r="B1294" s="87" t="s">
        <v>779</v>
      </c>
      <c r="C1294" s="88"/>
      <c r="D1294" s="92"/>
      <c r="E1294" s="89"/>
      <c r="F1294" s="89"/>
      <c r="G1294" s="89"/>
    </row>
    <row r="1295">
      <c r="A1295" s="93"/>
      <c r="B1295" s="87" t="s">
        <v>779</v>
      </c>
      <c r="C1295" s="88"/>
      <c r="D1295" s="92"/>
      <c r="E1295" s="89"/>
      <c r="F1295" s="89"/>
      <c r="G1295" s="89"/>
    </row>
    <row r="1296">
      <c r="A1296" s="93"/>
      <c r="B1296" s="87" t="s">
        <v>779</v>
      </c>
      <c r="C1296" s="88"/>
      <c r="D1296" s="92"/>
      <c r="E1296" s="89"/>
      <c r="F1296" s="89"/>
      <c r="G1296" s="89"/>
    </row>
    <row r="1297">
      <c r="A1297" s="93"/>
      <c r="B1297" s="87" t="s">
        <v>779</v>
      </c>
      <c r="C1297" s="88"/>
      <c r="D1297" s="92"/>
      <c r="E1297" s="89"/>
      <c r="F1297" s="89"/>
      <c r="G1297" s="89"/>
    </row>
    <row r="1298">
      <c r="A1298" s="93"/>
      <c r="B1298" s="87" t="s">
        <v>779</v>
      </c>
      <c r="C1298" s="88"/>
      <c r="D1298" s="92"/>
      <c r="E1298" s="89"/>
      <c r="F1298" s="89"/>
      <c r="G1298" s="89"/>
    </row>
    <row r="1299">
      <c r="A1299" s="93"/>
      <c r="B1299" s="87" t="s">
        <v>779</v>
      </c>
      <c r="C1299" s="88"/>
      <c r="D1299" s="92"/>
      <c r="E1299" s="89"/>
      <c r="F1299" s="89"/>
      <c r="G1299" s="89"/>
    </row>
    <row r="1300">
      <c r="A1300" s="93"/>
      <c r="B1300" s="87" t="s">
        <v>779</v>
      </c>
      <c r="C1300" s="88"/>
      <c r="D1300" s="92"/>
      <c r="E1300" s="89"/>
      <c r="F1300" s="89"/>
      <c r="G1300" s="89"/>
    </row>
    <row r="1301">
      <c r="A1301" s="93"/>
      <c r="B1301" s="87" t="s">
        <v>779</v>
      </c>
      <c r="C1301" s="88"/>
      <c r="D1301" s="92"/>
      <c r="E1301" s="89"/>
      <c r="F1301" s="89"/>
      <c r="G1301" s="89"/>
    </row>
    <row r="1302">
      <c r="A1302" s="93"/>
      <c r="B1302" s="87" t="s">
        <v>779</v>
      </c>
      <c r="C1302" s="88"/>
      <c r="D1302" s="92"/>
      <c r="E1302" s="89"/>
      <c r="F1302" s="89"/>
      <c r="G1302" s="89"/>
    </row>
    <row r="1303">
      <c r="A1303" s="93"/>
      <c r="B1303" s="87" t="s">
        <v>779</v>
      </c>
      <c r="C1303" s="88"/>
      <c r="D1303" s="92"/>
      <c r="E1303" s="89"/>
      <c r="F1303" s="89"/>
      <c r="G1303" s="89"/>
    </row>
    <row r="1304">
      <c r="A1304" s="93"/>
      <c r="B1304" s="87" t="s">
        <v>779</v>
      </c>
      <c r="C1304" s="88"/>
      <c r="D1304" s="92"/>
      <c r="E1304" s="89"/>
      <c r="F1304" s="89"/>
      <c r="G1304" s="89"/>
    </row>
    <row r="1305">
      <c r="A1305" s="93"/>
      <c r="B1305" s="87" t="s">
        <v>779</v>
      </c>
      <c r="C1305" s="88"/>
      <c r="D1305" s="92"/>
      <c r="E1305" s="89"/>
      <c r="F1305" s="89"/>
      <c r="G1305" s="89"/>
    </row>
    <row r="1306">
      <c r="A1306" s="93"/>
      <c r="B1306" s="87" t="s">
        <v>779</v>
      </c>
      <c r="C1306" s="88"/>
      <c r="D1306" s="92"/>
      <c r="E1306" s="89"/>
      <c r="F1306" s="89"/>
      <c r="G1306" s="89"/>
    </row>
    <row r="1307">
      <c r="A1307" s="93"/>
      <c r="B1307" s="87" t="s">
        <v>779</v>
      </c>
      <c r="C1307" s="88"/>
      <c r="D1307" s="92"/>
      <c r="E1307" s="89"/>
      <c r="F1307" s="89"/>
      <c r="G1307" s="89"/>
    </row>
    <row r="1308">
      <c r="A1308" s="93"/>
      <c r="B1308" s="87" t="s">
        <v>779</v>
      </c>
      <c r="C1308" s="88"/>
      <c r="D1308" s="92"/>
      <c r="E1308" s="89"/>
      <c r="F1308" s="89"/>
      <c r="G1308" s="89"/>
    </row>
    <row r="1309">
      <c r="A1309" s="93"/>
      <c r="B1309" s="87" t="s">
        <v>779</v>
      </c>
      <c r="C1309" s="88"/>
      <c r="D1309" s="92"/>
      <c r="E1309" s="89"/>
      <c r="F1309" s="89"/>
      <c r="G1309" s="89"/>
    </row>
    <row r="1310">
      <c r="A1310" s="93"/>
      <c r="B1310" s="87" t="s">
        <v>779</v>
      </c>
      <c r="C1310" s="88"/>
      <c r="D1310" s="92"/>
      <c r="E1310" s="89"/>
      <c r="F1310" s="89"/>
      <c r="G1310" s="89"/>
    </row>
    <row r="1311">
      <c r="A1311" s="93"/>
      <c r="B1311" s="87" t="s">
        <v>779</v>
      </c>
      <c r="C1311" s="88"/>
      <c r="D1311" s="92"/>
      <c r="E1311" s="89"/>
      <c r="F1311" s="89"/>
      <c r="G1311" s="89"/>
    </row>
    <row r="1312">
      <c r="A1312" s="93"/>
      <c r="B1312" s="87" t="s">
        <v>779</v>
      </c>
      <c r="C1312" s="88"/>
      <c r="D1312" s="92"/>
      <c r="E1312" s="89"/>
      <c r="F1312" s="89"/>
      <c r="G1312" s="89"/>
    </row>
    <row r="1313">
      <c r="A1313" s="93"/>
      <c r="B1313" s="87" t="s">
        <v>779</v>
      </c>
      <c r="C1313" s="88"/>
      <c r="D1313" s="92"/>
      <c r="E1313" s="89"/>
      <c r="F1313" s="89"/>
      <c r="G1313" s="89"/>
    </row>
    <row r="1314">
      <c r="A1314" s="93"/>
      <c r="B1314" s="87" t="s">
        <v>779</v>
      </c>
      <c r="C1314" s="88"/>
      <c r="D1314" s="92"/>
      <c r="E1314" s="89"/>
      <c r="F1314" s="89"/>
      <c r="G1314" s="89"/>
    </row>
    <row r="1315">
      <c r="A1315" s="93"/>
      <c r="B1315" s="87" t="s">
        <v>779</v>
      </c>
      <c r="C1315" s="88"/>
      <c r="D1315" s="92"/>
      <c r="E1315" s="89"/>
      <c r="F1315" s="89"/>
      <c r="G1315" s="89"/>
    </row>
    <row r="1316">
      <c r="A1316" s="93"/>
      <c r="B1316" s="87" t="s">
        <v>779</v>
      </c>
      <c r="C1316" s="88"/>
      <c r="D1316" s="92"/>
      <c r="E1316" s="89"/>
      <c r="F1316" s="89"/>
      <c r="G1316" s="89"/>
    </row>
    <row r="1317">
      <c r="A1317" s="93"/>
      <c r="B1317" s="87" t="s">
        <v>779</v>
      </c>
      <c r="C1317" s="88"/>
      <c r="D1317" s="92"/>
      <c r="E1317" s="89"/>
      <c r="F1317" s="89"/>
      <c r="G1317" s="89"/>
    </row>
    <row r="1318">
      <c r="A1318" s="93"/>
      <c r="B1318" s="87" t="s">
        <v>779</v>
      </c>
      <c r="C1318" s="88"/>
      <c r="D1318" s="92"/>
      <c r="E1318" s="89"/>
      <c r="F1318" s="89"/>
      <c r="G1318" s="89"/>
    </row>
    <row r="1319">
      <c r="A1319" s="93"/>
      <c r="B1319" s="87" t="s">
        <v>779</v>
      </c>
      <c r="C1319" s="88"/>
      <c r="D1319" s="92"/>
      <c r="E1319" s="89"/>
      <c r="F1319" s="89"/>
      <c r="G1319" s="89"/>
    </row>
    <row r="1320">
      <c r="A1320" s="93"/>
      <c r="B1320" s="87" t="s">
        <v>779</v>
      </c>
      <c r="C1320" s="88"/>
      <c r="D1320" s="92"/>
      <c r="E1320" s="89"/>
      <c r="F1320" s="89"/>
      <c r="G1320" s="89"/>
    </row>
    <row r="1321">
      <c r="A1321" s="93"/>
      <c r="B1321" s="87" t="s">
        <v>779</v>
      </c>
      <c r="C1321" s="88"/>
      <c r="D1321" s="92"/>
      <c r="E1321" s="89"/>
      <c r="F1321" s="89"/>
      <c r="G1321" s="89"/>
    </row>
    <row r="1322">
      <c r="A1322" s="93"/>
      <c r="B1322" s="87" t="s">
        <v>779</v>
      </c>
      <c r="C1322" s="88"/>
      <c r="D1322" s="92"/>
      <c r="E1322" s="89"/>
      <c r="F1322" s="89"/>
      <c r="G1322" s="89"/>
    </row>
    <row r="1323">
      <c r="A1323" s="93"/>
      <c r="B1323" s="87" t="s">
        <v>779</v>
      </c>
      <c r="C1323" s="88"/>
      <c r="D1323" s="92"/>
      <c r="E1323" s="89"/>
      <c r="F1323" s="89"/>
      <c r="G1323" s="89"/>
    </row>
    <row r="1324">
      <c r="A1324" s="93"/>
      <c r="B1324" s="87" t="s">
        <v>779</v>
      </c>
      <c r="C1324" s="88"/>
      <c r="D1324" s="92"/>
      <c r="E1324" s="89"/>
      <c r="F1324" s="89"/>
      <c r="G1324" s="89"/>
    </row>
    <row r="1325">
      <c r="A1325" s="93"/>
      <c r="B1325" s="87" t="s">
        <v>779</v>
      </c>
      <c r="C1325" s="88"/>
      <c r="D1325" s="92"/>
      <c r="E1325" s="89"/>
      <c r="F1325" s="89"/>
      <c r="G1325" s="89"/>
    </row>
    <row r="1326">
      <c r="A1326" s="93"/>
      <c r="B1326" s="87" t="s">
        <v>779</v>
      </c>
      <c r="C1326" s="88"/>
      <c r="D1326" s="92"/>
      <c r="E1326" s="89"/>
      <c r="F1326" s="89"/>
      <c r="G1326" s="89"/>
    </row>
    <row r="1327">
      <c r="A1327" s="93"/>
      <c r="B1327" s="87" t="s">
        <v>779</v>
      </c>
      <c r="C1327" s="88"/>
      <c r="D1327" s="92"/>
      <c r="E1327" s="89"/>
      <c r="F1327" s="89"/>
      <c r="G1327" s="89"/>
    </row>
    <row r="1328">
      <c r="A1328" s="93"/>
      <c r="B1328" s="87" t="s">
        <v>779</v>
      </c>
      <c r="C1328" s="88"/>
      <c r="D1328" s="92"/>
      <c r="E1328" s="89"/>
      <c r="F1328" s="89"/>
      <c r="G1328" s="89"/>
    </row>
    <row r="1329">
      <c r="A1329" s="93"/>
      <c r="B1329" s="87" t="s">
        <v>779</v>
      </c>
      <c r="C1329" s="88"/>
      <c r="D1329" s="92"/>
      <c r="E1329" s="89"/>
      <c r="F1329" s="89"/>
      <c r="G1329" s="89"/>
    </row>
    <row r="1330">
      <c r="A1330" s="93"/>
      <c r="B1330" s="87" t="s">
        <v>779</v>
      </c>
      <c r="C1330" s="88"/>
      <c r="D1330" s="92"/>
      <c r="E1330" s="89"/>
      <c r="F1330" s="89"/>
      <c r="G1330" s="89"/>
    </row>
    <row r="1331">
      <c r="A1331" s="93"/>
      <c r="B1331" s="87" t="s">
        <v>779</v>
      </c>
      <c r="C1331" s="88"/>
      <c r="D1331" s="92"/>
      <c r="E1331" s="89"/>
      <c r="F1331" s="89"/>
      <c r="G1331" s="89"/>
    </row>
    <row r="1332">
      <c r="A1332" s="93"/>
      <c r="B1332" s="87" t="s">
        <v>779</v>
      </c>
      <c r="C1332" s="88"/>
      <c r="D1332" s="92"/>
      <c r="E1332" s="89"/>
      <c r="F1332" s="89"/>
      <c r="G1332" s="89"/>
    </row>
    <row r="1333">
      <c r="A1333" s="93"/>
      <c r="B1333" s="87" t="s">
        <v>779</v>
      </c>
      <c r="C1333" s="88"/>
      <c r="D1333" s="92"/>
      <c r="E1333" s="89"/>
      <c r="F1333" s="89"/>
      <c r="G1333" s="89"/>
    </row>
    <row r="1334">
      <c r="A1334" s="93"/>
      <c r="B1334" s="87" t="s">
        <v>779</v>
      </c>
      <c r="C1334" s="88"/>
      <c r="D1334" s="92"/>
      <c r="E1334" s="89"/>
      <c r="F1334" s="89"/>
      <c r="G1334" s="89"/>
    </row>
    <row r="1335">
      <c r="A1335" s="93"/>
      <c r="B1335" s="87" t="s">
        <v>779</v>
      </c>
      <c r="C1335" s="88"/>
      <c r="D1335" s="92"/>
      <c r="E1335" s="89"/>
      <c r="F1335" s="89"/>
      <c r="G1335" s="89"/>
    </row>
    <row r="1336">
      <c r="A1336" s="93"/>
      <c r="B1336" s="87" t="s">
        <v>779</v>
      </c>
      <c r="C1336" s="88"/>
      <c r="D1336" s="92"/>
      <c r="E1336" s="89"/>
      <c r="F1336" s="89"/>
      <c r="G1336" s="89"/>
    </row>
    <row r="1337">
      <c r="A1337" s="93"/>
      <c r="B1337" s="87" t="s">
        <v>779</v>
      </c>
      <c r="C1337" s="88"/>
      <c r="D1337" s="92"/>
      <c r="E1337" s="89"/>
      <c r="F1337" s="89"/>
      <c r="G1337" s="89"/>
    </row>
    <row r="1338">
      <c r="A1338" s="93"/>
      <c r="B1338" s="87" t="s">
        <v>779</v>
      </c>
      <c r="C1338" s="88"/>
      <c r="D1338" s="92"/>
      <c r="E1338" s="89"/>
      <c r="F1338" s="89"/>
      <c r="G1338" s="89"/>
    </row>
    <row r="1339">
      <c r="A1339" s="93"/>
      <c r="B1339" s="87" t="s">
        <v>779</v>
      </c>
      <c r="C1339" s="88"/>
      <c r="D1339" s="92"/>
      <c r="E1339" s="89"/>
      <c r="F1339" s="89"/>
      <c r="G1339" s="89"/>
    </row>
    <row r="1340">
      <c r="A1340" s="93"/>
      <c r="B1340" s="87" t="s">
        <v>779</v>
      </c>
      <c r="C1340" s="88"/>
      <c r="D1340" s="92"/>
      <c r="E1340" s="89"/>
      <c r="F1340" s="89"/>
      <c r="G1340" s="89"/>
    </row>
    <row r="1341">
      <c r="A1341" s="93"/>
      <c r="B1341" s="87" t="s">
        <v>779</v>
      </c>
      <c r="C1341" s="88"/>
      <c r="D1341" s="92"/>
      <c r="E1341" s="89"/>
      <c r="F1341" s="89"/>
      <c r="G1341" s="89"/>
    </row>
    <row r="1342">
      <c r="A1342" s="93"/>
      <c r="B1342" s="87" t="s">
        <v>779</v>
      </c>
      <c r="C1342" s="88"/>
      <c r="D1342" s="92"/>
      <c r="E1342" s="89"/>
      <c r="F1342" s="89"/>
      <c r="G1342" s="89"/>
    </row>
    <row r="1343">
      <c r="A1343" s="93"/>
      <c r="B1343" s="87" t="s">
        <v>779</v>
      </c>
      <c r="C1343" s="88"/>
      <c r="D1343" s="92"/>
      <c r="E1343" s="89"/>
      <c r="F1343" s="89"/>
      <c r="G1343" s="89"/>
    </row>
    <row r="1344">
      <c r="A1344" s="93"/>
      <c r="B1344" s="87" t="s">
        <v>779</v>
      </c>
      <c r="C1344" s="88"/>
      <c r="D1344" s="92"/>
      <c r="E1344" s="89"/>
      <c r="F1344" s="89"/>
      <c r="G1344" s="89"/>
    </row>
    <row r="1345">
      <c r="A1345" s="93"/>
      <c r="B1345" s="87" t="s">
        <v>779</v>
      </c>
      <c r="C1345" s="88"/>
      <c r="D1345" s="92"/>
      <c r="E1345" s="89"/>
      <c r="F1345" s="89"/>
      <c r="G1345" s="89"/>
    </row>
    <row r="1346">
      <c r="A1346" s="93"/>
      <c r="B1346" s="87" t="s">
        <v>779</v>
      </c>
      <c r="C1346" s="88"/>
      <c r="D1346" s="92"/>
      <c r="E1346" s="89"/>
      <c r="F1346" s="89"/>
      <c r="G1346" s="89"/>
    </row>
    <row r="1347">
      <c r="A1347" s="93"/>
      <c r="B1347" s="87" t="s">
        <v>779</v>
      </c>
      <c r="C1347" s="88"/>
      <c r="D1347" s="92"/>
      <c r="E1347" s="89"/>
      <c r="F1347" s="89"/>
      <c r="G1347" s="89"/>
    </row>
    <row r="1348">
      <c r="A1348" s="93"/>
      <c r="B1348" s="87" t="s">
        <v>779</v>
      </c>
      <c r="C1348" s="88"/>
      <c r="D1348" s="92"/>
      <c r="E1348" s="89"/>
      <c r="F1348" s="89"/>
      <c r="G1348" s="89"/>
    </row>
    <row r="1349">
      <c r="A1349" s="93"/>
      <c r="B1349" s="87" t="s">
        <v>779</v>
      </c>
      <c r="C1349" s="88"/>
      <c r="D1349" s="92"/>
      <c r="E1349" s="89"/>
      <c r="F1349" s="89"/>
      <c r="G1349" s="89"/>
    </row>
    <row r="1350">
      <c r="A1350" s="93"/>
      <c r="B1350" s="87" t="s">
        <v>779</v>
      </c>
      <c r="C1350" s="88"/>
      <c r="D1350" s="92"/>
      <c r="E1350" s="89"/>
      <c r="F1350" s="89"/>
      <c r="G1350" s="89"/>
    </row>
    <row r="1351">
      <c r="A1351" s="93"/>
      <c r="B1351" s="87" t="s">
        <v>779</v>
      </c>
      <c r="C1351" s="88"/>
      <c r="D1351" s="92"/>
      <c r="E1351" s="89"/>
      <c r="F1351" s="89"/>
      <c r="G1351" s="89"/>
    </row>
    <row r="1352">
      <c r="A1352" s="93"/>
      <c r="B1352" s="87" t="s">
        <v>779</v>
      </c>
      <c r="C1352" s="88"/>
      <c r="D1352" s="92"/>
      <c r="E1352" s="89"/>
      <c r="F1352" s="89"/>
      <c r="G1352" s="89"/>
    </row>
    <row r="1353">
      <c r="A1353" s="93"/>
      <c r="B1353" s="87" t="s">
        <v>779</v>
      </c>
      <c r="C1353" s="88"/>
      <c r="D1353" s="92"/>
      <c r="E1353" s="89"/>
      <c r="F1353" s="89"/>
      <c r="G1353" s="89"/>
    </row>
    <row r="1354">
      <c r="A1354" s="93"/>
      <c r="B1354" s="87" t="s">
        <v>779</v>
      </c>
      <c r="C1354" s="88"/>
      <c r="D1354" s="92"/>
      <c r="E1354" s="89"/>
      <c r="F1354" s="89"/>
      <c r="G1354" s="89"/>
    </row>
    <row r="1355">
      <c r="A1355" s="93"/>
      <c r="B1355" s="87" t="s">
        <v>779</v>
      </c>
      <c r="C1355" s="88"/>
      <c r="D1355" s="92"/>
      <c r="E1355" s="89"/>
      <c r="F1355" s="89"/>
      <c r="G1355" s="89"/>
    </row>
    <row r="1356">
      <c r="A1356" s="93"/>
      <c r="B1356" s="87" t="s">
        <v>779</v>
      </c>
      <c r="C1356" s="88"/>
      <c r="D1356" s="92"/>
      <c r="E1356" s="89"/>
      <c r="F1356" s="89"/>
      <c r="G1356" s="89"/>
    </row>
    <row r="1357">
      <c r="A1357" s="93"/>
      <c r="B1357" s="87" t="s">
        <v>779</v>
      </c>
      <c r="C1357" s="88"/>
      <c r="D1357" s="92"/>
      <c r="E1357" s="89"/>
      <c r="F1357" s="89"/>
      <c r="G1357" s="89"/>
    </row>
    <row r="1358">
      <c r="A1358" s="93"/>
      <c r="B1358" s="87" t="s">
        <v>779</v>
      </c>
      <c r="C1358" s="88"/>
      <c r="D1358" s="92"/>
      <c r="E1358" s="89"/>
      <c r="F1358" s="89"/>
      <c r="G1358" s="89"/>
    </row>
    <row r="1359">
      <c r="A1359" s="93"/>
      <c r="B1359" s="87" t="s">
        <v>779</v>
      </c>
      <c r="C1359" s="88"/>
      <c r="D1359" s="92"/>
      <c r="E1359" s="89"/>
      <c r="F1359" s="89"/>
      <c r="G1359" s="89"/>
    </row>
    <row r="1360">
      <c r="A1360" s="93"/>
      <c r="B1360" s="87" t="s">
        <v>779</v>
      </c>
      <c r="C1360" s="88"/>
      <c r="D1360" s="92"/>
      <c r="E1360" s="89"/>
      <c r="F1360" s="89"/>
      <c r="G1360" s="89"/>
    </row>
    <row r="1361">
      <c r="A1361" s="93"/>
      <c r="B1361" s="87" t="s">
        <v>779</v>
      </c>
      <c r="C1361" s="88"/>
      <c r="D1361" s="92"/>
      <c r="E1361" s="89"/>
      <c r="F1361" s="89"/>
      <c r="G1361" s="89"/>
    </row>
    <row r="1362">
      <c r="A1362" s="93"/>
      <c r="B1362" s="87" t="s">
        <v>779</v>
      </c>
      <c r="C1362" s="88"/>
      <c r="D1362" s="92"/>
      <c r="E1362" s="89"/>
      <c r="F1362" s="89"/>
      <c r="G1362" s="89"/>
    </row>
    <row r="1363">
      <c r="A1363" s="93"/>
      <c r="B1363" s="87" t="s">
        <v>779</v>
      </c>
      <c r="C1363" s="88"/>
      <c r="D1363" s="92"/>
      <c r="E1363" s="89"/>
      <c r="F1363" s="89"/>
      <c r="G1363" s="89"/>
    </row>
    <row r="1364">
      <c r="A1364" s="93"/>
      <c r="B1364" s="87" t="s">
        <v>779</v>
      </c>
      <c r="C1364" s="88"/>
      <c r="D1364" s="92"/>
      <c r="E1364" s="89"/>
      <c r="F1364" s="89"/>
      <c r="G1364" s="89"/>
    </row>
    <row r="1365">
      <c r="A1365" s="93"/>
      <c r="B1365" s="87" t="s">
        <v>779</v>
      </c>
      <c r="C1365" s="88"/>
      <c r="D1365" s="92"/>
      <c r="E1365" s="89"/>
      <c r="F1365" s="89"/>
      <c r="G1365" s="89"/>
    </row>
    <row r="1366">
      <c r="A1366" s="93"/>
      <c r="B1366" s="87" t="s">
        <v>779</v>
      </c>
      <c r="C1366" s="88"/>
      <c r="D1366" s="92"/>
      <c r="E1366" s="89"/>
      <c r="F1366" s="89"/>
      <c r="G1366" s="89"/>
    </row>
    <row r="1367">
      <c r="A1367" s="93"/>
      <c r="B1367" s="87" t="s">
        <v>779</v>
      </c>
      <c r="C1367" s="88"/>
      <c r="D1367" s="92"/>
      <c r="E1367" s="89"/>
      <c r="F1367" s="89"/>
      <c r="G1367" s="89"/>
    </row>
    <row r="1368">
      <c r="A1368" s="93"/>
      <c r="B1368" s="87" t="s">
        <v>779</v>
      </c>
      <c r="C1368" s="88"/>
      <c r="D1368" s="92"/>
      <c r="E1368" s="89"/>
      <c r="F1368" s="89"/>
      <c r="G1368" s="89"/>
    </row>
    <row r="1369">
      <c r="A1369" s="93"/>
      <c r="B1369" s="87" t="s">
        <v>779</v>
      </c>
      <c r="C1369" s="88"/>
      <c r="D1369" s="92"/>
      <c r="E1369" s="89"/>
      <c r="F1369" s="89"/>
      <c r="G1369" s="89"/>
    </row>
    <row r="1370">
      <c r="A1370" s="93"/>
      <c r="B1370" s="87" t="s">
        <v>779</v>
      </c>
      <c r="C1370" s="88"/>
      <c r="D1370" s="92"/>
      <c r="E1370" s="89"/>
      <c r="F1370" s="89"/>
      <c r="G1370" s="89"/>
    </row>
    <row r="1371">
      <c r="A1371" s="93"/>
      <c r="B1371" s="87" t="s">
        <v>779</v>
      </c>
      <c r="C1371" s="88"/>
      <c r="D1371" s="92"/>
      <c r="E1371" s="89"/>
      <c r="F1371" s="89"/>
      <c r="G1371" s="89"/>
    </row>
    <row r="1372">
      <c r="A1372" s="93"/>
      <c r="B1372" s="87" t="s">
        <v>779</v>
      </c>
      <c r="C1372" s="88"/>
      <c r="D1372" s="92"/>
      <c r="E1372" s="89"/>
      <c r="F1372" s="89"/>
      <c r="G1372" s="89"/>
    </row>
    <row r="1373">
      <c r="A1373" s="93"/>
      <c r="B1373" s="87" t="s">
        <v>779</v>
      </c>
      <c r="C1373" s="88"/>
      <c r="D1373" s="92"/>
      <c r="E1373" s="89"/>
      <c r="F1373" s="89"/>
      <c r="G1373" s="89"/>
    </row>
    <row r="1374">
      <c r="A1374" s="93"/>
      <c r="B1374" s="87" t="s">
        <v>779</v>
      </c>
      <c r="C1374" s="88"/>
      <c r="D1374" s="92"/>
      <c r="E1374" s="89"/>
      <c r="F1374" s="89"/>
      <c r="G1374" s="89"/>
    </row>
    <row r="1375">
      <c r="A1375" s="93"/>
      <c r="B1375" s="87" t="s">
        <v>779</v>
      </c>
      <c r="C1375" s="88"/>
      <c r="D1375" s="92"/>
      <c r="E1375" s="89"/>
      <c r="F1375" s="89"/>
      <c r="G1375" s="89"/>
    </row>
    <row r="1376">
      <c r="A1376" s="93"/>
      <c r="B1376" s="87" t="s">
        <v>779</v>
      </c>
      <c r="C1376" s="88"/>
      <c r="D1376" s="92"/>
      <c r="E1376" s="89"/>
      <c r="F1376" s="89"/>
      <c r="G1376" s="89"/>
    </row>
    <row r="1377">
      <c r="A1377" s="93"/>
      <c r="B1377" s="87" t="s">
        <v>779</v>
      </c>
      <c r="C1377" s="88"/>
      <c r="D1377" s="92"/>
      <c r="E1377" s="89"/>
      <c r="F1377" s="89"/>
      <c r="G1377" s="89"/>
    </row>
    <row r="1378">
      <c r="A1378" s="93"/>
      <c r="B1378" s="87" t="s">
        <v>779</v>
      </c>
      <c r="C1378" s="88"/>
      <c r="D1378" s="92"/>
      <c r="E1378" s="89"/>
      <c r="F1378" s="89"/>
      <c r="G1378" s="89"/>
    </row>
    <row r="1379">
      <c r="A1379" s="93"/>
      <c r="B1379" s="87" t="s">
        <v>779</v>
      </c>
      <c r="C1379" s="88"/>
      <c r="D1379" s="92"/>
      <c r="E1379" s="89"/>
      <c r="F1379" s="89"/>
      <c r="G1379" s="89"/>
    </row>
    <row r="1380">
      <c r="A1380" s="93"/>
      <c r="B1380" s="87" t="s">
        <v>779</v>
      </c>
      <c r="C1380" s="88"/>
      <c r="D1380" s="92"/>
      <c r="E1380" s="89"/>
      <c r="F1380" s="89"/>
      <c r="G1380" s="89"/>
    </row>
    <row r="1381">
      <c r="A1381" s="93"/>
      <c r="B1381" s="87" t="s">
        <v>779</v>
      </c>
      <c r="C1381" s="88"/>
      <c r="D1381" s="92"/>
      <c r="E1381" s="89"/>
      <c r="F1381" s="89"/>
      <c r="G1381" s="89"/>
    </row>
    <row r="1382">
      <c r="A1382" s="93"/>
      <c r="B1382" s="87" t="s">
        <v>779</v>
      </c>
      <c r="C1382" s="88"/>
      <c r="D1382" s="92"/>
      <c r="E1382" s="89"/>
      <c r="F1382" s="89"/>
      <c r="G1382" s="89"/>
    </row>
    <row r="1383">
      <c r="A1383" s="93"/>
      <c r="B1383" s="87" t="s">
        <v>779</v>
      </c>
      <c r="C1383" s="88"/>
      <c r="D1383" s="92"/>
      <c r="E1383" s="89"/>
      <c r="F1383" s="89"/>
      <c r="G1383" s="89"/>
    </row>
    <row r="1384">
      <c r="A1384" s="93"/>
      <c r="B1384" s="87" t="s">
        <v>779</v>
      </c>
      <c r="C1384" s="88"/>
      <c r="D1384" s="92"/>
      <c r="E1384" s="89"/>
      <c r="F1384" s="89"/>
      <c r="G1384" s="89"/>
    </row>
    <row r="1385">
      <c r="A1385" s="93"/>
      <c r="B1385" s="87" t="s">
        <v>779</v>
      </c>
      <c r="C1385" s="88"/>
      <c r="D1385" s="92"/>
      <c r="E1385" s="89"/>
      <c r="F1385" s="89"/>
      <c r="G1385" s="89"/>
    </row>
    <row r="1386">
      <c r="A1386" s="93"/>
      <c r="B1386" s="87" t="s">
        <v>779</v>
      </c>
      <c r="C1386" s="88"/>
      <c r="D1386" s="92"/>
      <c r="E1386" s="89"/>
      <c r="F1386" s="89"/>
      <c r="G1386" s="89"/>
    </row>
    <row r="1387">
      <c r="A1387" s="93"/>
      <c r="B1387" s="87" t="s">
        <v>779</v>
      </c>
      <c r="C1387" s="88"/>
      <c r="D1387" s="92"/>
      <c r="E1387" s="89"/>
      <c r="F1387" s="89"/>
      <c r="G1387" s="89"/>
    </row>
    <row r="1388">
      <c r="A1388" s="93"/>
      <c r="B1388" s="87" t="s">
        <v>779</v>
      </c>
      <c r="C1388" s="88"/>
      <c r="D1388" s="92"/>
      <c r="E1388" s="89"/>
      <c r="F1388" s="89"/>
      <c r="G1388" s="89"/>
    </row>
    <row r="1389">
      <c r="A1389" s="93"/>
      <c r="B1389" s="87" t="s">
        <v>779</v>
      </c>
      <c r="C1389" s="88"/>
      <c r="D1389" s="92"/>
      <c r="E1389" s="89"/>
      <c r="F1389" s="89"/>
      <c r="G1389" s="89"/>
    </row>
    <row r="1390">
      <c r="A1390" s="93"/>
      <c r="B1390" s="87" t="s">
        <v>779</v>
      </c>
      <c r="C1390" s="88"/>
      <c r="D1390" s="92"/>
      <c r="E1390" s="89"/>
      <c r="F1390" s="89"/>
      <c r="G1390" s="89"/>
    </row>
    <row r="1391">
      <c r="A1391" s="93"/>
      <c r="B1391" s="87" t="s">
        <v>779</v>
      </c>
      <c r="C1391" s="88"/>
      <c r="D1391" s="92"/>
      <c r="E1391" s="89"/>
      <c r="F1391" s="89"/>
      <c r="G1391" s="89"/>
    </row>
    <row r="1392">
      <c r="A1392" s="93"/>
      <c r="B1392" s="87" t="s">
        <v>779</v>
      </c>
      <c r="C1392" s="88"/>
      <c r="D1392" s="92"/>
      <c r="E1392" s="89"/>
      <c r="F1392" s="89"/>
      <c r="G1392" s="89"/>
    </row>
    <row r="1393">
      <c r="A1393" s="93"/>
      <c r="B1393" s="87" t="s">
        <v>779</v>
      </c>
      <c r="C1393" s="88"/>
      <c r="D1393" s="92"/>
      <c r="E1393" s="89"/>
      <c r="F1393" s="89"/>
      <c r="G1393" s="89"/>
    </row>
    <row r="1394">
      <c r="A1394" s="93"/>
      <c r="B1394" s="87" t="s">
        <v>779</v>
      </c>
      <c r="C1394" s="88"/>
      <c r="D1394" s="92"/>
      <c r="E1394" s="89"/>
      <c r="F1394" s="89"/>
      <c r="G1394" s="89"/>
    </row>
    <row r="1395">
      <c r="A1395" s="93"/>
      <c r="B1395" s="87" t="s">
        <v>779</v>
      </c>
      <c r="C1395" s="88"/>
      <c r="D1395" s="92"/>
      <c r="E1395" s="89"/>
      <c r="F1395" s="89"/>
      <c r="G1395" s="89"/>
    </row>
    <row r="1396">
      <c r="A1396" s="93"/>
      <c r="B1396" s="87" t="s">
        <v>779</v>
      </c>
      <c r="C1396" s="88"/>
      <c r="D1396" s="92"/>
      <c r="E1396" s="89"/>
      <c r="F1396" s="89"/>
      <c r="G1396" s="89"/>
    </row>
    <row r="1397">
      <c r="A1397" s="93"/>
      <c r="B1397" s="87" t="s">
        <v>779</v>
      </c>
      <c r="C1397" s="88"/>
      <c r="D1397" s="92"/>
      <c r="E1397" s="89"/>
      <c r="F1397" s="89"/>
      <c r="G1397" s="89"/>
    </row>
    <row r="1398">
      <c r="A1398" s="93"/>
      <c r="B1398" s="87" t="s">
        <v>779</v>
      </c>
      <c r="C1398" s="88"/>
      <c r="D1398" s="92"/>
      <c r="E1398" s="89"/>
      <c r="F1398" s="89"/>
      <c r="G1398" s="89"/>
    </row>
    <row r="1399">
      <c r="A1399" s="93"/>
      <c r="B1399" s="87" t="s">
        <v>779</v>
      </c>
      <c r="C1399" s="88"/>
      <c r="D1399" s="92"/>
      <c r="E1399" s="89"/>
      <c r="F1399" s="89"/>
      <c r="G1399" s="89"/>
    </row>
    <row r="1400">
      <c r="A1400" s="93"/>
      <c r="B1400" s="87" t="s">
        <v>779</v>
      </c>
      <c r="C1400" s="88"/>
      <c r="D1400" s="92"/>
      <c r="E1400" s="89"/>
      <c r="F1400" s="89"/>
      <c r="G1400" s="89"/>
    </row>
    <row r="1401">
      <c r="A1401" s="93"/>
      <c r="B1401" s="87" t="s">
        <v>779</v>
      </c>
      <c r="C1401" s="88"/>
      <c r="D1401" s="92"/>
      <c r="E1401" s="89"/>
      <c r="F1401" s="89"/>
      <c r="G1401" s="89"/>
    </row>
    <row r="1402">
      <c r="A1402" s="93"/>
      <c r="B1402" s="87" t="s">
        <v>779</v>
      </c>
      <c r="C1402" s="88"/>
      <c r="D1402" s="92"/>
      <c r="E1402" s="89"/>
      <c r="F1402" s="89"/>
      <c r="G1402" s="89"/>
    </row>
    <row r="1403">
      <c r="A1403" s="93"/>
      <c r="B1403" s="87" t="s">
        <v>779</v>
      </c>
      <c r="C1403" s="88"/>
      <c r="D1403" s="92"/>
      <c r="E1403" s="89"/>
      <c r="F1403" s="89"/>
      <c r="G1403" s="89"/>
    </row>
    <row r="1404">
      <c r="A1404" s="93"/>
      <c r="B1404" s="87" t="s">
        <v>779</v>
      </c>
      <c r="C1404" s="88"/>
      <c r="D1404" s="92"/>
      <c r="E1404" s="89"/>
      <c r="F1404" s="89"/>
      <c r="G1404" s="89"/>
    </row>
    <row r="1405">
      <c r="A1405" s="93"/>
      <c r="B1405" s="87" t="s">
        <v>779</v>
      </c>
      <c r="C1405" s="88"/>
      <c r="D1405" s="92"/>
      <c r="E1405" s="89"/>
      <c r="F1405" s="89"/>
      <c r="G1405" s="89"/>
    </row>
    <row r="1406">
      <c r="A1406" s="93"/>
      <c r="B1406" s="87" t="s">
        <v>779</v>
      </c>
      <c r="C1406" s="88"/>
      <c r="D1406" s="92"/>
      <c r="E1406" s="89"/>
      <c r="F1406" s="89"/>
      <c r="G1406" s="89"/>
    </row>
    <row r="1407">
      <c r="A1407" s="93"/>
      <c r="B1407" s="87" t="s">
        <v>779</v>
      </c>
      <c r="C1407" s="88"/>
      <c r="D1407" s="92"/>
      <c r="E1407" s="89"/>
      <c r="F1407" s="89"/>
      <c r="G1407" s="89"/>
    </row>
    <row r="1408">
      <c r="A1408" s="93"/>
      <c r="B1408" s="87" t="s">
        <v>779</v>
      </c>
      <c r="C1408" s="88"/>
      <c r="D1408" s="92"/>
      <c r="E1408" s="89"/>
      <c r="F1408" s="89"/>
      <c r="G1408" s="89"/>
    </row>
    <row r="1409">
      <c r="A1409" s="93"/>
      <c r="B1409" s="87" t="s">
        <v>779</v>
      </c>
      <c r="C1409" s="88"/>
      <c r="D1409" s="92"/>
      <c r="E1409" s="89"/>
      <c r="F1409" s="89"/>
      <c r="G1409" s="89"/>
    </row>
    <row r="1410">
      <c r="A1410" s="93"/>
      <c r="B1410" s="87" t="s">
        <v>779</v>
      </c>
      <c r="C1410" s="88"/>
      <c r="D1410" s="92"/>
      <c r="E1410" s="89"/>
      <c r="F1410" s="89"/>
      <c r="G1410" s="89"/>
    </row>
    <row r="1411">
      <c r="A1411" s="93"/>
      <c r="B1411" s="87" t="s">
        <v>779</v>
      </c>
      <c r="C1411" s="88"/>
      <c r="D1411" s="92"/>
      <c r="E1411" s="89"/>
      <c r="F1411" s="89"/>
      <c r="G1411" s="89"/>
    </row>
    <row r="1412">
      <c r="A1412" s="93"/>
      <c r="B1412" s="87" t="s">
        <v>779</v>
      </c>
      <c r="C1412" s="88"/>
      <c r="D1412" s="92"/>
      <c r="E1412" s="89"/>
      <c r="F1412" s="89"/>
      <c r="G1412" s="89"/>
    </row>
    <row r="1413">
      <c r="A1413" s="93"/>
      <c r="B1413" s="87" t="s">
        <v>779</v>
      </c>
      <c r="C1413" s="88"/>
      <c r="D1413" s="92"/>
      <c r="E1413" s="89"/>
      <c r="F1413" s="89"/>
      <c r="G1413" s="89"/>
    </row>
    <row r="1414">
      <c r="A1414" s="93"/>
      <c r="B1414" s="87" t="s">
        <v>779</v>
      </c>
      <c r="C1414" s="88"/>
      <c r="D1414" s="92"/>
      <c r="E1414" s="89"/>
      <c r="F1414" s="89"/>
      <c r="G1414" s="89"/>
    </row>
    <row r="1415">
      <c r="A1415" s="93"/>
      <c r="B1415" s="87" t="s">
        <v>779</v>
      </c>
      <c r="C1415" s="88"/>
      <c r="D1415" s="92"/>
      <c r="E1415" s="89"/>
      <c r="F1415" s="89"/>
      <c r="G1415" s="89"/>
    </row>
    <row r="1416">
      <c r="A1416" s="93"/>
      <c r="B1416" s="87" t="s">
        <v>779</v>
      </c>
      <c r="C1416" s="88"/>
      <c r="D1416" s="92"/>
      <c r="E1416" s="89"/>
      <c r="F1416" s="89"/>
      <c r="G1416" s="89"/>
    </row>
    <row r="1417">
      <c r="A1417" s="93"/>
      <c r="B1417" s="87" t="s">
        <v>779</v>
      </c>
      <c r="C1417" s="88"/>
      <c r="D1417" s="92"/>
      <c r="E1417" s="89"/>
      <c r="F1417" s="89"/>
      <c r="G1417" s="89"/>
    </row>
    <row r="1418">
      <c r="A1418" s="93"/>
      <c r="B1418" s="87" t="s">
        <v>779</v>
      </c>
      <c r="C1418" s="88"/>
      <c r="D1418" s="92"/>
      <c r="E1418" s="89"/>
      <c r="F1418" s="89"/>
      <c r="G1418" s="89"/>
    </row>
    <row r="1419">
      <c r="A1419" s="93"/>
      <c r="B1419" s="87" t="s">
        <v>779</v>
      </c>
      <c r="C1419" s="88"/>
      <c r="D1419" s="92"/>
      <c r="E1419" s="89"/>
      <c r="F1419" s="89"/>
      <c r="G1419" s="89"/>
    </row>
    <row r="1420">
      <c r="A1420" s="93"/>
      <c r="B1420" s="87" t="s">
        <v>779</v>
      </c>
      <c r="C1420" s="88"/>
      <c r="D1420" s="92"/>
      <c r="E1420" s="89"/>
      <c r="F1420" s="89"/>
      <c r="G1420" s="89"/>
    </row>
    <row r="1421">
      <c r="A1421" s="93"/>
      <c r="B1421" s="87" t="s">
        <v>779</v>
      </c>
      <c r="C1421" s="88"/>
      <c r="D1421" s="92"/>
      <c r="E1421" s="89"/>
      <c r="F1421" s="89"/>
      <c r="G1421" s="89"/>
    </row>
    <row r="1422">
      <c r="A1422" s="93"/>
      <c r="B1422" s="87" t="s">
        <v>779</v>
      </c>
      <c r="C1422" s="88"/>
      <c r="D1422" s="92"/>
      <c r="E1422" s="89"/>
      <c r="F1422" s="89"/>
      <c r="G1422" s="89"/>
    </row>
    <row r="1423">
      <c r="A1423" s="93"/>
      <c r="B1423" s="87" t="s">
        <v>779</v>
      </c>
      <c r="C1423" s="88"/>
      <c r="D1423" s="92"/>
      <c r="E1423" s="89"/>
      <c r="F1423" s="89"/>
      <c r="G1423" s="89"/>
    </row>
    <row r="1424">
      <c r="A1424" s="93"/>
      <c r="B1424" s="87" t="s">
        <v>779</v>
      </c>
      <c r="C1424" s="88"/>
      <c r="D1424" s="92"/>
      <c r="E1424" s="89"/>
      <c r="F1424" s="89"/>
      <c r="G1424" s="89"/>
    </row>
    <row r="1425">
      <c r="A1425" s="93"/>
      <c r="B1425" s="87" t="s">
        <v>779</v>
      </c>
      <c r="C1425" s="88"/>
      <c r="D1425" s="92"/>
      <c r="E1425" s="89"/>
      <c r="F1425" s="89"/>
      <c r="G1425" s="89"/>
    </row>
    <row r="1426">
      <c r="A1426" s="93"/>
      <c r="B1426" s="87" t="s">
        <v>779</v>
      </c>
      <c r="C1426" s="88"/>
      <c r="D1426" s="92"/>
      <c r="E1426" s="89"/>
      <c r="F1426" s="89"/>
      <c r="G1426" s="89"/>
    </row>
    <row r="1427">
      <c r="A1427" s="93"/>
      <c r="B1427" s="87" t="s">
        <v>779</v>
      </c>
      <c r="C1427" s="88"/>
      <c r="D1427" s="92"/>
      <c r="E1427" s="89"/>
      <c r="F1427" s="89"/>
      <c r="G1427" s="89"/>
    </row>
    <row r="1428">
      <c r="A1428" s="93"/>
      <c r="B1428" s="87" t="s">
        <v>779</v>
      </c>
      <c r="C1428" s="88"/>
      <c r="D1428" s="92"/>
      <c r="E1428" s="89"/>
      <c r="F1428" s="89"/>
      <c r="G1428" s="89"/>
    </row>
    <row r="1429">
      <c r="A1429" s="93"/>
      <c r="B1429" s="87" t="s">
        <v>779</v>
      </c>
      <c r="C1429" s="88"/>
      <c r="D1429" s="92"/>
      <c r="E1429" s="89"/>
      <c r="F1429" s="89"/>
      <c r="G1429" s="89"/>
    </row>
    <row r="1430">
      <c r="A1430" s="93"/>
      <c r="B1430" s="87" t="s">
        <v>779</v>
      </c>
      <c r="C1430" s="88"/>
      <c r="D1430" s="92"/>
      <c r="E1430" s="89"/>
      <c r="F1430" s="89"/>
      <c r="G1430" s="89"/>
    </row>
    <row r="1431">
      <c r="A1431" s="93"/>
      <c r="B1431" s="87" t="s">
        <v>779</v>
      </c>
      <c r="C1431" s="88"/>
      <c r="D1431" s="92"/>
      <c r="E1431" s="89"/>
      <c r="F1431" s="89"/>
      <c r="G1431" s="89"/>
    </row>
    <row r="1432">
      <c r="A1432" s="93"/>
      <c r="B1432" s="87" t="s">
        <v>779</v>
      </c>
      <c r="C1432" s="88"/>
      <c r="D1432" s="92"/>
      <c r="E1432" s="89"/>
      <c r="F1432" s="89"/>
      <c r="G1432" s="89"/>
    </row>
    <row r="1433">
      <c r="A1433" s="93"/>
      <c r="B1433" s="87" t="s">
        <v>779</v>
      </c>
      <c r="C1433" s="88"/>
      <c r="D1433" s="92"/>
      <c r="E1433" s="89"/>
      <c r="F1433" s="89"/>
      <c r="G1433" s="89"/>
    </row>
    <row r="1434">
      <c r="A1434" s="93"/>
      <c r="B1434" s="87" t="s">
        <v>779</v>
      </c>
      <c r="C1434" s="88"/>
      <c r="D1434" s="92"/>
      <c r="E1434" s="89"/>
      <c r="F1434" s="89"/>
      <c r="G1434" s="89"/>
    </row>
    <row r="1435">
      <c r="A1435" s="93"/>
      <c r="B1435" s="87" t="s">
        <v>779</v>
      </c>
      <c r="C1435" s="88"/>
      <c r="D1435" s="92"/>
      <c r="E1435" s="89"/>
      <c r="F1435" s="89"/>
      <c r="G1435" s="89"/>
    </row>
    <row r="1436">
      <c r="A1436" s="93"/>
      <c r="B1436" s="87" t="s">
        <v>779</v>
      </c>
      <c r="C1436" s="88"/>
      <c r="D1436" s="92"/>
      <c r="E1436" s="89"/>
      <c r="F1436" s="89"/>
      <c r="G1436" s="89"/>
    </row>
    <row r="1437">
      <c r="A1437" s="93"/>
      <c r="B1437" s="87" t="s">
        <v>779</v>
      </c>
      <c r="C1437" s="88"/>
      <c r="D1437" s="92"/>
      <c r="E1437" s="89"/>
      <c r="F1437" s="89"/>
      <c r="G1437" s="89"/>
    </row>
    <row r="1438">
      <c r="A1438" s="93"/>
      <c r="B1438" s="87" t="s">
        <v>779</v>
      </c>
      <c r="C1438" s="88"/>
      <c r="D1438" s="92"/>
      <c r="E1438" s="89"/>
      <c r="F1438" s="89"/>
      <c r="G1438" s="89"/>
    </row>
    <row r="1439">
      <c r="A1439" s="93"/>
      <c r="B1439" s="87" t="s">
        <v>779</v>
      </c>
      <c r="C1439" s="88"/>
      <c r="D1439" s="92"/>
      <c r="E1439" s="89"/>
      <c r="F1439" s="89"/>
      <c r="G1439" s="89"/>
    </row>
    <row r="1440">
      <c r="A1440" s="93"/>
      <c r="B1440" s="87" t="s">
        <v>779</v>
      </c>
      <c r="C1440" s="88"/>
      <c r="D1440" s="92"/>
      <c r="E1440" s="89"/>
      <c r="F1440" s="89"/>
      <c r="G1440" s="89"/>
    </row>
    <row r="1441">
      <c r="A1441" s="93"/>
      <c r="B1441" s="87" t="s">
        <v>779</v>
      </c>
      <c r="C1441" s="88"/>
      <c r="D1441" s="92"/>
      <c r="E1441" s="89"/>
      <c r="F1441" s="89"/>
      <c r="G1441" s="89"/>
    </row>
    <row r="1442">
      <c r="A1442" s="93"/>
      <c r="B1442" s="87" t="s">
        <v>779</v>
      </c>
      <c r="C1442" s="88"/>
      <c r="D1442" s="92"/>
      <c r="E1442" s="89"/>
      <c r="F1442" s="89"/>
      <c r="G1442" s="89"/>
    </row>
    <row r="1443">
      <c r="A1443" s="93"/>
      <c r="B1443" s="87" t="s">
        <v>779</v>
      </c>
      <c r="C1443" s="88"/>
      <c r="D1443" s="92"/>
      <c r="E1443" s="89"/>
      <c r="F1443" s="89"/>
      <c r="G1443" s="89"/>
    </row>
    <row r="1444">
      <c r="A1444" s="93"/>
      <c r="B1444" s="87" t="s">
        <v>779</v>
      </c>
      <c r="C1444" s="88"/>
      <c r="D1444" s="92"/>
      <c r="E1444" s="89"/>
      <c r="F1444" s="89"/>
      <c r="G1444" s="89"/>
    </row>
    <row r="1445">
      <c r="A1445" s="93"/>
      <c r="B1445" s="87" t="s">
        <v>779</v>
      </c>
      <c r="C1445" s="88"/>
      <c r="D1445" s="92"/>
      <c r="E1445" s="89"/>
      <c r="F1445" s="89"/>
      <c r="G1445" s="89"/>
    </row>
    <row r="1446">
      <c r="A1446" s="93"/>
      <c r="B1446" s="87" t="s">
        <v>779</v>
      </c>
      <c r="C1446" s="88"/>
      <c r="D1446" s="92"/>
      <c r="E1446" s="89"/>
      <c r="F1446" s="89"/>
      <c r="G1446" s="89"/>
    </row>
    <row r="1447">
      <c r="A1447" s="93"/>
      <c r="B1447" s="87" t="s">
        <v>779</v>
      </c>
      <c r="C1447" s="88"/>
      <c r="D1447" s="92"/>
      <c r="E1447" s="89"/>
      <c r="F1447" s="89"/>
      <c r="G1447" s="89"/>
    </row>
    <row r="1448">
      <c r="A1448" s="93"/>
      <c r="B1448" s="87" t="s">
        <v>779</v>
      </c>
      <c r="C1448" s="88"/>
      <c r="D1448" s="92"/>
      <c r="E1448" s="89"/>
      <c r="F1448" s="89"/>
      <c r="G1448" s="89"/>
    </row>
    <row r="1449">
      <c r="A1449" s="93"/>
      <c r="B1449" s="87" t="s">
        <v>779</v>
      </c>
      <c r="C1449" s="88"/>
      <c r="D1449" s="92"/>
      <c r="E1449" s="89"/>
      <c r="F1449" s="89"/>
      <c r="G1449" s="89"/>
    </row>
    <row r="1450">
      <c r="A1450" s="93"/>
      <c r="B1450" s="87" t="s">
        <v>779</v>
      </c>
      <c r="C1450" s="88"/>
      <c r="D1450" s="92"/>
      <c r="E1450" s="89"/>
      <c r="F1450" s="89"/>
      <c r="G1450" s="89"/>
    </row>
    <row r="1451">
      <c r="A1451" s="93"/>
      <c r="B1451" s="87" t="s">
        <v>779</v>
      </c>
      <c r="C1451" s="88"/>
      <c r="D1451" s="92"/>
      <c r="E1451" s="89"/>
      <c r="F1451" s="89"/>
      <c r="G1451" s="89"/>
    </row>
    <row r="1452">
      <c r="A1452" s="93"/>
      <c r="B1452" s="87" t="s">
        <v>779</v>
      </c>
      <c r="C1452" s="88"/>
      <c r="D1452" s="92"/>
      <c r="E1452" s="89"/>
      <c r="F1452" s="89"/>
      <c r="G1452" s="89"/>
    </row>
    <row r="1453">
      <c r="A1453" s="93"/>
      <c r="B1453" s="87" t="s">
        <v>779</v>
      </c>
      <c r="C1453" s="88"/>
      <c r="D1453" s="92"/>
      <c r="E1453" s="89"/>
      <c r="F1453" s="89"/>
      <c r="G1453" s="89"/>
    </row>
    <row r="1454">
      <c r="A1454" s="93"/>
      <c r="B1454" s="87" t="s">
        <v>779</v>
      </c>
      <c r="C1454" s="88"/>
      <c r="D1454" s="92"/>
      <c r="E1454" s="89"/>
      <c r="F1454" s="89"/>
      <c r="G1454" s="89"/>
    </row>
    <row r="1455">
      <c r="A1455" s="93"/>
      <c r="B1455" s="87" t="s">
        <v>779</v>
      </c>
      <c r="C1455" s="88"/>
      <c r="D1455" s="92"/>
      <c r="E1455" s="89"/>
      <c r="F1455" s="89"/>
      <c r="G1455" s="89"/>
    </row>
    <row r="1456">
      <c r="A1456" s="93"/>
      <c r="B1456" s="87" t="s">
        <v>779</v>
      </c>
      <c r="C1456" s="88"/>
      <c r="D1456" s="92"/>
      <c r="E1456" s="89"/>
      <c r="F1456" s="89"/>
      <c r="G1456" s="89"/>
    </row>
    <row r="1457">
      <c r="A1457" s="93"/>
      <c r="B1457" s="87" t="s">
        <v>779</v>
      </c>
      <c r="C1457" s="88"/>
      <c r="D1457" s="92"/>
      <c r="E1457" s="89"/>
      <c r="F1457" s="89"/>
      <c r="G1457" s="89"/>
    </row>
    <row r="1458">
      <c r="A1458" s="93"/>
      <c r="B1458" s="87" t="s">
        <v>779</v>
      </c>
      <c r="C1458" s="88"/>
      <c r="D1458" s="92"/>
      <c r="E1458" s="89"/>
      <c r="F1458" s="89"/>
      <c r="G1458" s="89"/>
    </row>
    <row r="1459">
      <c r="A1459" s="93"/>
      <c r="B1459" s="87" t="s">
        <v>779</v>
      </c>
      <c r="C1459" s="88"/>
      <c r="D1459" s="92"/>
      <c r="E1459" s="89"/>
      <c r="F1459" s="89"/>
      <c r="G1459" s="89"/>
    </row>
    <row r="1460">
      <c r="A1460" s="93"/>
      <c r="B1460" s="87" t="s">
        <v>779</v>
      </c>
      <c r="C1460" s="88"/>
      <c r="D1460" s="92"/>
      <c r="E1460" s="89"/>
      <c r="F1460" s="89"/>
      <c r="G1460" s="89"/>
    </row>
    <row r="1461">
      <c r="A1461" s="93"/>
      <c r="B1461" s="87" t="s">
        <v>779</v>
      </c>
      <c r="C1461" s="88"/>
      <c r="D1461" s="92"/>
      <c r="E1461" s="89"/>
      <c r="F1461" s="89"/>
      <c r="G1461" s="89"/>
    </row>
    <row r="1462">
      <c r="A1462" s="93"/>
      <c r="B1462" s="87" t="s">
        <v>779</v>
      </c>
      <c r="C1462" s="88"/>
      <c r="D1462" s="92"/>
      <c r="E1462" s="89"/>
      <c r="F1462" s="89"/>
      <c r="G1462" s="89"/>
    </row>
    <row r="1463">
      <c r="A1463" s="93"/>
      <c r="B1463" s="87" t="s">
        <v>779</v>
      </c>
      <c r="C1463" s="88"/>
      <c r="D1463" s="92"/>
      <c r="E1463" s="89"/>
      <c r="F1463" s="89"/>
      <c r="G1463" s="89"/>
    </row>
    <row r="1464">
      <c r="A1464" s="93"/>
      <c r="B1464" s="87" t="s">
        <v>779</v>
      </c>
      <c r="C1464" s="88"/>
      <c r="D1464" s="92"/>
      <c r="E1464" s="89"/>
      <c r="F1464" s="89"/>
      <c r="G1464" s="89"/>
    </row>
    <row r="1465">
      <c r="A1465" s="93"/>
      <c r="B1465" s="87" t="s">
        <v>779</v>
      </c>
      <c r="C1465" s="88"/>
      <c r="D1465" s="92"/>
      <c r="E1465" s="89"/>
      <c r="F1465" s="89"/>
      <c r="G1465" s="89"/>
    </row>
    <row r="1466">
      <c r="A1466" s="93"/>
      <c r="B1466" s="87" t="s">
        <v>779</v>
      </c>
      <c r="C1466" s="88"/>
      <c r="D1466" s="92"/>
      <c r="E1466" s="89"/>
      <c r="F1466" s="89"/>
      <c r="G1466" s="89"/>
    </row>
    <row r="1467">
      <c r="A1467" s="93"/>
      <c r="B1467" s="87" t="s">
        <v>779</v>
      </c>
      <c r="C1467" s="88"/>
      <c r="D1467" s="92"/>
      <c r="E1467" s="89"/>
      <c r="F1467" s="89"/>
      <c r="G1467" s="89"/>
    </row>
    <row r="1468">
      <c r="A1468" s="93"/>
      <c r="B1468" s="87" t="s">
        <v>779</v>
      </c>
      <c r="C1468" s="88"/>
      <c r="D1468" s="92"/>
      <c r="E1468" s="89"/>
      <c r="F1468" s="89"/>
      <c r="G1468" s="89"/>
    </row>
    <row r="1469">
      <c r="A1469" s="93"/>
      <c r="B1469" s="87" t="s">
        <v>779</v>
      </c>
      <c r="C1469" s="88"/>
      <c r="D1469" s="92"/>
      <c r="E1469" s="89"/>
      <c r="F1469" s="89"/>
      <c r="G1469" s="89"/>
    </row>
    <row r="1470">
      <c r="A1470" s="93"/>
      <c r="B1470" s="87" t="s">
        <v>779</v>
      </c>
      <c r="C1470" s="88"/>
      <c r="D1470" s="92"/>
      <c r="E1470" s="89"/>
      <c r="F1470" s="89"/>
      <c r="G1470" s="89"/>
    </row>
    <row r="1471">
      <c r="A1471" s="93"/>
      <c r="B1471" s="87" t="s">
        <v>779</v>
      </c>
      <c r="C1471" s="88"/>
      <c r="D1471" s="92"/>
      <c r="E1471" s="89"/>
      <c r="F1471" s="89"/>
      <c r="G1471" s="89"/>
    </row>
    <row r="1472">
      <c r="A1472" s="93"/>
      <c r="B1472" s="87" t="s">
        <v>779</v>
      </c>
      <c r="C1472" s="88"/>
      <c r="D1472" s="92"/>
      <c r="E1472" s="89"/>
      <c r="F1472" s="89"/>
      <c r="G1472" s="89"/>
    </row>
    <row r="1473">
      <c r="A1473" s="93"/>
      <c r="B1473" s="87" t="s">
        <v>779</v>
      </c>
      <c r="C1473" s="88"/>
      <c r="D1473" s="92"/>
      <c r="E1473" s="89"/>
      <c r="F1473" s="89"/>
      <c r="G1473" s="89"/>
    </row>
    <row r="1474">
      <c r="A1474" s="93"/>
      <c r="B1474" s="87" t="s">
        <v>779</v>
      </c>
      <c r="C1474" s="88"/>
      <c r="D1474" s="92"/>
      <c r="E1474" s="89"/>
      <c r="F1474" s="89"/>
      <c r="G1474" s="89"/>
    </row>
    <row r="1475">
      <c r="A1475" s="93"/>
      <c r="B1475" s="87" t="s">
        <v>779</v>
      </c>
      <c r="C1475" s="88"/>
      <c r="D1475" s="92"/>
      <c r="E1475" s="89"/>
      <c r="F1475" s="89"/>
      <c r="G1475" s="89"/>
    </row>
    <row r="1476">
      <c r="A1476" s="93"/>
      <c r="B1476" s="87" t="s">
        <v>779</v>
      </c>
      <c r="C1476" s="88"/>
      <c r="D1476" s="92"/>
      <c r="E1476" s="89"/>
      <c r="F1476" s="89"/>
      <c r="G1476" s="89"/>
    </row>
    <row r="1477">
      <c r="A1477" s="93"/>
      <c r="B1477" s="87" t="s">
        <v>779</v>
      </c>
      <c r="C1477" s="88"/>
      <c r="D1477" s="92"/>
      <c r="E1477" s="89"/>
      <c r="F1477" s="89"/>
      <c r="G1477" s="89"/>
    </row>
    <row r="1478">
      <c r="A1478" s="93"/>
      <c r="B1478" s="87" t="s">
        <v>779</v>
      </c>
      <c r="C1478" s="88"/>
      <c r="D1478" s="92"/>
      <c r="E1478" s="89"/>
      <c r="F1478" s="89"/>
      <c r="G1478" s="89"/>
    </row>
    <row r="1479">
      <c r="A1479" s="93"/>
      <c r="B1479" s="87" t="s">
        <v>779</v>
      </c>
      <c r="C1479" s="88"/>
      <c r="D1479" s="92"/>
      <c r="E1479" s="89"/>
      <c r="F1479" s="89"/>
      <c r="G1479" s="89"/>
    </row>
    <row r="1480">
      <c r="A1480" s="93"/>
      <c r="B1480" s="87" t="s">
        <v>779</v>
      </c>
      <c r="C1480" s="88"/>
      <c r="D1480" s="92"/>
      <c r="E1480" s="89"/>
      <c r="F1480" s="89"/>
      <c r="G1480" s="89"/>
    </row>
    <row r="1481">
      <c r="A1481" s="93"/>
      <c r="B1481" s="87" t="s">
        <v>779</v>
      </c>
      <c r="C1481" s="88"/>
      <c r="D1481" s="92"/>
      <c r="E1481" s="89"/>
      <c r="F1481" s="89"/>
      <c r="G1481" s="89"/>
    </row>
    <row r="1482">
      <c r="A1482" s="93"/>
      <c r="B1482" s="87" t="s">
        <v>779</v>
      </c>
      <c r="C1482" s="88"/>
      <c r="D1482" s="92"/>
      <c r="E1482" s="89"/>
      <c r="F1482" s="89"/>
      <c r="G1482" s="89"/>
    </row>
    <row r="1483">
      <c r="A1483" s="93"/>
      <c r="B1483" s="87" t="s">
        <v>779</v>
      </c>
      <c r="C1483" s="88"/>
      <c r="D1483" s="92"/>
      <c r="E1483" s="89"/>
      <c r="F1483" s="89"/>
      <c r="G1483" s="89"/>
    </row>
    <row r="1484">
      <c r="A1484" s="93"/>
      <c r="B1484" s="87" t="s">
        <v>779</v>
      </c>
      <c r="C1484" s="88"/>
      <c r="D1484" s="92"/>
      <c r="E1484" s="89"/>
      <c r="F1484" s="89"/>
      <c r="G1484" s="89"/>
    </row>
    <row r="1485">
      <c r="A1485" s="93"/>
      <c r="B1485" s="87" t="s">
        <v>779</v>
      </c>
      <c r="C1485" s="88"/>
      <c r="D1485" s="92"/>
      <c r="E1485" s="89"/>
      <c r="F1485" s="89"/>
      <c r="G1485" s="89"/>
    </row>
    <row r="1486">
      <c r="A1486" s="93"/>
      <c r="B1486" s="87" t="s">
        <v>779</v>
      </c>
      <c r="C1486" s="88"/>
      <c r="D1486" s="92"/>
      <c r="E1486" s="89"/>
      <c r="F1486" s="89"/>
      <c r="G1486" s="89"/>
    </row>
    <row r="1487">
      <c r="A1487" s="93"/>
      <c r="B1487" s="87" t="s">
        <v>779</v>
      </c>
      <c r="C1487" s="88"/>
      <c r="D1487" s="92"/>
      <c r="E1487" s="89"/>
      <c r="F1487" s="89"/>
      <c r="G1487" s="89"/>
    </row>
    <row r="1488">
      <c r="A1488" s="93"/>
      <c r="B1488" s="87" t="s">
        <v>779</v>
      </c>
      <c r="C1488" s="88"/>
      <c r="D1488" s="92"/>
      <c r="E1488" s="89"/>
      <c r="F1488" s="89"/>
      <c r="G1488" s="89"/>
    </row>
    <row r="1489">
      <c r="A1489" s="93"/>
      <c r="B1489" s="87" t="s">
        <v>779</v>
      </c>
      <c r="C1489" s="88"/>
      <c r="D1489" s="92"/>
      <c r="E1489" s="89"/>
      <c r="F1489" s="89"/>
      <c r="G1489" s="89"/>
    </row>
    <row r="1490">
      <c r="A1490" s="93"/>
      <c r="B1490" s="87" t="s">
        <v>779</v>
      </c>
      <c r="C1490" s="88"/>
      <c r="D1490" s="92"/>
      <c r="E1490" s="89"/>
      <c r="F1490" s="89"/>
      <c r="G1490" s="89"/>
    </row>
    <row r="1491">
      <c r="A1491" s="93"/>
      <c r="B1491" s="87" t="s">
        <v>779</v>
      </c>
      <c r="C1491" s="88"/>
      <c r="D1491" s="92"/>
      <c r="E1491" s="89"/>
      <c r="F1491" s="89"/>
      <c r="G1491" s="89"/>
    </row>
    <row r="1492">
      <c r="A1492" s="93"/>
      <c r="B1492" s="87" t="s">
        <v>779</v>
      </c>
      <c r="C1492" s="88"/>
      <c r="D1492" s="92"/>
      <c r="E1492" s="89"/>
      <c r="F1492" s="89"/>
      <c r="G1492" s="89"/>
    </row>
    <row r="1493">
      <c r="A1493" s="93"/>
      <c r="B1493" s="87" t="s">
        <v>779</v>
      </c>
      <c r="C1493" s="88"/>
      <c r="D1493" s="92"/>
      <c r="E1493" s="89"/>
      <c r="F1493" s="89"/>
      <c r="G1493" s="89"/>
    </row>
    <row r="1494">
      <c r="A1494" s="93"/>
      <c r="B1494" s="87" t="s">
        <v>779</v>
      </c>
      <c r="C1494" s="88"/>
      <c r="D1494" s="92"/>
      <c r="E1494" s="89"/>
      <c r="F1494" s="89"/>
      <c r="G1494" s="89"/>
    </row>
    <row r="1495">
      <c r="A1495" s="93"/>
      <c r="B1495" s="87" t="s">
        <v>779</v>
      </c>
      <c r="C1495" s="88"/>
      <c r="D1495" s="92"/>
      <c r="E1495" s="89"/>
      <c r="F1495" s="89"/>
      <c r="G1495" s="89"/>
    </row>
    <row r="1496">
      <c r="A1496" s="93"/>
      <c r="B1496" s="87" t="s">
        <v>779</v>
      </c>
      <c r="C1496" s="88"/>
      <c r="D1496" s="92"/>
      <c r="E1496" s="89"/>
      <c r="F1496" s="89"/>
      <c r="G1496" s="89"/>
    </row>
    <row r="1497">
      <c r="A1497" s="93"/>
      <c r="B1497" s="87" t="s">
        <v>779</v>
      </c>
      <c r="C1497" s="88"/>
      <c r="D1497" s="92"/>
      <c r="E1497" s="89"/>
      <c r="F1497" s="89"/>
      <c r="G1497" s="89"/>
    </row>
    <row r="1498">
      <c r="A1498" s="93"/>
      <c r="B1498" s="87" t="s">
        <v>779</v>
      </c>
      <c r="C1498" s="88"/>
      <c r="D1498" s="92"/>
      <c r="E1498" s="89"/>
      <c r="F1498" s="89"/>
      <c r="G1498" s="89"/>
    </row>
    <row r="1499">
      <c r="A1499" s="93"/>
      <c r="B1499" s="87" t="s">
        <v>779</v>
      </c>
      <c r="C1499" s="88"/>
      <c r="D1499" s="92"/>
      <c r="E1499" s="89"/>
      <c r="F1499" s="89"/>
      <c r="G1499" s="89"/>
    </row>
    <row r="1500">
      <c r="A1500" s="93"/>
      <c r="B1500" s="87" t="s">
        <v>779</v>
      </c>
      <c r="C1500" s="88"/>
      <c r="D1500" s="92"/>
      <c r="E1500" s="89"/>
      <c r="F1500" s="89"/>
      <c r="G1500" s="89"/>
    </row>
    <row r="1501">
      <c r="A1501" s="93"/>
      <c r="B1501" s="87" t="s">
        <v>779</v>
      </c>
      <c r="C1501" s="88"/>
      <c r="D1501" s="92"/>
      <c r="E1501" s="89"/>
      <c r="F1501" s="89"/>
      <c r="G1501" s="89"/>
    </row>
    <row r="1502">
      <c r="A1502" s="93"/>
      <c r="B1502" s="87" t="s">
        <v>779</v>
      </c>
      <c r="C1502" s="88"/>
      <c r="D1502" s="92"/>
      <c r="E1502" s="89"/>
      <c r="F1502" s="89"/>
      <c r="G1502" s="89"/>
    </row>
    <row r="1503">
      <c r="A1503" s="93"/>
      <c r="B1503" s="87" t="s">
        <v>779</v>
      </c>
      <c r="C1503" s="88"/>
      <c r="D1503" s="92"/>
      <c r="E1503" s="89"/>
      <c r="F1503" s="89"/>
      <c r="G1503" s="89"/>
    </row>
    <row r="1504">
      <c r="A1504" s="93"/>
      <c r="B1504" s="87" t="s">
        <v>779</v>
      </c>
      <c r="C1504" s="88"/>
      <c r="D1504" s="92"/>
      <c r="E1504" s="89"/>
      <c r="F1504" s="89"/>
      <c r="G1504" s="89"/>
    </row>
    <row r="1505">
      <c r="A1505" s="93"/>
      <c r="B1505" s="87" t="s">
        <v>779</v>
      </c>
      <c r="C1505" s="88"/>
      <c r="D1505" s="92"/>
      <c r="E1505" s="89"/>
      <c r="F1505" s="89"/>
      <c r="G1505" s="89"/>
    </row>
    <row r="1506">
      <c r="A1506" s="93"/>
      <c r="B1506" s="87" t="s">
        <v>779</v>
      </c>
      <c r="C1506" s="88"/>
      <c r="D1506" s="92"/>
      <c r="E1506" s="89"/>
      <c r="F1506" s="89"/>
      <c r="G1506" s="89"/>
    </row>
    <row r="1507">
      <c r="A1507" s="93"/>
      <c r="B1507" s="87" t="s">
        <v>779</v>
      </c>
      <c r="C1507" s="88"/>
      <c r="D1507" s="92"/>
      <c r="E1507" s="89"/>
      <c r="F1507" s="89"/>
      <c r="G1507" s="89"/>
    </row>
    <row r="1508">
      <c r="A1508" s="93"/>
      <c r="B1508" s="87" t="s">
        <v>779</v>
      </c>
      <c r="C1508" s="88"/>
      <c r="D1508" s="92"/>
      <c r="E1508" s="89"/>
      <c r="F1508" s="89"/>
      <c r="G1508" s="89"/>
    </row>
    <row r="1509">
      <c r="A1509" s="93"/>
      <c r="B1509" s="87" t="s">
        <v>779</v>
      </c>
      <c r="C1509" s="88"/>
      <c r="D1509" s="92"/>
      <c r="E1509" s="89"/>
      <c r="F1509" s="89"/>
      <c r="G1509" s="89"/>
    </row>
    <row r="1510">
      <c r="A1510" s="93"/>
      <c r="B1510" s="87" t="s">
        <v>779</v>
      </c>
      <c r="C1510" s="88"/>
      <c r="D1510" s="92"/>
      <c r="E1510" s="89"/>
      <c r="F1510" s="89"/>
      <c r="G1510" s="89"/>
    </row>
    <row r="1511">
      <c r="A1511" s="93"/>
      <c r="B1511" s="87" t="s">
        <v>779</v>
      </c>
      <c r="C1511" s="88"/>
      <c r="D1511" s="92"/>
      <c r="E1511" s="89"/>
      <c r="F1511" s="89"/>
      <c r="G1511" s="89"/>
    </row>
    <row r="1512">
      <c r="A1512" s="93"/>
      <c r="B1512" s="87" t="s">
        <v>779</v>
      </c>
      <c r="C1512" s="88"/>
      <c r="D1512" s="92"/>
      <c r="E1512" s="89"/>
      <c r="F1512" s="89"/>
      <c r="G1512" s="89"/>
    </row>
    <row r="1513">
      <c r="A1513" s="93"/>
      <c r="B1513" s="87" t="s">
        <v>779</v>
      </c>
      <c r="C1513" s="88"/>
      <c r="D1513" s="92"/>
      <c r="E1513" s="89"/>
      <c r="F1513" s="89"/>
      <c r="G1513" s="89"/>
    </row>
    <row r="1514">
      <c r="A1514" s="93"/>
      <c r="B1514" s="87" t="s">
        <v>779</v>
      </c>
      <c r="C1514" s="88"/>
      <c r="D1514" s="92"/>
      <c r="E1514" s="89"/>
      <c r="F1514" s="89"/>
      <c r="G1514" s="89"/>
    </row>
    <row r="1515">
      <c r="A1515" s="93"/>
      <c r="B1515" s="87" t="s">
        <v>779</v>
      </c>
      <c r="C1515" s="88"/>
      <c r="D1515" s="92"/>
      <c r="E1515" s="89"/>
      <c r="F1515" s="89"/>
      <c r="G1515" s="89"/>
    </row>
    <row r="1516">
      <c r="A1516" s="93"/>
      <c r="B1516" s="87" t="s">
        <v>779</v>
      </c>
      <c r="C1516" s="88"/>
      <c r="D1516" s="92"/>
      <c r="E1516" s="89"/>
      <c r="F1516" s="89"/>
      <c r="G1516" s="89"/>
    </row>
    <row r="1517">
      <c r="A1517" s="93"/>
      <c r="B1517" s="87" t="s">
        <v>779</v>
      </c>
      <c r="C1517" s="88"/>
      <c r="D1517" s="92"/>
      <c r="E1517" s="89"/>
      <c r="F1517" s="89"/>
      <c r="G1517" s="89"/>
    </row>
    <row r="1518">
      <c r="A1518" s="93"/>
      <c r="B1518" s="87" t="s">
        <v>779</v>
      </c>
      <c r="C1518" s="88"/>
      <c r="D1518" s="92"/>
      <c r="E1518" s="89"/>
      <c r="F1518" s="89"/>
      <c r="G1518" s="89"/>
    </row>
    <row r="1519">
      <c r="A1519" s="93"/>
      <c r="B1519" s="87" t="s">
        <v>779</v>
      </c>
      <c r="C1519" s="88"/>
      <c r="D1519" s="92"/>
      <c r="E1519" s="89"/>
      <c r="F1519" s="89"/>
      <c r="G1519" s="89"/>
    </row>
    <row r="1520">
      <c r="A1520" s="93"/>
      <c r="B1520" s="87" t="s">
        <v>779</v>
      </c>
      <c r="C1520" s="88"/>
      <c r="D1520" s="92"/>
      <c r="E1520" s="89"/>
      <c r="F1520" s="89"/>
      <c r="G1520" s="89"/>
    </row>
    <row r="1521">
      <c r="A1521" s="93"/>
      <c r="B1521" s="87" t="s">
        <v>779</v>
      </c>
      <c r="C1521" s="88"/>
      <c r="D1521" s="92"/>
      <c r="E1521" s="89"/>
      <c r="F1521" s="89"/>
      <c r="G1521" s="89"/>
    </row>
    <row r="1522">
      <c r="A1522" s="93"/>
      <c r="B1522" s="87" t="s">
        <v>779</v>
      </c>
      <c r="C1522" s="88"/>
      <c r="D1522" s="92"/>
      <c r="E1522" s="89"/>
      <c r="F1522" s="89"/>
      <c r="G1522" s="89"/>
    </row>
    <row r="1523">
      <c r="A1523" s="93"/>
      <c r="B1523" s="87" t="s">
        <v>779</v>
      </c>
      <c r="C1523" s="88"/>
      <c r="D1523" s="92"/>
      <c r="E1523" s="89"/>
      <c r="F1523" s="89"/>
      <c r="G1523" s="89"/>
    </row>
    <row r="1524">
      <c r="A1524" s="93"/>
      <c r="B1524" s="87" t="s">
        <v>779</v>
      </c>
      <c r="C1524" s="88"/>
      <c r="D1524" s="92"/>
      <c r="E1524" s="89"/>
      <c r="F1524" s="89"/>
      <c r="G1524" s="89"/>
    </row>
    <row r="1525">
      <c r="A1525" s="93"/>
      <c r="B1525" s="87" t="s">
        <v>779</v>
      </c>
      <c r="C1525" s="88"/>
      <c r="D1525" s="92"/>
      <c r="E1525" s="89"/>
      <c r="F1525" s="89"/>
      <c r="G1525" s="89"/>
    </row>
    <row r="1526">
      <c r="A1526" s="93"/>
      <c r="B1526" s="87" t="s">
        <v>779</v>
      </c>
      <c r="C1526" s="88"/>
      <c r="D1526" s="92"/>
      <c r="E1526" s="89"/>
      <c r="F1526" s="89"/>
      <c r="G1526" s="89"/>
    </row>
    <row r="1527">
      <c r="A1527" s="93"/>
      <c r="B1527" s="87" t="s">
        <v>779</v>
      </c>
      <c r="C1527" s="88"/>
      <c r="D1527" s="92"/>
      <c r="E1527" s="89"/>
      <c r="F1527" s="89"/>
      <c r="G1527" s="89"/>
    </row>
    <row r="1528">
      <c r="A1528" s="93"/>
      <c r="B1528" s="87" t="s">
        <v>779</v>
      </c>
      <c r="C1528" s="88"/>
      <c r="D1528" s="92"/>
      <c r="E1528" s="89"/>
      <c r="F1528" s="89"/>
      <c r="G1528" s="89"/>
    </row>
    <row r="1529">
      <c r="A1529" s="93"/>
      <c r="B1529" s="87" t="s">
        <v>779</v>
      </c>
      <c r="C1529" s="88"/>
      <c r="D1529" s="92"/>
      <c r="E1529" s="89"/>
      <c r="F1529" s="89"/>
      <c r="G1529" s="89"/>
    </row>
    <row r="1530">
      <c r="A1530" s="93"/>
      <c r="B1530" s="87" t="s">
        <v>779</v>
      </c>
      <c r="C1530" s="88"/>
      <c r="D1530" s="92"/>
      <c r="E1530" s="89"/>
      <c r="F1530" s="89"/>
      <c r="G1530" s="89"/>
    </row>
    <row r="1531">
      <c r="A1531" s="93"/>
      <c r="B1531" s="87" t="s">
        <v>779</v>
      </c>
      <c r="C1531" s="88"/>
      <c r="D1531" s="92"/>
      <c r="E1531" s="89"/>
      <c r="F1531" s="89"/>
      <c r="G1531" s="89"/>
    </row>
    <row r="1532">
      <c r="A1532" s="93"/>
      <c r="B1532" s="87" t="s">
        <v>779</v>
      </c>
      <c r="C1532" s="88"/>
      <c r="D1532" s="92"/>
      <c r="E1532" s="89"/>
      <c r="F1532" s="89"/>
      <c r="G1532" s="89"/>
    </row>
    <row r="1533">
      <c r="A1533" s="93"/>
      <c r="B1533" s="87" t="s">
        <v>779</v>
      </c>
      <c r="C1533" s="88"/>
      <c r="D1533" s="92"/>
      <c r="E1533" s="89"/>
      <c r="F1533" s="89"/>
      <c r="G1533" s="89"/>
    </row>
    <row r="1534">
      <c r="A1534" s="93"/>
      <c r="B1534" s="87" t="s">
        <v>779</v>
      </c>
      <c r="C1534" s="88"/>
      <c r="D1534" s="92"/>
      <c r="E1534" s="89"/>
      <c r="F1534" s="89"/>
      <c r="G1534" s="89"/>
    </row>
    <row r="1535">
      <c r="A1535" s="93"/>
      <c r="B1535" s="87" t="s">
        <v>779</v>
      </c>
      <c r="C1535" s="88"/>
      <c r="D1535" s="92"/>
      <c r="E1535" s="89"/>
      <c r="F1535" s="89"/>
      <c r="G1535" s="89"/>
    </row>
    <row r="1536">
      <c r="A1536" s="93"/>
      <c r="B1536" s="87" t="s">
        <v>779</v>
      </c>
      <c r="C1536" s="88"/>
      <c r="D1536" s="92"/>
      <c r="E1536" s="89"/>
      <c r="F1536" s="89"/>
      <c r="G1536" s="89"/>
    </row>
    <row r="1537">
      <c r="A1537" s="93"/>
      <c r="B1537" s="87" t="s">
        <v>779</v>
      </c>
      <c r="C1537" s="88"/>
      <c r="D1537" s="92"/>
      <c r="E1537" s="89"/>
      <c r="F1537" s="89"/>
      <c r="G1537" s="89"/>
    </row>
    <row r="1538">
      <c r="A1538" s="93"/>
      <c r="B1538" s="87" t="s">
        <v>779</v>
      </c>
      <c r="C1538" s="88"/>
      <c r="D1538" s="92"/>
      <c r="E1538" s="89"/>
      <c r="F1538" s="89"/>
      <c r="G1538" s="89"/>
    </row>
    <row r="1539">
      <c r="A1539" s="93"/>
      <c r="B1539" s="87" t="s">
        <v>779</v>
      </c>
      <c r="C1539" s="88"/>
      <c r="D1539" s="92"/>
      <c r="E1539" s="89"/>
      <c r="F1539" s="89"/>
      <c r="G1539" s="89"/>
    </row>
    <row r="1540">
      <c r="A1540" s="93"/>
      <c r="B1540" s="87" t="s">
        <v>779</v>
      </c>
      <c r="C1540" s="88"/>
      <c r="D1540" s="92"/>
      <c r="E1540" s="89"/>
      <c r="F1540" s="89"/>
      <c r="G1540" s="89"/>
    </row>
    <row r="1541">
      <c r="A1541" s="93"/>
      <c r="B1541" s="87" t="s">
        <v>779</v>
      </c>
      <c r="C1541" s="88"/>
      <c r="D1541" s="92"/>
      <c r="E1541" s="89"/>
      <c r="F1541" s="89"/>
      <c r="G1541" s="89"/>
    </row>
    <row r="1542">
      <c r="A1542" s="93"/>
      <c r="B1542" s="87" t="s">
        <v>779</v>
      </c>
      <c r="C1542" s="88"/>
      <c r="D1542" s="92"/>
      <c r="E1542" s="89"/>
      <c r="F1542" s="89"/>
      <c r="G1542" s="89"/>
    </row>
    <row r="1543">
      <c r="A1543" s="93"/>
      <c r="B1543" s="87" t="s">
        <v>779</v>
      </c>
      <c r="C1543" s="88"/>
      <c r="D1543" s="92"/>
      <c r="E1543" s="89"/>
      <c r="F1543" s="89"/>
      <c r="G1543" s="89"/>
    </row>
    <row r="1544">
      <c r="A1544" s="93"/>
      <c r="B1544" s="87" t="s">
        <v>779</v>
      </c>
      <c r="C1544" s="88"/>
      <c r="D1544" s="92"/>
      <c r="E1544" s="89"/>
      <c r="F1544" s="89"/>
      <c r="G1544" s="89"/>
    </row>
    <row r="1545">
      <c r="A1545" s="93"/>
      <c r="B1545" s="87" t="s">
        <v>779</v>
      </c>
      <c r="C1545" s="88"/>
      <c r="D1545" s="92"/>
      <c r="E1545" s="89"/>
      <c r="F1545" s="89"/>
      <c r="G1545" s="89"/>
    </row>
    <row r="1546">
      <c r="A1546" s="93"/>
      <c r="B1546" s="87" t="s">
        <v>779</v>
      </c>
      <c r="C1546" s="88"/>
      <c r="D1546" s="92"/>
      <c r="E1546" s="89"/>
      <c r="F1546" s="89"/>
      <c r="G1546" s="89"/>
    </row>
    <row r="1547">
      <c r="A1547" s="93"/>
      <c r="B1547" s="87" t="s">
        <v>779</v>
      </c>
      <c r="C1547" s="88"/>
      <c r="D1547" s="92"/>
      <c r="E1547" s="89"/>
      <c r="F1547" s="89"/>
      <c r="G1547" s="89"/>
    </row>
    <row r="1548">
      <c r="A1548" s="93"/>
      <c r="B1548" s="87" t="s">
        <v>779</v>
      </c>
      <c r="C1548" s="88"/>
      <c r="D1548" s="92"/>
      <c r="E1548" s="89"/>
      <c r="F1548" s="89"/>
      <c r="G1548" s="89"/>
    </row>
    <row r="1549">
      <c r="A1549" s="93"/>
      <c r="B1549" s="87" t="s">
        <v>779</v>
      </c>
      <c r="C1549" s="88"/>
      <c r="D1549" s="92"/>
      <c r="E1549" s="89"/>
      <c r="F1549" s="89"/>
      <c r="G1549" s="89"/>
    </row>
    <row r="1550">
      <c r="A1550" s="93"/>
      <c r="B1550" s="87" t="s">
        <v>779</v>
      </c>
      <c r="C1550" s="88"/>
      <c r="D1550" s="92"/>
      <c r="E1550" s="89"/>
      <c r="F1550" s="89"/>
      <c r="G1550" s="89"/>
    </row>
    <row r="1551">
      <c r="A1551" s="93"/>
      <c r="B1551" s="87" t="s">
        <v>779</v>
      </c>
      <c r="C1551" s="88"/>
      <c r="D1551" s="92"/>
      <c r="E1551" s="89"/>
      <c r="F1551" s="89"/>
      <c r="G1551" s="89"/>
    </row>
    <row r="1552">
      <c r="A1552" s="93"/>
      <c r="B1552" s="87" t="s">
        <v>779</v>
      </c>
      <c r="C1552" s="88"/>
      <c r="D1552" s="92"/>
      <c r="E1552" s="89"/>
      <c r="F1552" s="89"/>
      <c r="G1552" s="89"/>
    </row>
    <row r="1553">
      <c r="A1553" s="93"/>
      <c r="B1553" s="87" t="s">
        <v>779</v>
      </c>
      <c r="C1553" s="88"/>
      <c r="D1553" s="92"/>
      <c r="E1553" s="89"/>
      <c r="F1553" s="89"/>
      <c r="G1553" s="89"/>
    </row>
    <row r="1554">
      <c r="A1554" s="93"/>
      <c r="B1554" s="87" t="s">
        <v>779</v>
      </c>
      <c r="C1554" s="88"/>
      <c r="D1554" s="92"/>
      <c r="E1554" s="89"/>
      <c r="F1554" s="89"/>
      <c r="G1554" s="89"/>
    </row>
    <row r="1555">
      <c r="A1555" s="93"/>
      <c r="B1555" s="87" t="s">
        <v>779</v>
      </c>
      <c r="C1555" s="88"/>
      <c r="D1555" s="92"/>
      <c r="E1555" s="89"/>
      <c r="F1555" s="89"/>
      <c r="G1555" s="89"/>
    </row>
    <row r="1556">
      <c r="A1556" s="93"/>
      <c r="B1556" s="87" t="s">
        <v>779</v>
      </c>
      <c r="C1556" s="88"/>
      <c r="D1556" s="92"/>
      <c r="E1556" s="89"/>
      <c r="F1556" s="89"/>
      <c r="G1556" s="89"/>
    </row>
    <row r="1557">
      <c r="A1557" s="93"/>
      <c r="B1557" s="87" t="s">
        <v>779</v>
      </c>
      <c r="C1557" s="88"/>
      <c r="D1557" s="92"/>
      <c r="E1557" s="89"/>
      <c r="F1557" s="89"/>
      <c r="G1557" s="89"/>
    </row>
    <row r="1558">
      <c r="A1558" s="93"/>
      <c r="B1558" s="87" t="s">
        <v>779</v>
      </c>
      <c r="C1558" s="88"/>
      <c r="D1558" s="92"/>
      <c r="E1558" s="89"/>
      <c r="F1558" s="89"/>
      <c r="G1558" s="89"/>
    </row>
    <row r="1559">
      <c r="A1559" s="93"/>
      <c r="B1559" s="87" t="s">
        <v>779</v>
      </c>
      <c r="C1559" s="88"/>
      <c r="D1559" s="92"/>
      <c r="E1559" s="89"/>
      <c r="F1559" s="89"/>
      <c r="G1559" s="89"/>
    </row>
    <row r="1560">
      <c r="A1560" s="93"/>
      <c r="B1560" s="87" t="s">
        <v>779</v>
      </c>
      <c r="C1560" s="88"/>
      <c r="D1560" s="92"/>
      <c r="E1560" s="89"/>
      <c r="F1560" s="89"/>
      <c r="G1560" s="89"/>
    </row>
    <row r="1561">
      <c r="A1561" s="93"/>
      <c r="B1561" s="87" t="s">
        <v>779</v>
      </c>
      <c r="C1561" s="88"/>
      <c r="D1561" s="92"/>
      <c r="E1561" s="89"/>
      <c r="F1561" s="89"/>
      <c r="G1561" s="89"/>
    </row>
    <row r="1562">
      <c r="A1562" s="93"/>
      <c r="B1562" s="87" t="s">
        <v>779</v>
      </c>
      <c r="C1562" s="88"/>
      <c r="D1562" s="92"/>
      <c r="E1562" s="89"/>
      <c r="F1562" s="89"/>
      <c r="G1562" s="89"/>
    </row>
    <row r="1563">
      <c r="A1563" s="93"/>
      <c r="B1563" s="87" t="s">
        <v>779</v>
      </c>
      <c r="C1563" s="88"/>
      <c r="D1563" s="92"/>
      <c r="E1563" s="89"/>
      <c r="F1563" s="89"/>
      <c r="G1563" s="89"/>
    </row>
    <row r="1564">
      <c r="A1564" s="93"/>
      <c r="B1564" s="87" t="s">
        <v>779</v>
      </c>
      <c r="C1564" s="88"/>
      <c r="D1564" s="92"/>
      <c r="E1564" s="89"/>
      <c r="F1564" s="89"/>
      <c r="G1564" s="89"/>
    </row>
    <row r="1565">
      <c r="A1565" s="93"/>
      <c r="B1565" s="87" t="s">
        <v>779</v>
      </c>
      <c r="C1565" s="88"/>
      <c r="D1565" s="92"/>
      <c r="E1565" s="89"/>
      <c r="F1565" s="89"/>
      <c r="G1565" s="89"/>
    </row>
    <row r="1566">
      <c r="A1566" s="93"/>
      <c r="B1566" s="87" t="s">
        <v>779</v>
      </c>
      <c r="C1566" s="88"/>
      <c r="D1566" s="92"/>
      <c r="E1566" s="89"/>
      <c r="F1566" s="89"/>
      <c r="G1566" s="89"/>
    </row>
    <row r="1567">
      <c r="A1567" s="93"/>
      <c r="B1567" s="87" t="s">
        <v>779</v>
      </c>
      <c r="C1567" s="88"/>
      <c r="D1567" s="92"/>
      <c r="E1567" s="89"/>
      <c r="F1567" s="89"/>
      <c r="G1567" s="89"/>
    </row>
    <row r="1568">
      <c r="A1568" s="93"/>
      <c r="B1568" s="87" t="s">
        <v>779</v>
      </c>
      <c r="C1568" s="88"/>
      <c r="D1568" s="92"/>
      <c r="E1568" s="89"/>
      <c r="F1568" s="89"/>
      <c r="G1568" s="89"/>
    </row>
    <row r="1569">
      <c r="A1569" s="93"/>
      <c r="B1569" s="87" t="s">
        <v>779</v>
      </c>
      <c r="C1569" s="88"/>
      <c r="D1569" s="92"/>
      <c r="E1569" s="89"/>
      <c r="F1569" s="89"/>
      <c r="G1569" s="89"/>
    </row>
    <row r="1570">
      <c r="A1570" s="93"/>
      <c r="B1570" s="87" t="s">
        <v>779</v>
      </c>
      <c r="C1570" s="88"/>
      <c r="D1570" s="92"/>
      <c r="E1570" s="89"/>
      <c r="F1570" s="89"/>
      <c r="G1570" s="89"/>
    </row>
    <row r="1571">
      <c r="A1571" s="93"/>
      <c r="B1571" s="87" t="s">
        <v>779</v>
      </c>
      <c r="C1571" s="88"/>
      <c r="D1571" s="92"/>
      <c r="E1571" s="89"/>
      <c r="F1571" s="89"/>
      <c r="G1571" s="89"/>
    </row>
    <row r="1572">
      <c r="A1572" s="93"/>
      <c r="B1572" s="87" t="s">
        <v>779</v>
      </c>
      <c r="C1572" s="88"/>
      <c r="D1572" s="92"/>
      <c r="E1572" s="89"/>
      <c r="F1572" s="89"/>
      <c r="G1572" s="89"/>
    </row>
    <row r="1573">
      <c r="A1573" s="93"/>
      <c r="B1573" s="87" t="s">
        <v>779</v>
      </c>
      <c r="C1573" s="88"/>
      <c r="D1573" s="92"/>
      <c r="E1573" s="89"/>
      <c r="F1573" s="89"/>
      <c r="G1573" s="89"/>
    </row>
    <row r="1574">
      <c r="A1574" s="93"/>
      <c r="B1574" s="87" t="s">
        <v>779</v>
      </c>
      <c r="C1574" s="88"/>
      <c r="D1574" s="92"/>
      <c r="E1574" s="89"/>
      <c r="F1574" s="89"/>
      <c r="G1574" s="89"/>
    </row>
    <row r="1575">
      <c r="A1575" s="93"/>
      <c r="B1575" s="87" t="s">
        <v>779</v>
      </c>
      <c r="C1575" s="88"/>
      <c r="D1575" s="92"/>
      <c r="E1575" s="89"/>
      <c r="F1575" s="89"/>
      <c r="G1575" s="89"/>
    </row>
    <row r="1576">
      <c r="A1576" s="93"/>
      <c r="B1576" s="87" t="s">
        <v>779</v>
      </c>
      <c r="C1576" s="88"/>
      <c r="D1576" s="92"/>
      <c r="E1576" s="89"/>
      <c r="F1576" s="89"/>
      <c r="G1576" s="89"/>
    </row>
    <row r="1577">
      <c r="A1577" s="93"/>
      <c r="B1577" s="87" t="s">
        <v>779</v>
      </c>
      <c r="C1577" s="88"/>
      <c r="D1577" s="92"/>
      <c r="E1577" s="89"/>
      <c r="F1577" s="89"/>
      <c r="G1577" s="89"/>
    </row>
    <row r="1578">
      <c r="A1578" s="93"/>
      <c r="B1578" s="87" t="s">
        <v>779</v>
      </c>
      <c r="C1578" s="88"/>
      <c r="D1578" s="92"/>
      <c r="E1578" s="89"/>
      <c r="F1578" s="89"/>
      <c r="G1578" s="89"/>
    </row>
    <row r="1579">
      <c r="A1579" s="93"/>
      <c r="B1579" s="87" t="s">
        <v>779</v>
      </c>
      <c r="C1579" s="88"/>
      <c r="D1579" s="92"/>
      <c r="E1579" s="89"/>
      <c r="F1579" s="89"/>
      <c r="G1579" s="89"/>
    </row>
    <row r="1580">
      <c r="A1580" s="93"/>
      <c r="B1580" s="87" t="s">
        <v>779</v>
      </c>
      <c r="C1580" s="88"/>
      <c r="D1580" s="92"/>
      <c r="E1580" s="89"/>
      <c r="F1580" s="89"/>
      <c r="G1580" s="89"/>
    </row>
    <row r="1581">
      <c r="A1581" s="93"/>
      <c r="B1581" s="87" t="s">
        <v>779</v>
      </c>
      <c r="C1581" s="88"/>
      <c r="D1581" s="92"/>
      <c r="E1581" s="89"/>
      <c r="F1581" s="89"/>
      <c r="G1581" s="89"/>
    </row>
    <row r="1582">
      <c r="A1582" s="93"/>
      <c r="B1582" s="87" t="s">
        <v>779</v>
      </c>
      <c r="C1582" s="88"/>
      <c r="D1582" s="92"/>
      <c r="E1582" s="89"/>
      <c r="F1582" s="89"/>
      <c r="G1582" s="89"/>
    </row>
    <row r="1583">
      <c r="A1583" s="93"/>
      <c r="B1583" s="87" t="s">
        <v>779</v>
      </c>
      <c r="C1583" s="88"/>
      <c r="D1583" s="92"/>
      <c r="E1583" s="89"/>
      <c r="F1583" s="89"/>
      <c r="G1583" s="89"/>
    </row>
    <row r="1584">
      <c r="A1584" s="93"/>
      <c r="B1584" s="87" t="s">
        <v>779</v>
      </c>
      <c r="C1584" s="88"/>
      <c r="D1584" s="92"/>
      <c r="E1584" s="89"/>
      <c r="F1584" s="89"/>
      <c r="G1584" s="89"/>
    </row>
    <row r="1585">
      <c r="A1585" s="93"/>
      <c r="B1585" s="87" t="s">
        <v>779</v>
      </c>
      <c r="C1585" s="88"/>
      <c r="D1585" s="92"/>
      <c r="E1585" s="89"/>
      <c r="F1585" s="89"/>
      <c r="G1585" s="89"/>
    </row>
    <row r="1586">
      <c r="A1586" s="93"/>
      <c r="B1586" s="87" t="s">
        <v>779</v>
      </c>
      <c r="C1586" s="88"/>
      <c r="D1586" s="92"/>
      <c r="E1586" s="89"/>
      <c r="F1586" s="89"/>
      <c r="G1586" s="89"/>
    </row>
    <row r="1587">
      <c r="A1587" s="93"/>
      <c r="B1587" s="87" t="s">
        <v>779</v>
      </c>
      <c r="C1587" s="88"/>
      <c r="D1587" s="92"/>
      <c r="E1587" s="89"/>
      <c r="F1587" s="89"/>
      <c r="G1587" s="89"/>
    </row>
    <row r="1588">
      <c r="A1588" s="93"/>
      <c r="B1588" s="87" t="s">
        <v>779</v>
      </c>
      <c r="C1588" s="88"/>
      <c r="D1588" s="92"/>
      <c r="E1588" s="89"/>
      <c r="F1588" s="89"/>
      <c r="G1588" s="89"/>
    </row>
    <row r="1589">
      <c r="A1589" s="93"/>
      <c r="B1589" s="87" t="s">
        <v>779</v>
      </c>
      <c r="C1589" s="88"/>
      <c r="D1589" s="92"/>
      <c r="E1589" s="89"/>
      <c r="F1589" s="89"/>
      <c r="G1589" s="89"/>
    </row>
    <row r="1590">
      <c r="A1590" s="93"/>
      <c r="B1590" s="87" t="s">
        <v>779</v>
      </c>
      <c r="C1590" s="88"/>
      <c r="D1590" s="92"/>
      <c r="E1590" s="89"/>
      <c r="F1590" s="89"/>
      <c r="G1590" s="89"/>
    </row>
    <row r="1591">
      <c r="A1591" s="93"/>
      <c r="B1591" s="87" t="s">
        <v>779</v>
      </c>
      <c r="C1591" s="88"/>
      <c r="D1591" s="92"/>
      <c r="E1591" s="89"/>
      <c r="F1591" s="89"/>
      <c r="G1591" s="89"/>
    </row>
    <row r="1592">
      <c r="A1592" s="93"/>
      <c r="B1592" s="87" t="s">
        <v>779</v>
      </c>
      <c r="C1592" s="88"/>
      <c r="D1592" s="92"/>
      <c r="E1592" s="89"/>
      <c r="F1592" s="89"/>
      <c r="G1592" s="89"/>
    </row>
    <row r="1593">
      <c r="A1593" s="93"/>
      <c r="B1593" s="87" t="s">
        <v>779</v>
      </c>
      <c r="C1593" s="88"/>
      <c r="D1593" s="92"/>
      <c r="E1593" s="89"/>
      <c r="F1593" s="89"/>
      <c r="G1593" s="89"/>
    </row>
    <row r="1594">
      <c r="A1594" s="93"/>
      <c r="B1594" s="87" t="s">
        <v>779</v>
      </c>
      <c r="C1594" s="88"/>
      <c r="D1594" s="92"/>
      <c r="E1594" s="89"/>
      <c r="F1594" s="89"/>
      <c r="G1594" s="89"/>
    </row>
    <row r="1595">
      <c r="A1595" s="93"/>
      <c r="B1595" s="87" t="s">
        <v>779</v>
      </c>
      <c r="C1595" s="88"/>
      <c r="D1595" s="92"/>
      <c r="E1595" s="89"/>
      <c r="F1595" s="89"/>
      <c r="G1595" s="89"/>
    </row>
    <row r="1596">
      <c r="A1596" s="93"/>
      <c r="B1596" s="87" t="s">
        <v>779</v>
      </c>
      <c r="C1596" s="88"/>
      <c r="D1596" s="92"/>
      <c r="E1596" s="89"/>
      <c r="F1596" s="89"/>
      <c r="G1596" s="89"/>
    </row>
    <row r="1597">
      <c r="A1597" s="93"/>
      <c r="B1597" s="87" t="s">
        <v>779</v>
      </c>
      <c r="C1597" s="88"/>
      <c r="D1597" s="92"/>
      <c r="E1597" s="89"/>
      <c r="F1597" s="89"/>
      <c r="G1597" s="89"/>
    </row>
    <row r="1598">
      <c r="A1598" s="93"/>
      <c r="B1598" s="87" t="s">
        <v>779</v>
      </c>
      <c r="C1598" s="88"/>
      <c r="D1598" s="92"/>
      <c r="E1598" s="89"/>
      <c r="F1598" s="89"/>
      <c r="G1598" s="89"/>
    </row>
    <row r="1599">
      <c r="A1599" s="93"/>
      <c r="B1599" s="87" t="s">
        <v>779</v>
      </c>
      <c r="C1599" s="88"/>
      <c r="D1599" s="92"/>
      <c r="E1599" s="89"/>
      <c r="F1599" s="89"/>
      <c r="G1599" s="89"/>
    </row>
    <row r="1600">
      <c r="A1600" s="93"/>
      <c r="B1600" s="87" t="s">
        <v>779</v>
      </c>
      <c r="C1600" s="88"/>
      <c r="D1600" s="92"/>
      <c r="E1600" s="89"/>
      <c r="F1600" s="89"/>
      <c r="G1600" s="89"/>
    </row>
    <row r="1601">
      <c r="A1601" s="93"/>
      <c r="B1601" s="87" t="s">
        <v>779</v>
      </c>
      <c r="C1601" s="88"/>
      <c r="D1601" s="92"/>
      <c r="E1601" s="89"/>
      <c r="F1601" s="89"/>
      <c r="G1601" s="89"/>
    </row>
    <row r="1602">
      <c r="A1602" s="93"/>
      <c r="B1602" s="87" t="s">
        <v>779</v>
      </c>
      <c r="C1602" s="88"/>
      <c r="D1602" s="92"/>
      <c r="E1602" s="89"/>
      <c r="F1602" s="89"/>
      <c r="G1602" s="89"/>
    </row>
    <row r="1603">
      <c r="A1603" s="93"/>
      <c r="B1603" s="87" t="s">
        <v>779</v>
      </c>
      <c r="C1603" s="88"/>
      <c r="D1603" s="92"/>
      <c r="E1603" s="89"/>
      <c r="F1603" s="89"/>
      <c r="G1603" s="89"/>
    </row>
    <row r="1604">
      <c r="A1604" s="93"/>
      <c r="B1604" s="87" t="s">
        <v>779</v>
      </c>
      <c r="C1604" s="88"/>
      <c r="D1604" s="92"/>
      <c r="E1604" s="89"/>
      <c r="F1604" s="89"/>
      <c r="G1604" s="89"/>
    </row>
    <row r="1605">
      <c r="A1605" s="93"/>
      <c r="B1605" s="87" t="s">
        <v>779</v>
      </c>
      <c r="C1605" s="88"/>
      <c r="D1605" s="92"/>
      <c r="E1605" s="89"/>
      <c r="F1605" s="89"/>
      <c r="G1605" s="89"/>
    </row>
    <row r="1606">
      <c r="A1606" s="93"/>
      <c r="B1606" s="87" t="s">
        <v>779</v>
      </c>
      <c r="C1606" s="88"/>
      <c r="D1606" s="92"/>
      <c r="E1606" s="89"/>
      <c r="F1606" s="89"/>
      <c r="G1606" s="89"/>
    </row>
    <row r="1607">
      <c r="A1607" s="93"/>
      <c r="B1607" s="87" t="s">
        <v>779</v>
      </c>
      <c r="C1607" s="88"/>
      <c r="D1607" s="92"/>
      <c r="E1607" s="89"/>
      <c r="F1607" s="89"/>
      <c r="G1607" s="89"/>
    </row>
    <row r="1608">
      <c r="A1608" s="93"/>
      <c r="B1608" s="87" t="s">
        <v>779</v>
      </c>
      <c r="C1608" s="88"/>
      <c r="D1608" s="92"/>
      <c r="E1608" s="89"/>
      <c r="F1608" s="89"/>
      <c r="G1608" s="89"/>
    </row>
    <row r="1609">
      <c r="A1609" s="93"/>
      <c r="B1609" s="87" t="s">
        <v>779</v>
      </c>
      <c r="C1609" s="88"/>
      <c r="D1609" s="92"/>
      <c r="E1609" s="89"/>
      <c r="F1609" s="89"/>
      <c r="G1609" s="89"/>
    </row>
    <row r="1610">
      <c r="A1610" s="93"/>
      <c r="B1610" s="87" t="s">
        <v>779</v>
      </c>
      <c r="C1610" s="88"/>
      <c r="D1610" s="92"/>
      <c r="E1610" s="89"/>
      <c r="F1610" s="89"/>
      <c r="G1610" s="89"/>
    </row>
    <row r="1611">
      <c r="A1611" s="93"/>
      <c r="B1611" s="87" t="s">
        <v>779</v>
      </c>
      <c r="C1611" s="88"/>
      <c r="D1611" s="92"/>
      <c r="E1611" s="89"/>
      <c r="F1611" s="89"/>
      <c r="G1611" s="89"/>
    </row>
    <row r="1612">
      <c r="A1612" s="93"/>
      <c r="B1612" s="87" t="s">
        <v>779</v>
      </c>
      <c r="C1612" s="88"/>
      <c r="D1612" s="92"/>
      <c r="E1612" s="89"/>
      <c r="F1612" s="89"/>
      <c r="G1612" s="89"/>
    </row>
    <row r="1613">
      <c r="A1613" s="93"/>
      <c r="B1613" s="87" t="s">
        <v>779</v>
      </c>
      <c r="C1613" s="88"/>
      <c r="D1613" s="92"/>
      <c r="E1613" s="89"/>
      <c r="F1613" s="89"/>
      <c r="G1613" s="89"/>
    </row>
    <row r="1614">
      <c r="A1614" s="93"/>
      <c r="B1614" s="87" t="s">
        <v>779</v>
      </c>
      <c r="C1614" s="88"/>
      <c r="D1614" s="92"/>
      <c r="E1614" s="89"/>
      <c r="F1614" s="89"/>
      <c r="G1614" s="89"/>
    </row>
    <row r="1615">
      <c r="A1615" s="93"/>
      <c r="B1615" s="87" t="s">
        <v>779</v>
      </c>
      <c r="C1615" s="88"/>
      <c r="D1615" s="92"/>
      <c r="E1615" s="89"/>
      <c r="F1615" s="89"/>
      <c r="G1615" s="89"/>
    </row>
    <row r="1616">
      <c r="A1616" s="93"/>
      <c r="B1616" s="87" t="s">
        <v>779</v>
      </c>
      <c r="C1616" s="88"/>
      <c r="D1616" s="92"/>
      <c r="E1616" s="89"/>
      <c r="F1616" s="89"/>
      <c r="G1616" s="89"/>
    </row>
    <row r="1617">
      <c r="A1617" s="93"/>
      <c r="B1617" s="87" t="s">
        <v>779</v>
      </c>
      <c r="C1617" s="88"/>
      <c r="D1617" s="92"/>
      <c r="E1617" s="89"/>
      <c r="F1617" s="89"/>
      <c r="G1617" s="89"/>
    </row>
    <row r="1618">
      <c r="A1618" s="93"/>
      <c r="B1618" s="87" t="s">
        <v>779</v>
      </c>
      <c r="C1618" s="88"/>
      <c r="D1618" s="92"/>
      <c r="E1618" s="89"/>
      <c r="F1618" s="89"/>
      <c r="G1618" s="89"/>
    </row>
    <row r="1619">
      <c r="A1619" s="93"/>
      <c r="B1619" s="87" t="s">
        <v>779</v>
      </c>
      <c r="C1619" s="88"/>
      <c r="D1619" s="92"/>
      <c r="E1619" s="89"/>
      <c r="F1619" s="89"/>
      <c r="G1619" s="89"/>
    </row>
    <row r="1620">
      <c r="A1620" s="93"/>
      <c r="B1620" s="87" t="s">
        <v>779</v>
      </c>
      <c r="C1620" s="88"/>
      <c r="D1620" s="92"/>
      <c r="E1620" s="89"/>
      <c r="F1620" s="89"/>
      <c r="G1620" s="89"/>
    </row>
    <row r="1621">
      <c r="A1621" s="93"/>
      <c r="B1621" s="87" t="s">
        <v>779</v>
      </c>
      <c r="C1621" s="88"/>
      <c r="D1621" s="92"/>
      <c r="E1621" s="89"/>
      <c r="F1621" s="89"/>
      <c r="G1621" s="89"/>
    </row>
    <row r="1622">
      <c r="A1622" s="93"/>
      <c r="B1622" s="87" t="s">
        <v>779</v>
      </c>
      <c r="C1622" s="88"/>
      <c r="D1622" s="92"/>
      <c r="E1622" s="89"/>
      <c r="F1622" s="89"/>
      <c r="G1622" s="89"/>
    </row>
    <row r="1623">
      <c r="A1623" s="93"/>
      <c r="B1623" s="87" t="s">
        <v>779</v>
      </c>
      <c r="C1623" s="88"/>
      <c r="D1623" s="92"/>
      <c r="E1623" s="89"/>
      <c r="F1623" s="89"/>
      <c r="G1623" s="89"/>
    </row>
    <row r="1624">
      <c r="A1624" s="93"/>
      <c r="B1624" s="87" t="s">
        <v>779</v>
      </c>
      <c r="C1624" s="88"/>
      <c r="D1624" s="92"/>
      <c r="E1624" s="89"/>
      <c r="F1624" s="89"/>
      <c r="G1624" s="89"/>
    </row>
    <row r="1625">
      <c r="A1625" s="93"/>
      <c r="B1625" s="87" t="s">
        <v>779</v>
      </c>
      <c r="C1625" s="88"/>
      <c r="D1625" s="92"/>
      <c r="E1625" s="89"/>
      <c r="F1625" s="89"/>
      <c r="G1625" s="89"/>
    </row>
    <row r="1626">
      <c r="A1626" s="93"/>
      <c r="B1626" s="87" t="s">
        <v>779</v>
      </c>
      <c r="C1626" s="88"/>
      <c r="D1626" s="92"/>
      <c r="E1626" s="89"/>
      <c r="F1626" s="89"/>
      <c r="G1626" s="89"/>
    </row>
    <row r="1627">
      <c r="A1627" s="93"/>
      <c r="B1627" s="87" t="s">
        <v>779</v>
      </c>
      <c r="C1627" s="88"/>
      <c r="D1627" s="92"/>
      <c r="E1627" s="89"/>
      <c r="F1627" s="89"/>
      <c r="G1627" s="89"/>
    </row>
    <row r="1628">
      <c r="A1628" s="93"/>
      <c r="B1628" s="87" t="s">
        <v>779</v>
      </c>
      <c r="C1628" s="88"/>
      <c r="D1628" s="92"/>
      <c r="E1628" s="89"/>
      <c r="F1628" s="89"/>
      <c r="G1628" s="89"/>
    </row>
    <row r="1629">
      <c r="A1629" s="93"/>
      <c r="B1629" s="87" t="s">
        <v>779</v>
      </c>
      <c r="C1629" s="88"/>
      <c r="D1629" s="92"/>
      <c r="E1629" s="89"/>
      <c r="F1629" s="89"/>
      <c r="G1629" s="89"/>
    </row>
    <row r="1630">
      <c r="A1630" s="93"/>
      <c r="B1630" s="87" t="s">
        <v>779</v>
      </c>
      <c r="C1630" s="88"/>
      <c r="D1630" s="92"/>
      <c r="E1630" s="89"/>
      <c r="F1630" s="89"/>
      <c r="G1630" s="89"/>
    </row>
    <row r="1631">
      <c r="A1631" s="93"/>
      <c r="B1631" s="87" t="s">
        <v>779</v>
      </c>
      <c r="C1631" s="88"/>
      <c r="D1631" s="92"/>
      <c r="E1631" s="89"/>
      <c r="F1631" s="89"/>
      <c r="G1631" s="89"/>
    </row>
    <row r="1632">
      <c r="A1632" s="93"/>
      <c r="B1632" s="87" t="s">
        <v>779</v>
      </c>
      <c r="C1632" s="88"/>
      <c r="D1632" s="92"/>
      <c r="E1632" s="89"/>
      <c r="F1632" s="89"/>
      <c r="G1632" s="89"/>
    </row>
    <row r="1633">
      <c r="A1633" s="93"/>
      <c r="B1633" s="87" t="s">
        <v>779</v>
      </c>
      <c r="C1633" s="88"/>
      <c r="D1633" s="92"/>
      <c r="E1633" s="89"/>
      <c r="F1633" s="89"/>
      <c r="G1633" s="89"/>
    </row>
    <row r="1634">
      <c r="A1634" s="93"/>
      <c r="B1634" s="87" t="s">
        <v>779</v>
      </c>
      <c r="C1634" s="88"/>
      <c r="D1634" s="92"/>
      <c r="E1634" s="89"/>
      <c r="F1634" s="89"/>
      <c r="G1634" s="89"/>
    </row>
    <row r="1635">
      <c r="A1635" s="93"/>
      <c r="B1635" s="87" t="s">
        <v>779</v>
      </c>
      <c r="C1635" s="88"/>
      <c r="D1635" s="92"/>
      <c r="E1635" s="89"/>
      <c r="F1635" s="89"/>
      <c r="G1635" s="89"/>
    </row>
    <row r="1636">
      <c r="A1636" s="93"/>
      <c r="B1636" s="87" t="s">
        <v>779</v>
      </c>
      <c r="C1636" s="88"/>
      <c r="D1636" s="92"/>
      <c r="E1636" s="89"/>
      <c r="F1636" s="89"/>
      <c r="G1636" s="89"/>
    </row>
    <row r="1637">
      <c r="A1637" s="93"/>
      <c r="B1637" s="87" t="s">
        <v>779</v>
      </c>
      <c r="C1637" s="88"/>
      <c r="D1637" s="92"/>
      <c r="E1637" s="89"/>
      <c r="F1637" s="89"/>
      <c r="G1637" s="89"/>
    </row>
    <row r="1638">
      <c r="A1638" s="93"/>
      <c r="B1638" s="87" t="s">
        <v>779</v>
      </c>
      <c r="C1638" s="88"/>
      <c r="D1638" s="92"/>
      <c r="E1638" s="89"/>
      <c r="F1638" s="89"/>
      <c r="G1638" s="89"/>
    </row>
    <row r="1639">
      <c r="A1639" s="93"/>
      <c r="B1639" s="87" t="s">
        <v>779</v>
      </c>
      <c r="C1639" s="88"/>
      <c r="D1639" s="92"/>
      <c r="E1639" s="89"/>
      <c r="F1639" s="89"/>
      <c r="G1639" s="89"/>
    </row>
    <row r="1640">
      <c r="A1640" s="93"/>
      <c r="B1640" s="87" t="s">
        <v>779</v>
      </c>
      <c r="C1640" s="88"/>
      <c r="D1640" s="92"/>
      <c r="E1640" s="89"/>
      <c r="F1640" s="89"/>
      <c r="G1640" s="89"/>
    </row>
    <row r="1641">
      <c r="A1641" s="93"/>
      <c r="B1641" s="87" t="s">
        <v>779</v>
      </c>
      <c r="C1641" s="88"/>
      <c r="D1641" s="92"/>
      <c r="E1641" s="89"/>
      <c r="F1641" s="89"/>
      <c r="G1641" s="89"/>
    </row>
    <row r="1642">
      <c r="A1642" s="93"/>
      <c r="B1642" s="87" t="s">
        <v>779</v>
      </c>
      <c r="C1642" s="88"/>
      <c r="D1642" s="92"/>
      <c r="E1642" s="89"/>
      <c r="F1642" s="89"/>
      <c r="G1642" s="89"/>
    </row>
    <row r="1643">
      <c r="A1643" s="93"/>
      <c r="B1643" s="87" t="s">
        <v>779</v>
      </c>
      <c r="C1643" s="88"/>
      <c r="D1643" s="92"/>
      <c r="E1643" s="89"/>
      <c r="F1643" s="89"/>
      <c r="G1643" s="89"/>
    </row>
    <row r="1644">
      <c r="A1644" s="93"/>
      <c r="B1644" s="87" t="s">
        <v>779</v>
      </c>
      <c r="C1644" s="88"/>
      <c r="D1644" s="92"/>
      <c r="E1644" s="89"/>
      <c r="F1644" s="89"/>
      <c r="G1644" s="89"/>
    </row>
    <row r="1645">
      <c r="A1645" s="93"/>
      <c r="B1645" s="87" t="s">
        <v>779</v>
      </c>
      <c r="C1645" s="88"/>
      <c r="D1645" s="92"/>
      <c r="E1645" s="89"/>
      <c r="F1645" s="89"/>
      <c r="G1645" s="89"/>
    </row>
    <row r="1646">
      <c r="A1646" s="93"/>
      <c r="B1646" s="87" t="s">
        <v>779</v>
      </c>
      <c r="C1646" s="88"/>
      <c r="D1646" s="92"/>
      <c r="E1646" s="89"/>
      <c r="F1646" s="89"/>
      <c r="G1646" s="89"/>
    </row>
    <row r="1647">
      <c r="A1647" s="93"/>
      <c r="B1647" s="87" t="s">
        <v>779</v>
      </c>
      <c r="C1647" s="88"/>
      <c r="D1647" s="92"/>
      <c r="E1647" s="89"/>
      <c r="F1647" s="89"/>
      <c r="G1647" s="89"/>
    </row>
    <row r="1648">
      <c r="A1648" s="93"/>
      <c r="B1648" s="87" t="s">
        <v>779</v>
      </c>
      <c r="C1648" s="88"/>
      <c r="D1648" s="92"/>
      <c r="E1648" s="89"/>
      <c r="F1648" s="89"/>
      <c r="G1648" s="89"/>
    </row>
    <row r="1649">
      <c r="A1649" s="93"/>
      <c r="B1649" s="87" t="s">
        <v>779</v>
      </c>
      <c r="C1649" s="88"/>
      <c r="D1649" s="92"/>
      <c r="E1649" s="89"/>
      <c r="F1649" s="89"/>
      <c r="G1649" s="89"/>
    </row>
    <row r="1650">
      <c r="A1650" s="93"/>
      <c r="B1650" s="87" t="s">
        <v>779</v>
      </c>
      <c r="C1650" s="88"/>
      <c r="D1650" s="92"/>
      <c r="E1650" s="89"/>
      <c r="F1650" s="89"/>
      <c r="G1650" s="89"/>
    </row>
    <row r="1651">
      <c r="A1651" s="93"/>
      <c r="B1651" s="87" t="s">
        <v>779</v>
      </c>
      <c r="C1651" s="88"/>
      <c r="D1651" s="92"/>
      <c r="E1651" s="89"/>
      <c r="F1651" s="89"/>
      <c r="G1651" s="89"/>
    </row>
    <row r="1652">
      <c r="A1652" s="93"/>
      <c r="B1652" s="87" t="s">
        <v>779</v>
      </c>
      <c r="C1652" s="88"/>
      <c r="D1652" s="92"/>
      <c r="E1652" s="89"/>
      <c r="F1652" s="89"/>
      <c r="G1652" s="89"/>
    </row>
    <row r="1653">
      <c r="A1653" s="93"/>
      <c r="B1653" s="87" t="s">
        <v>779</v>
      </c>
      <c r="C1653" s="88"/>
      <c r="D1653" s="92"/>
      <c r="E1653" s="89"/>
      <c r="F1653" s="89"/>
      <c r="G1653" s="89"/>
    </row>
    <row r="1654">
      <c r="A1654" s="93"/>
      <c r="B1654" s="87" t="s">
        <v>779</v>
      </c>
      <c r="C1654" s="88"/>
      <c r="D1654" s="92"/>
      <c r="E1654" s="89"/>
      <c r="F1654" s="89"/>
      <c r="G1654" s="89"/>
    </row>
    <row r="1655">
      <c r="A1655" s="93"/>
      <c r="B1655" s="87" t="s">
        <v>779</v>
      </c>
      <c r="C1655" s="88"/>
      <c r="D1655" s="92"/>
      <c r="E1655" s="89"/>
      <c r="F1655" s="89"/>
      <c r="G1655" s="89"/>
    </row>
    <row r="1656">
      <c r="A1656" s="93"/>
      <c r="B1656" s="87" t="s">
        <v>779</v>
      </c>
      <c r="C1656" s="88"/>
      <c r="D1656" s="92"/>
      <c r="E1656" s="89"/>
      <c r="F1656" s="89"/>
      <c r="G1656" s="89"/>
    </row>
    <row r="1657">
      <c r="A1657" s="93"/>
      <c r="B1657" s="87" t="s">
        <v>779</v>
      </c>
      <c r="C1657" s="88"/>
      <c r="D1657" s="92"/>
      <c r="E1657" s="89"/>
      <c r="F1657" s="89"/>
      <c r="G1657" s="89"/>
    </row>
    <row r="1658">
      <c r="A1658" s="93"/>
      <c r="B1658" s="87" t="s">
        <v>779</v>
      </c>
      <c r="C1658" s="88"/>
      <c r="D1658" s="92"/>
      <c r="E1658" s="89"/>
      <c r="F1658" s="89"/>
      <c r="G1658" s="89"/>
    </row>
    <row r="1659">
      <c r="A1659" s="93"/>
      <c r="B1659" s="87" t="s">
        <v>779</v>
      </c>
      <c r="C1659" s="88"/>
      <c r="D1659" s="92"/>
      <c r="E1659" s="89"/>
      <c r="F1659" s="89"/>
      <c r="G1659" s="89"/>
    </row>
    <row r="1660">
      <c r="A1660" s="93"/>
      <c r="B1660" s="87" t="s">
        <v>779</v>
      </c>
      <c r="C1660" s="88"/>
      <c r="D1660" s="92"/>
      <c r="E1660" s="89"/>
      <c r="F1660" s="89"/>
      <c r="G1660" s="89"/>
    </row>
    <row r="1661">
      <c r="A1661" s="93"/>
      <c r="B1661" s="87" t="s">
        <v>779</v>
      </c>
      <c r="C1661" s="88"/>
      <c r="D1661" s="92"/>
      <c r="E1661" s="89"/>
      <c r="F1661" s="89"/>
      <c r="G1661" s="89"/>
    </row>
    <row r="1662">
      <c r="A1662" s="93"/>
      <c r="B1662" s="87" t="s">
        <v>779</v>
      </c>
      <c r="C1662" s="88"/>
      <c r="D1662" s="92"/>
      <c r="E1662" s="89"/>
      <c r="F1662" s="89"/>
      <c r="G1662" s="89"/>
    </row>
    <row r="1663">
      <c r="A1663" s="93"/>
      <c r="B1663" s="87" t="s">
        <v>779</v>
      </c>
      <c r="C1663" s="88"/>
      <c r="D1663" s="92"/>
      <c r="E1663" s="89"/>
      <c r="F1663" s="89"/>
      <c r="G1663" s="89"/>
    </row>
    <row r="1664">
      <c r="A1664" s="93"/>
      <c r="B1664" s="87" t="s">
        <v>779</v>
      </c>
      <c r="C1664" s="88"/>
      <c r="D1664" s="92"/>
      <c r="E1664" s="89"/>
      <c r="F1664" s="89"/>
      <c r="G1664" s="89"/>
    </row>
    <row r="1665">
      <c r="A1665" s="93"/>
      <c r="B1665" s="87" t="s">
        <v>779</v>
      </c>
      <c r="C1665" s="88"/>
      <c r="D1665" s="92"/>
      <c r="E1665" s="89"/>
      <c r="F1665" s="89"/>
      <c r="G1665" s="89"/>
    </row>
    <row r="1666">
      <c r="A1666" s="93"/>
      <c r="B1666" s="87" t="s">
        <v>779</v>
      </c>
      <c r="C1666" s="88"/>
      <c r="D1666" s="92"/>
      <c r="E1666" s="89"/>
      <c r="F1666" s="89"/>
      <c r="G1666" s="89"/>
    </row>
    <row r="1667">
      <c r="A1667" s="93"/>
      <c r="B1667" s="87" t="s">
        <v>779</v>
      </c>
      <c r="C1667" s="88"/>
      <c r="D1667" s="92"/>
      <c r="E1667" s="89"/>
      <c r="F1667" s="89"/>
      <c r="G1667" s="89"/>
    </row>
    <row r="1668">
      <c r="A1668" s="93"/>
      <c r="B1668" s="87" t="s">
        <v>779</v>
      </c>
      <c r="C1668" s="88"/>
      <c r="D1668" s="92"/>
      <c r="E1668" s="89"/>
      <c r="F1668" s="89"/>
      <c r="G1668" s="89"/>
    </row>
    <row r="1669">
      <c r="A1669" s="93"/>
      <c r="B1669" s="87" t="s">
        <v>779</v>
      </c>
      <c r="C1669" s="88"/>
      <c r="D1669" s="92"/>
      <c r="E1669" s="89"/>
      <c r="F1669" s="89"/>
      <c r="G1669" s="89"/>
    </row>
    <row r="1670">
      <c r="A1670" s="93"/>
      <c r="B1670" s="87" t="s">
        <v>779</v>
      </c>
      <c r="C1670" s="88"/>
      <c r="D1670" s="92"/>
      <c r="E1670" s="89"/>
      <c r="F1670" s="89"/>
      <c r="G1670" s="89"/>
    </row>
    <row r="1671">
      <c r="A1671" s="93"/>
      <c r="B1671" s="87" t="s">
        <v>779</v>
      </c>
      <c r="C1671" s="88"/>
      <c r="D1671" s="92"/>
      <c r="E1671" s="89"/>
      <c r="F1671" s="89"/>
      <c r="G1671" s="89"/>
    </row>
    <row r="1672">
      <c r="A1672" s="93"/>
      <c r="B1672" s="87" t="s">
        <v>779</v>
      </c>
      <c r="C1672" s="88"/>
      <c r="D1672" s="92"/>
      <c r="E1672" s="89"/>
      <c r="F1672" s="89"/>
      <c r="G1672" s="89"/>
    </row>
    <row r="1673">
      <c r="A1673" s="93"/>
      <c r="B1673" s="87" t="s">
        <v>779</v>
      </c>
      <c r="C1673" s="88"/>
      <c r="D1673" s="92"/>
      <c r="E1673" s="89"/>
      <c r="F1673" s="89"/>
      <c r="G1673" s="89"/>
    </row>
    <row r="1674">
      <c r="A1674" s="93"/>
      <c r="B1674" s="87" t="s">
        <v>779</v>
      </c>
      <c r="C1674" s="88"/>
      <c r="D1674" s="92"/>
      <c r="E1674" s="89"/>
      <c r="F1674" s="89"/>
      <c r="G1674" s="89"/>
    </row>
    <row r="1675">
      <c r="A1675" s="93"/>
      <c r="B1675" s="87" t="s">
        <v>779</v>
      </c>
      <c r="C1675" s="88"/>
      <c r="D1675" s="92"/>
      <c r="E1675" s="89"/>
      <c r="F1675" s="89"/>
      <c r="G1675" s="89"/>
    </row>
    <row r="1676">
      <c r="A1676" s="93"/>
      <c r="B1676" s="87" t="s">
        <v>779</v>
      </c>
      <c r="C1676" s="88"/>
      <c r="D1676" s="92"/>
      <c r="E1676" s="89"/>
      <c r="F1676" s="89"/>
      <c r="G1676" s="89"/>
    </row>
    <row r="1677">
      <c r="A1677" s="93"/>
      <c r="B1677" s="87" t="s">
        <v>779</v>
      </c>
      <c r="C1677" s="88"/>
      <c r="D1677" s="92"/>
      <c r="E1677" s="89"/>
      <c r="F1677" s="89"/>
      <c r="G1677" s="89"/>
    </row>
    <row r="1678">
      <c r="A1678" s="93"/>
      <c r="B1678" s="87" t="s">
        <v>779</v>
      </c>
      <c r="C1678" s="88"/>
      <c r="D1678" s="92"/>
      <c r="E1678" s="89"/>
      <c r="F1678" s="89"/>
      <c r="G1678" s="89"/>
    </row>
    <row r="1679">
      <c r="A1679" s="93"/>
      <c r="B1679" s="87" t="s">
        <v>779</v>
      </c>
      <c r="C1679" s="88"/>
      <c r="D1679" s="92"/>
      <c r="E1679" s="89"/>
      <c r="F1679" s="89"/>
      <c r="G1679" s="89"/>
    </row>
    <row r="1680">
      <c r="A1680" s="93"/>
      <c r="B1680" s="87" t="s">
        <v>779</v>
      </c>
      <c r="C1680" s="88"/>
      <c r="D1680" s="92"/>
      <c r="E1680" s="89"/>
      <c r="F1680" s="89"/>
      <c r="G1680" s="89"/>
    </row>
    <row r="1681">
      <c r="A1681" s="93"/>
      <c r="B1681" s="87" t="s">
        <v>779</v>
      </c>
      <c r="C1681" s="88"/>
      <c r="D1681" s="92"/>
      <c r="E1681" s="89"/>
      <c r="F1681" s="89"/>
      <c r="G1681" s="89"/>
    </row>
    <row r="1682">
      <c r="A1682" s="93"/>
      <c r="B1682" s="87" t="s">
        <v>779</v>
      </c>
      <c r="C1682" s="88"/>
      <c r="D1682" s="92"/>
      <c r="E1682" s="89"/>
      <c r="F1682" s="89"/>
      <c r="G1682" s="89"/>
    </row>
    <row r="1683">
      <c r="A1683" s="93"/>
      <c r="B1683" s="87" t="s">
        <v>779</v>
      </c>
      <c r="C1683" s="88"/>
      <c r="D1683" s="92"/>
      <c r="E1683" s="89"/>
      <c r="F1683" s="89"/>
      <c r="G1683" s="89"/>
    </row>
    <row r="1684">
      <c r="A1684" s="93"/>
      <c r="B1684" s="87" t="s">
        <v>779</v>
      </c>
      <c r="C1684" s="88"/>
      <c r="D1684" s="92"/>
      <c r="E1684" s="89"/>
      <c r="F1684" s="89"/>
      <c r="G1684" s="89"/>
    </row>
    <row r="1685">
      <c r="A1685" s="93"/>
      <c r="B1685" s="87" t="s">
        <v>779</v>
      </c>
      <c r="C1685" s="88"/>
      <c r="D1685" s="92"/>
      <c r="E1685" s="89"/>
      <c r="F1685" s="89"/>
      <c r="G1685" s="89"/>
    </row>
    <row r="1686">
      <c r="A1686" s="93"/>
      <c r="B1686" s="87" t="s">
        <v>779</v>
      </c>
      <c r="C1686" s="88"/>
      <c r="D1686" s="92"/>
      <c r="E1686" s="89"/>
      <c r="F1686" s="89"/>
      <c r="G1686" s="89"/>
    </row>
    <row r="1687">
      <c r="A1687" s="93"/>
      <c r="B1687" s="87" t="s">
        <v>779</v>
      </c>
      <c r="C1687" s="88"/>
      <c r="D1687" s="92"/>
      <c r="E1687" s="89"/>
      <c r="F1687" s="89"/>
      <c r="G1687" s="89"/>
    </row>
    <row r="1688">
      <c r="A1688" s="93"/>
      <c r="B1688" s="87" t="s">
        <v>779</v>
      </c>
      <c r="C1688" s="88"/>
      <c r="D1688" s="92"/>
      <c r="E1688" s="89"/>
      <c r="F1688" s="89"/>
      <c r="G1688" s="89"/>
    </row>
    <row r="1689">
      <c r="A1689" s="93"/>
      <c r="B1689" s="87" t="s">
        <v>779</v>
      </c>
      <c r="C1689" s="88"/>
      <c r="D1689" s="92"/>
      <c r="E1689" s="89"/>
      <c r="F1689" s="89"/>
      <c r="G1689" s="89"/>
    </row>
    <row r="1690">
      <c r="A1690" s="93"/>
      <c r="B1690" s="87" t="s">
        <v>779</v>
      </c>
      <c r="C1690" s="88"/>
      <c r="D1690" s="92"/>
      <c r="E1690" s="89"/>
      <c r="F1690" s="89"/>
      <c r="G1690" s="89"/>
    </row>
    <row r="1691">
      <c r="A1691" s="93"/>
      <c r="B1691" s="87" t="s">
        <v>779</v>
      </c>
      <c r="C1691" s="88"/>
      <c r="D1691" s="92"/>
      <c r="E1691" s="89"/>
      <c r="F1691" s="89"/>
      <c r="G1691" s="89"/>
    </row>
    <row r="1692">
      <c r="A1692" s="93"/>
      <c r="B1692" s="87" t="s">
        <v>779</v>
      </c>
      <c r="C1692" s="88"/>
      <c r="D1692" s="92"/>
      <c r="E1692" s="89"/>
      <c r="F1692" s="89"/>
      <c r="G1692" s="89"/>
    </row>
    <row r="1693">
      <c r="A1693" s="93"/>
      <c r="B1693" s="87" t="s">
        <v>779</v>
      </c>
      <c r="C1693" s="88"/>
      <c r="D1693" s="92"/>
      <c r="E1693" s="89"/>
      <c r="F1693" s="89"/>
      <c r="G1693" s="89"/>
    </row>
    <row r="1694">
      <c r="A1694" s="93"/>
      <c r="B1694" s="87" t="s">
        <v>779</v>
      </c>
      <c r="C1694" s="88"/>
      <c r="D1694" s="92"/>
      <c r="E1694" s="89"/>
      <c r="F1694" s="89"/>
      <c r="G1694" s="89"/>
    </row>
    <row r="1695">
      <c r="A1695" s="93"/>
      <c r="B1695" s="87" t="s">
        <v>779</v>
      </c>
      <c r="C1695" s="88"/>
      <c r="D1695" s="92"/>
      <c r="E1695" s="89"/>
      <c r="F1695" s="89"/>
      <c r="G1695" s="89"/>
    </row>
    <row r="1696">
      <c r="A1696" s="93"/>
      <c r="B1696" s="87" t="s">
        <v>779</v>
      </c>
      <c r="C1696" s="88"/>
      <c r="D1696" s="92"/>
      <c r="E1696" s="89"/>
      <c r="F1696" s="89"/>
      <c r="G1696" s="89"/>
    </row>
    <row r="1697">
      <c r="A1697" s="93"/>
      <c r="B1697" s="87" t="s">
        <v>779</v>
      </c>
      <c r="C1697" s="88"/>
      <c r="D1697" s="92"/>
      <c r="E1697" s="89"/>
      <c r="F1697" s="89"/>
      <c r="G1697" s="89"/>
    </row>
    <row r="1698">
      <c r="A1698" s="93"/>
      <c r="B1698" s="87" t="s">
        <v>779</v>
      </c>
      <c r="C1698" s="88"/>
      <c r="D1698" s="92"/>
      <c r="E1698" s="89"/>
      <c r="F1698" s="89"/>
      <c r="G1698" s="89"/>
    </row>
    <row r="1699">
      <c r="A1699" s="93"/>
      <c r="B1699" s="87" t="s">
        <v>779</v>
      </c>
      <c r="C1699" s="88"/>
      <c r="D1699" s="92"/>
      <c r="E1699" s="89"/>
      <c r="F1699" s="89"/>
      <c r="G1699" s="89"/>
    </row>
    <row r="1700">
      <c r="A1700" s="93"/>
      <c r="B1700" s="87" t="s">
        <v>779</v>
      </c>
      <c r="C1700" s="88"/>
      <c r="D1700" s="92"/>
      <c r="E1700" s="89"/>
      <c r="F1700" s="89"/>
      <c r="G1700" s="89"/>
    </row>
    <row r="1701">
      <c r="A1701" s="93"/>
      <c r="B1701" s="87" t="s">
        <v>779</v>
      </c>
      <c r="C1701" s="88"/>
      <c r="D1701" s="92"/>
      <c r="E1701" s="89"/>
      <c r="F1701" s="89"/>
      <c r="G1701" s="89"/>
    </row>
    <row r="1702">
      <c r="A1702" s="93"/>
      <c r="B1702" s="87" t="s">
        <v>779</v>
      </c>
      <c r="C1702" s="88"/>
      <c r="D1702" s="92"/>
      <c r="E1702" s="89"/>
      <c r="F1702" s="89"/>
      <c r="G1702" s="89"/>
    </row>
    <row r="1703">
      <c r="A1703" s="93"/>
      <c r="B1703" s="87" t="s">
        <v>779</v>
      </c>
      <c r="C1703" s="88"/>
      <c r="D1703" s="92"/>
      <c r="E1703" s="89"/>
      <c r="F1703" s="89"/>
      <c r="G1703" s="89"/>
    </row>
    <row r="1704">
      <c r="A1704" s="93"/>
      <c r="B1704" s="87" t="s">
        <v>779</v>
      </c>
      <c r="C1704" s="88"/>
      <c r="D1704" s="92"/>
      <c r="E1704" s="89"/>
      <c r="F1704" s="89"/>
      <c r="G1704" s="89"/>
    </row>
    <row r="1705">
      <c r="A1705" s="93"/>
      <c r="B1705" s="87" t="s">
        <v>779</v>
      </c>
      <c r="C1705" s="88"/>
      <c r="D1705" s="92"/>
      <c r="E1705" s="89"/>
      <c r="F1705" s="89"/>
      <c r="G1705" s="89"/>
    </row>
    <row r="1706">
      <c r="A1706" s="93"/>
      <c r="B1706" s="87" t="s">
        <v>779</v>
      </c>
      <c r="C1706" s="88"/>
      <c r="D1706" s="92"/>
      <c r="E1706" s="89"/>
      <c r="F1706" s="89"/>
      <c r="G1706" s="89"/>
    </row>
    <row r="1707">
      <c r="A1707" s="93"/>
      <c r="B1707" s="87" t="s">
        <v>779</v>
      </c>
      <c r="C1707" s="88"/>
      <c r="D1707" s="92"/>
      <c r="E1707" s="89"/>
      <c r="F1707" s="89"/>
      <c r="G1707" s="89"/>
    </row>
    <row r="1708">
      <c r="A1708" s="93"/>
      <c r="B1708" s="87" t="s">
        <v>779</v>
      </c>
      <c r="C1708" s="88"/>
      <c r="D1708" s="92"/>
      <c r="E1708" s="89"/>
      <c r="F1708" s="89"/>
      <c r="G1708" s="89"/>
    </row>
    <row r="1709">
      <c r="A1709" s="93"/>
      <c r="B1709" s="87" t="s">
        <v>779</v>
      </c>
      <c r="C1709" s="88"/>
      <c r="D1709" s="92"/>
      <c r="E1709" s="89"/>
      <c r="F1709" s="89"/>
      <c r="G1709" s="89"/>
    </row>
    <row r="1710">
      <c r="A1710" s="93"/>
      <c r="B1710" s="87" t="s">
        <v>779</v>
      </c>
      <c r="C1710" s="88"/>
      <c r="D1710" s="92"/>
      <c r="E1710" s="89"/>
      <c r="F1710" s="89"/>
      <c r="G1710" s="89"/>
    </row>
    <row r="1711">
      <c r="A1711" s="93"/>
      <c r="B1711" s="87" t="s">
        <v>779</v>
      </c>
      <c r="C1711" s="88"/>
      <c r="D1711" s="92"/>
      <c r="E1711" s="89"/>
      <c r="F1711" s="89"/>
      <c r="G1711" s="89"/>
    </row>
    <row r="1712">
      <c r="A1712" s="93"/>
      <c r="B1712" s="87" t="s">
        <v>779</v>
      </c>
      <c r="C1712" s="88"/>
      <c r="D1712" s="92"/>
      <c r="E1712" s="89"/>
      <c r="F1712" s="89"/>
      <c r="G1712" s="89"/>
    </row>
    <row r="1713">
      <c r="A1713" s="93"/>
      <c r="B1713" s="87" t="s">
        <v>779</v>
      </c>
      <c r="C1713" s="88"/>
      <c r="D1713" s="92"/>
      <c r="E1713" s="89"/>
      <c r="F1713" s="89"/>
      <c r="G1713" s="89"/>
    </row>
    <row r="1714">
      <c r="A1714" s="93"/>
      <c r="B1714" s="87" t="s">
        <v>779</v>
      </c>
      <c r="C1714" s="88"/>
      <c r="D1714" s="92"/>
      <c r="E1714" s="89"/>
      <c r="F1714" s="89"/>
      <c r="G1714" s="89"/>
    </row>
    <row r="1715">
      <c r="A1715" s="93"/>
      <c r="B1715" s="87" t="s">
        <v>779</v>
      </c>
      <c r="C1715" s="88"/>
      <c r="D1715" s="92"/>
      <c r="E1715" s="89"/>
      <c r="F1715" s="89"/>
      <c r="G1715" s="89"/>
    </row>
    <row r="1716">
      <c r="A1716" s="93"/>
      <c r="B1716" s="87" t="s">
        <v>779</v>
      </c>
      <c r="C1716" s="88"/>
      <c r="D1716" s="92"/>
      <c r="E1716" s="89"/>
      <c r="F1716" s="89"/>
      <c r="G1716" s="89"/>
    </row>
    <row r="1717">
      <c r="A1717" s="93"/>
      <c r="B1717" s="87" t="s">
        <v>779</v>
      </c>
      <c r="C1717" s="88"/>
      <c r="D1717" s="92"/>
      <c r="E1717" s="89"/>
      <c r="F1717" s="89"/>
      <c r="G1717" s="89"/>
    </row>
    <row r="1718">
      <c r="A1718" s="93"/>
      <c r="B1718" s="87" t="s">
        <v>779</v>
      </c>
      <c r="C1718" s="88"/>
      <c r="D1718" s="92"/>
      <c r="E1718" s="89"/>
      <c r="F1718" s="89"/>
      <c r="G1718" s="89"/>
    </row>
    <row r="1719">
      <c r="A1719" s="93"/>
      <c r="B1719" s="87" t="s">
        <v>779</v>
      </c>
      <c r="C1719" s="88"/>
      <c r="D1719" s="92"/>
      <c r="E1719" s="89"/>
      <c r="F1719" s="89"/>
      <c r="G1719" s="89"/>
    </row>
    <row r="1720">
      <c r="A1720" s="93"/>
      <c r="B1720" s="87" t="s">
        <v>779</v>
      </c>
      <c r="C1720" s="88"/>
      <c r="D1720" s="92"/>
      <c r="E1720" s="89"/>
      <c r="F1720" s="89"/>
      <c r="G1720" s="89"/>
    </row>
    <row r="1721">
      <c r="A1721" s="93"/>
      <c r="B1721" s="87" t="s">
        <v>779</v>
      </c>
      <c r="C1721" s="88"/>
      <c r="D1721" s="92"/>
      <c r="E1721" s="89"/>
      <c r="F1721" s="89"/>
      <c r="G1721" s="89"/>
    </row>
    <row r="1722">
      <c r="A1722" s="93"/>
      <c r="B1722" s="87" t="s">
        <v>779</v>
      </c>
      <c r="C1722" s="88"/>
      <c r="D1722" s="92"/>
      <c r="E1722" s="89"/>
      <c r="F1722" s="89"/>
      <c r="G1722" s="89"/>
    </row>
    <row r="1723">
      <c r="A1723" s="93"/>
      <c r="B1723" s="87" t="s">
        <v>779</v>
      </c>
      <c r="C1723" s="88"/>
      <c r="D1723" s="92"/>
      <c r="E1723" s="89"/>
      <c r="F1723" s="89"/>
      <c r="G1723" s="89"/>
    </row>
    <row r="1724">
      <c r="A1724" s="93"/>
      <c r="B1724" s="87" t="s">
        <v>779</v>
      </c>
      <c r="C1724" s="88"/>
      <c r="D1724" s="92"/>
      <c r="E1724" s="89"/>
      <c r="F1724" s="89"/>
      <c r="G1724" s="89"/>
    </row>
    <row r="1725">
      <c r="A1725" s="93"/>
      <c r="B1725" s="87" t="s">
        <v>779</v>
      </c>
      <c r="C1725" s="88"/>
      <c r="D1725" s="92"/>
      <c r="E1725" s="89"/>
      <c r="F1725" s="89"/>
      <c r="G1725" s="89"/>
    </row>
    <row r="1726">
      <c r="A1726" s="93"/>
      <c r="B1726" s="87" t="s">
        <v>779</v>
      </c>
      <c r="C1726" s="88"/>
      <c r="D1726" s="92"/>
      <c r="E1726" s="89"/>
      <c r="F1726" s="89"/>
      <c r="G1726" s="89"/>
    </row>
    <row r="1727">
      <c r="A1727" s="93"/>
      <c r="B1727" s="87" t="s">
        <v>779</v>
      </c>
      <c r="C1727" s="88"/>
      <c r="D1727" s="92"/>
      <c r="E1727" s="89"/>
      <c r="F1727" s="89"/>
      <c r="G1727" s="89"/>
    </row>
    <row r="1728">
      <c r="A1728" s="93"/>
      <c r="B1728" s="87" t="s">
        <v>779</v>
      </c>
      <c r="C1728" s="88"/>
      <c r="D1728" s="92"/>
      <c r="E1728" s="89"/>
      <c r="F1728" s="89"/>
      <c r="G1728" s="89"/>
    </row>
    <row r="1729">
      <c r="A1729" s="93"/>
      <c r="B1729" s="87" t="s">
        <v>779</v>
      </c>
      <c r="C1729" s="88"/>
      <c r="D1729" s="92"/>
      <c r="E1729" s="89"/>
      <c r="F1729" s="89"/>
      <c r="G1729" s="89"/>
    </row>
    <row r="1730">
      <c r="A1730" s="93"/>
      <c r="B1730" s="87" t="s">
        <v>779</v>
      </c>
      <c r="C1730" s="88"/>
      <c r="D1730" s="92"/>
      <c r="E1730" s="89"/>
      <c r="F1730" s="89"/>
      <c r="G1730" s="89"/>
    </row>
    <row r="1731">
      <c r="A1731" s="93"/>
      <c r="B1731" s="87" t="s">
        <v>779</v>
      </c>
      <c r="C1731" s="88"/>
      <c r="D1731" s="92"/>
      <c r="E1731" s="89"/>
      <c r="F1731" s="89"/>
      <c r="G1731" s="89"/>
    </row>
    <row r="1732">
      <c r="A1732" s="93"/>
      <c r="B1732" s="87" t="s">
        <v>779</v>
      </c>
      <c r="C1732" s="88"/>
      <c r="D1732" s="92"/>
      <c r="E1732" s="89"/>
      <c r="F1732" s="89"/>
      <c r="G1732" s="89"/>
    </row>
    <row r="1733">
      <c r="A1733" s="93"/>
      <c r="B1733" s="87" t="s">
        <v>779</v>
      </c>
      <c r="C1733" s="88"/>
      <c r="D1733" s="92"/>
      <c r="E1733" s="89"/>
      <c r="F1733" s="89"/>
      <c r="G1733" s="89"/>
    </row>
    <row r="1734">
      <c r="A1734" s="93"/>
      <c r="B1734" s="87" t="s">
        <v>779</v>
      </c>
      <c r="C1734" s="88"/>
      <c r="D1734" s="92"/>
      <c r="E1734" s="89"/>
      <c r="F1734" s="89"/>
      <c r="G1734" s="89"/>
    </row>
    <row r="1735">
      <c r="A1735" s="93"/>
      <c r="B1735" s="87" t="s">
        <v>779</v>
      </c>
      <c r="C1735" s="88"/>
      <c r="D1735" s="92"/>
      <c r="E1735" s="89"/>
      <c r="F1735" s="89"/>
      <c r="G1735" s="89"/>
    </row>
    <row r="1736">
      <c r="A1736" s="93"/>
      <c r="B1736" s="87" t="s">
        <v>779</v>
      </c>
      <c r="C1736" s="88"/>
      <c r="D1736" s="92"/>
      <c r="E1736" s="89"/>
      <c r="F1736" s="89"/>
      <c r="G1736" s="89"/>
    </row>
    <row r="1737">
      <c r="A1737" s="93"/>
      <c r="B1737" s="87" t="s">
        <v>779</v>
      </c>
      <c r="C1737" s="88"/>
      <c r="D1737" s="92"/>
      <c r="E1737" s="89"/>
      <c r="F1737" s="89"/>
      <c r="G1737" s="89"/>
    </row>
    <row r="1738">
      <c r="A1738" s="93"/>
      <c r="B1738" s="87" t="s">
        <v>779</v>
      </c>
      <c r="C1738" s="88"/>
      <c r="D1738" s="92"/>
      <c r="E1738" s="89"/>
      <c r="F1738" s="89"/>
      <c r="G1738" s="89"/>
    </row>
    <row r="1739">
      <c r="A1739" s="93"/>
      <c r="B1739" s="87" t="s">
        <v>779</v>
      </c>
      <c r="C1739" s="88"/>
      <c r="D1739" s="92"/>
      <c r="E1739" s="89"/>
      <c r="F1739" s="89"/>
      <c r="G1739" s="89"/>
    </row>
    <row r="1740">
      <c r="A1740" s="93"/>
      <c r="B1740" s="87" t="s">
        <v>779</v>
      </c>
      <c r="C1740" s="88"/>
      <c r="D1740" s="92"/>
      <c r="E1740" s="89"/>
      <c r="F1740" s="89"/>
      <c r="G1740" s="89"/>
    </row>
    <row r="1741">
      <c r="A1741" s="93"/>
      <c r="B1741" s="87" t="s">
        <v>779</v>
      </c>
      <c r="C1741" s="88"/>
      <c r="D1741" s="92"/>
      <c r="E1741" s="89"/>
      <c r="F1741" s="89"/>
      <c r="G1741" s="89"/>
    </row>
    <row r="1742">
      <c r="A1742" s="93"/>
      <c r="B1742" s="87" t="s">
        <v>779</v>
      </c>
      <c r="C1742" s="88"/>
      <c r="D1742" s="92"/>
      <c r="E1742" s="89"/>
      <c r="F1742" s="89"/>
      <c r="G1742" s="89"/>
    </row>
    <row r="1743">
      <c r="A1743" s="93"/>
      <c r="B1743" s="87" t="s">
        <v>779</v>
      </c>
      <c r="C1743" s="88"/>
      <c r="D1743" s="92"/>
      <c r="E1743" s="89"/>
      <c r="F1743" s="89"/>
      <c r="G1743" s="89"/>
    </row>
    <row r="1744">
      <c r="A1744" s="93"/>
      <c r="B1744" s="87" t="s">
        <v>779</v>
      </c>
      <c r="C1744" s="88"/>
      <c r="D1744" s="92"/>
      <c r="E1744" s="89"/>
      <c r="F1744" s="89"/>
      <c r="G1744" s="89"/>
    </row>
    <row r="1745">
      <c r="A1745" s="93"/>
      <c r="B1745" s="87" t="s">
        <v>779</v>
      </c>
      <c r="C1745" s="88"/>
      <c r="D1745" s="92"/>
      <c r="E1745" s="89"/>
      <c r="F1745" s="89"/>
      <c r="G1745" s="89"/>
    </row>
    <row r="1746">
      <c r="A1746" s="93"/>
      <c r="B1746" s="87" t="s">
        <v>779</v>
      </c>
      <c r="C1746" s="88"/>
      <c r="D1746" s="92"/>
      <c r="E1746" s="89"/>
      <c r="F1746" s="89"/>
      <c r="G1746" s="89"/>
    </row>
    <row r="1747">
      <c r="A1747" s="93"/>
      <c r="B1747" s="87" t="s">
        <v>779</v>
      </c>
      <c r="C1747" s="88"/>
      <c r="D1747" s="92"/>
      <c r="E1747" s="89"/>
      <c r="F1747" s="89"/>
      <c r="G1747" s="89"/>
    </row>
    <row r="1748">
      <c r="A1748" s="93"/>
      <c r="B1748" s="87" t="s">
        <v>779</v>
      </c>
      <c r="C1748" s="88"/>
      <c r="D1748" s="92"/>
      <c r="E1748" s="89"/>
      <c r="F1748" s="89"/>
      <c r="G1748" s="89"/>
    </row>
    <row r="1749">
      <c r="A1749" s="93"/>
      <c r="B1749" s="87" t="s">
        <v>779</v>
      </c>
      <c r="C1749" s="88"/>
      <c r="D1749" s="92"/>
      <c r="E1749" s="89"/>
      <c r="F1749" s="89"/>
      <c r="G1749" s="89"/>
    </row>
    <row r="1750">
      <c r="A1750" s="93"/>
      <c r="B1750" s="87" t="s">
        <v>779</v>
      </c>
      <c r="C1750" s="88"/>
      <c r="D1750" s="92"/>
      <c r="E1750" s="89"/>
      <c r="F1750" s="89"/>
      <c r="G1750" s="89"/>
    </row>
    <row r="1751">
      <c r="A1751" s="93"/>
      <c r="B1751" s="87" t="s">
        <v>779</v>
      </c>
      <c r="C1751" s="88"/>
      <c r="D1751" s="92"/>
      <c r="E1751" s="89"/>
      <c r="F1751" s="89"/>
      <c r="G1751" s="89"/>
    </row>
    <row r="1752">
      <c r="A1752" s="93"/>
      <c r="B1752" s="87" t="s">
        <v>779</v>
      </c>
      <c r="C1752" s="88"/>
      <c r="D1752" s="92"/>
      <c r="E1752" s="89"/>
      <c r="F1752" s="89"/>
      <c r="G1752" s="89"/>
    </row>
    <row r="1753">
      <c r="A1753" s="93"/>
      <c r="B1753" s="87" t="s">
        <v>779</v>
      </c>
      <c r="C1753" s="88"/>
      <c r="D1753" s="92"/>
      <c r="E1753" s="89"/>
      <c r="F1753" s="89"/>
      <c r="G1753" s="89"/>
    </row>
    <row r="1754">
      <c r="A1754" s="93"/>
      <c r="B1754" s="87" t="s">
        <v>779</v>
      </c>
      <c r="C1754" s="88"/>
      <c r="D1754" s="92"/>
      <c r="E1754" s="89"/>
      <c r="F1754" s="89"/>
      <c r="G1754" s="89"/>
    </row>
    <row r="1755">
      <c r="A1755" s="93"/>
      <c r="B1755" s="87" t="s">
        <v>779</v>
      </c>
      <c r="C1755" s="88"/>
      <c r="D1755" s="92"/>
      <c r="E1755" s="89"/>
      <c r="F1755" s="89"/>
      <c r="G1755" s="89"/>
    </row>
    <row r="1756">
      <c r="A1756" s="93"/>
      <c r="B1756" s="87" t="s">
        <v>779</v>
      </c>
      <c r="C1756" s="88"/>
      <c r="D1756" s="92"/>
      <c r="E1756" s="89"/>
      <c r="F1756" s="89"/>
      <c r="G1756" s="89"/>
    </row>
    <row r="1757">
      <c r="A1757" s="93"/>
      <c r="B1757" s="87" t="s">
        <v>779</v>
      </c>
      <c r="C1757" s="88"/>
      <c r="D1757" s="92"/>
      <c r="E1757" s="89"/>
      <c r="F1757" s="89"/>
      <c r="G1757" s="89"/>
    </row>
    <row r="1758">
      <c r="A1758" s="93"/>
      <c r="B1758" s="87" t="s">
        <v>779</v>
      </c>
      <c r="C1758" s="88"/>
      <c r="D1758" s="92"/>
      <c r="E1758" s="89"/>
      <c r="F1758" s="89"/>
      <c r="G1758" s="89"/>
    </row>
    <row r="1759">
      <c r="A1759" s="93"/>
      <c r="B1759" s="87" t="s">
        <v>779</v>
      </c>
      <c r="C1759" s="88"/>
      <c r="D1759" s="92"/>
      <c r="E1759" s="89"/>
      <c r="F1759" s="89"/>
      <c r="G1759" s="89"/>
    </row>
    <row r="1760">
      <c r="A1760" s="93"/>
      <c r="B1760" s="87" t="s">
        <v>779</v>
      </c>
      <c r="C1760" s="88"/>
      <c r="D1760" s="92"/>
      <c r="E1760" s="89"/>
      <c r="F1760" s="89"/>
      <c r="G1760" s="89"/>
    </row>
    <row r="1761">
      <c r="A1761" s="93"/>
      <c r="B1761" s="87" t="s">
        <v>779</v>
      </c>
      <c r="C1761" s="88"/>
      <c r="D1761" s="92"/>
      <c r="E1761" s="89"/>
      <c r="F1761" s="89"/>
      <c r="G1761" s="89"/>
    </row>
    <row r="1762">
      <c r="A1762" s="93"/>
      <c r="B1762" s="87" t="s">
        <v>779</v>
      </c>
      <c r="C1762" s="88"/>
      <c r="D1762" s="92"/>
      <c r="E1762" s="89"/>
      <c r="F1762" s="89"/>
      <c r="G1762" s="89"/>
    </row>
    <row r="1763">
      <c r="A1763" s="93"/>
      <c r="B1763" s="87" t="s">
        <v>779</v>
      </c>
      <c r="C1763" s="88"/>
      <c r="D1763" s="92"/>
      <c r="E1763" s="89"/>
      <c r="F1763" s="89"/>
      <c r="G1763" s="89"/>
    </row>
    <row r="1764">
      <c r="A1764" s="93"/>
      <c r="B1764" s="87" t="s">
        <v>779</v>
      </c>
      <c r="C1764" s="88"/>
      <c r="D1764" s="92"/>
      <c r="E1764" s="89"/>
      <c r="F1764" s="89"/>
      <c r="G1764" s="89"/>
    </row>
    <row r="1765">
      <c r="A1765" s="93"/>
      <c r="B1765" s="87" t="s">
        <v>779</v>
      </c>
      <c r="C1765" s="88"/>
      <c r="D1765" s="92"/>
      <c r="E1765" s="89"/>
      <c r="F1765" s="89"/>
      <c r="G1765" s="89"/>
    </row>
    <row r="1766">
      <c r="A1766" s="93"/>
      <c r="B1766" s="87" t="s">
        <v>779</v>
      </c>
      <c r="C1766" s="88"/>
      <c r="D1766" s="92"/>
      <c r="E1766" s="89"/>
      <c r="F1766" s="89"/>
      <c r="G1766" s="89"/>
    </row>
    <row r="1767">
      <c r="A1767" s="93"/>
      <c r="B1767" s="87" t="s">
        <v>779</v>
      </c>
      <c r="C1767" s="88"/>
      <c r="D1767" s="92"/>
      <c r="E1767" s="89"/>
      <c r="F1767" s="89"/>
      <c r="G1767" s="89"/>
    </row>
    <row r="1768">
      <c r="A1768" s="93"/>
      <c r="B1768" s="87" t="s">
        <v>779</v>
      </c>
      <c r="C1768" s="88"/>
      <c r="D1768" s="92"/>
      <c r="E1768" s="89"/>
      <c r="F1768" s="89"/>
      <c r="G1768" s="89"/>
    </row>
    <row r="1769">
      <c r="A1769" s="93"/>
      <c r="B1769" s="87" t="s">
        <v>779</v>
      </c>
      <c r="C1769" s="88"/>
      <c r="D1769" s="92"/>
      <c r="E1769" s="89"/>
      <c r="F1769" s="89"/>
      <c r="G1769" s="89"/>
    </row>
    <row r="1770">
      <c r="A1770" s="93"/>
      <c r="B1770" s="87" t="s">
        <v>779</v>
      </c>
      <c r="C1770" s="88"/>
      <c r="D1770" s="92"/>
      <c r="E1770" s="89"/>
      <c r="F1770" s="89"/>
      <c r="G1770" s="89"/>
    </row>
    <row r="1771">
      <c r="A1771" s="93"/>
      <c r="B1771" s="87" t="s">
        <v>779</v>
      </c>
      <c r="C1771" s="88"/>
      <c r="D1771" s="92"/>
      <c r="E1771" s="89"/>
      <c r="F1771" s="89"/>
      <c r="G1771" s="89"/>
    </row>
    <row r="1772">
      <c r="A1772" s="93"/>
      <c r="B1772" s="87" t="s">
        <v>779</v>
      </c>
      <c r="C1772" s="88"/>
      <c r="D1772" s="92"/>
      <c r="E1772" s="89"/>
      <c r="F1772" s="89"/>
      <c r="G1772" s="89"/>
    </row>
    <row r="1773">
      <c r="A1773" s="93"/>
      <c r="B1773" s="87" t="s">
        <v>779</v>
      </c>
      <c r="C1773" s="88"/>
      <c r="D1773" s="92"/>
      <c r="E1773" s="89"/>
      <c r="F1773" s="89"/>
      <c r="G1773" s="89"/>
    </row>
    <row r="1774">
      <c r="A1774" s="93"/>
      <c r="B1774" s="87" t="s">
        <v>779</v>
      </c>
      <c r="C1774" s="88"/>
      <c r="D1774" s="92"/>
      <c r="E1774" s="89"/>
      <c r="F1774" s="89"/>
      <c r="G1774" s="89"/>
    </row>
    <row r="1775">
      <c r="A1775" s="93"/>
      <c r="B1775" s="87" t="s">
        <v>779</v>
      </c>
      <c r="C1775" s="88"/>
      <c r="D1775" s="92"/>
      <c r="E1775" s="89"/>
      <c r="F1775" s="89"/>
      <c r="G1775" s="89"/>
    </row>
    <row r="1776">
      <c r="A1776" s="93"/>
      <c r="B1776" s="87" t="s">
        <v>779</v>
      </c>
      <c r="C1776" s="88"/>
      <c r="D1776" s="92"/>
      <c r="E1776" s="89"/>
      <c r="F1776" s="89"/>
      <c r="G1776" s="89"/>
    </row>
    <row r="1777">
      <c r="A1777" s="93"/>
      <c r="B1777" s="87" t="s">
        <v>779</v>
      </c>
      <c r="C1777" s="88"/>
      <c r="D1777" s="92"/>
      <c r="E1777" s="89"/>
      <c r="F1777" s="89"/>
      <c r="G1777" s="89"/>
    </row>
    <row r="1778">
      <c r="A1778" s="93"/>
      <c r="B1778" s="87" t="s">
        <v>779</v>
      </c>
      <c r="C1778" s="88"/>
      <c r="D1778" s="92"/>
      <c r="E1778" s="89"/>
      <c r="F1778" s="89"/>
      <c r="G1778" s="89"/>
    </row>
    <row r="1779">
      <c r="A1779" s="93"/>
      <c r="B1779" s="87" t="s">
        <v>779</v>
      </c>
      <c r="C1779" s="88"/>
      <c r="D1779" s="92"/>
      <c r="E1779" s="89"/>
      <c r="F1779" s="89"/>
      <c r="G1779" s="89"/>
    </row>
    <row r="1780">
      <c r="A1780" s="93"/>
      <c r="B1780" s="87" t="s">
        <v>779</v>
      </c>
      <c r="C1780" s="88"/>
      <c r="D1780" s="92"/>
      <c r="E1780" s="89"/>
      <c r="F1780" s="89"/>
      <c r="G1780" s="89"/>
    </row>
    <row r="1781">
      <c r="A1781" s="93"/>
      <c r="B1781" s="87" t="s">
        <v>779</v>
      </c>
      <c r="C1781" s="88"/>
      <c r="D1781" s="92"/>
      <c r="E1781" s="89"/>
      <c r="F1781" s="89"/>
      <c r="G1781" s="89"/>
    </row>
    <row r="1782">
      <c r="A1782" s="93"/>
      <c r="B1782" s="87" t="s">
        <v>779</v>
      </c>
      <c r="C1782" s="88"/>
      <c r="D1782" s="92"/>
      <c r="E1782" s="89"/>
      <c r="F1782" s="89"/>
      <c r="G1782" s="89"/>
    </row>
    <row r="1783">
      <c r="A1783" s="93"/>
      <c r="B1783" s="87" t="s">
        <v>779</v>
      </c>
      <c r="C1783" s="88"/>
      <c r="D1783" s="92"/>
      <c r="E1783" s="89"/>
      <c r="F1783" s="89"/>
      <c r="G1783" s="89"/>
    </row>
    <row r="1784">
      <c r="A1784" s="93"/>
      <c r="B1784" s="87" t="s">
        <v>779</v>
      </c>
      <c r="C1784" s="88"/>
      <c r="D1784" s="92"/>
      <c r="E1784" s="89"/>
      <c r="F1784" s="89"/>
      <c r="G1784" s="89"/>
    </row>
    <row r="1785">
      <c r="A1785" s="93"/>
      <c r="B1785" s="87" t="s">
        <v>779</v>
      </c>
      <c r="C1785" s="88"/>
      <c r="D1785" s="92"/>
      <c r="E1785" s="89"/>
      <c r="F1785" s="89"/>
      <c r="G1785" s="89"/>
    </row>
    <row r="1786">
      <c r="A1786" s="93"/>
      <c r="B1786" s="87" t="s">
        <v>779</v>
      </c>
      <c r="C1786" s="88"/>
      <c r="D1786" s="92"/>
      <c r="E1786" s="89"/>
      <c r="F1786" s="89"/>
      <c r="G1786" s="89"/>
    </row>
    <row r="1787">
      <c r="A1787" s="93"/>
      <c r="B1787" s="87" t="s">
        <v>779</v>
      </c>
      <c r="C1787" s="88"/>
      <c r="D1787" s="92"/>
      <c r="E1787" s="89"/>
      <c r="F1787" s="89"/>
      <c r="G1787" s="89"/>
    </row>
    <row r="1788">
      <c r="A1788" s="93"/>
      <c r="B1788" s="87" t="s">
        <v>779</v>
      </c>
      <c r="C1788" s="88"/>
      <c r="D1788" s="92"/>
      <c r="E1788" s="89"/>
      <c r="F1788" s="89"/>
      <c r="G1788" s="89"/>
    </row>
    <row r="1789">
      <c r="A1789" s="93"/>
      <c r="B1789" s="87" t="s">
        <v>779</v>
      </c>
      <c r="C1789" s="88"/>
      <c r="D1789" s="92"/>
      <c r="E1789" s="89"/>
      <c r="F1789" s="89"/>
      <c r="G1789" s="89"/>
    </row>
    <row r="1790">
      <c r="A1790" s="93"/>
      <c r="B1790" s="87" t="s">
        <v>779</v>
      </c>
      <c r="C1790" s="88"/>
      <c r="D1790" s="92"/>
      <c r="E1790" s="89"/>
      <c r="F1790" s="89"/>
      <c r="G1790" s="89"/>
    </row>
    <row r="1791">
      <c r="A1791" s="93"/>
      <c r="B1791" s="87" t="s">
        <v>779</v>
      </c>
      <c r="C1791" s="88"/>
      <c r="D1791" s="92"/>
      <c r="E1791" s="89"/>
      <c r="F1791" s="89"/>
      <c r="G1791" s="89"/>
    </row>
    <row r="1792">
      <c r="A1792" s="93"/>
      <c r="B1792" s="87" t="s">
        <v>779</v>
      </c>
      <c r="C1792" s="88"/>
      <c r="D1792" s="92"/>
      <c r="E1792" s="89"/>
      <c r="F1792" s="89"/>
      <c r="G1792" s="89"/>
    </row>
    <row r="1793">
      <c r="A1793" s="93"/>
      <c r="B1793" s="87" t="s">
        <v>779</v>
      </c>
      <c r="C1793" s="88"/>
      <c r="D1793" s="92"/>
      <c r="E1793" s="89"/>
      <c r="F1793" s="89"/>
      <c r="G1793" s="89"/>
    </row>
    <row r="1794">
      <c r="A1794" s="93"/>
      <c r="B1794" s="87" t="s">
        <v>779</v>
      </c>
      <c r="C1794" s="88"/>
      <c r="D1794" s="92"/>
      <c r="E1794" s="89"/>
      <c r="F1794" s="89"/>
      <c r="G1794" s="89"/>
    </row>
    <row r="1795">
      <c r="A1795" s="93"/>
      <c r="B1795" s="87" t="s">
        <v>779</v>
      </c>
      <c r="C1795" s="88"/>
      <c r="D1795" s="92"/>
      <c r="E1795" s="89"/>
      <c r="F1795" s="89"/>
      <c r="G1795" s="89"/>
    </row>
    <row r="1796">
      <c r="A1796" s="93"/>
      <c r="B1796" s="87" t="s">
        <v>779</v>
      </c>
      <c r="C1796" s="88"/>
      <c r="D1796" s="92"/>
      <c r="E1796" s="89"/>
      <c r="F1796" s="89"/>
      <c r="G1796" s="89"/>
    </row>
    <row r="1797">
      <c r="A1797" s="93"/>
      <c r="B1797" s="87" t="s">
        <v>779</v>
      </c>
      <c r="C1797" s="88"/>
      <c r="D1797" s="92"/>
      <c r="E1797" s="89"/>
      <c r="F1797" s="89"/>
      <c r="G1797" s="89"/>
    </row>
    <row r="1798">
      <c r="A1798" s="93"/>
      <c r="B1798" s="87" t="s">
        <v>779</v>
      </c>
      <c r="C1798" s="88"/>
      <c r="D1798" s="92"/>
      <c r="E1798" s="89"/>
      <c r="F1798" s="89"/>
      <c r="G1798" s="89"/>
    </row>
    <row r="1799">
      <c r="A1799" s="93"/>
      <c r="B1799" s="87" t="s">
        <v>779</v>
      </c>
      <c r="C1799" s="88"/>
      <c r="D1799" s="92"/>
      <c r="E1799" s="89"/>
      <c r="F1799" s="89"/>
      <c r="G1799" s="89"/>
    </row>
    <row r="1800">
      <c r="A1800" s="93"/>
      <c r="B1800" s="87" t="s">
        <v>779</v>
      </c>
      <c r="C1800" s="88"/>
      <c r="D1800" s="92"/>
      <c r="E1800" s="89"/>
      <c r="F1800" s="89"/>
      <c r="G1800" s="89"/>
    </row>
    <row r="1801">
      <c r="A1801" s="93"/>
      <c r="B1801" s="87" t="s">
        <v>779</v>
      </c>
      <c r="C1801" s="88"/>
      <c r="D1801" s="92"/>
      <c r="E1801" s="89"/>
      <c r="F1801" s="89"/>
      <c r="G1801" s="89"/>
    </row>
    <row r="1802">
      <c r="A1802" s="93"/>
      <c r="B1802" s="87" t="s">
        <v>779</v>
      </c>
      <c r="C1802" s="88"/>
      <c r="D1802" s="92"/>
      <c r="E1802" s="89"/>
      <c r="F1802" s="89"/>
      <c r="G1802" s="89"/>
    </row>
    <row r="1803">
      <c r="A1803" s="93"/>
      <c r="B1803" s="87" t="s">
        <v>779</v>
      </c>
      <c r="C1803" s="88"/>
      <c r="D1803" s="92"/>
      <c r="E1803" s="89"/>
      <c r="F1803" s="89"/>
      <c r="G1803" s="89"/>
    </row>
    <row r="1804">
      <c r="A1804" s="93"/>
      <c r="B1804" s="87" t="s">
        <v>779</v>
      </c>
      <c r="C1804" s="88"/>
      <c r="D1804" s="92"/>
      <c r="E1804" s="89"/>
      <c r="F1804" s="89"/>
      <c r="G1804" s="89"/>
    </row>
    <row r="1805">
      <c r="A1805" s="93"/>
      <c r="B1805" s="87" t="s">
        <v>779</v>
      </c>
      <c r="C1805" s="88"/>
      <c r="D1805" s="92"/>
      <c r="E1805" s="89"/>
      <c r="F1805" s="89"/>
      <c r="G1805" s="89"/>
    </row>
    <row r="1806">
      <c r="A1806" s="93"/>
      <c r="B1806" s="87" t="s">
        <v>779</v>
      </c>
      <c r="C1806" s="88"/>
      <c r="D1806" s="92"/>
      <c r="E1806" s="89"/>
      <c r="F1806" s="89"/>
      <c r="G1806" s="89"/>
    </row>
    <row r="1807">
      <c r="A1807" s="93"/>
      <c r="B1807" s="87" t="s">
        <v>779</v>
      </c>
      <c r="C1807" s="88"/>
      <c r="D1807" s="92"/>
      <c r="E1807" s="89"/>
      <c r="F1807" s="89"/>
      <c r="G1807" s="89"/>
    </row>
    <row r="1808">
      <c r="A1808" s="93"/>
      <c r="B1808" s="87" t="s">
        <v>779</v>
      </c>
      <c r="C1808" s="88"/>
      <c r="D1808" s="92"/>
      <c r="E1808" s="89"/>
      <c r="F1808" s="89"/>
      <c r="G1808" s="89"/>
    </row>
    <row r="1809">
      <c r="A1809" s="93"/>
      <c r="B1809" s="87" t="s">
        <v>779</v>
      </c>
      <c r="C1809" s="88"/>
      <c r="D1809" s="92"/>
      <c r="E1809" s="89"/>
      <c r="F1809" s="89"/>
      <c r="G1809" s="89"/>
    </row>
    <row r="1810">
      <c r="A1810" s="93"/>
      <c r="B1810" s="87" t="s">
        <v>779</v>
      </c>
      <c r="C1810" s="88"/>
      <c r="D1810" s="92"/>
      <c r="E1810" s="89"/>
      <c r="F1810" s="89"/>
      <c r="G1810" s="89"/>
    </row>
    <row r="1811">
      <c r="A1811" s="93"/>
      <c r="B1811" s="87" t="s">
        <v>779</v>
      </c>
      <c r="C1811" s="88"/>
      <c r="D1811" s="92"/>
      <c r="E1811" s="89"/>
      <c r="F1811" s="89"/>
      <c r="G1811" s="89"/>
    </row>
    <row r="1812">
      <c r="A1812" s="93"/>
      <c r="B1812" s="87" t="s">
        <v>779</v>
      </c>
      <c r="C1812" s="88"/>
      <c r="D1812" s="92"/>
      <c r="E1812" s="89"/>
      <c r="F1812" s="89"/>
      <c r="G1812" s="89"/>
    </row>
    <row r="1813">
      <c r="A1813" s="93"/>
      <c r="B1813" s="87" t="s">
        <v>779</v>
      </c>
      <c r="C1813" s="88"/>
      <c r="D1813" s="92"/>
      <c r="E1813" s="89"/>
      <c r="F1813" s="89"/>
      <c r="G1813" s="89"/>
    </row>
    <row r="1814">
      <c r="A1814" s="93"/>
      <c r="B1814" s="87" t="s">
        <v>779</v>
      </c>
      <c r="C1814" s="88"/>
      <c r="D1814" s="92"/>
      <c r="E1814" s="89"/>
      <c r="F1814" s="89"/>
      <c r="G1814" s="89"/>
    </row>
    <row r="1815">
      <c r="A1815" s="93"/>
      <c r="B1815" s="87" t="s">
        <v>779</v>
      </c>
      <c r="C1815" s="88"/>
      <c r="D1815" s="92"/>
      <c r="E1815" s="89"/>
      <c r="F1815" s="89"/>
      <c r="G1815" s="89"/>
    </row>
    <row r="1816">
      <c r="A1816" s="93"/>
      <c r="B1816" s="87" t="s">
        <v>779</v>
      </c>
      <c r="C1816" s="88"/>
      <c r="D1816" s="92"/>
      <c r="E1816" s="89"/>
      <c r="F1816" s="89"/>
      <c r="G1816" s="89"/>
    </row>
    <row r="1817">
      <c r="A1817" s="93"/>
      <c r="B1817" s="87" t="s">
        <v>779</v>
      </c>
      <c r="C1817" s="88"/>
      <c r="D1817" s="92"/>
      <c r="E1817" s="89"/>
      <c r="F1817" s="89"/>
      <c r="G1817" s="89"/>
    </row>
    <row r="1818">
      <c r="A1818" s="93"/>
      <c r="B1818" s="87" t="s">
        <v>779</v>
      </c>
      <c r="C1818" s="88"/>
      <c r="D1818" s="92"/>
      <c r="E1818" s="89"/>
      <c r="F1818" s="89"/>
      <c r="G1818" s="89"/>
    </row>
    <row r="1819">
      <c r="A1819" s="93"/>
      <c r="B1819" s="87" t="s">
        <v>779</v>
      </c>
      <c r="C1819" s="88"/>
      <c r="D1819" s="92"/>
      <c r="E1819" s="89"/>
      <c r="F1819" s="89"/>
      <c r="G1819" s="89"/>
    </row>
    <row r="1820">
      <c r="A1820" s="93"/>
      <c r="B1820" s="87" t="s">
        <v>779</v>
      </c>
      <c r="C1820" s="88"/>
      <c r="D1820" s="92"/>
      <c r="E1820" s="89"/>
      <c r="F1820" s="89"/>
      <c r="G1820" s="89"/>
    </row>
    <row r="1821">
      <c r="A1821" s="93"/>
      <c r="B1821" s="87" t="s">
        <v>779</v>
      </c>
      <c r="C1821" s="88"/>
      <c r="D1821" s="92"/>
      <c r="E1821" s="89"/>
      <c r="F1821" s="89"/>
      <c r="G1821" s="89"/>
    </row>
    <row r="1822">
      <c r="A1822" s="93"/>
      <c r="B1822" s="87" t="s">
        <v>779</v>
      </c>
      <c r="C1822" s="88"/>
      <c r="D1822" s="92"/>
      <c r="E1822" s="89"/>
      <c r="F1822" s="89"/>
      <c r="G1822" s="89"/>
    </row>
    <row r="1823">
      <c r="A1823" s="93"/>
      <c r="B1823" s="87" t="s">
        <v>779</v>
      </c>
      <c r="C1823" s="88"/>
      <c r="D1823" s="92"/>
      <c r="E1823" s="89"/>
      <c r="F1823" s="89"/>
      <c r="G1823" s="89"/>
    </row>
    <row r="1824">
      <c r="A1824" s="93"/>
      <c r="B1824" s="87" t="s">
        <v>779</v>
      </c>
      <c r="C1824" s="88"/>
      <c r="D1824" s="92"/>
      <c r="E1824" s="89"/>
      <c r="F1824" s="89"/>
      <c r="G1824" s="89"/>
    </row>
    <row r="1825">
      <c r="A1825" s="93"/>
      <c r="B1825" s="87" t="s">
        <v>779</v>
      </c>
      <c r="C1825" s="88"/>
      <c r="D1825" s="92"/>
      <c r="E1825" s="89"/>
      <c r="F1825" s="89"/>
      <c r="G1825" s="89"/>
    </row>
    <row r="1826">
      <c r="A1826" s="93"/>
      <c r="B1826" s="87" t="s">
        <v>779</v>
      </c>
      <c r="C1826" s="88"/>
      <c r="D1826" s="92"/>
      <c r="E1826" s="89"/>
      <c r="F1826" s="89"/>
      <c r="G1826" s="89"/>
    </row>
    <row r="1827">
      <c r="A1827" s="93"/>
      <c r="B1827" s="87" t="s">
        <v>779</v>
      </c>
      <c r="C1827" s="88"/>
      <c r="D1827" s="92"/>
      <c r="E1827" s="89"/>
      <c r="F1827" s="89"/>
      <c r="G1827" s="89"/>
    </row>
    <row r="1828">
      <c r="A1828" s="93"/>
      <c r="B1828" s="87" t="s">
        <v>779</v>
      </c>
      <c r="C1828" s="88"/>
      <c r="D1828" s="92"/>
      <c r="E1828" s="89"/>
      <c r="F1828" s="89"/>
      <c r="G1828" s="89"/>
    </row>
    <row r="1829">
      <c r="A1829" s="93"/>
      <c r="B1829" s="87" t="s">
        <v>779</v>
      </c>
      <c r="C1829" s="88"/>
      <c r="D1829" s="92"/>
      <c r="E1829" s="89"/>
      <c r="F1829" s="89"/>
      <c r="G1829" s="89"/>
    </row>
    <row r="1830">
      <c r="A1830" s="93"/>
      <c r="B1830" s="87" t="s">
        <v>779</v>
      </c>
      <c r="C1830" s="88"/>
      <c r="D1830" s="92"/>
      <c r="E1830" s="89"/>
      <c r="F1830" s="89"/>
      <c r="G1830" s="89"/>
    </row>
    <row r="1831">
      <c r="A1831" s="93"/>
      <c r="B1831" s="87" t="s">
        <v>779</v>
      </c>
      <c r="C1831" s="88"/>
      <c r="D1831" s="92"/>
      <c r="E1831" s="89"/>
      <c r="F1831" s="89"/>
      <c r="G1831" s="89"/>
    </row>
    <row r="1832">
      <c r="A1832" s="93"/>
      <c r="B1832" s="87" t="s">
        <v>779</v>
      </c>
      <c r="C1832" s="88"/>
      <c r="D1832" s="92"/>
      <c r="E1832" s="89"/>
      <c r="F1832" s="89"/>
      <c r="G1832" s="89"/>
    </row>
    <row r="1833">
      <c r="A1833" s="93"/>
      <c r="B1833" s="87" t="s">
        <v>779</v>
      </c>
      <c r="C1833" s="88"/>
      <c r="D1833" s="92"/>
      <c r="E1833" s="89"/>
      <c r="F1833" s="89"/>
      <c r="G1833" s="89"/>
    </row>
    <row r="1834">
      <c r="A1834" s="93"/>
      <c r="B1834" s="87" t="s">
        <v>779</v>
      </c>
      <c r="C1834" s="88"/>
      <c r="D1834" s="92"/>
      <c r="E1834" s="89"/>
      <c r="F1834" s="89"/>
      <c r="G1834" s="89"/>
    </row>
    <row r="1835">
      <c r="A1835" s="93"/>
      <c r="B1835" s="87" t="s">
        <v>779</v>
      </c>
      <c r="C1835" s="88"/>
      <c r="D1835" s="92"/>
      <c r="E1835" s="89"/>
      <c r="F1835" s="89"/>
      <c r="G1835" s="89"/>
    </row>
    <row r="1836">
      <c r="A1836" s="93"/>
      <c r="B1836" s="87" t="s">
        <v>779</v>
      </c>
      <c r="C1836" s="88"/>
      <c r="D1836" s="92"/>
      <c r="E1836" s="89"/>
      <c r="F1836" s="89"/>
      <c r="G1836" s="89"/>
    </row>
    <row r="1837">
      <c r="A1837" s="93"/>
      <c r="B1837" s="87" t="s">
        <v>779</v>
      </c>
      <c r="C1837" s="88"/>
      <c r="D1837" s="92"/>
      <c r="E1837" s="89"/>
      <c r="F1837" s="89"/>
      <c r="G1837" s="89"/>
    </row>
    <row r="1838">
      <c r="A1838" s="93"/>
      <c r="B1838" s="87" t="s">
        <v>779</v>
      </c>
      <c r="C1838" s="88"/>
      <c r="D1838" s="92"/>
      <c r="E1838" s="89"/>
      <c r="F1838" s="89"/>
      <c r="G1838" s="89"/>
    </row>
    <row r="1839">
      <c r="A1839" s="93"/>
      <c r="B1839" s="87" t="s">
        <v>779</v>
      </c>
      <c r="C1839" s="88"/>
      <c r="D1839" s="92"/>
      <c r="E1839" s="89"/>
      <c r="F1839" s="89"/>
      <c r="G1839" s="89"/>
    </row>
    <row r="1840">
      <c r="A1840" s="93"/>
      <c r="B1840" s="87" t="s">
        <v>779</v>
      </c>
      <c r="C1840" s="88"/>
      <c r="D1840" s="92"/>
      <c r="E1840" s="89"/>
      <c r="F1840" s="89"/>
      <c r="G1840" s="89"/>
    </row>
    <row r="1841">
      <c r="A1841" s="93"/>
      <c r="B1841" s="87" t="s">
        <v>779</v>
      </c>
      <c r="C1841" s="88"/>
      <c r="D1841" s="92"/>
      <c r="E1841" s="89"/>
      <c r="F1841" s="89"/>
      <c r="G1841" s="89"/>
    </row>
    <row r="1842">
      <c r="A1842" s="93"/>
      <c r="B1842" s="87" t="s">
        <v>779</v>
      </c>
      <c r="C1842" s="88"/>
      <c r="D1842" s="92"/>
      <c r="E1842" s="89"/>
      <c r="F1842" s="89"/>
      <c r="G1842" s="89"/>
    </row>
    <row r="1843">
      <c r="A1843" s="93"/>
      <c r="B1843" s="87" t="s">
        <v>779</v>
      </c>
      <c r="C1843" s="88"/>
      <c r="D1843" s="92"/>
      <c r="E1843" s="89"/>
      <c r="F1843" s="89"/>
      <c r="G1843" s="89"/>
    </row>
    <row r="1844">
      <c r="A1844" s="93"/>
      <c r="B1844" s="87" t="s">
        <v>779</v>
      </c>
      <c r="C1844" s="88"/>
      <c r="D1844" s="92"/>
      <c r="E1844" s="89"/>
      <c r="F1844" s="89"/>
      <c r="G1844" s="89"/>
    </row>
    <row r="1845">
      <c r="A1845" s="93"/>
      <c r="B1845" s="87" t="s">
        <v>779</v>
      </c>
      <c r="C1845" s="88"/>
      <c r="D1845" s="92"/>
      <c r="E1845" s="89"/>
      <c r="F1845" s="89"/>
      <c r="G1845" s="89"/>
    </row>
    <row r="1846">
      <c r="A1846" s="93"/>
      <c r="B1846" s="87" t="s">
        <v>779</v>
      </c>
      <c r="C1846" s="88"/>
      <c r="D1846" s="92"/>
      <c r="E1846" s="89"/>
      <c r="F1846" s="89"/>
      <c r="G1846" s="89"/>
    </row>
    <row r="1847">
      <c r="A1847" s="93"/>
      <c r="B1847" s="87" t="s">
        <v>779</v>
      </c>
      <c r="C1847" s="88"/>
      <c r="D1847" s="92"/>
      <c r="E1847" s="89"/>
      <c r="F1847" s="89"/>
      <c r="G1847" s="89"/>
    </row>
    <row r="1848">
      <c r="A1848" s="93"/>
      <c r="B1848" s="87" t="s">
        <v>779</v>
      </c>
      <c r="C1848" s="88"/>
      <c r="D1848" s="92"/>
      <c r="E1848" s="89"/>
      <c r="F1848" s="89"/>
      <c r="G1848" s="89"/>
    </row>
    <row r="1849">
      <c r="A1849" s="93"/>
      <c r="B1849" s="87" t="s">
        <v>779</v>
      </c>
      <c r="C1849" s="88"/>
      <c r="D1849" s="92"/>
      <c r="E1849" s="89"/>
      <c r="F1849" s="89"/>
      <c r="G1849" s="89"/>
    </row>
    <row r="1850">
      <c r="A1850" s="93"/>
      <c r="B1850" s="87" t="s">
        <v>779</v>
      </c>
      <c r="C1850" s="88"/>
      <c r="D1850" s="92"/>
      <c r="E1850" s="89"/>
      <c r="F1850" s="89"/>
      <c r="G1850" s="89"/>
    </row>
    <row r="1851">
      <c r="A1851" s="93"/>
      <c r="B1851" s="87" t="s">
        <v>779</v>
      </c>
      <c r="C1851" s="88"/>
      <c r="D1851" s="92"/>
      <c r="E1851" s="89"/>
      <c r="F1851" s="89"/>
      <c r="G1851" s="89"/>
    </row>
    <row r="1852">
      <c r="A1852" s="93"/>
      <c r="B1852" s="87" t="s">
        <v>779</v>
      </c>
      <c r="C1852" s="88"/>
      <c r="D1852" s="92"/>
      <c r="E1852" s="89"/>
      <c r="F1852" s="89"/>
      <c r="G1852" s="89"/>
    </row>
    <row r="1853">
      <c r="A1853" s="93"/>
      <c r="B1853" s="87" t="s">
        <v>779</v>
      </c>
      <c r="C1853" s="88"/>
      <c r="D1853" s="92"/>
      <c r="E1853" s="89"/>
      <c r="F1853" s="89"/>
      <c r="G1853" s="89"/>
    </row>
    <row r="1854">
      <c r="A1854" s="93"/>
      <c r="B1854" s="87" t="s">
        <v>779</v>
      </c>
      <c r="C1854" s="88"/>
      <c r="D1854" s="92"/>
      <c r="E1854" s="89"/>
      <c r="F1854" s="89"/>
      <c r="G1854" s="89"/>
    </row>
    <row r="1855">
      <c r="A1855" s="93"/>
      <c r="B1855" s="87" t="s">
        <v>779</v>
      </c>
      <c r="C1855" s="88"/>
      <c r="D1855" s="92"/>
      <c r="E1855" s="89"/>
      <c r="F1855" s="89"/>
      <c r="G1855" s="89"/>
    </row>
    <row r="1856">
      <c r="A1856" s="93"/>
      <c r="B1856" s="87" t="s">
        <v>779</v>
      </c>
      <c r="C1856" s="88"/>
      <c r="D1856" s="92"/>
      <c r="E1856" s="89"/>
      <c r="F1856" s="89"/>
      <c r="G1856" s="89"/>
    </row>
    <row r="1857">
      <c r="A1857" s="93"/>
      <c r="B1857" s="87" t="s">
        <v>779</v>
      </c>
      <c r="C1857" s="88"/>
      <c r="D1857" s="92"/>
      <c r="E1857" s="89"/>
      <c r="F1857" s="89"/>
      <c r="G1857" s="89"/>
    </row>
    <row r="1858">
      <c r="A1858" s="93"/>
      <c r="B1858" s="87" t="s">
        <v>779</v>
      </c>
      <c r="C1858" s="88"/>
      <c r="D1858" s="92"/>
      <c r="E1858" s="89"/>
      <c r="F1858" s="89"/>
      <c r="G1858" s="89"/>
    </row>
    <row r="1859">
      <c r="A1859" s="93"/>
      <c r="B1859" s="87" t="s">
        <v>779</v>
      </c>
      <c r="C1859" s="88"/>
      <c r="D1859" s="92"/>
      <c r="E1859" s="89"/>
      <c r="F1859" s="89"/>
      <c r="G1859" s="89"/>
    </row>
    <row r="1860">
      <c r="A1860" s="93"/>
      <c r="B1860" s="87" t="s">
        <v>779</v>
      </c>
      <c r="C1860" s="88"/>
      <c r="D1860" s="92"/>
      <c r="E1860" s="89"/>
      <c r="F1860" s="89"/>
      <c r="G1860" s="89"/>
    </row>
    <row r="1861">
      <c r="A1861" s="93"/>
      <c r="B1861" s="87" t="s">
        <v>779</v>
      </c>
      <c r="C1861" s="88"/>
      <c r="D1861" s="92"/>
      <c r="E1861" s="89"/>
      <c r="F1861" s="89"/>
      <c r="G1861" s="89"/>
    </row>
    <row r="1862">
      <c r="A1862" s="93"/>
      <c r="B1862" s="87" t="s">
        <v>779</v>
      </c>
      <c r="C1862" s="88"/>
      <c r="D1862" s="92"/>
      <c r="E1862" s="89"/>
      <c r="F1862" s="89"/>
      <c r="G1862" s="89"/>
    </row>
    <row r="1863">
      <c r="A1863" s="93"/>
      <c r="B1863" s="87" t="s">
        <v>779</v>
      </c>
      <c r="C1863" s="88"/>
      <c r="D1863" s="92"/>
      <c r="E1863" s="89"/>
      <c r="F1863" s="89"/>
      <c r="G1863" s="89"/>
    </row>
    <row r="1864">
      <c r="A1864" s="93"/>
      <c r="B1864" s="87" t="s">
        <v>779</v>
      </c>
      <c r="C1864" s="88"/>
      <c r="D1864" s="92"/>
      <c r="E1864" s="89"/>
      <c r="F1864" s="89"/>
      <c r="G1864" s="89"/>
    </row>
    <row r="1865">
      <c r="A1865" s="93"/>
      <c r="B1865" s="87" t="s">
        <v>779</v>
      </c>
      <c r="C1865" s="88"/>
      <c r="D1865" s="92"/>
      <c r="E1865" s="89"/>
      <c r="F1865" s="89"/>
      <c r="G1865" s="89"/>
    </row>
    <row r="1866">
      <c r="A1866" s="93"/>
      <c r="B1866" s="87" t="s">
        <v>779</v>
      </c>
      <c r="C1866" s="88"/>
      <c r="D1866" s="92"/>
      <c r="E1866" s="89"/>
      <c r="F1866" s="89"/>
      <c r="G1866" s="89"/>
    </row>
    <row r="1867">
      <c r="A1867" s="93"/>
      <c r="B1867" s="87" t="s">
        <v>779</v>
      </c>
      <c r="C1867" s="88"/>
      <c r="D1867" s="92"/>
      <c r="E1867" s="89"/>
      <c r="F1867" s="89"/>
      <c r="G1867" s="89"/>
    </row>
    <row r="1868">
      <c r="A1868" s="93"/>
      <c r="B1868" s="87" t="s">
        <v>779</v>
      </c>
      <c r="C1868" s="88"/>
      <c r="D1868" s="92"/>
      <c r="E1868" s="89"/>
      <c r="F1868" s="89"/>
      <c r="G1868" s="89"/>
    </row>
    <row r="1869">
      <c r="A1869" s="93"/>
      <c r="B1869" s="87" t="s">
        <v>779</v>
      </c>
      <c r="C1869" s="88"/>
      <c r="D1869" s="92"/>
      <c r="E1869" s="89"/>
      <c r="F1869" s="89"/>
      <c r="G1869" s="89"/>
    </row>
    <row r="1870">
      <c r="A1870" s="93"/>
      <c r="B1870" s="87" t="s">
        <v>779</v>
      </c>
      <c r="C1870" s="88"/>
      <c r="D1870" s="92"/>
      <c r="E1870" s="89"/>
      <c r="F1870" s="89"/>
      <c r="G1870" s="89"/>
    </row>
    <row r="1871">
      <c r="A1871" s="93"/>
      <c r="B1871" s="87" t="s">
        <v>779</v>
      </c>
      <c r="C1871" s="88"/>
      <c r="D1871" s="92"/>
      <c r="E1871" s="89"/>
      <c r="F1871" s="89"/>
      <c r="G1871" s="89"/>
    </row>
    <row r="1872">
      <c r="A1872" s="93"/>
      <c r="B1872" s="87" t="s">
        <v>779</v>
      </c>
      <c r="C1872" s="88"/>
      <c r="D1872" s="92"/>
      <c r="E1872" s="89"/>
      <c r="F1872" s="89"/>
      <c r="G1872" s="89"/>
    </row>
    <row r="1873">
      <c r="A1873" s="93"/>
      <c r="B1873" s="87" t="s">
        <v>779</v>
      </c>
      <c r="C1873" s="88"/>
      <c r="D1873" s="92"/>
      <c r="E1873" s="89"/>
      <c r="F1873" s="89"/>
      <c r="G1873" s="89"/>
    </row>
    <row r="1874">
      <c r="A1874" s="93"/>
      <c r="B1874" s="87" t="s">
        <v>779</v>
      </c>
      <c r="C1874" s="88"/>
      <c r="D1874" s="92"/>
      <c r="E1874" s="89"/>
      <c r="F1874" s="89"/>
      <c r="G1874" s="89"/>
    </row>
    <row r="1875">
      <c r="A1875" s="93"/>
      <c r="B1875" s="87" t="s">
        <v>779</v>
      </c>
      <c r="C1875" s="88"/>
      <c r="D1875" s="92"/>
      <c r="E1875" s="89"/>
      <c r="F1875" s="89"/>
      <c r="G1875" s="89"/>
    </row>
    <row r="1876">
      <c r="A1876" s="93"/>
      <c r="B1876" s="87" t="s">
        <v>779</v>
      </c>
      <c r="C1876" s="88"/>
      <c r="D1876" s="92"/>
      <c r="E1876" s="89"/>
      <c r="F1876" s="89"/>
      <c r="G1876" s="89"/>
    </row>
    <row r="1877">
      <c r="A1877" s="93"/>
      <c r="B1877" s="87" t="s">
        <v>779</v>
      </c>
      <c r="C1877" s="88"/>
      <c r="D1877" s="92"/>
      <c r="E1877" s="89"/>
      <c r="F1877" s="89"/>
      <c r="G1877" s="89"/>
    </row>
    <row r="1878">
      <c r="A1878" s="93"/>
      <c r="B1878" s="87" t="s">
        <v>779</v>
      </c>
      <c r="C1878" s="88"/>
      <c r="D1878" s="92"/>
      <c r="E1878" s="89"/>
      <c r="F1878" s="89"/>
      <c r="G1878" s="89"/>
    </row>
    <row r="1879">
      <c r="A1879" s="93"/>
      <c r="B1879" s="87" t="s">
        <v>779</v>
      </c>
      <c r="C1879" s="88"/>
      <c r="D1879" s="92"/>
      <c r="E1879" s="89"/>
      <c r="F1879" s="89"/>
      <c r="G1879" s="89"/>
    </row>
    <row r="1880">
      <c r="A1880" s="93"/>
      <c r="B1880" s="87" t="s">
        <v>779</v>
      </c>
      <c r="C1880" s="88"/>
      <c r="D1880" s="92"/>
      <c r="E1880" s="89"/>
      <c r="F1880" s="89"/>
      <c r="G1880" s="89"/>
    </row>
    <row r="1881">
      <c r="A1881" s="93"/>
      <c r="B1881" s="87" t="s">
        <v>779</v>
      </c>
      <c r="C1881" s="88"/>
      <c r="D1881" s="92"/>
      <c r="E1881" s="89"/>
      <c r="F1881" s="89"/>
      <c r="G1881" s="89"/>
    </row>
    <row r="1882">
      <c r="A1882" s="93"/>
      <c r="B1882" s="87" t="s">
        <v>779</v>
      </c>
      <c r="C1882" s="88"/>
      <c r="D1882" s="92"/>
      <c r="E1882" s="89"/>
      <c r="F1882" s="89"/>
      <c r="G1882" s="89"/>
    </row>
    <row r="1883">
      <c r="A1883" s="93"/>
      <c r="B1883" s="87" t="s">
        <v>779</v>
      </c>
      <c r="C1883" s="88"/>
      <c r="D1883" s="92"/>
      <c r="E1883" s="89"/>
      <c r="F1883" s="89"/>
      <c r="G1883" s="89"/>
    </row>
    <row r="1884">
      <c r="A1884" s="93"/>
      <c r="B1884" s="87" t="s">
        <v>779</v>
      </c>
      <c r="C1884" s="88"/>
      <c r="D1884" s="92"/>
      <c r="E1884" s="89"/>
      <c r="F1884" s="89"/>
      <c r="G1884" s="89"/>
    </row>
    <row r="1885">
      <c r="A1885" s="93"/>
      <c r="B1885" s="87" t="s">
        <v>779</v>
      </c>
      <c r="C1885" s="88"/>
      <c r="D1885" s="92"/>
      <c r="E1885" s="89"/>
      <c r="F1885" s="89"/>
      <c r="G1885" s="89"/>
    </row>
    <row r="1886">
      <c r="A1886" s="93"/>
      <c r="B1886" s="87" t="s">
        <v>779</v>
      </c>
      <c r="C1886" s="88"/>
      <c r="D1886" s="92"/>
      <c r="E1886" s="89"/>
      <c r="F1886" s="89"/>
      <c r="G1886" s="89"/>
    </row>
    <row r="1887">
      <c r="A1887" s="93"/>
      <c r="B1887" s="87" t="s">
        <v>779</v>
      </c>
      <c r="C1887" s="88"/>
      <c r="D1887" s="92"/>
      <c r="E1887" s="89"/>
      <c r="F1887" s="89"/>
      <c r="G1887" s="89"/>
    </row>
    <row r="1888">
      <c r="A1888" s="93"/>
      <c r="B1888" s="87" t="s">
        <v>779</v>
      </c>
      <c r="C1888" s="88"/>
      <c r="D1888" s="92"/>
      <c r="E1888" s="89"/>
      <c r="F1888" s="89"/>
      <c r="G1888" s="89"/>
    </row>
    <row r="1889">
      <c r="A1889" s="93"/>
      <c r="B1889" s="87" t="s">
        <v>779</v>
      </c>
      <c r="C1889" s="88"/>
      <c r="D1889" s="92"/>
      <c r="E1889" s="89"/>
      <c r="F1889" s="89"/>
      <c r="G1889" s="89"/>
    </row>
    <row r="1890">
      <c r="A1890" s="93"/>
      <c r="B1890" s="87" t="s">
        <v>779</v>
      </c>
      <c r="C1890" s="88"/>
      <c r="D1890" s="92"/>
      <c r="E1890" s="89"/>
      <c r="F1890" s="89"/>
      <c r="G1890" s="89"/>
    </row>
    <row r="1891">
      <c r="A1891" s="93"/>
      <c r="B1891" s="87" t="s">
        <v>779</v>
      </c>
      <c r="C1891" s="88"/>
      <c r="D1891" s="92"/>
      <c r="E1891" s="89"/>
      <c r="F1891" s="89"/>
      <c r="G1891" s="89"/>
    </row>
    <row r="1892">
      <c r="A1892" s="93"/>
      <c r="B1892" s="87" t="s">
        <v>779</v>
      </c>
      <c r="C1892" s="88"/>
      <c r="D1892" s="92"/>
      <c r="E1892" s="89"/>
      <c r="F1892" s="89"/>
      <c r="G1892" s="89"/>
    </row>
    <row r="1893">
      <c r="A1893" s="93"/>
      <c r="B1893" s="87" t="s">
        <v>779</v>
      </c>
      <c r="C1893" s="88"/>
      <c r="D1893" s="92"/>
      <c r="E1893" s="89"/>
      <c r="F1893" s="89"/>
      <c r="G1893" s="89"/>
    </row>
    <row r="1894">
      <c r="A1894" s="93"/>
      <c r="B1894" s="87" t="s">
        <v>779</v>
      </c>
      <c r="C1894" s="88"/>
      <c r="D1894" s="92"/>
      <c r="E1894" s="89"/>
      <c r="F1894" s="89"/>
      <c r="G1894" s="89"/>
    </row>
    <row r="1895">
      <c r="A1895" s="93"/>
      <c r="B1895" s="87" t="s">
        <v>779</v>
      </c>
      <c r="C1895" s="88"/>
      <c r="D1895" s="92"/>
      <c r="E1895" s="89"/>
      <c r="F1895" s="89"/>
      <c r="G1895" s="89"/>
    </row>
    <row r="1896">
      <c r="A1896" s="93"/>
      <c r="B1896" s="87" t="s">
        <v>779</v>
      </c>
      <c r="C1896" s="88"/>
      <c r="D1896" s="92"/>
      <c r="E1896" s="89"/>
      <c r="F1896" s="89"/>
      <c r="G1896" s="89"/>
    </row>
    <row r="1897">
      <c r="A1897" s="93"/>
      <c r="B1897" s="87" t="s">
        <v>779</v>
      </c>
      <c r="C1897" s="88"/>
      <c r="D1897" s="92"/>
      <c r="E1897" s="89"/>
      <c r="F1897" s="89"/>
      <c r="G1897" s="89"/>
    </row>
    <row r="1898">
      <c r="A1898" s="93"/>
      <c r="B1898" s="87" t="s">
        <v>779</v>
      </c>
      <c r="C1898" s="88"/>
      <c r="D1898" s="92"/>
      <c r="E1898" s="89"/>
      <c r="F1898" s="89"/>
      <c r="G1898" s="89"/>
    </row>
    <row r="1899">
      <c r="A1899" s="93"/>
      <c r="B1899" s="87" t="s">
        <v>779</v>
      </c>
      <c r="C1899" s="88"/>
      <c r="D1899" s="92"/>
      <c r="E1899" s="89"/>
      <c r="F1899" s="89"/>
      <c r="G1899" s="89"/>
    </row>
    <row r="1900">
      <c r="A1900" s="93"/>
      <c r="B1900" s="87" t="s">
        <v>779</v>
      </c>
      <c r="C1900" s="88"/>
      <c r="D1900" s="92"/>
      <c r="E1900" s="89"/>
      <c r="F1900" s="89"/>
      <c r="G1900" s="89"/>
    </row>
    <row r="1901">
      <c r="A1901" s="93"/>
      <c r="B1901" s="87" t="s">
        <v>779</v>
      </c>
      <c r="C1901" s="88"/>
      <c r="D1901" s="92"/>
      <c r="E1901" s="89"/>
      <c r="F1901" s="89"/>
      <c r="G1901" s="89"/>
    </row>
    <row r="1902">
      <c r="A1902" s="93"/>
      <c r="B1902" s="87" t="s">
        <v>779</v>
      </c>
      <c r="C1902" s="88"/>
      <c r="D1902" s="92"/>
      <c r="E1902" s="89"/>
      <c r="F1902" s="89"/>
      <c r="G1902" s="89"/>
    </row>
    <row r="1903">
      <c r="A1903" s="93"/>
      <c r="B1903" s="87" t="s">
        <v>779</v>
      </c>
      <c r="C1903" s="88"/>
      <c r="D1903" s="92"/>
      <c r="E1903" s="89"/>
      <c r="F1903" s="89"/>
      <c r="G1903" s="89"/>
    </row>
    <row r="1904">
      <c r="A1904" s="93"/>
      <c r="B1904" s="87" t="s">
        <v>779</v>
      </c>
      <c r="C1904" s="88"/>
      <c r="D1904" s="92"/>
      <c r="E1904" s="89"/>
      <c r="F1904" s="89"/>
      <c r="G1904" s="89"/>
    </row>
    <row r="1905">
      <c r="A1905" s="93"/>
      <c r="B1905" s="87" t="s">
        <v>779</v>
      </c>
      <c r="C1905" s="88"/>
      <c r="D1905" s="92"/>
      <c r="E1905" s="89"/>
      <c r="F1905" s="89"/>
      <c r="G1905" s="89"/>
    </row>
    <row r="1906">
      <c r="A1906" s="93"/>
      <c r="B1906" s="87" t="s">
        <v>779</v>
      </c>
      <c r="C1906" s="88"/>
      <c r="D1906" s="92"/>
      <c r="E1906" s="89"/>
      <c r="F1906" s="89"/>
      <c r="G1906" s="89"/>
    </row>
    <row r="1907">
      <c r="A1907" s="93"/>
      <c r="B1907" s="87" t="s">
        <v>779</v>
      </c>
      <c r="C1907" s="88"/>
      <c r="D1907" s="92"/>
      <c r="E1907" s="89"/>
      <c r="F1907" s="89"/>
      <c r="G1907" s="89"/>
    </row>
    <row r="1908">
      <c r="A1908" s="93"/>
      <c r="B1908" s="87" t="s">
        <v>779</v>
      </c>
      <c r="C1908" s="88"/>
      <c r="D1908" s="92"/>
      <c r="E1908" s="89"/>
      <c r="F1908" s="89"/>
      <c r="G1908" s="89"/>
    </row>
    <row r="1909">
      <c r="A1909" s="93"/>
      <c r="B1909" s="87" t="s">
        <v>779</v>
      </c>
      <c r="C1909" s="88"/>
      <c r="D1909" s="92"/>
      <c r="E1909" s="89"/>
      <c r="F1909" s="89"/>
      <c r="G1909" s="89"/>
    </row>
    <row r="1910">
      <c r="A1910" s="93"/>
      <c r="B1910" s="87" t="s">
        <v>779</v>
      </c>
      <c r="C1910" s="88"/>
      <c r="D1910" s="92"/>
      <c r="E1910" s="89"/>
      <c r="F1910" s="89"/>
      <c r="G1910" s="89"/>
    </row>
    <row r="1911">
      <c r="A1911" s="93"/>
      <c r="B1911" s="87" t="s">
        <v>779</v>
      </c>
      <c r="C1911" s="88"/>
      <c r="D1911" s="92"/>
      <c r="E1911" s="89"/>
      <c r="F1911" s="89"/>
      <c r="G1911" s="89"/>
    </row>
    <row r="1912">
      <c r="A1912" s="93"/>
      <c r="B1912" s="87" t="s">
        <v>779</v>
      </c>
      <c r="C1912" s="88"/>
      <c r="D1912" s="92"/>
      <c r="E1912" s="89"/>
      <c r="F1912" s="89"/>
      <c r="G1912" s="89"/>
    </row>
    <row r="1913">
      <c r="A1913" s="93"/>
      <c r="B1913" s="87" t="s">
        <v>779</v>
      </c>
      <c r="C1913" s="88"/>
      <c r="D1913" s="92"/>
      <c r="E1913" s="89"/>
      <c r="F1913" s="89"/>
      <c r="G1913" s="89"/>
    </row>
    <row r="1914">
      <c r="A1914" s="93"/>
      <c r="B1914" s="87" t="s">
        <v>779</v>
      </c>
      <c r="C1914" s="88"/>
      <c r="D1914" s="92"/>
      <c r="E1914" s="89"/>
      <c r="F1914" s="89"/>
      <c r="G1914" s="89"/>
    </row>
    <row r="1915">
      <c r="A1915" s="93"/>
      <c r="B1915" s="87" t="s">
        <v>779</v>
      </c>
      <c r="C1915" s="88"/>
      <c r="D1915" s="92"/>
      <c r="E1915" s="89"/>
      <c r="F1915" s="89"/>
      <c r="G1915" s="89"/>
    </row>
    <row r="1916">
      <c r="A1916" s="93"/>
      <c r="B1916" s="87" t="s">
        <v>779</v>
      </c>
      <c r="C1916" s="88"/>
      <c r="D1916" s="92"/>
      <c r="E1916" s="89"/>
      <c r="F1916" s="89"/>
      <c r="G1916" s="89"/>
    </row>
    <row r="1917">
      <c r="A1917" s="93"/>
      <c r="B1917" s="87" t="s">
        <v>779</v>
      </c>
      <c r="C1917" s="88"/>
      <c r="D1917" s="92"/>
      <c r="E1917" s="89"/>
      <c r="F1917" s="89"/>
      <c r="G1917" s="89"/>
    </row>
    <row r="1918">
      <c r="A1918" s="93"/>
      <c r="B1918" s="87" t="s">
        <v>779</v>
      </c>
      <c r="C1918" s="88"/>
      <c r="D1918" s="92"/>
      <c r="E1918" s="89"/>
      <c r="F1918" s="89"/>
      <c r="G1918" s="89"/>
    </row>
    <row r="1919">
      <c r="A1919" s="93"/>
      <c r="B1919" s="87" t="s">
        <v>779</v>
      </c>
      <c r="C1919" s="88"/>
      <c r="D1919" s="92"/>
      <c r="E1919" s="89"/>
      <c r="F1919" s="89"/>
      <c r="G1919" s="89"/>
    </row>
    <row r="1920">
      <c r="A1920" s="93"/>
      <c r="B1920" s="87" t="s">
        <v>779</v>
      </c>
      <c r="C1920" s="88"/>
      <c r="D1920" s="92"/>
      <c r="E1920" s="89"/>
      <c r="F1920" s="89"/>
      <c r="G1920" s="89"/>
    </row>
    <row r="1921">
      <c r="A1921" s="93"/>
      <c r="B1921" s="87" t="s">
        <v>779</v>
      </c>
      <c r="C1921" s="88"/>
      <c r="D1921" s="92"/>
      <c r="E1921" s="89"/>
      <c r="F1921" s="89"/>
      <c r="G1921" s="89"/>
    </row>
    <row r="1922">
      <c r="A1922" s="93"/>
      <c r="B1922" s="87" t="s">
        <v>779</v>
      </c>
      <c r="C1922" s="88"/>
      <c r="D1922" s="92"/>
      <c r="E1922" s="89"/>
      <c r="F1922" s="89"/>
      <c r="G1922" s="89"/>
    </row>
    <row r="1923">
      <c r="A1923" s="93"/>
      <c r="B1923" s="87" t="s">
        <v>779</v>
      </c>
      <c r="C1923" s="88"/>
      <c r="D1923" s="92"/>
      <c r="E1923" s="89"/>
      <c r="F1923" s="89"/>
      <c r="G1923" s="89"/>
    </row>
    <row r="1924">
      <c r="A1924" s="93"/>
      <c r="B1924" s="87" t="s">
        <v>779</v>
      </c>
      <c r="C1924" s="88"/>
      <c r="D1924" s="92"/>
      <c r="E1924" s="89"/>
      <c r="F1924" s="89"/>
      <c r="G1924" s="89"/>
    </row>
    <row r="1925">
      <c r="A1925" s="93"/>
      <c r="B1925" s="87" t="s">
        <v>779</v>
      </c>
      <c r="C1925" s="88"/>
      <c r="D1925" s="92"/>
      <c r="E1925" s="89"/>
      <c r="F1925" s="89"/>
      <c r="G1925" s="89"/>
    </row>
    <row r="1926">
      <c r="A1926" s="93"/>
      <c r="B1926" s="87" t="s">
        <v>779</v>
      </c>
      <c r="C1926" s="88"/>
      <c r="D1926" s="92"/>
      <c r="E1926" s="89"/>
      <c r="F1926" s="89"/>
      <c r="G1926" s="89"/>
    </row>
    <row r="1927">
      <c r="A1927" s="93"/>
      <c r="B1927" s="87" t="s">
        <v>779</v>
      </c>
      <c r="C1927" s="88"/>
      <c r="D1927" s="92"/>
      <c r="E1927" s="89"/>
      <c r="F1927" s="89"/>
      <c r="G1927" s="89"/>
    </row>
    <row r="1928">
      <c r="A1928" s="93"/>
      <c r="B1928" s="87" t="s">
        <v>779</v>
      </c>
      <c r="C1928" s="88"/>
      <c r="D1928" s="92"/>
      <c r="E1928" s="89"/>
      <c r="F1928" s="89"/>
      <c r="G1928" s="89"/>
    </row>
    <row r="1929">
      <c r="A1929" s="93"/>
      <c r="B1929" s="87" t="s">
        <v>779</v>
      </c>
      <c r="C1929" s="88"/>
      <c r="D1929" s="92"/>
      <c r="E1929" s="89"/>
      <c r="F1929" s="89"/>
      <c r="G1929" s="89"/>
    </row>
    <row r="1930">
      <c r="A1930" s="93"/>
      <c r="B1930" s="87" t="s">
        <v>779</v>
      </c>
      <c r="C1930" s="88"/>
      <c r="D1930" s="92"/>
      <c r="E1930" s="89"/>
      <c r="F1930" s="89"/>
      <c r="G1930" s="89"/>
    </row>
    <row r="1931">
      <c r="A1931" s="93"/>
      <c r="B1931" s="87" t="s">
        <v>779</v>
      </c>
      <c r="C1931" s="88"/>
      <c r="D1931" s="92"/>
      <c r="E1931" s="89"/>
      <c r="F1931" s="89"/>
      <c r="G1931" s="89"/>
    </row>
    <row r="1932">
      <c r="A1932" s="93"/>
      <c r="B1932" s="87" t="s">
        <v>779</v>
      </c>
      <c r="C1932" s="88"/>
      <c r="D1932" s="92"/>
      <c r="E1932" s="89"/>
      <c r="F1932" s="89"/>
      <c r="G1932" s="89"/>
    </row>
    <row r="1933">
      <c r="A1933" s="93"/>
      <c r="B1933" s="87" t="s">
        <v>779</v>
      </c>
      <c r="C1933" s="88"/>
      <c r="D1933" s="92"/>
      <c r="E1933" s="89"/>
      <c r="F1933" s="89"/>
      <c r="G1933" s="89"/>
    </row>
    <row r="1934">
      <c r="A1934" s="93"/>
      <c r="B1934" s="87" t="s">
        <v>779</v>
      </c>
      <c r="C1934" s="88"/>
      <c r="D1934" s="92"/>
      <c r="E1934" s="89"/>
      <c r="F1934" s="89"/>
      <c r="G1934" s="89"/>
    </row>
    <row r="1935">
      <c r="A1935" s="93"/>
      <c r="B1935" s="87" t="s">
        <v>779</v>
      </c>
      <c r="C1935" s="88"/>
      <c r="D1935" s="92"/>
      <c r="E1935" s="89"/>
      <c r="F1935" s="89"/>
      <c r="G1935" s="89"/>
    </row>
    <row r="1936">
      <c r="A1936" s="93"/>
      <c r="B1936" s="87" t="s">
        <v>779</v>
      </c>
      <c r="C1936" s="88"/>
      <c r="D1936" s="92"/>
      <c r="E1936" s="89"/>
      <c r="F1936" s="89"/>
      <c r="G1936" s="89"/>
    </row>
    <row r="1937">
      <c r="A1937" s="93"/>
      <c r="B1937" s="87" t="s">
        <v>779</v>
      </c>
      <c r="C1937" s="88"/>
      <c r="D1937" s="92"/>
      <c r="E1937" s="89"/>
      <c r="F1937" s="89"/>
      <c r="G1937" s="89"/>
    </row>
    <row r="1938">
      <c r="A1938" s="93"/>
      <c r="B1938" s="87" t="s">
        <v>779</v>
      </c>
      <c r="C1938" s="88"/>
      <c r="D1938" s="92"/>
      <c r="E1938" s="89"/>
      <c r="F1938" s="89"/>
      <c r="G1938" s="89"/>
    </row>
    <row r="1939">
      <c r="A1939" s="93"/>
      <c r="B1939" s="87" t="s">
        <v>779</v>
      </c>
      <c r="C1939" s="88"/>
      <c r="D1939" s="92"/>
      <c r="E1939" s="89"/>
      <c r="F1939" s="89"/>
      <c r="G1939" s="89"/>
    </row>
    <row r="1940">
      <c r="A1940" s="93"/>
      <c r="B1940" s="87" t="s">
        <v>779</v>
      </c>
      <c r="C1940" s="88"/>
      <c r="D1940" s="92"/>
      <c r="E1940" s="89"/>
      <c r="F1940" s="89"/>
      <c r="G1940" s="89"/>
    </row>
    <row r="1941">
      <c r="A1941" s="93"/>
      <c r="B1941" s="87" t="s">
        <v>779</v>
      </c>
      <c r="C1941" s="88"/>
      <c r="D1941" s="92"/>
      <c r="E1941" s="89"/>
      <c r="F1941" s="89"/>
      <c r="G1941" s="89"/>
    </row>
    <row r="1942">
      <c r="A1942" s="93"/>
      <c r="B1942" s="87" t="s">
        <v>779</v>
      </c>
      <c r="C1942" s="88"/>
      <c r="D1942" s="92"/>
      <c r="E1942" s="89"/>
      <c r="F1942" s="89"/>
      <c r="G1942" s="89"/>
    </row>
    <row r="1943">
      <c r="A1943" s="93"/>
      <c r="B1943" s="87" t="s">
        <v>779</v>
      </c>
      <c r="C1943" s="88"/>
      <c r="D1943" s="92"/>
      <c r="E1943" s="89"/>
      <c r="F1943" s="89"/>
      <c r="G1943" s="89"/>
    </row>
    <row r="1944">
      <c r="A1944" s="93"/>
      <c r="B1944" s="87" t="s">
        <v>779</v>
      </c>
      <c r="C1944" s="88"/>
      <c r="D1944" s="92"/>
      <c r="E1944" s="89"/>
      <c r="F1944" s="89"/>
      <c r="G1944" s="89"/>
    </row>
    <row r="1945">
      <c r="A1945" s="93"/>
      <c r="B1945" s="87" t="s">
        <v>779</v>
      </c>
      <c r="C1945" s="88"/>
      <c r="D1945" s="92"/>
      <c r="E1945" s="89"/>
      <c r="F1945" s="89"/>
      <c r="G1945" s="89"/>
    </row>
    <row r="1946">
      <c r="A1946" s="93"/>
      <c r="B1946" s="87" t="s">
        <v>779</v>
      </c>
      <c r="C1946" s="88"/>
      <c r="D1946" s="92"/>
      <c r="E1946" s="89"/>
      <c r="F1946" s="89"/>
      <c r="G1946" s="89"/>
    </row>
    <row r="1947">
      <c r="A1947" s="93"/>
      <c r="B1947" s="87" t="s">
        <v>779</v>
      </c>
      <c r="C1947" s="88"/>
      <c r="D1947" s="92"/>
      <c r="E1947" s="89"/>
      <c r="F1947" s="89"/>
      <c r="G1947" s="89"/>
    </row>
    <row r="1948">
      <c r="A1948" s="93"/>
      <c r="B1948" s="87" t="s">
        <v>779</v>
      </c>
      <c r="C1948" s="88"/>
      <c r="D1948" s="92"/>
      <c r="E1948" s="89"/>
      <c r="F1948" s="89"/>
      <c r="G1948" s="89"/>
    </row>
    <row r="1949">
      <c r="A1949" s="93"/>
      <c r="B1949" s="87" t="s">
        <v>779</v>
      </c>
      <c r="C1949" s="88"/>
      <c r="D1949" s="92"/>
      <c r="E1949" s="89"/>
      <c r="F1949" s="89"/>
      <c r="G1949" s="89"/>
    </row>
    <row r="1950">
      <c r="A1950" s="93"/>
      <c r="B1950" s="87" t="s">
        <v>779</v>
      </c>
      <c r="C1950" s="88"/>
      <c r="D1950" s="92"/>
      <c r="E1950" s="89"/>
      <c r="F1950" s="89"/>
      <c r="G1950" s="89"/>
    </row>
    <row r="1951">
      <c r="A1951" s="93"/>
      <c r="B1951" s="87" t="s">
        <v>779</v>
      </c>
      <c r="C1951" s="88"/>
      <c r="D1951" s="92"/>
      <c r="E1951" s="89"/>
      <c r="F1951" s="89"/>
      <c r="G1951" s="89"/>
    </row>
    <row r="1952">
      <c r="A1952" s="93"/>
      <c r="B1952" s="87" t="s">
        <v>779</v>
      </c>
      <c r="C1952" s="88"/>
      <c r="D1952" s="92"/>
      <c r="E1952" s="89"/>
      <c r="F1952" s="89"/>
      <c r="G1952" s="89"/>
    </row>
    <row r="1953">
      <c r="A1953" s="93"/>
      <c r="B1953" s="87" t="s">
        <v>779</v>
      </c>
      <c r="C1953" s="88"/>
      <c r="D1953" s="92"/>
      <c r="E1953" s="89"/>
      <c r="F1953" s="89"/>
      <c r="G1953" s="89"/>
    </row>
    <row r="1954">
      <c r="A1954" s="93"/>
      <c r="B1954" s="87" t="s">
        <v>779</v>
      </c>
      <c r="C1954" s="88"/>
      <c r="D1954" s="92"/>
      <c r="E1954" s="89"/>
      <c r="F1954" s="89"/>
      <c r="G1954" s="89"/>
    </row>
    <row r="1955">
      <c r="A1955" s="93"/>
      <c r="B1955" s="87" t="s">
        <v>779</v>
      </c>
      <c r="C1955" s="88"/>
      <c r="D1955" s="92"/>
      <c r="E1955" s="89"/>
      <c r="F1955" s="89"/>
      <c r="G1955" s="89"/>
    </row>
    <row r="1956">
      <c r="A1956" s="93"/>
      <c r="B1956" s="87" t="s">
        <v>779</v>
      </c>
      <c r="C1956" s="88"/>
      <c r="D1956" s="92"/>
      <c r="E1956" s="89"/>
      <c r="F1956" s="89"/>
      <c r="G1956" s="89"/>
    </row>
    <row r="1957">
      <c r="A1957" s="93"/>
      <c r="B1957" s="87" t="s">
        <v>779</v>
      </c>
      <c r="C1957" s="88"/>
      <c r="D1957" s="92"/>
      <c r="E1957" s="89"/>
      <c r="F1957" s="89"/>
      <c r="G1957" s="89"/>
    </row>
    <row r="1958">
      <c r="A1958" s="93"/>
      <c r="B1958" s="87" t="s">
        <v>779</v>
      </c>
      <c r="C1958" s="88"/>
      <c r="D1958" s="92"/>
      <c r="E1958" s="89"/>
      <c r="F1958" s="89"/>
      <c r="G1958" s="89"/>
    </row>
    <row r="1959">
      <c r="A1959" s="93"/>
      <c r="B1959" s="87" t="s">
        <v>779</v>
      </c>
      <c r="C1959" s="88"/>
      <c r="D1959" s="92"/>
      <c r="E1959" s="89"/>
      <c r="F1959" s="89"/>
      <c r="G1959" s="89"/>
    </row>
    <row r="1960">
      <c r="A1960" s="93"/>
      <c r="B1960" s="87" t="s">
        <v>779</v>
      </c>
      <c r="C1960" s="88"/>
      <c r="D1960" s="92"/>
      <c r="E1960" s="89"/>
      <c r="F1960" s="89"/>
      <c r="G1960" s="89"/>
    </row>
    <row r="1961">
      <c r="A1961" s="93"/>
      <c r="B1961" s="87" t="s">
        <v>779</v>
      </c>
      <c r="C1961" s="88"/>
      <c r="D1961" s="92"/>
      <c r="E1961" s="89"/>
      <c r="F1961" s="89"/>
      <c r="G1961" s="89"/>
    </row>
    <row r="1962">
      <c r="A1962" s="93"/>
      <c r="B1962" s="87" t="s">
        <v>779</v>
      </c>
      <c r="C1962" s="88"/>
      <c r="D1962" s="92"/>
      <c r="E1962" s="89"/>
      <c r="F1962" s="89"/>
      <c r="G1962" s="89"/>
    </row>
    <row r="1963">
      <c r="A1963" s="93"/>
      <c r="B1963" s="87" t="s">
        <v>779</v>
      </c>
      <c r="C1963" s="88"/>
      <c r="D1963" s="92"/>
      <c r="E1963" s="89"/>
      <c r="F1963" s="89"/>
      <c r="G1963" s="89"/>
    </row>
    <row r="1964">
      <c r="A1964" s="93"/>
      <c r="B1964" s="87" t="s">
        <v>779</v>
      </c>
      <c r="C1964" s="88"/>
      <c r="D1964" s="92"/>
      <c r="E1964" s="89"/>
      <c r="F1964" s="89"/>
      <c r="G1964" s="89"/>
    </row>
    <row r="1965">
      <c r="A1965" s="93"/>
      <c r="B1965" s="87" t="s">
        <v>779</v>
      </c>
      <c r="C1965" s="88"/>
      <c r="D1965" s="92"/>
      <c r="E1965" s="89"/>
      <c r="F1965" s="89"/>
      <c r="G1965" s="89"/>
    </row>
    <row r="1966">
      <c r="A1966" s="93"/>
      <c r="B1966" s="87" t="s">
        <v>779</v>
      </c>
      <c r="C1966" s="88"/>
      <c r="D1966" s="92"/>
      <c r="E1966" s="89"/>
      <c r="F1966" s="89"/>
      <c r="G1966" s="89"/>
    </row>
    <row r="1967">
      <c r="A1967" s="93"/>
      <c r="B1967" s="87" t="s">
        <v>779</v>
      </c>
      <c r="C1967" s="88"/>
      <c r="D1967" s="92"/>
      <c r="E1967" s="89"/>
      <c r="F1967" s="89"/>
      <c r="G1967" s="89"/>
    </row>
    <row r="1968">
      <c r="A1968" s="93"/>
      <c r="B1968" s="87" t="s">
        <v>779</v>
      </c>
      <c r="C1968" s="88"/>
      <c r="D1968" s="92"/>
      <c r="E1968" s="89"/>
      <c r="F1968" s="89"/>
      <c r="G1968" s="89"/>
    </row>
    <row r="1969">
      <c r="A1969" s="93"/>
      <c r="B1969" s="87" t="s">
        <v>779</v>
      </c>
      <c r="C1969" s="88"/>
      <c r="D1969" s="92"/>
      <c r="E1969" s="89"/>
      <c r="F1969" s="89"/>
      <c r="G1969" s="89"/>
    </row>
    <row r="1970">
      <c r="A1970" s="93"/>
      <c r="B1970" s="87" t="s">
        <v>779</v>
      </c>
      <c r="C1970" s="88"/>
      <c r="D1970" s="92"/>
      <c r="E1970" s="89"/>
      <c r="F1970" s="89"/>
      <c r="G1970" s="89"/>
    </row>
    <row r="1971">
      <c r="A1971" s="93"/>
      <c r="B1971" s="87" t="s">
        <v>779</v>
      </c>
      <c r="C1971" s="88"/>
      <c r="D1971" s="92"/>
      <c r="E1971" s="89"/>
      <c r="F1971" s="89"/>
      <c r="G1971" s="89"/>
    </row>
    <row r="1972">
      <c r="A1972" s="93"/>
      <c r="B1972" s="87" t="s">
        <v>779</v>
      </c>
      <c r="C1972" s="88"/>
      <c r="D1972" s="92"/>
      <c r="E1972" s="89"/>
      <c r="F1972" s="89"/>
      <c r="G1972" s="89"/>
    </row>
    <row r="1973">
      <c r="A1973" s="93"/>
      <c r="B1973" s="87" t="s">
        <v>779</v>
      </c>
      <c r="C1973" s="88"/>
      <c r="D1973" s="92"/>
      <c r="E1973" s="89"/>
      <c r="F1973" s="89"/>
      <c r="G1973" s="89"/>
    </row>
    <row r="1974">
      <c r="A1974" s="93"/>
      <c r="B1974" s="87" t="s">
        <v>779</v>
      </c>
      <c r="C1974" s="88"/>
      <c r="D1974" s="92"/>
      <c r="E1974" s="89"/>
      <c r="F1974" s="89"/>
      <c r="G1974" s="89"/>
    </row>
    <row r="1975">
      <c r="A1975" s="93"/>
      <c r="B1975" s="87" t="s">
        <v>779</v>
      </c>
      <c r="C1975" s="88"/>
      <c r="D1975" s="92"/>
      <c r="E1975" s="89"/>
      <c r="F1975" s="89"/>
      <c r="G1975" s="89"/>
    </row>
    <row r="1976">
      <c r="A1976" s="93"/>
      <c r="B1976" s="87" t="s">
        <v>779</v>
      </c>
      <c r="C1976" s="88"/>
      <c r="D1976" s="92"/>
      <c r="E1976" s="89"/>
      <c r="F1976" s="89"/>
      <c r="G1976" s="89"/>
    </row>
    <row r="1977">
      <c r="A1977" s="93"/>
      <c r="B1977" s="87" t="s">
        <v>779</v>
      </c>
      <c r="C1977" s="88"/>
      <c r="D1977" s="92"/>
      <c r="E1977" s="89"/>
      <c r="F1977" s="89"/>
      <c r="G1977" s="89"/>
    </row>
    <row r="1978">
      <c r="A1978" s="93"/>
      <c r="B1978" s="87" t="s">
        <v>779</v>
      </c>
      <c r="C1978" s="88"/>
      <c r="D1978" s="92"/>
      <c r="E1978" s="89"/>
      <c r="F1978" s="89"/>
      <c r="G1978" s="89"/>
    </row>
    <row r="1979">
      <c r="A1979" s="93"/>
      <c r="B1979" s="87" t="s">
        <v>779</v>
      </c>
      <c r="C1979" s="88"/>
      <c r="D1979" s="92"/>
      <c r="E1979" s="89"/>
      <c r="F1979" s="89"/>
      <c r="G1979" s="89"/>
    </row>
    <row r="1980">
      <c r="A1980" s="93"/>
      <c r="B1980" s="87" t="s">
        <v>779</v>
      </c>
      <c r="C1980" s="88"/>
      <c r="D1980" s="92"/>
      <c r="E1980" s="89"/>
      <c r="F1980" s="89"/>
      <c r="G1980" s="89"/>
    </row>
    <row r="1981">
      <c r="A1981" s="93"/>
      <c r="B1981" s="87" t="s">
        <v>779</v>
      </c>
      <c r="C1981" s="88"/>
      <c r="D1981" s="92"/>
      <c r="E1981" s="89"/>
      <c r="F1981" s="89"/>
      <c r="G1981" s="89"/>
    </row>
    <row r="1982">
      <c r="A1982" s="93"/>
      <c r="B1982" s="87" t="s">
        <v>779</v>
      </c>
      <c r="C1982" s="88"/>
      <c r="D1982" s="92"/>
      <c r="E1982" s="89"/>
      <c r="F1982" s="89"/>
      <c r="G1982" s="89"/>
    </row>
    <row r="1983">
      <c r="A1983" s="93"/>
      <c r="B1983" s="87" t="s">
        <v>779</v>
      </c>
      <c r="C1983" s="88"/>
      <c r="D1983" s="92"/>
      <c r="E1983" s="89"/>
      <c r="F1983" s="89"/>
      <c r="G1983" s="89"/>
    </row>
    <row r="1984">
      <c r="A1984" s="93"/>
      <c r="B1984" s="87" t="s">
        <v>779</v>
      </c>
      <c r="C1984" s="88"/>
      <c r="D1984" s="92"/>
      <c r="E1984" s="89"/>
      <c r="F1984" s="89"/>
      <c r="G1984" s="89"/>
    </row>
    <row r="1985">
      <c r="A1985" s="93"/>
      <c r="B1985" s="87" t="s">
        <v>779</v>
      </c>
      <c r="C1985" s="88"/>
      <c r="D1985" s="92"/>
      <c r="E1985" s="89"/>
      <c r="F1985" s="89"/>
      <c r="G1985" s="89"/>
    </row>
    <row r="1986">
      <c r="A1986" s="93"/>
      <c r="B1986" s="87" t="s">
        <v>779</v>
      </c>
      <c r="C1986" s="88"/>
      <c r="D1986" s="92"/>
      <c r="E1986" s="89"/>
      <c r="F1986" s="89"/>
      <c r="G1986" s="89"/>
    </row>
    <row r="1987">
      <c r="A1987" s="93"/>
      <c r="B1987" s="87" t="s">
        <v>779</v>
      </c>
      <c r="C1987" s="88"/>
      <c r="D1987" s="92"/>
      <c r="E1987" s="89"/>
      <c r="F1987" s="89"/>
      <c r="G1987" s="89"/>
    </row>
    <row r="1988">
      <c r="A1988" s="93"/>
      <c r="B1988" s="87" t="s">
        <v>779</v>
      </c>
      <c r="C1988" s="88"/>
      <c r="D1988" s="92"/>
      <c r="E1988" s="89"/>
      <c r="F1988" s="89"/>
      <c r="G1988" s="89"/>
    </row>
    <row r="1989">
      <c r="A1989" s="93"/>
      <c r="B1989" s="87" t="s">
        <v>779</v>
      </c>
      <c r="C1989" s="88"/>
      <c r="D1989" s="92"/>
      <c r="E1989" s="89"/>
      <c r="F1989" s="89"/>
      <c r="G1989" s="89"/>
    </row>
    <row r="1990">
      <c r="A1990" s="93"/>
      <c r="B1990" s="87" t="s">
        <v>779</v>
      </c>
      <c r="C1990" s="88"/>
      <c r="D1990" s="92"/>
      <c r="E1990" s="89"/>
      <c r="F1990" s="89"/>
      <c r="G1990" s="89"/>
    </row>
    <row r="1991">
      <c r="A1991" s="93"/>
      <c r="B1991" s="87" t="s">
        <v>779</v>
      </c>
      <c r="C1991" s="88"/>
      <c r="D1991" s="92"/>
      <c r="E1991" s="89"/>
      <c r="F1991" s="89"/>
      <c r="G1991" s="89"/>
    </row>
    <row r="1992">
      <c r="A1992" s="93"/>
      <c r="B1992" s="87" t="s">
        <v>779</v>
      </c>
      <c r="C1992" s="88"/>
      <c r="D1992" s="92"/>
      <c r="E1992" s="89"/>
      <c r="F1992" s="89"/>
      <c r="G1992" s="89"/>
    </row>
    <row r="1993">
      <c r="A1993" s="93"/>
      <c r="B1993" s="87" t="s">
        <v>779</v>
      </c>
      <c r="C1993" s="88"/>
      <c r="D1993" s="92"/>
      <c r="E1993" s="89"/>
      <c r="F1993" s="89"/>
      <c r="G1993" s="89"/>
    </row>
    <row r="1994">
      <c r="A1994" s="93"/>
      <c r="B1994" s="87" t="s">
        <v>779</v>
      </c>
      <c r="C1994" s="88"/>
      <c r="D1994" s="92"/>
      <c r="E1994" s="89"/>
      <c r="F1994" s="89"/>
      <c r="G1994" s="89"/>
    </row>
    <row r="1995">
      <c r="A1995" s="93"/>
      <c r="B1995" s="87" t="s">
        <v>779</v>
      </c>
      <c r="C1995" s="88"/>
      <c r="D1995" s="92"/>
      <c r="E1995" s="89"/>
      <c r="F1995" s="89"/>
      <c r="G1995" s="89"/>
    </row>
    <row r="1996">
      <c r="A1996" s="93"/>
      <c r="B1996" s="87" t="s">
        <v>779</v>
      </c>
      <c r="C1996" s="88"/>
      <c r="D1996" s="92"/>
      <c r="E1996" s="89"/>
      <c r="F1996" s="89"/>
      <c r="G1996" s="89"/>
    </row>
    <row r="1997">
      <c r="A1997" s="93"/>
      <c r="B1997" s="87" t="s">
        <v>779</v>
      </c>
      <c r="C1997" s="88"/>
      <c r="D1997" s="92"/>
      <c r="E1997" s="89"/>
      <c r="F1997" s="89"/>
      <c r="G1997" s="89"/>
    </row>
    <row r="1998">
      <c r="A1998" s="93"/>
      <c r="B1998" s="87" t="s">
        <v>779</v>
      </c>
      <c r="C1998" s="88"/>
      <c r="D1998" s="92"/>
      <c r="E1998" s="89"/>
      <c r="F1998" s="89"/>
      <c r="G1998" s="89"/>
    </row>
    <row r="1999">
      <c r="A1999" s="93"/>
      <c r="B1999" s="87" t="s">
        <v>779</v>
      </c>
      <c r="C1999" s="88"/>
      <c r="D1999" s="92"/>
      <c r="E1999" s="89"/>
      <c r="F1999" s="89"/>
      <c r="G1999" s="89"/>
    </row>
    <row r="2000">
      <c r="A2000" s="93"/>
      <c r="B2000" s="87" t="s">
        <v>779</v>
      </c>
      <c r="C2000" s="88"/>
      <c r="D2000" s="92"/>
      <c r="E2000" s="89"/>
      <c r="F2000" s="89"/>
      <c r="G2000" s="89"/>
    </row>
    <row r="2001">
      <c r="A2001" s="93"/>
      <c r="B2001" s="87" t="s">
        <v>779</v>
      </c>
      <c r="C2001" s="88"/>
      <c r="D2001" s="92"/>
      <c r="E2001" s="89"/>
      <c r="F2001" s="89"/>
      <c r="G2001" s="89"/>
    </row>
    <row r="2002">
      <c r="A2002" s="93"/>
      <c r="B2002" s="87" t="s">
        <v>779</v>
      </c>
      <c r="C2002" s="88"/>
      <c r="D2002" s="92"/>
      <c r="E2002" s="89"/>
      <c r="F2002" s="89"/>
      <c r="G2002" s="89"/>
    </row>
    <row r="2003">
      <c r="A2003" s="93"/>
      <c r="B2003" s="87" t="s">
        <v>779</v>
      </c>
      <c r="C2003" s="88"/>
      <c r="D2003" s="92"/>
      <c r="E2003" s="89"/>
      <c r="F2003" s="89"/>
      <c r="G2003" s="89"/>
    </row>
    <row r="2004">
      <c r="A2004" s="93"/>
      <c r="B2004" s="87" t="s">
        <v>779</v>
      </c>
      <c r="C2004" s="88"/>
      <c r="D2004" s="92"/>
      <c r="E2004" s="89"/>
      <c r="F2004" s="89"/>
      <c r="G2004" s="89"/>
    </row>
    <row r="2005">
      <c r="A2005" s="93"/>
      <c r="B2005" s="87" t="s">
        <v>779</v>
      </c>
      <c r="C2005" s="88"/>
      <c r="D2005" s="92"/>
      <c r="E2005" s="89"/>
      <c r="F2005" s="89"/>
      <c r="G2005" s="89"/>
    </row>
    <row r="2006">
      <c r="A2006" s="93"/>
      <c r="B2006" s="87" t="s">
        <v>779</v>
      </c>
      <c r="C2006" s="88"/>
      <c r="D2006" s="92"/>
      <c r="E2006" s="89"/>
      <c r="F2006" s="89"/>
      <c r="G2006" s="89"/>
    </row>
    <row r="2007">
      <c r="A2007" s="93"/>
      <c r="B2007" s="87" t="s">
        <v>779</v>
      </c>
      <c r="C2007" s="88"/>
      <c r="D2007" s="92"/>
      <c r="E2007" s="89"/>
      <c r="F2007" s="89"/>
      <c r="G2007" s="89"/>
    </row>
    <row r="2008">
      <c r="A2008" s="93"/>
      <c r="B2008" s="87" t="s">
        <v>779</v>
      </c>
      <c r="C2008" s="88"/>
      <c r="D2008" s="92"/>
      <c r="E2008" s="89"/>
      <c r="F2008" s="89"/>
      <c r="G2008" s="89"/>
    </row>
    <row r="2009">
      <c r="A2009" s="93"/>
      <c r="B2009" s="87" t="s">
        <v>779</v>
      </c>
      <c r="C2009" s="88"/>
      <c r="D2009" s="92"/>
      <c r="E2009" s="89"/>
      <c r="F2009" s="89"/>
      <c r="G2009" s="89"/>
    </row>
    <row r="2010">
      <c r="A2010" s="93"/>
      <c r="B2010" s="87" t="s">
        <v>779</v>
      </c>
      <c r="C2010" s="88"/>
      <c r="D2010" s="92"/>
      <c r="E2010" s="89"/>
      <c r="F2010" s="89"/>
      <c r="G2010" s="89"/>
    </row>
    <row r="2011">
      <c r="A2011" s="93"/>
      <c r="B2011" s="87" t="s">
        <v>779</v>
      </c>
      <c r="C2011" s="88"/>
      <c r="D2011" s="92"/>
      <c r="E2011" s="89"/>
      <c r="F2011" s="89"/>
      <c r="G2011" s="89"/>
    </row>
    <row r="2012">
      <c r="A2012" s="93"/>
      <c r="B2012" s="87" t="s">
        <v>779</v>
      </c>
      <c r="C2012" s="88"/>
      <c r="D2012" s="92"/>
      <c r="E2012" s="89"/>
      <c r="F2012" s="89"/>
      <c r="G2012" s="89"/>
    </row>
    <row r="2013">
      <c r="A2013" s="93"/>
      <c r="B2013" s="87" t="s">
        <v>779</v>
      </c>
      <c r="C2013" s="88"/>
      <c r="D2013" s="92"/>
      <c r="E2013" s="89"/>
      <c r="F2013" s="89"/>
      <c r="G2013" s="89"/>
    </row>
    <row r="2014">
      <c r="A2014" s="93"/>
      <c r="B2014" s="87" t="s">
        <v>779</v>
      </c>
      <c r="C2014" s="88"/>
      <c r="D2014" s="92"/>
      <c r="E2014" s="89"/>
      <c r="F2014" s="89"/>
      <c r="G2014" s="89"/>
    </row>
    <row r="2015">
      <c r="A2015" s="93"/>
      <c r="B2015" s="87" t="s">
        <v>779</v>
      </c>
      <c r="C2015" s="88"/>
      <c r="D2015" s="92"/>
      <c r="E2015" s="89"/>
      <c r="F2015" s="89"/>
      <c r="G2015" s="89"/>
    </row>
    <row r="2016">
      <c r="A2016" s="93"/>
      <c r="B2016" s="87" t="s">
        <v>779</v>
      </c>
      <c r="C2016" s="88"/>
      <c r="D2016" s="92"/>
      <c r="E2016" s="89"/>
      <c r="F2016" s="89"/>
      <c r="G2016" s="89"/>
    </row>
    <row r="2017">
      <c r="A2017" s="93"/>
      <c r="B2017" s="87" t="s">
        <v>779</v>
      </c>
      <c r="C2017" s="88"/>
      <c r="D2017" s="92"/>
      <c r="E2017" s="89"/>
      <c r="F2017" s="89"/>
      <c r="G2017" s="89"/>
    </row>
    <row r="2018">
      <c r="A2018" s="93"/>
      <c r="B2018" s="87" t="s">
        <v>779</v>
      </c>
      <c r="C2018" s="88"/>
      <c r="D2018" s="92"/>
      <c r="E2018" s="89"/>
      <c r="F2018" s="89"/>
      <c r="G2018" s="89"/>
    </row>
    <row r="2019">
      <c r="A2019" s="93"/>
      <c r="B2019" s="87" t="s">
        <v>779</v>
      </c>
      <c r="C2019" s="88"/>
      <c r="D2019" s="92"/>
      <c r="E2019" s="89"/>
      <c r="F2019" s="89"/>
      <c r="G2019" s="89"/>
    </row>
    <row r="2020">
      <c r="A2020" s="93"/>
      <c r="B2020" s="87" t="s">
        <v>779</v>
      </c>
      <c r="C2020" s="88"/>
      <c r="D2020" s="92"/>
      <c r="E2020" s="89"/>
      <c r="F2020" s="89"/>
      <c r="G2020" s="89"/>
    </row>
    <row r="2021">
      <c r="A2021" s="93"/>
      <c r="B2021" s="87" t="s">
        <v>779</v>
      </c>
      <c r="C2021" s="88"/>
      <c r="D2021" s="92"/>
      <c r="E2021" s="89"/>
      <c r="F2021" s="89"/>
      <c r="G2021" s="89"/>
    </row>
    <row r="2022">
      <c r="A2022" s="93"/>
      <c r="B2022" s="87" t="s">
        <v>779</v>
      </c>
      <c r="C2022" s="88"/>
      <c r="D2022" s="92"/>
      <c r="E2022" s="89"/>
      <c r="F2022" s="89"/>
      <c r="G2022" s="89"/>
    </row>
    <row r="2023">
      <c r="A2023" s="93"/>
      <c r="B2023" s="87" t="s">
        <v>779</v>
      </c>
      <c r="C2023" s="88"/>
      <c r="D2023" s="92"/>
      <c r="E2023" s="89"/>
      <c r="F2023" s="89"/>
      <c r="G2023" s="89"/>
    </row>
    <row r="2024">
      <c r="A2024" s="93"/>
      <c r="B2024" s="87" t="s">
        <v>779</v>
      </c>
      <c r="C2024" s="88"/>
      <c r="D2024" s="92"/>
      <c r="E2024" s="89"/>
      <c r="F2024" s="89"/>
      <c r="G2024" s="89"/>
    </row>
    <row r="2025">
      <c r="A2025" s="93"/>
      <c r="B2025" s="87" t="s">
        <v>779</v>
      </c>
      <c r="C2025" s="88"/>
      <c r="D2025" s="92"/>
      <c r="E2025" s="89"/>
      <c r="F2025" s="89"/>
      <c r="G2025" s="89"/>
    </row>
    <row r="2026">
      <c r="A2026" s="93"/>
      <c r="B2026" s="87" t="s">
        <v>779</v>
      </c>
      <c r="C2026" s="88"/>
      <c r="D2026" s="92"/>
      <c r="E2026" s="89"/>
      <c r="F2026" s="89"/>
      <c r="G2026" s="89"/>
    </row>
    <row r="2027">
      <c r="A2027" s="93"/>
      <c r="B2027" s="87" t="s">
        <v>779</v>
      </c>
      <c r="C2027" s="88"/>
      <c r="D2027" s="92"/>
      <c r="E2027" s="89"/>
      <c r="F2027" s="89"/>
      <c r="G2027" s="89"/>
    </row>
    <row r="2028">
      <c r="A2028" s="93"/>
      <c r="B2028" s="87" t="s">
        <v>779</v>
      </c>
      <c r="C2028" s="88"/>
      <c r="D2028" s="92"/>
      <c r="E2028" s="89"/>
      <c r="F2028" s="89"/>
      <c r="G2028" s="89"/>
    </row>
    <row r="2029">
      <c r="A2029" s="93"/>
      <c r="B2029" s="87" t="s">
        <v>779</v>
      </c>
      <c r="C2029" s="88"/>
      <c r="D2029" s="92"/>
      <c r="E2029" s="89"/>
      <c r="F2029" s="89"/>
      <c r="G2029" s="89"/>
    </row>
    <row r="2030">
      <c r="A2030" s="93"/>
      <c r="B2030" s="87" t="s">
        <v>779</v>
      </c>
      <c r="C2030" s="88"/>
      <c r="D2030" s="92"/>
      <c r="E2030" s="89"/>
      <c r="F2030" s="89"/>
      <c r="G2030" s="89"/>
    </row>
    <row r="2031">
      <c r="A2031" s="93"/>
      <c r="B2031" s="87" t="s">
        <v>779</v>
      </c>
      <c r="C2031" s="88"/>
      <c r="D2031" s="92"/>
      <c r="E2031" s="89"/>
      <c r="F2031" s="89"/>
      <c r="G2031" s="89"/>
    </row>
    <row r="2032">
      <c r="A2032" s="93"/>
      <c r="B2032" s="87" t="s">
        <v>779</v>
      </c>
      <c r="C2032" s="88"/>
      <c r="D2032" s="92"/>
      <c r="E2032" s="89"/>
      <c r="F2032" s="89"/>
      <c r="G2032" s="89"/>
    </row>
    <row r="2033">
      <c r="A2033" s="93"/>
      <c r="B2033" s="87" t="s">
        <v>779</v>
      </c>
      <c r="C2033" s="88"/>
      <c r="D2033" s="92"/>
      <c r="E2033" s="89"/>
      <c r="F2033" s="89"/>
      <c r="G2033" s="89"/>
    </row>
    <row r="2034">
      <c r="A2034" s="93"/>
      <c r="B2034" s="87" t="s">
        <v>779</v>
      </c>
      <c r="C2034" s="88"/>
      <c r="D2034" s="92"/>
      <c r="E2034" s="89"/>
      <c r="F2034" s="89"/>
      <c r="G2034" s="89"/>
    </row>
    <row r="2035">
      <c r="A2035" s="93"/>
      <c r="B2035" s="87" t="s">
        <v>779</v>
      </c>
      <c r="C2035" s="88"/>
      <c r="D2035" s="92"/>
      <c r="E2035" s="89"/>
      <c r="F2035" s="89"/>
      <c r="G2035" s="89"/>
    </row>
    <row r="2036">
      <c r="A2036" s="93"/>
      <c r="B2036" s="87" t="s">
        <v>779</v>
      </c>
      <c r="C2036" s="88"/>
      <c r="D2036" s="92"/>
      <c r="E2036" s="89"/>
      <c r="F2036" s="89"/>
      <c r="G2036" s="89"/>
    </row>
    <row r="2037">
      <c r="A2037" s="93"/>
      <c r="B2037" s="87" t="s">
        <v>779</v>
      </c>
      <c r="C2037" s="88"/>
      <c r="D2037" s="92"/>
      <c r="E2037" s="89"/>
      <c r="F2037" s="89"/>
      <c r="G2037" s="89"/>
    </row>
    <row r="2038">
      <c r="A2038" s="93"/>
      <c r="B2038" s="87" t="s">
        <v>779</v>
      </c>
      <c r="C2038" s="88"/>
      <c r="D2038" s="92"/>
      <c r="E2038" s="89"/>
      <c r="F2038" s="89"/>
      <c r="G2038" s="89"/>
    </row>
    <row r="2039">
      <c r="A2039" s="93"/>
      <c r="B2039" s="87" t="s">
        <v>779</v>
      </c>
      <c r="C2039" s="88"/>
      <c r="D2039" s="92"/>
      <c r="E2039" s="89"/>
      <c r="F2039" s="89"/>
      <c r="G2039" s="89"/>
    </row>
    <row r="2040">
      <c r="A2040" s="93"/>
      <c r="B2040" s="87" t="s">
        <v>779</v>
      </c>
      <c r="C2040" s="88"/>
      <c r="D2040" s="92"/>
      <c r="E2040" s="89"/>
      <c r="F2040" s="89"/>
      <c r="G2040" s="89"/>
    </row>
    <row r="2041">
      <c r="A2041" s="93"/>
      <c r="B2041" s="87" t="s">
        <v>779</v>
      </c>
      <c r="C2041" s="88"/>
      <c r="D2041" s="92"/>
      <c r="E2041" s="89"/>
      <c r="F2041" s="89"/>
      <c r="G2041" s="89"/>
    </row>
    <row r="2042">
      <c r="A2042" s="93"/>
      <c r="B2042" s="87" t="s">
        <v>779</v>
      </c>
      <c r="C2042" s="88"/>
      <c r="D2042" s="92"/>
      <c r="E2042" s="89"/>
      <c r="F2042" s="89"/>
      <c r="G2042" s="89"/>
    </row>
    <row r="2043">
      <c r="A2043" s="93"/>
      <c r="B2043" s="87" t="s">
        <v>779</v>
      </c>
      <c r="C2043" s="88"/>
      <c r="D2043" s="92"/>
      <c r="E2043" s="89"/>
      <c r="F2043" s="89"/>
      <c r="G2043" s="89"/>
    </row>
    <row r="2044">
      <c r="A2044" s="93"/>
      <c r="B2044" s="87" t="s">
        <v>779</v>
      </c>
      <c r="C2044" s="88"/>
      <c r="D2044" s="92"/>
      <c r="E2044" s="89"/>
      <c r="F2044" s="89"/>
      <c r="G2044" s="89"/>
    </row>
    <row r="2045">
      <c r="A2045" s="93"/>
      <c r="B2045" s="87" t="s">
        <v>779</v>
      </c>
      <c r="C2045" s="88"/>
      <c r="D2045" s="92"/>
      <c r="E2045" s="89"/>
      <c r="F2045" s="89"/>
      <c r="G2045" s="89"/>
    </row>
    <row r="2046">
      <c r="A2046" s="93"/>
      <c r="B2046" s="87" t="s">
        <v>779</v>
      </c>
      <c r="C2046" s="88"/>
      <c r="D2046" s="92"/>
      <c r="E2046" s="89"/>
      <c r="F2046" s="89"/>
      <c r="G2046" s="89"/>
    </row>
    <row r="2047">
      <c r="A2047" s="93"/>
      <c r="B2047" s="87" t="s">
        <v>779</v>
      </c>
      <c r="C2047" s="88"/>
      <c r="D2047" s="92"/>
      <c r="E2047" s="89"/>
      <c r="F2047" s="89"/>
      <c r="G2047" s="89"/>
    </row>
    <row r="2048">
      <c r="A2048" s="93"/>
      <c r="B2048" s="87" t="s">
        <v>779</v>
      </c>
      <c r="C2048" s="88"/>
      <c r="D2048" s="92"/>
      <c r="E2048" s="89"/>
      <c r="F2048" s="89"/>
      <c r="G2048" s="89"/>
    </row>
    <row r="2049">
      <c r="A2049" s="93"/>
      <c r="B2049" s="87" t="s">
        <v>779</v>
      </c>
      <c r="C2049" s="88"/>
      <c r="D2049" s="92"/>
      <c r="E2049" s="89"/>
      <c r="F2049" s="89"/>
      <c r="G2049" s="89"/>
    </row>
    <row r="2050">
      <c r="A2050" s="93"/>
      <c r="B2050" s="87" t="s">
        <v>779</v>
      </c>
      <c r="C2050" s="88"/>
      <c r="D2050" s="92"/>
      <c r="E2050" s="89"/>
      <c r="F2050" s="89"/>
      <c r="G2050" s="89"/>
    </row>
    <row r="2051">
      <c r="A2051" s="93"/>
      <c r="B2051" s="87" t="s">
        <v>779</v>
      </c>
      <c r="C2051" s="88"/>
      <c r="D2051" s="92"/>
      <c r="E2051" s="89"/>
      <c r="F2051" s="89"/>
      <c r="G2051" s="89"/>
    </row>
    <row r="2052">
      <c r="A2052" s="93"/>
      <c r="B2052" s="87" t="s">
        <v>779</v>
      </c>
      <c r="C2052" s="88"/>
      <c r="D2052" s="92"/>
      <c r="E2052" s="89"/>
      <c r="F2052" s="89"/>
      <c r="G2052" s="89"/>
    </row>
    <row r="2053">
      <c r="A2053" s="93"/>
      <c r="B2053" s="87" t="s">
        <v>779</v>
      </c>
      <c r="C2053" s="88"/>
      <c r="D2053" s="92"/>
      <c r="E2053" s="89"/>
      <c r="F2053" s="89"/>
      <c r="G2053" s="89"/>
    </row>
    <row r="2054">
      <c r="A2054" s="93"/>
      <c r="B2054" s="87" t="s">
        <v>779</v>
      </c>
      <c r="C2054" s="88"/>
      <c r="D2054" s="92"/>
      <c r="E2054" s="89"/>
      <c r="F2054" s="89"/>
      <c r="G2054" s="89"/>
    </row>
    <row r="2055">
      <c r="A2055" s="93"/>
      <c r="B2055" s="87" t="s">
        <v>779</v>
      </c>
      <c r="C2055" s="88"/>
      <c r="D2055" s="92"/>
      <c r="E2055" s="89"/>
      <c r="F2055" s="89"/>
      <c r="G2055" s="89"/>
    </row>
    <row r="2056">
      <c r="A2056" s="93"/>
      <c r="B2056" s="87" t="s">
        <v>779</v>
      </c>
      <c r="C2056" s="88"/>
      <c r="D2056" s="92"/>
      <c r="E2056" s="89"/>
      <c r="F2056" s="89"/>
      <c r="G2056" s="89"/>
    </row>
    <row r="2057">
      <c r="A2057" s="93"/>
      <c r="B2057" s="87" t="s">
        <v>779</v>
      </c>
      <c r="C2057" s="88"/>
      <c r="D2057" s="92"/>
      <c r="E2057" s="89"/>
      <c r="F2057" s="89"/>
      <c r="G2057" s="89"/>
    </row>
    <row r="2058">
      <c r="A2058" s="93"/>
      <c r="B2058" s="87" t="s">
        <v>779</v>
      </c>
      <c r="C2058" s="88"/>
      <c r="D2058" s="92"/>
      <c r="E2058" s="89"/>
      <c r="F2058" s="89"/>
      <c r="G2058" s="89"/>
    </row>
    <row r="2059">
      <c r="A2059" s="93"/>
      <c r="B2059" s="87" t="s">
        <v>779</v>
      </c>
      <c r="C2059" s="88"/>
      <c r="D2059" s="92"/>
      <c r="E2059" s="89"/>
      <c r="F2059" s="89"/>
      <c r="G2059" s="89"/>
    </row>
    <row r="2060">
      <c r="A2060" s="93"/>
      <c r="B2060" s="87" t="s">
        <v>779</v>
      </c>
      <c r="C2060" s="88"/>
      <c r="D2060" s="92"/>
      <c r="E2060" s="89"/>
      <c r="F2060" s="89"/>
      <c r="G2060" s="89"/>
    </row>
    <row r="2061">
      <c r="A2061" s="93"/>
      <c r="B2061" s="87" t="s">
        <v>779</v>
      </c>
      <c r="C2061" s="88"/>
      <c r="D2061" s="92"/>
      <c r="E2061" s="89"/>
      <c r="F2061" s="89"/>
      <c r="G2061" s="89"/>
    </row>
    <row r="2062">
      <c r="A2062" s="93"/>
      <c r="B2062" s="87" t="s">
        <v>779</v>
      </c>
      <c r="C2062" s="88"/>
      <c r="D2062" s="92"/>
      <c r="E2062" s="89"/>
      <c r="F2062" s="89"/>
      <c r="G2062" s="89"/>
    </row>
    <row r="2063">
      <c r="A2063" s="93"/>
      <c r="B2063" s="87" t="s">
        <v>779</v>
      </c>
      <c r="C2063" s="88"/>
      <c r="D2063" s="92"/>
      <c r="E2063" s="89"/>
      <c r="F2063" s="89"/>
      <c r="G2063" s="89"/>
    </row>
    <row r="2064">
      <c r="A2064" s="93"/>
      <c r="B2064" s="87" t="s">
        <v>779</v>
      </c>
      <c r="C2064" s="88"/>
      <c r="D2064" s="92"/>
      <c r="E2064" s="89"/>
      <c r="F2064" s="89"/>
      <c r="G2064" s="89"/>
    </row>
    <row r="2065">
      <c r="A2065" s="93"/>
      <c r="B2065" s="87" t="s">
        <v>779</v>
      </c>
      <c r="C2065" s="88"/>
      <c r="D2065" s="92"/>
      <c r="E2065" s="89"/>
      <c r="F2065" s="89"/>
      <c r="G2065" s="89"/>
    </row>
    <row r="2066">
      <c r="A2066" s="93"/>
      <c r="B2066" s="87" t="s">
        <v>779</v>
      </c>
      <c r="C2066" s="88"/>
      <c r="D2066" s="92"/>
      <c r="E2066" s="89"/>
      <c r="F2066" s="89"/>
      <c r="G2066" s="89"/>
    </row>
    <row r="2067">
      <c r="A2067" s="93"/>
      <c r="B2067" s="87" t="s">
        <v>779</v>
      </c>
      <c r="C2067" s="88"/>
      <c r="D2067" s="92"/>
      <c r="E2067" s="89"/>
      <c r="F2067" s="89"/>
      <c r="G2067" s="89"/>
    </row>
    <row r="2068">
      <c r="A2068" s="93"/>
      <c r="B2068" s="87" t="s">
        <v>779</v>
      </c>
      <c r="C2068" s="88"/>
      <c r="D2068" s="92"/>
      <c r="E2068" s="89"/>
      <c r="F2068" s="89"/>
      <c r="G2068" s="89"/>
    </row>
    <row r="2069">
      <c r="A2069" s="93"/>
      <c r="B2069" s="87" t="s">
        <v>779</v>
      </c>
      <c r="C2069" s="88"/>
      <c r="D2069" s="92"/>
      <c r="E2069" s="89"/>
      <c r="F2069" s="89"/>
      <c r="G2069" s="89"/>
    </row>
    <row r="2070">
      <c r="A2070" s="93"/>
      <c r="B2070" s="87" t="s">
        <v>779</v>
      </c>
      <c r="C2070" s="88"/>
      <c r="D2070" s="92"/>
      <c r="E2070" s="89"/>
      <c r="F2070" s="89"/>
      <c r="G2070" s="89"/>
    </row>
    <row r="2071">
      <c r="A2071" s="93"/>
      <c r="B2071" s="87" t="s">
        <v>779</v>
      </c>
      <c r="C2071" s="88"/>
      <c r="D2071" s="92"/>
      <c r="E2071" s="89"/>
      <c r="F2071" s="89"/>
      <c r="G2071" s="89"/>
    </row>
    <row r="2072">
      <c r="A2072" s="93"/>
      <c r="B2072" s="87" t="s">
        <v>779</v>
      </c>
      <c r="C2072" s="88"/>
      <c r="D2072" s="92"/>
      <c r="E2072" s="89"/>
      <c r="F2072" s="89"/>
      <c r="G2072" s="89"/>
    </row>
    <row r="2073">
      <c r="A2073" s="93"/>
      <c r="B2073" s="87" t="s">
        <v>779</v>
      </c>
      <c r="C2073" s="88"/>
      <c r="D2073" s="92"/>
      <c r="E2073" s="89"/>
      <c r="F2073" s="89"/>
      <c r="G2073" s="89"/>
    </row>
    <row r="2074">
      <c r="A2074" s="93"/>
      <c r="B2074" s="87" t="s">
        <v>779</v>
      </c>
      <c r="C2074" s="88"/>
      <c r="D2074" s="92"/>
      <c r="E2074" s="89"/>
      <c r="F2074" s="89"/>
      <c r="G2074" s="89"/>
    </row>
    <row r="2075">
      <c r="A2075" s="93"/>
      <c r="B2075" s="87" t="s">
        <v>779</v>
      </c>
      <c r="C2075" s="88"/>
      <c r="D2075" s="92"/>
      <c r="E2075" s="89"/>
      <c r="F2075" s="89"/>
      <c r="G2075" s="89"/>
    </row>
    <row r="2076">
      <c r="A2076" s="93"/>
      <c r="B2076" s="87" t="s">
        <v>779</v>
      </c>
      <c r="C2076" s="88"/>
      <c r="D2076" s="92"/>
      <c r="E2076" s="89"/>
      <c r="F2076" s="89"/>
      <c r="G2076" s="89"/>
    </row>
    <row r="2077">
      <c r="A2077" s="93"/>
      <c r="B2077" s="87" t="s">
        <v>779</v>
      </c>
      <c r="C2077" s="88"/>
      <c r="D2077" s="92"/>
      <c r="E2077" s="89"/>
      <c r="F2077" s="89"/>
      <c r="G2077" s="89"/>
    </row>
    <row r="2078">
      <c r="A2078" s="93"/>
      <c r="B2078" s="87" t="s">
        <v>779</v>
      </c>
      <c r="C2078" s="88"/>
      <c r="D2078" s="92"/>
      <c r="E2078" s="89"/>
      <c r="F2078" s="89"/>
      <c r="G2078" s="89"/>
    </row>
    <row r="2079">
      <c r="A2079" s="93"/>
      <c r="B2079" s="87" t="s">
        <v>779</v>
      </c>
      <c r="C2079" s="88"/>
      <c r="D2079" s="92"/>
      <c r="E2079" s="89"/>
      <c r="F2079" s="89"/>
      <c r="G2079" s="89"/>
    </row>
    <row r="2080">
      <c r="A2080" s="93"/>
      <c r="B2080" s="87" t="s">
        <v>779</v>
      </c>
      <c r="C2080" s="88"/>
      <c r="D2080" s="92"/>
      <c r="E2080" s="89"/>
      <c r="F2080" s="89"/>
      <c r="G2080" s="89"/>
    </row>
    <row r="2081">
      <c r="A2081" s="93"/>
      <c r="B2081" s="87" t="s">
        <v>779</v>
      </c>
      <c r="C2081" s="88"/>
      <c r="D2081" s="92"/>
      <c r="E2081" s="89"/>
      <c r="F2081" s="89"/>
      <c r="G2081" s="89"/>
    </row>
    <row r="2082">
      <c r="A2082" s="93"/>
      <c r="B2082" s="87" t="s">
        <v>779</v>
      </c>
      <c r="C2082" s="88"/>
      <c r="D2082" s="92"/>
      <c r="E2082" s="89"/>
      <c r="F2082" s="89"/>
      <c r="G2082" s="89"/>
    </row>
    <row r="2083">
      <c r="A2083" s="93"/>
      <c r="B2083" s="87" t="s">
        <v>779</v>
      </c>
      <c r="C2083" s="88"/>
      <c r="D2083" s="92"/>
      <c r="E2083" s="89"/>
      <c r="F2083" s="89"/>
      <c r="G2083" s="89"/>
    </row>
    <row r="2084">
      <c r="A2084" s="93"/>
      <c r="B2084" s="87" t="s">
        <v>779</v>
      </c>
      <c r="C2084" s="88"/>
      <c r="D2084" s="92"/>
      <c r="E2084" s="89"/>
      <c r="F2084" s="89"/>
      <c r="G2084" s="89"/>
    </row>
    <row r="2085">
      <c r="A2085" s="93"/>
      <c r="B2085" s="87" t="s">
        <v>779</v>
      </c>
      <c r="C2085" s="88"/>
      <c r="D2085" s="92"/>
      <c r="E2085" s="89"/>
      <c r="F2085" s="89"/>
      <c r="G2085" s="89"/>
    </row>
    <row r="2086">
      <c r="A2086" s="93"/>
      <c r="B2086" s="87" t="s">
        <v>779</v>
      </c>
      <c r="C2086" s="88"/>
      <c r="D2086" s="92"/>
      <c r="E2086" s="89"/>
      <c r="F2086" s="89"/>
      <c r="G2086" s="89"/>
    </row>
    <row r="2087">
      <c r="A2087" s="93"/>
      <c r="B2087" s="87" t="s">
        <v>779</v>
      </c>
      <c r="C2087" s="88"/>
      <c r="D2087" s="92"/>
      <c r="E2087" s="89"/>
      <c r="F2087" s="89"/>
      <c r="G2087" s="89"/>
    </row>
    <row r="2088">
      <c r="A2088" s="93"/>
      <c r="B2088" s="87" t="s">
        <v>779</v>
      </c>
      <c r="C2088" s="88"/>
      <c r="D2088" s="92"/>
      <c r="E2088" s="89"/>
      <c r="F2088" s="89"/>
      <c r="G2088" s="89"/>
    </row>
    <row r="2089">
      <c r="A2089" s="93"/>
      <c r="B2089" s="87" t="s">
        <v>779</v>
      </c>
      <c r="C2089" s="88"/>
      <c r="D2089" s="92"/>
      <c r="E2089" s="89"/>
      <c r="F2089" s="89"/>
      <c r="G2089" s="89"/>
    </row>
    <row r="2090">
      <c r="A2090" s="93"/>
      <c r="B2090" s="87" t="s">
        <v>779</v>
      </c>
      <c r="C2090" s="88"/>
      <c r="D2090" s="92"/>
      <c r="E2090" s="89"/>
      <c r="F2090" s="89"/>
      <c r="G2090" s="89"/>
    </row>
    <row r="2091">
      <c r="A2091" s="93"/>
      <c r="B2091" s="87" t="s">
        <v>779</v>
      </c>
      <c r="C2091" s="88"/>
      <c r="D2091" s="92"/>
      <c r="E2091" s="89"/>
      <c r="F2091" s="89"/>
      <c r="G2091" s="89"/>
    </row>
    <row r="2092">
      <c r="A2092" s="93"/>
      <c r="B2092" s="87" t="s">
        <v>779</v>
      </c>
      <c r="C2092" s="88"/>
      <c r="D2092" s="92"/>
      <c r="E2092" s="89"/>
      <c r="F2092" s="89"/>
      <c r="G2092" s="89"/>
    </row>
    <row r="2093">
      <c r="A2093" s="93"/>
      <c r="B2093" s="87" t="s">
        <v>779</v>
      </c>
      <c r="C2093" s="88"/>
      <c r="D2093" s="92"/>
      <c r="E2093" s="89"/>
      <c r="F2093" s="89"/>
      <c r="G2093" s="89"/>
    </row>
    <row r="2094">
      <c r="A2094" s="93"/>
      <c r="B2094" s="87" t="s">
        <v>779</v>
      </c>
      <c r="C2094" s="88"/>
      <c r="D2094" s="92"/>
      <c r="E2094" s="89"/>
      <c r="F2094" s="89"/>
      <c r="G2094" s="89"/>
    </row>
    <row r="2095">
      <c r="A2095" s="93"/>
      <c r="B2095" s="87" t="s">
        <v>779</v>
      </c>
      <c r="C2095" s="88"/>
      <c r="D2095" s="92"/>
      <c r="E2095" s="89"/>
      <c r="F2095" s="89"/>
      <c r="G2095" s="89"/>
    </row>
    <row r="2096">
      <c r="A2096" s="93"/>
      <c r="B2096" s="87" t="s">
        <v>779</v>
      </c>
      <c r="C2096" s="88"/>
      <c r="D2096" s="92"/>
      <c r="E2096" s="89"/>
      <c r="F2096" s="89"/>
      <c r="G2096" s="89"/>
    </row>
    <row r="2097">
      <c r="A2097" s="93"/>
      <c r="B2097" s="87" t="s">
        <v>779</v>
      </c>
      <c r="C2097" s="88"/>
      <c r="D2097" s="92"/>
      <c r="E2097" s="89"/>
      <c r="F2097" s="89"/>
      <c r="G2097" s="89"/>
    </row>
    <row r="2098">
      <c r="A2098" s="93"/>
      <c r="B2098" s="87" t="s">
        <v>779</v>
      </c>
      <c r="C2098" s="88"/>
      <c r="D2098" s="92"/>
      <c r="E2098" s="89"/>
      <c r="F2098" s="89"/>
      <c r="G2098" s="89"/>
    </row>
    <row r="2099">
      <c r="A2099" s="93"/>
      <c r="B2099" s="87" t="s">
        <v>779</v>
      </c>
      <c r="C2099" s="88"/>
      <c r="D2099" s="92"/>
      <c r="E2099" s="89"/>
      <c r="F2099" s="89"/>
      <c r="G2099" s="89"/>
    </row>
    <row r="2100">
      <c r="A2100" s="93"/>
      <c r="B2100" s="87" t="s">
        <v>779</v>
      </c>
      <c r="C2100" s="88"/>
      <c r="D2100" s="92"/>
      <c r="E2100" s="89"/>
      <c r="F2100" s="89"/>
      <c r="G2100" s="89"/>
    </row>
    <row r="2101">
      <c r="A2101" s="93"/>
      <c r="B2101" s="87" t="s">
        <v>779</v>
      </c>
      <c r="C2101" s="88"/>
      <c r="D2101" s="92"/>
      <c r="E2101" s="89"/>
      <c r="F2101" s="89"/>
      <c r="G2101" s="89"/>
    </row>
    <row r="2102">
      <c r="A2102" s="93"/>
      <c r="B2102" s="87" t="s">
        <v>779</v>
      </c>
      <c r="C2102" s="88"/>
      <c r="D2102" s="92"/>
      <c r="E2102" s="89"/>
      <c r="F2102" s="89"/>
      <c r="G2102" s="89"/>
    </row>
    <row r="2103">
      <c r="A2103" s="93"/>
      <c r="B2103" s="87" t="s">
        <v>779</v>
      </c>
      <c r="C2103" s="88"/>
      <c r="D2103" s="92"/>
      <c r="E2103" s="89"/>
      <c r="F2103" s="89"/>
      <c r="G2103" s="89"/>
    </row>
    <row r="2104">
      <c r="A2104" s="93"/>
      <c r="B2104" s="87" t="s">
        <v>779</v>
      </c>
      <c r="C2104" s="88"/>
      <c r="D2104" s="92"/>
      <c r="E2104" s="89"/>
      <c r="F2104" s="89"/>
      <c r="G2104" s="89"/>
    </row>
    <row r="2105">
      <c r="A2105" s="93"/>
      <c r="B2105" s="87" t="s">
        <v>779</v>
      </c>
      <c r="C2105" s="88"/>
      <c r="D2105" s="92"/>
      <c r="E2105" s="89"/>
      <c r="F2105" s="89"/>
      <c r="G2105" s="89"/>
    </row>
    <row r="2106">
      <c r="A2106" s="93"/>
      <c r="B2106" s="87" t="s">
        <v>779</v>
      </c>
      <c r="C2106" s="88"/>
      <c r="D2106" s="92"/>
      <c r="E2106" s="89"/>
      <c r="F2106" s="89"/>
      <c r="G2106" s="89"/>
    </row>
    <row r="2107">
      <c r="A2107" s="93"/>
      <c r="B2107" s="87" t="s">
        <v>779</v>
      </c>
      <c r="C2107" s="88"/>
      <c r="D2107" s="92"/>
      <c r="E2107" s="89"/>
      <c r="F2107" s="89"/>
      <c r="G2107" s="89"/>
    </row>
    <row r="2108">
      <c r="A2108" s="93"/>
      <c r="B2108" s="87" t="s">
        <v>779</v>
      </c>
      <c r="C2108" s="88"/>
      <c r="D2108" s="92"/>
      <c r="E2108" s="89"/>
      <c r="F2108" s="89"/>
      <c r="G2108" s="89"/>
    </row>
    <row r="2109">
      <c r="A2109" s="93"/>
      <c r="B2109" s="87" t="s">
        <v>779</v>
      </c>
      <c r="C2109" s="88"/>
      <c r="D2109" s="92"/>
      <c r="E2109" s="89"/>
      <c r="F2109" s="89"/>
      <c r="G2109" s="89"/>
    </row>
    <row r="2110">
      <c r="A2110" s="93"/>
      <c r="B2110" s="87" t="s">
        <v>779</v>
      </c>
      <c r="C2110" s="88"/>
      <c r="D2110" s="92"/>
      <c r="E2110" s="89"/>
      <c r="F2110" s="89"/>
      <c r="G2110" s="89"/>
    </row>
    <row r="2111">
      <c r="A2111" s="93"/>
      <c r="B2111" s="87" t="s">
        <v>779</v>
      </c>
      <c r="C2111" s="88"/>
      <c r="D2111" s="92"/>
      <c r="E2111" s="89"/>
      <c r="F2111" s="89"/>
      <c r="G2111" s="89"/>
    </row>
    <row r="2112">
      <c r="A2112" s="93"/>
      <c r="B2112" s="87" t="s">
        <v>779</v>
      </c>
      <c r="C2112" s="88"/>
      <c r="D2112" s="92"/>
      <c r="E2112" s="89"/>
      <c r="F2112" s="89"/>
      <c r="G2112" s="89"/>
    </row>
    <row r="2113">
      <c r="A2113" s="93"/>
      <c r="B2113" s="87" t="s">
        <v>779</v>
      </c>
      <c r="C2113" s="88"/>
      <c r="D2113" s="92"/>
      <c r="E2113" s="89"/>
      <c r="F2113" s="89"/>
      <c r="G2113" s="89"/>
    </row>
    <row r="2114">
      <c r="A2114" s="93"/>
      <c r="B2114" s="87" t="s">
        <v>779</v>
      </c>
      <c r="C2114" s="88"/>
      <c r="D2114" s="92"/>
      <c r="E2114" s="89"/>
      <c r="F2114" s="89"/>
      <c r="G2114" s="89"/>
    </row>
    <row r="2115">
      <c r="A2115" s="93"/>
      <c r="B2115" s="87" t="s">
        <v>779</v>
      </c>
      <c r="C2115" s="88"/>
      <c r="D2115" s="92"/>
      <c r="E2115" s="89"/>
      <c r="F2115" s="89"/>
      <c r="G2115" s="89"/>
    </row>
    <row r="2116">
      <c r="A2116" s="93"/>
      <c r="B2116" s="87" t="s">
        <v>779</v>
      </c>
      <c r="C2116" s="88"/>
      <c r="D2116" s="92"/>
      <c r="E2116" s="89"/>
      <c r="F2116" s="89"/>
      <c r="G2116" s="89"/>
    </row>
    <row r="2117">
      <c r="A2117" s="93"/>
      <c r="B2117" s="87" t="s">
        <v>779</v>
      </c>
      <c r="C2117" s="88"/>
      <c r="D2117" s="92"/>
      <c r="E2117" s="89"/>
      <c r="F2117" s="89"/>
      <c r="G2117" s="89"/>
    </row>
    <row r="2118">
      <c r="A2118" s="93"/>
      <c r="B2118" s="87" t="s">
        <v>779</v>
      </c>
      <c r="C2118" s="88"/>
      <c r="D2118" s="92"/>
      <c r="E2118" s="89"/>
      <c r="F2118" s="89"/>
      <c r="G2118" s="89"/>
    </row>
    <row r="2119">
      <c r="A2119" s="93"/>
      <c r="B2119" s="87" t="s">
        <v>779</v>
      </c>
      <c r="C2119" s="88"/>
      <c r="D2119" s="92"/>
      <c r="E2119" s="89"/>
      <c r="F2119" s="89"/>
      <c r="G2119" s="89"/>
    </row>
    <row r="2120">
      <c r="A2120" s="93"/>
      <c r="B2120" s="87" t="s">
        <v>779</v>
      </c>
      <c r="C2120" s="88"/>
      <c r="D2120" s="92"/>
      <c r="E2120" s="89"/>
      <c r="F2120" s="89"/>
      <c r="G2120" s="89"/>
    </row>
    <row r="2121">
      <c r="A2121" s="93"/>
      <c r="B2121" s="87" t="s">
        <v>779</v>
      </c>
      <c r="C2121" s="88"/>
      <c r="D2121" s="92"/>
      <c r="E2121" s="89"/>
      <c r="F2121" s="89"/>
      <c r="G2121" s="89"/>
    </row>
    <row r="2122">
      <c r="A2122" s="93"/>
      <c r="B2122" s="87" t="s">
        <v>779</v>
      </c>
      <c r="C2122" s="88"/>
      <c r="D2122" s="92"/>
      <c r="E2122" s="89"/>
      <c r="F2122" s="89"/>
      <c r="G2122" s="89"/>
    </row>
    <row r="2123">
      <c r="A2123" s="93"/>
      <c r="B2123" s="87" t="s">
        <v>779</v>
      </c>
      <c r="C2123" s="88"/>
      <c r="D2123" s="92"/>
      <c r="E2123" s="89"/>
      <c r="F2123" s="89"/>
      <c r="G2123" s="89"/>
    </row>
    <row r="2124">
      <c r="A2124" s="93"/>
      <c r="B2124" s="87" t="s">
        <v>779</v>
      </c>
      <c r="C2124" s="88"/>
      <c r="D2124" s="92"/>
      <c r="E2124" s="89"/>
      <c r="F2124" s="89"/>
      <c r="G2124" s="89"/>
    </row>
    <row r="2125">
      <c r="A2125" s="93"/>
      <c r="B2125" s="87" t="s">
        <v>779</v>
      </c>
      <c r="C2125" s="88"/>
      <c r="D2125" s="92"/>
      <c r="E2125" s="89"/>
      <c r="F2125" s="89"/>
      <c r="G2125" s="89"/>
    </row>
    <row r="2126">
      <c r="A2126" s="93"/>
      <c r="B2126" s="87" t="s">
        <v>779</v>
      </c>
      <c r="C2126" s="88"/>
      <c r="D2126" s="92"/>
      <c r="E2126" s="89"/>
      <c r="F2126" s="89"/>
      <c r="G2126" s="89"/>
    </row>
    <row r="2127">
      <c r="A2127" s="93"/>
      <c r="B2127" s="87" t="s">
        <v>779</v>
      </c>
      <c r="C2127" s="88"/>
      <c r="D2127" s="92"/>
      <c r="E2127" s="89"/>
      <c r="F2127" s="89"/>
      <c r="G2127" s="89"/>
    </row>
    <row r="2128">
      <c r="A2128" s="93"/>
      <c r="B2128" s="87" t="s">
        <v>779</v>
      </c>
      <c r="C2128" s="88"/>
      <c r="D2128" s="92"/>
      <c r="E2128" s="89"/>
      <c r="F2128" s="89"/>
      <c r="G2128" s="89"/>
    </row>
    <row r="2129">
      <c r="A2129" s="93"/>
      <c r="B2129" s="87" t="s">
        <v>779</v>
      </c>
      <c r="C2129" s="88"/>
      <c r="D2129" s="92"/>
      <c r="E2129" s="89"/>
      <c r="F2129" s="89"/>
      <c r="G2129" s="89"/>
    </row>
    <row r="2130">
      <c r="A2130" s="93"/>
      <c r="B2130" s="87" t="s">
        <v>779</v>
      </c>
      <c r="C2130" s="88"/>
      <c r="D2130" s="92"/>
      <c r="E2130" s="89"/>
      <c r="F2130" s="89"/>
      <c r="G2130" s="89"/>
    </row>
    <row r="2131">
      <c r="A2131" s="93"/>
      <c r="B2131" s="87" t="s">
        <v>779</v>
      </c>
      <c r="C2131" s="88"/>
      <c r="D2131" s="92"/>
      <c r="E2131" s="89"/>
      <c r="F2131" s="89"/>
      <c r="G2131" s="89"/>
    </row>
    <row r="2132">
      <c r="A2132" s="93"/>
      <c r="B2132" s="87" t="s">
        <v>779</v>
      </c>
      <c r="C2132" s="88"/>
      <c r="D2132" s="92"/>
      <c r="E2132" s="89"/>
      <c r="F2132" s="89"/>
      <c r="G2132" s="89"/>
    </row>
    <row r="2133">
      <c r="A2133" s="93"/>
      <c r="B2133" s="87" t="s">
        <v>779</v>
      </c>
      <c r="C2133" s="88"/>
      <c r="D2133" s="92"/>
      <c r="E2133" s="89"/>
      <c r="F2133" s="89"/>
      <c r="G2133" s="89"/>
    </row>
    <row r="2134">
      <c r="A2134" s="93"/>
      <c r="B2134" s="87" t="s">
        <v>779</v>
      </c>
      <c r="C2134" s="88"/>
      <c r="D2134" s="92"/>
      <c r="E2134" s="89"/>
      <c r="F2134" s="89"/>
      <c r="G2134" s="89"/>
    </row>
    <row r="2135">
      <c r="A2135" s="93"/>
      <c r="B2135" s="87" t="s">
        <v>779</v>
      </c>
      <c r="C2135" s="88"/>
      <c r="D2135" s="92"/>
      <c r="E2135" s="89"/>
      <c r="F2135" s="89"/>
      <c r="G2135" s="89"/>
    </row>
    <row r="2136">
      <c r="A2136" s="93"/>
      <c r="B2136" s="87" t="s">
        <v>779</v>
      </c>
      <c r="C2136" s="88"/>
      <c r="D2136" s="92"/>
      <c r="E2136" s="89"/>
      <c r="F2136" s="89"/>
      <c r="G2136" s="89"/>
    </row>
    <row r="2137">
      <c r="A2137" s="93"/>
      <c r="B2137" s="87" t="s">
        <v>779</v>
      </c>
      <c r="C2137" s="88"/>
      <c r="D2137" s="92"/>
      <c r="E2137" s="89"/>
      <c r="F2137" s="89"/>
      <c r="G2137" s="89"/>
    </row>
    <row r="2138">
      <c r="A2138" s="93"/>
      <c r="B2138" s="87" t="s">
        <v>779</v>
      </c>
      <c r="C2138" s="88"/>
      <c r="D2138" s="92"/>
      <c r="E2138" s="89"/>
      <c r="F2138" s="89"/>
      <c r="G2138" s="89"/>
    </row>
    <row r="2139">
      <c r="A2139" s="93"/>
      <c r="B2139" s="87" t="s">
        <v>779</v>
      </c>
      <c r="C2139" s="88"/>
      <c r="D2139" s="92"/>
      <c r="E2139" s="89"/>
      <c r="F2139" s="89"/>
      <c r="G2139" s="89"/>
    </row>
    <row r="2140">
      <c r="A2140" s="93"/>
      <c r="B2140" s="87" t="s">
        <v>779</v>
      </c>
      <c r="C2140" s="88"/>
      <c r="D2140" s="92"/>
      <c r="E2140" s="89"/>
      <c r="F2140" s="89"/>
      <c r="G2140" s="89"/>
    </row>
    <row r="2141">
      <c r="A2141" s="93"/>
      <c r="B2141" s="87" t="s">
        <v>779</v>
      </c>
      <c r="C2141" s="88"/>
      <c r="D2141" s="92"/>
      <c r="E2141" s="89"/>
      <c r="F2141" s="89"/>
      <c r="G2141" s="89"/>
    </row>
    <row r="2142">
      <c r="A2142" s="93"/>
      <c r="B2142" s="87" t="s">
        <v>779</v>
      </c>
      <c r="C2142" s="88"/>
      <c r="D2142" s="92"/>
      <c r="E2142" s="89"/>
      <c r="F2142" s="89"/>
      <c r="G2142" s="89"/>
    </row>
    <row r="2143">
      <c r="A2143" s="93"/>
      <c r="B2143" s="87" t="s">
        <v>779</v>
      </c>
      <c r="C2143" s="88"/>
      <c r="D2143" s="92"/>
      <c r="E2143" s="89"/>
      <c r="F2143" s="89"/>
      <c r="G2143" s="89"/>
    </row>
    <row r="2144">
      <c r="A2144" s="93"/>
      <c r="B2144" s="87" t="s">
        <v>779</v>
      </c>
      <c r="C2144" s="88"/>
      <c r="D2144" s="92"/>
      <c r="E2144" s="89"/>
      <c r="F2144" s="89"/>
      <c r="G2144" s="89"/>
    </row>
    <row r="2145">
      <c r="A2145" s="93"/>
      <c r="B2145" s="87" t="s">
        <v>779</v>
      </c>
      <c r="C2145" s="88"/>
      <c r="D2145" s="92"/>
      <c r="E2145" s="89"/>
      <c r="F2145" s="89"/>
      <c r="G2145" s="89"/>
    </row>
    <row r="2146">
      <c r="A2146" s="93"/>
      <c r="B2146" s="87" t="s">
        <v>779</v>
      </c>
      <c r="C2146" s="88"/>
      <c r="D2146" s="92"/>
      <c r="E2146" s="89"/>
      <c r="F2146" s="89"/>
      <c r="G2146" s="89"/>
    </row>
    <row r="2147">
      <c r="A2147" s="93"/>
      <c r="B2147" s="87" t="s">
        <v>779</v>
      </c>
      <c r="C2147" s="88"/>
      <c r="D2147" s="92"/>
      <c r="E2147" s="89"/>
      <c r="F2147" s="89"/>
      <c r="G2147" s="89"/>
    </row>
    <row r="2148">
      <c r="A2148" s="93"/>
      <c r="B2148" s="87" t="s">
        <v>779</v>
      </c>
      <c r="C2148" s="88"/>
      <c r="D2148" s="92"/>
      <c r="E2148" s="89"/>
      <c r="F2148" s="89"/>
      <c r="G2148" s="89"/>
    </row>
    <row r="2149">
      <c r="A2149" s="93"/>
      <c r="B2149" s="87" t="s">
        <v>779</v>
      </c>
      <c r="C2149" s="88"/>
      <c r="D2149" s="92"/>
      <c r="E2149" s="89"/>
      <c r="F2149" s="89"/>
      <c r="G2149" s="89"/>
    </row>
    <row r="2150">
      <c r="A2150" s="93"/>
      <c r="B2150" s="87" t="s">
        <v>779</v>
      </c>
      <c r="C2150" s="88"/>
      <c r="D2150" s="92"/>
      <c r="E2150" s="89"/>
      <c r="F2150" s="89"/>
      <c r="G2150" s="89"/>
    </row>
    <row r="2151">
      <c r="A2151" s="93"/>
      <c r="B2151" s="87" t="s">
        <v>779</v>
      </c>
      <c r="C2151" s="88"/>
      <c r="D2151" s="92"/>
      <c r="E2151" s="89"/>
      <c r="F2151" s="89"/>
      <c r="G2151" s="89"/>
    </row>
    <row r="2152">
      <c r="A2152" s="93"/>
      <c r="B2152" s="87" t="s">
        <v>779</v>
      </c>
      <c r="C2152" s="88"/>
      <c r="D2152" s="92"/>
      <c r="E2152" s="89"/>
      <c r="F2152" s="89"/>
      <c r="G2152" s="89"/>
    </row>
    <row r="2153">
      <c r="A2153" s="93"/>
      <c r="B2153" s="87" t="s">
        <v>779</v>
      </c>
      <c r="C2153" s="88"/>
      <c r="D2153" s="92"/>
      <c r="E2153" s="89"/>
      <c r="F2153" s="89"/>
      <c r="G2153" s="89"/>
    </row>
    <row r="2154">
      <c r="A2154" s="93"/>
      <c r="B2154" s="87" t="s">
        <v>779</v>
      </c>
      <c r="C2154" s="88"/>
      <c r="D2154" s="92"/>
      <c r="E2154" s="89"/>
      <c r="F2154" s="89"/>
      <c r="G2154" s="89"/>
    </row>
    <row r="2155">
      <c r="A2155" s="93"/>
      <c r="B2155" s="87" t="s">
        <v>779</v>
      </c>
      <c r="C2155" s="88"/>
      <c r="D2155" s="92"/>
      <c r="E2155" s="89"/>
      <c r="F2155" s="89"/>
      <c r="G2155" s="89"/>
    </row>
    <row r="2156">
      <c r="A2156" s="93"/>
      <c r="B2156" s="87" t="s">
        <v>779</v>
      </c>
      <c r="C2156" s="88"/>
      <c r="D2156" s="92"/>
      <c r="E2156" s="89"/>
      <c r="F2156" s="89"/>
      <c r="G2156" s="89"/>
    </row>
    <row r="2157">
      <c r="A2157" s="93"/>
      <c r="B2157" s="87" t="s">
        <v>779</v>
      </c>
      <c r="C2157" s="88"/>
      <c r="D2157" s="92"/>
      <c r="E2157" s="89"/>
      <c r="F2157" s="89"/>
      <c r="G2157" s="89"/>
    </row>
    <row r="2158">
      <c r="A2158" s="93"/>
      <c r="B2158" s="87" t="s">
        <v>779</v>
      </c>
      <c r="C2158" s="88"/>
      <c r="D2158" s="92"/>
      <c r="E2158" s="89"/>
      <c r="F2158" s="89"/>
      <c r="G2158" s="89"/>
    </row>
    <row r="2159">
      <c r="A2159" s="93"/>
      <c r="B2159" s="87" t="s">
        <v>779</v>
      </c>
      <c r="C2159" s="88"/>
      <c r="D2159" s="92"/>
      <c r="E2159" s="89"/>
      <c r="F2159" s="89"/>
      <c r="G2159" s="89"/>
    </row>
    <row r="2160">
      <c r="A2160" s="93"/>
      <c r="B2160" s="87" t="s">
        <v>779</v>
      </c>
      <c r="C2160" s="88"/>
      <c r="D2160" s="92"/>
      <c r="E2160" s="89"/>
      <c r="F2160" s="89"/>
      <c r="G2160" s="89"/>
    </row>
    <row r="2161">
      <c r="A2161" s="93"/>
      <c r="B2161" s="87" t="s">
        <v>779</v>
      </c>
      <c r="C2161" s="88"/>
      <c r="D2161" s="92"/>
      <c r="E2161" s="89"/>
      <c r="F2161" s="89"/>
      <c r="G2161" s="89"/>
    </row>
    <row r="2162">
      <c r="A2162" s="93"/>
      <c r="B2162" s="87" t="s">
        <v>779</v>
      </c>
      <c r="C2162" s="88"/>
      <c r="D2162" s="92"/>
      <c r="E2162" s="89"/>
      <c r="F2162" s="89"/>
      <c r="G2162" s="89"/>
    </row>
    <row r="2163">
      <c r="A2163" s="93"/>
      <c r="B2163" s="87" t="s">
        <v>779</v>
      </c>
      <c r="C2163" s="88"/>
      <c r="D2163" s="92"/>
      <c r="E2163" s="89"/>
      <c r="F2163" s="89"/>
      <c r="G2163" s="89"/>
    </row>
    <row r="2164">
      <c r="A2164" s="93"/>
      <c r="B2164" s="87" t="s">
        <v>779</v>
      </c>
      <c r="C2164" s="88"/>
      <c r="D2164" s="92"/>
      <c r="E2164" s="89"/>
      <c r="F2164" s="89"/>
      <c r="G2164" s="89"/>
    </row>
    <row r="2165">
      <c r="A2165" s="93"/>
      <c r="B2165" s="87" t="s">
        <v>779</v>
      </c>
      <c r="C2165" s="88"/>
      <c r="D2165" s="92"/>
      <c r="E2165" s="89"/>
      <c r="F2165" s="89"/>
      <c r="G2165" s="89"/>
    </row>
    <row r="2166">
      <c r="A2166" s="93"/>
      <c r="B2166" s="87" t="s">
        <v>779</v>
      </c>
      <c r="C2166" s="88"/>
      <c r="D2166" s="92"/>
      <c r="E2166" s="89"/>
      <c r="F2166" s="89"/>
      <c r="G2166" s="89"/>
    </row>
    <row r="2167">
      <c r="A2167" s="93"/>
      <c r="B2167" s="87" t="s">
        <v>779</v>
      </c>
      <c r="C2167" s="88"/>
      <c r="D2167" s="92"/>
      <c r="E2167" s="89"/>
      <c r="F2167" s="89"/>
      <c r="G2167" s="89"/>
    </row>
    <row r="2168">
      <c r="A2168" s="93"/>
      <c r="B2168" s="87" t="s">
        <v>779</v>
      </c>
      <c r="C2168" s="88"/>
      <c r="D2168" s="92"/>
      <c r="E2168" s="89"/>
      <c r="F2168" s="89"/>
      <c r="G2168" s="89"/>
    </row>
    <row r="2169">
      <c r="A2169" s="93"/>
      <c r="B2169" s="87" t="s">
        <v>779</v>
      </c>
      <c r="C2169" s="88"/>
      <c r="D2169" s="92"/>
      <c r="E2169" s="89"/>
      <c r="F2169" s="89"/>
      <c r="G2169" s="89"/>
    </row>
    <row r="2170">
      <c r="A2170" s="93"/>
      <c r="B2170" s="87" t="s">
        <v>779</v>
      </c>
      <c r="C2170" s="88"/>
      <c r="D2170" s="92"/>
      <c r="E2170" s="89"/>
      <c r="F2170" s="89"/>
      <c r="G2170" s="89"/>
    </row>
    <row r="2171">
      <c r="A2171" s="93"/>
      <c r="B2171" s="87" t="s">
        <v>779</v>
      </c>
      <c r="C2171" s="88"/>
      <c r="D2171" s="92"/>
      <c r="E2171" s="89"/>
      <c r="F2171" s="89"/>
      <c r="G2171" s="89"/>
    </row>
    <row r="2172">
      <c r="A2172" s="93"/>
      <c r="B2172" s="87" t="s">
        <v>779</v>
      </c>
      <c r="C2172" s="88"/>
      <c r="D2172" s="92"/>
      <c r="E2172" s="89"/>
      <c r="F2172" s="89"/>
      <c r="G2172" s="89"/>
    </row>
    <row r="2173">
      <c r="A2173" s="93"/>
      <c r="B2173" s="87" t="s">
        <v>779</v>
      </c>
      <c r="C2173" s="88"/>
      <c r="D2173" s="92"/>
      <c r="E2173" s="89"/>
      <c r="F2173" s="89"/>
      <c r="G2173" s="89"/>
    </row>
    <row r="2174">
      <c r="A2174" s="93"/>
      <c r="B2174" s="87" t="s">
        <v>779</v>
      </c>
      <c r="C2174" s="88"/>
      <c r="D2174" s="92"/>
      <c r="E2174" s="89"/>
      <c r="F2174" s="89"/>
      <c r="G2174" s="89"/>
    </row>
    <row r="2175">
      <c r="A2175" s="93"/>
      <c r="B2175" s="87" t="s">
        <v>779</v>
      </c>
      <c r="C2175" s="88"/>
      <c r="D2175" s="92"/>
      <c r="E2175" s="89"/>
      <c r="F2175" s="89"/>
      <c r="G2175" s="89"/>
    </row>
    <row r="2176">
      <c r="A2176" s="93"/>
      <c r="B2176" s="87" t="s">
        <v>779</v>
      </c>
      <c r="C2176" s="88"/>
      <c r="D2176" s="92"/>
      <c r="E2176" s="89"/>
      <c r="F2176" s="89"/>
      <c r="G2176" s="89"/>
    </row>
    <row r="2177">
      <c r="A2177" s="93"/>
      <c r="B2177" s="87" t="s">
        <v>779</v>
      </c>
      <c r="C2177" s="88"/>
      <c r="D2177" s="92"/>
      <c r="E2177" s="89"/>
      <c r="F2177" s="89"/>
      <c r="G2177" s="89"/>
    </row>
    <row r="2178">
      <c r="A2178" s="93"/>
      <c r="B2178" s="87" t="s">
        <v>779</v>
      </c>
      <c r="C2178" s="88"/>
      <c r="D2178" s="92"/>
      <c r="E2178" s="89"/>
      <c r="F2178" s="89"/>
      <c r="G2178" s="89"/>
    </row>
    <row r="2179">
      <c r="A2179" s="93"/>
      <c r="B2179" s="87" t="s">
        <v>779</v>
      </c>
      <c r="C2179" s="88"/>
      <c r="D2179" s="92"/>
      <c r="E2179" s="89"/>
      <c r="F2179" s="89"/>
      <c r="G2179" s="89"/>
    </row>
    <row r="2180">
      <c r="A2180" s="93"/>
      <c r="B2180" s="87" t="s">
        <v>779</v>
      </c>
      <c r="C2180" s="88"/>
      <c r="D2180" s="92"/>
      <c r="E2180" s="89"/>
      <c r="F2180" s="89"/>
      <c r="G2180" s="89"/>
    </row>
    <row r="2181">
      <c r="A2181" s="93"/>
      <c r="B2181" s="87" t="s">
        <v>779</v>
      </c>
      <c r="C2181" s="88"/>
      <c r="D2181" s="92"/>
      <c r="E2181" s="89"/>
      <c r="F2181" s="89"/>
      <c r="G2181" s="89"/>
    </row>
    <row r="2182">
      <c r="A2182" s="93"/>
      <c r="B2182" s="87" t="s">
        <v>779</v>
      </c>
      <c r="C2182" s="88"/>
      <c r="D2182" s="92"/>
      <c r="E2182" s="89"/>
      <c r="F2182" s="89"/>
      <c r="G2182" s="89"/>
    </row>
    <row r="2183">
      <c r="A2183" s="93"/>
      <c r="B2183" s="87" t="s">
        <v>779</v>
      </c>
      <c r="C2183" s="88"/>
      <c r="D2183" s="92"/>
      <c r="E2183" s="89"/>
      <c r="F2183" s="89"/>
      <c r="G2183" s="89"/>
    </row>
    <row r="2184">
      <c r="A2184" s="93"/>
      <c r="B2184" s="87" t="s">
        <v>779</v>
      </c>
      <c r="C2184" s="88"/>
      <c r="D2184" s="92"/>
      <c r="E2184" s="89"/>
      <c r="F2184" s="89"/>
      <c r="G2184" s="89"/>
    </row>
    <row r="2185">
      <c r="A2185" s="93"/>
      <c r="B2185" s="87" t="s">
        <v>779</v>
      </c>
      <c r="C2185" s="88"/>
      <c r="D2185" s="92"/>
      <c r="E2185" s="89"/>
      <c r="F2185" s="89"/>
      <c r="G2185" s="89"/>
    </row>
    <row r="2186">
      <c r="A2186" s="93"/>
      <c r="B2186" s="87" t="s">
        <v>779</v>
      </c>
      <c r="C2186" s="88"/>
      <c r="D2186" s="92"/>
      <c r="E2186" s="89"/>
      <c r="F2186" s="89"/>
      <c r="G2186" s="89"/>
    </row>
    <row r="2187">
      <c r="A2187" s="93"/>
      <c r="B2187" s="87" t="s">
        <v>779</v>
      </c>
      <c r="C2187" s="88"/>
      <c r="D2187" s="92"/>
      <c r="E2187" s="89"/>
      <c r="F2187" s="89"/>
      <c r="G2187" s="89"/>
    </row>
    <row r="2188">
      <c r="A2188" s="93"/>
      <c r="B2188" s="87" t="s">
        <v>779</v>
      </c>
      <c r="C2188" s="88"/>
      <c r="D2188" s="92"/>
      <c r="E2188" s="89"/>
      <c r="F2188" s="89"/>
      <c r="G2188" s="89"/>
    </row>
    <row r="2189">
      <c r="A2189" s="93"/>
      <c r="B2189" s="87" t="s">
        <v>779</v>
      </c>
      <c r="C2189" s="88"/>
      <c r="D2189" s="92"/>
      <c r="E2189" s="89"/>
      <c r="F2189" s="89"/>
      <c r="G2189" s="89"/>
    </row>
    <row r="2190">
      <c r="A2190" s="93"/>
      <c r="B2190" s="87" t="s">
        <v>779</v>
      </c>
      <c r="C2190" s="88"/>
      <c r="D2190" s="92"/>
      <c r="E2190" s="89"/>
      <c r="F2190" s="89"/>
      <c r="G2190" s="89"/>
    </row>
    <row r="2191">
      <c r="A2191" s="93"/>
      <c r="B2191" s="87" t="s">
        <v>779</v>
      </c>
      <c r="C2191" s="88"/>
      <c r="D2191" s="92"/>
      <c r="E2191" s="89"/>
      <c r="F2191" s="89"/>
      <c r="G2191" s="89"/>
    </row>
    <row r="2192">
      <c r="A2192" s="93"/>
      <c r="B2192" s="87" t="s">
        <v>779</v>
      </c>
      <c r="C2192" s="88"/>
      <c r="D2192" s="92"/>
      <c r="E2192" s="89"/>
      <c r="F2192" s="89"/>
      <c r="G2192" s="89"/>
    </row>
    <row r="2193">
      <c r="A2193" s="93"/>
      <c r="B2193" s="87" t="s">
        <v>779</v>
      </c>
      <c r="C2193" s="88"/>
      <c r="D2193" s="92"/>
      <c r="E2193" s="89"/>
      <c r="F2193" s="89"/>
      <c r="G2193" s="89"/>
    </row>
    <row r="2194">
      <c r="A2194" s="93"/>
      <c r="B2194" s="87" t="s">
        <v>779</v>
      </c>
      <c r="C2194" s="88"/>
      <c r="D2194" s="92"/>
      <c r="E2194" s="89"/>
      <c r="F2194" s="89"/>
      <c r="G2194" s="89"/>
    </row>
    <row r="2195">
      <c r="A2195" s="93"/>
      <c r="B2195" s="87" t="s">
        <v>779</v>
      </c>
      <c r="C2195" s="88"/>
      <c r="D2195" s="92"/>
      <c r="E2195" s="89"/>
      <c r="F2195" s="89"/>
      <c r="G2195" s="89"/>
    </row>
    <row r="2196">
      <c r="A2196" s="93"/>
      <c r="B2196" s="87" t="s">
        <v>779</v>
      </c>
      <c r="C2196" s="88"/>
      <c r="D2196" s="92"/>
      <c r="E2196" s="89"/>
      <c r="F2196" s="89"/>
      <c r="G2196" s="89"/>
    </row>
    <row r="2197">
      <c r="A2197" s="93"/>
      <c r="B2197" s="87" t="s">
        <v>779</v>
      </c>
      <c r="C2197" s="88"/>
      <c r="D2197" s="92"/>
      <c r="E2197" s="89"/>
      <c r="F2197" s="89"/>
      <c r="G2197" s="89"/>
    </row>
    <row r="2198">
      <c r="A2198" s="93"/>
      <c r="B2198" s="87" t="s">
        <v>779</v>
      </c>
      <c r="C2198" s="88"/>
      <c r="D2198" s="92"/>
      <c r="E2198" s="89"/>
      <c r="F2198" s="89"/>
      <c r="G2198" s="89"/>
    </row>
    <row r="2199">
      <c r="A2199" s="93"/>
      <c r="B2199" s="87" t="s">
        <v>779</v>
      </c>
      <c r="C2199" s="88"/>
      <c r="D2199" s="92"/>
      <c r="E2199" s="89"/>
      <c r="F2199" s="89"/>
      <c r="G2199" s="89"/>
    </row>
    <row r="2200">
      <c r="A2200" s="93"/>
      <c r="B2200" s="87" t="s">
        <v>779</v>
      </c>
      <c r="C2200" s="88"/>
      <c r="D2200" s="92"/>
      <c r="E2200" s="89"/>
      <c r="F2200" s="89"/>
      <c r="G2200" s="89"/>
    </row>
    <row r="2201">
      <c r="A2201" s="93"/>
      <c r="B2201" s="87" t="s">
        <v>779</v>
      </c>
      <c r="C2201" s="88"/>
      <c r="D2201" s="92"/>
      <c r="E2201" s="89"/>
      <c r="F2201" s="89"/>
      <c r="G2201" s="89"/>
    </row>
    <row r="2202">
      <c r="A2202" s="93"/>
      <c r="B2202" s="87" t="s">
        <v>779</v>
      </c>
      <c r="C2202" s="88"/>
      <c r="D2202" s="92"/>
      <c r="E2202" s="89"/>
      <c r="F2202" s="89"/>
      <c r="G2202" s="89"/>
    </row>
    <row r="2203">
      <c r="A2203" s="93"/>
      <c r="B2203" s="87" t="s">
        <v>779</v>
      </c>
      <c r="C2203" s="88"/>
      <c r="D2203" s="92"/>
      <c r="E2203" s="89"/>
      <c r="F2203" s="89"/>
      <c r="G2203" s="89"/>
    </row>
    <row r="2204">
      <c r="A2204" s="93"/>
      <c r="B2204" s="87" t="s">
        <v>779</v>
      </c>
      <c r="C2204" s="88"/>
      <c r="D2204" s="92"/>
      <c r="E2204" s="89"/>
      <c r="F2204" s="89"/>
      <c r="G2204" s="89"/>
    </row>
    <row r="2205">
      <c r="A2205" s="93"/>
      <c r="B2205" s="87" t="s">
        <v>779</v>
      </c>
      <c r="C2205" s="88"/>
      <c r="D2205" s="92"/>
      <c r="E2205" s="89"/>
      <c r="F2205" s="89"/>
      <c r="G2205" s="89"/>
    </row>
    <row r="2206">
      <c r="A2206" s="93"/>
      <c r="B2206" s="87" t="s">
        <v>779</v>
      </c>
      <c r="C2206" s="88"/>
      <c r="D2206" s="92"/>
      <c r="E2206" s="89"/>
      <c r="F2206" s="89"/>
      <c r="G2206" s="89"/>
    </row>
    <row r="2207">
      <c r="A2207" s="93"/>
      <c r="B2207" s="87" t="s">
        <v>779</v>
      </c>
      <c r="C2207" s="88"/>
      <c r="D2207" s="92"/>
      <c r="E2207" s="89"/>
      <c r="F2207" s="89"/>
      <c r="G2207" s="89"/>
    </row>
    <row r="2208">
      <c r="A2208" s="93"/>
      <c r="B2208" s="87" t="s">
        <v>779</v>
      </c>
      <c r="C2208" s="88"/>
      <c r="D2208" s="92"/>
      <c r="E2208" s="89"/>
      <c r="F2208" s="89"/>
      <c r="G2208" s="89"/>
    </row>
    <row r="2209">
      <c r="A2209" s="93"/>
      <c r="B2209" s="87" t="s">
        <v>779</v>
      </c>
      <c r="C2209" s="88"/>
      <c r="D2209" s="92"/>
      <c r="E2209" s="89"/>
      <c r="F2209" s="89"/>
      <c r="G2209" s="89"/>
    </row>
    <row r="2210">
      <c r="A2210" s="93"/>
      <c r="B2210" s="87" t="s">
        <v>779</v>
      </c>
      <c r="C2210" s="88"/>
      <c r="D2210" s="92"/>
      <c r="E2210" s="89"/>
      <c r="F2210" s="89"/>
      <c r="G2210" s="89"/>
    </row>
    <row r="2211">
      <c r="A2211" s="93"/>
      <c r="B2211" s="87" t="s">
        <v>779</v>
      </c>
      <c r="C2211" s="88"/>
      <c r="D2211" s="92"/>
      <c r="E2211" s="89"/>
      <c r="F2211" s="89"/>
      <c r="G2211" s="89"/>
    </row>
    <row r="2212">
      <c r="A2212" s="93"/>
      <c r="B2212" s="87" t="s">
        <v>779</v>
      </c>
      <c r="C2212" s="88"/>
      <c r="D2212" s="92"/>
      <c r="E2212" s="89"/>
      <c r="F2212" s="89"/>
      <c r="G2212" s="89"/>
    </row>
    <row r="2213">
      <c r="A2213" s="93"/>
      <c r="B2213" s="87" t="s">
        <v>779</v>
      </c>
      <c r="C2213" s="88"/>
      <c r="D2213" s="92"/>
      <c r="E2213" s="89"/>
      <c r="F2213" s="89"/>
      <c r="G2213" s="89"/>
    </row>
    <row r="2214">
      <c r="A2214" s="93"/>
      <c r="B2214" s="87" t="s">
        <v>779</v>
      </c>
      <c r="C2214" s="88"/>
      <c r="D2214" s="92"/>
      <c r="E2214" s="89"/>
      <c r="F2214" s="89"/>
      <c r="G2214" s="89"/>
    </row>
    <row r="2215">
      <c r="A2215" s="93"/>
      <c r="B2215" s="87" t="s">
        <v>779</v>
      </c>
      <c r="C2215" s="88"/>
      <c r="D2215" s="92"/>
      <c r="E2215" s="89"/>
      <c r="F2215" s="89"/>
      <c r="G2215" s="89"/>
    </row>
    <row r="2216">
      <c r="A2216" s="93"/>
      <c r="B2216" s="87" t="s">
        <v>779</v>
      </c>
      <c r="C2216" s="88"/>
      <c r="D2216" s="92"/>
      <c r="E2216" s="89"/>
      <c r="F2216" s="89"/>
      <c r="G2216" s="89"/>
    </row>
    <row r="2217">
      <c r="A2217" s="93"/>
      <c r="B2217" s="87" t="s">
        <v>779</v>
      </c>
      <c r="C2217" s="88"/>
      <c r="D2217" s="92"/>
      <c r="E2217" s="89"/>
      <c r="F2217" s="89"/>
      <c r="G2217" s="89"/>
    </row>
    <row r="2218">
      <c r="A2218" s="93"/>
      <c r="B2218" s="87" t="s">
        <v>779</v>
      </c>
      <c r="C2218" s="88"/>
      <c r="D2218" s="92"/>
      <c r="E2218" s="89"/>
      <c r="F2218" s="89"/>
      <c r="G2218" s="89"/>
    </row>
    <row r="2219">
      <c r="A2219" s="93"/>
      <c r="B2219" s="87" t="s">
        <v>779</v>
      </c>
      <c r="C2219" s="88"/>
      <c r="D2219" s="92"/>
      <c r="E2219" s="89"/>
      <c r="F2219" s="89"/>
      <c r="G2219" s="89"/>
    </row>
    <row r="2220">
      <c r="A2220" s="93"/>
      <c r="B2220" s="87" t="s">
        <v>779</v>
      </c>
      <c r="C2220" s="88"/>
      <c r="D2220" s="92"/>
      <c r="E2220" s="89"/>
      <c r="F2220" s="89"/>
      <c r="G2220" s="89"/>
    </row>
    <row r="2221">
      <c r="A2221" s="93"/>
      <c r="B2221" s="87" t="s">
        <v>779</v>
      </c>
      <c r="C2221" s="88"/>
      <c r="D2221" s="92"/>
      <c r="E2221" s="89"/>
      <c r="F2221" s="89"/>
      <c r="G2221" s="89"/>
    </row>
    <row r="2222">
      <c r="A2222" s="93"/>
      <c r="B2222" s="87" t="s">
        <v>779</v>
      </c>
      <c r="C2222" s="88"/>
      <c r="D2222" s="92"/>
      <c r="E2222" s="89"/>
      <c r="F2222" s="89"/>
      <c r="G2222" s="89"/>
    </row>
    <row r="2223">
      <c r="A2223" s="93"/>
      <c r="B2223" s="87" t="s">
        <v>779</v>
      </c>
      <c r="C2223" s="88"/>
      <c r="D2223" s="92"/>
      <c r="E2223" s="89"/>
      <c r="F2223" s="89"/>
      <c r="G2223" s="89"/>
    </row>
    <row r="2224">
      <c r="A2224" s="93"/>
      <c r="B2224" s="87" t="s">
        <v>779</v>
      </c>
      <c r="C2224" s="88"/>
      <c r="D2224" s="92"/>
      <c r="E2224" s="89"/>
      <c r="F2224" s="89"/>
      <c r="G2224" s="89"/>
    </row>
    <row r="2225">
      <c r="A2225" s="93"/>
      <c r="B2225" s="87" t="s">
        <v>779</v>
      </c>
      <c r="C2225" s="88"/>
      <c r="D2225" s="92"/>
      <c r="E2225" s="89"/>
      <c r="F2225" s="89"/>
      <c r="G2225" s="89"/>
    </row>
    <row r="2226">
      <c r="A2226" s="93"/>
      <c r="B2226" s="87" t="s">
        <v>779</v>
      </c>
      <c r="C2226" s="88"/>
      <c r="D2226" s="92"/>
      <c r="E2226" s="89"/>
      <c r="F2226" s="89"/>
      <c r="G2226" s="89"/>
    </row>
    <row r="2227">
      <c r="A2227" s="93"/>
      <c r="B2227" s="87" t="s">
        <v>779</v>
      </c>
      <c r="C2227" s="88"/>
      <c r="D2227" s="92"/>
      <c r="E2227" s="89"/>
      <c r="F2227" s="89"/>
      <c r="G2227" s="89"/>
    </row>
    <row r="2228">
      <c r="A2228" s="93"/>
      <c r="B2228" s="87" t="s">
        <v>779</v>
      </c>
      <c r="C2228" s="88"/>
      <c r="D2228" s="92"/>
      <c r="E2228" s="89"/>
      <c r="F2228" s="89"/>
      <c r="G2228" s="89"/>
    </row>
    <row r="2229">
      <c r="A2229" s="93"/>
      <c r="B2229" s="87" t="s">
        <v>779</v>
      </c>
      <c r="C2229" s="88"/>
      <c r="D2229" s="92"/>
      <c r="E2229" s="89"/>
      <c r="F2229" s="89"/>
      <c r="G2229" s="89"/>
    </row>
    <row r="2230">
      <c r="A2230" s="93"/>
      <c r="B2230" s="87" t="s">
        <v>779</v>
      </c>
      <c r="C2230" s="88"/>
      <c r="D2230" s="92"/>
      <c r="E2230" s="89"/>
      <c r="F2230" s="89"/>
      <c r="G2230" s="89"/>
    </row>
    <row r="2231">
      <c r="A2231" s="93"/>
      <c r="B2231" s="87" t="s">
        <v>779</v>
      </c>
      <c r="C2231" s="88"/>
      <c r="D2231" s="92"/>
      <c r="E2231" s="89"/>
      <c r="F2231" s="89"/>
      <c r="G2231" s="89"/>
    </row>
    <row r="2232">
      <c r="A2232" s="93"/>
      <c r="B2232" s="87" t="s">
        <v>779</v>
      </c>
      <c r="C2232" s="88"/>
      <c r="D2232" s="92"/>
      <c r="E2232" s="89"/>
      <c r="F2232" s="89"/>
      <c r="G2232" s="89"/>
    </row>
    <row r="2233">
      <c r="A2233" s="93"/>
      <c r="B2233" s="87" t="s">
        <v>779</v>
      </c>
      <c r="C2233" s="88"/>
      <c r="D2233" s="92"/>
      <c r="E2233" s="89"/>
      <c r="F2233" s="89"/>
      <c r="G2233" s="89"/>
    </row>
    <row r="2234">
      <c r="A2234" s="93"/>
      <c r="B2234" s="87" t="s">
        <v>779</v>
      </c>
      <c r="C2234" s="88"/>
      <c r="D2234" s="92"/>
      <c r="E2234" s="89"/>
      <c r="F2234" s="89"/>
      <c r="G2234" s="89"/>
    </row>
    <row r="2235">
      <c r="A2235" s="93"/>
      <c r="B2235" s="87" t="s">
        <v>779</v>
      </c>
      <c r="C2235" s="88"/>
      <c r="D2235" s="92"/>
      <c r="E2235" s="89"/>
      <c r="F2235" s="89"/>
      <c r="G2235" s="89"/>
    </row>
    <row r="2236">
      <c r="A2236" s="93"/>
      <c r="B2236" s="87" t="s">
        <v>779</v>
      </c>
      <c r="C2236" s="88"/>
      <c r="D2236" s="92"/>
      <c r="E2236" s="89"/>
      <c r="F2236" s="89"/>
      <c r="G2236" s="89"/>
    </row>
    <row r="2237">
      <c r="A2237" s="93"/>
      <c r="B2237" s="87" t="s">
        <v>779</v>
      </c>
      <c r="C2237" s="88"/>
      <c r="D2237" s="92"/>
      <c r="E2237" s="89"/>
      <c r="F2237" s="89"/>
      <c r="G2237" s="89"/>
    </row>
    <row r="2238">
      <c r="A2238" s="93"/>
      <c r="B2238" s="87" t="s">
        <v>779</v>
      </c>
      <c r="C2238" s="88"/>
      <c r="D2238" s="92"/>
      <c r="E2238" s="89"/>
      <c r="F2238" s="89"/>
      <c r="G2238" s="89"/>
    </row>
    <row r="2239">
      <c r="A2239" s="93"/>
      <c r="B2239" s="87" t="s">
        <v>779</v>
      </c>
      <c r="C2239" s="88"/>
      <c r="D2239" s="92"/>
      <c r="E2239" s="89"/>
      <c r="F2239" s="89"/>
      <c r="G2239" s="89"/>
    </row>
    <row r="2240">
      <c r="A2240" s="93"/>
      <c r="B2240" s="87" t="s">
        <v>779</v>
      </c>
      <c r="C2240" s="88"/>
      <c r="D2240" s="92"/>
      <c r="E2240" s="89"/>
      <c r="F2240" s="89"/>
      <c r="G2240" s="89"/>
    </row>
    <row r="2241">
      <c r="A2241" s="93"/>
      <c r="B2241" s="87" t="s">
        <v>779</v>
      </c>
      <c r="C2241" s="88"/>
      <c r="D2241" s="92"/>
      <c r="E2241" s="89"/>
      <c r="F2241" s="89"/>
      <c r="G2241" s="89"/>
    </row>
    <row r="2242">
      <c r="A2242" s="93"/>
      <c r="B2242" s="87" t="s">
        <v>779</v>
      </c>
      <c r="C2242" s="88"/>
      <c r="D2242" s="92"/>
      <c r="E2242" s="89"/>
      <c r="F2242" s="89"/>
      <c r="G2242" s="89"/>
    </row>
    <row r="2243">
      <c r="A2243" s="93"/>
      <c r="B2243" s="87" t="s">
        <v>779</v>
      </c>
      <c r="C2243" s="88"/>
      <c r="D2243" s="92"/>
      <c r="E2243" s="89"/>
      <c r="F2243" s="89"/>
      <c r="G2243" s="89"/>
    </row>
    <row r="2244">
      <c r="A2244" s="93"/>
      <c r="B2244" s="87" t="s">
        <v>779</v>
      </c>
      <c r="C2244" s="88"/>
      <c r="D2244" s="92"/>
      <c r="E2244" s="89"/>
      <c r="F2244" s="89"/>
      <c r="G2244" s="89"/>
    </row>
    <row r="2245">
      <c r="A2245" s="93"/>
      <c r="B2245" s="87" t="s">
        <v>779</v>
      </c>
      <c r="C2245" s="88"/>
      <c r="D2245" s="92"/>
      <c r="E2245" s="89"/>
      <c r="F2245" s="89"/>
      <c r="G2245" s="89"/>
    </row>
    <row r="2246">
      <c r="A2246" s="93"/>
      <c r="B2246" s="87" t="s">
        <v>779</v>
      </c>
      <c r="C2246" s="88"/>
      <c r="D2246" s="92"/>
      <c r="E2246" s="89"/>
      <c r="F2246" s="89"/>
      <c r="G2246" s="89"/>
    </row>
    <row r="2247">
      <c r="A2247" s="93"/>
      <c r="B2247" s="87" t="s">
        <v>779</v>
      </c>
      <c r="C2247" s="88"/>
      <c r="D2247" s="92"/>
      <c r="E2247" s="89"/>
      <c r="F2247" s="89"/>
      <c r="G2247" s="89"/>
    </row>
    <row r="2248">
      <c r="A2248" s="93"/>
      <c r="B2248" s="87" t="s">
        <v>779</v>
      </c>
      <c r="C2248" s="88"/>
      <c r="D2248" s="92"/>
      <c r="E2248" s="89"/>
      <c r="F2248" s="89"/>
      <c r="G2248" s="89"/>
    </row>
    <row r="2249">
      <c r="A2249" s="93"/>
      <c r="B2249" s="87" t="s">
        <v>779</v>
      </c>
      <c r="C2249" s="88"/>
      <c r="D2249" s="92"/>
      <c r="E2249" s="89"/>
      <c r="F2249" s="89"/>
      <c r="G2249" s="89"/>
    </row>
    <row r="2250">
      <c r="A2250" s="93"/>
      <c r="B2250" s="87" t="s">
        <v>779</v>
      </c>
      <c r="C2250" s="88"/>
      <c r="D2250" s="92"/>
      <c r="E2250" s="89"/>
      <c r="F2250" s="89"/>
      <c r="G2250" s="89"/>
    </row>
    <row r="2251">
      <c r="A2251" s="93"/>
      <c r="B2251" s="87" t="s">
        <v>779</v>
      </c>
      <c r="C2251" s="88"/>
      <c r="D2251" s="92"/>
      <c r="E2251" s="89"/>
      <c r="F2251" s="89"/>
      <c r="G2251" s="89"/>
    </row>
    <row r="2252">
      <c r="A2252" s="93"/>
      <c r="B2252" s="87" t="s">
        <v>779</v>
      </c>
      <c r="C2252" s="88"/>
      <c r="D2252" s="92"/>
      <c r="E2252" s="89"/>
      <c r="F2252" s="89"/>
      <c r="G2252" s="89"/>
    </row>
    <row r="2253">
      <c r="A2253" s="93"/>
      <c r="B2253" s="87" t="s">
        <v>779</v>
      </c>
      <c r="C2253" s="88"/>
      <c r="D2253" s="92"/>
      <c r="E2253" s="89"/>
      <c r="F2253" s="89"/>
      <c r="G2253" s="89"/>
    </row>
    <row r="2254">
      <c r="A2254" s="93"/>
      <c r="B2254" s="87" t="s">
        <v>779</v>
      </c>
      <c r="C2254" s="88"/>
      <c r="D2254" s="92"/>
      <c r="E2254" s="89"/>
      <c r="F2254" s="89"/>
      <c r="G2254" s="89"/>
    </row>
    <row r="2255">
      <c r="A2255" s="93"/>
      <c r="B2255" s="87" t="s">
        <v>779</v>
      </c>
      <c r="C2255" s="88"/>
      <c r="D2255" s="92"/>
      <c r="E2255" s="89"/>
      <c r="F2255" s="89"/>
      <c r="G2255" s="89"/>
    </row>
    <row r="2256">
      <c r="A2256" s="93"/>
      <c r="B2256" s="87" t="s">
        <v>779</v>
      </c>
      <c r="C2256" s="88"/>
      <c r="D2256" s="92"/>
      <c r="E2256" s="89"/>
      <c r="F2256" s="89"/>
      <c r="G2256" s="89"/>
    </row>
    <row r="2257">
      <c r="A2257" s="93"/>
      <c r="B2257" s="87" t="s">
        <v>779</v>
      </c>
      <c r="C2257" s="88"/>
      <c r="D2257" s="92"/>
      <c r="E2257" s="89"/>
      <c r="F2257" s="89"/>
      <c r="G2257" s="89"/>
    </row>
    <row r="2258">
      <c r="A2258" s="93"/>
      <c r="B2258" s="87" t="s">
        <v>779</v>
      </c>
      <c r="C2258" s="88"/>
      <c r="D2258" s="92"/>
      <c r="E2258" s="89"/>
      <c r="F2258" s="89"/>
      <c r="G2258" s="89"/>
    </row>
    <row r="2259">
      <c r="A2259" s="93"/>
      <c r="B2259" s="87" t="s">
        <v>779</v>
      </c>
      <c r="C2259" s="88"/>
      <c r="D2259" s="92"/>
      <c r="E2259" s="89"/>
      <c r="F2259" s="89"/>
      <c r="G2259" s="89"/>
    </row>
    <row r="2260">
      <c r="A2260" s="93"/>
      <c r="B2260" s="87" t="s">
        <v>779</v>
      </c>
      <c r="C2260" s="88"/>
      <c r="D2260" s="92"/>
      <c r="E2260" s="89"/>
      <c r="F2260" s="89"/>
      <c r="G2260" s="89"/>
    </row>
    <row r="2261">
      <c r="A2261" s="93"/>
      <c r="B2261" s="87" t="s">
        <v>779</v>
      </c>
      <c r="C2261" s="88"/>
      <c r="D2261" s="92"/>
      <c r="E2261" s="89"/>
      <c r="F2261" s="89"/>
      <c r="G2261" s="89"/>
    </row>
    <row r="2262">
      <c r="A2262" s="93"/>
      <c r="B2262" s="87" t="s">
        <v>779</v>
      </c>
      <c r="C2262" s="88"/>
      <c r="D2262" s="92"/>
      <c r="E2262" s="89"/>
      <c r="F2262" s="89"/>
      <c r="G2262" s="89"/>
    </row>
    <row r="2263">
      <c r="A2263" s="93"/>
      <c r="B2263" s="87" t="s">
        <v>779</v>
      </c>
      <c r="C2263" s="88"/>
      <c r="D2263" s="92"/>
      <c r="E2263" s="89"/>
      <c r="F2263" s="89"/>
      <c r="G2263" s="89"/>
    </row>
    <row r="2264">
      <c r="A2264" s="93"/>
      <c r="B2264" s="87" t="s">
        <v>779</v>
      </c>
      <c r="C2264" s="88"/>
      <c r="D2264" s="92"/>
      <c r="E2264" s="89"/>
      <c r="F2264" s="89"/>
      <c r="G2264" s="89"/>
    </row>
    <row r="2265">
      <c r="A2265" s="93"/>
      <c r="B2265" s="87" t="s">
        <v>779</v>
      </c>
      <c r="C2265" s="88"/>
      <c r="D2265" s="92"/>
      <c r="E2265" s="89"/>
      <c r="F2265" s="89"/>
      <c r="G2265" s="89"/>
    </row>
    <row r="2266">
      <c r="A2266" s="93"/>
      <c r="B2266" s="87" t="s">
        <v>779</v>
      </c>
      <c r="C2266" s="88"/>
      <c r="D2266" s="92"/>
      <c r="E2266" s="89"/>
      <c r="F2266" s="89"/>
      <c r="G2266" s="89"/>
    </row>
    <row r="2267">
      <c r="A2267" s="93"/>
      <c r="B2267" s="87" t="s">
        <v>779</v>
      </c>
      <c r="C2267" s="88"/>
      <c r="D2267" s="92"/>
      <c r="E2267" s="89"/>
      <c r="F2267" s="89"/>
      <c r="G2267" s="89"/>
    </row>
    <row r="2268">
      <c r="A2268" s="93"/>
      <c r="B2268" s="87" t="s">
        <v>779</v>
      </c>
      <c r="C2268" s="88"/>
      <c r="D2268" s="92"/>
      <c r="E2268" s="89"/>
      <c r="F2268" s="89"/>
      <c r="G2268" s="89"/>
    </row>
    <row r="2269">
      <c r="A2269" s="93"/>
      <c r="B2269" s="87" t="s">
        <v>779</v>
      </c>
      <c r="C2269" s="88"/>
      <c r="D2269" s="92"/>
      <c r="E2269" s="89"/>
      <c r="F2269" s="89"/>
      <c r="G2269" s="89"/>
    </row>
    <row r="2270">
      <c r="A2270" s="93"/>
      <c r="B2270" s="87" t="s">
        <v>779</v>
      </c>
      <c r="C2270" s="88"/>
      <c r="D2270" s="92"/>
      <c r="E2270" s="89"/>
      <c r="F2270" s="89"/>
      <c r="G2270" s="89"/>
    </row>
    <row r="2271">
      <c r="A2271" s="93"/>
      <c r="B2271" s="87" t="s">
        <v>779</v>
      </c>
      <c r="C2271" s="88"/>
      <c r="D2271" s="92"/>
      <c r="E2271" s="89"/>
      <c r="F2271" s="89"/>
      <c r="G2271" s="89"/>
    </row>
    <row r="2272">
      <c r="A2272" s="93"/>
      <c r="B2272" s="87" t="s">
        <v>779</v>
      </c>
      <c r="C2272" s="88"/>
      <c r="D2272" s="92"/>
      <c r="E2272" s="89"/>
      <c r="F2272" s="89"/>
      <c r="G2272" s="89"/>
    </row>
    <row r="2273">
      <c r="A2273" s="93"/>
      <c r="B2273" s="87" t="s">
        <v>779</v>
      </c>
      <c r="C2273" s="88"/>
      <c r="D2273" s="92"/>
      <c r="E2273" s="89"/>
      <c r="F2273" s="89"/>
      <c r="G2273" s="89"/>
    </row>
    <row r="2274">
      <c r="A2274" s="93"/>
      <c r="B2274" s="87" t="s">
        <v>779</v>
      </c>
      <c r="C2274" s="88"/>
      <c r="D2274" s="92"/>
      <c r="E2274" s="89"/>
      <c r="F2274" s="89"/>
      <c r="G2274" s="89"/>
    </row>
    <row r="2275">
      <c r="A2275" s="93"/>
      <c r="B2275" s="87" t="s">
        <v>779</v>
      </c>
      <c r="C2275" s="88"/>
      <c r="D2275" s="92"/>
      <c r="E2275" s="89"/>
      <c r="F2275" s="89"/>
      <c r="G2275" s="89"/>
    </row>
    <row r="2276">
      <c r="A2276" s="93"/>
      <c r="B2276" s="87" t="s">
        <v>779</v>
      </c>
      <c r="C2276" s="88"/>
      <c r="D2276" s="92"/>
      <c r="E2276" s="89"/>
      <c r="F2276" s="89"/>
      <c r="G2276" s="89"/>
    </row>
    <row r="2277">
      <c r="A2277" s="93"/>
      <c r="B2277" s="87" t="s">
        <v>779</v>
      </c>
      <c r="C2277" s="88"/>
      <c r="D2277" s="92"/>
      <c r="E2277" s="89"/>
      <c r="F2277" s="89"/>
      <c r="G2277" s="89"/>
    </row>
    <row r="2278">
      <c r="A2278" s="93"/>
      <c r="B2278" s="87" t="s">
        <v>779</v>
      </c>
      <c r="C2278" s="88"/>
      <c r="D2278" s="92"/>
      <c r="E2278" s="89"/>
      <c r="F2278" s="89"/>
      <c r="G2278" s="89"/>
    </row>
    <row r="2279">
      <c r="A2279" s="93"/>
      <c r="B2279" s="87" t="s">
        <v>779</v>
      </c>
      <c r="C2279" s="88"/>
      <c r="D2279" s="92"/>
      <c r="E2279" s="89"/>
      <c r="F2279" s="89"/>
      <c r="G2279" s="89"/>
    </row>
    <row r="2280">
      <c r="A2280" s="93"/>
      <c r="B2280" s="87" t="s">
        <v>779</v>
      </c>
      <c r="C2280" s="88"/>
      <c r="D2280" s="92"/>
      <c r="E2280" s="89"/>
      <c r="F2280" s="89"/>
      <c r="G2280" s="89"/>
    </row>
    <row r="2281">
      <c r="A2281" s="93"/>
      <c r="B2281" s="87" t="s">
        <v>779</v>
      </c>
      <c r="C2281" s="88"/>
      <c r="D2281" s="92"/>
      <c r="E2281" s="89"/>
      <c r="F2281" s="89"/>
      <c r="G2281" s="89"/>
    </row>
    <row r="2282">
      <c r="A2282" s="93"/>
      <c r="B2282" s="87" t="s">
        <v>779</v>
      </c>
      <c r="C2282" s="88"/>
      <c r="D2282" s="92"/>
      <c r="E2282" s="89"/>
      <c r="F2282" s="89"/>
      <c r="G2282" s="89"/>
    </row>
    <row r="2283">
      <c r="A2283" s="93"/>
      <c r="B2283" s="87" t="s">
        <v>779</v>
      </c>
      <c r="C2283" s="88"/>
      <c r="D2283" s="92"/>
      <c r="E2283" s="89"/>
      <c r="F2283" s="89"/>
      <c r="G2283" s="89"/>
    </row>
    <row r="2284">
      <c r="A2284" s="93"/>
      <c r="B2284" s="87" t="s">
        <v>779</v>
      </c>
      <c r="C2284" s="88"/>
      <c r="D2284" s="92"/>
      <c r="E2284" s="89"/>
      <c r="F2284" s="89"/>
      <c r="G2284" s="89"/>
    </row>
    <row r="2285">
      <c r="A2285" s="93"/>
      <c r="B2285" s="87" t="s">
        <v>779</v>
      </c>
      <c r="C2285" s="88"/>
      <c r="D2285" s="92"/>
      <c r="E2285" s="89"/>
      <c r="F2285" s="89"/>
      <c r="G2285" s="89"/>
    </row>
    <row r="2286">
      <c r="A2286" s="93"/>
      <c r="B2286" s="87" t="s">
        <v>779</v>
      </c>
      <c r="C2286" s="88"/>
      <c r="D2286" s="92"/>
      <c r="E2286" s="89"/>
      <c r="F2286" s="89"/>
      <c r="G2286" s="89"/>
    </row>
    <row r="2287">
      <c r="A2287" s="93"/>
      <c r="B2287" s="87" t="s">
        <v>779</v>
      </c>
      <c r="C2287" s="88"/>
      <c r="D2287" s="92"/>
      <c r="E2287" s="89"/>
      <c r="F2287" s="89"/>
      <c r="G2287" s="89"/>
    </row>
    <row r="2288">
      <c r="A2288" s="93"/>
      <c r="B2288" s="87" t="s">
        <v>779</v>
      </c>
      <c r="C2288" s="88"/>
      <c r="D2288" s="92"/>
      <c r="E2288" s="89"/>
      <c r="F2288" s="89"/>
      <c r="G2288" s="89"/>
    </row>
    <row r="2289">
      <c r="A2289" s="93"/>
      <c r="B2289" s="87" t="s">
        <v>779</v>
      </c>
      <c r="C2289" s="88"/>
      <c r="D2289" s="92"/>
      <c r="E2289" s="89"/>
      <c r="F2289" s="89"/>
      <c r="G2289" s="89"/>
    </row>
    <row r="2290">
      <c r="A2290" s="93"/>
      <c r="B2290" s="87" t="s">
        <v>779</v>
      </c>
      <c r="C2290" s="88"/>
      <c r="D2290" s="92"/>
      <c r="E2290" s="89"/>
      <c r="F2290" s="89"/>
      <c r="G2290" s="89"/>
    </row>
    <row r="2291">
      <c r="A2291" s="93"/>
      <c r="B2291" s="87" t="s">
        <v>779</v>
      </c>
      <c r="C2291" s="88"/>
      <c r="D2291" s="92"/>
      <c r="E2291" s="89"/>
      <c r="F2291" s="89"/>
      <c r="G2291" s="89"/>
    </row>
    <row r="2292">
      <c r="A2292" s="93"/>
      <c r="B2292" s="87" t="s">
        <v>779</v>
      </c>
      <c r="C2292" s="88"/>
      <c r="D2292" s="92"/>
      <c r="E2292" s="89"/>
      <c r="F2292" s="89"/>
      <c r="G2292" s="89"/>
    </row>
    <row r="2293">
      <c r="A2293" s="93"/>
      <c r="B2293" s="87" t="s">
        <v>779</v>
      </c>
      <c r="C2293" s="88"/>
      <c r="D2293" s="92"/>
      <c r="E2293" s="89"/>
      <c r="F2293" s="89"/>
      <c r="G2293" s="89"/>
    </row>
    <row r="2294">
      <c r="A2294" s="93"/>
      <c r="B2294" s="87" t="s">
        <v>779</v>
      </c>
      <c r="C2294" s="88"/>
      <c r="D2294" s="92"/>
      <c r="E2294" s="89"/>
      <c r="F2294" s="89"/>
      <c r="G2294" s="89"/>
    </row>
    <row r="2295">
      <c r="A2295" s="93"/>
      <c r="B2295" s="87" t="s">
        <v>779</v>
      </c>
      <c r="C2295" s="88"/>
      <c r="D2295" s="92"/>
      <c r="E2295" s="89"/>
      <c r="F2295" s="89"/>
      <c r="G2295" s="89"/>
    </row>
    <row r="2296">
      <c r="A2296" s="93"/>
      <c r="B2296" s="87" t="s">
        <v>779</v>
      </c>
      <c r="C2296" s="88"/>
      <c r="D2296" s="92"/>
      <c r="E2296" s="89"/>
      <c r="F2296" s="89"/>
      <c r="G2296" s="89"/>
    </row>
    <row r="2297">
      <c r="A2297" s="93"/>
      <c r="B2297" s="87" t="s">
        <v>779</v>
      </c>
      <c r="C2297" s="88"/>
      <c r="D2297" s="92"/>
      <c r="E2297" s="89"/>
      <c r="F2297" s="89"/>
      <c r="G2297" s="89"/>
    </row>
    <row r="2298">
      <c r="A2298" s="93"/>
      <c r="B2298" s="87" t="s">
        <v>779</v>
      </c>
      <c r="C2298" s="88"/>
      <c r="D2298" s="92"/>
      <c r="E2298" s="89"/>
      <c r="F2298" s="89"/>
      <c r="G2298" s="89"/>
    </row>
    <row r="2299">
      <c r="A2299" s="93"/>
      <c r="B2299" s="87" t="s">
        <v>779</v>
      </c>
      <c r="C2299" s="88"/>
      <c r="D2299" s="92"/>
      <c r="E2299" s="89"/>
      <c r="F2299" s="89"/>
      <c r="G2299" s="89"/>
    </row>
    <row r="2300">
      <c r="A2300" s="93"/>
      <c r="B2300" s="87" t="s">
        <v>779</v>
      </c>
      <c r="C2300" s="88"/>
      <c r="D2300" s="92"/>
      <c r="E2300" s="89"/>
      <c r="F2300" s="89"/>
      <c r="G2300" s="89"/>
    </row>
    <row r="2301">
      <c r="A2301" s="93"/>
      <c r="B2301" s="87" t="s">
        <v>779</v>
      </c>
      <c r="C2301" s="88"/>
      <c r="D2301" s="92"/>
      <c r="E2301" s="89"/>
      <c r="F2301" s="89"/>
      <c r="G2301" s="89"/>
    </row>
    <row r="2302">
      <c r="A2302" s="93"/>
      <c r="B2302" s="87" t="s">
        <v>779</v>
      </c>
      <c r="C2302" s="88"/>
      <c r="D2302" s="92"/>
      <c r="E2302" s="89"/>
      <c r="F2302" s="89"/>
      <c r="G2302" s="89"/>
    </row>
    <row r="2303">
      <c r="A2303" s="93"/>
      <c r="B2303" s="87" t="s">
        <v>779</v>
      </c>
      <c r="C2303" s="88"/>
      <c r="D2303" s="92"/>
      <c r="E2303" s="89"/>
      <c r="F2303" s="89"/>
      <c r="G2303" s="89"/>
    </row>
    <row r="2304">
      <c r="A2304" s="93"/>
      <c r="B2304" s="87" t="s">
        <v>779</v>
      </c>
      <c r="C2304" s="88"/>
      <c r="D2304" s="92"/>
      <c r="E2304" s="89"/>
      <c r="F2304" s="89"/>
      <c r="G2304" s="89"/>
    </row>
    <row r="2305">
      <c r="A2305" s="93"/>
      <c r="B2305" s="87" t="s">
        <v>779</v>
      </c>
      <c r="C2305" s="88"/>
      <c r="D2305" s="92"/>
      <c r="E2305" s="89"/>
      <c r="F2305" s="89"/>
      <c r="G2305" s="89"/>
    </row>
    <row r="2306">
      <c r="A2306" s="93"/>
      <c r="B2306" s="87" t="s">
        <v>779</v>
      </c>
      <c r="C2306" s="88"/>
      <c r="D2306" s="92"/>
      <c r="E2306" s="89"/>
      <c r="F2306" s="89"/>
      <c r="G2306" s="89"/>
    </row>
    <row r="2307">
      <c r="A2307" s="93"/>
      <c r="B2307" s="87" t="s">
        <v>779</v>
      </c>
      <c r="C2307" s="88"/>
      <c r="D2307" s="92"/>
      <c r="E2307" s="89"/>
      <c r="F2307" s="89"/>
      <c r="G2307" s="89"/>
    </row>
    <row r="2308">
      <c r="A2308" s="93"/>
      <c r="B2308" s="87" t="s">
        <v>779</v>
      </c>
      <c r="C2308" s="88"/>
      <c r="D2308" s="92"/>
      <c r="E2308" s="89"/>
      <c r="F2308" s="89"/>
      <c r="G2308" s="89"/>
    </row>
    <row r="2309">
      <c r="A2309" s="93"/>
      <c r="B2309" s="87" t="s">
        <v>779</v>
      </c>
      <c r="C2309" s="88"/>
      <c r="D2309" s="92"/>
      <c r="E2309" s="89"/>
      <c r="F2309" s="89"/>
      <c r="G2309" s="89"/>
    </row>
    <row r="2310">
      <c r="A2310" s="93"/>
      <c r="B2310" s="87" t="s">
        <v>779</v>
      </c>
      <c r="C2310" s="88"/>
      <c r="D2310" s="92"/>
      <c r="E2310" s="89"/>
      <c r="F2310" s="89"/>
      <c r="G2310" s="89"/>
    </row>
    <row r="2311">
      <c r="A2311" s="93"/>
      <c r="B2311" s="87" t="s">
        <v>779</v>
      </c>
      <c r="C2311" s="88"/>
      <c r="D2311" s="92"/>
      <c r="E2311" s="89"/>
      <c r="F2311" s="89"/>
      <c r="G2311" s="89"/>
    </row>
    <row r="2312">
      <c r="A2312" s="93"/>
      <c r="B2312" s="87" t="s">
        <v>779</v>
      </c>
      <c r="C2312" s="88"/>
      <c r="D2312" s="92"/>
      <c r="E2312" s="89"/>
      <c r="F2312" s="89"/>
      <c r="G2312" s="89"/>
    </row>
    <row r="2313">
      <c r="A2313" s="93"/>
      <c r="B2313" s="87" t="s">
        <v>779</v>
      </c>
      <c r="C2313" s="88"/>
      <c r="D2313" s="92"/>
      <c r="E2313" s="89"/>
      <c r="F2313" s="89"/>
      <c r="G2313" s="89"/>
    </row>
    <row r="2314">
      <c r="A2314" s="93"/>
      <c r="B2314" s="87" t="s">
        <v>779</v>
      </c>
      <c r="C2314" s="88"/>
      <c r="D2314" s="92"/>
      <c r="E2314" s="89"/>
      <c r="F2314" s="89"/>
      <c r="G2314" s="89"/>
    </row>
    <row r="2315">
      <c r="A2315" s="93"/>
      <c r="B2315" s="87" t="s">
        <v>779</v>
      </c>
      <c r="C2315" s="88"/>
      <c r="D2315" s="92"/>
      <c r="E2315" s="89"/>
      <c r="F2315" s="89"/>
      <c r="G2315" s="89"/>
    </row>
    <row r="2316">
      <c r="A2316" s="93"/>
      <c r="B2316" s="87" t="s">
        <v>779</v>
      </c>
      <c r="C2316" s="88"/>
      <c r="D2316" s="92"/>
      <c r="E2316" s="89"/>
      <c r="F2316" s="89"/>
      <c r="G2316" s="89"/>
    </row>
    <row r="2317">
      <c r="A2317" s="93"/>
      <c r="B2317" s="87" t="s">
        <v>779</v>
      </c>
      <c r="C2317" s="88"/>
      <c r="D2317" s="92"/>
      <c r="E2317" s="89"/>
      <c r="F2317" s="89"/>
      <c r="G2317" s="89"/>
    </row>
    <row r="2318">
      <c r="A2318" s="93"/>
      <c r="B2318" s="87" t="s">
        <v>779</v>
      </c>
      <c r="C2318" s="88"/>
      <c r="D2318" s="92"/>
      <c r="E2318" s="89"/>
      <c r="F2318" s="89"/>
      <c r="G2318" s="89"/>
    </row>
    <row r="2319">
      <c r="A2319" s="93"/>
      <c r="B2319" s="87" t="s">
        <v>779</v>
      </c>
      <c r="C2319" s="88"/>
      <c r="D2319" s="92"/>
      <c r="E2319" s="89"/>
      <c r="F2319" s="89"/>
      <c r="G2319" s="89"/>
    </row>
    <row r="2320">
      <c r="A2320" s="93"/>
      <c r="B2320" s="87" t="s">
        <v>779</v>
      </c>
      <c r="C2320" s="88"/>
      <c r="D2320" s="92"/>
      <c r="E2320" s="89"/>
      <c r="F2320" s="89"/>
      <c r="G2320" s="89"/>
    </row>
    <row r="2321">
      <c r="A2321" s="93"/>
      <c r="B2321" s="87" t="s">
        <v>779</v>
      </c>
      <c r="C2321" s="88"/>
      <c r="D2321" s="92"/>
      <c r="E2321" s="89"/>
      <c r="F2321" s="89"/>
      <c r="G2321" s="89"/>
    </row>
    <row r="2322">
      <c r="A2322" s="93"/>
      <c r="B2322" s="87" t="s">
        <v>779</v>
      </c>
      <c r="C2322" s="88"/>
      <c r="D2322" s="92"/>
      <c r="E2322" s="89"/>
      <c r="F2322" s="89"/>
      <c r="G2322" s="89"/>
    </row>
    <row r="2323">
      <c r="A2323" s="93"/>
      <c r="B2323" s="87" t="s">
        <v>779</v>
      </c>
      <c r="C2323" s="88"/>
      <c r="D2323" s="92"/>
      <c r="E2323" s="89"/>
      <c r="F2323" s="89"/>
      <c r="G2323" s="89"/>
    </row>
    <row r="2324">
      <c r="A2324" s="93"/>
      <c r="B2324" s="87" t="s">
        <v>779</v>
      </c>
      <c r="C2324" s="88"/>
      <c r="D2324" s="92"/>
      <c r="E2324" s="89"/>
      <c r="F2324" s="89"/>
      <c r="G2324" s="89"/>
    </row>
    <row r="2325">
      <c r="A2325" s="93"/>
      <c r="B2325" s="87" t="s">
        <v>779</v>
      </c>
      <c r="C2325" s="88"/>
      <c r="D2325" s="92"/>
      <c r="E2325" s="89"/>
      <c r="F2325" s="89"/>
      <c r="G2325" s="89"/>
    </row>
    <row r="2326">
      <c r="A2326" s="93"/>
      <c r="B2326" s="87" t="s">
        <v>779</v>
      </c>
      <c r="C2326" s="88"/>
      <c r="D2326" s="92"/>
      <c r="E2326" s="89"/>
      <c r="F2326" s="89"/>
      <c r="G2326" s="89"/>
    </row>
    <row r="2327">
      <c r="A2327" s="93"/>
      <c r="B2327" s="87" t="s">
        <v>779</v>
      </c>
      <c r="C2327" s="88"/>
      <c r="D2327" s="92"/>
      <c r="E2327" s="89"/>
      <c r="F2327" s="89"/>
      <c r="G2327" s="89"/>
    </row>
    <row r="2328">
      <c r="A2328" s="93"/>
      <c r="B2328" s="87" t="s">
        <v>779</v>
      </c>
      <c r="C2328" s="88"/>
      <c r="D2328" s="92"/>
      <c r="E2328" s="89"/>
      <c r="F2328" s="89"/>
      <c r="G2328" s="89"/>
    </row>
    <row r="2329">
      <c r="A2329" s="93"/>
      <c r="B2329" s="87" t="s">
        <v>779</v>
      </c>
      <c r="C2329" s="88"/>
      <c r="D2329" s="92"/>
      <c r="E2329" s="89"/>
      <c r="F2329" s="89"/>
      <c r="G2329" s="89"/>
    </row>
    <row r="2330">
      <c r="A2330" s="93"/>
      <c r="B2330" s="87" t="s">
        <v>779</v>
      </c>
      <c r="C2330" s="88"/>
      <c r="D2330" s="92"/>
      <c r="E2330" s="89"/>
      <c r="F2330" s="89"/>
      <c r="G2330" s="89"/>
    </row>
    <row r="2331">
      <c r="A2331" s="93"/>
      <c r="B2331" s="87" t="s">
        <v>779</v>
      </c>
      <c r="C2331" s="88"/>
      <c r="D2331" s="92"/>
      <c r="E2331" s="89"/>
      <c r="F2331" s="89"/>
      <c r="G2331" s="89"/>
    </row>
    <row r="2332">
      <c r="A2332" s="93"/>
      <c r="B2332" s="87" t="s">
        <v>779</v>
      </c>
      <c r="C2332" s="88"/>
      <c r="D2332" s="92"/>
      <c r="E2332" s="89"/>
      <c r="F2332" s="89"/>
      <c r="G2332" s="89"/>
    </row>
    <row r="2333">
      <c r="A2333" s="93"/>
      <c r="B2333" s="87" t="s">
        <v>779</v>
      </c>
      <c r="C2333" s="88"/>
      <c r="D2333" s="92"/>
      <c r="E2333" s="89"/>
      <c r="F2333" s="89"/>
      <c r="G2333" s="89"/>
    </row>
    <row r="2334">
      <c r="A2334" s="93"/>
      <c r="B2334" s="87" t="s">
        <v>779</v>
      </c>
      <c r="C2334" s="88"/>
      <c r="D2334" s="92"/>
      <c r="E2334" s="89"/>
      <c r="F2334" s="89"/>
      <c r="G2334" s="89"/>
    </row>
    <row r="2335">
      <c r="A2335" s="93"/>
      <c r="B2335" s="87" t="s">
        <v>779</v>
      </c>
      <c r="C2335" s="88"/>
      <c r="D2335" s="92"/>
      <c r="E2335" s="89"/>
      <c r="F2335" s="89"/>
      <c r="G2335" s="89"/>
    </row>
    <row r="2336">
      <c r="A2336" s="93"/>
      <c r="B2336" s="87" t="s">
        <v>779</v>
      </c>
      <c r="C2336" s="88"/>
      <c r="D2336" s="92"/>
      <c r="E2336" s="89"/>
      <c r="F2336" s="89"/>
      <c r="G2336" s="89"/>
    </row>
    <row r="2337">
      <c r="A2337" s="93"/>
      <c r="B2337" s="87" t="s">
        <v>779</v>
      </c>
      <c r="C2337" s="88"/>
      <c r="D2337" s="92"/>
      <c r="E2337" s="89"/>
      <c r="F2337" s="89"/>
      <c r="G2337" s="89"/>
    </row>
    <row r="2338">
      <c r="A2338" s="93"/>
      <c r="B2338" s="87" t="s">
        <v>779</v>
      </c>
      <c r="C2338" s="88"/>
      <c r="D2338" s="92"/>
      <c r="E2338" s="89"/>
      <c r="F2338" s="89"/>
      <c r="G2338" s="89"/>
    </row>
    <row r="2339">
      <c r="A2339" s="93"/>
      <c r="B2339" s="87" t="s">
        <v>779</v>
      </c>
      <c r="C2339" s="88"/>
      <c r="D2339" s="92"/>
      <c r="E2339" s="89"/>
      <c r="F2339" s="89"/>
      <c r="G2339" s="89"/>
    </row>
    <row r="2340">
      <c r="A2340" s="93"/>
      <c r="B2340" s="87" t="s">
        <v>779</v>
      </c>
      <c r="C2340" s="88"/>
      <c r="D2340" s="92"/>
      <c r="E2340" s="89"/>
      <c r="F2340" s="89"/>
      <c r="G2340" s="89"/>
    </row>
    <row r="2341">
      <c r="A2341" s="93"/>
      <c r="B2341" s="87" t="s">
        <v>779</v>
      </c>
      <c r="C2341" s="88"/>
      <c r="D2341" s="92"/>
      <c r="E2341" s="89"/>
      <c r="F2341" s="89"/>
      <c r="G2341" s="89"/>
    </row>
    <row r="2342">
      <c r="A2342" s="93"/>
      <c r="B2342" s="87" t="s">
        <v>779</v>
      </c>
      <c r="C2342" s="88"/>
      <c r="D2342" s="92"/>
      <c r="E2342" s="89"/>
      <c r="F2342" s="89"/>
      <c r="G2342" s="89"/>
    </row>
    <row r="2343">
      <c r="A2343" s="93"/>
      <c r="B2343" s="87" t="s">
        <v>779</v>
      </c>
      <c r="C2343" s="88"/>
      <c r="D2343" s="92"/>
      <c r="E2343" s="89"/>
      <c r="F2343" s="89"/>
      <c r="G2343" s="89"/>
    </row>
    <row r="2344">
      <c r="A2344" s="93"/>
      <c r="B2344" s="87" t="s">
        <v>779</v>
      </c>
      <c r="C2344" s="88"/>
      <c r="D2344" s="92"/>
      <c r="E2344" s="89"/>
      <c r="F2344" s="89"/>
      <c r="G2344" s="89"/>
    </row>
    <row r="2345">
      <c r="A2345" s="93"/>
      <c r="B2345" s="87" t="s">
        <v>779</v>
      </c>
      <c r="C2345" s="88"/>
      <c r="D2345" s="92"/>
      <c r="E2345" s="89"/>
      <c r="F2345" s="89"/>
      <c r="G2345" s="89"/>
    </row>
    <row r="2346">
      <c r="A2346" s="93"/>
      <c r="B2346" s="87" t="s">
        <v>779</v>
      </c>
      <c r="C2346" s="88"/>
      <c r="D2346" s="92"/>
      <c r="E2346" s="89"/>
      <c r="F2346" s="89"/>
      <c r="G2346" s="89"/>
    </row>
    <row r="2347">
      <c r="A2347" s="93"/>
      <c r="B2347" s="87" t="s">
        <v>779</v>
      </c>
      <c r="C2347" s="88"/>
      <c r="D2347" s="92"/>
      <c r="E2347" s="89"/>
      <c r="F2347" s="89"/>
      <c r="G2347" s="89"/>
    </row>
    <row r="2348">
      <c r="A2348" s="93"/>
      <c r="B2348" s="87" t="s">
        <v>779</v>
      </c>
      <c r="C2348" s="88"/>
      <c r="D2348" s="92"/>
      <c r="E2348" s="89"/>
      <c r="F2348" s="89"/>
      <c r="G2348" s="89"/>
    </row>
    <row r="2349">
      <c r="A2349" s="93"/>
      <c r="B2349" s="87" t="s">
        <v>779</v>
      </c>
      <c r="C2349" s="88"/>
      <c r="D2349" s="92"/>
      <c r="E2349" s="89"/>
      <c r="F2349" s="89"/>
      <c r="G2349" s="89"/>
    </row>
    <row r="2350">
      <c r="A2350" s="93"/>
      <c r="B2350" s="87" t="s">
        <v>779</v>
      </c>
      <c r="C2350" s="88"/>
      <c r="D2350" s="92"/>
      <c r="E2350" s="89"/>
      <c r="F2350" s="89"/>
      <c r="G2350" s="89"/>
    </row>
    <row r="2351">
      <c r="A2351" s="93"/>
      <c r="B2351" s="87" t="s">
        <v>779</v>
      </c>
      <c r="C2351" s="88"/>
      <c r="D2351" s="92"/>
      <c r="E2351" s="89"/>
      <c r="F2351" s="89"/>
      <c r="G2351" s="89"/>
    </row>
    <row r="2352">
      <c r="A2352" s="93"/>
      <c r="B2352" s="87" t="s">
        <v>779</v>
      </c>
      <c r="C2352" s="88"/>
      <c r="D2352" s="92"/>
      <c r="E2352" s="89"/>
      <c r="F2352" s="89"/>
      <c r="G2352" s="89"/>
    </row>
    <row r="2353">
      <c r="A2353" s="93"/>
      <c r="B2353" s="87" t="s">
        <v>779</v>
      </c>
      <c r="C2353" s="88"/>
      <c r="D2353" s="92"/>
      <c r="E2353" s="89"/>
      <c r="F2353" s="89"/>
      <c r="G2353" s="89"/>
    </row>
    <row r="2354">
      <c r="A2354" s="93"/>
      <c r="B2354" s="87" t="s">
        <v>779</v>
      </c>
      <c r="C2354" s="88"/>
      <c r="D2354" s="92"/>
      <c r="E2354" s="89"/>
      <c r="F2354" s="89"/>
      <c r="G2354" s="89"/>
    </row>
    <row r="2355">
      <c r="A2355" s="93"/>
      <c r="B2355" s="87" t="s">
        <v>779</v>
      </c>
      <c r="C2355" s="88"/>
      <c r="D2355" s="92"/>
      <c r="E2355" s="89"/>
      <c r="F2355" s="89"/>
      <c r="G2355" s="89"/>
    </row>
    <row r="2356">
      <c r="A2356" s="93"/>
      <c r="B2356" s="87" t="s">
        <v>779</v>
      </c>
      <c r="C2356" s="88"/>
      <c r="D2356" s="92"/>
      <c r="E2356" s="89"/>
      <c r="F2356" s="89"/>
      <c r="G2356" s="89"/>
    </row>
    <row r="2357">
      <c r="A2357" s="93"/>
      <c r="B2357" s="87" t="s">
        <v>779</v>
      </c>
      <c r="C2357" s="88"/>
      <c r="D2357" s="92"/>
      <c r="E2357" s="89"/>
      <c r="F2357" s="89"/>
      <c r="G2357" s="89"/>
    </row>
    <row r="2358">
      <c r="A2358" s="93"/>
      <c r="B2358" s="87" t="s">
        <v>779</v>
      </c>
      <c r="C2358" s="88"/>
      <c r="D2358" s="92"/>
      <c r="E2358" s="89"/>
      <c r="F2358" s="89"/>
      <c r="G2358" s="89"/>
    </row>
    <row r="2359">
      <c r="A2359" s="93"/>
      <c r="B2359" s="87" t="s">
        <v>779</v>
      </c>
      <c r="C2359" s="88"/>
      <c r="D2359" s="92"/>
      <c r="E2359" s="89"/>
      <c r="F2359" s="89"/>
      <c r="G2359" s="89"/>
    </row>
    <row r="2360">
      <c r="A2360" s="93"/>
      <c r="B2360" s="87" t="s">
        <v>779</v>
      </c>
      <c r="C2360" s="88"/>
      <c r="D2360" s="92"/>
      <c r="E2360" s="89"/>
      <c r="F2360" s="89"/>
      <c r="G2360" s="89"/>
    </row>
    <row r="2361">
      <c r="A2361" s="93"/>
      <c r="B2361" s="87" t="s">
        <v>779</v>
      </c>
      <c r="C2361" s="88"/>
      <c r="D2361" s="92"/>
      <c r="E2361" s="89"/>
      <c r="F2361" s="89"/>
      <c r="G2361" s="89"/>
    </row>
    <row r="2362">
      <c r="A2362" s="93"/>
      <c r="B2362" s="87" t="s">
        <v>779</v>
      </c>
      <c r="C2362" s="88"/>
      <c r="D2362" s="92"/>
      <c r="E2362" s="89"/>
      <c r="F2362" s="89"/>
      <c r="G2362" s="89"/>
    </row>
    <row r="2363">
      <c r="A2363" s="93"/>
      <c r="B2363" s="87" t="s">
        <v>779</v>
      </c>
      <c r="C2363" s="88"/>
      <c r="D2363" s="92"/>
      <c r="E2363" s="89"/>
      <c r="F2363" s="89"/>
      <c r="G2363" s="89"/>
    </row>
    <row r="2364">
      <c r="A2364" s="93"/>
      <c r="B2364" s="87" t="s">
        <v>779</v>
      </c>
      <c r="C2364" s="88"/>
      <c r="D2364" s="92"/>
      <c r="E2364" s="89"/>
      <c r="F2364" s="89"/>
      <c r="G2364" s="89"/>
    </row>
    <row r="2365">
      <c r="A2365" s="93"/>
      <c r="B2365" s="87" t="s">
        <v>779</v>
      </c>
      <c r="C2365" s="88"/>
      <c r="D2365" s="92"/>
      <c r="E2365" s="89"/>
      <c r="F2365" s="89"/>
      <c r="G2365" s="89"/>
    </row>
    <row r="2366">
      <c r="A2366" s="93"/>
      <c r="B2366" s="87" t="s">
        <v>779</v>
      </c>
      <c r="C2366" s="88"/>
      <c r="D2366" s="92"/>
      <c r="E2366" s="89"/>
      <c r="F2366" s="89"/>
      <c r="G2366" s="89"/>
    </row>
    <row r="2367">
      <c r="A2367" s="93"/>
      <c r="B2367" s="87" t="s">
        <v>779</v>
      </c>
      <c r="C2367" s="88"/>
      <c r="D2367" s="92"/>
      <c r="E2367" s="89"/>
      <c r="F2367" s="89"/>
      <c r="G2367" s="89"/>
    </row>
    <row r="2368">
      <c r="A2368" s="93"/>
      <c r="B2368" s="87" t="s">
        <v>779</v>
      </c>
      <c r="C2368" s="88"/>
      <c r="D2368" s="92"/>
      <c r="E2368" s="89"/>
      <c r="F2368" s="89"/>
      <c r="G2368" s="89"/>
    </row>
    <row r="2369">
      <c r="A2369" s="93"/>
      <c r="B2369" s="87" t="s">
        <v>779</v>
      </c>
      <c r="C2369" s="88"/>
      <c r="D2369" s="92"/>
      <c r="E2369" s="89"/>
      <c r="F2369" s="89"/>
      <c r="G2369" s="89"/>
    </row>
    <row r="2370">
      <c r="A2370" s="93"/>
      <c r="B2370" s="87" t="s">
        <v>779</v>
      </c>
      <c r="C2370" s="88"/>
      <c r="D2370" s="92"/>
      <c r="E2370" s="89"/>
      <c r="F2370" s="89"/>
      <c r="G2370" s="89"/>
    </row>
    <row r="2371">
      <c r="A2371" s="93"/>
      <c r="B2371" s="87" t="s">
        <v>779</v>
      </c>
      <c r="C2371" s="88"/>
      <c r="D2371" s="92"/>
      <c r="E2371" s="89"/>
      <c r="F2371" s="89"/>
      <c r="G2371" s="89"/>
    </row>
    <row r="2372">
      <c r="A2372" s="93"/>
      <c r="B2372" s="87" t="s">
        <v>779</v>
      </c>
      <c r="C2372" s="88"/>
      <c r="D2372" s="92"/>
      <c r="E2372" s="89"/>
      <c r="F2372" s="89"/>
      <c r="G2372" s="89"/>
    </row>
    <row r="2373">
      <c r="A2373" s="93"/>
      <c r="B2373" s="87" t="s">
        <v>779</v>
      </c>
      <c r="C2373" s="88"/>
      <c r="D2373" s="92"/>
      <c r="E2373" s="89"/>
      <c r="F2373" s="89"/>
      <c r="G2373" s="89"/>
    </row>
    <row r="2374">
      <c r="A2374" s="93"/>
      <c r="B2374" s="87" t="s">
        <v>779</v>
      </c>
      <c r="C2374" s="88"/>
      <c r="D2374" s="92"/>
      <c r="E2374" s="89"/>
      <c r="F2374" s="89"/>
      <c r="G2374" s="89"/>
    </row>
    <row r="2375">
      <c r="A2375" s="93"/>
      <c r="B2375" s="87" t="s">
        <v>779</v>
      </c>
      <c r="C2375" s="88"/>
      <c r="D2375" s="92"/>
      <c r="E2375" s="89"/>
      <c r="F2375" s="89"/>
      <c r="G2375" s="89"/>
    </row>
    <row r="2376">
      <c r="A2376" s="93"/>
      <c r="B2376" s="87" t="s">
        <v>779</v>
      </c>
      <c r="C2376" s="88"/>
      <c r="D2376" s="92"/>
      <c r="E2376" s="89"/>
      <c r="F2376" s="89"/>
      <c r="G2376" s="89"/>
    </row>
    <row r="2377">
      <c r="A2377" s="93"/>
      <c r="B2377" s="87" t="s">
        <v>779</v>
      </c>
      <c r="C2377" s="88"/>
      <c r="D2377" s="92"/>
      <c r="E2377" s="89"/>
      <c r="F2377" s="89"/>
      <c r="G2377" s="89"/>
    </row>
    <row r="2378">
      <c r="A2378" s="93"/>
      <c r="B2378" s="87" t="s">
        <v>779</v>
      </c>
      <c r="C2378" s="88"/>
      <c r="D2378" s="92"/>
      <c r="E2378" s="89"/>
      <c r="F2378" s="89"/>
      <c r="G2378" s="89"/>
    </row>
    <row r="2379">
      <c r="A2379" s="93"/>
      <c r="B2379" s="87" t="s">
        <v>779</v>
      </c>
      <c r="C2379" s="88"/>
      <c r="D2379" s="92"/>
      <c r="E2379" s="89"/>
      <c r="F2379" s="89"/>
      <c r="G2379" s="89"/>
    </row>
    <row r="2380">
      <c r="A2380" s="93"/>
      <c r="B2380" s="87" t="s">
        <v>779</v>
      </c>
      <c r="C2380" s="88"/>
      <c r="D2380" s="92"/>
      <c r="E2380" s="89"/>
      <c r="F2380" s="89"/>
      <c r="G2380" s="89"/>
    </row>
    <row r="2381">
      <c r="A2381" s="93"/>
      <c r="B2381" s="87" t="s">
        <v>779</v>
      </c>
      <c r="C2381" s="88"/>
      <c r="D2381" s="92"/>
      <c r="E2381" s="89"/>
      <c r="F2381" s="89"/>
      <c r="G2381" s="89"/>
    </row>
    <row r="2382">
      <c r="A2382" s="93"/>
      <c r="B2382" s="87" t="s">
        <v>779</v>
      </c>
      <c r="C2382" s="88"/>
      <c r="D2382" s="92"/>
      <c r="E2382" s="89"/>
      <c r="F2382" s="89"/>
      <c r="G2382" s="89"/>
    </row>
    <row r="2383">
      <c r="A2383" s="93"/>
      <c r="B2383" s="87" t="s">
        <v>779</v>
      </c>
      <c r="C2383" s="88"/>
      <c r="D2383" s="92"/>
      <c r="E2383" s="89"/>
      <c r="F2383" s="89"/>
      <c r="G2383" s="89"/>
    </row>
    <row r="2384">
      <c r="A2384" s="93"/>
      <c r="B2384" s="87" t="s">
        <v>779</v>
      </c>
      <c r="C2384" s="88"/>
      <c r="D2384" s="92"/>
      <c r="E2384" s="89"/>
      <c r="F2384" s="89"/>
      <c r="G2384" s="89"/>
    </row>
    <row r="2385">
      <c r="A2385" s="93"/>
      <c r="B2385" s="87" t="s">
        <v>779</v>
      </c>
      <c r="C2385" s="88"/>
      <c r="D2385" s="92"/>
      <c r="E2385" s="89"/>
      <c r="F2385" s="89"/>
      <c r="G2385" s="89"/>
    </row>
    <row r="2386">
      <c r="A2386" s="93"/>
      <c r="B2386" s="87" t="s">
        <v>779</v>
      </c>
      <c r="C2386" s="88"/>
      <c r="D2386" s="92"/>
      <c r="E2386" s="89"/>
      <c r="F2386" s="89"/>
      <c r="G2386" s="89"/>
    </row>
    <row r="2387">
      <c r="A2387" s="93"/>
      <c r="B2387" s="87" t="s">
        <v>779</v>
      </c>
      <c r="C2387" s="88"/>
      <c r="D2387" s="92"/>
      <c r="E2387" s="89"/>
      <c r="F2387" s="89"/>
      <c r="G2387" s="89"/>
    </row>
    <row r="2388">
      <c r="A2388" s="93"/>
      <c r="B2388" s="87" t="s">
        <v>779</v>
      </c>
      <c r="C2388" s="88"/>
      <c r="D2388" s="92"/>
      <c r="E2388" s="89"/>
      <c r="F2388" s="89"/>
      <c r="G2388" s="89"/>
    </row>
    <row r="2389">
      <c r="A2389" s="93"/>
      <c r="B2389" s="87" t="s">
        <v>779</v>
      </c>
      <c r="C2389" s="88"/>
      <c r="D2389" s="92"/>
      <c r="E2389" s="89"/>
      <c r="F2389" s="89"/>
      <c r="G2389" s="89"/>
    </row>
    <row r="2390">
      <c r="A2390" s="93"/>
      <c r="B2390" s="87" t="s">
        <v>779</v>
      </c>
      <c r="C2390" s="88"/>
      <c r="D2390" s="92"/>
      <c r="E2390" s="89"/>
      <c r="F2390" s="89"/>
      <c r="G2390" s="89"/>
    </row>
    <row r="2391">
      <c r="A2391" s="93"/>
      <c r="B2391" s="87" t="s">
        <v>779</v>
      </c>
      <c r="C2391" s="88"/>
      <c r="D2391" s="92"/>
      <c r="E2391" s="89"/>
      <c r="F2391" s="89"/>
      <c r="G2391" s="89"/>
    </row>
    <row r="2392">
      <c r="A2392" s="93"/>
      <c r="B2392" s="87" t="s">
        <v>779</v>
      </c>
      <c r="C2392" s="88"/>
      <c r="D2392" s="92"/>
      <c r="E2392" s="89"/>
      <c r="F2392" s="89"/>
      <c r="G2392" s="89"/>
    </row>
    <row r="2393">
      <c r="A2393" s="93"/>
      <c r="B2393" s="87" t="s">
        <v>779</v>
      </c>
      <c r="C2393" s="88"/>
      <c r="D2393" s="92"/>
      <c r="E2393" s="89"/>
      <c r="F2393" s="89"/>
      <c r="G2393" s="89"/>
    </row>
    <row r="2394">
      <c r="A2394" s="93"/>
      <c r="B2394" s="87" t="s">
        <v>779</v>
      </c>
      <c r="C2394" s="88"/>
      <c r="D2394" s="92"/>
      <c r="E2394" s="89"/>
      <c r="F2394" s="89"/>
      <c r="G2394" s="89"/>
    </row>
    <row r="2395">
      <c r="A2395" s="93"/>
      <c r="B2395" s="87" t="s">
        <v>779</v>
      </c>
      <c r="C2395" s="88"/>
      <c r="D2395" s="92"/>
      <c r="E2395" s="89"/>
      <c r="F2395" s="89"/>
      <c r="G2395" s="89"/>
    </row>
    <row r="2396">
      <c r="A2396" s="93"/>
      <c r="B2396" s="87" t="s">
        <v>779</v>
      </c>
      <c r="C2396" s="88"/>
      <c r="D2396" s="92"/>
      <c r="E2396" s="89"/>
      <c r="F2396" s="89"/>
      <c r="G2396" s="89"/>
    </row>
    <row r="2397">
      <c r="A2397" s="93"/>
      <c r="B2397" s="87" t="s">
        <v>779</v>
      </c>
      <c r="C2397" s="88"/>
      <c r="D2397" s="92"/>
      <c r="E2397" s="89"/>
      <c r="F2397" s="89"/>
      <c r="G2397" s="89"/>
    </row>
    <row r="2398">
      <c r="A2398" s="93"/>
      <c r="B2398" s="87" t="s">
        <v>779</v>
      </c>
      <c r="C2398" s="88"/>
      <c r="D2398" s="92"/>
      <c r="E2398" s="89"/>
      <c r="F2398" s="89"/>
      <c r="G2398" s="89"/>
    </row>
    <row r="2399">
      <c r="A2399" s="93"/>
      <c r="B2399" s="87" t="s">
        <v>779</v>
      </c>
      <c r="C2399" s="88"/>
      <c r="D2399" s="92"/>
      <c r="E2399" s="89"/>
      <c r="F2399" s="89"/>
      <c r="G2399" s="89"/>
    </row>
    <row r="2400">
      <c r="A2400" s="93"/>
      <c r="B2400" s="87" t="s">
        <v>779</v>
      </c>
      <c r="C2400" s="88"/>
      <c r="D2400" s="92"/>
      <c r="E2400" s="89"/>
      <c r="F2400" s="89"/>
      <c r="G2400" s="89"/>
    </row>
    <row r="2401">
      <c r="A2401" s="93"/>
      <c r="B2401" s="87" t="s">
        <v>779</v>
      </c>
      <c r="C2401" s="88"/>
      <c r="D2401" s="92"/>
      <c r="E2401" s="89"/>
      <c r="F2401" s="89"/>
      <c r="G2401" s="89"/>
    </row>
    <row r="2402">
      <c r="A2402" s="93"/>
      <c r="B2402" s="87" t="s">
        <v>779</v>
      </c>
      <c r="C2402" s="88"/>
      <c r="D2402" s="92"/>
      <c r="E2402" s="89"/>
      <c r="F2402" s="89"/>
      <c r="G2402" s="89"/>
    </row>
    <row r="2403">
      <c r="A2403" s="93"/>
      <c r="B2403" s="87" t="s">
        <v>779</v>
      </c>
      <c r="C2403" s="88"/>
      <c r="D2403" s="92"/>
      <c r="E2403" s="89"/>
      <c r="F2403" s="89"/>
      <c r="G2403" s="89"/>
    </row>
    <row r="2404">
      <c r="A2404" s="93"/>
      <c r="B2404" s="87" t="s">
        <v>779</v>
      </c>
      <c r="C2404" s="88"/>
      <c r="D2404" s="92"/>
      <c r="E2404" s="89"/>
      <c r="F2404" s="89"/>
      <c r="G2404" s="89"/>
    </row>
    <row r="2405">
      <c r="A2405" s="93"/>
      <c r="B2405" s="87" t="s">
        <v>779</v>
      </c>
      <c r="C2405" s="88"/>
      <c r="D2405" s="92"/>
      <c r="E2405" s="89"/>
      <c r="F2405" s="89"/>
      <c r="G2405" s="89"/>
    </row>
    <row r="2406">
      <c r="A2406" s="93"/>
      <c r="B2406" s="87" t="s">
        <v>779</v>
      </c>
      <c r="C2406" s="88"/>
      <c r="D2406" s="92"/>
      <c r="E2406" s="89"/>
      <c r="F2406" s="89"/>
      <c r="G2406" s="89"/>
    </row>
    <row r="2407">
      <c r="A2407" s="93"/>
      <c r="B2407" s="87" t="s">
        <v>779</v>
      </c>
      <c r="C2407" s="88"/>
      <c r="D2407" s="92"/>
      <c r="E2407" s="89"/>
      <c r="F2407" s="89"/>
      <c r="G2407" s="89"/>
    </row>
    <row r="2408">
      <c r="A2408" s="93"/>
      <c r="B2408" s="87" t="s">
        <v>779</v>
      </c>
      <c r="C2408" s="88"/>
      <c r="D2408" s="92"/>
      <c r="E2408" s="89"/>
      <c r="F2408" s="89"/>
      <c r="G2408" s="89"/>
    </row>
    <row r="2409">
      <c r="A2409" s="93"/>
      <c r="B2409" s="87" t="s">
        <v>779</v>
      </c>
      <c r="C2409" s="88"/>
      <c r="D2409" s="92"/>
      <c r="E2409" s="89"/>
      <c r="F2409" s="89"/>
      <c r="G2409" s="89"/>
    </row>
    <row r="2410">
      <c r="A2410" s="93"/>
      <c r="B2410" s="87" t="s">
        <v>779</v>
      </c>
      <c r="C2410" s="88"/>
      <c r="D2410" s="92"/>
      <c r="E2410" s="89"/>
      <c r="F2410" s="89"/>
      <c r="G2410" s="89"/>
    </row>
    <row r="2411">
      <c r="A2411" s="93"/>
      <c r="B2411" s="87" t="s">
        <v>779</v>
      </c>
      <c r="C2411" s="88"/>
      <c r="D2411" s="92"/>
      <c r="E2411" s="89"/>
      <c r="F2411" s="89"/>
      <c r="G2411" s="89"/>
    </row>
    <row r="2412">
      <c r="A2412" s="93"/>
      <c r="B2412" s="87" t="s">
        <v>779</v>
      </c>
      <c r="C2412" s="88"/>
      <c r="D2412" s="92"/>
      <c r="E2412" s="89"/>
      <c r="F2412" s="89"/>
      <c r="G2412" s="89"/>
    </row>
    <row r="2413">
      <c r="A2413" s="93"/>
      <c r="B2413" s="87" t="s">
        <v>779</v>
      </c>
      <c r="C2413" s="88"/>
      <c r="D2413" s="92"/>
      <c r="E2413" s="89"/>
      <c r="F2413" s="89"/>
      <c r="G2413" s="89"/>
    </row>
    <row r="2414">
      <c r="A2414" s="93"/>
      <c r="B2414" s="87" t="s">
        <v>779</v>
      </c>
      <c r="C2414" s="88"/>
      <c r="D2414" s="92"/>
      <c r="E2414" s="89"/>
      <c r="F2414" s="89"/>
      <c r="G2414" s="89"/>
    </row>
    <row r="2415">
      <c r="A2415" s="93"/>
      <c r="B2415" s="87" t="s">
        <v>779</v>
      </c>
      <c r="C2415" s="88"/>
      <c r="D2415" s="92"/>
      <c r="E2415" s="89"/>
      <c r="F2415" s="89"/>
      <c r="G2415" s="89"/>
    </row>
    <row r="2416">
      <c r="A2416" s="93"/>
      <c r="B2416" s="87" t="s">
        <v>779</v>
      </c>
      <c r="C2416" s="88"/>
      <c r="D2416" s="92"/>
      <c r="E2416" s="89"/>
      <c r="F2416" s="89"/>
      <c r="G2416" s="89"/>
    </row>
    <row r="2417">
      <c r="A2417" s="93"/>
      <c r="B2417" s="87" t="s">
        <v>779</v>
      </c>
      <c r="C2417" s="88"/>
      <c r="D2417" s="92"/>
      <c r="E2417" s="89"/>
      <c r="F2417" s="89"/>
      <c r="G2417" s="89"/>
    </row>
    <row r="2418">
      <c r="A2418" s="93"/>
      <c r="B2418" s="87" t="s">
        <v>779</v>
      </c>
      <c r="C2418" s="88"/>
      <c r="D2418" s="92"/>
      <c r="E2418" s="89"/>
      <c r="F2418" s="89"/>
      <c r="G2418" s="89"/>
    </row>
    <row r="2419">
      <c r="A2419" s="93"/>
      <c r="B2419" s="87" t="s">
        <v>779</v>
      </c>
      <c r="C2419" s="88"/>
      <c r="D2419" s="92"/>
      <c r="E2419" s="89"/>
      <c r="F2419" s="89"/>
      <c r="G2419" s="89"/>
    </row>
    <row r="2420">
      <c r="A2420" s="93"/>
      <c r="B2420" s="87" t="s">
        <v>779</v>
      </c>
      <c r="C2420" s="88"/>
      <c r="D2420" s="92"/>
      <c r="E2420" s="89"/>
      <c r="F2420" s="89"/>
      <c r="G2420" s="89"/>
    </row>
    <row r="2421">
      <c r="A2421" s="93"/>
      <c r="B2421" s="87" t="s">
        <v>779</v>
      </c>
      <c r="C2421" s="88"/>
      <c r="D2421" s="92"/>
      <c r="E2421" s="89"/>
      <c r="F2421" s="89"/>
      <c r="G2421" s="89"/>
    </row>
    <row r="2422">
      <c r="A2422" s="93"/>
      <c r="B2422" s="87" t="s">
        <v>779</v>
      </c>
      <c r="C2422" s="88"/>
      <c r="D2422" s="92"/>
      <c r="E2422" s="89"/>
      <c r="F2422" s="89"/>
      <c r="G2422" s="89"/>
    </row>
    <row r="2423">
      <c r="A2423" s="93"/>
      <c r="B2423" s="87" t="s">
        <v>779</v>
      </c>
      <c r="C2423" s="88"/>
      <c r="D2423" s="92"/>
      <c r="E2423" s="89"/>
      <c r="F2423" s="89"/>
      <c r="G2423" s="89"/>
    </row>
    <row r="2424">
      <c r="A2424" s="93"/>
      <c r="B2424" s="87" t="s">
        <v>779</v>
      </c>
      <c r="C2424" s="88"/>
      <c r="D2424" s="92"/>
      <c r="E2424" s="89"/>
      <c r="F2424" s="89"/>
      <c r="G2424" s="89"/>
    </row>
    <row r="2425">
      <c r="A2425" s="93"/>
      <c r="B2425" s="87" t="s">
        <v>779</v>
      </c>
      <c r="C2425" s="88"/>
      <c r="D2425" s="92"/>
      <c r="E2425" s="89"/>
      <c r="F2425" s="89"/>
      <c r="G2425" s="89"/>
    </row>
    <row r="2426">
      <c r="A2426" s="93"/>
      <c r="B2426" s="87" t="s">
        <v>779</v>
      </c>
      <c r="C2426" s="88"/>
      <c r="D2426" s="92"/>
      <c r="E2426" s="89"/>
      <c r="F2426" s="89"/>
      <c r="G2426" s="89"/>
    </row>
    <row r="2427">
      <c r="A2427" s="93"/>
      <c r="B2427" s="87" t="s">
        <v>779</v>
      </c>
      <c r="C2427" s="88"/>
      <c r="D2427" s="92"/>
      <c r="E2427" s="89"/>
      <c r="F2427" s="89"/>
      <c r="G2427" s="89"/>
    </row>
    <row r="2428">
      <c r="A2428" s="93"/>
      <c r="B2428" s="87" t="s">
        <v>779</v>
      </c>
      <c r="C2428" s="88"/>
      <c r="D2428" s="92"/>
      <c r="E2428" s="89"/>
      <c r="F2428" s="89"/>
      <c r="G2428" s="89"/>
    </row>
    <row r="2429">
      <c r="A2429" s="93"/>
      <c r="B2429" s="87" t="s">
        <v>779</v>
      </c>
      <c r="C2429" s="88"/>
      <c r="D2429" s="92"/>
      <c r="E2429" s="89"/>
      <c r="F2429" s="89"/>
      <c r="G2429" s="89"/>
    </row>
    <row r="2430">
      <c r="A2430" s="93"/>
      <c r="B2430" s="87" t="s">
        <v>779</v>
      </c>
      <c r="C2430" s="88"/>
      <c r="D2430" s="92"/>
      <c r="E2430" s="89"/>
      <c r="F2430" s="89"/>
      <c r="G2430" s="89"/>
    </row>
    <row r="2431">
      <c r="A2431" s="93"/>
      <c r="B2431" s="87" t="s">
        <v>779</v>
      </c>
      <c r="C2431" s="88"/>
      <c r="D2431" s="92"/>
      <c r="E2431" s="89"/>
      <c r="F2431" s="89"/>
      <c r="G2431" s="89"/>
    </row>
    <row r="2432">
      <c r="A2432" s="93"/>
      <c r="B2432" s="87" t="s">
        <v>779</v>
      </c>
      <c r="C2432" s="88"/>
      <c r="D2432" s="92"/>
      <c r="E2432" s="89"/>
      <c r="F2432" s="89"/>
      <c r="G2432" s="89"/>
    </row>
    <row r="2433">
      <c r="A2433" s="93"/>
      <c r="B2433" s="87" t="s">
        <v>779</v>
      </c>
      <c r="C2433" s="88"/>
      <c r="D2433" s="92"/>
      <c r="E2433" s="89"/>
      <c r="F2433" s="89"/>
      <c r="G2433" s="89"/>
    </row>
    <row r="2434">
      <c r="A2434" s="93"/>
      <c r="B2434" s="87" t="s">
        <v>779</v>
      </c>
      <c r="C2434" s="88"/>
      <c r="D2434" s="92"/>
      <c r="E2434" s="89"/>
      <c r="F2434" s="89"/>
      <c r="G2434" s="89"/>
    </row>
    <row r="2435">
      <c r="A2435" s="93"/>
      <c r="B2435" s="87" t="s">
        <v>779</v>
      </c>
      <c r="C2435" s="88"/>
      <c r="D2435" s="92"/>
      <c r="E2435" s="89"/>
      <c r="F2435" s="89"/>
      <c r="G2435" s="89"/>
    </row>
    <row r="2436">
      <c r="A2436" s="93"/>
      <c r="B2436" s="87" t="s">
        <v>779</v>
      </c>
      <c r="C2436" s="88"/>
      <c r="D2436" s="92"/>
      <c r="E2436" s="89"/>
      <c r="F2436" s="89"/>
      <c r="G2436" s="89"/>
    </row>
    <row r="2437">
      <c r="A2437" s="93"/>
      <c r="B2437" s="87" t="s">
        <v>779</v>
      </c>
      <c r="C2437" s="88"/>
      <c r="D2437" s="92"/>
      <c r="E2437" s="89"/>
      <c r="F2437" s="89"/>
      <c r="G2437" s="89"/>
    </row>
    <row r="2438">
      <c r="A2438" s="93"/>
      <c r="B2438" s="87" t="s">
        <v>779</v>
      </c>
      <c r="C2438" s="88"/>
      <c r="D2438" s="92"/>
      <c r="E2438" s="89"/>
      <c r="F2438" s="89"/>
      <c r="G2438" s="89"/>
    </row>
    <row r="2439">
      <c r="A2439" s="93"/>
      <c r="B2439" s="87" t="s">
        <v>779</v>
      </c>
      <c r="C2439" s="88"/>
      <c r="D2439" s="92"/>
      <c r="E2439" s="89"/>
      <c r="F2439" s="89"/>
      <c r="G2439" s="89"/>
    </row>
    <row r="2440">
      <c r="A2440" s="93"/>
      <c r="B2440" s="87" t="s">
        <v>779</v>
      </c>
      <c r="C2440" s="88"/>
      <c r="D2440" s="92"/>
      <c r="E2440" s="89"/>
      <c r="F2440" s="89"/>
      <c r="G2440" s="89"/>
    </row>
    <row r="2441">
      <c r="A2441" s="93"/>
      <c r="B2441" s="87" t="s">
        <v>779</v>
      </c>
      <c r="C2441" s="88"/>
      <c r="D2441" s="92"/>
      <c r="E2441" s="89"/>
      <c r="F2441" s="89"/>
      <c r="G2441" s="89"/>
    </row>
    <row r="2442">
      <c r="A2442" s="93"/>
      <c r="B2442" s="87" t="s">
        <v>779</v>
      </c>
      <c r="C2442" s="88"/>
      <c r="D2442" s="92"/>
      <c r="E2442" s="89"/>
      <c r="F2442" s="89"/>
      <c r="G2442" s="89"/>
    </row>
    <row r="2443">
      <c r="A2443" s="93"/>
      <c r="B2443" s="87" t="s">
        <v>779</v>
      </c>
      <c r="C2443" s="88"/>
      <c r="D2443" s="92"/>
      <c r="E2443" s="89"/>
      <c r="F2443" s="89"/>
      <c r="G2443" s="89"/>
    </row>
    <row r="2444">
      <c r="A2444" s="93"/>
      <c r="B2444" s="87" t="s">
        <v>779</v>
      </c>
      <c r="C2444" s="88"/>
      <c r="D2444" s="92"/>
      <c r="E2444" s="89"/>
      <c r="F2444" s="89"/>
      <c r="G2444" s="89"/>
    </row>
    <row r="2445">
      <c r="A2445" s="93"/>
      <c r="B2445" s="87" t="s">
        <v>779</v>
      </c>
      <c r="C2445" s="88"/>
      <c r="D2445" s="92"/>
      <c r="E2445" s="89"/>
      <c r="F2445" s="89"/>
      <c r="G2445" s="89"/>
    </row>
    <row r="2446">
      <c r="A2446" s="93"/>
      <c r="B2446" s="87" t="s">
        <v>779</v>
      </c>
      <c r="C2446" s="88"/>
      <c r="D2446" s="92"/>
      <c r="E2446" s="89"/>
      <c r="F2446" s="89"/>
      <c r="G2446" s="89"/>
    </row>
    <row r="2447">
      <c r="A2447" s="93"/>
      <c r="B2447" s="87" t="s">
        <v>779</v>
      </c>
      <c r="C2447" s="88"/>
      <c r="D2447" s="92"/>
      <c r="E2447" s="89"/>
      <c r="F2447" s="89"/>
      <c r="G2447" s="89"/>
    </row>
    <row r="2448">
      <c r="A2448" s="93"/>
      <c r="B2448" s="87" t="s">
        <v>779</v>
      </c>
      <c r="C2448" s="88"/>
      <c r="D2448" s="92"/>
      <c r="E2448" s="89"/>
      <c r="F2448" s="89"/>
      <c r="G2448" s="89"/>
    </row>
    <row r="2449">
      <c r="A2449" s="93"/>
      <c r="B2449" s="87" t="s">
        <v>779</v>
      </c>
      <c r="C2449" s="88"/>
      <c r="D2449" s="92"/>
      <c r="E2449" s="89"/>
      <c r="F2449" s="89"/>
      <c r="G2449" s="89"/>
    </row>
    <row r="2450">
      <c r="A2450" s="93"/>
      <c r="B2450" s="87" t="s">
        <v>779</v>
      </c>
      <c r="C2450" s="88"/>
      <c r="D2450" s="92"/>
      <c r="E2450" s="89"/>
      <c r="F2450" s="89"/>
      <c r="G2450" s="89"/>
    </row>
    <row r="2451">
      <c r="A2451" s="93"/>
      <c r="B2451" s="87" t="s">
        <v>779</v>
      </c>
      <c r="C2451" s="88"/>
      <c r="D2451" s="92"/>
      <c r="E2451" s="89"/>
      <c r="F2451" s="89"/>
      <c r="G2451" s="89"/>
    </row>
    <row r="2452">
      <c r="A2452" s="93"/>
      <c r="B2452" s="87" t="s">
        <v>779</v>
      </c>
      <c r="C2452" s="88"/>
      <c r="D2452" s="92"/>
      <c r="E2452" s="89"/>
      <c r="F2452" s="89"/>
      <c r="G2452" s="89"/>
    </row>
    <row r="2453">
      <c r="A2453" s="93"/>
      <c r="B2453" s="87" t="s">
        <v>779</v>
      </c>
      <c r="C2453" s="88"/>
      <c r="D2453" s="92"/>
      <c r="E2453" s="89"/>
      <c r="F2453" s="89"/>
      <c r="G2453" s="89"/>
    </row>
    <row r="2454">
      <c r="A2454" s="93"/>
      <c r="B2454" s="87" t="s">
        <v>779</v>
      </c>
      <c r="C2454" s="88"/>
      <c r="D2454" s="92"/>
      <c r="E2454" s="89"/>
      <c r="F2454" s="89"/>
      <c r="G2454" s="89"/>
    </row>
    <row r="2455">
      <c r="A2455" s="93"/>
      <c r="B2455" s="87" t="s">
        <v>779</v>
      </c>
      <c r="C2455" s="88"/>
      <c r="D2455" s="92"/>
      <c r="E2455" s="89"/>
      <c r="F2455" s="89"/>
      <c r="G2455" s="89"/>
    </row>
    <row r="2456">
      <c r="A2456" s="93"/>
      <c r="B2456" s="87" t="s">
        <v>779</v>
      </c>
      <c r="C2456" s="88"/>
      <c r="D2456" s="92"/>
      <c r="E2456" s="89"/>
      <c r="F2456" s="89"/>
      <c r="G2456" s="89"/>
    </row>
    <row r="2457">
      <c r="A2457" s="93"/>
      <c r="B2457" s="87" t="s">
        <v>779</v>
      </c>
      <c r="C2457" s="88"/>
      <c r="D2457" s="92"/>
      <c r="E2457" s="89"/>
      <c r="F2457" s="89"/>
      <c r="G2457" s="89"/>
    </row>
    <row r="2458">
      <c r="A2458" s="93"/>
      <c r="B2458" s="87" t="s">
        <v>779</v>
      </c>
      <c r="C2458" s="88"/>
      <c r="D2458" s="92"/>
      <c r="E2458" s="89"/>
      <c r="F2458" s="89"/>
      <c r="G2458" s="89"/>
    </row>
    <row r="2459">
      <c r="A2459" s="93"/>
      <c r="B2459" s="87" t="s">
        <v>779</v>
      </c>
      <c r="C2459" s="88"/>
      <c r="D2459" s="92"/>
      <c r="E2459" s="89"/>
      <c r="F2459" s="89"/>
      <c r="G2459" s="89"/>
    </row>
    <row r="2460">
      <c r="A2460" s="93"/>
      <c r="B2460" s="87" t="s">
        <v>779</v>
      </c>
      <c r="C2460" s="88"/>
      <c r="D2460" s="92"/>
      <c r="E2460" s="89"/>
      <c r="F2460" s="89"/>
      <c r="G2460" s="89"/>
    </row>
    <row r="2461">
      <c r="A2461" s="93"/>
      <c r="B2461" s="87" t="s">
        <v>779</v>
      </c>
      <c r="C2461" s="88"/>
      <c r="D2461" s="92"/>
      <c r="E2461" s="89"/>
      <c r="F2461" s="89"/>
      <c r="G2461" s="89"/>
    </row>
    <row r="2462">
      <c r="A2462" s="93"/>
      <c r="B2462" s="87" t="s">
        <v>779</v>
      </c>
      <c r="C2462" s="88"/>
      <c r="D2462" s="92"/>
      <c r="E2462" s="89"/>
      <c r="F2462" s="89"/>
      <c r="G2462" s="89"/>
    </row>
    <row r="2463">
      <c r="A2463" s="93"/>
      <c r="B2463" s="87" t="s">
        <v>779</v>
      </c>
      <c r="C2463" s="88"/>
      <c r="D2463" s="92"/>
      <c r="E2463" s="89"/>
      <c r="F2463" s="89"/>
      <c r="G2463" s="89"/>
    </row>
    <row r="2464">
      <c r="A2464" s="93"/>
      <c r="B2464" s="87" t="s">
        <v>779</v>
      </c>
      <c r="C2464" s="88"/>
      <c r="D2464" s="92"/>
      <c r="E2464" s="89"/>
      <c r="F2464" s="89"/>
      <c r="G2464" s="89"/>
    </row>
    <row r="2465">
      <c r="A2465" s="93"/>
      <c r="B2465" s="87" t="s">
        <v>779</v>
      </c>
      <c r="C2465" s="88"/>
      <c r="D2465" s="92"/>
      <c r="E2465" s="89"/>
      <c r="F2465" s="89"/>
      <c r="G2465" s="89"/>
    </row>
    <row r="2466">
      <c r="A2466" s="93"/>
      <c r="B2466" s="87" t="s">
        <v>779</v>
      </c>
      <c r="C2466" s="88"/>
      <c r="D2466" s="92"/>
      <c r="E2466" s="89"/>
      <c r="F2466" s="89"/>
      <c r="G2466" s="89"/>
    </row>
    <row r="2467">
      <c r="A2467" s="93"/>
      <c r="B2467" s="87" t="s">
        <v>779</v>
      </c>
      <c r="C2467" s="88"/>
      <c r="D2467" s="92"/>
      <c r="E2467" s="89"/>
      <c r="F2467" s="89"/>
      <c r="G2467" s="89"/>
    </row>
    <row r="2468">
      <c r="A2468" s="93"/>
      <c r="B2468" s="87" t="s">
        <v>779</v>
      </c>
      <c r="C2468" s="88"/>
      <c r="D2468" s="92"/>
      <c r="E2468" s="89"/>
      <c r="F2468" s="89"/>
      <c r="G2468" s="89"/>
    </row>
    <row r="2469">
      <c r="A2469" s="93"/>
      <c r="B2469" s="87" t="s">
        <v>779</v>
      </c>
      <c r="C2469" s="88"/>
      <c r="D2469" s="92"/>
      <c r="E2469" s="89"/>
      <c r="F2469" s="89"/>
      <c r="G2469" s="89"/>
    </row>
    <row r="2470">
      <c r="A2470" s="93"/>
      <c r="B2470" s="87" t="s">
        <v>779</v>
      </c>
      <c r="C2470" s="88"/>
      <c r="D2470" s="92"/>
      <c r="E2470" s="89"/>
      <c r="F2470" s="89"/>
      <c r="G2470" s="89"/>
    </row>
    <row r="2471">
      <c r="A2471" s="93"/>
      <c r="B2471" s="87" t="s">
        <v>779</v>
      </c>
      <c r="C2471" s="88"/>
      <c r="D2471" s="92"/>
      <c r="E2471" s="89"/>
      <c r="F2471" s="89"/>
      <c r="G2471" s="89"/>
    </row>
    <row r="2472">
      <c r="A2472" s="93"/>
      <c r="B2472" s="87" t="s">
        <v>779</v>
      </c>
      <c r="C2472" s="88"/>
      <c r="D2472" s="92"/>
      <c r="E2472" s="89"/>
      <c r="F2472" s="89"/>
      <c r="G2472" s="89"/>
    </row>
    <row r="2473">
      <c r="A2473" s="93"/>
      <c r="B2473" s="87" t="s">
        <v>779</v>
      </c>
      <c r="C2473" s="88"/>
      <c r="D2473" s="92"/>
      <c r="E2473" s="89"/>
      <c r="F2473" s="89"/>
      <c r="G2473" s="89"/>
    </row>
    <row r="2474">
      <c r="A2474" s="93"/>
      <c r="B2474" s="87" t="s">
        <v>779</v>
      </c>
      <c r="C2474" s="88"/>
      <c r="D2474" s="92"/>
      <c r="E2474" s="89"/>
      <c r="F2474" s="89"/>
      <c r="G2474" s="89"/>
    </row>
    <row r="2475">
      <c r="A2475" s="93"/>
      <c r="B2475" s="87" t="s">
        <v>779</v>
      </c>
      <c r="C2475" s="88"/>
      <c r="D2475" s="92"/>
      <c r="E2475" s="89"/>
      <c r="F2475" s="89"/>
      <c r="G2475" s="89"/>
    </row>
    <row r="2476">
      <c r="A2476" s="93"/>
      <c r="B2476" s="87" t="s">
        <v>779</v>
      </c>
      <c r="C2476" s="88"/>
      <c r="D2476" s="92"/>
      <c r="E2476" s="89"/>
      <c r="F2476" s="89"/>
      <c r="G2476" s="89"/>
    </row>
    <row r="2477">
      <c r="A2477" s="93"/>
      <c r="B2477" s="87" t="s">
        <v>779</v>
      </c>
      <c r="C2477" s="88"/>
      <c r="D2477" s="92"/>
      <c r="E2477" s="89"/>
      <c r="F2477" s="89"/>
      <c r="G2477" s="89"/>
    </row>
    <row r="2478">
      <c r="A2478" s="93"/>
      <c r="B2478" s="87" t="s">
        <v>779</v>
      </c>
      <c r="C2478" s="88"/>
      <c r="D2478" s="92"/>
      <c r="E2478" s="89"/>
      <c r="F2478" s="89"/>
      <c r="G2478" s="89"/>
    </row>
    <row r="2479">
      <c r="A2479" s="93"/>
      <c r="B2479" s="87" t="s">
        <v>779</v>
      </c>
      <c r="C2479" s="88"/>
      <c r="D2479" s="92"/>
      <c r="E2479" s="89"/>
      <c r="F2479" s="89"/>
      <c r="G2479" s="89"/>
    </row>
    <row r="2480">
      <c r="A2480" s="93"/>
      <c r="B2480" s="87" t="s">
        <v>779</v>
      </c>
      <c r="C2480" s="88"/>
      <c r="D2480" s="92"/>
      <c r="E2480" s="89"/>
      <c r="F2480" s="89"/>
      <c r="G2480" s="89"/>
    </row>
    <row r="2481">
      <c r="A2481" s="93"/>
      <c r="B2481" s="87" t="s">
        <v>779</v>
      </c>
      <c r="C2481" s="88"/>
      <c r="D2481" s="92"/>
      <c r="E2481" s="89"/>
      <c r="F2481" s="89"/>
      <c r="G2481" s="89"/>
    </row>
    <row r="2482">
      <c r="A2482" s="93"/>
      <c r="B2482" s="87" t="s">
        <v>779</v>
      </c>
      <c r="C2482" s="88"/>
      <c r="D2482" s="92"/>
      <c r="E2482" s="89"/>
      <c r="F2482" s="89"/>
      <c r="G2482" s="89"/>
    </row>
    <row r="2483">
      <c r="A2483" s="93"/>
      <c r="B2483" s="87" t="s">
        <v>779</v>
      </c>
      <c r="C2483" s="88"/>
      <c r="D2483" s="92"/>
      <c r="E2483" s="89"/>
      <c r="F2483" s="89"/>
      <c r="G2483" s="89"/>
    </row>
    <row r="2484">
      <c r="A2484" s="93"/>
      <c r="B2484" s="87" t="s">
        <v>779</v>
      </c>
      <c r="C2484" s="88"/>
      <c r="D2484" s="92"/>
      <c r="E2484" s="89"/>
      <c r="F2484" s="89"/>
      <c r="G2484" s="89"/>
    </row>
    <row r="2485">
      <c r="A2485" s="93"/>
      <c r="B2485" s="87" t="s">
        <v>779</v>
      </c>
      <c r="C2485" s="88"/>
      <c r="D2485" s="92"/>
      <c r="E2485" s="89"/>
      <c r="F2485" s="89"/>
      <c r="G2485" s="89"/>
    </row>
    <row r="2486">
      <c r="A2486" s="93"/>
      <c r="B2486" s="87" t="s">
        <v>779</v>
      </c>
      <c r="C2486" s="88"/>
      <c r="D2486" s="92"/>
      <c r="E2486" s="89"/>
      <c r="F2486" s="89"/>
      <c r="G2486" s="89"/>
    </row>
    <row r="2487">
      <c r="A2487" s="93"/>
      <c r="B2487" s="87" t="s">
        <v>779</v>
      </c>
      <c r="C2487" s="88"/>
      <c r="D2487" s="92"/>
      <c r="E2487" s="89"/>
      <c r="F2487" s="89"/>
      <c r="G2487" s="89"/>
    </row>
    <row r="2488">
      <c r="A2488" s="93"/>
      <c r="B2488" s="87" t="s">
        <v>779</v>
      </c>
      <c r="C2488" s="88"/>
      <c r="D2488" s="92"/>
      <c r="E2488" s="89"/>
      <c r="F2488" s="89"/>
      <c r="G2488" s="89"/>
    </row>
    <row r="2489">
      <c r="A2489" s="93"/>
      <c r="B2489" s="87" t="s">
        <v>779</v>
      </c>
      <c r="C2489" s="88"/>
      <c r="D2489" s="92"/>
      <c r="E2489" s="89"/>
      <c r="F2489" s="89"/>
      <c r="G2489" s="89"/>
    </row>
    <row r="2490">
      <c r="A2490" s="93"/>
      <c r="B2490" s="87" t="s">
        <v>779</v>
      </c>
      <c r="C2490" s="88"/>
      <c r="D2490" s="92"/>
      <c r="E2490" s="89"/>
      <c r="F2490" s="89"/>
      <c r="G2490" s="89"/>
    </row>
    <row r="2491">
      <c r="A2491" s="93"/>
      <c r="B2491" s="87" t="s">
        <v>779</v>
      </c>
      <c r="C2491" s="88"/>
      <c r="D2491" s="92"/>
      <c r="E2491" s="89"/>
      <c r="F2491" s="89"/>
      <c r="G2491" s="89"/>
    </row>
    <row r="2492">
      <c r="A2492" s="93"/>
      <c r="B2492" s="87" t="s">
        <v>779</v>
      </c>
      <c r="C2492" s="88"/>
      <c r="D2492" s="92"/>
      <c r="E2492" s="89"/>
      <c r="F2492" s="89"/>
      <c r="G2492" s="89"/>
    </row>
    <row r="2493">
      <c r="A2493" s="93"/>
      <c r="B2493" s="87" t="s">
        <v>779</v>
      </c>
      <c r="C2493" s="88"/>
      <c r="D2493" s="92"/>
      <c r="E2493" s="89"/>
      <c r="F2493" s="89"/>
      <c r="G2493" s="89"/>
    </row>
    <row r="2494">
      <c r="A2494" s="93"/>
      <c r="B2494" s="87" t="s">
        <v>779</v>
      </c>
      <c r="C2494" s="88"/>
      <c r="D2494" s="92"/>
      <c r="E2494" s="89"/>
      <c r="F2494" s="89"/>
      <c r="G2494" s="89"/>
    </row>
    <row r="2495">
      <c r="A2495" s="93"/>
      <c r="B2495" s="87" t="s">
        <v>779</v>
      </c>
      <c r="C2495" s="88"/>
      <c r="D2495" s="92"/>
      <c r="E2495" s="89"/>
      <c r="F2495" s="89"/>
      <c r="G2495" s="89"/>
    </row>
    <row r="2496">
      <c r="A2496" s="93"/>
      <c r="B2496" s="87" t="s">
        <v>779</v>
      </c>
      <c r="C2496" s="88"/>
      <c r="D2496" s="92"/>
      <c r="E2496" s="89"/>
      <c r="F2496" s="89"/>
      <c r="G2496" s="89"/>
    </row>
    <row r="2497">
      <c r="A2497" s="93"/>
      <c r="B2497" s="87" t="s">
        <v>779</v>
      </c>
      <c r="C2497" s="88"/>
      <c r="D2497" s="92"/>
      <c r="E2497" s="89"/>
      <c r="F2497" s="89"/>
      <c r="G2497" s="89"/>
    </row>
    <row r="2498">
      <c r="A2498" s="93"/>
      <c r="B2498" s="87" t="s">
        <v>779</v>
      </c>
      <c r="C2498" s="88"/>
      <c r="D2498" s="92"/>
      <c r="E2498" s="89"/>
      <c r="F2498" s="89"/>
      <c r="G2498" s="89"/>
    </row>
    <row r="2499">
      <c r="A2499" s="93"/>
      <c r="B2499" s="87" t="s">
        <v>779</v>
      </c>
      <c r="C2499" s="88"/>
      <c r="D2499" s="92"/>
      <c r="E2499" s="89"/>
      <c r="F2499" s="89"/>
      <c r="G2499" s="89"/>
    </row>
    <row r="2500">
      <c r="A2500" s="93"/>
      <c r="B2500" s="87" t="s">
        <v>779</v>
      </c>
      <c r="C2500" s="88"/>
      <c r="D2500" s="92"/>
      <c r="E2500" s="89"/>
      <c r="F2500" s="89"/>
      <c r="G2500" s="89"/>
    </row>
    <row r="2501">
      <c r="A2501" s="93"/>
      <c r="B2501" s="87" t="s">
        <v>779</v>
      </c>
      <c r="C2501" s="88"/>
      <c r="D2501" s="92"/>
      <c r="E2501" s="89"/>
      <c r="F2501" s="89"/>
      <c r="G2501" s="89"/>
    </row>
    <row r="2502">
      <c r="A2502" s="93"/>
      <c r="B2502" s="87" t="s">
        <v>779</v>
      </c>
      <c r="C2502" s="88"/>
      <c r="D2502" s="92"/>
      <c r="E2502" s="89"/>
      <c r="F2502" s="89"/>
      <c r="G2502" s="89"/>
    </row>
    <row r="2503">
      <c r="A2503" s="93"/>
      <c r="B2503" s="87" t="s">
        <v>779</v>
      </c>
      <c r="C2503" s="88"/>
      <c r="D2503" s="92"/>
      <c r="E2503" s="89"/>
      <c r="F2503" s="89"/>
      <c r="G2503" s="89"/>
    </row>
    <row r="2504">
      <c r="A2504" s="93"/>
      <c r="B2504" s="87" t="s">
        <v>779</v>
      </c>
      <c r="C2504" s="88"/>
      <c r="D2504" s="92"/>
      <c r="E2504" s="89"/>
      <c r="F2504" s="89"/>
      <c r="G2504" s="89"/>
    </row>
    <row r="2505">
      <c r="A2505" s="93"/>
      <c r="B2505" s="87" t="s">
        <v>779</v>
      </c>
      <c r="C2505" s="88"/>
      <c r="D2505" s="92"/>
      <c r="E2505" s="89"/>
      <c r="F2505" s="89"/>
      <c r="G2505" s="89"/>
    </row>
    <row r="2506">
      <c r="A2506" s="93"/>
      <c r="B2506" s="87" t="s">
        <v>779</v>
      </c>
      <c r="C2506" s="88"/>
      <c r="D2506" s="92"/>
      <c r="E2506" s="89"/>
      <c r="F2506" s="89"/>
      <c r="G2506" s="89"/>
    </row>
    <row r="2507">
      <c r="A2507" s="93"/>
      <c r="B2507" s="87" t="s">
        <v>779</v>
      </c>
      <c r="C2507" s="88"/>
      <c r="D2507" s="92"/>
      <c r="E2507" s="89"/>
      <c r="F2507" s="89"/>
      <c r="G2507" s="89"/>
    </row>
    <row r="2508">
      <c r="A2508" s="93"/>
      <c r="B2508" s="87" t="s">
        <v>779</v>
      </c>
      <c r="C2508" s="88"/>
      <c r="D2508" s="92"/>
      <c r="E2508" s="89"/>
      <c r="F2508" s="89"/>
      <c r="G2508" s="89"/>
    </row>
    <row r="2509">
      <c r="A2509" s="93"/>
      <c r="B2509" s="87" t="s">
        <v>779</v>
      </c>
      <c r="C2509" s="88"/>
      <c r="D2509" s="92"/>
      <c r="E2509" s="89"/>
      <c r="F2509" s="89"/>
      <c r="G2509" s="89"/>
    </row>
    <row r="2510">
      <c r="A2510" s="93"/>
      <c r="B2510" s="87" t="s">
        <v>779</v>
      </c>
      <c r="C2510" s="88"/>
      <c r="D2510" s="92"/>
      <c r="E2510" s="89"/>
      <c r="F2510" s="89"/>
      <c r="G2510" s="89"/>
    </row>
    <row r="2511">
      <c r="A2511" s="93"/>
      <c r="B2511" s="87" t="s">
        <v>779</v>
      </c>
      <c r="C2511" s="88"/>
      <c r="D2511" s="92"/>
      <c r="E2511" s="89"/>
      <c r="F2511" s="89"/>
      <c r="G2511" s="89"/>
    </row>
    <row r="2512">
      <c r="A2512" s="93"/>
      <c r="B2512" s="87" t="s">
        <v>779</v>
      </c>
      <c r="C2512" s="88"/>
      <c r="D2512" s="92"/>
      <c r="E2512" s="89"/>
      <c r="F2512" s="89"/>
      <c r="G2512" s="89"/>
    </row>
    <row r="2513">
      <c r="A2513" s="93"/>
      <c r="B2513" s="87" t="s">
        <v>779</v>
      </c>
      <c r="C2513" s="88"/>
      <c r="D2513" s="92"/>
      <c r="E2513" s="89"/>
      <c r="F2513" s="89"/>
      <c r="G2513" s="89"/>
    </row>
    <row r="2514">
      <c r="A2514" s="93"/>
      <c r="B2514" s="87" t="s">
        <v>779</v>
      </c>
      <c r="C2514" s="88"/>
      <c r="D2514" s="92"/>
      <c r="E2514" s="89"/>
      <c r="F2514" s="89"/>
      <c r="G2514" s="89"/>
    </row>
    <row r="2515">
      <c r="A2515" s="93"/>
      <c r="B2515" s="87" t="s">
        <v>779</v>
      </c>
      <c r="C2515" s="88"/>
      <c r="D2515" s="92"/>
      <c r="E2515" s="89"/>
      <c r="F2515" s="89"/>
      <c r="G2515" s="89"/>
    </row>
    <row r="2516">
      <c r="A2516" s="93"/>
      <c r="B2516" s="87" t="s">
        <v>779</v>
      </c>
      <c r="C2516" s="88"/>
      <c r="D2516" s="92"/>
      <c r="E2516" s="89"/>
      <c r="F2516" s="89"/>
      <c r="G2516" s="89"/>
    </row>
    <row r="2517">
      <c r="A2517" s="93"/>
      <c r="B2517" s="87" t="s">
        <v>779</v>
      </c>
      <c r="C2517" s="88"/>
      <c r="D2517" s="92"/>
      <c r="E2517" s="89"/>
      <c r="F2517" s="89"/>
      <c r="G2517" s="89"/>
    </row>
    <row r="2518">
      <c r="A2518" s="93"/>
      <c r="B2518" s="87" t="s">
        <v>779</v>
      </c>
      <c r="C2518" s="88"/>
      <c r="D2518" s="92"/>
      <c r="E2518" s="89"/>
      <c r="F2518" s="89"/>
      <c r="G2518" s="89"/>
    </row>
    <row r="2519">
      <c r="A2519" s="93"/>
      <c r="B2519" s="87" t="s">
        <v>779</v>
      </c>
      <c r="C2519" s="88"/>
      <c r="D2519" s="92"/>
      <c r="E2519" s="89"/>
      <c r="F2519" s="89"/>
      <c r="G2519" s="89"/>
    </row>
    <row r="2520">
      <c r="A2520" s="93"/>
      <c r="B2520" s="87" t="s">
        <v>779</v>
      </c>
      <c r="C2520" s="88"/>
      <c r="D2520" s="92"/>
      <c r="E2520" s="89"/>
      <c r="F2520" s="89"/>
      <c r="G2520" s="89"/>
    </row>
    <row r="2521">
      <c r="A2521" s="93"/>
      <c r="B2521" s="87" t="s">
        <v>779</v>
      </c>
      <c r="C2521" s="88"/>
      <c r="D2521" s="92"/>
      <c r="E2521" s="89"/>
      <c r="F2521" s="89"/>
      <c r="G2521" s="89"/>
    </row>
    <row r="2522">
      <c r="A2522" s="93"/>
      <c r="B2522" s="87" t="s">
        <v>779</v>
      </c>
      <c r="C2522" s="88"/>
      <c r="D2522" s="92"/>
      <c r="E2522" s="89"/>
      <c r="F2522" s="89"/>
      <c r="G2522" s="89"/>
    </row>
    <row r="2523">
      <c r="A2523" s="93"/>
      <c r="B2523" s="87" t="s">
        <v>779</v>
      </c>
      <c r="C2523" s="88"/>
      <c r="D2523" s="92"/>
      <c r="E2523" s="89"/>
      <c r="F2523" s="89"/>
      <c r="G2523" s="89"/>
    </row>
    <row r="2524">
      <c r="A2524" s="93"/>
      <c r="B2524" s="87" t="s">
        <v>779</v>
      </c>
      <c r="C2524" s="88"/>
      <c r="D2524" s="92"/>
      <c r="E2524" s="89"/>
      <c r="F2524" s="89"/>
      <c r="G2524" s="89"/>
    </row>
    <row r="2525">
      <c r="A2525" s="93"/>
      <c r="B2525" s="87" t="s">
        <v>779</v>
      </c>
      <c r="C2525" s="88"/>
      <c r="D2525" s="92"/>
      <c r="E2525" s="89"/>
      <c r="F2525" s="89"/>
      <c r="G2525" s="89"/>
    </row>
    <row r="2526">
      <c r="A2526" s="93"/>
      <c r="B2526" s="87" t="s">
        <v>779</v>
      </c>
      <c r="C2526" s="88"/>
      <c r="D2526" s="92"/>
      <c r="E2526" s="89"/>
      <c r="F2526" s="89"/>
      <c r="G2526" s="89"/>
    </row>
    <row r="2527">
      <c r="A2527" s="93"/>
      <c r="B2527" s="87" t="s">
        <v>779</v>
      </c>
      <c r="C2527" s="88"/>
      <c r="D2527" s="92"/>
      <c r="E2527" s="89"/>
      <c r="F2527" s="89"/>
      <c r="G2527" s="89"/>
    </row>
    <row r="2528">
      <c r="A2528" s="93"/>
      <c r="B2528" s="87" t="s">
        <v>779</v>
      </c>
      <c r="C2528" s="88"/>
      <c r="D2528" s="92"/>
      <c r="E2528" s="89"/>
      <c r="F2528" s="89"/>
      <c r="G2528" s="89"/>
    </row>
    <row r="2529">
      <c r="A2529" s="93"/>
      <c r="B2529" s="87" t="s">
        <v>779</v>
      </c>
      <c r="C2529" s="88"/>
      <c r="D2529" s="92"/>
      <c r="E2529" s="89"/>
      <c r="F2529" s="89"/>
      <c r="G2529" s="89"/>
    </row>
    <row r="2530">
      <c r="A2530" s="93"/>
      <c r="B2530" s="87" t="s">
        <v>779</v>
      </c>
      <c r="C2530" s="88"/>
      <c r="D2530" s="92"/>
      <c r="E2530" s="89"/>
      <c r="F2530" s="89"/>
      <c r="G2530" s="89"/>
    </row>
    <row r="2531">
      <c r="A2531" s="93"/>
      <c r="B2531" s="87" t="s">
        <v>779</v>
      </c>
      <c r="C2531" s="88"/>
      <c r="D2531" s="92"/>
      <c r="E2531" s="89"/>
      <c r="F2531" s="89"/>
      <c r="G2531" s="89"/>
    </row>
    <row r="2532">
      <c r="A2532" s="93"/>
      <c r="B2532" s="87" t="s">
        <v>779</v>
      </c>
      <c r="C2532" s="88"/>
      <c r="D2532" s="92"/>
      <c r="E2532" s="89"/>
      <c r="F2532" s="89"/>
      <c r="G2532" s="89"/>
    </row>
    <row r="2533">
      <c r="A2533" s="93"/>
      <c r="B2533" s="87" t="s">
        <v>779</v>
      </c>
      <c r="C2533" s="88"/>
      <c r="D2533" s="92"/>
      <c r="E2533" s="89"/>
      <c r="F2533" s="89"/>
      <c r="G2533" s="89"/>
    </row>
    <row r="2534">
      <c r="A2534" s="93"/>
      <c r="B2534" s="87" t="s">
        <v>779</v>
      </c>
      <c r="C2534" s="88"/>
      <c r="D2534" s="92"/>
      <c r="E2534" s="89"/>
      <c r="F2534" s="89"/>
      <c r="G2534" s="89"/>
    </row>
    <row r="2535">
      <c r="A2535" s="93"/>
      <c r="B2535" s="87" t="s">
        <v>779</v>
      </c>
      <c r="C2535" s="88"/>
      <c r="D2535" s="92"/>
      <c r="E2535" s="89"/>
      <c r="F2535" s="89"/>
      <c r="G2535" s="89"/>
    </row>
    <row r="2536">
      <c r="A2536" s="93"/>
      <c r="B2536" s="87" t="s">
        <v>779</v>
      </c>
      <c r="C2536" s="88"/>
      <c r="D2536" s="92"/>
      <c r="E2536" s="89"/>
      <c r="F2536" s="89"/>
      <c r="G2536" s="89"/>
    </row>
    <row r="2537">
      <c r="A2537" s="93"/>
      <c r="B2537" s="87" t="s">
        <v>779</v>
      </c>
      <c r="C2537" s="88"/>
      <c r="D2537" s="92"/>
      <c r="E2537" s="89"/>
      <c r="F2537" s="89"/>
      <c r="G2537" s="89"/>
    </row>
    <row r="2538">
      <c r="A2538" s="93"/>
      <c r="B2538" s="87" t="s">
        <v>779</v>
      </c>
      <c r="C2538" s="88"/>
      <c r="D2538" s="92"/>
      <c r="E2538" s="89"/>
      <c r="F2538" s="89"/>
      <c r="G2538" s="89"/>
    </row>
    <row r="2539">
      <c r="A2539" s="93"/>
      <c r="B2539" s="87" t="s">
        <v>779</v>
      </c>
      <c r="C2539" s="88"/>
      <c r="D2539" s="92"/>
      <c r="E2539" s="89"/>
      <c r="F2539" s="89"/>
      <c r="G2539" s="89"/>
    </row>
    <row r="2540">
      <c r="A2540" s="93"/>
      <c r="B2540" s="87" t="s">
        <v>779</v>
      </c>
      <c r="C2540" s="88"/>
      <c r="D2540" s="92"/>
      <c r="E2540" s="89"/>
      <c r="F2540" s="89"/>
      <c r="G2540" s="89"/>
    </row>
    <row r="2541">
      <c r="A2541" s="93"/>
      <c r="B2541" s="87" t="s">
        <v>779</v>
      </c>
      <c r="C2541" s="88"/>
      <c r="D2541" s="92"/>
      <c r="E2541" s="89"/>
      <c r="F2541" s="89"/>
      <c r="G2541" s="89"/>
    </row>
    <row r="2542">
      <c r="A2542" s="93"/>
      <c r="B2542" s="87" t="s">
        <v>779</v>
      </c>
      <c r="C2542" s="88"/>
      <c r="D2542" s="92"/>
      <c r="E2542" s="89"/>
      <c r="F2542" s="89"/>
      <c r="G2542" s="89"/>
    </row>
    <row r="2543">
      <c r="A2543" s="93"/>
      <c r="B2543" s="87" t="s">
        <v>779</v>
      </c>
      <c r="C2543" s="88"/>
      <c r="D2543" s="92"/>
      <c r="E2543" s="89"/>
      <c r="F2543" s="89"/>
      <c r="G2543" s="89"/>
    </row>
    <row r="2544">
      <c r="A2544" s="93"/>
      <c r="B2544" s="87" t="s">
        <v>779</v>
      </c>
      <c r="C2544" s="88"/>
      <c r="D2544" s="92"/>
      <c r="E2544" s="89"/>
      <c r="F2544" s="89"/>
      <c r="G2544" s="89"/>
    </row>
    <row r="2545">
      <c r="A2545" s="93"/>
      <c r="B2545" s="87" t="s">
        <v>779</v>
      </c>
      <c r="C2545" s="88"/>
      <c r="D2545" s="92"/>
      <c r="E2545" s="89"/>
      <c r="F2545" s="89"/>
      <c r="G2545" s="89"/>
    </row>
    <row r="2546">
      <c r="A2546" s="93"/>
      <c r="B2546" s="87" t="s">
        <v>779</v>
      </c>
      <c r="C2546" s="88"/>
      <c r="D2546" s="92"/>
      <c r="E2546" s="89"/>
      <c r="F2546" s="89"/>
      <c r="G2546" s="89"/>
    </row>
    <row r="2547">
      <c r="A2547" s="93"/>
      <c r="B2547" s="87" t="s">
        <v>779</v>
      </c>
      <c r="C2547" s="88"/>
      <c r="D2547" s="92"/>
      <c r="E2547" s="89"/>
      <c r="F2547" s="89"/>
      <c r="G2547" s="89"/>
    </row>
    <row r="2548">
      <c r="A2548" s="93"/>
      <c r="B2548" s="87" t="s">
        <v>779</v>
      </c>
      <c r="C2548" s="88"/>
      <c r="D2548" s="92"/>
      <c r="E2548" s="89"/>
      <c r="F2548" s="89"/>
      <c r="G2548" s="89"/>
    </row>
    <row r="2549">
      <c r="A2549" s="93"/>
      <c r="B2549" s="87" t="s">
        <v>779</v>
      </c>
      <c r="C2549" s="88"/>
      <c r="D2549" s="92"/>
      <c r="E2549" s="89"/>
      <c r="F2549" s="89"/>
      <c r="G2549" s="89"/>
    </row>
    <row r="2550">
      <c r="A2550" s="93"/>
      <c r="B2550" s="87" t="s">
        <v>779</v>
      </c>
      <c r="C2550" s="88"/>
      <c r="D2550" s="92"/>
      <c r="E2550" s="89"/>
      <c r="F2550" s="89"/>
      <c r="G2550" s="89"/>
    </row>
    <row r="2551">
      <c r="A2551" s="93"/>
      <c r="B2551" s="87" t="s">
        <v>779</v>
      </c>
      <c r="C2551" s="88"/>
      <c r="D2551" s="92"/>
      <c r="E2551" s="89"/>
      <c r="F2551" s="89"/>
      <c r="G2551" s="89"/>
    </row>
    <row r="2552">
      <c r="A2552" s="93"/>
      <c r="B2552" s="87" t="s">
        <v>779</v>
      </c>
      <c r="C2552" s="88"/>
      <c r="D2552" s="92"/>
      <c r="E2552" s="89"/>
      <c r="F2552" s="89"/>
      <c r="G2552" s="89"/>
    </row>
    <row r="2553">
      <c r="A2553" s="93"/>
      <c r="B2553" s="87" t="s">
        <v>779</v>
      </c>
      <c r="C2553" s="88"/>
      <c r="D2553" s="92"/>
      <c r="E2553" s="89"/>
      <c r="F2553" s="89"/>
      <c r="G2553" s="89"/>
    </row>
    <row r="2554">
      <c r="A2554" s="93"/>
      <c r="B2554" s="87" t="s">
        <v>779</v>
      </c>
      <c r="C2554" s="88"/>
      <c r="D2554" s="92"/>
      <c r="E2554" s="89"/>
      <c r="F2554" s="89"/>
      <c r="G2554" s="89"/>
    </row>
    <row r="2555">
      <c r="A2555" s="93"/>
      <c r="B2555" s="87" t="s">
        <v>779</v>
      </c>
      <c r="C2555" s="88"/>
      <c r="D2555" s="92"/>
      <c r="E2555" s="89"/>
      <c r="F2555" s="89"/>
      <c r="G2555" s="89"/>
    </row>
    <row r="2556">
      <c r="A2556" s="93"/>
      <c r="B2556" s="87" t="s">
        <v>779</v>
      </c>
      <c r="C2556" s="88"/>
      <c r="D2556" s="92"/>
      <c r="E2556" s="89"/>
      <c r="F2556" s="89"/>
      <c r="G2556" s="89"/>
    </row>
    <row r="2557">
      <c r="A2557" s="93"/>
      <c r="B2557" s="87" t="s">
        <v>779</v>
      </c>
      <c r="C2557" s="88"/>
      <c r="D2557" s="92"/>
      <c r="E2557" s="89"/>
      <c r="F2557" s="89"/>
      <c r="G2557" s="89"/>
    </row>
    <row r="2558">
      <c r="A2558" s="93"/>
      <c r="B2558" s="87" t="s">
        <v>779</v>
      </c>
      <c r="C2558" s="88"/>
      <c r="D2558" s="92"/>
      <c r="E2558" s="89"/>
      <c r="F2558" s="89"/>
      <c r="G2558" s="89"/>
    </row>
    <row r="2559">
      <c r="A2559" s="93"/>
      <c r="B2559" s="87" t="s">
        <v>779</v>
      </c>
      <c r="C2559" s="88"/>
      <c r="D2559" s="92"/>
      <c r="E2559" s="89"/>
      <c r="F2559" s="89"/>
      <c r="G2559" s="89"/>
    </row>
    <row r="2560">
      <c r="A2560" s="93"/>
      <c r="B2560" s="87" t="s">
        <v>779</v>
      </c>
      <c r="C2560" s="88"/>
      <c r="D2560" s="92"/>
      <c r="E2560" s="89"/>
      <c r="F2560" s="89"/>
      <c r="G2560" s="89"/>
    </row>
    <row r="2561">
      <c r="A2561" s="93"/>
      <c r="B2561" s="87" t="s">
        <v>779</v>
      </c>
      <c r="C2561" s="88"/>
      <c r="D2561" s="92"/>
      <c r="E2561" s="89"/>
      <c r="F2561" s="89"/>
      <c r="G2561" s="89"/>
    </row>
    <row r="2562">
      <c r="A2562" s="93"/>
      <c r="B2562" s="87" t="s">
        <v>779</v>
      </c>
      <c r="C2562" s="88"/>
      <c r="D2562" s="92"/>
      <c r="E2562" s="89"/>
      <c r="F2562" s="89"/>
      <c r="G2562" s="89"/>
    </row>
    <row r="2563">
      <c r="A2563" s="93"/>
      <c r="B2563" s="87" t="s">
        <v>779</v>
      </c>
      <c r="C2563" s="88"/>
      <c r="D2563" s="92"/>
      <c r="E2563" s="89"/>
      <c r="F2563" s="89"/>
      <c r="G2563" s="89"/>
    </row>
    <row r="2564">
      <c r="A2564" s="93"/>
      <c r="B2564" s="87" t="s">
        <v>779</v>
      </c>
      <c r="C2564" s="88"/>
      <c r="D2564" s="92"/>
      <c r="E2564" s="89"/>
      <c r="F2564" s="89"/>
      <c r="G2564" s="89"/>
    </row>
    <row r="2565">
      <c r="A2565" s="93"/>
      <c r="B2565" s="87" t="s">
        <v>779</v>
      </c>
      <c r="C2565" s="88"/>
      <c r="D2565" s="92"/>
      <c r="E2565" s="89"/>
      <c r="F2565" s="89"/>
      <c r="G2565" s="89"/>
    </row>
    <row r="2566">
      <c r="A2566" s="93"/>
      <c r="B2566" s="87" t="s">
        <v>779</v>
      </c>
      <c r="C2566" s="88"/>
      <c r="D2566" s="92"/>
      <c r="E2566" s="89"/>
      <c r="F2566" s="89"/>
      <c r="G2566" s="89"/>
    </row>
    <row r="2567">
      <c r="A2567" s="93"/>
      <c r="B2567" s="87" t="s">
        <v>779</v>
      </c>
      <c r="C2567" s="88"/>
      <c r="D2567" s="92"/>
      <c r="E2567" s="89"/>
      <c r="F2567" s="89"/>
      <c r="G2567" s="89"/>
    </row>
    <row r="2568">
      <c r="A2568" s="93"/>
      <c r="B2568" s="87" t="s">
        <v>779</v>
      </c>
      <c r="C2568" s="88"/>
      <c r="D2568" s="92"/>
      <c r="E2568" s="89"/>
      <c r="F2568" s="89"/>
      <c r="G2568" s="89"/>
    </row>
    <row r="2569">
      <c r="A2569" s="93"/>
      <c r="B2569" s="87" t="s">
        <v>779</v>
      </c>
      <c r="C2569" s="88"/>
      <c r="D2569" s="92"/>
      <c r="E2569" s="89"/>
      <c r="F2569" s="89"/>
      <c r="G2569" s="89"/>
    </row>
    <row r="2570">
      <c r="A2570" s="93"/>
      <c r="B2570" s="87" t="s">
        <v>779</v>
      </c>
      <c r="C2570" s="88"/>
      <c r="D2570" s="92"/>
      <c r="E2570" s="89"/>
      <c r="F2570" s="89"/>
      <c r="G2570" s="89"/>
    </row>
    <row r="2571">
      <c r="A2571" s="93"/>
      <c r="B2571" s="87" t="s">
        <v>779</v>
      </c>
      <c r="C2571" s="88"/>
      <c r="D2571" s="92"/>
      <c r="E2571" s="89"/>
      <c r="F2571" s="89"/>
      <c r="G2571" s="89"/>
    </row>
    <row r="2572">
      <c r="A2572" s="93"/>
      <c r="B2572" s="87" t="s">
        <v>779</v>
      </c>
      <c r="C2572" s="88"/>
      <c r="D2572" s="92"/>
      <c r="E2572" s="89"/>
      <c r="F2572" s="89"/>
      <c r="G2572" s="89"/>
    </row>
    <row r="2573">
      <c r="A2573" s="93"/>
      <c r="B2573" s="87" t="s">
        <v>779</v>
      </c>
      <c r="C2573" s="88"/>
      <c r="D2573" s="92"/>
      <c r="E2573" s="89"/>
      <c r="F2573" s="89"/>
      <c r="G2573" s="89"/>
    </row>
    <row r="2574">
      <c r="A2574" s="93"/>
      <c r="B2574" s="87" t="s">
        <v>779</v>
      </c>
      <c r="C2574" s="88"/>
      <c r="D2574" s="92"/>
      <c r="E2574" s="89"/>
      <c r="F2574" s="89"/>
      <c r="G2574" s="89"/>
    </row>
    <row r="2575">
      <c r="A2575" s="93"/>
      <c r="B2575" s="87" t="s">
        <v>779</v>
      </c>
      <c r="C2575" s="88"/>
      <c r="D2575" s="92"/>
      <c r="E2575" s="89"/>
      <c r="F2575" s="89"/>
      <c r="G2575" s="89"/>
    </row>
    <row r="2576">
      <c r="A2576" s="93"/>
      <c r="B2576" s="87" t="s">
        <v>779</v>
      </c>
      <c r="C2576" s="88"/>
      <c r="D2576" s="92"/>
      <c r="E2576" s="89"/>
      <c r="F2576" s="89"/>
      <c r="G2576" s="89"/>
    </row>
    <row r="2577">
      <c r="A2577" s="93"/>
      <c r="B2577" s="87" t="s">
        <v>779</v>
      </c>
      <c r="C2577" s="88"/>
      <c r="D2577" s="92"/>
      <c r="E2577" s="89"/>
      <c r="F2577" s="89"/>
      <c r="G2577" s="89"/>
    </row>
    <row r="2578">
      <c r="A2578" s="93"/>
      <c r="B2578" s="87" t="s">
        <v>779</v>
      </c>
      <c r="C2578" s="88"/>
      <c r="D2578" s="92"/>
      <c r="E2578" s="89"/>
      <c r="F2578" s="89"/>
      <c r="G2578" s="89"/>
    </row>
    <row r="2579">
      <c r="A2579" s="93"/>
      <c r="B2579" s="87" t="s">
        <v>779</v>
      </c>
      <c r="C2579" s="88"/>
      <c r="D2579" s="92"/>
      <c r="E2579" s="89"/>
      <c r="F2579" s="89"/>
      <c r="G2579" s="89"/>
    </row>
    <row r="2580">
      <c r="A2580" s="93"/>
      <c r="B2580" s="87" t="s">
        <v>779</v>
      </c>
      <c r="C2580" s="88"/>
      <c r="D2580" s="92"/>
      <c r="E2580" s="89"/>
      <c r="F2580" s="89"/>
      <c r="G2580" s="89"/>
    </row>
    <row r="2581">
      <c r="A2581" s="93"/>
      <c r="B2581" s="87" t="s">
        <v>779</v>
      </c>
      <c r="C2581" s="88"/>
      <c r="D2581" s="92"/>
      <c r="E2581" s="89"/>
      <c r="F2581" s="89"/>
      <c r="G2581" s="89"/>
    </row>
    <row r="2582">
      <c r="A2582" s="93"/>
      <c r="B2582" s="87" t="s">
        <v>779</v>
      </c>
      <c r="C2582" s="88"/>
      <c r="D2582" s="92"/>
      <c r="E2582" s="89"/>
      <c r="F2582" s="89"/>
      <c r="G2582" s="89"/>
    </row>
    <row r="2583">
      <c r="A2583" s="93"/>
      <c r="B2583" s="87" t="s">
        <v>779</v>
      </c>
      <c r="C2583" s="88"/>
      <c r="D2583" s="92"/>
      <c r="E2583" s="89"/>
      <c r="F2583" s="89"/>
      <c r="G2583" s="89"/>
    </row>
    <row r="2584">
      <c r="A2584" s="93"/>
      <c r="B2584" s="87" t="s">
        <v>779</v>
      </c>
      <c r="C2584" s="88"/>
      <c r="D2584" s="92"/>
      <c r="E2584" s="89"/>
      <c r="F2584" s="89"/>
      <c r="G2584" s="89"/>
    </row>
    <row r="2585">
      <c r="A2585" s="93"/>
      <c r="B2585" s="87" t="s">
        <v>779</v>
      </c>
      <c r="C2585" s="88"/>
      <c r="D2585" s="92"/>
      <c r="E2585" s="89"/>
      <c r="F2585" s="89"/>
      <c r="G2585" s="89"/>
    </row>
    <row r="2586">
      <c r="A2586" s="93"/>
      <c r="B2586" s="87" t="s">
        <v>779</v>
      </c>
      <c r="C2586" s="88"/>
      <c r="D2586" s="92"/>
      <c r="E2586" s="89"/>
      <c r="F2586" s="89"/>
      <c r="G2586" s="89"/>
    </row>
    <row r="2587">
      <c r="A2587" s="93"/>
      <c r="B2587" s="87" t="s">
        <v>779</v>
      </c>
      <c r="C2587" s="88"/>
      <c r="D2587" s="92"/>
      <c r="E2587" s="89"/>
      <c r="F2587" s="89"/>
      <c r="G2587" s="89"/>
    </row>
    <row r="2588">
      <c r="A2588" s="93"/>
      <c r="B2588" s="87" t="s">
        <v>779</v>
      </c>
      <c r="C2588" s="88"/>
      <c r="D2588" s="92"/>
      <c r="E2588" s="89"/>
      <c r="F2588" s="89"/>
      <c r="G2588" s="89"/>
    </row>
    <row r="2589">
      <c r="A2589" s="93"/>
      <c r="B2589" s="87" t="s">
        <v>779</v>
      </c>
      <c r="C2589" s="88"/>
      <c r="D2589" s="92"/>
      <c r="E2589" s="89"/>
      <c r="F2589" s="89"/>
      <c r="G2589" s="89"/>
    </row>
    <row r="2590">
      <c r="A2590" s="93"/>
      <c r="B2590" s="87" t="s">
        <v>779</v>
      </c>
      <c r="C2590" s="88"/>
      <c r="D2590" s="92"/>
      <c r="E2590" s="89"/>
      <c r="F2590" s="89"/>
      <c r="G2590" s="89"/>
    </row>
    <row r="2591">
      <c r="A2591" s="93"/>
      <c r="B2591" s="87" t="s">
        <v>779</v>
      </c>
      <c r="C2591" s="88"/>
      <c r="D2591" s="92"/>
      <c r="E2591" s="89"/>
      <c r="F2591" s="89"/>
      <c r="G2591" s="89"/>
    </row>
    <row r="2592">
      <c r="A2592" s="93"/>
      <c r="B2592" s="87" t="s">
        <v>779</v>
      </c>
      <c r="C2592" s="88"/>
      <c r="D2592" s="92"/>
      <c r="E2592" s="89"/>
      <c r="F2592" s="89"/>
      <c r="G2592" s="89"/>
    </row>
    <row r="2593">
      <c r="A2593" s="93"/>
      <c r="B2593" s="87" t="s">
        <v>779</v>
      </c>
      <c r="C2593" s="88"/>
      <c r="D2593" s="92"/>
      <c r="E2593" s="89"/>
      <c r="F2593" s="89"/>
      <c r="G2593" s="89"/>
    </row>
    <row r="2594">
      <c r="A2594" s="93"/>
      <c r="B2594" s="87" t="s">
        <v>779</v>
      </c>
      <c r="C2594" s="88"/>
      <c r="D2594" s="92"/>
      <c r="E2594" s="89"/>
      <c r="F2594" s="89"/>
      <c r="G2594" s="89"/>
    </row>
    <row r="2595">
      <c r="A2595" s="93"/>
      <c r="B2595" s="87" t="s">
        <v>779</v>
      </c>
      <c r="C2595" s="88"/>
      <c r="D2595" s="92"/>
      <c r="E2595" s="89"/>
      <c r="F2595" s="89"/>
      <c r="G2595" s="89"/>
    </row>
    <row r="2596">
      <c r="A2596" s="93"/>
      <c r="B2596" s="87" t="s">
        <v>779</v>
      </c>
      <c r="C2596" s="88"/>
      <c r="D2596" s="92"/>
      <c r="E2596" s="89"/>
      <c r="F2596" s="89"/>
      <c r="G2596" s="89"/>
    </row>
    <row r="2597">
      <c r="A2597" s="93"/>
      <c r="B2597" s="87" t="s">
        <v>779</v>
      </c>
      <c r="C2597" s="88"/>
      <c r="D2597" s="92"/>
      <c r="E2597" s="89"/>
      <c r="F2597" s="89"/>
      <c r="G2597" s="89"/>
    </row>
    <row r="2598">
      <c r="A2598" s="93"/>
      <c r="B2598" s="87" t="s">
        <v>779</v>
      </c>
      <c r="C2598" s="88"/>
      <c r="D2598" s="92"/>
      <c r="E2598" s="89"/>
      <c r="F2598" s="89"/>
      <c r="G2598" s="89"/>
    </row>
    <row r="2599">
      <c r="A2599" s="93"/>
      <c r="B2599" s="87" t="s">
        <v>779</v>
      </c>
      <c r="C2599" s="88"/>
      <c r="D2599" s="92"/>
      <c r="E2599" s="89"/>
      <c r="F2599" s="89"/>
      <c r="G2599" s="89"/>
    </row>
    <row r="2600">
      <c r="A2600" s="93"/>
      <c r="B2600" s="87" t="s">
        <v>779</v>
      </c>
      <c r="C2600" s="88"/>
      <c r="D2600" s="92"/>
      <c r="E2600" s="89"/>
      <c r="F2600" s="89"/>
      <c r="G2600" s="89"/>
    </row>
    <row r="2601">
      <c r="A2601" s="93"/>
      <c r="B2601" s="87" t="s">
        <v>779</v>
      </c>
      <c r="C2601" s="88"/>
      <c r="D2601" s="92"/>
      <c r="E2601" s="89"/>
      <c r="F2601" s="89"/>
      <c r="G2601" s="89"/>
    </row>
    <row r="2602">
      <c r="A2602" s="93"/>
      <c r="B2602" s="87" t="s">
        <v>779</v>
      </c>
      <c r="C2602" s="88"/>
      <c r="D2602" s="92"/>
      <c r="E2602" s="89"/>
      <c r="F2602" s="89"/>
      <c r="G2602" s="89"/>
    </row>
    <row r="2603">
      <c r="A2603" s="93"/>
      <c r="B2603" s="87" t="s">
        <v>779</v>
      </c>
      <c r="C2603" s="88"/>
      <c r="D2603" s="92"/>
      <c r="E2603" s="89"/>
      <c r="F2603" s="89"/>
      <c r="G2603" s="89"/>
    </row>
    <row r="2604">
      <c r="A2604" s="93"/>
      <c r="B2604" s="87" t="s">
        <v>779</v>
      </c>
      <c r="C2604" s="88"/>
      <c r="D2604" s="92"/>
      <c r="E2604" s="89"/>
      <c r="F2604" s="89"/>
      <c r="G2604" s="89"/>
    </row>
    <row r="2605">
      <c r="A2605" s="93"/>
      <c r="B2605" s="87" t="s">
        <v>779</v>
      </c>
      <c r="C2605" s="88"/>
      <c r="D2605" s="92"/>
      <c r="E2605" s="89"/>
      <c r="F2605" s="89"/>
      <c r="G2605" s="89"/>
    </row>
    <row r="2606">
      <c r="A2606" s="93"/>
      <c r="B2606" s="87" t="s">
        <v>779</v>
      </c>
      <c r="C2606" s="88"/>
      <c r="D2606" s="92"/>
      <c r="E2606" s="89"/>
      <c r="F2606" s="89"/>
      <c r="G2606" s="89"/>
    </row>
    <row r="2607">
      <c r="A2607" s="93"/>
      <c r="B2607" s="87" t="s">
        <v>779</v>
      </c>
      <c r="C2607" s="88"/>
      <c r="D2607" s="92"/>
      <c r="E2607" s="89"/>
      <c r="F2607" s="89"/>
      <c r="G2607" s="89"/>
    </row>
    <row r="2608">
      <c r="A2608" s="93"/>
      <c r="B2608" s="87" t="s">
        <v>779</v>
      </c>
      <c r="C2608" s="88"/>
      <c r="D2608" s="92"/>
      <c r="E2608" s="89"/>
      <c r="F2608" s="89"/>
      <c r="G2608" s="89"/>
    </row>
    <row r="2609">
      <c r="A2609" s="93"/>
      <c r="B2609" s="87" t="s">
        <v>779</v>
      </c>
      <c r="C2609" s="88"/>
      <c r="D2609" s="92"/>
      <c r="E2609" s="89"/>
      <c r="F2609" s="89"/>
      <c r="G2609" s="89"/>
    </row>
    <row r="2610">
      <c r="A2610" s="93"/>
      <c r="B2610" s="87" t="s">
        <v>779</v>
      </c>
      <c r="C2610" s="88"/>
      <c r="D2610" s="92"/>
      <c r="E2610" s="89"/>
      <c r="F2610" s="89"/>
      <c r="G2610" s="89"/>
    </row>
    <row r="2611">
      <c r="A2611" s="93"/>
      <c r="B2611" s="87" t="s">
        <v>779</v>
      </c>
      <c r="C2611" s="88"/>
      <c r="D2611" s="92"/>
      <c r="E2611" s="89"/>
      <c r="F2611" s="89"/>
      <c r="G2611" s="89"/>
    </row>
    <row r="2612">
      <c r="A2612" s="93"/>
      <c r="B2612" s="87" t="s">
        <v>779</v>
      </c>
      <c r="C2612" s="88"/>
      <c r="D2612" s="92"/>
      <c r="E2612" s="89"/>
      <c r="F2612" s="89"/>
      <c r="G2612" s="89"/>
    </row>
    <row r="2613">
      <c r="A2613" s="93"/>
      <c r="B2613" s="87" t="s">
        <v>779</v>
      </c>
      <c r="C2613" s="88"/>
      <c r="D2613" s="92"/>
      <c r="E2613" s="89"/>
      <c r="F2613" s="89"/>
      <c r="G2613" s="89"/>
    </row>
    <row r="2614">
      <c r="A2614" s="93"/>
      <c r="B2614" s="87" t="s">
        <v>779</v>
      </c>
      <c r="C2614" s="88"/>
      <c r="D2614" s="92"/>
      <c r="E2614" s="89"/>
      <c r="F2614" s="89"/>
      <c r="G2614" s="89"/>
    </row>
    <row r="2615">
      <c r="A2615" s="93"/>
      <c r="B2615" s="87" t="s">
        <v>779</v>
      </c>
      <c r="C2615" s="88"/>
      <c r="D2615" s="92"/>
      <c r="E2615" s="89"/>
      <c r="F2615" s="89"/>
      <c r="G2615" s="89"/>
    </row>
    <row r="2616">
      <c r="A2616" s="93"/>
      <c r="B2616" s="87" t="s">
        <v>779</v>
      </c>
      <c r="C2616" s="88"/>
      <c r="D2616" s="92"/>
      <c r="E2616" s="89"/>
      <c r="F2616" s="89"/>
      <c r="G2616" s="89"/>
    </row>
    <row r="2617">
      <c r="A2617" s="93"/>
      <c r="B2617" s="87" t="s">
        <v>779</v>
      </c>
      <c r="C2617" s="88"/>
      <c r="D2617" s="92"/>
      <c r="E2617" s="89"/>
      <c r="F2617" s="89"/>
      <c r="G2617" s="89"/>
    </row>
    <row r="2618">
      <c r="A2618" s="93"/>
      <c r="B2618" s="87" t="s">
        <v>779</v>
      </c>
      <c r="C2618" s="88"/>
      <c r="D2618" s="92"/>
      <c r="E2618" s="89"/>
      <c r="F2618" s="89"/>
      <c r="G2618" s="89"/>
    </row>
    <row r="2619">
      <c r="A2619" s="93"/>
      <c r="B2619" s="87" t="s">
        <v>779</v>
      </c>
      <c r="C2619" s="88"/>
      <c r="D2619" s="92"/>
      <c r="E2619" s="89"/>
      <c r="F2619" s="89"/>
      <c r="G2619" s="89"/>
    </row>
    <row r="2620">
      <c r="A2620" s="93"/>
      <c r="B2620" s="87" t="s">
        <v>779</v>
      </c>
      <c r="C2620" s="88"/>
      <c r="D2620" s="92"/>
      <c r="E2620" s="89"/>
      <c r="F2620" s="89"/>
      <c r="G2620" s="89"/>
    </row>
    <row r="2621">
      <c r="A2621" s="93"/>
      <c r="B2621" s="87" t="s">
        <v>779</v>
      </c>
      <c r="C2621" s="88"/>
      <c r="D2621" s="92"/>
      <c r="E2621" s="89"/>
      <c r="F2621" s="89"/>
      <c r="G2621" s="89"/>
    </row>
    <row r="2622">
      <c r="A2622" s="93"/>
      <c r="B2622" s="87" t="s">
        <v>779</v>
      </c>
      <c r="C2622" s="88"/>
      <c r="D2622" s="92"/>
      <c r="E2622" s="89"/>
      <c r="F2622" s="89"/>
      <c r="G2622" s="89"/>
    </row>
    <row r="2623">
      <c r="A2623" s="93"/>
      <c r="B2623" s="87" t="s">
        <v>779</v>
      </c>
      <c r="C2623" s="88"/>
      <c r="D2623" s="92"/>
      <c r="E2623" s="89"/>
      <c r="F2623" s="89"/>
      <c r="G2623" s="89"/>
    </row>
    <row r="2624">
      <c r="A2624" s="93"/>
      <c r="B2624" s="87" t="s">
        <v>779</v>
      </c>
      <c r="C2624" s="88"/>
      <c r="D2624" s="92"/>
      <c r="E2624" s="89"/>
      <c r="F2624" s="89"/>
      <c r="G2624" s="89"/>
    </row>
    <row r="2625">
      <c r="A2625" s="93"/>
      <c r="B2625" s="87" t="s">
        <v>779</v>
      </c>
      <c r="C2625" s="88"/>
      <c r="D2625" s="92"/>
      <c r="E2625" s="89"/>
      <c r="F2625" s="89"/>
      <c r="G2625" s="89"/>
    </row>
    <row r="2626">
      <c r="A2626" s="93"/>
      <c r="B2626" s="87" t="s">
        <v>779</v>
      </c>
      <c r="C2626" s="88"/>
      <c r="D2626" s="92"/>
      <c r="E2626" s="89"/>
      <c r="F2626" s="89"/>
      <c r="G2626" s="89"/>
    </row>
    <row r="2627">
      <c r="A2627" s="93"/>
      <c r="B2627" s="87" t="s">
        <v>779</v>
      </c>
      <c r="C2627" s="88"/>
      <c r="D2627" s="92"/>
      <c r="E2627" s="89"/>
      <c r="F2627" s="89"/>
      <c r="G2627" s="89"/>
    </row>
    <row r="2628">
      <c r="A2628" s="93"/>
      <c r="B2628" s="87" t="s">
        <v>779</v>
      </c>
      <c r="C2628" s="88"/>
      <c r="D2628" s="92"/>
      <c r="E2628" s="89"/>
      <c r="F2628" s="89"/>
      <c r="G2628" s="89"/>
    </row>
    <row r="2629">
      <c r="A2629" s="93"/>
      <c r="B2629" s="87" t="s">
        <v>779</v>
      </c>
      <c r="C2629" s="88"/>
      <c r="D2629" s="92"/>
      <c r="E2629" s="89"/>
      <c r="F2629" s="89"/>
      <c r="G2629" s="89"/>
    </row>
    <row r="2630">
      <c r="A2630" s="93"/>
      <c r="B2630" s="87" t="s">
        <v>779</v>
      </c>
      <c r="C2630" s="88"/>
      <c r="D2630" s="92"/>
      <c r="E2630" s="89"/>
      <c r="F2630" s="89"/>
      <c r="G2630" s="89"/>
    </row>
    <row r="2631">
      <c r="A2631" s="93"/>
      <c r="B2631" s="87" t="s">
        <v>779</v>
      </c>
      <c r="C2631" s="88"/>
      <c r="D2631" s="92"/>
      <c r="E2631" s="89"/>
      <c r="F2631" s="89"/>
      <c r="G2631" s="89"/>
    </row>
    <row r="2632">
      <c r="A2632" s="93"/>
      <c r="B2632" s="87" t="s">
        <v>779</v>
      </c>
      <c r="C2632" s="88"/>
      <c r="D2632" s="92"/>
      <c r="E2632" s="89"/>
      <c r="F2632" s="89"/>
      <c r="G2632" s="89"/>
    </row>
    <row r="2633">
      <c r="A2633" s="93"/>
      <c r="B2633" s="87" t="s">
        <v>779</v>
      </c>
      <c r="C2633" s="88"/>
      <c r="D2633" s="92"/>
      <c r="E2633" s="89"/>
      <c r="F2633" s="89"/>
      <c r="G2633" s="89"/>
    </row>
    <row r="2634">
      <c r="A2634" s="93"/>
      <c r="B2634" s="87" t="s">
        <v>779</v>
      </c>
      <c r="C2634" s="88"/>
      <c r="D2634" s="92"/>
      <c r="E2634" s="89"/>
      <c r="F2634" s="89"/>
      <c r="G2634" s="89"/>
    </row>
    <row r="2635">
      <c r="A2635" s="93"/>
      <c r="B2635" s="87" t="s">
        <v>779</v>
      </c>
      <c r="C2635" s="88"/>
      <c r="D2635" s="92"/>
      <c r="E2635" s="89"/>
      <c r="F2635" s="89"/>
      <c r="G2635" s="89"/>
    </row>
    <row r="2636">
      <c r="A2636" s="93"/>
      <c r="B2636" s="87" t="s">
        <v>779</v>
      </c>
      <c r="C2636" s="88"/>
      <c r="D2636" s="92"/>
      <c r="E2636" s="89"/>
      <c r="F2636" s="89"/>
      <c r="G2636" s="89"/>
    </row>
    <row r="2637">
      <c r="A2637" s="93"/>
      <c r="B2637" s="87" t="s">
        <v>779</v>
      </c>
      <c r="C2637" s="88"/>
      <c r="D2637" s="92"/>
      <c r="E2637" s="89"/>
      <c r="F2637" s="89"/>
      <c r="G2637" s="89"/>
    </row>
    <row r="2638">
      <c r="A2638" s="93"/>
      <c r="B2638" s="87" t="s">
        <v>779</v>
      </c>
      <c r="C2638" s="88"/>
      <c r="D2638" s="92"/>
      <c r="E2638" s="89"/>
      <c r="F2638" s="89"/>
      <c r="G2638" s="89"/>
    </row>
    <row r="2639">
      <c r="A2639" s="93"/>
      <c r="B2639" s="87" t="s">
        <v>779</v>
      </c>
      <c r="C2639" s="88"/>
      <c r="D2639" s="92"/>
      <c r="E2639" s="89"/>
      <c r="F2639" s="89"/>
      <c r="G2639" s="89"/>
    </row>
    <row r="2640">
      <c r="A2640" s="93"/>
      <c r="B2640" s="87" t="s">
        <v>779</v>
      </c>
      <c r="C2640" s="88"/>
      <c r="D2640" s="92"/>
      <c r="E2640" s="89"/>
      <c r="F2640" s="89"/>
      <c r="G2640" s="89"/>
    </row>
    <row r="2641">
      <c r="A2641" s="93"/>
      <c r="B2641" s="87" t="s">
        <v>779</v>
      </c>
      <c r="C2641" s="88"/>
      <c r="D2641" s="92"/>
      <c r="E2641" s="89"/>
      <c r="F2641" s="89"/>
      <c r="G2641" s="89"/>
    </row>
    <row r="2642">
      <c r="A2642" s="93"/>
      <c r="B2642" s="87" t="s">
        <v>779</v>
      </c>
      <c r="C2642" s="88"/>
      <c r="D2642" s="92"/>
      <c r="E2642" s="89"/>
      <c r="F2642" s="89"/>
      <c r="G2642" s="89"/>
    </row>
    <row r="2643">
      <c r="A2643" s="93"/>
      <c r="B2643" s="87" t="s">
        <v>779</v>
      </c>
      <c r="C2643" s="88"/>
      <c r="D2643" s="92"/>
      <c r="E2643" s="89"/>
      <c r="F2643" s="89"/>
      <c r="G2643" s="89"/>
    </row>
    <row r="2644">
      <c r="A2644" s="93"/>
      <c r="B2644" s="87" t="s">
        <v>779</v>
      </c>
      <c r="C2644" s="88"/>
      <c r="D2644" s="92"/>
      <c r="E2644" s="89"/>
      <c r="F2644" s="89"/>
      <c r="G2644" s="89"/>
    </row>
    <row r="2645">
      <c r="A2645" s="93"/>
      <c r="B2645" s="87" t="s">
        <v>779</v>
      </c>
      <c r="C2645" s="88"/>
      <c r="D2645" s="92"/>
      <c r="E2645" s="89"/>
      <c r="F2645" s="89"/>
      <c r="G2645" s="89"/>
    </row>
    <row r="2646">
      <c r="A2646" s="93"/>
      <c r="B2646" s="87" t="s">
        <v>779</v>
      </c>
      <c r="C2646" s="88"/>
      <c r="D2646" s="92"/>
      <c r="E2646" s="89"/>
      <c r="F2646" s="89"/>
      <c r="G2646" s="89"/>
    </row>
    <row r="2647">
      <c r="A2647" s="93"/>
      <c r="B2647" s="87" t="s">
        <v>779</v>
      </c>
      <c r="C2647" s="88"/>
      <c r="D2647" s="92"/>
      <c r="E2647" s="89"/>
      <c r="F2647" s="89"/>
      <c r="G2647" s="89"/>
    </row>
    <row r="2648">
      <c r="A2648" s="93"/>
      <c r="B2648" s="87" t="s">
        <v>779</v>
      </c>
      <c r="C2648" s="88"/>
      <c r="D2648" s="92"/>
      <c r="E2648" s="89"/>
      <c r="F2648" s="89"/>
      <c r="G2648" s="89"/>
    </row>
    <row r="2649">
      <c r="A2649" s="93"/>
      <c r="B2649" s="87" t="s">
        <v>779</v>
      </c>
      <c r="C2649" s="88"/>
      <c r="D2649" s="92"/>
      <c r="E2649" s="89"/>
      <c r="F2649" s="89"/>
      <c r="G2649" s="89"/>
    </row>
    <row r="2650">
      <c r="A2650" s="93"/>
      <c r="B2650" s="87" t="s">
        <v>779</v>
      </c>
      <c r="C2650" s="88"/>
      <c r="D2650" s="92"/>
      <c r="E2650" s="89"/>
      <c r="F2650" s="89"/>
      <c r="G2650" s="89"/>
    </row>
    <row r="2651">
      <c r="A2651" s="93"/>
      <c r="B2651" s="87" t="s">
        <v>779</v>
      </c>
      <c r="C2651" s="88"/>
      <c r="D2651" s="92"/>
      <c r="E2651" s="89"/>
      <c r="F2651" s="89"/>
      <c r="G2651" s="89"/>
    </row>
    <row r="2652">
      <c r="A2652" s="93"/>
      <c r="B2652" s="87" t="s">
        <v>779</v>
      </c>
      <c r="C2652" s="88"/>
      <c r="D2652" s="92"/>
      <c r="E2652" s="89"/>
      <c r="F2652" s="89"/>
      <c r="G2652" s="89"/>
    </row>
    <row r="2653">
      <c r="A2653" s="93"/>
      <c r="B2653" s="87" t="s">
        <v>779</v>
      </c>
      <c r="C2653" s="88"/>
      <c r="D2653" s="92"/>
      <c r="E2653" s="89"/>
      <c r="F2653" s="89"/>
      <c r="G2653" s="89"/>
    </row>
    <row r="2654">
      <c r="A2654" s="93"/>
      <c r="B2654" s="87" t="s">
        <v>779</v>
      </c>
      <c r="C2654" s="88"/>
      <c r="D2654" s="92"/>
      <c r="E2654" s="89"/>
      <c r="F2654" s="89"/>
      <c r="G2654" s="89"/>
    </row>
    <row r="2655">
      <c r="A2655" s="93"/>
      <c r="B2655" s="87" t="s">
        <v>779</v>
      </c>
      <c r="C2655" s="88"/>
      <c r="D2655" s="92"/>
      <c r="E2655" s="89"/>
      <c r="F2655" s="89"/>
      <c r="G2655" s="89"/>
    </row>
    <row r="2656">
      <c r="A2656" s="93"/>
      <c r="B2656" s="87" t="s">
        <v>779</v>
      </c>
      <c r="C2656" s="88"/>
      <c r="D2656" s="92"/>
      <c r="E2656" s="89"/>
      <c r="F2656" s="89"/>
      <c r="G2656" s="89"/>
    </row>
    <row r="2657">
      <c r="A2657" s="93"/>
      <c r="B2657" s="87" t="s">
        <v>779</v>
      </c>
      <c r="C2657" s="88"/>
      <c r="D2657" s="92"/>
      <c r="E2657" s="89"/>
      <c r="F2657" s="89"/>
      <c r="G2657" s="89"/>
    </row>
    <row r="2658">
      <c r="A2658" s="93"/>
      <c r="B2658" s="87" t="s">
        <v>779</v>
      </c>
      <c r="C2658" s="88"/>
      <c r="D2658" s="92"/>
      <c r="E2658" s="89"/>
      <c r="F2658" s="89"/>
      <c r="G2658" s="89"/>
    </row>
    <row r="2659">
      <c r="A2659" s="93"/>
      <c r="B2659" s="87" t="s">
        <v>779</v>
      </c>
      <c r="C2659" s="88"/>
      <c r="D2659" s="92"/>
      <c r="E2659" s="89"/>
      <c r="F2659" s="89"/>
      <c r="G2659" s="89"/>
    </row>
    <row r="2660">
      <c r="A2660" s="93"/>
      <c r="B2660" s="87" t="s">
        <v>779</v>
      </c>
      <c r="C2660" s="88"/>
      <c r="D2660" s="92"/>
      <c r="E2660" s="89"/>
      <c r="F2660" s="89"/>
      <c r="G2660" s="89"/>
    </row>
    <row r="2661">
      <c r="A2661" s="93"/>
      <c r="B2661" s="87" t="s">
        <v>779</v>
      </c>
      <c r="C2661" s="88"/>
      <c r="D2661" s="92"/>
      <c r="E2661" s="89"/>
      <c r="F2661" s="89"/>
      <c r="G2661" s="89"/>
    </row>
    <row r="2662">
      <c r="A2662" s="93"/>
      <c r="B2662" s="87" t="s">
        <v>779</v>
      </c>
      <c r="C2662" s="88"/>
      <c r="D2662" s="92"/>
      <c r="E2662" s="89"/>
      <c r="F2662" s="89"/>
      <c r="G2662" s="89"/>
    </row>
    <row r="2663">
      <c r="A2663" s="93"/>
      <c r="B2663" s="87" t="s">
        <v>779</v>
      </c>
      <c r="C2663" s="88"/>
      <c r="D2663" s="92"/>
      <c r="E2663" s="89"/>
      <c r="F2663" s="89"/>
      <c r="G2663" s="89"/>
    </row>
    <row r="2664">
      <c r="A2664" s="93"/>
      <c r="B2664" s="87" t="s">
        <v>779</v>
      </c>
      <c r="C2664" s="88"/>
      <c r="D2664" s="92"/>
      <c r="E2664" s="89"/>
      <c r="F2664" s="89"/>
      <c r="G2664" s="89"/>
    </row>
    <row r="2665">
      <c r="A2665" s="93"/>
      <c r="B2665" s="87" t="s">
        <v>779</v>
      </c>
      <c r="C2665" s="88"/>
      <c r="D2665" s="92"/>
      <c r="E2665" s="89"/>
      <c r="F2665" s="89"/>
      <c r="G2665" s="89"/>
    </row>
    <row r="2666">
      <c r="A2666" s="93"/>
      <c r="B2666" s="87" t="s">
        <v>779</v>
      </c>
      <c r="C2666" s="88"/>
      <c r="D2666" s="92"/>
      <c r="E2666" s="89"/>
      <c r="F2666" s="89"/>
      <c r="G2666" s="89"/>
    </row>
    <row r="2667">
      <c r="A2667" s="93"/>
      <c r="B2667" s="87" t="s">
        <v>779</v>
      </c>
      <c r="C2667" s="88"/>
      <c r="D2667" s="92"/>
      <c r="E2667" s="89"/>
      <c r="F2667" s="89"/>
      <c r="G2667" s="89"/>
    </row>
    <row r="2668">
      <c r="A2668" s="93"/>
      <c r="B2668" s="87" t="s">
        <v>779</v>
      </c>
      <c r="C2668" s="88"/>
      <c r="D2668" s="92"/>
      <c r="E2668" s="89"/>
      <c r="F2668" s="89"/>
      <c r="G2668" s="89"/>
    </row>
    <row r="2669">
      <c r="A2669" s="93"/>
      <c r="B2669" s="87" t="s">
        <v>779</v>
      </c>
      <c r="C2669" s="88"/>
      <c r="D2669" s="92"/>
      <c r="E2669" s="89"/>
      <c r="F2669" s="89"/>
      <c r="G2669" s="89"/>
    </row>
    <row r="2670">
      <c r="A2670" s="93"/>
      <c r="B2670" s="87" t="s">
        <v>779</v>
      </c>
      <c r="C2670" s="88"/>
      <c r="D2670" s="92"/>
      <c r="E2670" s="89"/>
      <c r="F2670" s="89"/>
      <c r="G2670" s="89"/>
    </row>
    <row r="2671">
      <c r="A2671" s="93"/>
      <c r="B2671" s="87" t="s">
        <v>779</v>
      </c>
      <c r="C2671" s="88"/>
      <c r="D2671" s="92"/>
      <c r="E2671" s="89"/>
      <c r="F2671" s="89"/>
      <c r="G2671" s="89"/>
    </row>
    <row r="2672">
      <c r="A2672" s="93"/>
      <c r="B2672" s="87" t="s">
        <v>779</v>
      </c>
      <c r="C2672" s="88"/>
      <c r="D2672" s="92"/>
      <c r="E2672" s="89"/>
      <c r="F2672" s="89"/>
      <c r="G2672" s="89"/>
    </row>
    <row r="2673">
      <c r="A2673" s="93"/>
      <c r="B2673" s="87" t="s">
        <v>779</v>
      </c>
      <c r="C2673" s="88"/>
      <c r="D2673" s="92"/>
      <c r="E2673" s="89"/>
      <c r="F2673" s="89"/>
      <c r="G2673" s="89"/>
    </row>
    <row r="2674">
      <c r="A2674" s="93"/>
      <c r="B2674" s="87" t="s">
        <v>779</v>
      </c>
      <c r="C2674" s="88"/>
      <c r="D2674" s="92"/>
      <c r="E2674" s="89"/>
      <c r="F2674" s="89"/>
      <c r="G2674" s="89"/>
    </row>
    <row r="2675">
      <c r="A2675" s="93"/>
      <c r="B2675" s="87" t="s">
        <v>779</v>
      </c>
      <c r="C2675" s="88"/>
      <c r="D2675" s="92"/>
      <c r="E2675" s="89"/>
      <c r="F2675" s="89"/>
      <c r="G2675" s="89"/>
    </row>
    <row r="2676">
      <c r="A2676" s="93"/>
      <c r="B2676" s="87" t="s">
        <v>779</v>
      </c>
      <c r="C2676" s="88"/>
      <c r="D2676" s="92"/>
      <c r="E2676" s="89"/>
      <c r="F2676" s="89"/>
      <c r="G2676" s="89"/>
    </row>
    <row r="2677">
      <c r="A2677" s="93"/>
      <c r="B2677" s="87" t="s">
        <v>779</v>
      </c>
      <c r="C2677" s="88"/>
      <c r="D2677" s="92"/>
      <c r="E2677" s="89"/>
      <c r="F2677" s="89"/>
      <c r="G2677" s="89"/>
    </row>
    <row r="2678">
      <c r="A2678" s="93"/>
      <c r="B2678" s="87" t="s">
        <v>779</v>
      </c>
      <c r="C2678" s="88"/>
      <c r="D2678" s="92"/>
      <c r="E2678" s="89"/>
      <c r="F2678" s="89"/>
      <c r="G2678" s="89"/>
    </row>
    <row r="2679">
      <c r="A2679" s="93"/>
      <c r="B2679" s="87" t="s">
        <v>779</v>
      </c>
      <c r="C2679" s="88"/>
      <c r="D2679" s="92"/>
      <c r="E2679" s="89"/>
      <c r="F2679" s="89"/>
      <c r="G2679" s="89"/>
    </row>
    <row r="2680">
      <c r="A2680" s="93"/>
      <c r="B2680" s="87" t="s">
        <v>779</v>
      </c>
      <c r="C2680" s="88"/>
      <c r="D2680" s="92"/>
      <c r="E2680" s="89"/>
      <c r="F2680" s="89"/>
      <c r="G2680" s="89"/>
    </row>
    <row r="2681">
      <c r="A2681" s="93"/>
      <c r="B2681" s="87" t="s">
        <v>779</v>
      </c>
      <c r="C2681" s="88"/>
      <c r="D2681" s="92"/>
      <c r="E2681" s="89"/>
      <c r="F2681" s="89"/>
      <c r="G2681" s="89"/>
    </row>
    <row r="2682">
      <c r="A2682" s="93"/>
      <c r="B2682" s="87" t="s">
        <v>779</v>
      </c>
      <c r="C2682" s="88"/>
      <c r="D2682" s="92"/>
      <c r="E2682" s="89"/>
      <c r="F2682" s="89"/>
      <c r="G2682" s="89"/>
    </row>
    <row r="2683">
      <c r="A2683" s="93"/>
      <c r="B2683" s="87" t="s">
        <v>779</v>
      </c>
      <c r="C2683" s="88"/>
      <c r="D2683" s="92"/>
      <c r="E2683" s="89"/>
      <c r="F2683" s="89"/>
      <c r="G2683" s="89"/>
    </row>
    <row r="2684">
      <c r="A2684" s="93"/>
      <c r="B2684" s="87" t="s">
        <v>779</v>
      </c>
      <c r="C2684" s="88"/>
      <c r="D2684" s="92"/>
      <c r="E2684" s="89"/>
      <c r="F2684" s="89"/>
      <c r="G2684" s="89"/>
    </row>
    <row r="2685">
      <c r="A2685" s="93"/>
      <c r="B2685" s="87" t="s">
        <v>779</v>
      </c>
      <c r="C2685" s="88"/>
      <c r="D2685" s="92"/>
      <c r="E2685" s="89"/>
      <c r="F2685" s="89"/>
      <c r="G2685" s="89"/>
    </row>
    <row r="2686">
      <c r="A2686" s="93"/>
      <c r="B2686" s="87" t="s">
        <v>779</v>
      </c>
      <c r="C2686" s="88"/>
      <c r="D2686" s="92"/>
      <c r="E2686" s="89"/>
      <c r="F2686" s="89"/>
      <c r="G2686" s="89"/>
    </row>
    <row r="2687">
      <c r="A2687" s="93"/>
      <c r="B2687" s="87" t="s">
        <v>779</v>
      </c>
      <c r="C2687" s="88"/>
      <c r="D2687" s="92"/>
      <c r="E2687" s="89"/>
      <c r="F2687" s="89"/>
      <c r="G2687" s="89"/>
    </row>
    <row r="2688">
      <c r="A2688" s="93"/>
      <c r="B2688" s="87" t="s">
        <v>779</v>
      </c>
      <c r="C2688" s="88"/>
      <c r="D2688" s="92"/>
      <c r="E2688" s="89"/>
      <c r="F2688" s="89"/>
      <c r="G2688" s="89"/>
    </row>
    <row r="2689">
      <c r="A2689" s="93"/>
      <c r="B2689" s="87" t="s">
        <v>779</v>
      </c>
      <c r="C2689" s="88"/>
      <c r="D2689" s="92"/>
      <c r="E2689" s="89"/>
      <c r="F2689" s="89"/>
      <c r="G2689" s="89"/>
    </row>
    <row r="2690">
      <c r="A2690" s="93"/>
      <c r="B2690" s="87" t="s">
        <v>779</v>
      </c>
      <c r="C2690" s="88"/>
      <c r="D2690" s="92"/>
      <c r="E2690" s="89"/>
      <c r="F2690" s="89"/>
      <c r="G2690" s="89"/>
    </row>
    <row r="2691">
      <c r="A2691" s="93"/>
      <c r="B2691" s="87" t="s">
        <v>779</v>
      </c>
      <c r="C2691" s="88"/>
      <c r="D2691" s="92"/>
      <c r="E2691" s="89"/>
      <c r="F2691" s="89"/>
      <c r="G2691" s="89"/>
    </row>
    <row r="2692">
      <c r="A2692" s="93"/>
      <c r="B2692" s="87" t="s">
        <v>779</v>
      </c>
      <c r="C2692" s="88"/>
      <c r="D2692" s="92"/>
      <c r="E2692" s="89"/>
      <c r="F2692" s="89"/>
      <c r="G2692" s="89"/>
    </row>
    <row r="2693">
      <c r="A2693" s="93"/>
      <c r="B2693" s="87" t="s">
        <v>779</v>
      </c>
      <c r="C2693" s="88"/>
      <c r="D2693" s="92"/>
      <c r="E2693" s="89"/>
      <c r="F2693" s="89"/>
      <c r="G2693" s="89"/>
    </row>
    <row r="2694">
      <c r="A2694" s="93"/>
      <c r="B2694" s="87" t="s">
        <v>779</v>
      </c>
      <c r="C2694" s="88"/>
      <c r="D2694" s="92"/>
      <c r="E2694" s="89"/>
      <c r="F2694" s="89"/>
      <c r="G2694" s="89"/>
    </row>
    <row r="2695">
      <c r="A2695" s="93"/>
      <c r="B2695" s="87" t="s">
        <v>779</v>
      </c>
      <c r="C2695" s="88"/>
      <c r="D2695" s="92"/>
      <c r="E2695" s="89"/>
      <c r="F2695" s="89"/>
      <c r="G2695" s="89"/>
    </row>
    <row r="2696">
      <c r="A2696" s="93"/>
      <c r="B2696" s="87" t="s">
        <v>779</v>
      </c>
      <c r="C2696" s="88"/>
      <c r="D2696" s="92"/>
      <c r="E2696" s="89"/>
      <c r="F2696" s="89"/>
      <c r="G2696" s="89"/>
    </row>
    <row r="2697">
      <c r="A2697" s="93"/>
      <c r="B2697" s="87" t="s">
        <v>779</v>
      </c>
      <c r="C2697" s="88"/>
      <c r="D2697" s="92"/>
      <c r="E2697" s="89"/>
      <c r="F2697" s="89"/>
      <c r="G2697" s="89"/>
    </row>
    <row r="2698">
      <c r="A2698" s="93"/>
      <c r="B2698" s="87" t="s">
        <v>779</v>
      </c>
      <c r="C2698" s="88"/>
      <c r="D2698" s="92"/>
      <c r="E2698" s="89"/>
      <c r="F2698" s="89"/>
      <c r="G2698" s="89"/>
    </row>
    <row r="2699">
      <c r="A2699" s="93"/>
      <c r="B2699" s="87" t="s">
        <v>779</v>
      </c>
      <c r="C2699" s="88"/>
      <c r="D2699" s="92"/>
      <c r="E2699" s="89"/>
      <c r="F2699" s="89"/>
      <c r="G2699" s="89"/>
    </row>
    <row r="2700">
      <c r="A2700" s="93"/>
      <c r="B2700" s="87" t="s">
        <v>779</v>
      </c>
      <c r="C2700" s="88"/>
      <c r="D2700" s="92"/>
      <c r="E2700" s="89"/>
      <c r="F2700" s="89"/>
      <c r="G2700" s="89"/>
    </row>
    <row r="2701">
      <c r="A2701" s="93"/>
      <c r="B2701" s="87" t="s">
        <v>779</v>
      </c>
      <c r="C2701" s="88"/>
      <c r="D2701" s="92"/>
      <c r="E2701" s="89"/>
      <c r="F2701" s="89"/>
      <c r="G2701" s="89"/>
    </row>
    <row r="2702">
      <c r="A2702" s="93"/>
      <c r="B2702" s="87" t="s">
        <v>779</v>
      </c>
      <c r="C2702" s="88"/>
      <c r="D2702" s="92"/>
      <c r="E2702" s="89"/>
      <c r="F2702" s="89"/>
      <c r="G2702" s="89"/>
    </row>
    <row r="2703">
      <c r="A2703" s="93"/>
      <c r="B2703" s="87" t="s">
        <v>779</v>
      </c>
      <c r="C2703" s="88"/>
      <c r="D2703" s="92"/>
      <c r="E2703" s="89"/>
      <c r="F2703" s="89"/>
      <c r="G2703" s="89"/>
    </row>
    <row r="2704">
      <c r="A2704" s="93"/>
      <c r="B2704" s="87" t="s">
        <v>779</v>
      </c>
      <c r="C2704" s="88"/>
      <c r="D2704" s="92"/>
      <c r="E2704" s="89"/>
      <c r="F2704" s="89"/>
      <c r="G2704" s="89"/>
    </row>
    <row r="2705">
      <c r="A2705" s="93"/>
      <c r="B2705" s="87" t="s">
        <v>779</v>
      </c>
      <c r="C2705" s="88"/>
      <c r="D2705" s="92"/>
      <c r="E2705" s="89"/>
      <c r="F2705" s="89"/>
      <c r="G2705" s="89"/>
    </row>
    <row r="2706">
      <c r="A2706" s="93"/>
      <c r="B2706" s="87" t="s">
        <v>779</v>
      </c>
      <c r="C2706" s="88"/>
      <c r="D2706" s="92"/>
      <c r="E2706" s="89"/>
      <c r="F2706" s="89"/>
      <c r="G2706" s="89"/>
    </row>
    <row r="2707">
      <c r="A2707" s="93"/>
      <c r="B2707" s="87" t="s">
        <v>779</v>
      </c>
      <c r="C2707" s="88"/>
      <c r="D2707" s="92"/>
      <c r="E2707" s="89"/>
      <c r="F2707" s="89"/>
      <c r="G2707" s="89"/>
    </row>
    <row r="2708">
      <c r="A2708" s="93"/>
      <c r="B2708" s="87" t="s">
        <v>779</v>
      </c>
      <c r="C2708" s="88"/>
      <c r="D2708" s="92"/>
      <c r="E2708" s="89"/>
      <c r="F2708" s="89"/>
      <c r="G2708" s="89"/>
    </row>
    <row r="2709">
      <c r="A2709" s="93"/>
      <c r="B2709" s="87" t="s">
        <v>779</v>
      </c>
      <c r="C2709" s="88"/>
      <c r="D2709" s="92"/>
      <c r="E2709" s="89"/>
      <c r="F2709" s="89"/>
      <c r="G2709" s="89"/>
    </row>
    <row r="2710">
      <c r="A2710" s="93"/>
      <c r="B2710" s="87" t="s">
        <v>779</v>
      </c>
      <c r="C2710" s="88"/>
      <c r="D2710" s="92"/>
      <c r="E2710" s="89"/>
      <c r="F2710" s="89"/>
      <c r="G2710" s="89"/>
    </row>
    <row r="2711">
      <c r="A2711" s="93"/>
      <c r="B2711" s="87" t="s">
        <v>779</v>
      </c>
      <c r="C2711" s="88"/>
      <c r="D2711" s="92"/>
      <c r="E2711" s="89"/>
      <c r="F2711" s="89"/>
      <c r="G2711" s="89"/>
    </row>
    <row r="2712">
      <c r="A2712" s="93"/>
      <c r="B2712" s="87" t="s">
        <v>779</v>
      </c>
      <c r="C2712" s="88"/>
      <c r="D2712" s="92"/>
      <c r="E2712" s="89"/>
      <c r="F2712" s="89"/>
      <c r="G2712" s="89"/>
    </row>
    <row r="2713">
      <c r="A2713" s="93"/>
      <c r="B2713" s="87" t="s">
        <v>779</v>
      </c>
      <c r="C2713" s="88"/>
      <c r="D2713" s="92"/>
      <c r="E2713" s="89"/>
      <c r="F2713" s="89"/>
      <c r="G2713" s="89"/>
    </row>
    <row r="2714">
      <c r="A2714" s="93"/>
      <c r="B2714" s="87" t="s">
        <v>779</v>
      </c>
      <c r="C2714" s="88"/>
      <c r="D2714" s="92"/>
      <c r="E2714" s="89"/>
      <c r="F2714" s="89"/>
      <c r="G2714" s="89"/>
    </row>
    <row r="2715">
      <c r="A2715" s="93"/>
      <c r="B2715" s="87" t="s">
        <v>779</v>
      </c>
      <c r="C2715" s="88"/>
      <c r="D2715" s="92"/>
      <c r="E2715" s="89"/>
      <c r="F2715" s="89"/>
      <c r="G2715" s="89"/>
    </row>
    <row r="2716">
      <c r="A2716" s="93"/>
      <c r="B2716" s="87" t="s">
        <v>779</v>
      </c>
      <c r="C2716" s="88"/>
      <c r="D2716" s="92"/>
      <c r="E2716" s="89"/>
      <c r="F2716" s="89"/>
      <c r="G2716" s="89"/>
    </row>
    <row r="2717">
      <c r="A2717" s="93"/>
      <c r="B2717" s="87" t="s">
        <v>779</v>
      </c>
      <c r="C2717" s="88"/>
      <c r="D2717" s="92"/>
      <c r="E2717" s="89"/>
      <c r="F2717" s="89"/>
      <c r="G2717" s="89"/>
    </row>
    <row r="2718">
      <c r="A2718" s="93"/>
      <c r="B2718" s="87" t="s">
        <v>779</v>
      </c>
      <c r="C2718" s="88"/>
      <c r="D2718" s="92"/>
      <c r="E2718" s="89"/>
      <c r="F2718" s="89"/>
      <c r="G2718" s="89"/>
    </row>
    <row r="2719">
      <c r="A2719" s="93"/>
      <c r="B2719" s="87" t="s">
        <v>779</v>
      </c>
      <c r="C2719" s="88"/>
      <c r="D2719" s="92"/>
      <c r="E2719" s="89"/>
      <c r="F2719" s="89"/>
      <c r="G2719" s="89"/>
    </row>
    <row r="2720">
      <c r="A2720" s="93"/>
      <c r="B2720" s="87" t="s">
        <v>779</v>
      </c>
      <c r="C2720" s="88"/>
      <c r="D2720" s="92"/>
      <c r="E2720" s="89"/>
      <c r="F2720" s="89"/>
      <c r="G2720" s="89"/>
    </row>
    <row r="2721">
      <c r="A2721" s="93"/>
      <c r="B2721" s="87" t="s">
        <v>779</v>
      </c>
      <c r="C2721" s="88"/>
      <c r="D2721" s="92"/>
      <c r="E2721" s="89"/>
      <c r="F2721" s="89"/>
      <c r="G2721" s="89"/>
    </row>
    <row r="2722">
      <c r="A2722" s="93"/>
      <c r="B2722" s="87" t="s">
        <v>779</v>
      </c>
      <c r="C2722" s="88"/>
      <c r="D2722" s="92"/>
      <c r="E2722" s="89"/>
      <c r="F2722" s="89"/>
      <c r="G2722" s="89"/>
    </row>
    <row r="2723">
      <c r="A2723" s="93"/>
      <c r="B2723" s="87" t="s">
        <v>779</v>
      </c>
      <c r="C2723" s="88"/>
      <c r="D2723" s="92"/>
      <c r="E2723" s="89"/>
      <c r="F2723" s="89"/>
      <c r="G2723" s="89"/>
    </row>
    <row r="2724">
      <c r="A2724" s="93"/>
      <c r="B2724" s="87" t="s">
        <v>779</v>
      </c>
      <c r="C2724" s="88"/>
      <c r="D2724" s="92"/>
      <c r="E2724" s="89"/>
      <c r="F2724" s="89"/>
      <c r="G2724" s="89"/>
    </row>
    <row r="2725">
      <c r="A2725" s="93"/>
      <c r="B2725" s="87" t="s">
        <v>779</v>
      </c>
      <c r="C2725" s="88"/>
      <c r="D2725" s="92"/>
      <c r="E2725" s="89"/>
      <c r="F2725" s="89"/>
      <c r="G2725" s="89"/>
    </row>
    <row r="2726">
      <c r="A2726" s="93"/>
      <c r="B2726" s="87" t="s">
        <v>779</v>
      </c>
      <c r="C2726" s="88"/>
      <c r="D2726" s="92"/>
      <c r="E2726" s="89"/>
      <c r="F2726" s="89"/>
      <c r="G2726" s="89"/>
    </row>
    <row r="2727">
      <c r="A2727" s="93"/>
      <c r="B2727" s="87" t="s">
        <v>779</v>
      </c>
      <c r="C2727" s="88"/>
      <c r="D2727" s="92"/>
      <c r="E2727" s="89"/>
      <c r="F2727" s="89"/>
      <c r="G2727" s="89"/>
    </row>
    <row r="2728">
      <c r="A2728" s="93"/>
      <c r="B2728" s="87" t="s">
        <v>779</v>
      </c>
      <c r="C2728" s="88"/>
      <c r="D2728" s="92"/>
      <c r="E2728" s="89"/>
      <c r="F2728" s="89"/>
      <c r="G2728" s="89"/>
    </row>
    <row r="2729">
      <c r="A2729" s="93"/>
      <c r="B2729" s="87" t="s">
        <v>779</v>
      </c>
      <c r="C2729" s="88"/>
      <c r="D2729" s="92"/>
      <c r="E2729" s="89"/>
      <c r="F2729" s="89"/>
      <c r="G2729" s="89"/>
    </row>
    <row r="2730">
      <c r="A2730" s="93"/>
      <c r="B2730" s="87" t="s">
        <v>779</v>
      </c>
      <c r="C2730" s="88"/>
      <c r="D2730" s="92"/>
      <c r="E2730" s="89"/>
      <c r="F2730" s="89"/>
      <c r="G2730" s="89"/>
    </row>
    <row r="2731">
      <c r="A2731" s="93"/>
      <c r="B2731" s="87" t="s">
        <v>779</v>
      </c>
      <c r="C2731" s="88"/>
      <c r="D2731" s="92"/>
      <c r="E2731" s="89"/>
      <c r="F2731" s="89"/>
      <c r="G2731" s="89"/>
    </row>
    <row r="2732">
      <c r="A2732" s="93"/>
      <c r="B2732" s="87" t="s">
        <v>779</v>
      </c>
      <c r="C2732" s="88"/>
      <c r="D2732" s="92"/>
      <c r="E2732" s="89"/>
      <c r="F2732" s="89"/>
      <c r="G2732" s="89"/>
    </row>
    <row r="2733">
      <c r="A2733" s="93"/>
      <c r="B2733" s="87" t="s">
        <v>779</v>
      </c>
      <c r="C2733" s="88"/>
      <c r="D2733" s="92"/>
      <c r="E2733" s="89"/>
      <c r="F2733" s="89"/>
      <c r="G2733" s="89"/>
    </row>
    <row r="2734">
      <c r="A2734" s="93"/>
      <c r="B2734" s="87" t="s">
        <v>779</v>
      </c>
      <c r="C2734" s="88"/>
      <c r="D2734" s="92"/>
      <c r="E2734" s="89"/>
      <c r="F2734" s="89"/>
      <c r="G2734" s="89"/>
    </row>
    <row r="2735">
      <c r="A2735" s="93"/>
      <c r="B2735" s="87" t="s">
        <v>779</v>
      </c>
      <c r="C2735" s="88"/>
      <c r="D2735" s="92"/>
      <c r="E2735" s="89"/>
      <c r="F2735" s="89"/>
      <c r="G2735" s="89"/>
    </row>
    <row r="2736">
      <c r="A2736" s="93"/>
      <c r="B2736" s="87" t="s">
        <v>779</v>
      </c>
      <c r="C2736" s="88"/>
      <c r="D2736" s="92"/>
      <c r="E2736" s="89"/>
      <c r="F2736" s="89"/>
      <c r="G2736" s="89"/>
    </row>
    <row r="2737">
      <c r="A2737" s="93"/>
      <c r="B2737" s="87" t="s">
        <v>779</v>
      </c>
      <c r="C2737" s="88"/>
      <c r="D2737" s="92"/>
      <c r="E2737" s="89"/>
      <c r="F2737" s="89"/>
      <c r="G2737" s="89"/>
    </row>
    <row r="2738">
      <c r="A2738" s="93"/>
      <c r="B2738" s="87" t="s">
        <v>779</v>
      </c>
      <c r="C2738" s="88"/>
      <c r="D2738" s="92"/>
      <c r="E2738" s="89"/>
      <c r="F2738" s="89"/>
      <c r="G2738" s="89"/>
    </row>
    <row r="2739">
      <c r="A2739" s="93"/>
      <c r="B2739" s="87" t="s">
        <v>779</v>
      </c>
      <c r="C2739" s="88"/>
      <c r="D2739" s="92"/>
      <c r="E2739" s="89"/>
      <c r="F2739" s="89"/>
      <c r="G2739" s="89"/>
    </row>
    <row r="2740">
      <c r="A2740" s="93"/>
      <c r="B2740" s="87" t="s">
        <v>779</v>
      </c>
      <c r="C2740" s="88"/>
      <c r="D2740" s="92"/>
      <c r="E2740" s="89"/>
      <c r="F2740" s="89"/>
      <c r="G2740" s="89"/>
    </row>
    <row r="2741">
      <c r="A2741" s="93"/>
      <c r="B2741" s="87" t="s">
        <v>779</v>
      </c>
      <c r="C2741" s="88"/>
      <c r="D2741" s="92"/>
      <c r="E2741" s="89"/>
      <c r="F2741" s="89"/>
      <c r="G2741" s="89"/>
    </row>
    <row r="2742">
      <c r="A2742" s="93"/>
      <c r="B2742" s="87" t="s">
        <v>779</v>
      </c>
      <c r="C2742" s="88"/>
      <c r="D2742" s="92"/>
      <c r="E2742" s="89"/>
      <c r="F2742" s="89"/>
      <c r="G2742" s="89"/>
    </row>
    <row r="2743">
      <c r="A2743" s="93"/>
      <c r="B2743" s="87" t="s">
        <v>779</v>
      </c>
      <c r="C2743" s="88"/>
      <c r="D2743" s="92"/>
      <c r="E2743" s="89"/>
      <c r="F2743" s="89"/>
      <c r="G2743" s="89"/>
    </row>
    <row r="2744">
      <c r="A2744" s="93"/>
      <c r="B2744" s="87" t="s">
        <v>779</v>
      </c>
      <c r="C2744" s="88"/>
      <c r="D2744" s="92"/>
      <c r="E2744" s="89"/>
      <c r="F2744" s="89"/>
      <c r="G2744" s="89"/>
    </row>
    <row r="2745">
      <c r="A2745" s="93"/>
      <c r="B2745" s="87" t="s">
        <v>779</v>
      </c>
      <c r="C2745" s="88"/>
      <c r="D2745" s="92"/>
      <c r="E2745" s="89"/>
      <c r="F2745" s="89"/>
      <c r="G2745" s="89"/>
    </row>
    <row r="2746">
      <c r="A2746" s="93"/>
      <c r="B2746" s="87" t="s">
        <v>779</v>
      </c>
      <c r="C2746" s="88"/>
      <c r="D2746" s="92"/>
      <c r="E2746" s="89"/>
      <c r="F2746" s="89"/>
      <c r="G2746" s="89"/>
    </row>
    <row r="2747">
      <c r="A2747" s="93"/>
      <c r="B2747" s="87" t="s">
        <v>779</v>
      </c>
      <c r="C2747" s="88"/>
      <c r="D2747" s="92"/>
      <c r="E2747" s="89"/>
      <c r="F2747" s="89"/>
      <c r="G2747" s="89"/>
    </row>
    <row r="2748">
      <c r="A2748" s="93"/>
      <c r="B2748" s="87" t="s">
        <v>779</v>
      </c>
      <c r="C2748" s="88"/>
      <c r="D2748" s="92"/>
      <c r="E2748" s="89"/>
      <c r="F2748" s="89"/>
      <c r="G2748" s="89"/>
    </row>
    <row r="2749">
      <c r="A2749" s="93"/>
      <c r="B2749" s="87" t="s">
        <v>779</v>
      </c>
      <c r="C2749" s="88"/>
      <c r="D2749" s="92"/>
      <c r="E2749" s="89"/>
      <c r="F2749" s="89"/>
      <c r="G2749" s="89"/>
    </row>
    <row r="2750">
      <c r="A2750" s="93"/>
      <c r="B2750" s="87" t="s">
        <v>779</v>
      </c>
      <c r="C2750" s="88"/>
      <c r="D2750" s="92"/>
      <c r="E2750" s="89"/>
      <c r="F2750" s="89"/>
      <c r="G2750" s="89"/>
    </row>
    <row r="2751">
      <c r="A2751" s="93"/>
      <c r="B2751" s="87" t="s">
        <v>779</v>
      </c>
      <c r="C2751" s="88"/>
      <c r="D2751" s="92"/>
      <c r="E2751" s="89"/>
      <c r="F2751" s="89"/>
      <c r="G2751" s="89"/>
    </row>
    <row r="2752">
      <c r="A2752" s="93"/>
      <c r="B2752" s="87" t="s">
        <v>779</v>
      </c>
      <c r="C2752" s="88"/>
      <c r="D2752" s="92"/>
      <c r="E2752" s="89"/>
      <c r="F2752" s="89"/>
      <c r="G2752" s="89"/>
    </row>
    <row r="2753">
      <c r="A2753" s="93"/>
      <c r="B2753" s="87" t="s">
        <v>779</v>
      </c>
      <c r="C2753" s="88"/>
      <c r="D2753" s="92"/>
      <c r="E2753" s="89"/>
      <c r="F2753" s="89"/>
      <c r="G2753" s="89"/>
    </row>
    <row r="2754">
      <c r="A2754" s="93"/>
      <c r="B2754" s="87" t="s">
        <v>779</v>
      </c>
      <c r="C2754" s="88"/>
      <c r="D2754" s="92"/>
      <c r="E2754" s="89"/>
      <c r="F2754" s="89"/>
      <c r="G2754" s="89"/>
    </row>
    <row r="2755">
      <c r="A2755" s="93"/>
      <c r="B2755" s="87" t="s">
        <v>779</v>
      </c>
      <c r="C2755" s="88"/>
      <c r="D2755" s="92"/>
      <c r="E2755" s="89"/>
      <c r="F2755" s="89"/>
      <c r="G2755" s="89"/>
    </row>
    <row r="2756">
      <c r="A2756" s="93"/>
      <c r="B2756" s="87" t="s">
        <v>779</v>
      </c>
      <c r="C2756" s="88"/>
      <c r="D2756" s="92"/>
      <c r="E2756" s="89"/>
      <c r="F2756" s="89"/>
      <c r="G2756" s="89"/>
    </row>
    <row r="2757">
      <c r="A2757" s="93"/>
      <c r="B2757" s="87" t="s">
        <v>779</v>
      </c>
      <c r="C2757" s="88"/>
      <c r="D2757" s="92"/>
      <c r="E2757" s="89"/>
      <c r="F2757" s="89"/>
      <c r="G2757" s="89"/>
    </row>
    <row r="2758">
      <c r="A2758" s="93"/>
      <c r="B2758" s="87" t="s">
        <v>779</v>
      </c>
      <c r="C2758" s="88"/>
      <c r="D2758" s="92"/>
      <c r="E2758" s="89"/>
      <c r="F2758" s="89"/>
      <c r="G2758" s="89"/>
    </row>
    <row r="2759">
      <c r="A2759" s="93"/>
      <c r="B2759" s="87" t="s">
        <v>779</v>
      </c>
      <c r="C2759" s="88"/>
      <c r="D2759" s="92"/>
      <c r="E2759" s="89"/>
      <c r="F2759" s="89"/>
      <c r="G2759" s="89"/>
    </row>
    <row r="2760">
      <c r="A2760" s="93"/>
      <c r="B2760" s="87" t="s">
        <v>779</v>
      </c>
      <c r="C2760" s="88"/>
      <c r="D2760" s="92"/>
      <c r="E2760" s="89"/>
      <c r="F2760" s="89"/>
      <c r="G2760" s="89"/>
    </row>
    <row r="2761">
      <c r="A2761" s="93"/>
      <c r="B2761" s="87" t="s">
        <v>779</v>
      </c>
      <c r="C2761" s="88"/>
      <c r="D2761" s="92"/>
      <c r="E2761" s="89"/>
      <c r="F2761" s="89"/>
      <c r="G2761" s="89"/>
    </row>
    <row r="2762">
      <c r="A2762" s="93"/>
      <c r="B2762" s="87" t="s">
        <v>779</v>
      </c>
      <c r="C2762" s="88"/>
      <c r="D2762" s="92"/>
      <c r="E2762" s="89"/>
      <c r="F2762" s="89"/>
      <c r="G2762" s="89"/>
    </row>
    <row r="2763">
      <c r="A2763" s="93"/>
      <c r="B2763" s="87" t="s">
        <v>779</v>
      </c>
      <c r="C2763" s="88"/>
      <c r="D2763" s="92"/>
      <c r="E2763" s="89"/>
      <c r="F2763" s="89"/>
      <c r="G2763" s="89"/>
    </row>
    <row r="2764">
      <c r="A2764" s="93"/>
      <c r="B2764" s="87" t="s">
        <v>779</v>
      </c>
      <c r="C2764" s="88"/>
      <c r="D2764" s="92"/>
      <c r="E2764" s="89"/>
      <c r="F2764" s="89"/>
      <c r="G2764" s="89"/>
    </row>
    <row r="2765">
      <c r="A2765" s="93"/>
      <c r="B2765" s="87" t="s">
        <v>779</v>
      </c>
      <c r="C2765" s="88"/>
      <c r="D2765" s="92"/>
      <c r="E2765" s="89"/>
      <c r="F2765" s="89"/>
      <c r="G2765" s="89"/>
    </row>
    <row r="2766">
      <c r="A2766" s="93"/>
      <c r="B2766" s="87" t="s">
        <v>779</v>
      </c>
      <c r="C2766" s="88"/>
      <c r="D2766" s="92"/>
      <c r="E2766" s="89"/>
      <c r="F2766" s="89"/>
      <c r="G2766" s="89"/>
    </row>
    <row r="2767">
      <c r="A2767" s="93"/>
      <c r="B2767" s="87" t="s">
        <v>779</v>
      </c>
      <c r="C2767" s="88"/>
      <c r="D2767" s="92"/>
      <c r="E2767" s="89"/>
      <c r="F2767" s="89"/>
      <c r="G2767" s="89"/>
    </row>
    <row r="2768">
      <c r="A2768" s="93"/>
      <c r="B2768" s="87" t="s">
        <v>779</v>
      </c>
      <c r="C2768" s="88"/>
      <c r="D2768" s="92"/>
      <c r="E2768" s="89"/>
      <c r="F2768" s="89"/>
      <c r="G2768" s="89"/>
    </row>
    <row r="2769">
      <c r="A2769" s="93"/>
      <c r="B2769" s="87" t="s">
        <v>779</v>
      </c>
      <c r="C2769" s="88"/>
      <c r="D2769" s="92"/>
      <c r="E2769" s="89"/>
      <c r="F2769" s="89"/>
      <c r="G2769" s="89"/>
    </row>
    <row r="2770">
      <c r="A2770" s="93"/>
      <c r="B2770" s="87" t="s">
        <v>779</v>
      </c>
      <c r="C2770" s="88"/>
      <c r="D2770" s="92"/>
      <c r="E2770" s="89"/>
      <c r="F2770" s="89"/>
      <c r="G2770" s="89"/>
    </row>
    <row r="2771">
      <c r="A2771" s="93"/>
      <c r="B2771" s="87" t="s">
        <v>779</v>
      </c>
      <c r="C2771" s="88"/>
      <c r="D2771" s="92"/>
      <c r="E2771" s="89"/>
      <c r="F2771" s="89"/>
      <c r="G2771" s="89"/>
    </row>
    <row r="2772">
      <c r="A2772" s="93"/>
      <c r="B2772" s="87" t="s">
        <v>779</v>
      </c>
      <c r="C2772" s="88"/>
      <c r="D2772" s="92"/>
      <c r="E2772" s="89"/>
      <c r="F2772" s="89"/>
      <c r="G2772" s="89"/>
    </row>
    <row r="2773">
      <c r="A2773" s="93"/>
      <c r="B2773" s="87" t="s">
        <v>779</v>
      </c>
      <c r="C2773" s="88"/>
      <c r="D2773" s="92"/>
      <c r="E2773" s="89"/>
      <c r="F2773" s="89"/>
      <c r="G2773" s="89"/>
    </row>
    <row r="2774">
      <c r="A2774" s="93"/>
      <c r="B2774" s="87" t="s">
        <v>779</v>
      </c>
      <c r="C2774" s="88"/>
      <c r="D2774" s="92"/>
      <c r="E2774" s="89"/>
      <c r="F2774" s="89"/>
      <c r="G2774" s="89"/>
    </row>
    <row r="2775">
      <c r="A2775" s="93"/>
      <c r="B2775" s="87" t="s">
        <v>779</v>
      </c>
      <c r="C2775" s="88"/>
      <c r="D2775" s="92"/>
      <c r="E2775" s="89"/>
      <c r="F2775" s="89"/>
      <c r="G2775" s="89"/>
    </row>
    <row r="2776">
      <c r="A2776" s="93"/>
      <c r="B2776" s="87" t="s">
        <v>779</v>
      </c>
      <c r="C2776" s="88"/>
      <c r="D2776" s="92"/>
      <c r="E2776" s="89"/>
      <c r="F2776" s="89"/>
      <c r="G2776" s="89"/>
    </row>
    <row r="2777">
      <c r="A2777" s="93"/>
      <c r="B2777" s="87" t="s">
        <v>779</v>
      </c>
      <c r="C2777" s="88"/>
      <c r="D2777" s="92"/>
      <c r="E2777" s="89"/>
      <c r="F2777" s="89"/>
      <c r="G2777" s="89"/>
    </row>
    <row r="2778">
      <c r="A2778" s="93"/>
      <c r="B2778" s="87" t="s">
        <v>779</v>
      </c>
      <c r="C2778" s="88"/>
      <c r="D2778" s="92"/>
      <c r="E2778" s="89"/>
      <c r="F2778" s="89"/>
      <c r="G2778" s="89"/>
    </row>
    <row r="2779">
      <c r="A2779" s="93"/>
      <c r="B2779" s="87" t="s">
        <v>779</v>
      </c>
      <c r="C2779" s="88"/>
      <c r="D2779" s="92"/>
      <c r="E2779" s="89"/>
      <c r="F2779" s="89"/>
      <c r="G2779" s="89"/>
    </row>
    <row r="2780">
      <c r="A2780" s="93"/>
      <c r="B2780" s="87" t="s">
        <v>779</v>
      </c>
      <c r="C2780" s="88"/>
      <c r="D2780" s="92"/>
      <c r="E2780" s="89"/>
      <c r="F2780" s="89"/>
      <c r="G2780" s="89"/>
    </row>
    <row r="2781">
      <c r="A2781" s="93"/>
      <c r="B2781" s="87" t="s">
        <v>779</v>
      </c>
      <c r="C2781" s="88"/>
      <c r="D2781" s="92"/>
      <c r="E2781" s="89"/>
      <c r="F2781" s="89"/>
      <c r="G2781" s="89"/>
    </row>
    <row r="2782">
      <c r="A2782" s="93"/>
      <c r="B2782" s="87" t="s">
        <v>779</v>
      </c>
      <c r="C2782" s="88"/>
      <c r="D2782" s="92"/>
      <c r="E2782" s="89"/>
      <c r="F2782" s="89"/>
      <c r="G2782" s="89"/>
    </row>
    <row r="2783">
      <c r="A2783" s="93"/>
      <c r="B2783" s="87" t="s">
        <v>779</v>
      </c>
      <c r="C2783" s="88"/>
      <c r="D2783" s="92"/>
      <c r="E2783" s="89"/>
      <c r="F2783" s="89"/>
      <c r="G2783" s="89"/>
    </row>
    <row r="2784">
      <c r="A2784" s="93"/>
      <c r="B2784" s="87" t="s">
        <v>779</v>
      </c>
      <c r="C2784" s="88"/>
      <c r="D2784" s="92"/>
      <c r="E2784" s="89"/>
      <c r="F2784" s="89"/>
      <c r="G2784" s="89"/>
    </row>
    <row r="2785">
      <c r="A2785" s="93"/>
      <c r="B2785" s="87" t="s">
        <v>779</v>
      </c>
      <c r="C2785" s="88"/>
      <c r="D2785" s="92"/>
      <c r="E2785" s="89"/>
      <c r="F2785" s="89"/>
      <c r="G2785" s="89"/>
    </row>
    <row r="2786">
      <c r="A2786" s="93"/>
      <c r="B2786" s="87" t="s">
        <v>779</v>
      </c>
      <c r="C2786" s="88"/>
      <c r="D2786" s="92"/>
      <c r="E2786" s="89"/>
      <c r="F2786" s="89"/>
      <c r="G2786" s="89"/>
    </row>
    <row r="2787">
      <c r="A2787" s="93"/>
      <c r="B2787" s="87" t="s">
        <v>779</v>
      </c>
      <c r="C2787" s="88"/>
      <c r="D2787" s="92"/>
      <c r="E2787" s="89"/>
      <c r="F2787" s="89"/>
      <c r="G2787" s="89"/>
    </row>
    <row r="2788">
      <c r="A2788" s="93"/>
      <c r="B2788" s="87" t="s">
        <v>779</v>
      </c>
      <c r="C2788" s="88"/>
      <c r="D2788" s="92"/>
      <c r="E2788" s="89"/>
      <c r="F2788" s="89"/>
      <c r="G2788" s="89"/>
    </row>
    <row r="2789">
      <c r="A2789" s="93"/>
      <c r="B2789" s="87" t="s">
        <v>779</v>
      </c>
      <c r="C2789" s="88"/>
      <c r="D2789" s="92"/>
      <c r="E2789" s="89"/>
      <c r="F2789" s="89"/>
      <c r="G2789" s="89"/>
    </row>
    <row r="2790">
      <c r="A2790" s="93"/>
      <c r="B2790" s="87" t="s">
        <v>779</v>
      </c>
      <c r="C2790" s="88"/>
      <c r="D2790" s="92"/>
      <c r="E2790" s="89"/>
      <c r="F2790" s="89"/>
      <c r="G2790" s="89"/>
    </row>
    <row r="2791">
      <c r="A2791" s="93"/>
      <c r="B2791" s="87" t="s">
        <v>779</v>
      </c>
      <c r="C2791" s="88"/>
      <c r="D2791" s="92"/>
      <c r="E2791" s="89"/>
      <c r="F2791" s="89"/>
      <c r="G2791" s="89"/>
    </row>
    <row r="2792">
      <c r="A2792" s="93"/>
      <c r="B2792" s="87" t="s">
        <v>779</v>
      </c>
      <c r="C2792" s="88"/>
      <c r="D2792" s="92"/>
      <c r="E2792" s="89"/>
      <c r="F2792" s="89"/>
      <c r="G2792" s="89"/>
    </row>
    <row r="2793">
      <c r="A2793" s="93"/>
      <c r="B2793" s="87" t="s">
        <v>779</v>
      </c>
      <c r="C2793" s="88"/>
      <c r="D2793" s="92"/>
      <c r="E2793" s="89"/>
      <c r="F2793" s="89"/>
      <c r="G2793" s="89"/>
    </row>
    <row r="2794">
      <c r="A2794" s="93"/>
      <c r="B2794" s="87" t="s">
        <v>779</v>
      </c>
      <c r="C2794" s="88"/>
      <c r="D2794" s="92"/>
      <c r="E2794" s="89"/>
      <c r="F2794" s="89"/>
      <c r="G2794" s="89"/>
    </row>
    <row r="2795">
      <c r="A2795" s="93"/>
      <c r="B2795" s="87" t="s">
        <v>779</v>
      </c>
      <c r="C2795" s="88"/>
      <c r="D2795" s="92"/>
      <c r="E2795" s="89"/>
      <c r="F2795" s="89"/>
      <c r="G2795" s="89"/>
    </row>
    <row r="2796">
      <c r="A2796" s="93"/>
      <c r="B2796" s="87" t="s">
        <v>779</v>
      </c>
      <c r="C2796" s="88"/>
      <c r="D2796" s="92"/>
      <c r="E2796" s="89"/>
      <c r="F2796" s="89"/>
      <c r="G2796" s="89"/>
    </row>
    <row r="2797">
      <c r="A2797" s="93"/>
      <c r="B2797" s="87" t="s">
        <v>779</v>
      </c>
      <c r="C2797" s="88"/>
      <c r="D2797" s="92"/>
      <c r="E2797" s="89"/>
      <c r="F2797" s="89"/>
      <c r="G2797" s="89"/>
    </row>
    <row r="2798">
      <c r="A2798" s="93"/>
      <c r="B2798" s="87" t="s">
        <v>779</v>
      </c>
      <c r="C2798" s="88"/>
      <c r="D2798" s="92"/>
      <c r="E2798" s="89"/>
      <c r="F2798" s="89"/>
      <c r="G2798" s="89"/>
    </row>
    <row r="2799">
      <c r="A2799" s="93"/>
      <c r="B2799" s="87" t="s">
        <v>779</v>
      </c>
      <c r="C2799" s="88"/>
      <c r="D2799" s="92"/>
      <c r="E2799" s="89"/>
      <c r="F2799" s="89"/>
      <c r="G2799" s="89"/>
    </row>
    <row r="2800">
      <c r="A2800" s="93"/>
      <c r="B2800" s="87" t="s">
        <v>779</v>
      </c>
      <c r="C2800" s="88"/>
      <c r="D2800" s="92"/>
      <c r="E2800" s="89"/>
      <c r="F2800" s="89"/>
      <c r="G2800" s="89"/>
    </row>
    <row r="2801">
      <c r="A2801" s="93"/>
      <c r="B2801" s="87" t="s">
        <v>779</v>
      </c>
      <c r="C2801" s="88"/>
      <c r="D2801" s="92"/>
      <c r="E2801" s="89"/>
      <c r="F2801" s="89"/>
      <c r="G2801" s="89"/>
    </row>
    <row r="2802">
      <c r="A2802" s="93"/>
      <c r="B2802" s="87" t="s">
        <v>779</v>
      </c>
      <c r="C2802" s="88"/>
      <c r="D2802" s="92"/>
      <c r="E2802" s="89"/>
      <c r="F2802" s="89"/>
      <c r="G2802" s="89"/>
    </row>
    <row r="2803">
      <c r="A2803" s="93"/>
      <c r="B2803" s="87" t="s">
        <v>779</v>
      </c>
      <c r="C2803" s="88"/>
      <c r="D2803" s="92"/>
      <c r="E2803" s="89"/>
      <c r="F2803" s="89"/>
      <c r="G2803" s="89"/>
    </row>
    <row r="2804">
      <c r="A2804" s="93"/>
      <c r="B2804" s="87" t="s">
        <v>779</v>
      </c>
      <c r="C2804" s="88"/>
      <c r="D2804" s="92"/>
      <c r="E2804" s="89"/>
      <c r="F2804" s="89"/>
      <c r="G2804" s="89"/>
    </row>
    <row r="2805">
      <c r="A2805" s="93"/>
      <c r="B2805" s="87" t="s">
        <v>779</v>
      </c>
      <c r="C2805" s="88"/>
      <c r="D2805" s="92"/>
      <c r="E2805" s="89"/>
      <c r="F2805" s="89"/>
      <c r="G2805" s="89"/>
    </row>
    <row r="2806">
      <c r="A2806" s="93"/>
      <c r="B2806" s="87" t="s">
        <v>779</v>
      </c>
      <c r="C2806" s="88"/>
      <c r="D2806" s="92"/>
      <c r="E2806" s="89"/>
      <c r="F2806" s="89"/>
      <c r="G2806" s="89"/>
    </row>
    <row r="2807">
      <c r="A2807" s="93"/>
      <c r="B2807" s="87" t="s">
        <v>779</v>
      </c>
      <c r="C2807" s="88"/>
      <c r="D2807" s="92"/>
      <c r="E2807" s="89"/>
      <c r="F2807" s="89"/>
      <c r="G2807" s="89"/>
    </row>
    <row r="2808">
      <c r="A2808" s="93"/>
      <c r="B2808" s="87" t="s">
        <v>779</v>
      </c>
      <c r="C2808" s="88"/>
      <c r="D2808" s="92"/>
      <c r="E2808" s="89"/>
      <c r="F2808" s="89"/>
      <c r="G2808" s="89"/>
    </row>
    <row r="2809">
      <c r="A2809" s="93"/>
      <c r="B2809" s="87" t="s">
        <v>779</v>
      </c>
      <c r="C2809" s="88"/>
      <c r="D2809" s="92"/>
      <c r="E2809" s="89"/>
      <c r="F2809" s="89"/>
      <c r="G2809" s="89"/>
    </row>
    <row r="2810">
      <c r="A2810" s="93"/>
      <c r="B2810" s="87" t="s">
        <v>779</v>
      </c>
      <c r="C2810" s="88"/>
      <c r="D2810" s="92"/>
      <c r="E2810" s="89"/>
      <c r="F2810" s="89"/>
      <c r="G2810" s="89"/>
    </row>
    <row r="2811">
      <c r="A2811" s="93"/>
      <c r="B2811" s="87" t="s">
        <v>779</v>
      </c>
      <c r="C2811" s="88"/>
      <c r="D2811" s="92"/>
      <c r="E2811" s="89"/>
      <c r="F2811" s="89"/>
      <c r="G2811" s="89"/>
    </row>
    <row r="2812">
      <c r="A2812" s="93"/>
      <c r="B2812" s="87" t="s">
        <v>779</v>
      </c>
      <c r="C2812" s="88"/>
      <c r="D2812" s="92"/>
      <c r="E2812" s="89"/>
      <c r="F2812" s="89"/>
      <c r="G2812" s="89"/>
    </row>
    <row r="2813">
      <c r="A2813" s="93"/>
      <c r="B2813" s="87" t="s">
        <v>779</v>
      </c>
      <c r="C2813" s="88"/>
      <c r="D2813" s="92"/>
      <c r="E2813" s="89"/>
      <c r="F2813" s="89"/>
      <c r="G2813" s="89"/>
    </row>
    <row r="2814">
      <c r="A2814" s="93"/>
      <c r="B2814" s="87" t="s">
        <v>779</v>
      </c>
      <c r="C2814" s="88"/>
      <c r="D2814" s="92"/>
      <c r="E2814" s="89"/>
      <c r="F2814" s="89"/>
      <c r="G2814" s="89"/>
    </row>
    <row r="2815">
      <c r="A2815" s="93"/>
      <c r="B2815" s="87" t="s">
        <v>779</v>
      </c>
      <c r="C2815" s="88"/>
      <c r="D2815" s="92"/>
      <c r="E2815" s="89"/>
      <c r="F2815" s="89"/>
      <c r="G2815" s="89"/>
    </row>
    <row r="2816">
      <c r="A2816" s="93"/>
      <c r="B2816" s="87" t="s">
        <v>779</v>
      </c>
      <c r="C2816" s="88"/>
      <c r="D2816" s="92"/>
      <c r="E2816" s="89"/>
      <c r="F2816" s="89"/>
      <c r="G2816" s="89"/>
    </row>
    <row r="2817">
      <c r="A2817" s="93"/>
      <c r="B2817" s="87" t="s">
        <v>779</v>
      </c>
      <c r="C2817" s="88"/>
      <c r="D2817" s="92"/>
      <c r="E2817" s="89"/>
      <c r="F2817" s="89"/>
      <c r="G2817" s="89"/>
    </row>
    <row r="2818">
      <c r="A2818" s="93"/>
      <c r="B2818" s="87" t="s">
        <v>779</v>
      </c>
      <c r="C2818" s="88"/>
      <c r="D2818" s="92"/>
      <c r="E2818" s="89"/>
      <c r="F2818" s="89"/>
      <c r="G2818" s="89"/>
    </row>
    <row r="2819">
      <c r="A2819" s="93"/>
      <c r="B2819" s="87" t="s">
        <v>779</v>
      </c>
      <c r="C2819" s="88"/>
      <c r="D2819" s="92"/>
      <c r="E2819" s="89"/>
      <c r="F2819" s="89"/>
      <c r="G2819" s="89"/>
    </row>
    <row r="2820">
      <c r="A2820" s="93"/>
      <c r="B2820" s="87" t="s">
        <v>779</v>
      </c>
      <c r="C2820" s="88"/>
      <c r="D2820" s="92"/>
      <c r="E2820" s="89"/>
      <c r="F2820" s="89"/>
      <c r="G2820" s="89"/>
    </row>
    <row r="2821">
      <c r="A2821" s="93"/>
      <c r="B2821" s="87" t="s">
        <v>779</v>
      </c>
      <c r="C2821" s="88"/>
      <c r="D2821" s="92"/>
      <c r="E2821" s="89"/>
      <c r="F2821" s="89"/>
      <c r="G2821" s="89"/>
    </row>
    <row r="2822">
      <c r="A2822" s="93"/>
      <c r="B2822" s="87" t="s">
        <v>779</v>
      </c>
      <c r="C2822" s="88"/>
      <c r="D2822" s="92"/>
      <c r="E2822" s="89"/>
      <c r="F2822" s="89"/>
      <c r="G2822" s="89"/>
    </row>
    <row r="2823">
      <c r="A2823" s="93"/>
      <c r="B2823" s="87" t="s">
        <v>779</v>
      </c>
      <c r="C2823" s="88"/>
      <c r="D2823" s="92"/>
      <c r="E2823" s="89"/>
      <c r="F2823" s="89"/>
      <c r="G2823" s="89"/>
    </row>
    <row r="2824">
      <c r="A2824" s="93"/>
      <c r="B2824" s="87" t="s">
        <v>779</v>
      </c>
      <c r="C2824" s="88"/>
      <c r="D2824" s="92"/>
      <c r="E2824" s="89"/>
      <c r="F2824" s="89"/>
      <c r="G2824" s="89"/>
    </row>
    <row r="2825">
      <c r="A2825" s="93"/>
      <c r="B2825" s="87" t="s">
        <v>779</v>
      </c>
      <c r="C2825" s="88"/>
      <c r="D2825" s="92"/>
      <c r="E2825" s="89"/>
      <c r="F2825" s="89"/>
      <c r="G2825" s="89"/>
    </row>
    <row r="2826">
      <c r="A2826" s="93"/>
      <c r="B2826" s="87" t="s">
        <v>779</v>
      </c>
      <c r="C2826" s="88"/>
      <c r="D2826" s="92"/>
      <c r="E2826" s="89"/>
      <c r="F2826" s="89"/>
      <c r="G2826" s="89"/>
    </row>
    <row r="2827">
      <c r="A2827" s="93"/>
      <c r="B2827" s="87" t="s">
        <v>779</v>
      </c>
      <c r="C2827" s="88"/>
      <c r="D2827" s="92"/>
      <c r="E2827" s="89"/>
      <c r="F2827" s="89"/>
      <c r="G2827" s="89"/>
    </row>
    <row r="2828">
      <c r="A2828" s="93"/>
      <c r="B2828" s="87" t="s">
        <v>779</v>
      </c>
      <c r="C2828" s="88"/>
      <c r="D2828" s="92"/>
      <c r="E2828" s="89"/>
      <c r="F2828" s="89"/>
      <c r="G2828" s="89"/>
    </row>
    <row r="2829">
      <c r="A2829" s="93"/>
      <c r="B2829" s="87" t="s">
        <v>779</v>
      </c>
      <c r="C2829" s="88"/>
      <c r="D2829" s="92"/>
      <c r="E2829" s="89"/>
      <c r="F2829" s="89"/>
      <c r="G2829" s="89"/>
    </row>
    <row r="2830">
      <c r="A2830" s="93"/>
      <c r="B2830" s="87" t="s">
        <v>779</v>
      </c>
      <c r="C2830" s="88"/>
      <c r="D2830" s="92"/>
      <c r="E2830" s="89"/>
      <c r="F2830" s="89"/>
      <c r="G2830" s="89"/>
    </row>
    <row r="2831">
      <c r="A2831" s="93"/>
      <c r="B2831" s="87" t="s">
        <v>779</v>
      </c>
      <c r="C2831" s="88"/>
      <c r="D2831" s="92"/>
      <c r="E2831" s="89"/>
      <c r="F2831" s="89"/>
      <c r="G2831" s="89"/>
    </row>
    <row r="2832">
      <c r="A2832" s="93"/>
      <c r="B2832" s="87" t="s">
        <v>779</v>
      </c>
      <c r="C2832" s="88"/>
      <c r="D2832" s="92"/>
      <c r="E2832" s="89"/>
      <c r="F2832" s="89"/>
      <c r="G2832" s="89"/>
    </row>
    <row r="2833">
      <c r="A2833" s="93"/>
      <c r="B2833" s="87" t="s">
        <v>779</v>
      </c>
      <c r="C2833" s="88"/>
      <c r="D2833" s="92"/>
      <c r="E2833" s="89"/>
      <c r="F2833" s="89"/>
      <c r="G2833" s="89"/>
    </row>
    <row r="2834">
      <c r="A2834" s="93"/>
      <c r="B2834" s="87" t="s">
        <v>779</v>
      </c>
      <c r="C2834" s="88"/>
      <c r="D2834" s="92"/>
      <c r="E2834" s="89"/>
      <c r="F2834" s="89"/>
      <c r="G2834" s="89"/>
    </row>
    <row r="2835">
      <c r="A2835" s="93"/>
      <c r="B2835" s="87" t="s">
        <v>779</v>
      </c>
      <c r="C2835" s="88"/>
      <c r="D2835" s="92"/>
      <c r="E2835" s="89"/>
      <c r="F2835" s="89"/>
      <c r="G2835" s="89"/>
    </row>
    <row r="2836">
      <c r="A2836" s="93"/>
      <c r="B2836" s="87" t="s">
        <v>779</v>
      </c>
      <c r="C2836" s="88"/>
      <c r="D2836" s="92"/>
      <c r="E2836" s="89"/>
      <c r="F2836" s="89"/>
      <c r="G2836" s="89"/>
    </row>
    <row r="2837">
      <c r="A2837" s="93"/>
      <c r="B2837" s="87" t="s">
        <v>779</v>
      </c>
      <c r="C2837" s="88"/>
      <c r="D2837" s="92"/>
      <c r="E2837" s="89"/>
      <c r="F2837" s="89"/>
      <c r="G2837" s="89"/>
    </row>
    <row r="2838">
      <c r="A2838" s="93"/>
      <c r="B2838" s="87" t="s">
        <v>779</v>
      </c>
      <c r="C2838" s="88"/>
      <c r="D2838" s="92"/>
      <c r="E2838" s="89"/>
      <c r="F2838" s="89"/>
      <c r="G2838" s="89"/>
    </row>
    <row r="2839">
      <c r="A2839" s="93"/>
      <c r="B2839" s="87" t="s">
        <v>779</v>
      </c>
      <c r="C2839" s="88"/>
      <c r="D2839" s="92"/>
      <c r="E2839" s="89"/>
      <c r="F2839" s="89"/>
      <c r="G2839" s="89"/>
    </row>
    <row r="2840">
      <c r="A2840" s="93"/>
      <c r="B2840" s="87" t="s">
        <v>779</v>
      </c>
      <c r="C2840" s="88"/>
      <c r="D2840" s="92"/>
      <c r="E2840" s="89"/>
      <c r="F2840" s="89"/>
      <c r="G2840" s="89"/>
    </row>
    <row r="2841">
      <c r="A2841" s="93"/>
      <c r="B2841" s="87" t="s">
        <v>779</v>
      </c>
      <c r="C2841" s="88"/>
      <c r="D2841" s="92"/>
      <c r="E2841" s="89"/>
      <c r="F2841" s="89"/>
      <c r="G2841" s="89"/>
    </row>
    <row r="2842">
      <c r="A2842" s="93"/>
      <c r="B2842" s="87" t="s">
        <v>779</v>
      </c>
      <c r="C2842" s="88"/>
      <c r="D2842" s="92"/>
      <c r="E2842" s="89"/>
      <c r="F2842" s="89"/>
      <c r="G2842" s="89"/>
    </row>
    <row r="2843">
      <c r="A2843" s="93"/>
      <c r="B2843" s="87" t="s">
        <v>779</v>
      </c>
      <c r="C2843" s="88"/>
      <c r="D2843" s="92"/>
      <c r="E2843" s="89"/>
      <c r="F2843" s="89"/>
      <c r="G2843" s="89"/>
    </row>
    <row r="2844">
      <c r="A2844" s="93"/>
      <c r="B2844" s="87" t="s">
        <v>779</v>
      </c>
      <c r="C2844" s="88"/>
      <c r="D2844" s="92"/>
      <c r="E2844" s="89"/>
      <c r="F2844" s="89"/>
      <c r="G2844" s="89"/>
    </row>
    <row r="2845">
      <c r="A2845" s="93"/>
      <c r="B2845" s="87" t="s">
        <v>779</v>
      </c>
      <c r="C2845" s="88"/>
      <c r="D2845" s="92"/>
      <c r="E2845" s="89"/>
      <c r="F2845" s="89"/>
      <c r="G2845" s="89"/>
    </row>
    <row r="2846">
      <c r="A2846" s="93"/>
      <c r="B2846" s="87" t="s">
        <v>779</v>
      </c>
      <c r="C2846" s="88"/>
      <c r="D2846" s="92"/>
      <c r="E2846" s="89"/>
      <c r="F2846" s="89"/>
      <c r="G2846" s="89"/>
    </row>
    <row r="2847">
      <c r="A2847" s="93"/>
      <c r="B2847" s="87" t="s">
        <v>779</v>
      </c>
      <c r="C2847" s="88"/>
      <c r="D2847" s="92"/>
      <c r="E2847" s="89"/>
      <c r="F2847" s="89"/>
      <c r="G2847" s="89"/>
    </row>
    <row r="2848">
      <c r="A2848" s="93"/>
      <c r="B2848" s="87" t="s">
        <v>779</v>
      </c>
      <c r="C2848" s="88"/>
      <c r="D2848" s="92"/>
      <c r="E2848" s="89"/>
      <c r="F2848" s="89"/>
      <c r="G2848" s="89"/>
    </row>
    <row r="2849">
      <c r="A2849" s="93"/>
      <c r="B2849" s="87" t="s">
        <v>779</v>
      </c>
      <c r="C2849" s="88"/>
      <c r="D2849" s="92"/>
      <c r="E2849" s="89"/>
      <c r="F2849" s="89"/>
      <c r="G2849" s="89"/>
    </row>
    <row r="2850">
      <c r="A2850" s="93"/>
      <c r="B2850" s="87" t="s">
        <v>779</v>
      </c>
      <c r="C2850" s="88"/>
      <c r="D2850" s="92"/>
      <c r="E2850" s="89"/>
      <c r="F2850" s="89"/>
      <c r="G2850" s="89"/>
    </row>
    <row r="2851">
      <c r="A2851" s="93"/>
      <c r="B2851" s="87" t="s">
        <v>779</v>
      </c>
      <c r="C2851" s="88"/>
      <c r="D2851" s="92"/>
      <c r="E2851" s="89"/>
      <c r="F2851" s="89"/>
      <c r="G2851" s="89"/>
    </row>
    <row r="2852">
      <c r="A2852" s="93"/>
      <c r="B2852" s="87" t="s">
        <v>779</v>
      </c>
      <c r="C2852" s="88"/>
      <c r="D2852" s="92"/>
      <c r="E2852" s="89"/>
      <c r="F2852" s="89"/>
      <c r="G2852" s="89"/>
    </row>
    <row r="2853">
      <c r="A2853" s="93"/>
      <c r="B2853" s="87" t="s">
        <v>779</v>
      </c>
      <c r="C2853" s="88"/>
      <c r="D2853" s="92"/>
      <c r="E2853" s="89"/>
      <c r="F2853" s="89"/>
      <c r="G2853" s="89"/>
    </row>
    <row r="2854">
      <c r="A2854" s="93"/>
      <c r="B2854" s="87" t="s">
        <v>779</v>
      </c>
      <c r="C2854" s="88"/>
      <c r="D2854" s="92"/>
      <c r="E2854" s="89"/>
      <c r="F2854" s="89"/>
      <c r="G2854" s="89"/>
    </row>
    <row r="2855">
      <c r="A2855" s="93"/>
      <c r="B2855" s="87" t="s">
        <v>779</v>
      </c>
      <c r="C2855" s="88"/>
      <c r="D2855" s="92"/>
      <c r="E2855" s="89"/>
      <c r="F2855" s="89"/>
      <c r="G2855" s="89"/>
    </row>
    <row r="2856">
      <c r="A2856" s="93"/>
      <c r="B2856" s="87" t="s">
        <v>779</v>
      </c>
      <c r="C2856" s="88"/>
      <c r="D2856" s="92"/>
      <c r="E2856" s="89"/>
      <c r="F2856" s="89"/>
      <c r="G2856" s="89"/>
    </row>
    <row r="2857">
      <c r="A2857" s="93"/>
      <c r="B2857" s="87" t="s">
        <v>779</v>
      </c>
      <c r="C2857" s="88"/>
      <c r="D2857" s="92"/>
      <c r="E2857" s="89"/>
      <c r="F2857" s="89"/>
      <c r="G2857" s="89"/>
    </row>
    <row r="2858">
      <c r="A2858" s="93"/>
      <c r="B2858" s="87" t="s">
        <v>779</v>
      </c>
      <c r="C2858" s="88"/>
      <c r="D2858" s="92"/>
      <c r="E2858" s="89"/>
      <c r="F2858" s="89"/>
      <c r="G2858" s="89"/>
    </row>
    <row r="2859">
      <c r="A2859" s="93"/>
      <c r="B2859" s="87" t="s">
        <v>779</v>
      </c>
      <c r="C2859" s="88"/>
      <c r="D2859" s="92"/>
      <c r="E2859" s="89"/>
      <c r="F2859" s="89"/>
      <c r="G2859" s="89"/>
    </row>
    <row r="2860">
      <c r="A2860" s="93"/>
      <c r="B2860" s="87" t="s">
        <v>779</v>
      </c>
      <c r="C2860" s="88"/>
      <c r="D2860" s="92"/>
      <c r="E2860" s="89"/>
      <c r="F2860" s="89"/>
      <c r="G2860" s="89"/>
    </row>
    <row r="2861">
      <c r="A2861" s="93"/>
      <c r="B2861" s="87" t="s">
        <v>779</v>
      </c>
      <c r="C2861" s="88"/>
      <c r="D2861" s="92"/>
      <c r="E2861" s="89"/>
      <c r="F2861" s="89"/>
      <c r="G2861" s="89"/>
    </row>
    <row r="2862">
      <c r="A2862" s="93"/>
      <c r="B2862" s="87" t="s">
        <v>779</v>
      </c>
      <c r="C2862" s="88"/>
      <c r="D2862" s="92"/>
      <c r="E2862" s="89"/>
      <c r="F2862" s="89"/>
      <c r="G2862" s="89"/>
    </row>
    <row r="2863">
      <c r="A2863" s="93"/>
      <c r="B2863" s="87" t="s">
        <v>779</v>
      </c>
      <c r="C2863" s="88"/>
      <c r="D2863" s="92"/>
      <c r="E2863" s="89"/>
      <c r="F2863" s="89"/>
      <c r="G2863" s="89"/>
    </row>
    <row r="2864">
      <c r="A2864" s="93"/>
      <c r="B2864" s="87" t="s">
        <v>779</v>
      </c>
      <c r="C2864" s="88"/>
      <c r="D2864" s="92"/>
      <c r="E2864" s="89"/>
      <c r="F2864" s="89"/>
      <c r="G2864" s="89"/>
    </row>
    <row r="2865">
      <c r="A2865" s="93"/>
      <c r="B2865" s="87" t="s">
        <v>779</v>
      </c>
      <c r="C2865" s="88"/>
      <c r="D2865" s="92"/>
      <c r="E2865" s="89"/>
      <c r="F2865" s="89"/>
      <c r="G2865" s="89"/>
    </row>
    <row r="2866">
      <c r="A2866" s="93"/>
      <c r="B2866" s="87" t="s">
        <v>779</v>
      </c>
      <c r="C2866" s="88"/>
      <c r="D2866" s="92"/>
      <c r="E2866" s="89"/>
      <c r="F2866" s="89"/>
      <c r="G2866" s="89"/>
    </row>
    <row r="2867">
      <c r="A2867" s="93"/>
      <c r="B2867" s="87" t="s">
        <v>779</v>
      </c>
      <c r="C2867" s="88"/>
      <c r="D2867" s="92"/>
      <c r="E2867" s="89"/>
      <c r="F2867" s="89"/>
      <c r="G2867" s="89"/>
    </row>
    <row r="2868">
      <c r="A2868" s="93"/>
      <c r="B2868" s="87" t="s">
        <v>779</v>
      </c>
      <c r="C2868" s="88"/>
      <c r="D2868" s="92"/>
      <c r="E2868" s="89"/>
      <c r="F2868" s="89"/>
      <c r="G2868" s="89"/>
    </row>
    <row r="2869">
      <c r="A2869" s="93"/>
      <c r="B2869" s="87" t="s">
        <v>779</v>
      </c>
      <c r="C2869" s="88"/>
      <c r="D2869" s="92"/>
      <c r="E2869" s="89"/>
      <c r="F2869" s="89"/>
      <c r="G2869" s="89"/>
    </row>
    <row r="2870">
      <c r="A2870" s="93"/>
      <c r="B2870" s="87" t="s">
        <v>779</v>
      </c>
      <c r="C2870" s="88"/>
      <c r="D2870" s="92"/>
      <c r="E2870" s="89"/>
      <c r="F2870" s="89"/>
      <c r="G2870" s="89"/>
    </row>
    <row r="2871">
      <c r="A2871" s="93"/>
      <c r="B2871" s="87" t="s">
        <v>779</v>
      </c>
      <c r="C2871" s="88"/>
      <c r="D2871" s="92"/>
      <c r="E2871" s="89"/>
      <c r="F2871" s="89"/>
      <c r="G2871" s="89"/>
    </row>
    <row r="2872">
      <c r="A2872" s="93"/>
      <c r="B2872" s="87" t="s">
        <v>779</v>
      </c>
      <c r="C2872" s="88"/>
      <c r="D2872" s="92"/>
      <c r="E2872" s="89"/>
      <c r="F2872" s="89"/>
      <c r="G2872" s="89"/>
    </row>
    <row r="2873">
      <c r="A2873" s="93"/>
      <c r="B2873" s="87" t="s">
        <v>779</v>
      </c>
      <c r="C2873" s="88"/>
      <c r="D2873" s="92"/>
      <c r="E2873" s="89"/>
      <c r="F2873" s="89"/>
      <c r="G2873" s="89"/>
    </row>
    <row r="2874">
      <c r="A2874" s="93"/>
      <c r="B2874" s="87" t="s">
        <v>779</v>
      </c>
      <c r="C2874" s="88"/>
      <c r="D2874" s="92"/>
      <c r="E2874" s="89"/>
      <c r="F2874" s="89"/>
      <c r="G2874" s="89"/>
    </row>
    <row r="2875">
      <c r="A2875" s="93"/>
      <c r="B2875" s="87" t="s">
        <v>779</v>
      </c>
      <c r="C2875" s="88"/>
      <c r="D2875" s="92"/>
      <c r="E2875" s="89"/>
      <c r="F2875" s="89"/>
      <c r="G2875" s="89"/>
    </row>
    <row r="2876">
      <c r="A2876" s="93"/>
      <c r="B2876" s="87" t="s">
        <v>779</v>
      </c>
      <c r="C2876" s="88"/>
      <c r="D2876" s="92"/>
      <c r="E2876" s="89"/>
      <c r="F2876" s="89"/>
      <c r="G2876" s="89"/>
    </row>
    <row r="2877">
      <c r="A2877" s="93"/>
      <c r="B2877" s="87" t="s">
        <v>779</v>
      </c>
      <c r="C2877" s="88"/>
      <c r="D2877" s="92"/>
      <c r="E2877" s="89"/>
      <c r="F2877" s="89"/>
      <c r="G2877" s="89"/>
    </row>
    <row r="2878">
      <c r="A2878" s="93"/>
      <c r="B2878" s="87" t="s">
        <v>779</v>
      </c>
      <c r="C2878" s="88"/>
      <c r="D2878" s="92"/>
      <c r="E2878" s="89"/>
      <c r="F2878" s="89"/>
      <c r="G2878" s="89"/>
    </row>
    <row r="2879">
      <c r="A2879" s="93"/>
      <c r="B2879" s="87" t="s">
        <v>779</v>
      </c>
      <c r="C2879" s="88"/>
      <c r="D2879" s="92"/>
      <c r="E2879" s="89"/>
      <c r="F2879" s="89"/>
      <c r="G2879" s="89"/>
    </row>
    <row r="2880">
      <c r="A2880" s="93"/>
      <c r="B2880" s="87" t="s">
        <v>779</v>
      </c>
      <c r="C2880" s="88"/>
      <c r="D2880" s="92"/>
      <c r="E2880" s="89"/>
      <c r="F2880" s="89"/>
      <c r="G2880" s="89"/>
    </row>
    <row r="2881">
      <c r="A2881" s="93"/>
      <c r="B2881" s="87" t="s">
        <v>779</v>
      </c>
      <c r="C2881" s="88"/>
      <c r="D2881" s="92"/>
      <c r="E2881" s="89"/>
      <c r="F2881" s="89"/>
      <c r="G2881" s="89"/>
    </row>
    <row r="2882">
      <c r="A2882" s="93"/>
      <c r="B2882" s="87" t="s">
        <v>779</v>
      </c>
      <c r="C2882" s="88"/>
      <c r="D2882" s="92"/>
      <c r="E2882" s="89"/>
      <c r="F2882" s="89"/>
      <c r="G2882" s="89"/>
    </row>
    <row r="2883">
      <c r="A2883" s="93"/>
      <c r="B2883" s="87" t="s">
        <v>779</v>
      </c>
      <c r="C2883" s="88"/>
      <c r="D2883" s="92"/>
      <c r="E2883" s="89"/>
      <c r="F2883" s="89"/>
      <c r="G2883" s="89"/>
    </row>
    <row r="2884">
      <c r="A2884" s="93"/>
      <c r="B2884" s="87" t="s">
        <v>779</v>
      </c>
      <c r="C2884" s="88"/>
      <c r="D2884" s="92"/>
      <c r="E2884" s="89"/>
      <c r="F2884" s="89"/>
      <c r="G2884" s="89"/>
    </row>
    <row r="2885">
      <c r="A2885" s="93"/>
      <c r="B2885" s="87" t="s">
        <v>779</v>
      </c>
      <c r="C2885" s="88"/>
      <c r="D2885" s="92"/>
      <c r="E2885" s="89"/>
      <c r="F2885" s="89"/>
      <c r="G2885" s="89"/>
    </row>
    <row r="2886">
      <c r="A2886" s="93"/>
      <c r="B2886" s="87" t="s">
        <v>779</v>
      </c>
      <c r="C2886" s="88"/>
      <c r="D2886" s="92"/>
      <c r="E2886" s="89"/>
      <c r="F2886" s="89"/>
      <c r="G2886" s="89"/>
    </row>
    <row r="2887">
      <c r="A2887" s="93"/>
      <c r="B2887" s="87" t="s">
        <v>779</v>
      </c>
      <c r="C2887" s="88"/>
      <c r="D2887" s="92"/>
      <c r="E2887" s="89"/>
      <c r="F2887" s="89"/>
      <c r="G2887" s="89"/>
    </row>
    <row r="2888">
      <c r="A2888" s="93"/>
      <c r="B2888" s="87" t="s">
        <v>779</v>
      </c>
      <c r="C2888" s="88"/>
      <c r="D2888" s="92"/>
      <c r="E2888" s="89"/>
      <c r="F2888" s="89"/>
      <c r="G2888" s="89"/>
    </row>
    <row r="2889">
      <c r="A2889" s="93"/>
      <c r="B2889" s="87" t="s">
        <v>779</v>
      </c>
      <c r="C2889" s="88"/>
      <c r="D2889" s="92"/>
      <c r="E2889" s="89"/>
      <c r="F2889" s="89"/>
      <c r="G2889" s="89"/>
    </row>
    <row r="2890">
      <c r="A2890" s="93"/>
      <c r="B2890" s="87" t="s">
        <v>779</v>
      </c>
      <c r="C2890" s="88"/>
      <c r="D2890" s="92"/>
      <c r="E2890" s="89"/>
      <c r="F2890" s="89"/>
      <c r="G2890" s="89"/>
    </row>
    <row r="2891">
      <c r="A2891" s="93"/>
      <c r="B2891" s="87" t="s">
        <v>779</v>
      </c>
      <c r="C2891" s="88"/>
      <c r="D2891" s="92"/>
      <c r="E2891" s="89"/>
      <c r="F2891" s="89"/>
      <c r="G2891" s="89"/>
    </row>
    <row r="2892">
      <c r="A2892" s="93"/>
      <c r="B2892" s="87" t="s">
        <v>779</v>
      </c>
      <c r="C2892" s="88"/>
      <c r="D2892" s="92"/>
      <c r="E2892" s="89"/>
      <c r="F2892" s="89"/>
      <c r="G2892" s="89"/>
    </row>
    <row r="2893">
      <c r="A2893" s="93"/>
      <c r="B2893" s="87" t="s">
        <v>779</v>
      </c>
      <c r="C2893" s="88"/>
      <c r="D2893" s="92"/>
      <c r="E2893" s="89"/>
      <c r="F2893" s="89"/>
      <c r="G2893" s="89"/>
    </row>
    <row r="2894">
      <c r="A2894" s="93"/>
      <c r="B2894" s="87" t="s">
        <v>779</v>
      </c>
      <c r="C2894" s="88"/>
      <c r="D2894" s="92"/>
      <c r="E2894" s="89"/>
      <c r="F2894" s="89"/>
      <c r="G2894" s="89"/>
    </row>
    <row r="2895">
      <c r="A2895" s="93"/>
      <c r="B2895" s="87" t="s">
        <v>779</v>
      </c>
      <c r="C2895" s="88"/>
      <c r="D2895" s="92"/>
      <c r="E2895" s="89"/>
      <c r="F2895" s="89"/>
      <c r="G2895" s="89"/>
    </row>
    <row r="2896">
      <c r="A2896" s="93"/>
      <c r="B2896" s="87" t="s">
        <v>779</v>
      </c>
      <c r="C2896" s="88"/>
      <c r="D2896" s="92"/>
      <c r="E2896" s="89"/>
      <c r="F2896" s="89"/>
      <c r="G2896" s="89"/>
    </row>
    <row r="2897">
      <c r="A2897" s="93"/>
      <c r="B2897" s="87" t="s">
        <v>779</v>
      </c>
      <c r="C2897" s="88"/>
      <c r="D2897" s="92"/>
      <c r="E2897" s="89"/>
      <c r="F2897" s="89"/>
      <c r="G2897" s="89"/>
    </row>
    <row r="2898">
      <c r="A2898" s="93"/>
      <c r="B2898" s="87" t="s">
        <v>779</v>
      </c>
      <c r="C2898" s="88"/>
      <c r="D2898" s="92"/>
      <c r="E2898" s="89"/>
      <c r="F2898" s="89"/>
      <c r="G2898" s="89"/>
    </row>
    <row r="2899">
      <c r="A2899" s="93"/>
      <c r="B2899" s="87" t="s">
        <v>779</v>
      </c>
      <c r="C2899" s="88"/>
      <c r="D2899" s="92"/>
      <c r="E2899" s="89"/>
      <c r="F2899" s="89"/>
      <c r="G2899" s="89"/>
    </row>
    <row r="2900">
      <c r="A2900" s="93"/>
      <c r="B2900" s="87" t="s">
        <v>779</v>
      </c>
      <c r="C2900" s="88"/>
      <c r="D2900" s="92"/>
      <c r="E2900" s="89"/>
      <c r="F2900" s="89"/>
      <c r="G2900" s="89"/>
    </row>
    <row r="2901">
      <c r="A2901" s="93"/>
      <c r="B2901" s="87" t="s">
        <v>779</v>
      </c>
      <c r="C2901" s="88"/>
      <c r="D2901" s="92"/>
      <c r="E2901" s="89"/>
      <c r="F2901" s="89"/>
      <c r="G2901" s="89"/>
    </row>
    <row r="2902">
      <c r="A2902" s="93"/>
      <c r="B2902" s="87" t="s">
        <v>779</v>
      </c>
      <c r="C2902" s="88"/>
      <c r="D2902" s="92"/>
      <c r="E2902" s="89"/>
      <c r="F2902" s="89"/>
      <c r="G2902" s="89"/>
    </row>
    <row r="2903">
      <c r="A2903" s="93"/>
      <c r="B2903" s="87" t="s">
        <v>779</v>
      </c>
      <c r="C2903" s="88"/>
      <c r="D2903" s="92"/>
      <c r="E2903" s="89"/>
      <c r="F2903" s="89"/>
      <c r="G2903" s="89"/>
    </row>
    <row r="2904">
      <c r="A2904" s="93"/>
      <c r="B2904" s="87" t="s">
        <v>779</v>
      </c>
      <c r="C2904" s="88"/>
      <c r="D2904" s="92"/>
      <c r="E2904" s="89"/>
      <c r="F2904" s="89"/>
      <c r="G2904" s="89"/>
    </row>
    <row r="2905">
      <c r="A2905" s="93"/>
      <c r="B2905" s="87" t="s">
        <v>779</v>
      </c>
      <c r="C2905" s="88"/>
      <c r="D2905" s="92"/>
      <c r="E2905" s="89"/>
      <c r="F2905" s="89"/>
      <c r="G2905" s="89"/>
    </row>
    <row r="2906">
      <c r="A2906" s="93"/>
      <c r="B2906" s="87" t="s">
        <v>779</v>
      </c>
      <c r="C2906" s="88"/>
      <c r="D2906" s="92"/>
      <c r="E2906" s="89"/>
      <c r="F2906" s="89"/>
      <c r="G2906" s="89"/>
    </row>
    <row r="2907">
      <c r="A2907" s="93"/>
      <c r="B2907" s="87" t="s">
        <v>779</v>
      </c>
      <c r="C2907" s="88"/>
      <c r="D2907" s="92"/>
      <c r="E2907" s="89"/>
      <c r="F2907" s="89"/>
      <c r="G2907" s="89"/>
    </row>
    <row r="2908">
      <c r="A2908" s="93"/>
      <c r="B2908" s="87" t="s">
        <v>779</v>
      </c>
      <c r="C2908" s="88"/>
      <c r="D2908" s="92"/>
      <c r="E2908" s="89"/>
      <c r="F2908" s="89"/>
      <c r="G2908" s="89"/>
    </row>
    <row r="2909">
      <c r="A2909" s="93"/>
      <c r="B2909" s="87" t="s">
        <v>779</v>
      </c>
      <c r="C2909" s="88"/>
      <c r="D2909" s="92"/>
      <c r="E2909" s="89"/>
      <c r="F2909" s="89"/>
      <c r="G2909" s="89"/>
    </row>
    <row r="2910">
      <c r="A2910" s="93"/>
      <c r="B2910" s="87" t="s">
        <v>779</v>
      </c>
      <c r="C2910" s="88"/>
      <c r="D2910" s="92"/>
      <c r="E2910" s="89"/>
      <c r="F2910" s="89"/>
      <c r="G2910" s="89"/>
    </row>
    <row r="2911">
      <c r="A2911" s="93"/>
      <c r="B2911" s="87" t="s">
        <v>779</v>
      </c>
      <c r="C2911" s="88"/>
      <c r="D2911" s="92"/>
      <c r="E2911" s="89"/>
      <c r="F2911" s="89"/>
      <c r="G2911" s="89"/>
    </row>
    <row r="2912">
      <c r="A2912" s="93"/>
      <c r="B2912" s="87" t="s">
        <v>779</v>
      </c>
      <c r="C2912" s="88"/>
      <c r="D2912" s="92"/>
      <c r="E2912" s="89"/>
      <c r="F2912" s="89"/>
      <c r="G2912" s="89"/>
    </row>
    <row r="2913">
      <c r="A2913" s="93"/>
      <c r="B2913" s="87" t="s">
        <v>779</v>
      </c>
      <c r="C2913" s="88"/>
      <c r="D2913" s="92"/>
      <c r="E2913" s="89"/>
      <c r="F2913" s="89"/>
      <c r="G2913" s="89"/>
    </row>
    <row r="2914">
      <c r="A2914" s="93"/>
      <c r="B2914" s="87" t="s">
        <v>779</v>
      </c>
      <c r="C2914" s="88"/>
      <c r="D2914" s="92"/>
      <c r="E2914" s="89"/>
      <c r="F2914" s="89"/>
      <c r="G2914" s="89"/>
    </row>
    <row r="2915">
      <c r="A2915" s="93"/>
      <c r="B2915" s="87" t="s">
        <v>779</v>
      </c>
      <c r="C2915" s="88"/>
      <c r="D2915" s="92"/>
      <c r="E2915" s="89"/>
      <c r="F2915" s="89"/>
      <c r="G2915" s="89"/>
    </row>
    <row r="2916">
      <c r="A2916" s="93"/>
      <c r="B2916" s="87" t="s">
        <v>779</v>
      </c>
      <c r="C2916" s="88"/>
      <c r="D2916" s="92"/>
      <c r="E2916" s="89"/>
      <c r="F2916" s="89"/>
      <c r="G2916" s="89"/>
    </row>
    <row r="2917">
      <c r="A2917" s="93"/>
      <c r="B2917" s="87" t="s">
        <v>779</v>
      </c>
      <c r="C2917" s="88"/>
      <c r="D2917" s="92"/>
      <c r="E2917" s="89"/>
      <c r="F2917" s="89"/>
      <c r="G2917" s="89"/>
    </row>
    <row r="2918">
      <c r="A2918" s="93"/>
      <c r="B2918" s="87" t="s">
        <v>779</v>
      </c>
      <c r="C2918" s="88"/>
      <c r="D2918" s="92"/>
      <c r="E2918" s="89"/>
      <c r="F2918" s="89"/>
      <c r="G2918" s="89"/>
    </row>
    <row r="2919">
      <c r="A2919" s="93"/>
      <c r="B2919" s="87" t="s">
        <v>779</v>
      </c>
      <c r="C2919" s="88"/>
      <c r="D2919" s="92"/>
      <c r="E2919" s="89"/>
      <c r="F2919" s="89"/>
      <c r="G2919" s="89"/>
    </row>
    <row r="2920">
      <c r="A2920" s="93"/>
      <c r="B2920" s="87" t="s">
        <v>779</v>
      </c>
      <c r="C2920" s="88"/>
      <c r="D2920" s="92"/>
      <c r="E2920" s="89"/>
      <c r="F2920" s="89"/>
      <c r="G2920" s="89"/>
    </row>
    <row r="2921">
      <c r="A2921" s="93"/>
      <c r="B2921" s="87" t="s">
        <v>779</v>
      </c>
      <c r="C2921" s="88"/>
      <c r="D2921" s="92"/>
      <c r="E2921" s="89"/>
      <c r="F2921" s="89"/>
      <c r="G2921" s="89"/>
    </row>
    <row r="2922">
      <c r="A2922" s="93"/>
      <c r="B2922" s="87" t="s">
        <v>779</v>
      </c>
      <c r="C2922" s="88"/>
      <c r="D2922" s="92"/>
      <c r="E2922" s="89"/>
      <c r="F2922" s="89"/>
      <c r="G2922" s="89"/>
    </row>
    <row r="2923">
      <c r="A2923" s="93"/>
      <c r="B2923" s="87" t="s">
        <v>779</v>
      </c>
      <c r="C2923" s="88"/>
      <c r="D2923" s="92"/>
      <c r="E2923" s="89"/>
      <c r="F2923" s="89"/>
      <c r="G2923" s="89"/>
    </row>
    <row r="2924">
      <c r="A2924" s="93"/>
      <c r="B2924" s="87" t="s">
        <v>779</v>
      </c>
      <c r="C2924" s="88"/>
      <c r="D2924" s="92"/>
      <c r="E2924" s="89"/>
      <c r="F2924" s="89"/>
      <c r="G2924" s="89"/>
    </row>
    <row r="2925">
      <c r="A2925" s="93"/>
      <c r="B2925" s="87" t="s">
        <v>779</v>
      </c>
      <c r="C2925" s="88"/>
      <c r="D2925" s="92"/>
      <c r="E2925" s="89"/>
      <c r="F2925" s="89"/>
      <c r="G2925" s="89"/>
    </row>
    <row r="2926">
      <c r="A2926" s="93"/>
      <c r="B2926" s="87" t="s">
        <v>779</v>
      </c>
      <c r="C2926" s="88"/>
      <c r="D2926" s="92"/>
      <c r="E2926" s="89"/>
      <c r="F2926" s="89"/>
      <c r="G2926" s="89"/>
    </row>
    <row r="2927">
      <c r="A2927" s="93"/>
      <c r="B2927" s="87" t="s">
        <v>779</v>
      </c>
      <c r="C2927" s="88"/>
      <c r="D2927" s="92"/>
      <c r="E2927" s="89"/>
      <c r="F2927" s="89"/>
      <c r="G2927" s="89"/>
    </row>
    <row r="2928">
      <c r="A2928" s="93"/>
      <c r="B2928" s="87" t="s">
        <v>779</v>
      </c>
      <c r="C2928" s="88"/>
      <c r="D2928" s="92"/>
      <c r="E2928" s="89"/>
      <c r="F2928" s="89"/>
      <c r="G2928" s="89"/>
    </row>
    <row r="2929">
      <c r="A2929" s="93"/>
      <c r="B2929" s="87" t="s">
        <v>779</v>
      </c>
      <c r="C2929" s="88"/>
      <c r="D2929" s="92"/>
      <c r="E2929" s="89"/>
      <c r="F2929" s="89"/>
      <c r="G2929" s="89"/>
    </row>
    <row r="2930">
      <c r="A2930" s="93"/>
      <c r="B2930" s="87" t="s">
        <v>779</v>
      </c>
      <c r="C2930" s="88"/>
      <c r="D2930" s="92"/>
      <c r="E2930" s="89"/>
      <c r="F2930" s="89"/>
      <c r="G2930" s="89"/>
    </row>
    <row r="2931">
      <c r="A2931" s="93"/>
      <c r="B2931" s="87" t="s">
        <v>779</v>
      </c>
      <c r="C2931" s="88"/>
      <c r="D2931" s="92"/>
      <c r="E2931" s="89"/>
      <c r="F2931" s="89"/>
      <c r="G2931" s="89"/>
    </row>
    <row r="2932">
      <c r="A2932" s="93"/>
      <c r="B2932" s="87" t="s">
        <v>779</v>
      </c>
      <c r="C2932" s="88"/>
      <c r="D2932" s="92"/>
      <c r="E2932" s="89"/>
      <c r="F2932" s="89"/>
      <c r="G2932" s="89"/>
    </row>
    <row r="2933">
      <c r="A2933" s="93"/>
      <c r="B2933" s="87" t="s">
        <v>779</v>
      </c>
      <c r="C2933" s="88"/>
      <c r="D2933" s="92"/>
      <c r="E2933" s="89"/>
      <c r="F2933" s="89"/>
      <c r="G2933" s="89"/>
    </row>
    <row r="2934">
      <c r="A2934" s="93"/>
      <c r="B2934" s="87" t="s">
        <v>779</v>
      </c>
      <c r="C2934" s="88"/>
      <c r="D2934" s="92"/>
      <c r="E2934" s="89"/>
      <c r="F2934" s="89"/>
      <c r="G2934" s="89"/>
    </row>
    <row r="2935">
      <c r="A2935" s="93"/>
      <c r="B2935" s="87" t="s">
        <v>779</v>
      </c>
      <c r="C2935" s="88"/>
      <c r="D2935" s="92"/>
      <c r="E2935" s="89"/>
      <c r="F2935" s="89"/>
      <c r="G2935" s="89"/>
    </row>
    <row r="2936">
      <c r="A2936" s="93"/>
      <c r="B2936" s="87" t="s">
        <v>779</v>
      </c>
      <c r="C2936" s="88"/>
      <c r="D2936" s="92"/>
      <c r="E2936" s="89"/>
      <c r="F2936" s="89"/>
      <c r="G2936" s="89"/>
    </row>
    <row r="2937">
      <c r="A2937" s="93"/>
      <c r="B2937" s="87" t="s">
        <v>779</v>
      </c>
      <c r="C2937" s="88"/>
      <c r="D2937" s="92"/>
      <c r="E2937" s="89"/>
      <c r="F2937" s="89"/>
      <c r="G2937" s="89"/>
    </row>
    <row r="2938">
      <c r="A2938" s="93"/>
      <c r="B2938" s="87" t="s">
        <v>779</v>
      </c>
      <c r="C2938" s="88"/>
      <c r="D2938" s="92"/>
      <c r="E2938" s="89"/>
      <c r="F2938" s="89"/>
      <c r="G2938" s="89"/>
    </row>
    <row r="2939">
      <c r="A2939" s="93"/>
      <c r="B2939" s="87" t="s">
        <v>779</v>
      </c>
      <c r="C2939" s="88"/>
      <c r="D2939" s="92"/>
      <c r="E2939" s="89"/>
      <c r="F2939" s="89"/>
      <c r="G2939" s="89"/>
    </row>
    <row r="2940">
      <c r="A2940" s="93"/>
      <c r="B2940" s="87" t="s">
        <v>779</v>
      </c>
      <c r="C2940" s="88"/>
      <c r="D2940" s="92"/>
      <c r="E2940" s="89"/>
      <c r="F2940" s="89"/>
      <c r="G2940" s="89"/>
    </row>
    <row r="2941">
      <c r="A2941" s="93"/>
      <c r="B2941" s="87" t="s">
        <v>779</v>
      </c>
      <c r="C2941" s="88"/>
      <c r="D2941" s="92"/>
      <c r="E2941" s="89"/>
      <c r="F2941" s="89"/>
      <c r="G2941" s="89"/>
    </row>
    <row r="2942">
      <c r="A2942" s="93"/>
      <c r="B2942" s="87" t="s">
        <v>779</v>
      </c>
      <c r="C2942" s="88"/>
      <c r="D2942" s="92"/>
      <c r="E2942" s="89"/>
      <c r="F2942" s="89"/>
      <c r="G2942" s="89"/>
    </row>
    <row r="2943">
      <c r="A2943" s="93"/>
      <c r="B2943" s="87" t="s">
        <v>779</v>
      </c>
      <c r="C2943" s="88"/>
      <c r="D2943" s="92"/>
      <c r="E2943" s="89"/>
      <c r="F2943" s="89"/>
      <c r="G2943" s="89"/>
    </row>
    <row r="2944">
      <c r="A2944" s="93"/>
      <c r="B2944" s="87" t="s">
        <v>779</v>
      </c>
      <c r="C2944" s="88"/>
      <c r="D2944" s="92"/>
      <c r="E2944" s="89"/>
      <c r="F2944" s="89"/>
      <c r="G2944" s="89"/>
    </row>
    <row r="2945">
      <c r="A2945" s="93"/>
      <c r="B2945" s="87" t="s">
        <v>779</v>
      </c>
      <c r="C2945" s="88"/>
      <c r="D2945" s="92"/>
      <c r="E2945" s="89"/>
      <c r="F2945" s="89"/>
      <c r="G2945" s="89"/>
    </row>
    <row r="2946">
      <c r="A2946" s="93"/>
      <c r="B2946" s="87" t="s">
        <v>779</v>
      </c>
      <c r="C2946" s="88"/>
      <c r="D2946" s="92"/>
      <c r="E2946" s="89"/>
      <c r="F2946" s="89"/>
      <c r="G2946" s="89"/>
    </row>
    <row r="2947">
      <c r="A2947" s="93"/>
      <c r="B2947" s="87" t="s">
        <v>779</v>
      </c>
      <c r="C2947" s="88"/>
      <c r="D2947" s="92"/>
      <c r="E2947" s="89"/>
      <c r="F2947" s="89"/>
      <c r="G2947" s="89"/>
    </row>
    <row r="2948">
      <c r="A2948" s="93"/>
      <c r="B2948" s="87" t="s">
        <v>779</v>
      </c>
      <c r="C2948" s="88"/>
      <c r="D2948" s="92"/>
      <c r="E2948" s="89"/>
      <c r="F2948" s="89"/>
      <c r="G2948" s="89"/>
    </row>
    <row r="2949">
      <c r="A2949" s="93"/>
      <c r="B2949" s="87" t="s">
        <v>779</v>
      </c>
      <c r="C2949" s="88"/>
      <c r="D2949" s="92"/>
      <c r="E2949" s="89"/>
      <c r="F2949" s="89"/>
      <c r="G2949" s="89"/>
    </row>
    <row r="2950">
      <c r="A2950" s="93"/>
      <c r="B2950" s="87" t="s">
        <v>779</v>
      </c>
      <c r="C2950" s="88"/>
      <c r="D2950" s="92"/>
      <c r="E2950" s="89"/>
      <c r="F2950" s="89"/>
      <c r="G2950" s="89"/>
    </row>
    <row r="2951">
      <c r="A2951" s="93"/>
      <c r="B2951" s="87" t="s">
        <v>779</v>
      </c>
      <c r="C2951" s="88"/>
      <c r="D2951" s="92"/>
      <c r="E2951" s="89"/>
      <c r="F2951" s="89"/>
      <c r="G2951" s="89"/>
    </row>
    <row r="2952">
      <c r="A2952" s="93"/>
      <c r="B2952" s="87" t="s">
        <v>779</v>
      </c>
      <c r="C2952" s="88"/>
      <c r="D2952" s="92"/>
      <c r="E2952" s="89"/>
      <c r="F2952" s="89"/>
      <c r="G2952" s="89"/>
    </row>
    <row r="2953">
      <c r="A2953" s="93"/>
      <c r="B2953" s="87" t="s">
        <v>779</v>
      </c>
      <c r="C2953" s="88"/>
      <c r="D2953" s="92"/>
      <c r="E2953" s="89"/>
      <c r="F2953" s="89"/>
      <c r="G2953" s="89"/>
    </row>
    <row r="2954">
      <c r="A2954" s="93"/>
      <c r="B2954" s="87" t="s">
        <v>779</v>
      </c>
      <c r="C2954" s="88"/>
      <c r="D2954" s="92"/>
      <c r="E2954" s="89"/>
      <c r="F2954" s="89"/>
      <c r="G2954" s="89"/>
    </row>
    <row r="2955">
      <c r="A2955" s="93"/>
      <c r="B2955" s="87" t="s">
        <v>779</v>
      </c>
      <c r="C2955" s="88"/>
      <c r="D2955" s="92"/>
      <c r="E2955" s="89"/>
      <c r="F2955" s="89"/>
      <c r="G2955" s="89"/>
    </row>
    <row r="2956">
      <c r="A2956" s="93"/>
      <c r="B2956" s="87" t="s">
        <v>779</v>
      </c>
      <c r="C2956" s="88"/>
      <c r="D2956" s="92"/>
      <c r="E2956" s="89"/>
      <c r="F2956" s="89"/>
      <c r="G2956" s="89"/>
    </row>
    <row r="2957">
      <c r="A2957" s="93"/>
      <c r="B2957" s="87" t="s">
        <v>779</v>
      </c>
      <c r="C2957" s="88"/>
      <c r="D2957" s="92"/>
      <c r="E2957" s="89"/>
      <c r="F2957" s="89"/>
      <c r="G2957" s="89"/>
    </row>
    <row r="2958">
      <c r="A2958" s="93"/>
      <c r="B2958" s="87" t="s">
        <v>779</v>
      </c>
      <c r="C2958" s="88"/>
      <c r="D2958" s="92"/>
      <c r="E2958" s="89"/>
      <c r="F2958" s="89"/>
      <c r="G2958" s="89"/>
    </row>
    <row r="2959">
      <c r="A2959" s="93"/>
      <c r="B2959" s="87" t="s">
        <v>779</v>
      </c>
      <c r="C2959" s="88"/>
      <c r="D2959" s="92"/>
      <c r="E2959" s="89"/>
      <c r="F2959" s="89"/>
      <c r="G2959" s="89"/>
    </row>
    <row r="2960">
      <c r="A2960" s="93"/>
      <c r="B2960" s="87" t="s">
        <v>779</v>
      </c>
      <c r="C2960" s="88"/>
      <c r="D2960" s="92"/>
      <c r="E2960" s="89"/>
      <c r="F2960" s="89"/>
      <c r="G2960" s="89"/>
    </row>
    <row r="2961">
      <c r="A2961" s="93"/>
      <c r="B2961" s="87" t="s">
        <v>779</v>
      </c>
      <c r="C2961" s="88"/>
      <c r="D2961" s="92"/>
      <c r="E2961" s="89"/>
      <c r="F2961" s="89"/>
      <c r="G2961" s="89"/>
    </row>
    <row r="2962">
      <c r="A2962" s="93"/>
      <c r="B2962" s="87" t="s">
        <v>779</v>
      </c>
      <c r="C2962" s="88"/>
      <c r="D2962" s="92"/>
      <c r="E2962" s="89"/>
      <c r="F2962" s="89"/>
      <c r="G2962" s="89"/>
    </row>
    <row r="2963">
      <c r="A2963" s="93"/>
      <c r="B2963" s="87" t="s">
        <v>779</v>
      </c>
      <c r="C2963" s="88"/>
      <c r="D2963" s="92"/>
      <c r="E2963" s="89"/>
      <c r="F2963" s="89"/>
      <c r="G2963" s="89"/>
    </row>
    <row r="2964">
      <c r="A2964" s="93"/>
      <c r="B2964" s="87" t="s">
        <v>779</v>
      </c>
      <c r="C2964" s="88"/>
      <c r="D2964" s="92"/>
      <c r="E2964" s="89"/>
      <c r="F2964" s="89"/>
      <c r="G2964" s="89"/>
    </row>
    <row r="2965">
      <c r="A2965" s="93"/>
      <c r="B2965" s="87" t="s">
        <v>779</v>
      </c>
      <c r="C2965" s="88"/>
      <c r="D2965" s="92"/>
      <c r="E2965" s="89"/>
      <c r="F2965" s="89"/>
      <c r="G2965" s="89"/>
    </row>
    <row r="2966">
      <c r="A2966" s="93"/>
      <c r="B2966" s="87" t="s">
        <v>779</v>
      </c>
      <c r="C2966" s="88"/>
      <c r="D2966" s="92"/>
      <c r="E2966" s="89"/>
      <c r="F2966" s="89"/>
      <c r="G2966" s="89"/>
    </row>
    <row r="2967">
      <c r="A2967" s="93"/>
      <c r="B2967" s="87" t="s">
        <v>779</v>
      </c>
      <c r="C2967" s="88"/>
      <c r="D2967" s="92"/>
      <c r="E2967" s="89"/>
      <c r="F2967" s="89"/>
      <c r="G2967" s="89"/>
    </row>
    <row r="2968">
      <c r="A2968" s="93"/>
      <c r="B2968" s="87" t="s">
        <v>779</v>
      </c>
      <c r="C2968" s="88"/>
      <c r="D2968" s="92"/>
      <c r="E2968" s="89"/>
      <c r="F2968" s="89"/>
      <c r="G2968" s="89"/>
    </row>
    <row r="2969">
      <c r="A2969" s="93"/>
      <c r="B2969" s="87" t="s">
        <v>779</v>
      </c>
      <c r="C2969" s="88"/>
      <c r="D2969" s="92"/>
      <c r="E2969" s="89"/>
      <c r="F2969" s="89"/>
      <c r="G2969" s="89"/>
    </row>
    <row r="2970">
      <c r="A2970" s="93"/>
      <c r="B2970" s="87" t="s">
        <v>779</v>
      </c>
      <c r="C2970" s="88"/>
      <c r="D2970" s="92"/>
      <c r="E2970" s="89"/>
      <c r="F2970" s="89"/>
      <c r="G2970" s="89"/>
    </row>
    <row r="2971">
      <c r="A2971" s="93"/>
      <c r="B2971" s="87" t="s">
        <v>779</v>
      </c>
      <c r="C2971" s="88"/>
      <c r="D2971" s="92"/>
      <c r="E2971" s="89"/>
      <c r="F2971" s="89"/>
      <c r="G2971" s="89"/>
    </row>
    <row r="2972">
      <c r="A2972" s="93"/>
      <c r="B2972" s="87" t="s">
        <v>779</v>
      </c>
      <c r="C2972" s="88"/>
      <c r="D2972" s="92"/>
      <c r="E2972" s="89"/>
      <c r="F2972" s="89"/>
      <c r="G2972" s="89"/>
    </row>
    <row r="2973">
      <c r="A2973" s="93"/>
      <c r="B2973" s="87" t="s">
        <v>779</v>
      </c>
      <c r="C2973" s="88"/>
      <c r="D2973" s="92"/>
      <c r="E2973" s="89"/>
      <c r="F2973" s="89"/>
      <c r="G2973" s="89"/>
    </row>
    <row r="2974">
      <c r="A2974" s="93"/>
      <c r="B2974" s="87" t="s">
        <v>779</v>
      </c>
      <c r="C2974" s="88"/>
      <c r="D2974" s="92"/>
      <c r="E2974" s="89"/>
      <c r="F2974" s="89"/>
      <c r="G2974" s="89"/>
    </row>
    <row r="2975">
      <c r="A2975" s="93"/>
      <c r="B2975" s="87" t="s">
        <v>779</v>
      </c>
      <c r="C2975" s="88"/>
      <c r="D2975" s="92"/>
      <c r="E2975" s="89"/>
      <c r="F2975" s="89"/>
      <c r="G2975" s="89"/>
    </row>
    <row r="2976">
      <c r="A2976" s="93"/>
      <c r="B2976" s="87" t="s">
        <v>779</v>
      </c>
      <c r="C2976" s="88"/>
      <c r="D2976" s="92"/>
      <c r="E2976" s="89"/>
      <c r="F2976" s="89"/>
      <c r="G2976" s="89"/>
    </row>
    <row r="2977">
      <c r="A2977" s="93"/>
      <c r="B2977" s="87" t="s">
        <v>779</v>
      </c>
      <c r="C2977" s="88"/>
      <c r="D2977" s="92"/>
      <c r="E2977" s="89"/>
      <c r="F2977" s="89"/>
      <c r="G2977" s="89"/>
    </row>
    <row r="2978">
      <c r="A2978" s="93"/>
      <c r="B2978" s="87" t="s">
        <v>779</v>
      </c>
      <c r="C2978" s="88"/>
      <c r="D2978" s="92"/>
      <c r="E2978" s="89"/>
      <c r="F2978" s="89"/>
      <c r="G2978" s="89"/>
    </row>
    <row r="2979">
      <c r="A2979" s="93"/>
      <c r="B2979" s="87" t="s">
        <v>779</v>
      </c>
      <c r="C2979" s="88"/>
      <c r="D2979" s="92"/>
      <c r="E2979" s="89"/>
      <c r="F2979" s="89"/>
      <c r="G2979" s="89"/>
    </row>
    <row r="2980">
      <c r="A2980" s="93"/>
      <c r="B2980" s="87" t="s">
        <v>779</v>
      </c>
      <c r="C2980" s="88"/>
      <c r="D2980" s="92"/>
      <c r="E2980" s="89"/>
      <c r="F2980" s="89"/>
      <c r="G2980" s="89"/>
    </row>
    <row r="2981">
      <c r="A2981" s="93"/>
      <c r="B2981" s="87" t="s">
        <v>779</v>
      </c>
      <c r="C2981" s="88"/>
      <c r="D2981" s="92"/>
      <c r="E2981" s="89"/>
      <c r="F2981" s="89"/>
      <c r="G2981" s="89"/>
    </row>
    <row r="2982">
      <c r="A2982" s="93"/>
      <c r="B2982" s="87" t="s">
        <v>779</v>
      </c>
      <c r="C2982" s="88"/>
      <c r="D2982" s="92"/>
      <c r="E2982" s="89"/>
      <c r="F2982" s="89"/>
      <c r="G2982" s="89"/>
    </row>
    <row r="2983">
      <c r="A2983" s="93"/>
      <c r="B2983" s="87" t="s">
        <v>779</v>
      </c>
      <c r="C2983" s="88"/>
      <c r="D2983" s="92"/>
      <c r="E2983" s="89"/>
      <c r="F2983" s="89"/>
      <c r="G2983" s="89"/>
    </row>
    <row r="2984">
      <c r="A2984" s="93"/>
      <c r="B2984" s="87" t="s">
        <v>779</v>
      </c>
      <c r="C2984" s="88"/>
      <c r="D2984" s="92"/>
      <c r="E2984" s="89"/>
      <c r="F2984" s="89"/>
      <c r="G2984" s="89"/>
    </row>
    <row r="2985">
      <c r="A2985" s="93"/>
      <c r="B2985" s="87" t="s">
        <v>779</v>
      </c>
      <c r="C2985" s="88"/>
      <c r="D2985" s="92"/>
      <c r="E2985" s="89"/>
      <c r="F2985" s="89"/>
      <c r="G2985" s="89"/>
    </row>
    <row r="2986">
      <c r="A2986" s="93"/>
      <c r="B2986" s="87" t="s">
        <v>779</v>
      </c>
      <c r="C2986" s="88"/>
      <c r="D2986" s="92"/>
      <c r="E2986" s="89"/>
      <c r="F2986" s="89"/>
      <c r="G2986" s="89"/>
    </row>
    <row r="2987">
      <c r="A2987" s="93"/>
      <c r="B2987" s="87" t="s">
        <v>779</v>
      </c>
      <c r="C2987" s="88"/>
      <c r="D2987" s="92"/>
      <c r="E2987" s="89"/>
      <c r="F2987" s="89"/>
      <c r="G2987" s="89"/>
    </row>
    <row r="2988">
      <c r="A2988" s="93"/>
      <c r="B2988" s="87" t="s">
        <v>779</v>
      </c>
      <c r="C2988" s="88"/>
      <c r="D2988" s="92"/>
      <c r="E2988" s="89"/>
      <c r="F2988" s="89"/>
      <c r="G2988" s="89"/>
    </row>
    <row r="2989">
      <c r="A2989" s="93"/>
      <c r="B2989" s="87" t="s">
        <v>779</v>
      </c>
      <c r="C2989" s="88"/>
      <c r="D2989" s="92"/>
      <c r="E2989" s="89"/>
      <c r="F2989" s="89"/>
      <c r="G2989" s="89"/>
    </row>
    <row r="2990">
      <c r="A2990" s="93"/>
      <c r="B2990" s="87" t="s">
        <v>779</v>
      </c>
      <c r="C2990" s="88"/>
      <c r="D2990" s="92"/>
      <c r="E2990" s="89"/>
      <c r="F2990" s="89"/>
      <c r="G2990" s="89"/>
    </row>
    <row r="2991">
      <c r="A2991" s="93"/>
      <c r="B2991" s="87" t="s">
        <v>779</v>
      </c>
      <c r="C2991" s="88"/>
      <c r="D2991" s="92"/>
      <c r="E2991" s="89"/>
      <c r="F2991" s="89"/>
      <c r="G2991" s="89"/>
    </row>
    <row r="2992">
      <c r="A2992" s="93"/>
      <c r="B2992" s="87" t="s">
        <v>779</v>
      </c>
      <c r="C2992" s="88"/>
      <c r="D2992" s="92"/>
      <c r="E2992" s="89"/>
      <c r="F2992" s="89"/>
      <c r="G2992" s="89"/>
    </row>
    <row r="2993">
      <c r="A2993" s="93"/>
      <c r="B2993" s="87" t="s">
        <v>779</v>
      </c>
      <c r="C2993" s="88"/>
      <c r="D2993" s="92"/>
      <c r="E2993" s="89"/>
      <c r="F2993" s="89"/>
      <c r="G2993" s="89"/>
    </row>
    <row r="2994">
      <c r="A2994" s="93"/>
      <c r="B2994" s="87" t="s">
        <v>779</v>
      </c>
      <c r="C2994" s="88"/>
      <c r="D2994" s="92"/>
      <c r="E2994" s="89"/>
      <c r="F2994" s="89"/>
      <c r="G2994" s="89"/>
    </row>
    <row r="2995">
      <c r="A2995" s="93"/>
      <c r="B2995" s="87" t="s">
        <v>779</v>
      </c>
      <c r="C2995" s="88"/>
      <c r="D2995" s="92"/>
      <c r="E2995" s="89"/>
      <c r="F2995" s="89"/>
      <c r="G2995" s="89"/>
    </row>
    <row r="2996">
      <c r="A2996" s="93"/>
      <c r="B2996" s="87" t="s">
        <v>779</v>
      </c>
      <c r="C2996" s="88"/>
      <c r="D2996" s="92"/>
      <c r="E2996" s="89"/>
      <c r="F2996" s="89"/>
      <c r="G2996" s="89"/>
    </row>
    <row r="2997">
      <c r="A2997" s="93"/>
      <c r="B2997" s="87" t="s">
        <v>779</v>
      </c>
      <c r="C2997" s="88"/>
      <c r="D2997" s="92"/>
      <c r="E2997" s="89"/>
      <c r="F2997" s="89"/>
      <c r="G2997" s="89"/>
    </row>
    <row r="2998">
      <c r="A2998" s="93"/>
      <c r="B2998" s="87" t="s">
        <v>779</v>
      </c>
      <c r="C2998" s="88"/>
      <c r="D2998" s="92"/>
      <c r="E2998" s="89"/>
      <c r="F2998" s="89"/>
      <c r="G2998" s="89"/>
    </row>
    <row r="2999">
      <c r="A2999" s="93"/>
      <c r="B2999" s="87" t="s">
        <v>779</v>
      </c>
      <c r="C2999" s="88"/>
      <c r="D2999" s="92"/>
      <c r="E2999" s="89"/>
      <c r="F2999" s="89"/>
      <c r="G2999" s="89"/>
    </row>
    <row r="3000">
      <c r="A3000" s="93"/>
      <c r="B3000" s="87" t="s">
        <v>779</v>
      </c>
      <c r="C3000" s="88"/>
      <c r="D3000" s="92"/>
      <c r="E3000" s="89"/>
      <c r="F3000" s="89"/>
      <c r="G3000" s="89"/>
    </row>
    <row r="3001">
      <c r="A3001" s="93"/>
      <c r="B3001" s="87" t="s">
        <v>779</v>
      </c>
      <c r="C3001" s="88"/>
      <c r="D3001" s="92"/>
      <c r="E3001" s="89"/>
      <c r="F3001" s="89"/>
      <c r="G3001" s="89"/>
    </row>
    <row r="3002">
      <c r="A3002" s="93"/>
      <c r="B3002" s="87" t="s">
        <v>779</v>
      </c>
      <c r="C3002" s="88"/>
      <c r="D3002" s="92"/>
      <c r="E3002" s="89"/>
      <c r="F3002" s="89"/>
      <c r="G3002" s="89"/>
    </row>
    <row r="3003">
      <c r="A3003" s="93"/>
      <c r="B3003" s="87" t="s">
        <v>779</v>
      </c>
      <c r="C3003" s="88"/>
      <c r="D3003" s="92"/>
      <c r="E3003" s="89"/>
      <c r="F3003" s="89"/>
      <c r="G3003" s="89"/>
    </row>
    <row r="3004">
      <c r="A3004" s="93"/>
      <c r="B3004" s="87" t="s">
        <v>779</v>
      </c>
      <c r="C3004" s="88"/>
      <c r="D3004" s="92"/>
      <c r="E3004" s="89"/>
      <c r="F3004" s="89"/>
      <c r="G3004" s="89"/>
    </row>
    <row r="3005">
      <c r="A3005" s="93"/>
      <c r="B3005" s="87" t="s">
        <v>779</v>
      </c>
      <c r="C3005" s="88"/>
      <c r="D3005" s="92"/>
      <c r="E3005" s="89"/>
      <c r="F3005" s="89"/>
      <c r="G3005" s="89"/>
    </row>
    <row r="3006">
      <c r="A3006" s="93"/>
      <c r="B3006" s="87" t="s">
        <v>779</v>
      </c>
      <c r="C3006" s="88"/>
      <c r="D3006" s="92"/>
      <c r="E3006" s="89"/>
      <c r="F3006" s="89"/>
      <c r="G3006" s="89"/>
    </row>
    <row r="3007">
      <c r="A3007" s="93"/>
      <c r="B3007" s="87" t="s">
        <v>779</v>
      </c>
      <c r="C3007" s="88"/>
      <c r="D3007" s="92"/>
      <c r="E3007" s="89"/>
      <c r="F3007" s="89"/>
      <c r="G3007" s="89"/>
    </row>
    <row r="3008">
      <c r="A3008" s="93"/>
      <c r="B3008" s="87" t="s">
        <v>779</v>
      </c>
      <c r="C3008" s="88"/>
      <c r="D3008" s="92"/>
      <c r="E3008" s="89"/>
      <c r="F3008" s="89"/>
      <c r="G3008" s="89"/>
    </row>
    <row r="3009">
      <c r="A3009" s="93"/>
      <c r="B3009" s="87" t="s">
        <v>779</v>
      </c>
      <c r="C3009" s="88"/>
      <c r="D3009" s="92"/>
      <c r="E3009" s="89"/>
      <c r="F3009" s="89"/>
      <c r="G3009" s="89"/>
    </row>
    <row r="3010">
      <c r="A3010" s="93"/>
      <c r="B3010" s="87" t="s">
        <v>779</v>
      </c>
      <c r="C3010" s="88"/>
      <c r="D3010" s="92"/>
      <c r="E3010" s="89"/>
      <c r="F3010" s="89"/>
      <c r="G3010" s="89"/>
    </row>
    <row r="3011">
      <c r="A3011" s="93"/>
      <c r="B3011" s="87" t="s">
        <v>779</v>
      </c>
      <c r="C3011" s="88"/>
      <c r="D3011" s="92"/>
      <c r="E3011" s="89"/>
      <c r="F3011" s="89"/>
      <c r="G3011" s="89"/>
    </row>
    <row r="3012">
      <c r="A3012" s="93"/>
      <c r="B3012" s="87" t="s">
        <v>779</v>
      </c>
      <c r="C3012" s="88"/>
      <c r="D3012" s="92"/>
      <c r="E3012" s="89"/>
      <c r="F3012" s="89"/>
      <c r="G3012" s="89"/>
    </row>
    <row r="3013">
      <c r="A3013" s="93"/>
      <c r="B3013" s="87" t="s">
        <v>779</v>
      </c>
      <c r="C3013" s="88"/>
      <c r="D3013" s="92"/>
      <c r="E3013" s="89"/>
      <c r="F3013" s="89"/>
      <c r="G3013" s="89"/>
    </row>
    <row r="3014">
      <c r="A3014" s="93"/>
      <c r="B3014" s="87" t="s">
        <v>779</v>
      </c>
      <c r="C3014" s="88"/>
      <c r="D3014" s="92"/>
      <c r="E3014" s="89"/>
      <c r="F3014" s="89"/>
      <c r="G3014" s="89"/>
    </row>
    <row r="3015">
      <c r="A3015" s="93"/>
      <c r="B3015" s="87" t="s">
        <v>779</v>
      </c>
      <c r="C3015" s="88"/>
      <c r="D3015" s="92"/>
      <c r="E3015" s="89"/>
      <c r="F3015" s="89"/>
      <c r="G3015" s="89"/>
    </row>
    <row r="3016">
      <c r="A3016" s="93"/>
      <c r="B3016" s="87" t="s">
        <v>779</v>
      </c>
      <c r="C3016" s="88"/>
      <c r="D3016" s="92"/>
      <c r="E3016" s="89"/>
      <c r="F3016" s="89"/>
      <c r="G3016" s="89"/>
    </row>
    <row r="3017">
      <c r="A3017" s="93"/>
      <c r="B3017" s="87" t="s">
        <v>779</v>
      </c>
      <c r="C3017" s="88"/>
      <c r="D3017" s="92"/>
      <c r="E3017" s="89"/>
      <c r="F3017" s="89"/>
      <c r="G3017" s="89"/>
    </row>
    <row r="3018">
      <c r="A3018" s="93"/>
      <c r="B3018" s="87" t="s">
        <v>779</v>
      </c>
      <c r="C3018" s="88"/>
      <c r="D3018" s="92"/>
      <c r="E3018" s="89"/>
      <c r="F3018" s="89"/>
      <c r="G3018" s="89"/>
    </row>
    <row r="3019">
      <c r="A3019" s="93"/>
      <c r="B3019" s="87" t="s">
        <v>779</v>
      </c>
      <c r="C3019" s="88"/>
      <c r="D3019" s="92"/>
      <c r="E3019" s="89"/>
      <c r="F3019" s="89"/>
      <c r="G3019" s="89"/>
    </row>
    <row r="3020">
      <c r="A3020" s="93"/>
      <c r="B3020" s="87" t="s">
        <v>779</v>
      </c>
      <c r="C3020" s="88"/>
      <c r="D3020" s="92"/>
      <c r="E3020" s="89"/>
      <c r="F3020" s="89"/>
      <c r="G3020" s="89"/>
    </row>
    <row r="3021">
      <c r="A3021" s="93"/>
      <c r="B3021" s="87" t="s">
        <v>779</v>
      </c>
      <c r="C3021" s="88"/>
      <c r="D3021" s="92"/>
      <c r="E3021" s="89"/>
      <c r="F3021" s="89"/>
      <c r="G3021" s="89"/>
    </row>
    <row r="3022">
      <c r="A3022" s="93"/>
      <c r="B3022" s="87" t="s">
        <v>779</v>
      </c>
      <c r="C3022" s="88"/>
      <c r="D3022" s="92"/>
      <c r="E3022" s="89"/>
      <c r="F3022" s="89"/>
      <c r="G3022" s="89"/>
    </row>
    <row r="3023">
      <c r="A3023" s="93"/>
      <c r="B3023" s="87" t="s">
        <v>779</v>
      </c>
      <c r="C3023" s="88"/>
      <c r="D3023" s="92"/>
      <c r="E3023" s="89"/>
      <c r="F3023" s="89"/>
      <c r="G3023" s="89"/>
    </row>
    <row r="3024">
      <c r="A3024" s="93"/>
      <c r="B3024" s="87" t="s">
        <v>779</v>
      </c>
      <c r="C3024" s="88"/>
      <c r="D3024" s="92"/>
      <c r="E3024" s="89"/>
      <c r="F3024" s="89"/>
      <c r="G3024" s="89"/>
    </row>
    <row r="3025">
      <c r="A3025" s="93"/>
      <c r="B3025" s="87" t="s">
        <v>779</v>
      </c>
      <c r="C3025" s="88"/>
      <c r="D3025" s="92"/>
      <c r="E3025" s="89"/>
      <c r="F3025" s="89"/>
      <c r="G3025" s="89"/>
    </row>
    <row r="3026">
      <c r="A3026" s="93"/>
      <c r="B3026" s="87" t="s">
        <v>779</v>
      </c>
      <c r="C3026" s="88"/>
      <c r="D3026" s="92"/>
      <c r="E3026" s="89"/>
      <c r="F3026" s="89"/>
      <c r="G3026" s="89"/>
    </row>
    <row r="3027">
      <c r="A3027" s="93"/>
      <c r="B3027" s="87" t="s">
        <v>779</v>
      </c>
      <c r="C3027" s="88"/>
      <c r="D3027" s="92"/>
      <c r="E3027" s="89"/>
      <c r="F3027" s="89"/>
      <c r="G3027" s="89"/>
    </row>
    <row r="3028">
      <c r="A3028" s="93"/>
      <c r="B3028" s="87" t="s">
        <v>779</v>
      </c>
      <c r="C3028" s="88"/>
      <c r="D3028" s="92"/>
      <c r="E3028" s="89"/>
      <c r="F3028" s="89"/>
      <c r="G3028" s="89"/>
    </row>
    <row r="3029">
      <c r="A3029" s="93"/>
      <c r="B3029" s="87" t="s">
        <v>779</v>
      </c>
      <c r="C3029" s="88"/>
      <c r="D3029" s="92"/>
      <c r="E3029" s="89"/>
      <c r="F3029" s="89"/>
      <c r="G3029" s="89"/>
    </row>
    <row r="3030">
      <c r="A3030" s="93"/>
      <c r="B3030" s="87" t="s">
        <v>779</v>
      </c>
      <c r="C3030" s="88"/>
      <c r="D3030" s="92"/>
      <c r="E3030" s="89"/>
      <c r="F3030" s="89"/>
      <c r="G3030" s="89"/>
    </row>
    <row r="3031">
      <c r="A3031" s="93"/>
      <c r="B3031" s="87" t="s">
        <v>779</v>
      </c>
      <c r="C3031" s="88"/>
      <c r="D3031" s="92"/>
      <c r="E3031" s="89"/>
      <c r="F3031" s="89"/>
      <c r="G3031" s="89"/>
    </row>
    <row r="3032">
      <c r="A3032" s="93"/>
      <c r="B3032" s="87" t="s">
        <v>779</v>
      </c>
      <c r="C3032" s="88"/>
      <c r="D3032" s="92"/>
      <c r="E3032" s="89"/>
      <c r="F3032" s="89"/>
      <c r="G3032" s="89"/>
    </row>
    <row r="3033">
      <c r="A3033" s="93"/>
      <c r="B3033" s="87" t="s">
        <v>779</v>
      </c>
      <c r="C3033" s="88"/>
      <c r="D3033" s="92"/>
      <c r="E3033" s="89"/>
      <c r="F3033" s="89"/>
      <c r="G3033" s="89"/>
    </row>
    <row r="3034">
      <c r="A3034" s="93"/>
      <c r="B3034" s="87" t="s">
        <v>779</v>
      </c>
      <c r="C3034" s="88"/>
      <c r="D3034" s="92"/>
      <c r="E3034" s="89"/>
      <c r="F3034" s="89"/>
      <c r="G3034" s="89"/>
    </row>
    <row r="3035">
      <c r="A3035" s="93"/>
      <c r="B3035" s="87" t="s">
        <v>779</v>
      </c>
      <c r="C3035" s="88"/>
      <c r="D3035" s="92"/>
      <c r="E3035" s="89"/>
      <c r="F3035" s="89"/>
      <c r="G3035" s="89"/>
    </row>
    <row r="3036">
      <c r="A3036" s="93"/>
      <c r="B3036" s="87" t="s">
        <v>779</v>
      </c>
      <c r="C3036" s="88"/>
      <c r="D3036" s="92"/>
      <c r="E3036" s="89"/>
      <c r="F3036" s="89"/>
      <c r="G3036" s="89"/>
    </row>
    <row r="3037">
      <c r="A3037" s="93"/>
      <c r="B3037" s="87" t="s">
        <v>779</v>
      </c>
      <c r="C3037" s="88"/>
      <c r="D3037" s="92"/>
      <c r="E3037" s="89"/>
      <c r="F3037" s="89"/>
      <c r="G3037" s="89"/>
    </row>
    <row r="3038">
      <c r="A3038" s="93"/>
      <c r="B3038" s="87" t="s">
        <v>779</v>
      </c>
      <c r="C3038" s="88"/>
      <c r="D3038" s="92"/>
      <c r="E3038" s="89"/>
      <c r="F3038" s="89"/>
      <c r="G3038" s="89"/>
    </row>
    <row r="3039">
      <c r="A3039" s="93"/>
      <c r="B3039" s="87" t="s">
        <v>779</v>
      </c>
      <c r="C3039" s="88"/>
      <c r="D3039" s="92"/>
      <c r="E3039" s="89"/>
      <c r="F3039" s="89"/>
      <c r="G3039" s="89"/>
    </row>
    <row r="3040">
      <c r="A3040" s="93"/>
      <c r="B3040" s="87" t="s">
        <v>779</v>
      </c>
      <c r="C3040" s="88"/>
      <c r="D3040" s="92"/>
      <c r="E3040" s="89"/>
      <c r="F3040" s="89"/>
      <c r="G3040" s="89"/>
    </row>
    <row r="3041">
      <c r="A3041" s="93"/>
      <c r="B3041" s="87" t="s">
        <v>779</v>
      </c>
      <c r="C3041" s="88"/>
      <c r="D3041" s="92"/>
      <c r="E3041" s="89"/>
      <c r="F3041" s="89"/>
      <c r="G3041" s="89"/>
    </row>
    <row r="3042">
      <c r="A3042" s="93"/>
      <c r="B3042" s="87" t="s">
        <v>779</v>
      </c>
      <c r="C3042" s="88"/>
      <c r="D3042" s="92"/>
      <c r="E3042" s="89"/>
      <c r="F3042" s="89"/>
      <c r="G3042" s="89"/>
    </row>
    <row r="3043">
      <c r="A3043" s="93"/>
      <c r="B3043" s="87" t="s">
        <v>779</v>
      </c>
      <c r="C3043" s="88"/>
      <c r="D3043" s="92"/>
      <c r="E3043" s="89"/>
      <c r="F3043" s="89"/>
      <c r="G3043" s="89"/>
    </row>
    <row r="3044">
      <c r="A3044" s="93"/>
      <c r="B3044" s="87" t="s">
        <v>779</v>
      </c>
      <c r="C3044" s="88"/>
      <c r="D3044" s="92"/>
      <c r="E3044" s="89"/>
      <c r="F3044" s="89"/>
      <c r="G3044" s="89"/>
    </row>
    <row r="3045">
      <c r="A3045" s="93"/>
      <c r="B3045" s="87" t="s">
        <v>779</v>
      </c>
      <c r="C3045" s="88"/>
      <c r="D3045" s="92"/>
      <c r="E3045" s="89"/>
      <c r="F3045" s="89"/>
      <c r="G3045" s="89"/>
    </row>
    <row r="3046">
      <c r="A3046" s="93"/>
      <c r="B3046" s="87" t="s">
        <v>779</v>
      </c>
      <c r="C3046" s="88"/>
      <c r="D3046" s="92"/>
      <c r="E3046" s="89"/>
      <c r="F3046" s="89"/>
      <c r="G3046" s="89"/>
    </row>
    <row r="3047">
      <c r="A3047" s="93"/>
      <c r="B3047" s="87" t="s">
        <v>779</v>
      </c>
      <c r="C3047" s="88"/>
      <c r="D3047" s="92"/>
      <c r="E3047" s="89"/>
      <c r="F3047" s="89"/>
      <c r="G3047" s="89"/>
    </row>
    <row r="3048">
      <c r="A3048" s="93"/>
      <c r="B3048" s="87" t="s">
        <v>779</v>
      </c>
      <c r="C3048" s="88"/>
      <c r="D3048" s="92"/>
      <c r="E3048" s="89"/>
      <c r="F3048" s="89"/>
      <c r="G3048" s="89"/>
    </row>
    <row r="3049">
      <c r="A3049" s="93"/>
      <c r="B3049" s="87" t="s">
        <v>779</v>
      </c>
      <c r="C3049" s="88"/>
      <c r="D3049" s="92"/>
      <c r="E3049" s="89"/>
      <c r="F3049" s="89"/>
      <c r="G3049" s="89"/>
    </row>
    <row r="3050">
      <c r="A3050" s="93"/>
      <c r="B3050" s="87" t="s">
        <v>779</v>
      </c>
      <c r="C3050" s="88"/>
      <c r="D3050" s="92"/>
      <c r="E3050" s="89"/>
      <c r="F3050" s="89"/>
      <c r="G3050" s="89"/>
    </row>
    <row r="3051">
      <c r="A3051" s="93"/>
      <c r="B3051" s="87" t="s">
        <v>779</v>
      </c>
      <c r="C3051" s="88"/>
      <c r="D3051" s="92"/>
      <c r="E3051" s="89"/>
      <c r="F3051" s="89"/>
      <c r="G3051" s="89"/>
    </row>
    <row r="3052">
      <c r="A3052" s="93"/>
      <c r="B3052" s="87" t="s">
        <v>779</v>
      </c>
      <c r="C3052" s="88"/>
      <c r="D3052" s="92"/>
      <c r="E3052" s="89"/>
      <c r="F3052" s="89"/>
      <c r="G3052" s="89"/>
    </row>
    <row r="3053">
      <c r="A3053" s="93"/>
      <c r="B3053" s="87" t="s">
        <v>779</v>
      </c>
      <c r="C3053" s="88"/>
      <c r="D3053" s="92"/>
      <c r="E3053" s="89"/>
      <c r="F3053" s="89"/>
      <c r="G3053" s="89"/>
    </row>
    <row r="3054">
      <c r="A3054" s="93"/>
      <c r="B3054" s="87" t="s">
        <v>779</v>
      </c>
      <c r="C3054" s="88"/>
      <c r="D3054" s="92"/>
      <c r="E3054" s="89"/>
      <c r="F3054" s="89"/>
      <c r="G3054" s="89"/>
    </row>
    <row r="3055">
      <c r="A3055" s="93"/>
      <c r="B3055" s="87" t="s">
        <v>779</v>
      </c>
      <c r="C3055" s="88"/>
      <c r="D3055" s="92"/>
      <c r="E3055" s="89"/>
      <c r="F3055" s="89"/>
      <c r="G3055" s="89"/>
    </row>
    <row r="3056">
      <c r="A3056" s="93"/>
      <c r="B3056" s="87" t="s">
        <v>779</v>
      </c>
      <c r="C3056" s="88"/>
      <c r="D3056" s="92"/>
      <c r="E3056" s="89"/>
      <c r="F3056" s="89"/>
      <c r="G3056" s="89"/>
    </row>
    <row r="3057">
      <c r="A3057" s="93"/>
      <c r="B3057" s="87" t="s">
        <v>779</v>
      </c>
      <c r="C3057" s="88"/>
      <c r="D3057" s="92"/>
      <c r="E3057" s="89"/>
      <c r="F3057" s="89"/>
      <c r="G3057" s="89"/>
    </row>
    <row r="3058">
      <c r="A3058" s="93"/>
      <c r="B3058" s="87" t="s">
        <v>779</v>
      </c>
      <c r="C3058" s="88"/>
      <c r="D3058" s="92"/>
      <c r="E3058" s="89"/>
      <c r="F3058" s="89"/>
      <c r="G3058" s="89"/>
    </row>
    <row r="3059">
      <c r="A3059" s="93"/>
      <c r="B3059" s="87" t="s">
        <v>779</v>
      </c>
      <c r="C3059" s="88"/>
      <c r="D3059" s="92"/>
      <c r="E3059" s="89"/>
      <c r="F3059" s="89"/>
      <c r="G3059" s="89"/>
    </row>
    <row r="3060">
      <c r="A3060" s="93"/>
      <c r="B3060" s="87" t="s">
        <v>779</v>
      </c>
      <c r="C3060" s="88"/>
      <c r="D3060" s="92"/>
      <c r="E3060" s="89"/>
      <c r="F3060" s="89"/>
      <c r="G3060" s="89"/>
    </row>
    <row r="3061">
      <c r="A3061" s="93"/>
      <c r="B3061" s="87" t="s">
        <v>779</v>
      </c>
      <c r="C3061" s="88"/>
      <c r="D3061" s="92"/>
      <c r="E3061" s="89"/>
      <c r="F3061" s="89"/>
      <c r="G3061" s="89"/>
    </row>
    <row r="3062">
      <c r="A3062" s="93"/>
      <c r="B3062" s="87" t="s">
        <v>779</v>
      </c>
      <c r="C3062" s="88"/>
      <c r="D3062" s="92"/>
      <c r="E3062" s="89"/>
      <c r="F3062" s="89"/>
      <c r="G3062" s="89"/>
    </row>
    <row r="3063">
      <c r="A3063" s="93"/>
      <c r="B3063" s="87" t="s">
        <v>779</v>
      </c>
      <c r="C3063" s="88"/>
      <c r="D3063" s="92"/>
      <c r="E3063" s="89"/>
      <c r="F3063" s="89"/>
      <c r="G3063" s="89"/>
    </row>
    <row r="3064">
      <c r="A3064" s="93"/>
      <c r="B3064" s="87" t="s">
        <v>779</v>
      </c>
      <c r="C3064" s="88"/>
      <c r="D3064" s="92"/>
      <c r="E3064" s="89"/>
      <c r="F3064" s="89"/>
      <c r="G3064" s="89"/>
    </row>
    <row r="3065">
      <c r="A3065" s="93"/>
      <c r="B3065" s="87" t="s">
        <v>779</v>
      </c>
      <c r="C3065" s="88"/>
      <c r="D3065" s="92"/>
      <c r="E3065" s="89"/>
      <c r="F3065" s="89"/>
      <c r="G3065" s="89"/>
    </row>
    <row r="3066">
      <c r="A3066" s="93"/>
      <c r="B3066" s="87" t="s">
        <v>779</v>
      </c>
      <c r="C3066" s="88"/>
      <c r="D3066" s="92"/>
      <c r="E3066" s="89"/>
      <c r="F3066" s="89"/>
      <c r="G3066" s="89"/>
    </row>
    <row r="3067">
      <c r="A3067" s="93"/>
      <c r="B3067" s="87" t="s">
        <v>779</v>
      </c>
      <c r="C3067" s="88"/>
      <c r="D3067" s="92"/>
      <c r="E3067" s="89"/>
      <c r="F3067" s="89"/>
      <c r="G3067" s="89"/>
    </row>
    <row r="3068">
      <c r="A3068" s="93"/>
      <c r="B3068" s="87" t="s">
        <v>779</v>
      </c>
      <c r="C3068" s="88"/>
      <c r="D3068" s="92"/>
      <c r="E3068" s="89"/>
      <c r="F3068" s="89"/>
      <c r="G3068" s="89"/>
    </row>
    <row r="3069">
      <c r="A3069" s="93"/>
      <c r="B3069" s="87" t="s">
        <v>779</v>
      </c>
      <c r="C3069" s="88"/>
      <c r="D3069" s="92"/>
      <c r="E3069" s="89"/>
      <c r="F3069" s="89"/>
      <c r="G3069" s="89"/>
    </row>
    <row r="3070">
      <c r="A3070" s="93"/>
      <c r="B3070" s="87" t="s">
        <v>779</v>
      </c>
      <c r="C3070" s="88"/>
      <c r="D3070" s="92"/>
      <c r="E3070" s="89"/>
      <c r="F3070" s="89"/>
      <c r="G3070" s="89"/>
    </row>
    <row r="3071">
      <c r="A3071" s="93"/>
      <c r="B3071" s="87" t="s">
        <v>779</v>
      </c>
      <c r="C3071" s="88"/>
      <c r="D3071" s="92"/>
      <c r="E3071" s="89"/>
      <c r="F3071" s="89"/>
      <c r="G3071" s="89"/>
    </row>
    <row r="3072">
      <c r="A3072" s="93"/>
      <c r="B3072" s="87" t="s">
        <v>779</v>
      </c>
      <c r="C3072" s="88"/>
      <c r="D3072" s="92"/>
      <c r="E3072" s="89"/>
      <c r="F3072" s="89"/>
      <c r="G3072" s="89"/>
    </row>
    <row r="3073">
      <c r="A3073" s="93"/>
      <c r="B3073" s="87" t="s">
        <v>779</v>
      </c>
      <c r="C3073" s="88"/>
      <c r="D3073" s="92"/>
      <c r="E3073" s="89"/>
      <c r="F3073" s="89"/>
      <c r="G3073" s="89"/>
    </row>
    <row r="3074">
      <c r="A3074" s="93"/>
      <c r="B3074" s="87" t="s">
        <v>779</v>
      </c>
      <c r="C3074" s="88"/>
      <c r="D3074" s="92"/>
      <c r="E3074" s="89"/>
      <c r="F3074" s="89"/>
      <c r="G3074" s="89"/>
    </row>
    <row r="3075">
      <c r="A3075" s="93"/>
      <c r="B3075" s="87" t="s">
        <v>779</v>
      </c>
      <c r="C3075" s="88"/>
      <c r="D3075" s="92"/>
      <c r="E3075" s="89"/>
      <c r="F3075" s="89"/>
      <c r="G3075" s="89"/>
    </row>
    <row r="3076">
      <c r="A3076" s="93"/>
      <c r="B3076" s="87" t="s">
        <v>779</v>
      </c>
      <c r="C3076" s="88"/>
      <c r="D3076" s="92"/>
      <c r="E3076" s="89"/>
      <c r="F3076" s="89"/>
      <c r="G3076" s="89"/>
    </row>
    <row r="3077">
      <c r="A3077" s="93"/>
      <c r="B3077" s="87" t="s">
        <v>779</v>
      </c>
      <c r="C3077" s="88"/>
      <c r="D3077" s="92"/>
      <c r="E3077" s="89"/>
      <c r="F3077" s="89"/>
      <c r="G3077" s="89"/>
    </row>
    <row r="3078">
      <c r="A3078" s="93"/>
      <c r="B3078" s="87" t="s">
        <v>779</v>
      </c>
      <c r="C3078" s="88"/>
      <c r="D3078" s="92"/>
      <c r="E3078" s="89"/>
      <c r="F3078" s="89"/>
      <c r="G3078" s="89"/>
    </row>
    <row r="3079">
      <c r="A3079" s="93"/>
      <c r="B3079" s="87" t="s">
        <v>779</v>
      </c>
      <c r="C3079" s="88"/>
      <c r="D3079" s="92"/>
      <c r="E3079" s="89"/>
      <c r="F3079" s="89"/>
      <c r="G3079" s="89"/>
    </row>
    <row r="3080">
      <c r="A3080" s="93"/>
      <c r="B3080" s="87" t="s">
        <v>779</v>
      </c>
      <c r="C3080" s="88"/>
      <c r="D3080" s="92"/>
      <c r="E3080" s="89"/>
      <c r="F3080" s="89"/>
      <c r="G3080" s="89"/>
    </row>
    <row r="3081">
      <c r="A3081" s="93"/>
      <c r="B3081" s="87" t="s">
        <v>779</v>
      </c>
      <c r="C3081" s="88"/>
      <c r="D3081" s="92"/>
      <c r="E3081" s="89"/>
      <c r="F3081" s="89"/>
      <c r="G3081" s="89"/>
    </row>
    <row r="3082">
      <c r="A3082" s="93"/>
      <c r="B3082" s="87" t="s">
        <v>779</v>
      </c>
      <c r="C3082" s="88"/>
      <c r="D3082" s="92"/>
      <c r="E3082" s="89"/>
      <c r="F3082" s="89"/>
      <c r="G3082" s="89"/>
    </row>
    <row r="3083">
      <c r="A3083" s="93"/>
      <c r="B3083" s="87" t="s">
        <v>779</v>
      </c>
      <c r="C3083" s="88"/>
      <c r="D3083" s="92"/>
      <c r="E3083" s="89"/>
      <c r="F3083" s="89"/>
      <c r="G3083" s="89"/>
    </row>
    <row r="3084">
      <c r="A3084" s="93"/>
      <c r="B3084" s="87" t="s">
        <v>779</v>
      </c>
      <c r="C3084" s="88"/>
      <c r="D3084" s="92"/>
      <c r="E3084" s="89"/>
      <c r="F3084" s="89"/>
      <c r="G3084" s="89"/>
    </row>
    <row r="3085">
      <c r="A3085" s="93"/>
      <c r="B3085" s="87" t="s">
        <v>779</v>
      </c>
      <c r="C3085" s="88"/>
      <c r="D3085" s="92"/>
      <c r="E3085" s="89"/>
      <c r="F3085" s="89"/>
      <c r="G3085" s="89"/>
    </row>
    <row r="3086">
      <c r="A3086" s="93"/>
      <c r="B3086" s="87" t="s">
        <v>779</v>
      </c>
      <c r="C3086" s="88"/>
      <c r="D3086" s="92"/>
      <c r="E3086" s="89"/>
      <c r="F3086" s="89"/>
      <c r="G3086" s="89"/>
    </row>
    <row r="3087">
      <c r="A3087" s="93"/>
      <c r="B3087" s="87" t="s">
        <v>779</v>
      </c>
      <c r="C3087" s="88"/>
      <c r="D3087" s="92"/>
      <c r="E3087" s="89"/>
      <c r="F3087" s="89"/>
      <c r="G3087" s="89"/>
    </row>
    <row r="3088">
      <c r="A3088" s="93"/>
      <c r="B3088" s="87" t="s">
        <v>779</v>
      </c>
      <c r="C3088" s="88"/>
      <c r="D3088" s="92"/>
      <c r="E3088" s="89"/>
      <c r="F3088" s="89"/>
      <c r="G3088" s="89"/>
    </row>
    <row r="3089">
      <c r="A3089" s="93"/>
      <c r="B3089" s="87" t="s">
        <v>779</v>
      </c>
      <c r="C3089" s="88"/>
      <c r="D3089" s="92"/>
      <c r="E3089" s="89"/>
      <c r="F3089" s="89"/>
      <c r="G3089" s="89"/>
    </row>
    <row r="3090">
      <c r="A3090" s="93"/>
      <c r="B3090" s="87" t="s">
        <v>779</v>
      </c>
      <c r="C3090" s="88"/>
      <c r="D3090" s="92"/>
      <c r="E3090" s="89"/>
      <c r="F3090" s="89"/>
      <c r="G3090" s="89"/>
    </row>
    <row r="3091">
      <c r="A3091" s="93"/>
      <c r="B3091" s="87" t="s">
        <v>779</v>
      </c>
      <c r="C3091" s="88"/>
      <c r="D3091" s="92"/>
      <c r="E3091" s="89"/>
      <c r="F3091" s="89"/>
      <c r="G3091" s="89"/>
    </row>
    <row r="3092">
      <c r="A3092" s="93"/>
      <c r="B3092" s="87" t="s">
        <v>779</v>
      </c>
      <c r="C3092" s="88"/>
      <c r="D3092" s="92"/>
      <c r="E3092" s="89"/>
      <c r="F3092" s="89"/>
      <c r="G3092" s="89"/>
    </row>
    <row r="3093">
      <c r="A3093" s="93"/>
      <c r="B3093" s="87" t="s">
        <v>779</v>
      </c>
      <c r="C3093" s="88"/>
      <c r="D3093" s="92"/>
      <c r="E3093" s="89"/>
      <c r="F3093" s="89"/>
      <c r="G3093" s="89"/>
    </row>
    <row r="3094">
      <c r="A3094" s="93"/>
      <c r="B3094" s="87" t="s">
        <v>779</v>
      </c>
      <c r="C3094" s="88"/>
      <c r="D3094" s="92"/>
      <c r="E3094" s="89"/>
      <c r="F3094" s="89"/>
      <c r="G3094" s="89"/>
    </row>
    <row r="3095">
      <c r="A3095" s="93"/>
      <c r="B3095" s="87" t="s">
        <v>779</v>
      </c>
      <c r="C3095" s="88"/>
      <c r="D3095" s="92"/>
      <c r="E3095" s="89"/>
      <c r="F3095" s="89"/>
      <c r="G3095" s="89"/>
    </row>
    <row r="3096">
      <c r="A3096" s="93"/>
      <c r="B3096" s="87" t="s">
        <v>779</v>
      </c>
      <c r="C3096" s="88"/>
      <c r="D3096" s="92"/>
      <c r="E3096" s="89"/>
      <c r="F3096" s="89"/>
      <c r="G3096" s="89"/>
    </row>
    <row r="3097">
      <c r="A3097" s="93"/>
      <c r="B3097" s="87" t="s">
        <v>779</v>
      </c>
      <c r="C3097" s="88"/>
      <c r="D3097" s="92"/>
      <c r="E3097" s="89"/>
      <c r="F3097" s="89"/>
      <c r="G3097" s="89"/>
    </row>
    <row r="3098">
      <c r="A3098" s="93"/>
      <c r="B3098" s="87" t="s">
        <v>779</v>
      </c>
      <c r="C3098" s="88"/>
      <c r="D3098" s="92"/>
      <c r="E3098" s="89"/>
      <c r="F3098" s="89"/>
      <c r="G3098" s="89"/>
    </row>
    <row r="3099">
      <c r="A3099" s="93"/>
      <c r="B3099" s="87" t="s">
        <v>779</v>
      </c>
      <c r="C3099" s="88"/>
      <c r="D3099" s="92"/>
      <c r="E3099" s="89"/>
      <c r="F3099" s="89"/>
      <c r="G3099" s="89"/>
    </row>
    <row r="3100">
      <c r="A3100" s="93"/>
      <c r="B3100" s="87" t="s">
        <v>779</v>
      </c>
      <c r="C3100" s="88"/>
      <c r="D3100" s="92"/>
      <c r="E3100" s="89"/>
      <c r="F3100" s="89"/>
      <c r="G3100" s="89"/>
    </row>
    <row r="3101">
      <c r="A3101" s="93"/>
      <c r="B3101" s="87" t="s">
        <v>779</v>
      </c>
      <c r="C3101" s="88"/>
      <c r="D3101" s="92"/>
      <c r="E3101" s="89"/>
      <c r="F3101" s="89"/>
      <c r="G3101" s="89"/>
    </row>
    <row r="3102">
      <c r="A3102" s="93"/>
      <c r="B3102" s="87" t="s">
        <v>779</v>
      </c>
      <c r="C3102" s="88"/>
      <c r="D3102" s="92"/>
      <c r="E3102" s="89"/>
      <c r="F3102" s="89"/>
      <c r="G3102" s="89"/>
    </row>
    <row r="3103">
      <c r="A3103" s="93"/>
      <c r="B3103" s="87" t="s">
        <v>779</v>
      </c>
      <c r="C3103" s="88"/>
      <c r="D3103" s="92"/>
      <c r="E3103" s="89"/>
      <c r="F3103" s="89"/>
      <c r="G3103" s="89"/>
    </row>
    <row r="3104">
      <c r="A3104" s="93"/>
      <c r="B3104" s="87" t="s">
        <v>779</v>
      </c>
      <c r="C3104" s="88"/>
      <c r="D3104" s="92"/>
      <c r="E3104" s="89"/>
      <c r="F3104" s="89"/>
      <c r="G3104" s="89"/>
    </row>
    <row r="3105">
      <c r="A3105" s="93"/>
      <c r="B3105" s="87" t="s">
        <v>779</v>
      </c>
      <c r="C3105" s="88"/>
      <c r="D3105" s="92"/>
      <c r="E3105" s="89"/>
      <c r="F3105" s="89"/>
      <c r="G3105" s="89"/>
    </row>
    <row r="3106">
      <c r="A3106" s="93"/>
      <c r="B3106" s="87" t="s">
        <v>779</v>
      </c>
      <c r="C3106" s="88"/>
      <c r="D3106" s="92"/>
      <c r="E3106" s="89"/>
      <c r="F3106" s="89"/>
      <c r="G3106" s="89"/>
    </row>
    <row r="3107">
      <c r="A3107" s="93"/>
      <c r="B3107" s="87" t="s">
        <v>779</v>
      </c>
      <c r="C3107" s="88"/>
      <c r="D3107" s="92"/>
      <c r="E3107" s="89"/>
      <c r="F3107" s="89"/>
      <c r="G3107" s="89"/>
    </row>
    <row r="3108">
      <c r="A3108" s="93"/>
      <c r="B3108" s="87" t="s">
        <v>779</v>
      </c>
      <c r="C3108" s="88"/>
      <c r="D3108" s="92"/>
      <c r="E3108" s="89"/>
      <c r="F3108" s="89"/>
      <c r="G3108" s="89"/>
    </row>
    <row r="3109">
      <c r="A3109" s="93"/>
      <c r="B3109" s="87" t="s">
        <v>779</v>
      </c>
      <c r="C3109" s="88"/>
      <c r="D3109" s="92"/>
      <c r="E3109" s="89"/>
      <c r="F3109" s="89"/>
      <c r="G3109" s="89"/>
    </row>
    <row r="3110">
      <c r="A3110" s="93"/>
      <c r="B3110" s="87" t="s">
        <v>779</v>
      </c>
      <c r="C3110" s="88"/>
      <c r="D3110" s="92"/>
      <c r="E3110" s="89"/>
      <c r="F3110" s="89"/>
      <c r="G3110" s="89"/>
    </row>
    <row r="3111">
      <c r="A3111" s="93"/>
      <c r="B3111" s="87" t="s">
        <v>779</v>
      </c>
      <c r="C3111" s="88"/>
      <c r="D3111" s="92"/>
      <c r="E3111" s="89"/>
      <c r="F3111" s="89"/>
      <c r="G3111" s="89"/>
    </row>
    <row r="3112">
      <c r="A3112" s="93"/>
      <c r="B3112" s="87" t="s">
        <v>779</v>
      </c>
      <c r="C3112" s="88"/>
      <c r="D3112" s="92"/>
      <c r="E3112" s="89"/>
      <c r="F3112" s="89"/>
      <c r="G3112" s="89"/>
    </row>
    <row r="3113">
      <c r="A3113" s="93"/>
      <c r="B3113" s="87" t="s">
        <v>779</v>
      </c>
      <c r="C3113" s="88"/>
      <c r="D3113" s="92"/>
      <c r="E3113" s="89"/>
      <c r="F3113" s="89"/>
      <c r="G3113" s="89"/>
    </row>
    <row r="3114">
      <c r="A3114" s="93"/>
      <c r="B3114" s="87" t="s">
        <v>779</v>
      </c>
      <c r="C3114" s="88"/>
      <c r="D3114" s="92"/>
      <c r="E3114" s="89"/>
      <c r="F3114" s="89"/>
      <c r="G3114" s="89"/>
    </row>
    <row r="3115">
      <c r="A3115" s="93"/>
      <c r="B3115" s="87" t="s">
        <v>779</v>
      </c>
      <c r="C3115" s="88"/>
      <c r="D3115" s="92"/>
      <c r="E3115" s="89"/>
      <c r="F3115" s="89"/>
      <c r="G3115" s="89"/>
    </row>
    <row r="3116">
      <c r="A3116" s="93"/>
      <c r="B3116" s="87" t="s">
        <v>779</v>
      </c>
      <c r="C3116" s="88"/>
      <c r="D3116" s="92"/>
      <c r="E3116" s="89"/>
      <c r="F3116" s="89"/>
      <c r="G3116" s="89"/>
    </row>
    <row r="3117">
      <c r="A3117" s="93"/>
      <c r="B3117" s="87" t="s">
        <v>779</v>
      </c>
      <c r="C3117" s="88"/>
      <c r="D3117" s="92"/>
      <c r="E3117" s="89"/>
      <c r="F3117" s="89"/>
      <c r="G3117" s="89"/>
    </row>
    <row r="3118">
      <c r="A3118" s="93"/>
      <c r="B3118" s="87" t="s">
        <v>779</v>
      </c>
      <c r="C3118" s="88"/>
      <c r="D3118" s="92"/>
      <c r="E3118" s="89"/>
      <c r="F3118" s="89"/>
      <c r="G3118" s="89"/>
    </row>
    <row r="3119">
      <c r="A3119" s="93"/>
      <c r="B3119" s="87" t="s">
        <v>779</v>
      </c>
      <c r="C3119" s="88"/>
      <c r="D3119" s="92"/>
      <c r="E3119" s="89"/>
      <c r="F3119" s="89"/>
      <c r="G3119" s="89"/>
    </row>
    <row r="3120">
      <c r="A3120" s="93"/>
      <c r="B3120" s="87" t="s">
        <v>779</v>
      </c>
      <c r="C3120" s="88"/>
      <c r="D3120" s="92"/>
      <c r="E3120" s="89"/>
      <c r="F3120" s="89"/>
      <c r="G3120" s="89"/>
    </row>
    <row r="3121">
      <c r="A3121" s="93"/>
      <c r="B3121" s="87" t="s">
        <v>779</v>
      </c>
      <c r="C3121" s="88"/>
      <c r="D3121" s="92"/>
      <c r="E3121" s="89"/>
      <c r="F3121" s="89"/>
      <c r="G3121" s="89"/>
    </row>
    <row r="3122">
      <c r="A3122" s="93"/>
      <c r="B3122" s="87" t="s">
        <v>779</v>
      </c>
      <c r="C3122" s="88"/>
      <c r="D3122" s="92"/>
      <c r="E3122" s="89"/>
      <c r="F3122" s="89"/>
      <c r="G3122" s="89"/>
    </row>
    <row r="3123">
      <c r="A3123" s="93"/>
      <c r="B3123" s="87" t="s">
        <v>779</v>
      </c>
      <c r="C3123" s="88"/>
      <c r="D3123" s="92"/>
      <c r="E3123" s="89"/>
      <c r="F3123" s="89"/>
      <c r="G3123" s="89"/>
    </row>
    <row r="3124">
      <c r="A3124" s="93"/>
      <c r="B3124" s="87" t="s">
        <v>779</v>
      </c>
      <c r="C3124" s="88"/>
      <c r="D3124" s="92"/>
      <c r="E3124" s="89"/>
      <c r="F3124" s="89"/>
      <c r="G3124" s="89"/>
    </row>
    <row r="3125">
      <c r="A3125" s="93"/>
      <c r="B3125" s="87" t="s">
        <v>779</v>
      </c>
      <c r="C3125" s="88"/>
      <c r="D3125" s="92"/>
      <c r="E3125" s="89"/>
      <c r="F3125" s="89"/>
      <c r="G3125" s="89"/>
    </row>
    <row r="3126">
      <c r="A3126" s="93"/>
      <c r="B3126" s="87" t="s">
        <v>779</v>
      </c>
      <c r="C3126" s="88"/>
      <c r="D3126" s="92"/>
      <c r="E3126" s="89"/>
      <c r="F3126" s="89"/>
      <c r="G3126" s="89"/>
    </row>
    <row r="3127">
      <c r="A3127" s="93"/>
      <c r="B3127" s="87" t="s">
        <v>779</v>
      </c>
      <c r="C3127" s="88"/>
      <c r="D3127" s="92"/>
      <c r="E3127" s="89"/>
      <c r="F3127" s="89"/>
      <c r="G3127" s="89"/>
    </row>
    <row r="3128">
      <c r="A3128" s="93"/>
      <c r="B3128" s="87" t="s">
        <v>779</v>
      </c>
      <c r="C3128" s="88"/>
      <c r="D3128" s="92"/>
      <c r="E3128" s="89"/>
      <c r="F3128" s="89"/>
      <c r="G3128" s="89"/>
    </row>
    <row r="3129">
      <c r="A3129" s="93"/>
      <c r="B3129" s="87" t="s">
        <v>779</v>
      </c>
      <c r="C3129" s="88"/>
      <c r="D3129" s="92"/>
      <c r="E3129" s="89"/>
      <c r="F3129" s="89"/>
      <c r="G3129" s="89"/>
    </row>
    <row r="3130">
      <c r="A3130" s="93"/>
      <c r="B3130" s="87" t="s">
        <v>779</v>
      </c>
      <c r="C3130" s="88"/>
      <c r="D3130" s="92"/>
      <c r="E3130" s="89"/>
      <c r="F3130" s="89"/>
      <c r="G3130" s="89"/>
    </row>
    <row r="3131">
      <c r="A3131" s="93"/>
      <c r="B3131" s="87" t="s">
        <v>779</v>
      </c>
      <c r="C3131" s="88"/>
      <c r="D3131" s="92"/>
      <c r="E3131" s="89"/>
      <c r="F3131" s="89"/>
      <c r="G3131" s="89"/>
    </row>
    <row r="3132">
      <c r="A3132" s="93"/>
      <c r="B3132" s="87" t="s">
        <v>779</v>
      </c>
      <c r="C3132" s="88"/>
      <c r="D3132" s="92"/>
      <c r="E3132" s="89"/>
      <c r="F3132" s="89"/>
      <c r="G3132" s="89"/>
    </row>
    <row r="3133">
      <c r="A3133" s="93"/>
      <c r="B3133" s="87" t="s">
        <v>779</v>
      </c>
      <c r="C3133" s="88"/>
      <c r="D3133" s="92"/>
      <c r="E3133" s="89"/>
      <c r="F3133" s="89"/>
      <c r="G3133" s="89"/>
    </row>
    <row r="3134">
      <c r="A3134" s="93"/>
      <c r="B3134" s="87" t="s">
        <v>779</v>
      </c>
      <c r="C3134" s="88"/>
      <c r="D3134" s="92"/>
      <c r="E3134" s="89"/>
      <c r="F3134" s="89"/>
      <c r="G3134" s="89"/>
    </row>
    <row r="3135">
      <c r="A3135" s="93"/>
      <c r="B3135" s="87" t="s">
        <v>779</v>
      </c>
      <c r="C3135" s="88"/>
      <c r="D3135" s="92"/>
      <c r="E3135" s="89"/>
      <c r="F3135" s="89"/>
      <c r="G3135" s="89"/>
    </row>
    <row r="3136">
      <c r="A3136" s="93"/>
      <c r="B3136" s="87" t="s">
        <v>779</v>
      </c>
      <c r="C3136" s="88"/>
      <c r="D3136" s="92"/>
      <c r="E3136" s="89"/>
      <c r="F3136" s="89"/>
      <c r="G3136" s="89"/>
    </row>
    <row r="3137">
      <c r="A3137" s="93"/>
      <c r="B3137" s="87" t="s">
        <v>779</v>
      </c>
      <c r="C3137" s="88"/>
      <c r="D3137" s="92"/>
      <c r="E3137" s="89"/>
      <c r="F3137" s="89"/>
      <c r="G3137" s="89"/>
    </row>
    <row r="3138">
      <c r="A3138" s="93"/>
      <c r="B3138" s="87" t="s">
        <v>779</v>
      </c>
      <c r="C3138" s="88"/>
      <c r="D3138" s="92"/>
      <c r="E3138" s="89"/>
      <c r="F3138" s="89"/>
      <c r="G3138" s="89"/>
    </row>
    <row r="3139">
      <c r="A3139" s="93"/>
      <c r="B3139" s="87" t="s">
        <v>779</v>
      </c>
      <c r="C3139" s="88"/>
      <c r="D3139" s="92"/>
      <c r="E3139" s="89"/>
      <c r="F3139" s="89"/>
      <c r="G3139" s="89"/>
    </row>
    <row r="3140">
      <c r="A3140" s="93"/>
      <c r="B3140" s="87" t="s">
        <v>779</v>
      </c>
      <c r="C3140" s="88"/>
      <c r="D3140" s="92"/>
      <c r="E3140" s="89"/>
      <c r="F3140" s="89"/>
      <c r="G3140" s="89"/>
    </row>
    <row r="3141">
      <c r="A3141" s="93"/>
      <c r="B3141" s="87" t="s">
        <v>779</v>
      </c>
      <c r="C3141" s="88"/>
      <c r="D3141" s="92"/>
      <c r="E3141" s="89"/>
      <c r="F3141" s="89"/>
      <c r="G3141" s="89"/>
    </row>
    <row r="3142">
      <c r="A3142" s="93"/>
      <c r="B3142" s="87" t="s">
        <v>779</v>
      </c>
      <c r="C3142" s="88"/>
      <c r="D3142" s="92"/>
      <c r="E3142" s="89"/>
      <c r="F3142" s="89"/>
      <c r="G3142" s="89"/>
    </row>
    <row r="3143">
      <c r="A3143" s="93"/>
      <c r="B3143" s="87" t="s">
        <v>779</v>
      </c>
      <c r="C3143" s="88"/>
      <c r="D3143" s="92"/>
      <c r="E3143" s="89"/>
      <c r="F3143" s="89"/>
      <c r="G3143" s="89"/>
    </row>
    <row r="3144">
      <c r="A3144" s="93"/>
      <c r="B3144" s="87" t="s">
        <v>779</v>
      </c>
      <c r="C3144" s="88"/>
      <c r="D3144" s="92"/>
      <c r="E3144" s="89"/>
      <c r="F3144" s="89"/>
      <c r="G3144" s="89"/>
    </row>
    <row r="3145">
      <c r="A3145" s="93"/>
      <c r="B3145" s="87" t="s">
        <v>779</v>
      </c>
      <c r="C3145" s="88"/>
      <c r="D3145" s="92"/>
      <c r="E3145" s="89"/>
      <c r="F3145" s="89"/>
      <c r="G3145" s="89"/>
    </row>
    <row r="3146">
      <c r="A3146" s="93"/>
      <c r="B3146" s="87" t="s">
        <v>779</v>
      </c>
      <c r="C3146" s="88"/>
      <c r="D3146" s="92"/>
      <c r="E3146" s="89"/>
      <c r="F3146" s="89"/>
      <c r="G3146" s="89"/>
    </row>
    <row r="3147">
      <c r="A3147" s="93"/>
      <c r="B3147" s="87" t="s">
        <v>779</v>
      </c>
      <c r="C3147" s="88"/>
      <c r="D3147" s="92"/>
      <c r="E3147" s="89"/>
      <c r="F3147" s="89"/>
      <c r="G3147" s="89"/>
    </row>
    <row r="3148">
      <c r="A3148" s="93"/>
      <c r="B3148" s="87" t="s">
        <v>779</v>
      </c>
      <c r="C3148" s="88"/>
      <c r="D3148" s="92"/>
      <c r="E3148" s="89"/>
      <c r="F3148" s="89"/>
      <c r="G3148" s="89"/>
    </row>
    <row r="3149">
      <c r="A3149" s="93"/>
      <c r="B3149" s="87" t="s">
        <v>779</v>
      </c>
      <c r="C3149" s="88"/>
      <c r="D3149" s="92"/>
      <c r="E3149" s="89"/>
      <c r="F3149" s="89"/>
      <c r="G3149" s="89"/>
    </row>
    <row r="3150">
      <c r="A3150" s="93"/>
      <c r="B3150" s="87" t="s">
        <v>779</v>
      </c>
      <c r="C3150" s="88"/>
      <c r="D3150" s="92"/>
      <c r="E3150" s="89"/>
      <c r="F3150" s="89"/>
      <c r="G3150" s="89"/>
    </row>
    <row r="3151">
      <c r="A3151" s="93"/>
      <c r="B3151" s="87" t="s">
        <v>779</v>
      </c>
      <c r="C3151" s="88"/>
      <c r="D3151" s="92"/>
      <c r="E3151" s="89"/>
      <c r="F3151" s="89"/>
      <c r="G3151" s="89"/>
    </row>
    <row r="3152">
      <c r="A3152" s="93"/>
      <c r="B3152" s="87" t="s">
        <v>779</v>
      </c>
      <c r="C3152" s="88"/>
      <c r="D3152" s="92"/>
      <c r="E3152" s="89"/>
      <c r="F3152" s="89"/>
      <c r="G3152" s="89"/>
    </row>
    <row r="3153">
      <c r="A3153" s="93"/>
      <c r="B3153" s="87" t="s">
        <v>779</v>
      </c>
      <c r="C3153" s="88"/>
      <c r="D3153" s="92"/>
      <c r="E3153" s="89"/>
      <c r="F3153" s="89"/>
      <c r="G3153" s="89"/>
    </row>
    <row r="3154">
      <c r="A3154" s="93"/>
      <c r="B3154" s="87" t="s">
        <v>779</v>
      </c>
      <c r="C3154" s="88"/>
      <c r="D3154" s="92"/>
      <c r="E3154" s="89"/>
      <c r="F3154" s="89"/>
      <c r="G3154" s="89"/>
    </row>
    <row r="3155">
      <c r="A3155" s="93"/>
      <c r="B3155" s="87" t="s">
        <v>779</v>
      </c>
      <c r="C3155" s="88"/>
      <c r="D3155" s="92"/>
      <c r="E3155" s="89"/>
      <c r="F3155" s="89"/>
      <c r="G3155" s="89"/>
    </row>
    <row r="3156">
      <c r="A3156" s="93"/>
      <c r="B3156" s="87" t="s">
        <v>779</v>
      </c>
      <c r="C3156" s="88"/>
      <c r="D3156" s="92"/>
      <c r="E3156" s="89"/>
      <c r="F3156" s="89"/>
      <c r="G3156" s="89"/>
    </row>
    <row r="3157">
      <c r="A3157" s="93"/>
      <c r="B3157" s="87" t="s">
        <v>779</v>
      </c>
      <c r="C3157" s="88"/>
      <c r="D3157" s="92"/>
      <c r="E3157" s="89"/>
      <c r="F3157" s="89"/>
      <c r="G3157" s="89"/>
    </row>
    <row r="3158">
      <c r="A3158" s="93"/>
      <c r="B3158" s="87" t="s">
        <v>779</v>
      </c>
      <c r="C3158" s="88"/>
      <c r="D3158" s="92"/>
      <c r="E3158" s="89"/>
      <c r="F3158" s="89"/>
      <c r="G3158" s="89"/>
    </row>
    <row r="3159">
      <c r="A3159" s="93"/>
      <c r="B3159" s="87" t="s">
        <v>779</v>
      </c>
      <c r="C3159" s="88"/>
      <c r="D3159" s="92"/>
      <c r="E3159" s="89"/>
      <c r="F3159" s="89"/>
      <c r="G3159" s="89"/>
    </row>
    <row r="3160">
      <c r="A3160" s="93"/>
      <c r="B3160" s="87" t="s">
        <v>779</v>
      </c>
      <c r="C3160" s="88"/>
      <c r="D3160" s="92"/>
      <c r="E3160" s="89"/>
      <c r="F3160" s="89"/>
      <c r="G3160" s="89"/>
    </row>
    <row r="3161">
      <c r="A3161" s="93"/>
      <c r="B3161" s="87" t="s">
        <v>779</v>
      </c>
      <c r="C3161" s="88"/>
      <c r="D3161" s="92"/>
      <c r="E3161" s="89"/>
      <c r="F3161" s="89"/>
      <c r="G3161" s="89"/>
    </row>
    <row r="3162">
      <c r="A3162" s="93"/>
      <c r="B3162" s="87" t="s">
        <v>779</v>
      </c>
      <c r="C3162" s="88"/>
      <c r="D3162" s="92"/>
      <c r="E3162" s="89"/>
      <c r="F3162" s="89"/>
      <c r="G3162" s="89"/>
    </row>
    <row r="3163">
      <c r="A3163" s="93"/>
      <c r="B3163" s="87" t="s">
        <v>779</v>
      </c>
      <c r="C3163" s="88"/>
      <c r="D3163" s="92"/>
      <c r="E3163" s="89"/>
      <c r="F3163" s="89"/>
      <c r="G3163" s="89"/>
    </row>
    <row r="3164">
      <c r="A3164" s="93"/>
      <c r="B3164" s="87" t="s">
        <v>779</v>
      </c>
      <c r="C3164" s="88"/>
      <c r="D3164" s="92"/>
      <c r="E3164" s="89"/>
      <c r="F3164" s="89"/>
      <c r="G3164" s="89"/>
    </row>
    <row r="3165">
      <c r="A3165" s="93"/>
      <c r="B3165" s="87" t="s">
        <v>779</v>
      </c>
      <c r="C3165" s="88"/>
      <c r="D3165" s="92"/>
      <c r="E3165" s="89"/>
      <c r="F3165" s="89"/>
      <c r="G3165" s="89"/>
    </row>
    <row r="3166">
      <c r="A3166" s="93"/>
      <c r="B3166" s="87" t="s">
        <v>779</v>
      </c>
      <c r="C3166" s="88"/>
      <c r="D3166" s="92"/>
      <c r="E3166" s="89"/>
      <c r="F3166" s="89"/>
      <c r="G3166" s="89"/>
    </row>
    <row r="3167">
      <c r="A3167" s="93"/>
      <c r="B3167" s="87" t="s">
        <v>779</v>
      </c>
      <c r="C3167" s="88"/>
      <c r="D3167" s="92"/>
      <c r="E3167" s="89"/>
      <c r="F3167" s="89"/>
      <c r="G3167" s="89"/>
    </row>
    <row r="3168">
      <c r="A3168" s="93"/>
      <c r="B3168" s="87" t="s">
        <v>779</v>
      </c>
      <c r="C3168" s="88"/>
      <c r="D3168" s="92"/>
      <c r="E3168" s="89"/>
      <c r="F3168" s="89"/>
      <c r="G3168" s="89"/>
    </row>
    <row r="3169">
      <c r="A3169" s="93"/>
      <c r="B3169" s="87" t="s">
        <v>779</v>
      </c>
      <c r="C3169" s="88"/>
      <c r="D3169" s="92"/>
      <c r="E3169" s="89"/>
      <c r="F3169" s="89"/>
      <c r="G3169" s="89"/>
    </row>
    <row r="3170">
      <c r="A3170" s="93"/>
      <c r="B3170" s="87" t="s">
        <v>779</v>
      </c>
      <c r="C3170" s="88"/>
      <c r="D3170" s="92"/>
      <c r="E3170" s="89"/>
      <c r="F3170" s="89"/>
      <c r="G3170" s="89"/>
    </row>
    <row r="3171">
      <c r="A3171" s="93"/>
      <c r="B3171" s="87" t="s">
        <v>779</v>
      </c>
      <c r="C3171" s="88"/>
      <c r="D3171" s="92"/>
      <c r="E3171" s="89"/>
      <c r="F3171" s="89"/>
      <c r="G3171" s="89"/>
    </row>
    <row r="3172">
      <c r="A3172" s="93"/>
      <c r="B3172" s="87" t="s">
        <v>779</v>
      </c>
      <c r="C3172" s="88"/>
      <c r="D3172" s="92"/>
      <c r="E3172" s="89"/>
      <c r="F3172" s="89"/>
      <c r="G3172" s="89"/>
    </row>
    <row r="3173">
      <c r="A3173" s="93"/>
      <c r="B3173" s="87" t="s">
        <v>779</v>
      </c>
      <c r="C3173" s="88"/>
      <c r="D3173" s="92"/>
      <c r="E3173" s="89"/>
      <c r="F3173" s="89"/>
      <c r="G3173" s="89"/>
    </row>
    <row r="3174">
      <c r="A3174" s="93"/>
      <c r="B3174" s="87" t="s">
        <v>779</v>
      </c>
      <c r="C3174" s="88"/>
      <c r="D3174" s="92"/>
      <c r="E3174" s="89"/>
      <c r="F3174" s="89"/>
      <c r="G3174" s="89"/>
    </row>
    <row r="3175">
      <c r="A3175" s="93"/>
      <c r="B3175" s="87" t="s">
        <v>779</v>
      </c>
      <c r="C3175" s="88"/>
      <c r="D3175" s="92"/>
      <c r="E3175" s="89"/>
      <c r="F3175" s="89"/>
      <c r="G3175" s="89"/>
    </row>
    <row r="3176">
      <c r="A3176" s="93"/>
      <c r="B3176" s="87" t="s">
        <v>779</v>
      </c>
      <c r="C3176" s="88"/>
      <c r="D3176" s="92"/>
      <c r="E3176" s="89"/>
      <c r="F3176" s="89"/>
      <c r="G3176" s="89"/>
    </row>
    <row r="3177">
      <c r="A3177" s="93"/>
      <c r="B3177" s="87" t="s">
        <v>779</v>
      </c>
      <c r="C3177" s="88"/>
      <c r="D3177" s="92"/>
      <c r="E3177" s="89"/>
      <c r="F3177" s="89"/>
      <c r="G3177" s="89"/>
    </row>
    <row r="3178">
      <c r="A3178" s="93"/>
      <c r="B3178" s="87" t="s">
        <v>779</v>
      </c>
      <c r="C3178" s="88"/>
      <c r="D3178" s="92"/>
      <c r="E3178" s="89"/>
      <c r="F3178" s="89"/>
      <c r="G3178" s="89"/>
    </row>
    <row r="3179">
      <c r="A3179" s="93"/>
      <c r="B3179" s="87" t="s">
        <v>779</v>
      </c>
      <c r="C3179" s="88"/>
      <c r="D3179" s="92"/>
      <c r="E3179" s="89"/>
      <c r="F3179" s="89"/>
      <c r="G3179" s="89"/>
    </row>
    <row r="3180">
      <c r="A3180" s="93"/>
      <c r="B3180" s="87" t="s">
        <v>779</v>
      </c>
      <c r="C3180" s="88"/>
      <c r="D3180" s="92"/>
      <c r="E3180" s="89"/>
      <c r="F3180" s="89"/>
      <c r="G3180" s="89"/>
    </row>
    <row r="3181">
      <c r="A3181" s="93"/>
      <c r="B3181" s="87" t="s">
        <v>779</v>
      </c>
      <c r="C3181" s="88"/>
      <c r="D3181" s="92"/>
      <c r="E3181" s="89"/>
      <c r="F3181" s="89"/>
      <c r="G3181" s="89"/>
    </row>
    <row r="3182">
      <c r="A3182" s="93"/>
      <c r="B3182" s="87" t="s">
        <v>779</v>
      </c>
      <c r="C3182" s="88"/>
      <c r="D3182" s="92"/>
      <c r="E3182" s="89"/>
      <c r="F3182" s="89"/>
      <c r="G3182" s="89"/>
    </row>
    <row r="3183">
      <c r="A3183" s="93"/>
      <c r="B3183" s="87" t="s">
        <v>779</v>
      </c>
      <c r="C3183" s="88"/>
      <c r="D3183" s="92"/>
      <c r="E3183" s="89"/>
      <c r="F3183" s="89"/>
      <c r="G3183" s="89"/>
    </row>
    <row r="3184">
      <c r="A3184" s="93"/>
      <c r="B3184" s="87" t="s">
        <v>779</v>
      </c>
      <c r="C3184" s="88"/>
      <c r="D3184" s="92"/>
      <c r="E3184" s="89"/>
      <c r="F3184" s="89"/>
      <c r="G3184" s="89"/>
    </row>
    <row r="3185">
      <c r="A3185" s="93"/>
      <c r="B3185" s="87" t="s">
        <v>779</v>
      </c>
      <c r="C3185" s="88"/>
      <c r="D3185" s="92"/>
      <c r="E3185" s="89"/>
      <c r="F3185" s="89"/>
      <c r="G3185" s="89"/>
    </row>
    <row r="3186">
      <c r="A3186" s="93"/>
      <c r="B3186" s="87" t="s">
        <v>779</v>
      </c>
      <c r="C3186" s="88"/>
      <c r="D3186" s="92"/>
      <c r="E3186" s="89"/>
      <c r="F3186" s="89"/>
      <c r="G3186" s="89"/>
    </row>
    <row r="3187">
      <c r="A3187" s="93"/>
      <c r="B3187" s="87" t="s">
        <v>779</v>
      </c>
      <c r="C3187" s="88"/>
      <c r="D3187" s="92"/>
      <c r="E3187" s="89"/>
      <c r="F3187" s="89"/>
      <c r="G3187" s="89"/>
    </row>
    <row r="3188">
      <c r="A3188" s="93"/>
      <c r="B3188" s="87" t="s">
        <v>779</v>
      </c>
      <c r="C3188" s="88"/>
      <c r="D3188" s="92"/>
      <c r="E3188" s="89"/>
      <c r="F3188" s="89"/>
      <c r="G3188" s="89"/>
    </row>
    <row r="3189">
      <c r="A3189" s="93"/>
      <c r="B3189" s="87" t="s">
        <v>779</v>
      </c>
      <c r="C3189" s="88"/>
      <c r="D3189" s="92"/>
      <c r="E3189" s="89"/>
      <c r="F3189" s="89"/>
      <c r="G3189" s="89"/>
    </row>
    <row r="3190">
      <c r="A3190" s="93"/>
      <c r="B3190" s="87" t="s">
        <v>779</v>
      </c>
      <c r="C3190" s="88"/>
      <c r="D3190" s="92"/>
      <c r="E3190" s="89"/>
      <c r="F3190" s="89"/>
      <c r="G3190" s="89"/>
    </row>
    <row r="3191">
      <c r="A3191" s="93"/>
      <c r="B3191" s="87" t="s">
        <v>779</v>
      </c>
      <c r="C3191" s="88"/>
      <c r="D3191" s="92"/>
      <c r="E3191" s="89"/>
      <c r="F3191" s="89"/>
      <c r="G3191" s="89"/>
    </row>
    <row r="3192">
      <c r="A3192" s="93"/>
      <c r="B3192" s="87" t="s">
        <v>779</v>
      </c>
      <c r="C3192" s="88"/>
      <c r="D3192" s="92"/>
      <c r="E3192" s="89"/>
      <c r="F3192" s="89"/>
      <c r="G3192" s="89"/>
    </row>
    <row r="3193">
      <c r="A3193" s="93"/>
      <c r="B3193" s="87" t="s">
        <v>779</v>
      </c>
      <c r="C3193" s="88"/>
      <c r="D3193" s="92"/>
      <c r="E3193" s="89"/>
      <c r="F3193" s="89"/>
      <c r="G3193" s="89"/>
    </row>
    <row r="3194">
      <c r="A3194" s="93"/>
      <c r="B3194" s="87" t="s">
        <v>779</v>
      </c>
      <c r="C3194" s="88"/>
      <c r="D3194" s="92"/>
      <c r="E3194" s="89"/>
      <c r="F3194" s="89"/>
      <c r="G3194" s="89"/>
    </row>
    <row r="3195">
      <c r="A3195" s="93"/>
      <c r="B3195" s="87" t="s">
        <v>779</v>
      </c>
      <c r="C3195" s="88"/>
      <c r="D3195" s="92"/>
      <c r="E3195" s="89"/>
      <c r="F3195" s="89"/>
      <c r="G3195" s="89"/>
    </row>
    <row r="3196">
      <c r="A3196" s="93"/>
      <c r="B3196" s="87" t="s">
        <v>779</v>
      </c>
      <c r="C3196" s="88"/>
      <c r="D3196" s="92"/>
      <c r="E3196" s="89"/>
      <c r="F3196" s="89"/>
      <c r="G3196" s="89"/>
    </row>
    <row r="3197">
      <c r="A3197" s="93"/>
      <c r="B3197" s="87" t="s">
        <v>779</v>
      </c>
      <c r="C3197" s="88"/>
      <c r="D3197" s="92"/>
      <c r="E3197" s="89"/>
      <c r="F3197" s="89"/>
      <c r="G3197" s="89"/>
    </row>
    <row r="3198">
      <c r="A3198" s="93"/>
      <c r="B3198" s="87" t="s">
        <v>779</v>
      </c>
      <c r="C3198" s="88"/>
      <c r="D3198" s="92"/>
      <c r="E3198" s="89"/>
      <c r="F3198" s="89"/>
      <c r="G3198" s="89"/>
    </row>
    <row r="3199">
      <c r="A3199" s="93"/>
      <c r="B3199" s="87" t="s">
        <v>779</v>
      </c>
      <c r="C3199" s="88"/>
      <c r="D3199" s="92"/>
      <c r="E3199" s="89"/>
      <c r="F3199" s="89"/>
      <c r="G3199" s="89"/>
    </row>
    <row r="3200">
      <c r="A3200" s="93"/>
      <c r="B3200" s="87" t="s">
        <v>779</v>
      </c>
      <c r="C3200" s="88"/>
      <c r="D3200" s="92"/>
      <c r="E3200" s="89"/>
      <c r="F3200" s="89"/>
      <c r="G3200" s="89"/>
    </row>
    <row r="3201">
      <c r="A3201" s="93"/>
      <c r="B3201" s="87" t="s">
        <v>779</v>
      </c>
      <c r="C3201" s="88"/>
      <c r="D3201" s="92"/>
      <c r="E3201" s="89"/>
      <c r="F3201" s="89"/>
      <c r="G3201" s="89"/>
    </row>
    <row r="3202">
      <c r="A3202" s="93"/>
      <c r="B3202" s="87" t="s">
        <v>779</v>
      </c>
      <c r="C3202" s="88"/>
      <c r="D3202" s="92"/>
      <c r="E3202" s="89"/>
      <c r="F3202" s="89"/>
      <c r="G3202" s="89"/>
    </row>
    <row r="3203">
      <c r="A3203" s="93"/>
      <c r="B3203" s="87" t="s">
        <v>779</v>
      </c>
      <c r="C3203" s="88"/>
      <c r="D3203" s="92"/>
      <c r="E3203" s="89"/>
      <c r="F3203" s="89"/>
      <c r="G3203" s="89"/>
    </row>
    <row r="3204">
      <c r="A3204" s="93"/>
      <c r="B3204" s="87" t="s">
        <v>779</v>
      </c>
      <c r="C3204" s="88"/>
      <c r="D3204" s="92"/>
      <c r="E3204" s="89"/>
      <c r="F3204" s="89"/>
      <c r="G3204" s="89"/>
    </row>
    <row r="3205">
      <c r="A3205" s="93"/>
      <c r="B3205" s="87" t="s">
        <v>779</v>
      </c>
      <c r="C3205" s="88"/>
      <c r="D3205" s="92"/>
      <c r="E3205" s="89"/>
      <c r="F3205" s="89"/>
      <c r="G3205" s="89"/>
    </row>
    <row r="3206">
      <c r="A3206" s="93"/>
      <c r="B3206" s="87" t="s">
        <v>779</v>
      </c>
      <c r="C3206" s="88"/>
      <c r="D3206" s="92"/>
      <c r="E3206" s="89"/>
      <c r="F3206" s="89"/>
      <c r="G3206" s="89"/>
    </row>
    <row r="3207">
      <c r="A3207" s="93"/>
      <c r="B3207" s="87" t="s">
        <v>779</v>
      </c>
      <c r="C3207" s="88"/>
      <c r="D3207" s="92"/>
      <c r="E3207" s="89"/>
      <c r="F3207" s="89"/>
      <c r="G3207" s="89"/>
    </row>
    <row r="3208">
      <c r="A3208" s="93"/>
      <c r="B3208" s="87" t="s">
        <v>779</v>
      </c>
      <c r="C3208" s="88"/>
      <c r="D3208" s="92"/>
      <c r="E3208" s="89"/>
      <c r="F3208" s="89"/>
      <c r="G3208" s="89"/>
    </row>
    <row r="3209">
      <c r="A3209" s="93"/>
      <c r="B3209" s="87" t="s">
        <v>779</v>
      </c>
      <c r="C3209" s="88"/>
      <c r="D3209" s="92"/>
      <c r="E3209" s="89"/>
      <c r="F3209" s="89"/>
      <c r="G3209" s="89"/>
    </row>
    <row r="3210">
      <c r="A3210" s="93"/>
      <c r="B3210" s="87" t="s">
        <v>779</v>
      </c>
      <c r="C3210" s="88"/>
      <c r="D3210" s="92"/>
      <c r="E3210" s="89"/>
      <c r="F3210" s="89"/>
      <c r="G3210" s="89"/>
    </row>
    <row r="3211">
      <c r="A3211" s="93"/>
      <c r="B3211" s="87" t="s">
        <v>779</v>
      </c>
      <c r="C3211" s="88"/>
      <c r="D3211" s="92"/>
      <c r="E3211" s="89"/>
      <c r="F3211" s="89"/>
      <c r="G3211" s="89"/>
    </row>
    <row r="3212">
      <c r="A3212" s="93"/>
      <c r="B3212" s="87" t="s">
        <v>779</v>
      </c>
      <c r="C3212" s="88"/>
      <c r="D3212" s="92"/>
      <c r="E3212" s="89"/>
      <c r="F3212" s="89"/>
      <c r="G3212" s="89"/>
    </row>
    <row r="3213">
      <c r="A3213" s="93"/>
      <c r="B3213" s="87" t="s">
        <v>779</v>
      </c>
      <c r="C3213" s="88"/>
      <c r="D3213" s="92"/>
      <c r="E3213" s="89"/>
      <c r="F3213" s="89"/>
      <c r="G3213" s="89"/>
    </row>
    <row r="3214">
      <c r="A3214" s="93"/>
      <c r="B3214" s="87" t="s">
        <v>779</v>
      </c>
      <c r="C3214" s="88"/>
      <c r="D3214" s="92"/>
      <c r="E3214" s="89"/>
      <c r="F3214" s="89"/>
      <c r="G3214" s="89"/>
    </row>
    <row r="3215">
      <c r="A3215" s="93"/>
      <c r="B3215" s="87" t="s">
        <v>779</v>
      </c>
      <c r="C3215" s="88"/>
      <c r="D3215" s="92"/>
      <c r="E3215" s="89"/>
      <c r="F3215" s="89"/>
      <c r="G3215" s="89"/>
    </row>
    <row r="3216">
      <c r="A3216" s="93"/>
      <c r="B3216" s="87" t="s">
        <v>779</v>
      </c>
      <c r="C3216" s="88"/>
      <c r="D3216" s="92"/>
      <c r="E3216" s="89"/>
      <c r="F3216" s="89"/>
      <c r="G3216" s="89"/>
    </row>
    <row r="3217">
      <c r="A3217" s="93"/>
      <c r="B3217" s="87" t="s">
        <v>779</v>
      </c>
      <c r="C3217" s="88"/>
      <c r="D3217" s="92"/>
      <c r="E3217" s="89"/>
      <c r="F3217" s="89"/>
      <c r="G3217" s="89"/>
    </row>
    <row r="3218">
      <c r="A3218" s="93"/>
      <c r="B3218" s="87" t="s">
        <v>779</v>
      </c>
      <c r="C3218" s="88"/>
      <c r="D3218" s="92"/>
      <c r="E3218" s="89"/>
      <c r="F3218" s="89"/>
      <c r="G3218" s="89"/>
    </row>
    <row r="3219">
      <c r="A3219" s="93"/>
      <c r="B3219" s="87" t="s">
        <v>779</v>
      </c>
      <c r="C3219" s="88"/>
      <c r="D3219" s="92"/>
      <c r="E3219" s="89"/>
      <c r="F3219" s="89"/>
      <c r="G3219" s="89"/>
    </row>
    <row r="3220">
      <c r="A3220" s="93"/>
      <c r="B3220" s="87" t="s">
        <v>779</v>
      </c>
      <c r="C3220" s="88"/>
      <c r="D3220" s="92"/>
      <c r="E3220" s="89"/>
      <c r="F3220" s="89"/>
      <c r="G3220" s="89"/>
    </row>
    <row r="3221">
      <c r="A3221" s="93"/>
      <c r="B3221" s="87" t="s">
        <v>779</v>
      </c>
      <c r="C3221" s="88"/>
      <c r="D3221" s="92"/>
      <c r="E3221" s="89"/>
      <c r="F3221" s="89"/>
      <c r="G3221" s="89"/>
    </row>
    <row r="3222">
      <c r="A3222" s="93"/>
      <c r="B3222" s="87" t="s">
        <v>779</v>
      </c>
      <c r="C3222" s="88"/>
      <c r="D3222" s="92"/>
      <c r="E3222" s="89"/>
      <c r="F3222" s="89"/>
      <c r="G3222" s="89"/>
    </row>
    <row r="3223">
      <c r="A3223" s="93"/>
      <c r="B3223" s="87" t="s">
        <v>779</v>
      </c>
      <c r="C3223" s="88"/>
      <c r="D3223" s="92"/>
      <c r="E3223" s="89"/>
      <c r="F3223" s="89"/>
      <c r="G3223" s="89"/>
    </row>
    <row r="3224">
      <c r="A3224" s="93"/>
      <c r="B3224" s="87" t="s">
        <v>779</v>
      </c>
      <c r="C3224" s="88"/>
      <c r="D3224" s="92"/>
      <c r="E3224" s="89"/>
      <c r="F3224" s="89"/>
      <c r="G3224" s="89"/>
    </row>
    <row r="3225">
      <c r="A3225" s="93"/>
      <c r="B3225" s="87" t="s">
        <v>779</v>
      </c>
      <c r="C3225" s="88"/>
      <c r="D3225" s="92"/>
      <c r="E3225" s="89"/>
      <c r="F3225" s="89"/>
      <c r="G3225" s="89"/>
    </row>
    <row r="3226">
      <c r="A3226" s="93"/>
      <c r="B3226" s="87" t="s">
        <v>779</v>
      </c>
      <c r="C3226" s="88"/>
      <c r="D3226" s="92"/>
      <c r="E3226" s="89"/>
      <c r="F3226" s="89"/>
      <c r="G3226" s="89"/>
    </row>
    <row r="3227">
      <c r="A3227" s="93"/>
      <c r="B3227" s="87" t="s">
        <v>779</v>
      </c>
      <c r="C3227" s="88"/>
      <c r="D3227" s="92"/>
      <c r="E3227" s="89"/>
      <c r="F3227" s="89"/>
      <c r="G3227" s="89"/>
    </row>
    <row r="3228">
      <c r="A3228" s="93"/>
      <c r="B3228" s="87" t="s">
        <v>779</v>
      </c>
      <c r="C3228" s="88"/>
      <c r="D3228" s="92"/>
      <c r="E3228" s="89"/>
      <c r="F3228" s="89"/>
      <c r="G3228" s="89"/>
    </row>
    <row r="3229">
      <c r="A3229" s="93"/>
      <c r="B3229" s="87" t="s">
        <v>779</v>
      </c>
      <c r="C3229" s="88"/>
      <c r="D3229" s="92"/>
      <c r="E3229" s="89"/>
      <c r="F3229" s="89"/>
      <c r="G3229" s="89"/>
    </row>
    <row r="3230">
      <c r="A3230" s="93"/>
      <c r="B3230" s="87" t="s">
        <v>779</v>
      </c>
      <c r="C3230" s="88"/>
      <c r="D3230" s="92"/>
      <c r="E3230" s="89"/>
      <c r="F3230" s="89"/>
      <c r="G3230" s="89"/>
    </row>
    <row r="3231">
      <c r="A3231" s="93"/>
      <c r="B3231" s="87" t="s">
        <v>779</v>
      </c>
      <c r="C3231" s="88"/>
      <c r="D3231" s="92"/>
      <c r="E3231" s="89"/>
      <c r="F3231" s="89"/>
      <c r="G3231" s="89"/>
    </row>
    <row r="3232">
      <c r="A3232" s="93"/>
      <c r="B3232" s="87" t="s">
        <v>779</v>
      </c>
      <c r="C3232" s="88"/>
      <c r="D3232" s="92"/>
      <c r="E3232" s="89"/>
      <c r="F3232" s="89"/>
      <c r="G3232" s="89"/>
    </row>
    <row r="3233">
      <c r="A3233" s="93"/>
      <c r="B3233" s="87" t="s">
        <v>779</v>
      </c>
      <c r="C3233" s="88"/>
      <c r="D3233" s="92"/>
      <c r="E3233" s="89"/>
      <c r="F3233" s="89"/>
      <c r="G3233" s="89"/>
    </row>
    <row r="3234">
      <c r="A3234" s="93"/>
      <c r="B3234" s="87" t="s">
        <v>779</v>
      </c>
      <c r="C3234" s="88"/>
      <c r="D3234" s="92"/>
      <c r="E3234" s="89"/>
      <c r="F3234" s="89"/>
      <c r="G3234" s="89"/>
    </row>
    <row r="3235">
      <c r="A3235" s="93"/>
      <c r="B3235" s="87" t="s">
        <v>779</v>
      </c>
      <c r="C3235" s="88"/>
      <c r="D3235" s="92"/>
      <c r="E3235" s="89"/>
      <c r="F3235" s="89"/>
      <c r="G3235" s="89"/>
    </row>
    <row r="3236">
      <c r="A3236" s="93"/>
      <c r="B3236" s="87" t="s">
        <v>779</v>
      </c>
      <c r="C3236" s="88"/>
      <c r="D3236" s="92"/>
      <c r="E3236" s="89"/>
      <c r="F3236" s="89"/>
      <c r="G3236" s="89"/>
    </row>
    <row r="3237">
      <c r="A3237" s="93"/>
      <c r="B3237" s="87" t="s">
        <v>779</v>
      </c>
      <c r="C3237" s="88"/>
      <c r="D3237" s="92"/>
      <c r="E3237" s="89"/>
      <c r="F3237" s="89"/>
      <c r="G3237" s="89"/>
    </row>
    <row r="3238">
      <c r="A3238" s="93"/>
      <c r="B3238" s="87" t="s">
        <v>779</v>
      </c>
      <c r="C3238" s="88"/>
      <c r="D3238" s="92"/>
      <c r="E3238" s="89"/>
      <c r="F3238" s="89"/>
      <c r="G3238" s="89"/>
    </row>
    <row r="3239">
      <c r="A3239" s="93"/>
      <c r="B3239" s="87" t="s">
        <v>779</v>
      </c>
      <c r="C3239" s="88"/>
      <c r="D3239" s="92"/>
      <c r="E3239" s="89"/>
      <c r="F3239" s="89"/>
      <c r="G3239" s="89"/>
    </row>
    <row r="3240">
      <c r="A3240" s="93"/>
      <c r="B3240" s="87" t="s">
        <v>779</v>
      </c>
      <c r="C3240" s="88"/>
      <c r="D3240" s="92"/>
      <c r="E3240" s="89"/>
      <c r="F3240" s="89"/>
      <c r="G3240" s="89"/>
    </row>
    <row r="3241">
      <c r="A3241" s="93"/>
      <c r="B3241" s="87" t="s">
        <v>779</v>
      </c>
      <c r="C3241" s="88"/>
      <c r="D3241" s="92"/>
      <c r="E3241" s="89"/>
      <c r="F3241" s="89"/>
      <c r="G3241" s="89"/>
    </row>
    <row r="3242">
      <c r="A3242" s="93"/>
      <c r="B3242" s="87" t="s">
        <v>779</v>
      </c>
      <c r="C3242" s="88"/>
      <c r="D3242" s="92"/>
      <c r="E3242" s="89"/>
      <c r="F3242" s="89"/>
      <c r="G3242" s="89"/>
    </row>
    <row r="3243">
      <c r="A3243" s="93"/>
      <c r="B3243" s="87" t="s">
        <v>779</v>
      </c>
      <c r="C3243" s="88"/>
      <c r="D3243" s="92"/>
      <c r="E3243" s="89"/>
      <c r="F3243" s="89"/>
      <c r="G3243" s="89"/>
    </row>
    <row r="3244">
      <c r="A3244" s="93"/>
      <c r="B3244" s="87" t="s">
        <v>779</v>
      </c>
      <c r="C3244" s="88"/>
      <c r="D3244" s="92"/>
      <c r="E3244" s="89"/>
      <c r="F3244" s="89"/>
      <c r="G3244" s="89"/>
    </row>
    <row r="3245">
      <c r="A3245" s="93"/>
      <c r="B3245" s="87" t="s">
        <v>779</v>
      </c>
      <c r="C3245" s="88"/>
      <c r="D3245" s="92"/>
      <c r="E3245" s="89"/>
      <c r="F3245" s="89"/>
      <c r="G3245" s="89"/>
    </row>
    <row r="3246">
      <c r="A3246" s="93"/>
      <c r="B3246" s="87" t="s">
        <v>779</v>
      </c>
      <c r="C3246" s="88"/>
      <c r="D3246" s="92"/>
      <c r="E3246" s="89"/>
      <c r="F3246" s="89"/>
      <c r="G3246" s="89"/>
    </row>
    <row r="3247">
      <c r="A3247" s="93"/>
      <c r="B3247" s="87" t="s">
        <v>779</v>
      </c>
      <c r="C3247" s="88"/>
      <c r="D3247" s="92"/>
      <c r="E3247" s="89"/>
      <c r="F3247" s="89"/>
      <c r="G3247" s="89"/>
    </row>
    <row r="3248">
      <c r="A3248" s="93"/>
      <c r="B3248" s="87" t="s">
        <v>779</v>
      </c>
      <c r="C3248" s="88"/>
      <c r="D3248" s="92"/>
      <c r="E3248" s="89"/>
      <c r="F3248" s="89"/>
      <c r="G3248" s="89"/>
    </row>
    <row r="3249">
      <c r="A3249" s="93"/>
      <c r="B3249" s="87" t="s">
        <v>779</v>
      </c>
      <c r="C3249" s="88"/>
      <c r="D3249" s="92"/>
      <c r="E3249" s="89"/>
      <c r="F3249" s="89"/>
      <c r="G3249" s="89"/>
    </row>
    <row r="3250">
      <c r="A3250" s="93"/>
      <c r="B3250" s="87" t="s">
        <v>779</v>
      </c>
      <c r="C3250" s="88"/>
      <c r="D3250" s="92"/>
      <c r="E3250" s="89"/>
      <c r="F3250" s="89"/>
      <c r="G3250" s="89"/>
    </row>
    <row r="3251">
      <c r="A3251" s="93"/>
      <c r="B3251" s="87" t="s">
        <v>779</v>
      </c>
      <c r="C3251" s="88"/>
      <c r="D3251" s="92"/>
      <c r="E3251" s="89"/>
      <c r="F3251" s="89"/>
      <c r="G3251" s="89"/>
    </row>
    <row r="3252">
      <c r="A3252" s="93"/>
      <c r="B3252" s="87" t="s">
        <v>779</v>
      </c>
      <c r="C3252" s="88"/>
      <c r="D3252" s="92"/>
      <c r="E3252" s="89"/>
      <c r="F3252" s="89"/>
      <c r="G3252" s="89"/>
    </row>
    <row r="3253">
      <c r="A3253" s="93"/>
      <c r="B3253" s="87" t="s">
        <v>779</v>
      </c>
      <c r="C3253" s="88"/>
      <c r="D3253" s="92"/>
      <c r="E3253" s="89"/>
      <c r="F3253" s="89"/>
      <c r="G3253" s="89"/>
    </row>
    <row r="3254">
      <c r="A3254" s="93"/>
      <c r="B3254" s="87" t="s">
        <v>779</v>
      </c>
      <c r="C3254" s="88"/>
      <c r="D3254" s="92"/>
      <c r="E3254" s="89"/>
      <c r="F3254" s="89"/>
      <c r="G3254" s="89"/>
    </row>
    <row r="3255">
      <c r="A3255" s="93"/>
      <c r="B3255" s="87" t="s">
        <v>779</v>
      </c>
      <c r="C3255" s="88"/>
      <c r="D3255" s="92"/>
      <c r="E3255" s="89"/>
      <c r="F3255" s="89"/>
      <c r="G3255" s="89"/>
    </row>
    <row r="3256">
      <c r="A3256" s="93"/>
      <c r="B3256" s="87" t="s">
        <v>779</v>
      </c>
      <c r="C3256" s="88"/>
      <c r="D3256" s="92"/>
      <c r="E3256" s="89"/>
      <c r="F3256" s="89"/>
      <c r="G3256" s="89"/>
    </row>
    <row r="3257">
      <c r="A3257" s="93"/>
      <c r="B3257" s="87" t="s">
        <v>779</v>
      </c>
      <c r="C3257" s="88"/>
      <c r="D3257" s="92"/>
      <c r="E3257" s="89"/>
      <c r="F3257" s="89"/>
      <c r="G3257" s="89"/>
    </row>
    <row r="3258">
      <c r="A3258" s="93"/>
      <c r="B3258" s="87" t="s">
        <v>779</v>
      </c>
      <c r="C3258" s="88"/>
      <c r="D3258" s="92"/>
      <c r="E3258" s="89"/>
      <c r="F3258" s="89"/>
      <c r="G3258" s="89"/>
    </row>
    <row r="3259">
      <c r="A3259" s="93"/>
      <c r="B3259" s="87" t="s">
        <v>779</v>
      </c>
      <c r="C3259" s="88"/>
      <c r="D3259" s="92"/>
      <c r="E3259" s="89"/>
      <c r="F3259" s="89"/>
      <c r="G3259" s="89"/>
    </row>
    <row r="3260">
      <c r="A3260" s="93"/>
      <c r="B3260" s="87" t="s">
        <v>779</v>
      </c>
      <c r="C3260" s="88"/>
      <c r="D3260" s="92"/>
      <c r="E3260" s="89"/>
      <c r="F3260" s="89"/>
      <c r="G3260" s="89"/>
    </row>
    <row r="3261">
      <c r="A3261" s="93"/>
      <c r="B3261" s="87" t="s">
        <v>779</v>
      </c>
      <c r="C3261" s="88"/>
      <c r="D3261" s="92"/>
      <c r="E3261" s="89"/>
      <c r="F3261" s="89"/>
      <c r="G3261" s="89"/>
    </row>
    <row r="3262">
      <c r="A3262" s="93"/>
      <c r="B3262" s="87" t="s">
        <v>779</v>
      </c>
      <c r="C3262" s="88"/>
      <c r="D3262" s="92"/>
      <c r="E3262" s="89"/>
      <c r="F3262" s="89"/>
      <c r="G3262" s="89"/>
    </row>
    <row r="3263">
      <c r="A3263" s="93"/>
      <c r="B3263" s="87" t="s">
        <v>779</v>
      </c>
      <c r="C3263" s="88"/>
      <c r="D3263" s="92"/>
      <c r="E3263" s="89"/>
      <c r="F3263" s="89"/>
      <c r="G3263" s="89"/>
    </row>
    <row r="3264">
      <c r="A3264" s="93"/>
      <c r="B3264" s="87" t="s">
        <v>779</v>
      </c>
      <c r="C3264" s="88"/>
      <c r="D3264" s="92"/>
      <c r="E3264" s="89"/>
      <c r="F3264" s="89"/>
      <c r="G3264" s="89"/>
    </row>
    <row r="3265">
      <c r="A3265" s="93"/>
      <c r="B3265" s="87" t="s">
        <v>779</v>
      </c>
      <c r="C3265" s="88"/>
      <c r="D3265" s="92"/>
      <c r="E3265" s="89"/>
      <c r="F3265" s="89"/>
      <c r="G3265" s="89"/>
    </row>
    <row r="3266">
      <c r="A3266" s="93"/>
      <c r="B3266" s="87" t="s">
        <v>779</v>
      </c>
      <c r="C3266" s="88"/>
      <c r="D3266" s="92"/>
      <c r="E3266" s="89"/>
      <c r="F3266" s="89"/>
      <c r="G3266" s="89"/>
    </row>
    <row r="3267">
      <c r="A3267" s="93"/>
      <c r="B3267" s="87" t="s">
        <v>779</v>
      </c>
      <c r="C3267" s="88"/>
      <c r="D3267" s="92"/>
      <c r="E3267" s="89"/>
      <c r="F3267" s="89"/>
      <c r="G3267" s="89"/>
    </row>
    <row r="3268">
      <c r="A3268" s="93"/>
      <c r="B3268" s="87" t="s">
        <v>779</v>
      </c>
      <c r="C3268" s="88"/>
      <c r="D3268" s="92"/>
      <c r="E3268" s="89"/>
      <c r="F3268" s="89"/>
      <c r="G3268" s="89"/>
    </row>
    <row r="3269">
      <c r="A3269" s="93"/>
      <c r="B3269" s="87" t="s">
        <v>779</v>
      </c>
      <c r="C3269" s="88"/>
      <c r="D3269" s="92"/>
      <c r="E3269" s="89"/>
      <c r="F3269" s="89"/>
      <c r="G3269" s="89"/>
    </row>
    <row r="3270">
      <c r="A3270" s="93"/>
      <c r="B3270" s="87" t="s">
        <v>779</v>
      </c>
      <c r="C3270" s="88"/>
      <c r="D3270" s="92"/>
      <c r="E3270" s="89"/>
      <c r="F3270" s="89"/>
      <c r="G3270" s="89"/>
    </row>
    <row r="3271">
      <c r="A3271" s="93"/>
      <c r="B3271" s="87" t="s">
        <v>779</v>
      </c>
      <c r="C3271" s="88"/>
      <c r="D3271" s="92"/>
      <c r="E3271" s="89"/>
      <c r="F3271" s="89"/>
      <c r="G3271" s="89"/>
    </row>
    <row r="3272">
      <c r="A3272" s="93"/>
      <c r="B3272" s="87" t="s">
        <v>779</v>
      </c>
      <c r="C3272" s="88"/>
      <c r="D3272" s="92"/>
      <c r="E3272" s="89"/>
      <c r="F3272" s="89"/>
      <c r="G3272" s="89"/>
    </row>
    <row r="3273">
      <c r="A3273" s="93"/>
      <c r="B3273" s="87" t="s">
        <v>779</v>
      </c>
      <c r="C3273" s="88"/>
      <c r="D3273" s="92"/>
      <c r="E3273" s="89"/>
      <c r="F3273" s="89"/>
      <c r="G3273" s="89"/>
    </row>
    <row r="3274">
      <c r="A3274" s="93"/>
      <c r="B3274" s="87" t="s">
        <v>779</v>
      </c>
      <c r="C3274" s="88"/>
      <c r="D3274" s="92"/>
      <c r="E3274" s="89"/>
      <c r="F3274" s="89"/>
      <c r="G3274" s="89"/>
    </row>
    <row r="3275">
      <c r="A3275" s="93"/>
      <c r="B3275" s="87" t="s">
        <v>779</v>
      </c>
      <c r="C3275" s="88"/>
      <c r="D3275" s="92"/>
      <c r="E3275" s="89"/>
      <c r="F3275" s="89"/>
      <c r="G3275" s="89"/>
    </row>
    <row r="3276">
      <c r="A3276" s="93"/>
      <c r="B3276" s="87" t="s">
        <v>779</v>
      </c>
      <c r="C3276" s="88"/>
      <c r="D3276" s="92"/>
      <c r="E3276" s="89"/>
      <c r="F3276" s="89"/>
      <c r="G3276" s="89"/>
    </row>
    <row r="3277">
      <c r="A3277" s="93"/>
      <c r="B3277" s="87" t="s">
        <v>779</v>
      </c>
      <c r="C3277" s="88"/>
      <c r="D3277" s="92"/>
      <c r="E3277" s="89"/>
      <c r="F3277" s="89"/>
      <c r="G3277" s="89"/>
    </row>
    <row r="3278">
      <c r="A3278" s="93"/>
      <c r="B3278" s="87" t="s">
        <v>779</v>
      </c>
      <c r="C3278" s="88"/>
      <c r="D3278" s="92"/>
      <c r="E3278" s="89"/>
      <c r="F3278" s="89"/>
      <c r="G3278" s="89"/>
    </row>
    <row r="3279">
      <c r="A3279" s="93"/>
      <c r="B3279" s="87" t="s">
        <v>779</v>
      </c>
      <c r="C3279" s="88"/>
      <c r="D3279" s="92"/>
      <c r="E3279" s="89"/>
      <c r="F3279" s="89"/>
      <c r="G3279" s="89"/>
    </row>
    <row r="3280">
      <c r="A3280" s="93"/>
      <c r="B3280" s="87" t="s">
        <v>779</v>
      </c>
      <c r="C3280" s="88"/>
      <c r="D3280" s="92"/>
      <c r="E3280" s="89"/>
      <c r="F3280" s="89"/>
      <c r="G3280" s="89"/>
    </row>
    <row r="3281">
      <c r="A3281" s="93"/>
      <c r="B3281" s="87" t="s">
        <v>779</v>
      </c>
      <c r="C3281" s="88"/>
      <c r="D3281" s="92"/>
      <c r="E3281" s="89"/>
      <c r="F3281" s="89"/>
      <c r="G3281" s="89"/>
    </row>
    <row r="3282">
      <c r="A3282" s="93"/>
      <c r="B3282" s="87" t="s">
        <v>779</v>
      </c>
      <c r="C3282" s="88"/>
      <c r="D3282" s="92"/>
      <c r="E3282" s="89"/>
      <c r="F3282" s="89"/>
      <c r="G3282" s="89"/>
    </row>
    <row r="3283">
      <c r="A3283" s="93"/>
      <c r="B3283" s="87" t="s">
        <v>779</v>
      </c>
      <c r="C3283" s="88"/>
      <c r="D3283" s="92"/>
      <c r="E3283" s="89"/>
      <c r="F3283" s="89"/>
      <c r="G3283" s="89"/>
    </row>
    <row r="3284">
      <c r="A3284" s="93"/>
      <c r="B3284" s="87" t="s">
        <v>779</v>
      </c>
      <c r="C3284" s="88"/>
      <c r="D3284" s="92"/>
      <c r="E3284" s="89"/>
      <c r="F3284" s="89"/>
      <c r="G3284" s="89"/>
    </row>
    <row r="3285">
      <c r="A3285" s="93"/>
      <c r="B3285" s="87" t="s">
        <v>779</v>
      </c>
      <c r="C3285" s="88"/>
      <c r="D3285" s="92"/>
      <c r="E3285" s="89"/>
      <c r="F3285" s="89"/>
      <c r="G3285" s="89"/>
    </row>
    <row r="3286">
      <c r="A3286" s="93"/>
      <c r="B3286" s="87" t="s">
        <v>779</v>
      </c>
      <c r="C3286" s="88"/>
      <c r="D3286" s="92"/>
      <c r="E3286" s="89"/>
      <c r="F3286" s="89"/>
      <c r="G3286" s="89"/>
    </row>
    <row r="3287">
      <c r="A3287" s="93"/>
      <c r="B3287" s="87" t="s">
        <v>779</v>
      </c>
      <c r="C3287" s="88"/>
      <c r="D3287" s="92"/>
      <c r="E3287" s="89"/>
      <c r="F3287" s="89"/>
      <c r="G3287" s="89"/>
    </row>
    <row r="3288">
      <c r="A3288" s="93"/>
      <c r="B3288" s="87" t="s">
        <v>779</v>
      </c>
      <c r="C3288" s="88"/>
      <c r="D3288" s="92"/>
      <c r="E3288" s="89"/>
      <c r="F3288" s="89"/>
      <c r="G3288" s="89"/>
    </row>
    <row r="3289">
      <c r="A3289" s="93"/>
      <c r="B3289" s="87" t="s">
        <v>779</v>
      </c>
      <c r="C3289" s="88"/>
      <c r="D3289" s="92"/>
      <c r="E3289" s="89"/>
      <c r="F3289" s="89"/>
      <c r="G3289" s="89"/>
    </row>
    <row r="3290">
      <c r="A3290" s="93"/>
      <c r="B3290" s="87" t="s">
        <v>779</v>
      </c>
      <c r="C3290" s="88"/>
      <c r="D3290" s="92"/>
      <c r="E3290" s="89"/>
      <c r="F3290" s="89"/>
      <c r="G3290" s="89"/>
    </row>
    <row r="3291">
      <c r="A3291" s="93"/>
      <c r="B3291" s="87" t="s">
        <v>779</v>
      </c>
      <c r="C3291" s="88"/>
      <c r="D3291" s="92"/>
      <c r="E3291" s="89"/>
      <c r="F3291" s="89"/>
      <c r="G3291" s="89"/>
    </row>
    <row r="3292">
      <c r="A3292" s="93"/>
      <c r="B3292" s="87" t="s">
        <v>779</v>
      </c>
      <c r="C3292" s="88"/>
      <c r="D3292" s="92"/>
      <c r="E3292" s="89"/>
      <c r="F3292" s="89"/>
      <c r="G3292" s="89"/>
    </row>
    <row r="3293">
      <c r="A3293" s="93"/>
      <c r="B3293" s="87" t="s">
        <v>779</v>
      </c>
      <c r="C3293" s="88"/>
      <c r="D3293" s="92"/>
      <c r="E3293" s="89"/>
      <c r="F3293" s="89"/>
      <c r="G3293" s="89"/>
    </row>
    <row r="3294">
      <c r="A3294" s="93"/>
      <c r="B3294" s="87" t="s">
        <v>779</v>
      </c>
      <c r="C3294" s="88"/>
      <c r="D3294" s="92"/>
      <c r="E3294" s="89"/>
      <c r="F3294" s="89"/>
      <c r="G3294" s="89"/>
    </row>
    <row r="3295">
      <c r="A3295" s="93"/>
      <c r="B3295" s="87" t="s">
        <v>779</v>
      </c>
      <c r="C3295" s="88"/>
      <c r="D3295" s="92"/>
      <c r="E3295" s="89"/>
      <c r="F3295" s="89"/>
      <c r="G3295" s="89"/>
    </row>
    <row r="3296">
      <c r="A3296" s="93"/>
      <c r="B3296" s="87" t="s">
        <v>779</v>
      </c>
      <c r="C3296" s="88"/>
      <c r="D3296" s="92"/>
      <c r="E3296" s="89"/>
      <c r="F3296" s="89"/>
      <c r="G3296" s="89"/>
    </row>
    <row r="3297">
      <c r="A3297" s="93"/>
      <c r="B3297" s="87" t="s">
        <v>779</v>
      </c>
      <c r="C3297" s="88"/>
      <c r="D3297" s="92"/>
      <c r="E3297" s="89"/>
      <c r="F3297" s="89"/>
      <c r="G3297" s="89"/>
    </row>
    <row r="3298">
      <c r="A3298" s="93"/>
      <c r="B3298" s="87" t="s">
        <v>779</v>
      </c>
      <c r="C3298" s="88"/>
      <c r="D3298" s="92"/>
      <c r="E3298" s="89"/>
      <c r="F3298" s="89"/>
      <c r="G3298" s="89"/>
    </row>
    <row r="3299">
      <c r="A3299" s="93"/>
      <c r="B3299" s="87" t="s">
        <v>779</v>
      </c>
      <c r="C3299" s="88"/>
      <c r="D3299" s="92"/>
      <c r="E3299" s="89"/>
      <c r="F3299" s="89"/>
      <c r="G3299" s="89"/>
    </row>
    <row r="3300">
      <c r="A3300" s="93"/>
      <c r="B3300" s="87" t="s">
        <v>779</v>
      </c>
      <c r="C3300" s="88"/>
      <c r="D3300" s="92"/>
      <c r="E3300" s="89"/>
      <c r="F3300" s="89"/>
      <c r="G3300" s="89"/>
    </row>
    <row r="3301">
      <c r="A3301" s="93"/>
      <c r="B3301" s="87" t="s">
        <v>779</v>
      </c>
      <c r="C3301" s="88"/>
      <c r="D3301" s="92"/>
      <c r="E3301" s="89"/>
      <c r="F3301" s="89"/>
      <c r="G3301" s="89"/>
    </row>
    <row r="3302">
      <c r="A3302" s="93"/>
      <c r="B3302" s="87" t="s">
        <v>779</v>
      </c>
      <c r="C3302" s="88"/>
      <c r="D3302" s="92"/>
      <c r="E3302" s="89"/>
      <c r="F3302" s="89"/>
      <c r="G3302" s="89"/>
    </row>
    <row r="3303">
      <c r="A3303" s="93"/>
      <c r="B3303" s="87" t="s">
        <v>779</v>
      </c>
      <c r="C3303" s="88"/>
      <c r="D3303" s="92"/>
      <c r="E3303" s="89"/>
      <c r="F3303" s="89"/>
      <c r="G3303" s="89"/>
    </row>
    <row r="3304">
      <c r="A3304" s="93"/>
      <c r="B3304" s="87" t="s">
        <v>779</v>
      </c>
      <c r="C3304" s="88"/>
      <c r="D3304" s="92"/>
      <c r="E3304" s="89"/>
      <c r="F3304" s="89"/>
      <c r="G3304" s="89"/>
    </row>
    <row r="3305">
      <c r="A3305" s="93"/>
      <c r="B3305" s="87" t="s">
        <v>779</v>
      </c>
      <c r="C3305" s="88"/>
      <c r="D3305" s="92"/>
      <c r="E3305" s="89"/>
      <c r="F3305" s="89"/>
      <c r="G3305" s="89"/>
    </row>
    <row r="3306">
      <c r="A3306" s="93"/>
      <c r="B3306" s="87" t="s">
        <v>779</v>
      </c>
      <c r="C3306" s="88"/>
      <c r="D3306" s="92"/>
      <c r="E3306" s="89"/>
      <c r="F3306" s="89"/>
      <c r="G3306" s="89"/>
    </row>
    <row r="3307">
      <c r="A3307" s="93"/>
      <c r="B3307" s="87" t="s">
        <v>779</v>
      </c>
      <c r="C3307" s="88"/>
      <c r="D3307" s="92"/>
      <c r="E3307" s="89"/>
      <c r="F3307" s="89"/>
      <c r="G3307" s="89"/>
    </row>
    <row r="3308">
      <c r="A3308" s="93"/>
      <c r="B3308" s="87" t="s">
        <v>779</v>
      </c>
      <c r="C3308" s="88"/>
      <c r="D3308" s="92"/>
      <c r="E3308" s="89"/>
      <c r="F3308" s="89"/>
      <c r="G3308" s="89"/>
    </row>
    <row r="3309">
      <c r="A3309" s="93"/>
      <c r="B3309" s="87" t="s">
        <v>779</v>
      </c>
      <c r="C3309" s="88"/>
      <c r="D3309" s="92"/>
      <c r="E3309" s="89"/>
      <c r="F3309" s="89"/>
      <c r="G3309" s="89"/>
    </row>
    <row r="3310">
      <c r="A3310" s="93"/>
      <c r="B3310" s="87" t="s">
        <v>779</v>
      </c>
      <c r="C3310" s="88"/>
      <c r="D3310" s="92"/>
      <c r="E3310" s="89"/>
      <c r="F3310" s="89"/>
      <c r="G3310" s="89"/>
    </row>
    <row r="3311">
      <c r="A3311" s="93"/>
      <c r="B3311" s="87" t="s">
        <v>779</v>
      </c>
      <c r="C3311" s="88"/>
      <c r="D3311" s="92"/>
      <c r="E3311" s="89"/>
      <c r="F3311" s="89"/>
      <c r="G3311" s="89"/>
    </row>
    <row r="3312">
      <c r="A3312" s="93"/>
      <c r="B3312" s="87" t="s">
        <v>779</v>
      </c>
      <c r="C3312" s="88"/>
      <c r="D3312" s="92"/>
      <c r="E3312" s="89"/>
      <c r="F3312" s="89"/>
      <c r="G3312" s="89"/>
    </row>
    <row r="3313">
      <c r="A3313" s="93"/>
      <c r="B3313" s="87" t="s">
        <v>779</v>
      </c>
      <c r="C3313" s="88"/>
      <c r="D3313" s="92"/>
      <c r="E3313" s="89"/>
      <c r="F3313" s="89"/>
      <c r="G3313" s="89"/>
    </row>
    <row r="3314">
      <c r="A3314" s="93"/>
      <c r="B3314" s="87" t="s">
        <v>779</v>
      </c>
      <c r="C3314" s="88"/>
      <c r="D3314" s="92"/>
      <c r="E3314" s="89"/>
      <c r="F3314" s="89"/>
      <c r="G3314" s="89"/>
    </row>
    <row r="3315">
      <c r="A3315" s="93"/>
      <c r="B3315" s="87" t="s">
        <v>779</v>
      </c>
      <c r="C3315" s="88"/>
      <c r="D3315" s="92"/>
      <c r="E3315" s="89"/>
      <c r="F3315" s="89"/>
      <c r="G3315" s="89"/>
    </row>
    <row r="3316">
      <c r="A3316" s="93"/>
      <c r="B3316" s="87" t="s">
        <v>779</v>
      </c>
      <c r="C3316" s="88"/>
      <c r="D3316" s="92"/>
      <c r="E3316" s="89"/>
      <c r="F3316" s="89"/>
      <c r="G3316" s="89"/>
    </row>
    <row r="3317">
      <c r="A3317" s="93"/>
      <c r="B3317" s="87" t="s">
        <v>779</v>
      </c>
      <c r="C3317" s="88"/>
      <c r="D3317" s="92"/>
      <c r="E3317" s="89"/>
      <c r="F3317" s="89"/>
      <c r="G3317" s="89"/>
    </row>
    <row r="3318">
      <c r="A3318" s="93"/>
      <c r="B3318" s="87" t="s">
        <v>779</v>
      </c>
      <c r="C3318" s="88"/>
      <c r="D3318" s="92"/>
      <c r="E3318" s="89"/>
      <c r="F3318" s="89"/>
      <c r="G3318" s="89"/>
    </row>
    <row r="3319">
      <c r="A3319" s="93"/>
      <c r="B3319" s="87" t="s">
        <v>779</v>
      </c>
      <c r="C3319" s="88"/>
      <c r="D3319" s="92"/>
      <c r="E3319" s="89"/>
      <c r="F3319" s="89"/>
      <c r="G3319" s="89"/>
    </row>
    <row r="3320">
      <c r="A3320" s="93"/>
      <c r="B3320" s="87" t="s">
        <v>779</v>
      </c>
      <c r="C3320" s="88"/>
      <c r="D3320" s="92"/>
      <c r="E3320" s="89"/>
      <c r="F3320" s="89"/>
      <c r="G3320" s="89"/>
    </row>
    <row r="3321">
      <c r="A3321" s="93"/>
      <c r="B3321" s="87" t="s">
        <v>779</v>
      </c>
      <c r="C3321" s="88"/>
      <c r="D3321" s="92"/>
      <c r="E3321" s="89"/>
      <c r="F3321" s="89"/>
      <c r="G3321" s="89"/>
    </row>
    <row r="3322">
      <c r="A3322" s="93"/>
      <c r="B3322" s="87" t="s">
        <v>779</v>
      </c>
      <c r="C3322" s="88"/>
      <c r="D3322" s="92"/>
      <c r="E3322" s="89"/>
      <c r="F3322" s="89"/>
      <c r="G3322" s="89"/>
    </row>
    <row r="3323">
      <c r="A3323" s="93"/>
      <c r="B3323" s="87" t="s">
        <v>779</v>
      </c>
      <c r="C3323" s="88"/>
      <c r="D3323" s="92"/>
      <c r="E3323" s="89"/>
      <c r="F3323" s="89"/>
      <c r="G3323" s="89"/>
    </row>
    <row r="3324">
      <c r="A3324" s="93"/>
      <c r="B3324" s="87" t="s">
        <v>779</v>
      </c>
      <c r="C3324" s="88"/>
      <c r="D3324" s="92"/>
      <c r="E3324" s="89"/>
      <c r="F3324" s="89"/>
      <c r="G3324" s="89"/>
    </row>
    <row r="3325">
      <c r="A3325" s="93"/>
      <c r="B3325" s="87" t="s">
        <v>779</v>
      </c>
      <c r="C3325" s="88"/>
      <c r="D3325" s="92"/>
      <c r="E3325" s="89"/>
      <c r="F3325" s="89"/>
      <c r="G3325" s="89"/>
    </row>
    <row r="3326">
      <c r="A3326" s="93"/>
      <c r="B3326" s="87" t="s">
        <v>779</v>
      </c>
      <c r="C3326" s="88"/>
      <c r="D3326" s="92"/>
      <c r="E3326" s="89"/>
      <c r="F3326" s="89"/>
      <c r="G3326" s="89"/>
    </row>
    <row r="3327">
      <c r="A3327" s="93"/>
      <c r="B3327" s="87" t="s">
        <v>779</v>
      </c>
      <c r="C3327" s="88"/>
      <c r="D3327" s="92"/>
      <c r="E3327" s="89"/>
      <c r="F3327" s="89"/>
      <c r="G3327" s="89"/>
    </row>
    <row r="3328">
      <c r="A3328" s="93"/>
      <c r="B3328" s="87" t="s">
        <v>779</v>
      </c>
      <c r="C3328" s="88"/>
      <c r="D3328" s="92"/>
      <c r="E3328" s="89"/>
      <c r="F3328" s="89"/>
      <c r="G3328" s="89"/>
    </row>
    <row r="3329">
      <c r="A3329" s="93"/>
      <c r="B3329" s="87" t="s">
        <v>779</v>
      </c>
      <c r="C3329" s="88"/>
      <c r="D3329" s="92"/>
      <c r="E3329" s="89"/>
      <c r="F3329" s="89"/>
      <c r="G3329" s="89"/>
    </row>
    <row r="3330">
      <c r="A3330" s="93"/>
      <c r="B3330" s="87" t="s">
        <v>779</v>
      </c>
      <c r="C3330" s="88"/>
      <c r="D3330" s="92"/>
      <c r="E3330" s="89"/>
      <c r="F3330" s="89"/>
      <c r="G3330" s="89"/>
    </row>
    <row r="3331">
      <c r="A3331" s="93"/>
      <c r="B3331" s="87" t="s">
        <v>779</v>
      </c>
      <c r="C3331" s="88"/>
      <c r="D3331" s="92"/>
      <c r="E3331" s="89"/>
      <c r="F3331" s="89"/>
      <c r="G3331" s="89"/>
    </row>
    <row r="3332">
      <c r="A3332" s="93"/>
      <c r="B3332" s="87" t="s">
        <v>779</v>
      </c>
      <c r="C3332" s="88"/>
      <c r="D3332" s="92"/>
      <c r="E3332" s="89"/>
      <c r="F3332" s="89"/>
      <c r="G3332" s="89"/>
    </row>
    <row r="3333">
      <c r="A3333" s="93"/>
      <c r="B3333" s="87" t="s">
        <v>779</v>
      </c>
      <c r="C3333" s="88"/>
      <c r="D3333" s="92"/>
      <c r="E3333" s="89"/>
      <c r="F3333" s="89"/>
      <c r="G3333" s="89"/>
    </row>
    <row r="3334">
      <c r="A3334" s="93"/>
      <c r="B3334" s="87" t="s">
        <v>779</v>
      </c>
      <c r="C3334" s="88"/>
      <c r="D3334" s="92"/>
      <c r="E3334" s="89"/>
      <c r="F3334" s="89"/>
      <c r="G3334" s="89"/>
    </row>
    <row r="3335">
      <c r="A3335" s="93"/>
      <c r="B3335" s="87" t="s">
        <v>779</v>
      </c>
      <c r="C3335" s="88"/>
      <c r="D3335" s="92"/>
      <c r="E3335" s="89"/>
      <c r="F3335" s="89"/>
      <c r="G3335" s="89"/>
    </row>
    <row r="3336">
      <c r="A3336" s="93"/>
      <c r="B3336" s="87" t="s">
        <v>779</v>
      </c>
      <c r="C3336" s="88"/>
      <c r="D3336" s="92"/>
      <c r="E3336" s="89"/>
      <c r="F3336" s="89"/>
      <c r="G3336" s="89"/>
    </row>
    <row r="3337">
      <c r="A3337" s="93"/>
      <c r="B3337" s="87" t="s">
        <v>779</v>
      </c>
      <c r="C3337" s="88"/>
      <c r="D3337" s="92"/>
      <c r="E3337" s="89"/>
      <c r="F3337" s="89"/>
      <c r="G3337" s="89"/>
    </row>
    <row r="3338">
      <c r="A3338" s="93"/>
      <c r="B3338" s="87" t="s">
        <v>779</v>
      </c>
      <c r="C3338" s="88"/>
      <c r="D3338" s="92"/>
      <c r="E3338" s="89"/>
      <c r="F3338" s="89"/>
      <c r="G3338" s="89"/>
    </row>
    <row r="3339">
      <c r="A3339" s="93"/>
      <c r="B3339" s="87" t="s">
        <v>779</v>
      </c>
      <c r="C3339" s="88"/>
      <c r="D3339" s="92"/>
      <c r="E3339" s="89"/>
      <c r="F3339" s="89"/>
      <c r="G3339" s="89"/>
    </row>
    <row r="3340">
      <c r="A3340" s="93"/>
      <c r="B3340" s="87" t="s">
        <v>779</v>
      </c>
      <c r="C3340" s="88"/>
      <c r="D3340" s="92"/>
      <c r="E3340" s="89"/>
      <c r="F3340" s="89"/>
      <c r="G3340" s="89"/>
    </row>
    <row r="3341">
      <c r="A3341" s="93"/>
      <c r="B3341" s="87" t="s">
        <v>779</v>
      </c>
      <c r="C3341" s="88"/>
      <c r="D3341" s="92"/>
      <c r="E3341" s="89"/>
      <c r="F3341" s="89"/>
      <c r="G3341" s="89"/>
    </row>
    <row r="3342">
      <c r="A3342" s="93"/>
      <c r="B3342" s="87" t="s">
        <v>779</v>
      </c>
      <c r="C3342" s="88"/>
      <c r="D3342" s="92"/>
      <c r="E3342" s="89"/>
      <c r="F3342" s="89"/>
      <c r="G3342" s="89"/>
    </row>
    <row r="3343">
      <c r="A3343" s="93"/>
      <c r="B3343" s="87" t="s">
        <v>779</v>
      </c>
      <c r="C3343" s="88"/>
      <c r="D3343" s="92"/>
      <c r="E3343" s="89"/>
      <c r="F3343" s="89"/>
      <c r="G3343" s="89"/>
    </row>
    <row r="3344">
      <c r="A3344" s="93"/>
      <c r="B3344" s="87" t="s">
        <v>779</v>
      </c>
      <c r="C3344" s="88"/>
      <c r="D3344" s="92"/>
      <c r="E3344" s="89"/>
      <c r="F3344" s="89"/>
      <c r="G3344" s="89"/>
    </row>
    <row r="3345">
      <c r="A3345" s="93"/>
      <c r="B3345" s="87" t="s">
        <v>779</v>
      </c>
      <c r="C3345" s="88"/>
      <c r="D3345" s="92"/>
      <c r="E3345" s="89"/>
      <c r="F3345" s="89"/>
      <c r="G3345" s="89"/>
    </row>
    <row r="3346">
      <c r="A3346" s="93"/>
      <c r="B3346" s="87" t="s">
        <v>779</v>
      </c>
      <c r="C3346" s="88"/>
      <c r="D3346" s="92"/>
      <c r="E3346" s="89"/>
      <c r="F3346" s="89"/>
      <c r="G3346" s="89"/>
    </row>
    <row r="3347">
      <c r="A3347" s="93"/>
      <c r="B3347" s="87" t="s">
        <v>779</v>
      </c>
      <c r="C3347" s="88"/>
      <c r="D3347" s="92"/>
      <c r="E3347" s="89"/>
      <c r="F3347" s="89"/>
      <c r="G3347" s="89"/>
    </row>
    <row r="3348">
      <c r="A3348" s="93"/>
      <c r="B3348" s="87" t="s">
        <v>779</v>
      </c>
      <c r="C3348" s="88"/>
      <c r="D3348" s="92"/>
      <c r="E3348" s="89"/>
      <c r="F3348" s="89"/>
      <c r="G3348" s="89"/>
    </row>
    <row r="3349">
      <c r="A3349" s="93"/>
      <c r="B3349" s="87" t="s">
        <v>779</v>
      </c>
      <c r="C3349" s="88"/>
      <c r="D3349" s="92"/>
      <c r="E3349" s="89"/>
      <c r="F3349" s="89"/>
      <c r="G3349" s="89"/>
    </row>
    <row r="3350">
      <c r="A3350" s="93"/>
      <c r="B3350" s="87" t="s">
        <v>779</v>
      </c>
      <c r="C3350" s="88"/>
      <c r="D3350" s="92"/>
      <c r="E3350" s="89"/>
      <c r="F3350" s="89"/>
      <c r="G3350" s="89"/>
    </row>
    <row r="3351">
      <c r="A3351" s="93"/>
      <c r="B3351" s="87" t="s">
        <v>779</v>
      </c>
      <c r="C3351" s="88"/>
      <c r="D3351" s="92"/>
      <c r="E3351" s="89"/>
      <c r="F3351" s="89"/>
      <c r="G3351" s="89"/>
    </row>
    <row r="3352">
      <c r="A3352" s="93"/>
      <c r="B3352" s="87" t="s">
        <v>779</v>
      </c>
      <c r="C3352" s="88"/>
      <c r="D3352" s="92"/>
      <c r="E3352" s="89"/>
      <c r="F3352" s="89"/>
      <c r="G3352" s="89"/>
    </row>
    <row r="3353">
      <c r="A3353" s="93"/>
      <c r="B3353" s="87" t="s">
        <v>779</v>
      </c>
      <c r="C3353" s="88"/>
      <c r="D3353" s="92"/>
      <c r="E3353" s="89"/>
      <c r="F3353" s="89"/>
      <c r="G3353" s="89"/>
    </row>
    <row r="3354">
      <c r="A3354" s="93"/>
      <c r="B3354" s="87" t="s">
        <v>779</v>
      </c>
      <c r="C3354" s="88"/>
      <c r="D3354" s="92"/>
      <c r="E3354" s="89"/>
      <c r="F3354" s="89"/>
      <c r="G3354" s="89"/>
    </row>
    <row r="3355">
      <c r="A3355" s="93"/>
      <c r="B3355" s="87" t="s">
        <v>779</v>
      </c>
      <c r="C3355" s="88"/>
      <c r="D3355" s="92"/>
      <c r="E3355" s="89"/>
      <c r="F3355" s="89"/>
      <c r="G3355" s="89"/>
    </row>
    <row r="3356">
      <c r="A3356" s="93"/>
      <c r="B3356" s="87" t="s">
        <v>779</v>
      </c>
      <c r="C3356" s="88"/>
      <c r="D3356" s="92"/>
      <c r="E3356" s="89"/>
      <c r="F3356" s="89"/>
      <c r="G3356" s="89"/>
    </row>
    <row r="3357">
      <c r="A3357" s="93"/>
      <c r="B3357" s="87" t="s">
        <v>779</v>
      </c>
      <c r="C3357" s="88"/>
      <c r="D3357" s="92"/>
      <c r="E3357" s="89"/>
      <c r="F3357" s="89"/>
      <c r="G3357" s="89"/>
    </row>
    <row r="3358">
      <c r="A3358" s="93"/>
      <c r="B3358" s="87" t="s">
        <v>779</v>
      </c>
      <c r="C3358" s="88"/>
      <c r="D3358" s="92"/>
      <c r="E3358" s="89"/>
      <c r="F3358" s="89"/>
      <c r="G3358" s="89"/>
    </row>
    <row r="3359">
      <c r="A3359" s="93"/>
      <c r="B3359" s="87" t="s">
        <v>779</v>
      </c>
      <c r="C3359" s="88"/>
      <c r="D3359" s="92"/>
      <c r="E3359" s="89"/>
      <c r="F3359" s="89"/>
      <c r="G3359" s="89"/>
    </row>
    <row r="3360">
      <c r="A3360" s="93"/>
      <c r="B3360" s="87" t="s">
        <v>779</v>
      </c>
      <c r="C3360" s="88"/>
      <c r="D3360" s="92"/>
      <c r="E3360" s="89"/>
      <c r="F3360" s="89"/>
      <c r="G3360" s="89"/>
    </row>
    <row r="3361">
      <c r="A3361" s="93"/>
      <c r="B3361" s="87" t="s">
        <v>779</v>
      </c>
      <c r="C3361" s="88"/>
      <c r="D3361" s="92"/>
      <c r="E3361" s="89"/>
      <c r="F3361" s="89"/>
      <c r="G3361" s="89"/>
    </row>
    <row r="3362">
      <c r="A3362" s="93"/>
      <c r="B3362" s="87" t="s">
        <v>779</v>
      </c>
      <c r="C3362" s="88"/>
      <c r="D3362" s="92"/>
      <c r="E3362" s="89"/>
      <c r="F3362" s="89"/>
      <c r="G3362" s="89"/>
    </row>
    <row r="3363">
      <c r="A3363" s="93"/>
      <c r="B3363" s="87" t="s">
        <v>779</v>
      </c>
      <c r="C3363" s="88"/>
      <c r="D3363" s="92"/>
      <c r="E3363" s="89"/>
      <c r="F3363" s="89"/>
      <c r="G3363" s="89"/>
    </row>
    <row r="3364">
      <c r="A3364" s="93"/>
      <c r="B3364" s="87" t="s">
        <v>779</v>
      </c>
      <c r="C3364" s="88"/>
      <c r="D3364" s="92"/>
      <c r="E3364" s="89"/>
      <c r="F3364" s="89"/>
      <c r="G3364" s="89"/>
    </row>
    <row r="3365">
      <c r="A3365" s="93"/>
      <c r="B3365" s="87" t="s">
        <v>779</v>
      </c>
      <c r="C3365" s="88"/>
      <c r="D3365" s="92"/>
      <c r="E3365" s="89"/>
      <c r="F3365" s="89"/>
      <c r="G3365" s="89"/>
    </row>
    <row r="3366">
      <c r="A3366" s="93"/>
      <c r="B3366" s="87" t="s">
        <v>779</v>
      </c>
      <c r="C3366" s="88"/>
      <c r="D3366" s="92"/>
      <c r="E3366" s="89"/>
      <c r="F3366" s="89"/>
      <c r="G3366" s="89"/>
    </row>
    <row r="3367">
      <c r="A3367" s="93"/>
      <c r="B3367" s="87" t="s">
        <v>779</v>
      </c>
      <c r="C3367" s="88"/>
      <c r="D3367" s="92"/>
      <c r="E3367" s="89"/>
      <c r="F3367" s="89"/>
      <c r="G3367" s="89"/>
    </row>
    <row r="3368">
      <c r="A3368" s="93"/>
      <c r="B3368" s="87" t="s">
        <v>779</v>
      </c>
      <c r="C3368" s="88"/>
      <c r="D3368" s="92"/>
      <c r="E3368" s="89"/>
      <c r="F3368" s="89"/>
      <c r="G3368" s="89"/>
    </row>
    <row r="3369">
      <c r="A3369" s="93"/>
      <c r="B3369" s="87" t="s">
        <v>779</v>
      </c>
      <c r="C3369" s="88"/>
      <c r="D3369" s="92"/>
      <c r="E3369" s="89"/>
      <c r="F3369" s="89"/>
      <c r="G3369" s="89"/>
    </row>
    <row r="3370">
      <c r="A3370" s="93"/>
      <c r="B3370" s="87" t="s">
        <v>779</v>
      </c>
      <c r="C3370" s="88"/>
      <c r="D3370" s="92"/>
      <c r="E3370" s="89"/>
      <c r="F3370" s="89"/>
      <c r="G3370" s="89"/>
    </row>
    <row r="3371">
      <c r="A3371" s="93"/>
      <c r="B3371" s="87" t="s">
        <v>779</v>
      </c>
      <c r="C3371" s="88"/>
      <c r="D3371" s="92"/>
      <c r="E3371" s="89"/>
      <c r="F3371" s="89"/>
      <c r="G3371" s="89"/>
    </row>
    <row r="3372">
      <c r="A3372" s="93"/>
      <c r="B3372" s="87" t="s">
        <v>779</v>
      </c>
      <c r="C3372" s="88"/>
      <c r="D3372" s="92"/>
      <c r="E3372" s="89"/>
      <c r="F3372" s="89"/>
      <c r="G3372" s="89"/>
    </row>
    <row r="3373">
      <c r="A3373" s="93"/>
      <c r="B3373" s="87" t="s">
        <v>779</v>
      </c>
      <c r="C3373" s="88"/>
      <c r="D3373" s="92"/>
      <c r="E3373" s="89"/>
      <c r="F3373" s="89"/>
      <c r="G3373" s="89"/>
    </row>
    <row r="3374">
      <c r="A3374" s="93"/>
      <c r="B3374" s="87" t="s">
        <v>779</v>
      </c>
      <c r="C3374" s="88"/>
      <c r="D3374" s="92"/>
      <c r="E3374" s="89"/>
      <c r="F3374" s="89"/>
      <c r="G3374" s="89"/>
    </row>
    <row r="3375">
      <c r="A3375" s="93"/>
      <c r="B3375" s="87" t="s">
        <v>779</v>
      </c>
      <c r="C3375" s="88"/>
      <c r="D3375" s="92"/>
      <c r="E3375" s="89"/>
      <c r="F3375" s="89"/>
      <c r="G3375" s="89"/>
    </row>
    <row r="3376">
      <c r="A3376" s="93"/>
      <c r="B3376" s="87" t="s">
        <v>779</v>
      </c>
      <c r="C3376" s="88"/>
      <c r="D3376" s="92"/>
      <c r="E3376" s="89"/>
      <c r="F3376" s="89"/>
      <c r="G3376" s="89"/>
    </row>
    <row r="3377">
      <c r="A3377" s="93"/>
      <c r="B3377" s="87" t="s">
        <v>779</v>
      </c>
      <c r="C3377" s="88"/>
      <c r="D3377" s="92"/>
      <c r="E3377" s="89"/>
      <c r="F3377" s="89"/>
      <c r="G3377" s="89"/>
    </row>
    <row r="3378">
      <c r="A3378" s="93"/>
      <c r="B3378" s="87" t="s">
        <v>779</v>
      </c>
      <c r="C3378" s="88"/>
      <c r="D3378" s="92"/>
      <c r="E3378" s="89"/>
      <c r="F3378" s="89"/>
      <c r="G3378" s="89"/>
    </row>
    <row r="3379">
      <c r="A3379" s="93"/>
      <c r="B3379" s="87" t="s">
        <v>779</v>
      </c>
      <c r="C3379" s="88"/>
      <c r="D3379" s="92"/>
      <c r="E3379" s="89"/>
      <c r="F3379" s="89"/>
      <c r="G3379" s="89"/>
    </row>
    <row r="3380">
      <c r="A3380" s="93"/>
      <c r="B3380" s="87" t="s">
        <v>779</v>
      </c>
      <c r="C3380" s="88"/>
      <c r="D3380" s="92"/>
      <c r="E3380" s="89"/>
      <c r="F3380" s="89"/>
      <c r="G3380" s="89"/>
    </row>
    <row r="3381">
      <c r="A3381" s="93"/>
      <c r="B3381" s="87" t="s">
        <v>779</v>
      </c>
      <c r="C3381" s="88"/>
      <c r="D3381" s="92"/>
      <c r="E3381" s="89"/>
      <c r="F3381" s="89"/>
      <c r="G3381" s="89"/>
    </row>
    <row r="3382">
      <c r="A3382" s="93"/>
      <c r="B3382" s="87" t="s">
        <v>779</v>
      </c>
      <c r="C3382" s="88"/>
      <c r="D3382" s="92"/>
      <c r="E3382" s="89"/>
      <c r="F3382" s="89"/>
      <c r="G3382" s="89"/>
    </row>
    <row r="3383">
      <c r="A3383" s="93"/>
      <c r="B3383" s="87" t="s">
        <v>779</v>
      </c>
      <c r="C3383" s="88"/>
      <c r="D3383" s="92"/>
      <c r="E3383" s="89"/>
      <c r="F3383" s="89"/>
      <c r="G3383" s="89"/>
    </row>
    <row r="3384">
      <c r="A3384" s="93"/>
      <c r="B3384" s="87" t="s">
        <v>779</v>
      </c>
      <c r="C3384" s="88"/>
      <c r="D3384" s="92"/>
      <c r="E3384" s="89"/>
      <c r="F3384" s="89"/>
      <c r="G3384" s="89"/>
    </row>
    <row r="3385">
      <c r="A3385" s="93"/>
      <c r="B3385" s="87" t="s">
        <v>779</v>
      </c>
      <c r="C3385" s="88"/>
      <c r="D3385" s="92"/>
      <c r="E3385" s="89"/>
      <c r="F3385" s="89"/>
      <c r="G3385" s="89"/>
    </row>
    <row r="3386">
      <c r="A3386" s="93"/>
      <c r="B3386" s="87" t="s">
        <v>779</v>
      </c>
      <c r="C3386" s="88"/>
      <c r="D3386" s="92"/>
      <c r="E3386" s="89"/>
      <c r="F3386" s="89"/>
      <c r="G3386" s="89"/>
    </row>
    <row r="3387">
      <c r="A3387" s="93"/>
      <c r="B3387" s="87" t="s">
        <v>779</v>
      </c>
      <c r="C3387" s="88"/>
      <c r="D3387" s="92"/>
      <c r="E3387" s="89"/>
      <c r="F3387" s="89"/>
      <c r="G3387" s="89"/>
    </row>
    <row r="3388">
      <c r="A3388" s="93"/>
      <c r="B3388" s="87" t="s">
        <v>779</v>
      </c>
      <c r="C3388" s="88"/>
      <c r="D3388" s="92"/>
      <c r="E3388" s="89"/>
      <c r="F3388" s="89"/>
      <c r="G3388" s="89"/>
    </row>
    <row r="3389">
      <c r="A3389" s="93"/>
      <c r="B3389" s="87" t="s">
        <v>779</v>
      </c>
      <c r="C3389" s="88"/>
      <c r="D3389" s="92"/>
      <c r="E3389" s="89"/>
      <c r="F3389" s="89"/>
      <c r="G3389" s="89"/>
    </row>
    <row r="3390">
      <c r="A3390" s="93"/>
      <c r="B3390" s="87" t="s">
        <v>779</v>
      </c>
      <c r="C3390" s="88"/>
      <c r="D3390" s="92"/>
      <c r="E3390" s="89"/>
      <c r="F3390" s="89"/>
      <c r="G3390" s="89"/>
    </row>
    <row r="3391">
      <c r="A3391" s="93"/>
      <c r="B3391" s="87" t="s">
        <v>779</v>
      </c>
      <c r="C3391" s="88"/>
      <c r="D3391" s="92"/>
      <c r="E3391" s="89"/>
      <c r="F3391" s="89"/>
      <c r="G3391" s="89"/>
    </row>
    <row r="3392">
      <c r="A3392" s="93"/>
      <c r="B3392" s="87" t="s">
        <v>779</v>
      </c>
      <c r="C3392" s="88"/>
      <c r="D3392" s="92"/>
      <c r="E3392" s="89"/>
      <c r="F3392" s="89"/>
      <c r="G3392" s="89"/>
    </row>
    <row r="3393">
      <c r="A3393" s="93"/>
      <c r="B3393" s="87" t="s">
        <v>779</v>
      </c>
      <c r="C3393" s="88"/>
      <c r="D3393" s="92"/>
      <c r="E3393" s="89"/>
      <c r="F3393" s="89"/>
      <c r="G3393" s="89"/>
    </row>
    <row r="3394">
      <c r="A3394" s="93"/>
      <c r="B3394" s="87" t="s">
        <v>779</v>
      </c>
      <c r="C3394" s="88"/>
      <c r="D3394" s="92"/>
      <c r="E3394" s="89"/>
      <c r="F3394" s="89"/>
      <c r="G3394" s="89"/>
    </row>
    <row r="3395">
      <c r="A3395" s="93"/>
      <c r="B3395" s="87" t="s">
        <v>779</v>
      </c>
      <c r="C3395" s="88"/>
      <c r="D3395" s="92"/>
      <c r="E3395" s="89"/>
      <c r="F3395" s="89"/>
      <c r="G3395" s="89"/>
    </row>
    <row r="3396">
      <c r="A3396" s="93"/>
      <c r="B3396" s="87" t="s">
        <v>779</v>
      </c>
      <c r="C3396" s="88"/>
      <c r="D3396" s="92"/>
      <c r="E3396" s="89"/>
      <c r="F3396" s="89"/>
      <c r="G3396" s="89"/>
    </row>
    <row r="3397">
      <c r="A3397" s="93"/>
      <c r="B3397" s="87" t="s">
        <v>779</v>
      </c>
      <c r="C3397" s="88"/>
      <c r="D3397" s="92"/>
      <c r="E3397" s="89"/>
      <c r="F3397" s="89"/>
      <c r="G3397" s="89"/>
    </row>
    <row r="3398">
      <c r="A3398" s="93"/>
      <c r="B3398" s="87" t="s">
        <v>779</v>
      </c>
      <c r="C3398" s="88"/>
      <c r="D3398" s="92"/>
      <c r="E3398" s="89"/>
      <c r="F3398" s="89"/>
      <c r="G3398" s="89"/>
    </row>
    <row r="3399">
      <c r="A3399" s="93"/>
      <c r="B3399" s="87" t="s">
        <v>779</v>
      </c>
      <c r="C3399" s="88"/>
      <c r="D3399" s="92"/>
      <c r="E3399" s="89"/>
      <c r="F3399" s="89"/>
      <c r="G3399" s="89"/>
    </row>
    <row r="3400">
      <c r="A3400" s="93"/>
      <c r="B3400" s="87" t="s">
        <v>779</v>
      </c>
      <c r="C3400" s="88"/>
      <c r="D3400" s="92"/>
      <c r="E3400" s="89"/>
      <c r="F3400" s="89"/>
      <c r="G3400" s="89"/>
    </row>
    <row r="3401">
      <c r="A3401" s="93"/>
      <c r="B3401" s="87" t="s">
        <v>779</v>
      </c>
      <c r="C3401" s="88"/>
      <c r="D3401" s="92"/>
      <c r="E3401" s="89"/>
      <c r="F3401" s="89"/>
      <c r="G3401" s="89"/>
    </row>
    <row r="3402">
      <c r="A3402" s="93"/>
      <c r="B3402" s="87" t="s">
        <v>779</v>
      </c>
      <c r="C3402" s="88"/>
      <c r="D3402" s="92"/>
      <c r="E3402" s="89"/>
      <c r="F3402" s="89"/>
      <c r="G3402" s="89"/>
    </row>
    <row r="3403">
      <c r="A3403" s="93"/>
      <c r="B3403" s="87" t="s">
        <v>779</v>
      </c>
      <c r="C3403" s="88"/>
      <c r="D3403" s="92"/>
      <c r="E3403" s="89"/>
      <c r="F3403" s="89"/>
      <c r="G3403" s="89"/>
    </row>
    <row r="3404">
      <c r="A3404" s="93"/>
      <c r="B3404" s="87" t="s">
        <v>779</v>
      </c>
      <c r="C3404" s="88"/>
      <c r="D3404" s="92"/>
      <c r="E3404" s="89"/>
      <c r="F3404" s="89"/>
      <c r="G3404" s="89"/>
    </row>
    <row r="3405">
      <c r="A3405" s="93"/>
      <c r="B3405" s="87" t="s">
        <v>779</v>
      </c>
      <c r="C3405" s="88"/>
      <c r="D3405" s="92"/>
      <c r="E3405" s="89"/>
      <c r="F3405" s="89"/>
      <c r="G3405" s="89"/>
    </row>
    <row r="3406">
      <c r="A3406" s="93"/>
      <c r="B3406" s="87" t="s">
        <v>779</v>
      </c>
      <c r="C3406" s="88"/>
      <c r="D3406" s="92"/>
      <c r="E3406" s="89"/>
      <c r="F3406" s="89"/>
      <c r="G3406" s="89"/>
    </row>
    <row r="3407">
      <c r="A3407" s="93"/>
      <c r="B3407" s="87" t="s">
        <v>779</v>
      </c>
      <c r="C3407" s="88"/>
      <c r="D3407" s="92"/>
      <c r="E3407" s="89"/>
      <c r="F3407" s="89"/>
      <c r="G3407" s="89"/>
    </row>
    <row r="3408">
      <c r="A3408" s="93"/>
      <c r="B3408" s="87" t="s">
        <v>779</v>
      </c>
      <c r="C3408" s="88"/>
      <c r="D3408" s="92"/>
      <c r="E3408" s="89"/>
      <c r="F3408" s="89"/>
      <c r="G3408" s="89"/>
    </row>
    <row r="3409">
      <c r="A3409" s="93"/>
      <c r="B3409" s="87" t="s">
        <v>779</v>
      </c>
      <c r="C3409" s="88"/>
      <c r="D3409" s="92"/>
      <c r="E3409" s="89"/>
      <c r="F3409" s="89"/>
      <c r="G3409" s="89"/>
    </row>
    <row r="3410">
      <c r="A3410" s="93"/>
      <c r="B3410" s="87" t="s">
        <v>779</v>
      </c>
      <c r="C3410" s="88"/>
      <c r="D3410" s="92"/>
      <c r="E3410" s="89"/>
      <c r="F3410" s="89"/>
      <c r="G3410" s="89"/>
    </row>
    <row r="3411">
      <c r="A3411" s="93"/>
      <c r="B3411" s="87" t="s">
        <v>779</v>
      </c>
      <c r="C3411" s="88"/>
      <c r="D3411" s="92"/>
      <c r="E3411" s="89"/>
      <c r="F3411" s="89"/>
      <c r="G3411" s="89"/>
    </row>
    <row r="3412">
      <c r="A3412" s="93"/>
      <c r="B3412" s="87" t="s">
        <v>779</v>
      </c>
      <c r="C3412" s="88"/>
      <c r="D3412" s="92"/>
      <c r="E3412" s="89"/>
      <c r="F3412" s="89"/>
      <c r="G3412" s="89"/>
    </row>
    <row r="3413">
      <c r="A3413" s="93"/>
      <c r="B3413" s="87" t="s">
        <v>779</v>
      </c>
      <c r="C3413" s="88"/>
      <c r="D3413" s="92"/>
      <c r="E3413" s="89"/>
      <c r="F3413" s="89"/>
      <c r="G3413" s="89"/>
    </row>
    <row r="3414">
      <c r="A3414" s="93"/>
      <c r="B3414" s="87" t="s">
        <v>779</v>
      </c>
      <c r="C3414" s="88"/>
      <c r="D3414" s="92"/>
      <c r="E3414" s="89"/>
      <c r="F3414" s="89"/>
      <c r="G3414" s="89"/>
    </row>
    <row r="3415">
      <c r="A3415" s="93"/>
      <c r="B3415" s="87" t="s">
        <v>779</v>
      </c>
      <c r="C3415" s="88"/>
      <c r="D3415" s="92"/>
      <c r="E3415" s="89"/>
      <c r="F3415" s="89"/>
      <c r="G3415" s="89"/>
    </row>
    <row r="3416">
      <c r="A3416" s="93"/>
      <c r="B3416" s="87" t="s">
        <v>779</v>
      </c>
      <c r="C3416" s="88"/>
      <c r="D3416" s="92"/>
      <c r="E3416" s="89"/>
      <c r="F3416" s="89"/>
      <c r="G3416" s="89"/>
    </row>
    <row r="3417">
      <c r="A3417" s="93"/>
      <c r="B3417" s="87" t="s">
        <v>779</v>
      </c>
      <c r="C3417" s="88"/>
      <c r="D3417" s="92"/>
      <c r="E3417" s="89"/>
      <c r="F3417" s="89"/>
      <c r="G3417" s="89"/>
    </row>
    <row r="3418">
      <c r="A3418" s="93"/>
      <c r="B3418" s="87" t="s">
        <v>779</v>
      </c>
      <c r="C3418" s="88"/>
      <c r="D3418" s="92"/>
      <c r="E3418" s="89"/>
      <c r="F3418" s="89"/>
      <c r="G3418" s="89"/>
    </row>
    <row r="3419">
      <c r="A3419" s="93"/>
      <c r="B3419" s="87" t="s">
        <v>779</v>
      </c>
      <c r="C3419" s="88"/>
      <c r="D3419" s="92"/>
      <c r="E3419" s="89"/>
      <c r="F3419" s="89"/>
      <c r="G3419" s="89"/>
    </row>
    <row r="3420">
      <c r="A3420" s="93"/>
      <c r="B3420" s="87" t="s">
        <v>779</v>
      </c>
      <c r="C3420" s="88"/>
      <c r="D3420" s="92"/>
      <c r="E3420" s="89"/>
      <c r="F3420" s="89"/>
      <c r="G3420" s="89"/>
    </row>
    <row r="3421">
      <c r="A3421" s="93"/>
      <c r="B3421" s="87" t="s">
        <v>779</v>
      </c>
      <c r="C3421" s="88"/>
      <c r="D3421" s="92"/>
      <c r="E3421" s="89"/>
      <c r="F3421" s="89"/>
      <c r="G3421" s="89"/>
    </row>
    <row r="3422">
      <c r="A3422" s="93"/>
      <c r="B3422" s="87" t="s">
        <v>779</v>
      </c>
      <c r="C3422" s="88"/>
      <c r="D3422" s="92"/>
      <c r="E3422" s="89"/>
      <c r="F3422" s="89"/>
      <c r="G3422" s="89"/>
    </row>
    <row r="3423">
      <c r="A3423" s="93"/>
      <c r="B3423" s="87" t="s">
        <v>779</v>
      </c>
      <c r="C3423" s="88"/>
      <c r="D3423" s="92"/>
      <c r="E3423" s="89"/>
      <c r="F3423" s="89"/>
      <c r="G3423" s="89"/>
    </row>
    <row r="3424">
      <c r="A3424" s="93"/>
      <c r="B3424" s="87" t="s">
        <v>779</v>
      </c>
      <c r="C3424" s="88"/>
      <c r="D3424" s="92"/>
      <c r="E3424" s="89"/>
      <c r="F3424" s="89"/>
      <c r="G3424" s="89"/>
    </row>
    <row r="3425">
      <c r="A3425" s="93"/>
      <c r="B3425" s="87" t="s">
        <v>779</v>
      </c>
      <c r="C3425" s="88"/>
      <c r="D3425" s="92"/>
      <c r="E3425" s="89"/>
      <c r="F3425" s="89"/>
      <c r="G3425" s="89"/>
    </row>
    <row r="3426">
      <c r="A3426" s="93"/>
      <c r="B3426" s="87" t="s">
        <v>779</v>
      </c>
      <c r="C3426" s="88"/>
      <c r="D3426" s="92"/>
      <c r="E3426" s="89"/>
      <c r="F3426" s="89"/>
      <c r="G3426" s="89"/>
    </row>
    <row r="3427">
      <c r="A3427" s="93"/>
      <c r="B3427" s="87" t="s">
        <v>779</v>
      </c>
      <c r="C3427" s="88"/>
      <c r="D3427" s="92"/>
      <c r="E3427" s="89"/>
      <c r="F3427" s="89"/>
      <c r="G3427" s="89"/>
    </row>
    <row r="3428">
      <c r="A3428" s="93"/>
      <c r="B3428" s="87" t="s">
        <v>779</v>
      </c>
      <c r="C3428" s="88"/>
      <c r="D3428" s="92"/>
      <c r="E3428" s="89"/>
      <c r="F3428" s="89"/>
      <c r="G3428" s="89"/>
    </row>
    <row r="3429">
      <c r="A3429" s="93"/>
      <c r="B3429" s="87" t="s">
        <v>779</v>
      </c>
      <c r="C3429" s="88"/>
      <c r="D3429" s="92"/>
      <c r="E3429" s="89"/>
      <c r="F3429" s="89"/>
      <c r="G3429" s="89"/>
    </row>
    <row r="3430">
      <c r="A3430" s="93"/>
      <c r="B3430" s="87" t="s">
        <v>779</v>
      </c>
      <c r="C3430" s="88"/>
      <c r="D3430" s="92"/>
      <c r="E3430" s="89"/>
      <c r="F3430" s="89"/>
      <c r="G3430" s="89"/>
    </row>
    <row r="3431">
      <c r="A3431" s="93"/>
      <c r="B3431" s="87" t="s">
        <v>779</v>
      </c>
      <c r="C3431" s="88"/>
      <c r="D3431" s="92"/>
      <c r="E3431" s="89"/>
      <c r="F3431" s="89"/>
      <c r="G3431" s="89"/>
    </row>
    <row r="3432">
      <c r="A3432" s="93"/>
      <c r="B3432" s="87" t="s">
        <v>779</v>
      </c>
      <c r="C3432" s="88"/>
      <c r="D3432" s="92"/>
      <c r="E3432" s="89"/>
      <c r="F3432" s="89"/>
      <c r="G3432" s="89"/>
    </row>
    <row r="3433">
      <c r="A3433" s="93"/>
      <c r="B3433" s="87" t="s">
        <v>779</v>
      </c>
      <c r="C3433" s="88"/>
      <c r="D3433" s="92"/>
      <c r="E3433" s="89"/>
      <c r="F3433" s="89"/>
      <c r="G3433" s="89"/>
    </row>
    <row r="3434">
      <c r="A3434" s="93"/>
      <c r="B3434" s="87" t="s">
        <v>779</v>
      </c>
      <c r="C3434" s="88"/>
      <c r="D3434" s="92"/>
      <c r="E3434" s="89"/>
      <c r="F3434" s="89"/>
      <c r="G3434" s="89"/>
    </row>
    <row r="3435">
      <c r="A3435" s="93"/>
      <c r="B3435" s="87" t="s">
        <v>779</v>
      </c>
      <c r="C3435" s="88"/>
      <c r="D3435" s="92"/>
      <c r="E3435" s="89"/>
      <c r="F3435" s="89"/>
      <c r="G3435" s="89"/>
    </row>
    <row r="3436">
      <c r="A3436" s="93"/>
      <c r="B3436" s="87" t="s">
        <v>779</v>
      </c>
      <c r="C3436" s="88"/>
      <c r="D3436" s="92"/>
      <c r="E3436" s="89"/>
      <c r="F3436" s="89"/>
      <c r="G3436" s="89"/>
    </row>
    <row r="3437">
      <c r="A3437" s="93"/>
      <c r="B3437" s="87" t="s">
        <v>779</v>
      </c>
      <c r="C3437" s="88"/>
      <c r="D3437" s="92"/>
      <c r="E3437" s="89"/>
      <c r="F3437" s="89"/>
      <c r="G3437" s="89"/>
    </row>
    <row r="3438">
      <c r="A3438" s="93"/>
      <c r="B3438" s="87" t="s">
        <v>779</v>
      </c>
      <c r="C3438" s="88"/>
      <c r="D3438" s="92"/>
      <c r="E3438" s="89"/>
      <c r="F3438" s="89"/>
      <c r="G3438" s="89"/>
    </row>
    <row r="3439">
      <c r="A3439" s="93"/>
      <c r="B3439" s="87" t="s">
        <v>779</v>
      </c>
      <c r="C3439" s="88"/>
      <c r="D3439" s="92"/>
      <c r="E3439" s="89"/>
      <c r="F3439" s="89"/>
      <c r="G3439" s="89"/>
    </row>
    <row r="3440">
      <c r="A3440" s="93"/>
      <c r="B3440" s="87" t="s">
        <v>779</v>
      </c>
      <c r="C3440" s="88"/>
      <c r="D3440" s="92"/>
      <c r="E3440" s="89"/>
      <c r="F3440" s="89"/>
      <c r="G3440" s="89"/>
    </row>
    <row r="3441">
      <c r="A3441" s="93"/>
      <c r="B3441" s="87" t="s">
        <v>779</v>
      </c>
      <c r="C3441" s="88"/>
      <c r="D3441" s="92"/>
      <c r="E3441" s="89"/>
      <c r="F3441" s="89"/>
      <c r="G3441" s="89"/>
    </row>
    <row r="3442">
      <c r="A3442" s="93"/>
      <c r="B3442" s="87" t="s">
        <v>779</v>
      </c>
      <c r="C3442" s="88"/>
      <c r="D3442" s="92"/>
      <c r="E3442" s="89"/>
      <c r="F3442" s="89"/>
      <c r="G3442" s="89"/>
    </row>
    <row r="3443">
      <c r="A3443" s="93"/>
      <c r="B3443" s="87" t="s">
        <v>779</v>
      </c>
      <c r="C3443" s="88"/>
      <c r="D3443" s="92"/>
      <c r="E3443" s="89"/>
      <c r="F3443" s="89"/>
      <c r="G3443" s="89"/>
    </row>
    <row r="3444">
      <c r="A3444" s="93"/>
      <c r="B3444" s="87" t="s">
        <v>779</v>
      </c>
      <c r="C3444" s="88"/>
      <c r="D3444" s="92"/>
      <c r="E3444" s="89"/>
      <c r="F3444" s="89"/>
      <c r="G3444" s="89"/>
    </row>
    <row r="3445">
      <c r="A3445" s="93"/>
      <c r="B3445" s="87" t="s">
        <v>779</v>
      </c>
      <c r="C3445" s="88"/>
      <c r="D3445" s="92"/>
      <c r="E3445" s="89"/>
      <c r="F3445" s="89"/>
      <c r="G3445" s="89"/>
    </row>
    <row r="3446">
      <c r="A3446" s="93"/>
      <c r="B3446" s="87" t="s">
        <v>779</v>
      </c>
      <c r="C3446" s="88"/>
      <c r="D3446" s="92"/>
      <c r="E3446" s="89"/>
      <c r="F3446" s="89"/>
      <c r="G3446" s="89"/>
    </row>
    <row r="3447">
      <c r="A3447" s="93"/>
      <c r="B3447" s="87" t="s">
        <v>779</v>
      </c>
      <c r="C3447" s="88"/>
      <c r="D3447" s="92"/>
      <c r="E3447" s="89"/>
      <c r="F3447" s="89"/>
      <c r="G3447" s="89"/>
    </row>
    <row r="3448">
      <c r="A3448" s="93"/>
      <c r="B3448" s="87" t="s">
        <v>779</v>
      </c>
      <c r="C3448" s="88"/>
      <c r="D3448" s="92"/>
      <c r="E3448" s="89"/>
      <c r="F3448" s="89"/>
      <c r="G3448" s="89"/>
    </row>
    <row r="3449">
      <c r="A3449" s="93"/>
      <c r="B3449" s="87" t="s">
        <v>779</v>
      </c>
      <c r="C3449" s="88"/>
      <c r="D3449" s="92"/>
      <c r="E3449" s="89"/>
      <c r="F3449" s="89"/>
      <c r="G3449" s="89"/>
    </row>
    <row r="3450">
      <c r="A3450" s="93"/>
      <c r="B3450" s="87" t="s">
        <v>779</v>
      </c>
      <c r="C3450" s="88"/>
      <c r="D3450" s="92"/>
      <c r="E3450" s="89"/>
      <c r="F3450" s="89"/>
      <c r="G3450" s="89"/>
    </row>
    <row r="3451">
      <c r="A3451" s="93"/>
      <c r="B3451" s="87" t="s">
        <v>779</v>
      </c>
      <c r="C3451" s="88"/>
      <c r="D3451" s="92"/>
      <c r="E3451" s="89"/>
      <c r="F3451" s="89"/>
      <c r="G3451" s="89"/>
    </row>
    <row r="3452">
      <c r="A3452" s="93"/>
      <c r="B3452" s="87" t="s">
        <v>779</v>
      </c>
      <c r="C3452" s="88"/>
      <c r="D3452" s="92"/>
      <c r="E3452" s="89"/>
      <c r="F3452" s="89"/>
      <c r="G3452" s="89"/>
    </row>
    <row r="3453">
      <c r="A3453" s="93"/>
      <c r="B3453" s="87" t="s">
        <v>779</v>
      </c>
      <c r="C3453" s="88"/>
      <c r="D3453" s="92"/>
      <c r="E3453" s="89"/>
      <c r="F3453" s="89"/>
      <c r="G3453" s="89"/>
    </row>
    <row r="3454">
      <c r="A3454" s="93"/>
      <c r="B3454" s="87" t="s">
        <v>779</v>
      </c>
      <c r="C3454" s="88"/>
      <c r="D3454" s="92"/>
      <c r="E3454" s="89"/>
      <c r="F3454" s="89"/>
      <c r="G3454" s="89"/>
    </row>
    <row r="3455">
      <c r="A3455" s="93"/>
      <c r="B3455" s="87" t="s">
        <v>779</v>
      </c>
      <c r="C3455" s="88"/>
      <c r="D3455" s="92"/>
      <c r="E3455" s="89"/>
      <c r="F3455" s="89"/>
      <c r="G3455" s="89"/>
    </row>
    <row r="3456">
      <c r="A3456" s="93"/>
      <c r="B3456" s="87" t="s">
        <v>779</v>
      </c>
      <c r="C3456" s="88"/>
      <c r="D3456" s="92"/>
      <c r="E3456" s="89"/>
      <c r="F3456" s="89"/>
      <c r="G3456" s="89"/>
    </row>
    <row r="3457">
      <c r="A3457" s="93"/>
      <c r="B3457" s="87" t="s">
        <v>779</v>
      </c>
      <c r="C3457" s="88"/>
      <c r="D3457" s="92"/>
      <c r="E3457" s="89"/>
      <c r="F3457" s="89"/>
      <c r="G3457" s="89"/>
    </row>
    <row r="3458">
      <c r="A3458" s="93"/>
      <c r="B3458" s="87" t="s">
        <v>779</v>
      </c>
      <c r="C3458" s="88"/>
      <c r="D3458" s="92"/>
      <c r="E3458" s="89"/>
      <c r="F3458" s="89"/>
      <c r="G3458" s="89"/>
    </row>
    <row r="3459">
      <c r="A3459" s="93"/>
      <c r="B3459" s="87" t="s">
        <v>779</v>
      </c>
      <c r="C3459" s="88"/>
      <c r="D3459" s="92"/>
      <c r="E3459" s="89"/>
      <c r="F3459" s="89"/>
      <c r="G3459" s="89"/>
    </row>
    <row r="3460">
      <c r="A3460" s="93"/>
      <c r="B3460" s="87" t="s">
        <v>779</v>
      </c>
      <c r="C3460" s="88"/>
      <c r="D3460" s="92"/>
      <c r="E3460" s="89"/>
      <c r="F3460" s="89"/>
      <c r="G3460" s="89"/>
    </row>
    <row r="3461">
      <c r="A3461" s="93"/>
      <c r="B3461" s="87" t="s">
        <v>779</v>
      </c>
      <c r="C3461" s="88"/>
      <c r="D3461" s="92"/>
      <c r="E3461" s="89"/>
      <c r="F3461" s="89"/>
      <c r="G3461" s="89"/>
    </row>
    <row r="3462">
      <c r="A3462" s="93"/>
      <c r="B3462" s="87" t="s">
        <v>779</v>
      </c>
      <c r="C3462" s="88"/>
      <c r="D3462" s="92"/>
      <c r="E3462" s="89"/>
      <c r="F3462" s="89"/>
      <c r="G3462" s="89"/>
    </row>
    <row r="3463">
      <c r="A3463" s="93"/>
      <c r="B3463" s="87" t="s">
        <v>779</v>
      </c>
      <c r="C3463" s="88"/>
      <c r="D3463" s="92"/>
      <c r="E3463" s="89"/>
      <c r="F3463" s="89"/>
      <c r="G3463" s="89"/>
    </row>
    <row r="3464">
      <c r="A3464" s="93"/>
      <c r="B3464" s="87" t="s">
        <v>779</v>
      </c>
      <c r="C3464" s="88"/>
      <c r="D3464" s="92"/>
      <c r="E3464" s="89"/>
      <c r="F3464" s="89"/>
      <c r="G3464" s="89"/>
    </row>
    <row r="3465">
      <c r="A3465" s="93"/>
      <c r="B3465" s="87" t="s">
        <v>779</v>
      </c>
      <c r="C3465" s="88"/>
      <c r="D3465" s="92"/>
      <c r="E3465" s="89"/>
      <c r="F3465" s="89"/>
      <c r="G3465" s="89"/>
    </row>
    <row r="3466">
      <c r="A3466" s="93"/>
      <c r="B3466" s="87" t="s">
        <v>779</v>
      </c>
      <c r="C3466" s="88"/>
      <c r="D3466" s="92"/>
      <c r="E3466" s="89"/>
      <c r="F3466" s="89"/>
      <c r="G3466" s="89"/>
    </row>
    <row r="3467">
      <c r="A3467" s="93"/>
      <c r="B3467" s="87" t="s">
        <v>779</v>
      </c>
      <c r="C3467" s="88"/>
      <c r="D3467" s="92"/>
      <c r="E3467" s="89"/>
      <c r="F3467" s="89"/>
      <c r="G3467" s="89"/>
    </row>
    <row r="3468">
      <c r="A3468" s="93"/>
      <c r="B3468" s="87" t="s">
        <v>779</v>
      </c>
      <c r="C3468" s="88"/>
      <c r="D3468" s="92"/>
      <c r="E3468" s="89"/>
      <c r="F3468" s="89"/>
      <c r="G3468" s="89"/>
    </row>
    <row r="3469">
      <c r="A3469" s="93"/>
      <c r="B3469" s="87" t="s">
        <v>779</v>
      </c>
      <c r="C3469" s="88"/>
      <c r="D3469" s="92"/>
      <c r="E3469" s="89"/>
      <c r="F3469" s="89"/>
      <c r="G3469" s="89"/>
    </row>
    <row r="3470">
      <c r="A3470" s="93"/>
      <c r="B3470" s="87" t="s">
        <v>779</v>
      </c>
      <c r="C3470" s="88"/>
      <c r="D3470" s="92"/>
      <c r="E3470" s="89"/>
      <c r="F3470" s="89"/>
      <c r="G3470" s="89"/>
    </row>
    <row r="3471">
      <c r="A3471" s="93"/>
      <c r="B3471" s="87" t="s">
        <v>779</v>
      </c>
      <c r="C3471" s="88"/>
      <c r="D3471" s="92"/>
      <c r="E3471" s="89"/>
      <c r="F3471" s="89"/>
      <c r="G3471" s="89"/>
    </row>
    <row r="3472">
      <c r="A3472" s="93"/>
      <c r="B3472" s="87" t="s">
        <v>779</v>
      </c>
      <c r="C3472" s="88"/>
      <c r="D3472" s="92"/>
      <c r="E3472" s="89"/>
      <c r="F3472" s="89"/>
      <c r="G3472" s="89"/>
    </row>
    <row r="3473">
      <c r="A3473" s="93"/>
      <c r="B3473" s="87" t="s">
        <v>779</v>
      </c>
      <c r="C3473" s="88"/>
      <c r="D3473" s="92"/>
      <c r="E3473" s="89"/>
      <c r="F3473" s="89"/>
      <c r="G3473" s="89"/>
    </row>
    <row r="3474">
      <c r="A3474" s="93"/>
      <c r="B3474" s="87" t="s">
        <v>779</v>
      </c>
      <c r="C3474" s="88"/>
      <c r="D3474" s="92"/>
      <c r="E3474" s="89"/>
      <c r="F3474" s="89"/>
      <c r="G3474" s="89"/>
    </row>
    <row r="3475">
      <c r="A3475" s="93"/>
      <c r="B3475" s="87" t="s">
        <v>779</v>
      </c>
      <c r="C3475" s="88"/>
      <c r="D3475" s="92"/>
      <c r="E3475" s="89"/>
      <c r="F3475" s="89"/>
      <c r="G3475" s="89"/>
    </row>
    <row r="3476">
      <c r="A3476" s="93"/>
      <c r="B3476" s="87" t="s">
        <v>779</v>
      </c>
      <c r="C3476" s="88"/>
      <c r="D3476" s="92"/>
      <c r="E3476" s="89"/>
      <c r="F3476" s="89"/>
      <c r="G3476" s="89"/>
    </row>
    <row r="3477">
      <c r="A3477" s="93"/>
      <c r="B3477" s="87" t="s">
        <v>779</v>
      </c>
      <c r="C3477" s="88"/>
      <c r="D3477" s="92"/>
      <c r="E3477" s="89"/>
      <c r="F3477" s="89"/>
      <c r="G3477" s="89"/>
    </row>
    <row r="3478">
      <c r="A3478" s="93"/>
      <c r="B3478" s="87" t="s">
        <v>779</v>
      </c>
      <c r="C3478" s="88"/>
      <c r="D3478" s="92"/>
      <c r="E3478" s="89"/>
      <c r="F3478" s="89"/>
      <c r="G3478" s="89"/>
    </row>
    <row r="3479">
      <c r="A3479" s="93"/>
      <c r="B3479" s="87" t="s">
        <v>779</v>
      </c>
      <c r="C3479" s="88"/>
      <c r="D3479" s="92"/>
      <c r="E3479" s="89"/>
      <c r="F3479" s="89"/>
      <c r="G3479" s="89"/>
    </row>
    <row r="3480">
      <c r="A3480" s="93"/>
      <c r="B3480" s="87" t="s">
        <v>779</v>
      </c>
      <c r="C3480" s="88"/>
      <c r="D3480" s="92"/>
      <c r="E3480" s="89"/>
      <c r="F3480" s="89"/>
      <c r="G3480" s="89"/>
    </row>
    <row r="3481">
      <c r="A3481" s="93"/>
      <c r="B3481" s="87" t="s">
        <v>779</v>
      </c>
      <c r="C3481" s="88"/>
      <c r="D3481" s="92"/>
      <c r="E3481" s="89"/>
      <c r="F3481" s="89"/>
      <c r="G3481" s="89"/>
    </row>
    <row r="3482">
      <c r="A3482" s="93"/>
      <c r="B3482" s="87" t="s">
        <v>779</v>
      </c>
      <c r="C3482" s="88"/>
      <c r="D3482" s="92"/>
      <c r="E3482" s="89"/>
      <c r="F3482" s="89"/>
      <c r="G3482" s="89"/>
    </row>
    <row r="3483">
      <c r="A3483" s="93"/>
      <c r="B3483" s="87" t="s">
        <v>779</v>
      </c>
      <c r="C3483" s="88"/>
      <c r="D3483" s="92"/>
      <c r="E3483" s="89"/>
      <c r="F3483" s="89"/>
      <c r="G3483" s="89"/>
    </row>
    <row r="3484">
      <c r="A3484" s="93"/>
      <c r="B3484" s="87" t="s">
        <v>779</v>
      </c>
      <c r="C3484" s="88"/>
      <c r="D3484" s="92"/>
      <c r="E3484" s="89"/>
      <c r="F3484" s="89"/>
      <c r="G3484" s="89"/>
    </row>
    <row r="3485">
      <c r="A3485" s="93"/>
      <c r="B3485" s="87" t="s">
        <v>779</v>
      </c>
      <c r="C3485" s="88"/>
      <c r="D3485" s="92"/>
      <c r="E3485" s="89"/>
      <c r="F3485" s="89"/>
      <c r="G3485" s="89"/>
    </row>
    <row r="3486">
      <c r="A3486" s="93"/>
      <c r="B3486" s="87" t="s">
        <v>779</v>
      </c>
      <c r="C3486" s="88"/>
      <c r="D3486" s="92"/>
      <c r="E3486" s="89"/>
      <c r="F3486" s="89"/>
      <c r="G3486" s="89"/>
    </row>
    <row r="3487">
      <c r="A3487" s="93"/>
      <c r="B3487" s="87" t="s">
        <v>779</v>
      </c>
      <c r="C3487" s="88"/>
      <c r="D3487" s="92"/>
      <c r="E3487" s="89"/>
      <c r="F3487" s="89"/>
      <c r="G3487" s="89"/>
    </row>
    <row r="3488">
      <c r="A3488" s="93"/>
      <c r="B3488" s="87" t="s">
        <v>779</v>
      </c>
      <c r="C3488" s="88"/>
      <c r="D3488" s="92"/>
      <c r="E3488" s="89"/>
      <c r="F3488" s="89"/>
      <c r="G3488" s="89"/>
    </row>
    <row r="3489">
      <c r="A3489" s="93"/>
      <c r="B3489" s="87" t="s">
        <v>779</v>
      </c>
      <c r="C3489" s="88"/>
      <c r="D3489" s="92"/>
      <c r="E3489" s="89"/>
      <c r="F3489" s="89"/>
      <c r="G3489" s="89"/>
    </row>
    <row r="3490">
      <c r="A3490" s="93"/>
      <c r="B3490" s="87" t="s">
        <v>779</v>
      </c>
      <c r="C3490" s="88"/>
      <c r="D3490" s="92"/>
      <c r="E3490" s="89"/>
      <c r="F3490" s="89"/>
      <c r="G3490" s="89"/>
    </row>
    <row r="3491">
      <c r="A3491" s="93"/>
      <c r="B3491" s="87" t="s">
        <v>779</v>
      </c>
      <c r="C3491" s="88"/>
      <c r="D3491" s="92"/>
      <c r="E3491" s="89"/>
      <c r="F3491" s="89"/>
      <c r="G3491" s="89"/>
    </row>
    <row r="3492">
      <c r="A3492" s="93"/>
      <c r="B3492" s="87" t="s">
        <v>779</v>
      </c>
      <c r="C3492" s="88"/>
      <c r="D3492" s="92"/>
      <c r="E3492" s="89"/>
      <c r="F3492" s="89"/>
      <c r="G3492" s="89"/>
    </row>
    <row r="3493">
      <c r="A3493" s="93"/>
      <c r="B3493" s="87" t="s">
        <v>779</v>
      </c>
      <c r="C3493" s="88"/>
      <c r="D3493" s="92"/>
      <c r="E3493" s="89"/>
      <c r="F3493" s="89"/>
      <c r="G3493" s="89"/>
    </row>
    <row r="3494">
      <c r="A3494" s="93"/>
      <c r="B3494" s="87" t="s">
        <v>779</v>
      </c>
      <c r="C3494" s="88"/>
      <c r="D3494" s="92"/>
      <c r="E3494" s="89"/>
      <c r="F3494" s="89"/>
      <c r="G3494" s="89"/>
    </row>
    <row r="3495">
      <c r="A3495" s="93"/>
      <c r="B3495" s="87" t="s">
        <v>779</v>
      </c>
      <c r="C3495" s="88"/>
      <c r="D3495" s="92"/>
      <c r="E3495" s="89"/>
      <c r="F3495" s="89"/>
      <c r="G3495" s="89"/>
    </row>
    <row r="3496">
      <c r="A3496" s="93"/>
      <c r="B3496" s="87" t="s">
        <v>779</v>
      </c>
      <c r="C3496" s="88"/>
      <c r="D3496" s="92"/>
      <c r="E3496" s="89"/>
      <c r="F3496" s="89"/>
      <c r="G3496" s="89"/>
    </row>
    <row r="3497">
      <c r="A3497" s="93"/>
      <c r="B3497" s="87" t="s">
        <v>779</v>
      </c>
      <c r="C3497" s="88"/>
      <c r="D3497" s="92"/>
      <c r="E3497" s="89"/>
      <c r="F3497" s="89"/>
      <c r="G3497" s="89"/>
    </row>
    <row r="3498">
      <c r="A3498" s="93"/>
      <c r="B3498" s="87" t="s">
        <v>779</v>
      </c>
      <c r="C3498" s="88"/>
      <c r="D3498" s="92"/>
      <c r="E3498" s="89"/>
      <c r="F3498" s="89"/>
      <c r="G3498" s="89"/>
    </row>
    <row r="3499">
      <c r="A3499" s="93"/>
      <c r="B3499" s="87" t="s">
        <v>779</v>
      </c>
      <c r="C3499" s="88"/>
      <c r="D3499" s="92"/>
      <c r="E3499" s="89"/>
      <c r="F3499" s="89"/>
      <c r="G3499" s="89"/>
    </row>
    <row r="3500">
      <c r="A3500" s="93"/>
      <c r="B3500" s="87" t="s">
        <v>779</v>
      </c>
      <c r="C3500" s="88"/>
      <c r="D3500" s="92"/>
      <c r="E3500" s="89"/>
      <c r="F3500" s="89"/>
      <c r="G3500" s="89"/>
    </row>
    <row r="3501">
      <c r="A3501" s="93"/>
      <c r="B3501" s="87" t="s">
        <v>779</v>
      </c>
      <c r="C3501" s="88"/>
      <c r="D3501" s="92"/>
      <c r="E3501" s="89"/>
      <c r="F3501" s="89"/>
      <c r="G3501" s="89"/>
    </row>
    <row r="3502">
      <c r="A3502" s="93"/>
      <c r="B3502" s="87" t="s">
        <v>779</v>
      </c>
      <c r="C3502" s="88"/>
      <c r="D3502" s="92"/>
      <c r="E3502" s="89"/>
      <c r="F3502" s="89"/>
      <c r="G3502" s="89"/>
    </row>
    <row r="3503">
      <c r="A3503" s="93"/>
      <c r="B3503" s="87" t="s">
        <v>779</v>
      </c>
      <c r="C3503" s="88"/>
      <c r="D3503" s="92"/>
      <c r="E3503" s="89"/>
      <c r="F3503" s="89"/>
      <c r="G3503" s="89"/>
    </row>
    <row r="3504">
      <c r="A3504" s="93"/>
      <c r="B3504" s="87" t="s">
        <v>779</v>
      </c>
      <c r="C3504" s="88"/>
      <c r="D3504" s="92"/>
      <c r="E3504" s="89"/>
      <c r="F3504" s="89"/>
      <c r="G3504" s="89"/>
    </row>
    <row r="3505">
      <c r="A3505" s="93"/>
      <c r="B3505" s="87" t="s">
        <v>779</v>
      </c>
      <c r="C3505" s="88"/>
      <c r="D3505" s="92"/>
      <c r="E3505" s="89"/>
      <c r="F3505" s="89"/>
      <c r="G3505" s="89"/>
    </row>
    <row r="3506">
      <c r="A3506" s="93"/>
      <c r="B3506" s="87" t="s">
        <v>779</v>
      </c>
      <c r="C3506" s="88"/>
      <c r="D3506" s="92"/>
      <c r="E3506" s="89"/>
      <c r="F3506" s="89"/>
      <c r="G3506" s="89"/>
    </row>
    <row r="3507">
      <c r="A3507" s="93"/>
      <c r="B3507" s="87" t="s">
        <v>779</v>
      </c>
      <c r="C3507" s="88"/>
      <c r="D3507" s="92"/>
      <c r="E3507" s="89"/>
      <c r="F3507" s="89"/>
      <c r="G3507" s="89"/>
    </row>
    <row r="3508">
      <c r="A3508" s="93"/>
      <c r="B3508" s="87" t="s">
        <v>779</v>
      </c>
      <c r="C3508" s="88"/>
      <c r="D3508" s="92"/>
      <c r="E3508" s="89"/>
      <c r="F3508" s="89"/>
      <c r="G3508" s="89"/>
    </row>
    <row r="3509">
      <c r="A3509" s="93"/>
      <c r="B3509" s="87" t="s">
        <v>779</v>
      </c>
      <c r="C3509" s="88"/>
      <c r="D3509" s="92"/>
      <c r="E3509" s="89"/>
      <c r="F3509" s="89"/>
      <c r="G3509" s="89"/>
    </row>
    <row r="3510">
      <c r="A3510" s="93"/>
      <c r="B3510" s="87" t="s">
        <v>779</v>
      </c>
      <c r="C3510" s="88"/>
      <c r="D3510" s="92"/>
      <c r="E3510" s="89"/>
      <c r="F3510" s="89"/>
      <c r="G3510" s="89"/>
    </row>
    <row r="3511">
      <c r="A3511" s="93"/>
      <c r="B3511" s="87" t="s">
        <v>779</v>
      </c>
      <c r="C3511" s="88"/>
      <c r="D3511" s="92"/>
      <c r="E3511" s="89"/>
      <c r="F3511" s="89"/>
      <c r="G3511" s="89"/>
    </row>
    <row r="3512">
      <c r="A3512" s="93"/>
      <c r="B3512" s="87" t="s">
        <v>779</v>
      </c>
      <c r="C3512" s="88"/>
      <c r="D3512" s="92"/>
      <c r="E3512" s="89"/>
      <c r="F3512" s="89"/>
      <c r="G3512" s="89"/>
    </row>
    <row r="3513">
      <c r="A3513" s="93"/>
      <c r="B3513" s="87" t="s">
        <v>779</v>
      </c>
      <c r="C3513" s="88"/>
      <c r="D3513" s="92"/>
      <c r="E3513" s="89"/>
      <c r="F3513" s="89"/>
      <c r="G3513" s="89"/>
    </row>
    <row r="3514">
      <c r="A3514" s="93"/>
      <c r="B3514" s="87" t="s">
        <v>779</v>
      </c>
      <c r="C3514" s="88"/>
      <c r="D3514" s="92"/>
      <c r="E3514" s="89"/>
      <c r="F3514" s="89"/>
      <c r="G3514" s="89"/>
    </row>
    <row r="3515">
      <c r="A3515" s="93"/>
      <c r="B3515" s="87" t="s">
        <v>779</v>
      </c>
      <c r="C3515" s="88"/>
      <c r="D3515" s="92"/>
      <c r="E3515" s="89"/>
      <c r="F3515" s="89"/>
      <c r="G3515" s="89"/>
    </row>
    <row r="3516">
      <c r="A3516" s="93"/>
      <c r="B3516" s="87" t="s">
        <v>779</v>
      </c>
      <c r="C3516" s="88"/>
      <c r="D3516" s="92"/>
      <c r="E3516" s="89"/>
      <c r="F3516" s="89"/>
      <c r="G3516" s="89"/>
    </row>
    <row r="3517">
      <c r="A3517" s="93"/>
      <c r="B3517" s="87" t="s">
        <v>779</v>
      </c>
      <c r="C3517" s="88"/>
      <c r="D3517" s="92"/>
      <c r="E3517" s="89"/>
      <c r="F3517" s="89"/>
      <c r="G3517" s="89"/>
    </row>
    <row r="3518">
      <c r="A3518" s="93"/>
      <c r="B3518" s="87" t="s">
        <v>779</v>
      </c>
      <c r="C3518" s="88"/>
      <c r="D3518" s="92"/>
      <c r="E3518" s="89"/>
      <c r="F3518" s="89"/>
      <c r="G3518" s="89"/>
    </row>
    <row r="3519">
      <c r="A3519" s="93"/>
      <c r="B3519" s="87" t="s">
        <v>779</v>
      </c>
      <c r="C3519" s="88"/>
      <c r="D3519" s="92"/>
      <c r="E3519" s="89"/>
      <c r="F3519" s="89"/>
      <c r="G3519" s="89"/>
    </row>
    <row r="3520">
      <c r="A3520" s="93"/>
      <c r="B3520" s="87" t="s">
        <v>779</v>
      </c>
      <c r="C3520" s="88"/>
      <c r="D3520" s="92"/>
      <c r="E3520" s="89"/>
      <c r="F3520" s="89"/>
      <c r="G3520" s="89"/>
    </row>
    <row r="3521">
      <c r="A3521" s="93"/>
      <c r="B3521" s="87" t="s">
        <v>779</v>
      </c>
      <c r="C3521" s="88"/>
      <c r="D3521" s="92"/>
      <c r="E3521" s="89"/>
      <c r="F3521" s="89"/>
      <c r="G3521" s="89"/>
    </row>
    <row r="3522">
      <c r="A3522" s="93"/>
      <c r="B3522" s="87" t="s">
        <v>779</v>
      </c>
      <c r="C3522" s="88"/>
      <c r="D3522" s="92"/>
      <c r="E3522" s="89"/>
      <c r="F3522" s="89"/>
      <c r="G3522" s="89"/>
    </row>
    <row r="3523">
      <c r="A3523" s="93"/>
      <c r="B3523" s="87" t="s">
        <v>779</v>
      </c>
      <c r="C3523" s="88"/>
      <c r="D3523" s="92"/>
      <c r="E3523" s="89"/>
      <c r="F3523" s="89"/>
      <c r="G3523" s="89"/>
    </row>
    <row r="3524">
      <c r="A3524" s="93"/>
      <c r="B3524" s="87" t="s">
        <v>779</v>
      </c>
      <c r="C3524" s="88"/>
      <c r="D3524" s="92"/>
      <c r="E3524" s="89"/>
      <c r="F3524" s="89"/>
      <c r="G3524" s="89"/>
    </row>
    <row r="3525">
      <c r="A3525" s="93"/>
      <c r="B3525" s="87" t="s">
        <v>779</v>
      </c>
      <c r="C3525" s="88"/>
      <c r="D3525" s="92"/>
      <c r="E3525" s="89"/>
      <c r="F3525" s="89"/>
      <c r="G3525" s="89"/>
    </row>
    <row r="3526">
      <c r="A3526" s="93"/>
      <c r="B3526" s="87" t="s">
        <v>779</v>
      </c>
      <c r="C3526" s="88"/>
      <c r="D3526" s="92"/>
      <c r="E3526" s="89"/>
      <c r="F3526" s="89"/>
      <c r="G3526" s="89"/>
    </row>
    <row r="3527">
      <c r="A3527" s="93"/>
      <c r="B3527" s="87" t="s">
        <v>779</v>
      </c>
      <c r="C3527" s="88"/>
      <c r="D3527" s="92"/>
      <c r="E3527" s="89"/>
      <c r="F3527" s="89"/>
      <c r="G3527" s="89"/>
    </row>
    <row r="3528">
      <c r="A3528" s="93"/>
      <c r="B3528" s="87" t="s">
        <v>779</v>
      </c>
      <c r="C3528" s="88"/>
      <c r="D3528" s="92"/>
      <c r="E3528" s="89"/>
      <c r="F3528" s="89"/>
      <c r="G3528" s="89"/>
    </row>
    <row r="3529">
      <c r="A3529" s="93"/>
      <c r="B3529" s="87" t="s">
        <v>779</v>
      </c>
      <c r="C3529" s="88"/>
      <c r="D3529" s="92"/>
      <c r="E3529" s="89"/>
      <c r="F3529" s="89"/>
      <c r="G3529" s="89"/>
    </row>
    <row r="3530">
      <c r="A3530" s="93"/>
      <c r="B3530" s="87" t="s">
        <v>779</v>
      </c>
      <c r="C3530" s="88"/>
      <c r="D3530" s="92"/>
      <c r="E3530" s="89"/>
      <c r="F3530" s="89"/>
      <c r="G3530" s="89"/>
    </row>
    <row r="3531">
      <c r="A3531" s="93"/>
      <c r="B3531" s="87" t="s">
        <v>779</v>
      </c>
      <c r="C3531" s="88"/>
      <c r="D3531" s="92"/>
      <c r="E3531" s="89"/>
      <c r="F3531" s="89"/>
      <c r="G3531" s="89"/>
    </row>
    <row r="3532">
      <c r="A3532" s="93"/>
      <c r="B3532" s="87" t="s">
        <v>779</v>
      </c>
      <c r="C3532" s="88"/>
      <c r="D3532" s="92"/>
      <c r="E3532" s="89"/>
      <c r="F3532" s="89"/>
      <c r="G3532" s="89"/>
    </row>
    <row r="3533">
      <c r="A3533" s="93"/>
      <c r="B3533" s="87" t="s">
        <v>779</v>
      </c>
      <c r="C3533" s="88"/>
      <c r="D3533" s="92"/>
      <c r="E3533" s="89"/>
      <c r="F3533" s="89"/>
      <c r="G3533" s="89"/>
    </row>
    <row r="3534">
      <c r="A3534" s="93"/>
      <c r="B3534" s="87" t="s">
        <v>779</v>
      </c>
      <c r="C3534" s="88"/>
      <c r="D3534" s="92"/>
      <c r="E3534" s="89"/>
      <c r="F3534" s="89"/>
      <c r="G3534" s="89"/>
    </row>
    <row r="3535">
      <c r="A3535" s="93"/>
      <c r="B3535" s="87" t="s">
        <v>779</v>
      </c>
      <c r="C3535" s="88"/>
      <c r="D3535" s="92"/>
      <c r="E3535" s="89"/>
      <c r="F3535" s="89"/>
      <c r="G3535" s="89"/>
    </row>
    <row r="3536">
      <c r="A3536" s="93"/>
      <c r="B3536" s="87" t="s">
        <v>779</v>
      </c>
      <c r="C3536" s="88"/>
      <c r="D3536" s="92"/>
      <c r="E3536" s="89"/>
      <c r="F3536" s="89"/>
      <c r="G3536" s="89"/>
    </row>
    <row r="3537">
      <c r="A3537" s="93"/>
      <c r="B3537" s="87" t="s">
        <v>779</v>
      </c>
      <c r="C3537" s="88"/>
      <c r="D3537" s="92"/>
      <c r="E3537" s="89"/>
      <c r="F3537" s="89"/>
      <c r="G3537" s="89"/>
    </row>
    <row r="3538">
      <c r="A3538" s="93"/>
      <c r="B3538" s="87" t="s">
        <v>779</v>
      </c>
      <c r="C3538" s="88"/>
      <c r="D3538" s="92"/>
      <c r="E3538" s="89"/>
      <c r="F3538" s="89"/>
      <c r="G3538" s="89"/>
    </row>
    <row r="3539">
      <c r="A3539" s="93"/>
      <c r="B3539" s="87" t="s">
        <v>779</v>
      </c>
      <c r="C3539" s="88"/>
      <c r="D3539" s="92"/>
      <c r="E3539" s="89"/>
      <c r="F3539" s="89"/>
      <c r="G3539" s="89"/>
    </row>
    <row r="3540">
      <c r="A3540" s="93"/>
      <c r="B3540" s="87" t="s">
        <v>779</v>
      </c>
      <c r="C3540" s="88"/>
      <c r="D3540" s="92"/>
      <c r="E3540" s="89"/>
      <c r="F3540" s="89"/>
      <c r="G3540" s="89"/>
    </row>
    <row r="3541">
      <c r="A3541" s="93"/>
      <c r="B3541" s="87" t="s">
        <v>779</v>
      </c>
      <c r="C3541" s="88"/>
      <c r="D3541" s="92"/>
      <c r="E3541" s="89"/>
      <c r="F3541" s="89"/>
      <c r="G3541" s="89"/>
    </row>
    <row r="3542">
      <c r="A3542" s="93"/>
      <c r="B3542" s="87" t="s">
        <v>779</v>
      </c>
      <c r="C3542" s="88"/>
      <c r="D3542" s="92"/>
      <c r="E3542" s="89"/>
      <c r="F3542" s="89"/>
      <c r="G3542" s="89"/>
    </row>
    <row r="3543">
      <c r="A3543" s="93"/>
      <c r="B3543" s="87" t="s">
        <v>779</v>
      </c>
      <c r="C3543" s="88"/>
      <c r="D3543" s="92"/>
      <c r="E3543" s="89"/>
      <c r="F3543" s="89"/>
      <c r="G3543" s="89"/>
    </row>
    <row r="3544">
      <c r="A3544" s="93"/>
      <c r="B3544" s="87" t="s">
        <v>779</v>
      </c>
      <c r="C3544" s="88"/>
      <c r="D3544" s="92"/>
      <c r="E3544" s="89"/>
      <c r="F3544" s="89"/>
      <c r="G3544" s="89"/>
    </row>
    <row r="3545">
      <c r="A3545" s="93"/>
      <c r="B3545" s="87" t="s">
        <v>779</v>
      </c>
      <c r="C3545" s="88"/>
      <c r="D3545" s="92"/>
      <c r="E3545" s="89"/>
      <c r="F3545" s="89"/>
      <c r="G3545" s="89"/>
    </row>
    <row r="3546">
      <c r="A3546" s="93"/>
      <c r="B3546" s="87" t="s">
        <v>779</v>
      </c>
      <c r="C3546" s="88"/>
      <c r="D3546" s="92"/>
      <c r="E3546" s="89"/>
      <c r="F3546" s="89"/>
      <c r="G3546" s="89"/>
    </row>
    <row r="3547">
      <c r="A3547" s="93"/>
      <c r="B3547" s="87" t="s">
        <v>779</v>
      </c>
      <c r="C3547" s="88"/>
      <c r="D3547" s="92"/>
      <c r="E3547" s="89"/>
      <c r="F3547" s="89"/>
      <c r="G3547" s="89"/>
    </row>
    <row r="3548">
      <c r="A3548" s="93"/>
      <c r="B3548" s="87" t="s">
        <v>779</v>
      </c>
      <c r="C3548" s="88"/>
      <c r="D3548" s="92"/>
      <c r="E3548" s="89"/>
      <c r="F3548" s="89"/>
      <c r="G3548" s="89"/>
    </row>
    <row r="3549">
      <c r="A3549" s="93"/>
      <c r="B3549" s="87" t="s">
        <v>779</v>
      </c>
      <c r="C3549" s="88"/>
      <c r="D3549" s="92"/>
      <c r="E3549" s="89"/>
      <c r="F3549" s="89"/>
      <c r="G3549" s="89"/>
    </row>
    <row r="3550">
      <c r="A3550" s="93"/>
      <c r="B3550" s="87" t="s">
        <v>779</v>
      </c>
      <c r="C3550" s="88"/>
      <c r="D3550" s="92"/>
      <c r="E3550" s="89"/>
      <c r="F3550" s="89"/>
      <c r="G3550" s="89"/>
    </row>
    <row r="3551">
      <c r="A3551" s="93"/>
      <c r="B3551" s="87" t="s">
        <v>779</v>
      </c>
      <c r="C3551" s="88"/>
      <c r="D3551" s="92"/>
      <c r="E3551" s="89"/>
      <c r="F3551" s="89"/>
      <c r="G3551" s="89"/>
    </row>
    <row r="3552">
      <c r="A3552" s="93"/>
      <c r="B3552" s="87" t="s">
        <v>779</v>
      </c>
      <c r="C3552" s="88"/>
      <c r="D3552" s="92"/>
      <c r="E3552" s="89"/>
      <c r="F3552" s="89"/>
      <c r="G3552" s="89"/>
    </row>
    <row r="3553">
      <c r="A3553" s="93"/>
      <c r="B3553" s="87" t="s">
        <v>779</v>
      </c>
      <c r="C3553" s="88"/>
      <c r="D3553" s="92"/>
      <c r="E3553" s="89"/>
      <c r="F3553" s="89"/>
      <c r="G3553" s="89"/>
    </row>
    <row r="3554">
      <c r="A3554" s="93"/>
      <c r="B3554" s="87" t="s">
        <v>779</v>
      </c>
      <c r="C3554" s="88"/>
      <c r="D3554" s="92"/>
      <c r="E3554" s="89"/>
      <c r="F3554" s="89"/>
      <c r="G3554" s="89"/>
    </row>
    <row r="3555">
      <c r="A3555" s="93"/>
      <c r="B3555" s="87" t="s">
        <v>779</v>
      </c>
      <c r="C3555" s="88"/>
      <c r="D3555" s="92"/>
      <c r="E3555" s="89"/>
      <c r="F3555" s="89"/>
      <c r="G3555" s="89"/>
    </row>
    <row r="3556">
      <c r="A3556" s="93"/>
      <c r="B3556" s="87" t="s">
        <v>779</v>
      </c>
      <c r="C3556" s="88"/>
      <c r="D3556" s="92"/>
      <c r="E3556" s="89"/>
      <c r="F3556" s="89"/>
      <c r="G3556" s="89"/>
    </row>
    <row r="3557">
      <c r="A3557" s="93"/>
      <c r="B3557" s="87" t="s">
        <v>779</v>
      </c>
      <c r="C3557" s="88"/>
      <c r="D3557" s="92"/>
      <c r="E3557" s="89"/>
      <c r="F3557" s="89"/>
      <c r="G3557" s="89"/>
    </row>
    <row r="3558">
      <c r="A3558" s="93"/>
      <c r="B3558" s="87" t="s">
        <v>779</v>
      </c>
      <c r="C3558" s="88"/>
      <c r="D3558" s="92"/>
      <c r="E3558" s="89"/>
      <c r="F3558" s="89"/>
      <c r="G3558" s="89"/>
    </row>
    <row r="3559">
      <c r="A3559" s="93"/>
      <c r="B3559" s="87" t="s">
        <v>779</v>
      </c>
      <c r="C3559" s="88"/>
      <c r="D3559" s="92"/>
      <c r="E3559" s="89"/>
      <c r="F3559" s="89"/>
      <c r="G3559" s="89"/>
    </row>
    <row r="3560">
      <c r="A3560" s="93"/>
      <c r="B3560" s="87" t="s">
        <v>779</v>
      </c>
      <c r="C3560" s="88"/>
      <c r="D3560" s="92"/>
      <c r="E3560" s="89"/>
      <c r="F3560" s="89"/>
      <c r="G3560" s="89"/>
    </row>
    <row r="3561">
      <c r="A3561" s="93"/>
      <c r="B3561" s="87" t="s">
        <v>779</v>
      </c>
      <c r="C3561" s="88"/>
      <c r="D3561" s="92"/>
      <c r="E3561" s="89"/>
      <c r="F3561" s="89"/>
      <c r="G3561" s="89"/>
    </row>
    <row r="3562">
      <c r="A3562" s="93"/>
      <c r="B3562" s="87" t="s">
        <v>779</v>
      </c>
      <c r="C3562" s="88"/>
      <c r="D3562" s="92"/>
      <c r="E3562" s="89"/>
      <c r="F3562" s="89"/>
      <c r="G3562" s="89"/>
    </row>
    <row r="3563">
      <c r="A3563" s="93"/>
      <c r="B3563" s="87" t="s">
        <v>779</v>
      </c>
      <c r="C3563" s="88"/>
      <c r="D3563" s="92"/>
      <c r="E3563" s="89"/>
      <c r="F3563" s="89"/>
      <c r="G3563" s="89"/>
    </row>
    <row r="3564">
      <c r="A3564" s="93"/>
      <c r="B3564" s="87" t="s">
        <v>779</v>
      </c>
      <c r="C3564" s="88"/>
      <c r="D3564" s="92"/>
      <c r="E3564" s="89"/>
      <c r="F3564" s="89"/>
      <c r="G3564" s="89"/>
    </row>
    <row r="3565">
      <c r="A3565" s="93"/>
      <c r="B3565" s="87" t="s">
        <v>779</v>
      </c>
      <c r="C3565" s="88"/>
      <c r="D3565" s="92"/>
      <c r="E3565" s="89"/>
      <c r="F3565" s="89"/>
      <c r="G3565" s="89"/>
    </row>
    <row r="3566">
      <c r="A3566" s="93"/>
      <c r="B3566" s="87" t="s">
        <v>779</v>
      </c>
      <c r="C3566" s="88"/>
      <c r="D3566" s="92"/>
      <c r="E3566" s="89"/>
      <c r="F3566" s="89"/>
      <c r="G3566" s="89"/>
    </row>
    <row r="3567">
      <c r="A3567" s="93"/>
      <c r="B3567" s="87" t="s">
        <v>779</v>
      </c>
      <c r="C3567" s="88"/>
      <c r="D3567" s="92"/>
      <c r="E3567" s="89"/>
      <c r="F3567" s="89"/>
      <c r="G3567" s="89"/>
    </row>
    <row r="3568">
      <c r="A3568" s="93"/>
      <c r="B3568" s="87" t="s">
        <v>779</v>
      </c>
      <c r="C3568" s="88"/>
      <c r="D3568" s="92"/>
      <c r="E3568" s="89"/>
      <c r="F3568" s="89"/>
      <c r="G3568" s="89"/>
    </row>
    <row r="3569">
      <c r="A3569" s="93"/>
      <c r="B3569" s="87" t="s">
        <v>779</v>
      </c>
      <c r="C3569" s="88"/>
      <c r="D3569" s="92"/>
      <c r="E3569" s="89"/>
      <c r="F3569" s="89"/>
      <c r="G3569" s="89"/>
    </row>
    <row r="3570">
      <c r="A3570" s="93"/>
      <c r="B3570" s="87" t="s">
        <v>779</v>
      </c>
      <c r="C3570" s="88"/>
      <c r="D3570" s="92"/>
      <c r="E3570" s="89"/>
      <c r="F3570" s="89"/>
      <c r="G3570" s="89"/>
    </row>
    <row r="3571">
      <c r="A3571" s="93"/>
      <c r="B3571" s="87" t="s">
        <v>779</v>
      </c>
      <c r="C3571" s="88"/>
      <c r="D3571" s="92"/>
      <c r="E3571" s="89"/>
      <c r="F3571" s="89"/>
      <c r="G3571" s="89"/>
    </row>
    <row r="3572">
      <c r="A3572" s="93"/>
      <c r="B3572" s="87" t="s">
        <v>779</v>
      </c>
      <c r="C3572" s="88"/>
      <c r="D3572" s="92"/>
      <c r="E3572" s="89"/>
      <c r="F3572" s="89"/>
      <c r="G3572" s="89"/>
    </row>
    <row r="3573">
      <c r="A3573" s="93"/>
      <c r="B3573" s="87" t="s">
        <v>779</v>
      </c>
      <c r="C3573" s="88"/>
      <c r="D3573" s="92"/>
      <c r="E3573" s="89"/>
      <c r="F3573" s="89"/>
      <c r="G3573" s="89"/>
    </row>
    <row r="3574">
      <c r="A3574" s="93"/>
      <c r="B3574" s="87" t="s">
        <v>779</v>
      </c>
      <c r="C3574" s="88"/>
      <c r="D3574" s="92"/>
      <c r="E3574" s="89"/>
      <c r="F3574" s="89"/>
      <c r="G3574" s="89"/>
    </row>
    <row r="3575">
      <c r="A3575" s="93"/>
      <c r="B3575" s="87" t="s">
        <v>779</v>
      </c>
      <c r="C3575" s="88"/>
      <c r="D3575" s="92"/>
      <c r="E3575" s="89"/>
      <c r="F3575" s="89"/>
      <c r="G3575" s="89"/>
    </row>
    <row r="3576">
      <c r="A3576" s="93"/>
      <c r="B3576" s="87" t="s">
        <v>779</v>
      </c>
      <c r="C3576" s="88"/>
      <c r="D3576" s="92"/>
      <c r="E3576" s="89"/>
      <c r="F3576" s="89"/>
      <c r="G3576" s="89"/>
    </row>
    <row r="3577">
      <c r="A3577" s="93"/>
      <c r="B3577" s="87" t="s">
        <v>779</v>
      </c>
      <c r="C3577" s="88"/>
      <c r="D3577" s="92"/>
      <c r="E3577" s="89"/>
      <c r="F3577" s="89"/>
      <c r="G3577" s="89"/>
    </row>
    <row r="3578">
      <c r="A3578" s="93"/>
      <c r="B3578" s="87" t="s">
        <v>779</v>
      </c>
      <c r="C3578" s="88"/>
      <c r="D3578" s="92"/>
      <c r="E3578" s="89"/>
      <c r="F3578" s="89"/>
      <c r="G3578" s="89"/>
    </row>
    <row r="3579">
      <c r="A3579" s="93"/>
      <c r="B3579" s="87" t="s">
        <v>779</v>
      </c>
      <c r="C3579" s="88"/>
      <c r="D3579" s="92"/>
      <c r="E3579" s="89"/>
      <c r="F3579" s="89"/>
      <c r="G3579" s="89"/>
    </row>
    <row r="3580">
      <c r="A3580" s="93"/>
      <c r="B3580" s="87" t="s">
        <v>779</v>
      </c>
      <c r="C3580" s="88"/>
      <c r="D3580" s="92"/>
      <c r="E3580" s="89"/>
      <c r="F3580" s="89"/>
      <c r="G3580" s="89"/>
    </row>
    <row r="3581">
      <c r="A3581" s="93"/>
      <c r="B3581" s="87" t="s">
        <v>779</v>
      </c>
      <c r="C3581" s="88"/>
      <c r="D3581" s="92"/>
      <c r="E3581" s="89"/>
      <c r="F3581" s="89"/>
      <c r="G3581" s="89"/>
    </row>
    <row r="3582">
      <c r="A3582" s="93"/>
      <c r="B3582" s="87" t="s">
        <v>779</v>
      </c>
      <c r="C3582" s="88"/>
      <c r="D3582" s="92"/>
      <c r="E3582" s="89"/>
      <c r="F3582" s="89"/>
      <c r="G3582" s="89"/>
    </row>
    <row r="3583">
      <c r="A3583" s="93"/>
      <c r="B3583" s="87" t="s">
        <v>779</v>
      </c>
      <c r="C3583" s="88"/>
      <c r="D3583" s="92"/>
      <c r="E3583" s="89"/>
      <c r="F3583" s="89"/>
      <c r="G3583" s="89"/>
    </row>
    <row r="3584">
      <c r="A3584" s="93"/>
      <c r="B3584" s="87" t="s">
        <v>779</v>
      </c>
      <c r="C3584" s="88"/>
      <c r="D3584" s="92"/>
      <c r="E3584" s="89"/>
      <c r="F3584" s="89"/>
      <c r="G3584" s="89"/>
    </row>
    <row r="3585">
      <c r="A3585" s="93"/>
      <c r="B3585" s="87" t="s">
        <v>779</v>
      </c>
      <c r="C3585" s="88"/>
      <c r="D3585" s="92"/>
      <c r="E3585" s="89"/>
      <c r="F3585" s="89"/>
      <c r="G3585" s="89"/>
    </row>
    <row r="3586">
      <c r="A3586" s="93"/>
      <c r="B3586" s="87" t="s">
        <v>779</v>
      </c>
      <c r="C3586" s="88"/>
      <c r="D3586" s="92"/>
      <c r="E3586" s="89"/>
      <c r="F3586" s="89"/>
      <c r="G3586" s="89"/>
    </row>
    <row r="3587">
      <c r="A3587" s="93"/>
      <c r="B3587" s="87" t="s">
        <v>779</v>
      </c>
      <c r="C3587" s="88"/>
      <c r="D3587" s="92"/>
      <c r="E3587" s="89"/>
      <c r="F3587" s="89"/>
      <c r="G3587" s="89"/>
    </row>
    <row r="3588">
      <c r="A3588" s="93"/>
      <c r="B3588" s="87" t="s">
        <v>779</v>
      </c>
      <c r="C3588" s="88"/>
      <c r="D3588" s="92"/>
      <c r="E3588" s="89"/>
      <c r="F3588" s="89"/>
      <c r="G3588" s="89"/>
    </row>
    <row r="3589">
      <c r="A3589" s="93"/>
      <c r="B3589" s="87" t="s">
        <v>779</v>
      </c>
      <c r="C3589" s="88"/>
      <c r="D3589" s="92"/>
      <c r="E3589" s="89"/>
      <c r="F3589" s="89"/>
      <c r="G3589" s="89"/>
    </row>
    <row r="3590">
      <c r="A3590" s="93"/>
      <c r="B3590" s="87" t="s">
        <v>779</v>
      </c>
      <c r="C3590" s="88"/>
      <c r="D3590" s="92"/>
      <c r="E3590" s="89"/>
      <c r="F3590" s="89"/>
      <c r="G3590" s="89"/>
    </row>
    <row r="3591">
      <c r="A3591" s="93"/>
      <c r="B3591" s="87" t="s">
        <v>779</v>
      </c>
      <c r="C3591" s="88"/>
      <c r="D3591" s="92"/>
      <c r="E3591" s="89"/>
      <c r="F3591" s="89"/>
      <c r="G3591" s="89"/>
    </row>
    <row r="3592">
      <c r="A3592" s="93"/>
      <c r="B3592" s="87" t="s">
        <v>779</v>
      </c>
      <c r="C3592" s="88"/>
      <c r="D3592" s="92"/>
      <c r="E3592" s="89"/>
      <c r="F3592" s="89"/>
      <c r="G3592" s="89"/>
    </row>
    <row r="3593">
      <c r="A3593" s="93"/>
      <c r="B3593" s="87" t="s">
        <v>779</v>
      </c>
      <c r="C3593" s="88"/>
      <c r="D3593" s="92"/>
      <c r="E3593" s="89"/>
      <c r="F3593" s="89"/>
      <c r="G3593" s="89"/>
    </row>
    <row r="3594">
      <c r="A3594" s="93"/>
      <c r="B3594" s="87" t="s">
        <v>779</v>
      </c>
      <c r="C3594" s="88"/>
      <c r="D3594" s="92"/>
      <c r="E3594" s="89"/>
      <c r="F3594" s="89"/>
      <c r="G3594" s="89"/>
    </row>
    <row r="3595">
      <c r="A3595" s="93"/>
      <c r="B3595" s="87" t="s">
        <v>779</v>
      </c>
      <c r="C3595" s="88"/>
      <c r="D3595" s="92"/>
      <c r="E3595" s="89"/>
      <c r="F3595" s="89"/>
      <c r="G3595" s="89"/>
    </row>
    <row r="3596">
      <c r="A3596" s="93"/>
      <c r="B3596" s="87" t="s">
        <v>779</v>
      </c>
      <c r="C3596" s="88"/>
      <c r="D3596" s="92"/>
      <c r="E3596" s="89"/>
      <c r="F3596" s="89"/>
      <c r="G3596" s="89"/>
    </row>
    <row r="3597">
      <c r="A3597" s="93"/>
      <c r="B3597" s="87" t="s">
        <v>779</v>
      </c>
      <c r="C3597" s="88"/>
      <c r="D3597" s="92"/>
      <c r="E3597" s="89"/>
      <c r="F3597" s="89"/>
      <c r="G3597" s="89"/>
    </row>
    <row r="3598">
      <c r="A3598" s="93"/>
      <c r="B3598" s="87" t="s">
        <v>779</v>
      </c>
      <c r="C3598" s="88"/>
      <c r="D3598" s="92"/>
      <c r="E3598" s="89"/>
      <c r="F3598" s="89"/>
      <c r="G3598" s="89"/>
    </row>
    <row r="3599">
      <c r="A3599" s="93"/>
      <c r="B3599" s="87" t="s">
        <v>779</v>
      </c>
      <c r="C3599" s="88"/>
      <c r="D3599" s="92"/>
      <c r="E3599" s="89"/>
      <c r="F3599" s="89"/>
      <c r="G3599" s="89"/>
    </row>
    <row r="3600">
      <c r="A3600" s="93"/>
      <c r="B3600" s="87" t="s">
        <v>779</v>
      </c>
      <c r="C3600" s="88"/>
      <c r="D3600" s="92"/>
      <c r="E3600" s="89"/>
      <c r="F3600" s="89"/>
      <c r="G3600" s="89"/>
    </row>
    <row r="3601">
      <c r="A3601" s="93"/>
      <c r="B3601" s="87" t="s">
        <v>779</v>
      </c>
      <c r="C3601" s="88"/>
      <c r="D3601" s="92"/>
      <c r="E3601" s="89"/>
      <c r="F3601" s="89"/>
      <c r="G3601" s="89"/>
    </row>
    <row r="3602">
      <c r="A3602" s="93"/>
      <c r="B3602" s="87" t="s">
        <v>779</v>
      </c>
      <c r="C3602" s="88"/>
      <c r="D3602" s="92"/>
      <c r="E3602" s="89"/>
      <c r="F3602" s="89"/>
      <c r="G3602" s="89"/>
    </row>
    <row r="3603">
      <c r="A3603" s="93"/>
      <c r="B3603" s="87" t="s">
        <v>779</v>
      </c>
      <c r="C3603" s="88"/>
      <c r="D3603" s="92"/>
      <c r="E3603" s="89"/>
      <c r="F3603" s="89"/>
      <c r="G3603" s="89"/>
    </row>
    <row r="3604">
      <c r="A3604" s="93"/>
      <c r="B3604" s="87" t="s">
        <v>779</v>
      </c>
      <c r="C3604" s="88"/>
      <c r="D3604" s="92"/>
      <c r="E3604" s="89"/>
      <c r="F3604" s="89"/>
      <c r="G3604" s="89"/>
    </row>
    <row r="3605">
      <c r="A3605" s="93"/>
      <c r="B3605" s="87" t="s">
        <v>779</v>
      </c>
      <c r="C3605" s="88"/>
      <c r="D3605" s="92"/>
      <c r="E3605" s="89"/>
      <c r="F3605" s="89"/>
      <c r="G3605" s="89"/>
    </row>
    <row r="3606">
      <c r="A3606" s="93"/>
      <c r="B3606" s="87" t="s">
        <v>779</v>
      </c>
      <c r="C3606" s="88"/>
      <c r="D3606" s="92"/>
      <c r="E3606" s="89"/>
      <c r="F3606" s="89"/>
      <c r="G3606" s="89"/>
    </row>
    <row r="3607">
      <c r="A3607" s="93"/>
      <c r="B3607" s="87" t="s">
        <v>779</v>
      </c>
      <c r="C3607" s="88"/>
      <c r="D3607" s="92"/>
      <c r="E3607" s="89"/>
      <c r="F3607" s="89"/>
      <c r="G3607" s="89"/>
    </row>
    <row r="3608">
      <c r="A3608" s="93"/>
      <c r="B3608" s="87" t="s">
        <v>779</v>
      </c>
      <c r="C3608" s="88"/>
      <c r="D3608" s="92"/>
      <c r="E3608" s="89"/>
      <c r="F3608" s="89"/>
      <c r="G3608" s="89"/>
    </row>
    <row r="3609">
      <c r="A3609" s="93"/>
      <c r="B3609" s="87" t="s">
        <v>779</v>
      </c>
      <c r="C3609" s="88"/>
      <c r="D3609" s="92"/>
      <c r="E3609" s="89"/>
      <c r="F3609" s="89"/>
      <c r="G3609" s="89"/>
    </row>
    <row r="3610">
      <c r="A3610" s="93"/>
      <c r="B3610" s="87" t="s">
        <v>779</v>
      </c>
      <c r="C3610" s="88"/>
      <c r="D3610" s="92"/>
      <c r="E3610" s="89"/>
      <c r="F3610" s="89"/>
      <c r="G3610" s="89"/>
    </row>
    <row r="3611">
      <c r="A3611" s="93"/>
      <c r="B3611" s="87" t="s">
        <v>779</v>
      </c>
      <c r="C3611" s="88"/>
      <c r="D3611" s="92"/>
      <c r="E3611" s="89"/>
      <c r="F3611" s="89"/>
      <c r="G3611" s="89"/>
    </row>
    <row r="3612">
      <c r="A3612" s="93"/>
      <c r="B3612" s="87" t="s">
        <v>779</v>
      </c>
      <c r="C3612" s="88"/>
      <c r="D3612" s="92"/>
      <c r="E3612" s="89"/>
      <c r="F3612" s="89"/>
      <c r="G3612" s="89"/>
    </row>
    <row r="3613">
      <c r="A3613" s="93"/>
      <c r="B3613" s="87" t="s">
        <v>779</v>
      </c>
      <c r="C3613" s="88"/>
      <c r="D3613" s="92"/>
      <c r="E3613" s="89"/>
      <c r="F3613" s="89"/>
      <c r="G3613" s="89"/>
    </row>
    <row r="3614">
      <c r="A3614" s="93"/>
      <c r="B3614" s="87" t="s">
        <v>779</v>
      </c>
      <c r="C3614" s="88"/>
      <c r="D3614" s="92"/>
      <c r="E3614" s="89"/>
      <c r="F3614" s="89"/>
      <c r="G3614" s="89"/>
    </row>
    <row r="3615">
      <c r="A3615" s="93"/>
      <c r="B3615" s="87" t="s">
        <v>779</v>
      </c>
      <c r="C3615" s="88"/>
      <c r="D3615" s="92"/>
      <c r="E3615" s="89"/>
      <c r="F3615" s="89"/>
      <c r="G3615" s="89"/>
    </row>
    <row r="3616">
      <c r="A3616" s="93"/>
      <c r="B3616" s="87" t="s">
        <v>779</v>
      </c>
      <c r="C3616" s="88"/>
      <c r="D3616" s="92"/>
      <c r="E3616" s="89"/>
      <c r="F3616" s="89"/>
      <c r="G3616" s="89"/>
    </row>
    <row r="3617">
      <c r="A3617" s="93"/>
      <c r="B3617" s="87" t="s">
        <v>779</v>
      </c>
      <c r="C3617" s="88"/>
      <c r="D3617" s="92"/>
      <c r="E3617" s="89"/>
      <c r="F3617" s="89"/>
      <c r="G3617" s="89"/>
    </row>
    <row r="3618">
      <c r="A3618" s="93"/>
      <c r="B3618" s="87" t="s">
        <v>779</v>
      </c>
      <c r="C3618" s="88"/>
      <c r="D3618" s="92"/>
      <c r="E3618" s="89"/>
      <c r="F3618" s="89"/>
      <c r="G3618" s="89"/>
    </row>
    <row r="3619">
      <c r="A3619" s="93"/>
      <c r="B3619" s="87" t="s">
        <v>779</v>
      </c>
      <c r="C3619" s="88"/>
      <c r="D3619" s="92"/>
      <c r="E3619" s="89"/>
      <c r="F3619" s="89"/>
      <c r="G3619" s="89"/>
    </row>
    <row r="3620">
      <c r="A3620" s="93"/>
      <c r="B3620" s="87" t="s">
        <v>779</v>
      </c>
      <c r="C3620" s="88"/>
      <c r="D3620" s="92"/>
      <c r="E3620" s="89"/>
      <c r="F3620" s="89"/>
      <c r="G3620" s="89"/>
    </row>
    <row r="3621">
      <c r="A3621" s="93"/>
      <c r="B3621" s="87" t="s">
        <v>779</v>
      </c>
      <c r="C3621" s="88"/>
      <c r="D3621" s="92"/>
      <c r="E3621" s="89"/>
      <c r="F3621" s="89"/>
      <c r="G3621" s="89"/>
    </row>
    <row r="3622">
      <c r="A3622" s="93"/>
      <c r="B3622" s="87" t="s">
        <v>779</v>
      </c>
      <c r="C3622" s="88"/>
      <c r="D3622" s="92"/>
      <c r="E3622" s="89"/>
      <c r="F3622" s="89"/>
      <c r="G3622" s="89"/>
    </row>
    <row r="3623">
      <c r="A3623" s="93"/>
      <c r="B3623" s="87" t="s">
        <v>779</v>
      </c>
      <c r="C3623" s="88"/>
      <c r="D3623" s="92"/>
      <c r="E3623" s="89"/>
      <c r="F3623" s="89"/>
      <c r="G3623" s="89"/>
    </row>
    <row r="3624">
      <c r="A3624" s="93"/>
      <c r="B3624" s="87" t="s">
        <v>779</v>
      </c>
      <c r="C3624" s="88"/>
      <c r="D3624" s="92"/>
      <c r="E3624" s="89"/>
      <c r="F3624" s="89"/>
      <c r="G3624" s="89"/>
    </row>
    <row r="3625">
      <c r="A3625" s="93"/>
      <c r="B3625" s="87" t="s">
        <v>779</v>
      </c>
      <c r="C3625" s="88"/>
      <c r="D3625" s="92"/>
      <c r="E3625" s="89"/>
      <c r="F3625" s="89"/>
      <c r="G3625" s="89"/>
    </row>
    <row r="3626">
      <c r="A3626" s="93"/>
      <c r="B3626" s="87" t="s">
        <v>779</v>
      </c>
      <c r="C3626" s="88"/>
      <c r="D3626" s="92"/>
      <c r="E3626" s="89"/>
      <c r="F3626" s="89"/>
      <c r="G3626" s="89"/>
    </row>
    <row r="3627">
      <c r="A3627" s="93"/>
      <c r="B3627" s="87" t="s">
        <v>779</v>
      </c>
      <c r="C3627" s="88"/>
      <c r="D3627" s="92"/>
      <c r="E3627" s="89"/>
      <c r="F3627" s="89"/>
      <c r="G3627" s="89"/>
    </row>
    <row r="3628">
      <c r="A3628" s="93"/>
      <c r="B3628" s="87" t="s">
        <v>779</v>
      </c>
      <c r="C3628" s="88"/>
      <c r="D3628" s="92"/>
      <c r="E3628" s="89"/>
      <c r="F3628" s="89"/>
      <c r="G3628" s="89"/>
    </row>
    <row r="3629">
      <c r="A3629" s="93"/>
      <c r="B3629" s="87" t="s">
        <v>779</v>
      </c>
      <c r="C3629" s="88"/>
      <c r="D3629" s="92"/>
      <c r="E3629" s="89"/>
      <c r="F3629" s="89"/>
      <c r="G3629" s="89"/>
    </row>
    <row r="3630">
      <c r="A3630" s="93"/>
      <c r="B3630" s="87" t="s">
        <v>779</v>
      </c>
      <c r="C3630" s="88"/>
      <c r="D3630" s="92"/>
      <c r="E3630" s="89"/>
      <c r="F3630" s="89"/>
      <c r="G3630" s="89"/>
    </row>
    <row r="3631">
      <c r="A3631" s="93"/>
      <c r="B3631" s="87" t="s">
        <v>779</v>
      </c>
      <c r="C3631" s="88"/>
      <c r="D3631" s="92"/>
      <c r="E3631" s="89"/>
      <c r="F3631" s="89"/>
      <c r="G3631" s="89"/>
    </row>
    <row r="3632">
      <c r="A3632" s="93"/>
      <c r="B3632" s="87" t="s">
        <v>779</v>
      </c>
      <c r="C3632" s="88"/>
      <c r="D3632" s="92"/>
      <c r="E3632" s="89"/>
      <c r="F3632" s="89"/>
      <c r="G3632" s="89"/>
    </row>
    <row r="3633">
      <c r="A3633" s="93"/>
      <c r="B3633" s="87" t="s">
        <v>779</v>
      </c>
      <c r="C3633" s="88"/>
      <c r="D3633" s="92"/>
      <c r="E3633" s="89"/>
      <c r="F3633" s="89"/>
      <c r="G3633" s="89"/>
    </row>
    <row r="3634">
      <c r="A3634" s="93"/>
      <c r="B3634" s="87" t="s">
        <v>779</v>
      </c>
      <c r="C3634" s="88"/>
      <c r="D3634" s="92"/>
      <c r="E3634" s="89"/>
      <c r="F3634" s="89"/>
      <c r="G3634" s="89"/>
    </row>
    <row r="3635">
      <c r="A3635" s="93"/>
      <c r="B3635" s="87" t="s">
        <v>779</v>
      </c>
      <c r="C3635" s="88"/>
      <c r="D3635" s="92"/>
      <c r="E3635" s="89"/>
      <c r="F3635" s="89"/>
      <c r="G3635" s="89"/>
    </row>
    <row r="3636">
      <c r="A3636" s="93"/>
      <c r="B3636" s="87" t="s">
        <v>779</v>
      </c>
      <c r="C3636" s="88"/>
      <c r="D3636" s="92"/>
      <c r="E3636" s="89"/>
      <c r="F3636" s="89"/>
      <c r="G3636" s="89"/>
    </row>
    <row r="3637">
      <c r="A3637" s="93"/>
      <c r="B3637" s="87" t="s">
        <v>779</v>
      </c>
      <c r="C3637" s="88"/>
      <c r="D3637" s="92"/>
      <c r="E3637" s="89"/>
      <c r="F3637" s="89"/>
      <c r="G3637" s="89"/>
    </row>
    <row r="3638">
      <c r="A3638" s="93"/>
      <c r="B3638" s="87" t="s">
        <v>779</v>
      </c>
      <c r="C3638" s="88"/>
      <c r="D3638" s="92"/>
      <c r="E3638" s="89"/>
      <c r="F3638" s="89"/>
      <c r="G3638" s="89"/>
    </row>
    <row r="3639">
      <c r="A3639" s="93"/>
      <c r="B3639" s="87" t="s">
        <v>779</v>
      </c>
      <c r="C3639" s="88"/>
      <c r="D3639" s="92"/>
      <c r="E3639" s="89"/>
      <c r="F3639" s="89"/>
      <c r="G3639" s="89"/>
    </row>
    <row r="3640">
      <c r="A3640" s="93"/>
      <c r="B3640" s="87" t="s">
        <v>779</v>
      </c>
      <c r="C3640" s="88"/>
      <c r="D3640" s="92"/>
      <c r="E3640" s="89"/>
      <c r="F3640" s="89"/>
      <c r="G3640" s="89"/>
    </row>
    <row r="3641">
      <c r="A3641" s="93"/>
      <c r="B3641" s="87" t="s">
        <v>779</v>
      </c>
      <c r="C3641" s="88"/>
      <c r="D3641" s="92"/>
      <c r="E3641" s="89"/>
      <c r="F3641" s="89"/>
      <c r="G3641" s="89"/>
    </row>
    <row r="3642">
      <c r="A3642" s="93"/>
      <c r="B3642" s="87" t="s">
        <v>779</v>
      </c>
      <c r="C3642" s="88"/>
      <c r="D3642" s="92"/>
      <c r="E3642" s="89"/>
      <c r="F3642" s="89"/>
      <c r="G3642" s="89"/>
    </row>
    <row r="3643">
      <c r="A3643" s="93"/>
      <c r="B3643" s="87" t="s">
        <v>779</v>
      </c>
      <c r="C3643" s="88"/>
      <c r="D3643" s="92"/>
      <c r="E3643" s="89"/>
      <c r="F3643" s="89"/>
      <c r="G3643" s="89"/>
    </row>
    <row r="3644">
      <c r="A3644" s="93"/>
      <c r="B3644" s="87" t="s">
        <v>779</v>
      </c>
      <c r="C3644" s="88"/>
      <c r="D3644" s="92"/>
      <c r="E3644" s="89"/>
      <c r="F3644" s="89"/>
      <c r="G3644" s="89"/>
    </row>
    <row r="3645">
      <c r="A3645" s="93"/>
      <c r="B3645" s="87" t="s">
        <v>779</v>
      </c>
      <c r="C3645" s="88"/>
      <c r="D3645" s="92"/>
      <c r="E3645" s="89"/>
      <c r="F3645" s="89"/>
      <c r="G3645" s="89"/>
    </row>
    <row r="3646">
      <c r="A3646" s="93"/>
      <c r="B3646" s="87" t="s">
        <v>779</v>
      </c>
      <c r="C3646" s="88"/>
      <c r="D3646" s="92"/>
      <c r="E3646" s="89"/>
      <c r="F3646" s="89"/>
      <c r="G3646" s="89"/>
    </row>
    <row r="3647">
      <c r="A3647" s="93"/>
      <c r="B3647" s="87" t="s">
        <v>779</v>
      </c>
      <c r="C3647" s="88"/>
      <c r="D3647" s="92"/>
      <c r="E3647" s="89"/>
      <c r="F3647" s="89"/>
      <c r="G3647" s="89"/>
    </row>
    <row r="3648">
      <c r="A3648" s="93"/>
      <c r="B3648" s="87" t="s">
        <v>779</v>
      </c>
      <c r="C3648" s="88"/>
      <c r="D3648" s="92"/>
      <c r="E3648" s="89"/>
      <c r="F3648" s="89"/>
      <c r="G3648" s="89"/>
    </row>
    <row r="3649">
      <c r="A3649" s="93"/>
      <c r="B3649" s="87" t="s">
        <v>779</v>
      </c>
      <c r="C3649" s="88"/>
      <c r="D3649" s="92"/>
      <c r="E3649" s="89"/>
      <c r="F3649" s="89"/>
      <c r="G3649" s="89"/>
    </row>
    <row r="3650">
      <c r="A3650" s="93"/>
      <c r="B3650" s="87" t="s">
        <v>779</v>
      </c>
      <c r="C3650" s="88"/>
      <c r="D3650" s="92"/>
      <c r="E3650" s="89"/>
      <c r="F3650" s="89"/>
      <c r="G3650" s="89"/>
    </row>
    <row r="3651">
      <c r="A3651" s="93"/>
      <c r="B3651" s="87" t="s">
        <v>779</v>
      </c>
      <c r="C3651" s="88"/>
      <c r="D3651" s="92"/>
      <c r="E3651" s="89"/>
      <c r="F3651" s="89"/>
      <c r="G3651" s="89"/>
    </row>
    <row r="3652">
      <c r="A3652" s="93"/>
      <c r="B3652" s="87" t="s">
        <v>779</v>
      </c>
      <c r="C3652" s="88"/>
      <c r="D3652" s="92"/>
      <c r="E3652" s="89"/>
      <c r="F3652" s="89"/>
      <c r="G3652" s="89"/>
    </row>
    <row r="3653">
      <c r="A3653" s="93"/>
      <c r="B3653" s="87" t="s">
        <v>779</v>
      </c>
      <c r="C3653" s="88"/>
      <c r="D3653" s="92"/>
      <c r="E3653" s="89"/>
      <c r="F3653" s="89"/>
      <c r="G3653" s="89"/>
    </row>
    <row r="3654">
      <c r="A3654" s="93"/>
      <c r="B3654" s="87" t="s">
        <v>779</v>
      </c>
      <c r="C3654" s="88"/>
      <c r="D3654" s="92"/>
      <c r="E3654" s="89"/>
      <c r="F3654" s="89"/>
      <c r="G3654" s="89"/>
    </row>
    <row r="3655">
      <c r="A3655" s="93"/>
      <c r="B3655" s="87" t="s">
        <v>779</v>
      </c>
      <c r="C3655" s="88"/>
      <c r="D3655" s="92"/>
      <c r="E3655" s="89"/>
      <c r="F3655" s="89"/>
      <c r="G3655" s="89"/>
    </row>
    <row r="3656">
      <c r="A3656" s="93"/>
      <c r="B3656" s="87" t="s">
        <v>779</v>
      </c>
      <c r="C3656" s="88"/>
      <c r="D3656" s="92"/>
      <c r="E3656" s="89"/>
      <c r="F3656" s="89"/>
      <c r="G3656" s="89"/>
    </row>
    <row r="3657">
      <c r="A3657" s="93"/>
      <c r="B3657" s="87" t="s">
        <v>779</v>
      </c>
      <c r="C3657" s="88"/>
      <c r="D3657" s="92"/>
      <c r="E3657" s="89"/>
      <c r="F3657" s="89"/>
      <c r="G3657" s="89"/>
    </row>
    <row r="3658">
      <c r="A3658" s="93"/>
      <c r="B3658" s="87" t="s">
        <v>779</v>
      </c>
      <c r="C3658" s="88"/>
      <c r="D3658" s="92"/>
      <c r="E3658" s="89"/>
      <c r="F3658" s="89"/>
      <c r="G3658" s="89"/>
    </row>
    <row r="3659">
      <c r="A3659" s="93"/>
      <c r="B3659" s="87" t="s">
        <v>779</v>
      </c>
      <c r="C3659" s="88"/>
      <c r="D3659" s="92"/>
      <c r="E3659" s="89"/>
      <c r="F3659" s="89"/>
      <c r="G3659" s="89"/>
    </row>
    <row r="3660">
      <c r="A3660" s="93"/>
      <c r="B3660" s="87" t="s">
        <v>779</v>
      </c>
      <c r="C3660" s="88"/>
      <c r="D3660" s="92"/>
      <c r="E3660" s="89"/>
      <c r="F3660" s="89"/>
      <c r="G3660" s="89"/>
    </row>
    <row r="3661">
      <c r="A3661" s="93"/>
      <c r="B3661" s="87" t="s">
        <v>779</v>
      </c>
      <c r="C3661" s="88"/>
      <c r="D3661" s="92"/>
      <c r="E3661" s="89"/>
      <c r="F3661" s="89"/>
      <c r="G3661" s="89"/>
    </row>
    <row r="3662">
      <c r="A3662" s="93"/>
      <c r="B3662" s="87" t="s">
        <v>779</v>
      </c>
      <c r="C3662" s="88"/>
      <c r="D3662" s="92"/>
      <c r="E3662" s="89"/>
      <c r="F3662" s="89"/>
      <c r="G3662" s="89"/>
    </row>
    <row r="3663">
      <c r="A3663" s="93"/>
      <c r="B3663" s="87" t="s">
        <v>779</v>
      </c>
      <c r="C3663" s="88"/>
      <c r="D3663" s="92"/>
      <c r="E3663" s="89"/>
      <c r="F3663" s="89"/>
      <c r="G3663" s="89"/>
    </row>
    <row r="3664">
      <c r="A3664" s="93"/>
      <c r="B3664" s="87" t="s">
        <v>779</v>
      </c>
      <c r="C3664" s="88"/>
      <c r="D3664" s="92"/>
      <c r="E3664" s="89"/>
      <c r="F3664" s="89"/>
      <c r="G3664" s="89"/>
    </row>
    <row r="3665">
      <c r="A3665" s="93"/>
      <c r="B3665" s="87" t="s">
        <v>779</v>
      </c>
      <c r="C3665" s="88"/>
      <c r="D3665" s="92"/>
      <c r="E3665" s="89"/>
      <c r="F3665" s="89"/>
      <c r="G3665" s="89"/>
    </row>
    <row r="3666">
      <c r="A3666" s="93"/>
      <c r="B3666" s="87" t="s">
        <v>779</v>
      </c>
      <c r="C3666" s="88"/>
      <c r="D3666" s="92"/>
      <c r="E3666" s="89"/>
      <c r="F3666" s="89"/>
      <c r="G3666" s="89"/>
    </row>
    <row r="3667">
      <c r="A3667" s="93"/>
      <c r="B3667" s="87" t="s">
        <v>779</v>
      </c>
      <c r="C3667" s="88"/>
      <c r="D3667" s="92"/>
      <c r="E3667" s="89"/>
      <c r="F3667" s="89"/>
      <c r="G3667" s="89"/>
    </row>
    <row r="3668">
      <c r="A3668" s="93"/>
      <c r="B3668" s="87" t="s">
        <v>779</v>
      </c>
      <c r="C3668" s="88"/>
      <c r="D3668" s="92"/>
      <c r="E3668" s="89"/>
      <c r="F3668" s="89"/>
      <c r="G3668" s="89"/>
    </row>
    <row r="3669">
      <c r="A3669" s="93"/>
      <c r="B3669" s="87" t="s">
        <v>779</v>
      </c>
      <c r="C3669" s="88"/>
      <c r="D3669" s="92"/>
      <c r="E3669" s="89"/>
      <c r="F3669" s="89"/>
      <c r="G3669" s="89"/>
    </row>
    <row r="3670">
      <c r="A3670" s="93"/>
      <c r="B3670" s="87" t="s">
        <v>779</v>
      </c>
      <c r="C3670" s="88"/>
      <c r="D3670" s="92"/>
      <c r="E3670" s="89"/>
      <c r="F3670" s="89"/>
      <c r="G3670" s="89"/>
    </row>
    <row r="3671">
      <c r="A3671" s="93"/>
      <c r="B3671" s="87" t="s">
        <v>779</v>
      </c>
      <c r="C3671" s="88"/>
      <c r="D3671" s="92"/>
      <c r="E3671" s="89"/>
      <c r="F3671" s="89"/>
      <c r="G3671" s="89"/>
    </row>
    <row r="3672">
      <c r="A3672" s="93"/>
      <c r="B3672" s="87" t="s">
        <v>779</v>
      </c>
      <c r="C3672" s="88"/>
      <c r="D3672" s="92"/>
      <c r="E3672" s="89"/>
      <c r="F3672" s="89"/>
      <c r="G3672" s="89"/>
    </row>
    <row r="3673">
      <c r="A3673" s="93"/>
      <c r="B3673" s="87" t="s">
        <v>779</v>
      </c>
      <c r="C3673" s="88"/>
      <c r="D3673" s="92"/>
      <c r="E3673" s="89"/>
      <c r="F3673" s="89"/>
      <c r="G3673" s="89"/>
    </row>
    <row r="3674">
      <c r="A3674" s="93"/>
      <c r="B3674" s="87" t="s">
        <v>779</v>
      </c>
      <c r="C3674" s="88"/>
      <c r="D3674" s="92"/>
      <c r="E3674" s="89"/>
      <c r="F3674" s="89"/>
      <c r="G3674" s="89"/>
    </row>
    <row r="3675">
      <c r="A3675" s="93"/>
      <c r="B3675" s="87" t="s">
        <v>779</v>
      </c>
      <c r="C3675" s="88"/>
      <c r="D3675" s="92"/>
      <c r="E3675" s="89"/>
      <c r="F3675" s="89"/>
      <c r="G3675" s="89"/>
    </row>
    <row r="3676">
      <c r="A3676" s="93"/>
      <c r="B3676" s="87" t="s">
        <v>779</v>
      </c>
      <c r="C3676" s="88"/>
      <c r="D3676" s="92"/>
      <c r="E3676" s="89"/>
      <c r="F3676" s="89"/>
      <c r="G3676" s="89"/>
    </row>
    <row r="3677">
      <c r="A3677" s="93"/>
      <c r="B3677" s="87" t="s">
        <v>779</v>
      </c>
      <c r="C3677" s="88"/>
      <c r="D3677" s="92"/>
      <c r="E3677" s="89"/>
      <c r="F3677" s="89"/>
      <c r="G3677" s="89"/>
    </row>
    <row r="3678">
      <c r="A3678" s="93"/>
      <c r="B3678" s="87" t="s">
        <v>779</v>
      </c>
      <c r="C3678" s="88"/>
      <c r="D3678" s="92"/>
      <c r="E3678" s="89"/>
      <c r="F3678" s="89"/>
      <c r="G3678" s="89"/>
    </row>
    <row r="3679">
      <c r="A3679" s="93"/>
      <c r="B3679" s="87" t="s">
        <v>779</v>
      </c>
      <c r="C3679" s="88"/>
      <c r="D3679" s="92"/>
      <c r="E3679" s="89"/>
      <c r="F3679" s="89"/>
      <c r="G3679" s="89"/>
    </row>
    <row r="3680">
      <c r="A3680" s="93"/>
      <c r="B3680" s="87" t="s">
        <v>779</v>
      </c>
      <c r="C3680" s="88"/>
      <c r="D3680" s="92"/>
      <c r="E3680" s="89"/>
      <c r="F3680" s="89"/>
      <c r="G3680" s="89"/>
    </row>
    <row r="3681">
      <c r="A3681" s="93"/>
      <c r="B3681" s="87" t="s">
        <v>779</v>
      </c>
      <c r="C3681" s="88"/>
      <c r="D3681" s="92"/>
      <c r="E3681" s="89"/>
      <c r="F3681" s="89"/>
      <c r="G3681" s="89"/>
    </row>
    <row r="3682">
      <c r="A3682" s="93"/>
      <c r="B3682" s="87" t="s">
        <v>779</v>
      </c>
      <c r="C3682" s="88"/>
      <c r="D3682" s="92"/>
      <c r="E3682" s="89"/>
      <c r="F3682" s="89"/>
      <c r="G3682" s="89"/>
    </row>
    <row r="3683">
      <c r="A3683" s="93"/>
      <c r="B3683" s="87" t="s">
        <v>779</v>
      </c>
      <c r="C3683" s="88"/>
      <c r="D3683" s="92"/>
      <c r="E3683" s="89"/>
      <c r="F3683" s="89"/>
      <c r="G3683" s="89"/>
    </row>
    <row r="3684">
      <c r="A3684" s="93"/>
      <c r="B3684" s="87" t="s">
        <v>779</v>
      </c>
      <c r="C3684" s="88"/>
      <c r="D3684" s="92"/>
      <c r="E3684" s="89"/>
      <c r="F3684" s="89"/>
      <c r="G3684" s="89"/>
    </row>
    <row r="3685">
      <c r="A3685" s="93"/>
      <c r="B3685" s="87" t="s">
        <v>779</v>
      </c>
      <c r="C3685" s="88"/>
      <c r="D3685" s="92"/>
      <c r="E3685" s="89"/>
      <c r="F3685" s="89"/>
      <c r="G3685" s="89"/>
    </row>
    <row r="3686">
      <c r="A3686" s="93"/>
      <c r="B3686" s="87" t="s">
        <v>779</v>
      </c>
      <c r="C3686" s="88"/>
      <c r="D3686" s="92"/>
      <c r="E3686" s="89"/>
      <c r="F3686" s="89"/>
      <c r="G3686" s="89"/>
    </row>
    <row r="3687">
      <c r="A3687" s="93"/>
      <c r="B3687" s="87" t="s">
        <v>779</v>
      </c>
      <c r="C3687" s="88"/>
      <c r="D3687" s="92"/>
      <c r="E3687" s="89"/>
      <c r="F3687" s="89"/>
      <c r="G3687" s="89"/>
    </row>
    <row r="3688">
      <c r="A3688" s="93"/>
      <c r="B3688" s="87" t="s">
        <v>779</v>
      </c>
      <c r="C3688" s="88"/>
      <c r="D3688" s="92"/>
      <c r="E3688" s="89"/>
      <c r="F3688" s="89"/>
      <c r="G3688" s="89"/>
    </row>
    <row r="3689">
      <c r="A3689" s="93"/>
      <c r="B3689" s="87" t="s">
        <v>779</v>
      </c>
      <c r="C3689" s="88"/>
      <c r="D3689" s="92"/>
      <c r="E3689" s="89"/>
      <c r="F3689" s="89"/>
      <c r="G3689" s="89"/>
    </row>
    <row r="3690">
      <c r="A3690" s="93"/>
      <c r="B3690" s="87" t="s">
        <v>779</v>
      </c>
      <c r="C3690" s="88"/>
      <c r="D3690" s="92"/>
      <c r="E3690" s="89"/>
      <c r="F3690" s="89"/>
      <c r="G3690" s="89"/>
    </row>
    <row r="3691">
      <c r="A3691" s="93"/>
      <c r="B3691" s="87" t="s">
        <v>779</v>
      </c>
      <c r="C3691" s="88"/>
      <c r="D3691" s="92"/>
      <c r="E3691" s="89"/>
      <c r="F3691" s="89"/>
      <c r="G3691" s="89"/>
    </row>
    <row r="3692">
      <c r="A3692" s="93"/>
      <c r="B3692" s="87" t="s">
        <v>779</v>
      </c>
      <c r="C3692" s="88"/>
      <c r="D3692" s="92"/>
      <c r="E3692" s="89"/>
      <c r="F3692" s="89"/>
      <c r="G3692" s="89"/>
    </row>
    <row r="3693">
      <c r="A3693" s="93"/>
      <c r="B3693" s="87" t="s">
        <v>779</v>
      </c>
      <c r="C3693" s="88"/>
      <c r="D3693" s="92"/>
      <c r="E3693" s="89"/>
      <c r="F3693" s="89"/>
      <c r="G3693" s="89"/>
    </row>
    <row r="3694">
      <c r="A3694" s="93"/>
      <c r="B3694" s="87" t="s">
        <v>779</v>
      </c>
      <c r="C3694" s="88"/>
      <c r="D3694" s="92"/>
      <c r="E3694" s="89"/>
      <c r="F3694" s="89"/>
      <c r="G3694" s="89"/>
    </row>
    <row r="3695">
      <c r="A3695" s="93"/>
      <c r="B3695" s="87" t="s">
        <v>779</v>
      </c>
      <c r="C3695" s="88"/>
      <c r="D3695" s="92"/>
      <c r="E3695" s="89"/>
      <c r="F3695" s="89"/>
      <c r="G3695" s="89"/>
    </row>
    <row r="3696">
      <c r="A3696" s="93"/>
      <c r="B3696" s="87" t="s">
        <v>779</v>
      </c>
      <c r="C3696" s="88"/>
      <c r="D3696" s="92"/>
      <c r="E3696" s="89"/>
      <c r="F3696" s="89"/>
      <c r="G3696" s="89"/>
    </row>
    <row r="3697">
      <c r="A3697" s="93"/>
      <c r="B3697" s="87" t="s">
        <v>779</v>
      </c>
      <c r="C3697" s="88"/>
      <c r="D3697" s="92"/>
      <c r="E3697" s="89"/>
      <c r="F3697" s="89"/>
      <c r="G3697" s="89"/>
    </row>
    <row r="3698">
      <c r="A3698" s="93"/>
      <c r="B3698" s="87" t="s">
        <v>779</v>
      </c>
      <c r="C3698" s="88"/>
      <c r="D3698" s="92"/>
      <c r="E3698" s="89"/>
      <c r="F3698" s="89"/>
      <c r="G3698" s="89"/>
    </row>
    <row r="3699">
      <c r="A3699" s="93"/>
      <c r="B3699" s="87" t="s">
        <v>779</v>
      </c>
      <c r="C3699" s="88"/>
      <c r="D3699" s="92"/>
      <c r="E3699" s="89"/>
      <c r="F3699" s="89"/>
      <c r="G3699" s="89"/>
    </row>
    <row r="3700">
      <c r="A3700" s="93"/>
      <c r="B3700" s="87" t="s">
        <v>779</v>
      </c>
      <c r="C3700" s="88"/>
      <c r="D3700" s="92"/>
      <c r="E3700" s="89"/>
      <c r="F3700" s="89"/>
      <c r="G3700" s="89"/>
    </row>
    <row r="3701">
      <c r="A3701" s="93"/>
      <c r="B3701" s="87" t="s">
        <v>779</v>
      </c>
      <c r="C3701" s="88"/>
      <c r="D3701" s="92"/>
      <c r="E3701" s="89"/>
      <c r="F3701" s="89"/>
      <c r="G3701" s="89"/>
    </row>
    <row r="3702">
      <c r="A3702" s="93"/>
      <c r="B3702" s="87" t="s">
        <v>779</v>
      </c>
      <c r="C3702" s="88"/>
      <c r="D3702" s="92"/>
      <c r="E3702" s="89"/>
      <c r="F3702" s="89"/>
      <c r="G3702" s="89"/>
    </row>
    <row r="3703">
      <c r="A3703" s="93"/>
      <c r="B3703" s="87" t="s">
        <v>779</v>
      </c>
      <c r="C3703" s="88"/>
      <c r="D3703" s="92"/>
      <c r="E3703" s="89"/>
      <c r="F3703" s="89"/>
      <c r="G3703" s="89"/>
    </row>
    <row r="3704">
      <c r="A3704" s="93"/>
      <c r="B3704" s="87" t="s">
        <v>779</v>
      </c>
      <c r="C3704" s="88"/>
      <c r="D3704" s="92"/>
      <c r="E3704" s="89"/>
      <c r="F3704" s="89"/>
      <c r="G3704" s="89"/>
    </row>
    <row r="3705">
      <c r="A3705" s="93"/>
      <c r="B3705" s="87" t="s">
        <v>779</v>
      </c>
      <c r="C3705" s="88"/>
      <c r="D3705" s="92"/>
      <c r="E3705" s="89"/>
      <c r="F3705" s="89"/>
      <c r="G3705" s="89"/>
    </row>
    <row r="3706">
      <c r="A3706" s="93"/>
      <c r="B3706" s="87" t="s">
        <v>779</v>
      </c>
      <c r="C3706" s="88"/>
      <c r="D3706" s="92"/>
      <c r="E3706" s="89"/>
      <c r="F3706" s="89"/>
      <c r="G3706" s="89"/>
    </row>
    <row r="3707">
      <c r="A3707" s="93"/>
      <c r="B3707" s="87" t="s">
        <v>779</v>
      </c>
      <c r="C3707" s="88"/>
      <c r="D3707" s="92"/>
      <c r="E3707" s="89"/>
      <c r="F3707" s="89"/>
      <c r="G3707" s="89"/>
    </row>
    <row r="3708">
      <c r="A3708" s="93"/>
      <c r="B3708" s="87" t="s">
        <v>779</v>
      </c>
      <c r="C3708" s="88"/>
      <c r="D3708" s="92"/>
      <c r="E3708" s="89"/>
      <c r="F3708" s="89"/>
      <c r="G3708" s="89"/>
    </row>
    <row r="3709">
      <c r="A3709" s="93"/>
      <c r="B3709" s="87" t="s">
        <v>779</v>
      </c>
      <c r="C3709" s="88"/>
      <c r="D3709" s="92"/>
      <c r="E3709" s="89"/>
      <c r="F3709" s="89"/>
      <c r="G3709" s="89"/>
    </row>
    <row r="3710">
      <c r="A3710" s="93"/>
      <c r="B3710" s="87" t="s">
        <v>779</v>
      </c>
      <c r="C3710" s="88"/>
      <c r="D3710" s="92"/>
      <c r="E3710" s="89"/>
      <c r="F3710" s="89"/>
      <c r="G3710" s="89"/>
    </row>
    <row r="3711">
      <c r="A3711" s="93"/>
      <c r="B3711" s="87" t="s">
        <v>779</v>
      </c>
      <c r="C3711" s="88"/>
      <c r="D3711" s="92"/>
      <c r="E3711" s="89"/>
      <c r="F3711" s="89"/>
      <c r="G3711" s="89"/>
    </row>
    <row r="3712">
      <c r="A3712" s="93"/>
      <c r="B3712" s="87" t="s">
        <v>779</v>
      </c>
      <c r="C3712" s="88"/>
      <c r="D3712" s="92"/>
      <c r="E3712" s="89"/>
      <c r="F3712" s="89"/>
      <c r="G3712" s="89"/>
    </row>
    <row r="3713">
      <c r="A3713" s="93"/>
      <c r="B3713" s="87" t="s">
        <v>779</v>
      </c>
      <c r="C3713" s="88"/>
      <c r="D3713" s="92"/>
      <c r="E3713" s="89"/>
      <c r="F3713" s="89"/>
      <c r="G3713" s="89"/>
    </row>
    <row r="3714">
      <c r="A3714" s="93"/>
      <c r="B3714" s="87" t="s">
        <v>779</v>
      </c>
      <c r="C3714" s="88"/>
      <c r="D3714" s="92"/>
      <c r="E3714" s="89"/>
      <c r="F3714" s="89"/>
      <c r="G3714" s="89"/>
    </row>
    <row r="3715">
      <c r="A3715" s="93"/>
      <c r="B3715" s="87" t="s">
        <v>779</v>
      </c>
      <c r="C3715" s="88"/>
      <c r="D3715" s="92"/>
      <c r="E3715" s="89"/>
      <c r="F3715" s="89"/>
      <c r="G3715" s="89"/>
    </row>
    <row r="3716">
      <c r="A3716" s="93"/>
      <c r="B3716" s="87" t="s">
        <v>779</v>
      </c>
      <c r="C3716" s="88"/>
      <c r="D3716" s="92"/>
      <c r="E3716" s="89"/>
      <c r="F3716" s="89"/>
      <c r="G3716" s="89"/>
    </row>
    <row r="3717">
      <c r="A3717" s="93"/>
      <c r="B3717" s="87" t="s">
        <v>779</v>
      </c>
      <c r="C3717" s="88"/>
      <c r="D3717" s="92"/>
      <c r="E3717" s="89"/>
      <c r="F3717" s="89"/>
      <c r="G3717" s="89"/>
    </row>
    <row r="3718">
      <c r="A3718" s="93"/>
      <c r="B3718" s="87" t="s">
        <v>779</v>
      </c>
      <c r="C3718" s="88"/>
      <c r="D3718" s="92"/>
      <c r="E3718" s="89"/>
      <c r="F3718" s="89"/>
      <c r="G3718" s="89"/>
    </row>
    <row r="3719">
      <c r="A3719" s="93"/>
      <c r="B3719" s="87" t="s">
        <v>779</v>
      </c>
      <c r="C3719" s="88"/>
      <c r="D3719" s="92"/>
      <c r="E3719" s="89"/>
      <c r="F3719" s="89"/>
      <c r="G3719" s="89"/>
    </row>
    <row r="3720">
      <c r="A3720" s="93"/>
      <c r="B3720" s="87" t="s">
        <v>779</v>
      </c>
      <c r="C3720" s="88"/>
      <c r="D3720" s="92"/>
      <c r="E3720" s="89"/>
      <c r="F3720" s="89"/>
      <c r="G3720" s="89"/>
    </row>
    <row r="3721">
      <c r="A3721" s="93"/>
      <c r="B3721" s="87" t="s">
        <v>779</v>
      </c>
      <c r="C3721" s="88"/>
      <c r="D3721" s="92"/>
      <c r="E3721" s="89"/>
      <c r="F3721" s="89"/>
      <c r="G3721" s="89"/>
    </row>
    <row r="3722">
      <c r="A3722" s="93"/>
      <c r="B3722" s="87" t="s">
        <v>779</v>
      </c>
      <c r="C3722" s="88"/>
      <c r="D3722" s="92"/>
      <c r="E3722" s="89"/>
      <c r="F3722" s="89"/>
      <c r="G3722" s="89"/>
    </row>
    <row r="3723">
      <c r="A3723" s="93"/>
      <c r="B3723" s="87" t="s">
        <v>779</v>
      </c>
      <c r="C3723" s="88"/>
      <c r="D3723" s="92"/>
      <c r="E3723" s="89"/>
      <c r="F3723" s="89"/>
      <c r="G3723" s="89"/>
    </row>
    <row r="3724">
      <c r="A3724" s="93"/>
      <c r="B3724" s="87" t="s">
        <v>779</v>
      </c>
      <c r="C3724" s="88"/>
      <c r="D3724" s="92"/>
      <c r="E3724" s="89"/>
      <c r="F3724" s="89"/>
      <c r="G3724" s="89"/>
    </row>
    <row r="3725">
      <c r="A3725" s="93"/>
      <c r="B3725" s="87" t="s">
        <v>779</v>
      </c>
      <c r="C3725" s="88"/>
      <c r="D3725" s="92"/>
      <c r="E3725" s="89"/>
      <c r="F3725" s="89"/>
      <c r="G3725" s="89"/>
    </row>
    <row r="3726">
      <c r="A3726" s="93"/>
      <c r="B3726" s="87" t="s">
        <v>779</v>
      </c>
      <c r="C3726" s="88"/>
      <c r="D3726" s="92"/>
      <c r="E3726" s="89"/>
      <c r="F3726" s="89"/>
      <c r="G3726" s="89"/>
    </row>
    <row r="3727">
      <c r="A3727" s="93"/>
      <c r="B3727" s="87" t="s">
        <v>779</v>
      </c>
      <c r="C3727" s="88"/>
      <c r="D3727" s="92"/>
      <c r="E3727" s="89"/>
      <c r="F3727" s="89"/>
      <c r="G3727" s="89"/>
    </row>
    <row r="3728">
      <c r="A3728" s="93"/>
      <c r="B3728" s="87" t="s">
        <v>779</v>
      </c>
      <c r="C3728" s="88"/>
      <c r="D3728" s="92"/>
      <c r="E3728" s="89"/>
      <c r="F3728" s="89"/>
      <c r="G3728" s="89"/>
    </row>
    <row r="3729">
      <c r="A3729" s="93"/>
      <c r="B3729" s="87" t="s">
        <v>779</v>
      </c>
      <c r="C3729" s="88"/>
      <c r="D3729" s="92"/>
      <c r="E3729" s="89"/>
      <c r="F3729" s="89"/>
      <c r="G3729" s="89"/>
    </row>
    <row r="3730">
      <c r="A3730" s="93"/>
      <c r="B3730" s="87" t="s">
        <v>779</v>
      </c>
      <c r="C3730" s="88"/>
      <c r="D3730" s="92"/>
      <c r="E3730" s="89"/>
      <c r="F3730" s="89"/>
      <c r="G3730" s="89"/>
    </row>
    <row r="3731">
      <c r="A3731" s="93"/>
      <c r="B3731" s="87" t="s">
        <v>779</v>
      </c>
      <c r="C3731" s="88"/>
      <c r="D3731" s="92"/>
      <c r="E3731" s="89"/>
      <c r="F3731" s="89"/>
      <c r="G3731" s="89"/>
    </row>
    <row r="3732">
      <c r="A3732" s="93"/>
      <c r="B3732" s="87" t="s">
        <v>779</v>
      </c>
      <c r="C3732" s="88"/>
      <c r="D3732" s="92"/>
      <c r="E3732" s="89"/>
      <c r="F3732" s="89"/>
      <c r="G3732" s="89"/>
    </row>
    <row r="3733">
      <c r="A3733" s="93"/>
      <c r="B3733" s="87" t="s">
        <v>779</v>
      </c>
      <c r="C3733" s="88"/>
      <c r="D3733" s="92"/>
      <c r="E3733" s="89"/>
      <c r="F3733" s="89"/>
      <c r="G3733" s="89"/>
    </row>
    <row r="3734">
      <c r="A3734" s="93"/>
      <c r="B3734" s="87" t="s">
        <v>779</v>
      </c>
      <c r="C3734" s="88"/>
      <c r="D3734" s="92"/>
      <c r="E3734" s="89"/>
      <c r="F3734" s="89"/>
      <c r="G3734" s="89"/>
    </row>
    <row r="3735">
      <c r="A3735" s="93"/>
      <c r="B3735" s="87" t="s">
        <v>779</v>
      </c>
      <c r="C3735" s="88"/>
      <c r="D3735" s="92"/>
      <c r="E3735" s="89"/>
      <c r="F3735" s="89"/>
      <c r="G3735" s="89"/>
    </row>
    <row r="3736">
      <c r="A3736" s="93"/>
      <c r="B3736" s="87" t="s">
        <v>779</v>
      </c>
      <c r="C3736" s="88"/>
      <c r="D3736" s="92"/>
      <c r="E3736" s="89"/>
      <c r="F3736" s="89"/>
      <c r="G3736" s="89"/>
    </row>
    <row r="3737">
      <c r="A3737" s="93"/>
      <c r="B3737" s="87" t="s">
        <v>779</v>
      </c>
      <c r="C3737" s="88"/>
      <c r="D3737" s="92"/>
      <c r="E3737" s="89"/>
      <c r="F3737" s="89"/>
      <c r="G3737" s="89"/>
    </row>
    <row r="3738">
      <c r="A3738" s="93"/>
      <c r="B3738" s="87" t="s">
        <v>779</v>
      </c>
      <c r="C3738" s="88"/>
      <c r="D3738" s="92"/>
      <c r="E3738" s="89"/>
      <c r="F3738" s="89"/>
      <c r="G3738" s="89"/>
    </row>
    <row r="3739">
      <c r="A3739" s="93"/>
      <c r="B3739" s="87" t="s">
        <v>779</v>
      </c>
      <c r="C3739" s="88"/>
      <c r="D3739" s="92"/>
      <c r="E3739" s="89"/>
      <c r="F3739" s="89"/>
      <c r="G3739" s="89"/>
    </row>
    <row r="3740">
      <c r="A3740" s="93"/>
      <c r="B3740" s="87" t="s">
        <v>779</v>
      </c>
      <c r="C3740" s="88"/>
      <c r="D3740" s="92"/>
      <c r="E3740" s="89"/>
      <c r="F3740" s="89"/>
      <c r="G3740" s="89"/>
    </row>
    <row r="3741">
      <c r="A3741" s="93"/>
      <c r="B3741" s="87" t="s">
        <v>779</v>
      </c>
      <c r="C3741" s="88"/>
      <c r="D3741" s="92"/>
      <c r="E3741" s="89"/>
      <c r="F3741" s="89"/>
      <c r="G3741" s="89"/>
    </row>
    <row r="3742">
      <c r="A3742" s="93"/>
      <c r="B3742" s="87" t="s">
        <v>779</v>
      </c>
      <c r="C3742" s="88"/>
      <c r="D3742" s="92"/>
      <c r="E3742" s="89"/>
      <c r="F3742" s="89"/>
      <c r="G3742" s="89"/>
    </row>
    <row r="3743">
      <c r="A3743" s="93"/>
      <c r="B3743" s="87" t="s">
        <v>779</v>
      </c>
      <c r="C3743" s="88"/>
      <c r="D3743" s="92"/>
      <c r="E3743" s="89"/>
      <c r="F3743" s="89"/>
      <c r="G3743" s="89"/>
    </row>
    <row r="3744">
      <c r="A3744" s="93"/>
      <c r="B3744" s="87" t="s">
        <v>779</v>
      </c>
      <c r="C3744" s="88"/>
      <c r="D3744" s="92"/>
      <c r="E3744" s="89"/>
      <c r="F3744" s="89"/>
      <c r="G3744" s="89"/>
    </row>
    <row r="3745">
      <c r="A3745" s="93"/>
      <c r="B3745" s="87" t="s">
        <v>779</v>
      </c>
      <c r="C3745" s="88"/>
      <c r="D3745" s="92"/>
      <c r="E3745" s="89"/>
      <c r="F3745" s="89"/>
      <c r="G3745" s="89"/>
    </row>
    <row r="3746">
      <c r="A3746" s="93"/>
      <c r="B3746" s="87" t="s">
        <v>779</v>
      </c>
      <c r="C3746" s="88"/>
      <c r="D3746" s="92"/>
      <c r="E3746" s="89"/>
      <c r="F3746" s="89"/>
      <c r="G3746" s="89"/>
    </row>
    <row r="3747">
      <c r="A3747" s="93"/>
      <c r="B3747" s="87" t="s">
        <v>779</v>
      </c>
      <c r="C3747" s="88"/>
      <c r="D3747" s="92"/>
      <c r="E3747" s="89"/>
      <c r="F3747" s="89"/>
      <c r="G3747" s="89"/>
    </row>
    <row r="3748">
      <c r="A3748" s="93"/>
      <c r="B3748" s="87" t="s">
        <v>779</v>
      </c>
      <c r="C3748" s="88"/>
      <c r="D3748" s="92"/>
      <c r="E3748" s="89"/>
      <c r="F3748" s="89"/>
      <c r="G3748" s="89"/>
    </row>
    <row r="3749">
      <c r="A3749" s="93"/>
      <c r="B3749" s="87" t="s">
        <v>779</v>
      </c>
      <c r="C3749" s="88"/>
      <c r="D3749" s="92"/>
      <c r="E3749" s="89"/>
      <c r="F3749" s="89"/>
      <c r="G3749" s="89"/>
    </row>
    <row r="3750">
      <c r="A3750" s="93"/>
      <c r="B3750" s="87" t="s">
        <v>779</v>
      </c>
      <c r="C3750" s="88"/>
      <c r="D3750" s="92"/>
      <c r="E3750" s="89"/>
      <c r="F3750" s="89"/>
      <c r="G3750" s="89"/>
    </row>
    <row r="3751">
      <c r="A3751" s="93"/>
      <c r="B3751" s="87" t="s">
        <v>779</v>
      </c>
      <c r="C3751" s="88"/>
      <c r="D3751" s="92"/>
      <c r="E3751" s="89"/>
      <c r="F3751" s="89"/>
      <c r="G3751" s="89"/>
    </row>
    <row r="3752">
      <c r="A3752" s="93"/>
      <c r="B3752" s="87" t="s">
        <v>779</v>
      </c>
      <c r="C3752" s="88"/>
      <c r="D3752" s="92"/>
      <c r="E3752" s="89"/>
      <c r="F3752" s="89"/>
      <c r="G3752" s="89"/>
    </row>
    <row r="3753">
      <c r="A3753" s="93"/>
      <c r="B3753" s="87" t="s">
        <v>779</v>
      </c>
      <c r="C3753" s="88"/>
      <c r="D3753" s="92"/>
      <c r="E3753" s="89"/>
      <c r="F3753" s="89"/>
      <c r="G3753" s="89"/>
    </row>
    <row r="3754">
      <c r="A3754" s="93"/>
      <c r="B3754" s="87" t="s">
        <v>779</v>
      </c>
      <c r="C3754" s="88"/>
      <c r="D3754" s="92"/>
      <c r="E3754" s="89"/>
      <c r="F3754" s="89"/>
      <c r="G3754" s="89"/>
    </row>
    <row r="3755">
      <c r="A3755" s="93"/>
      <c r="B3755" s="87" t="s">
        <v>779</v>
      </c>
      <c r="C3755" s="88"/>
      <c r="D3755" s="92"/>
      <c r="E3755" s="89"/>
      <c r="F3755" s="89"/>
      <c r="G3755" s="89"/>
    </row>
    <row r="3756">
      <c r="A3756" s="93"/>
      <c r="B3756" s="87" t="s">
        <v>779</v>
      </c>
      <c r="C3756" s="88"/>
      <c r="D3756" s="92"/>
      <c r="E3756" s="89"/>
      <c r="F3756" s="89"/>
      <c r="G3756" s="89"/>
    </row>
    <row r="3757">
      <c r="A3757" s="93"/>
      <c r="B3757" s="87" t="s">
        <v>779</v>
      </c>
      <c r="C3757" s="88"/>
      <c r="D3757" s="92"/>
      <c r="E3757" s="89"/>
      <c r="F3757" s="89"/>
      <c r="G3757" s="89"/>
    </row>
    <row r="3758">
      <c r="A3758" s="93"/>
      <c r="B3758" s="87" t="s">
        <v>779</v>
      </c>
      <c r="C3758" s="88"/>
      <c r="D3758" s="92"/>
      <c r="E3758" s="89"/>
      <c r="F3758" s="89"/>
      <c r="G3758" s="89"/>
    </row>
    <row r="3759">
      <c r="A3759" s="93"/>
      <c r="B3759" s="87" t="s">
        <v>779</v>
      </c>
      <c r="C3759" s="88"/>
      <c r="D3759" s="92"/>
      <c r="E3759" s="89"/>
      <c r="F3759" s="89"/>
      <c r="G3759" s="89"/>
    </row>
    <row r="3760">
      <c r="A3760" s="93"/>
      <c r="B3760" s="87" t="s">
        <v>779</v>
      </c>
      <c r="C3760" s="88"/>
      <c r="D3760" s="92"/>
      <c r="E3760" s="89"/>
      <c r="F3760" s="89"/>
      <c r="G3760" s="89"/>
    </row>
    <row r="3761">
      <c r="A3761" s="93"/>
      <c r="B3761" s="87" t="s">
        <v>779</v>
      </c>
      <c r="C3761" s="88"/>
      <c r="D3761" s="92"/>
      <c r="E3761" s="89"/>
      <c r="F3761" s="89"/>
      <c r="G3761" s="89"/>
    </row>
    <row r="3762">
      <c r="A3762" s="93"/>
      <c r="B3762" s="87" t="s">
        <v>779</v>
      </c>
      <c r="C3762" s="88"/>
      <c r="D3762" s="92"/>
      <c r="E3762" s="89"/>
      <c r="F3762" s="89"/>
      <c r="G3762" s="89"/>
    </row>
    <row r="3763">
      <c r="A3763" s="93"/>
      <c r="B3763" s="87" t="s">
        <v>779</v>
      </c>
      <c r="C3763" s="88"/>
      <c r="D3763" s="92"/>
      <c r="E3763" s="89"/>
      <c r="F3763" s="89"/>
      <c r="G3763" s="89"/>
    </row>
    <row r="3764">
      <c r="A3764" s="93"/>
      <c r="B3764" s="87" t="s">
        <v>779</v>
      </c>
      <c r="C3764" s="88"/>
      <c r="D3764" s="92"/>
      <c r="E3764" s="89"/>
      <c r="F3764" s="89"/>
      <c r="G3764" s="89"/>
    </row>
    <row r="3765">
      <c r="A3765" s="93"/>
      <c r="B3765" s="87" t="s">
        <v>779</v>
      </c>
      <c r="C3765" s="88"/>
      <c r="D3765" s="92"/>
      <c r="E3765" s="89"/>
      <c r="F3765" s="89"/>
      <c r="G3765" s="89"/>
    </row>
    <row r="3766">
      <c r="A3766" s="93"/>
      <c r="B3766" s="87" t="s">
        <v>779</v>
      </c>
      <c r="C3766" s="88"/>
      <c r="D3766" s="92"/>
      <c r="E3766" s="89"/>
      <c r="F3766" s="89"/>
      <c r="G3766" s="89"/>
    </row>
    <row r="3767">
      <c r="A3767" s="93"/>
      <c r="B3767" s="87" t="s">
        <v>779</v>
      </c>
      <c r="C3767" s="88"/>
      <c r="D3767" s="92"/>
      <c r="E3767" s="89"/>
      <c r="F3767" s="89"/>
      <c r="G3767" s="89"/>
    </row>
    <row r="3768">
      <c r="A3768" s="93"/>
      <c r="B3768" s="87" t="s">
        <v>779</v>
      </c>
      <c r="C3768" s="88"/>
      <c r="D3768" s="92"/>
      <c r="E3768" s="89"/>
      <c r="F3768" s="89"/>
      <c r="G3768" s="89"/>
    </row>
    <row r="3769">
      <c r="A3769" s="93"/>
      <c r="B3769" s="87" t="s">
        <v>779</v>
      </c>
      <c r="C3769" s="88"/>
      <c r="D3769" s="92"/>
      <c r="E3769" s="89"/>
      <c r="F3769" s="89"/>
      <c r="G3769" s="89"/>
    </row>
    <row r="3770">
      <c r="A3770" s="93"/>
      <c r="B3770" s="87" t="s">
        <v>779</v>
      </c>
      <c r="C3770" s="88"/>
      <c r="D3770" s="92"/>
      <c r="E3770" s="89"/>
      <c r="F3770" s="89"/>
      <c r="G3770" s="89"/>
    </row>
    <row r="3771">
      <c r="A3771" s="93"/>
      <c r="B3771" s="87" t="s">
        <v>779</v>
      </c>
      <c r="C3771" s="88"/>
      <c r="D3771" s="92"/>
      <c r="E3771" s="89"/>
      <c r="F3771" s="89"/>
      <c r="G3771" s="89"/>
    </row>
    <row r="3772">
      <c r="A3772" s="93"/>
      <c r="B3772" s="87" t="s">
        <v>779</v>
      </c>
      <c r="C3772" s="88"/>
      <c r="D3772" s="92"/>
      <c r="E3772" s="89"/>
      <c r="F3772" s="89"/>
      <c r="G3772" s="89"/>
    </row>
    <row r="3773">
      <c r="A3773" s="93"/>
      <c r="B3773" s="87" t="s">
        <v>779</v>
      </c>
      <c r="C3773" s="88"/>
      <c r="D3773" s="92"/>
      <c r="E3773" s="89"/>
      <c r="F3773" s="89"/>
      <c r="G3773" s="89"/>
    </row>
    <row r="3774">
      <c r="A3774" s="93"/>
      <c r="B3774" s="87" t="s">
        <v>779</v>
      </c>
      <c r="C3774" s="88"/>
      <c r="D3774" s="92"/>
      <c r="E3774" s="89"/>
      <c r="F3774" s="89"/>
      <c r="G3774" s="89"/>
    </row>
    <row r="3775">
      <c r="A3775" s="93"/>
      <c r="B3775" s="87" t="s">
        <v>779</v>
      </c>
      <c r="C3775" s="88"/>
      <c r="D3775" s="92"/>
      <c r="E3775" s="89"/>
      <c r="F3775" s="89"/>
      <c r="G3775" s="89"/>
    </row>
    <row r="3776">
      <c r="A3776" s="93"/>
      <c r="B3776" s="87" t="s">
        <v>779</v>
      </c>
      <c r="C3776" s="88"/>
      <c r="D3776" s="92"/>
      <c r="E3776" s="89"/>
      <c r="F3776" s="89"/>
      <c r="G3776" s="89"/>
    </row>
    <row r="3777">
      <c r="A3777" s="93"/>
      <c r="B3777" s="87" t="s">
        <v>779</v>
      </c>
      <c r="C3777" s="88"/>
      <c r="D3777" s="92"/>
      <c r="E3777" s="89"/>
      <c r="F3777" s="89"/>
      <c r="G3777" s="89"/>
    </row>
    <row r="3778">
      <c r="A3778" s="93"/>
      <c r="B3778" s="87" t="s">
        <v>779</v>
      </c>
      <c r="C3778" s="88"/>
      <c r="D3778" s="92"/>
      <c r="E3778" s="89"/>
      <c r="F3778" s="89"/>
      <c r="G3778" s="89"/>
    </row>
    <row r="3779">
      <c r="A3779" s="93"/>
      <c r="B3779" s="87" t="s">
        <v>779</v>
      </c>
      <c r="C3779" s="88"/>
      <c r="D3779" s="92"/>
      <c r="E3779" s="89"/>
      <c r="F3779" s="89"/>
      <c r="G3779" s="89"/>
    </row>
    <row r="3780">
      <c r="A3780" s="93"/>
      <c r="B3780" s="87" t="s">
        <v>779</v>
      </c>
      <c r="C3780" s="88"/>
      <c r="D3780" s="92"/>
      <c r="E3780" s="89"/>
      <c r="F3780" s="89"/>
      <c r="G3780" s="89"/>
    </row>
    <row r="3781">
      <c r="A3781" s="93"/>
      <c r="B3781" s="87" t="s">
        <v>779</v>
      </c>
      <c r="C3781" s="88"/>
      <c r="D3781" s="92"/>
      <c r="E3781" s="89"/>
      <c r="F3781" s="89"/>
      <c r="G3781" s="89"/>
    </row>
    <row r="3782">
      <c r="A3782" s="93"/>
      <c r="B3782" s="87" t="s">
        <v>779</v>
      </c>
      <c r="C3782" s="88"/>
      <c r="D3782" s="92"/>
      <c r="E3782" s="89"/>
      <c r="F3782" s="89"/>
      <c r="G3782" s="89"/>
    </row>
    <row r="3783">
      <c r="A3783" s="93"/>
      <c r="B3783" s="87" t="s">
        <v>779</v>
      </c>
      <c r="C3783" s="88"/>
      <c r="D3783" s="92"/>
      <c r="E3783" s="89"/>
      <c r="F3783" s="89"/>
      <c r="G3783" s="89"/>
    </row>
    <row r="3784">
      <c r="A3784" s="93"/>
      <c r="B3784" s="87" t="s">
        <v>779</v>
      </c>
      <c r="C3784" s="88"/>
      <c r="D3784" s="92"/>
      <c r="E3784" s="89"/>
      <c r="F3784" s="89"/>
      <c r="G3784" s="89"/>
    </row>
    <row r="3785">
      <c r="A3785" s="93"/>
      <c r="B3785" s="87" t="s">
        <v>779</v>
      </c>
      <c r="C3785" s="88"/>
      <c r="D3785" s="92"/>
      <c r="E3785" s="89"/>
      <c r="F3785" s="89"/>
      <c r="G3785" s="89"/>
    </row>
    <row r="3786">
      <c r="A3786" s="93"/>
      <c r="B3786" s="87" t="s">
        <v>779</v>
      </c>
      <c r="C3786" s="88"/>
      <c r="D3786" s="92"/>
      <c r="E3786" s="89"/>
      <c r="F3786" s="89"/>
      <c r="G3786" s="89"/>
    </row>
    <row r="3787">
      <c r="A3787" s="93"/>
      <c r="B3787" s="87" t="s">
        <v>779</v>
      </c>
      <c r="C3787" s="88"/>
      <c r="D3787" s="92"/>
      <c r="E3787" s="89"/>
      <c r="F3787" s="89"/>
      <c r="G3787" s="89"/>
    </row>
    <row r="3788">
      <c r="A3788" s="93"/>
      <c r="B3788" s="87" t="s">
        <v>779</v>
      </c>
      <c r="C3788" s="88"/>
      <c r="D3788" s="92"/>
      <c r="E3788" s="89"/>
      <c r="F3788" s="89"/>
      <c r="G3788" s="89"/>
    </row>
    <row r="3789">
      <c r="A3789" s="93"/>
      <c r="B3789" s="87" t="s">
        <v>779</v>
      </c>
      <c r="C3789" s="88"/>
      <c r="D3789" s="92"/>
      <c r="E3789" s="89"/>
      <c r="F3789" s="89"/>
      <c r="G3789" s="89"/>
    </row>
    <row r="3790">
      <c r="A3790" s="93"/>
      <c r="B3790" s="87" t="s">
        <v>779</v>
      </c>
      <c r="C3790" s="88"/>
      <c r="D3790" s="92"/>
      <c r="E3790" s="89"/>
      <c r="F3790" s="89"/>
      <c r="G3790" s="89"/>
    </row>
    <row r="3791">
      <c r="A3791" s="93"/>
      <c r="B3791" s="87" t="s">
        <v>779</v>
      </c>
      <c r="C3791" s="88"/>
      <c r="D3791" s="92"/>
      <c r="E3791" s="89"/>
      <c r="F3791" s="89"/>
      <c r="G3791" s="89"/>
    </row>
    <row r="3792">
      <c r="A3792" s="93"/>
      <c r="B3792" s="87" t="s">
        <v>779</v>
      </c>
      <c r="C3792" s="88"/>
      <c r="D3792" s="92"/>
      <c r="E3792" s="89"/>
      <c r="F3792" s="89"/>
      <c r="G3792" s="89"/>
    </row>
    <row r="3793">
      <c r="A3793" s="93"/>
      <c r="B3793" s="87" t="s">
        <v>779</v>
      </c>
      <c r="C3793" s="88"/>
      <c r="D3793" s="92"/>
      <c r="E3793" s="89"/>
      <c r="F3793" s="89"/>
      <c r="G3793" s="89"/>
    </row>
    <row r="3794">
      <c r="A3794" s="93"/>
      <c r="B3794" s="87" t="s">
        <v>779</v>
      </c>
      <c r="C3794" s="88"/>
      <c r="D3794" s="92"/>
      <c r="E3794" s="89"/>
      <c r="F3794" s="89"/>
      <c r="G3794" s="89"/>
    </row>
    <row r="3795">
      <c r="A3795" s="93"/>
      <c r="B3795" s="87" t="s">
        <v>779</v>
      </c>
      <c r="C3795" s="88"/>
      <c r="D3795" s="92"/>
      <c r="E3795" s="89"/>
      <c r="F3795" s="89"/>
      <c r="G3795" s="89"/>
    </row>
    <row r="3796">
      <c r="A3796" s="93"/>
      <c r="B3796" s="87" t="s">
        <v>779</v>
      </c>
      <c r="C3796" s="88"/>
      <c r="D3796" s="92"/>
      <c r="E3796" s="89"/>
      <c r="F3796" s="89"/>
      <c r="G3796" s="89"/>
    </row>
    <row r="3797">
      <c r="A3797" s="93"/>
      <c r="B3797" s="87" t="s">
        <v>779</v>
      </c>
      <c r="C3797" s="88"/>
      <c r="D3797" s="92"/>
      <c r="E3797" s="89"/>
      <c r="F3797" s="89"/>
      <c r="G3797" s="89"/>
    </row>
    <row r="3798">
      <c r="A3798" s="93"/>
      <c r="B3798" s="87" t="s">
        <v>779</v>
      </c>
      <c r="C3798" s="88"/>
      <c r="D3798" s="92"/>
      <c r="E3798" s="89"/>
      <c r="F3798" s="89"/>
      <c r="G3798" s="89"/>
    </row>
    <row r="3799">
      <c r="A3799" s="93"/>
      <c r="B3799" s="87" t="s">
        <v>779</v>
      </c>
      <c r="C3799" s="88"/>
      <c r="D3799" s="92"/>
      <c r="E3799" s="89"/>
      <c r="F3799" s="89"/>
      <c r="G3799" s="89"/>
    </row>
    <row r="3800">
      <c r="A3800" s="93"/>
      <c r="B3800" s="87" t="s">
        <v>779</v>
      </c>
      <c r="C3800" s="88"/>
      <c r="D3800" s="92"/>
      <c r="E3800" s="89"/>
      <c r="F3800" s="89"/>
      <c r="G3800" s="89"/>
    </row>
    <row r="3801">
      <c r="A3801" s="93"/>
      <c r="B3801" s="87" t="s">
        <v>779</v>
      </c>
      <c r="C3801" s="88"/>
      <c r="D3801" s="92"/>
      <c r="E3801" s="89"/>
      <c r="F3801" s="89"/>
      <c r="G3801" s="89"/>
    </row>
    <row r="3802">
      <c r="A3802" s="93"/>
      <c r="B3802" s="87" t="s">
        <v>779</v>
      </c>
      <c r="C3802" s="88"/>
      <c r="D3802" s="92"/>
      <c r="E3802" s="89"/>
      <c r="F3802" s="89"/>
      <c r="G3802" s="89"/>
    </row>
    <row r="3803">
      <c r="A3803" s="93"/>
      <c r="B3803" s="87" t="s">
        <v>779</v>
      </c>
      <c r="C3803" s="88"/>
      <c r="D3803" s="92"/>
      <c r="E3803" s="89"/>
      <c r="F3803" s="89"/>
      <c r="G3803" s="89"/>
    </row>
    <row r="3804">
      <c r="A3804" s="93"/>
      <c r="B3804" s="87" t="s">
        <v>779</v>
      </c>
      <c r="C3804" s="88"/>
      <c r="D3804" s="92"/>
      <c r="E3804" s="89"/>
      <c r="F3804" s="89"/>
      <c r="G3804" s="89"/>
    </row>
    <row r="3805">
      <c r="A3805" s="93"/>
      <c r="B3805" s="87" t="s">
        <v>779</v>
      </c>
      <c r="C3805" s="88"/>
      <c r="D3805" s="92"/>
      <c r="E3805" s="89"/>
      <c r="F3805" s="89"/>
      <c r="G3805" s="89"/>
    </row>
    <row r="3806">
      <c r="A3806" s="93"/>
      <c r="B3806" s="87" t="s">
        <v>779</v>
      </c>
      <c r="C3806" s="88"/>
      <c r="D3806" s="92"/>
      <c r="E3806" s="89"/>
      <c r="F3806" s="89"/>
      <c r="G3806" s="89"/>
    </row>
    <row r="3807">
      <c r="A3807" s="93"/>
      <c r="B3807" s="87" t="s">
        <v>779</v>
      </c>
      <c r="C3807" s="88"/>
      <c r="D3807" s="92"/>
      <c r="E3807" s="89"/>
      <c r="F3807" s="89"/>
      <c r="G3807" s="89"/>
    </row>
    <row r="3808">
      <c r="A3808" s="93"/>
      <c r="B3808" s="87" t="s">
        <v>779</v>
      </c>
      <c r="C3808" s="88"/>
      <c r="D3808" s="92"/>
      <c r="E3808" s="89"/>
      <c r="F3808" s="89"/>
      <c r="G3808" s="89"/>
    </row>
    <row r="3809">
      <c r="A3809" s="93"/>
      <c r="B3809" s="87" t="s">
        <v>779</v>
      </c>
      <c r="C3809" s="88"/>
      <c r="D3809" s="92"/>
      <c r="E3809" s="89"/>
      <c r="F3809" s="89"/>
      <c r="G3809" s="89"/>
    </row>
    <row r="3810">
      <c r="A3810" s="93"/>
      <c r="B3810" s="87" t="s">
        <v>779</v>
      </c>
      <c r="C3810" s="88"/>
      <c r="D3810" s="92"/>
      <c r="E3810" s="89"/>
      <c r="F3810" s="89"/>
      <c r="G3810" s="89"/>
    </row>
    <row r="3811">
      <c r="A3811" s="93"/>
      <c r="B3811" s="87" t="s">
        <v>779</v>
      </c>
      <c r="C3811" s="88"/>
      <c r="D3811" s="92"/>
      <c r="E3811" s="89"/>
      <c r="F3811" s="89"/>
      <c r="G3811" s="89"/>
    </row>
    <row r="3812">
      <c r="A3812" s="93"/>
      <c r="B3812" s="87" t="s">
        <v>779</v>
      </c>
      <c r="C3812" s="88"/>
      <c r="D3812" s="92"/>
      <c r="E3812" s="89"/>
      <c r="F3812" s="89"/>
      <c r="G3812" s="89"/>
    </row>
    <row r="3813">
      <c r="A3813" s="93"/>
      <c r="B3813" s="87" t="s">
        <v>779</v>
      </c>
      <c r="C3813" s="88"/>
      <c r="D3813" s="92"/>
      <c r="E3813" s="89"/>
      <c r="F3813" s="89"/>
      <c r="G3813" s="89"/>
    </row>
    <row r="3814">
      <c r="A3814" s="93"/>
      <c r="B3814" s="87" t="s">
        <v>779</v>
      </c>
      <c r="C3814" s="88"/>
      <c r="D3814" s="92"/>
      <c r="E3814" s="89"/>
      <c r="F3814" s="89"/>
      <c r="G3814" s="89"/>
    </row>
    <row r="3815">
      <c r="A3815" s="93"/>
      <c r="B3815" s="87" t="s">
        <v>779</v>
      </c>
      <c r="C3815" s="88"/>
      <c r="D3815" s="92"/>
      <c r="E3815" s="89"/>
      <c r="F3815" s="89"/>
      <c r="G3815" s="89"/>
    </row>
    <row r="3816">
      <c r="A3816" s="93"/>
      <c r="B3816" s="87" t="s">
        <v>779</v>
      </c>
      <c r="C3816" s="88"/>
      <c r="D3816" s="92"/>
      <c r="E3816" s="89"/>
      <c r="F3816" s="89"/>
      <c r="G3816" s="89"/>
    </row>
    <row r="3817">
      <c r="A3817" s="93"/>
      <c r="B3817" s="87" t="s">
        <v>779</v>
      </c>
      <c r="C3817" s="88"/>
      <c r="D3817" s="92"/>
      <c r="E3817" s="89"/>
      <c r="F3817" s="89"/>
      <c r="G3817" s="89"/>
    </row>
    <row r="3818">
      <c r="A3818" s="93"/>
      <c r="B3818" s="87" t="s">
        <v>779</v>
      </c>
      <c r="C3818" s="88"/>
      <c r="D3818" s="92"/>
      <c r="E3818" s="89"/>
      <c r="F3818" s="89"/>
      <c r="G3818" s="89"/>
    </row>
    <row r="3819">
      <c r="A3819" s="93"/>
      <c r="B3819" s="87" t="s">
        <v>779</v>
      </c>
      <c r="C3819" s="88"/>
      <c r="D3819" s="92"/>
      <c r="E3819" s="89"/>
      <c r="F3819" s="89"/>
      <c r="G3819" s="89"/>
    </row>
    <row r="3820">
      <c r="A3820" s="93"/>
      <c r="B3820" s="87" t="s">
        <v>779</v>
      </c>
      <c r="C3820" s="88"/>
      <c r="D3820" s="92"/>
      <c r="E3820" s="89"/>
      <c r="F3820" s="89"/>
      <c r="G3820" s="89"/>
    </row>
    <row r="3821">
      <c r="A3821" s="93"/>
      <c r="B3821" s="87" t="s">
        <v>779</v>
      </c>
      <c r="C3821" s="88"/>
      <c r="D3821" s="92"/>
      <c r="E3821" s="89"/>
      <c r="F3821" s="89"/>
      <c r="G3821" s="89"/>
    </row>
    <row r="3822">
      <c r="A3822" s="93"/>
      <c r="B3822" s="87" t="s">
        <v>779</v>
      </c>
      <c r="C3822" s="88"/>
      <c r="D3822" s="92"/>
      <c r="E3822" s="89"/>
      <c r="F3822" s="89"/>
      <c r="G3822" s="89"/>
    </row>
    <row r="3823">
      <c r="A3823" s="93"/>
      <c r="B3823" s="87" t="s">
        <v>779</v>
      </c>
      <c r="C3823" s="88"/>
      <c r="D3823" s="92"/>
      <c r="E3823" s="89"/>
      <c r="F3823" s="89"/>
      <c r="G3823" s="89"/>
    </row>
    <row r="3824">
      <c r="A3824" s="93"/>
      <c r="B3824" s="87" t="s">
        <v>779</v>
      </c>
      <c r="C3824" s="88"/>
      <c r="D3824" s="92"/>
      <c r="E3824" s="89"/>
      <c r="F3824" s="89"/>
      <c r="G3824" s="89"/>
    </row>
    <row r="3825">
      <c r="A3825" s="93"/>
      <c r="B3825" s="87" t="s">
        <v>779</v>
      </c>
      <c r="C3825" s="88"/>
      <c r="D3825" s="92"/>
      <c r="E3825" s="89"/>
      <c r="F3825" s="89"/>
      <c r="G3825" s="89"/>
    </row>
    <row r="3826">
      <c r="A3826" s="93"/>
      <c r="B3826" s="87" t="s">
        <v>779</v>
      </c>
      <c r="C3826" s="88"/>
      <c r="D3826" s="92"/>
      <c r="E3826" s="89"/>
      <c r="F3826" s="89"/>
      <c r="G3826" s="89"/>
    </row>
    <row r="3827">
      <c r="A3827" s="93"/>
      <c r="B3827" s="87" t="s">
        <v>779</v>
      </c>
      <c r="C3827" s="88"/>
      <c r="D3827" s="92"/>
      <c r="E3827" s="89"/>
      <c r="F3827" s="89"/>
      <c r="G3827" s="89"/>
    </row>
    <row r="3828">
      <c r="A3828" s="93"/>
      <c r="B3828" s="87" t="s">
        <v>779</v>
      </c>
      <c r="C3828" s="88"/>
      <c r="D3828" s="92"/>
      <c r="E3828" s="89"/>
      <c r="F3828" s="89"/>
      <c r="G3828" s="89"/>
    </row>
    <row r="3829">
      <c r="A3829" s="93"/>
      <c r="B3829" s="87" t="s">
        <v>779</v>
      </c>
      <c r="C3829" s="88"/>
      <c r="D3829" s="92"/>
      <c r="E3829" s="89"/>
      <c r="F3829" s="89"/>
      <c r="G3829" s="89"/>
    </row>
    <row r="3830">
      <c r="A3830" s="93"/>
      <c r="B3830" s="87" t="s">
        <v>779</v>
      </c>
      <c r="C3830" s="88"/>
      <c r="D3830" s="92"/>
      <c r="E3830" s="89"/>
      <c r="F3830" s="89"/>
      <c r="G3830" s="89"/>
    </row>
    <row r="3831">
      <c r="A3831" s="93"/>
      <c r="B3831" s="87" t="s">
        <v>779</v>
      </c>
      <c r="C3831" s="88"/>
      <c r="D3831" s="92"/>
      <c r="E3831" s="89"/>
      <c r="F3831" s="89"/>
      <c r="G3831" s="89"/>
    </row>
    <row r="3832">
      <c r="A3832" s="93"/>
      <c r="B3832" s="87" t="s">
        <v>779</v>
      </c>
      <c r="C3832" s="88"/>
      <c r="D3832" s="92"/>
      <c r="E3832" s="89"/>
      <c r="F3832" s="89"/>
      <c r="G3832" s="89"/>
    </row>
    <row r="3833">
      <c r="A3833" s="93"/>
      <c r="B3833" s="87" t="s">
        <v>779</v>
      </c>
      <c r="C3833" s="88"/>
      <c r="D3833" s="92"/>
      <c r="E3833" s="89"/>
      <c r="F3833" s="89"/>
      <c r="G3833" s="89"/>
    </row>
    <row r="3834">
      <c r="A3834" s="93"/>
      <c r="B3834" s="87" t="s">
        <v>779</v>
      </c>
      <c r="C3834" s="88"/>
      <c r="D3834" s="92"/>
      <c r="E3834" s="89"/>
      <c r="F3834" s="89"/>
      <c r="G3834" s="89"/>
    </row>
    <row r="3835">
      <c r="A3835" s="93"/>
      <c r="B3835" s="87" t="s">
        <v>779</v>
      </c>
      <c r="C3835" s="88"/>
      <c r="D3835" s="92"/>
      <c r="E3835" s="89"/>
      <c r="F3835" s="89"/>
      <c r="G3835" s="89"/>
    </row>
    <row r="3836">
      <c r="A3836" s="93"/>
      <c r="B3836" s="87" t="s">
        <v>779</v>
      </c>
      <c r="C3836" s="88"/>
      <c r="D3836" s="92"/>
      <c r="E3836" s="89"/>
      <c r="F3836" s="89"/>
      <c r="G3836" s="89"/>
    </row>
    <row r="3837">
      <c r="A3837" s="93"/>
      <c r="B3837" s="87" t="s">
        <v>779</v>
      </c>
      <c r="C3837" s="88"/>
      <c r="D3837" s="92"/>
      <c r="E3837" s="89"/>
      <c r="F3837" s="89"/>
      <c r="G3837" s="89"/>
    </row>
    <row r="3838">
      <c r="A3838" s="93"/>
      <c r="B3838" s="87" t="s">
        <v>779</v>
      </c>
      <c r="C3838" s="88"/>
      <c r="D3838" s="92"/>
      <c r="E3838" s="89"/>
      <c r="F3838" s="89"/>
      <c r="G3838" s="89"/>
    </row>
    <row r="3839">
      <c r="A3839" s="93"/>
      <c r="B3839" s="87" t="s">
        <v>779</v>
      </c>
      <c r="C3839" s="88"/>
      <c r="D3839" s="92"/>
      <c r="E3839" s="89"/>
      <c r="F3839" s="89"/>
      <c r="G3839" s="89"/>
    </row>
    <row r="3840">
      <c r="A3840" s="93"/>
      <c r="B3840" s="87" t="s">
        <v>779</v>
      </c>
      <c r="C3840" s="88"/>
      <c r="D3840" s="92"/>
      <c r="E3840" s="89"/>
      <c r="F3840" s="89"/>
      <c r="G3840" s="89"/>
    </row>
    <row r="3841">
      <c r="A3841" s="93"/>
      <c r="B3841" s="87" t="s">
        <v>779</v>
      </c>
      <c r="C3841" s="88"/>
      <c r="D3841" s="92"/>
      <c r="E3841" s="89"/>
      <c r="F3841" s="89"/>
      <c r="G3841" s="89"/>
    </row>
    <row r="3842">
      <c r="A3842" s="93"/>
      <c r="B3842" s="87" t="s">
        <v>779</v>
      </c>
      <c r="C3842" s="88"/>
      <c r="D3842" s="92"/>
      <c r="E3842" s="89"/>
      <c r="F3842" s="89"/>
      <c r="G3842" s="89"/>
    </row>
    <row r="3843">
      <c r="A3843" s="93"/>
      <c r="B3843" s="87" t="s">
        <v>779</v>
      </c>
      <c r="C3843" s="88"/>
      <c r="D3843" s="92"/>
      <c r="E3843" s="89"/>
      <c r="F3843" s="89"/>
      <c r="G3843" s="89"/>
    </row>
    <row r="3844">
      <c r="A3844" s="93"/>
      <c r="B3844" s="87" t="s">
        <v>779</v>
      </c>
      <c r="C3844" s="88"/>
      <c r="D3844" s="92"/>
      <c r="E3844" s="89"/>
      <c r="F3844" s="89"/>
      <c r="G3844" s="89"/>
    </row>
    <row r="3845">
      <c r="A3845" s="93"/>
      <c r="B3845" s="87" t="s">
        <v>779</v>
      </c>
      <c r="C3845" s="88"/>
      <c r="D3845" s="92"/>
      <c r="E3845" s="89"/>
      <c r="F3845" s="89"/>
      <c r="G3845" s="89"/>
    </row>
    <row r="3846">
      <c r="A3846" s="93"/>
      <c r="B3846" s="87" t="s">
        <v>779</v>
      </c>
      <c r="C3846" s="88"/>
      <c r="D3846" s="92"/>
      <c r="E3846" s="89"/>
      <c r="F3846" s="89"/>
      <c r="G3846" s="89"/>
    </row>
    <row r="3847">
      <c r="A3847" s="93"/>
      <c r="B3847" s="87" t="s">
        <v>779</v>
      </c>
      <c r="C3847" s="88"/>
      <c r="D3847" s="92"/>
      <c r="E3847" s="89"/>
      <c r="F3847" s="89"/>
      <c r="G3847" s="89"/>
    </row>
    <row r="3848">
      <c r="A3848" s="93"/>
      <c r="B3848" s="87" t="s">
        <v>779</v>
      </c>
      <c r="C3848" s="88"/>
      <c r="D3848" s="92"/>
      <c r="E3848" s="89"/>
      <c r="F3848" s="89"/>
      <c r="G3848" s="89"/>
    </row>
    <row r="3849">
      <c r="A3849" s="93"/>
      <c r="B3849" s="87" t="s">
        <v>779</v>
      </c>
      <c r="C3849" s="88"/>
      <c r="D3849" s="92"/>
      <c r="E3849" s="89"/>
      <c r="F3849" s="89"/>
      <c r="G3849" s="89"/>
    </row>
    <row r="3850">
      <c r="A3850" s="93"/>
      <c r="B3850" s="87" t="s">
        <v>779</v>
      </c>
      <c r="C3850" s="88"/>
      <c r="D3850" s="92"/>
      <c r="E3850" s="89"/>
      <c r="F3850" s="89"/>
      <c r="G3850" s="89"/>
    </row>
    <row r="3851">
      <c r="A3851" s="93"/>
      <c r="B3851" s="87" t="s">
        <v>779</v>
      </c>
      <c r="C3851" s="88"/>
      <c r="D3851" s="92"/>
      <c r="E3851" s="89"/>
      <c r="F3851" s="89"/>
      <c r="G3851" s="89"/>
    </row>
    <row r="3852">
      <c r="A3852" s="93"/>
      <c r="B3852" s="87" t="s">
        <v>779</v>
      </c>
      <c r="C3852" s="88"/>
      <c r="D3852" s="92"/>
      <c r="E3852" s="89"/>
      <c r="F3852" s="89"/>
      <c r="G3852" s="89"/>
    </row>
    <row r="3853">
      <c r="A3853" s="93"/>
      <c r="B3853" s="87" t="s">
        <v>779</v>
      </c>
      <c r="C3853" s="88"/>
      <c r="D3853" s="92"/>
      <c r="E3853" s="89"/>
      <c r="F3853" s="89"/>
      <c r="G3853" s="89"/>
    </row>
    <row r="3854">
      <c r="A3854" s="93"/>
      <c r="B3854" s="87" t="s">
        <v>779</v>
      </c>
      <c r="C3854" s="88"/>
      <c r="D3854" s="92"/>
      <c r="E3854" s="89"/>
      <c r="F3854" s="89"/>
      <c r="G3854" s="89"/>
    </row>
    <row r="3855">
      <c r="A3855" s="93"/>
      <c r="B3855" s="87" t="s">
        <v>779</v>
      </c>
      <c r="C3855" s="88"/>
      <c r="D3855" s="92"/>
      <c r="E3855" s="89"/>
      <c r="F3855" s="89"/>
      <c r="G3855" s="89"/>
    </row>
    <row r="3856">
      <c r="A3856" s="93"/>
      <c r="B3856" s="87" t="s">
        <v>779</v>
      </c>
      <c r="C3856" s="88"/>
      <c r="D3856" s="92"/>
      <c r="E3856" s="89"/>
      <c r="F3856" s="89"/>
      <c r="G3856" s="89"/>
    </row>
    <row r="3857">
      <c r="A3857" s="93"/>
      <c r="B3857" s="87" t="s">
        <v>779</v>
      </c>
      <c r="C3857" s="88"/>
      <c r="D3857" s="92"/>
      <c r="E3857" s="89"/>
      <c r="F3857" s="89"/>
      <c r="G3857" s="89"/>
    </row>
    <row r="3858">
      <c r="A3858" s="93"/>
      <c r="B3858" s="87" t="s">
        <v>779</v>
      </c>
      <c r="C3858" s="88"/>
      <c r="D3858" s="92"/>
      <c r="E3858" s="89"/>
      <c r="F3858" s="89"/>
      <c r="G3858" s="89"/>
    </row>
    <row r="3859">
      <c r="A3859" s="93"/>
      <c r="B3859" s="87" t="s">
        <v>779</v>
      </c>
      <c r="C3859" s="88"/>
      <c r="D3859" s="92"/>
      <c r="E3859" s="89"/>
      <c r="F3859" s="89"/>
      <c r="G3859" s="89"/>
    </row>
    <row r="3860">
      <c r="A3860" s="93"/>
      <c r="B3860" s="87" t="s">
        <v>779</v>
      </c>
      <c r="C3860" s="88"/>
      <c r="D3860" s="92"/>
      <c r="E3860" s="89"/>
      <c r="F3860" s="89"/>
      <c r="G3860" s="89"/>
    </row>
    <row r="3861">
      <c r="A3861" s="93"/>
      <c r="B3861" s="87" t="s">
        <v>779</v>
      </c>
      <c r="C3861" s="88"/>
      <c r="D3861" s="92"/>
      <c r="E3861" s="89"/>
      <c r="F3861" s="89"/>
      <c r="G3861" s="89"/>
    </row>
    <row r="3862">
      <c r="A3862" s="93"/>
      <c r="B3862" s="87" t="s">
        <v>779</v>
      </c>
      <c r="C3862" s="88"/>
      <c r="D3862" s="92"/>
      <c r="E3862" s="89"/>
      <c r="F3862" s="89"/>
      <c r="G3862" s="89"/>
    </row>
    <row r="3863">
      <c r="A3863" s="93"/>
      <c r="B3863" s="87" t="s">
        <v>779</v>
      </c>
      <c r="C3863" s="88"/>
      <c r="D3863" s="92"/>
      <c r="E3863" s="89"/>
      <c r="F3863" s="89"/>
      <c r="G3863" s="89"/>
    </row>
    <row r="3864">
      <c r="A3864" s="93"/>
      <c r="B3864" s="87" t="s">
        <v>779</v>
      </c>
      <c r="C3864" s="88"/>
      <c r="D3864" s="92"/>
      <c r="E3864" s="89"/>
      <c r="F3864" s="89"/>
      <c r="G3864" s="89"/>
    </row>
    <row r="3865">
      <c r="A3865" s="93"/>
      <c r="B3865" s="87" t="s">
        <v>779</v>
      </c>
      <c r="C3865" s="88"/>
      <c r="D3865" s="92"/>
      <c r="E3865" s="89"/>
      <c r="F3865" s="89"/>
      <c r="G3865" s="89"/>
    </row>
    <row r="3866">
      <c r="A3866" s="93"/>
      <c r="B3866" s="87" t="s">
        <v>779</v>
      </c>
      <c r="C3866" s="88"/>
      <c r="D3866" s="92"/>
      <c r="E3866" s="89"/>
      <c r="F3866" s="89"/>
      <c r="G3866" s="89"/>
    </row>
    <row r="3867">
      <c r="A3867" s="93"/>
      <c r="B3867" s="87" t="s">
        <v>779</v>
      </c>
      <c r="C3867" s="88"/>
      <c r="D3867" s="92"/>
      <c r="E3867" s="89"/>
      <c r="F3867" s="89"/>
      <c r="G3867" s="89"/>
    </row>
    <row r="3868">
      <c r="A3868" s="93"/>
      <c r="B3868" s="87" t="s">
        <v>779</v>
      </c>
      <c r="C3868" s="88"/>
      <c r="D3868" s="92"/>
      <c r="E3868" s="89"/>
      <c r="F3868" s="89"/>
      <c r="G3868" s="89"/>
    </row>
    <row r="3869">
      <c r="A3869" s="93"/>
      <c r="B3869" s="87" t="s">
        <v>779</v>
      </c>
      <c r="C3869" s="88"/>
      <c r="D3869" s="92"/>
      <c r="E3869" s="89"/>
      <c r="F3869" s="89"/>
      <c r="G3869" s="89"/>
    </row>
    <row r="3870">
      <c r="A3870" s="93"/>
      <c r="B3870" s="87" t="s">
        <v>779</v>
      </c>
      <c r="C3870" s="88"/>
      <c r="D3870" s="92"/>
      <c r="E3870" s="89"/>
      <c r="F3870" s="89"/>
      <c r="G3870" s="89"/>
    </row>
    <row r="3871">
      <c r="A3871" s="93"/>
      <c r="B3871" s="87" t="s">
        <v>779</v>
      </c>
      <c r="C3871" s="88"/>
      <c r="D3871" s="92"/>
      <c r="E3871" s="89"/>
      <c r="F3871" s="89"/>
      <c r="G3871" s="89"/>
    </row>
    <row r="3872">
      <c r="A3872" s="93"/>
      <c r="B3872" s="87" t="s">
        <v>779</v>
      </c>
      <c r="C3872" s="88"/>
      <c r="D3872" s="92"/>
      <c r="E3872" s="89"/>
      <c r="F3872" s="89"/>
      <c r="G3872" s="89"/>
    </row>
    <row r="3873">
      <c r="A3873" s="93"/>
      <c r="B3873" s="87" t="s">
        <v>779</v>
      </c>
      <c r="C3873" s="88"/>
      <c r="D3873" s="92"/>
      <c r="E3873" s="89"/>
      <c r="F3873" s="89"/>
      <c r="G3873" s="89"/>
    </row>
    <row r="3874">
      <c r="A3874" s="93"/>
      <c r="B3874" s="87" t="s">
        <v>779</v>
      </c>
      <c r="C3874" s="88"/>
      <c r="D3874" s="92"/>
      <c r="E3874" s="89"/>
      <c r="F3874" s="89"/>
      <c r="G3874" s="89"/>
    </row>
    <row r="3875">
      <c r="A3875" s="93"/>
      <c r="B3875" s="87" t="s">
        <v>779</v>
      </c>
      <c r="C3875" s="88"/>
      <c r="D3875" s="92"/>
      <c r="E3875" s="89"/>
      <c r="F3875" s="89"/>
      <c r="G3875" s="89"/>
    </row>
    <row r="3876">
      <c r="A3876" s="93"/>
      <c r="B3876" s="87" t="s">
        <v>779</v>
      </c>
      <c r="C3876" s="88"/>
      <c r="D3876" s="92"/>
      <c r="E3876" s="89"/>
      <c r="F3876" s="89"/>
      <c r="G3876" s="89"/>
    </row>
    <row r="3877">
      <c r="A3877" s="93"/>
      <c r="B3877" s="87" t="s">
        <v>779</v>
      </c>
      <c r="C3877" s="88"/>
      <c r="D3877" s="92"/>
      <c r="E3877" s="89"/>
      <c r="F3877" s="89"/>
      <c r="G3877" s="89"/>
    </row>
    <row r="3878">
      <c r="A3878" s="93"/>
      <c r="B3878" s="87" t="s">
        <v>779</v>
      </c>
      <c r="C3878" s="88"/>
      <c r="D3878" s="92"/>
      <c r="E3878" s="89"/>
      <c r="F3878" s="89"/>
      <c r="G3878" s="89"/>
    </row>
    <row r="3879">
      <c r="A3879" s="93"/>
      <c r="B3879" s="87" t="s">
        <v>779</v>
      </c>
      <c r="C3879" s="88"/>
      <c r="D3879" s="92"/>
      <c r="E3879" s="89"/>
      <c r="F3879" s="89"/>
      <c r="G3879" s="89"/>
    </row>
    <row r="3880">
      <c r="A3880" s="93"/>
      <c r="B3880" s="87" t="s">
        <v>779</v>
      </c>
      <c r="C3880" s="88"/>
      <c r="D3880" s="92"/>
      <c r="E3880" s="89"/>
      <c r="F3880" s="89"/>
      <c r="G3880" s="89"/>
    </row>
    <row r="3881">
      <c r="A3881" s="93"/>
      <c r="B3881" s="87" t="s">
        <v>779</v>
      </c>
      <c r="C3881" s="88"/>
      <c r="D3881" s="92"/>
      <c r="E3881" s="89"/>
      <c r="F3881" s="89"/>
      <c r="G3881" s="89"/>
    </row>
    <row r="3882">
      <c r="A3882" s="93"/>
      <c r="B3882" s="87" t="s">
        <v>779</v>
      </c>
      <c r="C3882" s="88"/>
      <c r="D3882" s="92"/>
      <c r="E3882" s="89"/>
      <c r="F3882" s="89"/>
      <c r="G3882" s="89"/>
    </row>
    <row r="3883">
      <c r="A3883" s="93"/>
      <c r="B3883" s="87" t="s">
        <v>779</v>
      </c>
      <c r="C3883" s="88"/>
      <c r="D3883" s="92"/>
      <c r="E3883" s="89"/>
      <c r="F3883" s="89"/>
      <c r="G3883" s="89"/>
    </row>
    <row r="3884">
      <c r="A3884" s="93"/>
      <c r="B3884" s="87" t="s">
        <v>779</v>
      </c>
      <c r="C3884" s="88"/>
      <c r="D3884" s="92"/>
      <c r="E3884" s="89"/>
      <c r="F3884" s="89"/>
      <c r="G3884" s="89"/>
    </row>
    <row r="3885">
      <c r="A3885" s="93"/>
      <c r="B3885" s="87" t="s">
        <v>779</v>
      </c>
      <c r="C3885" s="88"/>
      <c r="D3885" s="92"/>
      <c r="E3885" s="89"/>
      <c r="F3885" s="89"/>
      <c r="G3885" s="89"/>
    </row>
    <row r="3886">
      <c r="A3886" s="93"/>
      <c r="B3886" s="87" t="s">
        <v>779</v>
      </c>
      <c r="C3886" s="88"/>
      <c r="D3886" s="92"/>
      <c r="E3886" s="89"/>
      <c r="F3886" s="89"/>
      <c r="G3886" s="89"/>
    </row>
    <row r="3887">
      <c r="A3887" s="93"/>
      <c r="B3887" s="87" t="s">
        <v>779</v>
      </c>
      <c r="C3887" s="88"/>
      <c r="D3887" s="92"/>
      <c r="E3887" s="89"/>
      <c r="F3887" s="89"/>
      <c r="G3887" s="89"/>
    </row>
    <row r="3888">
      <c r="A3888" s="93"/>
      <c r="B3888" s="87" t="s">
        <v>779</v>
      </c>
      <c r="C3888" s="88"/>
      <c r="D3888" s="92"/>
      <c r="E3888" s="89"/>
      <c r="F3888" s="89"/>
      <c r="G3888" s="89"/>
    </row>
    <row r="3889">
      <c r="A3889" s="93"/>
      <c r="B3889" s="87" t="s">
        <v>779</v>
      </c>
      <c r="C3889" s="88"/>
      <c r="D3889" s="92"/>
      <c r="E3889" s="89"/>
      <c r="F3889" s="89"/>
      <c r="G3889" s="89"/>
    </row>
    <row r="3890">
      <c r="A3890" s="93"/>
      <c r="B3890" s="87" t="s">
        <v>779</v>
      </c>
      <c r="C3890" s="88"/>
      <c r="D3890" s="92"/>
      <c r="E3890" s="89"/>
      <c r="F3890" s="89"/>
      <c r="G3890" s="89"/>
    </row>
    <row r="3891">
      <c r="A3891" s="93"/>
      <c r="B3891" s="87" t="s">
        <v>779</v>
      </c>
      <c r="C3891" s="88"/>
      <c r="D3891" s="92"/>
      <c r="E3891" s="89"/>
      <c r="F3891" s="89"/>
      <c r="G3891" s="89"/>
    </row>
    <row r="3892">
      <c r="A3892" s="93"/>
      <c r="B3892" s="87" t="s">
        <v>779</v>
      </c>
      <c r="C3892" s="88"/>
      <c r="D3892" s="92"/>
      <c r="E3892" s="89"/>
      <c r="F3892" s="89"/>
      <c r="G3892" s="89"/>
    </row>
    <row r="3893">
      <c r="A3893" s="93"/>
      <c r="B3893" s="87" t="s">
        <v>779</v>
      </c>
      <c r="C3893" s="88"/>
      <c r="D3893" s="92"/>
      <c r="E3893" s="89"/>
      <c r="F3893" s="89"/>
      <c r="G3893" s="89"/>
    </row>
    <row r="3894">
      <c r="A3894" s="93"/>
      <c r="B3894" s="87" t="s">
        <v>779</v>
      </c>
      <c r="C3894" s="88"/>
      <c r="D3894" s="92"/>
      <c r="E3894" s="89"/>
      <c r="F3894" s="89"/>
      <c r="G3894" s="89"/>
    </row>
    <row r="3895">
      <c r="A3895" s="93"/>
      <c r="B3895" s="87" t="s">
        <v>779</v>
      </c>
      <c r="C3895" s="88"/>
      <c r="D3895" s="92"/>
      <c r="E3895" s="89"/>
      <c r="F3895" s="89"/>
      <c r="G3895" s="89"/>
    </row>
    <row r="3896">
      <c r="A3896" s="93"/>
      <c r="B3896" s="87" t="s">
        <v>779</v>
      </c>
      <c r="C3896" s="88"/>
      <c r="D3896" s="92"/>
      <c r="E3896" s="89"/>
      <c r="F3896" s="89"/>
      <c r="G3896" s="89"/>
    </row>
    <row r="3897">
      <c r="A3897" s="93"/>
      <c r="B3897" s="87" t="s">
        <v>779</v>
      </c>
      <c r="C3897" s="88"/>
      <c r="D3897" s="92"/>
      <c r="E3897" s="89"/>
      <c r="F3897" s="89"/>
      <c r="G3897" s="89"/>
    </row>
    <row r="3898">
      <c r="A3898" s="93"/>
      <c r="B3898" s="87" t="s">
        <v>779</v>
      </c>
      <c r="C3898" s="88"/>
      <c r="D3898" s="92"/>
      <c r="E3898" s="89"/>
      <c r="F3898" s="89"/>
      <c r="G3898" s="89"/>
    </row>
    <row r="3899">
      <c r="A3899" s="93"/>
      <c r="B3899" s="87" t="s">
        <v>779</v>
      </c>
      <c r="C3899" s="88"/>
      <c r="D3899" s="92"/>
      <c r="E3899" s="89"/>
      <c r="F3899" s="89"/>
      <c r="G3899" s="89"/>
    </row>
    <row r="3900">
      <c r="A3900" s="93"/>
      <c r="B3900" s="87" t="s">
        <v>779</v>
      </c>
      <c r="C3900" s="88"/>
      <c r="D3900" s="92"/>
      <c r="E3900" s="89"/>
      <c r="F3900" s="89"/>
      <c r="G3900" s="89"/>
    </row>
    <row r="3901">
      <c r="A3901" s="93"/>
      <c r="B3901" s="87" t="s">
        <v>779</v>
      </c>
      <c r="C3901" s="88"/>
      <c r="D3901" s="92"/>
      <c r="E3901" s="89"/>
      <c r="F3901" s="89"/>
      <c r="G3901" s="89"/>
    </row>
    <row r="3902">
      <c r="A3902" s="93"/>
      <c r="B3902" s="87" t="s">
        <v>779</v>
      </c>
      <c r="C3902" s="88"/>
      <c r="D3902" s="92"/>
      <c r="E3902" s="89"/>
      <c r="F3902" s="89"/>
      <c r="G3902" s="89"/>
    </row>
    <row r="3903">
      <c r="A3903" s="93"/>
      <c r="B3903" s="87" t="s">
        <v>779</v>
      </c>
      <c r="C3903" s="88"/>
      <c r="D3903" s="92"/>
      <c r="E3903" s="89"/>
      <c r="F3903" s="89"/>
      <c r="G3903" s="89"/>
    </row>
    <row r="3904">
      <c r="A3904" s="93"/>
      <c r="B3904" s="87" t="s">
        <v>779</v>
      </c>
      <c r="C3904" s="88"/>
      <c r="D3904" s="92"/>
      <c r="E3904" s="89"/>
      <c r="F3904" s="89"/>
      <c r="G3904" s="89"/>
    </row>
    <row r="3905">
      <c r="A3905" s="93"/>
      <c r="B3905" s="87" t="s">
        <v>779</v>
      </c>
      <c r="C3905" s="88"/>
      <c r="D3905" s="92"/>
      <c r="E3905" s="89"/>
      <c r="F3905" s="89"/>
      <c r="G3905" s="89"/>
    </row>
    <row r="3906">
      <c r="A3906" s="93"/>
      <c r="B3906" s="87" t="s">
        <v>779</v>
      </c>
      <c r="C3906" s="88"/>
      <c r="D3906" s="92"/>
      <c r="E3906" s="89"/>
      <c r="F3906" s="89"/>
      <c r="G3906" s="89"/>
    </row>
    <row r="3907">
      <c r="A3907" s="93"/>
      <c r="B3907" s="87" t="s">
        <v>779</v>
      </c>
      <c r="C3907" s="88"/>
      <c r="D3907" s="92"/>
      <c r="E3907" s="89"/>
      <c r="F3907" s="89"/>
      <c r="G3907" s="89"/>
    </row>
    <row r="3908">
      <c r="A3908" s="93"/>
      <c r="B3908" s="87" t="s">
        <v>779</v>
      </c>
      <c r="C3908" s="88"/>
      <c r="D3908" s="92"/>
      <c r="E3908" s="89"/>
      <c r="F3908" s="89"/>
      <c r="G3908" s="89"/>
    </row>
    <row r="3909">
      <c r="A3909" s="93"/>
      <c r="B3909" s="87" t="s">
        <v>779</v>
      </c>
      <c r="C3909" s="88"/>
      <c r="D3909" s="92"/>
      <c r="E3909" s="89"/>
      <c r="F3909" s="89"/>
      <c r="G3909" s="89"/>
    </row>
    <row r="3910">
      <c r="A3910" s="93"/>
      <c r="B3910" s="87" t="s">
        <v>779</v>
      </c>
      <c r="C3910" s="88"/>
      <c r="D3910" s="92"/>
      <c r="E3910" s="89"/>
      <c r="F3910" s="89"/>
      <c r="G3910" s="89"/>
    </row>
    <row r="3911">
      <c r="A3911" s="93"/>
      <c r="B3911" s="87" t="s">
        <v>779</v>
      </c>
      <c r="C3911" s="88"/>
      <c r="D3911" s="92"/>
      <c r="E3911" s="89"/>
      <c r="F3911" s="89"/>
      <c r="G3911" s="89"/>
    </row>
    <row r="3912">
      <c r="A3912" s="93"/>
      <c r="B3912" s="87" t="s">
        <v>779</v>
      </c>
      <c r="C3912" s="88"/>
      <c r="D3912" s="92"/>
      <c r="E3912" s="89"/>
      <c r="F3912" s="89"/>
      <c r="G3912" s="89"/>
    </row>
    <row r="3913">
      <c r="A3913" s="93"/>
      <c r="B3913" s="87" t="s">
        <v>779</v>
      </c>
      <c r="C3913" s="88"/>
      <c r="D3913" s="92"/>
      <c r="E3913" s="89"/>
      <c r="F3913" s="89"/>
      <c r="G3913" s="89"/>
    </row>
    <row r="3914">
      <c r="A3914" s="93"/>
      <c r="B3914" s="87" t="s">
        <v>779</v>
      </c>
      <c r="C3914" s="88"/>
      <c r="D3914" s="92"/>
      <c r="E3914" s="89"/>
      <c r="F3914" s="89"/>
      <c r="G3914" s="89"/>
    </row>
    <row r="3915">
      <c r="A3915" s="93"/>
      <c r="B3915" s="87" t="s">
        <v>779</v>
      </c>
      <c r="C3915" s="88"/>
      <c r="D3915" s="92"/>
      <c r="E3915" s="89"/>
      <c r="F3915" s="89"/>
      <c r="G3915" s="89"/>
    </row>
    <row r="3916">
      <c r="A3916" s="93"/>
      <c r="B3916" s="87" t="s">
        <v>779</v>
      </c>
      <c r="C3916" s="88"/>
      <c r="D3916" s="92"/>
      <c r="E3916" s="89"/>
      <c r="F3916" s="89"/>
      <c r="G3916" s="89"/>
    </row>
    <row r="3917">
      <c r="A3917" s="93"/>
      <c r="B3917" s="87" t="s">
        <v>779</v>
      </c>
      <c r="C3917" s="88"/>
      <c r="D3917" s="92"/>
      <c r="E3917" s="89"/>
      <c r="F3917" s="89"/>
      <c r="G3917" s="89"/>
    </row>
    <row r="3918">
      <c r="A3918" s="93"/>
      <c r="B3918" s="87" t="s">
        <v>779</v>
      </c>
      <c r="C3918" s="88"/>
      <c r="D3918" s="92"/>
      <c r="E3918" s="89"/>
      <c r="F3918" s="89"/>
      <c r="G3918" s="89"/>
    </row>
    <row r="3919">
      <c r="A3919" s="93"/>
      <c r="B3919" s="87" t="s">
        <v>779</v>
      </c>
      <c r="C3919" s="88"/>
      <c r="D3919" s="92"/>
      <c r="E3919" s="89"/>
      <c r="F3919" s="89"/>
      <c r="G3919" s="89"/>
    </row>
    <row r="3920">
      <c r="A3920" s="93"/>
      <c r="B3920" s="87" t="s">
        <v>779</v>
      </c>
      <c r="C3920" s="88"/>
      <c r="D3920" s="92"/>
      <c r="E3920" s="89"/>
      <c r="F3920" s="89"/>
      <c r="G3920" s="89"/>
    </row>
    <row r="3921">
      <c r="A3921" s="93"/>
      <c r="B3921" s="87" t="s">
        <v>779</v>
      </c>
      <c r="C3921" s="88"/>
      <c r="D3921" s="92"/>
      <c r="E3921" s="89"/>
      <c r="F3921" s="89"/>
      <c r="G3921" s="89"/>
    </row>
    <row r="3922">
      <c r="A3922" s="93"/>
      <c r="B3922" s="87" t="s">
        <v>779</v>
      </c>
      <c r="C3922" s="88"/>
      <c r="D3922" s="92"/>
      <c r="E3922" s="89"/>
      <c r="F3922" s="89"/>
      <c r="G3922" s="89"/>
    </row>
    <row r="3923">
      <c r="A3923" s="93"/>
      <c r="B3923" s="87" t="s">
        <v>779</v>
      </c>
      <c r="C3923" s="88"/>
      <c r="D3923" s="92"/>
      <c r="E3923" s="89"/>
      <c r="F3923" s="89"/>
      <c r="G3923" s="89"/>
    </row>
    <row r="3924">
      <c r="A3924" s="93"/>
      <c r="B3924" s="87" t="s">
        <v>779</v>
      </c>
      <c r="C3924" s="88"/>
      <c r="D3924" s="92"/>
      <c r="E3924" s="89"/>
      <c r="F3924" s="89"/>
      <c r="G3924" s="89"/>
    </row>
    <row r="3925">
      <c r="A3925" s="93"/>
      <c r="B3925" s="87" t="s">
        <v>779</v>
      </c>
      <c r="C3925" s="88"/>
      <c r="D3925" s="92"/>
      <c r="E3925" s="89"/>
      <c r="F3925" s="89"/>
      <c r="G3925" s="89"/>
    </row>
    <row r="3926">
      <c r="A3926" s="93"/>
      <c r="B3926" s="87" t="s">
        <v>779</v>
      </c>
      <c r="C3926" s="88"/>
      <c r="D3926" s="92"/>
      <c r="E3926" s="89"/>
      <c r="F3926" s="89"/>
      <c r="G3926" s="89"/>
    </row>
    <row r="3927">
      <c r="A3927" s="93"/>
      <c r="B3927" s="87" t="s">
        <v>779</v>
      </c>
      <c r="C3927" s="88"/>
      <c r="D3927" s="92"/>
      <c r="E3927" s="89"/>
      <c r="F3927" s="89"/>
      <c r="G3927" s="89"/>
    </row>
    <row r="3928">
      <c r="A3928" s="93"/>
      <c r="B3928" s="87" t="s">
        <v>779</v>
      </c>
      <c r="C3928" s="88"/>
      <c r="D3928" s="92"/>
      <c r="E3928" s="89"/>
      <c r="F3928" s="89"/>
      <c r="G3928" s="89"/>
    </row>
    <row r="3929">
      <c r="A3929" s="93"/>
      <c r="B3929" s="87" t="s">
        <v>779</v>
      </c>
      <c r="C3929" s="88"/>
      <c r="D3929" s="92"/>
      <c r="E3929" s="89"/>
      <c r="F3929" s="89"/>
      <c r="G3929" s="89"/>
    </row>
    <row r="3930">
      <c r="A3930" s="93"/>
      <c r="B3930" s="87" t="s">
        <v>779</v>
      </c>
      <c r="C3930" s="88"/>
      <c r="D3930" s="92"/>
      <c r="E3930" s="89"/>
      <c r="F3930" s="89"/>
      <c r="G3930" s="89"/>
    </row>
    <row r="3931">
      <c r="A3931" s="93"/>
      <c r="B3931" s="87" t="s">
        <v>779</v>
      </c>
      <c r="C3931" s="88"/>
      <c r="D3931" s="92"/>
      <c r="E3931" s="89"/>
      <c r="F3931" s="89"/>
      <c r="G3931" s="89"/>
    </row>
    <row r="3932">
      <c r="A3932" s="93"/>
      <c r="B3932" s="87" t="s">
        <v>779</v>
      </c>
      <c r="C3932" s="88"/>
      <c r="D3932" s="92"/>
      <c r="E3932" s="89"/>
      <c r="F3932" s="89"/>
      <c r="G3932" s="89"/>
    </row>
    <row r="3933">
      <c r="A3933" s="93"/>
      <c r="B3933" s="87" t="s">
        <v>779</v>
      </c>
      <c r="C3933" s="88"/>
      <c r="D3933" s="92"/>
      <c r="E3933" s="89"/>
      <c r="F3933" s="89"/>
      <c r="G3933" s="89"/>
    </row>
    <row r="3934">
      <c r="A3934" s="93"/>
      <c r="B3934" s="87" t="s">
        <v>779</v>
      </c>
      <c r="C3934" s="88"/>
      <c r="D3934" s="92"/>
      <c r="E3934" s="89"/>
      <c r="F3934" s="89"/>
      <c r="G3934" s="89"/>
    </row>
    <row r="3935">
      <c r="A3935" s="93"/>
      <c r="B3935" s="87" t="s">
        <v>779</v>
      </c>
      <c r="C3935" s="88"/>
      <c r="D3935" s="92"/>
      <c r="E3935" s="89"/>
      <c r="F3935" s="89"/>
      <c r="G3935" s="89"/>
    </row>
    <row r="3936">
      <c r="A3936" s="93"/>
      <c r="B3936" s="87" t="s">
        <v>779</v>
      </c>
      <c r="C3936" s="88"/>
      <c r="D3936" s="92"/>
      <c r="E3936" s="89"/>
      <c r="F3936" s="89"/>
      <c r="G3936" s="89"/>
    </row>
    <row r="3937">
      <c r="A3937" s="93"/>
      <c r="B3937" s="87" t="s">
        <v>779</v>
      </c>
      <c r="C3937" s="88"/>
      <c r="D3937" s="92"/>
      <c r="E3937" s="89"/>
      <c r="F3937" s="89"/>
      <c r="G3937" s="89"/>
    </row>
    <row r="3938">
      <c r="A3938" s="93"/>
      <c r="B3938" s="87" t="s">
        <v>779</v>
      </c>
      <c r="C3938" s="88"/>
      <c r="D3938" s="92"/>
      <c r="E3938" s="89"/>
      <c r="F3938" s="89"/>
      <c r="G3938" s="89"/>
    </row>
    <row r="3939">
      <c r="A3939" s="93"/>
      <c r="B3939" s="87" t="s">
        <v>779</v>
      </c>
      <c r="C3939" s="88"/>
      <c r="D3939" s="92"/>
      <c r="E3939" s="89"/>
      <c r="F3939" s="89"/>
      <c r="G3939" s="89"/>
    </row>
    <row r="3940">
      <c r="A3940" s="93"/>
      <c r="B3940" s="87" t="s">
        <v>779</v>
      </c>
      <c r="C3940" s="88"/>
      <c r="D3940" s="92"/>
      <c r="E3940" s="89"/>
      <c r="F3940" s="89"/>
      <c r="G3940" s="89"/>
    </row>
    <row r="3941">
      <c r="A3941" s="93"/>
      <c r="B3941" s="87" t="s">
        <v>779</v>
      </c>
      <c r="C3941" s="88"/>
      <c r="D3941" s="92"/>
      <c r="E3941" s="89"/>
      <c r="F3941" s="89"/>
      <c r="G3941" s="89"/>
    </row>
    <row r="3942">
      <c r="A3942" s="93"/>
      <c r="B3942" s="87" t="s">
        <v>779</v>
      </c>
      <c r="C3942" s="88"/>
      <c r="D3942" s="92"/>
      <c r="E3942" s="89"/>
      <c r="F3942" s="89"/>
      <c r="G3942" s="89"/>
    </row>
    <row r="3943">
      <c r="A3943" s="93"/>
      <c r="B3943" s="87" t="s">
        <v>779</v>
      </c>
      <c r="C3943" s="88"/>
      <c r="D3943" s="92"/>
      <c r="E3943" s="89"/>
      <c r="F3943" s="89"/>
      <c r="G3943" s="89"/>
    </row>
    <row r="3944">
      <c r="A3944" s="93"/>
      <c r="B3944" s="87" t="s">
        <v>779</v>
      </c>
      <c r="C3944" s="88"/>
      <c r="D3944" s="92"/>
      <c r="E3944" s="89"/>
      <c r="F3944" s="89"/>
      <c r="G3944" s="89"/>
    </row>
    <row r="3945">
      <c r="A3945" s="93"/>
      <c r="B3945" s="87" t="s">
        <v>779</v>
      </c>
      <c r="C3945" s="88"/>
      <c r="D3945" s="92"/>
      <c r="E3945" s="89"/>
      <c r="F3945" s="89"/>
      <c r="G3945" s="89"/>
    </row>
    <row r="3946">
      <c r="A3946" s="93"/>
      <c r="B3946" s="87" t="s">
        <v>779</v>
      </c>
      <c r="C3946" s="88"/>
      <c r="D3946" s="92"/>
      <c r="E3946" s="89"/>
      <c r="F3946" s="89"/>
      <c r="G3946" s="89"/>
    </row>
    <row r="3947">
      <c r="A3947" s="93"/>
      <c r="B3947" s="87" t="s">
        <v>779</v>
      </c>
      <c r="C3947" s="88"/>
      <c r="D3947" s="92"/>
      <c r="E3947" s="89"/>
      <c r="F3947" s="89"/>
      <c r="G3947" s="89"/>
    </row>
    <row r="3948">
      <c r="A3948" s="93"/>
      <c r="B3948" s="87" t="s">
        <v>779</v>
      </c>
      <c r="C3948" s="88"/>
      <c r="D3948" s="92"/>
      <c r="E3948" s="89"/>
      <c r="F3948" s="89"/>
      <c r="G3948" s="89"/>
    </row>
    <row r="3949">
      <c r="A3949" s="93"/>
      <c r="B3949" s="87" t="s">
        <v>779</v>
      </c>
      <c r="C3949" s="88"/>
      <c r="D3949" s="92"/>
      <c r="E3949" s="89"/>
      <c r="F3949" s="89"/>
      <c r="G3949" s="89"/>
    </row>
    <row r="3950">
      <c r="A3950" s="93"/>
      <c r="B3950" s="87" t="s">
        <v>779</v>
      </c>
      <c r="C3950" s="88"/>
      <c r="D3950" s="92"/>
      <c r="E3950" s="89"/>
      <c r="F3950" s="89"/>
      <c r="G3950" s="89"/>
    </row>
    <row r="3951">
      <c r="A3951" s="93"/>
      <c r="B3951" s="87" t="s">
        <v>779</v>
      </c>
      <c r="C3951" s="88"/>
      <c r="D3951" s="92"/>
      <c r="E3951" s="89"/>
      <c r="F3951" s="89"/>
      <c r="G3951" s="89"/>
    </row>
    <row r="3952">
      <c r="A3952" s="93"/>
      <c r="B3952" s="87" t="s">
        <v>779</v>
      </c>
      <c r="C3952" s="88"/>
      <c r="D3952" s="92"/>
      <c r="E3952" s="89"/>
      <c r="F3952" s="89"/>
      <c r="G3952" s="89"/>
    </row>
    <row r="3953">
      <c r="A3953" s="93"/>
      <c r="B3953" s="87" t="s">
        <v>779</v>
      </c>
      <c r="C3953" s="88"/>
      <c r="D3953" s="92"/>
      <c r="E3953" s="89"/>
      <c r="F3953" s="89"/>
      <c r="G3953" s="89"/>
    </row>
    <row r="3954">
      <c r="A3954" s="93"/>
      <c r="B3954" s="87" t="s">
        <v>779</v>
      </c>
      <c r="C3954" s="88"/>
      <c r="D3954" s="92"/>
      <c r="E3954" s="89"/>
      <c r="F3954" s="89"/>
      <c r="G3954" s="89"/>
    </row>
    <row r="3955">
      <c r="A3955" s="93"/>
      <c r="B3955" s="87" t="s">
        <v>779</v>
      </c>
      <c r="C3955" s="88"/>
      <c r="D3955" s="92"/>
      <c r="E3955" s="89"/>
      <c r="F3955" s="89"/>
      <c r="G3955" s="89"/>
    </row>
    <row r="3956">
      <c r="A3956" s="93"/>
      <c r="B3956" s="87" t="s">
        <v>779</v>
      </c>
      <c r="C3956" s="88"/>
      <c r="D3956" s="92"/>
      <c r="E3956" s="89"/>
      <c r="F3956" s="89"/>
      <c r="G3956" s="89"/>
    </row>
    <row r="3957">
      <c r="A3957" s="93"/>
      <c r="B3957" s="87" t="s">
        <v>779</v>
      </c>
      <c r="C3957" s="88"/>
      <c r="D3957" s="92"/>
      <c r="E3957" s="89"/>
      <c r="F3957" s="89"/>
      <c r="G3957" s="89"/>
    </row>
    <row r="3958">
      <c r="A3958" s="93"/>
      <c r="B3958" s="87" t="s">
        <v>779</v>
      </c>
      <c r="C3958" s="88"/>
      <c r="D3958" s="92"/>
      <c r="E3958" s="89"/>
      <c r="F3958" s="89"/>
      <c r="G3958" s="89"/>
    </row>
    <row r="3959">
      <c r="A3959" s="93"/>
      <c r="B3959" s="87" t="s">
        <v>779</v>
      </c>
      <c r="C3959" s="88"/>
      <c r="D3959" s="92"/>
      <c r="E3959" s="89"/>
      <c r="F3959" s="89"/>
      <c r="G3959" s="89"/>
    </row>
    <row r="3960">
      <c r="A3960" s="93"/>
      <c r="B3960" s="87" t="s">
        <v>779</v>
      </c>
      <c r="C3960" s="88"/>
      <c r="D3960" s="92"/>
      <c r="E3960" s="89"/>
      <c r="F3960" s="89"/>
      <c r="G3960" s="89"/>
    </row>
    <row r="3961">
      <c r="A3961" s="93"/>
      <c r="B3961" s="87" t="s">
        <v>779</v>
      </c>
      <c r="C3961" s="88"/>
      <c r="D3961" s="92"/>
      <c r="E3961" s="89"/>
      <c r="F3961" s="89"/>
      <c r="G3961" s="89"/>
    </row>
    <row r="3962">
      <c r="A3962" s="93"/>
      <c r="B3962" s="87" t="s">
        <v>779</v>
      </c>
      <c r="C3962" s="88"/>
      <c r="D3962" s="92"/>
      <c r="E3962" s="89"/>
      <c r="F3962" s="89"/>
      <c r="G3962" s="89"/>
    </row>
    <row r="3963">
      <c r="A3963" s="93"/>
      <c r="B3963" s="87" t="s">
        <v>779</v>
      </c>
      <c r="C3963" s="88"/>
      <c r="D3963" s="92"/>
      <c r="E3963" s="89"/>
      <c r="F3963" s="89"/>
      <c r="G3963" s="89"/>
    </row>
    <row r="3964">
      <c r="A3964" s="93"/>
      <c r="B3964" s="87" t="s">
        <v>779</v>
      </c>
      <c r="C3964" s="88"/>
      <c r="D3964" s="92"/>
      <c r="E3964" s="89"/>
      <c r="F3964" s="89"/>
      <c r="G3964" s="89"/>
    </row>
    <row r="3965">
      <c r="A3965" s="93"/>
      <c r="B3965" s="87" t="s">
        <v>779</v>
      </c>
      <c r="C3965" s="88"/>
      <c r="D3965" s="92"/>
      <c r="E3965" s="89"/>
      <c r="F3965" s="89"/>
      <c r="G3965" s="89"/>
    </row>
    <row r="3966">
      <c r="A3966" s="93"/>
      <c r="B3966" s="87" t="s">
        <v>779</v>
      </c>
      <c r="C3966" s="88"/>
      <c r="D3966" s="92"/>
      <c r="E3966" s="89"/>
      <c r="F3966" s="89"/>
      <c r="G3966" s="89"/>
    </row>
    <row r="3967">
      <c r="A3967" s="93"/>
      <c r="B3967" s="87" t="s">
        <v>779</v>
      </c>
      <c r="C3967" s="88"/>
      <c r="D3967" s="92"/>
      <c r="E3967" s="89"/>
      <c r="F3967" s="89"/>
      <c r="G3967" s="89"/>
    </row>
    <row r="3968">
      <c r="A3968" s="93"/>
      <c r="B3968" s="87" t="s">
        <v>779</v>
      </c>
      <c r="C3968" s="88"/>
      <c r="D3968" s="92"/>
      <c r="E3968" s="89"/>
      <c r="F3968" s="89"/>
      <c r="G3968" s="89"/>
    </row>
    <row r="3969">
      <c r="A3969" s="93"/>
      <c r="B3969" s="87" t="s">
        <v>779</v>
      </c>
      <c r="C3969" s="88"/>
      <c r="D3969" s="92"/>
      <c r="E3969" s="89"/>
      <c r="F3969" s="89"/>
      <c r="G3969" s="89"/>
    </row>
    <row r="3970">
      <c r="A3970" s="93"/>
      <c r="B3970" s="87" t="s">
        <v>779</v>
      </c>
      <c r="C3970" s="88"/>
      <c r="D3970" s="92"/>
      <c r="E3970" s="89"/>
      <c r="F3970" s="89"/>
      <c r="G3970" s="89"/>
    </row>
    <row r="3971">
      <c r="A3971" s="93"/>
      <c r="B3971" s="87" t="s">
        <v>779</v>
      </c>
      <c r="C3971" s="88"/>
      <c r="D3971" s="92"/>
      <c r="E3971" s="89"/>
      <c r="F3971" s="89"/>
      <c r="G3971" s="89"/>
    </row>
    <row r="3972">
      <c r="A3972" s="93"/>
      <c r="B3972" s="87" t="s">
        <v>779</v>
      </c>
      <c r="C3972" s="88"/>
      <c r="D3972" s="92"/>
      <c r="E3972" s="89"/>
      <c r="F3972" s="89"/>
      <c r="G3972" s="89"/>
    </row>
    <row r="3973">
      <c r="A3973" s="93"/>
      <c r="B3973" s="87" t="s">
        <v>779</v>
      </c>
      <c r="C3973" s="88"/>
      <c r="D3973" s="92"/>
      <c r="E3973" s="89"/>
      <c r="F3973" s="89"/>
      <c r="G3973" s="89"/>
    </row>
    <row r="3974">
      <c r="A3974" s="93"/>
      <c r="B3974" s="87" t="s">
        <v>779</v>
      </c>
      <c r="C3974" s="88"/>
      <c r="D3974" s="92"/>
      <c r="E3974" s="89"/>
      <c r="F3974" s="89"/>
      <c r="G3974" s="89"/>
    </row>
    <row r="3975">
      <c r="A3975" s="93"/>
      <c r="B3975" s="87" t="s">
        <v>779</v>
      </c>
      <c r="C3975" s="88"/>
      <c r="D3975" s="92"/>
      <c r="E3975" s="89"/>
      <c r="F3975" s="89"/>
      <c r="G3975" s="89"/>
    </row>
    <row r="3976">
      <c r="A3976" s="93"/>
      <c r="B3976" s="87" t="s">
        <v>779</v>
      </c>
      <c r="C3976" s="88"/>
      <c r="D3976" s="92"/>
      <c r="E3976" s="89"/>
      <c r="F3976" s="89"/>
      <c r="G3976" s="89"/>
    </row>
    <row r="3977">
      <c r="A3977" s="93"/>
      <c r="B3977" s="87" t="s">
        <v>779</v>
      </c>
      <c r="C3977" s="88"/>
      <c r="D3977" s="92"/>
      <c r="E3977" s="89"/>
      <c r="F3977" s="89"/>
      <c r="G3977" s="89"/>
    </row>
    <row r="3978">
      <c r="A3978" s="93"/>
      <c r="B3978" s="87" t="s">
        <v>779</v>
      </c>
      <c r="C3978" s="88"/>
      <c r="D3978" s="92"/>
      <c r="E3978" s="89"/>
      <c r="F3978" s="89"/>
      <c r="G3978" s="89"/>
    </row>
    <row r="3979">
      <c r="A3979" s="93"/>
      <c r="B3979" s="87" t="s">
        <v>779</v>
      </c>
      <c r="C3979" s="88"/>
      <c r="D3979" s="92"/>
      <c r="E3979" s="89"/>
      <c r="F3979" s="89"/>
      <c r="G3979" s="89"/>
    </row>
    <row r="3980">
      <c r="A3980" s="93"/>
      <c r="B3980" s="87" t="s">
        <v>779</v>
      </c>
      <c r="C3980" s="88"/>
      <c r="D3980" s="92"/>
      <c r="E3980" s="89"/>
      <c r="F3980" s="89"/>
      <c r="G3980" s="89"/>
    </row>
    <row r="3981">
      <c r="A3981" s="93"/>
      <c r="B3981" s="87" t="s">
        <v>779</v>
      </c>
      <c r="C3981" s="88"/>
      <c r="D3981" s="92"/>
      <c r="E3981" s="89"/>
      <c r="F3981" s="89"/>
      <c r="G3981" s="89"/>
    </row>
    <row r="3982">
      <c r="A3982" s="93"/>
      <c r="B3982" s="87" t="s">
        <v>779</v>
      </c>
      <c r="C3982" s="88"/>
      <c r="D3982" s="92"/>
      <c r="E3982" s="89"/>
      <c r="F3982" s="89"/>
      <c r="G3982" s="89"/>
    </row>
    <row r="3983">
      <c r="A3983" s="93"/>
      <c r="B3983" s="87" t="s">
        <v>779</v>
      </c>
      <c r="C3983" s="88"/>
      <c r="D3983" s="92"/>
      <c r="E3983" s="89"/>
      <c r="F3983" s="89"/>
      <c r="G3983" s="89"/>
    </row>
    <row r="3984">
      <c r="A3984" s="93"/>
      <c r="B3984" s="87" t="s">
        <v>779</v>
      </c>
      <c r="C3984" s="88"/>
      <c r="D3984" s="92"/>
      <c r="E3984" s="89"/>
      <c r="F3984" s="89"/>
      <c r="G3984" s="89"/>
    </row>
    <row r="3985">
      <c r="A3985" s="93"/>
      <c r="B3985" s="87" t="s">
        <v>779</v>
      </c>
      <c r="C3985" s="88"/>
      <c r="D3985" s="92"/>
      <c r="E3985" s="89"/>
      <c r="F3985" s="89"/>
      <c r="G3985" s="89"/>
    </row>
    <row r="3986">
      <c r="A3986" s="93"/>
      <c r="B3986" s="87" t="s">
        <v>779</v>
      </c>
      <c r="C3986" s="88"/>
      <c r="D3986" s="92"/>
      <c r="E3986" s="89"/>
      <c r="F3986" s="89"/>
      <c r="G3986" s="89"/>
    </row>
    <row r="3987">
      <c r="A3987" s="93"/>
      <c r="B3987" s="87" t="s">
        <v>779</v>
      </c>
      <c r="C3987" s="88"/>
      <c r="D3987" s="92"/>
      <c r="E3987" s="89"/>
      <c r="F3987" s="89"/>
      <c r="G3987" s="89"/>
    </row>
    <row r="3988">
      <c r="A3988" s="93"/>
      <c r="B3988" s="87" t="s">
        <v>779</v>
      </c>
      <c r="C3988" s="88"/>
      <c r="D3988" s="92"/>
      <c r="E3988" s="89"/>
      <c r="F3988" s="89"/>
      <c r="G3988" s="89"/>
    </row>
    <row r="3989">
      <c r="A3989" s="93"/>
      <c r="B3989" s="87" t="s">
        <v>779</v>
      </c>
      <c r="C3989" s="88"/>
      <c r="D3989" s="92"/>
      <c r="E3989" s="89"/>
      <c r="F3989" s="89"/>
      <c r="G3989" s="89"/>
    </row>
    <row r="3990">
      <c r="A3990" s="93"/>
      <c r="B3990" s="87" t="s">
        <v>779</v>
      </c>
      <c r="C3990" s="88"/>
      <c r="D3990" s="92"/>
      <c r="E3990" s="89"/>
      <c r="F3990" s="89"/>
      <c r="G3990" s="89"/>
    </row>
    <row r="3991">
      <c r="A3991" s="93"/>
      <c r="B3991" s="87" t="s">
        <v>779</v>
      </c>
      <c r="C3991" s="88"/>
      <c r="D3991" s="92"/>
      <c r="E3991" s="89"/>
      <c r="F3991" s="89"/>
      <c r="G3991" s="89"/>
    </row>
    <row r="3992">
      <c r="A3992" s="93"/>
      <c r="B3992" s="87" t="s">
        <v>779</v>
      </c>
      <c r="C3992" s="88"/>
      <c r="D3992" s="92"/>
      <c r="E3992" s="89"/>
      <c r="F3992" s="89"/>
      <c r="G3992" s="89"/>
    </row>
    <row r="3993">
      <c r="A3993" s="93"/>
      <c r="B3993" s="87" t="s">
        <v>779</v>
      </c>
      <c r="C3993" s="88"/>
      <c r="D3993" s="92"/>
      <c r="E3993" s="89"/>
      <c r="F3993" s="89"/>
      <c r="G3993" s="89"/>
    </row>
    <row r="3994">
      <c r="A3994" s="93"/>
      <c r="B3994" s="87" t="s">
        <v>779</v>
      </c>
      <c r="C3994" s="88"/>
      <c r="D3994" s="92"/>
      <c r="E3994" s="89"/>
      <c r="F3994" s="89"/>
      <c r="G3994" s="89"/>
    </row>
    <row r="3995">
      <c r="A3995" s="93"/>
      <c r="B3995" s="87" t="s">
        <v>779</v>
      </c>
      <c r="C3995" s="88"/>
      <c r="D3995" s="92"/>
      <c r="E3995" s="89"/>
      <c r="F3995" s="89"/>
      <c r="G3995" s="89"/>
    </row>
    <row r="3996">
      <c r="A3996" s="93"/>
      <c r="B3996" s="87" t="s">
        <v>779</v>
      </c>
      <c r="C3996" s="88"/>
      <c r="D3996" s="92"/>
      <c r="E3996" s="89"/>
      <c r="F3996" s="89"/>
      <c r="G3996" s="89"/>
    </row>
    <row r="3997">
      <c r="A3997" s="93"/>
      <c r="B3997" s="87" t="s">
        <v>779</v>
      </c>
      <c r="C3997" s="88"/>
      <c r="D3997" s="92"/>
      <c r="E3997" s="89"/>
      <c r="F3997" s="89"/>
      <c r="G3997" s="89"/>
    </row>
    <row r="3998">
      <c r="A3998" s="93"/>
      <c r="B3998" s="87" t="s">
        <v>779</v>
      </c>
      <c r="C3998" s="88"/>
      <c r="D3998" s="92"/>
      <c r="E3998" s="89"/>
      <c r="F3998" s="89"/>
      <c r="G3998" s="89"/>
    </row>
    <row r="3999">
      <c r="A3999" s="93"/>
      <c r="B3999" s="87" t="s">
        <v>779</v>
      </c>
      <c r="C3999" s="88"/>
      <c r="D3999" s="92"/>
      <c r="E3999" s="89"/>
      <c r="F3999" s="89"/>
      <c r="G3999" s="89"/>
    </row>
    <row r="4000">
      <c r="A4000" s="93"/>
      <c r="B4000" s="87" t="s">
        <v>779</v>
      </c>
      <c r="C4000" s="88"/>
      <c r="D4000" s="92"/>
      <c r="E4000" s="89"/>
      <c r="F4000" s="89"/>
      <c r="G4000" s="89"/>
    </row>
    <row r="4001">
      <c r="A4001" s="93"/>
      <c r="B4001" s="87" t="s">
        <v>779</v>
      </c>
      <c r="C4001" s="88"/>
      <c r="D4001" s="92"/>
      <c r="E4001" s="89"/>
      <c r="F4001" s="89"/>
      <c r="G4001" s="89"/>
    </row>
    <row r="4002">
      <c r="A4002" s="93"/>
      <c r="B4002" s="87" t="s">
        <v>779</v>
      </c>
      <c r="C4002" s="88"/>
      <c r="D4002" s="92"/>
      <c r="E4002" s="89"/>
      <c r="F4002" s="89"/>
      <c r="G4002" s="89"/>
    </row>
    <row r="4003">
      <c r="A4003" s="93"/>
      <c r="B4003" s="87" t="s">
        <v>779</v>
      </c>
      <c r="C4003" s="88"/>
      <c r="D4003" s="92"/>
      <c r="E4003" s="89"/>
      <c r="F4003" s="89"/>
      <c r="G4003" s="89"/>
    </row>
    <row r="4004">
      <c r="A4004" s="93"/>
      <c r="B4004" s="87" t="s">
        <v>779</v>
      </c>
      <c r="C4004" s="88"/>
      <c r="D4004" s="92"/>
      <c r="E4004" s="89"/>
      <c r="F4004" s="89"/>
      <c r="G4004" s="89"/>
    </row>
    <row r="4005">
      <c r="A4005" s="93"/>
      <c r="B4005" s="87" t="s">
        <v>779</v>
      </c>
      <c r="C4005" s="88"/>
      <c r="D4005" s="92"/>
      <c r="E4005" s="89"/>
      <c r="F4005" s="89"/>
      <c r="G4005" s="89"/>
    </row>
    <row r="4006">
      <c r="A4006" s="93"/>
      <c r="B4006" s="87" t="s">
        <v>779</v>
      </c>
      <c r="C4006" s="88"/>
      <c r="D4006" s="92"/>
      <c r="E4006" s="89"/>
      <c r="F4006" s="89"/>
      <c r="G4006" s="89"/>
    </row>
    <row r="4007">
      <c r="A4007" s="93"/>
      <c r="B4007" s="87" t="s">
        <v>779</v>
      </c>
      <c r="C4007" s="88"/>
      <c r="D4007" s="92"/>
      <c r="E4007" s="89"/>
      <c r="F4007" s="89"/>
      <c r="G4007" s="89"/>
    </row>
    <row r="4008">
      <c r="A4008" s="93"/>
      <c r="B4008" s="87" t="s">
        <v>779</v>
      </c>
      <c r="C4008" s="88"/>
      <c r="D4008" s="92"/>
      <c r="E4008" s="89"/>
      <c r="F4008" s="89"/>
      <c r="G4008" s="89"/>
    </row>
    <row r="4009">
      <c r="A4009" s="93"/>
      <c r="B4009" s="87" t="s">
        <v>779</v>
      </c>
      <c r="C4009" s="88"/>
      <c r="D4009" s="92"/>
      <c r="E4009" s="89"/>
      <c r="F4009" s="89"/>
      <c r="G4009" s="89"/>
    </row>
    <row r="4010">
      <c r="A4010" s="93"/>
      <c r="B4010" s="87" t="s">
        <v>779</v>
      </c>
      <c r="C4010" s="88"/>
      <c r="D4010" s="92"/>
      <c r="E4010" s="89"/>
      <c r="F4010" s="89"/>
      <c r="G4010" s="89"/>
    </row>
    <row r="4011">
      <c r="A4011" s="93"/>
      <c r="B4011" s="87" t="s">
        <v>779</v>
      </c>
      <c r="C4011" s="88"/>
      <c r="D4011" s="92"/>
      <c r="E4011" s="89"/>
      <c r="F4011" s="89"/>
      <c r="G4011" s="89"/>
    </row>
    <row r="4012">
      <c r="A4012" s="93"/>
      <c r="B4012" s="87" t="s">
        <v>779</v>
      </c>
      <c r="C4012" s="88"/>
      <c r="D4012" s="92"/>
      <c r="E4012" s="89"/>
      <c r="F4012" s="89"/>
      <c r="G4012" s="89"/>
    </row>
    <row r="4013">
      <c r="A4013" s="93"/>
      <c r="B4013" s="87" t="s">
        <v>779</v>
      </c>
      <c r="C4013" s="88"/>
      <c r="D4013" s="92"/>
      <c r="E4013" s="89"/>
      <c r="F4013" s="89"/>
      <c r="G4013" s="89"/>
    </row>
    <row r="4014">
      <c r="A4014" s="93"/>
      <c r="B4014" s="87" t="s">
        <v>779</v>
      </c>
      <c r="C4014" s="88"/>
      <c r="D4014" s="92"/>
      <c r="E4014" s="89"/>
      <c r="F4014" s="89"/>
      <c r="G4014" s="89"/>
    </row>
    <row r="4015">
      <c r="A4015" s="93"/>
      <c r="B4015" s="87" t="s">
        <v>779</v>
      </c>
      <c r="C4015" s="88"/>
      <c r="D4015" s="92"/>
      <c r="E4015" s="89"/>
      <c r="F4015" s="89"/>
      <c r="G4015" s="89"/>
    </row>
    <row r="4016">
      <c r="A4016" s="93"/>
      <c r="B4016" s="87" t="s">
        <v>779</v>
      </c>
      <c r="C4016" s="88"/>
      <c r="D4016" s="92"/>
      <c r="E4016" s="89"/>
      <c r="F4016" s="89"/>
      <c r="G4016" s="89"/>
    </row>
    <row r="4017">
      <c r="A4017" s="93"/>
      <c r="B4017" s="87" t="s">
        <v>779</v>
      </c>
      <c r="C4017" s="88"/>
      <c r="D4017" s="92"/>
      <c r="E4017" s="89"/>
      <c r="F4017" s="89"/>
      <c r="G4017" s="89"/>
    </row>
    <row r="4018">
      <c r="A4018" s="93"/>
      <c r="B4018" s="87" t="s">
        <v>779</v>
      </c>
      <c r="C4018" s="88"/>
      <c r="D4018" s="92"/>
      <c r="E4018" s="89"/>
      <c r="F4018" s="89"/>
      <c r="G4018" s="89"/>
    </row>
    <row r="4019">
      <c r="A4019" s="93"/>
      <c r="B4019" s="87" t="s">
        <v>779</v>
      </c>
      <c r="C4019" s="88"/>
      <c r="D4019" s="92"/>
      <c r="E4019" s="89"/>
      <c r="F4019" s="89"/>
      <c r="G4019" s="89"/>
    </row>
    <row r="4020">
      <c r="A4020" s="93"/>
      <c r="B4020" s="87" t="s">
        <v>779</v>
      </c>
      <c r="C4020" s="88"/>
      <c r="D4020" s="92"/>
      <c r="E4020" s="89"/>
      <c r="F4020" s="89"/>
      <c r="G4020" s="89"/>
    </row>
    <row r="4021">
      <c r="A4021" s="93"/>
      <c r="B4021" s="87" t="s">
        <v>779</v>
      </c>
      <c r="C4021" s="88"/>
      <c r="D4021" s="92"/>
      <c r="E4021" s="89"/>
      <c r="F4021" s="89"/>
      <c r="G4021" s="89"/>
    </row>
    <row r="4022">
      <c r="A4022" s="93"/>
      <c r="B4022" s="87" t="s">
        <v>779</v>
      </c>
      <c r="C4022" s="88"/>
      <c r="D4022" s="92"/>
      <c r="E4022" s="89"/>
      <c r="F4022" s="89"/>
      <c r="G4022" s="89"/>
    </row>
    <row r="4023">
      <c r="A4023" s="93"/>
      <c r="B4023" s="87" t="s">
        <v>779</v>
      </c>
      <c r="C4023" s="88"/>
      <c r="D4023" s="92"/>
      <c r="E4023" s="89"/>
      <c r="F4023" s="89"/>
      <c r="G4023" s="89"/>
    </row>
    <row r="4024">
      <c r="A4024" s="93"/>
      <c r="B4024" s="87" t="s">
        <v>779</v>
      </c>
      <c r="C4024" s="88"/>
      <c r="D4024" s="92"/>
      <c r="E4024" s="89"/>
      <c r="F4024" s="89"/>
      <c r="G4024" s="89"/>
    </row>
    <row r="4025">
      <c r="A4025" s="93"/>
      <c r="B4025" s="87" t="s">
        <v>779</v>
      </c>
      <c r="C4025" s="88"/>
      <c r="D4025" s="92"/>
      <c r="E4025" s="89"/>
      <c r="F4025" s="89"/>
      <c r="G4025" s="89"/>
    </row>
    <row r="4026">
      <c r="A4026" s="93"/>
      <c r="B4026" s="87" t="s">
        <v>779</v>
      </c>
      <c r="C4026" s="88"/>
      <c r="D4026" s="92"/>
      <c r="E4026" s="89"/>
      <c r="F4026" s="89"/>
      <c r="G4026" s="89"/>
    </row>
    <row r="4027">
      <c r="A4027" s="93"/>
      <c r="B4027" s="87" t="s">
        <v>779</v>
      </c>
      <c r="C4027" s="88"/>
      <c r="D4027" s="92"/>
      <c r="E4027" s="89"/>
      <c r="F4027" s="89"/>
      <c r="G4027" s="89"/>
    </row>
    <row r="4028">
      <c r="A4028" s="93"/>
      <c r="B4028" s="87" t="s">
        <v>779</v>
      </c>
      <c r="C4028" s="88"/>
      <c r="D4028" s="92"/>
      <c r="E4028" s="89"/>
      <c r="F4028" s="89"/>
      <c r="G4028" s="89"/>
    </row>
    <row r="4029">
      <c r="A4029" s="93"/>
      <c r="B4029" s="87" t="s">
        <v>779</v>
      </c>
      <c r="C4029" s="88"/>
      <c r="D4029" s="92"/>
      <c r="E4029" s="89"/>
      <c r="F4029" s="89"/>
      <c r="G4029" s="89"/>
    </row>
    <row r="4030">
      <c r="A4030" s="93"/>
      <c r="B4030" s="87" t="s">
        <v>779</v>
      </c>
      <c r="C4030" s="88"/>
      <c r="D4030" s="92"/>
      <c r="E4030" s="89"/>
      <c r="F4030" s="89"/>
      <c r="G4030" s="89"/>
    </row>
    <row r="4031">
      <c r="A4031" s="93"/>
      <c r="B4031" s="87" t="s">
        <v>779</v>
      </c>
      <c r="C4031" s="88"/>
      <c r="D4031" s="92"/>
      <c r="E4031" s="89"/>
      <c r="F4031" s="89"/>
      <c r="G4031" s="89"/>
    </row>
    <row r="4032">
      <c r="A4032" s="93"/>
      <c r="B4032" s="87" t="s">
        <v>779</v>
      </c>
      <c r="C4032" s="88"/>
      <c r="D4032" s="92"/>
      <c r="E4032" s="89"/>
      <c r="F4032" s="89"/>
      <c r="G4032" s="89"/>
    </row>
    <row r="4033">
      <c r="A4033" s="93"/>
      <c r="B4033" s="87" t="s">
        <v>779</v>
      </c>
      <c r="C4033" s="88"/>
      <c r="D4033" s="92"/>
      <c r="E4033" s="89"/>
      <c r="F4033" s="89"/>
      <c r="G4033" s="89"/>
    </row>
    <row r="4034">
      <c r="A4034" s="93"/>
      <c r="B4034" s="87" t="s">
        <v>779</v>
      </c>
      <c r="C4034" s="88"/>
      <c r="D4034" s="92"/>
      <c r="E4034" s="89"/>
      <c r="F4034" s="89"/>
      <c r="G4034" s="89"/>
    </row>
    <row r="4035">
      <c r="A4035" s="93"/>
      <c r="B4035" s="87" t="s">
        <v>779</v>
      </c>
      <c r="C4035" s="88"/>
      <c r="D4035" s="92"/>
      <c r="E4035" s="89"/>
      <c r="F4035" s="89"/>
      <c r="G4035" s="89"/>
    </row>
    <row r="4036">
      <c r="A4036" s="93"/>
      <c r="B4036" s="87" t="s">
        <v>779</v>
      </c>
      <c r="C4036" s="88"/>
      <c r="D4036" s="92"/>
      <c r="E4036" s="89"/>
      <c r="F4036" s="89"/>
      <c r="G4036" s="89"/>
    </row>
    <row r="4037">
      <c r="A4037" s="93"/>
      <c r="B4037" s="87" t="s">
        <v>779</v>
      </c>
      <c r="C4037" s="88"/>
      <c r="D4037" s="92"/>
      <c r="E4037" s="89"/>
      <c r="F4037" s="89"/>
      <c r="G4037" s="89"/>
    </row>
    <row r="4038">
      <c r="A4038" s="93"/>
      <c r="B4038" s="87" t="s">
        <v>779</v>
      </c>
      <c r="C4038" s="88"/>
      <c r="D4038" s="92"/>
      <c r="E4038" s="89"/>
      <c r="F4038" s="89"/>
      <c r="G4038" s="89"/>
    </row>
    <row r="4039">
      <c r="A4039" s="93"/>
      <c r="B4039" s="87" t="s">
        <v>779</v>
      </c>
      <c r="C4039" s="88"/>
      <c r="D4039" s="92"/>
      <c r="E4039" s="89"/>
      <c r="F4039" s="89"/>
      <c r="G4039" s="89"/>
    </row>
    <row r="4040">
      <c r="A4040" s="93"/>
      <c r="B4040" s="87" t="s">
        <v>779</v>
      </c>
      <c r="C4040" s="88"/>
      <c r="D4040" s="92"/>
      <c r="E4040" s="89"/>
      <c r="F4040" s="89"/>
      <c r="G4040" s="89"/>
    </row>
    <row r="4041">
      <c r="A4041" s="93"/>
      <c r="B4041" s="87" t="s">
        <v>779</v>
      </c>
      <c r="C4041" s="88"/>
      <c r="D4041" s="92"/>
      <c r="E4041" s="89"/>
      <c r="F4041" s="89"/>
      <c r="G4041" s="89"/>
    </row>
    <row r="4042">
      <c r="A4042" s="93"/>
      <c r="B4042" s="87" t="s">
        <v>779</v>
      </c>
      <c r="C4042" s="88"/>
      <c r="D4042" s="92"/>
      <c r="E4042" s="89"/>
      <c r="F4042" s="89"/>
      <c r="G4042" s="89"/>
    </row>
    <row r="4043">
      <c r="A4043" s="93"/>
      <c r="B4043" s="87" t="s">
        <v>779</v>
      </c>
      <c r="C4043" s="88"/>
      <c r="D4043" s="92"/>
      <c r="E4043" s="89"/>
      <c r="F4043" s="89"/>
      <c r="G4043" s="89"/>
    </row>
    <row r="4044">
      <c r="A4044" s="93"/>
      <c r="B4044" s="87" t="s">
        <v>779</v>
      </c>
      <c r="C4044" s="88"/>
      <c r="D4044" s="92"/>
      <c r="E4044" s="89"/>
      <c r="F4044" s="89"/>
      <c r="G4044" s="89"/>
    </row>
    <row r="4045">
      <c r="A4045" s="93"/>
      <c r="B4045" s="87" t="s">
        <v>779</v>
      </c>
      <c r="C4045" s="88"/>
      <c r="D4045" s="92"/>
      <c r="E4045" s="89"/>
      <c r="F4045" s="89"/>
      <c r="G4045" s="89"/>
    </row>
    <row r="4046">
      <c r="A4046" s="93"/>
      <c r="B4046" s="87" t="s">
        <v>779</v>
      </c>
      <c r="C4046" s="88"/>
      <c r="D4046" s="92"/>
      <c r="E4046" s="89"/>
      <c r="F4046" s="89"/>
      <c r="G4046" s="89"/>
    </row>
    <row r="4047">
      <c r="A4047" s="93"/>
      <c r="B4047" s="87" t="s">
        <v>779</v>
      </c>
      <c r="C4047" s="88"/>
      <c r="D4047" s="92"/>
      <c r="E4047" s="89"/>
      <c r="F4047" s="89"/>
      <c r="G4047" s="89"/>
    </row>
    <row r="4048">
      <c r="A4048" s="93"/>
      <c r="B4048" s="87" t="s">
        <v>779</v>
      </c>
      <c r="C4048" s="88"/>
      <c r="D4048" s="92"/>
      <c r="E4048" s="89"/>
      <c r="F4048" s="89"/>
      <c r="G4048" s="89"/>
    </row>
    <row r="4049">
      <c r="A4049" s="93"/>
      <c r="B4049" s="87" t="s">
        <v>779</v>
      </c>
      <c r="C4049" s="88"/>
      <c r="D4049" s="92"/>
      <c r="E4049" s="89"/>
      <c r="F4049" s="89"/>
      <c r="G4049" s="89"/>
    </row>
    <row r="4050">
      <c r="A4050" s="93"/>
      <c r="B4050" s="87" t="s">
        <v>779</v>
      </c>
      <c r="C4050" s="88"/>
      <c r="D4050" s="92"/>
      <c r="E4050" s="89"/>
      <c r="F4050" s="89"/>
      <c r="G4050" s="89"/>
    </row>
    <row r="4051">
      <c r="A4051" s="93"/>
      <c r="B4051" s="87" t="s">
        <v>779</v>
      </c>
      <c r="C4051" s="88"/>
      <c r="D4051" s="92"/>
      <c r="E4051" s="89"/>
      <c r="F4051" s="89"/>
      <c r="G4051" s="89"/>
    </row>
    <row r="4052">
      <c r="A4052" s="93"/>
      <c r="B4052" s="87" t="s">
        <v>779</v>
      </c>
      <c r="C4052" s="88"/>
      <c r="D4052" s="92"/>
      <c r="E4052" s="89"/>
      <c r="F4052" s="89"/>
      <c r="G4052" s="89"/>
    </row>
    <row r="4053">
      <c r="A4053" s="93"/>
      <c r="B4053" s="87" t="s">
        <v>779</v>
      </c>
      <c r="C4053" s="88"/>
      <c r="D4053" s="92"/>
      <c r="E4053" s="89"/>
      <c r="F4053" s="89"/>
      <c r="G4053" s="89"/>
    </row>
    <row r="4054">
      <c r="A4054" s="93"/>
      <c r="B4054" s="87" t="s">
        <v>779</v>
      </c>
      <c r="C4054" s="88"/>
      <c r="D4054" s="92"/>
      <c r="E4054" s="89"/>
      <c r="F4054" s="89"/>
      <c r="G4054" s="89"/>
    </row>
    <row r="4055">
      <c r="A4055" s="93"/>
      <c r="B4055" s="87" t="s">
        <v>779</v>
      </c>
      <c r="C4055" s="88"/>
      <c r="D4055" s="92"/>
      <c r="E4055" s="89"/>
      <c r="F4055" s="89"/>
      <c r="G4055" s="89"/>
    </row>
    <row r="4056">
      <c r="A4056" s="93"/>
      <c r="B4056" s="87" t="s">
        <v>779</v>
      </c>
      <c r="C4056" s="88"/>
      <c r="D4056" s="92"/>
      <c r="E4056" s="89"/>
      <c r="F4056" s="89"/>
      <c r="G4056" s="89"/>
    </row>
    <row r="4057">
      <c r="A4057" s="93"/>
      <c r="B4057" s="87" t="s">
        <v>779</v>
      </c>
      <c r="C4057" s="88"/>
      <c r="D4057" s="92"/>
      <c r="E4057" s="89"/>
      <c r="F4057" s="89"/>
      <c r="G4057" s="89"/>
    </row>
    <row r="4058">
      <c r="A4058" s="93"/>
      <c r="B4058" s="87" t="s">
        <v>779</v>
      </c>
      <c r="C4058" s="88"/>
      <c r="D4058" s="92"/>
      <c r="E4058" s="89"/>
      <c r="F4058" s="89"/>
      <c r="G4058" s="89"/>
    </row>
    <row r="4059">
      <c r="A4059" s="93"/>
      <c r="B4059" s="87" t="s">
        <v>779</v>
      </c>
      <c r="C4059" s="88"/>
      <c r="D4059" s="92"/>
      <c r="E4059" s="89"/>
      <c r="F4059" s="89"/>
      <c r="G4059" s="89"/>
    </row>
    <row r="4060">
      <c r="A4060" s="93"/>
      <c r="B4060" s="87" t="s">
        <v>779</v>
      </c>
      <c r="C4060" s="88"/>
      <c r="D4060" s="92"/>
      <c r="E4060" s="89"/>
      <c r="F4060" s="89"/>
      <c r="G4060" s="89"/>
    </row>
    <row r="4061">
      <c r="A4061" s="93"/>
      <c r="B4061" s="87" t="s">
        <v>779</v>
      </c>
      <c r="C4061" s="88"/>
      <c r="D4061" s="92"/>
      <c r="E4061" s="89"/>
      <c r="F4061" s="89"/>
      <c r="G4061" s="89"/>
    </row>
    <row r="4062">
      <c r="A4062" s="93"/>
      <c r="B4062" s="87" t="s">
        <v>779</v>
      </c>
      <c r="C4062" s="88"/>
      <c r="D4062" s="92"/>
      <c r="E4062" s="89"/>
      <c r="F4062" s="89"/>
      <c r="G4062" s="89"/>
    </row>
    <row r="4063">
      <c r="A4063" s="93"/>
      <c r="B4063" s="87" t="s">
        <v>779</v>
      </c>
      <c r="C4063" s="88"/>
      <c r="D4063" s="92"/>
      <c r="E4063" s="89"/>
      <c r="F4063" s="89"/>
      <c r="G4063" s="89"/>
    </row>
    <row r="4064">
      <c r="A4064" s="93"/>
      <c r="B4064" s="87" t="s">
        <v>779</v>
      </c>
      <c r="C4064" s="88"/>
      <c r="D4064" s="92"/>
      <c r="E4064" s="89"/>
      <c r="F4064" s="89"/>
      <c r="G4064" s="89"/>
    </row>
    <row r="4065">
      <c r="A4065" s="93"/>
      <c r="B4065" s="87" t="s">
        <v>779</v>
      </c>
      <c r="C4065" s="88"/>
      <c r="D4065" s="92"/>
      <c r="E4065" s="89"/>
      <c r="F4065" s="89"/>
      <c r="G4065" s="89"/>
    </row>
    <row r="4066">
      <c r="A4066" s="93"/>
      <c r="B4066" s="87" t="s">
        <v>779</v>
      </c>
      <c r="C4066" s="88"/>
      <c r="D4066" s="92"/>
      <c r="E4066" s="89"/>
      <c r="F4066" s="89"/>
      <c r="G4066" s="89"/>
    </row>
    <row r="4067">
      <c r="A4067" s="93"/>
      <c r="B4067" s="87" t="s">
        <v>779</v>
      </c>
      <c r="C4067" s="88"/>
      <c r="D4067" s="92"/>
      <c r="E4067" s="89"/>
      <c r="F4067" s="89"/>
      <c r="G4067" s="89"/>
    </row>
    <row r="4068">
      <c r="A4068" s="93"/>
      <c r="B4068" s="87" t="s">
        <v>779</v>
      </c>
      <c r="C4068" s="88"/>
      <c r="D4068" s="92"/>
      <c r="E4068" s="89"/>
      <c r="F4068" s="89"/>
      <c r="G4068" s="89"/>
    </row>
    <row r="4069">
      <c r="A4069" s="93"/>
      <c r="B4069" s="87" t="s">
        <v>779</v>
      </c>
      <c r="C4069" s="88"/>
      <c r="D4069" s="92"/>
      <c r="E4069" s="89"/>
      <c r="F4069" s="89"/>
      <c r="G4069" s="89"/>
    </row>
    <row r="4070">
      <c r="A4070" s="93"/>
      <c r="B4070" s="87" t="s">
        <v>779</v>
      </c>
      <c r="C4070" s="88"/>
      <c r="D4070" s="92"/>
      <c r="E4070" s="89"/>
      <c r="F4070" s="89"/>
      <c r="G4070" s="89"/>
    </row>
    <row r="4071">
      <c r="A4071" s="93"/>
      <c r="B4071" s="87" t="s">
        <v>779</v>
      </c>
      <c r="C4071" s="88"/>
      <c r="D4071" s="92"/>
      <c r="E4071" s="89"/>
      <c r="F4071" s="89"/>
      <c r="G4071" s="89"/>
    </row>
    <row r="4072">
      <c r="A4072" s="93"/>
      <c r="B4072" s="87" t="s">
        <v>779</v>
      </c>
      <c r="C4072" s="88"/>
      <c r="D4072" s="92"/>
      <c r="E4072" s="89"/>
      <c r="F4072" s="89"/>
      <c r="G4072" s="89"/>
    </row>
    <row r="4073">
      <c r="A4073" s="93"/>
      <c r="B4073" s="87" t="s">
        <v>779</v>
      </c>
      <c r="C4073" s="88"/>
      <c r="D4073" s="92"/>
      <c r="E4073" s="89"/>
      <c r="F4073" s="89"/>
      <c r="G4073" s="89"/>
    </row>
    <row r="4074">
      <c r="A4074" s="93"/>
      <c r="B4074" s="87" t="s">
        <v>779</v>
      </c>
      <c r="C4074" s="88"/>
      <c r="D4074" s="92"/>
      <c r="E4074" s="89"/>
      <c r="F4074" s="89"/>
      <c r="G4074" s="89"/>
    </row>
    <row r="4075">
      <c r="A4075" s="93"/>
      <c r="B4075" s="87" t="s">
        <v>779</v>
      </c>
      <c r="C4075" s="88"/>
      <c r="D4075" s="92"/>
      <c r="E4075" s="89"/>
      <c r="F4075" s="89"/>
      <c r="G4075" s="89"/>
    </row>
    <row r="4076">
      <c r="A4076" s="93"/>
      <c r="B4076" s="87" t="s">
        <v>779</v>
      </c>
      <c r="C4076" s="88"/>
      <c r="D4076" s="92"/>
      <c r="E4076" s="89"/>
      <c r="F4076" s="89"/>
      <c r="G4076" s="89"/>
    </row>
    <row r="4077">
      <c r="A4077" s="93"/>
      <c r="B4077" s="87" t="s">
        <v>779</v>
      </c>
      <c r="C4077" s="88"/>
      <c r="D4077" s="92"/>
      <c r="E4077" s="89"/>
      <c r="F4077" s="89"/>
      <c r="G4077" s="89"/>
    </row>
    <row r="4078">
      <c r="A4078" s="93"/>
      <c r="B4078" s="87" t="s">
        <v>779</v>
      </c>
      <c r="C4078" s="88"/>
      <c r="D4078" s="92"/>
      <c r="E4078" s="89"/>
      <c r="F4078" s="89"/>
      <c r="G4078" s="89"/>
    </row>
    <row r="4079">
      <c r="A4079" s="93"/>
      <c r="B4079" s="87" t="s">
        <v>779</v>
      </c>
      <c r="C4079" s="88"/>
      <c r="D4079" s="92"/>
      <c r="E4079" s="89"/>
      <c r="F4079" s="89"/>
      <c r="G4079" s="89"/>
    </row>
    <row r="4080">
      <c r="A4080" s="93"/>
      <c r="B4080" s="87" t="s">
        <v>779</v>
      </c>
      <c r="C4080" s="88"/>
      <c r="D4080" s="92"/>
      <c r="E4080" s="89"/>
      <c r="F4080" s="89"/>
      <c r="G4080" s="89"/>
    </row>
    <row r="4081">
      <c r="A4081" s="93"/>
      <c r="B4081" s="87" t="s">
        <v>779</v>
      </c>
      <c r="C4081" s="88"/>
      <c r="D4081" s="92"/>
      <c r="E4081" s="89"/>
      <c r="F4081" s="89"/>
      <c r="G4081" s="89"/>
    </row>
    <row r="4082">
      <c r="A4082" s="93"/>
      <c r="B4082" s="87" t="s">
        <v>779</v>
      </c>
      <c r="C4082" s="88"/>
      <c r="D4082" s="92"/>
      <c r="E4082" s="89"/>
      <c r="F4082" s="89"/>
      <c r="G4082" s="89"/>
    </row>
    <row r="4083">
      <c r="A4083" s="93"/>
      <c r="B4083" s="87" t="s">
        <v>779</v>
      </c>
      <c r="C4083" s="88"/>
      <c r="D4083" s="92"/>
      <c r="E4083" s="89"/>
      <c r="F4083" s="89"/>
      <c r="G4083" s="89"/>
    </row>
    <row r="4084">
      <c r="A4084" s="93"/>
      <c r="B4084" s="87" t="s">
        <v>779</v>
      </c>
      <c r="C4084" s="88"/>
      <c r="D4084" s="92"/>
      <c r="E4084" s="89"/>
      <c r="F4084" s="89"/>
      <c r="G4084" s="89"/>
    </row>
    <row r="4085">
      <c r="A4085" s="93"/>
      <c r="B4085" s="87" t="s">
        <v>779</v>
      </c>
      <c r="C4085" s="88"/>
      <c r="D4085" s="92"/>
      <c r="E4085" s="89"/>
      <c r="F4085" s="89"/>
      <c r="G4085" s="89"/>
    </row>
    <row r="4086">
      <c r="A4086" s="93"/>
      <c r="B4086" s="87" t="s">
        <v>779</v>
      </c>
      <c r="C4086" s="88"/>
      <c r="D4086" s="92"/>
      <c r="E4086" s="89"/>
      <c r="F4086" s="89"/>
      <c r="G4086" s="89"/>
    </row>
    <row r="4087">
      <c r="A4087" s="93"/>
      <c r="B4087" s="87" t="s">
        <v>779</v>
      </c>
      <c r="C4087" s="88"/>
      <c r="D4087" s="92"/>
      <c r="E4087" s="89"/>
      <c r="F4087" s="89"/>
      <c r="G4087" s="89"/>
    </row>
    <row r="4088">
      <c r="A4088" s="93"/>
      <c r="B4088" s="87" t="s">
        <v>779</v>
      </c>
      <c r="C4088" s="88"/>
      <c r="D4088" s="92"/>
      <c r="E4088" s="89"/>
      <c r="F4088" s="89"/>
      <c r="G4088" s="89"/>
    </row>
    <row r="4089">
      <c r="A4089" s="93"/>
      <c r="B4089" s="87" t="s">
        <v>779</v>
      </c>
      <c r="C4089" s="88"/>
      <c r="D4089" s="92"/>
      <c r="E4089" s="89"/>
      <c r="F4089" s="89"/>
      <c r="G4089" s="89"/>
    </row>
    <row r="4090">
      <c r="A4090" s="93"/>
      <c r="B4090" s="87" t="s">
        <v>779</v>
      </c>
      <c r="C4090" s="88"/>
      <c r="D4090" s="92"/>
      <c r="E4090" s="89"/>
      <c r="F4090" s="89"/>
      <c r="G4090" s="89"/>
    </row>
    <row r="4091">
      <c r="A4091" s="93"/>
      <c r="B4091" s="87" t="s">
        <v>779</v>
      </c>
      <c r="C4091" s="88"/>
      <c r="D4091" s="92"/>
      <c r="E4091" s="89"/>
      <c r="F4091" s="89"/>
      <c r="G4091" s="89"/>
    </row>
    <row r="4092">
      <c r="A4092" s="93"/>
      <c r="B4092" s="87" t="s">
        <v>779</v>
      </c>
      <c r="C4092" s="88"/>
      <c r="D4092" s="92"/>
      <c r="E4092" s="89"/>
      <c r="F4092" s="89"/>
      <c r="G4092" s="89"/>
    </row>
    <row r="4093">
      <c r="A4093" s="93"/>
      <c r="B4093" s="87" t="s">
        <v>779</v>
      </c>
      <c r="C4093" s="88"/>
      <c r="D4093" s="92"/>
      <c r="E4093" s="89"/>
      <c r="F4093" s="89"/>
      <c r="G4093" s="89"/>
    </row>
    <row r="4094">
      <c r="A4094" s="93"/>
      <c r="B4094" s="87" t="s">
        <v>779</v>
      </c>
      <c r="C4094" s="88"/>
      <c r="D4094" s="92"/>
      <c r="E4094" s="89"/>
      <c r="F4094" s="89"/>
      <c r="G4094" s="89"/>
    </row>
    <row r="4095">
      <c r="A4095" s="93"/>
      <c r="B4095" s="87" t="s">
        <v>779</v>
      </c>
      <c r="C4095" s="88"/>
      <c r="D4095" s="92"/>
      <c r="E4095" s="89"/>
      <c r="F4095" s="89"/>
      <c r="G4095" s="89"/>
    </row>
    <row r="4096">
      <c r="A4096" s="93"/>
      <c r="B4096" s="87" t="s">
        <v>779</v>
      </c>
      <c r="C4096" s="88"/>
      <c r="D4096" s="92"/>
      <c r="E4096" s="89"/>
      <c r="F4096" s="89"/>
      <c r="G4096" s="89"/>
    </row>
    <row r="4097">
      <c r="A4097" s="93"/>
      <c r="B4097" s="87" t="s">
        <v>779</v>
      </c>
      <c r="C4097" s="88"/>
      <c r="D4097" s="92"/>
      <c r="E4097" s="89"/>
      <c r="F4097" s="89"/>
      <c r="G4097" s="89"/>
    </row>
    <row r="4098">
      <c r="A4098" s="93"/>
      <c r="B4098" s="87" t="s">
        <v>779</v>
      </c>
      <c r="C4098" s="88"/>
      <c r="D4098" s="92"/>
      <c r="E4098" s="89"/>
      <c r="F4098" s="89"/>
      <c r="G4098" s="89"/>
    </row>
    <row r="4099">
      <c r="A4099" s="93"/>
      <c r="B4099" s="87" t="s">
        <v>779</v>
      </c>
      <c r="C4099" s="88"/>
      <c r="D4099" s="92"/>
      <c r="E4099" s="89"/>
      <c r="F4099" s="89"/>
      <c r="G4099" s="89"/>
    </row>
    <row r="4100">
      <c r="A4100" s="93"/>
      <c r="B4100" s="87" t="s">
        <v>779</v>
      </c>
      <c r="C4100" s="88"/>
      <c r="D4100" s="92"/>
      <c r="E4100" s="89"/>
      <c r="F4100" s="89"/>
      <c r="G4100" s="89"/>
    </row>
    <row r="4101">
      <c r="A4101" s="93"/>
      <c r="B4101" s="87" t="s">
        <v>779</v>
      </c>
      <c r="C4101" s="88"/>
      <c r="D4101" s="92"/>
      <c r="E4101" s="89"/>
      <c r="F4101" s="89"/>
      <c r="G4101" s="89"/>
    </row>
    <row r="4102">
      <c r="A4102" s="93"/>
      <c r="B4102" s="87" t="s">
        <v>779</v>
      </c>
      <c r="C4102" s="88"/>
      <c r="D4102" s="92"/>
      <c r="E4102" s="89"/>
      <c r="F4102" s="89"/>
      <c r="G4102" s="89"/>
    </row>
    <row r="4103">
      <c r="A4103" s="93"/>
      <c r="B4103" s="87" t="s">
        <v>779</v>
      </c>
      <c r="C4103" s="88"/>
      <c r="D4103" s="92"/>
      <c r="E4103" s="89"/>
      <c r="F4103" s="89"/>
      <c r="G4103" s="89"/>
    </row>
    <row r="4104">
      <c r="A4104" s="93"/>
      <c r="B4104" s="87" t="s">
        <v>779</v>
      </c>
      <c r="C4104" s="88"/>
      <c r="D4104" s="92"/>
      <c r="E4104" s="89"/>
      <c r="F4104" s="89"/>
      <c r="G4104" s="89"/>
    </row>
    <row r="4105">
      <c r="A4105" s="93"/>
      <c r="B4105" s="87" t="s">
        <v>779</v>
      </c>
      <c r="C4105" s="88"/>
      <c r="D4105" s="92"/>
      <c r="E4105" s="89"/>
      <c r="F4105" s="89"/>
      <c r="G4105" s="89"/>
    </row>
    <row r="4106">
      <c r="A4106" s="93"/>
      <c r="B4106" s="87" t="s">
        <v>779</v>
      </c>
      <c r="C4106" s="88"/>
      <c r="D4106" s="92"/>
      <c r="E4106" s="89"/>
      <c r="F4106" s="89"/>
      <c r="G4106" s="89"/>
    </row>
    <row r="4107">
      <c r="A4107" s="93"/>
      <c r="B4107" s="87" t="s">
        <v>779</v>
      </c>
      <c r="C4107" s="88"/>
      <c r="D4107" s="92"/>
      <c r="E4107" s="89"/>
      <c r="F4107" s="89"/>
      <c r="G4107" s="89"/>
    </row>
    <row r="4108">
      <c r="A4108" s="93"/>
      <c r="B4108" s="87" t="s">
        <v>779</v>
      </c>
      <c r="C4108" s="88"/>
      <c r="D4108" s="92"/>
      <c r="E4108" s="89"/>
      <c r="F4108" s="89"/>
      <c r="G4108" s="89"/>
    </row>
    <row r="4109">
      <c r="A4109" s="93"/>
      <c r="B4109" s="87" t="s">
        <v>779</v>
      </c>
      <c r="C4109" s="88"/>
      <c r="D4109" s="92"/>
      <c r="E4109" s="89"/>
      <c r="F4109" s="89"/>
      <c r="G4109" s="89"/>
    </row>
    <row r="4110">
      <c r="A4110" s="93"/>
      <c r="B4110" s="87" t="s">
        <v>779</v>
      </c>
      <c r="C4110" s="88"/>
      <c r="D4110" s="92"/>
      <c r="E4110" s="89"/>
      <c r="F4110" s="89"/>
      <c r="G4110" s="89"/>
    </row>
    <row r="4111">
      <c r="A4111" s="93"/>
      <c r="B4111" s="87" t="s">
        <v>779</v>
      </c>
      <c r="C4111" s="88"/>
      <c r="D4111" s="92"/>
      <c r="E4111" s="89"/>
      <c r="F4111" s="89"/>
      <c r="G4111" s="89"/>
    </row>
    <row r="4112">
      <c r="A4112" s="93"/>
      <c r="B4112" s="87" t="s">
        <v>779</v>
      </c>
      <c r="C4112" s="88"/>
      <c r="D4112" s="92"/>
      <c r="E4112" s="89"/>
      <c r="F4112" s="89"/>
      <c r="G4112" s="89"/>
    </row>
    <row r="4113">
      <c r="A4113" s="93"/>
      <c r="B4113" s="87" t="s">
        <v>779</v>
      </c>
      <c r="C4113" s="88"/>
      <c r="D4113" s="92"/>
      <c r="E4113" s="89"/>
      <c r="F4113" s="89"/>
      <c r="G4113" s="89"/>
    </row>
    <row r="4114">
      <c r="A4114" s="93"/>
      <c r="B4114" s="87" t="s">
        <v>779</v>
      </c>
      <c r="C4114" s="88"/>
      <c r="D4114" s="92"/>
      <c r="E4114" s="89"/>
      <c r="F4114" s="89"/>
      <c r="G4114" s="89"/>
    </row>
    <row r="4115">
      <c r="A4115" s="93"/>
      <c r="B4115" s="87" t="s">
        <v>779</v>
      </c>
      <c r="C4115" s="88"/>
      <c r="D4115" s="92"/>
      <c r="E4115" s="89"/>
      <c r="F4115" s="89"/>
      <c r="G4115" s="89"/>
    </row>
    <row r="4116">
      <c r="A4116" s="93"/>
      <c r="B4116" s="87" t="s">
        <v>779</v>
      </c>
      <c r="C4116" s="88"/>
      <c r="D4116" s="92"/>
      <c r="E4116" s="89"/>
      <c r="F4116" s="89"/>
      <c r="G4116" s="89"/>
    </row>
    <row r="4117">
      <c r="A4117" s="93"/>
      <c r="B4117" s="87" t="s">
        <v>779</v>
      </c>
      <c r="C4117" s="88"/>
      <c r="D4117" s="92"/>
      <c r="E4117" s="89"/>
      <c r="F4117" s="89"/>
      <c r="G4117" s="89"/>
    </row>
    <row r="4118">
      <c r="A4118" s="93"/>
      <c r="B4118" s="87" t="s">
        <v>779</v>
      </c>
      <c r="C4118" s="88"/>
      <c r="D4118" s="92"/>
      <c r="E4118" s="89"/>
      <c r="F4118" s="89"/>
      <c r="G4118" s="89"/>
    </row>
    <row r="4119">
      <c r="A4119" s="93"/>
      <c r="B4119" s="87" t="s">
        <v>779</v>
      </c>
      <c r="C4119" s="88"/>
      <c r="D4119" s="92"/>
      <c r="E4119" s="89"/>
      <c r="F4119" s="89"/>
      <c r="G4119" s="89"/>
    </row>
    <row r="4120">
      <c r="A4120" s="93"/>
      <c r="B4120" s="87" t="s">
        <v>779</v>
      </c>
      <c r="C4120" s="88"/>
      <c r="D4120" s="92"/>
      <c r="E4120" s="89"/>
      <c r="F4120" s="89"/>
      <c r="G4120" s="89"/>
    </row>
    <row r="4121">
      <c r="A4121" s="93"/>
      <c r="B4121" s="87" t="s">
        <v>779</v>
      </c>
      <c r="C4121" s="88"/>
      <c r="D4121" s="92"/>
      <c r="E4121" s="89"/>
      <c r="F4121" s="89"/>
      <c r="G4121" s="89"/>
    </row>
    <row r="4122">
      <c r="A4122" s="93"/>
      <c r="B4122" s="87" t="s">
        <v>779</v>
      </c>
      <c r="C4122" s="88"/>
      <c r="D4122" s="92"/>
      <c r="E4122" s="89"/>
      <c r="F4122" s="89"/>
      <c r="G4122" s="89"/>
    </row>
    <row r="4123">
      <c r="A4123" s="93"/>
      <c r="B4123" s="87" t="s">
        <v>779</v>
      </c>
      <c r="C4123" s="88"/>
      <c r="D4123" s="92"/>
      <c r="E4123" s="89"/>
      <c r="F4123" s="89"/>
      <c r="G4123" s="89"/>
    </row>
    <row r="4124">
      <c r="A4124" s="93"/>
      <c r="B4124" s="87" t="s">
        <v>779</v>
      </c>
      <c r="C4124" s="88"/>
      <c r="D4124" s="92"/>
      <c r="E4124" s="89"/>
      <c r="F4124" s="89"/>
      <c r="G4124" s="89"/>
    </row>
    <row r="4125">
      <c r="A4125" s="93"/>
      <c r="B4125" s="87" t="s">
        <v>779</v>
      </c>
      <c r="C4125" s="88"/>
      <c r="D4125" s="92"/>
      <c r="E4125" s="89"/>
      <c r="F4125" s="89"/>
      <c r="G4125" s="89"/>
    </row>
    <row r="4126">
      <c r="A4126" s="93"/>
      <c r="B4126" s="87" t="s">
        <v>779</v>
      </c>
      <c r="C4126" s="88"/>
      <c r="D4126" s="92"/>
      <c r="E4126" s="89"/>
      <c r="F4126" s="89"/>
      <c r="G4126" s="89"/>
    </row>
    <row r="4127">
      <c r="A4127" s="93"/>
      <c r="B4127" s="87" t="s">
        <v>779</v>
      </c>
      <c r="C4127" s="88"/>
      <c r="D4127" s="92"/>
      <c r="E4127" s="89"/>
      <c r="F4127" s="89"/>
      <c r="G4127" s="89"/>
    </row>
    <row r="4128">
      <c r="A4128" s="93"/>
      <c r="B4128" s="87" t="s">
        <v>779</v>
      </c>
      <c r="C4128" s="88"/>
      <c r="D4128" s="92"/>
      <c r="E4128" s="89"/>
      <c r="F4128" s="89"/>
      <c r="G4128" s="89"/>
    </row>
    <row r="4129">
      <c r="A4129" s="93"/>
      <c r="B4129" s="87" t="s">
        <v>779</v>
      </c>
      <c r="C4129" s="88"/>
      <c r="D4129" s="92"/>
      <c r="E4129" s="89"/>
      <c r="F4129" s="89"/>
      <c r="G4129" s="89"/>
    </row>
    <row r="4130">
      <c r="A4130" s="93"/>
      <c r="B4130" s="87" t="s">
        <v>779</v>
      </c>
      <c r="C4130" s="88"/>
      <c r="D4130" s="92"/>
      <c r="E4130" s="89"/>
      <c r="F4130" s="89"/>
      <c r="G4130" s="89"/>
    </row>
    <row r="4131">
      <c r="A4131" s="93"/>
      <c r="B4131" s="87" t="s">
        <v>779</v>
      </c>
      <c r="C4131" s="88"/>
      <c r="D4131" s="92"/>
      <c r="E4131" s="89"/>
      <c r="F4131" s="89"/>
      <c r="G4131" s="89"/>
    </row>
    <row r="4132">
      <c r="A4132" s="93"/>
      <c r="B4132" s="87" t="s">
        <v>779</v>
      </c>
      <c r="C4132" s="88"/>
      <c r="D4132" s="92"/>
      <c r="E4132" s="89"/>
      <c r="F4132" s="89"/>
      <c r="G4132" s="89"/>
    </row>
    <row r="4133">
      <c r="A4133" s="93"/>
      <c r="B4133" s="87" t="s">
        <v>779</v>
      </c>
      <c r="C4133" s="88"/>
      <c r="D4133" s="92"/>
      <c r="E4133" s="89"/>
      <c r="F4133" s="89"/>
      <c r="G4133" s="89"/>
    </row>
    <row r="4134">
      <c r="A4134" s="93"/>
      <c r="B4134" s="87" t="s">
        <v>779</v>
      </c>
      <c r="C4134" s="88"/>
      <c r="D4134" s="92"/>
      <c r="E4134" s="89"/>
      <c r="F4134" s="89"/>
      <c r="G4134" s="89"/>
    </row>
    <row r="4135">
      <c r="A4135" s="93"/>
      <c r="B4135" s="87" t="s">
        <v>779</v>
      </c>
      <c r="C4135" s="88"/>
      <c r="D4135" s="92"/>
      <c r="E4135" s="89"/>
      <c r="F4135" s="89"/>
      <c r="G4135" s="89"/>
    </row>
    <row r="4136">
      <c r="A4136" s="93"/>
      <c r="B4136" s="87" t="s">
        <v>779</v>
      </c>
      <c r="C4136" s="88"/>
      <c r="D4136" s="92"/>
      <c r="E4136" s="89"/>
      <c r="F4136" s="89"/>
      <c r="G4136" s="89"/>
    </row>
    <row r="4137">
      <c r="A4137" s="93"/>
      <c r="B4137" s="87" t="s">
        <v>779</v>
      </c>
      <c r="C4137" s="88"/>
      <c r="D4137" s="92"/>
      <c r="E4137" s="89"/>
      <c r="F4137" s="89"/>
      <c r="G4137" s="89"/>
    </row>
    <row r="4138">
      <c r="A4138" s="93"/>
      <c r="B4138" s="87" t="s">
        <v>779</v>
      </c>
      <c r="C4138" s="88"/>
      <c r="D4138" s="92"/>
      <c r="E4138" s="89"/>
      <c r="F4138" s="89"/>
      <c r="G4138" s="89"/>
    </row>
    <row r="4139">
      <c r="A4139" s="93"/>
      <c r="B4139" s="87" t="s">
        <v>779</v>
      </c>
      <c r="C4139" s="88"/>
      <c r="D4139" s="92"/>
      <c r="E4139" s="89"/>
      <c r="F4139" s="89"/>
      <c r="G4139" s="89"/>
    </row>
    <row r="4140">
      <c r="A4140" s="93"/>
      <c r="B4140" s="87" t="s">
        <v>779</v>
      </c>
      <c r="C4140" s="88"/>
      <c r="D4140" s="92"/>
      <c r="E4140" s="89"/>
      <c r="F4140" s="89"/>
      <c r="G4140" s="89"/>
    </row>
    <row r="4141">
      <c r="A4141" s="93"/>
      <c r="B4141" s="87" t="s">
        <v>779</v>
      </c>
      <c r="C4141" s="88"/>
      <c r="D4141" s="92"/>
      <c r="E4141" s="89"/>
      <c r="F4141" s="89"/>
      <c r="G4141" s="89"/>
    </row>
    <row r="4142">
      <c r="A4142" s="93"/>
      <c r="B4142" s="87" t="s">
        <v>779</v>
      </c>
      <c r="C4142" s="88"/>
      <c r="D4142" s="92"/>
      <c r="E4142" s="89"/>
      <c r="F4142" s="89"/>
      <c r="G4142" s="89"/>
    </row>
    <row r="4143">
      <c r="A4143" s="93"/>
      <c r="B4143" s="87" t="s">
        <v>779</v>
      </c>
      <c r="C4143" s="88"/>
      <c r="D4143" s="92"/>
      <c r="E4143" s="89"/>
      <c r="F4143" s="89"/>
      <c r="G4143" s="89"/>
    </row>
    <row r="4144">
      <c r="A4144" s="93"/>
      <c r="B4144" s="87" t="s">
        <v>779</v>
      </c>
      <c r="C4144" s="88"/>
      <c r="D4144" s="92"/>
      <c r="E4144" s="89"/>
      <c r="F4144" s="89"/>
      <c r="G4144" s="89"/>
    </row>
    <row r="4145">
      <c r="A4145" s="93"/>
      <c r="B4145" s="87" t="s">
        <v>779</v>
      </c>
      <c r="C4145" s="88"/>
      <c r="D4145" s="92"/>
      <c r="E4145" s="89"/>
      <c r="F4145" s="89"/>
      <c r="G4145" s="89"/>
    </row>
    <row r="4146">
      <c r="A4146" s="93"/>
      <c r="B4146" s="87" t="s">
        <v>779</v>
      </c>
      <c r="C4146" s="88"/>
      <c r="D4146" s="92"/>
      <c r="E4146" s="89"/>
      <c r="F4146" s="89"/>
      <c r="G4146" s="89"/>
    </row>
    <row r="4147">
      <c r="A4147" s="93"/>
      <c r="B4147" s="87" t="s">
        <v>779</v>
      </c>
      <c r="C4147" s="88"/>
      <c r="D4147" s="92"/>
      <c r="E4147" s="89"/>
      <c r="F4147" s="89"/>
      <c r="G4147" s="89"/>
    </row>
    <row r="4148">
      <c r="A4148" s="93"/>
      <c r="B4148" s="87" t="s">
        <v>779</v>
      </c>
      <c r="C4148" s="88"/>
      <c r="D4148" s="92"/>
      <c r="E4148" s="89"/>
      <c r="F4148" s="89"/>
      <c r="G4148" s="89"/>
    </row>
    <row r="4149">
      <c r="A4149" s="93"/>
      <c r="B4149" s="87" t="s">
        <v>779</v>
      </c>
      <c r="C4149" s="88"/>
      <c r="D4149" s="92"/>
      <c r="E4149" s="89"/>
      <c r="F4149" s="89"/>
      <c r="G4149" s="89"/>
    </row>
    <row r="4150">
      <c r="A4150" s="93"/>
      <c r="B4150" s="87" t="s">
        <v>779</v>
      </c>
      <c r="C4150" s="88"/>
      <c r="D4150" s="92"/>
      <c r="E4150" s="89"/>
      <c r="F4150" s="89"/>
      <c r="G4150" s="89"/>
    </row>
    <row r="4151">
      <c r="A4151" s="93"/>
      <c r="B4151" s="87" t="s">
        <v>779</v>
      </c>
      <c r="C4151" s="88"/>
      <c r="D4151" s="92"/>
      <c r="E4151" s="89"/>
      <c r="F4151" s="89"/>
      <c r="G4151" s="89"/>
    </row>
    <row r="4152">
      <c r="A4152" s="93"/>
      <c r="B4152" s="87" t="s">
        <v>779</v>
      </c>
      <c r="C4152" s="88"/>
      <c r="D4152" s="92"/>
      <c r="E4152" s="89"/>
      <c r="F4152" s="89"/>
      <c r="G4152" s="89"/>
    </row>
    <row r="4153">
      <c r="A4153" s="93"/>
      <c r="B4153" s="87" t="s">
        <v>779</v>
      </c>
      <c r="C4153" s="88"/>
      <c r="D4153" s="92"/>
      <c r="E4153" s="89"/>
      <c r="F4153" s="89"/>
      <c r="G4153" s="89"/>
    </row>
    <row r="4154">
      <c r="A4154" s="93"/>
      <c r="B4154" s="87" t="s">
        <v>779</v>
      </c>
      <c r="C4154" s="88"/>
      <c r="D4154" s="92"/>
      <c r="E4154" s="89"/>
      <c r="F4154" s="89"/>
      <c r="G4154" s="89"/>
    </row>
    <row r="4155">
      <c r="A4155" s="93"/>
      <c r="B4155" s="87" t="s">
        <v>779</v>
      </c>
      <c r="C4155" s="88"/>
      <c r="D4155" s="92"/>
      <c r="E4155" s="89"/>
      <c r="F4155" s="89"/>
      <c r="G4155" s="89"/>
    </row>
    <row r="4156">
      <c r="A4156" s="93"/>
      <c r="B4156" s="87" t="s">
        <v>779</v>
      </c>
      <c r="C4156" s="88"/>
      <c r="D4156" s="92"/>
      <c r="E4156" s="89"/>
      <c r="F4156" s="89"/>
      <c r="G4156" s="89"/>
    </row>
    <row r="4157">
      <c r="A4157" s="93"/>
      <c r="B4157" s="87" t="s">
        <v>779</v>
      </c>
      <c r="C4157" s="88"/>
      <c r="D4157" s="92"/>
      <c r="E4157" s="89"/>
      <c r="F4157" s="89"/>
      <c r="G4157" s="89"/>
    </row>
    <row r="4158">
      <c r="A4158" s="93"/>
      <c r="B4158" s="87" t="s">
        <v>779</v>
      </c>
      <c r="C4158" s="88"/>
      <c r="D4158" s="92"/>
      <c r="E4158" s="89"/>
      <c r="F4158" s="89"/>
      <c r="G4158" s="89"/>
    </row>
    <row r="4159">
      <c r="A4159" s="93"/>
      <c r="B4159" s="87" t="s">
        <v>779</v>
      </c>
      <c r="C4159" s="88"/>
      <c r="D4159" s="92"/>
      <c r="E4159" s="89"/>
      <c r="F4159" s="89"/>
      <c r="G4159" s="89"/>
    </row>
    <row r="4160">
      <c r="A4160" s="93"/>
      <c r="B4160" s="87" t="s">
        <v>779</v>
      </c>
      <c r="C4160" s="88"/>
      <c r="D4160" s="92"/>
      <c r="E4160" s="89"/>
      <c r="F4160" s="89"/>
      <c r="G4160" s="89"/>
    </row>
    <row r="4161">
      <c r="A4161" s="93"/>
      <c r="B4161" s="87" t="s">
        <v>779</v>
      </c>
      <c r="C4161" s="88"/>
      <c r="D4161" s="92"/>
      <c r="E4161" s="89"/>
      <c r="F4161" s="89"/>
      <c r="G4161" s="89"/>
    </row>
    <row r="4162">
      <c r="A4162" s="93"/>
      <c r="B4162" s="87" t="s">
        <v>779</v>
      </c>
      <c r="C4162" s="88"/>
      <c r="D4162" s="92"/>
      <c r="E4162" s="89"/>
      <c r="F4162" s="89"/>
      <c r="G4162" s="89"/>
    </row>
    <row r="4163">
      <c r="A4163" s="93"/>
      <c r="B4163" s="87" t="s">
        <v>779</v>
      </c>
      <c r="C4163" s="88"/>
      <c r="D4163" s="92"/>
      <c r="E4163" s="89"/>
      <c r="F4163" s="89"/>
      <c r="G4163" s="89"/>
    </row>
    <row r="4164">
      <c r="A4164" s="93"/>
      <c r="B4164" s="87" t="s">
        <v>779</v>
      </c>
      <c r="C4164" s="88"/>
      <c r="D4164" s="92"/>
      <c r="E4164" s="89"/>
      <c r="F4164" s="89"/>
      <c r="G4164" s="89"/>
    </row>
    <row r="4165">
      <c r="A4165" s="93"/>
      <c r="B4165" s="87" t="s">
        <v>779</v>
      </c>
      <c r="C4165" s="88"/>
      <c r="D4165" s="92"/>
      <c r="E4165" s="89"/>
      <c r="F4165" s="89"/>
      <c r="G4165" s="89"/>
    </row>
    <row r="4166">
      <c r="A4166" s="93"/>
      <c r="B4166" s="87" t="s">
        <v>779</v>
      </c>
      <c r="C4166" s="88"/>
      <c r="D4166" s="92"/>
      <c r="E4166" s="89"/>
      <c r="F4166" s="89"/>
      <c r="G4166" s="89"/>
    </row>
    <row r="4167">
      <c r="A4167" s="93"/>
      <c r="B4167" s="87" t="s">
        <v>779</v>
      </c>
      <c r="C4167" s="88"/>
      <c r="D4167" s="92"/>
      <c r="E4167" s="89"/>
      <c r="F4167" s="89"/>
      <c r="G4167" s="89"/>
    </row>
    <row r="4168">
      <c r="A4168" s="93"/>
      <c r="B4168" s="87" t="s">
        <v>779</v>
      </c>
      <c r="C4168" s="88"/>
      <c r="D4168" s="92"/>
      <c r="E4168" s="89"/>
      <c r="F4168" s="89"/>
      <c r="G4168" s="89"/>
    </row>
    <row r="4169">
      <c r="A4169" s="93"/>
      <c r="B4169" s="87" t="s">
        <v>779</v>
      </c>
      <c r="C4169" s="88"/>
      <c r="D4169" s="92"/>
      <c r="E4169" s="89"/>
      <c r="F4169" s="89"/>
      <c r="G4169" s="89"/>
    </row>
    <row r="4170">
      <c r="A4170" s="93"/>
      <c r="B4170" s="87" t="s">
        <v>779</v>
      </c>
      <c r="C4170" s="88"/>
      <c r="D4170" s="92"/>
      <c r="E4170" s="89"/>
      <c r="F4170" s="89"/>
      <c r="G4170" s="89"/>
    </row>
    <row r="4171">
      <c r="A4171" s="93"/>
      <c r="B4171" s="87" t="s">
        <v>779</v>
      </c>
      <c r="C4171" s="88"/>
      <c r="D4171" s="92"/>
      <c r="E4171" s="89"/>
      <c r="F4171" s="89"/>
      <c r="G4171" s="89"/>
    </row>
    <row r="4172">
      <c r="A4172" s="93"/>
      <c r="B4172" s="87" t="s">
        <v>779</v>
      </c>
      <c r="C4172" s="88"/>
      <c r="D4172" s="92"/>
      <c r="E4172" s="89"/>
      <c r="F4172" s="89"/>
      <c r="G4172" s="89"/>
    </row>
    <row r="4173">
      <c r="A4173" s="93"/>
      <c r="B4173" s="87" t="s">
        <v>779</v>
      </c>
      <c r="C4173" s="88"/>
      <c r="D4173" s="92"/>
      <c r="E4173" s="89"/>
      <c r="F4173" s="89"/>
      <c r="G4173" s="89"/>
    </row>
    <row r="4174">
      <c r="A4174" s="93"/>
      <c r="B4174" s="87" t="s">
        <v>779</v>
      </c>
      <c r="C4174" s="88"/>
      <c r="D4174" s="92"/>
      <c r="E4174" s="89"/>
      <c r="F4174" s="89"/>
      <c r="G4174" s="89"/>
    </row>
    <row r="4175">
      <c r="A4175" s="93"/>
      <c r="B4175" s="87" t="s">
        <v>779</v>
      </c>
      <c r="C4175" s="88"/>
      <c r="D4175" s="92"/>
      <c r="E4175" s="89"/>
      <c r="F4175" s="89"/>
      <c r="G4175" s="89"/>
    </row>
    <row r="4176">
      <c r="A4176" s="93"/>
      <c r="B4176" s="87" t="s">
        <v>779</v>
      </c>
      <c r="C4176" s="88"/>
      <c r="D4176" s="92"/>
      <c r="E4176" s="89"/>
      <c r="F4176" s="89"/>
      <c r="G4176" s="89"/>
    </row>
    <row r="4177">
      <c r="A4177" s="93"/>
      <c r="B4177" s="87" t="s">
        <v>779</v>
      </c>
      <c r="C4177" s="88"/>
      <c r="D4177" s="92"/>
      <c r="E4177" s="89"/>
      <c r="F4177" s="89"/>
      <c r="G4177" s="89"/>
    </row>
    <row r="4178">
      <c r="A4178" s="93"/>
      <c r="B4178" s="87" t="s">
        <v>779</v>
      </c>
      <c r="C4178" s="88"/>
      <c r="D4178" s="92"/>
      <c r="E4178" s="89"/>
      <c r="F4178" s="89"/>
      <c r="G4178" s="89"/>
    </row>
    <row r="4179">
      <c r="A4179" s="93"/>
      <c r="B4179" s="87" t="s">
        <v>779</v>
      </c>
      <c r="C4179" s="88"/>
      <c r="D4179" s="92"/>
      <c r="E4179" s="89"/>
      <c r="F4179" s="89"/>
      <c r="G4179" s="89"/>
    </row>
    <row r="4180">
      <c r="A4180" s="93"/>
      <c r="B4180" s="87" t="s">
        <v>779</v>
      </c>
      <c r="C4180" s="88"/>
      <c r="D4180" s="92"/>
      <c r="E4180" s="89"/>
      <c r="F4180" s="89"/>
      <c r="G4180" s="89"/>
    </row>
    <row r="4181">
      <c r="A4181" s="93"/>
      <c r="B4181" s="87" t="s">
        <v>779</v>
      </c>
      <c r="C4181" s="88"/>
      <c r="D4181" s="92"/>
      <c r="E4181" s="89"/>
      <c r="F4181" s="89"/>
      <c r="G4181" s="89"/>
    </row>
    <row r="4182">
      <c r="A4182" s="93"/>
      <c r="B4182" s="87" t="s">
        <v>779</v>
      </c>
      <c r="C4182" s="88"/>
      <c r="D4182" s="92"/>
      <c r="E4182" s="89"/>
      <c r="F4182" s="89"/>
      <c r="G4182" s="89"/>
    </row>
    <row r="4183">
      <c r="A4183" s="93"/>
      <c r="B4183" s="87" t="s">
        <v>779</v>
      </c>
      <c r="C4183" s="88"/>
      <c r="D4183" s="92"/>
      <c r="E4183" s="89"/>
      <c r="F4183" s="89"/>
      <c r="G4183" s="89"/>
    </row>
    <row r="4184">
      <c r="A4184" s="93"/>
      <c r="B4184" s="87" t="s">
        <v>779</v>
      </c>
      <c r="C4184" s="88"/>
      <c r="D4184" s="92"/>
      <c r="E4184" s="89"/>
      <c r="F4184" s="89"/>
      <c r="G4184" s="89"/>
    </row>
    <row r="4185">
      <c r="A4185" s="93"/>
      <c r="B4185" s="87" t="s">
        <v>779</v>
      </c>
      <c r="C4185" s="88"/>
      <c r="D4185" s="92"/>
      <c r="E4185" s="89"/>
      <c r="F4185" s="89"/>
      <c r="G4185" s="89"/>
    </row>
    <row r="4186">
      <c r="A4186" s="93"/>
      <c r="B4186" s="87" t="s">
        <v>779</v>
      </c>
      <c r="C4186" s="88"/>
      <c r="D4186" s="92"/>
      <c r="E4186" s="89"/>
      <c r="F4186" s="89"/>
      <c r="G4186" s="89"/>
    </row>
    <row r="4187">
      <c r="A4187" s="93"/>
      <c r="B4187" s="87" t="s">
        <v>779</v>
      </c>
      <c r="C4187" s="88"/>
      <c r="D4187" s="92"/>
      <c r="E4187" s="89"/>
      <c r="F4187" s="89"/>
      <c r="G4187" s="89"/>
    </row>
    <row r="4188">
      <c r="A4188" s="93"/>
      <c r="B4188" s="87" t="s">
        <v>779</v>
      </c>
      <c r="C4188" s="88"/>
      <c r="D4188" s="92"/>
      <c r="E4188" s="89"/>
      <c r="F4188" s="89"/>
      <c r="G4188" s="89"/>
    </row>
    <row r="4189">
      <c r="A4189" s="93"/>
      <c r="B4189" s="87" t="s">
        <v>779</v>
      </c>
      <c r="C4189" s="88"/>
      <c r="D4189" s="92"/>
      <c r="E4189" s="89"/>
      <c r="F4189" s="89"/>
      <c r="G4189" s="89"/>
    </row>
    <row r="4190">
      <c r="A4190" s="93"/>
      <c r="B4190" s="87" t="s">
        <v>779</v>
      </c>
      <c r="C4190" s="88"/>
      <c r="D4190" s="92"/>
      <c r="E4190" s="89"/>
      <c r="F4190" s="89"/>
      <c r="G4190" s="89"/>
    </row>
    <row r="4191">
      <c r="A4191" s="93"/>
      <c r="B4191" s="87" t="s">
        <v>779</v>
      </c>
      <c r="C4191" s="88"/>
      <c r="D4191" s="92"/>
      <c r="E4191" s="89"/>
      <c r="F4191" s="89"/>
      <c r="G4191" s="89"/>
    </row>
    <row r="4192">
      <c r="A4192" s="93"/>
      <c r="B4192" s="87" t="s">
        <v>779</v>
      </c>
      <c r="C4192" s="88"/>
      <c r="D4192" s="92"/>
      <c r="E4192" s="89"/>
      <c r="F4192" s="89"/>
      <c r="G4192" s="89"/>
    </row>
    <row r="4193">
      <c r="A4193" s="93"/>
      <c r="B4193" s="87" t="s">
        <v>779</v>
      </c>
      <c r="C4193" s="88"/>
      <c r="D4193" s="92"/>
      <c r="E4193" s="89"/>
      <c r="F4193" s="89"/>
      <c r="G4193" s="89"/>
    </row>
    <row r="4194">
      <c r="A4194" s="93"/>
      <c r="B4194" s="87" t="s">
        <v>779</v>
      </c>
      <c r="C4194" s="88"/>
      <c r="D4194" s="92"/>
      <c r="E4194" s="89"/>
      <c r="F4194" s="89"/>
      <c r="G4194" s="89"/>
    </row>
    <row r="4195">
      <c r="A4195" s="93"/>
      <c r="B4195" s="87" t="s">
        <v>779</v>
      </c>
      <c r="C4195" s="88"/>
      <c r="D4195" s="92"/>
      <c r="E4195" s="89"/>
      <c r="F4195" s="89"/>
      <c r="G4195" s="89"/>
    </row>
    <row r="4196">
      <c r="A4196" s="93"/>
      <c r="B4196" s="87" t="s">
        <v>779</v>
      </c>
      <c r="C4196" s="88"/>
      <c r="D4196" s="92"/>
      <c r="E4196" s="89"/>
      <c r="F4196" s="89"/>
      <c r="G4196" s="89"/>
    </row>
    <row r="4197">
      <c r="A4197" s="93"/>
      <c r="B4197" s="87" t="s">
        <v>779</v>
      </c>
      <c r="C4197" s="88"/>
      <c r="D4197" s="92"/>
      <c r="E4197" s="89"/>
      <c r="F4197" s="89"/>
      <c r="G4197" s="89"/>
    </row>
    <row r="4198">
      <c r="A4198" s="93"/>
      <c r="B4198" s="87" t="s">
        <v>779</v>
      </c>
      <c r="C4198" s="88"/>
      <c r="D4198" s="92"/>
      <c r="E4198" s="89"/>
      <c r="F4198" s="89"/>
      <c r="G4198" s="89"/>
    </row>
    <row r="4199">
      <c r="A4199" s="93"/>
      <c r="B4199" s="87" t="s">
        <v>779</v>
      </c>
      <c r="C4199" s="88"/>
      <c r="D4199" s="92"/>
      <c r="E4199" s="89"/>
      <c r="F4199" s="89"/>
      <c r="G4199" s="89"/>
    </row>
    <row r="4200">
      <c r="A4200" s="93"/>
      <c r="B4200" s="87" t="s">
        <v>779</v>
      </c>
      <c r="C4200" s="88"/>
      <c r="D4200" s="92"/>
      <c r="E4200" s="89"/>
      <c r="F4200" s="89"/>
      <c r="G4200" s="89"/>
    </row>
    <row r="4201">
      <c r="A4201" s="93"/>
      <c r="B4201" s="87" t="s">
        <v>779</v>
      </c>
      <c r="C4201" s="88"/>
      <c r="D4201" s="92"/>
      <c r="E4201" s="89"/>
      <c r="F4201" s="89"/>
      <c r="G4201" s="89"/>
    </row>
    <row r="4202">
      <c r="A4202" s="93"/>
      <c r="B4202" s="87" t="s">
        <v>779</v>
      </c>
      <c r="C4202" s="88"/>
      <c r="D4202" s="92"/>
      <c r="E4202" s="89"/>
      <c r="F4202" s="89"/>
      <c r="G4202" s="89"/>
    </row>
    <row r="4203">
      <c r="A4203" s="93"/>
      <c r="B4203" s="87" t="s">
        <v>779</v>
      </c>
      <c r="C4203" s="88"/>
      <c r="D4203" s="92"/>
      <c r="E4203" s="89"/>
      <c r="F4203" s="89"/>
      <c r="G4203" s="89"/>
    </row>
    <row r="4204">
      <c r="A4204" s="93"/>
      <c r="B4204" s="87" t="s">
        <v>779</v>
      </c>
      <c r="C4204" s="88"/>
      <c r="D4204" s="92"/>
      <c r="E4204" s="89"/>
      <c r="F4204" s="89"/>
      <c r="G4204" s="89"/>
    </row>
    <row r="4205">
      <c r="A4205" s="93"/>
      <c r="B4205" s="87" t="s">
        <v>779</v>
      </c>
      <c r="C4205" s="88"/>
      <c r="D4205" s="92"/>
      <c r="E4205" s="89"/>
      <c r="F4205" s="89"/>
      <c r="G4205" s="89"/>
    </row>
    <row r="4206">
      <c r="A4206" s="93"/>
      <c r="B4206" s="87" t="s">
        <v>779</v>
      </c>
      <c r="C4206" s="88"/>
      <c r="D4206" s="92"/>
      <c r="E4206" s="89"/>
      <c r="F4206" s="89"/>
      <c r="G4206" s="89"/>
    </row>
    <row r="4207">
      <c r="A4207" s="93"/>
      <c r="B4207" s="87" t="s">
        <v>779</v>
      </c>
      <c r="C4207" s="88"/>
      <c r="D4207" s="92"/>
      <c r="E4207" s="89"/>
      <c r="F4207" s="89"/>
      <c r="G4207" s="89"/>
    </row>
    <row r="4208">
      <c r="A4208" s="93"/>
      <c r="B4208" s="87" t="s">
        <v>779</v>
      </c>
      <c r="C4208" s="88"/>
      <c r="D4208" s="92"/>
      <c r="E4208" s="89"/>
      <c r="F4208" s="89"/>
      <c r="G4208" s="89"/>
    </row>
    <row r="4209">
      <c r="A4209" s="93"/>
      <c r="B4209" s="87" t="s">
        <v>779</v>
      </c>
      <c r="C4209" s="88"/>
      <c r="D4209" s="92"/>
      <c r="E4209" s="89"/>
      <c r="F4209" s="89"/>
      <c r="G4209" s="89"/>
    </row>
    <row r="4210">
      <c r="A4210" s="93"/>
      <c r="B4210" s="87" t="s">
        <v>779</v>
      </c>
      <c r="C4210" s="88"/>
      <c r="D4210" s="92"/>
      <c r="E4210" s="89"/>
      <c r="F4210" s="89"/>
      <c r="G4210" s="89"/>
    </row>
    <row r="4211">
      <c r="A4211" s="93"/>
      <c r="B4211" s="87" t="s">
        <v>779</v>
      </c>
      <c r="C4211" s="88"/>
      <c r="D4211" s="92"/>
      <c r="E4211" s="89"/>
      <c r="F4211" s="89"/>
      <c r="G4211" s="89"/>
    </row>
    <row r="4212">
      <c r="A4212" s="93"/>
      <c r="B4212" s="87" t="s">
        <v>779</v>
      </c>
      <c r="C4212" s="88"/>
      <c r="D4212" s="92"/>
      <c r="E4212" s="89"/>
      <c r="F4212" s="89"/>
      <c r="G4212" s="89"/>
    </row>
    <row r="4213">
      <c r="A4213" s="93"/>
      <c r="B4213" s="87" t="s">
        <v>779</v>
      </c>
      <c r="C4213" s="88"/>
      <c r="D4213" s="92"/>
      <c r="E4213" s="89"/>
      <c r="F4213" s="89"/>
      <c r="G4213" s="89"/>
    </row>
    <row r="4214">
      <c r="A4214" s="93"/>
      <c r="B4214" s="87" t="s">
        <v>779</v>
      </c>
      <c r="C4214" s="88"/>
      <c r="D4214" s="92"/>
      <c r="E4214" s="89"/>
      <c r="F4214" s="89"/>
      <c r="G4214" s="89"/>
    </row>
    <row r="4215">
      <c r="A4215" s="93"/>
      <c r="B4215" s="87" t="s">
        <v>779</v>
      </c>
      <c r="C4215" s="88"/>
      <c r="D4215" s="92"/>
      <c r="E4215" s="89"/>
      <c r="F4215" s="89"/>
      <c r="G4215" s="89"/>
    </row>
    <row r="4216">
      <c r="A4216" s="93"/>
      <c r="B4216" s="87" t="s">
        <v>779</v>
      </c>
      <c r="C4216" s="88"/>
      <c r="D4216" s="92"/>
      <c r="E4216" s="89"/>
      <c r="F4216" s="89"/>
      <c r="G4216" s="89"/>
    </row>
    <row r="4217">
      <c r="A4217" s="93"/>
      <c r="B4217" s="87" t="s">
        <v>779</v>
      </c>
      <c r="C4217" s="88"/>
      <c r="D4217" s="92"/>
      <c r="E4217" s="89"/>
      <c r="F4217" s="89"/>
      <c r="G4217" s="89"/>
    </row>
    <row r="4218">
      <c r="A4218" s="93"/>
      <c r="B4218" s="87" t="s">
        <v>779</v>
      </c>
      <c r="C4218" s="88"/>
      <c r="D4218" s="92"/>
      <c r="E4218" s="89"/>
      <c r="F4218" s="89"/>
      <c r="G4218" s="89"/>
    </row>
    <row r="4219">
      <c r="A4219" s="93"/>
      <c r="B4219" s="87" t="s">
        <v>779</v>
      </c>
      <c r="C4219" s="88"/>
      <c r="D4219" s="92"/>
      <c r="E4219" s="89"/>
      <c r="F4219" s="89"/>
      <c r="G4219" s="89"/>
    </row>
    <row r="4220">
      <c r="A4220" s="93"/>
      <c r="B4220" s="87" t="s">
        <v>779</v>
      </c>
      <c r="C4220" s="88"/>
      <c r="D4220" s="92"/>
      <c r="E4220" s="89"/>
      <c r="F4220" s="89"/>
      <c r="G4220" s="89"/>
    </row>
    <row r="4221">
      <c r="A4221" s="93"/>
      <c r="B4221" s="87" t="s">
        <v>779</v>
      </c>
      <c r="C4221" s="88"/>
      <c r="D4221" s="92"/>
      <c r="E4221" s="89"/>
      <c r="F4221" s="89"/>
      <c r="G4221" s="89"/>
    </row>
    <row r="4222">
      <c r="A4222" s="93"/>
      <c r="B4222" s="87" t="s">
        <v>779</v>
      </c>
      <c r="C4222" s="88"/>
      <c r="D4222" s="92"/>
      <c r="E4222" s="89"/>
      <c r="F4222" s="89"/>
      <c r="G4222" s="89"/>
    </row>
    <row r="4223">
      <c r="A4223" s="93"/>
      <c r="B4223" s="87" t="s">
        <v>779</v>
      </c>
      <c r="C4223" s="88"/>
      <c r="D4223" s="92"/>
      <c r="E4223" s="89"/>
      <c r="F4223" s="89"/>
      <c r="G4223" s="89"/>
    </row>
    <row r="4224">
      <c r="A4224" s="93"/>
      <c r="B4224" s="87" t="s">
        <v>779</v>
      </c>
      <c r="C4224" s="88"/>
      <c r="D4224" s="92"/>
      <c r="E4224" s="89"/>
      <c r="F4224" s="89"/>
      <c r="G4224" s="89"/>
    </row>
    <row r="4225">
      <c r="A4225" s="93"/>
      <c r="B4225" s="87" t="s">
        <v>779</v>
      </c>
      <c r="C4225" s="88"/>
      <c r="D4225" s="92"/>
      <c r="E4225" s="89"/>
      <c r="F4225" s="89"/>
      <c r="G4225" s="89"/>
    </row>
    <row r="4226">
      <c r="A4226" s="93"/>
      <c r="B4226" s="87" t="s">
        <v>779</v>
      </c>
      <c r="C4226" s="88"/>
      <c r="D4226" s="92"/>
      <c r="E4226" s="89"/>
      <c r="F4226" s="89"/>
      <c r="G4226" s="89"/>
    </row>
    <row r="4227">
      <c r="A4227" s="93"/>
      <c r="B4227" s="87" t="s">
        <v>779</v>
      </c>
      <c r="C4227" s="88"/>
      <c r="D4227" s="92"/>
      <c r="E4227" s="89"/>
      <c r="F4227" s="89"/>
      <c r="G4227" s="89"/>
    </row>
    <row r="4228">
      <c r="A4228" s="93"/>
      <c r="B4228" s="87" t="s">
        <v>779</v>
      </c>
      <c r="C4228" s="88"/>
      <c r="D4228" s="92"/>
      <c r="E4228" s="89"/>
      <c r="F4228" s="89"/>
      <c r="G4228" s="89"/>
    </row>
    <row r="4229">
      <c r="A4229" s="93"/>
      <c r="B4229" s="87" t="s">
        <v>779</v>
      </c>
      <c r="C4229" s="88"/>
      <c r="D4229" s="92"/>
      <c r="E4229" s="89"/>
      <c r="F4229" s="89"/>
      <c r="G4229" s="89"/>
    </row>
    <row r="4230">
      <c r="A4230" s="93"/>
      <c r="B4230" s="87" t="s">
        <v>779</v>
      </c>
      <c r="C4230" s="88"/>
      <c r="D4230" s="92"/>
      <c r="E4230" s="89"/>
      <c r="F4230" s="89"/>
      <c r="G4230" s="89"/>
    </row>
    <row r="4231">
      <c r="A4231" s="93"/>
      <c r="B4231" s="87" t="s">
        <v>779</v>
      </c>
      <c r="C4231" s="88"/>
      <c r="D4231" s="92"/>
      <c r="E4231" s="89"/>
      <c r="F4231" s="89"/>
      <c r="G4231" s="89"/>
    </row>
    <row r="4232">
      <c r="A4232" s="93"/>
      <c r="B4232" s="87" t="s">
        <v>779</v>
      </c>
      <c r="C4232" s="88"/>
      <c r="D4232" s="92"/>
      <c r="E4232" s="89"/>
      <c r="F4232" s="89"/>
      <c r="G4232" s="89"/>
    </row>
    <row r="4233">
      <c r="A4233" s="93"/>
      <c r="B4233" s="87" t="s">
        <v>779</v>
      </c>
      <c r="C4233" s="88"/>
      <c r="D4233" s="92"/>
      <c r="E4233" s="89"/>
      <c r="F4233" s="89"/>
      <c r="G4233" s="89"/>
    </row>
    <row r="4234">
      <c r="A4234" s="93"/>
      <c r="B4234" s="87" t="s">
        <v>779</v>
      </c>
      <c r="C4234" s="88"/>
      <c r="D4234" s="92"/>
      <c r="E4234" s="89"/>
      <c r="F4234" s="89"/>
      <c r="G4234" s="89"/>
    </row>
    <row r="4235">
      <c r="A4235" s="93"/>
      <c r="B4235" s="87" t="s">
        <v>779</v>
      </c>
      <c r="C4235" s="88"/>
      <c r="D4235" s="92"/>
      <c r="E4235" s="89"/>
      <c r="F4235" s="89"/>
      <c r="G4235" s="89"/>
    </row>
    <row r="4236">
      <c r="A4236" s="93"/>
      <c r="B4236" s="87" t="s">
        <v>779</v>
      </c>
      <c r="C4236" s="88"/>
      <c r="D4236" s="92"/>
      <c r="E4236" s="89"/>
      <c r="F4236" s="89"/>
      <c r="G4236" s="89"/>
    </row>
    <row r="4237">
      <c r="A4237" s="93"/>
      <c r="B4237" s="87" t="s">
        <v>779</v>
      </c>
      <c r="C4237" s="88"/>
      <c r="D4237" s="92"/>
      <c r="E4237" s="89"/>
      <c r="F4237" s="89"/>
      <c r="G4237" s="89"/>
    </row>
    <row r="4238">
      <c r="A4238" s="93"/>
      <c r="B4238" s="87" t="s">
        <v>779</v>
      </c>
      <c r="C4238" s="88"/>
      <c r="D4238" s="92"/>
      <c r="E4238" s="89"/>
      <c r="F4238" s="89"/>
      <c r="G4238" s="89"/>
    </row>
    <row r="4239">
      <c r="A4239" s="93"/>
      <c r="B4239" s="87" t="s">
        <v>779</v>
      </c>
      <c r="C4239" s="88"/>
      <c r="D4239" s="92"/>
      <c r="E4239" s="89"/>
      <c r="F4239" s="89"/>
      <c r="G4239" s="89"/>
    </row>
    <row r="4240">
      <c r="A4240" s="93"/>
      <c r="B4240" s="87" t="s">
        <v>779</v>
      </c>
      <c r="C4240" s="88"/>
      <c r="D4240" s="92"/>
      <c r="E4240" s="89"/>
      <c r="F4240" s="89"/>
      <c r="G4240" s="89"/>
    </row>
    <row r="4241">
      <c r="A4241" s="93"/>
      <c r="B4241" s="87" t="s">
        <v>779</v>
      </c>
      <c r="C4241" s="88"/>
      <c r="D4241" s="92"/>
      <c r="E4241" s="89"/>
      <c r="F4241" s="89"/>
      <c r="G4241" s="89"/>
    </row>
    <row r="4242">
      <c r="A4242" s="93"/>
      <c r="B4242" s="87" t="s">
        <v>779</v>
      </c>
      <c r="C4242" s="88"/>
      <c r="D4242" s="92"/>
      <c r="E4242" s="89"/>
      <c r="F4242" s="89"/>
      <c r="G4242" s="89"/>
    </row>
    <row r="4243">
      <c r="A4243" s="93"/>
      <c r="B4243" s="87" t="s">
        <v>779</v>
      </c>
      <c r="C4243" s="88"/>
      <c r="D4243" s="92"/>
      <c r="E4243" s="89"/>
      <c r="F4243" s="89"/>
      <c r="G4243" s="89"/>
    </row>
    <row r="4244">
      <c r="A4244" s="93"/>
      <c r="B4244" s="87" t="s">
        <v>779</v>
      </c>
      <c r="C4244" s="88"/>
      <c r="D4244" s="92"/>
      <c r="E4244" s="89"/>
      <c r="F4244" s="89"/>
      <c r="G4244" s="89"/>
    </row>
    <row r="4245">
      <c r="A4245" s="93"/>
      <c r="B4245" s="87" t="s">
        <v>779</v>
      </c>
      <c r="C4245" s="88"/>
      <c r="D4245" s="92"/>
      <c r="E4245" s="89"/>
      <c r="F4245" s="89"/>
      <c r="G4245" s="89"/>
    </row>
    <row r="4246">
      <c r="A4246" s="93"/>
      <c r="B4246" s="87" t="s">
        <v>779</v>
      </c>
      <c r="C4246" s="88"/>
      <c r="D4246" s="92"/>
      <c r="E4246" s="89"/>
      <c r="F4246" s="89"/>
      <c r="G4246" s="89"/>
    </row>
    <row r="4247">
      <c r="A4247" s="93"/>
      <c r="B4247" s="87" t="s">
        <v>779</v>
      </c>
      <c r="C4247" s="88"/>
      <c r="D4247" s="92"/>
      <c r="E4247" s="89"/>
      <c r="F4247" s="89"/>
      <c r="G4247" s="89"/>
    </row>
    <row r="4248">
      <c r="A4248" s="93"/>
      <c r="B4248" s="87" t="s">
        <v>779</v>
      </c>
      <c r="C4248" s="88"/>
      <c r="D4248" s="92"/>
      <c r="E4248" s="89"/>
      <c r="F4248" s="89"/>
      <c r="G4248" s="89"/>
    </row>
    <row r="4249">
      <c r="A4249" s="93"/>
      <c r="B4249" s="87" t="s">
        <v>779</v>
      </c>
      <c r="C4249" s="88"/>
      <c r="D4249" s="92"/>
      <c r="E4249" s="89"/>
      <c r="F4249" s="89"/>
      <c r="G4249" s="89"/>
    </row>
    <row r="4250">
      <c r="A4250" s="93"/>
      <c r="B4250" s="87" t="s">
        <v>779</v>
      </c>
      <c r="C4250" s="88"/>
      <c r="D4250" s="92"/>
      <c r="E4250" s="89"/>
      <c r="F4250" s="89"/>
      <c r="G4250" s="89"/>
    </row>
    <row r="4251">
      <c r="A4251" s="93"/>
      <c r="B4251" s="87" t="s">
        <v>779</v>
      </c>
      <c r="C4251" s="88"/>
      <c r="D4251" s="92"/>
      <c r="E4251" s="89"/>
      <c r="F4251" s="89"/>
      <c r="G4251" s="89"/>
    </row>
    <row r="4252">
      <c r="A4252" s="93"/>
      <c r="B4252" s="87" t="s">
        <v>779</v>
      </c>
      <c r="C4252" s="88"/>
      <c r="D4252" s="92"/>
      <c r="E4252" s="89"/>
      <c r="F4252" s="89"/>
      <c r="G4252" s="89"/>
    </row>
    <row r="4253">
      <c r="A4253" s="93"/>
      <c r="B4253" s="87" t="s">
        <v>779</v>
      </c>
      <c r="C4253" s="88"/>
      <c r="D4253" s="92"/>
      <c r="E4253" s="89"/>
      <c r="F4253" s="89"/>
      <c r="G4253" s="89"/>
    </row>
    <row r="4254">
      <c r="A4254" s="93"/>
      <c r="B4254" s="87" t="s">
        <v>779</v>
      </c>
      <c r="C4254" s="88"/>
      <c r="D4254" s="92"/>
      <c r="E4254" s="89"/>
      <c r="F4254" s="89"/>
      <c r="G4254" s="89"/>
    </row>
    <row r="4255">
      <c r="A4255" s="93"/>
      <c r="B4255" s="87" t="s">
        <v>779</v>
      </c>
      <c r="C4255" s="88"/>
      <c r="D4255" s="92"/>
      <c r="E4255" s="89"/>
      <c r="F4255" s="89"/>
      <c r="G4255" s="89"/>
    </row>
    <row r="4256">
      <c r="A4256" s="93"/>
      <c r="B4256" s="87" t="s">
        <v>779</v>
      </c>
      <c r="C4256" s="88"/>
      <c r="D4256" s="92"/>
      <c r="E4256" s="89"/>
      <c r="F4256" s="89"/>
      <c r="G4256" s="89"/>
    </row>
    <row r="4257">
      <c r="A4257" s="93"/>
      <c r="B4257" s="87" t="s">
        <v>779</v>
      </c>
      <c r="C4257" s="88"/>
      <c r="D4257" s="92"/>
      <c r="E4257" s="89"/>
      <c r="F4257" s="89"/>
      <c r="G4257" s="89"/>
    </row>
    <row r="4258">
      <c r="A4258" s="93"/>
      <c r="B4258" s="87" t="s">
        <v>779</v>
      </c>
      <c r="C4258" s="88"/>
      <c r="D4258" s="92"/>
      <c r="E4258" s="89"/>
      <c r="F4258" s="89"/>
      <c r="G4258" s="89"/>
    </row>
    <row r="4259">
      <c r="A4259" s="93"/>
      <c r="B4259" s="87" t="s">
        <v>779</v>
      </c>
      <c r="C4259" s="88"/>
      <c r="D4259" s="92"/>
      <c r="E4259" s="89"/>
      <c r="F4259" s="89"/>
      <c r="G4259" s="89"/>
    </row>
    <row r="4260">
      <c r="A4260" s="93"/>
      <c r="B4260" s="87" t="s">
        <v>779</v>
      </c>
      <c r="C4260" s="88"/>
      <c r="D4260" s="92"/>
      <c r="E4260" s="89"/>
      <c r="F4260" s="89"/>
      <c r="G4260" s="89"/>
    </row>
    <row r="4261">
      <c r="A4261" s="93"/>
      <c r="B4261" s="87" t="s">
        <v>779</v>
      </c>
      <c r="C4261" s="88"/>
      <c r="D4261" s="92"/>
      <c r="E4261" s="89"/>
      <c r="F4261" s="89"/>
      <c r="G4261" s="89"/>
    </row>
    <row r="4262">
      <c r="A4262" s="93"/>
      <c r="B4262" s="87" t="s">
        <v>779</v>
      </c>
      <c r="C4262" s="88"/>
      <c r="D4262" s="92"/>
      <c r="E4262" s="89"/>
      <c r="F4262" s="89"/>
      <c r="G4262" s="89"/>
    </row>
    <row r="4263">
      <c r="A4263" s="93"/>
      <c r="B4263" s="87" t="s">
        <v>779</v>
      </c>
      <c r="C4263" s="88"/>
      <c r="D4263" s="92"/>
      <c r="E4263" s="89"/>
      <c r="F4263" s="89"/>
      <c r="G4263" s="89"/>
    </row>
    <row r="4264">
      <c r="A4264" s="93"/>
      <c r="B4264" s="87" t="s">
        <v>779</v>
      </c>
      <c r="C4264" s="88"/>
      <c r="D4264" s="92"/>
      <c r="E4264" s="89"/>
      <c r="F4264" s="89"/>
      <c r="G4264" s="89"/>
    </row>
    <row r="4265">
      <c r="A4265" s="93"/>
      <c r="B4265" s="87" t="s">
        <v>779</v>
      </c>
      <c r="C4265" s="88"/>
      <c r="D4265" s="92"/>
      <c r="E4265" s="89"/>
      <c r="F4265" s="89"/>
      <c r="G4265" s="89"/>
    </row>
    <row r="4266">
      <c r="A4266" s="93"/>
      <c r="B4266" s="87" t="s">
        <v>779</v>
      </c>
      <c r="C4266" s="88"/>
      <c r="D4266" s="92"/>
      <c r="E4266" s="89"/>
      <c r="F4266" s="89"/>
      <c r="G4266" s="89"/>
    </row>
    <row r="4267">
      <c r="A4267" s="93"/>
      <c r="B4267" s="87" t="s">
        <v>779</v>
      </c>
      <c r="C4267" s="88"/>
      <c r="D4267" s="92"/>
      <c r="E4267" s="89"/>
      <c r="F4267" s="89"/>
      <c r="G4267" s="89"/>
    </row>
    <row r="4268">
      <c r="A4268" s="93"/>
      <c r="B4268" s="87" t="s">
        <v>779</v>
      </c>
      <c r="C4268" s="88"/>
      <c r="D4268" s="92"/>
      <c r="E4268" s="89"/>
      <c r="F4268" s="89"/>
      <c r="G4268" s="89"/>
    </row>
    <row r="4269">
      <c r="A4269" s="93"/>
      <c r="B4269" s="87" t="s">
        <v>779</v>
      </c>
      <c r="C4269" s="88"/>
      <c r="D4269" s="92"/>
      <c r="E4269" s="89"/>
      <c r="F4269" s="89"/>
      <c r="G4269" s="89"/>
    </row>
    <row r="4270">
      <c r="A4270" s="93"/>
      <c r="B4270" s="87" t="s">
        <v>779</v>
      </c>
      <c r="C4270" s="88"/>
      <c r="D4270" s="92"/>
      <c r="E4270" s="89"/>
      <c r="F4270" s="89"/>
      <c r="G4270" s="89"/>
    </row>
    <row r="4271">
      <c r="A4271" s="93"/>
      <c r="B4271" s="87" t="s">
        <v>779</v>
      </c>
      <c r="C4271" s="88"/>
      <c r="D4271" s="92"/>
      <c r="E4271" s="89"/>
      <c r="F4271" s="89"/>
      <c r="G4271" s="89"/>
    </row>
    <row r="4272">
      <c r="A4272" s="93"/>
      <c r="B4272" s="87" t="s">
        <v>779</v>
      </c>
      <c r="C4272" s="88"/>
      <c r="D4272" s="92"/>
      <c r="E4272" s="89"/>
      <c r="F4272" s="89"/>
      <c r="G4272" s="89"/>
    </row>
    <row r="4273">
      <c r="A4273" s="93"/>
      <c r="B4273" s="87" t="s">
        <v>779</v>
      </c>
      <c r="C4273" s="88"/>
      <c r="D4273" s="92"/>
      <c r="E4273" s="89"/>
      <c r="F4273" s="89"/>
      <c r="G4273" s="89"/>
    </row>
    <row r="4274">
      <c r="A4274" s="93"/>
      <c r="B4274" s="87" t="s">
        <v>779</v>
      </c>
      <c r="C4274" s="88"/>
      <c r="D4274" s="92"/>
      <c r="E4274" s="89"/>
      <c r="F4274" s="89"/>
      <c r="G4274" s="89"/>
    </row>
    <row r="4275">
      <c r="A4275" s="93"/>
      <c r="B4275" s="87" t="s">
        <v>779</v>
      </c>
      <c r="C4275" s="88"/>
      <c r="D4275" s="92"/>
      <c r="E4275" s="89"/>
      <c r="F4275" s="89"/>
      <c r="G4275" s="89"/>
    </row>
    <row r="4276">
      <c r="A4276" s="93"/>
      <c r="B4276" s="87" t="s">
        <v>779</v>
      </c>
      <c r="C4276" s="88"/>
      <c r="D4276" s="92"/>
      <c r="E4276" s="89"/>
      <c r="F4276" s="89"/>
      <c r="G4276" s="89"/>
    </row>
    <row r="4277">
      <c r="A4277" s="93"/>
      <c r="B4277" s="87" t="s">
        <v>779</v>
      </c>
      <c r="C4277" s="88"/>
      <c r="D4277" s="92"/>
      <c r="E4277" s="89"/>
      <c r="F4277" s="89"/>
      <c r="G4277" s="89"/>
    </row>
    <row r="4278">
      <c r="A4278" s="93"/>
      <c r="B4278" s="87" t="s">
        <v>779</v>
      </c>
      <c r="C4278" s="88"/>
      <c r="D4278" s="92"/>
      <c r="E4278" s="89"/>
      <c r="F4278" s="89"/>
      <c r="G4278" s="89"/>
    </row>
    <row r="4279">
      <c r="A4279" s="93"/>
      <c r="B4279" s="87" t="s">
        <v>779</v>
      </c>
      <c r="C4279" s="88"/>
      <c r="D4279" s="92"/>
      <c r="E4279" s="89"/>
      <c r="F4279" s="89"/>
      <c r="G4279" s="89"/>
    </row>
    <row r="4280">
      <c r="A4280" s="93"/>
      <c r="B4280" s="87" t="s">
        <v>779</v>
      </c>
      <c r="C4280" s="88"/>
      <c r="D4280" s="92"/>
      <c r="E4280" s="89"/>
      <c r="F4280" s="89"/>
      <c r="G4280" s="89"/>
    </row>
    <row r="4281">
      <c r="A4281" s="93"/>
      <c r="B4281" s="87" t="s">
        <v>779</v>
      </c>
      <c r="C4281" s="88"/>
      <c r="D4281" s="92"/>
      <c r="E4281" s="89"/>
      <c r="F4281" s="89"/>
      <c r="G4281" s="89"/>
    </row>
    <row r="4282">
      <c r="A4282" s="93"/>
      <c r="B4282" s="87" t="s">
        <v>779</v>
      </c>
      <c r="C4282" s="88"/>
      <c r="D4282" s="92"/>
      <c r="E4282" s="89"/>
      <c r="F4282" s="89"/>
      <c r="G4282" s="89"/>
    </row>
    <row r="4283">
      <c r="A4283" s="93"/>
      <c r="B4283" s="87" t="s">
        <v>779</v>
      </c>
      <c r="C4283" s="88"/>
      <c r="D4283" s="92"/>
      <c r="E4283" s="89"/>
      <c r="F4283" s="89"/>
      <c r="G4283" s="89"/>
    </row>
    <row r="4284">
      <c r="A4284" s="93"/>
      <c r="B4284" s="87" t="s">
        <v>779</v>
      </c>
      <c r="C4284" s="88"/>
      <c r="D4284" s="92"/>
      <c r="E4284" s="89"/>
      <c r="F4284" s="89"/>
      <c r="G4284" s="89"/>
    </row>
    <row r="4285">
      <c r="A4285" s="93"/>
      <c r="B4285" s="87" t="s">
        <v>779</v>
      </c>
      <c r="C4285" s="88"/>
      <c r="D4285" s="92"/>
      <c r="E4285" s="89"/>
      <c r="F4285" s="89"/>
      <c r="G4285" s="89"/>
    </row>
    <row r="4286">
      <c r="A4286" s="93"/>
      <c r="B4286" s="87" t="s">
        <v>779</v>
      </c>
      <c r="C4286" s="88"/>
      <c r="D4286" s="92"/>
      <c r="E4286" s="89"/>
      <c r="F4286" s="89"/>
      <c r="G4286" s="89"/>
    </row>
    <row r="4287">
      <c r="A4287" s="93"/>
      <c r="B4287" s="87" t="s">
        <v>779</v>
      </c>
      <c r="C4287" s="88"/>
      <c r="D4287" s="92"/>
      <c r="E4287" s="89"/>
      <c r="F4287" s="89"/>
      <c r="G4287" s="89"/>
    </row>
    <row r="4288">
      <c r="A4288" s="93"/>
      <c r="B4288" s="87" t="s">
        <v>779</v>
      </c>
      <c r="C4288" s="88"/>
      <c r="D4288" s="92"/>
      <c r="E4288" s="89"/>
      <c r="F4288" s="89"/>
      <c r="G4288" s="89"/>
    </row>
    <row r="4289">
      <c r="A4289" s="93"/>
      <c r="B4289" s="87" t="s">
        <v>779</v>
      </c>
      <c r="C4289" s="88"/>
      <c r="D4289" s="92"/>
      <c r="E4289" s="89"/>
      <c r="F4289" s="89"/>
      <c r="G4289" s="89"/>
    </row>
    <row r="4290">
      <c r="A4290" s="93"/>
      <c r="B4290" s="87" t="s">
        <v>779</v>
      </c>
      <c r="C4290" s="88"/>
      <c r="D4290" s="92"/>
      <c r="E4290" s="89"/>
      <c r="F4290" s="89"/>
      <c r="G4290" s="89"/>
    </row>
    <row r="4291">
      <c r="A4291" s="93"/>
      <c r="B4291" s="87" t="s">
        <v>779</v>
      </c>
      <c r="C4291" s="88"/>
      <c r="D4291" s="92"/>
      <c r="E4291" s="89"/>
      <c r="F4291" s="89"/>
      <c r="G4291" s="89"/>
    </row>
    <row r="4292">
      <c r="A4292" s="93"/>
      <c r="B4292" s="87" t="s">
        <v>779</v>
      </c>
      <c r="C4292" s="88"/>
      <c r="D4292" s="92"/>
      <c r="E4292" s="89"/>
      <c r="F4292" s="89"/>
      <c r="G4292" s="89"/>
    </row>
    <row r="4293">
      <c r="A4293" s="93"/>
      <c r="B4293" s="87" t="s">
        <v>779</v>
      </c>
      <c r="C4293" s="88"/>
      <c r="D4293" s="92"/>
      <c r="E4293" s="89"/>
      <c r="F4293" s="89"/>
      <c r="G4293" s="89"/>
    </row>
    <row r="4294">
      <c r="A4294" s="93"/>
      <c r="B4294" s="87" t="s">
        <v>779</v>
      </c>
      <c r="C4294" s="88"/>
      <c r="D4294" s="92"/>
      <c r="E4294" s="89"/>
      <c r="F4294" s="89"/>
      <c r="G4294" s="89"/>
    </row>
    <row r="4295">
      <c r="A4295" s="93"/>
      <c r="B4295" s="87" t="s">
        <v>779</v>
      </c>
      <c r="C4295" s="88"/>
      <c r="D4295" s="92"/>
      <c r="E4295" s="89"/>
      <c r="F4295" s="89"/>
      <c r="G4295" s="89"/>
    </row>
    <row r="4296">
      <c r="A4296" s="93"/>
      <c r="B4296" s="87" t="s">
        <v>779</v>
      </c>
      <c r="C4296" s="88"/>
      <c r="D4296" s="92"/>
      <c r="E4296" s="89"/>
      <c r="F4296" s="89"/>
      <c r="G4296" s="89"/>
    </row>
    <row r="4297">
      <c r="A4297" s="93"/>
      <c r="B4297" s="87" t="s">
        <v>779</v>
      </c>
      <c r="C4297" s="88"/>
      <c r="D4297" s="92"/>
      <c r="E4297" s="89"/>
      <c r="F4297" s="89"/>
      <c r="G4297" s="89"/>
    </row>
    <row r="4298">
      <c r="A4298" s="93"/>
      <c r="B4298" s="87" t="s">
        <v>779</v>
      </c>
      <c r="C4298" s="88"/>
      <c r="D4298" s="92"/>
      <c r="E4298" s="89"/>
      <c r="F4298" s="89"/>
      <c r="G4298" s="89"/>
    </row>
    <row r="4299">
      <c r="A4299" s="93"/>
      <c r="B4299" s="87" t="s">
        <v>779</v>
      </c>
      <c r="C4299" s="88"/>
      <c r="D4299" s="92"/>
      <c r="E4299" s="89"/>
      <c r="F4299" s="89"/>
      <c r="G4299" s="89"/>
    </row>
    <row r="4300">
      <c r="A4300" s="93"/>
      <c r="B4300" s="87" t="s">
        <v>779</v>
      </c>
      <c r="C4300" s="88"/>
      <c r="D4300" s="92"/>
      <c r="E4300" s="89"/>
      <c r="F4300" s="89"/>
      <c r="G4300" s="89"/>
    </row>
    <row r="4301">
      <c r="A4301" s="93"/>
      <c r="B4301" s="87" t="s">
        <v>779</v>
      </c>
      <c r="C4301" s="88"/>
      <c r="D4301" s="92"/>
      <c r="E4301" s="89"/>
      <c r="F4301" s="89"/>
      <c r="G4301" s="89"/>
    </row>
    <row r="4302">
      <c r="A4302" s="93"/>
      <c r="B4302" s="87" t="s">
        <v>779</v>
      </c>
      <c r="C4302" s="88"/>
      <c r="D4302" s="92"/>
      <c r="E4302" s="89"/>
      <c r="F4302" s="89"/>
      <c r="G4302" s="89"/>
    </row>
    <row r="4303">
      <c r="A4303" s="93"/>
      <c r="B4303" s="87" t="s">
        <v>779</v>
      </c>
      <c r="C4303" s="88"/>
      <c r="D4303" s="92"/>
      <c r="E4303" s="89"/>
      <c r="F4303" s="89"/>
      <c r="G4303" s="89"/>
    </row>
    <row r="4304">
      <c r="A4304" s="93"/>
      <c r="B4304" s="87" t="s">
        <v>779</v>
      </c>
      <c r="C4304" s="88"/>
      <c r="D4304" s="92"/>
      <c r="E4304" s="89"/>
      <c r="F4304" s="89"/>
      <c r="G4304" s="89"/>
    </row>
    <row r="4305">
      <c r="A4305" s="93"/>
      <c r="B4305" s="87" t="s">
        <v>779</v>
      </c>
      <c r="C4305" s="88"/>
      <c r="D4305" s="92"/>
      <c r="E4305" s="89"/>
      <c r="F4305" s="89"/>
      <c r="G4305" s="89"/>
    </row>
    <row r="4306">
      <c r="A4306" s="93"/>
      <c r="B4306" s="87" t="s">
        <v>779</v>
      </c>
      <c r="C4306" s="88"/>
      <c r="D4306" s="92"/>
      <c r="E4306" s="89"/>
      <c r="F4306" s="89"/>
      <c r="G4306" s="89"/>
    </row>
    <row r="4307">
      <c r="A4307" s="93"/>
      <c r="B4307" s="87" t="s">
        <v>779</v>
      </c>
      <c r="C4307" s="88"/>
      <c r="D4307" s="92"/>
      <c r="E4307" s="89"/>
      <c r="F4307" s="89"/>
      <c r="G4307" s="89"/>
    </row>
    <row r="4308">
      <c r="A4308" s="93"/>
      <c r="B4308" s="87" t="s">
        <v>779</v>
      </c>
      <c r="C4308" s="88"/>
      <c r="D4308" s="92"/>
      <c r="E4308" s="89"/>
      <c r="F4308" s="89"/>
      <c r="G4308" s="89"/>
    </row>
    <row r="4309">
      <c r="A4309" s="93"/>
      <c r="B4309" s="87" t="s">
        <v>779</v>
      </c>
      <c r="C4309" s="88"/>
      <c r="D4309" s="92"/>
      <c r="E4309" s="89"/>
      <c r="F4309" s="89"/>
      <c r="G4309" s="89"/>
    </row>
    <row r="4310">
      <c r="A4310" s="93"/>
      <c r="B4310" s="87" t="s">
        <v>779</v>
      </c>
      <c r="C4310" s="88"/>
      <c r="D4310" s="92"/>
      <c r="E4310" s="89"/>
      <c r="F4310" s="89"/>
      <c r="G4310" s="89"/>
    </row>
    <row r="4311">
      <c r="A4311" s="93"/>
      <c r="B4311" s="87" t="s">
        <v>779</v>
      </c>
      <c r="C4311" s="88"/>
      <c r="D4311" s="92"/>
      <c r="E4311" s="89"/>
      <c r="F4311" s="89"/>
      <c r="G4311" s="89"/>
    </row>
    <row r="4312">
      <c r="A4312" s="93"/>
      <c r="B4312" s="87" t="s">
        <v>779</v>
      </c>
      <c r="C4312" s="88"/>
      <c r="D4312" s="92"/>
      <c r="E4312" s="89"/>
      <c r="F4312" s="89"/>
      <c r="G4312" s="89"/>
    </row>
    <row r="4313">
      <c r="A4313" s="93"/>
      <c r="B4313" s="87" t="s">
        <v>779</v>
      </c>
      <c r="C4313" s="88"/>
      <c r="D4313" s="92"/>
      <c r="E4313" s="89"/>
      <c r="F4313" s="89"/>
      <c r="G4313" s="89"/>
    </row>
    <row r="4314">
      <c r="A4314" s="93"/>
      <c r="B4314" s="87" t="s">
        <v>779</v>
      </c>
      <c r="C4314" s="88"/>
      <c r="D4314" s="92"/>
      <c r="E4314" s="89"/>
      <c r="F4314" s="89"/>
      <c r="G4314" s="89"/>
    </row>
    <row r="4315">
      <c r="A4315" s="93"/>
      <c r="B4315" s="87" t="s">
        <v>779</v>
      </c>
      <c r="C4315" s="88"/>
      <c r="D4315" s="92"/>
      <c r="E4315" s="89"/>
      <c r="F4315" s="89"/>
      <c r="G4315" s="89"/>
    </row>
    <row r="4316">
      <c r="A4316" s="93"/>
      <c r="B4316" s="87" t="s">
        <v>779</v>
      </c>
      <c r="C4316" s="88"/>
      <c r="D4316" s="92"/>
      <c r="E4316" s="89"/>
      <c r="F4316" s="89"/>
      <c r="G4316" s="89"/>
    </row>
    <row r="4317">
      <c r="A4317" s="93"/>
      <c r="B4317" s="87" t="s">
        <v>779</v>
      </c>
      <c r="C4317" s="88"/>
      <c r="D4317" s="92"/>
      <c r="E4317" s="89"/>
      <c r="F4317" s="89"/>
      <c r="G4317" s="89"/>
    </row>
    <row r="4318">
      <c r="A4318" s="93"/>
      <c r="B4318" s="87" t="s">
        <v>779</v>
      </c>
      <c r="C4318" s="88"/>
      <c r="D4318" s="92"/>
      <c r="E4318" s="89"/>
      <c r="F4318" s="89"/>
      <c r="G4318" s="89"/>
    </row>
    <row r="4319">
      <c r="A4319" s="93"/>
      <c r="B4319" s="87" t="s">
        <v>779</v>
      </c>
      <c r="C4319" s="88"/>
      <c r="D4319" s="92"/>
      <c r="E4319" s="89"/>
      <c r="F4319" s="89"/>
      <c r="G4319" s="89"/>
    </row>
    <row r="4320">
      <c r="A4320" s="93"/>
      <c r="B4320" s="87" t="s">
        <v>779</v>
      </c>
      <c r="C4320" s="88"/>
      <c r="D4320" s="92"/>
      <c r="E4320" s="89"/>
      <c r="F4320" s="89"/>
      <c r="G4320" s="89"/>
    </row>
    <row r="4321">
      <c r="A4321" s="93"/>
      <c r="B4321" s="87" t="s">
        <v>779</v>
      </c>
      <c r="C4321" s="88"/>
      <c r="D4321" s="92"/>
      <c r="E4321" s="89"/>
      <c r="F4321" s="89"/>
      <c r="G4321" s="89"/>
    </row>
    <row r="4322">
      <c r="A4322" s="93"/>
      <c r="B4322" s="87" t="s">
        <v>779</v>
      </c>
      <c r="C4322" s="88"/>
      <c r="D4322" s="92"/>
      <c r="E4322" s="89"/>
      <c r="F4322" s="89"/>
      <c r="G4322" s="89"/>
    </row>
    <row r="4323">
      <c r="A4323" s="93"/>
      <c r="B4323" s="87" t="s">
        <v>779</v>
      </c>
      <c r="C4323" s="88"/>
      <c r="D4323" s="92"/>
      <c r="E4323" s="89"/>
      <c r="F4323" s="89"/>
      <c r="G4323" s="89"/>
    </row>
    <row r="4324">
      <c r="A4324" s="93"/>
      <c r="B4324" s="87" t="s">
        <v>779</v>
      </c>
      <c r="C4324" s="88"/>
      <c r="D4324" s="92"/>
      <c r="E4324" s="89"/>
      <c r="F4324" s="89"/>
      <c r="G4324" s="89"/>
    </row>
    <row r="4325">
      <c r="A4325" s="93"/>
      <c r="B4325" s="87" t="s">
        <v>779</v>
      </c>
      <c r="C4325" s="88"/>
      <c r="D4325" s="92"/>
      <c r="E4325" s="89"/>
      <c r="F4325" s="89"/>
      <c r="G4325" s="89"/>
    </row>
    <row r="4326">
      <c r="A4326" s="93"/>
      <c r="B4326" s="87" t="s">
        <v>779</v>
      </c>
      <c r="C4326" s="88"/>
      <c r="D4326" s="92"/>
      <c r="E4326" s="89"/>
      <c r="F4326" s="89"/>
      <c r="G4326" s="89"/>
    </row>
    <row r="4327">
      <c r="A4327" s="93"/>
      <c r="B4327" s="87" t="s">
        <v>779</v>
      </c>
      <c r="C4327" s="88"/>
      <c r="D4327" s="92"/>
      <c r="E4327" s="89"/>
      <c r="F4327" s="89"/>
      <c r="G4327" s="89"/>
    </row>
    <row r="4328">
      <c r="A4328" s="93"/>
      <c r="B4328" s="87" t="s">
        <v>779</v>
      </c>
      <c r="C4328" s="88"/>
      <c r="D4328" s="92"/>
      <c r="E4328" s="89"/>
      <c r="F4328" s="89"/>
      <c r="G4328" s="89"/>
    </row>
    <row r="4329">
      <c r="A4329" s="93"/>
      <c r="B4329" s="87" t="s">
        <v>779</v>
      </c>
      <c r="C4329" s="88"/>
      <c r="D4329" s="92"/>
      <c r="E4329" s="89"/>
      <c r="F4329" s="89"/>
      <c r="G4329" s="89"/>
    </row>
    <row r="4330">
      <c r="A4330" s="93"/>
      <c r="B4330" s="87" t="s">
        <v>779</v>
      </c>
      <c r="C4330" s="88"/>
      <c r="D4330" s="92"/>
      <c r="E4330" s="89"/>
      <c r="F4330" s="89"/>
      <c r="G4330" s="89"/>
    </row>
    <row r="4331">
      <c r="A4331" s="93"/>
      <c r="B4331" s="87" t="s">
        <v>779</v>
      </c>
      <c r="C4331" s="88"/>
      <c r="D4331" s="92"/>
      <c r="E4331" s="89"/>
      <c r="F4331" s="89"/>
      <c r="G4331" s="89"/>
    </row>
    <row r="4332">
      <c r="A4332" s="93"/>
      <c r="B4332" s="87" t="s">
        <v>779</v>
      </c>
      <c r="C4332" s="88"/>
      <c r="D4332" s="92"/>
      <c r="E4332" s="89"/>
      <c r="F4332" s="89"/>
      <c r="G4332" s="89"/>
    </row>
    <row r="4333">
      <c r="A4333" s="93"/>
      <c r="B4333" s="87" t="s">
        <v>779</v>
      </c>
      <c r="C4333" s="88"/>
      <c r="D4333" s="92"/>
      <c r="E4333" s="89"/>
      <c r="F4333" s="89"/>
      <c r="G4333" s="89"/>
    </row>
    <row r="4334">
      <c r="A4334" s="93"/>
      <c r="B4334" s="87" t="s">
        <v>779</v>
      </c>
      <c r="C4334" s="88"/>
      <c r="D4334" s="92"/>
      <c r="E4334" s="89"/>
      <c r="F4334" s="89"/>
      <c r="G4334" s="89"/>
    </row>
    <row r="4335">
      <c r="A4335" s="93"/>
      <c r="B4335" s="87" t="s">
        <v>779</v>
      </c>
      <c r="C4335" s="88"/>
      <c r="D4335" s="92"/>
      <c r="E4335" s="89"/>
      <c r="F4335" s="89"/>
      <c r="G4335" s="89"/>
    </row>
    <row r="4336">
      <c r="A4336" s="93"/>
      <c r="B4336" s="87" t="s">
        <v>779</v>
      </c>
      <c r="C4336" s="88"/>
      <c r="D4336" s="92"/>
      <c r="E4336" s="89"/>
      <c r="F4336" s="89"/>
      <c r="G4336" s="89"/>
    </row>
    <row r="4337">
      <c r="A4337" s="93"/>
      <c r="B4337" s="87" t="s">
        <v>779</v>
      </c>
      <c r="C4337" s="88"/>
      <c r="D4337" s="92"/>
      <c r="E4337" s="89"/>
      <c r="F4337" s="89"/>
      <c r="G4337" s="89"/>
    </row>
    <row r="4338">
      <c r="A4338" s="93"/>
      <c r="B4338" s="87" t="s">
        <v>779</v>
      </c>
      <c r="C4338" s="88"/>
      <c r="D4338" s="92"/>
      <c r="E4338" s="89"/>
      <c r="F4338" s="89"/>
      <c r="G4338" s="89"/>
    </row>
    <row r="4339">
      <c r="A4339" s="93"/>
      <c r="B4339" s="87" t="s">
        <v>779</v>
      </c>
      <c r="C4339" s="88"/>
      <c r="D4339" s="92"/>
      <c r="E4339" s="89"/>
      <c r="F4339" s="89"/>
      <c r="G4339" s="89"/>
    </row>
    <row r="4340">
      <c r="A4340" s="93"/>
      <c r="B4340" s="87" t="s">
        <v>779</v>
      </c>
      <c r="C4340" s="88"/>
      <c r="D4340" s="92"/>
      <c r="E4340" s="89"/>
      <c r="F4340" s="89"/>
      <c r="G4340" s="89"/>
    </row>
    <row r="4341">
      <c r="A4341" s="93"/>
      <c r="B4341" s="87" t="s">
        <v>779</v>
      </c>
      <c r="C4341" s="88"/>
      <c r="D4341" s="92"/>
      <c r="E4341" s="89"/>
      <c r="F4341" s="89"/>
      <c r="G4341" s="89"/>
    </row>
    <row r="4342">
      <c r="A4342" s="93"/>
      <c r="B4342" s="87" t="s">
        <v>779</v>
      </c>
      <c r="C4342" s="88"/>
      <c r="D4342" s="92"/>
      <c r="E4342" s="89"/>
      <c r="F4342" s="89"/>
      <c r="G4342" s="89"/>
    </row>
    <row r="4343">
      <c r="A4343" s="93"/>
      <c r="B4343" s="87" t="s">
        <v>779</v>
      </c>
      <c r="C4343" s="88"/>
      <c r="D4343" s="92"/>
      <c r="E4343" s="89"/>
      <c r="F4343" s="89"/>
      <c r="G4343" s="89"/>
    </row>
    <row r="4344">
      <c r="A4344" s="93"/>
      <c r="B4344" s="87" t="s">
        <v>779</v>
      </c>
      <c r="C4344" s="88"/>
      <c r="D4344" s="92"/>
      <c r="E4344" s="89"/>
      <c r="F4344" s="89"/>
      <c r="G4344" s="89"/>
    </row>
    <row r="4345">
      <c r="A4345" s="93"/>
      <c r="B4345" s="87" t="s">
        <v>779</v>
      </c>
      <c r="C4345" s="88"/>
      <c r="D4345" s="92"/>
      <c r="E4345" s="89"/>
      <c r="F4345" s="89"/>
      <c r="G4345" s="89"/>
    </row>
    <row r="4346">
      <c r="A4346" s="93"/>
      <c r="B4346" s="87" t="s">
        <v>779</v>
      </c>
      <c r="C4346" s="88"/>
      <c r="D4346" s="92"/>
      <c r="E4346" s="89"/>
      <c r="F4346" s="89"/>
      <c r="G4346" s="89"/>
    </row>
    <row r="4347">
      <c r="A4347" s="93"/>
      <c r="B4347" s="87" t="s">
        <v>779</v>
      </c>
      <c r="C4347" s="88"/>
      <c r="D4347" s="92"/>
      <c r="E4347" s="89"/>
      <c r="F4347" s="89"/>
      <c r="G4347" s="89"/>
    </row>
    <row r="4348">
      <c r="A4348" s="93"/>
      <c r="B4348" s="87" t="s">
        <v>779</v>
      </c>
      <c r="C4348" s="88"/>
      <c r="D4348" s="92"/>
      <c r="E4348" s="89"/>
      <c r="F4348" s="89"/>
      <c r="G4348" s="89"/>
    </row>
    <row r="4349">
      <c r="A4349" s="93"/>
      <c r="B4349" s="87" t="s">
        <v>779</v>
      </c>
      <c r="C4349" s="88"/>
      <c r="D4349" s="92"/>
      <c r="E4349" s="89"/>
      <c r="F4349" s="89"/>
      <c r="G4349" s="89"/>
    </row>
    <row r="4350">
      <c r="A4350" s="93"/>
      <c r="B4350" s="87" t="s">
        <v>779</v>
      </c>
      <c r="C4350" s="88"/>
      <c r="D4350" s="92"/>
      <c r="E4350" s="89"/>
      <c r="F4350" s="89"/>
      <c r="G4350" s="89"/>
    </row>
    <row r="4351">
      <c r="A4351" s="93"/>
      <c r="B4351" s="87" t="s">
        <v>779</v>
      </c>
      <c r="C4351" s="88"/>
      <c r="D4351" s="92"/>
      <c r="E4351" s="89"/>
      <c r="F4351" s="89"/>
      <c r="G4351" s="89"/>
    </row>
    <row r="4352">
      <c r="A4352" s="93"/>
      <c r="B4352" s="87" t="s">
        <v>779</v>
      </c>
      <c r="C4352" s="88"/>
      <c r="D4352" s="92"/>
      <c r="E4352" s="89"/>
      <c r="F4352" s="89"/>
      <c r="G4352" s="89"/>
    </row>
    <row r="4353">
      <c r="A4353" s="93"/>
      <c r="B4353" s="87" t="s">
        <v>779</v>
      </c>
      <c r="C4353" s="88"/>
      <c r="D4353" s="92"/>
      <c r="E4353" s="89"/>
      <c r="F4353" s="89"/>
      <c r="G4353" s="89"/>
    </row>
    <row r="4354">
      <c r="A4354" s="93"/>
      <c r="B4354" s="87" t="s">
        <v>779</v>
      </c>
      <c r="C4354" s="88"/>
      <c r="D4354" s="92"/>
      <c r="E4354" s="89"/>
      <c r="F4354" s="89"/>
      <c r="G4354" s="89"/>
    </row>
    <row r="4355">
      <c r="A4355" s="93"/>
      <c r="B4355" s="87" t="s">
        <v>779</v>
      </c>
      <c r="C4355" s="88"/>
      <c r="D4355" s="92"/>
      <c r="E4355" s="89"/>
      <c r="F4355" s="89"/>
      <c r="G4355" s="89"/>
    </row>
    <row r="4356">
      <c r="A4356" s="93"/>
      <c r="B4356" s="87" t="s">
        <v>779</v>
      </c>
      <c r="C4356" s="88"/>
      <c r="D4356" s="92"/>
      <c r="E4356" s="89"/>
      <c r="F4356" s="89"/>
      <c r="G4356" s="89"/>
    </row>
    <row r="4357">
      <c r="A4357" s="93"/>
      <c r="B4357" s="87" t="s">
        <v>779</v>
      </c>
      <c r="C4357" s="88"/>
      <c r="D4357" s="92"/>
      <c r="E4357" s="89"/>
      <c r="F4357" s="89"/>
      <c r="G4357" s="89"/>
    </row>
    <row r="4358">
      <c r="A4358" s="93"/>
      <c r="B4358" s="87" t="s">
        <v>779</v>
      </c>
      <c r="C4358" s="88"/>
      <c r="D4358" s="92"/>
      <c r="E4358" s="89"/>
      <c r="F4358" s="89"/>
      <c r="G4358" s="89"/>
    </row>
    <row r="4359">
      <c r="A4359" s="93"/>
      <c r="B4359" s="87" t="s">
        <v>779</v>
      </c>
      <c r="C4359" s="88"/>
      <c r="D4359" s="92"/>
      <c r="E4359" s="89"/>
      <c r="F4359" s="89"/>
      <c r="G4359" s="89"/>
    </row>
    <row r="4360">
      <c r="A4360" s="93"/>
      <c r="B4360" s="87" t="s">
        <v>779</v>
      </c>
      <c r="C4360" s="88"/>
      <c r="D4360" s="92"/>
      <c r="E4360" s="89"/>
      <c r="F4360" s="89"/>
      <c r="G4360" s="89"/>
    </row>
    <row r="4361">
      <c r="A4361" s="93"/>
      <c r="B4361" s="87" t="s">
        <v>779</v>
      </c>
      <c r="C4361" s="88"/>
      <c r="D4361" s="92"/>
      <c r="E4361" s="89"/>
      <c r="F4361" s="89"/>
      <c r="G4361" s="89"/>
    </row>
    <row r="4362">
      <c r="A4362" s="93"/>
      <c r="B4362" s="87" t="s">
        <v>779</v>
      </c>
      <c r="C4362" s="88"/>
      <c r="D4362" s="92"/>
      <c r="E4362" s="89"/>
      <c r="F4362" s="89"/>
      <c r="G4362" s="89"/>
    </row>
    <row r="4363">
      <c r="A4363" s="93"/>
      <c r="B4363" s="87" t="s">
        <v>779</v>
      </c>
      <c r="C4363" s="88"/>
      <c r="D4363" s="92"/>
      <c r="E4363" s="89"/>
      <c r="F4363" s="89"/>
      <c r="G4363" s="89"/>
    </row>
    <row r="4364">
      <c r="A4364" s="93"/>
      <c r="B4364" s="87" t="s">
        <v>779</v>
      </c>
      <c r="C4364" s="88"/>
      <c r="D4364" s="92"/>
      <c r="E4364" s="89"/>
      <c r="F4364" s="89"/>
      <c r="G4364" s="89"/>
    </row>
    <row r="4365">
      <c r="A4365" s="93"/>
      <c r="B4365" s="87" t="s">
        <v>779</v>
      </c>
      <c r="C4365" s="88"/>
      <c r="D4365" s="92"/>
      <c r="E4365" s="89"/>
      <c r="F4365" s="89"/>
      <c r="G4365" s="89"/>
    </row>
    <row r="4366">
      <c r="A4366" s="93"/>
      <c r="B4366" s="87" t="s">
        <v>779</v>
      </c>
      <c r="C4366" s="88"/>
      <c r="D4366" s="92"/>
      <c r="E4366" s="89"/>
      <c r="F4366" s="89"/>
      <c r="G4366" s="89"/>
    </row>
    <row r="4367">
      <c r="A4367" s="93"/>
      <c r="B4367" s="87" t="s">
        <v>779</v>
      </c>
      <c r="C4367" s="88"/>
      <c r="D4367" s="92"/>
      <c r="E4367" s="89"/>
      <c r="F4367" s="89"/>
      <c r="G4367" s="89"/>
    </row>
    <row r="4368">
      <c r="A4368" s="93"/>
      <c r="B4368" s="87" t="s">
        <v>779</v>
      </c>
      <c r="C4368" s="88"/>
      <c r="D4368" s="92"/>
      <c r="E4368" s="89"/>
      <c r="F4368" s="89"/>
      <c r="G4368" s="89"/>
    </row>
    <row r="4369">
      <c r="A4369" s="93"/>
      <c r="B4369" s="87" t="s">
        <v>779</v>
      </c>
      <c r="C4369" s="88"/>
      <c r="D4369" s="92"/>
      <c r="E4369" s="89"/>
      <c r="F4369" s="89"/>
      <c r="G4369" s="89"/>
    </row>
    <row r="4370">
      <c r="A4370" s="93"/>
      <c r="B4370" s="87" t="s">
        <v>779</v>
      </c>
      <c r="C4370" s="88"/>
      <c r="D4370" s="92"/>
      <c r="E4370" s="89"/>
      <c r="F4370" s="89"/>
      <c r="G4370" s="89"/>
    </row>
    <row r="4371">
      <c r="A4371" s="93"/>
      <c r="B4371" s="87" t="s">
        <v>779</v>
      </c>
      <c r="C4371" s="88"/>
      <c r="D4371" s="92"/>
      <c r="E4371" s="89"/>
      <c r="F4371" s="89"/>
      <c r="G4371" s="89"/>
    </row>
    <row r="4372">
      <c r="A4372" s="93"/>
      <c r="B4372" s="87" t="s">
        <v>779</v>
      </c>
      <c r="C4372" s="88"/>
      <c r="D4372" s="92"/>
      <c r="E4372" s="89"/>
      <c r="F4372" s="89"/>
      <c r="G4372" s="89"/>
    </row>
    <row r="4373">
      <c r="A4373" s="93"/>
      <c r="B4373" s="87" t="s">
        <v>779</v>
      </c>
      <c r="C4373" s="88"/>
      <c r="D4373" s="92"/>
      <c r="E4373" s="89"/>
      <c r="F4373" s="89"/>
      <c r="G4373" s="89"/>
    </row>
    <row r="4374">
      <c r="A4374" s="93"/>
      <c r="B4374" s="87" t="s">
        <v>779</v>
      </c>
      <c r="C4374" s="88"/>
      <c r="D4374" s="92"/>
      <c r="E4374" s="89"/>
      <c r="F4374" s="89"/>
      <c r="G4374" s="89"/>
    </row>
    <row r="4375">
      <c r="A4375" s="93"/>
      <c r="B4375" s="87" t="s">
        <v>779</v>
      </c>
      <c r="C4375" s="88"/>
      <c r="D4375" s="92"/>
      <c r="E4375" s="89"/>
      <c r="F4375" s="89"/>
      <c r="G4375" s="89"/>
    </row>
    <row r="4376">
      <c r="A4376" s="93"/>
      <c r="B4376" s="87" t="s">
        <v>779</v>
      </c>
      <c r="C4376" s="88"/>
      <c r="D4376" s="92"/>
      <c r="E4376" s="89"/>
      <c r="F4376" s="89"/>
      <c r="G4376" s="89"/>
    </row>
    <row r="4377">
      <c r="A4377" s="93"/>
      <c r="B4377" s="87" t="s">
        <v>779</v>
      </c>
      <c r="C4377" s="88"/>
      <c r="D4377" s="92"/>
      <c r="E4377" s="89"/>
      <c r="F4377" s="89"/>
      <c r="G4377" s="89"/>
    </row>
    <row r="4378">
      <c r="A4378" s="93"/>
      <c r="B4378" s="87" t="s">
        <v>779</v>
      </c>
      <c r="C4378" s="88"/>
      <c r="D4378" s="92"/>
      <c r="E4378" s="89"/>
      <c r="F4378" s="89"/>
      <c r="G4378" s="89"/>
    </row>
    <row r="4379">
      <c r="A4379" s="93"/>
      <c r="B4379" s="87" t="s">
        <v>779</v>
      </c>
      <c r="C4379" s="88"/>
      <c r="D4379" s="92"/>
      <c r="E4379" s="89"/>
      <c r="F4379" s="89"/>
      <c r="G4379" s="89"/>
    </row>
    <row r="4380">
      <c r="A4380" s="93"/>
      <c r="B4380" s="87" t="s">
        <v>779</v>
      </c>
      <c r="C4380" s="88"/>
      <c r="D4380" s="92"/>
      <c r="E4380" s="89"/>
      <c r="F4380" s="89"/>
      <c r="G4380" s="89"/>
    </row>
    <row r="4381">
      <c r="A4381" s="93"/>
      <c r="B4381" s="87" t="s">
        <v>779</v>
      </c>
      <c r="C4381" s="88"/>
      <c r="D4381" s="92"/>
      <c r="E4381" s="89"/>
      <c r="F4381" s="89"/>
      <c r="G4381" s="89"/>
    </row>
    <row r="4382">
      <c r="A4382" s="93"/>
      <c r="B4382" s="87" t="s">
        <v>779</v>
      </c>
      <c r="C4382" s="88"/>
      <c r="D4382" s="92"/>
      <c r="E4382" s="89"/>
      <c r="F4382" s="89"/>
      <c r="G4382" s="89"/>
    </row>
    <row r="4383">
      <c r="A4383" s="93"/>
      <c r="B4383" s="87" t="s">
        <v>779</v>
      </c>
      <c r="C4383" s="88"/>
      <c r="D4383" s="92"/>
      <c r="E4383" s="89"/>
      <c r="F4383" s="89"/>
      <c r="G4383" s="89"/>
    </row>
    <row r="4384">
      <c r="A4384" s="93"/>
      <c r="B4384" s="87" t="s">
        <v>779</v>
      </c>
      <c r="C4384" s="88"/>
      <c r="D4384" s="92"/>
      <c r="E4384" s="89"/>
      <c r="F4384" s="89"/>
      <c r="G4384" s="89"/>
    </row>
    <row r="4385">
      <c r="A4385" s="93"/>
      <c r="B4385" s="87" t="s">
        <v>779</v>
      </c>
      <c r="C4385" s="88"/>
      <c r="D4385" s="92"/>
      <c r="E4385" s="89"/>
      <c r="F4385" s="89"/>
      <c r="G4385" s="89"/>
    </row>
    <row r="4386">
      <c r="A4386" s="93"/>
      <c r="B4386" s="87" t="s">
        <v>779</v>
      </c>
      <c r="C4386" s="88"/>
      <c r="D4386" s="92"/>
      <c r="E4386" s="89"/>
      <c r="F4386" s="89"/>
      <c r="G4386" s="89"/>
    </row>
    <row r="4387">
      <c r="A4387" s="93"/>
      <c r="B4387" s="87" t="s">
        <v>779</v>
      </c>
      <c r="C4387" s="88"/>
      <c r="D4387" s="92"/>
      <c r="E4387" s="89"/>
      <c r="F4387" s="89"/>
      <c r="G4387" s="89"/>
    </row>
    <row r="4388">
      <c r="A4388" s="93"/>
      <c r="B4388" s="87" t="s">
        <v>779</v>
      </c>
      <c r="C4388" s="88"/>
      <c r="D4388" s="92"/>
      <c r="E4388" s="89"/>
      <c r="F4388" s="89"/>
      <c r="G4388" s="89"/>
    </row>
    <row r="4389">
      <c r="A4389" s="93"/>
      <c r="B4389" s="87" t="s">
        <v>779</v>
      </c>
      <c r="C4389" s="88"/>
      <c r="D4389" s="92"/>
      <c r="E4389" s="89"/>
      <c r="F4389" s="89"/>
      <c r="G4389" s="89"/>
    </row>
    <row r="4390">
      <c r="A4390" s="93"/>
      <c r="B4390" s="87" t="s">
        <v>779</v>
      </c>
      <c r="C4390" s="88"/>
      <c r="D4390" s="92"/>
      <c r="E4390" s="89"/>
      <c r="F4390" s="89"/>
      <c r="G4390" s="89"/>
    </row>
    <row r="4391">
      <c r="A4391" s="93"/>
      <c r="B4391" s="87" t="s">
        <v>779</v>
      </c>
      <c r="C4391" s="88"/>
      <c r="D4391" s="92"/>
      <c r="E4391" s="89"/>
      <c r="F4391" s="89"/>
      <c r="G4391" s="89"/>
    </row>
    <row r="4392">
      <c r="A4392" s="93"/>
      <c r="B4392" s="87" t="s">
        <v>779</v>
      </c>
      <c r="C4392" s="88"/>
      <c r="D4392" s="92"/>
      <c r="E4392" s="89"/>
      <c r="F4392" s="89"/>
      <c r="G4392" s="89"/>
    </row>
    <row r="4393">
      <c r="A4393" s="93"/>
      <c r="B4393" s="87" t="s">
        <v>779</v>
      </c>
      <c r="C4393" s="88"/>
      <c r="D4393" s="92"/>
      <c r="E4393" s="89"/>
      <c r="F4393" s="89"/>
      <c r="G4393" s="89"/>
    </row>
    <row r="4394">
      <c r="A4394" s="93"/>
      <c r="B4394" s="87" t="s">
        <v>779</v>
      </c>
      <c r="C4394" s="88"/>
      <c r="D4394" s="92"/>
      <c r="E4394" s="89"/>
      <c r="F4394" s="89"/>
      <c r="G4394" s="89"/>
    </row>
    <row r="4395">
      <c r="A4395" s="93"/>
      <c r="B4395" s="87" t="s">
        <v>779</v>
      </c>
      <c r="C4395" s="88"/>
      <c r="D4395" s="92"/>
      <c r="E4395" s="89"/>
      <c r="F4395" s="89"/>
      <c r="G4395" s="89"/>
    </row>
    <row r="4396">
      <c r="A4396" s="93"/>
      <c r="B4396" s="87" t="s">
        <v>779</v>
      </c>
      <c r="C4396" s="88"/>
      <c r="D4396" s="92"/>
      <c r="E4396" s="89"/>
      <c r="F4396" s="89"/>
      <c r="G4396" s="89"/>
    </row>
    <row r="4397">
      <c r="A4397" s="93"/>
      <c r="B4397" s="87" t="s">
        <v>779</v>
      </c>
      <c r="C4397" s="88"/>
      <c r="D4397" s="92"/>
      <c r="E4397" s="89"/>
      <c r="F4397" s="89"/>
      <c r="G4397" s="89"/>
    </row>
    <row r="4398">
      <c r="A4398" s="93"/>
      <c r="B4398" s="87" t="s">
        <v>779</v>
      </c>
      <c r="C4398" s="88"/>
      <c r="D4398" s="92"/>
      <c r="E4398" s="89"/>
      <c r="F4398" s="89"/>
      <c r="G4398" s="89"/>
    </row>
    <row r="4399">
      <c r="A4399" s="93"/>
      <c r="B4399" s="87" t="s">
        <v>779</v>
      </c>
      <c r="C4399" s="88"/>
      <c r="D4399" s="92"/>
      <c r="E4399" s="89"/>
      <c r="F4399" s="89"/>
      <c r="G4399" s="89"/>
    </row>
    <row r="4400">
      <c r="A4400" s="93"/>
      <c r="B4400" s="87" t="s">
        <v>779</v>
      </c>
      <c r="C4400" s="88"/>
      <c r="D4400" s="92"/>
      <c r="E4400" s="89"/>
      <c r="F4400" s="89"/>
      <c r="G4400" s="89"/>
    </row>
    <row r="4401">
      <c r="A4401" s="93"/>
      <c r="B4401" s="87" t="s">
        <v>779</v>
      </c>
      <c r="C4401" s="88"/>
      <c r="D4401" s="92"/>
      <c r="E4401" s="89"/>
      <c r="F4401" s="89"/>
      <c r="G4401" s="89"/>
    </row>
    <row r="4402">
      <c r="A4402" s="93"/>
      <c r="B4402" s="87" t="s">
        <v>779</v>
      </c>
      <c r="C4402" s="88"/>
      <c r="D4402" s="92"/>
      <c r="E4402" s="89"/>
      <c r="F4402" s="89"/>
      <c r="G4402" s="89"/>
    </row>
    <row r="4403">
      <c r="A4403" s="93"/>
      <c r="B4403" s="87" t="s">
        <v>779</v>
      </c>
      <c r="C4403" s="88"/>
      <c r="D4403" s="92"/>
      <c r="E4403" s="89"/>
      <c r="F4403" s="89"/>
      <c r="G4403" s="89"/>
    </row>
    <row r="4404">
      <c r="A4404" s="93"/>
      <c r="B4404" s="87" t="s">
        <v>779</v>
      </c>
      <c r="C4404" s="88"/>
      <c r="D4404" s="92"/>
      <c r="E4404" s="89"/>
      <c r="F4404" s="89"/>
      <c r="G4404" s="89"/>
    </row>
    <row r="4405">
      <c r="A4405" s="93"/>
      <c r="B4405" s="87" t="s">
        <v>779</v>
      </c>
      <c r="C4405" s="88"/>
      <c r="D4405" s="92"/>
      <c r="E4405" s="89"/>
      <c r="F4405" s="89"/>
      <c r="G4405" s="89"/>
    </row>
    <row r="4406">
      <c r="A4406" s="93"/>
      <c r="B4406" s="87" t="s">
        <v>779</v>
      </c>
      <c r="C4406" s="88"/>
      <c r="D4406" s="92"/>
      <c r="E4406" s="89"/>
      <c r="F4406" s="89"/>
      <c r="G4406" s="89"/>
    </row>
    <row r="4407">
      <c r="A4407" s="93"/>
      <c r="B4407" s="87" t="s">
        <v>779</v>
      </c>
      <c r="C4407" s="88"/>
      <c r="D4407" s="92"/>
      <c r="E4407" s="89"/>
      <c r="F4407" s="89"/>
      <c r="G4407" s="89"/>
    </row>
    <row r="4408">
      <c r="A4408" s="93"/>
      <c r="B4408" s="87" t="s">
        <v>779</v>
      </c>
      <c r="C4408" s="88"/>
      <c r="D4408" s="92"/>
      <c r="E4408" s="89"/>
      <c r="F4408" s="89"/>
      <c r="G4408" s="89"/>
    </row>
    <row r="4409">
      <c r="A4409" s="93"/>
      <c r="B4409" s="87" t="s">
        <v>779</v>
      </c>
      <c r="C4409" s="88"/>
      <c r="D4409" s="92"/>
      <c r="E4409" s="89"/>
      <c r="F4409" s="89"/>
      <c r="G4409" s="89"/>
    </row>
    <row r="4410">
      <c r="A4410" s="93"/>
      <c r="B4410" s="87" t="s">
        <v>779</v>
      </c>
      <c r="C4410" s="88"/>
      <c r="D4410" s="92"/>
      <c r="E4410" s="89"/>
      <c r="F4410" s="89"/>
      <c r="G4410" s="89"/>
    </row>
    <row r="4411">
      <c r="A4411" s="93"/>
      <c r="B4411" s="87" t="s">
        <v>779</v>
      </c>
      <c r="C4411" s="88"/>
      <c r="D4411" s="92"/>
      <c r="E4411" s="89"/>
      <c r="F4411" s="89"/>
      <c r="G4411" s="89"/>
    </row>
    <row r="4412">
      <c r="A4412" s="93"/>
      <c r="B4412" s="87" t="s">
        <v>779</v>
      </c>
      <c r="C4412" s="88"/>
      <c r="D4412" s="92"/>
      <c r="E4412" s="89"/>
      <c r="F4412" s="89"/>
      <c r="G4412" s="89"/>
    </row>
    <row r="4413">
      <c r="A4413" s="93"/>
      <c r="B4413" s="87" t="s">
        <v>779</v>
      </c>
      <c r="C4413" s="88"/>
      <c r="D4413" s="92"/>
      <c r="E4413" s="89"/>
      <c r="F4413" s="89"/>
      <c r="G4413" s="89"/>
    </row>
    <row r="4414">
      <c r="A4414" s="93"/>
      <c r="B4414" s="87" t="s">
        <v>779</v>
      </c>
      <c r="C4414" s="88"/>
      <c r="D4414" s="92"/>
      <c r="E4414" s="89"/>
      <c r="F4414" s="89"/>
      <c r="G4414" s="89"/>
    </row>
    <row r="4415">
      <c r="A4415" s="93"/>
      <c r="B4415" s="87" t="s">
        <v>779</v>
      </c>
      <c r="C4415" s="88"/>
      <c r="D4415" s="92"/>
      <c r="E4415" s="89"/>
      <c r="F4415" s="89"/>
      <c r="G4415" s="89"/>
    </row>
    <row r="4416">
      <c r="A4416" s="93"/>
      <c r="B4416" s="87" t="s">
        <v>779</v>
      </c>
      <c r="C4416" s="88"/>
      <c r="D4416" s="92"/>
      <c r="E4416" s="89"/>
      <c r="F4416" s="89"/>
      <c r="G4416" s="89"/>
    </row>
    <row r="4417">
      <c r="A4417" s="93"/>
      <c r="B4417" s="87" t="s">
        <v>779</v>
      </c>
      <c r="C4417" s="88"/>
      <c r="D4417" s="92"/>
      <c r="E4417" s="89"/>
      <c r="F4417" s="89"/>
      <c r="G4417" s="89"/>
    </row>
    <row r="4418">
      <c r="A4418" s="93"/>
      <c r="B4418" s="87" t="s">
        <v>779</v>
      </c>
      <c r="C4418" s="88"/>
      <c r="D4418" s="92"/>
      <c r="E4418" s="89"/>
      <c r="F4418" s="89"/>
      <c r="G4418" s="89"/>
    </row>
    <row r="4419">
      <c r="A4419" s="93"/>
      <c r="B4419" s="87" t="s">
        <v>779</v>
      </c>
      <c r="C4419" s="88"/>
      <c r="D4419" s="92"/>
      <c r="E4419" s="89"/>
      <c r="F4419" s="89"/>
      <c r="G4419" s="89"/>
    </row>
    <row r="4420">
      <c r="A4420" s="93"/>
      <c r="B4420" s="87" t="s">
        <v>779</v>
      </c>
      <c r="C4420" s="88"/>
      <c r="D4420" s="92"/>
      <c r="E4420" s="89"/>
      <c r="F4420" s="89"/>
      <c r="G4420" s="89"/>
    </row>
    <row r="4421">
      <c r="A4421" s="93"/>
      <c r="B4421" s="87" t="s">
        <v>779</v>
      </c>
      <c r="C4421" s="88"/>
      <c r="D4421" s="92"/>
      <c r="E4421" s="89"/>
      <c r="F4421" s="89"/>
      <c r="G4421" s="89"/>
    </row>
    <row r="4422">
      <c r="A4422" s="93"/>
      <c r="B4422" s="87" t="s">
        <v>779</v>
      </c>
      <c r="C4422" s="88"/>
      <c r="D4422" s="92"/>
      <c r="E4422" s="89"/>
      <c r="F4422" s="89"/>
      <c r="G4422" s="89"/>
    </row>
    <row r="4423">
      <c r="A4423" s="93"/>
      <c r="B4423" s="87" t="s">
        <v>779</v>
      </c>
      <c r="C4423" s="88"/>
      <c r="D4423" s="92"/>
      <c r="E4423" s="89"/>
      <c r="F4423" s="89"/>
      <c r="G4423" s="89"/>
    </row>
    <row r="4424">
      <c r="A4424" s="93"/>
      <c r="B4424" s="87" t="s">
        <v>779</v>
      </c>
      <c r="C4424" s="88"/>
      <c r="D4424" s="92"/>
      <c r="E4424" s="89"/>
      <c r="F4424" s="89"/>
      <c r="G4424" s="89"/>
    </row>
    <row r="4425">
      <c r="A4425" s="93"/>
      <c r="B4425" s="87" t="s">
        <v>779</v>
      </c>
      <c r="C4425" s="88"/>
      <c r="D4425" s="92"/>
      <c r="E4425" s="89"/>
      <c r="F4425" s="89"/>
      <c r="G4425" s="89"/>
    </row>
    <row r="4426">
      <c r="A4426" s="93"/>
      <c r="B4426" s="87" t="s">
        <v>779</v>
      </c>
      <c r="C4426" s="88"/>
      <c r="D4426" s="92"/>
      <c r="E4426" s="89"/>
      <c r="F4426" s="89"/>
      <c r="G4426" s="89"/>
    </row>
    <row r="4427">
      <c r="A4427" s="93"/>
      <c r="B4427" s="87" t="s">
        <v>779</v>
      </c>
      <c r="C4427" s="88"/>
      <c r="D4427" s="92"/>
      <c r="E4427" s="89"/>
      <c r="F4427" s="89"/>
      <c r="G4427" s="89"/>
    </row>
    <row r="4428">
      <c r="A4428" s="93"/>
      <c r="B4428" s="87" t="s">
        <v>779</v>
      </c>
      <c r="C4428" s="88"/>
      <c r="D4428" s="92"/>
      <c r="E4428" s="89"/>
      <c r="F4428" s="89"/>
      <c r="G4428" s="89"/>
    </row>
    <row r="4429">
      <c r="A4429" s="93"/>
      <c r="B4429" s="87" t="s">
        <v>779</v>
      </c>
      <c r="C4429" s="88"/>
      <c r="D4429" s="92"/>
      <c r="E4429" s="89"/>
      <c r="F4429" s="89"/>
      <c r="G4429" s="89"/>
    </row>
    <row r="4430">
      <c r="A4430" s="93"/>
      <c r="B4430" s="87" t="s">
        <v>779</v>
      </c>
      <c r="C4430" s="88"/>
      <c r="D4430" s="92"/>
      <c r="E4430" s="89"/>
      <c r="F4430" s="89"/>
      <c r="G4430" s="89"/>
    </row>
    <row r="4431">
      <c r="A4431" s="93"/>
      <c r="B4431" s="87" t="s">
        <v>779</v>
      </c>
      <c r="C4431" s="88"/>
      <c r="D4431" s="92"/>
      <c r="E4431" s="89"/>
      <c r="F4431" s="89"/>
      <c r="G4431" s="89"/>
    </row>
    <row r="4432">
      <c r="A4432" s="93"/>
      <c r="B4432" s="87" t="s">
        <v>779</v>
      </c>
      <c r="C4432" s="88"/>
      <c r="D4432" s="92"/>
      <c r="E4432" s="89"/>
      <c r="F4432" s="89"/>
      <c r="G4432" s="89"/>
    </row>
    <row r="4433">
      <c r="A4433" s="93"/>
      <c r="B4433" s="87" t="s">
        <v>779</v>
      </c>
      <c r="C4433" s="88"/>
      <c r="D4433" s="92"/>
      <c r="E4433" s="89"/>
      <c r="F4433" s="89"/>
      <c r="G4433" s="89"/>
    </row>
    <row r="4434">
      <c r="A4434" s="93"/>
      <c r="B4434" s="87" t="s">
        <v>779</v>
      </c>
      <c r="C4434" s="88"/>
      <c r="D4434" s="92"/>
      <c r="E4434" s="89"/>
      <c r="F4434" s="89"/>
      <c r="G4434" s="89"/>
    </row>
    <row r="4435">
      <c r="A4435" s="93"/>
      <c r="B4435" s="87" t="s">
        <v>779</v>
      </c>
      <c r="C4435" s="88"/>
      <c r="D4435" s="92"/>
      <c r="E4435" s="89"/>
      <c r="F4435" s="89"/>
      <c r="G4435" s="89"/>
    </row>
    <row r="4436">
      <c r="A4436" s="93"/>
      <c r="B4436" s="87" t="s">
        <v>779</v>
      </c>
      <c r="C4436" s="88"/>
      <c r="D4436" s="92"/>
      <c r="E4436" s="89"/>
      <c r="F4436" s="89"/>
      <c r="G4436" s="89"/>
    </row>
    <row r="4437">
      <c r="A4437" s="93"/>
      <c r="B4437" s="87" t="s">
        <v>779</v>
      </c>
      <c r="C4437" s="88"/>
      <c r="D4437" s="92"/>
      <c r="E4437" s="89"/>
      <c r="F4437" s="89"/>
      <c r="G4437" s="89"/>
    </row>
    <row r="4438">
      <c r="A4438" s="93"/>
      <c r="B4438" s="87" t="s">
        <v>779</v>
      </c>
      <c r="C4438" s="88"/>
      <c r="D4438" s="92"/>
      <c r="E4438" s="89"/>
      <c r="F4438" s="89"/>
      <c r="G4438" s="89"/>
    </row>
    <row r="4439">
      <c r="A4439" s="93"/>
      <c r="B4439" s="87" t="s">
        <v>779</v>
      </c>
      <c r="C4439" s="88"/>
      <c r="D4439" s="92"/>
      <c r="E4439" s="89"/>
      <c r="F4439" s="89"/>
      <c r="G4439" s="89"/>
    </row>
    <row r="4440">
      <c r="A4440" s="93"/>
      <c r="B4440" s="87" t="s">
        <v>779</v>
      </c>
      <c r="C4440" s="88"/>
      <c r="D4440" s="92"/>
      <c r="E4440" s="89"/>
      <c r="F4440" s="89"/>
      <c r="G4440" s="89"/>
    </row>
    <row r="4441">
      <c r="A4441" s="93"/>
      <c r="B4441" s="87" t="s">
        <v>779</v>
      </c>
      <c r="C4441" s="88"/>
      <c r="D4441" s="92"/>
      <c r="E4441" s="89"/>
      <c r="F4441" s="89"/>
      <c r="G4441" s="89"/>
    </row>
    <row r="4442">
      <c r="A4442" s="93"/>
      <c r="B4442" s="87" t="s">
        <v>779</v>
      </c>
      <c r="C4442" s="88"/>
      <c r="D4442" s="92"/>
      <c r="E4442" s="89"/>
      <c r="F4442" s="89"/>
      <c r="G4442" s="89"/>
    </row>
    <row r="4443">
      <c r="A4443" s="93"/>
      <c r="B4443" s="87" t="s">
        <v>779</v>
      </c>
      <c r="C4443" s="88"/>
      <c r="D4443" s="92"/>
      <c r="E4443" s="89"/>
      <c r="F4443" s="89"/>
      <c r="G4443" s="89"/>
    </row>
    <row r="4444">
      <c r="A4444" s="93"/>
      <c r="B4444" s="87" t="s">
        <v>779</v>
      </c>
      <c r="C4444" s="88"/>
      <c r="D4444" s="92"/>
      <c r="E4444" s="89"/>
      <c r="F4444" s="89"/>
      <c r="G4444" s="89"/>
    </row>
    <row r="4445">
      <c r="A4445" s="93"/>
      <c r="B4445" s="87" t="s">
        <v>779</v>
      </c>
      <c r="C4445" s="88"/>
      <c r="D4445" s="92"/>
      <c r="E4445" s="89"/>
      <c r="F4445" s="89"/>
      <c r="G4445" s="89"/>
    </row>
    <row r="4446">
      <c r="A4446" s="93"/>
      <c r="B4446" s="87" t="s">
        <v>779</v>
      </c>
      <c r="C4446" s="88"/>
      <c r="D4446" s="92"/>
      <c r="E4446" s="89"/>
      <c r="F4446" s="89"/>
      <c r="G4446" s="89"/>
    </row>
    <row r="4447">
      <c r="A4447" s="93"/>
      <c r="B4447" s="87" t="s">
        <v>779</v>
      </c>
      <c r="C4447" s="88"/>
      <c r="D4447" s="92"/>
      <c r="E4447" s="89"/>
      <c r="F4447" s="89"/>
      <c r="G4447" s="89"/>
    </row>
    <row r="4448">
      <c r="A4448" s="93"/>
      <c r="B4448" s="87" t="s">
        <v>779</v>
      </c>
      <c r="C4448" s="88"/>
      <c r="D4448" s="92"/>
      <c r="E4448" s="89"/>
      <c r="F4448" s="89"/>
      <c r="G4448" s="89"/>
    </row>
    <row r="4449">
      <c r="A4449" s="93"/>
      <c r="B4449" s="87" t="s">
        <v>779</v>
      </c>
      <c r="C4449" s="88"/>
      <c r="D4449" s="92"/>
      <c r="E4449" s="89"/>
      <c r="F4449" s="89"/>
      <c r="G4449" s="89"/>
    </row>
    <row r="4450">
      <c r="A4450" s="93"/>
      <c r="B4450" s="87" t="s">
        <v>779</v>
      </c>
      <c r="C4450" s="88"/>
      <c r="D4450" s="92"/>
      <c r="E4450" s="89"/>
      <c r="F4450" s="89"/>
      <c r="G4450" s="89"/>
    </row>
    <row r="4451">
      <c r="A4451" s="93"/>
      <c r="B4451" s="87" t="s">
        <v>779</v>
      </c>
      <c r="C4451" s="88"/>
      <c r="D4451" s="92"/>
      <c r="E4451" s="89"/>
      <c r="F4451" s="89"/>
      <c r="G4451" s="89"/>
    </row>
    <row r="4452">
      <c r="A4452" s="93"/>
      <c r="B4452" s="87" t="s">
        <v>779</v>
      </c>
      <c r="C4452" s="88"/>
      <c r="D4452" s="92"/>
      <c r="E4452" s="89"/>
      <c r="F4452" s="89"/>
      <c r="G4452" s="89"/>
    </row>
    <row r="4453">
      <c r="A4453" s="93"/>
      <c r="B4453" s="87" t="s">
        <v>779</v>
      </c>
      <c r="C4453" s="88"/>
      <c r="D4453" s="92"/>
      <c r="E4453" s="89"/>
      <c r="F4453" s="89"/>
      <c r="G4453" s="89"/>
    </row>
    <row r="4454">
      <c r="A4454" s="93"/>
      <c r="B4454" s="87" t="s">
        <v>779</v>
      </c>
      <c r="C4454" s="88"/>
      <c r="D4454" s="92"/>
      <c r="E4454" s="89"/>
      <c r="F4454" s="89"/>
      <c r="G4454" s="89"/>
    </row>
    <row r="4455">
      <c r="A4455" s="93"/>
      <c r="B4455" s="87" t="s">
        <v>779</v>
      </c>
      <c r="C4455" s="88"/>
      <c r="D4455" s="92"/>
      <c r="E4455" s="89"/>
      <c r="F4455" s="89"/>
      <c r="G4455" s="89"/>
    </row>
    <row r="4456">
      <c r="A4456" s="93"/>
      <c r="B4456" s="87" t="s">
        <v>779</v>
      </c>
      <c r="C4456" s="88"/>
      <c r="D4456" s="92"/>
      <c r="E4456" s="89"/>
      <c r="F4456" s="89"/>
      <c r="G4456" s="89"/>
    </row>
    <row r="4457">
      <c r="A4457" s="93"/>
      <c r="B4457" s="87" t="s">
        <v>779</v>
      </c>
      <c r="C4457" s="88"/>
      <c r="D4457" s="92"/>
      <c r="E4457" s="89"/>
      <c r="F4457" s="89"/>
      <c r="G4457" s="89"/>
    </row>
    <row r="4458">
      <c r="A4458" s="93"/>
      <c r="B4458" s="87" t="s">
        <v>779</v>
      </c>
      <c r="C4458" s="88"/>
      <c r="D4458" s="92"/>
      <c r="E4458" s="89"/>
      <c r="F4458" s="89"/>
      <c r="G4458" s="89"/>
    </row>
    <row r="4459">
      <c r="A4459" s="93"/>
      <c r="B4459" s="87" t="s">
        <v>779</v>
      </c>
      <c r="C4459" s="88"/>
      <c r="D4459" s="92"/>
      <c r="E4459" s="89"/>
      <c r="F4459" s="89"/>
      <c r="G4459" s="89"/>
    </row>
    <row r="4460">
      <c r="A4460" s="93"/>
      <c r="B4460" s="87" t="s">
        <v>779</v>
      </c>
      <c r="C4460" s="88"/>
      <c r="D4460" s="92"/>
      <c r="E4460" s="89"/>
      <c r="F4460" s="89"/>
      <c r="G4460" s="89"/>
    </row>
    <row r="4461">
      <c r="A4461" s="93"/>
      <c r="B4461" s="87" t="s">
        <v>779</v>
      </c>
      <c r="C4461" s="88"/>
      <c r="D4461" s="92"/>
      <c r="E4461" s="89"/>
      <c r="F4461" s="89"/>
      <c r="G4461" s="89"/>
    </row>
    <row r="4462">
      <c r="A4462" s="93"/>
      <c r="B4462" s="87" t="s">
        <v>779</v>
      </c>
      <c r="C4462" s="88"/>
      <c r="D4462" s="92"/>
      <c r="E4462" s="89"/>
      <c r="F4462" s="89"/>
      <c r="G4462" s="89"/>
    </row>
    <row r="4463">
      <c r="A4463" s="93"/>
      <c r="B4463" s="87" t="s">
        <v>779</v>
      </c>
      <c r="C4463" s="88"/>
      <c r="D4463" s="92"/>
      <c r="E4463" s="89"/>
      <c r="F4463" s="89"/>
      <c r="G4463" s="89"/>
    </row>
    <row r="4464">
      <c r="A4464" s="93"/>
      <c r="B4464" s="87" t="s">
        <v>779</v>
      </c>
      <c r="C4464" s="88"/>
      <c r="D4464" s="92"/>
      <c r="E4464" s="89"/>
      <c r="F4464" s="89"/>
      <c r="G4464" s="89"/>
    </row>
    <row r="4465">
      <c r="A4465" s="93"/>
      <c r="B4465" s="87" t="s">
        <v>779</v>
      </c>
      <c r="C4465" s="88"/>
      <c r="D4465" s="92"/>
      <c r="E4465" s="89"/>
      <c r="F4465" s="89"/>
      <c r="G4465" s="89"/>
    </row>
    <row r="4466">
      <c r="A4466" s="93"/>
      <c r="B4466" s="87" t="s">
        <v>779</v>
      </c>
      <c r="C4466" s="88"/>
      <c r="D4466" s="92"/>
      <c r="E4466" s="89"/>
      <c r="F4466" s="89"/>
      <c r="G4466" s="89"/>
    </row>
    <row r="4467">
      <c r="A4467" s="93"/>
      <c r="B4467" s="87" t="s">
        <v>779</v>
      </c>
      <c r="C4467" s="88"/>
      <c r="D4467" s="92"/>
      <c r="E4467" s="89"/>
      <c r="F4467" s="89"/>
      <c r="G4467" s="89"/>
    </row>
    <row r="4468">
      <c r="A4468" s="93"/>
      <c r="B4468" s="87" t="s">
        <v>779</v>
      </c>
      <c r="C4468" s="88"/>
      <c r="D4468" s="92"/>
      <c r="E4468" s="89"/>
      <c r="F4468" s="89"/>
      <c r="G4468" s="89"/>
    </row>
    <row r="4469">
      <c r="A4469" s="93"/>
      <c r="B4469" s="87" t="s">
        <v>779</v>
      </c>
      <c r="C4469" s="88"/>
      <c r="D4469" s="92"/>
      <c r="E4469" s="89"/>
      <c r="F4469" s="89"/>
      <c r="G4469" s="89"/>
    </row>
    <row r="4470">
      <c r="A4470" s="93"/>
      <c r="B4470" s="87" t="s">
        <v>779</v>
      </c>
      <c r="C4470" s="88"/>
      <c r="D4470" s="92"/>
      <c r="E4470" s="89"/>
      <c r="F4470" s="89"/>
      <c r="G4470" s="89"/>
    </row>
    <row r="4471">
      <c r="A4471" s="93"/>
      <c r="B4471" s="87" t="s">
        <v>779</v>
      </c>
      <c r="C4471" s="88"/>
      <c r="D4471" s="92"/>
      <c r="E4471" s="89"/>
      <c r="F4471" s="89"/>
      <c r="G4471" s="89"/>
    </row>
    <row r="4472">
      <c r="A4472" s="93"/>
      <c r="B4472" s="87" t="s">
        <v>779</v>
      </c>
      <c r="C4472" s="88"/>
      <c r="D4472" s="92"/>
      <c r="E4472" s="89"/>
      <c r="F4472" s="89"/>
      <c r="G4472" s="89"/>
    </row>
    <row r="4473">
      <c r="A4473" s="93"/>
      <c r="B4473" s="87" t="s">
        <v>779</v>
      </c>
      <c r="C4473" s="88"/>
      <c r="D4473" s="92"/>
      <c r="E4473" s="89"/>
      <c r="F4473" s="89"/>
      <c r="G4473" s="89"/>
    </row>
    <row r="4474">
      <c r="A4474" s="93"/>
      <c r="B4474" s="87" t="s">
        <v>779</v>
      </c>
      <c r="C4474" s="88"/>
      <c r="D4474" s="92"/>
      <c r="E4474" s="89"/>
      <c r="F4474" s="89"/>
      <c r="G4474" s="89"/>
    </row>
    <row r="4475">
      <c r="A4475" s="93"/>
      <c r="B4475" s="87" t="s">
        <v>779</v>
      </c>
      <c r="C4475" s="88"/>
      <c r="D4475" s="92"/>
      <c r="E4475" s="89"/>
      <c r="F4475" s="89"/>
      <c r="G4475" s="89"/>
    </row>
    <row r="4476">
      <c r="A4476" s="93"/>
      <c r="B4476" s="87" t="s">
        <v>779</v>
      </c>
      <c r="C4476" s="88"/>
      <c r="D4476" s="92"/>
      <c r="E4476" s="89"/>
      <c r="F4476" s="89"/>
      <c r="G4476" s="89"/>
    </row>
    <row r="4477">
      <c r="A4477" s="93"/>
      <c r="B4477" s="87" t="s">
        <v>779</v>
      </c>
      <c r="C4477" s="88"/>
      <c r="D4477" s="92"/>
      <c r="E4477" s="89"/>
      <c r="F4477" s="89"/>
      <c r="G4477" s="89"/>
    </row>
    <row r="4478">
      <c r="A4478" s="93"/>
      <c r="B4478" s="87" t="s">
        <v>779</v>
      </c>
      <c r="C4478" s="88"/>
      <c r="D4478" s="92"/>
      <c r="E4478" s="89"/>
      <c r="F4478" s="89"/>
      <c r="G4478" s="89"/>
    </row>
    <row r="4479">
      <c r="A4479" s="93"/>
      <c r="B4479" s="87" t="s">
        <v>779</v>
      </c>
      <c r="C4479" s="88"/>
      <c r="D4479" s="92"/>
      <c r="E4479" s="89"/>
      <c r="F4479" s="89"/>
      <c r="G4479" s="89"/>
    </row>
    <row r="4480">
      <c r="A4480" s="93"/>
      <c r="B4480" s="87" t="s">
        <v>779</v>
      </c>
      <c r="C4480" s="88"/>
      <c r="D4480" s="92"/>
      <c r="E4480" s="89"/>
      <c r="F4480" s="89"/>
      <c r="G4480" s="89"/>
    </row>
    <row r="4481">
      <c r="A4481" s="93"/>
      <c r="B4481" s="87" t="s">
        <v>779</v>
      </c>
      <c r="C4481" s="88"/>
      <c r="D4481" s="92"/>
      <c r="E4481" s="89"/>
      <c r="F4481" s="89"/>
      <c r="G4481" s="89"/>
    </row>
    <row r="4482">
      <c r="A4482" s="93"/>
      <c r="B4482" s="87" t="s">
        <v>779</v>
      </c>
      <c r="C4482" s="88"/>
      <c r="D4482" s="92"/>
      <c r="E4482" s="89"/>
      <c r="F4482" s="89"/>
      <c r="G4482" s="89"/>
    </row>
    <row r="4483">
      <c r="A4483" s="93"/>
      <c r="B4483" s="87" t="s">
        <v>779</v>
      </c>
      <c r="C4483" s="88"/>
      <c r="D4483" s="92"/>
      <c r="E4483" s="89"/>
      <c r="F4483" s="89"/>
      <c r="G4483" s="89"/>
    </row>
    <row r="4484">
      <c r="A4484" s="93"/>
      <c r="B4484" s="87" t="s">
        <v>779</v>
      </c>
      <c r="C4484" s="88"/>
      <c r="D4484" s="92"/>
      <c r="E4484" s="89"/>
      <c r="F4484" s="89"/>
      <c r="G4484" s="89"/>
    </row>
    <row r="4485">
      <c r="A4485" s="93"/>
      <c r="B4485" s="87" t="s">
        <v>779</v>
      </c>
      <c r="C4485" s="88"/>
      <c r="D4485" s="92"/>
      <c r="E4485" s="89"/>
      <c r="F4485" s="89"/>
      <c r="G4485" s="89"/>
    </row>
    <row r="4486">
      <c r="A4486" s="93"/>
      <c r="B4486" s="87" t="s">
        <v>779</v>
      </c>
      <c r="C4486" s="88"/>
      <c r="D4486" s="92"/>
      <c r="E4486" s="89"/>
      <c r="F4486" s="89"/>
      <c r="G4486" s="89"/>
    </row>
    <row r="4487">
      <c r="A4487" s="93"/>
      <c r="B4487" s="87" t="s">
        <v>779</v>
      </c>
      <c r="C4487" s="88"/>
      <c r="D4487" s="92"/>
      <c r="E4487" s="89"/>
      <c r="F4487" s="89"/>
      <c r="G4487" s="89"/>
    </row>
    <row r="4488">
      <c r="A4488" s="93"/>
      <c r="B4488" s="87" t="s">
        <v>779</v>
      </c>
      <c r="C4488" s="88"/>
      <c r="D4488" s="92"/>
      <c r="E4488" s="89"/>
      <c r="F4488" s="89"/>
      <c r="G4488" s="89"/>
    </row>
    <row r="4489">
      <c r="A4489" s="93"/>
      <c r="B4489" s="87" t="s">
        <v>779</v>
      </c>
      <c r="C4489" s="88"/>
      <c r="D4489" s="92"/>
      <c r="E4489" s="89"/>
      <c r="F4489" s="89"/>
      <c r="G4489" s="89"/>
    </row>
    <row r="4490">
      <c r="A4490" s="93"/>
      <c r="B4490" s="87" t="s">
        <v>779</v>
      </c>
      <c r="C4490" s="88"/>
      <c r="D4490" s="92"/>
      <c r="E4490" s="89"/>
      <c r="F4490" s="89"/>
      <c r="G4490" s="89"/>
    </row>
    <row r="4491">
      <c r="A4491" s="93"/>
      <c r="B4491" s="87" t="s">
        <v>779</v>
      </c>
      <c r="C4491" s="88"/>
      <c r="D4491" s="92"/>
      <c r="E4491" s="89"/>
      <c r="F4491" s="89"/>
      <c r="G4491" s="89"/>
    </row>
    <row r="4492">
      <c r="A4492" s="93"/>
      <c r="B4492" s="87" t="s">
        <v>779</v>
      </c>
      <c r="C4492" s="88"/>
      <c r="D4492" s="92"/>
      <c r="E4492" s="89"/>
      <c r="F4492" s="89"/>
      <c r="G4492" s="89"/>
    </row>
    <row r="4493">
      <c r="A4493" s="93"/>
      <c r="B4493" s="87" t="s">
        <v>779</v>
      </c>
      <c r="C4493" s="88"/>
      <c r="D4493" s="92"/>
      <c r="E4493" s="89"/>
      <c r="F4493" s="89"/>
      <c r="G4493" s="89"/>
    </row>
    <row r="4494">
      <c r="A4494" s="93"/>
      <c r="B4494" s="87" t="s">
        <v>779</v>
      </c>
      <c r="C4494" s="88"/>
      <c r="D4494" s="92"/>
      <c r="E4494" s="89"/>
      <c r="F4494" s="89"/>
      <c r="G4494" s="89"/>
    </row>
    <row r="4495">
      <c r="A4495" s="93"/>
      <c r="B4495" s="87" t="s">
        <v>779</v>
      </c>
      <c r="C4495" s="88"/>
      <c r="D4495" s="92"/>
      <c r="E4495" s="89"/>
      <c r="F4495" s="89"/>
      <c r="G4495" s="89"/>
    </row>
    <row r="4496">
      <c r="A4496" s="93"/>
      <c r="B4496" s="87" t="s">
        <v>779</v>
      </c>
      <c r="C4496" s="88"/>
      <c r="D4496" s="92"/>
      <c r="E4496" s="89"/>
      <c r="F4496" s="89"/>
      <c r="G4496" s="89"/>
    </row>
    <row r="4497">
      <c r="A4497" s="93"/>
      <c r="B4497" s="87" t="s">
        <v>779</v>
      </c>
      <c r="C4497" s="88"/>
      <c r="D4497" s="92"/>
      <c r="E4497" s="89"/>
      <c r="F4497" s="89"/>
      <c r="G4497" s="89"/>
    </row>
    <row r="4498">
      <c r="A4498" s="93"/>
      <c r="B4498" s="87" t="s">
        <v>779</v>
      </c>
      <c r="C4498" s="88"/>
      <c r="D4498" s="92"/>
      <c r="E4498" s="89"/>
      <c r="F4498" s="89"/>
      <c r="G4498" s="89"/>
    </row>
    <row r="4499">
      <c r="A4499" s="93"/>
      <c r="B4499" s="87" t="s">
        <v>779</v>
      </c>
      <c r="C4499" s="88"/>
      <c r="D4499" s="92"/>
      <c r="E4499" s="89"/>
      <c r="F4499" s="89"/>
      <c r="G4499" s="89"/>
    </row>
    <row r="4500">
      <c r="A4500" s="93"/>
      <c r="B4500" s="87" t="s">
        <v>779</v>
      </c>
      <c r="C4500" s="88"/>
      <c r="D4500" s="92"/>
      <c r="E4500" s="89"/>
      <c r="F4500" s="89"/>
      <c r="G4500" s="89"/>
    </row>
    <row r="4501">
      <c r="A4501" s="93"/>
      <c r="B4501" s="87" t="s">
        <v>779</v>
      </c>
      <c r="C4501" s="88"/>
      <c r="D4501" s="92"/>
      <c r="E4501" s="89"/>
      <c r="F4501" s="89"/>
      <c r="G4501" s="89"/>
    </row>
    <row r="4502">
      <c r="A4502" s="93"/>
      <c r="B4502" s="87" t="s">
        <v>779</v>
      </c>
      <c r="C4502" s="88"/>
      <c r="D4502" s="92"/>
      <c r="E4502" s="89"/>
      <c r="F4502" s="89"/>
      <c r="G4502" s="89"/>
    </row>
    <row r="4503">
      <c r="A4503" s="93"/>
      <c r="B4503" s="87" t="s">
        <v>779</v>
      </c>
      <c r="C4503" s="88"/>
      <c r="D4503" s="92"/>
      <c r="E4503" s="89"/>
      <c r="F4503" s="89"/>
      <c r="G4503" s="89"/>
    </row>
    <row r="4504">
      <c r="A4504" s="93"/>
      <c r="B4504" s="87" t="s">
        <v>779</v>
      </c>
      <c r="C4504" s="88"/>
      <c r="D4504" s="92"/>
      <c r="E4504" s="89"/>
      <c r="F4504" s="89"/>
      <c r="G4504" s="89"/>
    </row>
    <row r="4505">
      <c r="A4505" s="93"/>
      <c r="B4505" s="87" t="s">
        <v>779</v>
      </c>
      <c r="C4505" s="88"/>
      <c r="D4505" s="92"/>
      <c r="E4505" s="89"/>
      <c r="F4505" s="89"/>
      <c r="G4505" s="89"/>
    </row>
    <row r="4506">
      <c r="A4506" s="93"/>
      <c r="B4506" s="87" t="s">
        <v>779</v>
      </c>
      <c r="C4506" s="88"/>
      <c r="D4506" s="92"/>
      <c r="E4506" s="89"/>
      <c r="F4506" s="89"/>
      <c r="G4506" s="89"/>
    </row>
    <row r="4507">
      <c r="A4507" s="93"/>
      <c r="B4507" s="87" t="s">
        <v>779</v>
      </c>
      <c r="C4507" s="88"/>
      <c r="D4507" s="92"/>
      <c r="E4507" s="89"/>
      <c r="F4507" s="89"/>
      <c r="G4507" s="89"/>
    </row>
    <row r="4508">
      <c r="A4508" s="93"/>
      <c r="B4508" s="87" t="s">
        <v>779</v>
      </c>
      <c r="C4508" s="88"/>
      <c r="D4508" s="92"/>
      <c r="E4508" s="89"/>
      <c r="F4508" s="89"/>
      <c r="G4508" s="89"/>
    </row>
    <row r="4509">
      <c r="A4509" s="93"/>
      <c r="B4509" s="87" t="s">
        <v>779</v>
      </c>
      <c r="C4509" s="88"/>
      <c r="D4509" s="92"/>
      <c r="E4509" s="89"/>
      <c r="F4509" s="89"/>
      <c r="G4509" s="89"/>
    </row>
    <row r="4510">
      <c r="A4510" s="93"/>
      <c r="B4510" s="87" t="s">
        <v>779</v>
      </c>
      <c r="C4510" s="88"/>
      <c r="D4510" s="92"/>
      <c r="E4510" s="89"/>
      <c r="F4510" s="89"/>
      <c r="G4510" s="89"/>
    </row>
    <row r="4511">
      <c r="A4511" s="93"/>
      <c r="B4511" s="87" t="s">
        <v>779</v>
      </c>
      <c r="C4511" s="88"/>
      <c r="D4511" s="92"/>
      <c r="E4511" s="89"/>
      <c r="F4511" s="89"/>
      <c r="G4511" s="89"/>
    </row>
    <row r="4512">
      <c r="A4512" s="93"/>
      <c r="B4512" s="87" t="s">
        <v>779</v>
      </c>
      <c r="C4512" s="88"/>
      <c r="D4512" s="92"/>
      <c r="E4512" s="89"/>
      <c r="F4512" s="89"/>
      <c r="G4512" s="89"/>
    </row>
    <row r="4513">
      <c r="A4513" s="93"/>
      <c r="B4513" s="87" t="s">
        <v>779</v>
      </c>
      <c r="C4513" s="88"/>
      <c r="D4513" s="92"/>
      <c r="E4513" s="89"/>
      <c r="F4513" s="89"/>
      <c r="G4513" s="89"/>
    </row>
    <row r="4514">
      <c r="A4514" s="93"/>
      <c r="B4514" s="87" t="s">
        <v>779</v>
      </c>
      <c r="C4514" s="88"/>
      <c r="D4514" s="92"/>
      <c r="E4514" s="89"/>
      <c r="F4514" s="89"/>
      <c r="G4514" s="89"/>
    </row>
    <row r="4515">
      <c r="A4515" s="93"/>
      <c r="B4515" s="87" t="s">
        <v>779</v>
      </c>
      <c r="C4515" s="88"/>
      <c r="D4515" s="92"/>
      <c r="E4515" s="89"/>
      <c r="F4515" s="89"/>
      <c r="G4515" s="89"/>
    </row>
    <row r="4516">
      <c r="A4516" s="93"/>
      <c r="B4516" s="87" t="s">
        <v>779</v>
      </c>
      <c r="C4516" s="88"/>
      <c r="D4516" s="92"/>
      <c r="E4516" s="89"/>
      <c r="F4516" s="89"/>
      <c r="G4516" s="89"/>
    </row>
    <row r="4517">
      <c r="A4517" s="93"/>
      <c r="B4517" s="87" t="s">
        <v>779</v>
      </c>
      <c r="C4517" s="88"/>
      <c r="D4517" s="92"/>
      <c r="E4517" s="89"/>
      <c r="F4517" s="89"/>
      <c r="G4517" s="89"/>
    </row>
    <row r="4518">
      <c r="A4518" s="93"/>
      <c r="B4518" s="87" t="s">
        <v>779</v>
      </c>
      <c r="C4518" s="88"/>
      <c r="D4518" s="92"/>
      <c r="E4518" s="89"/>
      <c r="F4518" s="89"/>
      <c r="G4518" s="89"/>
    </row>
    <row r="4519">
      <c r="A4519" s="93"/>
      <c r="B4519" s="87" t="s">
        <v>779</v>
      </c>
      <c r="C4519" s="88"/>
      <c r="D4519" s="92"/>
      <c r="E4519" s="89"/>
      <c r="F4519" s="89"/>
      <c r="G4519" s="89"/>
    </row>
    <row r="4520">
      <c r="A4520" s="93"/>
      <c r="B4520" s="87" t="s">
        <v>779</v>
      </c>
      <c r="C4520" s="88"/>
      <c r="D4520" s="92"/>
      <c r="E4520" s="89"/>
      <c r="F4520" s="89"/>
      <c r="G4520" s="89"/>
    </row>
    <row r="4521">
      <c r="A4521" s="93"/>
      <c r="B4521" s="87" t="s">
        <v>779</v>
      </c>
      <c r="C4521" s="88"/>
      <c r="D4521" s="92"/>
      <c r="E4521" s="89"/>
      <c r="F4521" s="89"/>
      <c r="G4521" s="89"/>
    </row>
    <row r="4522">
      <c r="A4522" s="93"/>
      <c r="B4522" s="87" t="s">
        <v>779</v>
      </c>
      <c r="C4522" s="88"/>
      <c r="D4522" s="92"/>
      <c r="E4522" s="89"/>
      <c r="F4522" s="89"/>
      <c r="G4522" s="89"/>
    </row>
    <row r="4523">
      <c r="A4523" s="93"/>
      <c r="B4523" s="87" t="s">
        <v>779</v>
      </c>
      <c r="C4523" s="88"/>
      <c r="D4523" s="92"/>
      <c r="E4523" s="89"/>
      <c r="F4523" s="89"/>
      <c r="G4523" s="89"/>
    </row>
    <row r="4524">
      <c r="A4524" s="93"/>
      <c r="B4524" s="87" t="s">
        <v>779</v>
      </c>
      <c r="C4524" s="88"/>
      <c r="D4524" s="92"/>
      <c r="E4524" s="89"/>
      <c r="F4524" s="89"/>
      <c r="G4524" s="89"/>
    </row>
    <row r="4525">
      <c r="A4525" s="93"/>
      <c r="B4525" s="87" t="s">
        <v>779</v>
      </c>
      <c r="C4525" s="88"/>
      <c r="D4525" s="92"/>
      <c r="E4525" s="89"/>
      <c r="F4525" s="89"/>
      <c r="G4525" s="89"/>
    </row>
    <row r="4526">
      <c r="A4526" s="93"/>
      <c r="B4526" s="87" t="s">
        <v>779</v>
      </c>
      <c r="C4526" s="88"/>
      <c r="D4526" s="92"/>
      <c r="E4526" s="89"/>
      <c r="F4526" s="89"/>
      <c r="G4526" s="89"/>
    </row>
    <row r="4527">
      <c r="A4527" s="93"/>
      <c r="B4527" s="87" t="s">
        <v>779</v>
      </c>
      <c r="C4527" s="88"/>
      <c r="D4527" s="92"/>
      <c r="E4527" s="89"/>
      <c r="F4527" s="89"/>
      <c r="G4527" s="89"/>
    </row>
    <row r="4528">
      <c r="A4528" s="93"/>
      <c r="B4528" s="87" t="s">
        <v>779</v>
      </c>
      <c r="C4528" s="88"/>
      <c r="D4528" s="92"/>
      <c r="E4528" s="89"/>
      <c r="F4528" s="89"/>
      <c r="G4528" s="89"/>
    </row>
    <row r="4529">
      <c r="A4529" s="93"/>
      <c r="B4529" s="87" t="s">
        <v>779</v>
      </c>
      <c r="C4529" s="88"/>
      <c r="D4529" s="92"/>
      <c r="E4529" s="89"/>
      <c r="F4529" s="89"/>
      <c r="G4529" s="89"/>
    </row>
    <row r="4530">
      <c r="A4530" s="93"/>
      <c r="B4530" s="87" t="s">
        <v>779</v>
      </c>
      <c r="C4530" s="88"/>
      <c r="D4530" s="92"/>
      <c r="E4530" s="89"/>
      <c r="F4530" s="89"/>
      <c r="G4530" s="89"/>
    </row>
    <row r="4531">
      <c r="A4531" s="93"/>
      <c r="B4531" s="87" t="s">
        <v>779</v>
      </c>
      <c r="C4531" s="88"/>
      <c r="D4531" s="92"/>
      <c r="E4531" s="89"/>
      <c r="F4531" s="89"/>
      <c r="G4531" s="89"/>
    </row>
    <row r="4532">
      <c r="A4532" s="93"/>
      <c r="B4532" s="87" t="s">
        <v>779</v>
      </c>
      <c r="C4532" s="88"/>
      <c r="D4532" s="92"/>
      <c r="E4532" s="89"/>
      <c r="F4532" s="89"/>
      <c r="G4532" s="89"/>
    </row>
    <row r="4533">
      <c r="A4533" s="93"/>
      <c r="B4533" s="87" t="s">
        <v>779</v>
      </c>
      <c r="C4533" s="88"/>
      <c r="D4533" s="92"/>
      <c r="E4533" s="89"/>
      <c r="F4533" s="89"/>
      <c r="G4533" s="89"/>
    </row>
    <row r="4534">
      <c r="A4534" s="93"/>
      <c r="B4534" s="87" t="s">
        <v>779</v>
      </c>
      <c r="C4534" s="88"/>
      <c r="D4534" s="92"/>
      <c r="E4534" s="89"/>
      <c r="F4534" s="89"/>
      <c r="G4534" s="89"/>
    </row>
    <row r="4535">
      <c r="A4535" s="93"/>
      <c r="B4535" s="87" t="s">
        <v>779</v>
      </c>
      <c r="C4535" s="88"/>
      <c r="D4535" s="92"/>
      <c r="E4535" s="89"/>
      <c r="F4535" s="89"/>
      <c r="G4535" s="89"/>
    </row>
    <row r="4536">
      <c r="A4536" s="93"/>
      <c r="B4536" s="87" t="s">
        <v>779</v>
      </c>
      <c r="C4536" s="88"/>
      <c r="D4536" s="92"/>
      <c r="E4536" s="89"/>
      <c r="F4536" s="89"/>
      <c r="G4536" s="89"/>
    </row>
    <row r="4537">
      <c r="A4537" s="93"/>
      <c r="B4537" s="87" t="s">
        <v>779</v>
      </c>
      <c r="C4537" s="88"/>
      <c r="D4537" s="92"/>
      <c r="E4537" s="89"/>
      <c r="F4537" s="89"/>
      <c r="G4537" s="89"/>
    </row>
    <row r="4538">
      <c r="A4538" s="93"/>
      <c r="B4538" s="87" t="s">
        <v>779</v>
      </c>
      <c r="C4538" s="88"/>
      <c r="D4538" s="92"/>
      <c r="E4538" s="89"/>
      <c r="F4538" s="89"/>
      <c r="G4538" s="89"/>
    </row>
    <row r="4539">
      <c r="A4539" s="93"/>
      <c r="B4539" s="87" t="s">
        <v>779</v>
      </c>
      <c r="C4539" s="88"/>
      <c r="D4539" s="92"/>
      <c r="E4539" s="89"/>
      <c r="F4539" s="89"/>
      <c r="G4539" s="89"/>
    </row>
    <row r="4540">
      <c r="A4540" s="93"/>
      <c r="B4540" s="87" t="s">
        <v>779</v>
      </c>
      <c r="C4540" s="88"/>
      <c r="D4540" s="92"/>
      <c r="E4540" s="89"/>
      <c r="F4540" s="89"/>
      <c r="G4540" s="89"/>
    </row>
    <row r="4541">
      <c r="A4541" s="93"/>
      <c r="B4541" s="87" t="s">
        <v>779</v>
      </c>
      <c r="C4541" s="88"/>
      <c r="D4541" s="92"/>
      <c r="E4541" s="89"/>
      <c r="F4541" s="89"/>
      <c r="G4541" s="89"/>
    </row>
    <row r="4542">
      <c r="A4542" s="93"/>
      <c r="B4542" s="87" t="s">
        <v>779</v>
      </c>
      <c r="C4542" s="88"/>
      <c r="D4542" s="92"/>
      <c r="E4542" s="89"/>
      <c r="F4542" s="89"/>
      <c r="G4542" s="89"/>
    </row>
    <row r="4543">
      <c r="A4543" s="93"/>
      <c r="B4543" s="87" t="s">
        <v>779</v>
      </c>
      <c r="C4543" s="88"/>
      <c r="D4543" s="92"/>
      <c r="E4543" s="89"/>
      <c r="F4543" s="89"/>
      <c r="G4543" s="89"/>
    </row>
    <row r="4544">
      <c r="A4544" s="93"/>
      <c r="B4544" s="87" t="s">
        <v>779</v>
      </c>
      <c r="C4544" s="88"/>
      <c r="D4544" s="92"/>
      <c r="E4544" s="89"/>
      <c r="F4544" s="89"/>
      <c r="G4544" s="89"/>
    </row>
    <row r="4545">
      <c r="A4545" s="93"/>
      <c r="B4545" s="87" t="s">
        <v>779</v>
      </c>
      <c r="C4545" s="88"/>
      <c r="D4545" s="92"/>
      <c r="E4545" s="89"/>
      <c r="F4545" s="89"/>
      <c r="G4545" s="89"/>
    </row>
    <row r="4546">
      <c r="A4546" s="93"/>
      <c r="B4546" s="87" t="s">
        <v>779</v>
      </c>
      <c r="C4546" s="88"/>
      <c r="D4546" s="92"/>
      <c r="E4546" s="89"/>
      <c r="F4546" s="89"/>
      <c r="G4546" s="89"/>
    </row>
    <row r="4547">
      <c r="A4547" s="93"/>
      <c r="B4547" s="87" t="s">
        <v>779</v>
      </c>
      <c r="C4547" s="88"/>
      <c r="D4547" s="92"/>
      <c r="E4547" s="89"/>
      <c r="F4547" s="89"/>
      <c r="G4547" s="89"/>
    </row>
    <row r="4548">
      <c r="A4548" s="93"/>
      <c r="B4548" s="87" t="s">
        <v>779</v>
      </c>
      <c r="C4548" s="88"/>
      <c r="D4548" s="92"/>
      <c r="E4548" s="89"/>
      <c r="F4548" s="89"/>
      <c r="G4548" s="89"/>
    </row>
    <row r="4549">
      <c r="A4549" s="93"/>
      <c r="B4549" s="87" t="s">
        <v>779</v>
      </c>
      <c r="C4549" s="88"/>
      <c r="D4549" s="92"/>
      <c r="E4549" s="89"/>
      <c r="F4549" s="89"/>
      <c r="G4549" s="89"/>
    </row>
    <row r="4550">
      <c r="A4550" s="93"/>
      <c r="B4550" s="87" t="s">
        <v>779</v>
      </c>
      <c r="C4550" s="88"/>
      <c r="D4550" s="92"/>
      <c r="E4550" s="89"/>
      <c r="F4550" s="89"/>
      <c r="G4550" s="89"/>
    </row>
    <row r="4551">
      <c r="A4551" s="93"/>
      <c r="B4551" s="87" t="s">
        <v>779</v>
      </c>
      <c r="C4551" s="88"/>
      <c r="D4551" s="92"/>
      <c r="E4551" s="89"/>
      <c r="F4551" s="89"/>
      <c r="G4551" s="89"/>
    </row>
    <row r="4552">
      <c r="A4552" s="93"/>
      <c r="B4552" s="87" t="s">
        <v>779</v>
      </c>
      <c r="C4552" s="88"/>
      <c r="D4552" s="92"/>
      <c r="E4552" s="89"/>
      <c r="F4552" s="89"/>
      <c r="G4552" s="89"/>
    </row>
    <row r="4553">
      <c r="A4553" s="93"/>
      <c r="B4553" s="87" t="s">
        <v>779</v>
      </c>
      <c r="C4553" s="88"/>
      <c r="D4553" s="92"/>
      <c r="E4553" s="89"/>
      <c r="F4553" s="89"/>
      <c r="G4553" s="89"/>
    </row>
    <row r="4554">
      <c r="A4554" s="93"/>
      <c r="B4554" s="87" t="s">
        <v>779</v>
      </c>
      <c r="C4554" s="88"/>
      <c r="D4554" s="92"/>
      <c r="E4554" s="89"/>
      <c r="F4554" s="89"/>
      <c r="G4554" s="89"/>
    </row>
    <row r="4555">
      <c r="A4555" s="93"/>
      <c r="B4555" s="87" t="s">
        <v>779</v>
      </c>
      <c r="C4555" s="88"/>
      <c r="D4555" s="92"/>
      <c r="E4555" s="89"/>
      <c r="F4555" s="89"/>
      <c r="G4555" s="89"/>
    </row>
    <row r="4556">
      <c r="A4556" s="93"/>
      <c r="B4556" s="87" t="s">
        <v>779</v>
      </c>
      <c r="C4556" s="88"/>
      <c r="D4556" s="92"/>
      <c r="E4556" s="89"/>
      <c r="F4556" s="89"/>
      <c r="G4556" s="89"/>
    </row>
    <row r="4557">
      <c r="A4557" s="93"/>
      <c r="B4557" s="87" t="s">
        <v>779</v>
      </c>
      <c r="C4557" s="88"/>
      <c r="D4557" s="92"/>
      <c r="E4557" s="89"/>
      <c r="F4557" s="89"/>
      <c r="G4557" s="89"/>
    </row>
    <row r="4558">
      <c r="A4558" s="93"/>
      <c r="B4558" s="87" t="s">
        <v>779</v>
      </c>
      <c r="C4558" s="88"/>
      <c r="D4558" s="92"/>
      <c r="E4558" s="89"/>
      <c r="F4558" s="89"/>
      <c r="G4558" s="89"/>
    </row>
    <row r="4559">
      <c r="A4559" s="93"/>
      <c r="B4559" s="87" t="s">
        <v>779</v>
      </c>
      <c r="C4559" s="88"/>
      <c r="D4559" s="92"/>
      <c r="E4559" s="89"/>
      <c r="F4559" s="89"/>
      <c r="G4559" s="89"/>
    </row>
    <row r="4560">
      <c r="A4560" s="93"/>
      <c r="B4560" s="87" t="s">
        <v>779</v>
      </c>
      <c r="C4560" s="88"/>
      <c r="D4560" s="92"/>
      <c r="E4560" s="89"/>
      <c r="F4560" s="89"/>
      <c r="G4560" s="89"/>
    </row>
    <row r="4561">
      <c r="A4561" s="93"/>
      <c r="B4561" s="87" t="s">
        <v>779</v>
      </c>
      <c r="C4561" s="88"/>
      <c r="D4561" s="92"/>
      <c r="E4561" s="89"/>
      <c r="F4561" s="89"/>
      <c r="G4561" s="89"/>
    </row>
    <row r="4562">
      <c r="A4562" s="93"/>
      <c r="B4562" s="87" t="s">
        <v>779</v>
      </c>
      <c r="C4562" s="88"/>
      <c r="D4562" s="92"/>
      <c r="E4562" s="89"/>
      <c r="F4562" s="89"/>
      <c r="G4562" s="89"/>
    </row>
    <row r="4563">
      <c r="A4563" s="93"/>
      <c r="B4563" s="87" t="s">
        <v>779</v>
      </c>
      <c r="C4563" s="88"/>
      <c r="D4563" s="92"/>
      <c r="E4563" s="89"/>
      <c r="F4563" s="89"/>
      <c r="G4563" s="89"/>
    </row>
    <row r="4564">
      <c r="A4564" s="93"/>
      <c r="B4564" s="87" t="s">
        <v>779</v>
      </c>
      <c r="C4564" s="88"/>
      <c r="D4564" s="92"/>
      <c r="E4564" s="89"/>
      <c r="F4564" s="89"/>
      <c r="G4564" s="89"/>
    </row>
    <row r="4565">
      <c r="A4565" s="93"/>
      <c r="B4565" s="87" t="s">
        <v>779</v>
      </c>
      <c r="C4565" s="88"/>
      <c r="D4565" s="92"/>
      <c r="E4565" s="89"/>
      <c r="F4565" s="89"/>
      <c r="G4565" s="89"/>
    </row>
    <row r="4566">
      <c r="A4566" s="93"/>
      <c r="B4566" s="87" t="s">
        <v>779</v>
      </c>
      <c r="C4566" s="88"/>
      <c r="D4566" s="92"/>
      <c r="E4566" s="89"/>
      <c r="F4566" s="89"/>
      <c r="G4566" s="89"/>
    </row>
    <row r="4567">
      <c r="A4567" s="93"/>
      <c r="B4567" s="87" t="s">
        <v>779</v>
      </c>
      <c r="C4567" s="88"/>
      <c r="D4567" s="92"/>
      <c r="E4567" s="89"/>
      <c r="F4567" s="89"/>
      <c r="G4567" s="89"/>
    </row>
    <row r="4568">
      <c r="A4568" s="93"/>
      <c r="B4568" s="87" t="s">
        <v>779</v>
      </c>
      <c r="C4568" s="88"/>
      <c r="D4568" s="92"/>
      <c r="E4568" s="89"/>
      <c r="F4568" s="89"/>
      <c r="G4568" s="89"/>
    </row>
    <row r="4569">
      <c r="A4569" s="93"/>
      <c r="B4569" s="87" t="s">
        <v>779</v>
      </c>
      <c r="C4569" s="88"/>
      <c r="D4569" s="92"/>
      <c r="E4569" s="89"/>
      <c r="F4569" s="89"/>
      <c r="G4569" s="89"/>
    </row>
    <row r="4570">
      <c r="A4570" s="93"/>
      <c r="B4570" s="87" t="s">
        <v>779</v>
      </c>
      <c r="C4570" s="88"/>
      <c r="D4570" s="92"/>
      <c r="E4570" s="89"/>
      <c r="F4570" s="89"/>
      <c r="G4570" s="89"/>
    </row>
    <row r="4571">
      <c r="A4571" s="93"/>
      <c r="B4571" s="87" t="s">
        <v>779</v>
      </c>
      <c r="C4571" s="88"/>
      <c r="D4571" s="92"/>
      <c r="E4571" s="89"/>
      <c r="F4571" s="89"/>
      <c r="G4571" s="89"/>
    </row>
    <row r="4572">
      <c r="A4572" s="93"/>
      <c r="B4572" s="87" t="s">
        <v>779</v>
      </c>
      <c r="C4572" s="88"/>
      <c r="D4572" s="92"/>
      <c r="E4572" s="89"/>
      <c r="F4572" s="89"/>
      <c r="G4572" s="89"/>
    </row>
    <row r="4573">
      <c r="A4573" s="93"/>
      <c r="B4573" s="87" t="s">
        <v>779</v>
      </c>
      <c r="C4573" s="88"/>
      <c r="D4573" s="92"/>
      <c r="E4573" s="89"/>
      <c r="F4573" s="89"/>
      <c r="G4573" s="89"/>
    </row>
    <row r="4574">
      <c r="A4574" s="93"/>
      <c r="B4574" s="87" t="s">
        <v>779</v>
      </c>
      <c r="C4574" s="88"/>
      <c r="D4574" s="92"/>
      <c r="E4574" s="89"/>
      <c r="F4574" s="89"/>
      <c r="G4574" s="89"/>
    </row>
    <row r="4575">
      <c r="A4575" s="93"/>
      <c r="B4575" s="87" t="s">
        <v>779</v>
      </c>
      <c r="C4575" s="88"/>
      <c r="D4575" s="92"/>
      <c r="E4575" s="89"/>
      <c r="F4575" s="89"/>
      <c r="G4575" s="89"/>
    </row>
    <row r="4576">
      <c r="A4576" s="93"/>
      <c r="B4576" s="87" t="s">
        <v>779</v>
      </c>
      <c r="C4576" s="88"/>
      <c r="D4576" s="92"/>
      <c r="E4576" s="89"/>
      <c r="F4576" s="89"/>
      <c r="G4576" s="89"/>
    </row>
    <row r="4577">
      <c r="A4577" s="93"/>
      <c r="B4577" s="87" t="s">
        <v>779</v>
      </c>
      <c r="C4577" s="88"/>
      <c r="D4577" s="92"/>
      <c r="E4577" s="89"/>
      <c r="F4577" s="89"/>
      <c r="G4577" s="89"/>
    </row>
    <row r="4578">
      <c r="A4578" s="93"/>
      <c r="B4578" s="87" t="s">
        <v>779</v>
      </c>
      <c r="C4578" s="88"/>
      <c r="D4578" s="92"/>
      <c r="E4578" s="89"/>
      <c r="F4578" s="89"/>
      <c r="G4578" s="89"/>
    </row>
    <row r="4579">
      <c r="A4579" s="93"/>
      <c r="B4579" s="87" t="s">
        <v>779</v>
      </c>
      <c r="C4579" s="88"/>
      <c r="D4579" s="92"/>
      <c r="E4579" s="89"/>
      <c r="F4579" s="89"/>
      <c r="G4579" s="89"/>
    </row>
    <row r="4580">
      <c r="A4580" s="93"/>
      <c r="B4580" s="87" t="s">
        <v>779</v>
      </c>
      <c r="C4580" s="88"/>
      <c r="D4580" s="92"/>
      <c r="E4580" s="89"/>
      <c r="F4580" s="89"/>
      <c r="G4580" s="89"/>
    </row>
    <row r="4581">
      <c r="A4581" s="93"/>
      <c r="B4581" s="87" t="s">
        <v>779</v>
      </c>
      <c r="C4581" s="88"/>
      <c r="D4581" s="92"/>
      <c r="E4581" s="89"/>
      <c r="F4581" s="89"/>
      <c r="G4581" s="89"/>
    </row>
    <row r="4582">
      <c r="A4582" s="93"/>
      <c r="B4582" s="87" t="s">
        <v>779</v>
      </c>
      <c r="C4582" s="88"/>
      <c r="D4582" s="92"/>
      <c r="E4582" s="89"/>
      <c r="F4582" s="89"/>
      <c r="G4582" s="89"/>
    </row>
    <row r="4583">
      <c r="A4583" s="93"/>
      <c r="B4583" s="87" t="s">
        <v>779</v>
      </c>
      <c r="C4583" s="88"/>
      <c r="D4583" s="92"/>
      <c r="E4583" s="89"/>
      <c r="F4583" s="89"/>
      <c r="G4583" s="89"/>
    </row>
    <row r="4584">
      <c r="A4584" s="93"/>
      <c r="B4584" s="87" t="s">
        <v>779</v>
      </c>
      <c r="C4584" s="88"/>
      <c r="D4584" s="92"/>
      <c r="E4584" s="89"/>
      <c r="F4584" s="89"/>
      <c r="G4584" s="89"/>
    </row>
    <row r="4585">
      <c r="A4585" s="93"/>
      <c r="B4585" s="87" t="s">
        <v>779</v>
      </c>
      <c r="C4585" s="88"/>
      <c r="D4585" s="92"/>
      <c r="E4585" s="89"/>
      <c r="F4585" s="89"/>
      <c r="G4585" s="89"/>
    </row>
    <row r="4586">
      <c r="A4586" s="93"/>
      <c r="B4586" s="87" t="s">
        <v>779</v>
      </c>
      <c r="C4586" s="88"/>
      <c r="D4586" s="92"/>
      <c r="E4586" s="89"/>
      <c r="F4586" s="89"/>
      <c r="G4586" s="89"/>
    </row>
    <row r="4587">
      <c r="A4587" s="93"/>
      <c r="B4587" s="87" t="s">
        <v>779</v>
      </c>
      <c r="C4587" s="88"/>
      <c r="D4587" s="92"/>
      <c r="E4587" s="89"/>
      <c r="F4587" s="89"/>
      <c r="G4587" s="89"/>
    </row>
    <row r="4588">
      <c r="A4588" s="93"/>
      <c r="B4588" s="87" t="s">
        <v>779</v>
      </c>
      <c r="C4588" s="88"/>
      <c r="D4588" s="92"/>
      <c r="E4588" s="89"/>
      <c r="F4588" s="89"/>
      <c r="G4588" s="89"/>
    </row>
    <row r="4589">
      <c r="A4589" s="93"/>
      <c r="B4589" s="87" t="s">
        <v>779</v>
      </c>
      <c r="C4589" s="88"/>
      <c r="D4589" s="92"/>
      <c r="E4589" s="89"/>
      <c r="F4589" s="89"/>
      <c r="G4589" s="89"/>
    </row>
    <row r="4590">
      <c r="A4590" s="93"/>
      <c r="B4590" s="87" t="s">
        <v>779</v>
      </c>
      <c r="C4590" s="88"/>
      <c r="D4590" s="92"/>
      <c r="E4590" s="89"/>
      <c r="F4590" s="89"/>
      <c r="G4590" s="89"/>
    </row>
    <row r="4591">
      <c r="A4591" s="93"/>
      <c r="B4591" s="87" t="s">
        <v>779</v>
      </c>
      <c r="C4591" s="88"/>
      <c r="D4591" s="92"/>
      <c r="E4591" s="89"/>
      <c r="F4591" s="89"/>
      <c r="G4591" s="89"/>
    </row>
    <row r="4592">
      <c r="A4592" s="93"/>
      <c r="B4592" s="87" t="s">
        <v>779</v>
      </c>
      <c r="C4592" s="88"/>
      <c r="D4592" s="92"/>
      <c r="E4592" s="89"/>
      <c r="F4592" s="89"/>
      <c r="G4592" s="89"/>
    </row>
    <row r="4593">
      <c r="A4593" s="93"/>
      <c r="B4593" s="87" t="s">
        <v>779</v>
      </c>
      <c r="C4593" s="88"/>
      <c r="D4593" s="92"/>
      <c r="E4593" s="89"/>
      <c r="F4593" s="89"/>
      <c r="G4593" s="89"/>
    </row>
    <row r="4594">
      <c r="A4594" s="93"/>
      <c r="B4594" s="87" t="s">
        <v>779</v>
      </c>
      <c r="C4594" s="88"/>
      <c r="D4594" s="92"/>
      <c r="E4594" s="89"/>
      <c r="F4594" s="89"/>
      <c r="G4594" s="89"/>
    </row>
    <row r="4595">
      <c r="A4595" s="93"/>
      <c r="B4595" s="87" t="s">
        <v>779</v>
      </c>
      <c r="C4595" s="88"/>
      <c r="D4595" s="92"/>
      <c r="E4595" s="89"/>
      <c r="F4595" s="89"/>
      <c r="G4595" s="89"/>
    </row>
    <row r="4596">
      <c r="A4596" s="93"/>
      <c r="B4596" s="87" t="s">
        <v>779</v>
      </c>
      <c r="C4596" s="88"/>
      <c r="D4596" s="92"/>
      <c r="E4596" s="89"/>
      <c r="F4596" s="89"/>
      <c r="G4596" s="89"/>
    </row>
    <row r="4597">
      <c r="A4597" s="93"/>
      <c r="B4597" s="87" t="s">
        <v>779</v>
      </c>
      <c r="C4597" s="88"/>
      <c r="D4597" s="92"/>
      <c r="E4597" s="89"/>
      <c r="F4597" s="89"/>
      <c r="G4597" s="89"/>
    </row>
    <row r="4598">
      <c r="A4598" s="93"/>
      <c r="B4598" s="87" t="s">
        <v>779</v>
      </c>
      <c r="C4598" s="88"/>
      <c r="D4598" s="92"/>
      <c r="E4598" s="89"/>
      <c r="F4598" s="89"/>
      <c r="G4598" s="89"/>
    </row>
    <row r="4599">
      <c r="A4599" s="93"/>
      <c r="B4599" s="87" t="s">
        <v>779</v>
      </c>
      <c r="C4599" s="88"/>
      <c r="D4599" s="92"/>
      <c r="E4599" s="89"/>
      <c r="F4599" s="89"/>
      <c r="G4599" s="89"/>
    </row>
    <row r="4600">
      <c r="A4600" s="93"/>
      <c r="B4600" s="87" t="s">
        <v>779</v>
      </c>
      <c r="C4600" s="88"/>
      <c r="D4600" s="92"/>
      <c r="E4600" s="89"/>
      <c r="F4600" s="89"/>
      <c r="G4600" s="89"/>
    </row>
    <row r="4601">
      <c r="A4601" s="93"/>
      <c r="B4601" s="87" t="s">
        <v>779</v>
      </c>
      <c r="C4601" s="88"/>
      <c r="D4601" s="92"/>
      <c r="E4601" s="89"/>
      <c r="F4601" s="89"/>
      <c r="G4601" s="89"/>
    </row>
    <row r="4602">
      <c r="A4602" s="93"/>
      <c r="B4602" s="87" t="s">
        <v>779</v>
      </c>
      <c r="C4602" s="88"/>
      <c r="D4602" s="92"/>
      <c r="E4602" s="89"/>
      <c r="F4602" s="89"/>
      <c r="G4602" s="89"/>
    </row>
    <row r="4603">
      <c r="A4603" s="93"/>
      <c r="B4603" s="87" t="s">
        <v>779</v>
      </c>
      <c r="C4603" s="88"/>
      <c r="D4603" s="92"/>
      <c r="E4603" s="89"/>
      <c r="F4603" s="89"/>
      <c r="G4603" s="89"/>
    </row>
    <row r="4604">
      <c r="A4604" s="93"/>
      <c r="B4604" s="87" t="s">
        <v>779</v>
      </c>
      <c r="C4604" s="88"/>
      <c r="D4604" s="92"/>
      <c r="E4604" s="89"/>
      <c r="F4604" s="89"/>
      <c r="G4604" s="89"/>
    </row>
    <row r="4605">
      <c r="A4605" s="93"/>
      <c r="B4605" s="87" t="s">
        <v>779</v>
      </c>
      <c r="C4605" s="88"/>
      <c r="D4605" s="92"/>
      <c r="E4605" s="89"/>
      <c r="F4605" s="89"/>
      <c r="G4605" s="89"/>
    </row>
    <row r="4606">
      <c r="A4606" s="93"/>
      <c r="B4606" s="87" t="s">
        <v>779</v>
      </c>
      <c r="C4606" s="88"/>
      <c r="D4606" s="92"/>
      <c r="E4606" s="89"/>
      <c r="F4606" s="89"/>
      <c r="G4606" s="89"/>
    </row>
    <row r="4607">
      <c r="A4607" s="93"/>
      <c r="B4607" s="87" t="s">
        <v>779</v>
      </c>
      <c r="C4607" s="88"/>
      <c r="D4607" s="92"/>
      <c r="E4607" s="89"/>
      <c r="F4607" s="89"/>
      <c r="G4607" s="89"/>
    </row>
    <row r="4608">
      <c r="A4608" s="93"/>
      <c r="B4608" s="87" t="s">
        <v>779</v>
      </c>
      <c r="C4608" s="88"/>
      <c r="D4608" s="92"/>
      <c r="E4608" s="89"/>
      <c r="F4608" s="89"/>
      <c r="G4608" s="89"/>
    </row>
    <row r="4609">
      <c r="A4609" s="93"/>
      <c r="B4609" s="87" t="s">
        <v>779</v>
      </c>
      <c r="C4609" s="88"/>
      <c r="D4609" s="92"/>
      <c r="E4609" s="89"/>
      <c r="F4609" s="89"/>
      <c r="G4609" s="89"/>
    </row>
    <row r="4610">
      <c r="A4610" s="93"/>
      <c r="B4610" s="87" t="s">
        <v>779</v>
      </c>
      <c r="C4610" s="88"/>
      <c r="D4610" s="92"/>
      <c r="E4610" s="89"/>
      <c r="F4610" s="89"/>
      <c r="G4610" s="89"/>
    </row>
    <row r="4611">
      <c r="A4611" s="93"/>
      <c r="B4611" s="87" t="s">
        <v>779</v>
      </c>
      <c r="C4611" s="88"/>
      <c r="D4611" s="92"/>
      <c r="E4611" s="89"/>
      <c r="F4611" s="89"/>
      <c r="G4611" s="89"/>
    </row>
    <row r="4612">
      <c r="A4612" s="93"/>
      <c r="B4612" s="87" t="s">
        <v>779</v>
      </c>
      <c r="C4612" s="88"/>
      <c r="D4612" s="92"/>
      <c r="E4612" s="89"/>
      <c r="F4612" s="89"/>
      <c r="G4612" s="89"/>
    </row>
    <row r="4613">
      <c r="A4613" s="93"/>
      <c r="B4613" s="87" t="s">
        <v>779</v>
      </c>
      <c r="C4613" s="88"/>
      <c r="D4613" s="92"/>
      <c r="E4613" s="89"/>
      <c r="F4613" s="89"/>
      <c r="G4613" s="89"/>
    </row>
    <row r="4614">
      <c r="A4614" s="93"/>
      <c r="B4614" s="87" t="s">
        <v>779</v>
      </c>
      <c r="C4614" s="88"/>
      <c r="D4614" s="92"/>
      <c r="E4614" s="89"/>
      <c r="F4614" s="89"/>
      <c r="G4614" s="89"/>
    </row>
    <row r="4615">
      <c r="A4615" s="93"/>
      <c r="B4615" s="87" t="s">
        <v>779</v>
      </c>
      <c r="C4615" s="88"/>
      <c r="D4615" s="92"/>
      <c r="E4615" s="89"/>
      <c r="F4615" s="89"/>
      <c r="G4615" s="89"/>
    </row>
    <row r="4616">
      <c r="A4616" s="93"/>
      <c r="B4616" s="87" t="s">
        <v>779</v>
      </c>
      <c r="C4616" s="88"/>
      <c r="D4616" s="92"/>
      <c r="E4616" s="89"/>
      <c r="F4616" s="89"/>
      <c r="G4616" s="89"/>
    </row>
    <row r="4617">
      <c r="A4617" s="93"/>
      <c r="B4617" s="87" t="s">
        <v>779</v>
      </c>
      <c r="C4617" s="88"/>
      <c r="D4617" s="92"/>
      <c r="E4617" s="89"/>
      <c r="F4617" s="89"/>
      <c r="G4617" s="89"/>
    </row>
    <row r="4618">
      <c r="A4618" s="93"/>
      <c r="B4618" s="87" t="s">
        <v>779</v>
      </c>
      <c r="C4618" s="88"/>
      <c r="D4618" s="92"/>
      <c r="E4618" s="89"/>
      <c r="F4618" s="89"/>
      <c r="G4618" s="89"/>
    </row>
    <row r="4619">
      <c r="A4619" s="93"/>
      <c r="B4619" s="87" t="s">
        <v>779</v>
      </c>
      <c r="C4619" s="88"/>
      <c r="D4619" s="92"/>
      <c r="E4619" s="89"/>
      <c r="F4619" s="89"/>
      <c r="G4619" s="89"/>
    </row>
    <row r="4620">
      <c r="A4620" s="93"/>
      <c r="B4620" s="87" t="s">
        <v>779</v>
      </c>
      <c r="C4620" s="88"/>
      <c r="D4620" s="92"/>
      <c r="E4620" s="89"/>
      <c r="F4620" s="89"/>
      <c r="G4620" s="89"/>
    </row>
    <row r="4621">
      <c r="A4621" s="93"/>
      <c r="B4621" s="87" t="s">
        <v>779</v>
      </c>
      <c r="C4621" s="88"/>
      <c r="D4621" s="92"/>
      <c r="E4621" s="89"/>
      <c r="F4621" s="89"/>
      <c r="G4621" s="89"/>
    </row>
    <row r="4622">
      <c r="A4622" s="93"/>
      <c r="B4622" s="87" t="s">
        <v>779</v>
      </c>
      <c r="C4622" s="88"/>
      <c r="D4622" s="92"/>
      <c r="E4622" s="89"/>
      <c r="F4622" s="89"/>
      <c r="G4622" s="89"/>
    </row>
    <row r="4623">
      <c r="A4623" s="93"/>
      <c r="B4623" s="87" t="s">
        <v>779</v>
      </c>
      <c r="C4623" s="88"/>
      <c r="D4623" s="92"/>
      <c r="E4623" s="89"/>
      <c r="F4623" s="89"/>
      <c r="G4623" s="89"/>
    </row>
    <row r="4624">
      <c r="A4624" s="93"/>
      <c r="B4624" s="87" t="s">
        <v>779</v>
      </c>
      <c r="C4624" s="88"/>
      <c r="D4624" s="92"/>
      <c r="E4624" s="89"/>
      <c r="F4624" s="89"/>
      <c r="G4624" s="89"/>
    </row>
    <row r="4625">
      <c r="A4625" s="93"/>
      <c r="B4625" s="87" t="s">
        <v>779</v>
      </c>
      <c r="C4625" s="88"/>
      <c r="D4625" s="92"/>
      <c r="E4625" s="89"/>
      <c r="F4625" s="89"/>
      <c r="G4625" s="89"/>
    </row>
    <row r="4626">
      <c r="A4626" s="93"/>
      <c r="B4626" s="87" t="s">
        <v>779</v>
      </c>
      <c r="C4626" s="88"/>
      <c r="D4626" s="92"/>
      <c r="E4626" s="89"/>
      <c r="F4626" s="89"/>
      <c r="G4626" s="89"/>
    </row>
    <row r="4627">
      <c r="A4627" s="93"/>
      <c r="B4627" s="87" t="s">
        <v>779</v>
      </c>
      <c r="C4627" s="88"/>
      <c r="D4627" s="92"/>
      <c r="E4627" s="89"/>
      <c r="F4627" s="89"/>
      <c r="G4627" s="89"/>
    </row>
    <row r="4628">
      <c r="A4628" s="93"/>
      <c r="B4628" s="87" t="s">
        <v>779</v>
      </c>
      <c r="C4628" s="88"/>
      <c r="D4628" s="92"/>
      <c r="E4628" s="89"/>
      <c r="F4628" s="89"/>
      <c r="G4628" s="89"/>
    </row>
    <row r="4629">
      <c r="A4629" s="93"/>
      <c r="B4629" s="87" t="s">
        <v>779</v>
      </c>
      <c r="C4629" s="88"/>
      <c r="D4629" s="92"/>
      <c r="E4629" s="89"/>
      <c r="F4629" s="89"/>
      <c r="G4629" s="89"/>
    </row>
    <row r="4630">
      <c r="A4630" s="93"/>
      <c r="B4630" s="87" t="s">
        <v>779</v>
      </c>
      <c r="C4630" s="88"/>
      <c r="D4630" s="92"/>
      <c r="E4630" s="89"/>
      <c r="F4630" s="89"/>
      <c r="G4630" s="89"/>
    </row>
    <row r="4631">
      <c r="A4631" s="93"/>
      <c r="B4631" s="87" t="s">
        <v>779</v>
      </c>
      <c r="C4631" s="88"/>
      <c r="D4631" s="92"/>
      <c r="E4631" s="89"/>
      <c r="F4631" s="89"/>
      <c r="G4631" s="89"/>
    </row>
    <row r="4632">
      <c r="A4632" s="93"/>
      <c r="B4632" s="87" t="s">
        <v>779</v>
      </c>
      <c r="C4632" s="88"/>
      <c r="D4632" s="92"/>
      <c r="E4632" s="89"/>
      <c r="F4632" s="89"/>
      <c r="G4632" s="89"/>
    </row>
    <row r="4633">
      <c r="A4633" s="93"/>
      <c r="B4633" s="87" t="s">
        <v>779</v>
      </c>
      <c r="C4633" s="88"/>
      <c r="D4633" s="92"/>
      <c r="E4633" s="89"/>
      <c r="F4633" s="89"/>
      <c r="G4633" s="89"/>
    </row>
    <row r="4634">
      <c r="A4634" s="93"/>
      <c r="B4634" s="87" t="s">
        <v>779</v>
      </c>
      <c r="C4634" s="88"/>
      <c r="D4634" s="92"/>
      <c r="E4634" s="89"/>
      <c r="F4634" s="89"/>
      <c r="G4634" s="89"/>
    </row>
    <row r="4635">
      <c r="A4635" s="93"/>
      <c r="B4635" s="87" t="s">
        <v>779</v>
      </c>
      <c r="C4635" s="88"/>
      <c r="D4635" s="92"/>
      <c r="E4635" s="89"/>
      <c r="F4635" s="89"/>
      <c r="G4635" s="89"/>
    </row>
    <row r="4636">
      <c r="A4636" s="93"/>
      <c r="B4636" s="87" t="s">
        <v>779</v>
      </c>
      <c r="C4636" s="88"/>
      <c r="D4636" s="92"/>
      <c r="E4636" s="89"/>
      <c r="F4636" s="89"/>
      <c r="G4636" s="89"/>
    </row>
    <row r="4637">
      <c r="A4637" s="93"/>
      <c r="B4637" s="87" t="s">
        <v>779</v>
      </c>
      <c r="C4637" s="88"/>
      <c r="D4637" s="92"/>
      <c r="E4637" s="89"/>
      <c r="F4637" s="89"/>
      <c r="G4637" s="89"/>
    </row>
    <row r="4638">
      <c r="A4638" s="93"/>
      <c r="B4638" s="87" t="s">
        <v>779</v>
      </c>
      <c r="C4638" s="88"/>
      <c r="D4638" s="92"/>
      <c r="E4638" s="89"/>
      <c r="F4638" s="89"/>
      <c r="G4638" s="89"/>
    </row>
    <row r="4639">
      <c r="A4639" s="93"/>
      <c r="B4639" s="87" t="s">
        <v>779</v>
      </c>
      <c r="C4639" s="88"/>
      <c r="D4639" s="92"/>
      <c r="E4639" s="89"/>
      <c r="F4639" s="89"/>
      <c r="G4639" s="89"/>
    </row>
    <row r="4640">
      <c r="A4640" s="93"/>
      <c r="B4640" s="87" t="s">
        <v>779</v>
      </c>
      <c r="C4640" s="88"/>
      <c r="D4640" s="92"/>
      <c r="E4640" s="89"/>
      <c r="F4640" s="89"/>
      <c r="G4640" s="89"/>
    </row>
    <row r="4641">
      <c r="A4641" s="93"/>
      <c r="B4641" s="87" t="s">
        <v>779</v>
      </c>
      <c r="C4641" s="88"/>
      <c r="D4641" s="92"/>
      <c r="E4641" s="89"/>
      <c r="F4641" s="89"/>
      <c r="G4641" s="89"/>
    </row>
    <row r="4642">
      <c r="A4642" s="93"/>
      <c r="B4642" s="87" t="s">
        <v>779</v>
      </c>
      <c r="C4642" s="88"/>
      <c r="D4642" s="92"/>
      <c r="E4642" s="89"/>
      <c r="F4642" s="89"/>
      <c r="G4642" s="89"/>
    </row>
    <row r="4643">
      <c r="A4643" s="93"/>
      <c r="B4643" s="87" t="s">
        <v>779</v>
      </c>
      <c r="C4643" s="88"/>
      <c r="D4643" s="92"/>
      <c r="E4643" s="89"/>
      <c r="F4643" s="89"/>
      <c r="G4643" s="89"/>
    </row>
    <row r="4644">
      <c r="A4644" s="93"/>
      <c r="B4644" s="87" t="s">
        <v>779</v>
      </c>
      <c r="C4644" s="88"/>
      <c r="D4644" s="92"/>
      <c r="E4644" s="89"/>
      <c r="F4644" s="89"/>
      <c r="G4644" s="89"/>
    </row>
    <row r="4645">
      <c r="A4645" s="93"/>
      <c r="B4645" s="87" t="s">
        <v>779</v>
      </c>
      <c r="C4645" s="88"/>
      <c r="D4645" s="92"/>
      <c r="E4645" s="89"/>
      <c r="F4645" s="89"/>
      <c r="G4645" s="89"/>
    </row>
    <row r="4646">
      <c r="A4646" s="93"/>
      <c r="B4646" s="87" t="s">
        <v>779</v>
      </c>
      <c r="C4646" s="88"/>
      <c r="D4646" s="92"/>
      <c r="E4646" s="89"/>
      <c r="F4646" s="89"/>
      <c r="G4646" s="89"/>
    </row>
    <row r="4647">
      <c r="A4647" s="93"/>
      <c r="B4647" s="87" t="s">
        <v>779</v>
      </c>
      <c r="C4647" s="88"/>
      <c r="D4647" s="92"/>
      <c r="E4647" s="89"/>
      <c r="F4647" s="89"/>
      <c r="G4647" s="89"/>
    </row>
    <row r="4648">
      <c r="A4648" s="93"/>
      <c r="B4648" s="87" t="s">
        <v>779</v>
      </c>
      <c r="C4648" s="88"/>
      <c r="D4648" s="92"/>
      <c r="E4648" s="89"/>
      <c r="F4648" s="89"/>
      <c r="G4648" s="89"/>
    </row>
    <row r="4649">
      <c r="A4649" s="93"/>
      <c r="B4649" s="87" t="s">
        <v>779</v>
      </c>
      <c r="C4649" s="88"/>
      <c r="D4649" s="92"/>
      <c r="E4649" s="89"/>
      <c r="F4649" s="89"/>
      <c r="G4649" s="89"/>
    </row>
    <row r="4650">
      <c r="A4650" s="93"/>
      <c r="B4650" s="87" t="s">
        <v>779</v>
      </c>
      <c r="C4650" s="88"/>
      <c r="D4650" s="92"/>
      <c r="E4650" s="89"/>
      <c r="F4650" s="89"/>
      <c r="G4650" s="89"/>
    </row>
    <row r="4651">
      <c r="A4651" s="93"/>
      <c r="B4651" s="87" t="s">
        <v>779</v>
      </c>
      <c r="C4651" s="88"/>
      <c r="D4651" s="92"/>
      <c r="E4651" s="89"/>
      <c r="F4651" s="89"/>
      <c r="G4651" s="89"/>
    </row>
    <row r="4652">
      <c r="A4652" s="93"/>
      <c r="B4652" s="87" t="s">
        <v>779</v>
      </c>
      <c r="C4652" s="88"/>
      <c r="D4652" s="92"/>
      <c r="E4652" s="89"/>
      <c r="F4652" s="89"/>
      <c r="G4652" s="89"/>
    </row>
    <row r="4653">
      <c r="A4653" s="93"/>
      <c r="B4653" s="87" t="s">
        <v>779</v>
      </c>
      <c r="C4653" s="88"/>
      <c r="D4653" s="92"/>
      <c r="E4653" s="89"/>
      <c r="F4653" s="89"/>
      <c r="G4653" s="89"/>
    </row>
    <row r="4654">
      <c r="A4654" s="93"/>
      <c r="B4654" s="87" t="s">
        <v>779</v>
      </c>
      <c r="C4654" s="88"/>
      <c r="D4654" s="92"/>
      <c r="E4654" s="89"/>
      <c r="F4654" s="89"/>
      <c r="G4654" s="89"/>
    </row>
    <row r="4655">
      <c r="A4655" s="93"/>
      <c r="B4655" s="87" t="s">
        <v>779</v>
      </c>
      <c r="C4655" s="88"/>
      <c r="D4655" s="92"/>
      <c r="E4655" s="89"/>
      <c r="F4655" s="89"/>
      <c r="G4655" s="89"/>
    </row>
    <row r="4656">
      <c r="A4656" s="93"/>
      <c r="B4656" s="87" t="s">
        <v>779</v>
      </c>
      <c r="C4656" s="88"/>
      <c r="D4656" s="92"/>
      <c r="E4656" s="89"/>
      <c r="F4656" s="89"/>
      <c r="G4656" s="89"/>
    </row>
    <row r="4657">
      <c r="A4657" s="93"/>
      <c r="B4657" s="87" t="s">
        <v>779</v>
      </c>
      <c r="C4657" s="88"/>
      <c r="D4657" s="92"/>
      <c r="E4657" s="89"/>
      <c r="F4657" s="89"/>
      <c r="G4657" s="89"/>
    </row>
    <row r="4658">
      <c r="A4658" s="93"/>
      <c r="B4658" s="87" t="s">
        <v>779</v>
      </c>
      <c r="C4658" s="88"/>
      <c r="D4658" s="92"/>
      <c r="E4658" s="89"/>
      <c r="F4658" s="89"/>
      <c r="G4658" s="89"/>
    </row>
    <row r="4659">
      <c r="A4659" s="93"/>
      <c r="B4659" s="87" t="s">
        <v>779</v>
      </c>
      <c r="C4659" s="88"/>
      <c r="D4659" s="92"/>
      <c r="E4659" s="89"/>
      <c r="F4659" s="89"/>
      <c r="G4659" s="89"/>
    </row>
    <row r="4660">
      <c r="A4660" s="93"/>
      <c r="B4660" s="87" t="s">
        <v>779</v>
      </c>
      <c r="C4660" s="88"/>
      <c r="D4660" s="92"/>
      <c r="E4660" s="89"/>
      <c r="F4660" s="89"/>
      <c r="G4660" s="89"/>
    </row>
    <row r="4661">
      <c r="A4661" s="93"/>
      <c r="B4661" s="87" t="s">
        <v>779</v>
      </c>
      <c r="C4661" s="88"/>
      <c r="D4661" s="92"/>
      <c r="E4661" s="89"/>
      <c r="F4661" s="89"/>
      <c r="G4661" s="89"/>
    </row>
    <row r="4662">
      <c r="A4662" s="93"/>
      <c r="B4662" s="87" t="s">
        <v>779</v>
      </c>
      <c r="C4662" s="88"/>
      <c r="D4662" s="92"/>
      <c r="E4662" s="89"/>
      <c r="F4662" s="89"/>
      <c r="G4662" s="89"/>
    </row>
    <row r="4663">
      <c r="A4663" s="93"/>
      <c r="B4663" s="87" t="s">
        <v>779</v>
      </c>
      <c r="C4663" s="88"/>
      <c r="D4663" s="92"/>
      <c r="E4663" s="89"/>
      <c r="F4663" s="89"/>
      <c r="G4663" s="89"/>
    </row>
    <row r="4664">
      <c r="A4664" s="93"/>
      <c r="B4664" s="87" t="s">
        <v>779</v>
      </c>
      <c r="C4664" s="88"/>
      <c r="D4664" s="92"/>
      <c r="E4664" s="89"/>
      <c r="F4664" s="89"/>
      <c r="G4664" s="89"/>
    </row>
    <row r="4665">
      <c r="A4665" s="93"/>
      <c r="B4665" s="87" t="s">
        <v>779</v>
      </c>
      <c r="C4665" s="88"/>
      <c r="D4665" s="92"/>
      <c r="E4665" s="89"/>
      <c r="F4665" s="89"/>
      <c r="G4665" s="89"/>
    </row>
    <row r="4666">
      <c r="A4666" s="93"/>
      <c r="B4666" s="87" t="s">
        <v>779</v>
      </c>
      <c r="C4666" s="88"/>
      <c r="D4666" s="92"/>
      <c r="E4666" s="89"/>
      <c r="F4666" s="89"/>
      <c r="G4666" s="89"/>
    </row>
    <row r="4667">
      <c r="A4667" s="93"/>
      <c r="B4667" s="87" t="s">
        <v>779</v>
      </c>
      <c r="C4667" s="88"/>
      <c r="D4667" s="92"/>
      <c r="E4667" s="89"/>
      <c r="F4667" s="89"/>
      <c r="G4667" s="89"/>
    </row>
    <row r="4668">
      <c r="A4668" s="93"/>
      <c r="B4668" s="87" t="s">
        <v>779</v>
      </c>
      <c r="C4668" s="88"/>
      <c r="D4668" s="92"/>
      <c r="E4668" s="89"/>
      <c r="F4668" s="89"/>
      <c r="G4668" s="89"/>
    </row>
    <row r="4669">
      <c r="A4669" s="93"/>
      <c r="B4669" s="87" t="s">
        <v>779</v>
      </c>
      <c r="C4669" s="88"/>
      <c r="D4669" s="92"/>
      <c r="E4669" s="89"/>
      <c r="F4669" s="89"/>
      <c r="G4669" s="89"/>
    </row>
    <row r="4670">
      <c r="A4670" s="93"/>
      <c r="B4670" s="87" t="s">
        <v>779</v>
      </c>
      <c r="C4670" s="88"/>
      <c r="D4670" s="92"/>
      <c r="E4670" s="89"/>
      <c r="F4670" s="89"/>
      <c r="G4670" s="89"/>
    </row>
    <row r="4671">
      <c r="A4671" s="93"/>
      <c r="B4671" s="87" t="s">
        <v>779</v>
      </c>
      <c r="C4671" s="88"/>
      <c r="D4671" s="92"/>
      <c r="E4671" s="89"/>
      <c r="F4671" s="89"/>
      <c r="G4671" s="89"/>
    </row>
    <row r="4672">
      <c r="A4672" s="93"/>
      <c r="B4672" s="87" t="s">
        <v>779</v>
      </c>
      <c r="C4672" s="88"/>
      <c r="D4672" s="92"/>
      <c r="E4672" s="89"/>
      <c r="F4672" s="89"/>
      <c r="G4672" s="89"/>
    </row>
    <row r="4673">
      <c r="A4673" s="93"/>
      <c r="B4673" s="87" t="s">
        <v>779</v>
      </c>
      <c r="C4673" s="88"/>
      <c r="D4673" s="92"/>
      <c r="E4673" s="89"/>
      <c r="F4673" s="89"/>
      <c r="G4673" s="89"/>
    </row>
    <row r="4674">
      <c r="A4674" s="93"/>
      <c r="B4674" s="87" t="s">
        <v>779</v>
      </c>
      <c r="C4674" s="88"/>
      <c r="D4674" s="92"/>
      <c r="E4674" s="89"/>
      <c r="F4674" s="89"/>
      <c r="G4674" s="89"/>
    </row>
    <row r="4675">
      <c r="A4675" s="93"/>
      <c r="B4675" s="87" t="s">
        <v>779</v>
      </c>
      <c r="C4675" s="88"/>
      <c r="D4675" s="92"/>
      <c r="E4675" s="89"/>
      <c r="F4675" s="89"/>
      <c r="G4675" s="89"/>
    </row>
    <row r="4676">
      <c r="A4676" s="93"/>
      <c r="B4676" s="87" t="s">
        <v>779</v>
      </c>
      <c r="C4676" s="88"/>
      <c r="D4676" s="92"/>
      <c r="E4676" s="89"/>
      <c r="F4676" s="89"/>
      <c r="G4676" s="89"/>
    </row>
    <row r="4677">
      <c r="A4677" s="93"/>
      <c r="B4677" s="87" t="s">
        <v>779</v>
      </c>
      <c r="C4677" s="88"/>
      <c r="D4677" s="92"/>
      <c r="E4677" s="89"/>
      <c r="F4677" s="89"/>
      <c r="G4677" s="89"/>
    </row>
    <row r="4678">
      <c r="A4678" s="93"/>
      <c r="B4678" s="87" t="s">
        <v>779</v>
      </c>
      <c r="C4678" s="88"/>
      <c r="D4678" s="92"/>
      <c r="E4678" s="89"/>
      <c r="F4678" s="89"/>
      <c r="G4678" s="89"/>
    </row>
    <row r="4679">
      <c r="A4679" s="93"/>
      <c r="B4679" s="87" t="s">
        <v>779</v>
      </c>
      <c r="C4679" s="88"/>
      <c r="D4679" s="92"/>
      <c r="E4679" s="89"/>
      <c r="F4679" s="89"/>
      <c r="G4679" s="89"/>
    </row>
    <row r="4680">
      <c r="A4680" s="93"/>
      <c r="B4680" s="87" t="s">
        <v>779</v>
      </c>
      <c r="C4680" s="88"/>
      <c r="D4680" s="92"/>
      <c r="E4680" s="89"/>
      <c r="F4680" s="89"/>
      <c r="G4680" s="89"/>
    </row>
    <row r="4681">
      <c r="A4681" s="93"/>
      <c r="B4681" s="87" t="s">
        <v>779</v>
      </c>
      <c r="C4681" s="88"/>
      <c r="D4681" s="92"/>
      <c r="E4681" s="89"/>
      <c r="F4681" s="89"/>
      <c r="G4681" s="89"/>
    </row>
    <row r="4682">
      <c r="A4682" s="93"/>
      <c r="B4682" s="87" t="s">
        <v>779</v>
      </c>
      <c r="C4682" s="88"/>
      <c r="D4682" s="92"/>
      <c r="E4682" s="89"/>
      <c r="F4682" s="89"/>
      <c r="G4682" s="89"/>
    </row>
    <row r="4683">
      <c r="A4683" s="93"/>
      <c r="B4683" s="87" t="s">
        <v>779</v>
      </c>
      <c r="C4683" s="88"/>
      <c r="D4683" s="92"/>
      <c r="E4683" s="89"/>
      <c r="F4683" s="89"/>
      <c r="G4683" s="89"/>
    </row>
    <row r="4684">
      <c r="A4684" s="93"/>
      <c r="B4684" s="87" t="s">
        <v>779</v>
      </c>
      <c r="C4684" s="88"/>
      <c r="D4684" s="92"/>
      <c r="E4684" s="89"/>
      <c r="F4684" s="89"/>
      <c r="G4684" s="89"/>
    </row>
    <row r="4685">
      <c r="A4685" s="93"/>
      <c r="B4685" s="87" t="s">
        <v>779</v>
      </c>
      <c r="C4685" s="88"/>
      <c r="D4685" s="92"/>
      <c r="E4685" s="89"/>
      <c r="F4685" s="89"/>
      <c r="G4685" s="89"/>
    </row>
    <row r="4686">
      <c r="A4686" s="93"/>
      <c r="B4686" s="87" t="s">
        <v>779</v>
      </c>
      <c r="C4686" s="88"/>
      <c r="D4686" s="92"/>
      <c r="E4686" s="89"/>
      <c r="F4686" s="89"/>
      <c r="G4686" s="89"/>
    </row>
    <row r="4687">
      <c r="A4687" s="93"/>
      <c r="B4687" s="87" t="s">
        <v>779</v>
      </c>
      <c r="C4687" s="88"/>
      <c r="D4687" s="92"/>
      <c r="E4687" s="89"/>
      <c r="F4687" s="89"/>
      <c r="G4687" s="89"/>
    </row>
    <row r="4688">
      <c r="A4688" s="93"/>
      <c r="B4688" s="87" t="s">
        <v>779</v>
      </c>
      <c r="C4688" s="88"/>
      <c r="D4688" s="92"/>
      <c r="E4688" s="89"/>
      <c r="F4688" s="89"/>
      <c r="G4688" s="89"/>
    </row>
    <row r="4689">
      <c r="A4689" s="93"/>
      <c r="B4689" s="87" t="s">
        <v>779</v>
      </c>
      <c r="C4689" s="88"/>
      <c r="D4689" s="92"/>
      <c r="E4689" s="89"/>
      <c r="F4689" s="89"/>
      <c r="G4689" s="89"/>
    </row>
    <row r="4690">
      <c r="A4690" s="93"/>
      <c r="B4690" s="87" t="s">
        <v>779</v>
      </c>
      <c r="C4690" s="88"/>
      <c r="D4690" s="92"/>
      <c r="E4690" s="89"/>
      <c r="F4690" s="89"/>
      <c r="G4690" s="89"/>
    </row>
    <row r="4691">
      <c r="A4691" s="93"/>
      <c r="B4691" s="87" t="s">
        <v>779</v>
      </c>
      <c r="C4691" s="88"/>
      <c r="D4691" s="92"/>
      <c r="E4691" s="89"/>
      <c r="F4691" s="89"/>
      <c r="G4691" s="89"/>
    </row>
    <row r="4692">
      <c r="A4692" s="93"/>
      <c r="B4692" s="87" t="s">
        <v>779</v>
      </c>
      <c r="C4692" s="88"/>
      <c r="D4692" s="92"/>
      <c r="E4692" s="89"/>
      <c r="F4692" s="89"/>
      <c r="G4692" s="89"/>
    </row>
    <row r="4693">
      <c r="A4693" s="93"/>
      <c r="B4693" s="87" t="s">
        <v>779</v>
      </c>
      <c r="C4693" s="88"/>
      <c r="D4693" s="92"/>
      <c r="E4693" s="89"/>
      <c r="F4693" s="89"/>
      <c r="G4693" s="89"/>
    </row>
    <row r="4694">
      <c r="A4694" s="93"/>
      <c r="B4694" s="87" t="s">
        <v>779</v>
      </c>
      <c r="C4694" s="88"/>
      <c r="D4694" s="92"/>
      <c r="E4694" s="89"/>
      <c r="F4694" s="89"/>
      <c r="G4694" s="89"/>
    </row>
    <row r="4695">
      <c r="A4695" s="93"/>
      <c r="B4695" s="87" t="s">
        <v>779</v>
      </c>
      <c r="C4695" s="88"/>
      <c r="D4695" s="92"/>
      <c r="E4695" s="89"/>
      <c r="F4695" s="89"/>
      <c r="G4695" s="89"/>
    </row>
    <row r="4696">
      <c r="A4696" s="93"/>
      <c r="B4696" s="87" t="s">
        <v>779</v>
      </c>
      <c r="C4696" s="88"/>
      <c r="D4696" s="92"/>
      <c r="E4696" s="89"/>
      <c r="F4696" s="89"/>
      <c r="G4696" s="89"/>
    </row>
    <row r="4697">
      <c r="A4697" s="93"/>
      <c r="B4697" s="87" t="s">
        <v>779</v>
      </c>
      <c r="C4697" s="88"/>
      <c r="D4697" s="92"/>
      <c r="E4697" s="89"/>
      <c r="F4697" s="89"/>
      <c r="G4697" s="89"/>
    </row>
    <row r="4698">
      <c r="A4698" s="93"/>
      <c r="B4698" s="87" t="s">
        <v>779</v>
      </c>
      <c r="C4698" s="88"/>
      <c r="D4698" s="92"/>
      <c r="E4698" s="89"/>
      <c r="F4698" s="89"/>
      <c r="G4698" s="89"/>
    </row>
    <row r="4699">
      <c r="A4699" s="93"/>
      <c r="B4699" s="87" t="s">
        <v>779</v>
      </c>
      <c r="C4699" s="88"/>
      <c r="D4699" s="92"/>
      <c r="E4699" s="89"/>
      <c r="F4699" s="89"/>
      <c r="G4699" s="89"/>
    </row>
    <row r="4700">
      <c r="A4700" s="93"/>
      <c r="B4700" s="87" t="s">
        <v>779</v>
      </c>
      <c r="C4700" s="88"/>
      <c r="D4700" s="92"/>
      <c r="E4700" s="89"/>
      <c r="F4700" s="89"/>
      <c r="G4700" s="89"/>
    </row>
    <row r="4701">
      <c r="A4701" s="93"/>
      <c r="B4701" s="87" t="s">
        <v>779</v>
      </c>
      <c r="C4701" s="88"/>
      <c r="D4701" s="92"/>
      <c r="E4701" s="89"/>
      <c r="F4701" s="89"/>
      <c r="G4701" s="89"/>
    </row>
    <row r="4702">
      <c r="A4702" s="93"/>
      <c r="B4702" s="87" t="s">
        <v>779</v>
      </c>
      <c r="C4702" s="88"/>
      <c r="D4702" s="92"/>
      <c r="E4702" s="89"/>
      <c r="F4702" s="89"/>
      <c r="G4702" s="89"/>
    </row>
    <row r="4703">
      <c r="A4703" s="93"/>
      <c r="B4703" s="87" t="s">
        <v>779</v>
      </c>
      <c r="C4703" s="88"/>
      <c r="D4703" s="92"/>
      <c r="E4703" s="89"/>
      <c r="F4703" s="89"/>
      <c r="G4703" s="89"/>
    </row>
    <row r="4704">
      <c r="A4704" s="93"/>
      <c r="B4704" s="87" t="s">
        <v>779</v>
      </c>
      <c r="C4704" s="88"/>
      <c r="D4704" s="92"/>
      <c r="E4704" s="89"/>
      <c r="F4704" s="89"/>
      <c r="G4704" s="89"/>
    </row>
    <row r="4705">
      <c r="A4705" s="93"/>
      <c r="B4705" s="87" t="s">
        <v>779</v>
      </c>
      <c r="C4705" s="88"/>
      <c r="D4705" s="92"/>
      <c r="E4705" s="89"/>
      <c r="F4705" s="89"/>
      <c r="G4705" s="89"/>
    </row>
    <row r="4706">
      <c r="A4706" s="93"/>
      <c r="B4706" s="87" t="s">
        <v>779</v>
      </c>
      <c r="C4706" s="88"/>
      <c r="D4706" s="92"/>
      <c r="E4706" s="89"/>
      <c r="F4706" s="89"/>
      <c r="G4706" s="89"/>
    </row>
    <row r="4707">
      <c r="A4707" s="93"/>
      <c r="B4707" s="87" t="s">
        <v>779</v>
      </c>
      <c r="C4707" s="88"/>
      <c r="D4707" s="92"/>
      <c r="E4707" s="89"/>
      <c r="F4707" s="89"/>
      <c r="G4707" s="89"/>
    </row>
    <row r="4708">
      <c r="A4708" s="93"/>
      <c r="B4708" s="87" t="s">
        <v>779</v>
      </c>
      <c r="C4708" s="88"/>
      <c r="D4708" s="92"/>
      <c r="E4708" s="89"/>
      <c r="F4708" s="89"/>
      <c r="G4708" s="89"/>
    </row>
    <row r="4709">
      <c r="A4709" s="93"/>
      <c r="B4709" s="87" t="s">
        <v>779</v>
      </c>
      <c r="C4709" s="88"/>
      <c r="D4709" s="92"/>
      <c r="E4709" s="89"/>
      <c r="F4709" s="89"/>
      <c r="G4709" s="89"/>
    </row>
    <row r="4710">
      <c r="A4710" s="93"/>
      <c r="B4710" s="87" t="s">
        <v>779</v>
      </c>
      <c r="C4710" s="88"/>
      <c r="D4710" s="92"/>
      <c r="E4710" s="89"/>
      <c r="F4710" s="89"/>
      <c r="G4710" s="89"/>
    </row>
    <row r="4711">
      <c r="A4711" s="93"/>
      <c r="B4711" s="87" t="s">
        <v>779</v>
      </c>
      <c r="C4711" s="88"/>
      <c r="D4711" s="92"/>
      <c r="E4711" s="89"/>
      <c r="F4711" s="89"/>
      <c r="G4711" s="89"/>
    </row>
    <row r="4712">
      <c r="A4712" s="93"/>
      <c r="B4712" s="87" t="s">
        <v>779</v>
      </c>
      <c r="C4712" s="88"/>
      <c r="D4712" s="92"/>
      <c r="E4712" s="89"/>
      <c r="F4712" s="89"/>
      <c r="G4712" s="89"/>
    </row>
    <row r="4713">
      <c r="A4713" s="93"/>
      <c r="B4713" s="87" t="s">
        <v>779</v>
      </c>
      <c r="C4713" s="88"/>
      <c r="D4713" s="92"/>
      <c r="E4713" s="89"/>
      <c r="F4713" s="89"/>
      <c r="G4713" s="89"/>
    </row>
    <row r="4714">
      <c r="A4714" s="93"/>
      <c r="B4714" s="87" t="s">
        <v>779</v>
      </c>
      <c r="C4714" s="88"/>
      <c r="D4714" s="92"/>
      <c r="E4714" s="89"/>
      <c r="F4714" s="89"/>
      <c r="G4714" s="89"/>
    </row>
    <row r="4715">
      <c r="A4715" s="93"/>
      <c r="B4715" s="87" t="s">
        <v>779</v>
      </c>
      <c r="C4715" s="88"/>
      <c r="D4715" s="92"/>
      <c r="E4715" s="89"/>
      <c r="F4715" s="89"/>
      <c r="G4715" s="89"/>
    </row>
    <row r="4716">
      <c r="A4716" s="93"/>
      <c r="B4716" s="87" t="s">
        <v>779</v>
      </c>
      <c r="C4716" s="88"/>
      <c r="D4716" s="92"/>
      <c r="E4716" s="89"/>
      <c r="F4716" s="89"/>
      <c r="G4716" s="89"/>
    </row>
    <row r="4717">
      <c r="A4717" s="93"/>
      <c r="B4717" s="87" t="s">
        <v>779</v>
      </c>
      <c r="C4717" s="88"/>
      <c r="D4717" s="92"/>
      <c r="E4717" s="89"/>
      <c r="F4717" s="89"/>
      <c r="G4717" s="89"/>
    </row>
    <row r="4718">
      <c r="A4718" s="93"/>
      <c r="B4718" s="87" t="s">
        <v>779</v>
      </c>
      <c r="C4718" s="88"/>
      <c r="D4718" s="92"/>
      <c r="E4718" s="89"/>
      <c r="F4718" s="89"/>
      <c r="G4718" s="89"/>
    </row>
    <row r="4719">
      <c r="A4719" s="93"/>
      <c r="B4719" s="87" t="s">
        <v>779</v>
      </c>
      <c r="C4719" s="88"/>
      <c r="D4719" s="92"/>
      <c r="E4719" s="89"/>
      <c r="F4719" s="89"/>
      <c r="G4719" s="89"/>
    </row>
    <row r="4720">
      <c r="A4720" s="93"/>
      <c r="B4720" s="87" t="s">
        <v>779</v>
      </c>
      <c r="C4720" s="88"/>
      <c r="D4720" s="92"/>
      <c r="E4720" s="89"/>
      <c r="F4720" s="89"/>
      <c r="G4720" s="89"/>
    </row>
    <row r="4721">
      <c r="A4721" s="93"/>
      <c r="B4721" s="87" t="s">
        <v>779</v>
      </c>
      <c r="C4721" s="88"/>
      <c r="D4721" s="92"/>
      <c r="E4721" s="89"/>
      <c r="F4721" s="89"/>
      <c r="G4721" s="89"/>
    </row>
    <row r="4722">
      <c r="A4722" s="93"/>
      <c r="B4722" s="87" t="s">
        <v>779</v>
      </c>
      <c r="C4722" s="88"/>
      <c r="D4722" s="92"/>
      <c r="E4722" s="89"/>
      <c r="F4722" s="89"/>
      <c r="G4722" s="89"/>
    </row>
    <row r="4723">
      <c r="A4723" s="93"/>
      <c r="B4723" s="87" t="s">
        <v>779</v>
      </c>
      <c r="C4723" s="88"/>
      <c r="D4723" s="92"/>
      <c r="E4723" s="89"/>
      <c r="F4723" s="89"/>
      <c r="G4723" s="89"/>
    </row>
    <row r="4724">
      <c r="A4724" s="93"/>
      <c r="B4724" s="87" t="s">
        <v>779</v>
      </c>
      <c r="C4724" s="88"/>
      <c r="D4724" s="92"/>
      <c r="E4724" s="89"/>
      <c r="F4724" s="89"/>
      <c r="G4724" s="89"/>
    </row>
    <row r="4725">
      <c r="A4725" s="93"/>
      <c r="B4725" s="87" t="s">
        <v>779</v>
      </c>
      <c r="C4725" s="88"/>
      <c r="D4725" s="92"/>
      <c r="E4725" s="89"/>
      <c r="F4725" s="89"/>
      <c r="G4725" s="89"/>
    </row>
    <row r="4726">
      <c r="A4726" s="93"/>
      <c r="B4726" s="87" t="s">
        <v>779</v>
      </c>
      <c r="C4726" s="88"/>
      <c r="D4726" s="92"/>
      <c r="E4726" s="89"/>
      <c r="F4726" s="89"/>
      <c r="G4726" s="89"/>
    </row>
    <row r="4727">
      <c r="A4727" s="93"/>
      <c r="B4727" s="87" t="s">
        <v>779</v>
      </c>
      <c r="C4727" s="88"/>
      <c r="D4727" s="92"/>
      <c r="E4727" s="89"/>
      <c r="F4727" s="89"/>
      <c r="G4727" s="89"/>
    </row>
    <row r="4728">
      <c r="A4728" s="93"/>
      <c r="B4728" s="87" t="s">
        <v>779</v>
      </c>
      <c r="C4728" s="88"/>
      <c r="D4728" s="92"/>
      <c r="E4728" s="89"/>
      <c r="F4728" s="89"/>
      <c r="G4728" s="89"/>
    </row>
    <row r="4729">
      <c r="A4729" s="93"/>
      <c r="B4729" s="87" t="s">
        <v>779</v>
      </c>
      <c r="C4729" s="88"/>
      <c r="D4729" s="92"/>
      <c r="E4729" s="89"/>
      <c r="F4729" s="89"/>
      <c r="G4729" s="89"/>
    </row>
    <row r="4730">
      <c r="A4730" s="93"/>
      <c r="B4730" s="87" t="s">
        <v>779</v>
      </c>
      <c r="C4730" s="88"/>
      <c r="D4730" s="92"/>
      <c r="E4730" s="89"/>
      <c r="F4730" s="89"/>
      <c r="G4730" s="89"/>
    </row>
    <row r="4731">
      <c r="A4731" s="93"/>
      <c r="B4731" s="87" t="s">
        <v>779</v>
      </c>
      <c r="C4731" s="88"/>
      <c r="D4731" s="92"/>
      <c r="E4731" s="89"/>
      <c r="F4731" s="89"/>
      <c r="G4731" s="89"/>
    </row>
    <row r="4732">
      <c r="A4732" s="93"/>
      <c r="B4732" s="87" t="s">
        <v>779</v>
      </c>
      <c r="C4732" s="88"/>
      <c r="D4732" s="92"/>
      <c r="E4732" s="89"/>
      <c r="F4732" s="89"/>
      <c r="G4732" s="89"/>
    </row>
    <row r="4733">
      <c r="A4733" s="93"/>
      <c r="B4733" s="87" t="s">
        <v>779</v>
      </c>
      <c r="C4733" s="88"/>
      <c r="D4733" s="92"/>
      <c r="E4733" s="89"/>
      <c r="F4733" s="89"/>
      <c r="G4733" s="89"/>
    </row>
    <row r="4734">
      <c r="A4734" s="93"/>
      <c r="B4734" s="87" t="s">
        <v>779</v>
      </c>
      <c r="C4734" s="88"/>
      <c r="D4734" s="92"/>
      <c r="E4734" s="89"/>
      <c r="F4734" s="89"/>
      <c r="G4734" s="89"/>
    </row>
    <row r="4735">
      <c r="A4735" s="93"/>
      <c r="B4735" s="87" t="s">
        <v>779</v>
      </c>
      <c r="C4735" s="88"/>
      <c r="D4735" s="92"/>
      <c r="E4735" s="89"/>
      <c r="F4735" s="89"/>
      <c r="G4735" s="89"/>
    </row>
    <row r="4736">
      <c r="A4736" s="93"/>
      <c r="B4736" s="87" t="s">
        <v>779</v>
      </c>
      <c r="C4736" s="88"/>
      <c r="D4736" s="92"/>
      <c r="E4736" s="89"/>
      <c r="F4736" s="89"/>
      <c r="G4736" s="89"/>
    </row>
    <row r="4737">
      <c r="A4737" s="93"/>
      <c r="B4737" s="87" t="s">
        <v>779</v>
      </c>
      <c r="C4737" s="88"/>
      <c r="D4737" s="92"/>
      <c r="E4737" s="89"/>
      <c r="F4737" s="89"/>
      <c r="G4737" s="89"/>
    </row>
    <row r="4738">
      <c r="A4738" s="93"/>
      <c r="B4738" s="87" t="s">
        <v>779</v>
      </c>
      <c r="C4738" s="88"/>
      <c r="D4738" s="92"/>
      <c r="E4738" s="89"/>
      <c r="F4738" s="89"/>
      <c r="G4738" s="89"/>
    </row>
    <row r="4739">
      <c r="A4739" s="93"/>
      <c r="B4739" s="87" t="s">
        <v>779</v>
      </c>
      <c r="C4739" s="88"/>
      <c r="D4739" s="92"/>
      <c r="E4739" s="89"/>
      <c r="F4739" s="89"/>
      <c r="G4739" s="89"/>
    </row>
    <row r="4740">
      <c r="A4740" s="93"/>
      <c r="B4740" s="87" t="s">
        <v>779</v>
      </c>
      <c r="C4740" s="88"/>
      <c r="D4740" s="92"/>
      <c r="E4740" s="89"/>
      <c r="F4740" s="89"/>
      <c r="G4740" s="89"/>
    </row>
    <row r="4741">
      <c r="A4741" s="93"/>
      <c r="B4741" s="87" t="s">
        <v>779</v>
      </c>
      <c r="C4741" s="88"/>
      <c r="D4741" s="92"/>
      <c r="E4741" s="89"/>
      <c r="F4741" s="89"/>
      <c r="G4741" s="89"/>
    </row>
    <row r="4742">
      <c r="A4742" s="93"/>
      <c r="B4742" s="87" t="s">
        <v>779</v>
      </c>
      <c r="C4742" s="88"/>
      <c r="D4742" s="92"/>
      <c r="E4742" s="89"/>
      <c r="F4742" s="89"/>
      <c r="G4742" s="89"/>
    </row>
    <row r="4743">
      <c r="A4743" s="93"/>
      <c r="B4743" s="87" t="s">
        <v>779</v>
      </c>
      <c r="C4743" s="88"/>
      <c r="D4743" s="92"/>
      <c r="E4743" s="89"/>
      <c r="F4743" s="89"/>
      <c r="G4743" s="89"/>
    </row>
    <row r="4744">
      <c r="A4744" s="93"/>
      <c r="B4744" s="87" t="s">
        <v>779</v>
      </c>
      <c r="C4744" s="88"/>
      <c r="D4744" s="92"/>
      <c r="E4744" s="89"/>
      <c r="F4744" s="89"/>
      <c r="G4744" s="89"/>
    </row>
    <row r="4745">
      <c r="A4745" s="93"/>
      <c r="B4745" s="87" t="s">
        <v>779</v>
      </c>
      <c r="C4745" s="88"/>
      <c r="D4745" s="92"/>
      <c r="E4745" s="89"/>
      <c r="F4745" s="89"/>
      <c r="G4745" s="89"/>
    </row>
    <row r="4746">
      <c r="A4746" s="93"/>
      <c r="B4746" s="87" t="s">
        <v>779</v>
      </c>
      <c r="C4746" s="88"/>
      <c r="D4746" s="92"/>
      <c r="E4746" s="89"/>
      <c r="F4746" s="89"/>
      <c r="G4746" s="89"/>
    </row>
    <row r="4747">
      <c r="A4747" s="93"/>
      <c r="B4747" s="87" t="s">
        <v>779</v>
      </c>
      <c r="C4747" s="88"/>
      <c r="D4747" s="92"/>
      <c r="E4747" s="89"/>
      <c r="F4747" s="89"/>
      <c r="G4747" s="89"/>
    </row>
    <row r="4748">
      <c r="A4748" s="93"/>
      <c r="B4748" s="87" t="s">
        <v>779</v>
      </c>
      <c r="C4748" s="88"/>
      <c r="D4748" s="92"/>
      <c r="E4748" s="89"/>
      <c r="F4748" s="89"/>
      <c r="G4748" s="89"/>
    </row>
    <row r="4749">
      <c r="A4749" s="93"/>
      <c r="B4749" s="87" t="s">
        <v>779</v>
      </c>
      <c r="C4749" s="88"/>
      <c r="D4749" s="92"/>
      <c r="E4749" s="89"/>
      <c r="F4749" s="89"/>
      <c r="G4749" s="89"/>
    </row>
    <row r="4750">
      <c r="A4750" s="93"/>
      <c r="B4750" s="87" t="s">
        <v>779</v>
      </c>
      <c r="C4750" s="88"/>
      <c r="D4750" s="92"/>
      <c r="E4750" s="89"/>
      <c r="F4750" s="89"/>
      <c r="G4750" s="89"/>
    </row>
    <row r="4751">
      <c r="A4751" s="93"/>
      <c r="B4751" s="87" t="s">
        <v>779</v>
      </c>
      <c r="C4751" s="88"/>
      <c r="D4751" s="92"/>
      <c r="E4751" s="89"/>
      <c r="F4751" s="89"/>
      <c r="G4751" s="89"/>
    </row>
    <row r="4752">
      <c r="A4752" s="93"/>
      <c r="B4752" s="87" t="s">
        <v>779</v>
      </c>
      <c r="C4752" s="88"/>
      <c r="D4752" s="92"/>
      <c r="E4752" s="89"/>
      <c r="F4752" s="89"/>
      <c r="G4752" s="89"/>
    </row>
    <row r="4753">
      <c r="A4753" s="93"/>
      <c r="B4753" s="87" t="s">
        <v>779</v>
      </c>
      <c r="C4753" s="88"/>
      <c r="D4753" s="92"/>
      <c r="E4753" s="89"/>
      <c r="F4753" s="89"/>
      <c r="G4753" s="89"/>
    </row>
    <row r="4754">
      <c r="A4754" s="93"/>
      <c r="B4754" s="87" t="s">
        <v>779</v>
      </c>
      <c r="C4754" s="88"/>
      <c r="D4754" s="92"/>
      <c r="E4754" s="89"/>
      <c r="F4754" s="89"/>
      <c r="G4754" s="89"/>
    </row>
    <row r="4755">
      <c r="A4755" s="93"/>
      <c r="B4755" s="87" t="s">
        <v>779</v>
      </c>
      <c r="C4755" s="88"/>
      <c r="D4755" s="92"/>
      <c r="E4755" s="89"/>
      <c r="F4755" s="89"/>
      <c r="G4755" s="89"/>
    </row>
    <row r="4756">
      <c r="A4756" s="93"/>
      <c r="B4756" s="87" t="s">
        <v>779</v>
      </c>
      <c r="C4756" s="88"/>
      <c r="D4756" s="92"/>
      <c r="E4756" s="89"/>
      <c r="F4756" s="89"/>
      <c r="G4756" s="89"/>
    </row>
    <row r="4757">
      <c r="A4757" s="93"/>
      <c r="B4757" s="87" t="s">
        <v>779</v>
      </c>
      <c r="C4757" s="88"/>
      <c r="D4757" s="92"/>
      <c r="E4757" s="89"/>
      <c r="F4757" s="89"/>
      <c r="G4757" s="89"/>
    </row>
    <row r="4758">
      <c r="A4758" s="93"/>
      <c r="B4758" s="87" t="s">
        <v>779</v>
      </c>
      <c r="C4758" s="88"/>
      <c r="D4758" s="92"/>
      <c r="E4758" s="89"/>
      <c r="F4758" s="89"/>
      <c r="G4758" s="89"/>
    </row>
    <row r="4759">
      <c r="A4759" s="93"/>
      <c r="B4759" s="87" t="s">
        <v>779</v>
      </c>
      <c r="C4759" s="88"/>
      <c r="D4759" s="92"/>
      <c r="E4759" s="89"/>
      <c r="F4759" s="89"/>
      <c r="G4759" s="89"/>
    </row>
    <row r="4760">
      <c r="A4760" s="93"/>
      <c r="B4760" s="87" t="s">
        <v>779</v>
      </c>
      <c r="C4760" s="88"/>
      <c r="D4760" s="92"/>
      <c r="E4760" s="89"/>
      <c r="F4760" s="89"/>
      <c r="G4760" s="89"/>
    </row>
    <row r="4761">
      <c r="A4761" s="93"/>
      <c r="B4761" s="87" t="s">
        <v>779</v>
      </c>
      <c r="C4761" s="88"/>
      <c r="D4761" s="92"/>
      <c r="E4761" s="89"/>
      <c r="F4761" s="89"/>
      <c r="G4761" s="89"/>
    </row>
    <row r="4762">
      <c r="A4762" s="93"/>
      <c r="B4762" s="87" t="s">
        <v>779</v>
      </c>
      <c r="C4762" s="88"/>
      <c r="D4762" s="92"/>
      <c r="E4762" s="89"/>
      <c r="F4762" s="89"/>
      <c r="G4762" s="89"/>
    </row>
    <row r="4763">
      <c r="A4763" s="93"/>
      <c r="B4763" s="87" t="s">
        <v>779</v>
      </c>
      <c r="C4763" s="88"/>
      <c r="D4763" s="92"/>
      <c r="E4763" s="89"/>
      <c r="F4763" s="89"/>
      <c r="G4763" s="89"/>
    </row>
    <row r="4764">
      <c r="A4764" s="93"/>
      <c r="B4764" s="87" t="s">
        <v>779</v>
      </c>
      <c r="C4764" s="88"/>
      <c r="D4764" s="92"/>
      <c r="E4764" s="89"/>
      <c r="F4764" s="89"/>
      <c r="G4764" s="89"/>
    </row>
    <row r="4765">
      <c r="A4765" s="93"/>
      <c r="B4765" s="87" t="s">
        <v>779</v>
      </c>
      <c r="C4765" s="88"/>
      <c r="D4765" s="92"/>
      <c r="E4765" s="89"/>
      <c r="F4765" s="89"/>
      <c r="G4765" s="89"/>
    </row>
    <row r="4766">
      <c r="A4766" s="93"/>
      <c r="B4766" s="87" t="s">
        <v>779</v>
      </c>
      <c r="C4766" s="88"/>
      <c r="D4766" s="92"/>
      <c r="E4766" s="89"/>
      <c r="F4766" s="89"/>
      <c r="G4766" s="89"/>
    </row>
    <row r="4767">
      <c r="A4767" s="93"/>
      <c r="B4767" s="87" t="s">
        <v>779</v>
      </c>
      <c r="C4767" s="88"/>
      <c r="D4767" s="92"/>
      <c r="E4767" s="89"/>
      <c r="F4767" s="89"/>
      <c r="G4767" s="89"/>
    </row>
    <row r="4768">
      <c r="A4768" s="93"/>
      <c r="B4768" s="87" t="s">
        <v>779</v>
      </c>
      <c r="C4768" s="88"/>
      <c r="D4768" s="92"/>
      <c r="E4768" s="89"/>
      <c r="F4768" s="89"/>
      <c r="G4768" s="89"/>
    </row>
    <row r="4769">
      <c r="A4769" s="93"/>
      <c r="B4769" s="87" t="s">
        <v>779</v>
      </c>
      <c r="C4769" s="88"/>
      <c r="D4769" s="92"/>
      <c r="E4769" s="89"/>
      <c r="F4769" s="89"/>
      <c r="G4769" s="89"/>
    </row>
    <row r="4770">
      <c r="A4770" s="93"/>
      <c r="B4770" s="87" t="s">
        <v>779</v>
      </c>
      <c r="C4770" s="88"/>
      <c r="D4770" s="92"/>
      <c r="E4770" s="89"/>
      <c r="F4770" s="89"/>
      <c r="G4770" s="89"/>
    </row>
    <row r="4771">
      <c r="A4771" s="93"/>
      <c r="B4771" s="87" t="s">
        <v>779</v>
      </c>
      <c r="C4771" s="88"/>
      <c r="D4771" s="92"/>
      <c r="E4771" s="89"/>
      <c r="F4771" s="89"/>
      <c r="G4771" s="89"/>
    </row>
    <row r="4772">
      <c r="A4772" s="93"/>
      <c r="B4772" s="87" t="s">
        <v>779</v>
      </c>
      <c r="C4772" s="88"/>
      <c r="D4772" s="92"/>
      <c r="E4772" s="89"/>
      <c r="F4772" s="89"/>
      <c r="G4772" s="89"/>
    </row>
    <row r="4773">
      <c r="A4773" s="93"/>
      <c r="B4773" s="87" t="s">
        <v>779</v>
      </c>
      <c r="C4773" s="88"/>
      <c r="D4773" s="92"/>
      <c r="E4773" s="89"/>
      <c r="F4773" s="89"/>
      <c r="G4773" s="89"/>
    </row>
    <row r="4774">
      <c r="A4774" s="93"/>
      <c r="B4774" s="87" t="s">
        <v>779</v>
      </c>
      <c r="C4774" s="88"/>
      <c r="D4774" s="92"/>
      <c r="E4774" s="89"/>
      <c r="F4774" s="89"/>
      <c r="G4774" s="89"/>
    </row>
    <row r="4775">
      <c r="A4775" s="93"/>
      <c r="B4775" s="87" t="s">
        <v>779</v>
      </c>
      <c r="C4775" s="88"/>
      <c r="D4775" s="92"/>
      <c r="E4775" s="89"/>
      <c r="F4775" s="89"/>
      <c r="G4775" s="89"/>
    </row>
    <row r="4776">
      <c r="A4776" s="93"/>
      <c r="B4776" s="87" t="s">
        <v>779</v>
      </c>
      <c r="C4776" s="88"/>
      <c r="D4776" s="92"/>
      <c r="E4776" s="89"/>
      <c r="F4776" s="89"/>
      <c r="G4776" s="89"/>
    </row>
    <row r="4777">
      <c r="A4777" s="93"/>
      <c r="B4777" s="87" t="s">
        <v>779</v>
      </c>
      <c r="C4777" s="88"/>
      <c r="D4777" s="92"/>
      <c r="E4777" s="89"/>
      <c r="F4777" s="89"/>
      <c r="G4777" s="89"/>
    </row>
    <row r="4778">
      <c r="A4778" s="93"/>
      <c r="B4778" s="87" t="s">
        <v>779</v>
      </c>
      <c r="C4778" s="88"/>
      <c r="D4778" s="92"/>
      <c r="E4778" s="89"/>
      <c r="F4778" s="89"/>
      <c r="G4778" s="89"/>
    </row>
    <row r="4779">
      <c r="A4779" s="93"/>
      <c r="B4779" s="87" t="s">
        <v>779</v>
      </c>
      <c r="C4779" s="88"/>
      <c r="D4779" s="92"/>
      <c r="E4779" s="89"/>
      <c r="F4779" s="89"/>
      <c r="G4779" s="89"/>
    </row>
    <row r="4780">
      <c r="A4780" s="93"/>
      <c r="B4780" s="87" t="s">
        <v>779</v>
      </c>
      <c r="C4780" s="88"/>
      <c r="D4780" s="92"/>
      <c r="E4780" s="89"/>
      <c r="F4780" s="89"/>
      <c r="G4780" s="89"/>
    </row>
    <row r="4781">
      <c r="A4781" s="93"/>
      <c r="B4781" s="87" t="s">
        <v>779</v>
      </c>
      <c r="C4781" s="88"/>
      <c r="D4781" s="92"/>
      <c r="E4781" s="89"/>
      <c r="F4781" s="89"/>
      <c r="G4781" s="89"/>
    </row>
    <row r="4782">
      <c r="A4782" s="93"/>
      <c r="B4782" s="87" t="s">
        <v>779</v>
      </c>
      <c r="C4782" s="88"/>
      <c r="D4782" s="92"/>
      <c r="E4782" s="89"/>
      <c r="F4782" s="89"/>
      <c r="G4782" s="89"/>
    </row>
    <row r="4783">
      <c r="A4783" s="93"/>
      <c r="B4783" s="87" t="s">
        <v>779</v>
      </c>
      <c r="C4783" s="88"/>
      <c r="D4783" s="92"/>
      <c r="E4783" s="89"/>
      <c r="F4783" s="89"/>
      <c r="G4783" s="89"/>
    </row>
    <row r="4784">
      <c r="A4784" s="93"/>
      <c r="B4784" s="87" t="s">
        <v>779</v>
      </c>
      <c r="C4784" s="88"/>
      <c r="D4784" s="92"/>
      <c r="E4784" s="89"/>
      <c r="F4784" s="89"/>
      <c r="G4784" s="89"/>
    </row>
    <row r="4785">
      <c r="A4785" s="93"/>
      <c r="B4785" s="87" t="s">
        <v>779</v>
      </c>
      <c r="C4785" s="88"/>
      <c r="D4785" s="92"/>
      <c r="E4785" s="89"/>
      <c r="F4785" s="89"/>
      <c r="G4785" s="89"/>
    </row>
    <row r="4786">
      <c r="A4786" s="93"/>
      <c r="B4786" s="87" t="s">
        <v>779</v>
      </c>
      <c r="C4786" s="88"/>
      <c r="D4786" s="92"/>
      <c r="E4786" s="89"/>
      <c r="F4786" s="89"/>
      <c r="G4786" s="89"/>
    </row>
    <row r="4787">
      <c r="A4787" s="93"/>
      <c r="B4787" s="87" t="s">
        <v>779</v>
      </c>
      <c r="C4787" s="88"/>
      <c r="D4787" s="92"/>
      <c r="E4787" s="89"/>
      <c r="F4787" s="89"/>
      <c r="G4787" s="89"/>
    </row>
    <row r="4788">
      <c r="A4788" s="93"/>
      <c r="B4788" s="87" t="s">
        <v>779</v>
      </c>
      <c r="C4788" s="88"/>
      <c r="D4788" s="92"/>
      <c r="E4788" s="89"/>
      <c r="F4788" s="89"/>
      <c r="G4788" s="89"/>
    </row>
    <row r="4789">
      <c r="A4789" s="93"/>
      <c r="B4789" s="87" t="s">
        <v>779</v>
      </c>
      <c r="C4789" s="88"/>
      <c r="D4789" s="92"/>
      <c r="E4789" s="89"/>
      <c r="F4789" s="89"/>
      <c r="G4789" s="89"/>
    </row>
    <row r="4790">
      <c r="A4790" s="93"/>
      <c r="B4790" s="87" t="s">
        <v>779</v>
      </c>
      <c r="C4790" s="88"/>
      <c r="D4790" s="92"/>
      <c r="E4790" s="89"/>
      <c r="F4790" s="89"/>
      <c r="G4790" s="89"/>
    </row>
    <row r="4791">
      <c r="A4791" s="93"/>
      <c r="B4791" s="87" t="s">
        <v>779</v>
      </c>
      <c r="C4791" s="88"/>
      <c r="D4791" s="92"/>
      <c r="E4791" s="89"/>
      <c r="F4791" s="89"/>
      <c r="G4791" s="89"/>
    </row>
    <row r="4792">
      <c r="A4792" s="93"/>
      <c r="B4792" s="87" t="s">
        <v>779</v>
      </c>
      <c r="C4792" s="88"/>
      <c r="D4792" s="92"/>
      <c r="E4792" s="89"/>
      <c r="F4792" s="89"/>
      <c r="G4792" s="89"/>
    </row>
    <row r="4793">
      <c r="A4793" s="93"/>
      <c r="B4793" s="87" t="s">
        <v>779</v>
      </c>
      <c r="C4793" s="88"/>
      <c r="D4793" s="92"/>
      <c r="E4793" s="89"/>
      <c r="F4793" s="89"/>
      <c r="G4793" s="89"/>
    </row>
    <row r="4794">
      <c r="A4794" s="93"/>
      <c r="B4794" s="87" t="s">
        <v>779</v>
      </c>
      <c r="C4794" s="88"/>
      <c r="D4794" s="92"/>
      <c r="E4794" s="89"/>
      <c r="F4794" s="89"/>
      <c r="G4794" s="89"/>
    </row>
    <row r="4795">
      <c r="A4795" s="93"/>
      <c r="B4795" s="87" t="s">
        <v>779</v>
      </c>
      <c r="C4795" s="88"/>
      <c r="D4795" s="92"/>
      <c r="E4795" s="89"/>
      <c r="F4795" s="89"/>
      <c r="G4795" s="89"/>
    </row>
    <row r="4796">
      <c r="A4796" s="93"/>
      <c r="B4796" s="87" t="s">
        <v>779</v>
      </c>
      <c r="C4796" s="88"/>
      <c r="D4796" s="92"/>
      <c r="E4796" s="89"/>
      <c r="F4796" s="89"/>
      <c r="G4796" s="89"/>
    </row>
    <row r="4797">
      <c r="A4797" s="93"/>
      <c r="B4797" s="87" t="s">
        <v>779</v>
      </c>
      <c r="C4797" s="88"/>
      <c r="D4797" s="92"/>
      <c r="E4797" s="89"/>
      <c r="F4797" s="89"/>
      <c r="G4797" s="89"/>
    </row>
    <row r="4798">
      <c r="A4798" s="93"/>
      <c r="B4798" s="87" t="s">
        <v>779</v>
      </c>
      <c r="C4798" s="88"/>
      <c r="D4798" s="92"/>
      <c r="E4798" s="89"/>
      <c r="F4798" s="89"/>
      <c r="G4798" s="89"/>
    </row>
    <row r="4799">
      <c r="A4799" s="93"/>
      <c r="B4799" s="87" t="s">
        <v>779</v>
      </c>
      <c r="C4799" s="88"/>
      <c r="D4799" s="92"/>
      <c r="E4799" s="89"/>
      <c r="F4799" s="89"/>
      <c r="G4799" s="89"/>
    </row>
    <row r="4800">
      <c r="A4800" s="93"/>
      <c r="B4800" s="87" t="s">
        <v>779</v>
      </c>
      <c r="C4800" s="88"/>
      <c r="D4800" s="92"/>
      <c r="E4800" s="89"/>
      <c r="F4800" s="89"/>
      <c r="G4800" s="89"/>
    </row>
    <row r="4801">
      <c r="A4801" s="93"/>
      <c r="B4801" s="87" t="s">
        <v>779</v>
      </c>
      <c r="C4801" s="88"/>
      <c r="D4801" s="92"/>
      <c r="E4801" s="89"/>
      <c r="F4801" s="89"/>
      <c r="G4801" s="89"/>
    </row>
    <row r="4802">
      <c r="A4802" s="93"/>
      <c r="B4802" s="87" t="s">
        <v>779</v>
      </c>
      <c r="C4802" s="88"/>
      <c r="D4802" s="92"/>
      <c r="E4802" s="89"/>
      <c r="F4802" s="89"/>
      <c r="G4802" s="89"/>
    </row>
    <row r="4803">
      <c r="A4803" s="93"/>
      <c r="B4803" s="87" t="s">
        <v>779</v>
      </c>
      <c r="C4803" s="88"/>
      <c r="D4803" s="92"/>
      <c r="E4803" s="89"/>
      <c r="F4803" s="89"/>
      <c r="G4803" s="89"/>
    </row>
    <row r="4804">
      <c r="A4804" s="93"/>
      <c r="B4804" s="87" t="s">
        <v>779</v>
      </c>
      <c r="C4804" s="88"/>
      <c r="D4804" s="92"/>
      <c r="E4804" s="89"/>
      <c r="F4804" s="89"/>
      <c r="G4804" s="89"/>
    </row>
    <row r="4805">
      <c r="A4805" s="93"/>
      <c r="B4805" s="87" t="s">
        <v>779</v>
      </c>
      <c r="C4805" s="88"/>
      <c r="D4805" s="92"/>
      <c r="E4805" s="89"/>
      <c r="F4805" s="89"/>
      <c r="G4805" s="89"/>
    </row>
    <row r="4806">
      <c r="A4806" s="93"/>
      <c r="B4806" s="87" t="s">
        <v>779</v>
      </c>
      <c r="C4806" s="88"/>
      <c r="D4806" s="92"/>
      <c r="E4806" s="89"/>
      <c r="F4806" s="89"/>
      <c r="G4806" s="89"/>
    </row>
    <row r="4807">
      <c r="A4807" s="93"/>
      <c r="B4807" s="87" t="s">
        <v>779</v>
      </c>
      <c r="C4807" s="88"/>
      <c r="D4807" s="92"/>
      <c r="E4807" s="89"/>
      <c r="F4807" s="89"/>
      <c r="G4807" s="89"/>
    </row>
    <row r="4808">
      <c r="A4808" s="93"/>
      <c r="B4808" s="87" t="s">
        <v>779</v>
      </c>
      <c r="C4808" s="88"/>
      <c r="D4808" s="92"/>
      <c r="E4808" s="89"/>
      <c r="F4808" s="89"/>
      <c r="G4808" s="89"/>
    </row>
    <row r="4809">
      <c r="A4809" s="93"/>
      <c r="B4809" s="87" t="s">
        <v>779</v>
      </c>
      <c r="C4809" s="88"/>
      <c r="D4809" s="92"/>
      <c r="E4809" s="89"/>
      <c r="F4809" s="89"/>
      <c r="G4809" s="89"/>
    </row>
    <row r="4810">
      <c r="A4810" s="93"/>
      <c r="B4810" s="87" t="s">
        <v>779</v>
      </c>
      <c r="C4810" s="88"/>
      <c r="D4810" s="92"/>
      <c r="E4810" s="89"/>
      <c r="F4810" s="89"/>
      <c r="G4810" s="89"/>
    </row>
    <row r="4811">
      <c r="A4811" s="93"/>
      <c r="B4811" s="87" t="s">
        <v>779</v>
      </c>
      <c r="C4811" s="88"/>
      <c r="D4811" s="92"/>
      <c r="E4811" s="89"/>
      <c r="F4811" s="89"/>
      <c r="G4811" s="89"/>
    </row>
    <row r="4812">
      <c r="A4812" s="93"/>
      <c r="B4812" s="87" t="s">
        <v>779</v>
      </c>
      <c r="C4812" s="88"/>
      <c r="D4812" s="92"/>
      <c r="E4812" s="89"/>
      <c r="F4812" s="89"/>
      <c r="G4812" s="89"/>
    </row>
    <row r="4813">
      <c r="A4813" s="93"/>
      <c r="B4813" s="87" t="s">
        <v>779</v>
      </c>
      <c r="C4813" s="88"/>
      <c r="D4813" s="92"/>
      <c r="E4813" s="89"/>
      <c r="F4813" s="89"/>
      <c r="G4813" s="89"/>
    </row>
    <row r="4814">
      <c r="A4814" s="93"/>
      <c r="B4814" s="87" t="s">
        <v>779</v>
      </c>
      <c r="C4814" s="88"/>
      <c r="D4814" s="92"/>
      <c r="E4814" s="89"/>
      <c r="F4814" s="89"/>
      <c r="G4814" s="89"/>
    </row>
    <row r="4815">
      <c r="A4815" s="93"/>
      <c r="B4815" s="87" t="s">
        <v>779</v>
      </c>
      <c r="C4815" s="88"/>
      <c r="D4815" s="92"/>
      <c r="E4815" s="89"/>
      <c r="F4815" s="89"/>
      <c r="G4815" s="89"/>
    </row>
    <row r="4816">
      <c r="A4816" s="93"/>
      <c r="B4816" s="87" t="s">
        <v>779</v>
      </c>
      <c r="C4816" s="88"/>
      <c r="D4816" s="92"/>
      <c r="E4816" s="89"/>
      <c r="F4816" s="89"/>
      <c r="G4816" s="89"/>
    </row>
    <row r="4817">
      <c r="A4817" s="93"/>
      <c r="B4817" s="87" t="s">
        <v>779</v>
      </c>
      <c r="C4817" s="88"/>
      <c r="D4817" s="92"/>
      <c r="E4817" s="89"/>
      <c r="F4817" s="89"/>
      <c r="G4817" s="89"/>
    </row>
    <row r="4818">
      <c r="A4818" s="93"/>
      <c r="B4818" s="87" t="s">
        <v>779</v>
      </c>
      <c r="C4818" s="88"/>
      <c r="D4818" s="92"/>
      <c r="E4818" s="89"/>
      <c r="F4818" s="89"/>
      <c r="G4818" s="89"/>
    </row>
    <row r="4819">
      <c r="A4819" s="93"/>
      <c r="B4819" s="87" t="s">
        <v>779</v>
      </c>
      <c r="C4819" s="88"/>
      <c r="D4819" s="92"/>
      <c r="E4819" s="89"/>
      <c r="F4819" s="89"/>
      <c r="G4819" s="89"/>
    </row>
    <row r="4820">
      <c r="A4820" s="93"/>
      <c r="B4820" s="87" t="s">
        <v>779</v>
      </c>
      <c r="C4820" s="88"/>
      <c r="D4820" s="92"/>
      <c r="E4820" s="89"/>
      <c r="F4820" s="89"/>
      <c r="G4820" s="89"/>
    </row>
    <row r="4821">
      <c r="A4821" s="93"/>
      <c r="B4821" s="87" t="s">
        <v>779</v>
      </c>
      <c r="C4821" s="88"/>
      <c r="D4821" s="92"/>
      <c r="E4821" s="89"/>
      <c r="F4821" s="89"/>
      <c r="G4821" s="89"/>
    </row>
    <row r="4822">
      <c r="A4822" s="93"/>
      <c r="B4822" s="87" t="s">
        <v>779</v>
      </c>
      <c r="C4822" s="88"/>
      <c r="D4822" s="92"/>
      <c r="E4822" s="89"/>
      <c r="F4822" s="89"/>
      <c r="G4822" s="89"/>
    </row>
    <row r="4823">
      <c r="A4823" s="93"/>
      <c r="B4823" s="87" t="s">
        <v>779</v>
      </c>
      <c r="C4823" s="88"/>
      <c r="D4823" s="92"/>
      <c r="E4823" s="89"/>
      <c r="F4823" s="89"/>
      <c r="G4823" s="89"/>
    </row>
    <row r="4824">
      <c r="A4824" s="93"/>
      <c r="B4824" s="87" t="s">
        <v>779</v>
      </c>
      <c r="C4824" s="88"/>
      <c r="D4824" s="92"/>
      <c r="E4824" s="89"/>
      <c r="F4824" s="89"/>
      <c r="G4824" s="89"/>
    </row>
    <row r="4825">
      <c r="A4825" s="93"/>
      <c r="B4825" s="87" t="s">
        <v>779</v>
      </c>
      <c r="C4825" s="88"/>
      <c r="D4825" s="92"/>
      <c r="E4825" s="89"/>
      <c r="F4825" s="89"/>
      <c r="G4825" s="89"/>
    </row>
    <row r="4826">
      <c r="A4826" s="93"/>
      <c r="B4826" s="87" t="s">
        <v>779</v>
      </c>
      <c r="C4826" s="88"/>
      <c r="D4826" s="92"/>
      <c r="E4826" s="89"/>
      <c r="F4826" s="89"/>
      <c r="G4826" s="89"/>
    </row>
    <row r="4827">
      <c r="A4827" s="93"/>
      <c r="B4827" s="87" t="s">
        <v>779</v>
      </c>
      <c r="C4827" s="88"/>
      <c r="D4827" s="92"/>
      <c r="E4827" s="89"/>
      <c r="F4827" s="89"/>
      <c r="G4827" s="89"/>
    </row>
    <row r="4828">
      <c r="A4828" s="93"/>
      <c r="B4828" s="87" t="s">
        <v>779</v>
      </c>
      <c r="C4828" s="88"/>
      <c r="D4828" s="92"/>
      <c r="E4828" s="89"/>
      <c r="F4828" s="89"/>
      <c r="G4828" s="89"/>
    </row>
    <row r="4829">
      <c r="A4829" s="93"/>
      <c r="B4829" s="87" t="s">
        <v>779</v>
      </c>
      <c r="C4829" s="88"/>
      <c r="D4829" s="92"/>
      <c r="E4829" s="89"/>
      <c r="F4829" s="89"/>
      <c r="G4829" s="89"/>
    </row>
    <row r="4830">
      <c r="A4830" s="93"/>
      <c r="B4830" s="87" t="s">
        <v>779</v>
      </c>
      <c r="C4830" s="88"/>
      <c r="D4830" s="92"/>
      <c r="E4830" s="89"/>
      <c r="F4830" s="89"/>
      <c r="G4830" s="89"/>
    </row>
    <row r="4831">
      <c r="A4831" s="93"/>
      <c r="B4831" s="87" t="s">
        <v>779</v>
      </c>
      <c r="C4831" s="88"/>
      <c r="D4831" s="92"/>
      <c r="E4831" s="89"/>
      <c r="F4831" s="89"/>
      <c r="G4831" s="89"/>
    </row>
    <row r="4832">
      <c r="A4832" s="93"/>
      <c r="B4832" s="87" t="s">
        <v>779</v>
      </c>
      <c r="C4832" s="88"/>
      <c r="D4832" s="92"/>
      <c r="E4832" s="89"/>
      <c r="F4832" s="89"/>
      <c r="G4832" s="89"/>
    </row>
    <row r="4833">
      <c r="A4833" s="93"/>
      <c r="B4833" s="87" t="s">
        <v>779</v>
      </c>
      <c r="C4833" s="88"/>
      <c r="D4833" s="92"/>
      <c r="E4833" s="89"/>
      <c r="F4833" s="89"/>
      <c r="G4833" s="89"/>
    </row>
    <row r="4834">
      <c r="A4834" s="93"/>
      <c r="B4834" s="87" t="s">
        <v>779</v>
      </c>
      <c r="C4834" s="88"/>
      <c r="D4834" s="92"/>
      <c r="E4834" s="89"/>
      <c r="F4834" s="89"/>
      <c r="G4834" s="89"/>
    </row>
    <row r="4835">
      <c r="A4835" s="93"/>
      <c r="B4835" s="87" t="s">
        <v>779</v>
      </c>
      <c r="C4835" s="88"/>
      <c r="D4835" s="92"/>
      <c r="E4835" s="89"/>
      <c r="F4835" s="89"/>
      <c r="G4835" s="89"/>
    </row>
    <row r="4836">
      <c r="A4836" s="93"/>
      <c r="B4836" s="87" t="s">
        <v>779</v>
      </c>
      <c r="C4836" s="88"/>
      <c r="D4836" s="92"/>
      <c r="E4836" s="89"/>
      <c r="F4836" s="89"/>
      <c r="G4836" s="89"/>
    </row>
    <row r="4837">
      <c r="A4837" s="93"/>
      <c r="B4837" s="87" t="s">
        <v>779</v>
      </c>
      <c r="C4837" s="88"/>
      <c r="D4837" s="92"/>
      <c r="E4837" s="89"/>
      <c r="F4837" s="89"/>
      <c r="G4837" s="89"/>
    </row>
    <row r="4838">
      <c r="A4838" s="93"/>
      <c r="B4838" s="87" t="s">
        <v>779</v>
      </c>
      <c r="C4838" s="88"/>
      <c r="D4838" s="92"/>
      <c r="E4838" s="89"/>
      <c r="F4838" s="89"/>
      <c r="G4838" s="89"/>
    </row>
    <row r="4839">
      <c r="A4839" s="93"/>
      <c r="B4839" s="87" t="s">
        <v>779</v>
      </c>
      <c r="C4839" s="88"/>
      <c r="D4839" s="92"/>
      <c r="E4839" s="89"/>
      <c r="F4839" s="89"/>
      <c r="G4839" s="89"/>
    </row>
    <row r="4840">
      <c r="A4840" s="93"/>
      <c r="B4840" s="87" t="s">
        <v>779</v>
      </c>
      <c r="C4840" s="88"/>
      <c r="D4840" s="92"/>
      <c r="E4840" s="89"/>
      <c r="F4840" s="89"/>
      <c r="G4840" s="89"/>
    </row>
    <row r="4841">
      <c r="A4841" s="93"/>
      <c r="B4841" s="87" t="s">
        <v>779</v>
      </c>
      <c r="C4841" s="88"/>
      <c r="D4841" s="92"/>
      <c r="E4841" s="89"/>
      <c r="F4841" s="89"/>
      <c r="G4841" s="89"/>
    </row>
    <row r="4842">
      <c r="A4842" s="93"/>
      <c r="B4842" s="87" t="s">
        <v>779</v>
      </c>
      <c r="C4842" s="88"/>
      <c r="D4842" s="92"/>
      <c r="E4842" s="89"/>
      <c r="F4842" s="89"/>
      <c r="G4842" s="89"/>
    </row>
    <row r="4843">
      <c r="A4843" s="93"/>
      <c r="B4843" s="87" t="s">
        <v>779</v>
      </c>
      <c r="C4843" s="88"/>
      <c r="D4843" s="92"/>
      <c r="E4843" s="89"/>
      <c r="F4843" s="89"/>
      <c r="G4843" s="89"/>
    </row>
    <row r="4844">
      <c r="A4844" s="93"/>
      <c r="B4844" s="87" t="s">
        <v>779</v>
      </c>
      <c r="C4844" s="88"/>
      <c r="D4844" s="92"/>
      <c r="E4844" s="89"/>
      <c r="F4844" s="89"/>
      <c r="G4844" s="89"/>
    </row>
    <row r="4845">
      <c r="A4845" s="93"/>
      <c r="B4845" s="87" t="s">
        <v>779</v>
      </c>
      <c r="C4845" s="88"/>
      <c r="D4845" s="92"/>
      <c r="E4845" s="89"/>
      <c r="F4845" s="89"/>
      <c r="G4845" s="89"/>
    </row>
    <row r="4846">
      <c r="A4846" s="93"/>
      <c r="B4846" s="87" t="s">
        <v>779</v>
      </c>
      <c r="C4846" s="88"/>
      <c r="D4846" s="92"/>
      <c r="E4846" s="89"/>
      <c r="F4846" s="89"/>
      <c r="G4846" s="89"/>
    </row>
    <row r="4847">
      <c r="A4847" s="93"/>
      <c r="B4847" s="87" t="s">
        <v>779</v>
      </c>
      <c r="C4847" s="88"/>
      <c r="D4847" s="92"/>
      <c r="E4847" s="89"/>
      <c r="F4847" s="89"/>
      <c r="G4847" s="89"/>
    </row>
    <row r="4848">
      <c r="A4848" s="93"/>
      <c r="B4848" s="87" t="s">
        <v>779</v>
      </c>
      <c r="C4848" s="88"/>
      <c r="D4848" s="92"/>
      <c r="E4848" s="89"/>
      <c r="F4848" s="89"/>
      <c r="G4848" s="89"/>
    </row>
    <row r="4849">
      <c r="A4849" s="93"/>
      <c r="B4849" s="87" t="s">
        <v>779</v>
      </c>
      <c r="C4849" s="88"/>
      <c r="D4849" s="92"/>
      <c r="E4849" s="89"/>
      <c r="F4849" s="89"/>
      <c r="G4849" s="89"/>
    </row>
    <row r="4850">
      <c r="A4850" s="93"/>
      <c r="B4850" s="87" t="s">
        <v>779</v>
      </c>
      <c r="C4850" s="88"/>
      <c r="D4850" s="92"/>
      <c r="E4850" s="89"/>
      <c r="F4850" s="89"/>
      <c r="G4850" s="89"/>
    </row>
    <row r="4851">
      <c r="A4851" s="93"/>
      <c r="B4851" s="87" t="s">
        <v>779</v>
      </c>
      <c r="C4851" s="88"/>
      <c r="D4851" s="92"/>
      <c r="E4851" s="89"/>
      <c r="F4851" s="89"/>
      <c r="G4851" s="89"/>
    </row>
    <row r="4852">
      <c r="A4852" s="93"/>
      <c r="B4852" s="87" t="s">
        <v>779</v>
      </c>
      <c r="C4852" s="88"/>
      <c r="D4852" s="92"/>
      <c r="E4852" s="89"/>
      <c r="F4852" s="89"/>
      <c r="G4852" s="89"/>
    </row>
    <row r="4853">
      <c r="A4853" s="93"/>
      <c r="B4853" s="87" t="s">
        <v>779</v>
      </c>
      <c r="C4853" s="88"/>
      <c r="D4853" s="92"/>
      <c r="E4853" s="89"/>
      <c r="F4853" s="89"/>
      <c r="G4853" s="89"/>
    </row>
    <row r="4854">
      <c r="A4854" s="93"/>
      <c r="B4854" s="87" t="s">
        <v>779</v>
      </c>
      <c r="C4854" s="88"/>
      <c r="D4854" s="92"/>
      <c r="E4854" s="89"/>
      <c r="F4854" s="89"/>
      <c r="G4854" s="89"/>
    </row>
    <row r="4855">
      <c r="A4855" s="93"/>
      <c r="B4855" s="87" t="s">
        <v>779</v>
      </c>
      <c r="C4855" s="88"/>
      <c r="D4855" s="92"/>
      <c r="E4855" s="89"/>
      <c r="F4855" s="89"/>
      <c r="G4855" s="89"/>
    </row>
    <row r="4856">
      <c r="A4856" s="93"/>
      <c r="B4856" s="87" t="s">
        <v>779</v>
      </c>
      <c r="C4856" s="88"/>
      <c r="D4856" s="92"/>
      <c r="E4856" s="89"/>
      <c r="F4856" s="89"/>
      <c r="G4856" s="89"/>
    </row>
    <row r="4857">
      <c r="A4857" s="93"/>
      <c r="B4857" s="87" t="s">
        <v>779</v>
      </c>
      <c r="C4857" s="88"/>
      <c r="D4857" s="92"/>
      <c r="E4857" s="89"/>
      <c r="F4857" s="89"/>
      <c r="G4857" s="89"/>
    </row>
    <row r="4858">
      <c r="A4858" s="93"/>
      <c r="B4858" s="87" t="s">
        <v>779</v>
      </c>
      <c r="C4858" s="88"/>
      <c r="D4858" s="92"/>
      <c r="E4858" s="89"/>
      <c r="F4858" s="89"/>
      <c r="G4858" s="89"/>
    </row>
    <row r="4859">
      <c r="A4859" s="93"/>
      <c r="B4859" s="87" t="s">
        <v>779</v>
      </c>
      <c r="C4859" s="88"/>
      <c r="D4859" s="92"/>
      <c r="E4859" s="89"/>
      <c r="F4859" s="89"/>
      <c r="G4859" s="89"/>
    </row>
    <row r="4860">
      <c r="A4860" s="93"/>
      <c r="B4860" s="87" t="s">
        <v>779</v>
      </c>
      <c r="C4860" s="88"/>
      <c r="D4860" s="92"/>
      <c r="E4860" s="89"/>
      <c r="F4860" s="89"/>
      <c r="G4860" s="89"/>
    </row>
    <row r="4861">
      <c r="A4861" s="93"/>
      <c r="B4861" s="87" t="s">
        <v>779</v>
      </c>
      <c r="C4861" s="88"/>
      <c r="D4861" s="92"/>
      <c r="E4861" s="89"/>
      <c r="F4861" s="89"/>
      <c r="G4861" s="89"/>
    </row>
    <row r="4862">
      <c r="A4862" s="93"/>
      <c r="B4862" s="87" t="s">
        <v>779</v>
      </c>
      <c r="C4862" s="88"/>
      <c r="D4862" s="92"/>
      <c r="E4862" s="89"/>
      <c r="F4862" s="89"/>
      <c r="G4862" s="89"/>
    </row>
    <row r="4863">
      <c r="A4863" s="93"/>
      <c r="B4863" s="87" t="s">
        <v>779</v>
      </c>
      <c r="C4863" s="88"/>
      <c r="D4863" s="92"/>
      <c r="E4863" s="89"/>
      <c r="F4863" s="89"/>
      <c r="G4863" s="89"/>
    </row>
    <row r="4864">
      <c r="A4864" s="93"/>
      <c r="B4864" s="87" t="s">
        <v>779</v>
      </c>
      <c r="C4864" s="88"/>
      <c r="D4864" s="92"/>
      <c r="E4864" s="89"/>
      <c r="F4864" s="89"/>
      <c r="G4864" s="89"/>
    </row>
    <row r="4865">
      <c r="A4865" s="93"/>
      <c r="B4865" s="87" t="s">
        <v>779</v>
      </c>
      <c r="C4865" s="88"/>
      <c r="D4865" s="92"/>
      <c r="E4865" s="89"/>
      <c r="F4865" s="89"/>
      <c r="G4865" s="89"/>
    </row>
    <row r="4866">
      <c r="A4866" s="93"/>
      <c r="B4866" s="87" t="s">
        <v>779</v>
      </c>
      <c r="C4866" s="88"/>
      <c r="D4866" s="92"/>
      <c r="E4866" s="89"/>
      <c r="F4866" s="89"/>
      <c r="G4866" s="89"/>
    </row>
    <row r="4867">
      <c r="A4867" s="93"/>
      <c r="B4867" s="87" t="s">
        <v>779</v>
      </c>
      <c r="C4867" s="88"/>
      <c r="D4867" s="92"/>
      <c r="E4867" s="89"/>
      <c r="F4867" s="89"/>
      <c r="G4867" s="89"/>
    </row>
    <row r="4868">
      <c r="A4868" s="93"/>
      <c r="B4868" s="87" t="s">
        <v>779</v>
      </c>
      <c r="C4868" s="88"/>
      <c r="D4868" s="92"/>
      <c r="E4868" s="89"/>
      <c r="F4868" s="89"/>
      <c r="G4868" s="89"/>
    </row>
    <row r="4869">
      <c r="A4869" s="93"/>
      <c r="B4869" s="87" t="s">
        <v>779</v>
      </c>
      <c r="C4869" s="88"/>
      <c r="D4869" s="92"/>
      <c r="E4869" s="89"/>
      <c r="F4869" s="89"/>
      <c r="G4869" s="89"/>
    </row>
    <row r="4870">
      <c r="A4870" s="93"/>
      <c r="B4870" s="87" t="s">
        <v>779</v>
      </c>
      <c r="C4870" s="88"/>
      <c r="D4870" s="92"/>
      <c r="E4870" s="89"/>
      <c r="F4870" s="89"/>
      <c r="G4870" s="89"/>
    </row>
    <row r="4871">
      <c r="A4871" s="93"/>
      <c r="B4871" s="87" t="s">
        <v>779</v>
      </c>
      <c r="C4871" s="88"/>
      <c r="D4871" s="92"/>
      <c r="E4871" s="89"/>
      <c r="F4871" s="89"/>
      <c r="G4871" s="89"/>
    </row>
    <row r="4872">
      <c r="A4872" s="93"/>
      <c r="B4872" s="87" t="s">
        <v>779</v>
      </c>
      <c r="C4872" s="88"/>
      <c r="D4872" s="92"/>
      <c r="E4872" s="89"/>
      <c r="F4872" s="89"/>
      <c r="G4872" s="89"/>
    </row>
    <row r="4873">
      <c r="A4873" s="93"/>
      <c r="B4873" s="87" t="s">
        <v>779</v>
      </c>
      <c r="C4873" s="88"/>
      <c r="D4873" s="92"/>
      <c r="E4873" s="89"/>
      <c r="F4873" s="89"/>
      <c r="G4873" s="89"/>
    </row>
    <row r="4874">
      <c r="A4874" s="93"/>
      <c r="B4874" s="87" t="s">
        <v>779</v>
      </c>
      <c r="C4874" s="88"/>
      <c r="D4874" s="92"/>
      <c r="E4874" s="89"/>
      <c r="F4874" s="89"/>
      <c r="G4874" s="89"/>
    </row>
    <row r="4875">
      <c r="A4875" s="93"/>
      <c r="B4875" s="87" t="s">
        <v>779</v>
      </c>
      <c r="C4875" s="88"/>
      <c r="D4875" s="92"/>
      <c r="E4875" s="89"/>
      <c r="F4875" s="89"/>
      <c r="G4875" s="89"/>
    </row>
    <row r="4876">
      <c r="A4876" s="93"/>
      <c r="B4876" s="87" t="s">
        <v>779</v>
      </c>
      <c r="C4876" s="88"/>
      <c r="D4876" s="92"/>
      <c r="E4876" s="89"/>
      <c r="F4876" s="89"/>
      <c r="G4876" s="89"/>
    </row>
    <row r="4877">
      <c r="A4877" s="93"/>
      <c r="B4877" s="87" t="s">
        <v>779</v>
      </c>
      <c r="C4877" s="88"/>
      <c r="D4877" s="92"/>
      <c r="E4877" s="89"/>
      <c r="F4877" s="89"/>
      <c r="G4877" s="89"/>
    </row>
    <row r="4878">
      <c r="A4878" s="93"/>
      <c r="B4878" s="87" t="s">
        <v>779</v>
      </c>
      <c r="C4878" s="88"/>
      <c r="D4878" s="92"/>
      <c r="E4878" s="89"/>
      <c r="F4878" s="89"/>
      <c r="G4878" s="89"/>
    </row>
    <row r="4879">
      <c r="A4879" s="93"/>
      <c r="B4879" s="87" t="s">
        <v>779</v>
      </c>
      <c r="C4879" s="88"/>
      <c r="D4879" s="92"/>
      <c r="E4879" s="89"/>
      <c r="F4879" s="89"/>
      <c r="G4879" s="89"/>
    </row>
    <row r="4880">
      <c r="A4880" s="93"/>
      <c r="B4880" s="87" t="s">
        <v>779</v>
      </c>
      <c r="C4880" s="88"/>
      <c r="D4880" s="92"/>
      <c r="E4880" s="89"/>
      <c r="F4880" s="89"/>
      <c r="G4880" s="89"/>
    </row>
    <row r="4881">
      <c r="A4881" s="93"/>
      <c r="B4881" s="87" t="s">
        <v>779</v>
      </c>
      <c r="C4881" s="88"/>
      <c r="D4881" s="92"/>
      <c r="E4881" s="89"/>
      <c r="F4881" s="89"/>
      <c r="G4881" s="89"/>
    </row>
    <row r="4882">
      <c r="A4882" s="93"/>
      <c r="B4882" s="87" t="s">
        <v>779</v>
      </c>
      <c r="C4882" s="88"/>
      <c r="D4882" s="92"/>
      <c r="E4882" s="89"/>
      <c r="F4882" s="89"/>
      <c r="G4882" s="89"/>
    </row>
    <row r="4883">
      <c r="A4883" s="93"/>
      <c r="B4883" s="87" t="s">
        <v>779</v>
      </c>
      <c r="C4883" s="88"/>
      <c r="D4883" s="92"/>
      <c r="E4883" s="89"/>
      <c r="F4883" s="89"/>
      <c r="G4883" s="89"/>
    </row>
    <row r="4884">
      <c r="A4884" s="93"/>
      <c r="B4884" s="87" t="s">
        <v>779</v>
      </c>
      <c r="C4884" s="88"/>
      <c r="D4884" s="92"/>
      <c r="E4884" s="89"/>
      <c r="F4884" s="89"/>
      <c r="G4884" s="89"/>
    </row>
    <row r="4885">
      <c r="A4885" s="93"/>
      <c r="B4885" s="87" t="s">
        <v>779</v>
      </c>
      <c r="C4885" s="88"/>
      <c r="D4885" s="92"/>
      <c r="E4885" s="89"/>
      <c r="F4885" s="89"/>
      <c r="G4885" s="89"/>
    </row>
    <row r="4886">
      <c r="A4886" s="93"/>
      <c r="B4886" s="87" t="s">
        <v>779</v>
      </c>
      <c r="C4886" s="88"/>
      <c r="D4886" s="92"/>
      <c r="E4886" s="89"/>
      <c r="F4886" s="89"/>
      <c r="G4886" s="89"/>
    </row>
    <row r="4887">
      <c r="A4887" s="93"/>
      <c r="B4887" s="87" t="s">
        <v>779</v>
      </c>
      <c r="C4887" s="88"/>
      <c r="D4887" s="92"/>
      <c r="E4887" s="89"/>
      <c r="F4887" s="89"/>
      <c r="G4887" s="89"/>
    </row>
    <row r="4888">
      <c r="A4888" s="93"/>
      <c r="B4888" s="87" t="s">
        <v>779</v>
      </c>
      <c r="C4888" s="88"/>
      <c r="D4888" s="92"/>
      <c r="E4888" s="89"/>
      <c r="F4888" s="89"/>
      <c r="G4888" s="89"/>
    </row>
    <row r="4889">
      <c r="A4889" s="93"/>
      <c r="B4889" s="87" t="s">
        <v>779</v>
      </c>
      <c r="C4889" s="88"/>
      <c r="D4889" s="92"/>
      <c r="E4889" s="89"/>
      <c r="F4889" s="89"/>
      <c r="G4889" s="89"/>
    </row>
    <row r="4890">
      <c r="A4890" s="93"/>
      <c r="B4890" s="87" t="s">
        <v>779</v>
      </c>
      <c r="C4890" s="88"/>
      <c r="D4890" s="92"/>
      <c r="E4890" s="89"/>
      <c r="F4890" s="89"/>
      <c r="G4890" s="89"/>
    </row>
    <row r="4891">
      <c r="A4891" s="93"/>
      <c r="B4891" s="87" t="s">
        <v>779</v>
      </c>
      <c r="C4891" s="88"/>
      <c r="D4891" s="92"/>
      <c r="E4891" s="89"/>
      <c r="F4891" s="89"/>
      <c r="G4891" s="89"/>
    </row>
    <row r="4892">
      <c r="A4892" s="93"/>
      <c r="B4892" s="87" t="s">
        <v>779</v>
      </c>
      <c r="C4892" s="88"/>
      <c r="D4892" s="92"/>
      <c r="E4892" s="89"/>
      <c r="F4892" s="89"/>
      <c r="G4892" s="89"/>
    </row>
    <row r="4893">
      <c r="A4893" s="93"/>
      <c r="B4893" s="87" t="s">
        <v>779</v>
      </c>
      <c r="C4893" s="88"/>
      <c r="D4893" s="92"/>
      <c r="E4893" s="89"/>
      <c r="F4893" s="89"/>
      <c r="G4893" s="89"/>
    </row>
    <row r="4894">
      <c r="A4894" s="93"/>
      <c r="B4894" s="87" t="s">
        <v>779</v>
      </c>
      <c r="C4894" s="88"/>
      <c r="D4894" s="92"/>
      <c r="E4894" s="89"/>
      <c r="F4894" s="89"/>
      <c r="G4894" s="89"/>
    </row>
    <row r="4895">
      <c r="A4895" s="93"/>
      <c r="B4895" s="87" t="s">
        <v>779</v>
      </c>
      <c r="C4895" s="88"/>
      <c r="D4895" s="92"/>
      <c r="E4895" s="89"/>
      <c r="F4895" s="89"/>
      <c r="G4895" s="89"/>
    </row>
    <row r="4896">
      <c r="A4896" s="93"/>
      <c r="B4896" s="87" t="s">
        <v>779</v>
      </c>
      <c r="C4896" s="88"/>
      <c r="D4896" s="92"/>
      <c r="E4896" s="89"/>
      <c r="F4896" s="89"/>
      <c r="G4896" s="89"/>
    </row>
    <row r="4897">
      <c r="A4897" s="93"/>
      <c r="B4897" s="87" t="s">
        <v>779</v>
      </c>
      <c r="C4897" s="88"/>
      <c r="D4897" s="92"/>
      <c r="E4897" s="89"/>
      <c r="F4897" s="89"/>
      <c r="G4897" s="89"/>
    </row>
    <row r="4898">
      <c r="A4898" s="93"/>
      <c r="B4898" s="87" t="s">
        <v>779</v>
      </c>
      <c r="C4898" s="88"/>
      <c r="D4898" s="92"/>
      <c r="E4898" s="89"/>
      <c r="F4898" s="89"/>
      <c r="G4898" s="89"/>
    </row>
    <row r="4899">
      <c r="A4899" s="93"/>
      <c r="B4899" s="87" t="s">
        <v>779</v>
      </c>
      <c r="C4899" s="88"/>
      <c r="D4899" s="92"/>
      <c r="E4899" s="89"/>
      <c r="F4899" s="89"/>
      <c r="G4899" s="89"/>
    </row>
    <row r="4900">
      <c r="A4900" s="93"/>
      <c r="B4900" s="87" t="s">
        <v>779</v>
      </c>
      <c r="C4900" s="88"/>
      <c r="D4900" s="92"/>
      <c r="E4900" s="89"/>
      <c r="F4900" s="89"/>
      <c r="G4900" s="89"/>
    </row>
    <row r="4901">
      <c r="A4901" s="93"/>
      <c r="B4901" s="87" t="s">
        <v>779</v>
      </c>
      <c r="C4901" s="88"/>
      <c r="D4901" s="92"/>
      <c r="E4901" s="89"/>
      <c r="F4901" s="89"/>
      <c r="G4901" s="89"/>
    </row>
    <row r="4902">
      <c r="A4902" s="93"/>
      <c r="B4902" s="87" t="s">
        <v>779</v>
      </c>
      <c r="C4902" s="88"/>
      <c r="D4902" s="92"/>
      <c r="E4902" s="89"/>
      <c r="F4902" s="89"/>
      <c r="G4902" s="89"/>
    </row>
    <row r="4903">
      <c r="A4903" s="93"/>
      <c r="B4903" s="87" t="s">
        <v>779</v>
      </c>
      <c r="C4903" s="88"/>
      <c r="D4903" s="92"/>
      <c r="E4903" s="89"/>
      <c r="F4903" s="89"/>
      <c r="G4903" s="89"/>
    </row>
    <row r="4904">
      <c r="A4904" s="93"/>
      <c r="B4904" s="87" t="s">
        <v>779</v>
      </c>
      <c r="C4904" s="88"/>
      <c r="D4904" s="92"/>
      <c r="E4904" s="89"/>
      <c r="F4904" s="89"/>
      <c r="G4904" s="89"/>
    </row>
    <row r="4905">
      <c r="A4905" s="93"/>
      <c r="B4905" s="87" t="s">
        <v>779</v>
      </c>
      <c r="C4905" s="88"/>
      <c r="D4905" s="92"/>
      <c r="E4905" s="89"/>
      <c r="F4905" s="89"/>
      <c r="G4905" s="89"/>
    </row>
    <row r="4906">
      <c r="A4906" s="93"/>
      <c r="B4906" s="87" t="s">
        <v>779</v>
      </c>
      <c r="C4906" s="88"/>
      <c r="D4906" s="92"/>
      <c r="E4906" s="89"/>
      <c r="F4906" s="89"/>
      <c r="G4906" s="89"/>
    </row>
    <row r="4907">
      <c r="A4907" s="93"/>
      <c r="B4907" s="87" t="s">
        <v>779</v>
      </c>
      <c r="C4907" s="88"/>
      <c r="D4907" s="92"/>
      <c r="E4907" s="89"/>
      <c r="F4907" s="89"/>
      <c r="G4907" s="89"/>
    </row>
    <row r="4908">
      <c r="A4908" s="93"/>
      <c r="B4908" s="87" t="s">
        <v>779</v>
      </c>
      <c r="C4908" s="88"/>
      <c r="D4908" s="92"/>
      <c r="E4908" s="89"/>
      <c r="F4908" s="89"/>
      <c r="G4908" s="89"/>
    </row>
    <row r="4909">
      <c r="A4909" s="93"/>
      <c r="B4909" s="87" t="s">
        <v>779</v>
      </c>
      <c r="C4909" s="88"/>
      <c r="D4909" s="92"/>
      <c r="E4909" s="89"/>
      <c r="F4909" s="89"/>
      <c r="G4909" s="89"/>
    </row>
    <row r="4910">
      <c r="A4910" s="93"/>
      <c r="B4910" s="87" t="s">
        <v>779</v>
      </c>
      <c r="C4910" s="88"/>
      <c r="D4910" s="92"/>
      <c r="E4910" s="89"/>
      <c r="F4910" s="89"/>
      <c r="G4910" s="89"/>
    </row>
    <row r="4911">
      <c r="A4911" s="93"/>
      <c r="B4911" s="87" t="s">
        <v>779</v>
      </c>
      <c r="C4911" s="88"/>
      <c r="D4911" s="92"/>
      <c r="E4911" s="89"/>
      <c r="F4911" s="89"/>
      <c r="G4911" s="89"/>
    </row>
    <row r="4912">
      <c r="A4912" s="93"/>
      <c r="B4912" s="87" t="s">
        <v>779</v>
      </c>
      <c r="C4912" s="88"/>
      <c r="D4912" s="92"/>
      <c r="E4912" s="89"/>
      <c r="F4912" s="89"/>
      <c r="G4912" s="89"/>
    </row>
    <row r="4913">
      <c r="A4913" s="93"/>
      <c r="B4913" s="87" t="s">
        <v>779</v>
      </c>
      <c r="C4913" s="88"/>
      <c r="D4913" s="92"/>
      <c r="E4913" s="89"/>
      <c r="F4913" s="89"/>
      <c r="G4913" s="89"/>
    </row>
    <row r="4914">
      <c r="A4914" s="93"/>
      <c r="B4914" s="87" t="s">
        <v>779</v>
      </c>
      <c r="C4914" s="88"/>
      <c r="D4914" s="92"/>
      <c r="E4914" s="89"/>
      <c r="F4914" s="89"/>
      <c r="G4914" s="89"/>
    </row>
    <row r="4915">
      <c r="A4915" s="93"/>
      <c r="B4915" s="87" t="s">
        <v>779</v>
      </c>
      <c r="C4915" s="88"/>
      <c r="D4915" s="92"/>
      <c r="E4915" s="89"/>
      <c r="F4915" s="89"/>
      <c r="G4915" s="89"/>
    </row>
    <row r="4916">
      <c r="A4916" s="93"/>
      <c r="B4916" s="87" t="s">
        <v>779</v>
      </c>
      <c r="C4916" s="88"/>
      <c r="D4916" s="92"/>
      <c r="E4916" s="89"/>
      <c r="F4916" s="89"/>
      <c r="G4916" s="89"/>
    </row>
    <row r="4917">
      <c r="A4917" s="93"/>
      <c r="B4917" s="87" t="s">
        <v>779</v>
      </c>
      <c r="C4917" s="88"/>
      <c r="D4917" s="92"/>
      <c r="E4917" s="89"/>
      <c r="F4917" s="89"/>
      <c r="G4917" s="89"/>
    </row>
    <row r="4918">
      <c r="A4918" s="93"/>
      <c r="B4918" s="87" t="s">
        <v>779</v>
      </c>
      <c r="C4918" s="88"/>
      <c r="D4918" s="92"/>
      <c r="E4918" s="89"/>
      <c r="F4918" s="89"/>
      <c r="G4918" s="89"/>
    </row>
    <row r="4919">
      <c r="A4919" s="93"/>
      <c r="B4919" s="87" t="s">
        <v>779</v>
      </c>
      <c r="C4919" s="88"/>
      <c r="D4919" s="92"/>
      <c r="E4919" s="89"/>
      <c r="F4919" s="89"/>
      <c r="G4919" s="89"/>
    </row>
    <row r="4920">
      <c r="A4920" s="93"/>
      <c r="B4920" s="87" t="s">
        <v>779</v>
      </c>
      <c r="C4920" s="88"/>
      <c r="D4920" s="92"/>
      <c r="E4920" s="89"/>
      <c r="F4920" s="89"/>
      <c r="G4920" s="89"/>
    </row>
    <row r="4921">
      <c r="A4921" s="93"/>
      <c r="B4921" s="87" t="s">
        <v>779</v>
      </c>
      <c r="C4921" s="88"/>
      <c r="D4921" s="92"/>
      <c r="E4921" s="89"/>
      <c r="F4921" s="89"/>
      <c r="G4921" s="89"/>
    </row>
    <row r="4922">
      <c r="A4922" s="93"/>
      <c r="B4922" s="87" t="s">
        <v>779</v>
      </c>
      <c r="C4922" s="88"/>
      <c r="D4922" s="92"/>
      <c r="E4922" s="89"/>
      <c r="F4922" s="89"/>
      <c r="G4922" s="89"/>
    </row>
    <row r="4923">
      <c r="A4923" s="93"/>
      <c r="B4923" s="87" t="s">
        <v>779</v>
      </c>
      <c r="C4923" s="88"/>
      <c r="D4923" s="92"/>
      <c r="E4923" s="89"/>
      <c r="F4923" s="89"/>
      <c r="G4923" s="89"/>
    </row>
    <row r="4924">
      <c r="A4924" s="93"/>
      <c r="B4924" s="87" t="s">
        <v>779</v>
      </c>
      <c r="C4924" s="88"/>
      <c r="D4924" s="92"/>
      <c r="E4924" s="89"/>
      <c r="F4924" s="89"/>
      <c r="G4924" s="89"/>
    </row>
    <row r="4925">
      <c r="A4925" s="93"/>
      <c r="B4925" s="87" t="s">
        <v>779</v>
      </c>
      <c r="C4925" s="88"/>
      <c r="D4925" s="92"/>
      <c r="E4925" s="89"/>
      <c r="F4925" s="89"/>
      <c r="G4925" s="89"/>
    </row>
    <row r="4926">
      <c r="A4926" s="93"/>
      <c r="B4926" s="87" t="s">
        <v>779</v>
      </c>
      <c r="C4926" s="88"/>
      <c r="D4926" s="92"/>
      <c r="E4926" s="89"/>
      <c r="F4926" s="89"/>
      <c r="G4926" s="89"/>
    </row>
    <row r="4927">
      <c r="A4927" s="93"/>
      <c r="B4927" s="87" t="s">
        <v>779</v>
      </c>
      <c r="C4927" s="88"/>
      <c r="D4927" s="92"/>
      <c r="E4927" s="89"/>
      <c r="F4927" s="89"/>
      <c r="G4927" s="89"/>
    </row>
    <row r="4928">
      <c r="A4928" s="93"/>
      <c r="B4928" s="87" t="s">
        <v>779</v>
      </c>
      <c r="C4928" s="88"/>
      <c r="D4928" s="92"/>
      <c r="E4928" s="89"/>
      <c r="F4928" s="89"/>
      <c r="G4928" s="89"/>
    </row>
    <row r="4929">
      <c r="A4929" s="93"/>
      <c r="B4929" s="87" t="s">
        <v>779</v>
      </c>
      <c r="C4929" s="88"/>
      <c r="D4929" s="92"/>
      <c r="E4929" s="89"/>
      <c r="F4929" s="89"/>
      <c r="G4929" s="89"/>
    </row>
    <row r="4930">
      <c r="A4930" s="93"/>
      <c r="B4930" s="87" t="s">
        <v>779</v>
      </c>
      <c r="C4930" s="88"/>
      <c r="D4930" s="92"/>
      <c r="E4930" s="89"/>
      <c r="F4930" s="89"/>
      <c r="G4930" s="89"/>
    </row>
    <row r="4931">
      <c r="A4931" s="93"/>
      <c r="B4931" s="87" t="s">
        <v>779</v>
      </c>
      <c r="C4931" s="88"/>
      <c r="D4931" s="92"/>
      <c r="E4931" s="89"/>
      <c r="F4931" s="89"/>
      <c r="G4931" s="89"/>
    </row>
    <row r="4932">
      <c r="A4932" s="93"/>
      <c r="B4932" s="87" t="s">
        <v>779</v>
      </c>
      <c r="C4932" s="88"/>
      <c r="D4932" s="92"/>
      <c r="E4932" s="89"/>
      <c r="F4932" s="89"/>
      <c r="G4932" s="89"/>
    </row>
    <row r="4933">
      <c r="A4933" s="93"/>
      <c r="B4933" s="87" t="s">
        <v>779</v>
      </c>
      <c r="C4933" s="88"/>
      <c r="D4933" s="92"/>
      <c r="E4933" s="89"/>
      <c r="F4933" s="89"/>
      <c r="G4933" s="89"/>
    </row>
    <row r="4934">
      <c r="A4934" s="93"/>
      <c r="B4934" s="87" t="s">
        <v>779</v>
      </c>
      <c r="C4934" s="88"/>
      <c r="D4934" s="92"/>
      <c r="E4934" s="89"/>
      <c r="F4934" s="89"/>
      <c r="G4934" s="89"/>
    </row>
    <row r="4935">
      <c r="A4935" s="93"/>
      <c r="B4935" s="87" t="s">
        <v>779</v>
      </c>
      <c r="C4935" s="88"/>
      <c r="D4935" s="92"/>
      <c r="E4935" s="89"/>
      <c r="F4935" s="89"/>
      <c r="G4935" s="89"/>
    </row>
    <row r="4936">
      <c r="A4936" s="93"/>
      <c r="B4936" s="87" t="s">
        <v>779</v>
      </c>
      <c r="C4936" s="88"/>
      <c r="D4936" s="92"/>
      <c r="E4936" s="89"/>
      <c r="F4936" s="89"/>
      <c r="G4936" s="89"/>
    </row>
    <row r="4937">
      <c r="A4937" s="93"/>
      <c r="B4937" s="87" t="s">
        <v>779</v>
      </c>
      <c r="C4937" s="88"/>
      <c r="D4937" s="92"/>
      <c r="E4937" s="89"/>
      <c r="F4937" s="89"/>
      <c r="G4937" s="89"/>
    </row>
    <row r="4938">
      <c r="A4938" s="93"/>
      <c r="B4938" s="87" t="s">
        <v>779</v>
      </c>
      <c r="C4938" s="88"/>
      <c r="D4938" s="92"/>
      <c r="E4938" s="89"/>
      <c r="F4938" s="89"/>
      <c r="G4938" s="89"/>
    </row>
    <row r="4939">
      <c r="A4939" s="93"/>
      <c r="B4939" s="87" t="s">
        <v>779</v>
      </c>
      <c r="C4939" s="88"/>
      <c r="D4939" s="92"/>
      <c r="E4939" s="89"/>
      <c r="F4939" s="89"/>
      <c r="G4939" s="89"/>
    </row>
    <row r="4940">
      <c r="A4940" s="93"/>
      <c r="B4940" s="87" t="s">
        <v>779</v>
      </c>
      <c r="C4940" s="88"/>
      <c r="D4940" s="92"/>
      <c r="E4940" s="89"/>
      <c r="F4940" s="89"/>
      <c r="G4940" s="89"/>
    </row>
    <row r="4941">
      <c r="A4941" s="93"/>
      <c r="B4941" s="87" t="s">
        <v>779</v>
      </c>
      <c r="C4941" s="88"/>
      <c r="D4941" s="92"/>
      <c r="E4941" s="89"/>
      <c r="F4941" s="89"/>
      <c r="G4941" s="89"/>
    </row>
    <row r="4942">
      <c r="A4942" s="93"/>
      <c r="B4942" s="87" t="s">
        <v>779</v>
      </c>
      <c r="C4942" s="88"/>
      <c r="D4942" s="92"/>
      <c r="E4942" s="89"/>
      <c r="F4942" s="89"/>
      <c r="G4942" s="89"/>
    </row>
    <row r="4943">
      <c r="A4943" s="93"/>
      <c r="B4943" s="87" t="s">
        <v>779</v>
      </c>
      <c r="C4943" s="88"/>
      <c r="D4943" s="92"/>
      <c r="E4943" s="89"/>
      <c r="F4943" s="89"/>
      <c r="G4943" s="89"/>
    </row>
    <row r="4944">
      <c r="A4944" s="93"/>
      <c r="B4944" s="87" t="s">
        <v>779</v>
      </c>
      <c r="C4944" s="88"/>
      <c r="D4944" s="92"/>
      <c r="E4944" s="89"/>
      <c r="F4944" s="89"/>
      <c r="G4944" s="89"/>
    </row>
    <row r="4945">
      <c r="A4945" s="93"/>
      <c r="B4945" s="87" t="s">
        <v>779</v>
      </c>
      <c r="C4945" s="88"/>
      <c r="D4945" s="92"/>
      <c r="E4945" s="89"/>
      <c r="F4945" s="89"/>
      <c r="G4945" s="89"/>
    </row>
    <row r="4946">
      <c r="A4946" s="93"/>
      <c r="B4946" s="87" t="s">
        <v>779</v>
      </c>
      <c r="C4946" s="88"/>
      <c r="D4946" s="92"/>
      <c r="E4946" s="89"/>
      <c r="F4946" s="89"/>
      <c r="G4946" s="89"/>
    </row>
    <row r="4947">
      <c r="A4947" s="93"/>
      <c r="B4947" s="87" t="s">
        <v>779</v>
      </c>
      <c r="C4947" s="88"/>
      <c r="D4947" s="92"/>
      <c r="E4947" s="89"/>
      <c r="F4947" s="89"/>
      <c r="G4947" s="89"/>
    </row>
    <row r="4948">
      <c r="A4948" s="93"/>
      <c r="B4948" s="87" t="s">
        <v>779</v>
      </c>
      <c r="C4948" s="88"/>
      <c r="D4948" s="92"/>
      <c r="E4948" s="89"/>
      <c r="F4948" s="89"/>
      <c r="G4948" s="89"/>
    </row>
    <row r="4949">
      <c r="A4949" s="93"/>
      <c r="B4949" s="87" t="s">
        <v>779</v>
      </c>
      <c r="C4949" s="88"/>
      <c r="D4949" s="92"/>
      <c r="E4949" s="89"/>
      <c r="F4949" s="89"/>
      <c r="G4949" s="89"/>
    </row>
    <row r="4950">
      <c r="A4950" s="93"/>
      <c r="B4950" s="87" t="s">
        <v>779</v>
      </c>
      <c r="C4950" s="88"/>
      <c r="D4950" s="92"/>
      <c r="E4950" s="89"/>
      <c r="F4950" s="89"/>
      <c r="G4950" s="89"/>
    </row>
    <row r="4951">
      <c r="A4951" s="93"/>
      <c r="B4951" s="87" t="s">
        <v>779</v>
      </c>
      <c r="C4951" s="88"/>
      <c r="D4951" s="92"/>
      <c r="E4951" s="89"/>
      <c r="F4951" s="89"/>
      <c r="G4951" s="89"/>
    </row>
    <row r="4952">
      <c r="A4952" s="93"/>
      <c r="B4952" s="87" t="s">
        <v>779</v>
      </c>
      <c r="C4952" s="88"/>
      <c r="D4952" s="92"/>
      <c r="E4952" s="89"/>
      <c r="F4952" s="89"/>
      <c r="G4952" s="89"/>
    </row>
    <row r="4953">
      <c r="A4953" s="93"/>
      <c r="B4953" s="87" t="s">
        <v>779</v>
      </c>
      <c r="C4953" s="88"/>
      <c r="D4953" s="92"/>
      <c r="E4953" s="89"/>
      <c r="F4953" s="89"/>
      <c r="G4953" s="89"/>
    </row>
    <row r="4954">
      <c r="A4954" s="93"/>
      <c r="B4954" s="87" t="s">
        <v>779</v>
      </c>
      <c r="C4954" s="88"/>
      <c r="D4954" s="92"/>
      <c r="E4954" s="89"/>
      <c r="F4954" s="89"/>
      <c r="G4954" s="89"/>
    </row>
    <row r="4955">
      <c r="A4955" s="93"/>
      <c r="B4955" s="87" t="s">
        <v>779</v>
      </c>
      <c r="C4955" s="88"/>
      <c r="D4955" s="92"/>
      <c r="E4955" s="89"/>
      <c r="F4955" s="89"/>
      <c r="G4955" s="89"/>
    </row>
    <row r="4956">
      <c r="A4956" s="93"/>
      <c r="B4956" s="87" t="s">
        <v>779</v>
      </c>
      <c r="C4956" s="88"/>
      <c r="D4956" s="92"/>
      <c r="E4956" s="89"/>
      <c r="F4956" s="89"/>
      <c r="G4956" s="89"/>
    </row>
    <row r="4957">
      <c r="A4957" s="93"/>
      <c r="B4957" s="87" t="s">
        <v>779</v>
      </c>
      <c r="C4957" s="88"/>
      <c r="D4957" s="92"/>
      <c r="E4957" s="89"/>
      <c r="F4957" s="89"/>
      <c r="G4957" s="89"/>
    </row>
    <row r="4958">
      <c r="A4958" s="93"/>
      <c r="B4958" s="87" t="s">
        <v>779</v>
      </c>
      <c r="C4958" s="88"/>
      <c r="D4958" s="92"/>
      <c r="E4958" s="89"/>
      <c r="F4958" s="89"/>
      <c r="G4958" s="89"/>
    </row>
    <row r="4959">
      <c r="A4959" s="93"/>
      <c r="B4959" s="87" t="s">
        <v>779</v>
      </c>
      <c r="C4959" s="88"/>
      <c r="D4959" s="92"/>
      <c r="E4959" s="89"/>
      <c r="F4959" s="89"/>
      <c r="G4959" s="89"/>
    </row>
    <row r="4960">
      <c r="A4960" s="93"/>
      <c r="B4960" s="87" t="s">
        <v>779</v>
      </c>
      <c r="C4960" s="88"/>
      <c r="D4960" s="92"/>
      <c r="E4960" s="89"/>
      <c r="F4960" s="89"/>
      <c r="G4960" s="89"/>
    </row>
    <row r="4961">
      <c r="A4961" s="93"/>
      <c r="B4961" s="87" t="s">
        <v>779</v>
      </c>
      <c r="C4961" s="88"/>
      <c r="D4961" s="92"/>
      <c r="E4961" s="89"/>
      <c r="F4961" s="89"/>
      <c r="G4961" s="89"/>
    </row>
    <row r="4962">
      <c r="A4962" s="93"/>
      <c r="B4962" s="87" t="s">
        <v>779</v>
      </c>
      <c r="C4962" s="88"/>
      <c r="D4962" s="92"/>
      <c r="E4962" s="89"/>
      <c r="F4962" s="89"/>
      <c r="G4962" s="89"/>
    </row>
    <row r="4963">
      <c r="A4963" s="93"/>
      <c r="B4963" s="87" t="s">
        <v>779</v>
      </c>
      <c r="C4963" s="88"/>
      <c r="D4963" s="92"/>
      <c r="E4963" s="89"/>
      <c r="F4963" s="89"/>
      <c r="G4963" s="89"/>
    </row>
    <row r="4964">
      <c r="A4964" s="93"/>
      <c r="B4964" s="87" t="s">
        <v>779</v>
      </c>
      <c r="C4964" s="88"/>
      <c r="D4964" s="92"/>
      <c r="E4964" s="89"/>
      <c r="F4964" s="89"/>
      <c r="G4964" s="89"/>
    </row>
    <row r="4965">
      <c r="A4965" s="93"/>
      <c r="B4965" s="87" t="s">
        <v>779</v>
      </c>
      <c r="C4965" s="88"/>
      <c r="D4965" s="92"/>
      <c r="E4965" s="89"/>
      <c r="F4965" s="89"/>
      <c r="G4965" s="89"/>
    </row>
    <row r="4966">
      <c r="A4966" s="93"/>
      <c r="B4966" s="87" t="s">
        <v>779</v>
      </c>
      <c r="C4966" s="88"/>
      <c r="D4966" s="92"/>
      <c r="E4966" s="89"/>
      <c r="F4966" s="89"/>
      <c r="G4966" s="89"/>
    </row>
    <row r="4967">
      <c r="A4967" s="93"/>
      <c r="B4967" s="87" t="s">
        <v>779</v>
      </c>
      <c r="C4967" s="88"/>
      <c r="D4967" s="92"/>
      <c r="E4967" s="89"/>
      <c r="F4967" s="89"/>
      <c r="G4967" s="89"/>
    </row>
    <row r="4968">
      <c r="A4968" s="93"/>
      <c r="B4968" s="87" t="s">
        <v>779</v>
      </c>
      <c r="C4968" s="88"/>
      <c r="D4968" s="92"/>
      <c r="E4968" s="89"/>
      <c r="F4968" s="89"/>
      <c r="G4968" s="89"/>
    </row>
    <row r="4969">
      <c r="A4969" s="93"/>
      <c r="B4969" s="87" t="s">
        <v>779</v>
      </c>
      <c r="C4969" s="88"/>
      <c r="D4969" s="92"/>
      <c r="E4969" s="89"/>
      <c r="F4969" s="89"/>
      <c r="G4969" s="89"/>
    </row>
    <row r="4970">
      <c r="A4970" s="93"/>
      <c r="B4970" s="87" t="s">
        <v>779</v>
      </c>
      <c r="C4970" s="88"/>
      <c r="D4970" s="92"/>
      <c r="E4970" s="89"/>
      <c r="F4970" s="89"/>
      <c r="G4970" s="89"/>
    </row>
    <row r="4971">
      <c r="A4971" s="93"/>
      <c r="B4971" s="87" t="s">
        <v>779</v>
      </c>
      <c r="C4971" s="88"/>
      <c r="D4971" s="92"/>
      <c r="E4971" s="89"/>
      <c r="F4971" s="89"/>
      <c r="G4971" s="89"/>
    </row>
    <row r="4972">
      <c r="A4972" s="93"/>
      <c r="B4972" s="87" t="s">
        <v>779</v>
      </c>
      <c r="C4972" s="88"/>
      <c r="D4972" s="92"/>
      <c r="E4972" s="89"/>
      <c r="F4972" s="89"/>
      <c r="G4972" s="89"/>
    </row>
    <row r="4973">
      <c r="A4973" s="93"/>
      <c r="B4973" s="87" t="s">
        <v>779</v>
      </c>
      <c r="C4973" s="88"/>
      <c r="D4973" s="92"/>
      <c r="E4973" s="89"/>
      <c r="F4973" s="89"/>
      <c r="G4973" s="89"/>
    </row>
    <row r="4974">
      <c r="A4974" s="93"/>
      <c r="B4974" s="87" t="s">
        <v>779</v>
      </c>
      <c r="C4974" s="88"/>
      <c r="D4974" s="92"/>
      <c r="E4974" s="89"/>
      <c r="F4974" s="89"/>
      <c r="G4974" s="89"/>
    </row>
    <row r="4975">
      <c r="A4975" s="93"/>
      <c r="B4975" s="87" t="s">
        <v>779</v>
      </c>
      <c r="C4975" s="88"/>
      <c r="D4975" s="92"/>
      <c r="E4975" s="89"/>
      <c r="F4975" s="89"/>
      <c r="G4975" s="89"/>
    </row>
    <row r="4976">
      <c r="A4976" s="93"/>
      <c r="B4976" s="87" t="s">
        <v>779</v>
      </c>
      <c r="C4976" s="88"/>
      <c r="D4976" s="92"/>
      <c r="E4976" s="89"/>
      <c r="F4976" s="89"/>
      <c r="G4976" s="89"/>
    </row>
    <row r="4977">
      <c r="A4977" s="93"/>
      <c r="B4977" s="87" t="s">
        <v>779</v>
      </c>
      <c r="C4977" s="88"/>
      <c r="D4977" s="92"/>
      <c r="E4977" s="89"/>
      <c r="F4977" s="89"/>
      <c r="G4977" s="89"/>
    </row>
    <row r="4978">
      <c r="A4978" s="93"/>
      <c r="B4978" s="87" t="s">
        <v>779</v>
      </c>
      <c r="C4978" s="88"/>
      <c r="D4978" s="92"/>
      <c r="E4978" s="89"/>
      <c r="F4978" s="89"/>
      <c r="G4978" s="89"/>
    </row>
    <row r="4979">
      <c r="A4979" s="93"/>
      <c r="B4979" s="87" t="s">
        <v>779</v>
      </c>
      <c r="C4979" s="88"/>
      <c r="D4979" s="92"/>
      <c r="E4979" s="89"/>
      <c r="F4979" s="89"/>
      <c r="G4979" s="89"/>
    </row>
    <row r="4980">
      <c r="A4980" s="93"/>
      <c r="B4980" s="87" t="s">
        <v>779</v>
      </c>
      <c r="C4980" s="88"/>
      <c r="D4980" s="92"/>
      <c r="E4980" s="89"/>
      <c r="F4980" s="89"/>
      <c r="G4980" s="89"/>
    </row>
    <row r="4981">
      <c r="A4981" s="93"/>
      <c r="B4981" s="87" t="s">
        <v>779</v>
      </c>
      <c r="C4981" s="88"/>
      <c r="D4981" s="92"/>
      <c r="E4981" s="89"/>
      <c r="F4981" s="89"/>
      <c r="G4981" s="89"/>
    </row>
    <row r="4982">
      <c r="A4982" s="93"/>
      <c r="B4982" s="87" t="s">
        <v>779</v>
      </c>
      <c r="C4982" s="88"/>
      <c r="D4982" s="92"/>
      <c r="E4982" s="89"/>
      <c r="F4982" s="89"/>
      <c r="G4982" s="89"/>
    </row>
    <row r="4983">
      <c r="A4983" s="93"/>
      <c r="B4983" s="87" t="s">
        <v>779</v>
      </c>
      <c r="C4983" s="88"/>
      <c r="D4983" s="92"/>
      <c r="E4983" s="89"/>
      <c r="F4983" s="89"/>
      <c r="G4983" s="89"/>
    </row>
    <row r="4984">
      <c r="A4984" s="93"/>
      <c r="B4984" s="87" t="s">
        <v>779</v>
      </c>
      <c r="C4984" s="88"/>
      <c r="D4984" s="92"/>
      <c r="E4984" s="89"/>
      <c r="F4984" s="89"/>
      <c r="G4984" s="89"/>
    </row>
    <row r="4985">
      <c r="A4985" s="93"/>
      <c r="B4985" s="87" t="s">
        <v>779</v>
      </c>
      <c r="C4985" s="88"/>
      <c r="D4985" s="92"/>
      <c r="E4985" s="89"/>
      <c r="F4985" s="89"/>
      <c r="G4985" s="89"/>
    </row>
    <row r="4986">
      <c r="A4986" s="93"/>
      <c r="B4986" s="87" t="s">
        <v>779</v>
      </c>
      <c r="C4986" s="88"/>
      <c r="D4986" s="92"/>
      <c r="E4986" s="89"/>
      <c r="F4986" s="89"/>
      <c r="G4986" s="89"/>
    </row>
    <row r="4987">
      <c r="A4987" s="93"/>
      <c r="B4987" s="87" t="s">
        <v>779</v>
      </c>
      <c r="C4987" s="88"/>
      <c r="D4987" s="92"/>
      <c r="E4987" s="89"/>
      <c r="F4987" s="89"/>
      <c r="G4987" s="89"/>
    </row>
    <row r="4988">
      <c r="A4988" s="93"/>
      <c r="B4988" s="87" t="s">
        <v>779</v>
      </c>
      <c r="C4988" s="88"/>
      <c r="D4988" s="92"/>
      <c r="E4988" s="89"/>
      <c r="F4988" s="89"/>
      <c r="G4988" s="89"/>
    </row>
    <row r="4989">
      <c r="A4989" s="93"/>
      <c r="B4989" s="87" t="s">
        <v>779</v>
      </c>
      <c r="C4989" s="88"/>
      <c r="D4989" s="92"/>
      <c r="E4989" s="89"/>
      <c r="F4989" s="89"/>
      <c r="G4989" s="89"/>
    </row>
    <row r="4990">
      <c r="A4990" s="93"/>
      <c r="B4990" s="87" t="s">
        <v>779</v>
      </c>
      <c r="C4990" s="88"/>
      <c r="D4990" s="92"/>
      <c r="E4990" s="89"/>
      <c r="F4990" s="89"/>
      <c r="G4990" s="89"/>
    </row>
    <row r="4991">
      <c r="A4991" s="93"/>
      <c r="B4991" s="87" t="s">
        <v>779</v>
      </c>
      <c r="C4991" s="88"/>
      <c r="D4991" s="92"/>
      <c r="E4991" s="89"/>
      <c r="F4991" s="89"/>
      <c r="G4991" s="89"/>
    </row>
    <row r="4992">
      <c r="A4992" s="93"/>
      <c r="B4992" s="87" t="s">
        <v>779</v>
      </c>
      <c r="C4992" s="88"/>
      <c r="D4992" s="92"/>
      <c r="E4992" s="89"/>
      <c r="F4992" s="89"/>
      <c r="G4992" s="89"/>
    </row>
    <row r="4993">
      <c r="A4993" s="93"/>
      <c r="B4993" s="87" t="s">
        <v>779</v>
      </c>
      <c r="C4993" s="88"/>
      <c r="D4993" s="92"/>
      <c r="E4993" s="89"/>
      <c r="F4993" s="89"/>
      <c r="G4993" s="89"/>
    </row>
    <row r="4994">
      <c r="A4994" s="93"/>
      <c r="B4994" s="87" t="s">
        <v>779</v>
      </c>
      <c r="C4994" s="88"/>
      <c r="D4994" s="92"/>
      <c r="E4994" s="89"/>
      <c r="F4994" s="89"/>
      <c r="G4994" s="89"/>
    </row>
    <row r="4995">
      <c r="A4995" s="93"/>
      <c r="B4995" s="87" t="s">
        <v>779</v>
      </c>
      <c r="C4995" s="88"/>
      <c r="D4995" s="92"/>
      <c r="E4995" s="89"/>
      <c r="F4995" s="89"/>
      <c r="G4995" s="89"/>
    </row>
    <row r="4996">
      <c r="A4996" s="93"/>
      <c r="B4996" s="87" t="s">
        <v>779</v>
      </c>
      <c r="C4996" s="88"/>
      <c r="D4996" s="92"/>
      <c r="E4996" s="89"/>
      <c r="F4996" s="89"/>
      <c r="G4996" s="89"/>
    </row>
    <row r="4997">
      <c r="A4997" s="93"/>
      <c r="B4997" s="87" t="s">
        <v>779</v>
      </c>
      <c r="C4997" s="88"/>
      <c r="D4997" s="92"/>
      <c r="E4997" s="89"/>
      <c r="F4997" s="89"/>
      <c r="G4997" s="89"/>
    </row>
    <row r="4998">
      <c r="A4998" s="93"/>
      <c r="B4998" s="87" t="s">
        <v>779</v>
      </c>
      <c r="C4998" s="88"/>
      <c r="D4998" s="92"/>
      <c r="E4998" s="89"/>
      <c r="F4998" s="89"/>
      <c r="G4998" s="89"/>
    </row>
    <row r="4999">
      <c r="A4999" s="93"/>
      <c r="B4999" s="87" t="s">
        <v>779</v>
      </c>
      <c r="C4999" s="88"/>
      <c r="D4999" s="92"/>
      <c r="E4999" s="89"/>
      <c r="F4999" s="89"/>
      <c r="G4999" s="89"/>
    </row>
    <row r="5000">
      <c r="A5000" s="93"/>
      <c r="B5000" s="87" t="s">
        <v>779</v>
      </c>
      <c r="C5000" s="88"/>
      <c r="D5000" s="92"/>
      <c r="E5000" s="89"/>
      <c r="F5000" s="89"/>
      <c r="G5000" s="89"/>
    </row>
    <row r="5001">
      <c r="A5001" s="93"/>
      <c r="B5001" s="87" t="s">
        <v>779</v>
      </c>
      <c r="C5001" s="88"/>
      <c r="D5001" s="92"/>
      <c r="E5001" s="89"/>
      <c r="F5001" s="89"/>
      <c r="G5001" s="89"/>
    </row>
    <row r="5002">
      <c r="A5002" s="93"/>
      <c r="B5002" s="87" t="s">
        <v>779</v>
      </c>
      <c r="C5002" s="88"/>
      <c r="D5002" s="92"/>
      <c r="E5002" s="89"/>
      <c r="F5002" s="89"/>
      <c r="G5002" s="89"/>
    </row>
    <row r="5003">
      <c r="A5003" s="93"/>
      <c r="B5003" s="87" t="s">
        <v>779</v>
      </c>
      <c r="C5003" s="88"/>
      <c r="D5003" s="92"/>
      <c r="E5003" s="89"/>
      <c r="F5003" s="89"/>
      <c r="G5003" s="89"/>
    </row>
    <row r="5004">
      <c r="A5004" s="93"/>
      <c r="B5004" s="87" t="s">
        <v>779</v>
      </c>
      <c r="C5004" s="88"/>
      <c r="D5004" s="92"/>
      <c r="E5004" s="89"/>
      <c r="F5004" s="89"/>
      <c r="G5004" s="89"/>
    </row>
    <row r="5005">
      <c r="A5005" s="93"/>
      <c r="B5005" s="87" t="s">
        <v>779</v>
      </c>
      <c r="C5005" s="88"/>
      <c r="D5005" s="92"/>
      <c r="E5005" s="89"/>
      <c r="F5005" s="89"/>
      <c r="G5005" s="89"/>
    </row>
    <row r="5006">
      <c r="A5006" s="93"/>
      <c r="B5006" s="87" t="s">
        <v>779</v>
      </c>
      <c r="C5006" s="88"/>
      <c r="D5006" s="92"/>
      <c r="E5006" s="89"/>
      <c r="F5006" s="89"/>
      <c r="G5006" s="89"/>
    </row>
    <row r="5007">
      <c r="A5007" s="93"/>
      <c r="B5007" s="87" t="s">
        <v>779</v>
      </c>
      <c r="C5007" s="88"/>
      <c r="D5007" s="92"/>
      <c r="E5007" s="89"/>
      <c r="F5007" s="89"/>
      <c r="G5007" s="89"/>
    </row>
    <row r="5008">
      <c r="A5008" s="93"/>
      <c r="B5008" s="87" t="s">
        <v>779</v>
      </c>
      <c r="C5008" s="88"/>
      <c r="D5008" s="92"/>
      <c r="E5008" s="89"/>
      <c r="F5008" s="89"/>
      <c r="G5008" s="89"/>
    </row>
    <row r="5009">
      <c r="A5009" s="93"/>
      <c r="B5009" s="87" t="s">
        <v>779</v>
      </c>
      <c r="C5009" s="88"/>
      <c r="D5009" s="92"/>
      <c r="E5009" s="89"/>
      <c r="F5009" s="89"/>
      <c r="G5009" s="89"/>
    </row>
    <row r="5010">
      <c r="A5010" s="93"/>
      <c r="B5010" s="87" t="s">
        <v>779</v>
      </c>
      <c r="C5010" s="88"/>
      <c r="D5010" s="92"/>
      <c r="E5010" s="89"/>
      <c r="F5010" s="89"/>
      <c r="G5010" s="89"/>
    </row>
    <row r="5011">
      <c r="A5011" s="93"/>
      <c r="B5011" s="87" t="s">
        <v>779</v>
      </c>
      <c r="C5011" s="88"/>
      <c r="D5011" s="92"/>
      <c r="E5011" s="89"/>
      <c r="F5011" s="89"/>
      <c r="G5011" s="89"/>
    </row>
    <row r="5012">
      <c r="A5012" s="93"/>
      <c r="B5012" s="87" t="s">
        <v>779</v>
      </c>
      <c r="C5012" s="88"/>
      <c r="D5012" s="92"/>
      <c r="E5012" s="89"/>
      <c r="F5012" s="89"/>
      <c r="G5012" s="89"/>
    </row>
    <row r="5013">
      <c r="A5013" s="93"/>
      <c r="B5013" s="87" t="s">
        <v>779</v>
      </c>
      <c r="C5013" s="88"/>
      <c r="D5013" s="92"/>
      <c r="E5013" s="89"/>
      <c r="F5013" s="89"/>
      <c r="G5013" s="89"/>
    </row>
    <row r="5014">
      <c r="A5014" s="93"/>
      <c r="B5014" s="87" t="s">
        <v>779</v>
      </c>
      <c r="C5014" s="88"/>
      <c r="D5014" s="92"/>
      <c r="E5014" s="89"/>
      <c r="F5014" s="89"/>
      <c r="G5014" s="89"/>
    </row>
    <row r="5015">
      <c r="A5015" s="93"/>
      <c r="B5015" s="87" t="s">
        <v>779</v>
      </c>
      <c r="C5015" s="88"/>
      <c r="D5015" s="92"/>
      <c r="E5015" s="89"/>
      <c r="F5015" s="89"/>
      <c r="G5015" s="89"/>
    </row>
    <row r="5016">
      <c r="A5016" s="93"/>
      <c r="B5016" s="87" t="s">
        <v>779</v>
      </c>
      <c r="C5016" s="88"/>
      <c r="D5016" s="92"/>
      <c r="E5016" s="89"/>
      <c r="F5016" s="89"/>
      <c r="G5016" s="89"/>
    </row>
    <row r="5017">
      <c r="A5017" s="93"/>
      <c r="B5017" s="87" t="s">
        <v>779</v>
      </c>
      <c r="C5017" s="88"/>
      <c r="D5017" s="92"/>
      <c r="E5017" s="89"/>
      <c r="F5017" s="89"/>
      <c r="G5017" s="89"/>
    </row>
    <row r="5018">
      <c r="A5018" s="93"/>
      <c r="B5018" s="87" t="s">
        <v>779</v>
      </c>
      <c r="C5018" s="88"/>
      <c r="D5018" s="92"/>
      <c r="E5018" s="89"/>
      <c r="F5018" s="89"/>
      <c r="G5018" s="89"/>
    </row>
    <row r="5019">
      <c r="A5019" s="93"/>
      <c r="B5019" s="87" t="s">
        <v>779</v>
      </c>
      <c r="C5019" s="88"/>
      <c r="D5019" s="92"/>
      <c r="E5019" s="89"/>
      <c r="F5019" s="89"/>
      <c r="G5019" s="89"/>
    </row>
    <row r="5020">
      <c r="A5020" s="93"/>
      <c r="B5020" s="87" t="s">
        <v>779</v>
      </c>
      <c r="C5020" s="88"/>
      <c r="D5020" s="92"/>
      <c r="E5020" s="89"/>
      <c r="F5020" s="89"/>
      <c r="G5020" s="89"/>
    </row>
    <row r="5021">
      <c r="A5021" s="93"/>
      <c r="B5021" s="87" t="s">
        <v>779</v>
      </c>
      <c r="C5021" s="88"/>
      <c r="D5021" s="92"/>
      <c r="E5021" s="89"/>
      <c r="F5021" s="89"/>
      <c r="G5021" s="89"/>
    </row>
    <row r="5022">
      <c r="A5022" s="93"/>
      <c r="B5022" s="87" t="s">
        <v>779</v>
      </c>
      <c r="C5022" s="88"/>
      <c r="D5022" s="92"/>
      <c r="E5022" s="89"/>
      <c r="F5022" s="89"/>
      <c r="G5022" s="89"/>
    </row>
    <row r="5023">
      <c r="A5023" s="93"/>
      <c r="B5023" s="87" t="s">
        <v>779</v>
      </c>
      <c r="C5023" s="88"/>
      <c r="D5023" s="92"/>
      <c r="E5023" s="89"/>
      <c r="F5023" s="89"/>
      <c r="G5023" s="89"/>
    </row>
    <row r="5024">
      <c r="A5024" s="93"/>
      <c r="B5024" s="87" t="s">
        <v>779</v>
      </c>
      <c r="C5024" s="88"/>
      <c r="D5024" s="92"/>
      <c r="E5024" s="89"/>
      <c r="F5024" s="89"/>
      <c r="G5024" s="89"/>
    </row>
    <row r="5025">
      <c r="A5025" s="93"/>
      <c r="B5025" s="87" t="s">
        <v>779</v>
      </c>
      <c r="C5025" s="88"/>
      <c r="D5025" s="92"/>
      <c r="E5025" s="89"/>
      <c r="F5025" s="89"/>
      <c r="G5025" s="89"/>
    </row>
    <row r="5026">
      <c r="A5026" s="93"/>
      <c r="B5026" s="87" t="s">
        <v>779</v>
      </c>
      <c r="C5026" s="88"/>
      <c r="D5026" s="92"/>
      <c r="E5026" s="89"/>
      <c r="F5026" s="89"/>
      <c r="G5026" s="89"/>
    </row>
    <row r="5027">
      <c r="A5027" s="93"/>
      <c r="B5027" s="87" t="s">
        <v>779</v>
      </c>
      <c r="C5027" s="88"/>
      <c r="D5027" s="92"/>
      <c r="E5027" s="89"/>
      <c r="F5027" s="89"/>
      <c r="G5027" s="89"/>
    </row>
    <row r="5028">
      <c r="A5028" s="93"/>
      <c r="B5028" s="87" t="s">
        <v>779</v>
      </c>
      <c r="C5028" s="88"/>
      <c r="D5028" s="92"/>
      <c r="E5028" s="89"/>
      <c r="F5028" s="89"/>
      <c r="G5028" s="89"/>
    </row>
    <row r="5029">
      <c r="A5029" s="93"/>
      <c r="B5029" s="87" t="s">
        <v>779</v>
      </c>
      <c r="C5029" s="88"/>
      <c r="D5029" s="92"/>
      <c r="E5029" s="89"/>
      <c r="F5029" s="89"/>
      <c r="G5029" s="89"/>
    </row>
    <row r="5030">
      <c r="A5030" s="93"/>
      <c r="B5030" s="87" t="s">
        <v>779</v>
      </c>
      <c r="C5030" s="88"/>
      <c r="D5030" s="92"/>
      <c r="E5030" s="89"/>
      <c r="F5030" s="89"/>
      <c r="G5030" s="89"/>
    </row>
    <row r="5031">
      <c r="A5031" s="93"/>
      <c r="B5031" s="87" t="s">
        <v>779</v>
      </c>
      <c r="C5031" s="88"/>
      <c r="D5031" s="92"/>
      <c r="E5031" s="89"/>
      <c r="F5031" s="89"/>
      <c r="G5031" s="89"/>
    </row>
    <row r="5032">
      <c r="A5032" s="93"/>
      <c r="B5032" s="87" t="s">
        <v>779</v>
      </c>
      <c r="C5032" s="88"/>
      <c r="D5032" s="92"/>
      <c r="E5032" s="89"/>
      <c r="F5032" s="89"/>
      <c r="G5032" s="89"/>
    </row>
    <row r="5033">
      <c r="A5033" s="93"/>
      <c r="B5033" s="87" t="s">
        <v>779</v>
      </c>
      <c r="C5033" s="88"/>
      <c r="D5033" s="92"/>
      <c r="E5033" s="89"/>
      <c r="F5033" s="89"/>
      <c r="G5033" s="89"/>
    </row>
    <row r="5034">
      <c r="A5034" s="93"/>
      <c r="B5034" s="87" t="s">
        <v>779</v>
      </c>
      <c r="C5034" s="88"/>
      <c r="D5034" s="92"/>
      <c r="E5034" s="89"/>
      <c r="F5034" s="89"/>
      <c r="G5034" s="89"/>
    </row>
    <row r="5035">
      <c r="A5035" s="93"/>
      <c r="B5035" s="87" t="s">
        <v>779</v>
      </c>
      <c r="C5035" s="88"/>
      <c r="D5035" s="92"/>
      <c r="E5035" s="89"/>
      <c r="F5035" s="89"/>
      <c r="G5035" s="89"/>
    </row>
    <row r="5036">
      <c r="A5036" s="93"/>
      <c r="B5036" s="87" t="s">
        <v>779</v>
      </c>
      <c r="C5036" s="88"/>
      <c r="D5036" s="92"/>
      <c r="E5036" s="89"/>
      <c r="F5036" s="89"/>
      <c r="G5036" s="89"/>
    </row>
    <row r="5037">
      <c r="A5037" s="93"/>
      <c r="B5037" s="87" t="s">
        <v>779</v>
      </c>
      <c r="C5037" s="88"/>
      <c r="D5037" s="92"/>
      <c r="E5037" s="89"/>
      <c r="F5037" s="89"/>
      <c r="G5037" s="89"/>
    </row>
    <row r="5038">
      <c r="A5038" s="93"/>
      <c r="B5038" s="87" t="s">
        <v>779</v>
      </c>
      <c r="C5038" s="88"/>
      <c r="D5038" s="92"/>
      <c r="E5038" s="89"/>
      <c r="F5038" s="89"/>
      <c r="G5038" s="89"/>
    </row>
    <row r="5039">
      <c r="A5039" s="93"/>
      <c r="B5039" s="87" t="s">
        <v>779</v>
      </c>
      <c r="C5039" s="88"/>
      <c r="D5039" s="92"/>
      <c r="E5039" s="89"/>
      <c r="F5039" s="89"/>
      <c r="G5039" s="89"/>
    </row>
    <row r="5040">
      <c r="A5040" s="93"/>
      <c r="B5040" s="87" t="s">
        <v>779</v>
      </c>
      <c r="C5040" s="88"/>
      <c r="D5040" s="92"/>
      <c r="E5040" s="89"/>
      <c r="F5040" s="89"/>
      <c r="G5040" s="89"/>
    </row>
    <row r="5041">
      <c r="A5041" s="93"/>
      <c r="B5041" s="87" t="s">
        <v>779</v>
      </c>
      <c r="C5041" s="88"/>
      <c r="D5041" s="92"/>
      <c r="E5041" s="89"/>
      <c r="F5041" s="89"/>
      <c r="G5041" s="89"/>
    </row>
    <row r="5042">
      <c r="A5042" s="93"/>
      <c r="B5042" s="87" t="s">
        <v>779</v>
      </c>
      <c r="C5042" s="88"/>
      <c r="D5042" s="92"/>
      <c r="E5042" s="89"/>
      <c r="F5042" s="89"/>
      <c r="G5042" s="89"/>
    </row>
    <row r="5043">
      <c r="A5043" s="93"/>
      <c r="B5043" s="87" t="s">
        <v>779</v>
      </c>
      <c r="C5043" s="88"/>
      <c r="D5043" s="92"/>
      <c r="E5043" s="89"/>
      <c r="F5043" s="89"/>
      <c r="G5043" s="89"/>
    </row>
    <row r="5044">
      <c r="A5044" s="93"/>
      <c r="B5044" s="87" t="s">
        <v>779</v>
      </c>
      <c r="C5044" s="88"/>
      <c r="D5044" s="92"/>
      <c r="E5044" s="89"/>
      <c r="F5044" s="89"/>
      <c r="G5044" s="89"/>
    </row>
    <row r="5045">
      <c r="A5045" s="93"/>
      <c r="B5045" s="87" t="s">
        <v>779</v>
      </c>
      <c r="C5045" s="88"/>
      <c r="D5045" s="92"/>
      <c r="E5045" s="89"/>
      <c r="F5045" s="89"/>
      <c r="G5045" s="89"/>
    </row>
    <row r="5046">
      <c r="A5046" s="93"/>
      <c r="B5046" s="87" t="s">
        <v>779</v>
      </c>
      <c r="C5046" s="88"/>
      <c r="D5046" s="92"/>
      <c r="E5046" s="89"/>
      <c r="F5046" s="89"/>
      <c r="G5046" s="89"/>
    </row>
    <row r="5047">
      <c r="A5047" s="93"/>
      <c r="B5047" s="87" t="s">
        <v>779</v>
      </c>
      <c r="C5047" s="88"/>
      <c r="D5047" s="92"/>
      <c r="E5047" s="89"/>
      <c r="F5047" s="89"/>
      <c r="G5047" s="89"/>
    </row>
    <row r="5048">
      <c r="A5048" s="93"/>
      <c r="B5048" s="87" t="s">
        <v>779</v>
      </c>
      <c r="C5048" s="88"/>
      <c r="D5048" s="92"/>
      <c r="E5048" s="89"/>
      <c r="F5048" s="89"/>
      <c r="G5048" s="89"/>
    </row>
    <row r="5049">
      <c r="A5049" s="93"/>
      <c r="B5049" s="87" t="s">
        <v>779</v>
      </c>
      <c r="C5049" s="88"/>
      <c r="D5049" s="92"/>
      <c r="E5049" s="89"/>
      <c r="F5049" s="89"/>
      <c r="G5049" s="89"/>
    </row>
    <row r="5050">
      <c r="A5050" s="93"/>
      <c r="B5050" s="87" t="s">
        <v>779</v>
      </c>
      <c r="C5050" s="88"/>
      <c r="D5050" s="92"/>
      <c r="E5050" s="89"/>
      <c r="F5050" s="89"/>
      <c r="G5050" s="89"/>
    </row>
    <row r="5051">
      <c r="A5051" s="93"/>
      <c r="B5051" s="87" t="s">
        <v>779</v>
      </c>
      <c r="C5051" s="88"/>
      <c r="D5051" s="92"/>
      <c r="E5051" s="89"/>
      <c r="F5051" s="89"/>
      <c r="G5051" s="89"/>
    </row>
    <row r="5052">
      <c r="A5052" s="93"/>
      <c r="B5052" s="87" t="s">
        <v>779</v>
      </c>
      <c r="C5052" s="88"/>
      <c r="D5052" s="92"/>
      <c r="E5052" s="89"/>
      <c r="F5052" s="89"/>
      <c r="G5052" s="89"/>
    </row>
    <row r="5053">
      <c r="A5053" s="93"/>
      <c r="B5053" s="87" t="s">
        <v>779</v>
      </c>
      <c r="C5053" s="88"/>
      <c r="D5053" s="92"/>
      <c r="E5053" s="89"/>
      <c r="F5053" s="89"/>
      <c r="G5053" s="89"/>
    </row>
    <row r="5054">
      <c r="A5054" s="93"/>
      <c r="B5054" s="87" t="s">
        <v>779</v>
      </c>
      <c r="C5054" s="88"/>
      <c r="D5054" s="92"/>
      <c r="E5054" s="89"/>
      <c r="F5054" s="89"/>
      <c r="G5054" s="89"/>
    </row>
    <row r="5055">
      <c r="A5055" s="93"/>
      <c r="B5055" s="87" t="s">
        <v>779</v>
      </c>
      <c r="C5055" s="88"/>
      <c r="D5055" s="92"/>
      <c r="E5055" s="89"/>
      <c r="F5055" s="89"/>
      <c r="G5055" s="89"/>
    </row>
    <row r="5056">
      <c r="A5056" s="93"/>
      <c r="B5056" s="87" t="s">
        <v>779</v>
      </c>
      <c r="C5056" s="88"/>
      <c r="D5056" s="92"/>
      <c r="E5056" s="89"/>
      <c r="F5056" s="89"/>
      <c r="G5056" s="89"/>
    </row>
    <row r="5057">
      <c r="A5057" s="93"/>
      <c r="B5057" s="87" t="s">
        <v>779</v>
      </c>
      <c r="C5057" s="88"/>
      <c r="D5057" s="92"/>
      <c r="E5057" s="89"/>
      <c r="F5057" s="89"/>
      <c r="G5057" s="89"/>
    </row>
    <row r="5058">
      <c r="A5058" s="93"/>
      <c r="B5058" s="87" t="s">
        <v>779</v>
      </c>
      <c r="C5058" s="88"/>
      <c r="D5058" s="92"/>
      <c r="E5058" s="89"/>
      <c r="F5058" s="89"/>
      <c r="G5058" s="89"/>
    </row>
    <row r="5059">
      <c r="A5059" s="93"/>
      <c r="B5059" s="87" t="s">
        <v>779</v>
      </c>
      <c r="C5059" s="88"/>
      <c r="D5059" s="92"/>
      <c r="E5059" s="89"/>
      <c r="F5059" s="89"/>
      <c r="G5059" s="89"/>
    </row>
    <row r="5060">
      <c r="A5060" s="93"/>
      <c r="B5060" s="87" t="s">
        <v>779</v>
      </c>
      <c r="C5060" s="88"/>
      <c r="D5060" s="92"/>
      <c r="E5060" s="89"/>
      <c r="F5060" s="89"/>
      <c r="G5060" s="89"/>
    </row>
    <row r="5061">
      <c r="A5061" s="93"/>
      <c r="B5061" s="87" t="s">
        <v>779</v>
      </c>
      <c r="C5061" s="88"/>
      <c r="D5061" s="92"/>
      <c r="E5061" s="89"/>
      <c r="F5061" s="89"/>
      <c r="G5061" s="89"/>
    </row>
    <row r="5062">
      <c r="A5062" s="93"/>
      <c r="B5062" s="87" t="s">
        <v>779</v>
      </c>
      <c r="C5062" s="88"/>
      <c r="D5062" s="92"/>
      <c r="E5062" s="89"/>
      <c r="F5062" s="89"/>
      <c r="G5062" s="89"/>
    </row>
    <row r="5063">
      <c r="A5063" s="93"/>
      <c r="B5063" s="87" t="s">
        <v>779</v>
      </c>
      <c r="C5063" s="88"/>
      <c r="D5063" s="92"/>
      <c r="E5063" s="89"/>
      <c r="F5063" s="89"/>
      <c r="G5063" s="89"/>
    </row>
    <row r="5064">
      <c r="A5064" s="93"/>
      <c r="B5064" s="87" t="s">
        <v>779</v>
      </c>
      <c r="C5064" s="88"/>
      <c r="D5064" s="92"/>
      <c r="E5064" s="89"/>
      <c r="F5064" s="89"/>
      <c r="G5064" s="89"/>
    </row>
    <row r="5065">
      <c r="A5065" s="93"/>
      <c r="B5065" s="87" t="s">
        <v>779</v>
      </c>
      <c r="C5065" s="88"/>
      <c r="D5065" s="92"/>
      <c r="E5065" s="89"/>
      <c r="F5065" s="89"/>
      <c r="G5065" s="89"/>
    </row>
    <row r="5066">
      <c r="A5066" s="93"/>
      <c r="B5066" s="87" t="s">
        <v>779</v>
      </c>
      <c r="C5066" s="88"/>
      <c r="D5066" s="92"/>
      <c r="E5066" s="89"/>
      <c r="F5066" s="89"/>
      <c r="G5066" s="89"/>
    </row>
    <row r="5067">
      <c r="A5067" s="93"/>
      <c r="B5067" s="87" t="s">
        <v>779</v>
      </c>
      <c r="C5067" s="88"/>
      <c r="D5067" s="92"/>
      <c r="E5067" s="89"/>
      <c r="F5067" s="89"/>
      <c r="G5067" s="89"/>
    </row>
    <row r="5068">
      <c r="A5068" s="93"/>
      <c r="B5068" s="87" t="s">
        <v>779</v>
      </c>
      <c r="C5068" s="88"/>
      <c r="D5068" s="92"/>
      <c r="E5068" s="89"/>
      <c r="F5068" s="89"/>
      <c r="G5068" s="89"/>
    </row>
    <row r="5069">
      <c r="A5069" s="93"/>
      <c r="B5069" s="87" t="s">
        <v>779</v>
      </c>
      <c r="C5069" s="88"/>
      <c r="D5069" s="92"/>
      <c r="E5069" s="89"/>
      <c r="F5069" s="89"/>
      <c r="G5069" s="89"/>
    </row>
    <row r="5070">
      <c r="A5070" s="93"/>
      <c r="B5070" s="87" t="s">
        <v>779</v>
      </c>
      <c r="C5070" s="88"/>
      <c r="D5070" s="92"/>
      <c r="E5070" s="89"/>
      <c r="F5070" s="89"/>
      <c r="G5070" s="89"/>
    </row>
    <row r="5071">
      <c r="A5071" s="93"/>
      <c r="B5071" s="87" t="s">
        <v>779</v>
      </c>
      <c r="C5071" s="88"/>
      <c r="D5071" s="92"/>
      <c r="E5071" s="89"/>
      <c r="F5071" s="89"/>
      <c r="G5071" s="89"/>
    </row>
    <row r="5072">
      <c r="A5072" s="93"/>
      <c r="B5072" s="87" t="s">
        <v>779</v>
      </c>
      <c r="C5072" s="88"/>
      <c r="D5072" s="92"/>
      <c r="E5072" s="89"/>
      <c r="F5072" s="89"/>
      <c r="G5072" s="89"/>
    </row>
    <row r="5073">
      <c r="A5073" s="93"/>
      <c r="B5073" s="87" t="s">
        <v>779</v>
      </c>
      <c r="C5073" s="88"/>
      <c r="D5073" s="92"/>
      <c r="E5073" s="89"/>
      <c r="F5073" s="89"/>
      <c r="G5073" s="89"/>
    </row>
    <row r="5074">
      <c r="A5074" s="93"/>
      <c r="B5074" s="87" t="s">
        <v>779</v>
      </c>
      <c r="C5074" s="88"/>
      <c r="D5074" s="92"/>
      <c r="E5074" s="89"/>
      <c r="F5074" s="89"/>
      <c r="G5074" s="89"/>
    </row>
    <row r="5075">
      <c r="A5075" s="93"/>
      <c r="B5075" s="87" t="s">
        <v>779</v>
      </c>
      <c r="C5075" s="88"/>
      <c r="D5075" s="92"/>
      <c r="E5075" s="89"/>
      <c r="F5075" s="89"/>
      <c r="G5075" s="89"/>
    </row>
    <row r="5076">
      <c r="A5076" s="93"/>
      <c r="B5076" s="87" t="s">
        <v>779</v>
      </c>
      <c r="C5076" s="88"/>
      <c r="D5076" s="92"/>
      <c r="E5076" s="89"/>
      <c r="F5076" s="89"/>
      <c r="G5076" s="89"/>
    </row>
    <row r="5077">
      <c r="A5077" s="93"/>
      <c r="B5077" s="87" t="s">
        <v>779</v>
      </c>
      <c r="C5077" s="88"/>
      <c r="D5077" s="92"/>
      <c r="E5077" s="89"/>
      <c r="F5077" s="89"/>
      <c r="G5077" s="89"/>
    </row>
    <row r="5078">
      <c r="A5078" s="93"/>
      <c r="B5078" s="87" t="s">
        <v>779</v>
      </c>
      <c r="C5078" s="88"/>
      <c r="D5078" s="92"/>
      <c r="E5078" s="89"/>
      <c r="F5078" s="89"/>
      <c r="G5078" s="89"/>
    </row>
    <row r="5079">
      <c r="A5079" s="93"/>
      <c r="B5079" s="87" t="s">
        <v>779</v>
      </c>
      <c r="C5079" s="88"/>
      <c r="D5079" s="92"/>
      <c r="E5079" s="89"/>
      <c r="F5079" s="89"/>
      <c r="G5079" s="89"/>
    </row>
    <row r="5080">
      <c r="A5080" s="93"/>
      <c r="B5080" s="87" t="s">
        <v>779</v>
      </c>
      <c r="C5080" s="88"/>
      <c r="D5080" s="92"/>
      <c r="E5080" s="89"/>
      <c r="F5080" s="89"/>
      <c r="G5080" s="89"/>
    </row>
    <row r="5081">
      <c r="A5081" s="93"/>
      <c r="B5081" s="87" t="s">
        <v>779</v>
      </c>
      <c r="C5081" s="88"/>
      <c r="D5081" s="92"/>
      <c r="E5081" s="89"/>
      <c r="F5081" s="89"/>
      <c r="G5081" s="89"/>
    </row>
    <row r="5082">
      <c r="A5082" s="93"/>
      <c r="B5082" s="87" t="s">
        <v>779</v>
      </c>
      <c r="C5082" s="88"/>
      <c r="D5082" s="92"/>
      <c r="E5082" s="89"/>
      <c r="F5082" s="89"/>
      <c r="G5082" s="89"/>
    </row>
    <row r="5083">
      <c r="A5083" s="93"/>
      <c r="B5083" s="87" t="s">
        <v>779</v>
      </c>
      <c r="C5083" s="88"/>
      <c r="D5083" s="92"/>
      <c r="E5083" s="89"/>
      <c r="F5083" s="89"/>
      <c r="G5083" s="89"/>
    </row>
    <row r="5084">
      <c r="A5084" s="93"/>
      <c r="B5084" s="87" t="s">
        <v>779</v>
      </c>
      <c r="C5084" s="88"/>
      <c r="D5084" s="92"/>
      <c r="E5084" s="89"/>
      <c r="F5084" s="89"/>
      <c r="G5084" s="89"/>
    </row>
    <row r="5085">
      <c r="A5085" s="93"/>
      <c r="B5085" s="87" t="s">
        <v>779</v>
      </c>
      <c r="C5085" s="88"/>
      <c r="D5085" s="92"/>
      <c r="E5085" s="89"/>
      <c r="F5085" s="89"/>
      <c r="G5085" s="89"/>
    </row>
    <row r="5086">
      <c r="A5086" s="93"/>
      <c r="B5086" s="87" t="s">
        <v>779</v>
      </c>
      <c r="C5086" s="88"/>
      <c r="D5086" s="92"/>
      <c r="E5086" s="89"/>
      <c r="F5086" s="89"/>
      <c r="G5086" s="89"/>
    </row>
    <row r="5087">
      <c r="A5087" s="93"/>
      <c r="B5087" s="87" t="s">
        <v>779</v>
      </c>
      <c r="C5087" s="88"/>
      <c r="D5087" s="92"/>
      <c r="E5087" s="89"/>
      <c r="F5087" s="89"/>
      <c r="G5087" s="89"/>
    </row>
    <row r="5088">
      <c r="A5088" s="93"/>
      <c r="B5088" s="87" t="s">
        <v>779</v>
      </c>
      <c r="C5088" s="88"/>
      <c r="D5088" s="92"/>
      <c r="E5088" s="89"/>
      <c r="F5088" s="89"/>
      <c r="G5088" s="89"/>
    </row>
    <row r="5089">
      <c r="A5089" s="93"/>
      <c r="B5089" s="87" t="s">
        <v>779</v>
      </c>
      <c r="C5089" s="88"/>
      <c r="D5089" s="92"/>
      <c r="E5089" s="89"/>
      <c r="F5089" s="89"/>
      <c r="G5089" s="89"/>
    </row>
    <row r="5090">
      <c r="A5090" s="93"/>
      <c r="B5090" s="87" t="s">
        <v>779</v>
      </c>
      <c r="C5090" s="88"/>
      <c r="D5090" s="92"/>
      <c r="E5090" s="89"/>
      <c r="F5090" s="89"/>
      <c r="G5090" s="89"/>
    </row>
    <row r="5091">
      <c r="A5091" s="93"/>
      <c r="B5091" s="87" t="s">
        <v>779</v>
      </c>
      <c r="C5091" s="88"/>
      <c r="D5091" s="92"/>
      <c r="E5091" s="89"/>
      <c r="F5091" s="89"/>
      <c r="G5091" s="89"/>
    </row>
    <row r="5092">
      <c r="A5092" s="93"/>
      <c r="B5092" s="87" t="s">
        <v>779</v>
      </c>
      <c r="C5092" s="88"/>
      <c r="D5092" s="92"/>
      <c r="E5092" s="89"/>
      <c r="F5092" s="89"/>
      <c r="G5092" s="89"/>
    </row>
    <row r="5093">
      <c r="A5093" s="93"/>
      <c r="B5093" s="87" t="s">
        <v>779</v>
      </c>
      <c r="C5093" s="88"/>
      <c r="D5093" s="92"/>
      <c r="E5093" s="89"/>
      <c r="F5093" s="89"/>
      <c r="G5093" s="89"/>
    </row>
    <row r="5094">
      <c r="A5094" s="93"/>
      <c r="B5094" s="87" t="s">
        <v>779</v>
      </c>
      <c r="C5094" s="88"/>
      <c r="D5094" s="92"/>
      <c r="E5094" s="89"/>
      <c r="F5094" s="89"/>
      <c r="G5094" s="89"/>
    </row>
    <row r="5095">
      <c r="A5095" s="93"/>
      <c r="B5095" s="87" t="s">
        <v>779</v>
      </c>
      <c r="C5095" s="88"/>
      <c r="D5095" s="92"/>
      <c r="E5095" s="89"/>
      <c r="F5095" s="89"/>
      <c r="G5095" s="89"/>
    </row>
    <row r="5096">
      <c r="A5096" s="93"/>
      <c r="B5096" s="87" t="s">
        <v>779</v>
      </c>
      <c r="C5096" s="88"/>
      <c r="D5096" s="92"/>
      <c r="E5096" s="89"/>
      <c r="F5096" s="89"/>
      <c r="G5096" s="89"/>
    </row>
    <row r="5097">
      <c r="A5097" s="93"/>
      <c r="B5097" s="87" t="s">
        <v>779</v>
      </c>
      <c r="C5097" s="88"/>
      <c r="D5097" s="92"/>
      <c r="E5097" s="89"/>
      <c r="F5097" s="89"/>
      <c r="G5097" s="89"/>
    </row>
    <row r="5098">
      <c r="A5098" s="93"/>
      <c r="B5098" s="87" t="s">
        <v>779</v>
      </c>
      <c r="C5098" s="88"/>
      <c r="D5098" s="92"/>
      <c r="E5098" s="89"/>
      <c r="F5098" s="89"/>
      <c r="G5098" s="89"/>
    </row>
    <row r="5099">
      <c r="A5099" s="93"/>
      <c r="B5099" s="87" t="s">
        <v>779</v>
      </c>
      <c r="C5099" s="88"/>
      <c r="D5099" s="92"/>
      <c r="E5099" s="89"/>
      <c r="F5099" s="89"/>
      <c r="G5099" s="89"/>
    </row>
    <row r="5100">
      <c r="A5100" s="93"/>
      <c r="B5100" s="87" t="s">
        <v>779</v>
      </c>
      <c r="C5100" s="88"/>
      <c r="D5100" s="92"/>
      <c r="E5100" s="89"/>
      <c r="F5100" s="89"/>
      <c r="G5100" s="89"/>
    </row>
    <row r="5101">
      <c r="A5101" s="93"/>
      <c r="B5101" s="87" t="s">
        <v>779</v>
      </c>
      <c r="C5101" s="88"/>
      <c r="D5101" s="92"/>
      <c r="E5101" s="89"/>
      <c r="F5101" s="89"/>
      <c r="G5101" s="89"/>
    </row>
    <row r="5102">
      <c r="A5102" s="93"/>
      <c r="B5102" s="87" t="s">
        <v>779</v>
      </c>
      <c r="C5102" s="88"/>
      <c r="D5102" s="92"/>
      <c r="E5102" s="89"/>
      <c r="F5102" s="89"/>
      <c r="G5102" s="89"/>
    </row>
    <row r="5103">
      <c r="A5103" s="93"/>
      <c r="B5103" s="87" t="s">
        <v>779</v>
      </c>
      <c r="C5103" s="88"/>
      <c r="D5103" s="92"/>
      <c r="E5103" s="89"/>
      <c r="F5103" s="89"/>
      <c r="G5103" s="89"/>
    </row>
    <row r="5104">
      <c r="A5104" s="93"/>
      <c r="B5104" s="87" t="s">
        <v>779</v>
      </c>
      <c r="C5104" s="88"/>
      <c r="D5104" s="92"/>
      <c r="E5104" s="89"/>
      <c r="F5104" s="89"/>
      <c r="G5104" s="89"/>
    </row>
    <row r="5105">
      <c r="A5105" s="93"/>
      <c r="B5105" s="87" t="s">
        <v>779</v>
      </c>
      <c r="C5105" s="88"/>
      <c r="D5105" s="92"/>
      <c r="E5105" s="89"/>
      <c r="F5105" s="89"/>
      <c r="G5105" s="89"/>
    </row>
    <row r="5106">
      <c r="A5106" s="93"/>
      <c r="B5106" s="87" t="s">
        <v>779</v>
      </c>
      <c r="C5106" s="88"/>
      <c r="D5106" s="92"/>
      <c r="E5106" s="89"/>
      <c r="F5106" s="89"/>
      <c r="G5106" s="89"/>
    </row>
    <row r="5107">
      <c r="A5107" s="93"/>
      <c r="B5107" s="87" t="s">
        <v>779</v>
      </c>
      <c r="C5107" s="88"/>
      <c r="D5107" s="92"/>
      <c r="E5107" s="89"/>
      <c r="F5107" s="89"/>
      <c r="G5107" s="89"/>
    </row>
    <row r="5108">
      <c r="A5108" s="93"/>
      <c r="B5108" s="87" t="s">
        <v>779</v>
      </c>
      <c r="C5108" s="88"/>
      <c r="D5108" s="92"/>
      <c r="E5108" s="89"/>
      <c r="F5108" s="89"/>
      <c r="G5108" s="89"/>
    </row>
    <row r="5109">
      <c r="A5109" s="93"/>
      <c r="B5109" s="87" t="s">
        <v>779</v>
      </c>
      <c r="C5109" s="88"/>
      <c r="D5109" s="92"/>
      <c r="E5109" s="89"/>
      <c r="F5109" s="89"/>
      <c r="G5109" s="89"/>
    </row>
    <row r="5110">
      <c r="A5110" s="93"/>
      <c r="B5110" s="87" t="s">
        <v>779</v>
      </c>
      <c r="C5110" s="88"/>
      <c r="D5110" s="92"/>
      <c r="E5110" s="89"/>
      <c r="F5110" s="89"/>
      <c r="G5110" s="89"/>
    </row>
    <row r="5111">
      <c r="A5111" s="93"/>
      <c r="B5111" s="87" t="s">
        <v>779</v>
      </c>
      <c r="C5111" s="88"/>
      <c r="D5111" s="92"/>
      <c r="E5111" s="89"/>
      <c r="F5111" s="89"/>
      <c r="G5111" s="89"/>
    </row>
    <row r="5112">
      <c r="A5112" s="93"/>
      <c r="B5112" s="87" t="s">
        <v>779</v>
      </c>
      <c r="C5112" s="88"/>
      <c r="D5112" s="92"/>
      <c r="E5112" s="89"/>
      <c r="F5112" s="89"/>
      <c r="G5112" s="89"/>
    </row>
    <row r="5113">
      <c r="A5113" s="93"/>
      <c r="B5113" s="87" t="s">
        <v>779</v>
      </c>
      <c r="C5113" s="88"/>
      <c r="D5113" s="92"/>
      <c r="E5113" s="89"/>
      <c r="F5113" s="89"/>
      <c r="G5113" s="89"/>
    </row>
    <row r="5114">
      <c r="A5114" s="93"/>
      <c r="B5114" s="87" t="s">
        <v>779</v>
      </c>
      <c r="C5114" s="88"/>
      <c r="D5114" s="92"/>
      <c r="E5114" s="89"/>
      <c r="F5114" s="89"/>
      <c r="G5114" s="89"/>
    </row>
    <row r="5115">
      <c r="A5115" s="93"/>
      <c r="B5115" s="87" t="s">
        <v>779</v>
      </c>
      <c r="C5115" s="88"/>
      <c r="D5115" s="92"/>
      <c r="E5115" s="89"/>
      <c r="F5115" s="89"/>
      <c r="G5115" s="89"/>
    </row>
    <row r="5116">
      <c r="A5116" s="93"/>
      <c r="B5116" s="87" t="s">
        <v>779</v>
      </c>
      <c r="C5116" s="88"/>
      <c r="D5116" s="92"/>
      <c r="E5116" s="89"/>
      <c r="F5116" s="89"/>
      <c r="G5116" s="89"/>
    </row>
    <row r="5117">
      <c r="A5117" s="93"/>
      <c r="B5117" s="87" t="s">
        <v>779</v>
      </c>
      <c r="C5117" s="88"/>
      <c r="D5117" s="92"/>
      <c r="E5117" s="89"/>
      <c r="F5117" s="89"/>
      <c r="G5117" s="89"/>
    </row>
    <row r="5118">
      <c r="A5118" s="93"/>
      <c r="B5118" s="87" t="s">
        <v>779</v>
      </c>
      <c r="C5118" s="88"/>
      <c r="D5118" s="92"/>
      <c r="E5118" s="89"/>
      <c r="F5118" s="89"/>
      <c r="G5118" s="89"/>
    </row>
    <row r="5119">
      <c r="A5119" s="93"/>
      <c r="B5119" s="87" t="s">
        <v>779</v>
      </c>
      <c r="C5119" s="88"/>
      <c r="D5119" s="92"/>
      <c r="E5119" s="89"/>
      <c r="F5119" s="89"/>
      <c r="G5119" s="89"/>
    </row>
    <row r="5120">
      <c r="A5120" s="93"/>
      <c r="B5120" s="87" t="s">
        <v>779</v>
      </c>
      <c r="C5120" s="88"/>
      <c r="D5120" s="92"/>
      <c r="E5120" s="89"/>
      <c r="F5120" s="89"/>
      <c r="G5120" s="89"/>
    </row>
    <row r="5121">
      <c r="A5121" s="93"/>
      <c r="B5121" s="87" t="s">
        <v>779</v>
      </c>
      <c r="C5121" s="88"/>
      <c r="D5121" s="92"/>
      <c r="E5121" s="89"/>
      <c r="F5121" s="89"/>
      <c r="G5121" s="89"/>
    </row>
    <row r="5122">
      <c r="A5122" s="93"/>
      <c r="B5122" s="87" t="s">
        <v>779</v>
      </c>
      <c r="C5122" s="88"/>
      <c r="D5122" s="92"/>
      <c r="E5122" s="89"/>
      <c r="F5122" s="89"/>
      <c r="G5122" s="89"/>
    </row>
    <row r="5123">
      <c r="A5123" s="93"/>
      <c r="B5123" s="87" t="s">
        <v>779</v>
      </c>
      <c r="C5123" s="88"/>
      <c r="D5123" s="92"/>
      <c r="E5123" s="89"/>
      <c r="F5123" s="89"/>
      <c r="G5123" s="89"/>
    </row>
    <row r="5124">
      <c r="A5124" s="93"/>
      <c r="B5124" s="87" t="s">
        <v>779</v>
      </c>
      <c r="C5124" s="88"/>
      <c r="D5124" s="92"/>
      <c r="E5124" s="89"/>
      <c r="F5124" s="89"/>
      <c r="G5124" s="89"/>
    </row>
    <row r="5125">
      <c r="A5125" s="93"/>
      <c r="B5125" s="87" t="s">
        <v>779</v>
      </c>
      <c r="C5125" s="88"/>
      <c r="D5125" s="92"/>
      <c r="E5125" s="89"/>
      <c r="F5125" s="89"/>
      <c r="G5125" s="89"/>
    </row>
    <row r="5126">
      <c r="A5126" s="93"/>
      <c r="B5126" s="87" t="s">
        <v>779</v>
      </c>
      <c r="C5126" s="88"/>
      <c r="D5126" s="92"/>
      <c r="E5126" s="89"/>
      <c r="F5126" s="89"/>
      <c r="G5126" s="89"/>
    </row>
    <row r="5127">
      <c r="A5127" s="93"/>
      <c r="B5127" s="87" t="s">
        <v>779</v>
      </c>
      <c r="C5127" s="88"/>
      <c r="D5127" s="92"/>
      <c r="E5127" s="89"/>
      <c r="F5127" s="89"/>
      <c r="G5127" s="89"/>
    </row>
    <row r="5128">
      <c r="A5128" s="93"/>
      <c r="B5128" s="87" t="s">
        <v>779</v>
      </c>
      <c r="C5128" s="88"/>
      <c r="D5128" s="92"/>
      <c r="E5128" s="89"/>
      <c r="F5128" s="89"/>
      <c r="G5128" s="89"/>
    </row>
    <row r="5129">
      <c r="A5129" s="93"/>
      <c r="B5129" s="87" t="s">
        <v>779</v>
      </c>
      <c r="C5129" s="88"/>
      <c r="D5129" s="92"/>
      <c r="E5129" s="89"/>
      <c r="F5129" s="89"/>
      <c r="G5129" s="89"/>
    </row>
    <row r="5130">
      <c r="A5130" s="93"/>
      <c r="B5130" s="87" t="s">
        <v>779</v>
      </c>
      <c r="C5130" s="88"/>
      <c r="D5130" s="92"/>
      <c r="E5130" s="89"/>
      <c r="F5130" s="89"/>
      <c r="G5130" s="89"/>
    </row>
    <row r="5131">
      <c r="A5131" s="93"/>
      <c r="B5131" s="87" t="s">
        <v>779</v>
      </c>
      <c r="C5131" s="88"/>
      <c r="D5131" s="92"/>
      <c r="E5131" s="89"/>
      <c r="F5131" s="89"/>
      <c r="G5131" s="89"/>
    </row>
    <row r="5132">
      <c r="A5132" s="93"/>
      <c r="B5132" s="87" t="s">
        <v>779</v>
      </c>
      <c r="C5132" s="88"/>
      <c r="D5132" s="92"/>
      <c r="E5132" s="89"/>
      <c r="F5132" s="89"/>
      <c r="G5132" s="89"/>
    </row>
    <row r="5133">
      <c r="A5133" s="93"/>
      <c r="B5133" s="87" t="s">
        <v>779</v>
      </c>
      <c r="C5133" s="88"/>
      <c r="D5133" s="92"/>
      <c r="E5133" s="89"/>
      <c r="F5133" s="89"/>
      <c r="G5133" s="89"/>
    </row>
    <row r="5134">
      <c r="A5134" s="93"/>
      <c r="B5134" s="87" t="s">
        <v>779</v>
      </c>
      <c r="C5134" s="88"/>
      <c r="D5134" s="92"/>
      <c r="E5134" s="89"/>
      <c r="F5134" s="89"/>
      <c r="G5134" s="89"/>
    </row>
    <row r="5135">
      <c r="A5135" s="93"/>
      <c r="B5135" s="87" t="s">
        <v>779</v>
      </c>
      <c r="C5135" s="88"/>
      <c r="D5135" s="92"/>
      <c r="E5135" s="89"/>
      <c r="F5135" s="89"/>
      <c r="G5135" s="89"/>
    </row>
    <row r="5136">
      <c r="A5136" s="93"/>
      <c r="B5136" s="87" t="s">
        <v>779</v>
      </c>
      <c r="C5136" s="88"/>
      <c r="D5136" s="92"/>
      <c r="E5136" s="89"/>
      <c r="F5136" s="89"/>
      <c r="G5136" s="89"/>
    </row>
    <row r="5137">
      <c r="A5137" s="93"/>
      <c r="B5137" s="87" t="s">
        <v>779</v>
      </c>
      <c r="C5137" s="88"/>
      <c r="D5137" s="92"/>
      <c r="E5137" s="89"/>
      <c r="F5137" s="89"/>
      <c r="G5137" s="89"/>
    </row>
    <row r="5138">
      <c r="A5138" s="93"/>
      <c r="B5138" s="87" t="s">
        <v>779</v>
      </c>
      <c r="C5138" s="88"/>
      <c r="D5138" s="92"/>
      <c r="E5138" s="89"/>
      <c r="F5138" s="89"/>
      <c r="G5138" s="89"/>
    </row>
    <row r="5139">
      <c r="A5139" s="93"/>
      <c r="B5139" s="87" t="s">
        <v>779</v>
      </c>
      <c r="C5139" s="88"/>
      <c r="D5139" s="92"/>
      <c r="E5139" s="89"/>
      <c r="F5139" s="89"/>
      <c r="G5139" s="89"/>
    </row>
    <row r="5140">
      <c r="A5140" s="93"/>
      <c r="B5140" s="87" t="s">
        <v>779</v>
      </c>
      <c r="C5140" s="88"/>
      <c r="D5140" s="92"/>
      <c r="E5140" s="89"/>
      <c r="F5140" s="89"/>
      <c r="G5140" s="89"/>
    </row>
    <row r="5141">
      <c r="A5141" s="93"/>
      <c r="B5141" s="87" t="s">
        <v>779</v>
      </c>
      <c r="C5141" s="88"/>
      <c r="D5141" s="92"/>
      <c r="E5141" s="89"/>
      <c r="F5141" s="89"/>
      <c r="G5141" s="89"/>
    </row>
    <row r="5142">
      <c r="A5142" s="93"/>
      <c r="B5142" s="87" t="s">
        <v>779</v>
      </c>
      <c r="C5142" s="88"/>
      <c r="D5142" s="92"/>
      <c r="E5142" s="89"/>
      <c r="F5142" s="89"/>
      <c r="G5142" s="89"/>
    </row>
    <row r="5143">
      <c r="A5143" s="93"/>
      <c r="B5143" s="87" t="s">
        <v>779</v>
      </c>
      <c r="C5143" s="88"/>
      <c r="D5143" s="92"/>
      <c r="E5143" s="89"/>
      <c r="F5143" s="89"/>
      <c r="G5143" s="89"/>
    </row>
    <row r="5144">
      <c r="A5144" s="93"/>
      <c r="B5144" s="87" t="s">
        <v>779</v>
      </c>
      <c r="C5144" s="88"/>
      <c r="D5144" s="92"/>
      <c r="E5144" s="89"/>
      <c r="F5144" s="89"/>
      <c r="G5144" s="89"/>
    </row>
    <row r="5145">
      <c r="A5145" s="93"/>
      <c r="B5145" s="87" t="s">
        <v>779</v>
      </c>
      <c r="C5145" s="88"/>
      <c r="D5145" s="92"/>
      <c r="E5145" s="89"/>
      <c r="F5145" s="89"/>
      <c r="G5145" s="89"/>
    </row>
    <row r="5146">
      <c r="A5146" s="93"/>
      <c r="B5146" s="87" t="s">
        <v>779</v>
      </c>
      <c r="C5146" s="88"/>
      <c r="D5146" s="92"/>
      <c r="E5146" s="89"/>
      <c r="F5146" s="89"/>
      <c r="G5146" s="89"/>
    </row>
    <row r="5147">
      <c r="A5147" s="93"/>
      <c r="B5147" s="87" t="s">
        <v>779</v>
      </c>
      <c r="C5147" s="88"/>
      <c r="D5147" s="92"/>
      <c r="E5147" s="89"/>
      <c r="F5147" s="89"/>
      <c r="G5147" s="89"/>
    </row>
    <row r="5148">
      <c r="A5148" s="93"/>
      <c r="B5148" s="87" t="s">
        <v>779</v>
      </c>
      <c r="C5148" s="88"/>
      <c r="D5148" s="92"/>
      <c r="E5148" s="89"/>
      <c r="F5148" s="89"/>
      <c r="G5148" s="89"/>
    </row>
    <row r="5149">
      <c r="A5149" s="93"/>
      <c r="B5149" s="87" t="s">
        <v>779</v>
      </c>
      <c r="C5149" s="88"/>
      <c r="D5149" s="92"/>
      <c r="E5149" s="89"/>
      <c r="F5149" s="89"/>
      <c r="G5149" s="89"/>
    </row>
    <row r="5150">
      <c r="A5150" s="93"/>
      <c r="B5150" s="87" t="s">
        <v>779</v>
      </c>
      <c r="C5150" s="88"/>
      <c r="D5150" s="92"/>
      <c r="E5150" s="89"/>
      <c r="F5150" s="89"/>
      <c r="G5150" s="89"/>
    </row>
    <row r="5151">
      <c r="A5151" s="93"/>
      <c r="B5151" s="87" t="s">
        <v>779</v>
      </c>
      <c r="C5151" s="88"/>
      <c r="D5151" s="92"/>
      <c r="E5151" s="89"/>
      <c r="F5151" s="89"/>
      <c r="G5151" s="89"/>
    </row>
    <row r="5152">
      <c r="A5152" s="93"/>
      <c r="B5152" s="87" t="s">
        <v>779</v>
      </c>
      <c r="C5152" s="88"/>
      <c r="D5152" s="92"/>
      <c r="E5152" s="89"/>
      <c r="F5152" s="89"/>
      <c r="G5152" s="89"/>
    </row>
    <row r="5153">
      <c r="A5153" s="93"/>
      <c r="B5153" s="87" t="s">
        <v>779</v>
      </c>
      <c r="C5153" s="88"/>
      <c r="D5153" s="92"/>
      <c r="E5153" s="89"/>
      <c r="F5153" s="89"/>
      <c r="G5153" s="89"/>
    </row>
    <row r="5154">
      <c r="A5154" s="93"/>
      <c r="B5154" s="87" t="s">
        <v>779</v>
      </c>
      <c r="C5154" s="88"/>
      <c r="D5154" s="92"/>
      <c r="E5154" s="89"/>
      <c r="F5154" s="89"/>
      <c r="G5154" s="89"/>
    </row>
    <row r="5155">
      <c r="A5155" s="93"/>
      <c r="B5155" s="87" t="s">
        <v>779</v>
      </c>
      <c r="C5155" s="88"/>
      <c r="D5155" s="92"/>
      <c r="E5155" s="89"/>
      <c r="F5155" s="89"/>
      <c r="G5155" s="89"/>
    </row>
    <row r="5156">
      <c r="A5156" s="93"/>
      <c r="B5156" s="87" t="s">
        <v>779</v>
      </c>
      <c r="C5156" s="88"/>
      <c r="D5156" s="92"/>
      <c r="E5156" s="89"/>
      <c r="F5156" s="89"/>
      <c r="G5156" s="89"/>
    </row>
    <row r="5157">
      <c r="A5157" s="93"/>
      <c r="B5157" s="87" t="s">
        <v>779</v>
      </c>
      <c r="C5157" s="88"/>
      <c r="D5157" s="92"/>
      <c r="E5157" s="89"/>
      <c r="F5157" s="89"/>
      <c r="G5157" s="89"/>
    </row>
    <row r="5158">
      <c r="A5158" s="93"/>
      <c r="B5158" s="87" t="s">
        <v>779</v>
      </c>
      <c r="C5158" s="88"/>
      <c r="D5158" s="92"/>
      <c r="E5158" s="89"/>
      <c r="F5158" s="89"/>
      <c r="G5158" s="89"/>
    </row>
    <row r="5159">
      <c r="A5159" s="93"/>
      <c r="B5159" s="87" t="s">
        <v>779</v>
      </c>
      <c r="C5159" s="88"/>
      <c r="D5159" s="92"/>
      <c r="E5159" s="89"/>
      <c r="F5159" s="89"/>
      <c r="G5159" s="89"/>
    </row>
    <row r="5160">
      <c r="A5160" s="93"/>
      <c r="B5160" s="87" t="s">
        <v>779</v>
      </c>
      <c r="C5160" s="88"/>
      <c r="D5160" s="92"/>
      <c r="E5160" s="89"/>
      <c r="F5160" s="89"/>
      <c r="G5160" s="89"/>
    </row>
    <row r="5161">
      <c r="A5161" s="93"/>
      <c r="B5161" s="87" t="s">
        <v>779</v>
      </c>
      <c r="C5161" s="88"/>
      <c r="D5161" s="92"/>
      <c r="E5161" s="89"/>
      <c r="F5161" s="89"/>
      <c r="G5161" s="89"/>
    </row>
    <row r="5162">
      <c r="A5162" s="93"/>
      <c r="B5162" s="87" t="s">
        <v>779</v>
      </c>
      <c r="C5162" s="88"/>
      <c r="D5162" s="92"/>
      <c r="E5162" s="89"/>
      <c r="F5162" s="89"/>
      <c r="G5162" s="89"/>
    </row>
    <row r="5163">
      <c r="A5163" s="93"/>
      <c r="B5163" s="87" t="s">
        <v>779</v>
      </c>
      <c r="C5163" s="88"/>
      <c r="D5163" s="92"/>
      <c r="E5163" s="89"/>
      <c r="F5163" s="89"/>
      <c r="G5163" s="89"/>
    </row>
    <row r="5164">
      <c r="A5164" s="93"/>
      <c r="B5164" s="87" t="s">
        <v>779</v>
      </c>
      <c r="C5164" s="88"/>
      <c r="D5164" s="92"/>
      <c r="E5164" s="89"/>
      <c r="F5164" s="89"/>
      <c r="G5164" s="89"/>
    </row>
    <row r="5165">
      <c r="A5165" s="93"/>
      <c r="B5165" s="87" t="s">
        <v>779</v>
      </c>
      <c r="C5165" s="88"/>
      <c r="D5165" s="92"/>
      <c r="E5165" s="89"/>
      <c r="F5165" s="89"/>
      <c r="G5165" s="89"/>
    </row>
    <row r="5166">
      <c r="A5166" s="93"/>
      <c r="B5166" s="87" t="s">
        <v>779</v>
      </c>
      <c r="C5166" s="88"/>
      <c r="D5166" s="92"/>
      <c r="E5166" s="89"/>
      <c r="F5166" s="89"/>
      <c r="G5166" s="89"/>
    </row>
    <row r="5167">
      <c r="A5167" s="93"/>
      <c r="B5167" s="87" t="s">
        <v>779</v>
      </c>
      <c r="C5167" s="88"/>
      <c r="D5167" s="92"/>
      <c r="E5167" s="89"/>
      <c r="F5167" s="89"/>
      <c r="G5167" s="89"/>
    </row>
    <row r="5168">
      <c r="A5168" s="93"/>
      <c r="B5168" s="87" t="s">
        <v>779</v>
      </c>
      <c r="C5168" s="88"/>
      <c r="D5168" s="92"/>
      <c r="E5168" s="89"/>
      <c r="F5168" s="89"/>
      <c r="G5168" s="89"/>
    </row>
    <row r="5169">
      <c r="A5169" s="93"/>
      <c r="B5169" s="87" t="s">
        <v>779</v>
      </c>
      <c r="C5169" s="88"/>
      <c r="D5169" s="92"/>
      <c r="E5169" s="89"/>
      <c r="F5169" s="89"/>
      <c r="G5169" s="89"/>
    </row>
    <row r="5170">
      <c r="A5170" s="93"/>
      <c r="B5170" s="87" t="s">
        <v>779</v>
      </c>
      <c r="C5170" s="88"/>
      <c r="D5170" s="92"/>
      <c r="E5170" s="89"/>
      <c r="F5170" s="89"/>
      <c r="G5170" s="89"/>
    </row>
    <row r="5171">
      <c r="A5171" s="93"/>
      <c r="B5171" s="87" t="s">
        <v>779</v>
      </c>
      <c r="C5171" s="88"/>
      <c r="D5171" s="92"/>
      <c r="E5171" s="89"/>
      <c r="F5171" s="89"/>
      <c r="G5171" s="89"/>
    </row>
    <row r="5172">
      <c r="A5172" s="93"/>
      <c r="B5172" s="87" t="s">
        <v>779</v>
      </c>
      <c r="C5172" s="88"/>
      <c r="D5172" s="92"/>
      <c r="E5172" s="89"/>
      <c r="F5172" s="89"/>
      <c r="G5172" s="89"/>
    </row>
    <row r="5173">
      <c r="A5173" s="93"/>
      <c r="B5173" s="87" t="s">
        <v>779</v>
      </c>
      <c r="C5173" s="88"/>
      <c r="D5173" s="92"/>
      <c r="E5173" s="89"/>
      <c r="F5173" s="89"/>
      <c r="G5173" s="89"/>
    </row>
    <row r="5174">
      <c r="A5174" s="93"/>
      <c r="B5174" s="87" t="s">
        <v>779</v>
      </c>
      <c r="C5174" s="88"/>
      <c r="D5174" s="92"/>
      <c r="E5174" s="89"/>
      <c r="F5174" s="89"/>
      <c r="G5174" s="89"/>
    </row>
    <row r="5175">
      <c r="A5175" s="93"/>
      <c r="B5175" s="87" t="s">
        <v>779</v>
      </c>
      <c r="C5175" s="88"/>
      <c r="D5175" s="92"/>
      <c r="E5175" s="89"/>
      <c r="F5175" s="89"/>
      <c r="G5175" s="89"/>
    </row>
    <row r="5176">
      <c r="A5176" s="93"/>
      <c r="B5176" s="87" t="s">
        <v>779</v>
      </c>
      <c r="C5176" s="88"/>
      <c r="D5176" s="92"/>
      <c r="E5176" s="89"/>
      <c r="F5176" s="89"/>
      <c r="G5176" s="89"/>
    </row>
    <row r="5177">
      <c r="A5177" s="93"/>
      <c r="B5177" s="87" t="s">
        <v>779</v>
      </c>
      <c r="C5177" s="88"/>
      <c r="D5177" s="92"/>
      <c r="E5177" s="89"/>
      <c r="F5177" s="89"/>
      <c r="G5177" s="89"/>
    </row>
    <row r="5178">
      <c r="A5178" s="93"/>
      <c r="B5178" s="87" t="s">
        <v>779</v>
      </c>
      <c r="C5178" s="88"/>
      <c r="D5178" s="92"/>
      <c r="E5178" s="89"/>
      <c r="F5178" s="89"/>
      <c r="G5178" s="89"/>
    </row>
    <row r="5179">
      <c r="A5179" s="93"/>
      <c r="B5179" s="87" t="s">
        <v>779</v>
      </c>
      <c r="C5179" s="88"/>
      <c r="D5179" s="92"/>
      <c r="E5179" s="89"/>
      <c r="F5179" s="89"/>
      <c r="G5179" s="89"/>
    </row>
    <row r="5180">
      <c r="A5180" s="93"/>
      <c r="B5180" s="87" t="s">
        <v>779</v>
      </c>
      <c r="C5180" s="88"/>
      <c r="D5180" s="92"/>
      <c r="E5180" s="89"/>
      <c r="F5180" s="89"/>
      <c r="G5180" s="89"/>
    </row>
    <row r="5181">
      <c r="A5181" s="93"/>
      <c r="B5181" s="87" t="s">
        <v>779</v>
      </c>
      <c r="C5181" s="88"/>
      <c r="D5181" s="92"/>
      <c r="E5181" s="89"/>
      <c r="F5181" s="89"/>
      <c r="G5181" s="89"/>
    </row>
    <row r="5182">
      <c r="A5182" s="93"/>
      <c r="B5182" s="87" t="s">
        <v>779</v>
      </c>
      <c r="C5182" s="88"/>
      <c r="D5182" s="92"/>
      <c r="E5182" s="89"/>
      <c r="F5182" s="89"/>
      <c r="G5182" s="89"/>
    </row>
    <row r="5183">
      <c r="A5183" s="93"/>
      <c r="B5183" s="87" t="s">
        <v>779</v>
      </c>
      <c r="C5183" s="88"/>
      <c r="D5183" s="92"/>
      <c r="E5183" s="89"/>
      <c r="F5183" s="89"/>
      <c r="G5183" s="89"/>
    </row>
    <row r="5184">
      <c r="A5184" s="93"/>
      <c r="B5184" s="87" t="s">
        <v>779</v>
      </c>
      <c r="C5184" s="88"/>
      <c r="D5184" s="92"/>
      <c r="E5184" s="89"/>
      <c r="F5184" s="89"/>
      <c r="G5184" s="89"/>
    </row>
    <row r="5185">
      <c r="A5185" s="93"/>
      <c r="B5185" s="87" t="s">
        <v>779</v>
      </c>
      <c r="C5185" s="88"/>
      <c r="D5185" s="92"/>
      <c r="E5185" s="89"/>
      <c r="F5185" s="89"/>
      <c r="G5185" s="89"/>
    </row>
    <row r="5186">
      <c r="A5186" s="93"/>
      <c r="B5186" s="87" t="s">
        <v>779</v>
      </c>
      <c r="C5186" s="88"/>
      <c r="D5186" s="92"/>
      <c r="E5186" s="89"/>
      <c r="F5186" s="89"/>
      <c r="G5186" s="89"/>
    </row>
    <row r="5187">
      <c r="A5187" s="93"/>
      <c r="B5187" s="87" t="s">
        <v>779</v>
      </c>
      <c r="C5187" s="88"/>
      <c r="D5187" s="92"/>
      <c r="E5187" s="89"/>
      <c r="F5187" s="89"/>
      <c r="G5187" s="89"/>
    </row>
    <row r="5188">
      <c r="A5188" s="93"/>
      <c r="B5188" s="87" t="s">
        <v>779</v>
      </c>
      <c r="C5188" s="88"/>
      <c r="D5188" s="92"/>
      <c r="E5188" s="89"/>
      <c r="F5188" s="89"/>
      <c r="G5188" s="89"/>
    </row>
    <row r="5189">
      <c r="A5189" s="93"/>
      <c r="B5189" s="87" t="s">
        <v>779</v>
      </c>
      <c r="C5189" s="88"/>
      <c r="D5189" s="92"/>
      <c r="E5189" s="89"/>
      <c r="F5189" s="89"/>
      <c r="G5189" s="89"/>
    </row>
    <row r="5190">
      <c r="A5190" s="93"/>
      <c r="B5190" s="87" t="s">
        <v>779</v>
      </c>
      <c r="C5190" s="88"/>
      <c r="D5190" s="92"/>
      <c r="E5190" s="89"/>
      <c r="F5190" s="89"/>
      <c r="G5190" s="89"/>
    </row>
    <row r="5191">
      <c r="A5191" s="93"/>
      <c r="B5191" s="87" t="s">
        <v>779</v>
      </c>
      <c r="C5191" s="88"/>
      <c r="D5191" s="92"/>
      <c r="E5191" s="89"/>
      <c r="F5191" s="89"/>
      <c r="G5191" s="89"/>
    </row>
    <row r="5192">
      <c r="A5192" s="93"/>
      <c r="B5192" s="87" t="s">
        <v>779</v>
      </c>
      <c r="C5192" s="88"/>
      <c r="D5192" s="92"/>
      <c r="E5192" s="89"/>
      <c r="F5192" s="89"/>
      <c r="G5192" s="89"/>
    </row>
    <row r="5193">
      <c r="A5193" s="93"/>
      <c r="B5193" s="87" t="s">
        <v>779</v>
      </c>
      <c r="C5193" s="88"/>
      <c r="D5193" s="92"/>
      <c r="E5193" s="89"/>
      <c r="F5193" s="89"/>
      <c r="G5193" s="89"/>
    </row>
    <row r="5194">
      <c r="A5194" s="93"/>
      <c r="B5194" s="87" t="s">
        <v>779</v>
      </c>
      <c r="C5194" s="88"/>
      <c r="D5194" s="92"/>
      <c r="E5194" s="89"/>
      <c r="F5194" s="89"/>
      <c r="G5194" s="89"/>
    </row>
    <row r="5195">
      <c r="A5195" s="93"/>
      <c r="B5195" s="87" t="s">
        <v>779</v>
      </c>
      <c r="C5195" s="88"/>
      <c r="D5195" s="92"/>
      <c r="E5195" s="89"/>
      <c r="F5195" s="89"/>
      <c r="G5195" s="89"/>
    </row>
    <row r="5196">
      <c r="A5196" s="93"/>
      <c r="B5196" s="87" t="s">
        <v>779</v>
      </c>
      <c r="C5196" s="88"/>
      <c r="D5196" s="92"/>
      <c r="E5196" s="89"/>
      <c r="F5196" s="89"/>
      <c r="G5196" s="89"/>
    </row>
    <row r="5197">
      <c r="A5197" s="93"/>
      <c r="B5197" s="87" t="s">
        <v>779</v>
      </c>
      <c r="C5197" s="88"/>
      <c r="D5197" s="92"/>
      <c r="E5197" s="89"/>
      <c r="F5197" s="89"/>
      <c r="G5197" s="89"/>
    </row>
    <row r="5198">
      <c r="A5198" s="93"/>
      <c r="B5198" s="87" t="s">
        <v>779</v>
      </c>
      <c r="C5198" s="88"/>
      <c r="D5198" s="92"/>
      <c r="E5198" s="89"/>
      <c r="F5198" s="89"/>
      <c r="G5198" s="89"/>
    </row>
    <row r="5199">
      <c r="A5199" s="93"/>
      <c r="B5199" s="87" t="s">
        <v>779</v>
      </c>
      <c r="C5199" s="88"/>
      <c r="D5199" s="92"/>
      <c r="E5199" s="89"/>
      <c r="F5199" s="89"/>
      <c r="G5199" s="89"/>
    </row>
    <row r="5200">
      <c r="A5200" s="93"/>
      <c r="B5200" s="87" t="s">
        <v>779</v>
      </c>
      <c r="C5200" s="88"/>
      <c r="D5200" s="92"/>
      <c r="E5200" s="89"/>
      <c r="F5200" s="89"/>
      <c r="G5200" s="89"/>
    </row>
    <row r="5201">
      <c r="A5201" s="93"/>
      <c r="B5201" s="87" t="s">
        <v>779</v>
      </c>
      <c r="C5201" s="88"/>
      <c r="D5201" s="92"/>
      <c r="E5201" s="89"/>
      <c r="F5201" s="89"/>
      <c r="G5201" s="89"/>
    </row>
    <row r="5202">
      <c r="A5202" s="93"/>
      <c r="B5202" s="87" t="s">
        <v>779</v>
      </c>
      <c r="C5202" s="88"/>
      <c r="D5202" s="92"/>
      <c r="E5202" s="89"/>
      <c r="F5202" s="89"/>
      <c r="G5202" s="89"/>
    </row>
    <row r="5203">
      <c r="A5203" s="93"/>
      <c r="B5203" s="87" t="s">
        <v>779</v>
      </c>
      <c r="C5203" s="88"/>
      <c r="D5203" s="92"/>
      <c r="E5203" s="89"/>
      <c r="F5203" s="89"/>
      <c r="G5203" s="89"/>
    </row>
    <row r="5204">
      <c r="A5204" s="93"/>
      <c r="B5204" s="87" t="s">
        <v>779</v>
      </c>
      <c r="C5204" s="88"/>
      <c r="D5204" s="92"/>
      <c r="E5204" s="89"/>
      <c r="F5204" s="89"/>
      <c r="G5204" s="89"/>
    </row>
    <row r="5205">
      <c r="A5205" s="93"/>
      <c r="B5205" s="87" t="s">
        <v>779</v>
      </c>
      <c r="C5205" s="88"/>
      <c r="D5205" s="92"/>
      <c r="E5205" s="89"/>
      <c r="F5205" s="89"/>
      <c r="G5205" s="89"/>
    </row>
    <row r="5206">
      <c r="A5206" s="93"/>
      <c r="B5206" s="87" t="s">
        <v>779</v>
      </c>
      <c r="C5206" s="88"/>
      <c r="D5206" s="92"/>
      <c r="E5206" s="89"/>
      <c r="F5206" s="89"/>
      <c r="G5206" s="89"/>
    </row>
    <row r="5207">
      <c r="A5207" s="93"/>
      <c r="B5207" s="87" t="s">
        <v>779</v>
      </c>
      <c r="C5207" s="88"/>
      <c r="D5207" s="92"/>
      <c r="E5207" s="89"/>
      <c r="F5207" s="89"/>
      <c r="G5207" s="89"/>
    </row>
    <row r="5208">
      <c r="A5208" s="93"/>
      <c r="B5208" s="87" t="s">
        <v>779</v>
      </c>
      <c r="C5208" s="88"/>
      <c r="D5208" s="92"/>
      <c r="E5208" s="89"/>
      <c r="F5208" s="89"/>
      <c r="G5208" s="89"/>
    </row>
    <row r="5209">
      <c r="A5209" s="93"/>
      <c r="B5209" s="87" t="s">
        <v>779</v>
      </c>
      <c r="C5209" s="88"/>
      <c r="D5209" s="92"/>
      <c r="E5209" s="89"/>
      <c r="F5209" s="89"/>
      <c r="G5209" s="89"/>
    </row>
    <row r="5210">
      <c r="A5210" s="93"/>
      <c r="B5210" s="87" t="s">
        <v>779</v>
      </c>
      <c r="C5210" s="88"/>
      <c r="D5210" s="92"/>
      <c r="E5210" s="89"/>
      <c r="F5210" s="89"/>
      <c r="G5210" s="89"/>
    </row>
    <row r="5211">
      <c r="A5211" s="93"/>
      <c r="B5211" s="87" t="s">
        <v>779</v>
      </c>
      <c r="C5211" s="88"/>
      <c r="D5211" s="92"/>
      <c r="E5211" s="89"/>
      <c r="F5211" s="89"/>
      <c r="G5211" s="89"/>
    </row>
    <row r="5212">
      <c r="A5212" s="93"/>
      <c r="B5212" s="87" t="s">
        <v>779</v>
      </c>
      <c r="C5212" s="88"/>
      <c r="D5212" s="92"/>
      <c r="E5212" s="89"/>
      <c r="F5212" s="89"/>
      <c r="G5212" s="89"/>
    </row>
    <row r="5213">
      <c r="A5213" s="93"/>
      <c r="B5213" s="87" t="s">
        <v>779</v>
      </c>
      <c r="C5213" s="88"/>
      <c r="D5213" s="92"/>
      <c r="E5213" s="89"/>
      <c r="F5213" s="89"/>
      <c r="G5213" s="89"/>
    </row>
    <row r="5214">
      <c r="A5214" s="93"/>
      <c r="B5214" s="87" t="s">
        <v>779</v>
      </c>
      <c r="C5214" s="88"/>
      <c r="D5214" s="92"/>
      <c r="E5214" s="89"/>
      <c r="F5214" s="89"/>
      <c r="G5214" s="89"/>
    </row>
    <row r="5215">
      <c r="A5215" s="93"/>
      <c r="B5215" s="87" t="s">
        <v>779</v>
      </c>
      <c r="C5215" s="88"/>
      <c r="D5215" s="92"/>
      <c r="E5215" s="89"/>
      <c r="F5215" s="89"/>
      <c r="G5215" s="89"/>
    </row>
    <row r="5216">
      <c r="A5216" s="93"/>
      <c r="B5216" s="87" t="s">
        <v>779</v>
      </c>
      <c r="C5216" s="88"/>
      <c r="D5216" s="92"/>
      <c r="E5216" s="89"/>
      <c r="F5216" s="89"/>
      <c r="G5216" s="89"/>
    </row>
    <row r="5217">
      <c r="A5217" s="93"/>
      <c r="B5217" s="87" t="s">
        <v>779</v>
      </c>
      <c r="C5217" s="88"/>
      <c r="D5217" s="92"/>
      <c r="E5217" s="89"/>
      <c r="F5217" s="89"/>
      <c r="G5217" s="89"/>
    </row>
    <row r="5218">
      <c r="A5218" s="93"/>
      <c r="B5218" s="87" t="s">
        <v>779</v>
      </c>
      <c r="C5218" s="88"/>
      <c r="D5218" s="92"/>
      <c r="E5218" s="89"/>
      <c r="F5218" s="89"/>
      <c r="G5218" s="89"/>
    </row>
    <row r="5219">
      <c r="A5219" s="93"/>
      <c r="B5219" s="87" t="s">
        <v>779</v>
      </c>
      <c r="C5219" s="88"/>
      <c r="D5219" s="92"/>
      <c r="E5219" s="89"/>
      <c r="F5219" s="89"/>
      <c r="G5219" s="89"/>
    </row>
    <row r="5220">
      <c r="A5220" s="93"/>
      <c r="B5220" s="87" t="s">
        <v>779</v>
      </c>
      <c r="C5220" s="88"/>
      <c r="D5220" s="92"/>
      <c r="E5220" s="89"/>
      <c r="F5220" s="89"/>
      <c r="G5220" s="89"/>
    </row>
    <row r="5221">
      <c r="A5221" s="93"/>
      <c r="B5221" s="87" t="s">
        <v>779</v>
      </c>
      <c r="C5221" s="88"/>
      <c r="D5221" s="92"/>
      <c r="E5221" s="89"/>
      <c r="F5221" s="89"/>
      <c r="G5221" s="89"/>
    </row>
    <row r="5222">
      <c r="A5222" s="93"/>
      <c r="B5222" s="87" t="s">
        <v>779</v>
      </c>
      <c r="C5222" s="88"/>
      <c r="D5222" s="92"/>
      <c r="E5222" s="89"/>
      <c r="F5222" s="89"/>
      <c r="G5222" s="89"/>
    </row>
    <row r="5223">
      <c r="A5223" s="93"/>
      <c r="B5223" s="87" t="s">
        <v>779</v>
      </c>
      <c r="C5223" s="88"/>
      <c r="D5223" s="92"/>
      <c r="E5223" s="89"/>
      <c r="F5223" s="89"/>
      <c r="G5223" s="89"/>
    </row>
    <row r="5224">
      <c r="A5224" s="93"/>
      <c r="B5224" s="87" t="s">
        <v>779</v>
      </c>
      <c r="C5224" s="88"/>
      <c r="D5224" s="92"/>
      <c r="E5224" s="89"/>
      <c r="F5224" s="89"/>
      <c r="G5224" s="89"/>
    </row>
    <row r="5225">
      <c r="A5225" s="93"/>
      <c r="B5225" s="87" t="s">
        <v>779</v>
      </c>
      <c r="C5225" s="88"/>
      <c r="D5225" s="92"/>
      <c r="E5225" s="89"/>
      <c r="F5225" s="89"/>
      <c r="G5225" s="89"/>
    </row>
    <row r="5226">
      <c r="A5226" s="93"/>
      <c r="B5226" s="87" t="s">
        <v>779</v>
      </c>
      <c r="C5226" s="88"/>
      <c r="D5226" s="92"/>
      <c r="E5226" s="89"/>
      <c r="F5226" s="89"/>
      <c r="G5226" s="89"/>
    </row>
    <row r="5227">
      <c r="A5227" s="93"/>
      <c r="B5227" s="87" t="s">
        <v>779</v>
      </c>
      <c r="C5227" s="88"/>
      <c r="D5227" s="92"/>
      <c r="E5227" s="89"/>
      <c r="F5227" s="89"/>
      <c r="G5227" s="89"/>
    </row>
    <row r="5228">
      <c r="A5228" s="93"/>
      <c r="B5228" s="87" t="s">
        <v>779</v>
      </c>
      <c r="C5228" s="88"/>
      <c r="D5228" s="92"/>
      <c r="E5228" s="89"/>
      <c r="F5228" s="89"/>
      <c r="G5228" s="89"/>
    </row>
    <row r="5229">
      <c r="A5229" s="93"/>
      <c r="B5229" s="87" t="s">
        <v>779</v>
      </c>
      <c r="C5229" s="88"/>
      <c r="D5229" s="92"/>
      <c r="E5229" s="89"/>
      <c r="F5229" s="89"/>
      <c r="G5229" s="89"/>
    </row>
    <row r="5230">
      <c r="A5230" s="93"/>
      <c r="B5230" s="87" t="s">
        <v>779</v>
      </c>
      <c r="C5230" s="88"/>
      <c r="D5230" s="92"/>
      <c r="E5230" s="89"/>
      <c r="F5230" s="89"/>
      <c r="G5230" s="89"/>
    </row>
    <row r="5231">
      <c r="A5231" s="93"/>
      <c r="B5231" s="87" t="s">
        <v>779</v>
      </c>
      <c r="C5231" s="88"/>
      <c r="D5231" s="92"/>
      <c r="E5231" s="89"/>
      <c r="F5231" s="89"/>
      <c r="G5231" s="89"/>
    </row>
    <row r="5232">
      <c r="A5232" s="93"/>
      <c r="B5232" s="87" t="s">
        <v>779</v>
      </c>
      <c r="C5232" s="88"/>
      <c r="D5232" s="92"/>
      <c r="E5232" s="89"/>
      <c r="F5232" s="89"/>
      <c r="G5232" s="89"/>
    </row>
    <row r="5233">
      <c r="A5233" s="93"/>
      <c r="B5233" s="87" t="s">
        <v>779</v>
      </c>
      <c r="C5233" s="88"/>
      <c r="D5233" s="92"/>
      <c r="E5233" s="89"/>
      <c r="F5233" s="89"/>
      <c r="G5233" s="89"/>
    </row>
    <row r="5234">
      <c r="A5234" s="93"/>
      <c r="B5234" s="87" t="s">
        <v>779</v>
      </c>
      <c r="C5234" s="88"/>
      <c r="D5234" s="92"/>
      <c r="E5234" s="89"/>
      <c r="F5234" s="89"/>
      <c r="G5234" s="89"/>
    </row>
    <row r="5235">
      <c r="A5235" s="93"/>
      <c r="B5235" s="87" t="s">
        <v>779</v>
      </c>
      <c r="C5235" s="88"/>
      <c r="D5235" s="92"/>
      <c r="E5235" s="89"/>
      <c r="F5235" s="89"/>
      <c r="G5235" s="89"/>
    </row>
    <row r="5236">
      <c r="A5236" s="93"/>
      <c r="B5236" s="87" t="s">
        <v>779</v>
      </c>
      <c r="C5236" s="88"/>
      <c r="D5236" s="92"/>
      <c r="E5236" s="89"/>
      <c r="F5236" s="89"/>
      <c r="G5236" s="89"/>
    </row>
    <row r="5237">
      <c r="A5237" s="93"/>
      <c r="B5237" s="87" t="s">
        <v>779</v>
      </c>
      <c r="C5237" s="88"/>
      <c r="D5237" s="92"/>
      <c r="E5237" s="89"/>
      <c r="F5237" s="89"/>
      <c r="G5237" s="89"/>
    </row>
    <row r="5238">
      <c r="A5238" s="93"/>
      <c r="B5238" s="87" t="s">
        <v>779</v>
      </c>
      <c r="C5238" s="88"/>
      <c r="D5238" s="92"/>
      <c r="E5238" s="89"/>
      <c r="F5238" s="89"/>
      <c r="G5238" s="89"/>
    </row>
    <row r="5239">
      <c r="A5239" s="93"/>
      <c r="B5239" s="87" t="s">
        <v>779</v>
      </c>
      <c r="C5239" s="88"/>
      <c r="D5239" s="92"/>
      <c r="E5239" s="89"/>
      <c r="F5239" s="89"/>
      <c r="G5239" s="89"/>
    </row>
    <row r="5240">
      <c r="A5240" s="93"/>
      <c r="B5240" s="87" t="s">
        <v>779</v>
      </c>
      <c r="C5240" s="88"/>
      <c r="D5240" s="92"/>
      <c r="E5240" s="89"/>
      <c r="F5240" s="89"/>
      <c r="G5240" s="89"/>
    </row>
    <row r="5241">
      <c r="A5241" s="93"/>
      <c r="B5241" s="87" t="s">
        <v>779</v>
      </c>
      <c r="C5241" s="88"/>
      <c r="D5241" s="92"/>
      <c r="E5241" s="89"/>
      <c r="F5241" s="89"/>
      <c r="G5241" s="89"/>
    </row>
    <row r="5242">
      <c r="A5242" s="93"/>
      <c r="B5242" s="87" t="s">
        <v>779</v>
      </c>
      <c r="C5242" s="88"/>
      <c r="D5242" s="92"/>
      <c r="E5242" s="89"/>
      <c r="F5242" s="89"/>
      <c r="G5242" s="89"/>
    </row>
    <row r="5243">
      <c r="A5243" s="93"/>
      <c r="B5243" s="87" t="s">
        <v>779</v>
      </c>
      <c r="C5243" s="88"/>
      <c r="D5243" s="92"/>
      <c r="E5243" s="89"/>
      <c r="F5243" s="89"/>
      <c r="G5243" s="89"/>
    </row>
    <row r="5244">
      <c r="A5244" s="93"/>
      <c r="B5244" s="87" t="s">
        <v>779</v>
      </c>
      <c r="C5244" s="88"/>
      <c r="D5244" s="92"/>
      <c r="E5244" s="89"/>
      <c r="F5244" s="89"/>
      <c r="G5244" s="89"/>
    </row>
    <row r="5245">
      <c r="A5245" s="93"/>
      <c r="B5245" s="87" t="s">
        <v>779</v>
      </c>
      <c r="C5245" s="88"/>
      <c r="D5245" s="92"/>
      <c r="E5245" s="89"/>
      <c r="F5245" s="89"/>
      <c r="G5245" s="89"/>
    </row>
    <row r="5246">
      <c r="A5246" s="93"/>
      <c r="B5246" s="87" t="s">
        <v>779</v>
      </c>
      <c r="C5246" s="88"/>
      <c r="D5246" s="92"/>
      <c r="E5246" s="89"/>
      <c r="F5246" s="89"/>
      <c r="G5246" s="89"/>
    </row>
    <row r="5247">
      <c r="A5247" s="93"/>
      <c r="B5247" s="87" t="s">
        <v>779</v>
      </c>
      <c r="C5247" s="88"/>
      <c r="D5247" s="92"/>
      <c r="E5247" s="89"/>
      <c r="F5247" s="89"/>
      <c r="G5247" s="89"/>
    </row>
    <row r="5248">
      <c r="A5248" s="93"/>
      <c r="B5248" s="87" t="s">
        <v>779</v>
      </c>
      <c r="C5248" s="88"/>
      <c r="D5248" s="92"/>
      <c r="E5248" s="89"/>
      <c r="F5248" s="89"/>
      <c r="G5248" s="89"/>
    </row>
    <row r="5249">
      <c r="A5249" s="93"/>
      <c r="B5249" s="87" t="s">
        <v>779</v>
      </c>
      <c r="C5249" s="88"/>
      <c r="D5249" s="92"/>
      <c r="E5249" s="89"/>
      <c r="F5249" s="89"/>
      <c r="G5249" s="89"/>
    </row>
    <row r="5250">
      <c r="A5250" s="93"/>
      <c r="B5250" s="87" t="s">
        <v>779</v>
      </c>
      <c r="C5250" s="88"/>
      <c r="D5250" s="92"/>
      <c r="E5250" s="89"/>
      <c r="F5250" s="89"/>
      <c r="G5250" s="89"/>
    </row>
    <row r="5251">
      <c r="A5251" s="93"/>
      <c r="B5251" s="87" t="s">
        <v>779</v>
      </c>
      <c r="C5251" s="88"/>
      <c r="D5251" s="92"/>
      <c r="E5251" s="89"/>
      <c r="F5251" s="89"/>
      <c r="G5251" s="89"/>
    </row>
    <row r="5252">
      <c r="A5252" s="93"/>
      <c r="B5252" s="87" t="s">
        <v>779</v>
      </c>
      <c r="C5252" s="88"/>
      <c r="D5252" s="92"/>
      <c r="E5252" s="89"/>
      <c r="F5252" s="89"/>
      <c r="G5252" s="89"/>
    </row>
    <row r="5253">
      <c r="A5253" s="93"/>
      <c r="B5253" s="87" t="s">
        <v>779</v>
      </c>
      <c r="C5253" s="88"/>
      <c r="D5253" s="92"/>
      <c r="E5253" s="89"/>
      <c r="F5253" s="89"/>
      <c r="G5253" s="89"/>
    </row>
    <row r="5254">
      <c r="A5254" s="93"/>
      <c r="B5254" s="87" t="s">
        <v>779</v>
      </c>
      <c r="C5254" s="88"/>
      <c r="D5254" s="92"/>
      <c r="E5254" s="89"/>
      <c r="F5254" s="89"/>
      <c r="G5254" s="89"/>
    </row>
    <row r="5255">
      <c r="A5255" s="93"/>
      <c r="B5255" s="87" t="s">
        <v>779</v>
      </c>
      <c r="C5255" s="88"/>
      <c r="D5255" s="92"/>
      <c r="E5255" s="89"/>
      <c r="F5255" s="89"/>
      <c r="G5255" s="89"/>
    </row>
    <row r="5256">
      <c r="A5256" s="93"/>
      <c r="B5256" s="87" t="s">
        <v>779</v>
      </c>
      <c r="C5256" s="88"/>
      <c r="D5256" s="92"/>
      <c r="E5256" s="89"/>
      <c r="F5256" s="89"/>
      <c r="G5256" s="89"/>
    </row>
    <row r="5257">
      <c r="A5257" s="93"/>
      <c r="B5257" s="87" t="s">
        <v>779</v>
      </c>
      <c r="C5257" s="88"/>
      <c r="D5257" s="92"/>
      <c r="E5257" s="89"/>
      <c r="F5257" s="89"/>
      <c r="G5257" s="89"/>
    </row>
    <row r="5258">
      <c r="A5258" s="93"/>
      <c r="B5258" s="87" t="s">
        <v>779</v>
      </c>
      <c r="C5258" s="88"/>
      <c r="D5258" s="92"/>
      <c r="E5258" s="89"/>
      <c r="F5258" s="89"/>
      <c r="G5258" s="89"/>
    </row>
    <row r="5259">
      <c r="A5259" s="93"/>
      <c r="B5259" s="87" t="s">
        <v>779</v>
      </c>
      <c r="C5259" s="88"/>
      <c r="D5259" s="92"/>
      <c r="E5259" s="89"/>
      <c r="F5259" s="89"/>
      <c r="G5259" s="89"/>
    </row>
    <row r="5260">
      <c r="A5260" s="93"/>
      <c r="B5260" s="87" t="s">
        <v>779</v>
      </c>
      <c r="C5260" s="88"/>
      <c r="D5260" s="92"/>
      <c r="E5260" s="89"/>
      <c r="F5260" s="89"/>
      <c r="G5260" s="89"/>
    </row>
    <row r="5261">
      <c r="A5261" s="93"/>
      <c r="B5261" s="87" t="s">
        <v>779</v>
      </c>
      <c r="C5261" s="88"/>
      <c r="D5261" s="92"/>
      <c r="E5261" s="89"/>
      <c r="F5261" s="89"/>
      <c r="G5261" s="89"/>
    </row>
    <row r="5262">
      <c r="A5262" s="93"/>
      <c r="B5262" s="87" t="s">
        <v>779</v>
      </c>
      <c r="C5262" s="88"/>
      <c r="D5262" s="92"/>
      <c r="E5262" s="89"/>
      <c r="F5262" s="89"/>
      <c r="G5262" s="89"/>
    </row>
    <row r="5263">
      <c r="A5263" s="93"/>
      <c r="B5263" s="87" t="s">
        <v>779</v>
      </c>
      <c r="C5263" s="88"/>
      <c r="D5263" s="92"/>
      <c r="E5263" s="89"/>
      <c r="F5263" s="89"/>
      <c r="G5263" s="89"/>
    </row>
    <row r="5264">
      <c r="A5264" s="93"/>
      <c r="B5264" s="87" t="s">
        <v>779</v>
      </c>
      <c r="C5264" s="88"/>
      <c r="D5264" s="92"/>
      <c r="E5264" s="89"/>
      <c r="F5264" s="89"/>
      <c r="G5264" s="89"/>
    </row>
    <row r="5265">
      <c r="A5265" s="93"/>
      <c r="B5265" s="87" t="s">
        <v>779</v>
      </c>
      <c r="C5265" s="88"/>
      <c r="D5265" s="92"/>
      <c r="E5265" s="89"/>
      <c r="F5265" s="89"/>
      <c r="G5265" s="89"/>
    </row>
    <row r="5266">
      <c r="A5266" s="93"/>
      <c r="B5266" s="87" t="s">
        <v>779</v>
      </c>
      <c r="C5266" s="88"/>
      <c r="D5266" s="92"/>
      <c r="E5266" s="89"/>
      <c r="F5266" s="89"/>
      <c r="G5266" s="89"/>
    </row>
    <row r="5267">
      <c r="A5267" s="93"/>
      <c r="B5267" s="87" t="s">
        <v>779</v>
      </c>
      <c r="C5267" s="88"/>
      <c r="D5267" s="92"/>
      <c r="E5267" s="89"/>
      <c r="F5267" s="89"/>
      <c r="G5267" s="89"/>
    </row>
    <row r="5268">
      <c r="A5268" s="93"/>
      <c r="B5268" s="87" t="s">
        <v>779</v>
      </c>
      <c r="C5268" s="88"/>
      <c r="D5268" s="92"/>
      <c r="E5268" s="89"/>
      <c r="F5268" s="89"/>
      <c r="G5268" s="89"/>
    </row>
    <row r="5269">
      <c r="A5269" s="93"/>
      <c r="B5269" s="87" t="s">
        <v>779</v>
      </c>
      <c r="C5269" s="88"/>
      <c r="D5269" s="92"/>
      <c r="E5269" s="89"/>
      <c r="F5269" s="89"/>
      <c r="G5269" s="89"/>
    </row>
    <row r="5270">
      <c r="A5270" s="93"/>
      <c r="B5270" s="87" t="s">
        <v>779</v>
      </c>
      <c r="C5270" s="88"/>
      <c r="D5270" s="92"/>
      <c r="E5270" s="89"/>
      <c r="F5270" s="89"/>
      <c r="G5270" s="89"/>
    </row>
    <row r="5271">
      <c r="A5271" s="93"/>
      <c r="B5271" s="87" t="s">
        <v>779</v>
      </c>
      <c r="C5271" s="88"/>
      <c r="D5271" s="92"/>
      <c r="E5271" s="89"/>
      <c r="F5271" s="89"/>
      <c r="G5271" s="89"/>
    </row>
    <row r="5272">
      <c r="A5272" s="93"/>
      <c r="B5272" s="87" t="s">
        <v>779</v>
      </c>
      <c r="C5272" s="88"/>
      <c r="D5272" s="92"/>
      <c r="E5272" s="89"/>
      <c r="F5272" s="89"/>
      <c r="G5272" s="89"/>
    </row>
    <row r="5273">
      <c r="A5273" s="93"/>
      <c r="B5273" s="87" t="s">
        <v>779</v>
      </c>
      <c r="C5273" s="88"/>
      <c r="D5273" s="92"/>
      <c r="E5273" s="89"/>
      <c r="F5273" s="89"/>
      <c r="G5273" s="89"/>
    </row>
    <row r="5274">
      <c r="A5274" s="93"/>
      <c r="B5274" s="87" t="s">
        <v>779</v>
      </c>
      <c r="C5274" s="88"/>
      <c r="D5274" s="92"/>
      <c r="E5274" s="89"/>
      <c r="F5274" s="89"/>
      <c r="G5274" s="89"/>
    </row>
    <row r="5275">
      <c r="A5275" s="93"/>
      <c r="B5275" s="87" t="s">
        <v>779</v>
      </c>
      <c r="C5275" s="88"/>
      <c r="D5275" s="92"/>
      <c r="E5275" s="89"/>
      <c r="F5275" s="89"/>
      <c r="G5275" s="89"/>
    </row>
    <row r="5276">
      <c r="A5276" s="93"/>
      <c r="B5276" s="87" t="s">
        <v>779</v>
      </c>
      <c r="C5276" s="88"/>
      <c r="D5276" s="92"/>
      <c r="E5276" s="89"/>
      <c r="F5276" s="89"/>
      <c r="G5276" s="89"/>
    </row>
    <row r="5277">
      <c r="A5277" s="93"/>
      <c r="B5277" s="87" t="s">
        <v>779</v>
      </c>
      <c r="C5277" s="88"/>
      <c r="D5277" s="92"/>
      <c r="E5277" s="89"/>
      <c r="F5277" s="89"/>
      <c r="G5277" s="89"/>
    </row>
    <row r="5278">
      <c r="A5278" s="93"/>
      <c r="B5278" s="87" t="s">
        <v>779</v>
      </c>
      <c r="C5278" s="88"/>
      <c r="D5278" s="92"/>
      <c r="E5278" s="89"/>
      <c r="F5278" s="89"/>
      <c r="G5278" s="89"/>
    </row>
    <row r="5279">
      <c r="A5279" s="93"/>
      <c r="B5279" s="87" t="s">
        <v>779</v>
      </c>
      <c r="C5279" s="88"/>
      <c r="D5279" s="92"/>
      <c r="E5279" s="89"/>
      <c r="F5279" s="89"/>
      <c r="G5279" s="89"/>
    </row>
    <row r="5280">
      <c r="A5280" s="93"/>
      <c r="B5280" s="87" t="s">
        <v>779</v>
      </c>
      <c r="C5280" s="88"/>
      <c r="D5280" s="92"/>
      <c r="E5280" s="89"/>
      <c r="F5280" s="89"/>
      <c r="G5280" s="89"/>
    </row>
    <row r="5281">
      <c r="A5281" s="93"/>
      <c r="B5281" s="87" t="s">
        <v>779</v>
      </c>
      <c r="C5281" s="88"/>
      <c r="D5281" s="92"/>
      <c r="E5281" s="89"/>
      <c r="F5281" s="89"/>
      <c r="G5281" s="89"/>
    </row>
    <row r="5282">
      <c r="A5282" s="93"/>
      <c r="B5282" s="87" t="s">
        <v>779</v>
      </c>
      <c r="C5282" s="88"/>
      <c r="D5282" s="92"/>
      <c r="E5282" s="89"/>
      <c r="F5282" s="89"/>
      <c r="G5282" s="89"/>
    </row>
    <row r="5283">
      <c r="A5283" s="93"/>
      <c r="B5283" s="87" t="s">
        <v>779</v>
      </c>
      <c r="C5283" s="88"/>
      <c r="D5283" s="92"/>
      <c r="E5283" s="89"/>
      <c r="F5283" s="89"/>
      <c r="G5283" s="89"/>
    </row>
    <row r="5284">
      <c r="A5284" s="93"/>
      <c r="B5284" s="87" t="s">
        <v>779</v>
      </c>
      <c r="C5284" s="88"/>
      <c r="D5284" s="92"/>
      <c r="E5284" s="89"/>
      <c r="F5284" s="89"/>
      <c r="G5284" s="89"/>
    </row>
    <row r="5285">
      <c r="A5285" s="93"/>
      <c r="B5285" s="87" t="s">
        <v>779</v>
      </c>
      <c r="C5285" s="88"/>
      <c r="D5285" s="92"/>
      <c r="E5285" s="89"/>
      <c r="F5285" s="89"/>
      <c r="G5285" s="89"/>
    </row>
    <row r="5286">
      <c r="A5286" s="93"/>
      <c r="B5286" s="87" t="s">
        <v>779</v>
      </c>
      <c r="C5286" s="88"/>
      <c r="D5286" s="92"/>
      <c r="E5286" s="89"/>
      <c r="F5286" s="89"/>
      <c r="G5286" s="89"/>
    </row>
    <row r="5287">
      <c r="A5287" s="93"/>
      <c r="B5287" s="87" t="s">
        <v>779</v>
      </c>
      <c r="C5287" s="88"/>
      <c r="D5287" s="92"/>
      <c r="E5287" s="89"/>
      <c r="F5287" s="89"/>
      <c r="G5287" s="89"/>
    </row>
    <row r="5288">
      <c r="A5288" s="93"/>
      <c r="B5288" s="87" t="s">
        <v>779</v>
      </c>
      <c r="C5288" s="88"/>
      <c r="D5288" s="92"/>
      <c r="E5288" s="89"/>
      <c r="F5288" s="89"/>
      <c r="G5288" s="89"/>
    </row>
    <row r="5289">
      <c r="A5289" s="93"/>
      <c r="B5289" s="87" t="s">
        <v>779</v>
      </c>
      <c r="C5289" s="88"/>
      <c r="D5289" s="92"/>
      <c r="E5289" s="89"/>
      <c r="F5289" s="89"/>
      <c r="G5289" s="89"/>
    </row>
    <row r="5290">
      <c r="A5290" s="93"/>
      <c r="B5290" s="87" t="s">
        <v>779</v>
      </c>
      <c r="C5290" s="88"/>
      <c r="D5290" s="92"/>
      <c r="E5290" s="89"/>
      <c r="F5290" s="89"/>
      <c r="G5290" s="89"/>
    </row>
    <row r="5291">
      <c r="A5291" s="93"/>
      <c r="B5291" s="87" t="s">
        <v>779</v>
      </c>
      <c r="C5291" s="88"/>
      <c r="D5291" s="92"/>
      <c r="E5291" s="89"/>
      <c r="F5291" s="89"/>
      <c r="G5291" s="89"/>
    </row>
    <row r="5292">
      <c r="A5292" s="93"/>
      <c r="B5292" s="87" t="s">
        <v>779</v>
      </c>
      <c r="C5292" s="88"/>
      <c r="D5292" s="92"/>
      <c r="E5292" s="89"/>
      <c r="F5292" s="89"/>
      <c r="G5292" s="89"/>
    </row>
    <row r="5293">
      <c r="A5293" s="93"/>
      <c r="B5293" s="87" t="s">
        <v>779</v>
      </c>
      <c r="C5293" s="88"/>
      <c r="D5293" s="92"/>
      <c r="E5293" s="89"/>
      <c r="F5293" s="89"/>
      <c r="G5293" s="89"/>
    </row>
    <row r="5294">
      <c r="A5294" s="93"/>
      <c r="B5294" s="87" t="s">
        <v>779</v>
      </c>
      <c r="C5294" s="88"/>
      <c r="D5294" s="92"/>
      <c r="E5294" s="89"/>
      <c r="F5294" s="89"/>
      <c r="G5294" s="89"/>
    </row>
    <row r="5295">
      <c r="A5295" s="93"/>
      <c r="B5295" s="87" t="s">
        <v>779</v>
      </c>
      <c r="C5295" s="88"/>
      <c r="D5295" s="92"/>
      <c r="E5295" s="89"/>
      <c r="F5295" s="89"/>
      <c r="G5295" s="89"/>
    </row>
    <row r="5296">
      <c r="A5296" s="93"/>
      <c r="B5296" s="87" t="s">
        <v>779</v>
      </c>
      <c r="C5296" s="88"/>
      <c r="D5296" s="92"/>
      <c r="E5296" s="89"/>
      <c r="F5296" s="89"/>
      <c r="G5296" s="89"/>
    </row>
    <row r="5297">
      <c r="A5297" s="93"/>
      <c r="B5297" s="87" t="s">
        <v>779</v>
      </c>
      <c r="C5297" s="88"/>
      <c r="D5297" s="92"/>
      <c r="E5297" s="89"/>
      <c r="F5297" s="89"/>
      <c r="G5297" s="89"/>
    </row>
    <row r="5298">
      <c r="A5298" s="93"/>
      <c r="B5298" s="87" t="s">
        <v>779</v>
      </c>
      <c r="C5298" s="88"/>
      <c r="D5298" s="92"/>
      <c r="E5298" s="89"/>
      <c r="F5298" s="89"/>
      <c r="G5298" s="89"/>
    </row>
    <row r="5299">
      <c r="A5299" s="93"/>
      <c r="B5299" s="87" t="s">
        <v>779</v>
      </c>
      <c r="C5299" s="88"/>
      <c r="D5299" s="92"/>
      <c r="E5299" s="89"/>
      <c r="F5299" s="89"/>
      <c r="G5299" s="89"/>
    </row>
    <row r="5300">
      <c r="A5300" s="93"/>
      <c r="B5300" s="87" t="s">
        <v>779</v>
      </c>
      <c r="C5300" s="88"/>
      <c r="D5300" s="92"/>
      <c r="E5300" s="89"/>
      <c r="F5300" s="89"/>
      <c r="G5300" s="89"/>
    </row>
    <row r="5301">
      <c r="A5301" s="93"/>
      <c r="B5301" s="87" t="s">
        <v>779</v>
      </c>
      <c r="C5301" s="88"/>
      <c r="D5301" s="92"/>
      <c r="E5301" s="89"/>
      <c r="F5301" s="89"/>
      <c r="G5301" s="89"/>
    </row>
    <row r="5302">
      <c r="A5302" s="93"/>
      <c r="B5302" s="87" t="s">
        <v>779</v>
      </c>
      <c r="C5302" s="88"/>
      <c r="D5302" s="92"/>
      <c r="E5302" s="89"/>
      <c r="F5302" s="89"/>
      <c r="G5302" s="89"/>
    </row>
    <row r="5303">
      <c r="A5303" s="93"/>
      <c r="B5303" s="87" t="s">
        <v>779</v>
      </c>
      <c r="C5303" s="88"/>
      <c r="D5303" s="92"/>
      <c r="E5303" s="89"/>
      <c r="F5303" s="89"/>
      <c r="G5303" s="89"/>
    </row>
    <row r="5304">
      <c r="A5304" s="93"/>
      <c r="B5304" s="87" t="s">
        <v>779</v>
      </c>
      <c r="C5304" s="88"/>
      <c r="D5304" s="92"/>
      <c r="E5304" s="89"/>
      <c r="F5304" s="89"/>
      <c r="G5304" s="89"/>
    </row>
    <row r="5305">
      <c r="A5305" s="93"/>
      <c r="B5305" s="87" t="s">
        <v>779</v>
      </c>
      <c r="C5305" s="88"/>
      <c r="D5305" s="92"/>
      <c r="E5305" s="89"/>
      <c r="F5305" s="89"/>
      <c r="G5305" s="89"/>
    </row>
    <row r="5306">
      <c r="A5306" s="93"/>
      <c r="B5306" s="87" t="s">
        <v>779</v>
      </c>
      <c r="C5306" s="88"/>
      <c r="D5306" s="92"/>
      <c r="E5306" s="89"/>
      <c r="F5306" s="89"/>
      <c r="G5306" s="89"/>
    </row>
    <row r="5307">
      <c r="A5307" s="93"/>
      <c r="B5307" s="87" t="s">
        <v>779</v>
      </c>
      <c r="C5307" s="88"/>
      <c r="D5307" s="92"/>
      <c r="E5307" s="89"/>
      <c r="F5307" s="89"/>
      <c r="G5307" s="89"/>
    </row>
    <row r="5308">
      <c r="A5308" s="93"/>
      <c r="B5308" s="87" t="s">
        <v>779</v>
      </c>
      <c r="C5308" s="88"/>
      <c r="D5308" s="92"/>
      <c r="E5308" s="89"/>
      <c r="F5308" s="89"/>
      <c r="G5308" s="89"/>
    </row>
    <row r="5309">
      <c r="A5309" s="93"/>
      <c r="B5309" s="87" t="s">
        <v>779</v>
      </c>
      <c r="C5309" s="88"/>
      <c r="D5309" s="92"/>
      <c r="E5309" s="89"/>
      <c r="F5309" s="89"/>
      <c r="G5309" s="89"/>
    </row>
    <row r="5310">
      <c r="A5310" s="93"/>
      <c r="B5310" s="87" t="s">
        <v>779</v>
      </c>
      <c r="C5310" s="88"/>
      <c r="D5310" s="92"/>
      <c r="E5310" s="89"/>
      <c r="F5310" s="89"/>
      <c r="G5310" s="89"/>
    </row>
    <row r="5311">
      <c r="A5311" s="93"/>
      <c r="B5311" s="87" t="s">
        <v>779</v>
      </c>
      <c r="C5311" s="88"/>
      <c r="D5311" s="92"/>
      <c r="E5311" s="89"/>
      <c r="F5311" s="89"/>
      <c r="G5311" s="89"/>
    </row>
    <row r="5312">
      <c r="A5312" s="93"/>
      <c r="B5312" s="87" t="s">
        <v>779</v>
      </c>
      <c r="C5312" s="88"/>
      <c r="D5312" s="92"/>
      <c r="E5312" s="89"/>
      <c r="F5312" s="89"/>
      <c r="G5312" s="89"/>
    </row>
    <row r="5313">
      <c r="A5313" s="93"/>
      <c r="B5313" s="87" t="s">
        <v>779</v>
      </c>
      <c r="C5313" s="88"/>
      <c r="D5313" s="92"/>
      <c r="E5313" s="89"/>
      <c r="F5313" s="89"/>
      <c r="G5313" s="89"/>
    </row>
    <row r="5314">
      <c r="A5314" s="93"/>
      <c r="B5314" s="87" t="s">
        <v>779</v>
      </c>
      <c r="C5314" s="88"/>
      <c r="D5314" s="92"/>
      <c r="E5314" s="89"/>
      <c r="F5314" s="89"/>
      <c r="G5314" s="89"/>
    </row>
    <row r="5315">
      <c r="A5315" s="93"/>
      <c r="B5315" s="87" t="s">
        <v>779</v>
      </c>
      <c r="C5315" s="88"/>
      <c r="D5315" s="92"/>
      <c r="E5315" s="89"/>
      <c r="F5315" s="89"/>
      <c r="G5315" s="89"/>
    </row>
    <row r="5316">
      <c r="A5316" s="93"/>
      <c r="B5316" s="87" t="s">
        <v>779</v>
      </c>
      <c r="C5316" s="88"/>
      <c r="D5316" s="92"/>
      <c r="E5316" s="89"/>
      <c r="F5316" s="89"/>
      <c r="G5316" s="89"/>
    </row>
    <row r="5317">
      <c r="A5317" s="93"/>
      <c r="B5317" s="87" t="s">
        <v>779</v>
      </c>
      <c r="C5317" s="88"/>
      <c r="D5317" s="92"/>
      <c r="E5317" s="89"/>
      <c r="F5317" s="89"/>
      <c r="G5317" s="89"/>
    </row>
    <row r="5318">
      <c r="A5318" s="93"/>
      <c r="B5318" s="87" t="s">
        <v>779</v>
      </c>
      <c r="C5318" s="88"/>
      <c r="D5318" s="92"/>
      <c r="E5318" s="89"/>
      <c r="F5318" s="89"/>
      <c r="G5318" s="89"/>
    </row>
    <row r="5319">
      <c r="A5319" s="93"/>
      <c r="B5319" s="87" t="s">
        <v>779</v>
      </c>
      <c r="C5319" s="88"/>
      <c r="D5319" s="92"/>
      <c r="E5319" s="89"/>
      <c r="F5319" s="89"/>
      <c r="G5319" s="89"/>
    </row>
    <row r="5320">
      <c r="A5320" s="93"/>
      <c r="B5320" s="87" t="s">
        <v>779</v>
      </c>
      <c r="C5320" s="88"/>
      <c r="D5320" s="92"/>
      <c r="E5320" s="89"/>
      <c r="F5320" s="89"/>
      <c r="G5320" s="89"/>
    </row>
    <row r="5321">
      <c r="A5321" s="93"/>
      <c r="B5321" s="87" t="s">
        <v>779</v>
      </c>
      <c r="C5321" s="88"/>
      <c r="D5321" s="92"/>
      <c r="E5321" s="89"/>
      <c r="F5321" s="89"/>
      <c r="G5321" s="89"/>
    </row>
    <row r="5322">
      <c r="A5322" s="93"/>
      <c r="B5322" s="87" t="s">
        <v>779</v>
      </c>
      <c r="C5322" s="88"/>
      <c r="D5322" s="92"/>
      <c r="E5322" s="89"/>
      <c r="F5322" s="89"/>
      <c r="G5322" s="89"/>
    </row>
    <row r="5323">
      <c r="A5323" s="93"/>
      <c r="B5323" s="87" t="s">
        <v>779</v>
      </c>
      <c r="C5323" s="88"/>
      <c r="D5323" s="92"/>
      <c r="E5323" s="89"/>
      <c r="F5323" s="89"/>
      <c r="G5323" s="89"/>
    </row>
    <row r="5324">
      <c r="A5324" s="93"/>
      <c r="B5324" s="87" t="s">
        <v>779</v>
      </c>
      <c r="C5324" s="88"/>
      <c r="D5324" s="92"/>
      <c r="E5324" s="89"/>
      <c r="F5324" s="89"/>
      <c r="G5324" s="89"/>
    </row>
    <row r="5325">
      <c r="A5325" s="93"/>
      <c r="B5325" s="87" t="s">
        <v>779</v>
      </c>
      <c r="C5325" s="88"/>
      <c r="D5325" s="92"/>
      <c r="E5325" s="89"/>
      <c r="F5325" s="89"/>
      <c r="G5325" s="89"/>
    </row>
    <row r="5326">
      <c r="A5326" s="93"/>
      <c r="B5326" s="87" t="s">
        <v>779</v>
      </c>
      <c r="C5326" s="88"/>
      <c r="D5326" s="92"/>
      <c r="E5326" s="89"/>
      <c r="F5326" s="89"/>
      <c r="G5326" s="89"/>
    </row>
    <row r="5327">
      <c r="A5327" s="93"/>
      <c r="B5327" s="87" t="s">
        <v>779</v>
      </c>
      <c r="C5327" s="88"/>
      <c r="D5327" s="92"/>
      <c r="E5327" s="89"/>
      <c r="F5327" s="89"/>
      <c r="G5327" s="89"/>
    </row>
    <row r="5328">
      <c r="A5328" s="93"/>
      <c r="B5328" s="87" t="s">
        <v>779</v>
      </c>
      <c r="C5328" s="88"/>
      <c r="D5328" s="92"/>
      <c r="E5328" s="89"/>
      <c r="F5328" s="89"/>
      <c r="G5328" s="89"/>
    </row>
    <row r="5329">
      <c r="A5329" s="93"/>
      <c r="B5329" s="87" t="s">
        <v>779</v>
      </c>
      <c r="C5329" s="88"/>
      <c r="D5329" s="92"/>
      <c r="E5329" s="89"/>
      <c r="F5329" s="89"/>
      <c r="G5329" s="89"/>
    </row>
    <row r="5330">
      <c r="A5330" s="93"/>
      <c r="B5330" s="87" t="s">
        <v>779</v>
      </c>
      <c r="C5330" s="88"/>
      <c r="D5330" s="92"/>
      <c r="E5330" s="89"/>
      <c r="F5330" s="89"/>
      <c r="G5330" s="89"/>
    </row>
    <row r="5331">
      <c r="A5331" s="93"/>
      <c r="B5331" s="87" t="s">
        <v>779</v>
      </c>
      <c r="C5331" s="88"/>
      <c r="D5331" s="92"/>
      <c r="E5331" s="89"/>
      <c r="F5331" s="89"/>
      <c r="G5331" s="89"/>
    </row>
    <row r="5332">
      <c r="A5332" s="93"/>
      <c r="B5332" s="87" t="s">
        <v>779</v>
      </c>
      <c r="C5332" s="88"/>
      <c r="D5332" s="92"/>
      <c r="E5332" s="89"/>
      <c r="F5332" s="89"/>
      <c r="G5332" s="89"/>
    </row>
    <row r="5333">
      <c r="A5333" s="93"/>
      <c r="B5333" s="87" t="s">
        <v>779</v>
      </c>
      <c r="C5333" s="88"/>
      <c r="D5333" s="92"/>
      <c r="E5333" s="89"/>
      <c r="F5333" s="89"/>
      <c r="G5333" s="89"/>
    </row>
    <row r="5334">
      <c r="A5334" s="93"/>
      <c r="B5334" s="87" t="s">
        <v>779</v>
      </c>
      <c r="C5334" s="88"/>
      <c r="D5334" s="92"/>
      <c r="E5334" s="89"/>
      <c r="F5334" s="89"/>
      <c r="G5334" s="89"/>
    </row>
    <row r="5335">
      <c r="A5335" s="93"/>
      <c r="B5335" s="87" t="s">
        <v>779</v>
      </c>
      <c r="C5335" s="88"/>
      <c r="D5335" s="92"/>
      <c r="E5335" s="89"/>
      <c r="F5335" s="89"/>
      <c r="G5335" s="89"/>
    </row>
    <row r="5336">
      <c r="A5336" s="93"/>
      <c r="B5336" s="87" t="s">
        <v>779</v>
      </c>
      <c r="C5336" s="88"/>
      <c r="D5336" s="92"/>
      <c r="E5336" s="89"/>
      <c r="F5336" s="89"/>
      <c r="G5336" s="89"/>
    </row>
    <row r="5337">
      <c r="A5337" s="93"/>
      <c r="B5337" s="87" t="s">
        <v>779</v>
      </c>
      <c r="C5337" s="88"/>
      <c r="D5337" s="92"/>
      <c r="E5337" s="89"/>
      <c r="F5337" s="89"/>
      <c r="G5337" s="89"/>
    </row>
    <row r="5338">
      <c r="A5338" s="93"/>
      <c r="B5338" s="87" t="s">
        <v>779</v>
      </c>
      <c r="C5338" s="88"/>
      <c r="D5338" s="92"/>
      <c r="E5338" s="89"/>
      <c r="F5338" s="89"/>
      <c r="G5338" s="89"/>
    </row>
    <row r="5339">
      <c r="A5339" s="93"/>
      <c r="B5339" s="87" t="s">
        <v>779</v>
      </c>
      <c r="C5339" s="88"/>
      <c r="D5339" s="92"/>
      <c r="E5339" s="89"/>
      <c r="F5339" s="89"/>
      <c r="G5339" s="89"/>
    </row>
    <row r="5340">
      <c r="A5340" s="93"/>
      <c r="B5340" s="87" t="s">
        <v>779</v>
      </c>
      <c r="C5340" s="88"/>
      <c r="D5340" s="92"/>
      <c r="E5340" s="89"/>
      <c r="F5340" s="89"/>
      <c r="G5340" s="89"/>
    </row>
    <row r="5341">
      <c r="A5341" s="93"/>
      <c r="B5341" s="87" t="s">
        <v>779</v>
      </c>
      <c r="C5341" s="88"/>
      <c r="D5341" s="92"/>
      <c r="E5341" s="89"/>
      <c r="F5341" s="89"/>
      <c r="G5341" s="89"/>
    </row>
    <row r="5342">
      <c r="A5342" s="93"/>
      <c r="B5342" s="87" t="s">
        <v>779</v>
      </c>
      <c r="C5342" s="88"/>
      <c r="D5342" s="92"/>
      <c r="E5342" s="89"/>
      <c r="F5342" s="89"/>
      <c r="G5342" s="89"/>
    </row>
    <row r="5343">
      <c r="A5343" s="93"/>
      <c r="B5343" s="87" t="s">
        <v>779</v>
      </c>
      <c r="C5343" s="88"/>
      <c r="D5343" s="92"/>
      <c r="E5343" s="89"/>
      <c r="F5343" s="89"/>
      <c r="G5343" s="89"/>
    </row>
    <row r="5344">
      <c r="A5344" s="93"/>
      <c r="B5344" s="87" t="s">
        <v>779</v>
      </c>
      <c r="C5344" s="88"/>
      <c r="D5344" s="92"/>
      <c r="E5344" s="89"/>
      <c r="F5344" s="89"/>
      <c r="G5344" s="89"/>
    </row>
    <row r="5345">
      <c r="A5345" s="93"/>
      <c r="B5345" s="87" t="s">
        <v>779</v>
      </c>
      <c r="C5345" s="88"/>
      <c r="D5345" s="92"/>
      <c r="E5345" s="89"/>
      <c r="F5345" s="89"/>
      <c r="G5345" s="89"/>
    </row>
    <row r="5346">
      <c r="A5346" s="93"/>
      <c r="B5346" s="87" t="s">
        <v>779</v>
      </c>
      <c r="C5346" s="88"/>
      <c r="D5346" s="92"/>
      <c r="E5346" s="89"/>
      <c r="F5346" s="89"/>
      <c r="G5346" s="89"/>
    </row>
    <row r="5347">
      <c r="A5347" s="93"/>
      <c r="B5347" s="87" t="s">
        <v>779</v>
      </c>
      <c r="C5347" s="88"/>
      <c r="D5347" s="92"/>
      <c r="E5347" s="89"/>
      <c r="F5347" s="89"/>
      <c r="G5347" s="89"/>
    </row>
    <row r="5348">
      <c r="A5348" s="93"/>
      <c r="B5348" s="87" t="s">
        <v>779</v>
      </c>
      <c r="C5348" s="88"/>
      <c r="D5348" s="92"/>
      <c r="E5348" s="89"/>
      <c r="F5348" s="89"/>
      <c r="G5348" s="89"/>
    </row>
    <row r="5349">
      <c r="A5349" s="93"/>
      <c r="B5349" s="87" t="s">
        <v>779</v>
      </c>
      <c r="C5349" s="88"/>
      <c r="D5349" s="92"/>
      <c r="E5349" s="89"/>
      <c r="F5349" s="89"/>
      <c r="G5349" s="89"/>
    </row>
    <row r="5350">
      <c r="A5350" s="93"/>
      <c r="B5350" s="87" t="s">
        <v>779</v>
      </c>
      <c r="C5350" s="88"/>
      <c r="D5350" s="92"/>
      <c r="E5350" s="89"/>
      <c r="F5350" s="89"/>
      <c r="G5350" s="89"/>
    </row>
    <row r="5351">
      <c r="A5351" s="93"/>
      <c r="B5351" s="87" t="s">
        <v>779</v>
      </c>
      <c r="C5351" s="88"/>
      <c r="D5351" s="92"/>
      <c r="E5351" s="89"/>
      <c r="F5351" s="89"/>
      <c r="G5351" s="89"/>
    </row>
    <row r="5352">
      <c r="A5352" s="93"/>
      <c r="B5352" s="87" t="s">
        <v>779</v>
      </c>
      <c r="C5352" s="88"/>
      <c r="D5352" s="92"/>
      <c r="E5352" s="89"/>
      <c r="F5352" s="89"/>
      <c r="G5352" s="89"/>
    </row>
    <row r="5353">
      <c r="A5353" s="93"/>
      <c r="B5353" s="87" t="s">
        <v>779</v>
      </c>
      <c r="C5353" s="88"/>
      <c r="D5353" s="92"/>
      <c r="E5353" s="89"/>
      <c r="F5353" s="89"/>
      <c r="G5353" s="89"/>
    </row>
    <row r="5354">
      <c r="A5354" s="93"/>
      <c r="B5354" s="87" t="s">
        <v>779</v>
      </c>
      <c r="C5354" s="88"/>
      <c r="D5354" s="92"/>
      <c r="E5354" s="89"/>
      <c r="F5354" s="89"/>
      <c r="G5354" s="89"/>
    </row>
    <row r="5355">
      <c r="A5355" s="93"/>
      <c r="B5355" s="87" t="s">
        <v>779</v>
      </c>
      <c r="C5355" s="88"/>
      <c r="D5355" s="92"/>
      <c r="E5355" s="89"/>
      <c r="F5355" s="89"/>
      <c r="G5355" s="89"/>
    </row>
    <row r="5356">
      <c r="A5356" s="93"/>
      <c r="B5356" s="87" t="s">
        <v>779</v>
      </c>
      <c r="C5356" s="88"/>
      <c r="D5356" s="92"/>
      <c r="E5356" s="89"/>
      <c r="F5356" s="89"/>
      <c r="G5356" s="89"/>
    </row>
    <row r="5357">
      <c r="A5357" s="93"/>
      <c r="B5357" s="87" t="s">
        <v>779</v>
      </c>
      <c r="C5357" s="88"/>
      <c r="D5357" s="92"/>
      <c r="E5357" s="89"/>
      <c r="F5357" s="89"/>
      <c r="G5357" s="89"/>
    </row>
    <row r="5358">
      <c r="A5358" s="93"/>
      <c r="B5358" s="87" t="s">
        <v>779</v>
      </c>
      <c r="C5358" s="88"/>
      <c r="D5358" s="92"/>
      <c r="E5358" s="89"/>
      <c r="F5358" s="89"/>
      <c r="G5358" s="89"/>
    </row>
    <row r="5359">
      <c r="A5359" s="93"/>
      <c r="B5359" s="87" t="s">
        <v>779</v>
      </c>
      <c r="C5359" s="88"/>
      <c r="D5359" s="92"/>
      <c r="E5359" s="89"/>
      <c r="F5359" s="89"/>
      <c r="G5359" s="89"/>
    </row>
    <row r="5360">
      <c r="A5360" s="93"/>
      <c r="B5360" s="87" t="s">
        <v>779</v>
      </c>
      <c r="C5360" s="88"/>
      <c r="D5360" s="92"/>
      <c r="E5360" s="89"/>
      <c r="F5360" s="89"/>
      <c r="G5360" s="89"/>
    </row>
    <row r="5361">
      <c r="A5361" s="93"/>
      <c r="B5361" s="87" t="s">
        <v>779</v>
      </c>
      <c r="C5361" s="88"/>
      <c r="D5361" s="92"/>
      <c r="E5361" s="89"/>
      <c r="F5361" s="89"/>
      <c r="G5361" s="89"/>
    </row>
    <row r="5362">
      <c r="A5362" s="93"/>
      <c r="B5362" s="87" t="s">
        <v>779</v>
      </c>
      <c r="C5362" s="88"/>
      <c r="D5362" s="92"/>
      <c r="E5362" s="89"/>
      <c r="F5362" s="89"/>
      <c r="G5362" s="89"/>
    </row>
    <row r="5363">
      <c r="A5363" s="93"/>
      <c r="B5363" s="87" t="s">
        <v>779</v>
      </c>
      <c r="C5363" s="88"/>
      <c r="D5363" s="92"/>
      <c r="E5363" s="89"/>
      <c r="F5363" s="89"/>
      <c r="G5363" s="89"/>
    </row>
    <row r="5364">
      <c r="A5364" s="93"/>
      <c r="B5364" s="87" t="s">
        <v>779</v>
      </c>
      <c r="C5364" s="88"/>
      <c r="D5364" s="92"/>
      <c r="E5364" s="89"/>
      <c r="F5364" s="89"/>
      <c r="G5364" s="89"/>
    </row>
    <row r="5365">
      <c r="A5365" s="93"/>
      <c r="B5365" s="87" t="s">
        <v>779</v>
      </c>
      <c r="C5365" s="88"/>
      <c r="D5365" s="92"/>
      <c r="E5365" s="89"/>
      <c r="F5365" s="89"/>
      <c r="G5365" s="89"/>
    </row>
    <row r="5366">
      <c r="A5366" s="93"/>
      <c r="B5366" s="87" t="s">
        <v>779</v>
      </c>
      <c r="C5366" s="88"/>
      <c r="D5366" s="92"/>
      <c r="E5366" s="89"/>
      <c r="F5366" s="89"/>
      <c r="G5366" s="89"/>
    </row>
    <row r="5367">
      <c r="A5367" s="93"/>
      <c r="B5367" s="87" t="s">
        <v>779</v>
      </c>
      <c r="C5367" s="88"/>
      <c r="D5367" s="92"/>
      <c r="E5367" s="89"/>
      <c r="F5367" s="89"/>
      <c r="G5367" s="89"/>
    </row>
    <row r="5368">
      <c r="A5368" s="93"/>
      <c r="B5368" s="87" t="s">
        <v>779</v>
      </c>
      <c r="C5368" s="88"/>
      <c r="D5368" s="92"/>
      <c r="E5368" s="89"/>
      <c r="F5368" s="89"/>
      <c r="G5368" s="89"/>
    </row>
    <row r="5369">
      <c r="A5369" s="93"/>
      <c r="B5369" s="87" t="s">
        <v>779</v>
      </c>
      <c r="C5369" s="88"/>
      <c r="D5369" s="92"/>
      <c r="E5369" s="89"/>
      <c r="F5369" s="89"/>
      <c r="G5369" s="89"/>
    </row>
    <row r="5370">
      <c r="A5370" s="93"/>
      <c r="B5370" s="87" t="s">
        <v>779</v>
      </c>
      <c r="C5370" s="88"/>
      <c r="D5370" s="92"/>
      <c r="E5370" s="89"/>
      <c r="F5370" s="89"/>
      <c r="G5370" s="89"/>
    </row>
    <row r="5371">
      <c r="A5371" s="93"/>
      <c r="B5371" s="87" t="s">
        <v>779</v>
      </c>
      <c r="C5371" s="88"/>
      <c r="D5371" s="92"/>
      <c r="E5371" s="89"/>
      <c r="F5371" s="89"/>
      <c r="G5371" s="89"/>
    </row>
    <row r="5372">
      <c r="A5372" s="93"/>
      <c r="B5372" s="87" t="s">
        <v>779</v>
      </c>
      <c r="C5372" s="88"/>
      <c r="D5372" s="92"/>
      <c r="E5372" s="89"/>
      <c r="F5372" s="89"/>
      <c r="G5372" s="89"/>
    </row>
    <row r="5373">
      <c r="A5373" s="93"/>
      <c r="B5373" s="87" t="s">
        <v>779</v>
      </c>
      <c r="C5373" s="88"/>
      <c r="D5373" s="92"/>
      <c r="E5373" s="89"/>
      <c r="F5373" s="89"/>
      <c r="G5373" s="89"/>
    </row>
    <row r="5374">
      <c r="A5374" s="93"/>
      <c r="B5374" s="87" t="s">
        <v>779</v>
      </c>
      <c r="C5374" s="88"/>
      <c r="D5374" s="92"/>
      <c r="E5374" s="89"/>
      <c r="F5374" s="89"/>
      <c r="G5374" s="89"/>
    </row>
    <row r="5375">
      <c r="A5375" s="93"/>
      <c r="B5375" s="87" t="s">
        <v>779</v>
      </c>
      <c r="C5375" s="88"/>
      <c r="D5375" s="92"/>
      <c r="E5375" s="89"/>
      <c r="F5375" s="89"/>
      <c r="G5375" s="89"/>
    </row>
    <row r="5376">
      <c r="A5376" s="93"/>
      <c r="B5376" s="87" t="s">
        <v>779</v>
      </c>
      <c r="C5376" s="88"/>
      <c r="D5376" s="92"/>
      <c r="E5376" s="89"/>
      <c r="F5376" s="89"/>
      <c r="G5376" s="89"/>
    </row>
    <row r="5377">
      <c r="A5377" s="93"/>
      <c r="B5377" s="87" t="s">
        <v>779</v>
      </c>
      <c r="C5377" s="88"/>
      <c r="D5377" s="92"/>
      <c r="E5377" s="89"/>
      <c r="F5377" s="89"/>
      <c r="G5377" s="89"/>
    </row>
    <row r="5378">
      <c r="A5378" s="93"/>
      <c r="B5378" s="87" t="s">
        <v>779</v>
      </c>
      <c r="C5378" s="88"/>
      <c r="D5378" s="92"/>
      <c r="E5378" s="89"/>
      <c r="F5378" s="89"/>
      <c r="G5378" s="89"/>
    </row>
    <row r="5379">
      <c r="A5379" s="93"/>
      <c r="B5379" s="87" t="s">
        <v>779</v>
      </c>
      <c r="C5379" s="88"/>
      <c r="D5379" s="92"/>
      <c r="E5379" s="89"/>
      <c r="F5379" s="89"/>
      <c r="G5379" s="89"/>
    </row>
    <row r="5380">
      <c r="A5380" s="93"/>
      <c r="B5380" s="87" t="s">
        <v>779</v>
      </c>
      <c r="C5380" s="88"/>
      <c r="D5380" s="92"/>
      <c r="E5380" s="89"/>
      <c r="F5380" s="89"/>
      <c r="G5380" s="89"/>
    </row>
    <row r="5381">
      <c r="A5381" s="93"/>
      <c r="B5381" s="87" t="s">
        <v>779</v>
      </c>
      <c r="C5381" s="88"/>
      <c r="D5381" s="92"/>
      <c r="E5381" s="89"/>
      <c r="F5381" s="89"/>
      <c r="G5381" s="89"/>
    </row>
    <row r="5382">
      <c r="A5382" s="93"/>
      <c r="B5382" s="87" t="s">
        <v>779</v>
      </c>
      <c r="C5382" s="88"/>
      <c r="D5382" s="92"/>
      <c r="E5382" s="89"/>
      <c r="F5382" s="89"/>
      <c r="G5382" s="89"/>
    </row>
    <row r="5383">
      <c r="A5383" s="93"/>
      <c r="B5383" s="87" t="s">
        <v>779</v>
      </c>
      <c r="C5383" s="88"/>
      <c r="D5383" s="92"/>
      <c r="E5383" s="89"/>
      <c r="F5383" s="89"/>
      <c r="G5383" s="89"/>
    </row>
    <row r="5384">
      <c r="A5384" s="93"/>
      <c r="B5384" s="87" t="s">
        <v>779</v>
      </c>
      <c r="C5384" s="88"/>
      <c r="D5384" s="92"/>
      <c r="E5384" s="89"/>
      <c r="F5384" s="89"/>
      <c r="G5384" s="89"/>
    </row>
    <row r="5385">
      <c r="A5385" s="93"/>
      <c r="B5385" s="87" t="s">
        <v>779</v>
      </c>
      <c r="C5385" s="88"/>
      <c r="D5385" s="92"/>
      <c r="E5385" s="89"/>
      <c r="F5385" s="89"/>
      <c r="G5385" s="89"/>
    </row>
    <row r="5386">
      <c r="A5386" s="93"/>
      <c r="B5386" s="87" t="s">
        <v>779</v>
      </c>
      <c r="C5386" s="88"/>
      <c r="D5386" s="92"/>
      <c r="E5386" s="89"/>
      <c r="F5386" s="89"/>
      <c r="G5386" s="89"/>
    </row>
    <row r="5387">
      <c r="A5387" s="93"/>
      <c r="B5387" s="87" t="s">
        <v>779</v>
      </c>
      <c r="C5387" s="88"/>
      <c r="D5387" s="92"/>
      <c r="E5387" s="89"/>
      <c r="F5387" s="89"/>
      <c r="G5387" s="89"/>
    </row>
    <row r="5388">
      <c r="A5388" s="93"/>
      <c r="B5388" s="87" t="s">
        <v>779</v>
      </c>
      <c r="C5388" s="88"/>
      <c r="D5388" s="92"/>
      <c r="E5388" s="89"/>
      <c r="F5388" s="89"/>
      <c r="G5388" s="89"/>
    </row>
    <row r="5389">
      <c r="A5389" s="93"/>
      <c r="B5389" s="87" t="s">
        <v>779</v>
      </c>
      <c r="C5389" s="88"/>
      <c r="D5389" s="92"/>
      <c r="E5389" s="89"/>
      <c r="F5389" s="89"/>
      <c r="G5389" s="89"/>
    </row>
    <row r="5390">
      <c r="A5390" s="93"/>
      <c r="B5390" s="87" t="s">
        <v>779</v>
      </c>
      <c r="C5390" s="88"/>
      <c r="D5390" s="92"/>
      <c r="E5390" s="89"/>
      <c r="F5390" s="89"/>
      <c r="G5390" s="89"/>
    </row>
    <row r="5391">
      <c r="A5391" s="93"/>
      <c r="B5391" s="87" t="s">
        <v>779</v>
      </c>
      <c r="C5391" s="88"/>
      <c r="D5391" s="92"/>
      <c r="E5391" s="89"/>
      <c r="F5391" s="89"/>
      <c r="G5391" s="89"/>
    </row>
    <row r="5392">
      <c r="A5392" s="93"/>
      <c r="B5392" s="87" t="s">
        <v>779</v>
      </c>
      <c r="C5392" s="88"/>
      <c r="D5392" s="92"/>
      <c r="E5392" s="89"/>
      <c r="F5392" s="89"/>
      <c r="G5392" s="89"/>
    </row>
    <row r="5393">
      <c r="A5393" s="93"/>
      <c r="B5393" s="87" t="s">
        <v>779</v>
      </c>
      <c r="C5393" s="88"/>
      <c r="D5393" s="92"/>
      <c r="E5393" s="89"/>
      <c r="F5393" s="89"/>
      <c r="G5393" s="89"/>
    </row>
    <row r="5394">
      <c r="A5394" s="93"/>
      <c r="B5394" s="87" t="s">
        <v>779</v>
      </c>
      <c r="C5394" s="88"/>
      <c r="D5394" s="92"/>
      <c r="E5394" s="89"/>
      <c r="F5394" s="89"/>
      <c r="G5394" s="89"/>
    </row>
    <row r="5395">
      <c r="A5395" s="93"/>
      <c r="B5395" s="87" t="s">
        <v>779</v>
      </c>
      <c r="C5395" s="88"/>
      <c r="D5395" s="92"/>
      <c r="E5395" s="89"/>
      <c r="F5395" s="89"/>
      <c r="G5395" s="89"/>
    </row>
    <row r="5396">
      <c r="A5396" s="93"/>
      <c r="B5396" s="87" t="s">
        <v>779</v>
      </c>
      <c r="C5396" s="88"/>
      <c r="D5396" s="92"/>
      <c r="E5396" s="89"/>
      <c r="F5396" s="89"/>
      <c r="G5396" s="89"/>
    </row>
    <row r="5397">
      <c r="A5397" s="93"/>
      <c r="B5397" s="87" t="s">
        <v>779</v>
      </c>
      <c r="C5397" s="88"/>
      <c r="D5397" s="92"/>
      <c r="E5397" s="89"/>
      <c r="F5397" s="89"/>
      <c r="G5397" s="89"/>
    </row>
    <row r="5398">
      <c r="A5398" s="93"/>
      <c r="B5398" s="87" t="s">
        <v>779</v>
      </c>
      <c r="C5398" s="88"/>
      <c r="D5398" s="92"/>
      <c r="E5398" s="89"/>
      <c r="F5398" s="89"/>
      <c r="G5398" s="89"/>
    </row>
    <row r="5399">
      <c r="A5399" s="93"/>
      <c r="B5399" s="87" t="s">
        <v>779</v>
      </c>
      <c r="C5399" s="88"/>
      <c r="D5399" s="92"/>
      <c r="E5399" s="89"/>
      <c r="F5399" s="89"/>
      <c r="G5399" s="89"/>
    </row>
    <row r="5400">
      <c r="A5400" s="93"/>
      <c r="B5400" s="87" t="s">
        <v>779</v>
      </c>
      <c r="C5400" s="88"/>
      <c r="D5400" s="92"/>
      <c r="E5400" s="89"/>
      <c r="F5400" s="89"/>
      <c r="G5400" s="89"/>
    </row>
    <row r="5401">
      <c r="A5401" s="93"/>
      <c r="B5401" s="87" t="s">
        <v>779</v>
      </c>
      <c r="C5401" s="88"/>
      <c r="D5401" s="92"/>
      <c r="E5401" s="89"/>
      <c r="F5401" s="89"/>
      <c r="G5401" s="89"/>
    </row>
    <row r="5402">
      <c r="A5402" s="93"/>
      <c r="B5402" s="87" t="s">
        <v>779</v>
      </c>
      <c r="C5402" s="88"/>
      <c r="D5402" s="92"/>
      <c r="E5402" s="89"/>
      <c r="F5402" s="89"/>
      <c r="G5402" s="89"/>
    </row>
    <row r="5403">
      <c r="A5403" s="93"/>
      <c r="B5403" s="87" t="s">
        <v>779</v>
      </c>
      <c r="C5403" s="88"/>
      <c r="D5403" s="92"/>
      <c r="E5403" s="89"/>
      <c r="F5403" s="89"/>
      <c r="G5403" s="89"/>
    </row>
    <row r="5404">
      <c r="A5404" s="93"/>
      <c r="B5404" s="87" t="s">
        <v>779</v>
      </c>
      <c r="C5404" s="88"/>
      <c r="D5404" s="92"/>
      <c r="E5404" s="89"/>
      <c r="F5404" s="89"/>
      <c r="G5404" s="89"/>
    </row>
    <row r="5405">
      <c r="A5405" s="93"/>
      <c r="B5405" s="87" t="s">
        <v>779</v>
      </c>
      <c r="C5405" s="88"/>
      <c r="D5405" s="92"/>
      <c r="E5405" s="89"/>
      <c r="F5405" s="89"/>
      <c r="G5405" s="89"/>
    </row>
    <row r="5406">
      <c r="A5406" s="93"/>
      <c r="B5406" s="87" t="s">
        <v>779</v>
      </c>
      <c r="C5406" s="88"/>
      <c r="D5406" s="92"/>
      <c r="E5406" s="89"/>
      <c r="F5406" s="89"/>
      <c r="G5406" s="89"/>
    </row>
    <row r="5407">
      <c r="A5407" s="93"/>
      <c r="B5407" s="87" t="s">
        <v>779</v>
      </c>
      <c r="C5407" s="88"/>
      <c r="D5407" s="92"/>
      <c r="E5407" s="89"/>
      <c r="F5407" s="89"/>
      <c r="G5407" s="89"/>
    </row>
    <row r="5408">
      <c r="A5408" s="93"/>
      <c r="B5408" s="87" t="s">
        <v>779</v>
      </c>
      <c r="C5408" s="88"/>
      <c r="D5408" s="92"/>
      <c r="E5408" s="89"/>
      <c r="F5408" s="89"/>
      <c r="G5408" s="89"/>
    </row>
    <row r="5409">
      <c r="A5409" s="93"/>
      <c r="B5409" s="87" t="s">
        <v>779</v>
      </c>
      <c r="C5409" s="88"/>
      <c r="D5409" s="92"/>
      <c r="E5409" s="89"/>
      <c r="F5409" s="89"/>
      <c r="G5409" s="89"/>
    </row>
    <row r="5410">
      <c r="A5410" s="93"/>
      <c r="B5410" s="87" t="s">
        <v>779</v>
      </c>
      <c r="C5410" s="88"/>
      <c r="D5410" s="92"/>
      <c r="E5410" s="89"/>
      <c r="F5410" s="89"/>
      <c r="G5410" s="89"/>
    </row>
    <row r="5411">
      <c r="A5411" s="93"/>
      <c r="B5411" s="87" t="s">
        <v>779</v>
      </c>
      <c r="C5411" s="88"/>
      <c r="D5411" s="92"/>
      <c r="E5411" s="89"/>
      <c r="F5411" s="89"/>
      <c r="G5411" s="89"/>
    </row>
    <row r="5412">
      <c r="A5412" s="93"/>
      <c r="B5412" s="87" t="s">
        <v>779</v>
      </c>
      <c r="C5412" s="88"/>
      <c r="D5412" s="92"/>
      <c r="E5412" s="89"/>
      <c r="F5412" s="89"/>
      <c r="G5412" s="89"/>
    </row>
    <row r="5413">
      <c r="A5413" s="93"/>
      <c r="B5413" s="87" t="s">
        <v>779</v>
      </c>
      <c r="C5413" s="88"/>
      <c r="D5413" s="92"/>
      <c r="E5413" s="89"/>
      <c r="F5413" s="89"/>
      <c r="G5413" s="89"/>
    </row>
    <row r="5414">
      <c r="A5414" s="93"/>
      <c r="B5414" s="87" t="s">
        <v>779</v>
      </c>
      <c r="C5414" s="88"/>
      <c r="D5414" s="92"/>
      <c r="E5414" s="89"/>
      <c r="F5414" s="89"/>
      <c r="G5414" s="89"/>
    </row>
    <row r="5415">
      <c r="A5415" s="93"/>
      <c r="B5415" s="87" t="s">
        <v>779</v>
      </c>
      <c r="C5415" s="88"/>
      <c r="D5415" s="92"/>
      <c r="E5415" s="89"/>
      <c r="F5415" s="89"/>
      <c r="G5415" s="89"/>
    </row>
    <row r="5416">
      <c r="A5416" s="93"/>
      <c r="B5416" s="87" t="s">
        <v>779</v>
      </c>
      <c r="C5416" s="88"/>
      <c r="D5416" s="92"/>
      <c r="E5416" s="89"/>
      <c r="F5416" s="89"/>
      <c r="G5416" s="89"/>
    </row>
    <row r="5417">
      <c r="A5417" s="93"/>
      <c r="B5417" s="87" t="s">
        <v>779</v>
      </c>
      <c r="C5417" s="88"/>
      <c r="D5417" s="92"/>
      <c r="E5417" s="89"/>
      <c r="F5417" s="89"/>
      <c r="G5417" s="89"/>
    </row>
    <row r="5418">
      <c r="A5418" s="93"/>
      <c r="B5418" s="87" t="s">
        <v>779</v>
      </c>
      <c r="C5418" s="88"/>
      <c r="D5418" s="92"/>
      <c r="E5418" s="89"/>
      <c r="F5418" s="89"/>
      <c r="G5418" s="89"/>
    </row>
    <row r="5419">
      <c r="A5419" s="93"/>
      <c r="B5419" s="87" t="s">
        <v>779</v>
      </c>
      <c r="C5419" s="88"/>
      <c r="D5419" s="92"/>
      <c r="E5419" s="89"/>
      <c r="F5419" s="89"/>
      <c r="G5419" s="89"/>
    </row>
    <row r="5420">
      <c r="A5420" s="93"/>
      <c r="B5420" s="87" t="s">
        <v>779</v>
      </c>
      <c r="C5420" s="88"/>
      <c r="D5420" s="92"/>
      <c r="E5420" s="89"/>
      <c r="F5420" s="89"/>
      <c r="G5420" s="89"/>
    </row>
    <row r="5421">
      <c r="A5421" s="93"/>
      <c r="B5421" s="87" t="s">
        <v>779</v>
      </c>
      <c r="C5421" s="88"/>
      <c r="D5421" s="92"/>
      <c r="E5421" s="89"/>
      <c r="F5421" s="89"/>
      <c r="G5421" s="89"/>
    </row>
    <row r="5422">
      <c r="A5422" s="93"/>
      <c r="B5422" s="87" t="s">
        <v>779</v>
      </c>
      <c r="C5422" s="88"/>
      <c r="D5422" s="92"/>
      <c r="E5422" s="89"/>
      <c r="F5422" s="89"/>
      <c r="G5422" s="89"/>
    </row>
    <row r="5423">
      <c r="A5423" s="93"/>
      <c r="B5423" s="87" t="s">
        <v>779</v>
      </c>
      <c r="C5423" s="88"/>
      <c r="D5423" s="92"/>
      <c r="E5423" s="89"/>
      <c r="F5423" s="89"/>
      <c r="G5423" s="89"/>
    </row>
    <row r="5424">
      <c r="A5424" s="93"/>
      <c r="B5424" s="87" t="s">
        <v>779</v>
      </c>
      <c r="C5424" s="88"/>
      <c r="D5424" s="92"/>
      <c r="E5424" s="89"/>
      <c r="F5424" s="89"/>
      <c r="G5424" s="89"/>
    </row>
    <row r="5425">
      <c r="A5425" s="93"/>
      <c r="B5425" s="87" t="s">
        <v>779</v>
      </c>
      <c r="C5425" s="88"/>
      <c r="D5425" s="92"/>
      <c r="E5425" s="89"/>
      <c r="F5425" s="89"/>
      <c r="G5425" s="89"/>
    </row>
    <row r="5426">
      <c r="A5426" s="93"/>
      <c r="B5426" s="87" t="s">
        <v>779</v>
      </c>
      <c r="C5426" s="88"/>
      <c r="D5426" s="92"/>
      <c r="E5426" s="89"/>
      <c r="F5426" s="89"/>
      <c r="G5426" s="89"/>
    </row>
    <row r="5427">
      <c r="A5427" s="93"/>
      <c r="B5427" s="87" t="s">
        <v>779</v>
      </c>
      <c r="C5427" s="88"/>
      <c r="D5427" s="92"/>
      <c r="E5427" s="89"/>
      <c r="F5427" s="89"/>
      <c r="G5427" s="89"/>
    </row>
    <row r="5428">
      <c r="A5428" s="93"/>
      <c r="B5428" s="87" t="s">
        <v>779</v>
      </c>
      <c r="C5428" s="88"/>
      <c r="D5428" s="92"/>
      <c r="E5428" s="89"/>
      <c r="F5428" s="89"/>
      <c r="G5428" s="89"/>
    </row>
    <row r="5429">
      <c r="A5429" s="93"/>
      <c r="B5429" s="87" t="s">
        <v>779</v>
      </c>
      <c r="C5429" s="88"/>
      <c r="D5429" s="92"/>
      <c r="E5429" s="89"/>
      <c r="F5429" s="89"/>
      <c r="G5429" s="89"/>
    </row>
    <row r="5430">
      <c r="A5430" s="93"/>
      <c r="B5430" s="87" t="s">
        <v>779</v>
      </c>
      <c r="C5430" s="88"/>
      <c r="D5430" s="92"/>
      <c r="E5430" s="89"/>
      <c r="F5430" s="89"/>
      <c r="G5430" s="89"/>
    </row>
    <row r="5431">
      <c r="A5431" s="93"/>
      <c r="B5431" s="87" t="s">
        <v>779</v>
      </c>
      <c r="C5431" s="88"/>
      <c r="D5431" s="92"/>
      <c r="E5431" s="89"/>
      <c r="F5431" s="89"/>
      <c r="G5431" s="89"/>
    </row>
    <row r="5432">
      <c r="A5432" s="93"/>
      <c r="B5432" s="87" t="s">
        <v>779</v>
      </c>
      <c r="C5432" s="88"/>
      <c r="D5432" s="92"/>
      <c r="E5432" s="89"/>
      <c r="F5432" s="89"/>
      <c r="G5432" s="89"/>
    </row>
    <row r="5433">
      <c r="A5433" s="93"/>
      <c r="B5433" s="87" t="s">
        <v>779</v>
      </c>
      <c r="C5433" s="88"/>
      <c r="D5433" s="92"/>
      <c r="E5433" s="89"/>
      <c r="F5433" s="89"/>
      <c r="G5433" s="89"/>
    </row>
    <row r="5434">
      <c r="A5434" s="93"/>
      <c r="B5434" s="87" t="s">
        <v>779</v>
      </c>
      <c r="C5434" s="88"/>
      <c r="D5434" s="92"/>
      <c r="E5434" s="89"/>
      <c r="F5434" s="89"/>
      <c r="G5434" s="89"/>
    </row>
    <row r="5435">
      <c r="A5435" s="93"/>
      <c r="B5435" s="87" t="s">
        <v>779</v>
      </c>
      <c r="C5435" s="88"/>
      <c r="D5435" s="92"/>
      <c r="E5435" s="89"/>
      <c r="F5435" s="89"/>
      <c r="G5435" s="89"/>
    </row>
    <row r="5436">
      <c r="A5436" s="93"/>
      <c r="B5436" s="87" t="s">
        <v>779</v>
      </c>
      <c r="C5436" s="88"/>
      <c r="D5436" s="92"/>
      <c r="E5436" s="89"/>
      <c r="F5436" s="89"/>
      <c r="G5436" s="89"/>
    </row>
    <row r="5437">
      <c r="A5437" s="93"/>
      <c r="B5437" s="87" t="s">
        <v>779</v>
      </c>
      <c r="C5437" s="88"/>
      <c r="D5437" s="92"/>
      <c r="E5437" s="89"/>
      <c r="F5437" s="89"/>
      <c r="G5437" s="89"/>
    </row>
    <row r="5438">
      <c r="A5438" s="93"/>
      <c r="B5438" s="87" t="s">
        <v>779</v>
      </c>
      <c r="C5438" s="88"/>
      <c r="D5438" s="92"/>
      <c r="E5438" s="89"/>
      <c r="F5438" s="89"/>
      <c r="G5438" s="89"/>
    </row>
    <row r="5439">
      <c r="A5439" s="93"/>
      <c r="B5439" s="87" t="s">
        <v>779</v>
      </c>
      <c r="C5439" s="88"/>
      <c r="D5439" s="92"/>
      <c r="E5439" s="89"/>
      <c r="F5439" s="89"/>
      <c r="G5439" s="89"/>
    </row>
    <row r="5440">
      <c r="A5440" s="93"/>
      <c r="B5440" s="87" t="s">
        <v>779</v>
      </c>
      <c r="C5440" s="88"/>
      <c r="D5440" s="92"/>
      <c r="E5440" s="89"/>
      <c r="F5440" s="89"/>
      <c r="G5440" s="89"/>
    </row>
    <row r="5441">
      <c r="A5441" s="93"/>
      <c r="B5441" s="87" t="s">
        <v>779</v>
      </c>
      <c r="C5441" s="88"/>
      <c r="D5441" s="92"/>
      <c r="E5441" s="89"/>
      <c r="F5441" s="89"/>
      <c r="G5441" s="89"/>
    </row>
    <row r="5442">
      <c r="A5442" s="93"/>
      <c r="B5442" s="87" t="s">
        <v>779</v>
      </c>
      <c r="C5442" s="88"/>
      <c r="D5442" s="92"/>
      <c r="E5442" s="89"/>
      <c r="F5442" s="89"/>
      <c r="G5442" s="89"/>
    </row>
    <row r="5443">
      <c r="A5443" s="93"/>
      <c r="B5443" s="87" t="s">
        <v>779</v>
      </c>
      <c r="C5443" s="88"/>
      <c r="D5443" s="92"/>
      <c r="E5443" s="89"/>
      <c r="F5443" s="89"/>
      <c r="G5443" s="89"/>
    </row>
    <row r="5444">
      <c r="A5444" s="93"/>
      <c r="B5444" s="87" t="s">
        <v>779</v>
      </c>
      <c r="C5444" s="88"/>
      <c r="D5444" s="92"/>
      <c r="E5444" s="89"/>
      <c r="F5444" s="89"/>
      <c r="G5444" s="89"/>
    </row>
    <row r="5445">
      <c r="A5445" s="93"/>
      <c r="B5445" s="87" t="s">
        <v>779</v>
      </c>
      <c r="C5445" s="88"/>
      <c r="D5445" s="92"/>
      <c r="E5445" s="89"/>
      <c r="F5445" s="89"/>
      <c r="G5445" s="89"/>
    </row>
    <row r="5446">
      <c r="A5446" s="93"/>
      <c r="B5446" s="87" t="s">
        <v>779</v>
      </c>
      <c r="C5446" s="88"/>
      <c r="D5446" s="92"/>
      <c r="E5446" s="89"/>
      <c r="F5446" s="89"/>
      <c r="G5446" s="89"/>
    </row>
    <row r="5447">
      <c r="A5447" s="93"/>
      <c r="B5447" s="87" t="s">
        <v>779</v>
      </c>
      <c r="C5447" s="88"/>
      <c r="D5447" s="92"/>
      <c r="E5447" s="89"/>
      <c r="F5447" s="89"/>
      <c r="G5447" s="89"/>
    </row>
    <row r="5448">
      <c r="A5448" s="93"/>
      <c r="B5448" s="87" t="s">
        <v>779</v>
      </c>
      <c r="C5448" s="88"/>
      <c r="D5448" s="92"/>
      <c r="E5448" s="89"/>
      <c r="F5448" s="89"/>
      <c r="G5448" s="89"/>
    </row>
    <row r="5449">
      <c r="A5449" s="93"/>
      <c r="B5449" s="87" t="s">
        <v>779</v>
      </c>
      <c r="C5449" s="88"/>
      <c r="D5449" s="92"/>
      <c r="E5449" s="89"/>
      <c r="F5449" s="89"/>
      <c r="G5449" s="89"/>
    </row>
    <row r="5450">
      <c r="A5450" s="93"/>
      <c r="B5450" s="87" t="s">
        <v>779</v>
      </c>
      <c r="C5450" s="88"/>
      <c r="D5450" s="92"/>
      <c r="E5450" s="89"/>
      <c r="F5450" s="89"/>
      <c r="G5450" s="89"/>
    </row>
    <row r="5451">
      <c r="A5451" s="93"/>
      <c r="B5451" s="87" t="s">
        <v>779</v>
      </c>
      <c r="C5451" s="88"/>
      <c r="D5451" s="92"/>
      <c r="E5451" s="89"/>
      <c r="F5451" s="89"/>
      <c r="G5451" s="89"/>
    </row>
    <row r="5452">
      <c r="A5452" s="93"/>
      <c r="B5452" s="87" t="s">
        <v>779</v>
      </c>
      <c r="C5452" s="88"/>
      <c r="D5452" s="92"/>
      <c r="E5452" s="89"/>
      <c r="F5452" s="89"/>
      <c r="G5452" s="89"/>
    </row>
    <row r="5453">
      <c r="A5453" s="93"/>
      <c r="B5453" s="87" t="s">
        <v>779</v>
      </c>
      <c r="C5453" s="88"/>
      <c r="D5453" s="92"/>
      <c r="E5453" s="89"/>
      <c r="F5453" s="89"/>
      <c r="G5453" s="89"/>
    </row>
    <row r="5454">
      <c r="A5454" s="93"/>
      <c r="B5454" s="87" t="s">
        <v>779</v>
      </c>
      <c r="C5454" s="88"/>
      <c r="D5454" s="92"/>
      <c r="E5454" s="89"/>
      <c r="F5454" s="89"/>
      <c r="G5454" s="89"/>
    </row>
    <row r="5455">
      <c r="A5455" s="93"/>
      <c r="B5455" s="87" t="s">
        <v>779</v>
      </c>
      <c r="C5455" s="88"/>
      <c r="D5455" s="92"/>
      <c r="E5455" s="89"/>
      <c r="F5455" s="89"/>
      <c r="G5455" s="89"/>
    </row>
    <row r="5456">
      <c r="A5456" s="93"/>
      <c r="B5456" s="87" t="s">
        <v>779</v>
      </c>
      <c r="C5456" s="88"/>
      <c r="D5456" s="92"/>
      <c r="E5456" s="89"/>
      <c r="F5456" s="89"/>
      <c r="G5456" s="89"/>
    </row>
    <row r="5457">
      <c r="A5457" s="93"/>
      <c r="B5457" s="87" t="s">
        <v>779</v>
      </c>
      <c r="C5457" s="88"/>
      <c r="D5457" s="92"/>
      <c r="E5457" s="89"/>
      <c r="F5457" s="89"/>
      <c r="G5457" s="89"/>
    </row>
    <row r="5458">
      <c r="A5458" s="93"/>
      <c r="B5458" s="87" t="s">
        <v>779</v>
      </c>
      <c r="C5458" s="88"/>
      <c r="D5458" s="92"/>
      <c r="E5458" s="89"/>
      <c r="F5458" s="89"/>
      <c r="G5458" s="89"/>
    </row>
    <row r="5459">
      <c r="A5459" s="93"/>
      <c r="B5459" s="87" t="s">
        <v>779</v>
      </c>
      <c r="C5459" s="88"/>
      <c r="D5459" s="92"/>
      <c r="E5459" s="89"/>
      <c r="F5459" s="89"/>
      <c r="G5459" s="89"/>
    </row>
    <row r="5460">
      <c r="A5460" s="93"/>
      <c r="B5460" s="87" t="s">
        <v>779</v>
      </c>
      <c r="C5460" s="88"/>
      <c r="D5460" s="92"/>
      <c r="E5460" s="89"/>
      <c r="F5460" s="89"/>
      <c r="G5460" s="89"/>
    </row>
    <row r="5461">
      <c r="A5461" s="93"/>
      <c r="B5461" s="87" t="s">
        <v>779</v>
      </c>
      <c r="C5461" s="88"/>
      <c r="D5461" s="92"/>
      <c r="E5461" s="89"/>
      <c r="F5461" s="89"/>
      <c r="G5461" s="89"/>
    </row>
    <row r="5462">
      <c r="A5462" s="93"/>
      <c r="B5462" s="87" t="s">
        <v>779</v>
      </c>
      <c r="C5462" s="88"/>
      <c r="D5462" s="92"/>
      <c r="E5462" s="89"/>
      <c r="F5462" s="89"/>
      <c r="G5462" s="89"/>
    </row>
    <row r="5463">
      <c r="A5463" s="93"/>
      <c r="B5463" s="87" t="s">
        <v>779</v>
      </c>
      <c r="C5463" s="88"/>
      <c r="D5463" s="92"/>
      <c r="E5463" s="89"/>
      <c r="F5463" s="89"/>
      <c r="G5463" s="89"/>
    </row>
    <row r="5464">
      <c r="A5464" s="93"/>
      <c r="B5464" s="87" t="s">
        <v>779</v>
      </c>
      <c r="C5464" s="88"/>
      <c r="D5464" s="92"/>
      <c r="E5464" s="89"/>
      <c r="F5464" s="89"/>
      <c r="G5464" s="89"/>
    </row>
    <row r="5465">
      <c r="A5465" s="93"/>
      <c r="B5465" s="87" t="s">
        <v>779</v>
      </c>
      <c r="C5465" s="88"/>
      <c r="D5465" s="92"/>
      <c r="E5465" s="89"/>
      <c r="F5465" s="89"/>
      <c r="G5465" s="89"/>
    </row>
    <row r="5466">
      <c r="A5466" s="93"/>
      <c r="B5466" s="87" t="s">
        <v>779</v>
      </c>
      <c r="C5466" s="88"/>
      <c r="D5466" s="92"/>
      <c r="E5466" s="89"/>
      <c r="F5466" s="89"/>
      <c r="G5466" s="89"/>
    </row>
    <row r="5467">
      <c r="A5467" s="93"/>
      <c r="B5467" s="87" t="s">
        <v>779</v>
      </c>
      <c r="C5467" s="88"/>
      <c r="D5467" s="92"/>
      <c r="E5467" s="89"/>
      <c r="F5467" s="89"/>
      <c r="G5467" s="89"/>
    </row>
    <row r="5468">
      <c r="A5468" s="93"/>
      <c r="B5468" s="87" t="s">
        <v>779</v>
      </c>
      <c r="C5468" s="88"/>
      <c r="D5468" s="92"/>
      <c r="E5468" s="89"/>
      <c r="F5468" s="89"/>
      <c r="G5468" s="89"/>
    </row>
    <row r="5469">
      <c r="A5469" s="93"/>
      <c r="B5469" s="87" t="s">
        <v>779</v>
      </c>
      <c r="C5469" s="88"/>
      <c r="D5469" s="92"/>
      <c r="E5469" s="89"/>
      <c r="F5469" s="89"/>
      <c r="G5469" s="89"/>
    </row>
    <row r="5470">
      <c r="A5470" s="93"/>
      <c r="B5470" s="87" t="s">
        <v>779</v>
      </c>
      <c r="C5470" s="88"/>
      <c r="D5470" s="92"/>
      <c r="E5470" s="89"/>
      <c r="F5470" s="89"/>
      <c r="G5470" s="89"/>
    </row>
    <row r="5471">
      <c r="A5471" s="93"/>
      <c r="B5471" s="87" t="s">
        <v>779</v>
      </c>
      <c r="C5471" s="88"/>
      <c r="D5471" s="92"/>
      <c r="E5471" s="89"/>
      <c r="F5471" s="89"/>
      <c r="G5471" s="89"/>
    </row>
    <row r="5472">
      <c r="A5472" s="93"/>
      <c r="B5472" s="87" t="s">
        <v>779</v>
      </c>
      <c r="C5472" s="88"/>
      <c r="D5472" s="92"/>
      <c r="E5472" s="89"/>
      <c r="F5472" s="89"/>
      <c r="G5472" s="89"/>
    </row>
    <row r="5473">
      <c r="A5473" s="93"/>
      <c r="B5473" s="87" t="s">
        <v>779</v>
      </c>
      <c r="C5473" s="88"/>
      <c r="D5473" s="92"/>
      <c r="E5473" s="89"/>
      <c r="F5473" s="89"/>
      <c r="G5473" s="89"/>
    </row>
    <row r="5474">
      <c r="A5474" s="93"/>
      <c r="B5474" s="87" t="s">
        <v>779</v>
      </c>
      <c r="C5474" s="88"/>
      <c r="D5474" s="92"/>
      <c r="E5474" s="89"/>
      <c r="F5474" s="89"/>
      <c r="G5474" s="89"/>
    </row>
    <row r="5475">
      <c r="A5475" s="93"/>
      <c r="B5475" s="87" t="s">
        <v>779</v>
      </c>
      <c r="C5475" s="88"/>
      <c r="D5475" s="92"/>
      <c r="E5475" s="89"/>
      <c r="F5475" s="89"/>
      <c r="G5475" s="89"/>
    </row>
    <row r="5476">
      <c r="A5476" s="93"/>
      <c r="B5476" s="87" t="s">
        <v>779</v>
      </c>
      <c r="C5476" s="88"/>
      <c r="D5476" s="92"/>
      <c r="E5476" s="89"/>
      <c r="F5476" s="89"/>
      <c r="G5476" s="89"/>
    </row>
    <row r="5477">
      <c r="A5477" s="93"/>
      <c r="B5477" s="87" t="s">
        <v>779</v>
      </c>
      <c r="C5477" s="88"/>
      <c r="D5477" s="92"/>
      <c r="E5477" s="89"/>
      <c r="F5477" s="89"/>
      <c r="G5477" s="89"/>
    </row>
    <row r="5478">
      <c r="A5478" s="93"/>
      <c r="B5478" s="87" t="s">
        <v>779</v>
      </c>
      <c r="C5478" s="88"/>
      <c r="D5478" s="92"/>
      <c r="E5478" s="89"/>
      <c r="F5478" s="89"/>
      <c r="G5478" s="89"/>
    </row>
    <row r="5479">
      <c r="A5479" s="93"/>
      <c r="B5479" s="87" t="s">
        <v>779</v>
      </c>
      <c r="C5479" s="88"/>
      <c r="D5479" s="92"/>
      <c r="E5479" s="89"/>
      <c r="F5479" s="89"/>
      <c r="G5479" s="89"/>
    </row>
    <row r="5480">
      <c r="A5480" s="93"/>
      <c r="B5480" s="87" t="s">
        <v>779</v>
      </c>
      <c r="C5480" s="88"/>
      <c r="D5480" s="92"/>
      <c r="E5480" s="89"/>
      <c r="F5480" s="89"/>
      <c r="G5480" s="89"/>
    </row>
    <row r="5481">
      <c r="A5481" s="93"/>
      <c r="B5481" s="87" t="s">
        <v>779</v>
      </c>
      <c r="C5481" s="88"/>
      <c r="D5481" s="92"/>
      <c r="E5481" s="89"/>
      <c r="F5481" s="89"/>
      <c r="G5481" s="89"/>
    </row>
    <row r="5482">
      <c r="A5482" s="93"/>
      <c r="B5482" s="87" t="s">
        <v>779</v>
      </c>
      <c r="C5482" s="88"/>
      <c r="D5482" s="92"/>
      <c r="E5482" s="89"/>
      <c r="F5482" s="89"/>
      <c r="G5482" s="89"/>
    </row>
    <row r="5483">
      <c r="A5483" s="93"/>
      <c r="B5483" s="87" t="s">
        <v>779</v>
      </c>
      <c r="C5483" s="88"/>
      <c r="D5483" s="92"/>
      <c r="E5483" s="89"/>
      <c r="F5483" s="89"/>
      <c r="G5483" s="89"/>
    </row>
    <row r="5484">
      <c r="A5484" s="93"/>
      <c r="B5484" s="87" t="s">
        <v>779</v>
      </c>
      <c r="C5484" s="88"/>
      <c r="D5484" s="92"/>
      <c r="E5484" s="89"/>
      <c r="F5484" s="89"/>
      <c r="G5484" s="89"/>
    </row>
    <row r="5485">
      <c r="A5485" s="93"/>
      <c r="B5485" s="87" t="s">
        <v>779</v>
      </c>
      <c r="C5485" s="88"/>
      <c r="D5485" s="92"/>
      <c r="E5485" s="89"/>
      <c r="F5485" s="89"/>
      <c r="G5485" s="89"/>
    </row>
    <row r="5486">
      <c r="A5486" s="93"/>
      <c r="B5486" s="87" t="s">
        <v>779</v>
      </c>
      <c r="C5486" s="88"/>
      <c r="D5486" s="92"/>
      <c r="E5486" s="89"/>
      <c r="F5486" s="89"/>
      <c r="G5486" s="89"/>
    </row>
    <row r="5487">
      <c r="A5487" s="93"/>
      <c r="B5487" s="87" t="s">
        <v>779</v>
      </c>
      <c r="C5487" s="88"/>
      <c r="D5487" s="92"/>
      <c r="E5487" s="89"/>
      <c r="F5487" s="89"/>
      <c r="G5487" s="89"/>
    </row>
    <row r="5488">
      <c r="A5488" s="93"/>
      <c r="B5488" s="87" t="s">
        <v>779</v>
      </c>
      <c r="C5488" s="88"/>
      <c r="D5488" s="92"/>
      <c r="E5488" s="89"/>
      <c r="F5488" s="89"/>
      <c r="G5488" s="89"/>
    </row>
    <row r="5489">
      <c r="A5489" s="93"/>
      <c r="B5489" s="87" t="s">
        <v>779</v>
      </c>
      <c r="C5489" s="88"/>
      <c r="D5489" s="92"/>
      <c r="E5489" s="89"/>
      <c r="F5489" s="89"/>
      <c r="G5489" s="89"/>
    </row>
    <row r="5490">
      <c r="A5490" s="93"/>
      <c r="B5490" s="87" t="s">
        <v>779</v>
      </c>
      <c r="C5490" s="88"/>
      <c r="D5490" s="92"/>
      <c r="E5490" s="89"/>
      <c r="F5490" s="89"/>
      <c r="G5490" s="89"/>
    </row>
    <row r="5491">
      <c r="A5491" s="93"/>
      <c r="B5491" s="87" t="s">
        <v>779</v>
      </c>
      <c r="C5491" s="88"/>
      <c r="D5491" s="92"/>
      <c r="E5491" s="89"/>
      <c r="F5491" s="89"/>
      <c r="G5491" s="89"/>
    </row>
    <row r="5492">
      <c r="A5492" s="93"/>
      <c r="B5492" s="87" t="s">
        <v>779</v>
      </c>
      <c r="C5492" s="88"/>
      <c r="D5492" s="92"/>
      <c r="E5492" s="89"/>
      <c r="F5492" s="89"/>
      <c r="G5492" s="89"/>
    </row>
    <row r="5493">
      <c r="A5493" s="93"/>
      <c r="B5493" s="87" t="s">
        <v>779</v>
      </c>
      <c r="C5493" s="88"/>
      <c r="D5493" s="92"/>
      <c r="E5493" s="89"/>
      <c r="F5493" s="89"/>
      <c r="G5493" s="89"/>
    </row>
    <row r="5494">
      <c r="A5494" s="93"/>
      <c r="B5494" s="87" t="s">
        <v>779</v>
      </c>
      <c r="C5494" s="88"/>
      <c r="D5494" s="92"/>
      <c r="E5494" s="89"/>
      <c r="F5494" s="89"/>
      <c r="G5494" s="89"/>
    </row>
    <row r="5495">
      <c r="A5495" s="93"/>
      <c r="B5495" s="87" t="s">
        <v>779</v>
      </c>
      <c r="C5495" s="88"/>
      <c r="D5495" s="92"/>
      <c r="E5495" s="89"/>
      <c r="F5495" s="89"/>
      <c r="G5495" s="89"/>
    </row>
    <row r="5496">
      <c r="A5496" s="93"/>
      <c r="B5496" s="87" t="s">
        <v>779</v>
      </c>
      <c r="C5496" s="88"/>
      <c r="D5496" s="92"/>
      <c r="E5496" s="89"/>
      <c r="F5496" s="89"/>
      <c r="G5496" s="89"/>
    </row>
    <row r="5497">
      <c r="A5497" s="93"/>
      <c r="B5497" s="87" t="s">
        <v>779</v>
      </c>
      <c r="C5497" s="88"/>
      <c r="D5497" s="92"/>
      <c r="E5497" s="89"/>
      <c r="F5497" s="89"/>
      <c r="G5497" s="89"/>
    </row>
    <row r="5498">
      <c r="A5498" s="93"/>
      <c r="B5498" s="87" t="s">
        <v>779</v>
      </c>
      <c r="C5498" s="88"/>
      <c r="D5498" s="92"/>
      <c r="E5498" s="89"/>
      <c r="F5498" s="89"/>
      <c r="G5498" s="89"/>
    </row>
    <row r="5499">
      <c r="A5499" s="93"/>
      <c r="B5499" s="87" t="s">
        <v>779</v>
      </c>
      <c r="C5499" s="88"/>
      <c r="D5499" s="92"/>
      <c r="E5499" s="89"/>
      <c r="F5499" s="89"/>
      <c r="G5499" s="89"/>
    </row>
    <row r="5500">
      <c r="A5500" s="93"/>
      <c r="B5500" s="87" t="s">
        <v>779</v>
      </c>
      <c r="C5500" s="88"/>
      <c r="D5500" s="92"/>
      <c r="E5500" s="89"/>
      <c r="F5500" s="89"/>
      <c r="G5500" s="89"/>
    </row>
    <row r="5501">
      <c r="A5501" s="93"/>
      <c r="B5501" s="87" t="s">
        <v>779</v>
      </c>
      <c r="C5501" s="88"/>
      <c r="D5501" s="92"/>
      <c r="E5501" s="89"/>
      <c r="F5501" s="89"/>
      <c r="G5501" s="89"/>
    </row>
    <row r="5502">
      <c r="A5502" s="93"/>
      <c r="B5502" s="87" t="s">
        <v>779</v>
      </c>
      <c r="C5502" s="88"/>
      <c r="D5502" s="92"/>
      <c r="E5502" s="89"/>
      <c r="F5502" s="89"/>
      <c r="G5502" s="89"/>
    </row>
    <row r="5503">
      <c r="A5503" s="93"/>
      <c r="B5503" s="87" t="s">
        <v>779</v>
      </c>
      <c r="C5503" s="88"/>
      <c r="D5503" s="92"/>
      <c r="E5503" s="89"/>
      <c r="F5503" s="89"/>
      <c r="G5503" s="89"/>
    </row>
    <row r="5504">
      <c r="A5504" s="93"/>
      <c r="B5504" s="87" t="s">
        <v>779</v>
      </c>
      <c r="C5504" s="88"/>
      <c r="D5504" s="92"/>
      <c r="E5504" s="89"/>
      <c r="F5504" s="89"/>
      <c r="G5504" s="89"/>
    </row>
    <row r="5505">
      <c r="A5505" s="93"/>
      <c r="B5505" s="87" t="s">
        <v>779</v>
      </c>
      <c r="C5505" s="88"/>
      <c r="D5505" s="92"/>
      <c r="E5505" s="89"/>
      <c r="F5505" s="89"/>
      <c r="G5505" s="89"/>
    </row>
    <row r="5506">
      <c r="A5506" s="93"/>
      <c r="B5506" s="87" t="s">
        <v>779</v>
      </c>
      <c r="C5506" s="88"/>
      <c r="D5506" s="92"/>
      <c r="E5506" s="89"/>
      <c r="F5506" s="89"/>
      <c r="G5506" s="89"/>
    </row>
    <row r="5507">
      <c r="A5507" s="93"/>
      <c r="B5507" s="87" t="s">
        <v>779</v>
      </c>
      <c r="C5507" s="88"/>
      <c r="D5507" s="92"/>
      <c r="E5507" s="89"/>
      <c r="F5507" s="89"/>
      <c r="G5507" s="89"/>
    </row>
    <row r="5508">
      <c r="A5508" s="93"/>
      <c r="B5508" s="87" t="s">
        <v>779</v>
      </c>
      <c r="C5508" s="88"/>
      <c r="D5508" s="92"/>
      <c r="E5508" s="89"/>
      <c r="F5508" s="89"/>
      <c r="G5508" s="89"/>
    </row>
    <row r="5509">
      <c r="A5509" s="93"/>
      <c r="B5509" s="87" t="s">
        <v>779</v>
      </c>
      <c r="C5509" s="88"/>
      <c r="D5509" s="92"/>
      <c r="E5509" s="89"/>
      <c r="F5509" s="89"/>
      <c r="G5509" s="89"/>
    </row>
    <row r="5510">
      <c r="A5510" s="93"/>
      <c r="B5510" s="87" t="s">
        <v>779</v>
      </c>
      <c r="C5510" s="88"/>
      <c r="D5510" s="92"/>
      <c r="E5510" s="89"/>
      <c r="F5510" s="89"/>
      <c r="G5510" s="89"/>
    </row>
    <row r="5511">
      <c r="A5511" s="93"/>
      <c r="B5511" s="87" t="s">
        <v>779</v>
      </c>
      <c r="C5511" s="88"/>
      <c r="D5511" s="92"/>
      <c r="E5511" s="89"/>
      <c r="F5511" s="89"/>
      <c r="G5511" s="89"/>
    </row>
    <row r="5512">
      <c r="A5512" s="93"/>
      <c r="B5512" s="87" t="s">
        <v>779</v>
      </c>
      <c r="C5512" s="88"/>
      <c r="D5512" s="92"/>
      <c r="E5512" s="89"/>
      <c r="F5512" s="89"/>
      <c r="G5512" s="89"/>
    </row>
    <row r="5513">
      <c r="A5513" s="93"/>
      <c r="B5513" s="87" t="s">
        <v>779</v>
      </c>
      <c r="C5513" s="88"/>
      <c r="D5513" s="92"/>
      <c r="E5513" s="89"/>
      <c r="F5513" s="89"/>
      <c r="G5513" s="89"/>
    </row>
    <row r="5514">
      <c r="A5514" s="93"/>
      <c r="B5514" s="87" t="s">
        <v>779</v>
      </c>
      <c r="C5514" s="88"/>
      <c r="D5514" s="92"/>
      <c r="E5514" s="89"/>
      <c r="F5514" s="89"/>
      <c r="G5514" s="89"/>
    </row>
    <row r="5515">
      <c r="A5515" s="93"/>
      <c r="B5515" s="87" t="s">
        <v>779</v>
      </c>
      <c r="C5515" s="88"/>
      <c r="D5515" s="92"/>
      <c r="E5515" s="89"/>
      <c r="F5515" s="89"/>
      <c r="G5515" s="89"/>
    </row>
    <row r="5516">
      <c r="A5516" s="93"/>
      <c r="B5516" s="87" t="s">
        <v>779</v>
      </c>
      <c r="C5516" s="88"/>
      <c r="D5516" s="92"/>
      <c r="E5516" s="89"/>
      <c r="F5516" s="89"/>
      <c r="G5516" s="89"/>
    </row>
    <row r="5517">
      <c r="A5517" s="93"/>
      <c r="B5517" s="87" t="s">
        <v>779</v>
      </c>
      <c r="C5517" s="88"/>
      <c r="D5517" s="92"/>
      <c r="E5517" s="89"/>
      <c r="F5517" s="89"/>
      <c r="G5517" s="89"/>
    </row>
    <row r="5518">
      <c r="A5518" s="93"/>
      <c r="B5518" s="87" t="s">
        <v>779</v>
      </c>
      <c r="C5518" s="88"/>
      <c r="D5518" s="92"/>
      <c r="E5518" s="89"/>
      <c r="F5518" s="89"/>
      <c r="G5518" s="89"/>
    </row>
    <row r="5519">
      <c r="A5519" s="93"/>
      <c r="B5519" s="87" t="s">
        <v>779</v>
      </c>
      <c r="C5519" s="88"/>
      <c r="D5519" s="92"/>
      <c r="E5519" s="89"/>
      <c r="F5519" s="89"/>
      <c r="G5519" s="89"/>
    </row>
    <row r="5520">
      <c r="A5520" s="93"/>
      <c r="B5520" s="87" t="s">
        <v>779</v>
      </c>
      <c r="C5520" s="88"/>
      <c r="D5520" s="92"/>
      <c r="E5520" s="89"/>
      <c r="F5520" s="89"/>
      <c r="G5520" s="89"/>
    </row>
    <row r="5521">
      <c r="A5521" s="93"/>
      <c r="B5521" s="87" t="s">
        <v>779</v>
      </c>
      <c r="C5521" s="88"/>
      <c r="D5521" s="92"/>
      <c r="E5521" s="89"/>
      <c r="F5521" s="89"/>
      <c r="G5521" s="89"/>
    </row>
    <row r="5522">
      <c r="A5522" s="93"/>
      <c r="B5522" s="87" t="s">
        <v>779</v>
      </c>
      <c r="C5522" s="88"/>
      <c r="D5522" s="92"/>
      <c r="E5522" s="89"/>
      <c r="F5522" s="89"/>
      <c r="G5522" s="89"/>
    </row>
    <row r="5523">
      <c r="A5523" s="93"/>
      <c r="B5523" s="87" t="s">
        <v>779</v>
      </c>
      <c r="C5523" s="88"/>
      <c r="D5523" s="92"/>
      <c r="E5523" s="89"/>
      <c r="F5523" s="89"/>
      <c r="G5523" s="89"/>
    </row>
    <row r="5524">
      <c r="A5524" s="93"/>
      <c r="B5524" s="87" t="s">
        <v>779</v>
      </c>
      <c r="C5524" s="88"/>
      <c r="D5524" s="92"/>
      <c r="E5524" s="89"/>
      <c r="F5524" s="89"/>
      <c r="G5524" s="89"/>
    </row>
    <row r="5525">
      <c r="A5525" s="93"/>
      <c r="B5525" s="87" t="s">
        <v>779</v>
      </c>
      <c r="C5525" s="88"/>
      <c r="D5525" s="92"/>
      <c r="E5525" s="89"/>
      <c r="F5525" s="89"/>
      <c r="G5525" s="89"/>
    </row>
    <row r="5526">
      <c r="A5526" s="93"/>
      <c r="B5526" s="87" t="s">
        <v>779</v>
      </c>
      <c r="C5526" s="88"/>
      <c r="D5526" s="92"/>
      <c r="E5526" s="89"/>
      <c r="F5526" s="89"/>
      <c r="G5526" s="89"/>
    </row>
    <row r="5527">
      <c r="A5527" s="93"/>
      <c r="B5527" s="87" t="s">
        <v>779</v>
      </c>
      <c r="C5527" s="88"/>
      <c r="D5527" s="92"/>
      <c r="E5527" s="89"/>
      <c r="F5527" s="89"/>
      <c r="G5527" s="89"/>
    </row>
    <row r="5528">
      <c r="A5528" s="93"/>
      <c r="B5528" s="87" t="s">
        <v>779</v>
      </c>
      <c r="C5528" s="88"/>
      <c r="D5528" s="92"/>
      <c r="E5528" s="89"/>
      <c r="F5528" s="89"/>
      <c r="G5528" s="89"/>
    </row>
    <row r="5529">
      <c r="A5529" s="93"/>
      <c r="B5529" s="87" t="s">
        <v>779</v>
      </c>
      <c r="C5529" s="88"/>
      <c r="D5529" s="92"/>
      <c r="E5529" s="89"/>
      <c r="F5529" s="89"/>
      <c r="G5529" s="89"/>
    </row>
    <row r="5530">
      <c r="A5530" s="93"/>
      <c r="B5530" s="87" t="s">
        <v>779</v>
      </c>
      <c r="C5530" s="88"/>
      <c r="D5530" s="92"/>
      <c r="E5530" s="89"/>
      <c r="F5530" s="89"/>
      <c r="G5530" s="89"/>
    </row>
    <row r="5531">
      <c r="A5531" s="93"/>
      <c r="B5531" s="87" t="s">
        <v>779</v>
      </c>
      <c r="C5531" s="88"/>
      <c r="D5531" s="92"/>
      <c r="E5531" s="89"/>
      <c r="F5531" s="89"/>
      <c r="G5531" s="89"/>
    </row>
    <row r="5532">
      <c r="A5532" s="93"/>
      <c r="B5532" s="87" t="s">
        <v>779</v>
      </c>
      <c r="C5532" s="88"/>
      <c r="D5532" s="92"/>
      <c r="E5532" s="89"/>
      <c r="F5532" s="89"/>
      <c r="G5532" s="89"/>
    </row>
    <row r="5533">
      <c r="A5533" s="93"/>
      <c r="B5533" s="87" t="s">
        <v>779</v>
      </c>
      <c r="C5533" s="88"/>
      <c r="D5533" s="92"/>
      <c r="E5533" s="89"/>
      <c r="F5533" s="89"/>
      <c r="G5533" s="89"/>
    </row>
    <row r="5534">
      <c r="A5534" s="93"/>
      <c r="B5534" s="87" t="s">
        <v>779</v>
      </c>
      <c r="C5534" s="88"/>
      <c r="D5534" s="92"/>
      <c r="E5534" s="89"/>
      <c r="F5534" s="89"/>
      <c r="G5534" s="89"/>
    </row>
    <row r="5535">
      <c r="A5535" s="93"/>
      <c r="B5535" s="87" t="s">
        <v>779</v>
      </c>
      <c r="C5535" s="88"/>
      <c r="D5535" s="92"/>
      <c r="E5535" s="89"/>
      <c r="F5535" s="89"/>
      <c r="G5535" s="89"/>
    </row>
    <row r="5536">
      <c r="A5536" s="93"/>
      <c r="B5536" s="87" t="s">
        <v>779</v>
      </c>
      <c r="C5536" s="88"/>
      <c r="D5536" s="92"/>
      <c r="E5536" s="89"/>
      <c r="F5536" s="89"/>
      <c r="G5536" s="89"/>
    </row>
    <row r="5537">
      <c r="A5537" s="93"/>
      <c r="B5537" s="87" t="s">
        <v>779</v>
      </c>
      <c r="C5537" s="88"/>
      <c r="D5537" s="92"/>
      <c r="E5537" s="89"/>
      <c r="F5537" s="89"/>
      <c r="G5537" s="89"/>
    </row>
    <row r="5538">
      <c r="A5538" s="93"/>
      <c r="B5538" s="87" t="s">
        <v>779</v>
      </c>
      <c r="C5538" s="88"/>
      <c r="D5538" s="92"/>
      <c r="E5538" s="89"/>
      <c r="F5538" s="89"/>
      <c r="G5538" s="89"/>
    </row>
    <row r="5539">
      <c r="A5539" s="93"/>
      <c r="B5539" s="87" t="s">
        <v>779</v>
      </c>
      <c r="C5539" s="88"/>
      <c r="D5539" s="92"/>
      <c r="E5539" s="89"/>
      <c r="F5539" s="89"/>
      <c r="G5539" s="89"/>
    </row>
    <row r="5540">
      <c r="A5540" s="93"/>
      <c r="B5540" s="87" t="s">
        <v>779</v>
      </c>
      <c r="C5540" s="88"/>
      <c r="D5540" s="92"/>
      <c r="E5540" s="89"/>
      <c r="F5540" s="89"/>
      <c r="G5540" s="89"/>
    </row>
    <row r="5541">
      <c r="A5541" s="93"/>
      <c r="B5541" s="87" t="s">
        <v>779</v>
      </c>
      <c r="C5541" s="88"/>
      <c r="D5541" s="92"/>
      <c r="E5541" s="89"/>
      <c r="F5541" s="89"/>
      <c r="G5541" s="89"/>
    </row>
    <row r="5542">
      <c r="A5542" s="93"/>
      <c r="B5542" s="87" t="s">
        <v>779</v>
      </c>
      <c r="C5542" s="88"/>
      <c r="D5542" s="92"/>
      <c r="E5542" s="89"/>
      <c r="F5542" s="89"/>
      <c r="G5542" s="89"/>
    </row>
    <row r="5543">
      <c r="A5543" s="93"/>
      <c r="B5543" s="87" t="s">
        <v>779</v>
      </c>
      <c r="C5543" s="88"/>
      <c r="D5543" s="92"/>
      <c r="E5543" s="89"/>
      <c r="F5543" s="89"/>
      <c r="G5543" s="89"/>
    </row>
    <row r="5544">
      <c r="A5544" s="93"/>
      <c r="B5544" s="87" t="s">
        <v>779</v>
      </c>
      <c r="C5544" s="88"/>
      <c r="D5544" s="92"/>
      <c r="E5544" s="89"/>
      <c r="F5544" s="89"/>
      <c r="G5544" s="89"/>
    </row>
    <row r="5545">
      <c r="A5545" s="93"/>
      <c r="B5545" s="87" t="s">
        <v>779</v>
      </c>
      <c r="C5545" s="88"/>
      <c r="D5545" s="92"/>
      <c r="E5545" s="89"/>
      <c r="F5545" s="89"/>
      <c r="G5545" s="89"/>
    </row>
    <row r="5546">
      <c r="A5546" s="93"/>
      <c r="B5546" s="87" t="s">
        <v>779</v>
      </c>
      <c r="C5546" s="88"/>
      <c r="D5546" s="92"/>
      <c r="E5546" s="89"/>
      <c r="F5546" s="89"/>
      <c r="G5546" s="89"/>
    </row>
    <row r="5547">
      <c r="A5547" s="93"/>
      <c r="B5547" s="87" t="s">
        <v>779</v>
      </c>
      <c r="C5547" s="88"/>
      <c r="D5547" s="92"/>
      <c r="E5547" s="89"/>
      <c r="F5547" s="89"/>
      <c r="G5547" s="89"/>
    </row>
    <row r="5548">
      <c r="A5548" s="93"/>
      <c r="B5548" s="87" t="s">
        <v>779</v>
      </c>
      <c r="C5548" s="88"/>
      <c r="D5548" s="92"/>
      <c r="E5548" s="89"/>
      <c r="F5548" s="89"/>
      <c r="G5548" s="89"/>
    </row>
    <row r="5549">
      <c r="A5549" s="93"/>
      <c r="B5549" s="87" t="s">
        <v>779</v>
      </c>
      <c r="C5549" s="88"/>
      <c r="D5549" s="92"/>
      <c r="E5549" s="89"/>
      <c r="F5549" s="89"/>
      <c r="G5549" s="89"/>
    </row>
    <row r="5550">
      <c r="A5550" s="93"/>
      <c r="B5550" s="87" t="s">
        <v>779</v>
      </c>
      <c r="C5550" s="88"/>
      <c r="D5550" s="92"/>
      <c r="E5550" s="89"/>
      <c r="F5550" s="89"/>
      <c r="G5550" s="89"/>
    </row>
    <row r="5551">
      <c r="A5551" s="93"/>
      <c r="B5551" s="87" t="s">
        <v>779</v>
      </c>
      <c r="C5551" s="88"/>
      <c r="D5551" s="92"/>
      <c r="E5551" s="89"/>
      <c r="F5551" s="89"/>
      <c r="G5551" s="89"/>
    </row>
    <row r="5552">
      <c r="A5552" s="93"/>
      <c r="B5552" s="87" t="s">
        <v>779</v>
      </c>
      <c r="C5552" s="88"/>
      <c r="D5552" s="92"/>
      <c r="E5552" s="89"/>
      <c r="F5552" s="89"/>
      <c r="G5552" s="89"/>
    </row>
    <row r="5553">
      <c r="A5553" s="93"/>
      <c r="B5553" s="87" t="s">
        <v>779</v>
      </c>
      <c r="C5553" s="88"/>
      <c r="D5553" s="92"/>
      <c r="E5553" s="89"/>
      <c r="F5553" s="89"/>
      <c r="G5553" s="89"/>
    </row>
    <row r="5554">
      <c r="A5554" s="93"/>
      <c r="B5554" s="87" t="s">
        <v>779</v>
      </c>
      <c r="C5554" s="88"/>
      <c r="D5554" s="92"/>
      <c r="E5554" s="89"/>
      <c r="F5554" s="89"/>
      <c r="G5554" s="89"/>
    </row>
    <row r="5555">
      <c r="A5555" s="93"/>
      <c r="B5555" s="87" t="s">
        <v>779</v>
      </c>
      <c r="C5555" s="88"/>
      <c r="D5555" s="92"/>
      <c r="E5555" s="89"/>
      <c r="F5555" s="89"/>
      <c r="G5555" s="89"/>
    </row>
    <row r="5556">
      <c r="A5556" s="93"/>
      <c r="B5556" s="87" t="s">
        <v>779</v>
      </c>
      <c r="C5556" s="88"/>
      <c r="D5556" s="92"/>
      <c r="E5556" s="89"/>
      <c r="F5556" s="89"/>
      <c r="G5556" s="89"/>
    </row>
    <row r="5557">
      <c r="A5557" s="93"/>
      <c r="B5557" s="87" t="s">
        <v>779</v>
      </c>
      <c r="C5557" s="88"/>
      <c r="D5557" s="92"/>
      <c r="E5557" s="89"/>
      <c r="F5557" s="89"/>
      <c r="G5557" s="89"/>
    </row>
    <row r="5558">
      <c r="A5558" s="93"/>
      <c r="B5558" s="87" t="s">
        <v>779</v>
      </c>
      <c r="C5558" s="88"/>
      <c r="D5558" s="92"/>
      <c r="E5558" s="89"/>
      <c r="F5558" s="89"/>
      <c r="G5558" s="89"/>
    </row>
    <row r="5559">
      <c r="A5559" s="93"/>
      <c r="B5559" s="87" t="s">
        <v>779</v>
      </c>
      <c r="C5559" s="88"/>
      <c r="D5559" s="92"/>
      <c r="E5559" s="89"/>
      <c r="F5559" s="89"/>
      <c r="G5559" s="89"/>
    </row>
    <row r="5560">
      <c r="A5560" s="93"/>
      <c r="B5560" s="87" t="s">
        <v>779</v>
      </c>
      <c r="C5560" s="88"/>
      <c r="D5560" s="92"/>
      <c r="E5560" s="89"/>
      <c r="F5560" s="89"/>
      <c r="G5560" s="89"/>
    </row>
    <row r="5561">
      <c r="A5561" s="93"/>
      <c r="B5561" s="87" t="s">
        <v>779</v>
      </c>
      <c r="C5561" s="88"/>
      <c r="D5561" s="92"/>
      <c r="E5561" s="89"/>
      <c r="F5561" s="89"/>
      <c r="G5561" s="89"/>
    </row>
    <row r="5562">
      <c r="A5562" s="93"/>
      <c r="B5562" s="87" t="s">
        <v>779</v>
      </c>
      <c r="C5562" s="88"/>
      <c r="D5562" s="92"/>
      <c r="E5562" s="89"/>
      <c r="F5562" s="89"/>
      <c r="G5562" s="89"/>
    </row>
    <row r="5563">
      <c r="A5563" s="93"/>
      <c r="B5563" s="87" t="s">
        <v>779</v>
      </c>
      <c r="C5563" s="88"/>
      <c r="D5563" s="92"/>
      <c r="E5563" s="89"/>
      <c r="F5563" s="89"/>
      <c r="G5563" s="89"/>
    </row>
    <row r="5564">
      <c r="A5564" s="93"/>
      <c r="B5564" s="87" t="s">
        <v>779</v>
      </c>
      <c r="C5564" s="88"/>
      <c r="D5564" s="92"/>
      <c r="E5564" s="89"/>
      <c r="F5564" s="89"/>
      <c r="G5564" s="89"/>
    </row>
    <row r="5565">
      <c r="A5565" s="93"/>
      <c r="B5565" s="87" t="s">
        <v>779</v>
      </c>
      <c r="C5565" s="88"/>
      <c r="D5565" s="92"/>
      <c r="E5565" s="89"/>
      <c r="F5565" s="89"/>
      <c r="G5565" s="89"/>
    </row>
    <row r="5566">
      <c r="A5566" s="93"/>
      <c r="B5566" s="87" t="s">
        <v>779</v>
      </c>
      <c r="C5566" s="88"/>
      <c r="D5566" s="92"/>
      <c r="E5566" s="89"/>
      <c r="F5566" s="89"/>
      <c r="G5566" s="89"/>
    </row>
    <row r="5567">
      <c r="A5567" s="93"/>
      <c r="B5567" s="87" t="s">
        <v>779</v>
      </c>
      <c r="C5567" s="88"/>
      <c r="D5567" s="92"/>
      <c r="E5567" s="89"/>
      <c r="F5567" s="89"/>
      <c r="G5567" s="89"/>
    </row>
    <row r="5568">
      <c r="A5568" s="93"/>
      <c r="B5568" s="87" t="s">
        <v>779</v>
      </c>
      <c r="C5568" s="88"/>
      <c r="D5568" s="92"/>
      <c r="E5568" s="89"/>
      <c r="F5568" s="89"/>
      <c r="G5568" s="89"/>
    </row>
    <row r="5569">
      <c r="A5569" s="93"/>
      <c r="B5569" s="87" t="s">
        <v>779</v>
      </c>
      <c r="C5569" s="88"/>
      <c r="D5569" s="92"/>
      <c r="E5569" s="89"/>
      <c r="F5569" s="89"/>
      <c r="G5569" s="89"/>
    </row>
    <row r="5570">
      <c r="A5570" s="93"/>
      <c r="B5570" s="87" t="s">
        <v>779</v>
      </c>
      <c r="C5570" s="88"/>
      <c r="D5570" s="92"/>
      <c r="E5570" s="89"/>
      <c r="F5570" s="89"/>
      <c r="G5570" s="89"/>
    </row>
    <row r="5571">
      <c r="A5571" s="93"/>
      <c r="B5571" s="87" t="s">
        <v>779</v>
      </c>
      <c r="C5571" s="88"/>
      <c r="D5571" s="92"/>
      <c r="E5571" s="89"/>
      <c r="F5571" s="89"/>
      <c r="G5571" s="89"/>
    </row>
    <row r="5572">
      <c r="A5572" s="93"/>
      <c r="B5572" s="87" t="s">
        <v>779</v>
      </c>
      <c r="C5572" s="88"/>
      <c r="D5572" s="92"/>
      <c r="E5572" s="89"/>
      <c r="F5572" s="89"/>
      <c r="G5572" s="89"/>
    </row>
    <row r="5573">
      <c r="A5573" s="93"/>
      <c r="B5573" s="87" t="s">
        <v>779</v>
      </c>
      <c r="C5573" s="88"/>
      <c r="D5573" s="92"/>
      <c r="E5573" s="89"/>
      <c r="F5573" s="89"/>
      <c r="G5573" s="89"/>
    </row>
    <row r="5574">
      <c r="A5574" s="93"/>
      <c r="B5574" s="87" t="s">
        <v>779</v>
      </c>
      <c r="C5574" s="88"/>
      <c r="D5574" s="92"/>
      <c r="E5574" s="89"/>
      <c r="F5574" s="89"/>
      <c r="G5574" s="89"/>
    </row>
    <row r="5575">
      <c r="A5575" s="93"/>
      <c r="B5575" s="87" t="s">
        <v>779</v>
      </c>
      <c r="C5575" s="88"/>
      <c r="D5575" s="92"/>
      <c r="E5575" s="89"/>
      <c r="F5575" s="89"/>
      <c r="G5575" s="89"/>
    </row>
    <row r="5576">
      <c r="A5576" s="93"/>
      <c r="B5576" s="87" t="s">
        <v>779</v>
      </c>
      <c r="C5576" s="88"/>
      <c r="D5576" s="92"/>
      <c r="E5576" s="89"/>
      <c r="F5576" s="89"/>
      <c r="G5576" s="89"/>
    </row>
    <row r="5577">
      <c r="A5577" s="93"/>
      <c r="B5577" s="87" t="s">
        <v>779</v>
      </c>
      <c r="C5577" s="88"/>
      <c r="D5577" s="92"/>
      <c r="E5577" s="89"/>
      <c r="F5577" s="89"/>
      <c r="G5577" s="89"/>
    </row>
    <row r="5578">
      <c r="A5578" s="93"/>
      <c r="B5578" s="87" t="s">
        <v>779</v>
      </c>
      <c r="C5578" s="88"/>
      <c r="D5578" s="92"/>
      <c r="E5578" s="89"/>
      <c r="F5578" s="89"/>
      <c r="G5578" s="89"/>
    </row>
    <row r="5579">
      <c r="A5579" s="93"/>
      <c r="B5579" s="87" t="s">
        <v>779</v>
      </c>
      <c r="C5579" s="88"/>
      <c r="D5579" s="92"/>
      <c r="E5579" s="89"/>
      <c r="F5579" s="89"/>
      <c r="G5579" s="89"/>
    </row>
    <row r="5580">
      <c r="A5580" s="93"/>
      <c r="B5580" s="87" t="s">
        <v>779</v>
      </c>
      <c r="C5580" s="88"/>
      <c r="D5580" s="92"/>
      <c r="E5580" s="89"/>
      <c r="F5580" s="89"/>
      <c r="G5580" s="89"/>
    </row>
    <row r="5581">
      <c r="A5581" s="93"/>
      <c r="B5581" s="87" t="s">
        <v>779</v>
      </c>
      <c r="C5581" s="88"/>
      <c r="D5581" s="92"/>
      <c r="E5581" s="89"/>
      <c r="F5581" s="89"/>
      <c r="G5581" s="89"/>
    </row>
    <row r="5582">
      <c r="A5582" s="93"/>
      <c r="B5582" s="87" t="s">
        <v>779</v>
      </c>
      <c r="C5582" s="88"/>
      <c r="D5582" s="92"/>
      <c r="E5582" s="89"/>
      <c r="F5582" s="89"/>
      <c r="G5582" s="89"/>
    </row>
    <row r="5583">
      <c r="A5583" s="93"/>
      <c r="B5583" s="87" t="s">
        <v>779</v>
      </c>
      <c r="C5583" s="88"/>
      <c r="D5583" s="92"/>
      <c r="E5583" s="89"/>
      <c r="F5583" s="89"/>
      <c r="G5583" s="89"/>
    </row>
    <row r="5584">
      <c r="A5584" s="93"/>
      <c r="B5584" s="87" t="s">
        <v>779</v>
      </c>
      <c r="C5584" s="88"/>
      <c r="D5584" s="92"/>
      <c r="E5584" s="89"/>
      <c r="F5584" s="89"/>
      <c r="G5584" s="89"/>
    </row>
    <row r="5585">
      <c r="A5585" s="93"/>
      <c r="B5585" s="87" t="s">
        <v>779</v>
      </c>
      <c r="C5585" s="88"/>
      <c r="D5585" s="92"/>
      <c r="E5585" s="89"/>
      <c r="F5585" s="89"/>
      <c r="G5585" s="89"/>
    </row>
    <row r="5586">
      <c r="A5586" s="93"/>
      <c r="B5586" s="87" t="s">
        <v>779</v>
      </c>
      <c r="C5586" s="88"/>
      <c r="D5586" s="92"/>
      <c r="E5586" s="89"/>
      <c r="F5586" s="89"/>
      <c r="G5586" s="89"/>
    </row>
    <row r="5587">
      <c r="A5587" s="93"/>
      <c r="B5587" s="87" t="s">
        <v>779</v>
      </c>
      <c r="C5587" s="88"/>
      <c r="D5587" s="92"/>
      <c r="E5587" s="89"/>
      <c r="F5587" s="89"/>
      <c r="G5587" s="89"/>
    </row>
    <row r="5588">
      <c r="A5588" s="93"/>
      <c r="B5588" s="87" t="s">
        <v>779</v>
      </c>
      <c r="C5588" s="88"/>
      <c r="D5588" s="92"/>
      <c r="E5588" s="89"/>
      <c r="F5588" s="89"/>
      <c r="G5588" s="89"/>
    </row>
    <row r="5589">
      <c r="A5589" s="93"/>
      <c r="B5589" s="87" t="s">
        <v>779</v>
      </c>
      <c r="C5589" s="88"/>
      <c r="D5589" s="92"/>
      <c r="E5589" s="89"/>
      <c r="F5589" s="89"/>
      <c r="G5589" s="89"/>
    </row>
    <row r="5590">
      <c r="A5590" s="93"/>
      <c r="B5590" s="87" t="s">
        <v>779</v>
      </c>
      <c r="C5590" s="88"/>
      <c r="D5590" s="92"/>
      <c r="E5590" s="89"/>
      <c r="F5590" s="89"/>
      <c r="G5590" s="89"/>
    </row>
    <row r="5591">
      <c r="A5591" s="93"/>
      <c r="B5591" s="87" t="s">
        <v>779</v>
      </c>
      <c r="C5591" s="88"/>
      <c r="D5591" s="92"/>
      <c r="E5591" s="89"/>
      <c r="F5591" s="89"/>
      <c r="G5591" s="89"/>
    </row>
    <row r="5592">
      <c r="A5592" s="93"/>
      <c r="B5592" s="87" t="s">
        <v>779</v>
      </c>
      <c r="C5592" s="88"/>
      <c r="D5592" s="92"/>
      <c r="E5592" s="89"/>
      <c r="F5592" s="89"/>
      <c r="G5592" s="89"/>
    </row>
    <row r="5593">
      <c r="A5593" s="93"/>
      <c r="B5593" s="87" t="s">
        <v>779</v>
      </c>
      <c r="C5593" s="88"/>
      <c r="D5593" s="92"/>
      <c r="E5593" s="89"/>
      <c r="F5593" s="89"/>
      <c r="G5593" s="89"/>
    </row>
    <row r="5594">
      <c r="A5594" s="93"/>
      <c r="B5594" s="87" t="s">
        <v>779</v>
      </c>
      <c r="C5594" s="88"/>
      <c r="D5594" s="92"/>
      <c r="E5594" s="89"/>
      <c r="F5594" s="89"/>
      <c r="G5594" s="89"/>
    </row>
    <row r="5595">
      <c r="A5595" s="93"/>
      <c r="B5595" s="87" t="s">
        <v>779</v>
      </c>
      <c r="C5595" s="88"/>
      <c r="D5595" s="92"/>
      <c r="E5595" s="89"/>
      <c r="F5595" s="89"/>
      <c r="G5595" s="89"/>
    </row>
    <row r="5596">
      <c r="A5596" s="93"/>
      <c r="B5596" s="87" t="s">
        <v>779</v>
      </c>
      <c r="C5596" s="88"/>
      <c r="D5596" s="92"/>
      <c r="E5596" s="89"/>
      <c r="F5596" s="89"/>
      <c r="G5596" s="89"/>
    </row>
    <row r="5597">
      <c r="A5597" s="93"/>
      <c r="B5597" s="87" t="s">
        <v>779</v>
      </c>
      <c r="C5597" s="88"/>
      <c r="D5597" s="92"/>
      <c r="E5597" s="89"/>
      <c r="F5597" s="89"/>
      <c r="G5597" s="89"/>
    </row>
    <row r="5598">
      <c r="A5598" s="93"/>
      <c r="B5598" s="87" t="s">
        <v>779</v>
      </c>
      <c r="C5598" s="88"/>
      <c r="D5598" s="92"/>
      <c r="E5598" s="89"/>
      <c r="F5598" s="89"/>
      <c r="G5598" s="89"/>
    </row>
    <row r="5599">
      <c r="A5599" s="93"/>
      <c r="B5599" s="87" t="s">
        <v>779</v>
      </c>
      <c r="C5599" s="88"/>
      <c r="D5599" s="92"/>
      <c r="E5599" s="89"/>
      <c r="F5599" s="89"/>
      <c r="G5599" s="89"/>
    </row>
    <row r="5600">
      <c r="A5600" s="93"/>
      <c r="B5600" s="87" t="s">
        <v>779</v>
      </c>
      <c r="C5600" s="88"/>
      <c r="D5600" s="92"/>
      <c r="E5600" s="89"/>
      <c r="F5600" s="89"/>
      <c r="G5600" s="89"/>
    </row>
    <row r="5601">
      <c r="A5601" s="93"/>
      <c r="B5601" s="87" t="s">
        <v>779</v>
      </c>
      <c r="C5601" s="88"/>
      <c r="D5601" s="92"/>
      <c r="E5601" s="89"/>
      <c r="F5601" s="89"/>
      <c r="G5601" s="89"/>
    </row>
    <row r="5602">
      <c r="A5602" s="93"/>
      <c r="B5602" s="87" t="s">
        <v>779</v>
      </c>
      <c r="C5602" s="88"/>
      <c r="D5602" s="92"/>
      <c r="E5602" s="89"/>
      <c r="F5602" s="89"/>
      <c r="G5602" s="89"/>
    </row>
    <row r="5603">
      <c r="A5603" s="93"/>
      <c r="B5603" s="87" t="s">
        <v>779</v>
      </c>
      <c r="C5603" s="88"/>
      <c r="D5603" s="92"/>
      <c r="E5603" s="89"/>
      <c r="F5603" s="89"/>
      <c r="G5603" s="89"/>
    </row>
    <row r="5604">
      <c r="A5604" s="93"/>
      <c r="B5604" s="87" t="s">
        <v>779</v>
      </c>
      <c r="C5604" s="88"/>
      <c r="D5604" s="92"/>
      <c r="E5604" s="89"/>
      <c r="F5604" s="89"/>
      <c r="G5604" s="89"/>
    </row>
    <row r="5605">
      <c r="A5605" s="93"/>
      <c r="B5605" s="87" t="s">
        <v>779</v>
      </c>
      <c r="C5605" s="88"/>
      <c r="D5605" s="92"/>
      <c r="E5605" s="89"/>
      <c r="F5605" s="89"/>
      <c r="G5605" s="89"/>
    </row>
    <row r="5606">
      <c r="A5606" s="93"/>
      <c r="B5606" s="87" t="s">
        <v>779</v>
      </c>
      <c r="C5606" s="88"/>
      <c r="D5606" s="92"/>
      <c r="E5606" s="89"/>
      <c r="F5606" s="89"/>
      <c r="G5606" s="89"/>
    </row>
    <row r="5607">
      <c r="A5607" s="93"/>
      <c r="B5607" s="87" t="s">
        <v>779</v>
      </c>
      <c r="C5607" s="88"/>
      <c r="D5607" s="92"/>
      <c r="E5607" s="89"/>
      <c r="F5607" s="89"/>
      <c r="G5607" s="89"/>
    </row>
    <row r="5608">
      <c r="A5608" s="93"/>
      <c r="B5608" s="87" t="s">
        <v>779</v>
      </c>
      <c r="C5608" s="88"/>
      <c r="D5608" s="92"/>
      <c r="E5608" s="89"/>
      <c r="F5608" s="89"/>
      <c r="G5608" s="89"/>
    </row>
    <row r="5609">
      <c r="A5609" s="93"/>
      <c r="B5609" s="87" t="s">
        <v>779</v>
      </c>
      <c r="C5609" s="88"/>
      <c r="D5609" s="92"/>
      <c r="E5609" s="89"/>
      <c r="F5609" s="89"/>
      <c r="G5609" s="89"/>
    </row>
    <row r="5610">
      <c r="A5610" s="93"/>
      <c r="B5610" s="87" t="s">
        <v>779</v>
      </c>
      <c r="C5610" s="88"/>
      <c r="D5610" s="92"/>
      <c r="E5610" s="89"/>
      <c r="F5610" s="89"/>
      <c r="G5610" s="89"/>
    </row>
    <row r="5611">
      <c r="A5611" s="93"/>
      <c r="B5611" s="87" t="s">
        <v>779</v>
      </c>
      <c r="C5611" s="88"/>
      <c r="D5611" s="92"/>
      <c r="E5611" s="89"/>
      <c r="F5611" s="89"/>
      <c r="G5611" s="89"/>
    </row>
    <row r="5612">
      <c r="A5612" s="93"/>
      <c r="B5612" s="87" t="s">
        <v>779</v>
      </c>
      <c r="C5612" s="88"/>
      <c r="D5612" s="92"/>
      <c r="E5612" s="89"/>
      <c r="F5612" s="89"/>
      <c r="G5612" s="89"/>
    </row>
    <row r="5613">
      <c r="A5613" s="93"/>
      <c r="B5613" s="87" t="s">
        <v>779</v>
      </c>
      <c r="C5613" s="88"/>
      <c r="D5613" s="92"/>
      <c r="E5613" s="89"/>
      <c r="F5613" s="89"/>
      <c r="G5613" s="89"/>
    </row>
    <row r="5614">
      <c r="A5614" s="93"/>
      <c r="B5614" s="87" t="s">
        <v>779</v>
      </c>
      <c r="C5614" s="88"/>
      <c r="D5614" s="92"/>
      <c r="E5614" s="89"/>
      <c r="F5614" s="89"/>
      <c r="G5614" s="89"/>
    </row>
    <row r="5615">
      <c r="A5615" s="93"/>
      <c r="B5615" s="87" t="s">
        <v>779</v>
      </c>
      <c r="C5615" s="88"/>
      <c r="D5615" s="92"/>
      <c r="E5615" s="89"/>
      <c r="F5615" s="89"/>
      <c r="G5615" s="89"/>
    </row>
    <row r="5616">
      <c r="A5616" s="93"/>
      <c r="B5616" s="87" t="s">
        <v>779</v>
      </c>
      <c r="C5616" s="88"/>
      <c r="D5616" s="92"/>
      <c r="E5616" s="89"/>
      <c r="F5616" s="89"/>
      <c r="G5616" s="89"/>
    </row>
    <row r="5617">
      <c r="A5617" s="93"/>
      <c r="B5617" s="87" t="s">
        <v>779</v>
      </c>
      <c r="C5617" s="88"/>
      <c r="D5617" s="92"/>
      <c r="E5617" s="89"/>
      <c r="F5617" s="89"/>
      <c r="G5617" s="89"/>
    </row>
    <row r="5618">
      <c r="A5618" s="93"/>
      <c r="B5618" s="87" t="s">
        <v>779</v>
      </c>
      <c r="C5618" s="88"/>
      <c r="D5618" s="92"/>
      <c r="E5618" s="89"/>
      <c r="F5618" s="89"/>
      <c r="G5618" s="89"/>
    </row>
    <row r="5619">
      <c r="A5619" s="93"/>
      <c r="B5619" s="87" t="s">
        <v>779</v>
      </c>
      <c r="C5619" s="88"/>
      <c r="D5619" s="92"/>
      <c r="E5619" s="89"/>
      <c r="F5619" s="89"/>
      <c r="G5619" s="89"/>
    </row>
    <row r="5620">
      <c r="A5620" s="93"/>
      <c r="B5620" s="87" t="s">
        <v>779</v>
      </c>
      <c r="C5620" s="88"/>
      <c r="D5620" s="92"/>
      <c r="E5620" s="89"/>
      <c r="F5620" s="89"/>
      <c r="G5620" s="89"/>
    </row>
    <row r="5621">
      <c r="A5621" s="93"/>
      <c r="B5621" s="87" t="s">
        <v>779</v>
      </c>
      <c r="C5621" s="88"/>
      <c r="D5621" s="92"/>
      <c r="E5621" s="89"/>
      <c r="F5621" s="89"/>
      <c r="G5621" s="89"/>
    </row>
    <row r="5622">
      <c r="A5622" s="93"/>
      <c r="B5622" s="87" t="s">
        <v>779</v>
      </c>
      <c r="C5622" s="88"/>
      <c r="D5622" s="92"/>
      <c r="E5622" s="89"/>
      <c r="F5622" s="89"/>
      <c r="G5622" s="89"/>
    </row>
    <row r="5623">
      <c r="A5623" s="93"/>
      <c r="B5623" s="87" t="s">
        <v>779</v>
      </c>
      <c r="C5623" s="88"/>
      <c r="D5623" s="92"/>
      <c r="E5623" s="89"/>
      <c r="F5623" s="89"/>
      <c r="G5623" s="89"/>
    </row>
    <row r="5624">
      <c r="A5624" s="93"/>
      <c r="B5624" s="87" t="s">
        <v>779</v>
      </c>
      <c r="C5624" s="88"/>
      <c r="D5624" s="92"/>
      <c r="E5624" s="89"/>
      <c r="F5624" s="89"/>
      <c r="G5624" s="89"/>
    </row>
    <row r="5625">
      <c r="A5625" s="93"/>
      <c r="B5625" s="87" t="s">
        <v>779</v>
      </c>
      <c r="C5625" s="88"/>
      <c r="D5625" s="92"/>
      <c r="E5625" s="89"/>
      <c r="F5625" s="89"/>
      <c r="G5625" s="89"/>
    </row>
    <row r="5626">
      <c r="A5626" s="93"/>
      <c r="B5626" s="87" t="s">
        <v>779</v>
      </c>
      <c r="C5626" s="88"/>
      <c r="D5626" s="92"/>
      <c r="E5626" s="89"/>
      <c r="F5626" s="89"/>
      <c r="G5626" s="89"/>
    </row>
    <row r="5627">
      <c r="A5627" s="93"/>
      <c r="B5627" s="87" t="s">
        <v>779</v>
      </c>
      <c r="C5627" s="88"/>
      <c r="D5627" s="92"/>
      <c r="E5627" s="89"/>
      <c r="F5627" s="89"/>
      <c r="G5627" s="89"/>
    </row>
    <row r="5628">
      <c r="A5628" s="93"/>
      <c r="B5628" s="87" t="s">
        <v>779</v>
      </c>
      <c r="C5628" s="88"/>
      <c r="D5628" s="92"/>
      <c r="E5628" s="89"/>
      <c r="F5628" s="89"/>
      <c r="G5628" s="89"/>
    </row>
    <row r="5629">
      <c r="A5629" s="93"/>
      <c r="B5629" s="87" t="s">
        <v>779</v>
      </c>
      <c r="C5629" s="88"/>
      <c r="D5629" s="92"/>
      <c r="E5629" s="89"/>
      <c r="F5629" s="89"/>
      <c r="G5629" s="89"/>
    </row>
    <row r="5630">
      <c r="A5630" s="93"/>
      <c r="B5630" s="87" t="s">
        <v>779</v>
      </c>
      <c r="C5630" s="88"/>
      <c r="D5630" s="92"/>
      <c r="E5630" s="89"/>
      <c r="F5630" s="89"/>
      <c r="G5630" s="89"/>
    </row>
    <row r="5631">
      <c r="A5631" s="93"/>
      <c r="B5631" s="87" t="s">
        <v>779</v>
      </c>
      <c r="C5631" s="88"/>
      <c r="D5631" s="92"/>
      <c r="E5631" s="89"/>
      <c r="F5631" s="89"/>
      <c r="G5631" s="89"/>
    </row>
    <row r="5632">
      <c r="A5632" s="93"/>
      <c r="B5632" s="87" t="s">
        <v>779</v>
      </c>
      <c r="C5632" s="88"/>
      <c r="D5632" s="92"/>
      <c r="E5632" s="89"/>
      <c r="F5632" s="89"/>
      <c r="G5632" s="89"/>
    </row>
    <row r="5633">
      <c r="A5633" s="93"/>
      <c r="B5633" s="87" t="s">
        <v>779</v>
      </c>
      <c r="C5633" s="88"/>
      <c r="D5633" s="92"/>
      <c r="E5633" s="89"/>
      <c r="F5633" s="89"/>
      <c r="G5633" s="89"/>
    </row>
    <row r="5634">
      <c r="A5634" s="93"/>
      <c r="B5634" s="87" t="s">
        <v>779</v>
      </c>
      <c r="C5634" s="88"/>
      <c r="D5634" s="92"/>
      <c r="E5634" s="89"/>
      <c r="F5634" s="89"/>
      <c r="G5634" s="89"/>
    </row>
    <row r="5635">
      <c r="A5635" s="93"/>
      <c r="B5635" s="87" t="s">
        <v>779</v>
      </c>
      <c r="C5635" s="88"/>
      <c r="D5635" s="92"/>
      <c r="E5635" s="89"/>
      <c r="F5635" s="89"/>
      <c r="G5635" s="89"/>
    </row>
    <row r="5636">
      <c r="A5636" s="93"/>
      <c r="B5636" s="87" t="s">
        <v>779</v>
      </c>
      <c r="C5636" s="88"/>
      <c r="D5636" s="92"/>
      <c r="E5636" s="89"/>
      <c r="F5636" s="89"/>
      <c r="G5636" s="89"/>
    </row>
    <row r="5637">
      <c r="A5637" s="93"/>
      <c r="B5637" s="87" t="s">
        <v>779</v>
      </c>
      <c r="C5637" s="88"/>
      <c r="D5637" s="92"/>
      <c r="E5637" s="89"/>
      <c r="F5637" s="89"/>
      <c r="G5637" s="89"/>
    </row>
    <row r="5638">
      <c r="A5638" s="93"/>
      <c r="B5638" s="87" t="s">
        <v>779</v>
      </c>
      <c r="C5638" s="88"/>
      <c r="D5638" s="92"/>
      <c r="E5638" s="89"/>
      <c r="F5638" s="89"/>
      <c r="G5638" s="89"/>
    </row>
    <row r="5639">
      <c r="A5639" s="93"/>
      <c r="B5639" s="87" t="s">
        <v>779</v>
      </c>
      <c r="C5639" s="88"/>
      <c r="D5639" s="92"/>
      <c r="E5639" s="89"/>
      <c r="F5639" s="89"/>
      <c r="G5639" s="89"/>
    </row>
    <row r="5640">
      <c r="A5640" s="93"/>
      <c r="B5640" s="87" t="s">
        <v>779</v>
      </c>
      <c r="C5640" s="88"/>
      <c r="D5640" s="92"/>
      <c r="E5640" s="89"/>
      <c r="F5640" s="89"/>
      <c r="G5640" s="89"/>
    </row>
    <row r="5641">
      <c r="A5641" s="93"/>
      <c r="B5641" s="87" t="s">
        <v>779</v>
      </c>
      <c r="C5641" s="88"/>
      <c r="D5641" s="92"/>
      <c r="E5641" s="89"/>
      <c r="F5641" s="89"/>
      <c r="G5641" s="89"/>
    </row>
    <row r="5642">
      <c r="A5642" s="93"/>
      <c r="B5642" s="87" t="s">
        <v>779</v>
      </c>
      <c r="C5642" s="88"/>
      <c r="D5642" s="92"/>
      <c r="E5642" s="89"/>
      <c r="F5642" s="89"/>
      <c r="G5642" s="89"/>
    </row>
    <row r="5643">
      <c r="A5643" s="93"/>
      <c r="B5643" s="87" t="s">
        <v>779</v>
      </c>
      <c r="C5643" s="88"/>
      <c r="D5643" s="92"/>
      <c r="E5643" s="89"/>
      <c r="F5643" s="89"/>
      <c r="G5643" s="89"/>
    </row>
    <row r="5644">
      <c r="A5644" s="93"/>
      <c r="B5644" s="87" t="s">
        <v>779</v>
      </c>
      <c r="C5644" s="88"/>
      <c r="D5644" s="92"/>
      <c r="E5644" s="89"/>
      <c r="F5644" s="89"/>
      <c r="G5644" s="89"/>
    </row>
    <row r="5645">
      <c r="A5645" s="93"/>
      <c r="B5645" s="87" t="s">
        <v>779</v>
      </c>
      <c r="C5645" s="88"/>
      <c r="D5645" s="92"/>
      <c r="E5645" s="89"/>
      <c r="F5645" s="89"/>
      <c r="G5645" s="89"/>
    </row>
    <row r="5646">
      <c r="A5646" s="93"/>
      <c r="B5646" s="87" t="s">
        <v>779</v>
      </c>
      <c r="C5646" s="88"/>
      <c r="D5646" s="92"/>
      <c r="E5646" s="89"/>
      <c r="F5646" s="89"/>
      <c r="G5646" s="89"/>
    </row>
    <row r="5647">
      <c r="A5647" s="93"/>
      <c r="B5647" s="87" t="s">
        <v>779</v>
      </c>
      <c r="C5647" s="88"/>
      <c r="D5647" s="92"/>
      <c r="E5647" s="89"/>
      <c r="F5647" s="89"/>
      <c r="G5647" s="89"/>
    </row>
    <row r="5648">
      <c r="A5648" s="93"/>
      <c r="B5648" s="87" t="s">
        <v>779</v>
      </c>
      <c r="C5648" s="88"/>
      <c r="D5648" s="92"/>
      <c r="E5648" s="89"/>
      <c r="F5648" s="89"/>
      <c r="G5648" s="89"/>
    </row>
    <row r="5649">
      <c r="A5649" s="93"/>
      <c r="B5649" s="87" t="s">
        <v>779</v>
      </c>
      <c r="C5649" s="88"/>
      <c r="D5649" s="92"/>
      <c r="E5649" s="89"/>
      <c r="F5649" s="89"/>
      <c r="G5649" s="89"/>
    </row>
    <row r="5650">
      <c r="A5650" s="93"/>
      <c r="B5650" s="87" t="s">
        <v>779</v>
      </c>
      <c r="C5650" s="88"/>
      <c r="D5650" s="92"/>
      <c r="E5650" s="89"/>
      <c r="F5650" s="89"/>
      <c r="G5650" s="89"/>
    </row>
    <row r="5651">
      <c r="A5651" s="93"/>
      <c r="B5651" s="87" t="s">
        <v>779</v>
      </c>
      <c r="C5651" s="88"/>
      <c r="D5651" s="92"/>
      <c r="E5651" s="89"/>
      <c r="F5651" s="89"/>
      <c r="G5651" s="89"/>
    </row>
    <row r="5652">
      <c r="A5652" s="93"/>
      <c r="B5652" s="87" t="s">
        <v>779</v>
      </c>
      <c r="C5652" s="88"/>
      <c r="D5652" s="92"/>
      <c r="E5652" s="89"/>
      <c r="F5652" s="89"/>
      <c r="G5652" s="89"/>
    </row>
    <row r="5653">
      <c r="A5653" s="93"/>
      <c r="B5653" s="87" t="s">
        <v>779</v>
      </c>
      <c r="C5653" s="88"/>
      <c r="D5653" s="92"/>
      <c r="E5653" s="89"/>
      <c r="F5653" s="89"/>
      <c r="G5653" s="89"/>
    </row>
    <row r="5654">
      <c r="A5654" s="93"/>
      <c r="B5654" s="87" t="s">
        <v>779</v>
      </c>
      <c r="C5654" s="88"/>
      <c r="D5654" s="92"/>
      <c r="E5654" s="89"/>
      <c r="F5654" s="89"/>
      <c r="G5654" s="89"/>
    </row>
    <row r="5655">
      <c r="A5655" s="93"/>
      <c r="B5655" s="87" t="s">
        <v>779</v>
      </c>
      <c r="C5655" s="88"/>
      <c r="D5655" s="92"/>
      <c r="E5655" s="89"/>
      <c r="F5655" s="89"/>
      <c r="G5655" s="89"/>
    </row>
    <row r="5656">
      <c r="A5656" s="93"/>
      <c r="B5656" s="87" t="s">
        <v>779</v>
      </c>
      <c r="C5656" s="88"/>
      <c r="D5656" s="92"/>
      <c r="E5656" s="89"/>
      <c r="F5656" s="89"/>
      <c r="G5656" s="89"/>
    </row>
    <row r="5657">
      <c r="A5657" s="93"/>
      <c r="B5657" s="87" t="s">
        <v>779</v>
      </c>
      <c r="C5657" s="88"/>
      <c r="D5657" s="92"/>
      <c r="E5657" s="89"/>
      <c r="F5657" s="89"/>
      <c r="G5657" s="89"/>
    </row>
    <row r="5658">
      <c r="A5658" s="93"/>
      <c r="B5658" s="87" t="s">
        <v>779</v>
      </c>
      <c r="C5658" s="88"/>
      <c r="D5658" s="92"/>
      <c r="E5658" s="89"/>
      <c r="F5658" s="89"/>
      <c r="G5658" s="89"/>
    </row>
    <row r="5659">
      <c r="A5659" s="93"/>
      <c r="B5659" s="87" t="s">
        <v>779</v>
      </c>
      <c r="C5659" s="88"/>
      <c r="D5659" s="92"/>
      <c r="E5659" s="89"/>
      <c r="F5659" s="89"/>
      <c r="G5659" s="89"/>
    </row>
    <row r="5660">
      <c r="A5660" s="93"/>
      <c r="B5660" s="87" t="s">
        <v>779</v>
      </c>
      <c r="C5660" s="88"/>
      <c r="D5660" s="92"/>
      <c r="E5660" s="89"/>
      <c r="F5660" s="89"/>
      <c r="G5660" s="89"/>
    </row>
    <row r="5661">
      <c r="A5661" s="93"/>
      <c r="B5661" s="87" t="s">
        <v>779</v>
      </c>
      <c r="C5661" s="88"/>
      <c r="D5661" s="92"/>
      <c r="E5661" s="89"/>
      <c r="F5661" s="89"/>
      <c r="G5661" s="89"/>
    </row>
    <row r="5662">
      <c r="A5662" s="93"/>
      <c r="B5662" s="87" t="s">
        <v>779</v>
      </c>
      <c r="C5662" s="88"/>
      <c r="D5662" s="92"/>
      <c r="E5662" s="89"/>
      <c r="F5662" s="89"/>
      <c r="G5662" s="89"/>
    </row>
    <row r="5663">
      <c r="A5663" s="93"/>
      <c r="B5663" s="87" t="s">
        <v>779</v>
      </c>
      <c r="C5663" s="88"/>
      <c r="D5663" s="92"/>
      <c r="E5663" s="89"/>
      <c r="F5663" s="89"/>
      <c r="G5663" s="89"/>
    </row>
    <row r="5664">
      <c r="A5664" s="93"/>
      <c r="B5664" s="87" t="s">
        <v>779</v>
      </c>
      <c r="C5664" s="88"/>
      <c r="D5664" s="92"/>
      <c r="E5664" s="89"/>
      <c r="F5664" s="89"/>
      <c r="G5664" s="89"/>
    </row>
    <row r="5665">
      <c r="A5665" s="93"/>
      <c r="B5665" s="87" t="s">
        <v>779</v>
      </c>
      <c r="C5665" s="88"/>
      <c r="D5665" s="92"/>
      <c r="E5665" s="89"/>
      <c r="F5665" s="89"/>
      <c r="G5665" s="89"/>
    </row>
    <row r="5666">
      <c r="A5666" s="93"/>
      <c r="B5666" s="87" t="s">
        <v>779</v>
      </c>
      <c r="C5666" s="88"/>
      <c r="D5666" s="92"/>
      <c r="E5666" s="89"/>
      <c r="F5666" s="89"/>
      <c r="G5666" s="89"/>
    </row>
    <row r="5667">
      <c r="A5667" s="93"/>
      <c r="B5667" s="87" t="s">
        <v>779</v>
      </c>
      <c r="C5667" s="88"/>
      <c r="D5667" s="92"/>
      <c r="E5667" s="89"/>
      <c r="F5667" s="89"/>
      <c r="G5667" s="89"/>
    </row>
    <row r="5668">
      <c r="A5668" s="93"/>
      <c r="B5668" s="87" t="s">
        <v>779</v>
      </c>
      <c r="C5668" s="88"/>
      <c r="D5668" s="92"/>
      <c r="E5668" s="89"/>
      <c r="F5668" s="89"/>
      <c r="G5668" s="89"/>
    </row>
    <row r="5669">
      <c r="A5669" s="93"/>
      <c r="B5669" s="87" t="s">
        <v>779</v>
      </c>
      <c r="C5669" s="88"/>
      <c r="D5669" s="92"/>
      <c r="E5669" s="89"/>
      <c r="F5669" s="89"/>
      <c r="G5669" s="89"/>
    </row>
    <row r="5670">
      <c r="A5670" s="93"/>
      <c r="B5670" s="87" t="s">
        <v>779</v>
      </c>
      <c r="C5670" s="88"/>
      <c r="D5670" s="92"/>
      <c r="E5670" s="89"/>
      <c r="F5670" s="89"/>
      <c r="G5670" s="89"/>
    </row>
    <row r="5671">
      <c r="A5671" s="93"/>
      <c r="B5671" s="87" t="s">
        <v>779</v>
      </c>
      <c r="C5671" s="88"/>
      <c r="D5671" s="92"/>
      <c r="E5671" s="89"/>
      <c r="F5671" s="89"/>
      <c r="G5671" s="89"/>
    </row>
    <row r="5672">
      <c r="A5672" s="93"/>
      <c r="B5672" s="87" t="s">
        <v>779</v>
      </c>
      <c r="C5672" s="88"/>
      <c r="D5672" s="92"/>
      <c r="E5672" s="89"/>
      <c r="F5672" s="89"/>
      <c r="G5672" s="89"/>
    </row>
    <row r="5673">
      <c r="A5673" s="93"/>
      <c r="B5673" s="87" t="s">
        <v>779</v>
      </c>
      <c r="C5673" s="88"/>
      <c r="D5673" s="92"/>
      <c r="E5673" s="89"/>
      <c r="F5673" s="89"/>
      <c r="G5673" s="89"/>
    </row>
    <row r="5674">
      <c r="A5674" s="93"/>
      <c r="B5674" s="87" t="s">
        <v>779</v>
      </c>
      <c r="C5674" s="88"/>
      <c r="D5674" s="92"/>
      <c r="E5674" s="89"/>
      <c r="F5674" s="89"/>
      <c r="G5674" s="89"/>
    </row>
    <row r="5675">
      <c r="A5675" s="93"/>
      <c r="B5675" s="87" t="s">
        <v>779</v>
      </c>
      <c r="C5675" s="88"/>
      <c r="D5675" s="92"/>
      <c r="E5675" s="89"/>
      <c r="F5675" s="89"/>
      <c r="G5675" s="89"/>
    </row>
    <row r="5676">
      <c r="A5676" s="93"/>
      <c r="B5676" s="87" t="s">
        <v>779</v>
      </c>
      <c r="C5676" s="88"/>
      <c r="D5676" s="92"/>
      <c r="E5676" s="89"/>
      <c r="F5676" s="89"/>
      <c r="G5676" s="89"/>
    </row>
    <row r="5677">
      <c r="A5677" s="93"/>
      <c r="B5677" s="87" t="s">
        <v>779</v>
      </c>
      <c r="C5677" s="88"/>
      <c r="D5677" s="92"/>
      <c r="E5677" s="89"/>
      <c r="F5677" s="89"/>
      <c r="G5677" s="89"/>
    </row>
    <row r="5678">
      <c r="A5678" s="93"/>
      <c r="B5678" s="87" t="s">
        <v>779</v>
      </c>
      <c r="C5678" s="88"/>
      <c r="D5678" s="92"/>
      <c r="E5678" s="89"/>
      <c r="F5678" s="89"/>
      <c r="G5678" s="89"/>
    </row>
    <row r="5679">
      <c r="A5679" s="93"/>
      <c r="B5679" s="87" t="s">
        <v>779</v>
      </c>
      <c r="C5679" s="88"/>
      <c r="D5679" s="92"/>
      <c r="E5679" s="89"/>
      <c r="F5679" s="89"/>
      <c r="G5679" s="89"/>
    </row>
    <row r="5680">
      <c r="A5680" s="93"/>
      <c r="B5680" s="87" t="s">
        <v>779</v>
      </c>
      <c r="C5680" s="88"/>
      <c r="D5680" s="92"/>
      <c r="E5680" s="89"/>
      <c r="F5680" s="89"/>
      <c r="G5680" s="89"/>
    </row>
    <row r="5681">
      <c r="A5681" s="93"/>
      <c r="B5681" s="87" t="s">
        <v>779</v>
      </c>
      <c r="C5681" s="88"/>
      <c r="D5681" s="92"/>
      <c r="E5681" s="89"/>
      <c r="F5681" s="89"/>
      <c r="G5681" s="89"/>
    </row>
    <row r="5682">
      <c r="A5682" s="93"/>
      <c r="B5682" s="87" t="s">
        <v>779</v>
      </c>
      <c r="C5682" s="88"/>
      <c r="D5682" s="92"/>
      <c r="E5682" s="89"/>
      <c r="F5682" s="89"/>
      <c r="G5682" s="89"/>
    </row>
    <row r="5683">
      <c r="A5683" s="93"/>
      <c r="B5683" s="87" t="s">
        <v>779</v>
      </c>
      <c r="C5683" s="88"/>
      <c r="D5683" s="92"/>
      <c r="E5683" s="89"/>
      <c r="F5683" s="89"/>
      <c r="G5683" s="89"/>
    </row>
    <row r="5684">
      <c r="A5684" s="93"/>
      <c r="B5684" s="87" t="s">
        <v>779</v>
      </c>
      <c r="C5684" s="88"/>
      <c r="D5684" s="92"/>
      <c r="E5684" s="89"/>
      <c r="F5684" s="89"/>
      <c r="G5684" s="89"/>
    </row>
    <row r="5685">
      <c r="A5685" s="93"/>
      <c r="B5685" s="87" t="s">
        <v>779</v>
      </c>
      <c r="C5685" s="88"/>
      <c r="D5685" s="92"/>
      <c r="E5685" s="89"/>
      <c r="F5685" s="89"/>
      <c r="G5685" s="89"/>
    </row>
    <row r="5686">
      <c r="A5686" s="93"/>
      <c r="B5686" s="87" t="s">
        <v>779</v>
      </c>
      <c r="C5686" s="88"/>
      <c r="D5686" s="92"/>
      <c r="E5686" s="89"/>
      <c r="F5686" s="89"/>
      <c r="G5686" s="89"/>
    </row>
    <row r="5687">
      <c r="A5687" s="93"/>
      <c r="B5687" s="87" t="s">
        <v>779</v>
      </c>
      <c r="C5687" s="88"/>
      <c r="D5687" s="92"/>
      <c r="E5687" s="89"/>
      <c r="F5687" s="89"/>
      <c r="G5687" s="89"/>
    </row>
    <row r="5688">
      <c r="A5688" s="93"/>
      <c r="B5688" s="87" t="s">
        <v>779</v>
      </c>
      <c r="C5688" s="88"/>
      <c r="D5688" s="92"/>
      <c r="E5688" s="89"/>
      <c r="F5688" s="89"/>
      <c r="G5688" s="89"/>
    </row>
    <row r="5689">
      <c r="A5689" s="93"/>
      <c r="B5689" s="87" t="s">
        <v>779</v>
      </c>
      <c r="C5689" s="88"/>
      <c r="D5689" s="92"/>
      <c r="E5689" s="89"/>
      <c r="F5689" s="89"/>
      <c r="G5689" s="89"/>
    </row>
    <row r="5690">
      <c r="A5690" s="93"/>
      <c r="B5690" s="87" t="s">
        <v>779</v>
      </c>
      <c r="C5690" s="88"/>
      <c r="D5690" s="92"/>
      <c r="E5690" s="89"/>
      <c r="F5690" s="89"/>
      <c r="G5690" s="89"/>
    </row>
    <row r="5691">
      <c r="A5691" s="93"/>
      <c r="B5691" s="87" t="s">
        <v>779</v>
      </c>
      <c r="C5691" s="88"/>
      <c r="D5691" s="92"/>
      <c r="E5691" s="89"/>
      <c r="F5691" s="89"/>
      <c r="G5691" s="89"/>
    </row>
    <row r="5692">
      <c r="A5692" s="93"/>
      <c r="B5692" s="87" t="s">
        <v>779</v>
      </c>
      <c r="C5692" s="88"/>
      <c r="D5692" s="92"/>
      <c r="E5692" s="89"/>
      <c r="F5692" s="89"/>
      <c r="G5692" s="89"/>
    </row>
    <row r="5693">
      <c r="A5693" s="93"/>
      <c r="B5693" s="87" t="s">
        <v>779</v>
      </c>
      <c r="C5693" s="88"/>
      <c r="D5693" s="92"/>
      <c r="E5693" s="89"/>
      <c r="F5693" s="89"/>
      <c r="G5693" s="89"/>
    </row>
    <row r="5694">
      <c r="A5694" s="93"/>
      <c r="B5694" s="87" t="s">
        <v>779</v>
      </c>
      <c r="C5694" s="88"/>
      <c r="D5694" s="92"/>
      <c r="E5694" s="89"/>
      <c r="F5694" s="89"/>
      <c r="G5694" s="89"/>
    </row>
    <row r="5695">
      <c r="A5695" s="93"/>
      <c r="B5695" s="87" t="s">
        <v>779</v>
      </c>
      <c r="C5695" s="88"/>
      <c r="D5695" s="92"/>
      <c r="E5695" s="89"/>
      <c r="F5695" s="89"/>
      <c r="G5695" s="89"/>
    </row>
    <row r="5696">
      <c r="A5696" s="93"/>
      <c r="B5696" s="87" t="s">
        <v>779</v>
      </c>
      <c r="C5696" s="88"/>
      <c r="D5696" s="92"/>
      <c r="E5696" s="89"/>
      <c r="F5696" s="89"/>
      <c r="G5696" s="89"/>
    </row>
    <row r="5697">
      <c r="A5697" s="93"/>
      <c r="B5697" s="87" t="s">
        <v>779</v>
      </c>
      <c r="C5697" s="88"/>
      <c r="D5697" s="92"/>
      <c r="E5697" s="89"/>
      <c r="F5697" s="89"/>
      <c r="G5697" s="89"/>
    </row>
    <row r="5698">
      <c r="A5698" s="93"/>
      <c r="B5698" s="87" t="s">
        <v>779</v>
      </c>
      <c r="C5698" s="88"/>
      <c r="D5698" s="92"/>
      <c r="E5698" s="89"/>
      <c r="F5698" s="89"/>
      <c r="G5698" s="89"/>
    </row>
    <row r="5699">
      <c r="A5699" s="93"/>
      <c r="B5699" s="87" t="s">
        <v>779</v>
      </c>
      <c r="C5699" s="88"/>
      <c r="D5699" s="92"/>
      <c r="E5699" s="89"/>
      <c r="F5699" s="89"/>
      <c r="G5699" s="89"/>
    </row>
    <row r="5700">
      <c r="A5700" s="93"/>
      <c r="B5700" s="87" t="s">
        <v>779</v>
      </c>
      <c r="C5700" s="88"/>
      <c r="D5700" s="92"/>
      <c r="E5700" s="89"/>
      <c r="F5700" s="89"/>
      <c r="G5700" s="89"/>
    </row>
    <row r="5701">
      <c r="A5701" s="93"/>
      <c r="B5701" s="87" t="s">
        <v>779</v>
      </c>
      <c r="C5701" s="88"/>
      <c r="D5701" s="92"/>
      <c r="E5701" s="89"/>
      <c r="F5701" s="89"/>
      <c r="G5701" s="89"/>
    </row>
    <row r="5702">
      <c r="A5702" s="93"/>
      <c r="B5702" s="87" t="s">
        <v>779</v>
      </c>
      <c r="C5702" s="88"/>
      <c r="D5702" s="92"/>
      <c r="E5702" s="89"/>
      <c r="F5702" s="89"/>
      <c r="G5702" s="89"/>
    </row>
    <row r="5703">
      <c r="A5703" s="93"/>
      <c r="B5703" s="87" t="s">
        <v>779</v>
      </c>
      <c r="C5703" s="88"/>
      <c r="D5703" s="92"/>
      <c r="E5703" s="89"/>
      <c r="F5703" s="89"/>
      <c r="G5703" s="89"/>
    </row>
    <row r="5704">
      <c r="A5704" s="93"/>
      <c r="B5704" s="87" t="s">
        <v>779</v>
      </c>
      <c r="C5704" s="88"/>
      <c r="D5704" s="92"/>
      <c r="E5704" s="89"/>
      <c r="F5704" s="89"/>
      <c r="G5704" s="89"/>
    </row>
    <row r="5705">
      <c r="A5705" s="93"/>
      <c r="B5705" s="87" t="s">
        <v>779</v>
      </c>
      <c r="C5705" s="88"/>
      <c r="D5705" s="92"/>
      <c r="E5705" s="89"/>
      <c r="F5705" s="89"/>
      <c r="G5705" s="89"/>
    </row>
    <row r="5706">
      <c r="A5706" s="93"/>
      <c r="B5706" s="87" t="s">
        <v>779</v>
      </c>
      <c r="C5706" s="88"/>
      <c r="D5706" s="92"/>
      <c r="E5706" s="89"/>
      <c r="F5706" s="89"/>
      <c r="G5706" s="89"/>
    </row>
    <row r="5707">
      <c r="A5707" s="93"/>
      <c r="B5707" s="87" t="s">
        <v>779</v>
      </c>
      <c r="C5707" s="88"/>
      <c r="D5707" s="92"/>
      <c r="E5707" s="89"/>
      <c r="F5707" s="89"/>
      <c r="G5707" s="89"/>
    </row>
    <row r="5708">
      <c r="A5708" s="93"/>
      <c r="B5708" s="87" t="s">
        <v>779</v>
      </c>
      <c r="C5708" s="88"/>
      <c r="D5708" s="92"/>
      <c r="E5708" s="89"/>
      <c r="F5708" s="89"/>
      <c r="G5708" s="89"/>
    </row>
    <row r="5709">
      <c r="A5709" s="93"/>
      <c r="B5709" s="87" t="s">
        <v>779</v>
      </c>
      <c r="C5709" s="88"/>
      <c r="D5709" s="92"/>
      <c r="E5709" s="89"/>
      <c r="F5709" s="89"/>
      <c r="G5709" s="89"/>
    </row>
    <row r="5710">
      <c r="A5710" s="93"/>
      <c r="B5710" s="87" t="s">
        <v>779</v>
      </c>
      <c r="C5710" s="88"/>
      <c r="D5710" s="92"/>
      <c r="E5710" s="89"/>
      <c r="F5710" s="89"/>
      <c r="G5710" s="89"/>
    </row>
    <row r="5711">
      <c r="A5711" s="93"/>
      <c r="B5711" s="87" t="s">
        <v>779</v>
      </c>
      <c r="C5711" s="88"/>
      <c r="D5711" s="92"/>
      <c r="E5711" s="89"/>
      <c r="F5711" s="89"/>
      <c r="G5711" s="89"/>
    </row>
    <row r="5712">
      <c r="A5712" s="93"/>
      <c r="B5712" s="87" t="s">
        <v>779</v>
      </c>
      <c r="C5712" s="88"/>
      <c r="D5712" s="92"/>
      <c r="E5712" s="89"/>
      <c r="F5712" s="89"/>
      <c r="G5712" s="89"/>
    </row>
    <row r="5713">
      <c r="A5713" s="93"/>
      <c r="B5713" s="87" t="s">
        <v>779</v>
      </c>
      <c r="C5713" s="88"/>
      <c r="D5713" s="92"/>
      <c r="E5713" s="89"/>
      <c r="F5713" s="89"/>
      <c r="G5713" s="89"/>
    </row>
    <row r="5714">
      <c r="A5714" s="93"/>
      <c r="B5714" s="87" t="s">
        <v>779</v>
      </c>
      <c r="C5714" s="88"/>
      <c r="D5714" s="92"/>
      <c r="E5714" s="89"/>
      <c r="F5714" s="89"/>
      <c r="G5714" s="89"/>
    </row>
    <row r="5715">
      <c r="A5715" s="93"/>
      <c r="B5715" s="87" t="s">
        <v>779</v>
      </c>
      <c r="C5715" s="88"/>
      <c r="D5715" s="92"/>
      <c r="E5715" s="89"/>
      <c r="F5715" s="89"/>
      <c r="G5715" s="89"/>
    </row>
    <row r="5716">
      <c r="A5716" s="93"/>
      <c r="B5716" s="87" t="s">
        <v>779</v>
      </c>
      <c r="C5716" s="88"/>
      <c r="D5716" s="92"/>
      <c r="E5716" s="89"/>
      <c r="F5716" s="89"/>
      <c r="G5716" s="89"/>
    </row>
    <row r="5717">
      <c r="A5717" s="93"/>
      <c r="B5717" s="87" t="s">
        <v>779</v>
      </c>
      <c r="C5717" s="88"/>
      <c r="D5717" s="92"/>
      <c r="E5717" s="89"/>
      <c r="F5717" s="89"/>
      <c r="G5717" s="89"/>
    </row>
    <row r="5718">
      <c r="A5718" s="93"/>
      <c r="B5718" s="87" t="s">
        <v>779</v>
      </c>
      <c r="C5718" s="88"/>
      <c r="D5718" s="92"/>
      <c r="E5718" s="89"/>
      <c r="F5718" s="89"/>
      <c r="G5718" s="89"/>
    </row>
    <row r="5719">
      <c r="A5719" s="93"/>
      <c r="B5719" s="87" t="s">
        <v>779</v>
      </c>
      <c r="C5719" s="88"/>
      <c r="D5719" s="92"/>
      <c r="E5719" s="89"/>
      <c r="F5719" s="89"/>
      <c r="G5719" s="89"/>
    </row>
    <row r="5720">
      <c r="A5720" s="93"/>
      <c r="B5720" s="87" t="s">
        <v>779</v>
      </c>
      <c r="C5720" s="88"/>
      <c r="D5720" s="92"/>
      <c r="E5720" s="89"/>
      <c r="F5720" s="89"/>
      <c r="G5720" s="89"/>
    </row>
    <row r="5721">
      <c r="A5721" s="93"/>
      <c r="B5721" s="87" t="s">
        <v>779</v>
      </c>
      <c r="C5721" s="88"/>
      <c r="D5721" s="92"/>
      <c r="E5721" s="89"/>
      <c r="F5721" s="89"/>
      <c r="G5721" s="89"/>
    </row>
    <row r="5722">
      <c r="A5722" s="93"/>
      <c r="B5722" s="87" t="s">
        <v>779</v>
      </c>
      <c r="C5722" s="88"/>
      <c r="D5722" s="92"/>
      <c r="E5722" s="89"/>
      <c r="F5722" s="89"/>
      <c r="G5722" s="89"/>
    </row>
    <row r="5723">
      <c r="A5723" s="93"/>
      <c r="B5723" s="87" t="s">
        <v>779</v>
      </c>
      <c r="C5723" s="88"/>
      <c r="D5723" s="92"/>
      <c r="E5723" s="89"/>
      <c r="F5723" s="89"/>
      <c r="G5723" s="89"/>
    </row>
    <row r="5724">
      <c r="A5724" s="93"/>
      <c r="B5724" s="87" t="s">
        <v>779</v>
      </c>
      <c r="C5724" s="88"/>
      <c r="D5724" s="92"/>
      <c r="E5724" s="89"/>
      <c r="F5724" s="89"/>
      <c r="G5724" s="89"/>
    </row>
    <row r="5725">
      <c r="A5725" s="93"/>
      <c r="B5725" s="87" t="s">
        <v>779</v>
      </c>
      <c r="C5725" s="88"/>
      <c r="D5725" s="92"/>
      <c r="E5725" s="89"/>
      <c r="F5725" s="89"/>
      <c r="G5725" s="89"/>
    </row>
    <row r="5726">
      <c r="A5726" s="93"/>
      <c r="B5726" s="87" t="s">
        <v>779</v>
      </c>
      <c r="C5726" s="88"/>
      <c r="D5726" s="92"/>
      <c r="E5726" s="89"/>
      <c r="F5726" s="89"/>
      <c r="G5726" s="89"/>
    </row>
    <row r="5727">
      <c r="A5727" s="93"/>
      <c r="B5727" s="87" t="s">
        <v>779</v>
      </c>
      <c r="C5727" s="88"/>
      <c r="D5727" s="92"/>
      <c r="E5727" s="89"/>
      <c r="F5727" s="89"/>
      <c r="G5727" s="89"/>
    </row>
    <row r="5728">
      <c r="A5728" s="93"/>
      <c r="B5728" s="87" t="s">
        <v>779</v>
      </c>
      <c r="C5728" s="88"/>
      <c r="D5728" s="92"/>
      <c r="E5728" s="89"/>
      <c r="F5728" s="89"/>
      <c r="G5728" s="89"/>
    </row>
    <row r="5729">
      <c r="A5729" s="93"/>
      <c r="B5729" s="87" t="s">
        <v>779</v>
      </c>
      <c r="C5729" s="88"/>
      <c r="D5729" s="92"/>
      <c r="E5729" s="89"/>
      <c r="F5729" s="89"/>
      <c r="G5729" s="89"/>
    </row>
    <row r="5730">
      <c r="A5730" s="93"/>
      <c r="B5730" s="87" t="s">
        <v>779</v>
      </c>
      <c r="C5730" s="88"/>
      <c r="D5730" s="92"/>
      <c r="E5730" s="89"/>
      <c r="F5730" s="89"/>
      <c r="G5730" s="89"/>
    </row>
    <row r="5731">
      <c r="A5731" s="93"/>
      <c r="B5731" s="87" t="s">
        <v>779</v>
      </c>
      <c r="C5731" s="88"/>
      <c r="D5731" s="92"/>
      <c r="E5731" s="89"/>
      <c r="F5731" s="89"/>
      <c r="G5731" s="89"/>
    </row>
    <row r="5732">
      <c r="A5732" s="93"/>
      <c r="B5732" s="87" t="s">
        <v>779</v>
      </c>
      <c r="C5732" s="88"/>
      <c r="D5732" s="92"/>
      <c r="E5732" s="89"/>
      <c r="F5732" s="89"/>
      <c r="G5732" s="89"/>
    </row>
    <row r="5733">
      <c r="A5733" s="93"/>
      <c r="B5733" s="87" t="s">
        <v>779</v>
      </c>
      <c r="C5733" s="88"/>
      <c r="D5733" s="92"/>
      <c r="E5733" s="89"/>
      <c r="F5733" s="89"/>
      <c r="G5733" s="89"/>
    </row>
    <row r="5734">
      <c r="A5734" s="93"/>
      <c r="B5734" s="87" t="s">
        <v>779</v>
      </c>
      <c r="C5734" s="88"/>
      <c r="D5734" s="92"/>
      <c r="E5734" s="89"/>
      <c r="F5734" s="89"/>
      <c r="G5734" s="89"/>
    </row>
    <row r="5735">
      <c r="A5735" s="93"/>
      <c r="B5735" s="87" t="s">
        <v>779</v>
      </c>
      <c r="C5735" s="88"/>
      <c r="D5735" s="92"/>
      <c r="E5735" s="89"/>
      <c r="F5735" s="89"/>
      <c r="G5735" s="89"/>
    </row>
    <row r="5736">
      <c r="A5736" s="93"/>
      <c r="B5736" s="87" t="s">
        <v>779</v>
      </c>
      <c r="C5736" s="88"/>
      <c r="D5736" s="92"/>
      <c r="E5736" s="89"/>
      <c r="F5736" s="89"/>
      <c r="G5736" s="89"/>
    </row>
    <row r="5737">
      <c r="A5737" s="93"/>
      <c r="B5737" s="87" t="s">
        <v>779</v>
      </c>
      <c r="C5737" s="88"/>
      <c r="D5737" s="92"/>
      <c r="E5737" s="89"/>
      <c r="F5737" s="89"/>
      <c r="G5737" s="89"/>
    </row>
    <row r="5738">
      <c r="A5738" s="93"/>
      <c r="B5738" s="87" t="s">
        <v>779</v>
      </c>
      <c r="C5738" s="88"/>
      <c r="D5738" s="92"/>
      <c r="E5738" s="89"/>
      <c r="F5738" s="89"/>
      <c r="G5738" s="89"/>
    </row>
    <row r="5739">
      <c r="A5739" s="93"/>
      <c r="B5739" s="87" t="s">
        <v>779</v>
      </c>
      <c r="C5739" s="88"/>
      <c r="D5739" s="92"/>
      <c r="E5739" s="89"/>
      <c r="F5739" s="89"/>
      <c r="G5739" s="89"/>
    </row>
    <row r="5740">
      <c r="A5740" s="93"/>
      <c r="B5740" s="87" t="s">
        <v>779</v>
      </c>
      <c r="C5740" s="88"/>
      <c r="D5740" s="92"/>
      <c r="E5740" s="89"/>
      <c r="F5740" s="89"/>
      <c r="G5740" s="89"/>
    </row>
    <row r="5741">
      <c r="A5741" s="93"/>
      <c r="B5741" s="87" t="s">
        <v>779</v>
      </c>
      <c r="C5741" s="88"/>
      <c r="D5741" s="92"/>
      <c r="E5741" s="89"/>
      <c r="F5741" s="89"/>
      <c r="G5741" s="89"/>
    </row>
    <row r="5742">
      <c r="A5742" s="93"/>
      <c r="B5742" s="87" t="s">
        <v>779</v>
      </c>
      <c r="C5742" s="88"/>
      <c r="D5742" s="92"/>
      <c r="E5742" s="89"/>
      <c r="F5742" s="89"/>
      <c r="G5742" s="89"/>
    </row>
    <row r="5743">
      <c r="A5743" s="93"/>
      <c r="B5743" s="87" t="s">
        <v>779</v>
      </c>
      <c r="C5743" s="88"/>
      <c r="D5743" s="92"/>
      <c r="E5743" s="89"/>
      <c r="F5743" s="89"/>
      <c r="G5743" s="89"/>
    </row>
    <row r="5744">
      <c r="A5744" s="93"/>
      <c r="B5744" s="87" t="s">
        <v>779</v>
      </c>
      <c r="C5744" s="88"/>
      <c r="D5744" s="92"/>
      <c r="E5744" s="89"/>
      <c r="F5744" s="89"/>
      <c r="G5744" s="89"/>
    </row>
    <row r="5745">
      <c r="A5745" s="93"/>
      <c r="B5745" s="87" t="s">
        <v>779</v>
      </c>
      <c r="C5745" s="88"/>
      <c r="D5745" s="92"/>
      <c r="E5745" s="89"/>
      <c r="F5745" s="89"/>
      <c r="G5745" s="89"/>
    </row>
    <row r="5746">
      <c r="A5746" s="93"/>
      <c r="B5746" s="87" t="s">
        <v>779</v>
      </c>
      <c r="C5746" s="88"/>
      <c r="D5746" s="92"/>
      <c r="E5746" s="89"/>
      <c r="F5746" s="89"/>
      <c r="G5746" s="89"/>
    </row>
    <row r="5747">
      <c r="A5747" s="93"/>
      <c r="B5747" s="87" t="s">
        <v>779</v>
      </c>
      <c r="C5747" s="88"/>
      <c r="D5747" s="92"/>
      <c r="E5747" s="89"/>
      <c r="F5747" s="89"/>
      <c r="G5747" s="89"/>
    </row>
    <row r="5748">
      <c r="A5748" s="93"/>
      <c r="B5748" s="87" t="s">
        <v>779</v>
      </c>
      <c r="C5748" s="88"/>
      <c r="D5748" s="92"/>
      <c r="E5748" s="89"/>
      <c r="F5748" s="89"/>
      <c r="G5748" s="89"/>
    </row>
    <row r="5749">
      <c r="A5749" s="93"/>
      <c r="B5749" s="87" t="s">
        <v>779</v>
      </c>
      <c r="C5749" s="88"/>
      <c r="D5749" s="92"/>
      <c r="E5749" s="89"/>
      <c r="F5749" s="89"/>
      <c r="G5749" s="89"/>
    </row>
    <row r="5750">
      <c r="A5750" s="93"/>
      <c r="B5750" s="87" t="s">
        <v>779</v>
      </c>
      <c r="C5750" s="88"/>
      <c r="D5750" s="92"/>
      <c r="E5750" s="89"/>
      <c r="F5750" s="89"/>
      <c r="G5750" s="89"/>
    </row>
    <row r="5751">
      <c r="A5751" s="93"/>
      <c r="B5751" s="87" t="s">
        <v>779</v>
      </c>
      <c r="C5751" s="88"/>
      <c r="D5751" s="92"/>
      <c r="E5751" s="89"/>
      <c r="F5751" s="89"/>
      <c r="G5751" s="89"/>
    </row>
    <row r="5752">
      <c r="A5752" s="93"/>
      <c r="B5752" s="87" t="s">
        <v>779</v>
      </c>
      <c r="C5752" s="88"/>
      <c r="D5752" s="92"/>
      <c r="E5752" s="89"/>
      <c r="F5752" s="89"/>
      <c r="G5752" s="89"/>
    </row>
    <row r="5753">
      <c r="A5753" s="93"/>
      <c r="B5753" s="87" t="s">
        <v>779</v>
      </c>
      <c r="C5753" s="88"/>
      <c r="D5753" s="92"/>
      <c r="E5753" s="89"/>
      <c r="F5753" s="89"/>
      <c r="G5753" s="89"/>
    </row>
    <row r="5754">
      <c r="A5754" s="93"/>
      <c r="B5754" s="87" t="s">
        <v>779</v>
      </c>
      <c r="C5754" s="88"/>
      <c r="D5754" s="92"/>
      <c r="E5754" s="89"/>
      <c r="F5754" s="89"/>
      <c r="G5754" s="89"/>
    </row>
    <row r="5755">
      <c r="A5755" s="93"/>
      <c r="B5755" s="87" t="s">
        <v>779</v>
      </c>
      <c r="C5755" s="88"/>
      <c r="D5755" s="92"/>
      <c r="E5755" s="89"/>
      <c r="F5755" s="89"/>
      <c r="G5755" s="89"/>
    </row>
    <row r="5756">
      <c r="A5756" s="93"/>
      <c r="B5756" s="87" t="s">
        <v>779</v>
      </c>
      <c r="C5756" s="88"/>
      <c r="D5756" s="92"/>
      <c r="E5756" s="89"/>
      <c r="F5756" s="89"/>
      <c r="G5756" s="89"/>
    </row>
    <row r="5757">
      <c r="A5757" s="93"/>
      <c r="B5757" s="87" t="s">
        <v>779</v>
      </c>
      <c r="C5757" s="88"/>
      <c r="D5757" s="92"/>
      <c r="E5757" s="89"/>
      <c r="F5757" s="89"/>
      <c r="G5757" s="89"/>
    </row>
    <row r="5758">
      <c r="A5758" s="93"/>
      <c r="B5758" s="87" t="s">
        <v>779</v>
      </c>
      <c r="C5758" s="88"/>
      <c r="D5758" s="92"/>
      <c r="E5758" s="89"/>
      <c r="F5758" s="89"/>
      <c r="G5758" s="89"/>
    </row>
    <row r="5759">
      <c r="A5759" s="93"/>
      <c r="B5759" s="87" t="s">
        <v>779</v>
      </c>
      <c r="C5759" s="88"/>
      <c r="D5759" s="92"/>
      <c r="E5759" s="89"/>
      <c r="F5759" s="89"/>
      <c r="G5759" s="89"/>
    </row>
    <row r="5760">
      <c r="A5760" s="93"/>
      <c r="B5760" s="87" t="s">
        <v>779</v>
      </c>
      <c r="C5760" s="88"/>
      <c r="D5760" s="92"/>
      <c r="E5760" s="89"/>
      <c r="F5760" s="89"/>
      <c r="G5760" s="89"/>
    </row>
    <row r="5761">
      <c r="A5761" s="93"/>
      <c r="B5761" s="87" t="s">
        <v>779</v>
      </c>
      <c r="C5761" s="88"/>
      <c r="D5761" s="92"/>
      <c r="E5761" s="89"/>
      <c r="F5761" s="89"/>
      <c r="G5761" s="89"/>
    </row>
    <row r="5762">
      <c r="A5762" s="93"/>
      <c r="B5762" s="87" t="s">
        <v>779</v>
      </c>
      <c r="C5762" s="88"/>
      <c r="D5762" s="92"/>
      <c r="E5762" s="89"/>
      <c r="F5762" s="89"/>
      <c r="G5762" s="89"/>
    </row>
    <row r="5763">
      <c r="A5763" s="93"/>
      <c r="B5763" s="87" t="s">
        <v>779</v>
      </c>
      <c r="C5763" s="88"/>
      <c r="D5763" s="92"/>
      <c r="E5763" s="89"/>
      <c r="F5763" s="89"/>
      <c r="G5763" s="89"/>
    </row>
    <row r="5764">
      <c r="A5764" s="93"/>
      <c r="B5764" s="87" t="s">
        <v>779</v>
      </c>
      <c r="C5764" s="88"/>
      <c r="D5764" s="92"/>
      <c r="E5764" s="89"/>
      <c r="F5764" s="89"/>
      <c r="G5764" s="89"/>
    </row>
    <row r="5765">
      <c r="A5765" s="93"/>
      <c r="B5765" s="87" t="s">
        <v>779</v>
      </c>
      <c r="C5765" s="88"/>
      <c r="D5765" s="92"/>
      <c r="E5765" s="89"/>
      <c r="F5765" s="89"/>
      <c r="G5765" s="89"/>
    </row>
    <row r="5766">
      <c r="A5766" s="93"/>
      <c r="B5766" s="87" t="s">
        <v>779</v>
      </c>
      <c r="C5766" s="88"/>
      <c r="D5766" s="92"/>
      <c r="E5766" s="89"/>
      <c r="F5766" s="89"/>
      <c r="G5766" s="89"/>
    </row>
    <row r="5767">
      <c r="A5767" s="93"/>
      <c r="B5767" s="87" t="s">
        <v>779</v>
      </c>
      <c r="C5767" s="88"/>
      <c r="D5767" s="92"/>
      <c r="E5767" s="89"/>
      <c r="F5767" s="89"/>
      <c r="G5767" s="89"/>
    </row>
    <row r="5768">
      <c r="A5768" s="93"/>
      <c r="B5768" s="87" t="s">
        <v>779</v>
      </c>
      <c r="C5768" s="88"/>
      <c r="D5768" s="92"/>
      <c r="E5768" s="89"/>
      <c r="F5768" s="89"/>
      <c r="G5768" s="89"/>
    </row>
    <row r="5769">
      <c r="A5769" s="93"/>
      <c r="B5769" s="87" t="s">
        <v>779</v>
      </c>
      <c r="C5769" s="88"/>
      <c r="D5769" s="92"/>
      <c r="E5769" s="89"/>
      <c r="F5769" s="89"/>
      <c r="G5769" s="89"/>
    </row>
    <row r="5770">
      <c r="A5770" s="93"/>
      <c r="B5770" s="87" t="s">
        <v>779</v>
      </c>
      <c r="C5770" s="88"/>
      <c r="D5770" s="92"/>
      <c r="E5770" s="89"/>
      <c r="F5770" s="89"/>
      <c r="G5770" s="89"/>
    </row>
    <row r="5771">
      <c r="A5771" s="93"/>
      <c r="B5771" s="87" t="s">
        <v>779</v>
      </c>
      <c r="C5771" s="88"/>
      <c r="D5771" s="92"/>
      <c r="E5771" s="89"/>
      <c r="F5771" s="89"/>
      <c r="G5771" s="89"/>
    </row>
    <row r="5772">
      <c r="A5772" s="93"/>
      <c r="B5772" s="87" t="s">
        <v>779</v>
      </c>
      <c r="C5772" s="88"/>
      <c r="D5772" s="92"/>
      <c r="E5772" s="89"/>
      <c r="F5772" s="89"/>
      <c r="G5772" s="89"/>
    </row>
    <row r="5773">
      <c r="A5773" s="93"/>
      <c r="B5773" s="87" t="s">
        <v>779</v>
      </c>
      <c r="C5773" s="88"/>
      <c r="D5773" s="92"/>
      <c r="E5773" s="89"/>
      <c r="F5773" s="89"/>
      <c r="G5773" s="89"/>
    </row>
    <row r="5774">
      <c r="A5774" s="93"/>
      <c r="B5774" s="87" t="s">
        <v>779</v>
      </c>
      <c r="C5774" s="88"/>
      <c r="D5774" s="92"/>
      <c r="E5774" s="89"/>
      <c r="F5774" s="89"/>
      <c r="G5774" s="89"/>
    </row>
    <row r="5775">
      <c r="A5775" s="93"/>
      <c r="B5775" s="87" t="s">
        <v>779</v>
      </c>
      <c r="C5775" s="88"/>
      <c r="D5775" s="92"/>
      <c r="E5775" s="89"/>
      <c r="F5775" s="89"/>
      <c r="G5775" s="89"/>
    </row>
    <row r="5776">
      <c r="A5776" s="93"/>
      <c r="B5776" s="87" t="s">
        <v>779</v>
      </c>
      <c r="C5776" s="88"/>
      <c r="D5776" s="92"/>
      <c r="E5776" s="89"/>
      <c r="F5776" s="89"/>
      <c r="G5776" s="89"/>
    </row>
    <row r="5777">
      <c r="A5777" s="93"/>
      <c r="B5777" s="87" t="s">
        <v>779</v>
      </c>
      <c r="C5777" s="88"/>
      <c r="D5777" s="92"/>
      <c r="E5777" s="89"/>
      <c r="F5777" s="89"/>
      <c r="G5777" s="89"/>
    </row>
    <row r="5778">
      <c r="A5778" s="93"/>
      <c r="B5778" s="87" t="s">
        <v>779</v>
      </c>
      <c r="C5778" s="88"/>
      <c r="D5778" s="92"/>
      <c r="E5778" s="89"/>
      <c r="F5778" s="89"/>
      <c r="G5778" s="89"/>
    </row>
    <row r="5779">
      <c r="A5779" s="93"/>
      <c r="B5779" s="87" t="s">
        <v>779</v>
      </c>
      <c r="C5779" s="88"/>
      <c r="D5779" s="92"/>
      <c r="E5779" s="89"/>
      <c r="F5779" s="89"/>
      <c r="G5779" s="89"/>
    </row>
    <row r="5780">
      <c r="A5780" s="93"/>
      <c r="B5780" s="87" t="s">
        <v>779</v>
      </c>
      <c r="C5780" s="88"/>
      <c r="D5780" s="92"/>
      <c r="E5780" s="89"/>
      <c r="F5780" s="89"/>
      <c r="G5780" s="89"/>
    </row>
    <row r="5781">
      <c r="A5781" s="93"/>
      <c r="B5781" s="87" t="s">
        <v>779</v>
      </c>
      <c r="C5781" s="88"/>
      <c r="D5781" s="92"/>
      <c r="E5781" s="89"/>
      <c r="F5781" s="89"/>
      <c r="G5781" s="89"/>
    </row>
    <row r="5782">
      <c r="A5782" s="93"/>
      <c r="B5782" s="87" t="s">
        <v>779</v>
      </c>
      <c r="C5782" s="88"/>
      <c r="D5782" s="92"/>
      <c r="E5782" s="89"/>
      <c r="F5782" s="89"/>
      <c r="G5782" s="89"/>
    </row>
    <row r="5783">
      <c r="A5783" s="93"/>
      <c r="B5783" s="87" t="s">
        <v>779</v>
      </c>
      <c r="C5783" s="88"/>
      <c r="D5783" s="92"/>
      <c r="E5783" s="89"/>
      <c r="F5783" s="89"/>
      <c r="G5783" s="89"/>
    </row>
    <row r="5784">
      <c r="A5784" s="93"/>
      <c r="B5784" s="87" t="s">
        <v>779</v>
      </c>
      <c r="C5784" s="88"/>
      <c r="D5784" s="92"/>
      <c r="E5784" s="89"/>
      <c r="F5784" s="89"/>
      <c r="G5784" s="89"/>
    </row>
    <row r="5785">
      <c r="A5785" s="93"/>
      <c r="B5785" s="87" t="s">
        <v>779</v>
      </c>
      <c r="C5785" s="88"/>
      <c r="D5785" s="92"/>
      <c r="E5785" s="89"/>
      <c r="F5785" s="89"/>
      <c r="G5785" s="89"/>
    </row>
    <row r="5786">
      <c r="A5786" s="93"/>
      <c r="B5786" s="87" t="s">
        <v>779</v>
      </c>
      <c r="C5786" s="88"/>
      <c r="D5786" s="92"/>
      <c r="E5786" s="89"/>
      <c r="F5786" s="89"/>
      <c r="G5786" s="89"/>
    </row>
    <row r="5787">
      <c r="A5787" s="93"/>
      <c r="B5787" s="87" t="s">
        <v>779</v>
      </c>
      <c r="C5787" s="88"/>
      <c r="D5787" s="92"/>
      <c r="E5787" s="89"/>
      <c r="F5787" s="89"/>
      <c r="G5787" s="89"/>
    </row>
    <row r="5788">
      <c r="A5788" s="93"/>
      <c r="B5788" s="87" t="s">
        <v>779</v>
      </c>
      <c r="C5788" s="88"/>
      <c r="D5788" s="92"/>
      <c r="E5788" s="89"/>
      <c r="F5788" s="89"/>
      <c r="G5788" s="89"/>
    </row>
    <row r="5789">
      <c r="A5789" s="93"/>
      <c r="B5789" s="87" t="s">
        <v>779</v>
      </c>
      <c r="C5789" s="88"/>
      <c r="D5789" s="92"/>
      <c r="E5789" s="89"/>
      <c r="F5789" s="89"/>
      <c r="G5789" s="89"/>
    </row>
    <row r="5790">
      <c r="A5790" s="93"/>
      <c r="B5790" s="87" t="s">
        <v>779</v>
      </c>
      <c r="C5790" s="88"/>
      <c r="D5790" s="92"/>
      <c r="E5790" s="89"/>
      <c r="F5790" s="89"/>
      <c r="G5790" s="89"/>
    </row>
    <row r="5791">
      <c r="A5791" s="93"/>
      <c r="B5791" s="87" t="s">
        <v>779</v>
      </c>
      <c r="C5791" s="88"/>
      <c r="D5791" s="92"/>
      <c r="E5791" s="89"/>
      <c r="F5791" s="89"/>
      <c r="G5791" s="89"/>
    </row>
    <row r="5792">
      <c r="A5792" s="93"/>
      <c r="B5792" s="87" t="s">
        <v>779</v>
      </c>
      <c r="C5792" s="88"/>
      <c r="D5792" s="92"/>
      <c r="E5792" s="89"/>
      <c r="F5792" s="89"/>
      <c r="G5792" s="89"/>
    </row>
    <row r="5793">
      <c r="A5793" s="93"/>
      <c r="B5793" s="87" t="s">
        <v>779</v>
      </c>
      <c r="C5793" s="88"/>
      <c r="D5793" s="92"/>
      <c r="E5793" s="89"/>
      <c r="F5793" s="89"/>
      <c r="G5793" s="89"/>
    </row>
    <row r="5794">
      <c r="A5794" s="93"/>
      <c r="B5794" s="87" t="s">
        <v>779</v>
      </c>
      <c r="C5794" s="88"/>
      <c r="D5794" s="92"/>
      <c r="E5794" s="89"/>
      <c r="F5794" s="89"/>
      <c r="G5794" s="89"/>
    </row>
    <row r="5795">
      <c r="A5795" s="93"/>
      <c r="B5795" s="87" t="s">
        <v>779</v>
      </c>
      <c r="C5795" s="88"/>
      <c r="D5795" s="92"/>
      <c r="E5795" s="89"/>
      <c r="F5795" s="89"/>
      <c r="G5795" s="89"/>
    </row>
    <row r="5796">
      <c r="A5796" s="93"/>
      <c r="B5796" s="87" t="s">
        <v>779</v>
      </c>
      <c r="C5796" s="88"/>
      <c r="D5796" s="92"/>
      <c r="E5796" s="89"/>
      <c r="F5796" s="89"/>
      <c r="G5796" s="89"/>
    </row>
    <row r="5797">
      <c r="A5797" s="93"/>
      <c r="B5797" s="87" t="s">
        <v>779</v>
      </c>
      <c r="C5797" s="88"/>
      <c r="D5797" s="92"/>
      <c r="E5797" s="89"/>
      <c r="F5797" s="89"/>
      <c r="G5797" s="89"/>
    </row>
    <row r="5798">
      <c r="A5798" s="93"/>
      <c r="B5798" s="87" t="s">
        <v>779</v>
      </c>
      <c r="C5798" s="88"/>
      <c r="D5798" s="92"/>
      <c r="E5798" s="89"/>
      <c r="F5798" s="89"/>
      <c r="G5798" s="89"/>
    </row>
    <row r="5799">
      <c r="A5799" s="93"/>
      <c r="B5799" s="87" t="s">
        <v>779</v>
      </c>
      <c r="C5799" s="88"/>
      <c r="D5799" s="92"/>
      <c r="E5799" s="89"/>
      <c r="F5799" s="89"/>
      <c r="G5799" s="89"/>
    </row>
    <row r="5800">
      <c r="A5800" s="93"/>
      <c r="B5800" s="87" t="s">
        <v>779</v>
      </c>
      <c r="C5800" s="88"/>
      <c r="D5800" s="92"/>
      <c r="E5800" s="89"/>
      <c r="F5800" s="89"/>
      <c r="G5800" s="89"/>
    </row>
    <row r="5801">
      <c r="A5801" s="93"/>
      <c r="B5801" s="87" t="s">
        <v>779</v>
      </c>
      <c r="C5801" s="88"/>
      <c r="D5801" s="92"/>
      <c r="E5801" s="89"/>
      <c r="F5801" s="89"/>
      <c r="G5801" s="89"/>
    </row>
    <row r="5802">
      <c r="A5802" s="93"/>
      <c r="B5802" s="87" t="s">
        <v>779</v>
      </c>
      <c r="C5802" s="88"/>
      <c r="D5802" s="92"/>
      <c r="E5802" s="89"/>
      <c r="F5802" s="89"/>
      <c r="G5802" s="89"/>
    </row>
    <row r="5803">
      <c r="A5803" s="93"/>
      <c r="B5803" s="87" t="s">
        <v>779</v>
      </c>
      <c r="C5803" s="88"/>
      <c r="D5803" s="92"/>
      <c r="E5803" s="89"/>
      <c r="F5803" s="89"/>
      <c r="G5803" s="89"/>
    </row>
    <row r="5804">
      <c r="A5804" s="93"/>
      <c r="B5804" s="87" t="s">
        <v>779</v>
      </c>
      <c r="C5804" s="88"/>
      <c r="D5804" s="92"/>
      <c r="E5804" s="89"/>
      <c r="F5804" s="89"/>
      <c r="G5804" s="89"/>
    </row>
    <row r="5805">
      <c r="A5805" s="93"/>
      <c r="B5805" s="87" t="s">
        <v>779</v>
      </c>
      <c r="C5805" s="88"/>
      <c r="D5805" s="92"/>
      <c r="E5805" s="89"/>
      <c r="F5805" s="89"/>
      <c r="G5805" s="89"/>
    </row>
    <row r="5806">
      <c r="A5806" s="93"/>
      <c r="B5806" s="87" t="s">
        <v>779</v>
      </c>
      <c r="C5806" s="88"/>
      <c r="D5806" s="92"/>
      <c r="E5806" s="89"/>
      <c r="F5806" s="89"/>
      <c r="G5806" s="89"/>
    </row>
    <row r="5807">
      <c r="A5807" s="93"/>
      <c r="B5807" s="87" t="s">
        <v>779</v>
      </c>
      <c r="C5807" s="88"/>
      <c r="D5807" s="92"/>
      <c r="E5807" s="89"/>
      <c r="F5807" s="89"/>
      <c r="G5807" s="89"/>
    </row>
    <row r="5808">
      <c r="A5808" s="93"/>
      <c r="B5808" s="87" t="s">
        <v>779</v>
      </c>
      <c r="C5808" s="88"/>
      <c r="D5808" s="92"/>
      <c r="E5808" s="89"/>
      <c r="F5808" s="89"/>
      <c r="G5808" s="89"/>
    </row>
    <row r="5809">
      <c r="A5809" s="93"/>
      <c r="B5809" s="87" t="s">
        <v>779</v>
      </c>
      <c r="C5809" s="88"/>
      <c r="D5809" s="92"/>
      <c r="E5809" s="89"/>
      <c r="F5809" s="89"/>
      <c r="G5809" s="89"/>
    </row>
    <row r="5810">
      <c r="A5810" s="93"/>
      <c r="B5810" s="87" t="s">
        <v>779</v>
      </c>
      <c r="C5810" s="88"/>
      <c r="D5810" s="92"/>
      <c r="E5810" s="89"/>
      <c r="F5810" s="89"/>
      <c r="G5810" s="89"/>
    </row>
    <row r="5811">
      <c r="A5811" s="93"/>
      <c r="B5811" s="87" t="s">
        <v>779</v>
      </c>
      <c r="C5811" s="88"/>
      <c r="D5811" s="92"/>
      <c r="E5811" s="89"/>
      <c r="F5811" s="89"/>
      <c r="G5811" s="89"/>
    </row>
    <row r="5812">
      <c r="A5812" s="93"/>
      <c r="B5812" s="87" t="s">
        <v>779</v>
      </c>
      <c r="C5812" s="88"/>
      <c r="D5812" s="92"/>
      <c r="E5812" s="89"/>
      <c r="F5812" s="89"/>
      <c r="G5812" s="89"/>
    </row>
    <row r="5813">
      <c r="A5813" s="93"/>
      <c r="B5813" s="87" t="s">
        <v>779</v>
      </c>
      <c r="C5813" s="88"/>
      <c r="D5813" s="92"/>
      <c r="E5813" s="89"/>
      <c r="F5813" s="89"/>
      <c r="G5813" s="89"/>
    </row>
    <row r="5814">
      <c r="A5814" s="93"/>
      <c r="B5814" s="87" t="s">
        <v>779</v>
      </c>
      <c r="C5814" s="88"/>
      <c r="D5814" s="92"/>
      <c r="E5814" s="89"/>
      <c r="F5814" s="89"/>
      <c r="G5814" s="89"/>
    </row>
    <row r="5815">
      <c r="A5815" s="93"/>
      <c r="B5815" s="87" t="s">
        <v>779</v>
      </c>
      <c r="C5815" s="88"/>
      <c r="D5815" s="92"/>
      <c r="E5815" s="89"/>
      <c r="F5815" s="89"/>
      <c r="G5815" s="89"/>
    </row>
    <row r="5816">
      <c r="A5816" s="93"/>
      <c r="B5816" s="87" t="s">
        <v>779</v>
      </c>
      <c r="C5816" s="88"/>
      <c r="D5816" s="92"/>
      <c r="E5816" s="89"/>
      <c r="F5816" s="89"/>
      <c r="G5816" s="89"/>
    </row>
    <row r="5817">
      <c r="A5817" s="93"/>
      <c r="B5817" s="87" t="s">
        <v>779</v>
      </c>
      <c r="C5817" s="88"/>
      <c r="D5817" s="92"/>
      <c r="E5817" s="89"/>
      <c r="F5817" s="89"/>
      <c r="G5817" s="89"/>
    </row>
    <row r="5818">
      <c r="A5818" s="93"/>
      <c r="B5818" s="87" t="s">
        <v>779</v>
      </c>
      <c r="C5818" s="88"/>
      <c r="D5818" s="92"/>
      <c r="E5818" s="89"/>
      <c r="F5818" s="89"/>
      <c r="G5818" s="89"/>
    </row>
    <row r="5819">
      <c r="A5819" s="93"/>
      <c r="B5819" s="87" t="s">
        <v>779</v>
      </c>
      <c r="C5819" s="88"/>
      <c r="D5819" s="92"/>
      <c r="E5819" s="89"/>
      <c r="F5819" s="89"/>
      <c r="G5819" s="89"/>
    </row>
    <row r="5820">
      <c r="A5820" s="93"/>
      <c r="B5820" s="87" t="s">
        <v>779</v>
      </c>
      <c r="C5820" s="88"/>
      <c r="D5820" s="92"/>
      <c r="E5820" s="89"/>
      <c r="F5820" s="89"/>
      <c r="G5820" s="89"/>
    </row>
    <row r="5821">
      <c r="A5821" s="93"/>
      <c r="B5821" s="87" t="s">
        <v>779</v>
      </c>
      <c r="C5821" s="88"/>
      <c r="D5821" s="92"/>
      <c r="E5821" s="89"/>
      <c r="F5821" s="89"/>
      <c r="G5821" s="89"/>
    </row>
    <row r="5822">
      <c r="A5822" s="93"/>
      <c r="B5822" s="87" t="s">
        <v>779</v>
      </c>
      <c r="C5822" s="88"/>
      <c r="D5822" s="92"/>
      <c r="E5822" s="89"/>
      <c r="F5822" s="89"/>
      <c r="G5822" s="89"/>
    </row>
    <row r="5823">
      <c r="A5823" s="93"/>
      <c r="B5823" s="87" t="s">
        <v>779</v>
      </c>
      <c r="C5823" s="88"/>
      <c r="D5823" s="92"/>
      <c r="E5823" s="89"/>
      <c r="F5823" s="89"/>
      <c r="G5823" s="89"/>
    </row>
    <row r="5824">
      <c r="A5824" s="93"/>
      <c r="B5824" s="87" t="s">
        <v>779</v>
      </c>
      <c r="C5824" s="88"/>
      <c r="D5824" s="92"/>
      <c r="E5824" s="89"/>
      <c r="F5824" s="89"/>
      <c r="G5824" s="89"/>
    </row>
    <row r="5825">
      <c r="A5825" s="93"/>
      <c r="B5825" s="87" t="s">
        <v>779</v>
      </c>
      <c r="C5825" s="88"/>
      <c r="D5825" s="92"/>
      <c r="E5825" s="89"/>
      <c r="F5825" s="89"/>
      <c r="G5825" s="89"/>
    </row>
    <row r="5826">
      <c r="A5826" s="93"/>
      <c r="B5826" s="87" t="s">
        <v>779</v>
      </c>
      <c r="C5826" s="88"/>
      <c r="D5826" s="92"/>
      <c r="E5826" s="89"/>
      <c r="F5826" s="89"/>
      <c r="G5826" s="89"/>
    </row>
    <row r="5827">
      <c r="A5827" s="93"/>
      <c r="B5827" s="87" t="s">
        <v>779</v>
      </c>
      <c r="C5827" s="88"/>
      <c r="D5827" s="92"/>
      <c r="E5827" s="89"/>
      <c r="F5827" s="89"/>
      <c r="G5827" s="89"/>
    </row>
    <row r="5828">
      <c r="A5828" s="93"/>
      <c r="B5828" s="87" t="s">
        <v>779</v>
      </c>
      <c r="C5828" s="88"/>
      <c r="D5828" s="92"/>
      <c r="E5828" s="89"/>
      <c r="F5828" s="89"/>
      <c r="G5828" s="89"/>
    </row>
    <row r="5829">
      <c r="A5829" s="93"/>
      <c r="B5829" s="87" t="s">
        <v>779</v>
      </c>
      <c r="C5829" s="88"/>
      <c r="D5829" s="92"/>
      <c r="E5829" s="89"/>
      <c r="F5829" s="89"/>
      <c r="G5829" s="89"/>
    </row>
    <row r="5830">
      <c r="A5830" s="93"/>
      <c r="B5830" s="87" t="s">
        <v>779</v>
      </c>
      <c r="C5830" s="88"/>
      <c r="D5830" s="92"/>
      <c r="E5830" s="89"/>
      <c r="F5830" s="89"/>
      <c r="G5830" s="89"/>
    </row>
    <row r="5831">
      <c r="A5831" s="93"/>
      <c r="B5831" s="87" t="s">
        <v>779</v>
      </c>
      <c r="C5831" s="88"/>
      <c r="D5831" s="92"/>
      <c r="E5831" s="89"/>
      <c r="F5831" s="89"/>
      <c r="G5831" s="89"/>
    </row>
    <row r="5832">
      <c r="A5832" s="93"/>
      <c r="B5832" s="87" t="s">
        <v>779</v>
      </c>
      <c r="C5832" s="88"/>
      <c r="D5832" s="92"/>
      <c r="E5832" s="89"/>
      <c r="F5832" s="89"/>
      <c r="G5832" s="89"/>
    </row>
    <row r="5833">
      <c r="A5833" s="93"/>
      <c r="B5833" s="87" t="s">
        <v>779</v>
      </c>
      <c r="C5833" s="88"/>
      <c r="D5833" s="92"/>
      <c r="E5833" s="89"/>
      <c r="F5833" s="89"/>
      <c r="G5833" s="89"/>
    </row>
    <row r="5834">
      <c r="A5834" s="93"/>
      <c r="B5834" s="87" t="s">
        <v>779</v>
      </c>
      <c r="C5834" s="88"/>
      <c r="D5834" s="92"/>
      <c r="E5834" s="89"/>
      <c r="F5834" s="89"/>
      <c r="G5834" s="89"/>
    </row>
    <row r="5835">
      <c r="A5835" s="93"/>
      <c r="B5835" s="87" t="s">
        <v>779</v>
      </c>
      <c r="C5835" s="88"/>
      <c r="D5835" s="92"/>
      <c r="E5835" s="89"/>
      <c r="F5835" s="89"/>
      <c r="G5835" s="89"/>
    </row>
    <row r="5836">
      <c r="A5836" s="93"/>
      <c r="B5836" s="87" t="s">
        <v>779</v>
      </c>
      <c r="C5836" s="88"/>
      <c r="D5836" s="92"/>
      <c r="E5836" s="89"/>
      <c r="F5836" s="89"/>
      <c r="G5836" s="89"/>
    </row>
    <row r="5837">
      <c r="A5837" s="93"/>
      <c r="B5837" s="87" t="s">
        <v>779</v>
      </c>
      <c r="C5837" s="88"/>
      <c r="D5837" s="92"/>
      <c r="E5837" s="89"/>
      <c r="F5837" s="89"/>
      <c r="G5837" s="89"/>
    </row>
    <row r="5838">
      <c r="A5838" s="93"/>
      <c r="B5838" s="87" t="s">
        <v>779</v>
      </c>
      <c r="C5838" s="88"/>
      <c r="D5838" s="92"/>
      <c r="E5838" s="89"/>
      <c r="F5838" s="89"/>
      <c r="G5838" s="89"/>
    </row>
    <row r="5839">
      <c r="A5839" s="93"/>
      <c r="B5839" s="87" t="s">
        <v>779</v>
      </c>
      <c r="C5839" s="88"/>
      <c r="D5839" s="92"/>
      <c r="E5839" s="89"/>
      <c r="F5839" s="89"/>
      <c r="G5839" s="89"/>
    </row>
    <row r="5840">
      <c r="A5840" s="93"/>
      <c r="B5840" s="87" t="s">
        <v>779</v>
      </c>
      <c r="C5840" s="88"/>
      <c r="D5840" s="92"/>
      <c r="E5840" s="89"/>
      <c r="F5840" s="89"/>
      <c r="G5840" s="89"/>
    </row>
    <row r="5841">
      <c r="A5841" s="93"/>
      <c r="B5841" s="87" t="s">
        <v>779</v>
      </c>
      <c r="C5841" s="88"/>
      <c r="D5841" s="92"/>
      <c r="E5841" s="89"/>
      <c r="F5841" s="89"/>
      <c r="G5841" s="89"/>
    </row>
    <row r="5842">
      <c r="A5842" s="93"/>
      <c r="B5842" s="87" t="s">
        <v>779</v>
      </c>
      <c r="C5842" s="88"/>
      <c r="D5842" s="92"/>
      <c r="E5842" s="89"/>
      <c r="F5842" s="89"/>
      <c r="G5842" s="89"/>
    </row>
    <row r="5843">
      <c r="A5843" s="93"/>
      <c r="B5843" s="87" t="s">
        <v>779</v>
      </c>
      <c r="C5843" s="88"/>
      <c r="D5843" s="92"/>
      <c r="E5843" s="89"/>
      <c r="F5843" s="89"/>
      <c r="G5843" s="89"/>
    </row>
    <row r="5844">
      <c r="A5844" s="93"/>
      <c r="B5844" s="87" t="s">
        <v>779</v>
      </c>
      <c r="C5844" s="88"/>
      <c r="D5844" s="92"/>
      <c r="E5844" s="89"/>
      <c r="F5844" s="89"/>
      <c r="G5844" s="89"/>
    </row>
    <row r="5845">
      <c r="A5845" s="93"/>
      <c r="B5845" s="87" t="s">
        <v>779</v>
      </c>
      <c r="C5845" s="88"/>
      <c r="D5845" s="92"/>
      <c r="E5845" s="89"/>
      <c r="F5845" s="89"/>
      <c r="G5845" s="89"/>
    </row>
    <row r="5846">
      <c r="A5846" s="93"/>
      <c r="B5846" s="87" t="s">
        <v>779</v>
      </c>
      <c r="C5846" s="88"/>
      <c r="D5846" s="92"/>
      <c r="E5846" s="89"/>
      <c r="F5846" s="89"/>
      <c r="G5846" s="89"/>
    </row>
    <row r="5847">
      <c r="A5847" s="93"/>
      <c r="B5847" s="87" t="s">
        <v>779</v>
      </c>
      <c r="C5847" s="88"/>
      <c r="D5847" s="92"/>
      <c r="E5847" s="89"/>
      <c r="F5847" s="89"/>
      <c r="G5847" s="89"/>
    </row>
    <row r="5848">
      <c r="A5848" s="93"/>
      <c r="B5848" s="87" t="s">
        <v>779</v>
      </c>
      <c r="C5848" s="88"/>
      <c r="D5848" s="92"/>
      <c r="E5848" s="89"/>
      <c r="F5848" s="89"/>
      <c r="G5848" s="89"/>
    </row>
    <row r="5849">
      <c r="A5849" s="93"/>
      <c r="B5849" s="87" t="s">
        <v>779</v>
      </c>
      <c r="C5849" s="88"/>
      <c r="D5849" s="92"/>
      <c r="E5849" s="89"/>
      <c r="F5849" s="89"/>
      <c r="G5849" s="89"/>
    </row>
    <row r="5850">
      <c r="A5850" s="93"/>
      <c r="B5850" s="87" t="s">
        <v>779</v>
      </c>
      <c r="C5850" s="88"/>
      <c r="D5850" s="92"/>
      <c r="E5850" s="89"/>
      <c r="F5850" s="89"/>
      <c r="G5850" s="89"/>
    </row>
    <row r="5851">
      <c r="A5851" s="93"/>
      <c r="B5851" s="87" t="s">
        <v>779</v>
      </c>
      <c r="C5851" s="88"/>
      <c r="D5851" s="92"/>
      <c r="E5851" s="89"/>
      <c r="F5851" s="89"/>
      <c r="G5851" s="89"/>
    </row>
    <row r="5852">
      <c r="A5852" s="93"/>
      <c r="B5852" s="87" t="s">
        <v>779</v>
      </c>
      <c r="C5852" s="88"/>
      <c r="D5852" s="92"/>
      <c r="E5852" s="89"/>
      <c r="F5852" s="89"/>
      <c r="G5852" s="89"/>
    </row>
    <row r="5853">
      <c r="A5853" s="93"/>
      <c r="B5853" s="87" t="s">
        <v>779</v>
      </c>
      <c r="C5853" s="88"/>
      <c r="D5853" s="92"/>
      <c r="E5853" s="89"/>
      <c r="F5853" s="89"/>
      <c r="G5853" s="89"/>
    </row>
    <row r="5854">
      <c r="A5854" s="93"/>
      <c r="B5854" s="87" t="s">
        <v>779</v>
      </c>
      <c r="C5854" s="88"/>
      <c r="D5854" s="92"/>
      <c r="E5854" s="89"/>
      <c r="F5854" s="89"/>
      <c r="G5854" s="89"/>
    </row>
    <row r="5855">
      <c r="A5855" s="93"/>
      <c r="B5855" s="87" t="s">
        <v>779</v>
      </c>
      <c r="C5855" s="88"/>
      <c r="D5855" s="92"/>
      <c r="E5855" s="89"/>
      <c r="F5855" s="89"/>
      <c r="G5855" s="89"/>
    </row>
    <row r="5856">
      <c r="A5856" s="93"/>
      <c r="B5856" s="87" t="s">
        <v>779</v>
      </c>
      <c r="C5856" s="88"/>
      <c r="D5856" s="92"/>
      <c r="E5856" s="89"/>
      <c r="F5856" s="89"/>
      <c r="G5856" s="89"/>
    </row>
    <row r="5857">
      <c r="A5857" s="93"/>
      <c r="B5857" s="87" t="s">
        <v>779</v>
      </c>
      <c r="C5857" s="88"/>
      <c r="D5857" s="92"/>
      <c r="E5857" s="89"/>
      <c r="F5857" s="89"/>
      <c r="G5857" s="89"/>
    </row>
    <row r="5858">
      <c r="A5858" s="93"/>
      <c r="B5858" s="87" t="s">
        <v>779</v>
      </c>
      <c r="C5858" s="88"/>
      <c r="D5858" s="92"/>
      <c r="E5858" s="89"/>
      <c r="F5858" s="89"/>
      <c r="G5858" s="89"/>
    </row>
    <row r="5859">
      <c r="A5859" s="93"/>
      <c r="B5859" s="87" t="s">
        <v>779</v>
      </c>
      <c r="C5859" s="88"/>
      <c r="D5859" s="92"/>
      <c r="E5859" s="89"/>
      <c r="F5859" s="89"/>
      <c r="G5859" s="89"/>
    </row>
    <row r="5860">
      <c r="A5860" s="93"/>
      <c r="B5860" s="87" t="s">
        <v>779</v>
      </c>
      <c r="C5860" s="88"/>
      <c r="D5860" s="92"/>
      <c r="E5860" s="89"/>
      <c r="F5860" s="89"/>
      <c r="G5860" s="89"/>
    </row>
    <row r="5861">
      <c r="A5861" s="93"/>
      <c r="B5861" s="87" t="s">
        <v>779</v>
      </c>
      <c r="C5861" s="88"/>
      <c r="D5861" s="92"/>
      <c r="E5861" s="89"/>
      <c r="F5861" s="89"/>
      <c r="G5861" s="89"/>
    </row>
    <row r="5862">
      <c r="A5862" s="93"/>
      <c r="B5862" s="87" t="s">
        <v>779</v>
      </c>
      <c r="C5862" s="88"/>
      <c r="D5862" s="92"/>
      <c r="E5862" s="89"/>
      <c r="F5862" s="89"/>
      <c r="G5862" s="89"/>
    </row>
    <row r="5863">
      <c r="A5863" s="93"/>
      <c r="B5863" s="87" t="s">
        <v>779</v>
      </c>
      <c r="C5863" s="88"/>
      <c r="D5863" s="92"/>
      <c r="E5863" s="89"/>
      <c r="F5863" s="89"/>
      <c r="G5863" s="89"/>
    </row>
    <row r="5864">
      <c r="A5864" s="93"/>
      <c r="B5864" s="87" t="s">
        <v>779</v>
      </c>
      <c r="C5864" s="88"/>
      <c r="D5864" s="92"/>
      <c r="E5864" s="89"/>
      <c r="F5864" s="89"/>
      <c r="G5864" s="89"/>
    </row>
    <row r="5865">
      <c r="A5865" s="93"/>
      <c r="B5865" s="87" t="s">
        <v>779</v>
      </c>
      <c r="C5865" s="88"/>
      <c r="D5865" s="92"/>
      <c r="E5865" s="89"/>
      <c r="F5865" s="89"/>
      <c r="G5865" s="89"/>
    </row>
    <row r="5866">
      <c r="A5866" s="93"/>
      <c r="B5866" s="87" t="s">
        <v>779</v>
      </c>
      <c r="C5866" s="88"/>
      <c r="D5866" s="92"/>
      <c r="E5866" s="89"/>
      <c r="F5866" s="89"/>
      <c r="G5866" s="89"/>
    </row>
    <row r="5867">
      <c r="A5867" s="93"/>
      <c r="B5867" s="87" t="s">
        <v>779</v>
      </c>
      <c r="C5867" s="88"/>
      <c r="D5867" s="92"/>
      <c r="E5867" s="89"/>
      <c r="F5867" s="89"/>
      <c r="G5867" s="89"/>
    </row>
    <row r="5868">
      <c r="A5868" s="93"/>
      <c r="B5868" s="87" t="s">
        <v>779</v>
      </c>
      <c r="C5868" s="88"/>
      <c r="D5868" s="92"/>
      <c r="E5868" s="89"/>
      <c r="F5868" s="89"/>
      <c r="G5868" s="89"/>
    </row>
    <row r="5869">
      <c r="A5869" s="93"/>
      <c r="B5869" s="87" t="s">
        <v>779</v>
      </c>
      <c r="C5869" s="88"/>
      <c r="D5869" s="92"/>
      <c r="E5869" s="89"/>
      <c r="F5869" s="89"/>
      <c r="G5869" s="89"/>
    </row>
    <row r="5870">
      <c r="A5870" s="93"/>
      <c r="B5870" s="87" t="s">
        <v>779</v>
      </c>
      <c r="C5870" s="88"/>
      <c r="D5870" s="92"/>
      <c r="E5870" s="89"/>
      <c r="F5870" s="89"/>
      <c r="G5870" s="89"/>
    </row>
    <row r="5871">
      <c r="A5871" s="93"/>
      <c r="B5871" s="87" t="s">
        <v>779</v>
      </c>
      <c r="C5871" s="88"/>
      <c r="D5871" s="92"/>
      <c r="E5871" s="89"/>
      <c r="F5871" s="89"/>
      <c r="G5871" s="89"/>
    </row>
    <row r="5872">
      <c r="A5872" s="93"/>
      <c r="B5872" s="87" t="s">
        <v>779</v>
      </c>
      <c r="C5872" s="88"/>
      <c r="D5872" s="92"/>
      <c r="E5872" s="89"/>
      <c r="F5872" s="89"/>
      <c r="G5872" s="89"/>
    </row>
    <row r="5873">
      <c r="A5873" s="93"/>
      <c r="B5873" s="87" t="s">
        <v>779</v>
      </c>
      <c r="C5873" s="88"/>
      <c r="D5873" s="92"/>
      <c r="E5873" s="89"/>
      <c r="F5873" s="89"/>
      <c r="G5873" s="89"/>
    </row>
    <row r="5874">
      <c r="A5874" s="93"/>
      <c r="B5874" s="87" t="s">
        <v>779</v>
      </c>
      <c r="C5874" s="88"/>
      <c r="D5874" s="92"/>
      <c r="E5874" s="89"/>
      <c r="F5874" s="89"/>
      <c r="G5874" s="89"/>
    </row>
    <row r="5875">
      <c r="A5875" s="93"/>
      <c r="B5875" s="87" t="s">
        <v>779</v>
      </c>
      <c r="C5875" s="88"/>
      <c r="D5875" s="92"/>
      <c r="E5875" s="89"/>
      <c r="F5875" s="89"/>
      <c r="G5875" s="89"/>
    </row>
    <row r="5876">
      <c r="A5876" s="93"/>
      <c r="B5876" s="87" t="s">
        <v>779</v>
      </c>
      <c r="C5876" s="88"/>
      <c r="D5876" s="92"/>
      <c r="E5876" s="89"/>
      <c r="F5876" s="89"/>
      <c r="G5876" s="89"/>
    </row>
    <row r="5877">
      <c r="A5877" s="93"/>
      <c r="B5877" s="87" t="s">
        <v>779</v>
      </c>
      <c r="C5877" s="88"/>
      <c r="D5877" s="92"/>
      <c r="E5877" s="89"/>
      <c r="F5877" s="89"/>
      <c r="G5877" s="89"/>
    </row>
    <row r="5878">
      <c r="A5878" s="93"/>
      <c r="B5878" s="87" t="s">
        <v>779</v>
      </c>
      <c r="C5878" s="88"/>
      <c r="D5878" s="92"/>
      <c r="E5878" s="89"/>
      <c r="F5878" s="89"/>
      <c r="G5878" s="89"/>
    </row>
    <row r="5879">
      <c r="A5879" s="93"/>
      <c r="B5879" s="87" t="s">
        <v>779</v>
      </c>
      <c r="C5879" s="88"/>
      <c r="D5879" s="92"/>
      <c r="E5879" s="89"/>
      <c r="F5879" s="89"/>
      <c r="G5879" s="89"/>
    </row>
    <row r="5880">
      <c r="A5880" s="93"/>
      <c r="B5880" s="87" t="s">
        <v>779</v>
      </c>
      <c r="C5880" s="88"/>
      <c r="D5880" s="92"/>
      <c r="E5880" s="89"/>
      <c r="F5880" s="89"/>
      <c r="G5880" s="89"/>
    </row>
    <row r="5881">
      <c r="A5881" s="93"/>
      <c r="B5881" s="87" t="s">
        <v>779</v>
      </c>
      <c r="C5881" s="88"/>
      <c r="D5881" s="92"/>
      <c r="E5881" s="89"/>
      <c r="F5881" s="89"/>
      <c r="G5881" s="89"/>
    </row>
    <row r="5882">
      <c r="A5882" s="93"/>
      <c r="B5882" s="87" t="s">
        <v>779</v>
      </c>
      <c r="C5882" s="88"/>
      <c r="D5882" s="92"/>
      <c r="E5882" s="89"/>
      <c r="F5882" s="89"/>
      <c r="G5882" s="89"/>
    </row>
    <row r="5883">
      <c r="A5883" s="93"/>
      <c r="B5883" s="87" t="s">
        <v>779</v>
      </c>
      <c r="C5883" s="88"/>
      <c r="D5883" s="92"/>
      <c r="E5883" s="89"/>
      <c r="F5883" s="89"/>
      <c r="G5883" s="89"/>
    </row>
    <row r="5884">
      <c r="A5884" s="93"/>
      <c r="B5884" s="87" t="s">
        <v>779</v>
      </c>
      <c r="C5884" s="88"/>
      <c r="D5884" s="92"/>
      <c r="E5884" s="89"/>
      <c r="F5884" s="89"/>
      <c r="G5884" s="89"/>
    </row>
    <row r="5885">
      <c r="A5885" s="93"/>
      <c r="B5885" s="87" t="s">
        <v>779</v>
      </c>
      <c r="C5885" s="88"/>
      <c r="D5885" s="92"/>
      <c r="E5885" s="89"/>
      <c r="F5885" s="89"/>
      <c r="G5885" s="89"/>
    </row>
    <row r="5886">
      <c r="A5886" s="93"/>
      <c r="B5886" s="87" t="s">
        <v>779</v>
      </c>
      <c r="C5886" s="88"/>
      <c r="D5886" s="92"/>
      <c r="E5886" s="89"/>
      <c r="F5886" s="89"/>
      <c r="G5886" s="89"/>
    </row>
    <row r="5887">
      <c r="A5887" s="93"/>
      <c r="B5887" s="87" t="s">
        <v>779</v>
      </c>
      <c r="C5887" s="88"/>
      <c r="D5887" s="92"/>
      <c r="E5887" s="89"/>
      <c r="F5887" s="89"/>
      <c r="G5887" s="89"/>
    </row>
    <row r="5888">
      <c r="A5888" s="93"/>
      <c r="B5888" s="87" t="s">
        <v>779</v>
      </c>
      <c r="C5888" s="88"/>
      <c r="D5888" s="92"/>
      <c r="E5888" s="89"/>
      <c r="F5888" s="89"/>
      <c r="G5888" s="89"/>
    </row>
    <row r="5889">
      <c r="A5889" s="93"/>
      <c r="B5889" s="87" t="s">
        <v>779</v>
      </c>
      <c r="C5889" s="88"/>
      <c r="D5889" s="92"/>
      <c r="E5889" s="89"/>
      <c r="F5889" s="89"/>
      <c r="G5889" s="89"/>
    </row>
    <row r="5890">
      <c r="A5890" s="93"/>
      <c r="B5890" s="87" t="s">
        <v>779</v>
      </c>
      <c r="C5890" s="88"/>
      <c r="D5890" s="92"/>
      <c r="E5890" s="89"/>
      <c r="F5890" s="89"/>
      <c r="G5890" s="89"/>
    </row>
    <row r="5891">
      <c r="A5891" s="93"/>
      <c r="B5891" s="87" t="s">
        <v>779</v>
      </c>
      <c r="C5891" s="88"/>
      <c r="D5891" s="92"/>
      <c r="E5891" s="89"/>
      <c r="F5891" s="89"/>
      <c r="G5891" s="89"/>
    </row>
    <row r="5892">
      <c r="A5892" s="93"/>
      <c r="B5892" s="87" t="s">
        <v>779</v>
      </c>
      <c r="C5892" s="88"/>
      <c r="D5892" s="92"/>
      <c r="E5892" s="89"/>
      <c r="F5892" s="89"/>
      <c r="G5892" s="89"/>
    </row>
    <row r="5893">
      <c r="A5893" s="93"/>
      <c r="B5893" s="87" t="s">
        <v>779</v>
      </c>
      <c r="C5893" s="88"/>
      <c r="D5893" s="92"/>
      <c r="E5893" s="89"/>
      <c r="F5893" s="89"/>
      <c r="G5893" s="89"/>
    </row>
    <row r="5894">
      <c r="A5894" s="93"/>
      <c r="B5894" s="87" t="s">
        <v>779</v>
      </c>
      <c r="C5894" s="88"/>
      <c r="D5894" s="92"/>
      <c r="E5894" s="89"/>
      <c r="F5894" s="89"/>
      <c r="G5894" s="89"/>
    </row>
    <row r="5895">
      <c r="A5895" s="93"/>
      <c r="B5895" s="87" t="s">
        <v>779</v>
      </c>
      <c r="C5895" s="88"/>
      <c r="D5895" s="92"/>
      <c r="E5895" s="89"/>
      <c r="F5895" s="89"/>
      <c r="G5895" s="89"/>
    </row>
    <row r="5896">
      <c r="A5896" s="93"/>
      <c r="B5896" s="87" t="s">
        <v>779</v>
      </c>
      <c r="C5896" s="88"/>
      <c r="D5896" s="92"/>
      <c r="E5896" s="89"/>
      <c r="F5896" s="89"/>
      <c r="G5896" s="89"/>
    </row>
    <row r="5897">
      <c r="A5897" s="93"/>
      <c r="B5897" s="87" t="s">
        <v>779</v>
      </c>
      <c r="C5897" s="88"/>
      <c r="D5897" s="92"/>
      <c r="E5897" s="89"/>
      <c r="F5897" s="89"/>
      <c r="G5897" s="89"/>
    </row>
    <row r="5898">
      <c r="A5898" s="93"/>
      <c r="B5898" s="87" t="s">
        <v>779</v>
      </c>
      <c r="C5898" s="88"/>
      <c r="D5898" s="92"/>
      <c r="E5898" s="89"/>
      <c r="F5898" s="89"/>
      <c r="G5898" s="89"/>
    </row>
    <row r="5899">
      <c r="A5899" s="93"/>
      <c r="B5899" s="87" t="s">
        <v>779</v>
      </c>
      <c r="C5899" s="88"/>
      <c r="D5899" s="92"/>
      <c r="E5899" s="89"/>
      <c r="F5899" s="89"/>
      <c r="G5899" s="89"/>
    </row>
    <row r="5900">
      <c r="A5900" s="93"/>
      <c r="B5900" s="87" t="s">
        <v>779</v>
      </c>
      <c r="C5900" s="88"/>
      <c r="D5900" s="92"/>
      <c r="E5900" s="89"/>
      <c r="F5900" s="89"/>
      <c r="G5900" s="89"/>
    </row>
    <row r="5901">
      <c r="A5901" s="93"/>
      <c r="B5901" s="87" t="s">
        <v>779</v>
      </c>
      <c r="C5901" s="88"/>
      <c r="D5901" s="92"/>
      <c r="E5901" s="89"/>
      <c r="F5901" s="89"/>
      <c r="G5901" s="89"/>
    </row>
    <row r="5902">
      <c r="A5902" s="93"/>
      <c r="B5902" s="87" t="s">
        <v>779</v>
      </c>
      <c r="C5902" s="88"/>
      <c r="D5902" s="92"/>
      <c r="E5902" s="89"/>
      <c r="F5902" s="89"/>
      <c r="G5902" s="89"/>
    </row>
    <row r="5903">
      <c r="A5903" s="93"/>
      <c r="B5903" s="87" t="s">
        <v>779</v>
      </c>
      <c r="C5903" s="88"/>
      <c r="D5903" s="92"/>
      <c r="E5903" s="89"/>
      <c r="F5903" s="89"/>
      <c r="G5903" s="89"/>
    </row>
    <row r="5904">
      <c r="A5904" s="93"/>
      <c r="B5904" s="87" t="s">
        <v>779</v>
      </c>
      <c r="C5904" s="88"/>
      <c r="D5904" s="92"/>
      <c r="E5904" s="89"/>
      <c r="F5904" s="89"/>
      <c r="G5904" s="89"/>
    </row>
    <row r="5905">
      <c r="A5905" s="93"/>
      <c r="B5905" s="87" t="s">
        <v>779</v>
      </c>
      <c r="C5905" s="88"/>
      <c r="D5905" s="92"/>
      <c r="E5905" s="89"/>
      <c r="F5905" s="89"/>
      <c r="G5905" s="89"/>
    </row>
    <row r="5906">
      <c r="A5906" s="93"/>
      <c r="B5906" s="87" t="s">
        <v>779</v>
      </c>
      <c r="C5906" s="88"/>
      <c r="D5906" s="92"/>
      <c r="E5906" s="89"/>
      <c r="F5906" s="89"/>
      <c r="G5906" s="89"/>
    </row>
    <row r="5907">
      <c r="A5907" s="93"/>
      <c r="B5907" s="87" t="s">
        <v>779</v>
      </c>
      <c r="C5907" s="88"/>
      <c r="D5907" s="92"/>
      <c r="E5907" s="89"/>
      <c r="F5907" s="89"/>
      <c r="G5907" s="89"/>
    </row>
    <row r="5908">
      <c r="A5908" s="93"/>
      <c r="B5908" s="87" t="s">
        <v>779</v>
      </c>
      <c r="C5908" s="88"/>
      <c r="D5908" s="92"/>
      <c r="E5908" s="89"/>
      <c r="F5908" s="89"/>
      <c r="G5908" s="89"/>
    </row>
    <row r="5909">
      <c r="A5909" s="93"/>
      <c r="B5909" s="87" t="s">
        <v>779</v>
      </c>
      <c r="C5909" s="88"/>
      <c r="D5909" s="92"/>
      <c r="E5909" s="89"/>
      <c r="F5909" s="89"/>
      <c r="G5909" s="89"/>
    </row>
    <row r="5910">
      <c r="A5910" s="93"/>
      <c r="B5910" s="87" t="s">
        <v>779</v>
      </c>
      <c r="C5910" s="88"/>
      <c r="D5910" s="92"/>
      <c r="E5910" s="89"/>
      <c r="F5910" s="89"/>
      <c r="G5910" s="89"/>
    </row>
    <row r="5911">
      <c r="A5911" s="93"/>
      <c r="B5911" s="87" t="s">
        <v>779</v>
      </c>
      <c r="C5911" s="88"/>
      <c r="D5911" s="92"/>
      <c r="E5911" s="89"/>
      <c r="F5911" s="89"/>
      <c r="G5911" s="89"/>
    </row>
    <row r="5912">
      <c r="A5912" s="93"/>
      <c r="B5912" s="87" t="s">
        <v>779</v>
      </c>
      <c r="C5912" s="88"/>
      <c r="D5912" s="92"/>
      <c r="E5912" s="89"/>
      <c r="F5912" s="89"/>
      <c r="G5912" s="89"/>
    </row>
    <row r="5913">
      <c r="A5913" s="93"/>
      <c r="B5913" s="87" t="s">
        <v>779</v>
      </c>
      <c r="C5913" s="88"/>
      <c r="D5913" s="92"/>
      <c r="E5913" s="89"/>
      <c r="F5913" s="89"/>
      <c r="G5913" s="89"/>
    </row>
    <row r="5914">
      <c r="A5914" s="93"/>
      <c r="B5914" s="87" t="s">
        <v>779</v>
      </c>
      <c r="C5914" s="88"/>
      <c r="D5914" s="92"/>
      <c r="E5914" s="89"/>
      <c r="F5914" s="89"/>
      <c r="G5914" s="89"/>
    </row>
    <row r="5915">
      <c r="A5915" s="93"/>
      <c r="B5915" s="87" t="s">
        <v>779</v>
      </c>
      <c r="C5915" s="88"/>
      <c r="D5915" s="92"/>
      <c r="E5915" s="89"/>
      <c r="F5915" s="89"/>
      <c r="G5915" s="89"/>
    </row>
    <row r="5916">
      <c r="A5916" s="93"/>
      <c r="B5916" s="87" t="s">
        <v>779</v>
      </c>
      <c r="C5916" s="88"/>
      <c r="D5916" s="92"/>
      <c r="E5916" s="89"/>
      <c r="F5916" s="89"/>
      <c r="G5916" s="89"/>
    </row>
    <row r="5917">
      <c r="A5917" s="93"/>
      <c r="B5917" s="87" t="s">
        <v>779</v>
      </c>
      <c r="C5917" s="88"/>
      <c r="D5917" s="92"/>
      <c r="E5917" s="89"/>
      <c r="F5917" s="89"/>
      <c r="G5917" s="89"/>
    </row>
    <row r="5918">
      <c r="A5918" s="93"/>
      <c r="B5918" s="87" t="s">
        <v>779</v>
      </c>
      <c r="C5918" s="88"/>
      <c r="D5918" s="92"/>
      <c r="E5918" s="89"/>
      <c r="F5918" s="89"/>
      <c r="G5918" s="89"/>
    </row>
    <row r="5919">
      <c r="A5919" s="93"/>
      <c r="B5919" s="87" t="s">
        <v>779</v>
      </c>
      <c r="C5919" s="88"/>
      <c r="D5919" s="92"/>
      <c r="E5919" s="89"/>
      <c r="F5919" s="89"/>
      <c r="G5919" s="89"/>
    </row>
    <row r="5920">
      <c r="A5920" s="93"/>
      <c r="B5920" s="87" t="s">
        <v>779</v>
      </c>
      <c r="C5920" s="88"/>
      <c r="D5920" s="92"/>
      <c r="E5920" s="89"/>
      <c r="F5920" s="89"/>
      <c r="G5920" s="89"/>
    </row>
    <row r="5921">
      <c r="A5921" s="93"/>
      <c r="B5921" s="87" t="s">
        <v>779</v>
      </c>
      <c r="C5921" s="88"/>
      <c r="D5921" s="92"/>
      <c r="E5921" s="89"/>
      <c r="F5921" s="89"/>
      <c r="G5921" s="89"/>
    </row>
    <row r="5922">
      <c r="A5922" s="93"/>
      <c r="B5922" s="87" t="s">
        <v>779</v>
      </c>
      <c r="C5922" s="88"/>
      <c r="D5922" s="92"/>
      <c r="E5922" s="89"/>
      <c r="F5922" s="89"/>
      <c r="G5922" s="89"/>
    </row>
    <row r="5923">
      <c r="A5923" s="93"/>
      <c r="B5923" s="87" t="s">
        <v>779</v>
      </c>
      <c r="C5923" s="88"/>
      <c r="D5923" s="92"/>
      <c r="E5923" s="89"/>
      <c r="F5923" s="89"/>
      <c r="G5923" s="89"/>
    </row>
    <row r="5924">
      <c r="A5924" s="93"/>
      <c r="B5924" s="87" t="s">
        <v>779</v>
      </c>
      <c r="C5924" s="88"/>
      <c r="D5924" s="92"/>
      <c r="E5924" s="89"/>
      <c r="F5924" s="89"/>
      <c r="G5924" s="89"/>
    </row>
    <row r="5925">
      <c r="A5925" s="93"/>
      <c r="B5925" s="87" t="s">
        <v>779</v>
      </c>
      <c r="C5925" s="88"/>
      <c r="D5925" s="92"/>
      <c r="E5925" s="89"/>
      <c r="F5925" s="89"/>
      <c r="G5925" s="89"/>
    </row>
    <row r="5926">
      <c r="A5926" s="93"/>
      <c r="B5926" s="87" t="s">
        <v>779</v>
      </c>
      <c r="C5926" s="88"/>
      <c r="D5926" s="92"/>
      <c r="E5926" s="89"/>
      <c r="F5926" s="89"/>
      <c r="G5926" s="89"/>
    </row>
    <row r="5927">
      <c r="A5927" s="93"/>
      <c r="B5927" s="87" t="s">
        <v>779</v>
      </c>
      <c r="C5927" s="88"/>
      <c r="D5927" s="92"/>
      <c r="E5927" s="89"/>
      <c r="F5927" s="89"/>
      <c r="G5927" s="89"/>
    </row>
    <row r="5928">
      <c r="A5928" s="93"/>
      <c r="B5928" s="87" t="s">
        <v>779</v>
      </c>
      <c r="C5928" s="88"/>
      <c r="D5928" s="92"/>
      <c r="E5928" s="89"/>
      <c r="F5928" s="89"/>
      <c r="G5928" s="89"/>
    </row>
    <row r="5929">
      <c r="A5929" s="93"/>
      <c r="B5929" s="87" t="s">
        <v>779</v>
      </c>
      <c r="C5929" s="88"/>
      <c r="D5929" s="92"/>
      <c r="E5929" s="89"/>
      <c r="F5929" s="89"/>
      <c r="G5929" s="89"/>
    </row>
    <row r="5930">
      <c r="A5930" s="93"/>
      <c r="B5930" s="87" t="s">
        <v>779</v>
      </c>
      <c r="C5930" s="88"/>
      <c r="D5930" s="92"/>
      <c r="E5930" s="89"/>
      <c r="F5930" s="89"/>
      <c r="G5930" s="89"/>
    </row>
    <row r="5931">
      <c r="A5931" s="93"/>
      <c r="B5931" s="87" t="s">
        <v>779</v>
      </c>
      <c r="C5931" s="88"/>
      <c r="D5931" s="92"/>
      <c r="E5931" s="89"/>
      <c r="F5931" s="89"/>
      <c r="G5931" s="89"/>
    </row>
    <row r="5932">
      <c r="A5932" s="93"/>
      <c r="B5932" s="87" t="s">
        <v>779</v>
      </c>
      <c r="C5932" s="88"/>
      <c r="D5932" s="92"/>
      <c r="E5932" s="89"/>
      <c r="F5932" s="89"/>
      <c r="G5932" s="89"/>
    </row>
    <row r="5933">
      <c r="A5933" s="93"/>
      <c r="B5933" s="87" t="s">
        <v>779</v>
      </c>
      <c r="C5933" s="88"/>
      <c r="D5933" s="92"/>
      <c r="E5933" s="89"/>
      <c r="F5933" s="89"/>
      <c r="G5933" s="89"/>
    </row>
    <row r="5934">
      <c r="A5934" s="93"/>
      <c r="B5934" s="87" t="s">
        <v>779</v>
      </c>
      <c r="C5934" s="88"/>
      <c r="D5934" s="92"/>
      <c r="E5934" s="89"/>
      <c r="F5934" s="89"/>
      <c r="G5934" s="89"/>
    </row>
    <row r="5935">
      <c r="A5935" s="93"/>
      <c r="B5935" s="87" t="s">
        <v>779</v>
      </c>
      <c r="C5935" s="88"/>
      <c r="D5935" s="92"/>
      <c r="E5935" s="89"/>
      <c r="F5935" s="89"/>
      <c r="G5935" s="89"/>
    </row>
    <row r="5936">
      <c r="A5936" s="93"/>
      <c r="B5936" s="87" t="s">
        <v>779</v>
      </c>
      <c r="C5936" s="88"/>
      <c r="D5936" s="92"/>
      <c r="E5936" s="89"/>
      <c r="F5936" s="89"/>
      <c r="G5936" s="89"/>
    </row>
    <row r="5937">
      <c r="A5937" s="93"/>
      <c r="B5937" s="87" t="s">
        <v>779</v>
      </c>
      <c r="C5937" s="88"/>
      <c r="D5937" s="92"/>
      <c r="E5937" s="89"/>
      <c r="F5937" s="89"/>
      <c r="G5937" s="89"/>
    </row>
    <row r="5938">
      <c r="A5938" s="93"/>
      <c r="B5938" s="87" t="s">
        <v>779</v>
      </c>
      <c r="C5938" s="88"/>
      <c r="D5938" s="92"/>
      <c r="E5938" s="89"/>
      <c r="F5938" s="89"/>
      <c r="G5938" s="89"/>
    </row>
    <row r="5939">
      <c r="A5939" s="93"/>
      <c r="B5939" s="87" t="s">
        <v>779</v>
      </c>
      <c r="C5939" s="88"/>
      <c r="D5939" s="92"/>
      <c r="E5939" s="89"/>
      <c r="F5939" s="89"/>
      <c r="G5939" s="89"/>
    </row>
    <row r="5940">
      <c r="A5940" s="93"/>
      <c r="B5940" s="87" t="s">
        <v>779</v>
      </c>
      <c r="C5940" s="88"/>
      <c r="D5940" s="92"/>
      <c r="E5940" s="89"/>
      <c r="F5940" s="89"/>
      <c r="G5940" s="89"/>
    </row>
    <row r="5941">
      <c r="A5941" s="93"/>
      <c r="B5941" s="87" t="s">
        <v>779</v>
      </c>
      <c r="C5941" s="88"/>
      <c r="D5941" s="92"/>
      <c r="E5941" s="89"/>
      <c r="F5941" s="89"/>
      <c r="G5941" s="89"/>
    </row>
    <row r="5942">
      <c r="A5942" s="93"/>
      <c r="B5942" s="87" t="s">
        <v>779</v>
      </c>
      <c r="C5942" s="88"/>
      <c r="D5942" s="92"/>
      <c r="E5942" s="89"/>
      <c r="F5942" s="89"/>
      <c r="G5942" s="89"/>
    </row>
    <row r="5943">
      <c r="A5943" s="93"/>
      <c r="B5943" s="87" t="s">
        <v>779</v>
      </c>
      <c r="C5943" s="88"/>
      <c r="D5943" s="92"/>
      <c r="E5943" s="89"/>
      <c r="F5943" s="89"/>
      <c r="G5943" s="89"/>
    </row>
    <row r="5944">
      <c r="A5944" s="93"/>
      <c r="B5944" s="87" t="s">
        <v>779</v>
      </c>
      <c r="C5944" s="88"/>
      <c r="D5944" s="92"/>
      <c r="E5944" s="89"/>
      <c r="F5944" s="89"/>
      <c r="G5944" s="89"/>
    </row>
    <row r="5945">
      <c r="A5945" s="93"/>
      <c r="B5945" s="87" t="s">
        <v>779</v>
      </c>
      <c r="C5945" s="88"/>
      <c r="D5945" s="92"/>
      <c r="E5945" s="89"/>
      <c r="F5945" s="89"/>
      <c r="G5945" s="89"/>
    </row>
    <row r="5946">
      <c r="A5946" s="93"/>
      <c r="B5946" s="87" t="s">
        <v>779</v>
      </c>
      <c r="C5946" s="88"/>
      <c r="D5946" s="92"/>
      <c r="E5946" s="89"/>
      <c r="F5946" s="89"/>
      <c r="G5946" s="89"/>
    </row>
    <row r="5947">
      <c r="A5947" s="93"/>
      <c r="B5947" s="87" t="s">
        <v>779</v>
      </c>
      <c r="C5947" s="88"/>
      <c r="D5947" s="92"/>
      <c r="E5947" s="89"/>
      <c r="F5947" s="89"/>
      <c r="G5947" s="89"/>
    </row>
    <row r="5948">
      <c r="A5948" s="93"/>
      <c r="B5948" s="87" t="s">
        <v>779</v>
      </c>
      <c r="C5948" s="88"/>
      <c r="D5948" s="92"/>
      <c r="E5948" s="89"/>
      <c r="F5948" s="89"/>
      <c r="G5948" s="89"/>
    </row>
    <row r="5949">
      <c r="A5949" s="93"/>
      <c r="B5949" s="87" t="s">
        <v>779</v>
      </c>
      <c r="C5949" s="88"/>
      <c r="D5949" s="92"/>
      <c r="E5949" s="89"/>
      <c r="F5949" s="89"/>
      <c r="G5949" s="89"/>
    </row>
    <row r="5950">
      <c r="A5950" s="93"/>
      <c r="B5950" s="87" t="s">
        <v>779</v>
      </c>
      <c r="C5950" s="88"/>
      <c r="D5950" s="92"/>
      <c r="E5950" s="89"/>
      <c r="F5950" s="89"/>
      <c r="G5950" s="89"/>
    </row>
    <row r="5951">
      <c r="A5951" s="93"/>
      <c r="B5951" s="87" t="s">
        <v>779</v>
      </c>
      <c r="C5951" s="88"/>
      <c r="D5951" s="92"/>
      <c r="E5951" s="89"/>
      <c r="F5951" s="89"/>
      <c r="G5951" s="89"/>
    </row>
    <row r="5952">
      <c r="A5952" s="93"/>
      <c r="B5952" s="87" t="s">
        <v>779</v>
      </c>
      <c r="C5952" s="88"/>
      <c r="D5952" s="92"/>
      <c r="E5952" s="89"/>
      <c r="F5952" s="89"/>
      <c r="G5952" s="89"/>
    </row>
    <row r="5953">
      <c r="A5953" s="93"/>
      <c r="B5953" s="87" t="s">
        <v>779</v>
      </c>
      <c r="C5953" s="88"/>
      <c r="D5953" s="92"/>
      <c r="E5953" s="89"/>
      <c r="F5953" s="89"/>
      <c r="G5953" s="89"/>
    </row>
    <row r="5954">
      <c r="A5954" s="93"/>
      <c r="B5954" s="87" t="s">
        <v>779</v>
      </c>
      <c r="C5954" s="88"/>
      <c r="D5954" s="92"/>
      <c r="E5954" s="89"/>
      <c r="F5954" s="89"/>
      <c r="G5954" s="89"/>
    </row>
    <row r="5955">
      <c r="A5955" s="93"/>
      <c r="B5955" s="87" t="s">
        <v>779</v>
      </c>
      <c r="C5955" s="88"/>
      <c r="D5955" s="92"/>
      <c r="E5955" s="89"/>
      <c r="F5955" s="89"/>
      <c r="G5955" s="89"/>
    </row>
    <row r="5956">
      <c r="A5956" s="93"/>
      <c r="B5956" s="87" t="s">
        <v>779</v>
      </c>
      <c r="C5956" s="88"/>
      <c r="D5956" s="92"/>
      <c r="E5956" s="89"/>
      <c r="F5956" s="89"/>
      <c r="G5956" s="89"/>
    </row>
    <row r="5957">
      <c r="A5957" s="93"/>
      <c r="B5957" s="87" t="s">
        <v>779</v>
      </c>
      <c r="C5957" s="88"/>
      <c r="D5957" s="92"/>
      <c r="E5957" s="89"/>
      <c r="F5957" s="89"/>
      <c r="G5957" s="89"/>
    </row>
    <row r="5958">
      <c r="A5958" s="93"/>
      <c r="B5958" s="87" t="s">
        <v>779</v>
      </c>
      <c r="C5958" s="88"/>
      <c r="D5958" s="92"/>
      <c r="E5958" s="89"/>
      <c r="F5958" s="89"/>
      <c r="G5958" s="89"/>
    </row>
    <row r="5959">
      <c r="A5959" s="93"/>
      <c r="B5959" s="87" t="s">
        <v>779</v>
      </c>
      <c r="C5959" s="88"/>
      <c r="D5959" s="92"/>
      <c r="E5959" s="89"/>
      <c r="F5959" s="89"/>
      <c r="G5959" s="89"/>
    </row>
    <row r="5960">
      <c r="A5960" s="93"/>
      <c r="B5960" s="87" t="s">
        <v>779</v>
      </c>
      <c r="C5960" s="88"/>
      <c r="D5960" s="92"/>
      <c r="E5960" s="89"/>
      <c r="F5960" s="89"/>
      <c r="G5960" s="89"/>
    </row>
    <row r="5961">
      <c r="A5961" s="93"/>
      <c r="B5961" s="87" t="s">
        <v>779</v>
      </c>
      <c r="C5961" s="88"/>
      <c r="D5961" s="92"/>
      <c r="E5961" s="89"/>
      <c r="F5961" s="89"/>
      <c r="G5961" s="89"/>
    </row>
    <row r="5962">
      <c r="A5962" s="93"/>
      <c r="B5962" s="87" t="s">
        <v>779</v>
      </c>
      <c r="C5962" s="88"/>
      <c r="D5962" s="92"/>
      <c r="E5962" s="89"/>
      <c r="F5962" s="89"/>
      <c r="G5962" s="89"/>
    </row>
    <row r="5963">
      <c r="A5963" s="93"/>
      <c r="B5963" s="87" t="s">
        <v>779</v>
      </c>
      <c r="C5963" s="88"/>
      <c r="D5963" s="92"/>
      <c r="E5963" s="89"/>
      <c r="F5963" s="89"/>
      <c r="G5963" s="89"/>
    </row>
    <row r="5964">
      <c r="A5964" s="93"/>
      <c r="B5964" s="87" t="s">
        <v>779</v>
      </c>
      <c r="C5964" s="88"/>
      <c r="D5964" s="92"/>
      <c r="E5964" s="89"/>
      <c r="F5964" s="89"/>
      <c r="G5964" s="89"/>
    </row>
    <row r="5965">
      <c r="A5965" s="93"/>
      <c r="B5965" s="87" t="s">
        <v>779</v>
      </c>
      <c r="C5965" s="88"/>
      <c r="D5965" s="92"/>
      <c r="E5965" s="89"/>
      <c r="F5965" s="89"/>
      <c r="G5965" s="89"/>
    </row>
    <row r="5966">
      <c r="A5966" s="93"/>
      <c r="B5966" s="87" t="s">
        <v>779</v>
      </c>
      <c r="C5966" s="88"/>
      <c r="D5966" s="92"/>
      <c r="E5966" s="89"/>
      <c r="F5966" s="89"/>
      <c r="G5966" s="89"/>
    </row>
    <row r="5967">
      <c r="A5967" s="93"/>
      <c r="B5967" s="87" t="s">
        <v>779</v>
      </c>
      <c r="C5967" s="88"/>
      <c r="D5967" s="92"/>
      <c r="E5967" s="89"/>
      <c r="F5967" s="89"/>
      <c r="G5967" s="89"/>
    </row>
    <row r="5968">
      <c r="A5968" s="93"/>
      <c r="B5968" s="87" t="s">
        <v>779</v>
      </c>
      <c r="C5968" s="88"/>
      <c r="D5968" s="92"/>
      <c r="E5968" s="89"/>
      <c r="F5968" s="89"/>
      <c r="G5968" s="89"/>
    </row>
    <row r="5969">
      <c r="A5969" s="93"/>
      <c r="B5969" s="87" t="s">
        <v>779</v>
      </c>
      <c r="C5969" s="88"/>
      <c r="D5969" s="92"/>
      <c r="E5969" s="89"/>
      <c r="F5969" s="89"/>
      <c r="G5969" s="89"/>
    </row>
    <row r="5970">
      <c r="A5970" s="93"/>
      <c r="B5970" s="87" t="s">
        <v>779</v>
      </c>
      <c r="C5970" s="88"/>
      <c r="D5970" s="92"/>
      <c r="E5970" s="89"/>
      <c r="F5970" s="89"/>
      <c r="G5970" s="89"/>
    </row>
    <row r="5971">
      <c r="A5971" s="93"/>
      <c r="B5971" s="87" t="s">
        <v>779</v>
      </c>
      <c r="C5971" s="88"/>
      <c r="D5971" s="92"/>
      <c r="E5971" s="89"/>
      <c r="F5971" s="89"/>
      <c r="G5971" s="89"/>
    </row>
    <row r="5972">
      <c r="A5972" s="93"/>
      <c r="B5972" s="87" t="s">
        <v>779</v>
      </c>
      <c r="C5972" s="88"/>
      <c r="D5972" s="92"/>
      <c r="E5972" s="89"/>
      <c r="F5972" s="89"/>
      <c r="G5972" s="89"/>
    </row>
    <row r="5973">
      <c r="A5973" s="93"/>
      <c r="B5973" s="87" t="s">
        <v>779</v>
      </c>
      <c r="C5973" s="88"/>
      <c r="D5973" s="92"/>
      <c r="E5973" s="89"/>
      <c r="F5973" s="89"/>
      <c r="G5973" s="89"/>
    </row>
    <row r="5974">
      <c r="A5974" s="93"/>
      <c r="B5974" s="87" t="s">
        <v>779</v>
      </c>
      <c r="C5974" s="88"/>
      <c r="D5974" s="92"/>
      <c r="E5974" s="89"/>
      <c r="F5974" s="89"/>
      <c r="G5974" s="89"/>
    </row>
    <row r="5975">
      <c r="A5975" s="93"/>
      <c r="B5975" s="87" t="s">
        <v>779</v>
      </c>
      <c r="C5975" s="88"/>
      <c r="D5975" s="92"/>
      <c r="E5975" s="89"/>
      <c r="F5975" s="89"/>
      <c r="G5975" s="89"/>
    </row>
    <row r="5976">
      <c r="A5976" s="93"/>
      <c r="B5976" s="87" t="s">
        <v>779</v>
      </c>
      <c r="C5976" s="88"/>
      <c r="D5976" s="92"/>
      <c r="E5976" s="89"/>
      <c r="F5976" s="89"/>
      <c r="G5976" s="89"/>
    </row>
    <row r="5977">
      <c r="A5977" s="93"/>
      <c r="B5977" s="87" t="s">
        <v>779</v>
      </c>
      <c r="C5977" s="88"/>
      <c r="D5977" s="92"/>
      <c r="E5977" s="89"/>
      <c r="F5977" s="89"/>
      <c r="G5977" s="89"/>
    </row>
    <row r="5978">
      <c r="A5978" s="93"/>
      <c r="B5978" s="87" t="s">
        <v>779</v>
      </c>
      <c r="C5978" s="88"/>
      <c r="D5978" s="92"/>
      <c r="E5978" s="89"/>
      <c r="F5978" s="89"/>
      <c r="G5978" s="89"/>
    </row>
    <row r="5979">
      <c r="A5979" s="93"/>
      <c r="B5979" s="87" t="s">
        <v>779</v>
      </c>
      <c r="C5979" s="88"/>
      <c r="D5979" s="92"/>
      <c r="E5979" s="89"/>
      <c r="F5979" s="89"/>
      <c r="G5979" s="89"/>
    </row>
    <row r="5980">
      <c r="A5980" s="93"/>
      <c r="B5980" s="87" t="s">
        <v>779</v>
      </c>
      <c r="C5980" s="88"/>
      <c r="D5980" s="92"/>
      <c r="E5980" s="89"/>
      <c r="F5980" s="89"/>
      <c r="G5980" s="89"/>
    </row>
    <row r="5981">
      <c r="A5981" s="93"/>
      <c r="B5981" s="87" t="s">
        <v>779</v>
      </c>
      <c r="C5981" s="88"/>
      <c r="D5981" s="92"/>
      <c r="E5981" s="89"/>
      <c r="F5981" s="89"/>
      <c r="G5981" s="89"/>
    </row>
    <row r="5982">
      <c r="A5982" s="93"/>
      <c r="B5982" s="87" t="s">
        <v>779</v>
      </c>
      <c r="C5982" s="88"/>
      <c r="D5982" s="92"/>
      <c r="E5982" s="89"/>
      <c r="F5982" s="89"/>
      <c r="G5982" s="89"/>
    </row>
    <row r="5983">
      <c r="A5983" s="93"/>
      <c r="B5983" s="87" t="s">
        <v>779</v>
      </c>
      <c r="C5983" s="88"/>
      <c r="D5983" s="92"/>
      <c r="E5983" s="89"/>
      <c r="F5983" s="89"/>
      <c r="G5983" s="89"/>
    </row>
    <row r="5984">
      <c r="A5984" s="93"/>
      <c r="B5984" s="87" t="s">
        <v>779</v>
      </c>
      <c r="C5984" s="88"/>
      <c r="D5984" s="92"/>
      <c r="E5984" s="89"/>
      <c r="F5984" s="89"/>
      <c r="G5984" s="89"/>
    </row>
    <row r="5985">
      <c r="A5985" s="93"/>
      <c r="B5985" s="87" t="s">
        <v>779</v>
      </c>
      <c r="C5985" s="88"/>
      <c r="D5985" s="92"/>
      <c r="E5985" s="89"/>
      <c r="F5985" s="89"/>
      <c r="G5985" s="89"/>
    </row>
    <row r="5986">
      <c r="A5986" s="93"/>
      <c r="B5986" s="87" t="s">
        <v>779</v>
      </c>
      <c r="C5986" s="88"/>
      <c r="D5986" s="92"/>
      <c r="E5986" s="89"/>
      <c r="F5986" s="89"/>
      <c r="G5986" s="89"/>
    </row>
    <row r="5987">
      <c r="A5987" s="93"/>
      <c r="B5987" s="87" t="s">
        <v>779</v>
      </c>
      <c r="C5987" s="88"/>
      <c r="D5987" s="92"/>
      <c r="E5987" s="89"/>
      <c r="F5987" s="89"/>
      <c r="G5987" s="89"/>
    </row>
    <row r="5988">
      <c r="A5988" s="93"/>
      <c r="B5988" s="87" t="s">
        <v>779</v>
      </c>
      <c r="C5988" s="88"/>
      <c r="D5988" s="92"/>
      <c r="E5988" s="89"/>
      <c r="F5988" s="89"/>
      <c r="G5988" s="89"/>
    </row>
    <row r="5989">
      <c r="A5989" s="93"/>
      <c r="B5989" s="87" t="s">
        <v>779</v>
      </c>
      <c r="C5989" s="88"/>
      <c r="D5989" s="92"/>
      <c r="E5989" s="89"/>
      <c r="F5989" s="89"/>
      <c r="G5989" s="89"/>
    </row>
    <row r="5990">
      <c r="A5990" s="93"/>
      <c r="B5990" s="87" t="s">
        <v>779</v>
      </c>
      <c r="C5990" s="88"/>
      <c r="D5990" s="92"/>
      <c r="E5990" s="89"/>
      <c r="F5990" s="89"/>
      <c r="G5990" s="89"/>
    </row>
    <row r="5991">
      <c r="A5991" s="93"/>
      <c r="B5991" s="87" t="s">
        <v>779</v>
      </c>
      <c r="C5991" s="88"/>
      <c r="D5991" s="92"/>
      <c r="E5991" s="89"/>
      <c r="F5991" s="89"/>
      <c r="G5991" s="89"/>
    </row>
    <row r="5992">
      <c r="A5992" s="93"/>
      <c r="B5992" s="87" t="s">
        <v>779</v>
      </c>
      <c r="C5992" s="88"/>
      <c r="D5992" s="92"/>
      <c r="E5992" s="89"/>
      <c r="F5992" s="89"/>
      <c r="G5992" s="89"/>
    </row>
    <row r="5993">
      <c r="A5993" s="93"/>
      <c r="B5993" s="87" t="s">
        <v>779</v>
      </c>
      <c r="C5993" s="88"/>
      <c r="D5993" s="92"/>
      <c r="E5993" s="89"/>
      <c r="F5993" s="89"/>
      <c r="G5993" s="89"/>
    </row>
    <row r="5994">
      <c r="A5994" s="93"/>
      <c r="B5994" s="87" t="s">
        <v>779</v>
      </c>
      <c r="C5994" s="88"/>
      <c r="D5994" s="92"/>
      <c r="E5994" s="89"/>
      <c r="F5994" s="89"/>
      <c r="G5994" s="89"/>
    </row>
    <row r="5995">
      <c r="A5995" s="93"/>
      <c r="B5995" s="87" t="s">
        <v>779</v>
      </c>
      <c r="C5995" s="88"/>
      <c r="D5995" s="92"/>
      <c r="E5995" s="89"/>
      <c r="F5995" s="89"/>
      <c r="G5995" s="89"/>
    </row>
    <row r="5996">
      <c r="A5996" s="93"/>
      <c r="B5996" s="87" t="s">
        <v>779</v>
      </c>
      <c r="C5996" s="88"/>
      <c r="D5996" s="92"/>
      <c r="E5996" s="89"/>
      <c r="F5996" s="89"/>
      <c r="G5996" s="89"/>
    </row>
    <row r="5997">
      <c r="A5997" s="93"/>
      <c r="B5997" s="87" t="s">
        <v>779</v>
      </c>
      <c r="C5997" s="88"/>
      <c r="D5997" s="92"/>
      <c r="E5997" s="89"/>
      <c r="F5997" s="89"/>
      <c r="G5997" s="89"/>
    </row>
    <row r="5998">
      <c r="A5998" s="93"/>
      <c r="B5998" s="87" t="s">
        <v>779</v>
      </c>
      <c r="C5998" s="88"/>
      <c r="D5998" s="92"/>
      <c r="E5998" s="89"/>
      <c r="F5998" s="89"/>
      <c r="G5998" s="89"/>
    </row>
    <row r="5999">
      <c r="A5999" s="93"/>
      <c r="B5999" s="87" t="s">
        <v>779</v>
      </c>
      <c r="C5999" s="88"/>
      <c r="D5999" s="92"/>
      <c r="E5999" s="89"/>
      <c r="F5999" s="89"/>
      <c r="G5999" s="89"/>
    </row>
    <row r="6000">
      <c r="A6000" s="93"/>
      <c r="B6000" s="87" t="s">
        <v>779</v>
      </c>
      <c r="C6000" s="88"/>
      <c r="D6000" s="92"/>
      <c r="E6000" s="89"/>
      <c r="F6000" s="89"/>
      <c r="G6000" s="89"/>
    </row>
    <row r="6001">
      <c r="A6001" s="93"/>
      <c r="B6001" s="87" t="s">
        <v>779</v>
      </c>
      <c r="C6001" s="88"/>
      <c r="D6001" s="92"/>
      <c r="E6001" s="89"/>
      <c r="F6001" s="89"/>
      <c r="G6001" s="89"/>
    </row>
    <row r="6002">
      <c r="A6002" s="93"/>
      <c r="B6002" s="87" t="s">
        <v>779</v>
      </c>
      <c r="C6002" s="88"/>
      <c r="D6002" s="92"/>
      <c r="E6002" s="89"/>
      <c r="F6002" s="89"/>
      <c r="G6002" s="89"/>
    </row>
    <row r="6003">
      <c r="A6003" s="93"/>
      <c r="B6003" s="87" t="s">
        <v>779</v>
      </c>
      <c r="C6003" s="88"/>
      <c r="D6003" s="92"/>
      <c r="E6003" s="89"/>
      <c r="F6003" s="89"/>
      <c r="G6003" s="89"/>
    </row>
    <row r="6004">
      <c r="A6004" s="93"/>
      <c r="B6004" s="87" t="s">
        <v>779</v>
      </c>
      <c r="C6004" s="88"/>
      <c r="D6004" s="92"/>
      <c r="E6004" s="89"/>
      <c r="F6004" s="89"/>
      <c r="G6004" s="89"/>
    </row>
    <row r="6005">
      <c r="A6005" s="93"/>
      <c r="B6005" s="87" t="s">
        <v>779</v>
      </c>
      <c r="C6005" s="88"/>
      <c r="D6005" s="92"/>
      <c r="E6005" s="89"/>
      <c r="F6005" s="89"/>
      <c r="G6005" s="89"/>
    </row>
    <row r="6006">
      <c r="A6006" s="93"/>
      <c r="B6006" s="87" t="s">
        <v>779</v>
      </c>
      <c r="C6006" s="88"/>
      <c r="D6006" s="92"/>
      <c r="E6006" s="89"/>
      <c r="F6006" s="89"/>
      <c r="G6006" s="89"/>
    </row>
    <row r="6007">
      <c r="A6007" s="93"/>
      <c r="B6007" s="87" t="s">
        <v>779</v>
      </c>
      <c r="C6007" s="88"/>
      <c r="D6007" s="92"/>
      <c r="E6007" s="89"/>
      <c r="F6007" s="89"/>
      <c r="G6007" s="89"/>
    </row>
    <row r="6008">
      <c r="A6008" s="93"/>
      <c r="B6008" s="87" t="s">
        <v>779</v>
      </c>
      <c r="C6008" s="88"/>
      <c r="D6008" s="92"/>
      <c r="E6008" s="89"/>
      <c r="F6008" s="89"/>
      <c r="G6008" s="89"/>
    </row>
    <row r="6009">
      <c r="A6009" s="93"/>
      <c r="B6009" s="87" t="s">
        <v>779</v>
      </c>
      <c r="C6009" s="88"/>
      <c r="D6009" s="92"/>
      <c r="E6009" s="89"/>
      <c r="F6009" s="89"/>
      <c r="G6009" s="89"/>
    </row>
    <row r="6010">
      <c r="A6010" s="93"/>
      <c r="B6010" s="87" t="s">
        <v>779</v>
      </c>
      <c r="C6010" s="88"/>
      <c r="D6010" s="92"/>
      <c r="E6010" s="89"/>
      <c r="F6010" s="89"/>
      <c r="G6010" s="89"/>
    </row>
    <row r="6011">
      <c r="A6011" s="93"/>
      <c r="B6011" s="87" t="s">
        <v>779</v>
      </c>
      <c r="C6011" s="88"/>
      <c r="D6011" s="92"/>
      <c r="E6011" s="89"/>
      <c r="F6011" s="89"/>
      <c r="G6011" s="89"/>
    </row>
    <row r="6012">
      <c r="A6012" s="93"/>
      <c r="B6012" s="87" t="s">
        <v>779</v>
      </c>
      <c r="C6012" s="88"/>
      <c r="D6012" s="92"/>
      <c r="E6012" s="89"/>
      <c r="F6012" s="89"/>
      <c r="G6012" s="89"/>
    </row>
    <row r="6013">
      <c r="A6013" s="93"/>
      <c r="B6013" s="87" t="s">
        <v>779</v>
      </c>
      <c r="C6013" s="88"/>
      <c r="D6013" s="92"/>
      <c r="E6013" s="89"/>
      <c r="F6013" s="89"/>
      <c r="G6013" s="89"/>
    </row>
    <row r="6014">
      <c r="A6014" s="93"/>
      <c r="B6014" s="87" t="s">
        <v>779</v>
      </c>
      <c r="C6014" s="88"/>
      <c r="D6014" s="92"/>
      <c r="E6014" s="89"/>
      <c r="F6014" s="89"/>
      <c r="G6014" s="89"/>
    </row>
    <row r="6015">
      <c r="A6015" s="93"/>
      <c r="B6015" s="87" t="s">
        <v>779</v>
      </c>
      <c r="C6015" s="88"/>
      <c r="D6015" s="92"/>
      <c r="E6015" s="89"/>
      <c r="F6015" s="89"/>
      <c r="G6015" s="89"/>
    </row>
    <row r="6016">
      <c r="A6016" s="93"/>
      <c r="B6016" s="87" t="s">
        <v>779</v>
      </c>
      <c r="C6016" s="88"/>
      <c r="D6016" s="92"/>
      <c r="E6016" s="89"/>
      <c r="F6016" s="89"/>
      <c r="G6016" s="89"/>
    </row>
    <row r="6017">
      <c r="A6017" s="93"/>
      <c r="B6017" s="87" t="s">
        <v>779</v>
      </c>
      <c r="C6017" s="88"/>
      <c r="D6017" s="92"/>
      <c r="E6017" s="89"/>
      <c r="F6017" s="89"/>
      <c r="G6017" s="89"/>
    </row>
    <row r="6018">
      <c r="A6018" s="93"/>
      <c r="B6018" s="87" t="s">
        <v>779</v>
      </c>
      <c r="C6018" s="88"/>
      <c r="D6018" s="92"/>
      <c r="E6018" s="89"/>
      <c r="F6018" s="89"/>
      <c r="G6018" s="89"/>
    </row>
    <row r="6019">
      <c r="A6019" s="93"/>
      <c r="B6019" s="87" t="s">
        <v>779</v>
      </c>
      <c r="C6019" s="88"/>
      <c r="D6019" s="92"/>
      <c r="E6019" s="89"/>
      <c r="F6019" s="89"/>
      <c r="G6019" s="89"/>
    </row>
    <row r="6020">
      <c r="A6020" s="93"/>
      <c r="B6020" s="87" t="s">
        <v>779</v>
      </c>
      <c r="C6020" s="88"/>
      <c r="D6020" s="92"/>
      <c r="E6020" s="89"/>
      <c r="F6020" s="89"/>
      <c r="G6020" s="89"/>
    </row>
    <row r="6021">
      <c r="A6021" s="93"/>
      <c r="B6021" s="87" t="s">
        <v>779</v>
      </c>
      <c r="C6021" s="88"/>
      <c r="D6021" s="92"/>
      <c r="E6021" s="89"/>
      <c r="F6021" s="89"/>
      <c r="G6021" s="89"/>
    </row>
    <row r="6022">
      <c r="A6022" s="93"/>
      <c r="B6022" s="87" t="s">
        <v>779</v>
      </c>
      <c r="C6022" s="88"/>
      <c r="D6022" s="92"/>
      <c r="E6022" s="89"/>
      <c r="F6022" s="89"/>
      <c r="G6022" s="89"/>
    </row>
    <row r="6023">
      <c r="A6023" s="93"/>
      <c r="B6023" s="87" t="s">
        <v>779</v>
      </c>
      <c r="C6023" s="88"/>
      <c r="D6023" s="92"/>
      <c r="E6023" s="89"/>
      <c r="F6023" s="89"/>
      <c r="G6023" s="89"/>
    </row>
    <row r="6024">
      <c r="A6024" s="93"/>
      <c r="B6024" s="87" t="s">
        <v>779</v>
      </c>
      <c r="C6024" s="88"/>
      <c r="D6024" s="92"/>
      <c r="E6024" s="89"/>
      <c r="F6024" s="89"/>
      <c r="G6024" s="89"/>
    </row>
    <row r="6025">
      <c r="A6025" s="93"/>
      <c r="B6025" s="87" t="s">
        <v>779</v>
      </c>
      <c r="C6025" s="88"/>
      <c r="D6025" s="92"/>
      <c r="E6025" s="89"/>
      <c r="F6025" s="89"/>
      <c r="G6025" s="89"/>
    </row>
    <row r="6026">
      <c r="A6026" s="93"/>
      <c r="B6026" s="87" t="s">
        <v>779</v>
      </c>
      <c r="C6026" s="88"/>
      <c r="D6026" s="92"/>
      <c r="E6026" s="89"/>
      <c r="F6026" s="89"/>
      <c r="G6026" s="89"/>
    </row>
    <row r="6027">
      <c r="A6027" s="93"/>
      <c r="B6027" s="87" t="s">
        <v>779</v>
      </c>
      <c r="C6027" s="88"/>
      <c r="D6027" s="92"/>
      <c r="E6027" s="89"/>
      <c r="F6027" s="89"/>
      <c r="G6027" s="89"/>
    </row>
    <row r="6028">
      <c r="A6028" s="93"/>
      <c r="B6028" s="87" t="s">
        <v>779</v>
      </c>
      <c r="C6028" s="88"/>
      <c r="D6028" s="92"/>
      <c r="E6028" s="89"/>
      <c r="F6028" s="89"/>
      <c r="G6028" s="89"/>
    </row>
    <row r="6029">
      <c r="A6029" s="93"/>
      <c r="B6029" s="87" t="s">
        <v>779</v>
      </c>
      <c r="C6029" s="88"/>
      <c r="D6029" s="92"/>
      <c r="E6029" s="89"/>
      <c r="F6029" s="89"/>
      <c r="G6029" s="89"/>
    </row>
    <row r="6030">
      <c r="A6030" s="93"/>
      <c r="B6030" s="87" t="s">
        <v>779</v>
      </c>
      <c r="C6030" s="88"/>
      <c r="D6030" s="92"/>
      <c r="E6030" s="89"/>
      <c r="F6030" s="89"/>
      <c r="G6030" s="89"/>
    </row>
    <row r="6031">
      <c r="A6031" s="93"/>
      <c r="B6031" s="87" t="s">
        <v>779</v>
      </c>
      <c r="C6031" s="88"/>
      <c r="D6031" s="92"/>
      <c r="E6031" s="89"/>
      <c r="F6031" s="89"/>
      <c r="G6031" s="89"/>
    </row>
    <row r="6032">
      <c r="A6032" s="93"/>
      <c r="B6032" s="87" t="s">
        <v>779</v>
      </c>
      <c r="C6032" s="88"/>
      <c r="D6032" s="92"/>
      <c r="E6032" s="89"/>
      <c r="F6032" s="89"/>
      <c r="G6032" s="89"/>
    </row>
    <row r="6033">
      <c r="A6033" s="93"/>
      <c r="B6033" s="87" t="s">
        <v>779</v>
      </c>
      <c r="C6033" s="88"/>
      <c r="D6033" s="92"/>
      <c r="E6033" s="89"/>
      <c r="F6033" s="89"/>
      <c r="G6033" s="89"/>
    </row>
    <row r="6034">
      <c r="A6034" s="93"/>
      <c r="B6034" s="87" t="s">
        <v>779</v>
      </c>
      <c r="C6034" s="88"/>
      <c r="D6034" s="92"/>
      <c r="E6034" s="89"/>
      <c r="F6034" s="89"/>
      <c r="G6034" s="89"/>
    </row>
    <row r="6035">
      <c r="A6035" s="93"/>
      <c r="B6035" s="87" t="s">
        <v>779</v>
      </c>
      <c r="C6035" s="88"/>
      <c r="D6035" s="92"/>
      <c r="E6035" s="89"/>
      <c r="F6035" s="89"/>
      <c r="G6035" s="89"/>
    </row>
    <row r="6036">
      <c r="A6036" s="93"/>
      <c r="B6036" s="87" t="s">
        <v>779</v>
      </c>
      <c r="C6036" s="88"/>
      <c r="D6036" s="92"/>
      <c r="E6036" s="89"/>
      <c r="F6036" s="89"/>
      <c r="G6036" s="89"/>
    </row>
    <row r="6037">
      <c r="A6037" s="93"/>
      <c r="B6037" s="87" t="s">
        <v>779</v>
      </c>
      <c r="C6037" s="88"/>
      <c r="D6037" s="92"/>
      <c r="E6037" s="89"/>
      <c r="F6037" s="89"/>
      <c r="G6037" s="89"/>
    </row>
    <row r="6038">
      <c r="A6038" s="93"/>
      <c r="B6038" s="87" t="s">
        <v>779</v>
      </c>
      <c r="C6038" s="88"/>
      <c r="D6038" s="92"/>
      <c r="E6038" s="89"/>
      <c r="F6038" s="89"/>
      <c r="G6038" s="89"/>
    </row>
    <row r="6039">
      <c r="A6039" s="93"/>
      <c r="B6039" s="87" t="s">
        <v>779</v>
      </c>
      <c r="C6039" s="88"/>
      <c r="D6039" s="92"/>
      <c r="E6039" s="89"/>
      <c r="F6039" s="89"/>
      <c r="G6039" s="89"/>
    </row>
    <row r="6040">
      <c r="A6040" s="93"/>
      <c r="B6040" s="87" t="s">
        <v>779</v>
      </c>
      <c r="C6040" s="88"/>
      <c r="D6040" s="92"/>
      <c r="E6040" s="89"/>
      <c r="F6040" s="89"/>
      <c r="G6040" s="89"/>
    </row>
    <row r="6041">
      <c r="A6041" s="93"/>
      <c r="B6041" s="87" t="s">
        <v>779</v>
      </c>
      <c r="C6041" s="88"/>
      <c r="D6041" s="92"/>
      <c r="E6041" s="89"/>
      <c r="F6041" s="89"/>
      <c r="G6041" s="89"/>
    </row>
    <row r="6042">
      <c r="A6042" s="93"/>
      <c r="B6042" s="87" t="s">
        <v>779</v>
      </c>
      <c r="C6042" s="88"/>
      <c r="D6042" s="92"/>
      <c r="E6042" s="89"/>
      <c r="F6042" s="89"/>
      <c r="G6042" s="89"/>
    </row>
    <row r="6043">
      <c r="A6043" s="93"/>
      <c r="B6043" s="87" t="s">
        <v>779</v>
      </c>
      <c r="C6043" s="88"/>
      <c r="D6043" s="92"/>
      <c r="E6043" s="89"/>
      <c r="F6043" s="89"/>
      <c r="G6043" s="89"/>
    </row>
    <row r="6044">
      <c r="A6044" s="93"/>
      <c r="B6044" s="87" t="s">
        <v>779</v>
      </c>
      <c r="C6044" s="88"/>
      <c r="D6044" s="92"/>
      <c r="E6044" s="89"/>
      <c r="F6044" s="89"/>
      <c r="G6044" s="89"/>
    </row>
    <row r="6045">
      <c r="A6045" s="93"/>
      <c r="B6045" s="87" t="s">
        <v>779</v>
      </c>
      <c r="C6045" s="88"/>
      <c r="D6045" s="92"/>
      <c r="E6045" s="89"/>
      <c r="F6045" s="89"/>
      <c r="G6045" s="89"/>
    </row>
    <row r="6046">
      <c r="A6046" s="93"/>
      <c r="B6046" s="87" t="s">
        <v>779</v>
      </c>
      <c r="C6046" s="88"/>
      <c r="D6046" s="92"/>
      <c r="E6046" s="89"/>
      <c r="F6046" s="89"/>
      <c r="G6046" s="89"/>
    </row>
    <row r="6047">
      <c r="A6047" s="93"/>
      <c r="B6047" s="87" t="s">
        <v>779</v>
      </c>
      <c r="C6047" s="88"/>
      <c r="D6047" s="92"/>
      <c r="E6047" s="89"/>
      <c r="F6047" s="89"/>
      <c r="G6047" s="89"/>
    </row>
    <row r="6048">
      <c r="A6048" s="93"/>
      <c r="B6048" s="87" t="s">
        <v>779</v>
      </c>
      <c r="C6048" s="88"/>
      <c r="D6048" s="92"/>
      <c r="E6048" s="89"/>
      <c r="F6048" s="89"/>
      <c r="G6048" s="89"/>
    </row>
    <row r="6049">
      <c r="A6049" s="93"/>
      <c r="B6049" s="87" t="s">
        <v>779</v>
      </c>
      <c r="C6049" s="88"/>
      <c r="D6049" s="92"/>
      <c r="E6049" s="89"/>
      <c r="F6049" s="89"/>
      <c r="G6049" s="89"/>
    </row>
    <row r="6050">
      <c r="A6050" s="93"/>
      <c r="B6050" s="87" t="s">
        <v>779</v>
      </c>
      <c r="C6050" s="88"/>
      <c r="D6050" s="92"/>
      <c r="E6050" s="89"/>
      <c r="F6050" s="89"/>
      <c r="G6050" s="89"/>
    </row>
    <row r="6051">
      <c r="A6051" s="93"/>
      <c r="B6051" s="87" t="s">
        <v>779</v>
      </c>
      <c r="C6051" s="88"/>
      <c r="D6051" s="92"/>
      <c r="E6051" s="89"/>
      <c r="F6051" s="89"/>
      <c r="G6051" s="89"/>
    </row>
    <row r="6052">
      <c r="A6052" s="93"/>
      <c r="B6052" s="87" t="s">
        <v>779</v>
      </c>
      <c r="C6052" s="88"/>
      <c r="D6052" s="92"/>
      <c r="E6052" s="89"/>
      <c r="F6052" s="89"/>
      <c r="G6052" s="89"/>
    </row>
    <row r="6053">
      <c r="A6053" s="93"/>
      <c r="B6053" s="87" t="s">
        <v>779</v>
      </c>
      <c r="C6053" s="88"/>
      <c r="D6053" s="92"/>
      <c r="E6053" s="89"/>
      <c r="F6053" s="89"/>
      <c r="G6053" s="89"/>
    </row>
    <row r="6054">
      <c r="A6054" s="93"/>
      <c r="B6054" s="87" t="s">
        <v>779</v>
      </c>
      <c r="C6054" s="88"/>
      <c r="D6054" s="92"/>
      <c r="E6054" s="89"/>
      <c r="F6054" s="89"/>
      <c r="G6054" s="89"/>
    </row>
    <row r="6055">
      <c r="A6055" s="93"/>
      <c r="B6055" s="87" t="s">
        <v>779</v>
      </c>
      <c r="C6055" s="88"/>
      <c r="D6055" s="92"/>
      <c r="E6055" s="89"/>
      <c r="F6055" s="89"/>
      <c r="G6055" s="89"/>
    </row>
    <row r="6056">
      <c r="A6056" s="93"/>
      <c r="B6056" s="87" t="s">
        <v>779</v>
      </c>
      <c r="C6056" s="88"/>
      <c r="D6056" s="92"/>
      <c r="E6056" s="89"/>
      <c r="F6056" s="89"/>
      <c r="G6056" s="89"/>
    </row>
    <row r="6057">
      <c r="A6057" s="93"/>
      <c r="B6057" s="87" t="s">
        <v>779</v>
      </c>
      <c r="C6057" s="88"/>
      <c r="D6057" s="92"/>
      <c r="E6057" s="89"/>
      <c r="F6057" s="89"/>
      <c r="G6057" s="89"/>
    </row>
    <row r="6058">
      <c r="A6058" s="93"/>
      <c r="B6058" s="87" t="s">
        <v>779</v>
      </c>
      <c r="C6058" s="88"/>
      <c r="D6058" s="92"/>
      <c r="E6058" s="89"/>
      <c r="F6058" s="89"/>
      <c r="G6058" s="89"/>
    </row>
    <row r="6059">
      <c r="A6059" s="93"/>
      <c r="B6059" s="87" t="s">
        <v>779</v>
      </c>
      <c r="C6059" s="88"/>
      <c r="D6059" s="92"/>
      <c r="E6059" s="89"/>
      <c r="F6059" s="89"/>
      <c r="G6059" s="89"/>
    </row>
    <row r="6060">
      <c r="A6060" s="93"/>
      <c r="B6060" s="87" t="s">
        <v>779</v>
      </c>
      <c r="C6060" s="88"/>
      <c r="D6060" s="92"/>
      <c r="E6060" s="89"/>
      <c r="F6060" s="89"/>
      <c r="G6060" s="89"/>
    </row>
    <row r="6061">
      <c r="A6061" s="93"/>
      <c r="B6061" s="87" t="s">
        <v>779</v>
      </c>
      <c r="C6061" s="88"/>
      <c r="D6061" s="92"/>
      <c r="E6061" s="89"/>
      <c r="F6061" s="89"/>
      <c r="G6061" s="89"/>
    </row>
    <row r="6062">
      <c r="A6062" s="93"/>
      <c r="B6062" s="87" t="s">
        <v>779</v>
      </c>
      <c r="C6062" s="88"/>
      <c r="D6062" s="92"/>
      <c r="E6062" s="89"/>
      <c r="F6062" s="89"/>
      <c r="G6062" s="89"/>
    </row>
    <row r="6063">
      <c r="A6063" s="93"/>
      <c r="B6063" s="87" t="s">
        <v>779</v>
      </c>
      <c r="C6063" s="88"/>
      <c r="D6063" s="92"/>
      <c r="E6063" s="89"/>
      <c r="F6063" s="89"/>
      <c r="G6063" s="89"/>
    </row>
    <row r="6064">
      <c r="A6064" s="93"/>
      <c r="B6064" s="87" t="s">
        <v>779</v>
      </c>
      <c r="C6064" s="88"/>
      <c r="D6064" s="92"/>
      <c r="E6064" s="89"/>
      <c r="F6064" s="89"/>
      <c r="G6064" s="89"/>
    </row>
    <row r="6065">
      <c r="A6065" s="93"/>
      <c r="B6065" s="87" t="s">
        <v>779</v>
      </c>
      <c r="C6065" s="88"/>
      <c r="D6065" s="92"/>
      <c r="E6065" s="89"/>
      <c r="F6065" s="89"/>
      <c r="G6065" s="89"/>
    </row>
    <row r="6066">
      <c r="A6066" s="93"/>
      <c r="B6066" s="87" t="s">
        <v>779</v>
      </c>
      <c r="C6066" s="88"/>
      <c r="D6066" s="92"/>
      <c r="E6066" s="89"/>
      <c r="F6066" s="89"/>
      <c r="G6066" s="89"/>
    </row>
    <row r="6067">
      <c r="A6067" s="93"/>
      <c r="B6067" s="87" t="s">
        <v>779</v>
      </c>
      <c r="C6067" s="88"/>
      <c r="D6067" s="92"/>
      <c r="E6067" s="89"/>
      <c r="F6067" s="89"/>
      <c r="G6067" s="89"/>
    </row>
    <row r="6068">
      <c r="A6068" s="93"/>
      <c r="B6068" s="87" t="s">
        <v>779</v>
      </c>
      <c r="C6068" s="88"/>
      <c r="D6068" s="92"/>
      <c r="E6068" s="89"/>
      <c r="F6068" s="89"/>
      <c r="G6068" s="89"/>
    </row>
    <row r="6069">
      <c r="A6069" s="93"/>
      <c r="B6069" s="87" t="s">
        <v>779</v>
      </c>
      <c r="C6069" s="88"/>
      <c r="D6069" s="92"/>
      <c r="E6069" s="89"/>
      <c r="F6069" s="89"/>
      <c r="G6069" s="89"/>
    </row>
    <row r="6070">
      <c r="A6070" s="93"/>
      <c r="B6070" s="87" t="s">
        <v>779</v>
      </c>
      <c r="C6070" s="88"/>
      <c r="D6070" s="92"/>
      <c r="E6070" s="89"/>
      <c r="F6070" s="89"/>
      <c r="G6070" s="89"/>
    </row>
    <row r="6071">
      <c r="A6071" s="93"/>
      <c r="B6071" s="87" t="s">
        <v>779</v>
      </c>
      <c r="C6071" s="88"/>
      <c r="D6071" s="92"/>
      <c r="E6071" s="89"/>
      <c r="F6071" s="89"/>
      <c r="G6071" s="89"/>
    </row>
    <row r="6072">
      <c r="A6072" s="93"/>
      <c r="B6072" s="87" t="s">
        <v>779</v>
      </c>
      <c r="C6072" s="88"/>
      <c r="D6072" s="92"/>
      <c r="E6072" s="89"/>
      <c r="F6072" s="89"/>
      <c r="G6072" s="89"/>
    </row>
    <row r="6073">
      <c r="A6073" s="93"/>
      <c r="B6073" s="87" t="s">
        <v>779</v>
      </c>
      <c r="C6073" s="88"/>
      <c r="D6073" s="92"/>
      <c r="E6073" s="89"/>
      <c r="F6073" s="89"/>
      <c r="G6073" s="89"/>
    </row>
    <row r="6074">
      <c r="A6074" s="93"/>
      <c r="B6074" s="87" t="s">
        <v>779</v>
      </c>
      <c r="C6074" s="88"/>
      <c r="D6074" s="92"/>
      <c r="E6074" s="89"/>
      <c r="F6074" s="89"/>
      <c r="G6074" s="89"/>
    </row>
    <row r="6075">
      <c r="A6075" s="93"/>
      <c r="B6075" s="87" t="s">
        <v>779</v>
      </c>
      <c r="C6075" s="88"/>
      <c r="D6075" s="92"/>
      <c r="E6075" s="89"/>
      <c r="F6075" s="89"/>
      <c r="G6075" s="89"/>
    </row>
    <row r="6076">
      <c r="A6076" s="93"/>
      <c r="B6076" s="87" t="s">
        <v>779</v>
      </c>
      <c r="C6076" s="88"/>
      <c r="D6076" s="92"/>
      <c r="E6076" s="89"/>
      <c r="F6076" s="89"/>
      <c r="G6076" s="89"/>
    </row>
    <row r="6077">
      <c r="A6077" s="93"/>
      <c r="B6077" s="87" t="s">
        <v>779</v>
      </c>
      <c r="C6077" s="88"/>
      <c r="D6077" s="92"/>
      <c r="E6077" s="89"/>
      <c r="F6077" s="89"/>
      <c r="G6077" s="89"/>
    </row>
    <row r="6078">
      <c r="A6078" s="93"/>
      <c r="B6078" s="87" t="s">
        <v>779</v>
      </c>
      <c r="C6078" s="88"/>
      <c r="D6078" s="92"/>
      <c r="E6078" s="89"/>
      <c r="F6078" s="89"/>
      <c r="G6078" s="89"/>
    </row>
    <row r="6079">
      <c r="A6079" s="93"/>
      <c r="B6079" s="87" t="s">
        <v>779</v>
      </c>
      <c r="C6079" s="88"/>
      <c r="D6079" s="92"/>
      <c r="E6079" s="89"/>
      <c r="F6079" s="89"/>
      <c r="G6079" s="89"/>
    </row>
    <row r="6080">
      <c r="A6080" s="93"/>
      <c r="B6080" s="87" t="s">
        <v>779</v>
      </c>
      <c r="C6080" s="88"/>
      <c r="D6080" s="92"/>
      <c r="E6080" s="89"/>
      <c r="F6080" s="89"/>
      <c r="G6080" s="89"/>
    </row>
    <row r="6081">
      <c r="A6081" s="93"/>
      <c r="B6081" s="87" t="s">
        <v>779</v>
      </c>
      <c r="C6081" s="88"/>
      <c r="D6081" s="92"/>
      <c r="E6081" s="89"/>
      <c r="F6081" s="89"/>
      <c r="G6081" s="89"/>
    </row>
    <row r="6082">
      <c r="A6082" s="93"/>
      <c r="B6082" s="87" t="s">
        <v>779</v>
      </c>
      <c r="C6082" s="88"/>
      <c r="D6082" s="92"/>
      <c r="E6082" s="89"/>
      <c r="F6082" s="89"/>
      <c r="G6082" s="89"/>
    </row>
    <row r="6083">
      <c r="A6083" s="93"/>
      <c r="B6083" s="87" t="s">
        <v>779</v>
      </c>
      <c r="C6083" s="88"/>
      <c r="D6083" s="92"/>
      <c r="E6083" s="89"/>
      <c r="F6083" s="89"/>
      <c r="G6083" s="89"/>
    </row>
    <row r="6084">
      <c r="A6084" s="93"/>
      <c r="B6084" s="87" t="s">
        <v>779</v>
      </c>
      <c r="C6084" s="88"/>
      <c r="D6084" s="92"/>
      <c r="E6084" s="89"/>
      <c r="F6084" s="89"/>
      <c r="G6084" s="89"/>
    </row>
    <row r="6085">
      <c r="A6085" s="93"/>
      <c r="B6085" s="87" t="s">
        <v>779</v>
      </c>
      <c r="C6085" s="88"/>
      <c r="D6085" s="92"/>
      <c r="E6085" s="89"/>
      <c r="F6085" s="89"/>
      <c r="G6085" s="89"/>
    </row>
    <row r="6086">
      <c r="A6086" s="93"/>
      <c r="B6086" s="87" t="s">
        <v>779</v>
      </c>
      <c r="C6086" s="88"/>
      <c r="D6086" s="92"/>
      <c r="E6086" s="89"/>
      <c r="F6086" s="89"/>
      <c r="G6086" s="89"/>
    </row>
    <row r="6087">
      <c r="A6087" s="93"/>
      <c r="B6087" s="87" t="s">
        <v>779</v>
      </c>
      <c r="C6087" s="88"/>
      <c r="D6087" s="92"/>
      <c r="E6087" s="89"/>
      <c r="F6087" s="89"/>
      <c r="G6087" s="89"/>
    </row>
    <row r="6088">
      <c r="A6088" s="93"/>
      <c r="B6088" s="87" t="s">
        <v>779</v>
      </c>
      <c r="C6088" s="88"/>
      <c r="D6088" s="92"/>
      <c r="E6088" s="89"/>
      <c r="F6088" s="89"/>
      <c r="G6088" s="89"/>
    </row>
    <row r="6089">
      <c r="A6089" s="93"/>
      <c r="B6089" s="87" t="s">
        <v>779</v>
      </c>
      <c r="C6089" s="88"/>
      <c r="D6089" s="92"/>
      <c r="E6089" s="89"/>
      <c r="F6089" s="89"/>
      <c r="G6089" s="89"/>
    </row>
    <row r="6090">
      <c r="A6090" s="93"/>
      <c r="B6090" s="87" t="s">
        <v>779</v>
      </c>
      <c r="C6090" s="88"/>
      <c r="D6090" s="92"/>
      <c r="E6090" s="89"/>
      <c r="F6090" s="89"/>
      <c r="G6090" s="89"/>
    </row>
    <row r="6091">
      <c r="A6091" s="93"/>
      <c r="B6091" s="87" t="s">
        <v>779</v>
      </c>
      <c r="C6091" s="88"/>
      <c r="D6091" s="92"/>
      <c r="E6091" s="89"/>
      <c r="F6091" s="89"/>
      <c r="G6091" s="89"/>
    </row>
    <row r="6092">
      <c r="A6092" s="93"/>
      <c r="B6092" s="87" t="s">
        <v>779</v>
      </c>
      <c r="C6092" s="88"/>
      <c r="D6092" s="92"/>
      <c r="E6092" s="89"/>
      <c r="F6092" s="89"/>
      <c r="G6092" s="89"/>
    </row>
    <row r="6093">
      <c r="A6093" s="93"/>
      <c r="B6093" s="87" t="s">
        <v>779</v>
      </c>
      <c r="C6093" s="88"/>
      <c r="D6093" s="92"/>
      <c r="E6093" s="89"/>
      <c r="F6093" s="89"/>
      <c r="G6093" s="89"/>
    </row>
    <row r="6094">
      <c r="A6094" s="93"/>
      <c r="B6094" s="87" t="s">
        <v>779</v>
      </c>
      <c r="C6094" s="88"/>
      <c r="D6094" s="92"/>
      <c r="E6094" s="89"/>
      <c r="F6094" s="89"/>
      <c r="G6094" s="89"/>
    </row>
    <row r="6095">
      <c r="A6095" s="93"/>
      <c r="B6095" s="87" t="s">
        <v>779</v>
      </c>
      <c r="C6095" s="88"/>
      <c r="D6095" s="92"/>
      <c r="E6095" s="89"/>
      <c r="F6095" s="89"/>
      <c r="G6095" s="89"/>
    </row>
    <row r="6096">
      <c r="A6096" s="93"/>
      <c r="B6096" s="87" t="s">
        <v>779</v>
      </c>
      <c r="C6096" s="88"/>
      <c r="D6096" s="92"/>
      <c r="E6096" s="89"/>
      <c r="F6096" s="89"/>
      <c r="G6096" s="89"/>
    </row>
    <row r="6097">
      <c r="A6097" s="93"/>
      <c r="B6097" s="87" t="s">
        <v>779</v>
      </c>
      <c r="C6097" s="88"/>
      <c r="D6097" s="92"/>
      <c r="E6097" s="89"/>
      <c r="F6097" s="89"/>
      <c r="G6097" s="89"/>
    </row>
    <row r="6098">
      <c r="A6098" s="93"/>
      <c r="B6098" s="87" t="s">
        <v>779</v>
      </c>
      <c r="C6098" s="88"/>
      <c r="D6098" s="92"/>
      <c r="E6098" s="89"/>
      <c r="F6098" s="89"/>
      <c r="G6098" s="89"/>
    </row>
    <row r="6099">
      <c r="A6099" s="93"/>
      <c r="B6099" s="87" t="s">
        <v>779</v>
      </c>
      <c r="C6099" s="88"/>
      <c r="D6099" s="92"/>
      <c r="E6099" s="89"/>
      <c r="F6099" s="89"/>
      <c r="G6099" s="89"/>
    </row>
    <row r="6100">
      <c r="A6100" s="93"/>
      <c r="B6100" s="87" t="s">
        <v>779</v>
      </c>
      <c r="C6100" s="88"/>
      <c r="D6100" s="92"/>
      <c r="E6100" s="89"/>
      <c r="F6100" s="89"/>
      <c r="G6100" s="89"/>
    </row>
    <row r="6101">
      <c r="A6101" s="93"/>
      <c r="B6101" s="87" t="s">
        <v>779</v>
      </c>
      <c r="C6101" s="88"/>
      <c r="D6101" s="92"/>
      <c r="E6101" s="89"/>
      <c r="F6101" s="89"/>
      <c r="G6101" s="89"/>
    </row>
    <row r="6102">
      <c r="A6102" s="93"/>
      <c r="B6102" s="87" t="s">
        <v>779</v>
      </c>
      <c r="C6102" s="88"/>
      <c r="D6102" s="92"/>
      <c r="E6102" s="89"/>
      <c r="F6102" s="89"/>
      <c r="G6102" s="89"/>
    </row>
    <row r="6103">
      <c r="A6103" s="93"/>
      <c r="B6103" s="87" t="s">
        <v>779</v>
      </c>
      <c r="C6103" s="88"/>
      <c r="D6103" s="92"/>
      <c r="E6103" s="89"/>
      <c r="F6103" s="89"/>
      <c r="G6103" s="89"/>
    </row>
    <row r="6104">
      <c r="A6104" s="93"/>
      <c r="B6104" s="87" t="s">
        <v>779</v>
      </c>
      <c r="C6104" s="88"/>
      <c r="D6104" s="92"/>
      <c r="E6104" s="89"/>
      <c r="F6104" s="89"/>
      <c r="G6104" s="89"/>
    </row>
    <row r="6105">
      <c r="A6105" s="93"/>
      <c r="B6105" s="87" t="s">
        <v>779</v>
      </c>
      <c r="C6105" s="88"/>
      <c r="D6105" s="92"/>
      <c r="E6105" s="89"/>
      <c r="F6105" s="89"/>
      <c r="G6105" s="89"/>
    </row>
    <row r="6106">
      <c r="A6106" s="93"/>
      <c r="B6106" s="87" t="s">
        <v>779</v>
      </c>
      <c r="C6106" s="88"/>
      <c r="D6106" s="92"/>
      <c r="E6106" s="89"/>
      <c r="F6106" s="89"/>
      <c r="G6106" s="89"/>
    </row>
    <row r="6107">
      <c r="A6107" s="93"/>
      <c r="B6107" s="87" t="s">
        <v>779</v>
      </c>
      <c r="C6107" s="88"/>
      <c r="D6107" s="92"/>
      <c r="E6107" s="89"/>
      <c r="F6107" s="89"/>
      <c r="G6107" s="89"/>
    </row>
    <row r="6108">
      <c r="A6108" s="93"/>
      <c r="B6108" s="87" t="s">
        <v>779</v>
      </c>
      <c r="C6108" s="88"/>
      <c r="D6108" s="92"/>
      <c r="E6108" s="89"/>
      <c r="F6108" s="89"/>
      <c r="G6108" s="89"/>
    </row>
    <row r="6109">
      <c r="A6109" s="93"/>
      <c r="B6109" s="87" t="s">
        <v>779</v>
      </c>
      <c r="C6109" s="88"/>
      <c r="D6109" s="92"/>
      <c r="E6109" s="89"/>
      <c r="F6109" s="89"/>
      <c r="G6109" s="89"/>
    </row>
    <row r="6110">
      <c r="A6110" s="93"/>
      <c r="B6110" s="87" t="s">
        <v>779</v>
      </c>
      <c r="C6110" s="88"/>
      <c r="D6110" s="92"/>
      <c r="E6110" s="89"/>
      <c r="F6110" s="89"/>
      <c r="G6110" s="89"/>
    </row>
    <row r="6111">
      <c r="A6111" s="93"/>
      <c r="B6111" s="87" t="s">
        <v>779</v>
      </c>
      <c r="C6111" s="88"/>
      <c r="D6111" s="92"/>
      <c r="E6111" s="89"/>
      <c r="F6111" s="89"/>
      <c r="G6111" s="89"/>
    </row>
    <row r="6112">
      <c r="A6112" s="93"/>
      <c r="B6112" s="87" t="s">
        <v>779</v>
      </c>
      <c r="C6112" s="88"/>
      <c r="D6112" s="92"/>
      <c r="E6112" s="89"/>
      <c r="F6112" s="89"/>
      <c r="G6112" s="89"/>
    </row>
    <row r="6113">
      <c r="A6113" s="93"/>
      <c r="B6113" s="87" t="s">
        <v>779</v>
      </c>
      <c r="C6113" s="88"/>
      <c r="D6113" s="92"/>
      <c r="E6113" s="89"/>
      <c r="F6113" s="89"/>
      <c r="G6113" s="89"/>
    </row>
    <row r="6114">
      <c r="A6114" s="93"/>
      <c r="B6114" s="87" t="s">
        <v>779</v>
      </c>
      <c r="C6114" s="88"/>
      <c r="D6114" s="92"/>
      <c r="E6114" s="89"/>
      <c r="F6114" s="89"/>
      <c r="G6114" s="89"/>
    </row>
    <row r="6115">
      <c r="A6115" s="93"/>
      <c r="B6115" s="87" t="s">
        <v>779</v>
      </c>
      <c r="C6115" s="88"/>
      <c r="D6115" s="92"/>
      <c r="E6115" s="89"/>
      <c r="F6115" s="89"/>
      <c r="G6115" s="89"/>
    </row>
    <row r="6116">
      <c r="A6116" s="93"/>
      <c r="B6116" s="87" t="s">
        <v>779</v>
      </c>
      <c r="C6116" s="88"/>
      <c r="D6116" s="92"/>
      <c r="E6116" s="89"/>
      <c r="F6116" s="89"/>
      <c r="G6116" s="89"/>
    </row>
    <row r="6117">
      <c r="A6117" s="93"/>
      <c r="B6117" s="87" t="s">
        <v>779</v>
      </c>
      <c r="C6117" s="88"/>
      <c r="D6117" s="92"/>
      <c r="E6117" s="89"/>
      <c r="F6117" s="89"/>
      <c r="G6117" s="89"/>
    </row>
    <row r="6118">
      <c r="A6118" s="93"/>
      <c r="B6118" s="87" t="s">
        <v>779</v>
      </c>
      <c r="C6118" s="88"/>
      <c r="D6118" s="92"/>
      <c r="E6118" s="89"/>
      <c r="F6118" s="89"/>
      <c r="G6118" s="89"/>
    </row>
    <row r="6119">
      <c r="A6119" s="93"/>
      <c r="B6119" s="87" t="s">
        <v>779</v>
      </c>
      <c r="C6119" s="88"/>
      <c r="D6119" s="92"/>
      <c r="E6119" s="89"/>
      <c r="F6119" s="89"/>
      <c r="G6119" s="89"/>
    </row>
    <row r="6120">
      <c r="A6120" s="93"/>
      <c r="B6120" s="87" t="s">
        <v>779</v>
      </c>
      <c r="C6120" s="88"/>
      <c r="D6120" s="92"/>
      <c r="E6120" s="89"/>
      <c r="F6120" s="89"/>
      <c r="G6120" s="89"/>
    </row>
    <row r="6121">
      <c r="A6121" s="93"/>
      <c r="B6121" s="87" t="s">
        <v>779</v>
      </c>
      <c r="C6121" s="88"/>
      <c r="D6121" s="92"/>
      <c r="E6121" s="89"/>
      <c r="F6121" s="89"/>
      <c r="G6121" s="89"/>
    </row>
    <row r="6122">
      <c r="A6122" s="93"/>
      <c r="B6122" s="87" t="s">
        <v>779</v>
      </c>
      <c r="C6122" s="88"/>
      <c r="D6122" s="92"/>
      <c r="E6122" s="89"/>
      <c r="F6122" s="89"/>
      <c r="G6122" s="89"/>
    </row>
    <row r="6123">
      <c r="A6123" s="93"/>
      <c r="B6123" s="87" t="s">
        <v>779</v>
      </c>
      <c r="C6123" s="88"/>
      <c r="D6123" s="92"/>
      <c r="E6123" s="89"/>
      <c r="F6123" s="89"/>
      <c r="G6123" s="89"/>
    </row>
    <row r="6124">
      <c r="A6124" s="93"/>
      <c r="B6124" s="87" t="s">
        <v>779</v>
      </c>
      <c r="C6124" s="88"/>
      <c r="D6124" s="92"/>
      <c r="E6124" s="89"/>
      <c r="F6124" s="89"/>
      <c r="G6124" s="89"/>
    </row>
    <row r="6125">
      <c r="A6125" s="93"/>
      <c r="B6125" s="87" t="s">
        <v>779</v>
      </c>
      <c r="C6125" s="88"/>
      <c r="D6125" s="92"/>
      <c r="E6125" s="89"/>
      <c r="F6125" s="89"/>
      <c r="G6125" s="89"/>
    </row>
    <row r="6126">
      <c r="A6126" s="93"/>
      <c r="B6126" s="87" t="s">
        <v>779</v>
      </c>
      <c r="C6126" s="88"/>
      <c r="D6126" s="92"/>
      <c r="E6126" s="89"/>
      <c r="F6126" s="89"/>
      <c r="G6126" s="89"/>
    </row>
    <row r="6127">
      <c r="A6127" s="93"/>
      <c r="B6127" s="87" t="s">
        <v>779</v>
      </c>
      <c r="C6127" s="88"/>
      <c r="D6127" s="92"/>
      <c r="E6127" s="89"/>
      <c r="F6127" s="89"/>
      <c r="G6127" s="89"/>
    </row>
    <row r="6128">
      <c r="A6128" s="93"/>
      <c r="B6128" s="87" t="s">
        <v>779</v>
      </c>
      <c r="C6128" s="88"/>
      <c r="D6128" s="92"/>
      <c r="E6128" s="89"/>
      <c r="F6128" s="89"/>
      <c r="G6128" s="89"/>
    </row>
    <row r="6129">
      <c r="A6129" s="93"/>
      <c r="B6129" s="87" t="s">
        <v>779</v>
      </c>
      <c r="C6129" s="88"/>
      <c r="D6129" s="92"/>
      <c r="E6129" s="89"/>
      <c r="F6129" s="89"/>
      <c r="G6129" s="89"/>
    </row>
    <row r="6130">
      <c r="A6130" s="93"/>
      <c r="B6130" s="87" t="s">
        <v>779</v>
      </c>
      <c r="C6130" s="88"/>
      <c r="D6130" s="92"/>
      <c r="E6130" s="89"/>
      <c r="F6130" s="89"/>
      <c r="G6130" s="89"/>
    </row>
    <row r="6131">
      <c r="A6131" s="93"/>
      <c r="B6131" s="87" t="s">
        <v>779</v>
      </c>
      <c r="C6131" s="88"/>
      <c r="D6131" s="92"/>
      <c r="E6131" s="89"/>
      <c r="F6131" s="89"/>
      <c r="G6131" s="89"/>
    </row>
    <row r="6132">
      <c r="A6132" s="93"/>
      <c r="B6132" s="87" t="s">
        <v>779</v>
      </c>
      <c r="C6132" s="88"/>
      <c r="D6132" s="92"/>
      <c r="E6132" s="89"/>
      <c r="F6132" s="89"/>
      <c r="G6132" s="89"/>
    </row>
    <row r="6133">
      <c r="A6133" s="93"/>
      <c r="B6133" s="87" t="s">
        <v>779</v>
      </c>
      <c r="C6133" s="88"/>
      <c r="D6133" s="92"/>
      <c r="E6133" s="89"/>
      <c r="F6133" s="89"/>
      <c r="G6133" s="89"/>
    </row>
    <row r="6134">
      <c r="A6134" s="93"/>
      <c r="B6134" s="87" t="s">
        <v>779</v>
      </c>
      <c r="C6134" s="88"/>
      <c r="D6134" s="92"/>
      <c r="E6134" s="89"/>
      <c r="F6134" s="89"/>
      <c r="G6134" s="89"/>
    </row>
    <row r="6135">
      <c r="A6135" s="93"/>
      <c r="B6135" s="87" t="s">
        <v>779</v>
      </c>
      <c r="C6135" s="88"/>
      <c r="D6135" s="92"/>
      <c r="E6135" s="89"/>
      <c r="F6135" s="89"/>
      <c r="G6135" s="89"/>
    </row>
    <row r="6136">
      <c r="A6136" s="93"/>
      <c r="B6136" s="87" t="s">
        <v>779</v>
      </c>
      <c r="C6136" s="88"/>
      <c r="D6136" s="92"/>
      <c r="E6136" s="89"/>
      <c r="F6136" s="89"/>
      <c r="G6136" s="89"/>
    </row>
    <row r="6137">
      <c r="A6137" s="93"/>
      <c r="B6137" s="87" t="s">
        <v>779</v>
      </c>
      <c r="C6137" s="88"/>
      <c r="D6137" s="92"/>
      <c r="E6137" s="89"/>
      <c r="F6137" s="89"/>
      <c r="G6137" s="89"/>
    </row>
    <row r="6138">
      <c r="A6138" s="93"/>
      <c r="B6138" s="87" t="s">
        <v>779</v>
      </c>
      <c r="C6138" s="88"/>
      <c r="D6138" s="92"/>
      <c r="E6138" s="89"/>
      <c r="F6138" s="89"/>
      <c r="G6138" s="89"/>
    </row>
    <row r="6139">
      <c r="A6139" s="93"/>
      <c r="B6139" s="87" t="s">
        <v>779</v>
      </c>
      <c r="C6139" s="88"/>
      <c r="D6139" s="92"/>
      <c r="E6139" s="89"/>
      <c r="F6139" s="89"/>
      <c r="G6139" s="89"/>
    </row>
    <row r="6140">
      <c r="A6140" s="93"/>
      <c r="B6140" s="87" t="s">
        <v>779</v>
      </c>
      <c r="C6140" s="88"/>
      <c r="D6140" s="92"/>
      <c r="E6140" s="89"/>
      <c r="F6140" s="89"/>
      <c r="G6140" s="89"/>
    </row>
    <row r="6141">
      <c r="A6141" s="93"/>
      <c r="B6141" s="87" t="s">
        <v>779</v>
      </c>
      <c r="C6141" s="88"/>
      <c r="D6141" s="92"/>
      <c r="E6141" s="89"/>
      <c r="F6141" s="89"/>
      <c r="G6141" s="89"/>
    </row>
    <row r="6142">
      <c r="A6142" s="93"/>
      <c r="B6142" s="87" t="s">
        <v>779</v>
      </c>
      <c r="C6142" s="88"/>
      <c r="D6142" s="92"/>
      <c r="E6142" s="89"/>
      <c r="F6142" s="89"/>
      <c r="G6142" s="89"/>
    </row>
    <row r="6143">
      <c r="A6143" s="93"/>
      <c r="B6143" s="87" t="s">
        <v>779</v>
      </c>
      <c r="C6143" s="88"/>
      <c r="D6143" s="92"/>
      <c r="E6143" s="89"/>
      <c r="F6143" s="89"/>
      <c r="G6143" s="89"/>
    </row>
    <row r="6144">
      <c r="A6144" s="93"/>
      <c r="B6144" s="87" t="s">
        <v>779</v>
      </c>
      <c r="C6144" s="88"/>
      <c r="D6144" s="92"/>
      <c r="E6144" s="89"/>
      <c r="F6144" s="89"/>
      <c r="G6144" s="89"/>
    </row>
    <row r="6145">
      <c r="A6145" s="93"/>
      <c r="B6145" s="87" t="s">
        <v>779</v>
      </c>
      <c r="C6145" s="88"/>
      <c r="D6145" s="92"/>
      <c r="E6145" s="89"/>
      <c r="F6145" s="89"/>
      <c r="G6145" s="89"/>
    </row>
    <row r="6146">
      <c r="A6146" s="93"/>
      <c r="B6146" s="87" t="s">
        <v>779</v>
      </c>
      <c r="C6146" s="88"/>
      <c r="D6146" s="92"/>
      <c r="E6146" s="89"/>
      <c r="F6146" s="89"/>
      <c r="G6146" s="89"/>
    </row>
    <row r="6147">
      <c r="A6147" s="93"/>
      <c r="B6147" s="87" t="s">
        <v>779</v>
      </c>
      <c r="C6147" s="88"/>
      <c r="D6147" s="92"/>
      <c r="E6147" s="89"/>
      <c r="F6147" s="89"/>
      <c r="G6147" s="89"/>
    </row>
    <row r="6148">
      <c r="A6148" s="93"/>
      <c r="B6148" s="87" t="s">
        <v>779</v>
      </c>
      <c r="C6148" s="88"/>
      <c r="D6148" s="92"/>
      <c r="E6148" s="89"/>
      <c r="F6148" s="89"/>
      <c r="G6148" s="89"/>
    </row>
    <row r="6149">
      <c r="A6149" s="93"/>
      <c r="B6149" s="87" t="s">
        <v>779</v>
      </c>
      <c r="C6149" s="88"/>
      <c r="D6149" s="92"/>
      <c r="E6149" s="89"/>
      <c r="F6149" s="89"/>
      <c r="G6149" s="89"/>
    </row>
    <row r="6150">
      <c r="A6150" s="93"/>
      <c r="B6150" s="87" t="s">
        <v>779</v>
      </c>
      <c r="C6150" s="88"/>
      <c r="D6150" s="92"/>
      <c r="E6150" s="89"/>
      <c r="F6150" s="89"/>
      <c r="G6150" s="89"/>
    </row>
    <row r="6151">
      <c r="A6151" s="93"/>
      <c r="B6151" s="87" t="s">
        <v>779</v>
      </c>
      <c r="C6151" s="88"/>
      <c r="D6151" s="92"/>
      <c r="E6151" s="89"/>
      <c r="F6151" s="89"/>
      <c r="G6151" s="89"/>
    </row>
    <row r="6152">
      <c r="A6152" s="93"/>
      <c r="B6152" s="87" t="s">
        <v>779</v>
      </c>
      <c r="C6152" s="88"/>
      <c r="D6152" s="92"/>
      <c r="E6152" s="89"/>
      <c r="F6152" s="89"/>
      <c r="G6152" s="89"/>
    </row>
    <row r="6153">
      <c r="A6153" s="93"/>
      <c r="B6153" s="87" t="s">
        <v>779</v>
      </c>
      <c r="C6153" s="88"/>
      <c r="D6153" s="92"/>
      <c r="E6153" s="89"/>
      <c r="F6153" s="89"/>
      <c r="G6153" s="89"/>
    </row>
    <row r="6154">
      <c r="A6154" s="93"/>
      <c r="B6154" s="87" t="s">
        <v>779</v>
      </c>
      <c r="C6154" s="88"/>
      <c r="D6154" s="92"/>
      <c r="E6154" s="89"/>
      <c r="F6154" s="89"/>
      <c r="G6154" s="89"/>
    </row>
    <row r="6155">
      <c r="A6155" s="93"/>
      <c r="B6155" s="87" t="s">
        <v>779</v>
      </c>
      <c r="C6155" s="88"/>
      <c r="D6155" s="92"/>
      <c r="E6155" s="89"/>
      <c r="F6155" s="89"/>
      <c r="G6155" s="89"/>
    </row>
    <row r="6156">
      <c r="A6156" s="93"/>
      <c r="B6156" s="87" t="s">
        <v>779</v>
      </c>
      <c r="C6156" s="88"/>
      <c r="D6156" s="92"/>
      <c r="E6156" s="89"/>
      <c r="F6156" s="89"/>
      <c r="G6156" s="89"/>
    </row>
    <row r="6157">
      <c r="A6157" s="93"/>
      <c r="B6157" s="87" t="s">
        <v>779</v>
      </c>
      <c r="C6157" s="88"/>
      <c r="D6157" s="92"/>
      <c r="E6157" s="89"/>
      <c r="F6157" s="89"/>
      <c r="G6157" s="89"/>
    </row>
    <row r="6158">
      <c r="A6158" s="93"/>
      <c r="B6158" s="87" t="s">
        <v>779</v>
      </c>
      <c r="C6158" s="88"/>
      <c r="D6158" s="92"/>
      <c r="E6158" s="89"/>
      <c r="F6158" s="89"/>
      <c r="G6158" s="89"/>
    </row>
    <row r="6159">
      <c r="A6159" s="93"/>
      <c r="B6159" s="87" t="s">
        <v>779</v>
      </c>
      <c r="C6159" s="88"/>
      <c r="D6159" s="92"/>
      <c r="E6159" s="89"/>
      <c r="F6159" s="89"/>
      <c r="G6159" s="89"/>
    </row>
    <row r="6160">
      <c r="A6160" s="93"/>
      <c r="B6160" s="87" t="s">
        <v>779</v>
      </c>
      <c r="C6160" s="88"/>
      <c r="D6160" s="92"/>
      <c r="E6160" s="89"/>
      <c r="F6160" s="89"/>
      <c r="G6160" s="89"/>
    </row>
    <row r="6161">
      <c r="A6161" s="93"/>
      <c r="B6161" s="87" t="s">
        <v>779</v>
      </c>
      <c r="C6161" s="88"/>
      <c r="D6161" s="92"/>
      <c r="E6161" s="89"/>
      <c r="F6161" s="89"/>
      <c r="G6161" s="89"/>
    </row>
    <row r="6162">
      <c r="A6162" s="93"/>
      <c r="B6162" s="87" t="s">
        <v>779</v>
      </c>
      <c r="C6162" s="88"/>
      <c r="D6162" s="92"/>
      <c r="E6162" s="89"/>
      <c r="F6162" s="89"/>
      <c r="G6162" s="89"/>
    </row>
    <row r="6163">
      <c r="A6163" s="93"/>
      <c r="B6163" s="87" t="s">
        <v>779</v>
      </c>
      <c r="C6163" s="88"/>
      <c r="D6163" s="92"/>
      <c r="E6163" s="89"/>
      <c r="F6163" s="89"/>
      <c r="G6163" s="89"/>
    </row>
    <row r="6164">
      <c r="A6164" s="93"/>
      <c r="B6164" s="87" t="s">
        <v>779</v>
      </c>
      <c r="C6164" s="88"/>
      <c r="D6164" s="92"/>
      <c r="E6164" s="89"/>
      <c r="F6164" s="89"/>
      <c r="G6164" s="89"/>
    </row>
    <row r="6165">
      <c r="A6165" s="93"/>
      <c r="B6165" s="87" t="s">
        <v>779</v>
      </c>
      <c r="C6165" s="88"/>
      <c r="D6165" s="92"/>
      <c r="E6165" s="89"/>
      <c r="F6165" s="89"/>
      <c r="G6165" s="89"/>
    </row>
    <row r="6166">
      <c r="A6166" s="93"/>
      <c r="B6166" s="87" t="s">
        <v>779</v>
      </c>
      <c r="C6166" s="88"/>
      <c r="D6166" s="92"/>
      <c r="E6166" s="89"/>
      <c r="F6166" s="89"/>
      <c r="G6166" s="89"/>
    </row>
    <row r="6167">
      <c r="A6167" s="93"/>
      <c r="B6167" s="87" t="s">
        <v>779</v>
      </c>
      <c r="C6167" s="88"/>
      <c r="D6167" s="92"/>
      <c r="E6167" s="89"/>
      <c r="F6167" s="89"/>
      <c r="G6167" s="89"/>
    </row>
    <row r="6168">
      <c r="A6168" s="93"/>
      <c r="B6168" s="87" t="s">
        <v>779</v>
      </c>
      <c r="C6168" s="88"/>
      <c r="D6168" s="92"/>
      <c r="E6168" s="89"/>
      <c r="F6168" s="89"/>
      <c r="G6168" s="89"/>
    </row>
    <row r="6169">
      <c r="A6169" s="93"/>
      <c r="B6169" s="87" t="s">
        <v>779</v>
      </c>
      <c r="C6169" s="88"/>
      <c r="D6169" s="92"/>
      <c r="E6169" s="89"/>
      <c r="F6169" s="89"/>
      <c r="G6169" s="89"/>
    </row>
    <row r="6170">
      <c r="A6170" s="93"/>
      <c r="B6170" s="87" t="s">
        <v>779</v>
      </c>
      <c r="C6170" s="88"/>
      <c r="D6170" s="92"/>
      <c r="E6170" s="89"/>
      <c r="F6170" s="89"/>
      <c r="G6170" s="89"/>
    </row>
    <row r="6171">
      <c r="A6171" s="93"/>
      <c r="B6171" s="87" t="s">
        <v>779</v>
      </c>
      <c r="C6171" s="88"/>
      <c r="D6171" s="92"/>
      <c r="E6171" s="89"/>
      <c r="F6171" s="89"/>
      <c r="G6171" s="89"/>
    </row>
    <row r="6172">
      <c r="A6172" s="93"/>
      <c r="B6172" s="87" t="s">
        <v>779</v>
      </c>
      <c r="C6172" s="88"/>
      <c r="D6172" s="92"/>
      <c r="E6172" s="89"/>
      <c r="F6172" s="89"/>
      <c r="G6172" s="89"/>
    </row>
    <row r="6173">
      <c r="A6173" s="93"/>
      <c r="B6173" s="87" t="s">
        <v>779</v>
      </c>
      <c r="C6173" s="88"/>
      <c r="D6173" s="92"/>
      <c r="E6173" s="89"/>
      <c r="F6173" s="89"/>
      <c r="G6173" s="89"/>
    </row>
    <row r="6174">
      <c r="A6174" s="93"/>
      <c r="B6174" s="87" t="s">
        <v>779</v>
      </c>
      <c r="C6174" s="88"/>
      <c r="D6174" s="92"/>
      <c r="E6174" s="89"/>
      <c r="F6174" s="89"/>
      <c r="G6174" s="89"/>
    </row>
    <row r="6175">
      <c r="A6175" s="93"/>
      <c r="B6175" s="87" t="s">
        <v>779</v>
      </c>
      <c r="C6175" s="88"/>
      <c r="D6175" s="92"/>
      <c r="E6175" s="89"/>
      <c r="F6175" s="89"/>
      <c r="G6175" s="89"/>
    </row>
    <row r="6176">
      <c r="A6176" s="93"/>
      <c r="B6176" s="87" t="s">
        <v>779</v>
      </c>
      <c r="C6176" s="88"/>
      <c r="D6176" s="92"/>
      <c r="E6176" s="89"/>
      <c r="F6176" s="89"/>
      <c r="G6176" s="89"/>
    </row>
    <row r="6177">
      <c r="A6177" s="93"/>
      <c r="B6177" s="87" t="s">
        <v>779</v>
      </c>
      <c r="C6177" s="88"/>
      <c r="D6177" s="92"/>
      <c r="E6177" s="89"/>
      <c r="F6177" s="89"/>
      <c r="G6177" s="89"/>
    </row>
    <row r="6178">
      <c r="A6178" s="93"/>
      <c r="B6178" s="87" t="s">
        <v>779</v>
      </c>
      <c r="C6178" s="88"/>
      <c r="D6178" s="92"/>
      <c r="E6178" s="89"/>
      <c r="F6178" s="89"/>
      <c r="G6178" s="89"/>
    </row>
    <row r="6179">
      <c r="A6179" s="93"/>
      <c r="B6179" s="87" t="s">
        <v>779</v>
      </c>
      <c r="C6179" s="88"/>
      <c r="D6179" s="92"/>
      <c r="E6179" s="89"/>
      <c r="F6179" s="89"/>
      <c r="G6179" s="89"/>
    </row>
    <row r="6180">
      <c r="A6180" s="93"/>
      <c r="B6180" s="87" t="s">
        <v>779</v>
      </c>
      <c r="C6180" s="88"/>
      <c r="D6180" s="92"/>
      <c r="E6180" s="89"/>
      <c r="F6180" s="89"/>
      <c r="G6180" s="89"/>
    </row>
    <row r="6181">
      <c r="A6181" s="93"/>
      <c r="B6181" s="87" t="s">
        <v>779</v>
      </c>
      <c r="C6181" s="88"/>
      <c r="D6181" s="92"/>
      <c r="E6181" s="89"/>
      <c r="F6181" s="89"/>
      <c r="G6181" s="89"/>
    </row>
    <row r="6182">
      <c r="A6182" s="93"/>
      <c r="B6182" s="87" t="s">
        <v>779</v>
      </c>
      <c r="C6182" s="88"/>
      <c r="D6182" s="92"/>
      <c r="E6182" s="89"/>
      <c r="F6182" s="89"/>
      <c r="G6182" s="89"/>
    </row>
    <row r="6183">
      <c r="A6183" s="93"/>
      <c r="B6183" s="87" t="s">
        <v>779</v>
      </c>
      <c r="C6183" s="88"/>
      <c r="D6183" s="92"/>
      <c r="E6183" s="89"/>
      <c r="F6183" s="89"/>
      <c r="G6183" s="89"/>
    </row>
    <row r="6184">
      <c r="A6184" s="93"/>
      <c r="B6184" s="87" t="s">
        <v>779</v>
      </c>
      <c r="C6184" s="88"/>
      <c r="D6184" s="92"/>
      <c r="E6184" s="89"/>
      <c r="F6184" s="89"/>
      <c r="G6184" s="89"/>
    </row>
    <row r="6185">
      <c r="A6185" s="93"/>
      <c r="B6185" s="87" t="s">
        <v>779</v>
      </c>
      <c r="C6185" s="88"/>
      <c r="D6185" s="92"/>
      <c r="E6185" s="89"/>
      <c r="F6185" s="89"/>
      <c r="G6185" s="89"/>
    </row>
    <row r="6186">
      <c r="A6186" s="93"/>
      <c r="B6186" s="87" t="s">
        <v>779</v>
      </c>
      <c r="C6186" s="88"/>
      <c r="D6186" s="92"/>
      <c r="E6186" s="89"/>
      <c r="F6186" s="89"/>
      <c r="G6186" s="89"/>
    </row>
    <row r="6187">
      <c r="A6187" s="93"/>
      <c r="B6187" s="87" t="s">
        <v>779</v>
      </c>
      <c r="C6187" s="88"/>
      <c r="D6187" s="92"/>
      <c r="E6187" s="89"/>
      <c r="F6187" s="89"/>
      <c r="G6187" s="89"/>
    </row>
    <row r="6188">
      <c r="A6188" s="93"/>
      <c r="B6188" s="87" t="s">
        <v>779</v>
      </c>
      <c r="C6188" s="88"/>
      <c r="D6188" s="92"/>
      <c r="E6188" s="89"/>
      <c r="F6188" s="89"/>
      <c r="G6188" s="89"/>
    </row>
    <row r="6189">
      <c r="A6189" s="93"/>
      <c r="B6189" s="87" t="s">
        <v>779</v>
      </c>
      <c r="C6189" s="88"/>
      <c r="D6189" s="92"/>
      <c r="E6189" s="89"/>
      <c r="F6189" s="89"/>
      <c r="G6189" s="89"/>
    </row>
    <row r="6190">
      <c r="A6190" s="93"/>
      <c r="B6190" s="87" t="s">
        <v>779</v>
      </c>
      <c r="C6190" s="88"/>
      <c r="D6190" s="92"/>
      <c r="E6190" s="89"/>
      <c r="F6190" s="89"/>
      <c r="G6190" s="89"/>
    </row>
    <row r="6191">
      <c r="A6191" s="93"/>
      <c r="B6191" s="87" t="s">
        <v>779</v>
      </c>
      <c r="C6191" s="88"/>
      <c r="D6191" s="92"/>
      <c r="E6191" s="89"/>
      <c r="F6191" s="89"/>
      <c r="G6191" s="89"/>
    </row>
    <row r="6192">
      <c r="A6192" s="93"/>
      <c r="B6192" s="87" t="s">
        <v>779</v>
      </c>
      <c r="C6192" s="88"/>
      <c r="D6192" s="92"/>
      <c r="E6192" s="89"/>
      <c r="F6192" s="89"/>
      <c r="G6192" s="89"/>
    </row>
    <row r="6193">
      <c r="A6193" s="93"/>
      <c r="B6193" s="87" t="s">
        <v>779</v>
      </c>
      <c r="C6193" s="88"/>
      <c r="D6193" s="92"/>
      <c r="E6193" s="89"/>
      <c r="F6193" s="89"/>
      <c r="G6193" s="89"/>
    </row>
    <row r="6194">
      <c r="A6194" s="93"/>
      <c r="B6194" s="87" t="s">
        <v>779</v>
      </c>
      <c r="C6194" s="88"/>
      <c r="D6194" s="92"/>
      <c r="E6194" s="89"/>
      <c r="F6194" s="89"/>
      <c r="G6194" s="89"/>
    </row>
    <row r="6195">
      <c r="A6195" s="93"/>
      <c r="B6195" s="87" t="s">
        <v>779</v>
      </c>
      <c r="C6195" s="88"/>
      <c r="D6195" s="92"/>
      <c r="E6195" s="89"/>
      <c r="F6195" s="89"/>
      <c r="G6195" s="89"/>
    </row>
    <row r="6196">
      <c r="A6196" s="93"/>
      <c r="B6196" s="87" t="s">
        <v>779</v>
      </c>
      <c r="C6196" s="88"/>
      <c r="D6196" s="92"/>
      <c r="E6196" s="89"/>
      <c r="F6196" s="89"/>
      <c r="G6196" s="89"/>
    </row>
    <row r="6197">
      <c r="A6197" s="93"/>
      <c r="B6197" s="87" t="s">
        <v>779</v>
      </c>
      <c r="C6197" s="88"/>
      <c r="D6197" s="92"/>
      <c r="E6197" s="89"/>
      <c r="F6197" s="89"/>
      <c r="G6197" s="89"/>
    </row>
    <row r="6198">
      <c r="A6198" s="93"/>
      <c r="B6198" s="87" t="s">
        <v>779</v>
      </c>
      <c r="C6198" s="88"/>
      <c r="D6198" s="92"/>
      <c r="E6198" s="89"/>
      <c r="F6198" s="89"/>
      <c r="G6198" s="89"/>
    </row>
    <row r="6199">
      <c r="A6199" s="93"/>
      <c r="B6199" s="87" t="s">
        <v>779</v>
      </c>
      <c r="C6199" s="88"/>
      <c r="D6199" s="92"/>
      <c r="E6199" s="89"/>
      <c r="F6199" s="89"/>
      <c r="G6199" s="89"/>
    </row>
    <row r="6200">
      <c r="A6200" s="93"/>
      <c r="B6200" s="87" t="s">
        <v>779</v>
      </c>
      <c r="C6200" s="88"/>
      <c r="D6200" s="92"/>
      <c r="E6200" s="89"/>
      <c r="F6200" s="89"/>
      <c r="G6200" s="89"/>
    </row>
    <row r="6201">
      <c r="A6201" s="93"/>
      <c r="B6201" s="87" t="s">
        <v>779</v>
      </c>
      <c r="C6201" s="88"/>
      <c r="D6201" s="92"/>
      <c r="E6201" s="89"/>
      <c r="F6201" s="89"/>
      <c r="G6201" s="89"/>
    </row>
    <row r="6202">
      <c r="A6202" s="93"/>
      <c r="B6202" s="87" t="s">
        <v>779</v>
      </c>
      <c r="C6202" s="88"/>
      <c r="D6202" s="92"/>
      <c r="E6202" s="89"/>
      <c r="F6202" s="89"/>
      <c r="G6202" s="89"/>
    </row>
    <row r="6203">
      <c r="A6203" s="93"/>
      <c r="B6203" s="87" t="s">
        <v>779</v>
      </c>
      <c r="C6203" s="88"/>
      <c r="D6203" s="92"/>
      <c r="E6203" s="89"/>
      <c r="F6203" s="89"/>
      <c r="G6203" s="89"/>
    </row>
    <row r="6204">
      <c r="A6204" s="93"/>
      <c r="B6204" s="87" t="s">
        <v>779</v>
      </c>
      <c r="C6204" s="88"/>
      <c r="D6204" s="92"/>
      <c r="E6204" s="89"/>
      <c r="F6204" s="89"/>
      <c r="G6204" s="89"/>
    </row>
    <row r="6205">
      <c r="A6205" s="93"/>
      <c r="B6205" s="87" t="s">
        <v>779</v>
      </c>
      <c r="C6205" s="88"/>
      <c r="D6205" s="92"/>
      <c r="E6205" s="89"/>
      <c r="F6205" s="89"/>
      <c r="G6205" s="89"/>
    </row>
    <row r="6206">
      <c r="A6206" s="93"/>
      <c r="B6206" s="87" t="s">
        <v>779</v>
      </c>
      <c r="C6206" s="88"/>
      <c r="D6206" s="92"/>
      <c r="E6206" s="89"/>
      <c r="F6206" s="89"/>
      <c r="G6206" s="89"/>
    </row>
    <row r="6207">
      <c r="A6207" s="93"/>
      <c r="B6207" s="87" t="s">
        <v>779</v>
      </c>
      <c r="C6207" s="88"/>
      <c r="D6207" s="92"/>
      <c r="E6207" s="89"/>
      <c r="F6207" s="89"/>
      <c r="G6207" s="89"/>
    </row>
    <row r="6208">
      <c r="A6208" s="93"/>
      <c r="B6208" s="87" t="s">
        <v>779</v>
      </c>
      <c r="C6208" s="88"/>
      <c r="D6208" s="92"/>
      <c r="E6208" s="89"/>
      <c r="F6208" s="89"/>
      <c r="G6208" s="89"/>
    </row>
    <row r="6209">
      <c r="A6209" s="93"/>
      <c r="B6209" s="87" t="s">
        <v>779</v>
      </c>
      <c r="C6209" s="88"/>
      <c r="D6209" s="92"/>
      <c r="E6209" s="89"/>
      <c r="F6209" s="89"/>
      <c r="G6209" s="89"/>
    </row>
    <row r="6210">
      <c r="A6210" s="93"/>
      <c r="B6210" s="87" t="s">
        <v>779</v>
      </c>
      <c r="C6210" s="88"/>
      <c r="D6210" s="92"/>
      <c r="E6210" s="89"/>
      <c r="F6210" s="89"/>
      <c r="G6210" s="89"/>
    </row>
    <row r="6211">
      <c r="A6211" s="93"/>
      <c r="B6211" s="87" t="s">
        <v>779</v>
      </c>
      <c r="C6211" s="88"/>
      <c r="D6211" s="92"/>
      <c r="E6211" s="89"/>
      <c r="F6211" s="89"/>
      <c r="G6211" s="89"/>
    </row>
    <row r="6212">
      <c r="A6212" s="93"/>
      <c r="B6212" s="87" t="s">
        <v>779</v>
      </c>
      <c r="C6212" s="88"/>
      <c r="D6212" s="92"/>
      <c r="E6212" s="89"/>
      <c r="F6212" s="89"/>
      <c r="G6212" s="89"/>
    </row>
    <row r="6213">
      <c r="A6213" s="93"/>
      <c r="B6213" s="87" t="s">
        <v>779</v>
      </c>
      <c r="C6213" s="88"/>
      <c r="D6213" s="92"/>
      <c r="E6213" s="89"/>
      <c r="F6213" s="89"/>
      <c r="G6213" s="89"/>
    </row>
    <row r="6214">
      <c r="A6214" s="93"/>
      <c r="B6214" s="87" t="s">
        <v>779</v>
      </c>
      <c r="C6214" s="88"/>
      <c r="D6214" s="92"/>
      <c r="E6214" s="89"/>
      <c r="F6214" s="89"/>
      <c r="G6214" s="89"/>
    </row>
    <row r="6215">
      <c r="A6215" s="93"/>
      <c r="B6215" s="87" t="s">
        <v>779</v>
      </c>
      <c r="C6215" s="88"/>
      <c r="D6215" s="92"/>
      <c r="E6215" s="89"/>
      <c r="F6215" s="89"/>
      <c r="G6215" s="89"/>
    </row>
    <row r="6216">
      <c r="A6216" s="93"/>
      <c r="B6216" s="87" t="s">
        <v>779</v>
      </c>
      <c r="C6216" s="88"/>
      <c r="D6216" s="92"/>
      <c r="E6216" s="89"/>
      <c r="F6216" s="89"/>
      <c r="G6216" s="89"/>
    </row>
    <row r="6217">
      <c r="A6217" s="93"/>
      <c r="B6217" s="87" t="s">
        <v>779</v>
      </c>
      <c r="C6217" s="88"/>
      <c r="D6217" s="92"/>
      <c r="E6217" s="89"/>
      <c r="F6217" s="89"/>
      <c r="G6217" s="89"/>
    </row>
    <row r="6218">
      <c r="A6218" s="93"/>
      <c r="B6218" s="87" t="s">
        <v>779</v>
      </c>
      <c r="C6218" s="88"/>
      <c r="D6218" s="92"/>
      <c r="E6218" s="89"/>
      <c r="F6218" s="89"/>
      <c r="G6218" s="89"/>
    </row>
    <row r="6219">
      <c r="A6219" s="93"/>
      <c r="B6219" s="87" t="s">
        <v>779</v>
      </c>
      <c r="C6219" s="88"/>
      <c r="D6219" s="92"/>
      <c r="E6219" s="89"/>
      <c r="F6219" s="89"/>
      <c r="G6219" s="89"/>
    </row>
    <row r="6220">
      <c r="A6220" s="93"/>
      <c r="B6220" s="87" t="s">
        <v>779</v>
      </c>
      <c r="C6220" s="88"/>
      <c r="D6220" s="92"/>
      <c r="E6220" s="89"/>
      <c r="F6220" s="89"/>
      <c r="G6220" s="89"/>
    </row>
    <row r="6221">
      <c r="A6221" s="93"/>
      <c r="B6221" s="87" t="s">
        <v>779</v>
      </c>
      <c r="C6221" s="88"/>
      <c r="D6221" s="92"/>
      <c r="E6221" s="89"/>
      <c r="F6221" s="89"/>
      <c r="G6221" s="89"/>
    </row>
    <row r="6222">
      <c r="A6222" s="93"/>
      <c r="B6222" s="87" t="s">
        <v>779</v>
      </c>
      <c r="C6222" s="88"/>
      <c r="D6222" s="92"/>
      <c r="E6222" s="89"/>
      <c r="F6222" s="89"/>
      <c r="G6222" s="89"/>
    </row>
    <row r="6223">
      <c r="A6223" s="93"/>
      <c r="B6223" s="87" t="s">
        <v>779</v>
      </c>
      <c r="C6223" s="88"/>
      <c r="D6223" s="92"/>
      <c r="E6223" s="89"/>
      <c r="F6223" s="89"/>
      <c r="G6223" s="89"/>
    </row>
    <row r="6224">
      <c r="A6224" s="93"/>
      <c r="B6224" s="87" t="s">
        <v>779</v>
      </c>
      <c r="C6224" s="88"/>
      <c r="D6224" s="92"/>
      <c r="E6224" s="89"/>
      <c r="F6224" s="89"/>
      <c r="G6224" s="89"/>
    </row>
    <row r="6225">
      <c r="A6225" s="93"/>
      <c r="B6225" s="87" t="s">
        <v>779</v>
      </c>
      <c r="C6225" s="88"/>
      <c r="D6225" s="92"/>
      <c r="E6225" s="89"/>
      <c r="F6225" s="89"/>
      <c r="G6225" s="89"/>
    </row>
    <row r="6226">
      <c r="A6226" s="93"/>
      <c r="B6226" s="87" t="s">
        <v>779</v>
      </c>
      <c r="C6226" s="88"/>
      <c r="D6226" s="92"/>
      <c r="E6226" s="89"/>
      <c r="F6226" s="89"/>
      <c r="G6226" s="89"/>
    </row>
    <row r="6227">
      <c r="A6227" s="93"/>
      <c r="B6227" s="87" t="s">
        <v>779</v>
      </c>
      <c r="C6227" s="88"/>
      <c r="D6227" s="92"/>
      <c r="E6227" s="89"/>
      <c r="F6227" s="89"/>
      <c r="G6227" s="89"/>
    </row>
    <row r="6228">
      <c r="A6228" s="93"/>
      <c r="B6228" s="87" t="s">
        <v>779</v>
      </c>
      <c r="C6228" s="88"/>
      <c r="D6228" s="92"/>
      <c r="E6228" s="89"/>
      <c r="F6228" s="89"/>
      <c r="G6228" s="89"/>
    </row>
    <row r="6229">
      <c r="A6229" s="93"/>
      <c r="B6229" s="87" t="s">
        <v>779</v>
      </c>
      <c r="C6229" s="88"/>
      <c r="D6229" s="92"/>
      <c r="E6229" s="89"/>
      <c r="F6229" s="89"/>
      <c r="G6229" s="89"/>
    </row>
    <row r="6230">
      <c r="A6230" s="93"/>
      <c r="B6230" s="87" t="s">
        <v>779</v>
      </c>
      <c r="C6230" s="88"/>
      <c r="D6230" s="92"/>
      <c r="E6230" s="89"/>
      <c r="F6230" s="89"/>
      <c r="G6230" s="89"/>
    </row>
    <row r="6231">
      <c r="A6231" s="93"/>
      <c r="B6231" s="87" t="s">
        <v>779</v>
      </c>
      <c r="C6231" s="88"/>
      <c r="D6231" s="92"/>
      <c r="E6231" s="89"/>
      <c r="F6231" s="89"/>
      <c r="G6231" s="89"/>
    </row>
    <row r="6232">
      <c r="A6232" s="93"/>
      <c r="B6232" s="87" t="s">
        <v>779</v>
      </c>
      <c r="C6232" s="88"/>
      <c r="D6232" s="92"/>
      <c r="E6232" s="89"/>
      <c r="F6232" s="89"/>
      <c r="G6232" s="89"/>
    </row>
    <row r="6233">
      <c r="A6233" s="93"/>
      <c r="B6233" s="87" t="s">
        <v>779</v>
      </c>
      <c r="C6233" s="88"/>
      <c r="D6233" s="92"/>
      <c r="E6233" s="89"/>
      <c r="F6233" s="89"/>
      <c r="G6233" s="89"/>
    </row>
    <row r="6234">
      <c r="A6234" s="93"/>
      <c r="B6234" s="87" t="s">
        <v>779</v>
      </c>
      <c r="C6234" s="88"/>
      <c r="D6234" s="92"/>
      <c r="E6234" s="89"/>
      <c r="F6234" s="89"/>
      <c r="G6234" s="89"/>
    </row>
    <row r="6235">
      <c r="A6235" s="93"/>
      <c r="B6235" s="87" t="s">
        <v>779</v>
      </c>
      <c r="C6235" s="88"/>
      <c r="D6235" s="92"/>
      <c r="E6235" s="89"/>
      <c r="F6235" s="89"/>
      <c r="G6235" s="89"/>
    </row>
    <row r="6236">
      <c r="A6236" s="93"/>
      <c r="B6236" s="87" t="s">
        <v>779</v>
      </c>
      <c r="C6236" s="88"/>
      <c r="D6236" s="92"/>
      <c r="E6236" s="89"/>
      <c r="F6236" s="89"/>
      <c r="G6236" s="89"/>
    </row>
    <row r="6237">
      <c r="A6237" s="93"/>
      <c r="B6237" s="87" t="s">
        <v>779</v>
      </c>
      <c r="C6237" s="88"/>
      <c r="D6237" s="92"/>
      <c r="E6237" s="89"/>
      <c r="F6237" s="89"/>
      <c r="G6237" s="89"/>
    </row>
    <row r="6238">
      <c r="A6238" s="93"/>
      <c r="B6238" s="87" t="s">
        <v>779</v>
      </c>
      <c r="C6238" s="88"/>
      <c r="D6238" s="92"/>
      <c r="E6238" s="89"/>
      <c r="F6238" s="89"/>
      <c r="G6238" s="89"/>
    </row>
    <row r="6239">
      <c r="A6239" s="93"/>
      <c r="B6239" s="87" t="s">
        <v>779</v>
      </c>
      <c r="C6239" s="88"/>
      <c r="D6239" s="92"/>
      <c r="E6239" s="89"/>
      <c r="F6239" s="89"/>
      <c r="G6239" s="89"/>
    </row>
    <row r="6240">
      <c r="A6240" s="93"/>
      <c r="B6240" s="87" t="s">
        <v>779</v>
      </c>
      <c r="C6240" s="88"/>
      <c r="D6240" s="92"/>
      <c r="E6240" s="89"/>
      <c r="F6240" s="89"/>
      <c r="G6240" s="89"/>
    </row>
    <row r="6241">
      <c r="A6241" s="93"/>
      <c r="B6241" s="87" t="s">
        <v>779</v>
      </c>
      <c r="C6241" s="88"/>
      <c r="D6241" s="92"/>
      <c r="E6241" s="89"/>
      <c r="F6241" s="89"/>
      <c r="G6241" s="89"/>
    </row>
    <row r="6242">
      <c r="A6242" s="93"/>
      <c r="B6242" s="87" t="s">
        <v>779</v>
      </c>
      <c r="C6242" s="88"/>
      <c r="D6242" s="92"/>
      <c r="E6242" s="89"/>
      <c r="F6242" s="89"/>
      <c r="G6242" s="89"/>
    </row>
    <row r="6243">
      <c r="A6243" s="93"/>
      <c r="B6243" s="87" t="s">
        <v>779</v>
      </c>
      <c r="C6243" s="88"/>
      <c r="D6243" s="92"/>
      <c r="E6243" s="89"/>
      <c r="F6243" s="89"/>
      <c r="G6243" s="89"/>
    </row>
    <row r="6244">
      <c r="A6244" s="93"/>
      <c r="B6244" s="87" t="s">
        <v>779</v>
      </c>
      <c r="C6244" s="88"/>
      <c r="D6244" s="92"/>
      <c r="E6244" s="89"/>
      <c r="F6244" s="89"/>
      <c r="G6244" s="89"/>
    </row>
    <row r="6245">
      <c r="A6245" s="93"/>
      <c r="B6245" s="87" t="s">
        <v>779</v>
      </c>
      <c r="C6245" s="88"/>
      <c r="D6245" s="92"/>
      <c r="E6245" s="89"/>
      <c r="F6245" s="89"/>
      <c r="G6245" s="89"/>
    </row>
    <row r="6246">
      <c r="A6246" s="93"/>
      <c r="B6246" s="87" t="s">
        <v>779</v>
      </c>
      <c r="C6246" s="88"/>
      <c r="D6246" s="92"/>
      <c r="E6246" s="89"/>
      <c r="F6246" s="89"/>
      <c r="G6246" s="89"/>
    </row>
    <row r="6247">
      <c r="A6247" s="93"/>
      <c r="B6247" s="87" t="s">
        <v>779</v>
      </c>
      <c r="C6247" s="88"/>
      <c r="D6247" s="92"/>
      <c r="E6247" s="89"/>
      <c r="F6247" s="89"/>
      <c r="G6247" s="89"/>
    </row>
    <row r="6248">
      <c r="A6248" s="93"/>
      <c r="B6248" s="87" t="s">
        <v>779</v>
      </c>
      <c r="C6248" s="88"/>
      <c r="D6248" s="92"/>
      <c r="E6248" s="89"/>
      <c r="F6248" s="89"/>
      <c r="G6248" s="89"/>
    </row>
    <row r="6249">
      <c r="A6249" s="93"/>
      <c r="B6249" s="87" t="s">
        <v>779</v>
      </c>
      <c r="C6249" s="88"/>
      <c r="D6249" s="92"/>
      <c r="E6249" s="89"/>
      <c r="F6249" s="89"/>
      <c r="G6249" s="89"/>
    </row>
    <row r="6250">
      <c r="A6250" s="93"/>
      <c r="B6250" s="87" t="s">
        <v>779</v>
      </c>
      <c r="C6250" s="88"/>
      <c r="D6250" s="92"/>
      <c r="E6250" s="89"/>
      <c r="F6250" s="89"/>
      <c r="G6250" s="89"/>
    </row>
    <row r="6251">
      <c r="A6251" s="93"/>
      <c r="B6251" s="87" t="s">
        <v>779</v>
      </c>
      <c r="C6251" s="88"/>
      <c r="D6251" s="92"/>
      <c r="E6251" s="89"/>
      <c r="F6251" s="89"/>
      <c r="G6251" s="89"/>
    </row>
    <row r="6252">
      <c r="A6252" s="93"/>
      <c r="B6252" s="87" t="s">
        <v>779</v>
      </c>
      <c r="C6252" s="88"/>
      <c r="D6252" s="92"/>
      <c r="E6252" s="89"/>
      <c r="F6252" s="89"/>
      <c r="G6252" s="89"/>
    </row>
    <row r="6253">
      <c r="A6253" s="93"/>
      <c r="B6253" s="87" t="s">
        <v>779</v>
      </c>
      <c r="C6253" s="88"/>
      <c r="D6253" s="92"/>
      <c r="E6253" s="89"/>
      <c r="F6253" s="89"/>
      <c r="G6253" s="89"/>
    </row>
    <row r="6254">
      <c r="A6254" s="93"/>
      <c r="B6254" s="87" t="s">
        <v>779</v>
      </c>
      <c r="C6254" s="88"/>
      <c r="D6254" s="92"/>
      <c r="E6254" s="89"/>
      <c r="F6254" s="89"/>
      <c r="G6254" s="89"/>
    </row>
    <row r="6255">
      <c r="A6255" s="93"/>
      <c r="B6255" s="87" t="s">
        <v>779</v>
      </c>
      <c r="C6255" s="88"/>
      <c r="D6255" s="92"/>
      <c r="E6255" s="89"/>
      <c r="F6255" s="89"/>
      <c r="G6255" s="89"/>
    </row>
    <row r="6256">
      <c r="A6256" s="93"/>
      <c r="B6256" s="87" t="s">
        <v>779</v>
      </c>
      <c r="C6256" s="88"/>
      <c r="D6256" s="92"/>
      <c r="E6256" s="89"/>
      <c r="F6256" s="89"/>
      <c r="G6256" s="89"/>
    </row>
    <row r="6257">
      <c r="A6257" s="93"/>
      <c r="B6257" s="87" t="s">
        <v>779</v>
      </c>
      <c r="C6257" s="88"/>
      <c r="D6257" s="92"/>
      <c r="E6257" s="89"/>
      <c r="F6257" s="89"/>
      <c r="G6257" s="89"/>
    </row>
    <row r="6258">
      <c r="A6258" s="93"/>
      <c r="B6258" s="87" t="s">
        <v>779</v>
      </c>
      <c r="C6258" s="88"/>
      <c r="D6258" s="92"/>
      <c r="E6258" s="89"/>
      <c r="F6258" s="89"/>
      <c r="G6258" s="89"/>
    </row>
    <row r="6259">
      <c r="A6259" s="93"/>
      <c r="B6259" s="87" t="s">
        <v>779</v>
      </c>
      <c r="C6259" s="88"/>
      <c r="D6259" s="92"/>
      <c r="E6259" s="89"/>
      <c r="F6259" s="89"/>
      <c r="G6259" s="89"/>
    </row>
    <row r="6260">
      <c r="A6260" s="93"/>
      <c r="B6260" s="87" t="s">
        <v>779</v>
      </c>
      <c r="C6260" s="88"/>
      <c r="D6260" s="92"/>
      <c r="E6260" s="89"/>
      <c r="F6260" s="89"/>
      <c r="G6260" s="89"/>
    </row>
    <row r="6261">
      <c r="A6261" s="93"/>
      <c r="B6261" s="87" t="s">
        <v>779</v>
      </c>
      <c r="C6261" s="88"/>
      <c r="D6261" s="92"/>
      <c r="E6261" s="89"/>
      <c r="F6261" s="89"/>
      <c r="G6261" s="89"/>
    </row>
    <row r="6262">
      <c r="A6262" s="93"/>
      <c r="B6262" s="87" t="s">
        <v>779</v>
      </c>
      <c r="C6262" s="88"/>
      <c r="D6262" s="92"/>
      <c r="E6262" s="89"/>
      <c r="F6262" s="89"/>
      <c r="G6262" s="89"/>
    </row>
    <row r="6263">
      <c r="A6263" s="93"/>
      <c r="B6263" s="87" t="s">
        <v>779</v>
      </c>
      <c r="C6263" s="88"/>
      <c r="D6263" s="92"/>
      <c r="E6263" s="89"/>
      <c r="F6263" s="89"/>
      <c r="G6263" s="89"/>
    </row>
    <row r="6264">
      <c r="A6264" s="93"/>
      <c r="B6264" s="87" t="s">
        <v>779</v>
      </c>
      <c r="C6264" s="88"/>
      <c r="D6264" s="92"/>
      <c r="E6264" s="89"/>
      <c r="F6264" s="89"/>
      <c r="G6264" s="89"/>
    </row>
    <row r="6265">
      <c r="A6265" s="93"/>
      <c r="B6265" s="87" t="s">
        <v>779</v>
      </c>
      <c r="C6265" s="88"/>
      <c r="D6265" s="92"/>
      <c r="E6265" s="89"/>
      <c r="F6265" s="89"/>
      <c r="G6265" s="89"/>
    </row>
    <row r="6266">
      <c r="A6266" s="93"/>
      <c r="B6266" s="87" t="s">
        <v>779</v>
      </c>
      <c r="C6266" s="88"/>
      <c r="D6266" s="92"/>
      <c r="E6266" s="89"/>
      <c r="F6266" s="89"/>
      <c r="G6266" s="89"/>
    </row>
    <row r="6267">
      <c r="A6267" s="93"/>
      <c r="B6267" s="87" t="s">
        <v>779</v>
      </c>
      <c r="C6267" s="88"/>
      <c r="D6267" s="92"/>
      <c r="E6267" s="89"/>
      <c r="F6267" s="89"/>
      <c r="G6267" s="89"/>
    </row>
    <row r="6268">
      <c r="A6268" s="93"/>
      <c r="B6268" s="87" t="s">
        <v>779</v>
      </c>
      <c r="C6268" s="88"/>
      <c r="D6268" s="92"/>
      <c r="E6268" s="89"/>
      <c r="F6268" s="89"/>
      <c r="G6268" s="89"/>
    </row>
    <row r="6269">
      <c r="A6269" s="93"/>
      <c r="B6269" s="87" t="s">
        <v>779</v>
      </c>
      <c r="C6269" s="88"/>
      <c r="D6269" s="92"/>
      <c r="E6269" s="89"/>
      <c r="F6269" s="89"/>
      <c r="G6269" s="89"/>
    </row>
    <row r="6270">
      <c r="A6270" s="93"/>
      <c r="B6270" s="87" t="s">
        <v>779</v>
      </c>
      <c r="C6270" s="88"/>
      <c r="D6270" s="92"/>
      <c r="E6270" s="89"/>
      <c r="F6270" s="89"/>
      <c r="G6270" s="89"/>
    </row>
    <row r="6271">
      <c r="A6271" s="93"/>
      <c r="B6271" s="87" t="s">
        <v>779</v>
      </c>
      <c r="C6271" s="88"/>
      <c r="D6271" s="92"/>
      <c r="E6271" s="89"/>
      <c r="F6271" s="89"/>
      <c r="G6271" s="89"/>
    </row>
    <row r="6272">
      <c r="A6272" s="93"/>
      <c r="B6272" s="87" t="s">
        <v>779</v>
      </c>
      <c r="C6272" s="88"/>
      <c r="D6272" s="92"/>
      <c r="E6272" s="89"/>
      <c r="F6272" s="89"/>
      <c r="G6272" s="89"/>
    </row>
    <row r="6273">
      <c r="A6273" s="93"/>
      <c r="B6273" s="87" t="s">
        <v>779</v>
      </c>
      <c r="C6273" s="88"/>
      <c r="D6273" s="92"/>
      <c r="E6273" s="89"/>
      <c r="F6273" s="89"/>
      <c r="G6273" s="89"/>
    </row>
    <row r="6274">
      <c r="A6274" s="93"/>
      <c r="B6274" s="87" t="s">
        <v>779</v>
      </c>
      <c r="C6274" s="88"/>
      <c r="D6274" s="92"/>
      <c r="E6274" s="89"/>
      <c r="F6274" s="89"/>
      <c r="G6274" s="89"/>
    </row>
    <row r="6275">
      <c r="A6275" s="93"/>
      <c r="B6275" s="87" t="s">
        <v>779</v>
      </c>
      <c r="C6275" s="88"/>
      <c r="D6275" s="92"/>
      <c r="E6275" s="89"/>
      <c r="F6275" s="89"/>
      <c r="G6275" s="89"/>
    </row>
    <row r="6276">
      <c r="A6276" s="93"/>
      <c r="B6276" s="87" t="s">
        <v>779</v>
      </c>
      <c r="C6276" s="88"/>
      <c r="D6276" s="92"/>
      <c r="E6276" s="89"/>
      <c r="F6276" s="89"/>
      <c r="G6276" s="89"/>
    </row>
    <row r="6277">
      <c r="A6277" s="93"/>
      <c r="B6277" s="87" t="s">
        <v>779</v>
      </c>
      <c r="C6277" s="88"/>
      <c r="D6277" s="92"/>
      <c r="E6277" s="89"/>
      <c r="F6277" s="89"/>
      <c r="G6277" s="89"/>
    </row>
    <row r="6278">
      <c r="A6278" s="93"/>
      <c r="B6278" s="87" t="s">
        <v>779</v>
      </c>
      <c r="C6278" s="88"/>
      <c r="D6278" s="92"/>
      <c r="E6278" s="89"/>
      <c r="F6278" s="89"/>
      <c r="G6278" s="89"/>
    </row>
    <row r="6279">
      <c r="A6279" s="93"/>
      <c r="B6279" s="87" t="s">
        <v>779</v>
      </c>
      <c r="C6279" s="88"/>
      <c r="D6279" s="92"/>
      <c r="E6279" s="89"/>
      <c r="F6279" s="89"/>
      <c r="G6279" s="89"/>
    </row>
    <row r="6280">
      <c r="A6280" s="93"/>
      <c r="B6280" s="87" t="s">
        <v>779</v>
      </c>
      <c r="C6280" s="88"/>
      <c r="D6280" s="92"/>
      <c r="E6280" s="89"/>
      <c r="F6280" s="89"/>
      <c r="G6280" s="89"/>
    </row>
    <row r="6281">
      <c r="A6281" s="93"/>
      <c r="B6281" s="87" t="s">
        <v>779</v>
      </c>
      <c r="C6281" s="88"/>
      <c r="D6281" s="92"/>
      <c r="E6281" s="89"/>
      <c r="F6281" s="89"/>
      <c r="G6281" s="89"/>
    </row>
    <row r="6282">
      <c r="A6282" s="93"/>
      <c r="B6282" s="87" t="s">
        <v>779</v>
      </c>
      <c r="C6282" s="88"/>
      <c r="D6282" s="92"/>
      <c r="E6282" s="89"/>
      <c r="F6282" s="89"/>
      <c r="G6282" s="89"/>
    </row>
    <row r="6283">
      <c r="A6283" s="93"/>
      <c r="B6283" s="87" t="s">
        <v>779</v>
      </c>
      <c r="C6283" s="88"/>
      <c r="D6283" s="92"/>
      <c r="E6283" s="89"/>
      <c r="F6283" s="89"/>
      <c r="G6283" s="89"/>
    </row>
    <row r="6284">
      <c r="A6284" s="93"/>
      <c r="B6284" s="87" t="s">
        <v>779</v>
      </c>
      <c r="C6284" s="88"/>
      <c r="D6284" s="92"/>
      <c r="E6284" s="89"/>
      <c r="F6284" s="89"/>
      <c r="G6284" s="89"/>
    </row>
    <row r="6285">
      <c r="A6285" s="93"/>
      <c r="B6285" s="87" t="s">
        <v>779</v>
      </c>
      <c r="C6285" s="88"/>
      <c r="D6285" s="92"/>
      <c r="E6285" s="89"/>
      <c r="F6285" s="89"/>
      <c r="G6285" s="89"/>
    </row>
    <row r="6286">
      <c r="A6286" s="93"/>
      <c r="B6286" s="87" t="s">
        <v>779</v>
      </c>
      <c r="C6286" s="88"/>
      <c r="D6286" s="92"/>
      <c r="E6286" s="89"/>
      <c r="F6286" s="89"/>
      <c r="G6286" s="89"/>
    </row>
    <row r="6287">
      <c r="A6287" s="93"/>
      <c r="B6287" s="87" t="s">
        <v>779</v>
      </c>
      <c r="C6287" s="88"/>
      <c r="D6287" s="92"/>
      <c r="E6287" s="89"/>
      <c r="F6287" s="89"/>
      <c r="G6287" s="89"/>
    </row>
    <row r="6288">
      <c r="A6288" s="93"/>
      <c r="B6288" s="87" t="s">
        <v>779</v>
      </c>
      <c r="C6288" s="88"/>
      <c r="D6288" s="92"/>
      <c r="E6288" s="89"/>
      <c r="F6288" s="89"/>
      <c r="G6288" s="89"/>
    </row>
    <row r="6289">
      <c r="A6289" s="93"/>
      <c r="B6289" s="87" t="s">
        <v>779</v>
      </c>
      <c r="C6289" s="88"/>
      <c r="D6289" s="92"/>
      <c r="E6289" s="89"/>
      <c r="F6289" s="89"/>
      <c r="G6289" s="89"/>
    </row>
    <row r="6290">
      <c r="A6290" s="93"/>
      <c r="B6290" s="87" t="s">
        <v>779</v>
      </c>
      <c r="C6290" s="88"/>
      <c r="D6290" s="92"/>
      <c r="E6290" s="89"/>
      <c r="F6290" s="89"/>
      <c r="G6290" s="89"/>
    </row>
    <row r="6291">
      <c r="A6291" s="93"/>
      <c r="B6291" s="87" t="s">
        <v>779</v>
      </c>
      <c r="C6291" s="88"/>
      <c r="D6291" s="92"/>
      <c r="E6291" s="89"/>
      <c r="F6291" s="89"/>
      <c r="G6291" s="89"/>
    </row>
    <row r="6292">
      <c r="A6292" s="93"/>
      <c r="B6292" s="87" t="s">
        <v>779</v>
      </c>
      <c r="C6292" s="88"/>
      <c r="D6292" s="92"/>
      <c r="E6292" s="89"/>
      <c r="F6292" s="89"/>
      <c r="G6292" s="89"/>
    </row>
    <row r="6293">
      <c r="A6293" s="93"/>
      <c r="B6293" s="87" t="s">
        <v>779</v>
      </c>
      <c r="C6293" s="88"/>
      <c r="D6293" s="92"/>
      <c r="E6293" s="89"/>
      <c r="F6293" s="89"/>
      <c r="G6293" s="89"/>
    </row>
    <row r="6294">
      <c r="A6294" s="93"/>
      <c r="B6294" s="87" t="s">
        <v>779</v>
      </c>
      <c r="C6294" s="88"/>
      <c r="D6294" s="92"/>
      <c r="E6294" s="89"/>
      <c r="F6294" s="89"/>
      <c r="G6294" s="89"/>
    </row>
    <row r="6295">
      <c r="A6295" s="93"/>
      <c r="B6295" s="87" t="s">
        <v>779</v>
      </c>
      <c r="C6295" s="88"/>
      <c r="D6295" s="92"/>
      <c r="E6295" s="89"/>
      <c r="F6295" s="89"/>
      <c r="G6295" s="89"/>
    </row>
    <row r="6296">
      <c r="A6296" s="93"/>
      <c r="B6296" s="87" t="s">
        <v>779</v>
      </c>
      <c r="C6296" s="88"/>
      <c r="D6296" s="92"/>
      <c r="E6296" s="89"/>
      <c r="F6296" s="89"/>
      <c r="G6296" s="89"/>
    </row>
    <row r="6297">
      <c r="A6297" s="93"/>
      <c r="B6297" s="87" t="s">
        <v>779</v>
      </c>
      <c r="C6297" s="88"/>
      <c r="D6297" s="92"/>
      <c r="E6297" s="89"/>
      <c r="F6297" s="89"/>
      <c r="G6297" s="89"/>
    </row>
    <row r="6298">
      <c r="A6298" s="93"/>
      <c r="B6298" s="87" t="s">
        <v>779</v>
      </c>
      <c r="C6298" s="88"/>
      <c r="D6298" s="92"/>
      <c r="E6298" s="89"/>
      <c r="F6298" s="89"/>
      <c r="G6298" s="89"/>
    </row>
    <row r="6299">
      <c r="A6299" s="93"/>
      <c r="B6299" s="87" t="s">
        <v>779</v>
      </c>
      <c r="C6299" s="88"/>
      <c r="D6299" s="92"/>
      <c r="E6299" s="89"/>
      <c r="F6299" s="89"/>
      <c r="G6299" s="89"/>
    </row>
    <row r="6300">
      <c r="A6300" s="93"/>
      <c r="B6300" s="87" t="s">
        <v>779</v>
      </c>
      <c r="C6300" s="88"/>
      <c r="D6300" s="92"/>
      <c r="E6300" s="89"/>
      <c r="F6300" s="89"/>
      <c r="G6300" s="89"/>
    </row>
    <row r="6301">
      <c r="A6301" s="93"/>
      <c r="B6301" s="87" t="s">
        <v>779</v>
      </c>
      <c r="C6301" s="88"/>
      <c r="D6301" s="92"/>
      <c r="E6301" s="89"/>
      <c r="F6301" s="89"/>
      <c r="G6301" s="89"/>
    </row>
    <row r="6302">
      <c r="A6302" s="93"/>
      <c r="B6302" s="87" t="s">
        <v>779</v>
      </c>
      <c r="C6302" s="88"/>
      <c r="D6302" s="92"/>
      <c r="E6302" s="89"/>
      <c r="F6302" s="89"/>
      <c r="G6302" s="89"/>
    </row>
    <row r="6303">
      <c r="A6303" s="93"/>
      <c r="B6303" s="87" t="s">
        <v>779</v>
      </c>
      <c r="C6303" s="88"/>
      <c r="D6303" s="92"/>
      <c r="E6303" s="89"/>
      <c r="F6303" s="89"/>
      <c r="G6303" s="89"/>
    </row>
    <row r="6304">
      <c r="A6304" s="93"/>
      <c r="B6304" s="87" t="s">
        <v>779</v>
      </c>
      <c r="C6304" s="88"/>
      <c r="D6304" s="92"/>
      <c r="E6304" s="89"/>
      <c r="F6304" s="89"/>
      <c r="G6304" s="89"/>
    </row>
    <row r="6305">
      <c r="A6305" s="93"/>
      <c r="B6305" s="87" t="s">
        <v>779</v>
      </c>
      <c r="C6305" s="88"/>
      <c r="D6305" s="92"/>
      <c r="E6305" s="89"/>
      <c r="F6305" s="89"/>
      <c r="G6305" s="89"/>
    </row>
    <row r="6306">
      <c r="A6306" s="93"/>
      <c r="B6306" s="87" t="s">
        <v>779</v>
      </c>
      <c r="C6306" s="88"/>
      <c r="D6306" s="92"/>
      <c r="E6306" s="89"/>
      <c r="F6306" s="89"/>
      <c r="G6306" s="89"/>
    </row>
    <row r="6307">
      <c r="A6307" s="93"/>
      <c r="B6307" s="87" t="s">
        <v>779</v>
      </c>
      <c r="C6307" s="88"/>
      <c r="D6307" s="92"/>
      <c r="E6307" s="89"/>
      <c r="F6307" s="89"/>
      <c r="G6307" s="89"/>
    </row>
    <row r="6308">
      <c r="A6308" s="93"/>
      <c r="B6308" s="87" t="s">
        <v>779</v>
      </c>
      <c r="C6308" s="88"/>
      <c r="D6308" s="92"/>
      <c r="E6308" s="89"/>
      <c r="F6308" s="89"/>
      <c r="G6308" s="89"/>
    </row>
    <row r="6309">
      <c r="A6309" s="93"/>
      <c r="B6309" s="87" t="s">
        <v>779</v>
      </c>
      <c r="C6309" s="88"/>
      <c r="D6309" s="92"/>
      <c r="E6309" s="89"/>
      <c r="F6309" s="89"/>
      <c r="G6309" s="89"/>
    </row>
    <row r="6310">
      <c r="A6310" s="93"/>
      <c r="B6310" s="87" t="s">
        <v>779</v>
      </c>
      <c r="C6310" s="88"/>
      <c r="D6310" s="92"/>
      <c r="E6310" s="89"/>
      <c r="F6310" s="89"/>
      <c r="G6310" s="89"/>
    </row>
    <row r="6311">
      <c r="A6311" s="93"/>
      <c r="B6311" s="87" t="s">
        <v>779</v>
      </c>
      <c r="C6311" s="88"/>
      <c r="D6311" s="92"/>
      <c r="E6311" s="89"/>
      <c r="F6311" s="89"/>
      <c r="G6311" s="89"/>
    </row>
    <row r="6312">
      <c r="A6312" s="93"/>
      <c r="B6312" s="87" t="s">
        <v>779</v>
      </c>
      <c r="C6312" s="88"/>
      <c r="D6312" s="92"/>
      <c r="E6312" s="89"/>
      <c r="F6312" s="89"/>
      <c r="G6312" s="89"/>
    </row>
    <row r="6313">
      <c r="A6313" s="93"/>
      <c r="B6313" s="87" t="s">
        <v>779</v>
      </c>
      <c r="C6313" s="88"/>
      <c r="D6313" s="92"/>
      <c r="E6313" s="89"/>
      <c r="F6313" s="89"/>
      <c r="G6313" s="89"/>
    </row>
    <row r="6314">
      <c r="A6314" s="93"/>
      <c r="B6314" s="87" t="s">
        <v>779</v>
      </c>
      <c r="C6314" s="88"/>
      <c r="D6314" s="92"/>
      <c r="E6314" s="89"/>
      <c r="F6314" s="89"/>
      <c r="G6314" s="89"/>
    </row>
    <row r="6315">
      <c r="A6315" s="93"/>
      <c r="B6315" s="87" t="s">
        <v>779</v>
      </c>
      <c r="C6315" s="88"/>
      <c r="D6315" s="92"/>
      <c r="E6315" s="89"/>
      <c r="F6315" s="89"/>
      <c r="G6315" s="89"/>
    </row>
    <row r="6316">
      <c r="A6316" s="93"/>
      <c r="B6316" s="87" t="s">
        <v>779</v>
      </c>
      <c r="C6316" s="88"/>
      <c r="D6316" s="92"/>
      <c r="E6316" s="89"/>
      <c r="F6316" s="89"/>
      <c r="G6316" s="89"/>
    </row>
    <row r="6317">
      <c r="A6317" s="93"/>
      <c r="B6317" s="87" t="s">
        <v>779</v>
      </c>
      <c r="C6317" s="88"/>
      <c r="D6317" s="92"/>
      <c r="E6317" s="89"/>
      <c r="F6317" s="89"/>
      <c r="G6317" s="89"/>
    </row>
    <row r="6318">
      <c r="A6318" s="93"/>
      <c r="B6318" s="87" t="s">
        <v>779</v>
      </c>
      <c r="C6318" s="88"/>
      <c r="D6318" s="92"/>
      <c r="E6318" s="89"/>
      <c r="F6318" s="89"/>
      <c r="G6318" s="89"/>
    </row>
    <row r="6319">
      <c r="A6319" s="93"/>
      <c r="B6319" s="87" t="s">
        <v>779</v>
      </c>
      <c r="C6319" s="88"/>
      <c r="D6319" s="92"/>
      <c r="E6319" s="89"/>
      <c r="F6319" s="89"/>
      <c r="G6319" s="89"/>
    </row>
    <row r="6320">
      <c r="A6320" s="93"/>
      <c r="B6320" s="87" t="s">
        <v>779</v>
      </c>
      <c r="C6320" s="88"/>
      <c r="D6320" s="92"/>
      <c r="E6320" s="89"/>
      <c r="F6320" s="89"/>
      <c r="G6320" s="89"/>
    </row>
    <row r="6321">
      <c r="A6321" s="93"/>
      <c r="B6321" s="87" t="s">
        <v>779</v>
      </c>
      <c r="C6321" s="88"/>
      <c r="D6321" s="92"/>
      <c r="E6321" s="89"/>
      <c r="F6321" s="89"/>
      <c r="G6321" s="89"/>
    </row>
    <row r="6322">
      <c r="A6322" s="93"/>
      <c r="B6322" s="87" t="s">
        <v>779</v>
      </c>
      <c r="C6322" s="88"/>
      <c r="D6322" s="92"/>
      <c r="E6322" s="89"/>
      <c r="F6322" s="89"/>
      <c r="G6322" s="89"/>
    </row>
    <row r="6323">
      <c r="A6323" s="93"/>
      <c r="B6323" s="87" t="s">
        <v>779</v>
      </c>
      <c r="C6323" s="88"/>
      <c r="D6323" s="92"/>
      <c r="E6323" s="89"/>
      <c r="F6323" s="89"/>
      <c r="G6323" s="89"/>
    </row>
    <row r="6324">
      <c r="A6324" s="93"/>
      <c r="B6324" s="87" t="s">
        <v>779</v>
      </c>
      <c r="C6324" s="88"/>
      <c r="D6324" s="92"/>
      <c r="E6324" s="89"/>
      <c r="F6324" s="89"/>
      <c r="G6324" s="89"/>
    </row>
    <row r="6325">
      <c r="A6325" s="93"/>
      <c r="B6325" s="87" t="s">
        <v>779</v>
      </c>
      <c r="C6325" s="88"/>
      <c r="D6325" s="92"/>
      <c r="E6325" s="89"/>
      <c r="F6325" s="89"/>
      <c r="G6325" s="89"/>
    </row>
    <row r="6326">
      <c r="A6326" s="93"/>
      <c r="B6326" s="87" t="s">
        <v>779</v>
      </c>
      <c r="C6326" s="88"/>
      <c r="D6326" s="92"/>
      <c r="E6326" s="89"/>
      <c r="F6326" s="89"/>
      <c r="G6326" s="89"/>
    </row>
    <row r="6327">
      <c r="A6327" s="93"/>
      <c r="B6327" s="87" t="s">
        <v>779</v>
      </c>
      <c r="C6327" s="88"/>
      <c r="D6327" s="92"/>
      <c r="E6327" s="89"/>
      <c r="F6327" s="89"/>
      <c r="G6327" s="89"/>
    </row>
    <row r="6328">
      <c r="A6328" s="93"/>
      <c r="B6328" s="87" t="s">
        <v>779</v>
      </c>
      <c r="C6328" s="88"/>
      <c r="D6328" s="92"/>
      <c r="E6328" s="89"/>
      <c r="F6328" s="89"/>
      <c r="G6328" s="89"/>
    </row>
    <row r="6329">
      <c r="A6329" s="93"/>
      <c r="B6329" s="87" t="s">
        <v>779</v>
      </c>
      <c r="C6329" s="88"/>
      <c r="D6329" s="92"/>
      <c r="E6329" s="89"/>
      <c r="F6329" s="89"/>
      <c r="G6329" s="89"/>
    </row>
    <row r="6330">
      <c r="A6330" s="93"/>
      <c r="B6330" s="87" t="s">
        <v>779</v>
      </c>
      <c r="C6330" s="88"/>
      <c r="D6330" s="92"/>
      <c r="E6330" s="89"/>
      <c r="F6330" s="89"/>
      <c r="G6330" s="89"/>
    </row>
    <row r="6331">
      <c r="A6331" s="93"/>
      <c r="B6331" s="87" t="s">
        <v>779</v>
      </c>
      <c r="C6331" s="88"/>
      <c r="D6331" s="92"/>
      <c r="E6331" s="89"/>
      <c r="F6331" s="89"/>
      <c r="G6331" s="89"/>
    </row>
    <row r="6332">
      <c r="A6332" s="93"/>
      <c r="B6332" s="87" t="s">
        <v>779</v>
      </c>
      <c r="C6332" s="88"/>
      <c r="D6332" s="92"/>
      <c r="E6332" s="89"/>
      <c r="F6332" s="89"/>
      <c r="G6332" s="89"/>
    </row>
    <row r="6333">
      <c r="A6333" s="93"/>
      <c r="B6333" s="87" t="s">
        <v>779</v>
      </c>
      <c r="C6333" s="88"/>
      <c r="D6333" s="92"/>
      <c r="E6333" s="89"/>
      <c r="F6333" s="89"/>
      <c r="G6333" s="89"/>
    </row>
    <row r="6334">
      <c r="A6334" s="93"/>
      <c r="B6334" s="87" t="s">
        <v>779</v>
      </c>
      <c r="C6334" s="88"/>
      <c r="D6334" s="92"/>
      <c r="E6334" s="89"/>
      <c r="F6334" s="89"/>
      <c r="G6334" s="89"/>
    </row>
    <row r="6335">
      <c r="A6335" s="93"/>
      <c r="B6335" s="87" t="s">
        <v>779</v>
      </c>
      <c r="C6335" s="88"/>
      <c r="D6335" s="92"/>
      <c r="E6335" s="89"/>
      <c r="F6335" s="89"/>
      <c r="G6335" s="89"/>
    </row>
    <row r="6336">
      <c r="A6336" s="93"/>
      <c r="B6336" s="87" t="s">
        <v>779</v>
      </c>
      <c r="C6336" s="88"/>
      <c r="D6336" s="92"/>
      <c r="E6336" s="89"/>
      <c r="F6336" s="89"/>
      <c r="G6336" s="89"/>
    </row>
    <row r="6337">
      <c r="A6337" s="93"/>
      <c r="B6337" s="87" t="s">
        <v>779</v>
      </c>
      <c r="C6337" s="88"/>
      <c r="D6337" s="92"/>
      <c r="E6337" s="89"/>
      <c r="F6337" s="89"/>
      <c r="G6337" s="89"/>
    </row>
    <row r="6338">
      <c r="A6338" s="93"/>
      <c r="B6338" s="87" t="s">
        <v>779</v>
      </c>
      <c r="C6338" s="88"/>
      <c r="D6338" s="92"/>
      <c r="E6338" s="89"/>
      <c r="F6338" s="89"/>
      <c r="G6338" s="89"/>
    </row>
    <row r="6339">
      <c r="A6339" s="93"/>
      <c r="B6339" s="87" t="s">
        <v>779</v>
      </c>
      <c r="C6339" s="88"/>
      <c r="D6339" s="92"/>
      <c r="E6339" s="89"/>
      <c r="F6339" s="89"/>
      <c r="G6339" s="89"/>
    </row>
    <row r="6340">
      <c r="A6340" s="93"/>
      <c r="B6340" s="87" t="s">
        <v>779</v>
      </c>
      <c r="C6340" s="88"/>
      <c r="D6340" s="92"/>
      <c r="E6340" s="89"/>
      <c r="F6340" s="89"/>
      <c r="G6340" s="89"/>
    </row>
    <row r="6341">
      <c r="A6341" s="93"/>
      <c r="B6341" s="87" t="s">
        <v>779</v>
      </c>
      <c r="C6341" s="88"/>
      <c r="D6341" s="92"/>
      <c r="E6341" s="89"/>
      <c r="F6341" s="89"/>
      <c r="G6341" s="89"/>
    </row>
    <row r="6342">
      <c r="A6342" s="93"/>
      <c r="B6342" s="87" t="s">
        <v>779</v>
      </c>
      <c r="C6342" s="88"/>
      <c r="D6342" s="92"/>
      <c r="E6342" s="89"/>
      <c r="F6342" s="89"/>
      <c r="G6342" s="89"/>
    </row>
    <row r="6343">
      <c r="A6343" s="93"/>
      <c r="B6343" s="87" t="s">
        <v>779</v>
      </c>
      <c r="C6343" s="88"/>
      <c r="D6343" s="92"/>
      <c r="E6343" s="89"/>
      <c r="F6343" s="89"/>
      <c r="G6343" s="89"/>
    </row>
    <row r="6344">
      <c r="A6344" s="93"/>
      <c r="B6344" s="87" t="s">
        <v>779</v>
      </c>
      <c r="C6344" s="88"/>
      <c r="D6344" s="92"/>
      <c r="E6344" s="89"/>
      <c r="F6344" s="89"/>
      <c r="G6344" s="89"/>
    </row>
    <row r="6345">
      <c r="A6345" s="93"/>
      <c r="B6345" s="87" t="s">
        <v>779</v>
      </c>
      <c r="C6345" s="88"/>
      <c r="D6345" s="92"/>
      <c r="E6345" s="89"/>
      <c r="F6345" s="89"/>
      <c r="G6345" s="89"/>
    </row>
    <row r="6346">
      <c r="A6346" s="93"/>
      <c r="B6346" s="87" t="s">
        <v>779</v>
      </c>
      <c r="C6346" s="88"/>
      <c r="D6346" s="92"/>
      <c r="E6346" s="89"/>
      <c r="F6346" s="89"/>
      <c r="G6346" s="89"/>
    </row>
    <row r="6347">
      <c r="A6347" s="93"/>
      <c r="B6347" s="87" t="s">
        <v>779</v>
      </c>
      <c r="C6347" s="88"/>
      <c r="D6347" s="92"/>
      <c r="E6347" s="89"/>
      <c r="F6347" s="89"/>
      <c r="G6347" s="89"/>
    </row>
    <row r="6348">
      <c r="A6348" s="93"/>
      <c r="B6348" s="87" t="s">
        <v>779</v>
      </c>
      <c r="C6348" s="88"/>
      <c r="D6348" s="92"/>
      <c r="E6348" s="89"/>
      <c r="F6348" s="89"/>
      <c r="G6348" s="89"/>
    </row>
    <row r="6349">
      <c r="A6349" s="93"/>
      <c r="B6349" s="87" t="s">
        <v>779</v>
      </c>
      <c r="C6349" s="88"/>
      <c r="D6349" s="92"/>
      <c r="E6349" s="89"/>
      <c r="F6349" s="89"/>
      <c r="G6349" s="89"/>
    </row>
    <row r="6350">
      <c r="A6350" s="93"/>
      <c r="B6350" s="87" t="s">
        <v>779</v>
      </c>
      <c r="C6350" s="88"/>
      <c r="D6350" s="92"/>
      <c r="E6350" s="89"/>
      <c r="F6350" s="89"/>
      <c r="G6350" s="89"/>
    </row>
    <row r="6351">
      <c r="A6351" s="93"/>
      <c r="B6351" s="87" t="s">
        <v>779</v>
      </c>
      <c r="C6351" s="88"/>
      <c r="D6351" s="92"/>
      <c r="E6351" s="89"/>
      <c r="F6351" s="89"/>
      <c r="G6351" s="89"/>
    </row>
    <row r="6352">
      <c r="A6352" s="93"/>
      <c r="B6352" s="87" t="s">
        <v>779</v>
      </c>
      <c r="C6352" s="88"/>
      <c r="D6352" s="92"/>
      <c r="E6352" s="89"/>
      <c r="F6352" s="89"/>
      <c r="G6352" s="89"/>
    </row>
    <row r="6353">
      <c r="A6353" s="93"/>
      <c r="B6353" s="87" t="s">
        <v>779</v>
      </c>
      <c r="C6353" s="88"/>
      <c r="D6353" s="92"/>
      <c r="E6353" s="89"/>
      <c r="F6353" s="89"/>
      <c r="G6353" s="89"/>
    </row>
    <row r="6354">
      <c r="A6354" s="93"/>
      <c r="B6354" s="87" t="s">
        <v>779</v>
      </c>
      <c r="C6354" s="88"/>
      <c r="D6354" s="92"/>
      <c r="E6354" s="89"/>
      <c r="F6354" s="89"/>
      <c r="G6354" s="89"/>
    </row>
    <row r="6355">
      <c r="A6355" s="93"/>
      <c r="B6355" s="87" t="s">
        <v>779</v>
      </c>
      <c r="C6355" s="88"/>
      <c r="D6355" s="92"/>
      <c r="E6355" s="89"/>
      <c r="F6355" s="89"/>
      <c r="G6355" s="89"/>
    </row>
    <row r="6356">
      <c r="A6356" s="93"/>
      <c r="B6356" s="87" t="s">
        <v>779</v>
      </c>
      <c r="C6356" s="88"/>
      <c r="D6356" s="92"/>
      <c r="E6356" s="89"/>
      <c r="F6356" s="89"/>
      <c r="G6356" s="89"/>
    </row>
    <row r="6357">
      <c r="A6357" s="93"/>
      <c r="B6357" s="87" t="s">
        <v>779</v>
      </c>
      <c r="C6357" s="88"/>
      <c r="D6357" s="92"/>
      <c r="E6357" s="89"/>
      <c r="F6357" s="89"/>
      <c r="G6357" s="89"/>
    </row>
    <row r="6358">
      <c r="A6358" s="93"/>
      <c r="B6358" s="87" t="s">
        <v>779</v>
      </c>
      <c r="C6358" s="88"/>
      <c r="D6358" s="92"/>
      <c r="E6358" s="89"/>
      <c r="F6358" s="89"/>
      <c r="G6358" s="89"/>
    </row>
    <row r="6359">
      <c r="A6359" s="93"/>
      <c r="B6359" s="87" t="s">
        <v>779</v>
      </c>
      <c r="C6359" s="88"/>
      <c r="D6359" s="92"/>
      <c r="E6359" s="89"/>
      <c r="F6359" s="89"/>
      <c r="G6359" s="89"/>
    </row>
    <row r="6360">
      <c r="A6360" s="93"/>
      <c r="B6360" s="87" t="s">
        <v>779</v>
      </c>
      <c r="C6360" s="88"/>
      <c r="D6360" s="92"/>
      <c r="E6360" s="89"/>
      <c r="F6360" s="89"/>
      <c r="G6360" s="89"/>
    </row>
    <row r="6361">
      <c r="A6361" s="93"/>
      <c r="B6361" s="87" t="s">
        <v>779</v>
      </c>
      <c r="C6361" s="88"/>
      <c r="D6361" s="92"/>
      <c r="E6361" s="89"/>
      <c r="F6361" s="89"/>
      <c r="G6361" s="89"/>
    </row>
    <row r="6362">
      <c r="A6362" s="93"/>
      <c r="B6362" s="87" t="s">
        <v>779</v>
      </c>
      <c r="C6362" s="88"/>
      <c r="D6362" s="92"/>
      <c r="E6362" s="89"/>
      <c r="F6362" s="89"/>
      <c r="G6362" s="89"/>
    </row>
    <row r="6363">
      <c r="A6363" s="93"/>
      <c r="B6363" s="87" t="s">
        <v>779</v>
      </c>
      <c r="C6363" s="88"/>
      <c r="D6363" s="92"/>
      <c r="E6363" s="89"/>
      <c r="F6363" s="89"/>
      <c r="G6363" s="89"/>
    </row>
    <row r="6364">
      <c r="A6364" s="93"/>
      <c r="B6364" s="87" t="s">
        <v>779</v>
      </c>
      <c r="C6364" s="88"/>
      <c r="D6364" s="92"/>
      <c r="E6364" s="89"/>
      <c r="F6364" s="89"/>
      <c r="G6364" s="89"/>
    </row>
    <row r="6365">
      <c r="A6365" s="93"/>
      <c r="B6365" s="87" t="s">
        <v>779</v>
      </c>
      <c r="C6365" s="88"/>
      <c r="D6365" s="92"/>
      <c r="E6365" s="89"/>
      <c r="F6365" s="89"/>
      <c r="G6365" s="89"/>
    </row>
    <row r="6366">
      <c r="A6366" s="93"/>
      <c r="B6366" s="87" t="s">
        <v>779</v>
      </c>
      <c r="C6366" s="88"/>
      <c r="D6366" s="92"/>
      <c r="E6366" s="89"/>
      <c r="F6366" s="89"/>
      <c r="G6366" s="89"/>
    </row>
    <row r="6367">
      <c r="A6367" s="93"/>
      <c r="B6367" s="87" t="s">
        <v>779</v>
      </c>
      <c r="C6367" s="88"/>
      <c r="D6367" s="92"/>
      <c r="E6367" s="89"/>
      <c r="F6367" s="89"/>
      <c r="G6367" s="89"/>
    </row>
    <row r="6368">
      <c r="A6368" s="93"/>
      <c r="B6368" s="87" t="s">
        <v>779</v>
      </c>
      <c r="C6368" s="88"/>
      <c r="D6368" s="92"/>
      <c r="E6368" s="89"/>
      <c r="F6368" s="89"/>
      <c r="G6368" s="89"/>
    </row>
    <row r="6369">
      <c r="A6369" s="93"/>
      <c r="B6369" s="87" t="s">
        <v>779</v>
      </c>
      <c r="C6369" s="88"/>
      <c r="D6369" s="92"/>
      <c r="E6369" s="89"/>
      <c r="F6369" s="89"/>
      <c r="G6369" s="89"/>
    </row>
    <row r="6370">
      <c r="A6370" s="93"/>
      <c r="B6370" s="87" t="s">
        <v>779</v>
      </c>
      <c r="C6370" s="88"/>
      <c r="D6370" s="92"/>
      <c r="E6370" s="89"/>
      <c r="F6370" s="89"/>
      <c r="G6370" s="89"/>
    </row>
    <row r="6371">
      <c r="A6371" s="93"/>
      <c r="B6371" s="87" t="s">
        <v>779</v>
      </c>
      <c r="C6371" s="88"/>
      <c r="D6371" s="92"/>
      <c r="E6371" s="89"/>
      <c r="F6371" s="89"/>
      <c r="G6371" s="89"/>
    </row>
    <row r="6372">
      <c r="A6372" s="93"/>
      <c r="B6372" s="87" t="s">
        <v>779</v>
      </c>
      <c r="C6372" s="88"/>
      <c r="D6372" s="92"/>
      <c r="E6372" s="89"/>
      <c r="F6372" s="89"/>
      <c r="G6372" s="89"/>
    </row>
    <row r="6373">
      <c r="A6373" s="93"/>
      <c r="B6373" s="87" t="s">
        <v>779</v>
      </c>
      <c r="C6373" s="88"/>
      <c r="D6373" s="92"/>
      <c r="E6373" s="89"/>
      <c r="F6373" s="89"/>
      <c r="G6373" s="89"/>
    </row>
    <row r="6374">
      <c r="A6374" s="93"/>
      <c r="B6374" s="87" t="s">
        <v>779</v>
      </c>
      <c r="C6374" s="88"/>
      <c r="D6374" s="92"/>
      <c r="E6374" s="89"/>
      <c r="F6374" s="89"/>
      <c r="G6374" s="89"/>
    </row>
    <row r="6375">
      <c r="A6375" s="93"/>
      <c r="B6375" s="87" t="s">
        <v>779</v>
      </c>
      <c r="C6375" s="88"/>
      <c r="D6375" s="92"/>
      <c r="E6375" s="89"/>
      <c r="F6375" s="89"/>
      <c r="G6375" s="89"/>
    </row>
    <row r="6376">
      <c r="A6376" s="93"/>
      <c r="B6376" s="87" t="s">
        <v>779</v>
      </c>
      <c r="C6376" s="88"/>
      <c r="D6376" s="92"/>
      <c r="E6376" s="89"/>
      <c r="F6376" s="89"/>
      <c r="G6376" s="89"/>
    </row>
    <row r="6377">
      <c r="A6377" s="93"/>
      <c r="B6377" s="87" t="s">
        <v>779</v>
      </c>
      <c r="C6377" s="88"/>
      <c r="D6377" s="92"/>
      <c r="E6377" s="89"/>
      <c r="F6377" s="89"/>
      <c r="G6377" s="89"/>
    </row>
    <row r="6378">
      <c r="A6378" s="93"/>
      <c r="B6378" s="87" t="s">
        <v>779</v>
      </c>
      <c r="C6378" s="88"/>
      <c r="D6378" s="92"/>
      <c r="E6378" s="89"/>
      <c r="F6378" s="89"/>
      <c r="G6378" s="89"/>
    </row>
    <row r="6379">
      <c r="A6379" s="93"/>
      <c r="B6379" s="87" t="s">
        <v>779</v>
      </c>
      <c r="C6379" s="88"/>
      <c r="D6379" s="92"/>
      <c r="E6379" s="89"/>
      <c r="F6379" s="89"/>
      <c r="G6379" s="89"/>
    </row>
    <row r="6380">
      <c r="A6380" s="93"/>
      <c r="B6380" s="87" t="s">
        <v>779</v>
      </c>
      <c r="C6380" s="88"/>
      <c r="D6380" s="92"/>
      <c r="E6380" s="89"/>
      <c r="F6380" s="89"/>
      <c r="G6380" s="89"/>
    </row>
    <row r="6381">
      <c r="A6381" s="93"/>
      <c r="B6381" s="87" t="s">
        <v>779</v>
      </c>
      <c r="C6381" s="88"/>
      <c r="D6381" s="92"/>
      <c r="E6381" s="89"/>
      <c r="F6381" s="89"/>
      <c r="G6381" s="89"/>
    </row>
    <row r="6382">
      <c r="A6382" s="93"/>
      <c r="B6382" s="87" t="s">
        <v>779</v>
      </c>
      <c r="C6382" s="88"/>
      <c r="D6382" s="92"/>
      <c r="E6382" s="89"/>
      <c r="F6382" s="89"/>
      <c r="G6382" s="89"/>
    </row>
    <row r="6383">
      <c r="A6383" s="93"/>
      <c r="B6383" s="87" t="s">
        <v>779</v>
      </c>
      <c r="C6383" s="88"/>
      <c r="D6383" s="92"/>
      <c r="E6383" s="89"/>
      <c r="F6383" s="89"/>
      <c r="G6383" s="89"/>
    </row>
    <row r="6384">
      <c r="A6384" s="93"/>
      <c r="B6384" s="87" t="s">
        <v>779</v>
      </c>
      <c r="C6384" s="88"/>
      <c r="D6384" s="92"/>
      <c r="E6384" s="89"/>
      <c r="F6384" s="89"/>
      <c r="G6384" s="89"/>
    </row>
    <row r="6385">
      <c r="A6385" s="93"/>
      <c r="B6385" s="87" t="s">
        <v>779</v>
      </c>
      <c r="C6385" s="88"/>
      <c r="D6385" s="92"/>
      <c r="E6385" s="89"/>
      <c r="F6385" s="89"/>
      <c r="G6385" s="89"/>
    </row>
    <row r="6386">
      <c r="A6386" s="93"/>
      <c r="B6386" s="87" t="s">
        <v>779</v>
      </c>
      <c r="C6386" s="88"/>
      <c r="D6386" s="92"/>
      <c r="E6386" s="89"/>
      <c r="F6386" s="89"/>
      <c r="G6386" s="89"/>
    </row>
    <row r="6387">
      <c r="A6387" s="93"/>
      <c r="B6387" s="87" t="s">
        <v>779</v>
      </c>
      <c r="C6387" s="88"/>
      <c r="D6387" s="92"/>
      <c r="E6387" s="89"/>
      <c r="F6387" s="89"/>
      <c r="G6387" s="89"/>
    </row>
    <row r="6388">
      <c r="A6388" s="93"/>
      <c r="B6388" s="87" t="s">
        <v>779</v>
      </c>
      <c r="C6388" s="88"/>
      <c r="D6388" s="92"/>
      <c r="E6388" s="89"/>
      <c r="F6388" s="89"/>
      <c r="G6388" s="89"/>
    </row>
    <row r="6389">
      <c r="A6389" s="93"/>
      <c r="B6389" s="87" t="s">
        <v>779</v>
      </c>
      <c r="C6389" s="88"/>
      <c r="D6389" s="92"/>
      <c r="E6389" s="89"/>
      <c r="F6389" s="89"/>
      <c r="G6389" s="89"/>
    </row>
    <row r="6390">
      <c r="A6390" s="93"/>
      <c r="B6390" s="87" t="s">
        <v>779</v>
      </c>
      <c r="C6390" s="88"/>
      <c r="D6390" s="92"/>
      <c r="E6390" s="89"/>
      <c r="F6390" s="89"/>
      <c r="G6390" s="89"/>
    </row>
    <row r="6391">
      <c r="A6391" s="93"/>
      <c r="B6391" s="87" t="s">
        <v>779</v>
      </c>
      <c r="C6391" s="88"/>
      <c r="D6391" s="92"/>
      <c r="E6391" s="89"/>
      <c r="F6391" s="89"/>
      <c r="G6391" s="89"/>
    </row>
    <row r="6392">
      <c r="A6392" s="93"/>
      <c r="B6392" s="87" t="s">
        <v>779</v>
      </c>
      <c r="C6392" s="88"/>
      <c r="D6392" s="92"/>
      <c r="E6392" s="89"/>
      <c r="F6392" s="89"/>
      <c r="G6392" s="89"/>
    </row>
    <row r="6393">
      <c r="A6393" s="93"/>
      <c r="B6393" s="87" t="s">
        <v>779</v>
      </c>
      <c r="C6393" s="88"/>
      <c r="D6393" s="92"/>
      <c r="E6393" s="89"/>
      <c r="F6393" s="89"/>
      <c r="G6393" s="89"/>
    </row>
    <row r="6394">
      <c r="A6394" s="93"/>
      <c r="B6394" s="87" t="s">
        <v>779</v>
      </c>
      <c r="C6394" s="88"/>
      <c r="D6394" s="92"/>
      <c r="E6394" s="89"/>
      <c r="F6394" s="89"/>
      <c r="G6394" s="89"/>
    </row>
    <row r="6395">
      <c r="A6395" s="93"/>
      <c r="B6395" s="87" t="s">
        <v>779</v>
      </c>
      <c r="C6395" s="88"/>
      <c r="D6395" s="92"/>
      <c r="E6395" s="89"/>
      <c r="F6395" s="89"/>
      <c r="G6395" s="89"/>
    </row>
    <row r="6396">
      <c r="A6396" s="93"/>
      <c r="B6396" s="87" t="s">
        <v>779</v>
      </c>
      <c r="C6396" s="88"/>
      <c r="D6396" s="92"/>
      <c r="E6396" s="89"/>
      <c r="F6396" s="89"/>
      <c r="G6396" s="89"/>
    </row>
    <row r="6397">
      <c r="A6397" s="93"/>
      <c r="B6397" s="87" t="s">
        <v>779</v>
      </c>
      <c r="C6397" s="88"/>
      <c r="D6397" s="92"/>
      <c r="E6397" s="89"/>
      <c r="F6397" s="89"/>
      <c r="G6397" s="89"/>
    </row>
    <row r="6398">
      <c r="A6398" s="93"/>
      <c r="B6398" s="87" t="s">
        <v>779</v>
      </c>
      <c r="C6398" s="88"/>
      <c r="D6398" s="92"/>
      <c r="E6398" s="89"/>
      <c r="F6398" s="89"/>
      <c r="G6398" s="89"/>
    </row>
    <row r="6399">
      <c r="A6399" s="93"/>
      <c r="B6399" s="87" t="s">
        <v>779</v>
      </c>
      <c r="C6399" s="88"/>
      <c r="D6399" s="92"/>
      <c r="E6399" s="89"/>
      <c r="F6399" s="89"/>
      <c r="G6399" s="89"/>
    </row>
    <row r="6400">
      <c r="A6400" s="93"/>
      <c r="B6400" s="87" t="s">
        <v>779</v>
      </c>
      <c r="C6400" s="88"/>
      <c r="D6400" s="92"/>
      <c r="E6400" s="89"/>
      <c r="F6400" s="89"/>
      <c r="G6400" s="89"/>
    </row>
    <row r="6401">
      <c r="A6401" s="93"/>
      <c r="B6401" s="87" t="s">
        <v>779</v>
      </c>
      <c r="C6401" s="88"/>
      <c r="D6401" s="92"/>
      <c r="E6401" s="89"/>
      <c r="F6401" s="89"/>
      <c r="G6401" s="89"/>
    </row>
    <row r="6402">
      <c r="A6402" s="93"/>
      <c r="B6402" s="87" t="s">
        <v>779</v>
      </c>
      <c r="C6402" s="88"/>
      <c r="D6402" s="92"/>
      <c r="E6402" s="89"/>
      <c r="F6402" s="89"/>
      <c r="G6402" s="89"/>
    </row>
    <row r="6403">
      <c r="A6403" s="93"/>
      <c r="B6403" s="87" t="s">
        <v>779</v>
      </c>
      <c r="C6403" s="88"/>
      <c r="D6403" s="92"/>
      <c r="E6403" s="89"/>
      <c r="F6403" s="89"/>
      <c r="G6403" s="89"/>
    </row>
    <row r="6404">
      <c r="A6404" s="93"/>
      <c r="B6404" s="87" t="s">
        <v>779</v>
      </c>
      <c r="C6404" s="88"/>
      <c r="D6404" s="92"/>
      <c r="E6404" s="89"/>
      <c r="F6404" s="89"/>
      <c r="G6404" s="89"/>
    </row>
    <row r="6405">
      <c r="A6405" s="93"/>
      <c r="B6405" s="87" t="s">
        <v>779</v>
      </c>
      <c r="C6405" s="88"/>
      <c r="D6405" s="92"/>
      <c r="E6405" s="89"/>
      <c r="F6405" s="89"/>
      <c r="G6405" s="89"/>
    </row>
    <row r="6406">
      <c r="A6406" s="93"/>
      <c r="B6406" s="87" t="s">
        <v>779</v>
      </c>
      <c r="C6406" s="88"/>
      <c r="D6406" s="92"/>
      <c r="E6406" s="89"/>
      <c r="F6406" s="89"/>
      <c r="G6406" s="89"/>
    </row>
    <row r="6407">
      <c r="A6407" s="93"/>
      <c r="B6407" s="87" t="s">
        <v>779</v>
      </c>
      <c r="C6407" s="88"/>
      <c r="D6407" s="92"/>
      <c r="E6407" s="89"/>
      <c r="F6407" s="89"/>
      <c r="G6407" s="89"/>
    </row>
    <row r="6408">
      <c r="A6408" s="93"/>
      <c r="B6408" s="87" t="s">
        <v>779</v>
      </c>
      <c r="C6408" s="88"/>
      <c r="D6408" s="92"/>
      <c r="E6408" s="89"/>
      <c r="F6408" s="89"/>
      <c r="G6408" s="89"/>
    </row>
    <row r="6409">
      <c r="A6409" s="93"/>
      <c r="B6409" s="87" t="s">
        <v>779</v>
      </c>
      <c r="C6409" s="88"/>
      <c r="D6409" s="92"/>
      <c r="E6409" s="89"/>
      <c r="F6409" s="89"/>
      <c r="G6409" s="89"/>
    </row>
    <row r="6410">
      <c r="A6410" s="93"/>
      <c r="B6410" s="87" t="s">
        <v>779</v>
      </c>
      <c r="C6410" s="88"/>
      <c r="D6410" s="92"/>
      <c r="E6410" s="89"/>
      <c r="F6410" s="89"/>
      <c r="G6410" s="89"/>
    </row>
    <row r="6411">
      <c r="A6411" s="93"/>
      <c r="B6411" s="87" t="s">
        <v>779</v>
      </c>
      <c r="C6411" s="88"/>
      <c r="D6411" s="92"/>
      <c r="E6411" s="89"/>
      <c r="F6411" s="89"/>
      <c r="G6411" s="89"/>
    </row>
    <row r="6412">
      <c r="A6412" s="93"/>
      <c r="B6412" s="87" t="s">
        <v>779</v>
      </c>
      <c r="C6412" s="88"/>
      <c r="D6412" s="92"/>
      <c r="E6412" s="89"/>
      <c r="F6412" s="89"/>
      <c r="G6412" s="89"/>
    </row>
    <row r="6413">
      <c r="A6413" s="93"/>
      <c r="B6413" s="87" t="s">
        <v>779</v>
      </c>
      <c r="C6413" s="88"/>
      <c r="D6413" s="92"/>
      <c r="E6413" s="89"/>
      <c r="F6413" s="89"/>
      <c r="G6413" s="89"/>
    </row>
    <row r="6414">
      <c r="A6414" s="93"/>
      <c r="B6414" s="87" t="s">
        <v>779</v>
      </c>
      <c r="C6414" s="88"/>
      <c r="D6414" s="92"/>
      <c r="E6414" s="89"/>
      <c r="F6414" s="89"/>
      <c r="G6414" s="89"/>
    </row>
    <row r="6415">
      <c r="A6415" s="93"/>
      <c r="B6415" s="87" t="s">
        <v>779</v>
      </c>
      <c r="C6415" s="88"/>
      <c r="D6415" s="92"/>
      <c r="E6415" s="89"/>
      <c r="F6415" s="89"/>
      <c r="G6415" s="89"/>
    </row>
    <row r="6416">
      <c r="A6416" s="93"/>
      <c r="B6416" s="87" t="s">
        <v>779</v>
      </c>
      <c r="C6416" s="88"/>
      <c r="D6416" s="92"/>
      <c r="E6416" s="89"/>
      <c r="F6416" s="89"/>
      <c r="G6416" s="89"/>
    </row>
    <row r="6417">
      <c r="A6417" s="93"/>
      <c r="B6417" s="87" t="s">
        <v>779</v>
      </c>
      <c r="C6417" s="88"/>
      <c r="D6417" s="92"/>
      <c r="E6417" s="89"/>
      <c r="F6417" s="89"/>
      <c r="G6417" s="89"/>
    </row>
    <row r="6418">
      <c r="A6418" s="93"/>
      <c r="B6418" s="87" t="s">
        <v>779</v>
      </c>
      <c r="C6418" s="88"/>
      <c r="D6418" s="92"/>
      <c r="E6418" s="89"/>
      <c r="F6418" s="89"/>
      <c r="G6418" s="89"/>
    </row>
    <row r="6419">
      <c r="A6419" s="93"/>
      <c r="B6419" s="87" t="s">
        <v>779</v>
      </c>
      <c r="C6419" s="88"/>
      <c r="D6419" s="92"/>
      <c r="E6419" s="89"/>
      <c r="F6419" s="89"/>
      <c r="G6419" s="89"/>
    </row>
    <row r="6420">
      <c r="A6420" s="93"/>
      <c r="B6420" s="87" t="s">
        <v>779</v>
      </c>
      <c r="C6420" s="88"/>
      <c r="D6420" s="92"/>
      <c r="E6420" s="89"/>
      <c r="F6420" s="89"/>
      <c r="G6420" s="89"/>
    </row>
    <row r="6421">
      <c r="A6421" s="93"/>
      <c r="B6421" s="87" t="s">
        <v>779</v>
      </c>
      <c r="C6421" s="88"/>
      <c r="D6421" s="92"/>
      <c r="E6421" s="89"/>
      <c r="F6421" s="89"/>
      <c r="G6421" s="89"/>
    </row>
    <row r="6422">
      <c r="A6422" s="93"/>
      <c r="B6422" s="87" t="s">
        <v>779</v>
      </c>
      <c r="C6422" s="88"/>
      <c r="D6422" s="92"/>
      <c r="E6422" s="89"/>
      <c r="F6422" s="89"/>
      <c r="G6422" s="89"/>
    </row>
    <row r="6423">
      <c r="A6423" s="93"/>
      <c r="B6423" s="87" t="s">
        <v>779</v>
      </c>
      <c r="C6423" s="88"/>
      <c r="D6423" s="92"/>
      <c r="E6423" s="89"/>
      <c r="F6423" s="89"/>
      <c r="G6423" s="89"/>
    </row>
    <row r="6424">
      <c r="A6424" s="93"/>
      <c r="B6424" s="87" t="s">
        <v>779</v>
      </c>
      <c r="C6424" s="88"/>
      <c r="D6424" s="92"/>
      <c r="E6424" s="89"/>
      <c r="F6424" s="89"/>
      <c r="G6424" s="89"/>
    </row>
    <row r="6425">
      <c r="A6425" s="93"/>
      <c r="B6425" s="87" t="s">
        <v>779</v>
      </c>
      <c r="C6425" s="88"/>
      <c r="D6425" s="92"/>
      <c r="E6425" s="89"/>
      <c r="F6425" s="89"/>
      <c r="G6425" s="89"/>
    </row>
    <row r="6426">
      <c r="A6426" s="93"/>
      <c r="B6426" s="87" t="s">
        <v>779</v>
      </c>
      <c r="C6426" s="88"/>
      <c r="D6426" s="92"/>
      <c r="E6426" s="89"/>
      <c r="F6426" s="89"/>
      <c r="G6426" s="89"/>
    </row>
    <row r="6427">
      <c r="A6427" s="93"/>
      <c r="B6427" s="87" t="s">
        <v>779</v>
      </c>
      <c r="C6427" s="88"/>
      <c r="D6427" s="92"/>
      <c r="E6427" s="89"/>
      <c r="F6427" s="89"/>
      <c r="G6427" s="89"/>
    </row>
    <row r="6428">
      <c r="A6428" s="93"/>
      <c r="B6428" s="87" t="s">
        <v>779</v>
      </c>
      <c r="C6428" s="88"/>
      <c r="D6428" s="92"/>
      <c r="E6428" s="89"/>
      <c r="F6428" s="89"/>
      <c r="G6428" s="89"/>
    </row>
    <row r="6429">
      <c r="A6429" s="93"/>
      <c r="B6429" s="87" t="s">
        <v>779</v>
      </c>
      <c r="C6429" s="88"/>
      <c r="D6429" s="92"/>
      <c r="E6429" s="89"/>
      <c r="F6429" s="89"/>
      <c r="G6429" s="89"/>
    </row>
    <row r="6430">
      <c r="A6430" s="93"/>
      <c r="B6430" s="87" t="s">
        <v>779</v>
      </c>
      <c r="C6430" s="88"/>
      <c r="D6430" s="92"/>
      <c r="E6430" s="89"/>
      <c r="F6430" s="89"/>
      <c r="G6430" s="89"/>
    </row>
    <row r="6431">
      <c r="A6431" s="93"/>
      <c r="B6431" s="87" t="s">
        <v>779</v>
      </c>
      <c r="C6431" s="88"/>
      <c r="D6431" s="92"/>
      <c r="E6431" s="89"/>
      <c r="F6431" s="89"/>
      <c r="G6431" s="89"/>
    </row>
    <row r="6432">
      <c r="A6432" s="93"/>
      <c r="B6432" s="87" t="s">
        <v>779</v>
      </c>
      <c r="C6432" s="88"/>
      <c r="D6432" s="92"/>
      <c r="E6432" s="89"/>
      <c r="F6432" s="89"/>
      <c r="G6432" s="89"/>
    </row>
    <row r="6433">
      <c r="A6433" s="93"/>
      <c r="B6433" s="87" t="s">
        <v>779</v>
      </c>
      <c r="C6433" s="88"/>
      <c r="D6433" s="92"/>
      <c r="E6433" s="89"/>
      <c r="F6433" s="89"/>
      <c r="G6433" s="89"/>
    </row>
    <row r="6434">
      <c r="A6434" s="93"/>
      <c r="B6434" s="87" t="s">
        <v>779</v>
      </c>
      <c r="C6434" s="88"/>
      <c r="D6434" s="92"/>
      <c r="E6434" s="89"/>
      <c r="F6434" s="89"/>
      <c r="G6434" s="89"/>
    </row>
    <row r="6435">
      <c r="A6435" s="93"/>
      <c r="B6435" s="87" t="s">
        <v>779</v>
      </c>
      <c r="C6435" s="88"/>
      <c r="D6435" s="92"/>
      <c r="E6435" s="89"/>
      <c r="F6435" s="89"/>
      <c r="G6435" s="89"/>
    </row>
    <row r="6436">
      <c r="A6436" s="93"/>
      <c r="B6436" s="87" t="s">
        <v>779</v>
      </c>
      <c r="C6436" s="88"/>
      <c r="D6436" s="92"/>
      <c r="E6436" s="89"/>
      <c r="F6436" s="89"/>
      <c r="G6436" s="89"/>
    </row>
    <row r="6437">
      <c r="A6437" s="93"/>
      <c r="B6437" s="87" t="s">
        <v>779</v>
      </c>
      <c r="C6437" s="88"/>
      <c r="D6437" s="92"/>
      <c r="E6437" s="89"/>
      <c r="F6437" s="89"/>
      <c r="G6437" s="89"/>
    </row>
    <row r="6438">
      <c r="A6438" s="93"/>
      <c r="B6438" s="87" t="s">
        <v>779</v>
      </c>
      <c r="C6438" s="88"/>
      <c r="D6438" s="92"/>
      <c r="E6438" s="89"/>
      <c r="F6438" s="89"/>
      <c r="G6438" s="89"/>
    </row>
    <row r="6439">
      <c r="A6439" s="93"/>
      <c r="B6439" s="87" t="s">
        <v>779</v>
      </c>
      <c r="C6439" s="88"/>
      <c r="D6439" s="92"/>
      <c r="E6439" s="89"/>
      <c r="F6439" s="89"/>
      <c r="G6439" s="89"/>
    </row>
    <row r="6440">
      <c r="A6440" s="93"/>
      <c r="B6440" s="87" t="s">
        <v>779</v>
      </c>
      <c r="C6440" s="88"/>
      <c r="D6440" s="92"/>
      <c r="E6440" s="89"/>
      <c r="F6440" s="89"/>
      <c r="G6440" s="89"/>
    </row>
    <row r="6441">
      <c r="A6441" s="93"/>
      <c r="B6441" s="87" t="s">
        <v>779</v>
      </c>
      <c r="C6441" s="88"/>
      <c r="D6441" s="92"/>
      <c r="E6441" s="89"/>
      <c r="F6441" s="89"/>
      <c r="G6441" s="89"/>
    </row>
    <row r="6442">
      <c r="A6442" s="93"/>
      <c r="B6442" s="87" t="s">
        <v>779</v>
      </c>
      <c r="C6442" s="88"/>
      <c r="D6442" s="92"/>
      <c r="E6442" s="89"/>
      <c r="F6442" s="89"/>
      <c r="G6442" s="89"/>
    </row>
    <row r="6443">
      <c r="A6443" s="93"/>
      <c r="B6443" s="87" t="s">
        <v>779</v>
      </c>
      <c r="C6443" s="88"/>
      <c r="D6443" s="92"/>
      <c r="E6443" s="89"/>
      <c r="F6443" s="89"/>
      <c r="G6443" s="89"/>
    </row>
    <row r="6444">
      <c r="A6444" s="93"/>
      <c r="B6444" s="87" t="s">
        <v>779</v>
      </c>
      <c r="C6444" s="88"/>
      <c r="D6444" s="92"/>
      <c r="E6444" s="89"/>
      <c r="F6444" s="89"/>
      <c r="G6444" s="89"/>
    </row>
    <row r="6445">
      <c r="A6445" s="93"/>
      <c r="B6445" s="87" t="s">
        <v>779</v>
      </c>
      <c r="C6445" s="88"/>
      <c r="D6445" s="92"/>
      <c r="E6445" s="89"/>
      <c r="F6445" s="89"/>
      <c r="G6445" s="89"/>
    </row>
    <row r="6446">
      <c r="A6446" s="93"/>
      <c r="B6446" s="87" t="s">
        <v>779</v>
      </c>
      <c r="C6446" s="88"/>
      <c r="D6446" s="92"/>
      <c r="E6446" s="89"/>
      <c r="F6446" s="89"/>
      <c r="G6446" s="89"/>
    </row>
    <row r="6447">
      <c r="A6447" s="93"/>
      <c r="B6447" s="87" t="s">
        <v>779</v>
      </c>
      <c r="C6447" s="88"/>
      <c r="D6447" s="92"/>
      <c r="E6447" s="89"/>
      <c r="F6447" s="89"/>
      <c r="G6447" s="89"/>
    </row>
    <row r="6448">
      <c r="A6448" s="93"/>
      <c r="B6448" s="87" t="s">
        <v>779</v>
      </c>
      <c r="C6448" s="88"/>
      <c r="D6448" s="92"/>
      <c r="E6448" s="89"/>
      <c r="F6448" s="89"/>
      <c r="G6448" s="89"/>
    </row>
    <row r="6449">
      <c r="A6449" s="93"/>
      <c r="B6449" s="87" t="s">
        <v>779</v>
      </c>
      <c r="C6449" s="88"/>
      <c r="D6449" s="92"/>
      <c r="E6449" s="89"/>
      <c r="F6449" s="89"/>
      <c r="G6449" s="89"/>
    </row>
    <row r="6450">
      <c r="A6450" s="93"/>
      <c r="B6450" s="87" t="s">
        <v>779</v>
      </c>
      <c r="C6450" s="88"/>
      <c r="D6450" s="92"/>
      <c r="E6450" s="89"/>
      <c r="F6450" s="89"/>
      <c r="G6450" s="89"/>
    </row>
    <row r="6451">
      <c r="A6451" s="93"/>
      <c r="B6451" s="87" t="s">
        <v>779</v>
      </c>
      <c r="C6451" s="88"/>
      <c r="D6451" s="92"/>
      <c r="E6451" s="89"/>
      <c r="F6451" s="89"/>
      <c r="G6451" s="89"/>
    </row>
    <row r="6452">
      <c r="A6452" s="93"/>
      <c r="B6452" s="87" t="s">
        <v>779</v>
      </c>
      <c r="C6452" s="88"/>
      <c r="D6452" s="92"/>
      <c r="E6452" s="89"/>
      <c r="F6452" s="89"/>
      <c r="G6452" s="89"/>
    </row>
    <row r="6453">
      <c r="A6453" s="93"/>
      <c r="B6453" s="87" t="s">
        <v>779</v>
      </c>
      <c r="C6453" s="88"/>
      <c r="D6453" s="92"/>
      <c r="E6453" s="89"/>
      <c r="F6453" s="89"/>
      <c r="G6453" s="89"/>
    </row>
    <row r="6454">
      <c r="A6454" s="93"/>
      <c r="B6454" s="87" t="s">
        <v>779</v>
      </c>
      <c r="C6454" s="88"/>
      <c r="D6454" s="92"/>
      <c r="E6454" s="89"/>
      <c r="F6454" s="89"/>
      <c r="G6454" s="89"/>
    </row>
    <row r="6455">
      <c r="A6455" s="93"/>
      <c r="B6455" s="87" t="s">
        <v>779</v>
      </c>
      <c r="C6455" s="88"/>
      <c r="D6455" s="92"/>
      <c r="E6455" s="89"/>
      <c r="F6455" s="89"/>
      <c r="G6455" s="89"/>
    </row>
    <row r="6456">
      <c r="A6456" s="93"/>
      <c r="B6456" s="87" t="s">
        <v>779</v>
      </c>
      <c r="C6456" s="88"/>
      <c r="D6456" s="92"/>
      <c r="E6456" s="89"/>
      <c r="F6456" s="89"/>
      <c r="G6456" s="89"/>
    </row>
    <row r="6457">
      <c r="A6457" s="93"/>
      <c r="B6457" s="87" t="s">
        <v>779</v>
      </c>
      <c r="C6457" s="88"/>
      <c r="D6457" s="92"/>
      <c r="E6457" s="89"/>
      <c r="F6457" s="89"/>
      <c r="G6457" s="89"/>
    </row>
    <row r="6458">
      <c r="A6458" s="93"/>
      <c r="B6458" s="87" t="s">
        <v>779</v>
      </c>
      <c r="C6458" s="88"/>
      <c r="D6458" s="92"/>
      <c r="E6458" s="89"/>
      <c r="F6458" s="89"/>
      <c r="G6458" s="89"/>
    </row>
    <row r="6459">
      <c r="A6459" s="93"/>
      <c r="B6459" s="87" t="s">
        <v>779</v>
      </c>
      <c r="C6459" s="88"/>
      <c r="D6459" s="92"/>
      <c r="E6459" s="89"/>
      <c r="F6459" s="89"/>
      <c r="G6459" s="89"/>
    </row>
    <row r="6460">
      <c r="A6460" s="93"/>
      <c r="B6460" s="87" t="s">
        <v>779</v>
      </c>
      <c r="C6460" s="88"/>
      <c r="D6460" s="92"/>
      <c r="E6460" s="89"/>
      <c r="F6460" s="89"/>
      <c r="G6460" s="89"/>
    </row>
    <row r="6461">
      <c r="A6461" s="93"/>
      <c r="B6461" s="87" t="s">
        <v>779</v>
      </c>
      <c r="C6461" s="88"/>
      <c r="D6461" s="92"/>
      <c r="E6461" s="89"/>
      <c r="F6461" s="89"/>
      <c r="G6461" s="89"/>
    </row>
    <row r="6462">
      <c r="A6462" s="93"/>
      <c r="B6462" s="87" t="s">
        <v>779</v>
      </c>
      <c r="C6462" s="88"/>
      <c r="D6462" s="92"/>
      <c r="E6462" s="89"/>
      <c r="F6462" s="89"/>
      <c r="G6462" s="89"/>
    </row>
    <row r="6463">
      <c r="A6463" s="93"/>
      <c r="B6463" s="87" t="s">
        <v>779</v>
      </c>
      <c r="C6463" s="88"/>
      <c r="D6463" s="92"/>
      <c r="E6463" s="89"/>
      <c r="F6463" s="89"/>
      <c r="G6463" s="89"/>
    </row>
    <row r="6464">
      <c r="A6464" s="93"/>
      <c r="B6464" s="87" t="s">
        <v>779</v>
      </c>
      <c r="C6464" s="88"/>
      <c r="D6464" s="92"/>
      <c r="E6464" s="89"/>
      <c r="F6464" s="89"/>
      <c r="G6464" s="89"/>
    </row>
    <row r="6465">
      <c r="A6465" s="93"/>
      <c r="B6465" s="87" t="s">
        <v>779</v>
      </c>
      <c r="C6465" s="88"/>
      <c r="D6465" s="92"/>
      <c r="E6465" s="89"/>
      <c r="F6465" s="89"/>
      <c r="G6465" s="89"/>
    </row>
    <row r="6466">
      <c r="A6466" s="93"/>
      <c r="B6466" s="87" t="s">
        <v>779</v>
      </c>
      <c r="C6466" s="88"/>
      <c r="D6466" s="92"/>
      <c r="E6466" s="89"/>
      <c r="F6466" s="89"/>
      <c r="G6466" s="89"/>
    </row>
    <row r="6467">
      <c r="A6467" s="93"/>
      <c r="B6467" s="87" t="s">
        <v>779</v>
      </c>
      <c r="C6467" s="88"/>
      <c r="D6467" s="92"/>
      <c r="E6467" s="89"/>
      <c r="F6467" s="89"/>
      <c r="G6467" s="89"/>
    </row>
    <row r="6468">
      <c r="A6468" s="93"/>
      <c r="B6468" s="87" t="s">
        <v>779</v>
      </c>
      <c r="C6468" s="88"/>
      <c r="D6468" s="92"/>
      <c r="E6468" s="89"/>
      <c r="F6468" s="89"/>
      <c r="G6468" s="89"/>
    </row>
    <row r="6469">
      <c r="A6469" s="93"/>
      <c r="B6469" s="87" t="s">
        <v>779</v>
      </c>
      <c r="C6469" s="88"/>
      <c r="D6469" s="92"/>
      <c r="E6469" s="89"/>
      <c r="F6469" s="89"/>
      <c r="G6469" s="89"/>
    </row>
    <row r="6470">
      <c r="A6470" s="93"/>
      <c r="B6470" s="87" t="s">
        <v>779</v>
      </c>
      <c r="C6470" s="88"/>
      <c r="D6470" s="92"/>
      <c r="E6470" s="89"/>
      <c r="F6470" s="89"/>
      <c r="G6470" s="89"/>
    </row>
    <row r="6471">
      <c r="A6471" s="93"/>
      <c r="B6471" s="87" t="s">
        <v>779</v>
      </c>
      <c r="C6471" s="88"/>
      <c r="D6471" s="92"/>
      <c r="E6471" s="89"/>
      <c r="F6471" s="89"/>
      <c r="G6471" s="89"/>
    </row>
    <row r="6472">
      <c r="A6472" s="93"/>
      <c r="B6472" s="87" t="s">
        <v>779</v>
      </c>
      <c r="C6472" s="88"/>
      <c r="D6472" s="92"/>
      <c r="E6472" s="89"/>
      <c r="F6472" s="89"/>
      <c r="G6472" s="89"/>
    </row>
    <row r="6473">
      <c r="A6473" s="93"/>
      <c r="B6473" s="87" t="s">
        <v>779</v>
      </c>
      <c r="C6473" s="88"/>
      <c r="D6473" s="92"/>
      <c r="E6473" s="89"/>
      <c r="F6473" s="89"/>
      <c r="G6473" s="89"/>
    </row>
    <row r="6474">
      <c r="A6474" s="93"/>
      <c r="B6474" s="87" t="s">
        <v>779</v>
      </c>
      <c r="C6474" s="88"/>
      <c r="D6474" s="92"/>
      <c r="E6474" s="89"/>
      <c r="F6474" s="89"/>
      <c r="G6474" s="89"/>
    </row>
    <row r="6475">
      <c r="A6475" s="93"/>
      <c r="B6475" s="87" t="s">
        <v>779</v>
      </c>
      <c r="C6475" s="88"/>
      <c r="D6475" s="92"/>
      <c r="E6475" s="89"/>
      <c r="F6475" s="89"/>
      <c r="G6475" s="89"/>
    </row>
    <row r="6476">
      <c r="A6476" s="93"/>
      <c r="B6476" s="87" t="s">
        <v>779</v>
      </c>
      <c r="C6476" s="88"/>
      <c r="D6476" s="92"/>
      <c r="E6476" s="89"/>
      <c r="F6476" s="89"/>
      <c r="G6476" s="89"/>
    </row>
    <row r="6477">
      <c r="A6477" s="93"/>
      <c r="B6477" s="87" t="s">
        <v>779</v>
      </c>
      <c r="C6477" s="88"/>
      <c r="D6477" s="92"/>
      <c r="E6477" s="89"/>
      <c r="F6477" s="89"/>
      <c r="G6477" s="89"/>
    </row>
    <row r="6478">
      <c r="A6478" s="93"/>
      <c r="B6478" s="87" t="s">
        <v>779</v>
      </c>
      <c r="C6478" s="88"/>
      <c r="D6478" s="92"/>
      <c r="E6478" s="89"/>
      <c r="F6478" s="89"/>
      <c r="G6478" s="89"/>
    </row>
    <row r="6479">
      <c r="A6479" s="93"/>
      <c r="B6479" s="87" t="s">
        <v>779</v>
      </c>
      <c r="C6479" s="88"/>
      <c r="D6479" s="92"/>
      <c r="E6479" s="89"/>
      <c r="F6479" s="89"/>
      <c r="G6479" s="89"/>
    </row>
    <row r="6480">
      <c r="A6480" s="93"/>
      <c r="B6480" s="87" t="s">
        <v>779</v>
      </c>
      <c r="C6480" s="88"/>
      <c r="D6480" s="92"/>
      <c r="E6480" s="89"/>
      <c r="F6480" s="89"/>
      <c r="G6480" s="89"/>
    </row>
    <row r="6481">
      <c r="A6481" s="93"/>
      <c r="B6481" s="87" t="s">
        <v>779</v>
      </c>
      <c r="C6481" s="88"/>
      <c r="D6481" s="92"/>
      <c r="E6481" s="89"/>
      <c r="F6481" s="89"/>
      <c r="G6481" s="89"/>
    </row>
    <row r="6482">
      <c r="A6482" s="93"/>
      <c r="B6482" s="87" t="s">
        <v>779</v>
      </c>
      <c r="C6482" s="88"/>
      <c r="D6482" s="92"/>
      <c r="E6482" s="89"/>
      <c r="F6482" s="89"/>
      <c r="G6482" s="89"/>
    </row>
    <row r="6483">
      <c r="A6483" s="93"/>
      <c r="B6483" s="87" t="s">
        <v>779</v>
      </c>
      <c r="C6483" s="88"/>
      <c r="D6483" s="92"/>
      <c r="E6483" s="89"/>
      <c r="F6483" s="89"/>
      <c r="G6483" s="89"/>
    </row>
    <row r="6484">
      <c r="A6484" s="93"/>
      <c r="B6484" s="87" t="s">
        <v>779</v>
      </c>
      <c r="C6484" s="88"/>
      <c r="D6484" s="92"/>
      <c r="E6484" s="89"/>
      <c r="F6484" s="89"/>
      <c r="G6484" s="89"/>
    </row>
    <row r="6485">
      <c r="A6485" s="93"/>
      <c r="B6485" s="87" t="s">
        <v>779</v>
      </c>
      <c r="C6485" s="88"/>
      <c r="D6485" s="92"/>
      <c r="E6485" s="89"/>
      <c r="F6485" s="89"/>
      <c r="G6485" s="89"/>
    </row>
    <row r="6486">
      <c r="A6486" s="93"/>
      <c r="B6486" s="87" t="s">
        <v>779</v>
      </c>
      <c r="C6486" s="88"/>
      <c r="D6486" s="92"/>
      <c r="E6486" s="89"/>
      <c r="F6486" s="89"/>
      <c r="G6486" s="89"/>
    </row>
    <row r="6487">
      <c r="A6487" s="93"/>
      <c r="B6487" s="87" t="s">
        <v>779</v>
      </c>
      <c r="C6487" s="88"/>
      <c r="D6487" s="92"/>
      <c r="E6487" s="89"/>
      <c r="F6487" s="89"/>
      <c r="G6487" s="89"/>
    </row>
    <row r="6488">
      <c r="A6488" s="93"/>
      <c r="B6488" s="87" t="s">
        <v>779</v>
      </c>
      <c r="C6488" s="88"/>
      <c r="D6488" s="92"/>
      <c r="E6488" s="89"/>
      <c r="F6488" s="89"/>
      <c r="G6488" s="89"/>
    </row>
    <row r="6489">
      <c r="A6489" s="93"/>
      <c r="B6489" s="87" t="s">
        <v>779</v>
      </c>
      <c r="C6489" s="88"/>
      <c r="D6489" s="92"/>
      <c r="E6489" s="89"/>
      <c r="F6489" s="89"/>
      <c r="G6489" s="89"/>
    </row>
    <row r="6490">
      <c r="A6490" s="93"/>
      <c r="B6490" s="87" t="s">
        <v>779</v>
      </c>
      <c r="C6490" s="88"/>
      <c r="D6490" s="92"/>
      <c r="E6490" s="89"/>
      <c r="F6490" s="89"/>
      <c r="G6490" s="89"/>
    </row>
    <row r="6491">
      <c r="A6491" s="93"/>
      <c r="B6491" s="87" t="s">
        <v>779</v>
      </c>
      <c r="C6491" s="88"/>
      <c r="D6491" s="92"/>
      <c r="E6491" s="89"/>
      <c r="F6491" s="89"/>
      <c r="G6491" s="89"/>
    </row>
    <row r="6492">
      <c r="A6492" s="93"/>
      <c r="B6492" s="87" t="s">
        <v>779</v>
      </c>
      <c r="C6492" s="88"/>
      <c r="D6492" s="92"/>
      <c r="E6492" s="89"/>
      <c r="F6492" s="89"/>
      <c r="G6492" s="89"/>
    </row>
    <row r="6493">
      <c r="A6493" s="93"/>
      <c r="B6493" s="87" t="s">
        <v>779</v>
      </c>
      <c r="C6493" s="88"/>
      <c r="D6493" s="92"/>
      <c r="E6493" s="89"/>
      <c r="F6493" s="89"/>
      <c r="G6493" s="89"/>
    </row>
    <row r="6494">
      <c r="A6494" s="93"/>
      <c r="B6494" s="87" t="s">
        <v>779</v>
      </c>
      <c r="C6494" s="88"/>
      <c r="D6494" s="92"/>
      <c r="E6494" s="89"/>
      <c r="F6494" s="89"/>
      <c r="G6494" s="89"/>
    </row>
    <row r="6495">
      <c r="A6495" s="93"/>
      <c r="B6495" s="87" t="s">
        <v>779</v>
      </c>
      <c r="C6495" s="88"/>
      <c r="D6495" s="92"/>
      <c r="E6495" s="89"/>
      <c r="F6495" s="89"/>
      <c r="G6495" s="89"/>
    </row>
    <row r="6496">
      <c r="A6496" s="93"/>
      <c r="B6496" s="87" t="s">
        <v>779</v>
      </c>
      <c r="C6496" s="88"/>
      <c r="D6496" s="92"/>
      <c r="E6496" s="89"/>
      <c r="F6496" s="89"/>
      <c r="G6496" s="89"/>
    </row>
    <row r="6497">
      <c r="A6497" s="93"/>
      <c r="B6497" s="87" t="s">
        <v>779</v>
      </c>
      <c r="C6497" s="88"/>
      <c r="D6497" s="92"/>
      <c r="E6497" s="89"/>
      <c r="F6497" s="89"/>
      <c r="G6497" s="89"/>
    </row>
    <row r="6498">
      <c r="A6498" s="93"/>
      <c r="B6498" s="87" t="s">
        <v>779</v>
      </c>
      <c r="C6498" s="88"/>
      <c r="D6498" s="92"/>
      <c r="E6498" s="89"/>
      <c r="F6498" s="89"/>
      <c r="G6498" s="89"/>
    </row>
    <row r="6499">
      <c r="A6499" s="93"/>
      <c r="B6499" s="87" t="s">
        <v>779</v>
      </c>
      <c r="C6499" s="88"/>
      <c r="D6499" s="92"/>
      <c r="E6499" s="89"/>
      <c r="F6499" s="89"/>
      <c r="G6499" s="89"/>
    </row>
    <row r="6500">
      <c r="A6500" s="93"/>
      <c r="B6500" s="87" t="s">
        <v>779</v>
      </c>
      <c r="C6500" s="88"/>
      <c r="D6500" s="92"/>
      <c r="E6500" s="89"/>
      <c r="F6500" s="89"/>
      <c r="G6500" s="89"/>
    </row>
    <row r="6501">
      <c r="A6501" s="93"/>
      <c r="B6501" s="87" t="s">
        <v>779</v>
      </c>
      <c r="C6501" s="88"/>
      <c r="D6501" s="92"/>
      <c r="E6501" s="89"/>
      <c r="F6501" s="89"/>
      <c r="G6501" s="89"/>
    </row>
    <row r="6502">
      <c r="A6502" s="93"/>
      <c r="B6502" s="87" t="s">
        <v>779</v>
      </c>
      <c r="C6502" s="88"/>
      <c r="D6502" s="92"/>
      <c r="E6502" s="89"/>
      <c r="F6502" s="89"/>
      <c r="G6502" s="89"/>
    </row>
    <row r="6503">
      <c r="A6503" s="93"/>
      <c r="B6503" s="87" t="s">
        <v>779</v>
      </c>
      <c r="C6503" s="88"/>
      <c r="D6503" s="92"/>
      <c r="E6503" s="89"/>
      <c r="F6503" s="89"/>
      <c r="G6503" s="89"/>
    </row>
    <row r="6504">
      <c r="A6504" s="93"/>
      <c r="B6504" s="87" t="s">
        <v>779</v>
      </c>
      <c r="C6504" s="88"/>
      <c r="D6504" s="92"/>
      <c r="E6504" s="89"/>
      <c r="F6504" s="89"/>
      <c r="G6504" s="89"/>
    </row>
    <row r="6505">
      <c r="A6505" s="93"/>
      <c r="B6505" s="87" t="s">
        <v>779</v>
      </c>
      <c r="C6505" s="88"/>
      <c r="D6505" s="92"/>
      <c r="E6505" s="89"/>
      <c r="F6505" s="89"/>
      <c r="G6505" s="89"/>
    </row>
    <row r="6506">
      <c r="A6506" s="93"/>
      <c r="B6506" s="87" t="s">
        <v>779</v>
      </c>
      <c r="C6506" s="88"/>
      <c r="D6506" s="92"/>
      <c r="E6506" s="89"/>
      <c r="F6506" s="89"/>
      <c r="G6506" s="89"/>
    </row>
    <row r="6507">
      <c r="A6507" s="93"/>
      <c r="B6507" s="87" t="s">
        <v>779</v>
      </c>
      <c r="C6507" s="88"/>
      <c r="D6507" s="92"/>
      <c r="E6507" s="89"/>
      <c r="F6507" s="89"/>
      <c r="G6507" s="89"/>
    </row>
    <row r="6508">
      <c r="A6508" s="93"/>
      <c r="B6508" s="87" t="s">
        <v>779</v>
      </c>
      <c r="C6508" s="88"/>
      <c r="D6508" s="92"/>
      <c r="E6508" s="89"/>
      <c r="F6508" s="89"/>
      <c r="G6508" s="89"/>
    </row>
    <row r="6509">
      <c r="A6509" s="93"/>
      <c r="B6509" s="87" t="s">
        <v>779</v>
      </c>
      <c r="C6509" s="88"/>
      <c r="D6509" s="92"/>
      <c r="E6509" s="89"/>
      <c r="F6509" s="89"/>
      <c r="G6509" s="89"/>
    </row>
    <row r="6510">
      <c r="A6510" s="93"/>
      <c r="B6510" s="87" t="s">
        <v>779</v>
      </c>
      <c r="C6510" s="88"/>
      <c r="D6510" s="92"/>
      <c r="E6510" s="89"/>
      <c r="F6510" s="89"/>
      <c r="G6510" s="89"/>
    </row>
    <row r="6511">
      <c r="A6511" s="93"/>
      <c r="B6511" s="87" t="s">
        <v>779</v>
      </c>
      <c r="C6511" s="88"/>
      <c r="D6511" s="92"/>
      <c r="E6511" s="89"/>
      <c r="F6511" s="89"/>
      <c r="G6511" s="89"/>
    </row>
    <row r="6512">
      <c r="A6512" s="93"/>
      <c r="B6512" s="87" t="s">
        <v>779</v>
      </c>
      <c r="C6512" s="88"/>
      <c r="D6512" s="92"/>
      <c r="E6512" s="89"/>
      <c r="F6512" s="89"/>
      <c r="G6512" s="89"/>
    </row>
    <row r="6513">
      <c r="A6513" s="93"/>
      <c r="B6513" s="87" t="s">
        <v>779</v>
      </c>
      <c r="C6513" s="88"/>
      <c r="D6513" s="92"/>
      <c r="E6513" s="89"/>
      <c r="F6513" s="89"/>
      <c r="G6513" s="89"/>
    </row>
    <row r="6514">
      <c r="A6514" s="93"/>
      <c r="B6514" s="87" t="s">
        <v>779</v>
      </c>
      <c r="C6514" s="88"/>
      <c r="D6514" s="92"/>
      <c r="E6514" s="89"/>
      <c r="F6514" s="89"/>
      <c r="G6514" s="89"/>
    </row>
    <row r="6515">
      <c r="A6515" s="93"/>
      <c r="B6515" s="87" t="s">
        <v>779</v>
      </c>
      <c r="C6515" s="88"/>
      <c r="D6515" s="92"/>
      <c r="E6515" s="89"/>
      <c r="F6515" s="89"/>
      <c r="G6515" s="89"/>
    </row>
    <row r="6516">
      <c r="A6516" s="93"/>
      <c r="B6516" s="87" t="s">
        <v>779</v>
      </c>
      <c r="C6516" s="88"/>
      <c r="D6516" s="92"/>
      <c r="E6516" s="89"/>
      <c r="F6516" s="89"/>
      <c r="G6516" s="89"/>
    </row>
    <row r="6517">
      <c r="A6517" s="93"/>
      <c r="B6517" s="87" t="s">
        <v>779</v>
      </c>
      <c r="C6517" s="88"/>
      <c r="D6517" s="92"/>
      <c r="E6517" s="89"/>
      <c r="F6517" s="89"/>
      <c r="G6517" s="89"/>
    </row>
    <row r="6518">
      <c r="A6518" s="93"/>
      <c r="B6518" s="87" t="s">
        <v>779</v>
      </c>
      <c r="C6518" s="88"/>
      <c r="D6518" s="92"/>
      <c r="E6518" s="89"/>
      <c r="F6518" s="89"/>
      <c r="G6518" s="89"/>
    </row>
    <row r="6519">
      <c r="A6519" s="93"/>
      <c r="B6519" s="87" t="s">
        <v>779</v>
      </c>
      <c r="C6519" s="88"/>
      <c r="D6519" s="92"/>
      <c r="E6519" s="89"/>
      <c r="F6519" s="89"/>
      <c r="G6519" s="89"/>
    </row>
    <row r="6520">
      <c r="A6520" s="93"/>
      <c r="B6520" s="87" t="s">
        <v>779</v>
      </c>
      <c r="C6520" s="88"/>
      <c r="D6520" s="92"/>
      <c r="E6520" s="89"/>
      <c r="F6520" s="89"/>
      <c r="G6520" s="89"/>
    </row>
    <row r="6521">
      <c r="A6521" s="93"/>
      <c r="B6521" s="87" t="s">
        <v>779</v>
      </c>
      <c r="C6521" s="88"/>
      <c r="D6521" s="92"/>
      <c r="E6521" s="89"/>
      <c r="F6521" s="89"/>
      <c r="G6521" s="89"/>
    </row>
    <row r="6522">
      <c r="A6522" s="93"/>
      <c r="B6522" s="87" t="s">
        <v>779</v>
      </c>
      <c r="C6522" s="88"/>
      <c r="D6522" s="92"/>
      <c r="E6522" s="89"/>
      <c r="F6522" s="89"/>
      <c r="G6522" s="89"/>
    </row>
    <row r="6523">
      <c r="A6523" s="93"/>
      <c r="B6523" s="87" t="s">
        <v>779</v>
      </c>
      <c r="C6523" s="88"/>
      <c r="D6523" s="92"/>
      <c r="E6523" s="89"/>
      <c r="F6523" s="89"/>
      <c r="G6523" s="89"/>
    </row>
    <row r="6524">
      <c r="A6524" s="93"/>
      <c r="B6524" s="87" t="s">
        <v>779</v>
      </c>
      <c r="C6524" s="88"/>
      <c r="D6524" s="92"/>
      <c r="E6524" s="89"/>
      <c r="F6524" s="89"/>
      <c r="G6524" s="89"/>
    </row>
    <row r="6525">
      <c r="A6525" s="93"/>
      <c r="B6525" s="87" t="s">
        <v>779</v>
      </c>
      <c r="C6525" s="88"/>
      <c r="D6525" s="92"/>
      <c r="E6525" s="89"/>
      <c r="F6525" s="89"/>
      <c r="G6525" s="89"/>
    </row>
    <row r="6526">
      <c r="A6526" s="93"/>
      <c r="B6526" s="87" t="s">
        <v>779</v>
      </c>
      <c r="C6526" s="88"/>
      <c r="D6526" s="92"/>
      <c r="E6526" s="89"/>
      <c r="F6526" s="89"/>
      <c r="G6526" s="89"/>
    </row>
    <row r="6527">
      <c r="A6527" s="93"/>
      <c r="B6527" s="87" t="s">
        <v>779</v>
      </c>
      <c r="C6527" s="88"/>
      <c r="D6527" s="92"/>
      <c r="E6527" s="89"/>
      <c r="F6527" s="89"/>
      <c r="G6527" s="89"/>
    </row>
    <row r="6528">
      <c r="A6528" s="93"/>
      <c r="B6528" s="87" t="s">
        <v>779</v>
      </c>
      <c r="C6528" s="88"/>
      <c r="D6528" s="92"/>
      <c r="E6528" s="89"/>
      <c r="F6528" s="89"/>
      <c r="G6528" s="89"/>
    </row>
    <row r="6529">
      <c r="A6529" s="93"/>
      <c r="B6529" s="87" t="s">
        <v>779</v>
      </c>
      <c r="C6529" s="88"/>
      <c r="D6529" s="92"/>
      <c r="E6529" s="89"/>
      <c r="F6529" s="89"/>
      <c r="G6529" s="89"/>
    </row>
    <row r="6530">
      <c r="A6530" s="93"/>
      <c r="B6530" s="87" t="s">
        <v>779</v>
      </c>
      <c r="C6530" s="88"/>
      <c r="D6530" s="92"/>
      <c r="E6530" s="89"/>
      <c r="F6530" s="89"/>
      <c r="G6530" s="89"/>
    </row>
    <row r="6531">
      <c r="A6531" s="93"/>
      <c r="B6531" s="87" t="s">
        <v>779</v>
      </c>
      <c r="C6531" s="88"/>
      <c r="D6531" s="92"/>
      <c r="E6531" s="89"/>
      <c r="F6531" s="89"/>
      <c r="G6531" s="89"/>
    </row>
    <row r="6532">
      <c r="A6532" s="93"/>
      <c r="B6532" s="87" t="s">
        <v>779</v>
      </c>
      <c r="C6532" s="88"/>
      <c r="D6532" s="92"/>
      <c r="E6532" s="89"/>
      <c r="F6532" s="89"/>
      <c r="G6532" s="89"/>
    </row>
    <row r="6533">
      <c r="A6533" s="93"/>
      <c r="B6533" s="87" t="s">
        <v>779</v>
      </c>
      <c r="C6533" s="88"/>
      <c r="D6533" s="92"/>
      <c r="E6533" s="89"/>
      <c r="F6533" s="89"/>
      <c r="G6533" s="89"/>
    </row>
    <row r="6534">
      <c r="A6534" s="93"/>
      <c r="B6534" s="87" t="s">
        <v>779</v>
      </c>
      <c r="C6534" s="88"/>
      <c r="D6534" s="92"/>
      <c r="E6534" s="89"/>
      <c r="F6534" s="89"/>
      <c r="G6534" s="89"/>
    </row>
    <row r="6535">
      <c r="A6535" s="93"/>
      <c r="B6535" s="87" t="s">
        <v>779</v>
      </c>
      <c r="C6535" s="88"/>
      <c r="D6535" s="92"/>
      <c r="E6535" s="89"/>
      <c r="F6535" s="89"/>
      <c r="G6535" s="89"/>
    </row>
    <row r="6536">
      <c r="A6536" s="93"/>
      <c r="B6536" s="87" t="s">
        <v>779</v>
      </c>
      <c r="C6536" s="88"/>
      <c r="D6536" s="92"/>
      <c r="E6536" s="89"/>
      <c r="F6536" s="89"/>
      <c r="G6536" s="89"/>
    </row>
    <row r="6537">
      <c r="A6537" s="93"/>
      <c r="B6537" s="87" t="s">
        <v>779</v>
      </c>
      <c r="C6537" s="88"/>
      <c r="D6537" s="92"/>
      <c r="E6537" s="89"/>
      <c r="F6537" s="89"/>
      <c r="G6537" s="89"/>
    </row>
    <row r="6538">
      <c r="A6538" s="93"/>
      <c r="B6538" s="87" t="s">
        <v>779</v>
      </c>
      <c r="C6538" s="88"/>
      <c r="D6538" s="92"/>
      <c r="E6538" s="89"/>
      <c r="F6538" s="89"/>
      <c r="G6538" s="89"/>
    </row>
    <row r="6539">
      <c r="A6539" s="93"/>
      <c r="B6539" s="87" t="s">
        <v>779</v>
      </c>
      <c r="C6539" s="88"/>
      <c r="D6539" s="92"/>
      <c r="E6539" s="89"/>
      <c r="F6539" s="89"/>
      <c r="G6539" s="89"/>
    </row>
    <row r="6540">
      <c r="A6540" s="93"/>
      <c r="B6540" s="87" t="s">
        <v>779</v>
      </c>
      <c r="C6540" s="88"/>
      <c r="D6540" s="92"/>
      <c r="E6540" s="89"/>
      <c r="F6540" s="89"/>
      <c r="G6540" s="89"/>
    </row>
    <row r="6541">
      <c r="A6541" s="93"/>
      <c r="B6541" s="87" t="s">
        <v>779</v>
      </c>
      <c r="C6541" s="88"/>
      <c r="D6541" s="92"/>
      <c r="E6541" s="89"/>
      <c r="F6541" s="89"/>
      <c r="G6541" s="89"/>
    </row>
    <row r="6542">
      <c r="A6542" s="93"/>
      <c r="B6542" s="87" t="s">
        <v>779</v>
      </c>
      <c r="C6542" s="88"/>
      <c r="D6542" s="92"/>
      <c r="E6542" s="89"/>
      <c r="F6542" s="89"/>
      <c r="G6542" s="89"/>
    </row>
    <row r="6543">
      <c r="A6543" s="93"/>
      <c r="B6543" s="87" t="s">
        <v>779</v>
      </c>
      <c r="C6543" s="88"/>
      <c r="D6543" s="92"/>
      <c r="E6543" s="89"/>
      <c r="F6543" s="89"/>
      <c r="G6543" s="89"/>
    </row>
    <row r="6544">
      <c r="A6544" s="93"/>
      <c r="B6544" s="87" t="s">
        <v>779</v>
      </c>
      <c r="C6544" s="88"/>
      <c r="D6544" s="92"/>
      <c r="E6544" s="89"/>
      <c r="F6544" s="89"/>
      <c r="G6544" s="89"/>
    </row>
    <row r="6545">
      <c r="A6545" s="93"/>
      <c r="B6545" s="87" t="s">
        <v>779</v>
      </c>
      <c r="C6545" s="88"/>
      <c r="D6545" s="92"/>
      <c r="E6545" s="89"/>
      <c r="F6545" s="89"/>
      <c r="G6545" s="89"/>
    </row>
    <row r="6546">
      <c r="A6546" s="93"/>
      <c r="B6546" s="87" t="s">
        <v>779</v>
      </c>
      <c r="C6546" s="88"/>
      <c r="D6546" s="92"/>
      <c r="E6546" s="89"/>
      <c r="F6546" s="89"/>
      <c r="G6546" s="89"/>
    </row>
    <row r="6547">
      <c r="A6547" s="93"/>
      <c r="B6547" s="87" t="s">
        <v>779</v>
      </c>
      <c r="C6547" s="88"/>
      <c r="D6547" s="92"/>
      <c r="E6547" s="89"/>
      <c r="F6547" s="89"/>
      <c r="G6547" s="89"/>
    </row>
    <row r="6548">
      <c r="A6548" s="93"/>
      <c r="B6548" s="87" t="s">
        <v>779</v>
      </c>
      <c r="C6548" s="88"/>
      <c r="D6548" s="92"/>
      <c r="E6548" s="89"/>
      <c r="F6548" s="89"/>
      <c r="G6548" s="89"/>
    </row>
    <row r="6549">
      <c r="A6549" s="93"/>
      <c r="B6549" s="87" t="s">
        <v>779</v>
      </c>
      <c r="C6549" s="88"/>
      <c r="D6549" s="92"/>
      <c r="E6549" s="89"/>
      <c r="F6549" s="89"/>
      <c r="G6549" s="89"/>
    </row>
    <row r="6550">
      <c r="A6550" s="93"/>
      <c r="B6550" s="87" t="s">
        <v>779</v>
      </c>
      <c r="C6550" s="88"/>
      <c r="D6550" s="92"/>
      <c r="E6550" s="89"/>
      <c r="F6550" s="89"/>
      <c r="G6550" s="89"/>
    </row>
    <row r="6551">
      <c r="A6551" s="93"/>
      <c r="B6551" s="87" t="s">
        <v>779</v>
      </c>
      <c r="C6551" s="88"/>
      <c r="D6551" s="92"/>
      <c r="E6551" s="89"/>
      <c r="F6551" s="89"/>
      <c r="G6551" s="89"/>
    </row>
    <row r="6552">
      <c r="A6552" s="93"/>
      <c r="B6552" s="87" t="s">
        <v>779</v>
      </c>
      <c r="C6552" s="88"/>
      <c r="D6552" s="92"/>
      <c r="E6552" s="89"/>
      <c r="F6552" s="89"/>
      <c r="G6552" s="89"/>
    </row>
    <row r="6553">
      <c r="A6553" s="93"/>
      <c r="B6553" s="87" t="s">
        <v>779</v>
      </c>
      <c r="C6553" s="88"/>
      <c r="D6553" s="92"/>
      <c r="E6553" s="89"/>
      <c r="F6553" s="89"/>
      <c r="G6553" s="89"/>
    </row>
    <row r="6554">
      <c r="A6554" s="93"/>
      <c r="B6554" s="87" t="s">
        <v>779</v>
      </c>
      <c r="C6554" s="88"/>
      <c r="D6554" s="92"/>
      <c r="E6554" s="89"/>
      <c r="F6554" s="89"/>
      <c r="G6554" s="89"/>
    </row>
    <row r="6555">
      <c r="A6555" s="93"/>
      <c r="B6555" s="87" t="s">
        <v>779</v>
      </c>
      <c r="C6555" s="88"/>
      <c r="D6555" s="92"/>
      <c r="E6555" s="89"/>
      <c r="F6555" s="89"/>
      <c r="G6555" s="89"/>
    </row>
    <row r="6556">
      <c r="A6556" s="93"/>
      <c r="B6556" s="87" t="s">
        <v>779</v>
      </c>
      <c r="C6556" s="88"/>
      <c r="D6556" s="92"/>
      <c r="E6556" s="89"/>
      <c r="F6556" s="89"/>
      <c r="G6556" s="89"/>
    </row>
    <row r="6557">
      <c r="A6557" s="93"/>
      <c r="B6557" s="87" t="s">
        <v>779</v>
      </c>
      <c r="C6557" s="88"/>
      <c r="D6557" s="92"/>
      <c r="E6557" s="89"/>
      <c r="F6557" s="89"/>
      <c r="G6557" s="89"/>
    </row>
    <row r="6558">
      <c r="A6558" s="93"/>
      <c r="B6558" s="87" t="s">
        <v>779</v>
      </c>
      <c r="C6558" s="88"/>
      <c r="D6558" s="92"/>
      <c r="E6558" s="89"/>
      <c r="F6558" s="89"/>
      <c r="G6558" s="89"/>
    </row>
    <row r="6559">
      <c r="A6559" s="93"/>
      <c r="B6559" s="87" t="s">
        <v>779</v>
      </c>
      <c r="C6559" s="88"/>
      <c r="D6559" s="92"/>
      <c r="E6559" s="89"/>
      <c r="F6559" s="89"/>
      <c r="G6559" s="89"/>
    </row>
    <row r="6560">
      <c r="A6560" s="93"/>
      <c r="B6560" s="87" t="s">
        <v>779</v>
      </c>
      <c r="C6560" s="88"/>
      <c r="D6560" s="92"/>
      <c r="E6560" s="89"/>
      <c r="F6560" s="89"/>
      <c r="G6560" s="89"/>
    </row>
    <row r="6561">
      <c r="A6561" s="93"/>
      <c r="B6561" s="87" t="s">
        <v>779</v>
      </c>
      <c r="C6561" s="88"/>
      <c r="D6561" s="92"/>
      <c r="E6561" s="89"/>
      <c r="F6561" s="89"/>
      <c r="G6561" s="89"/>
    </row>
    <row r="6562">
      <c r="A6562" s="93"/>
      <c r="B6562" s="87" t="s">
        <v>779</v>
      </c>
      <c r="C6562" s="88"/>
      <c r="D6562" s="92"/>
      <c r="E6562" s="89"/>
      <c r="F6562" s="89"/>
      <c r="G6562" s="89"/>
    </row>
    <row r="6563">
      <c r="A6563" s="93"/>
      <c r="B6563" s="87" t="s">
        <v>779</v>
      </c>
      <c r="C6563" s="88"/>
      <c r="D6563" s="92"/>
      <c r="E6563" s="89"/>
      <c r="F6563" s="89"/>
      <c r="G6563" s="89"/>
    </row>
    <row r="6564">
      <c r="A6564" s="93"/>
      <c r="B6564" s="87" t="s">
        <v>779</v>
      </c>
      <c r="C6564" s="88"/>
      <c r="D6564" s="92"/>
      <c r="E6564" s="89"/>
      <c r="F6564" s="89"/>
      <c r="G6564" s="89"/>
    </row>
    <row r="6565">
      <c r="A6565" s="93"/>
      <c r="B6565" s="87" t="s">
        <v>779</v>
      </c>
      <c r="C6565" s="88"/>
      <c r="D6565" s="92"/>
      <c r="E6565" s="89"/>
      <c r="F6565" s="89"/>
      <c r="G6565" s="89"/>
    </row>
    <row r="6566">
      <c r="A6566" s="93"/>
      <c r="B6566" s="87" t="s">
        <v>779</v>
      </c>
      <c r="C6566" s="88"/>
      <c r="D6566" s="92"/>
      <c r="E6566" s="89"/>
      <c r="F6566" s="89"/>
      <c r="G6566" s="89"/>
    </row>
    <row r="6567">
      <c r="A6567" s="93"/>
      <c r="B6567" s="87" t="s">
        <v>779</v>
      </c>
      <c r="C6567" s="88"/>
      <c r="D6567" s="92"/>
      <c r="E6567" s="89"/>
      <c r="F6567" s="89"/>
      <c r="G6567" s="89"/>
    </row>
    <row r="6568">
      <c r="A6568" s="93"/>
      <c r="B6568" s="87" t="s">
        <v>779</v>
      </c>
      <c r="C6568" s="88"/>
      <c r="D6568" s="92"/>
      <c r="E6568" s="89"/>
      <c r="F6568" s="89"/>
      <c r="G6568" s="89"/>
    </row>
    <row r="6569">
      <c r="A6569" s="93"/>
      <c r="B6569" s="87" t="s">
        <v>779</v>
      </c>
      <c r="C6569" s="88"/>
      <c r="D6569" s="92"/>
      <c r="E6569" s="89"/>
      <c r="F6569" s="89"/>
      <c r="G6569" s="89"/>
    </row>
    <row r="6570">
      <c r="A6570" s="93"/>
      <c r="B6570" s="87" t="s">
        <v>779</v>
      </c>
      <c r="C6570" s="88"/>
      <c r="D6570" s="92"/>
      <c r="E6570" s="89"/>
      <c r="F6570" s="89"/>
      <c r="G6570" s="89"/>
    </row>
    <row r="6571">
      <c r="A6571" s="93"/>
      <c r="B6571" s="87" t="s">
        <v>779</v>
      </c>
      <c r="C6571" s="88"/>
      <c r="D6571" s="92"/>
      <c r="E6571" s="89"/>
      <c r="F6571" s="89"/>
      <c r="G6571" s="89"/>
    </row>
    <row r="6572">
      <c r="A6572" s="93"/>
      <c r="B6572" s="87" t="s">
        <v>779</v>
      </c>
      <c r="C6572" s="88"/>
      <c r="D6572" s="92"/>
      <c r="E6572" s="89"/>
      <c r="F6572" s="89"/>
      <c r="G6572" s="89"/>
    </row>
    <row r="6573">
      <c r="A6573" s="93"/>
      <c r="B6573" s="87" t="s">
        <v>779</v>
      </c>
      <c r="C6573" s="88"/>
      <c r="D6573" s="92"/>
      <c r="E6573" s="89"/>
      <c r="F6573" s="89"/>
      <c r="G6573" s="89"/>
    </row>
    <row r="6574">
      <c r="A6574" s="93"/>
      <c r="B6574" s="87" t="s">
        <v>779</v>
      </c>
      <c r="C6574" s="88"/>
      <c r="D6574" s="92"/>
      <c r="E6574" s="89"/>
      <c r="F6574" s="89"/>
      <c r="G6574" s="89"/>
    </row>
    <row r="6575">
      <c r="A6575" s="93"/>
      <c r="B6575" s="87" t="s">
        <v>779</v>
      </c>
      <c r="C6575" s="88"/>
      <c r="D6575" s="92"/>
      <c r="E6575" s="89"/>
      <c r="F6575" s="89"/>
      <c r="G6575" s="89"/>
    </row>
    <row r="6576">
      <c r="A6576" s="93"/>
      <c r="B6576" s="87" t="s">
        <v>779</v>
      </c>
      <c r="C6576" s="88"/>
      <c r="D6576" s="92"/>
      <c r="E6576" s="89"/>
      <c r="F6576" s="89"/>
      <c r="G6576" s="89"/>
    </row>
    <row r="6577">
      <c r="A6577" s="93"/>
      <c r="B6577" s="87" t="s">
        <v>779</v>
      </c>
      <c r="C6577" s="88"/>
      <c r="D6577" s="92"/>
      <c r="E6577" s="89"/>
      <c r="F6577" s="89"/>
      <c r="G6577" s="89"/>
    </row>
    <row r="6578">
      <c r="A6578" s="93"/>
      <c r="B6578" s="87" t="s">
        <v>779</v>
      </c>
      <c r="C6578" s="88"/>
      <c r="D6578" s="92"/>
      <c r="E6578" s="89"/>
      <c r="F6578" s="89"/>
      <c r="G6578" s="89"/>
    </row>
    <row r="6579">
      <c r="A6579" s="93"/>
      <c r="B6579" s="87" t="s">
        <v>779</v>
      </c>
      <c r="C6579" s="88"/>
      <c r="D6579" s="92"/>
      <c r="E6579" s="89"/>
      <c r="F6579" s="89"/>
      <c r="G6579" s="89"/>
    </row>
    <row r="6580">
      <c r="A6580" s="93"/>
      <c r="B6580" s="87" t="s">
        <v>779</v>
      </c>
      <c r="C6580" s="88"/>
      <c r="D6580" s="92"/>
      <c r="E6580" s="89"/>
      <c r="F6580" s="89"/>
      <c r="G6580" s="89"/>
    </row>
    <row r="6581">
      <c r="A6581" s="93"/>
      <c r="B6581" s="87" t="s">
        <v>779</v>
      </c>
      <c r="C6581" s="88"/>
      <c r="D6581" s="92"/>
      <c r="E6581" s="89"/>
      <c r="F6581" s="89"/>
      <c r="G6581" s="89"/>
    </row>
    <row r="6582">
      <c r="A6582" s="93"/>
      <c r="B6582" s="87" t="s">
        <v>779</v>
      </c>
      <c r="C6582" s="88"/>
      <c r="D6582" s="92"/>
      <c r="E6582" s="89"/>
      <c r="F6582" s="89"/>
      <c r="G6582" s="89"/>
    </row>
    <row r="6583">
      <c r="A6583" s="93"/>
      <c r="B6583" s="87" t="s">
        <v>779</v>
      </c>
      <c r="C6583" s="88"/>
      <c r="D6583" s="92"/>
      <c r="E6583" s="89"/>
      <c r="F6583" s="89"/>
      <c r="G6583" s="89"/>
    </row>
    <row r="6584">
      <c r="A6584" s="93"/>
      <c r="B6584" s="87" t="s">
        <v>779</v>
      </c>
      <c r="C6584" s="88"/>
      <c r="D6584" s="92"/>
      <c r="E6584" s="89"/>
      <c r="F6584" s="89"/>
      <c r="G6584" s="89"/>
    </row>
    <row r="6585">
      <c r="A6585" s="93"/>
      <c r="B6585" s="87" t="s">
        <v>779</v>
      </c>
      <c r="C6585" s="88"/>
      <c r="D6585" s="92"/>
      <c r="E6585" s="89"/>
      <c r="F6585" s="89"/>
      <c r="G6585" s="89"/>
    </row>
    <row r="6586">
      <c r="A6586" s="93"/>
      <c r="B6586" s="87" t="s">
        <v>779</v>
      </c>
      <c r="C6586" s="88"/>
      <c r="D6586" s="92"/>
      <c r="E6586" s="89"/>
      <c r="F6586" s="89"/>
      <c r="G6586" s="89"/>
    </row>
    <row r="6587">
      <c r="A6587" s="93"/>
      <c r="B6587" s="87" t="s">
        <v>779</v>
      </c>
      <c r="C6587" s="88"/>
      <c r="D6587" s="92"/>
      <c r="E6587" s="89"/>
      <c r="F6587" s="89"/>
      <c r="G6587" s="89"/>
    </row>
    <row r="6588">
      <c r="A6588" s="93"/>
      <c r="B6588" s="87" t="s">
        <v>779</v>
      </c>
      <c r="C6588" s="88"/>
      <c r="D6588" s="92"/>
      <c r="E6588" s="89"/>
      <c r="F6588" s="89"/>
      <c r="G6588" s="89"/>
    </row>
    <row r="6589">
      <c r="A6589" s="93"/>
      <c r="B6589" s="87" t="s">
        <v>779</v>
      </c>
      <c r="C6589" s="88"/>
      <c r="D6589" s="92"/>
      <c r="E6589" s="89"/>
      <c r="F6589" s="89"/>
      <c r="G6589" s="89"/>
    </row>
    <row r="6590">
      <c r="A6590" s="93"/>
      <c r="B6590" s="87" t="s">
        <v>779</v>
      </c>
      <c r="C6590" s="88"/>
      <c r="D6590" s="92"/>
      <c r="E6590" s="89"/>
      <c r="F6590" s="89"/>
      <c r="G6590" s="89"/>
    </row>
    <row r="6591">
      <c r="A6591" s="93"/>
      <c r="B6591" s="87" t="s">
        <v>779</v>
      </c>
      <c r="C6591" s="88"/>
      <c r="D6591" s="92"/>
      <c r="E6591" s="89"/>
      <c r="F6591" s="89"/>
      <c r="G6591" s="89"/>
    </row>
    <row r="6592">
      <c r="A6592" s="93"/>
      <c r="B6592" s="87" t="s">
        <v>779</v>
      </c>
      <c r="C6592" s="88"/>
      <c r="D6592" s="92"/>
      <c r="E6592" s="89"/>
      <c r="F6592" s="89"/>
      <c r="G6592" s="89"/>
    </row>
    <row r="6593">
      <c r="A6593" s="93"/>
      <c r="B6593" s="87" t="s">
        <v>779</v>
      </c>
      <c r="C6593" s="88"/>
      <c r="D6593" s="92"/>
      <c r="E6593" s="89"/>
      <c r="F6593" s="89"/>
      <c r="G6593" s="89"/>
    </row>
    <row r="6594">
      <c r="A6594" s="93"/>
      <c r="B6594" s="87" t="s">
        <v>779</v>
      </c>
      <c r="C6594" s="88"/>
      <c r="D6594" s="92"/>
      <c r="E6594" s="89"/>
      <c r="F6594" s="89"/>
      <c r="G6594" s="89"/>
    </row>
    <row r="6595">
      <c r="A6595" s="93"/>
      <c r="B6595" s="87" t="s">
        <v>779</v>
      </c>
      <c r="C6595" s="88"/>
      <c r="D6595" s="92"/>
      <c r="E6595" s="89"/>
      <c r="F6595" s="89"/>
      <c r="G6595" s="89"/>
    </row>
    <row r="6596">
      <c r="A6596" s="93"/>
      <c r="B6596" s="87" t="s">
        <v>779</v>
      </c>
      <c r="C6596" s="88"/>
      <c r="D6596" s="92"/>
      <c r="E6596" s="89"/>
      <c r="F6596" s="89"/>
      <c r="G6596" s="89"/>
    </row>
    <row r="6597">
      <c r="A6597" s="93"/>
      <c r="B6597" s="87" t="s">
        <v>779</v>
      </c>
      <c r="C6597" s="88"/>
      <c r="D6597" s="92"/>
      <c r="E6597" s="89"/>
      <c r="F6597" s="89"/>
      <c r="G6597" s="89"/>
    </row>
    <row r="6598">
      <c r="A6598" s="93"/>
      <c r="B6598" s="87" t="s">
        <v>779</v>
      </c>
      <c r="C6598" s="88"/>
      <c r="D6598" s="92"/>
      <c r="E6598" s="89"/>
      <c r="F6598" s="89"/>
      <c r="G6598" s="89"/>
    </row>
    <row r="6599">
      <c r="A6599" s="93"/>
      <c r="B6599" s="87" t="s">
        <v>779</v>
      </c>
      <c r="C6599" s="88"/>
      <c r="D6599" s="92"/>
      <c r="E6599" s="89"/>
      <c r="F6599" s="89"/>
      <c r="G6599" s="89"/>
    </row>
    <row r="6600">
      <c r="A6600" s="93"/>
      <c r="B6600" s="87" t="s">
        <v>779</v>
      </c>
      <c r="C6600" s="88"/>
      <c r="D6600" s="92"/>
      <c r="E6600" s="89"/>
      <c r="F6600" s="89"/>
      <c r="G6600" s="89"/>
    </row>
    <row r="6601">
      <c r="A6601" s="93"/>
      <c r="B6601" s="87" t="s">
        <v>779</v>
      </c>
      <c r="C6601" s="88"/>
      <c r="D6601" s="92"/>
      <c r="E6601" s="89"/>
      <c r="F6601" s="89"/>
      <c r="G6601" s="89"/>
    </row>
    <row r="6602">
      <c r="A6602" s="93"/>
      <c r="B6602" s="87" t="s">
        <v>779</v>
      </c>
      <c r="C6602" s="88"/>
      <c r="D6602" s="92"/>
      <c r="E6602" s="89"/>
      <c r="F6602" s="89"/>
      <c r="G6602" s="89"/>
    </row>
    <row r="6603">
      <c r="A6603" s="93"/>
      <c r="B6603" s="87" t="s">
        <v>779</v>
      </c>
      <c r="C6603" s="88"/>
      <c r="D6603" s="92"/>
      <c r="E6603" s="89"/>
      <c r="F6603" s="89"/>
      <c r="G6603" s="89"/>
    </row>
    <row r="6604">
      <c r="A6604" s="93"/>
      <c r="B6604" s="87" t="s">
        <v>779</v>
      </c>
      <c r="C6604" s="88"/>
      <c r="D6604" s="92"/>
      <c r="E6604" s="89"/>
      <c r="F6604" s="89"/>
      <c r="G6604" s="89"/>
    </row>
    <row r="6605">
      <c r="A6605" s="93"/>
      <c r="B6605" s="87" t="s">
        <v>779</v>
      </c>
      <c r="C6605" s="88"/>
      <c r="D6605" s="92"/>
      <c r="E6605" s="89"/>
      <c r="F6605" s="89"/>
      <c r="G6605" s="89"/>
    </row>
    <row r="6606">
      <c r="A6606" s="93"/>
      <c r="B6606" s="87" t="s">
        <v>779</v>
      </c>
      <c r="C6606" s="88"/>
      <c r="D6606" s="92"/>
      <c r="E6606" s="89"/>
      <c r="F6606" s="89"/>
      <c r="G6606" s="89"/>
    </row>
    <row r="6607">
      <c r="A6607" s="93"/>
      <c r="B6607" s="87" t="s">
        <v>779</v>
      </c>
      <c r="C6607" s="88"/>
      <c r="D6607" s="92"/>
      <c r="E6607" s="89"/>
      <c r="F6607" s="89"/>
      <c r="G6607" s="89"/>
    </row>
    <row r="6608">
      <c r="A6608" s="93"/>
      <c r="B6608" s="87" t="s">
        <v>779</v>
      </c>
      <c r="C6608" s="88"/>
      <c r="D6608" s="92"/>
      <c r="E6608" s="89"/>
      <c r="F6608" s="89"/>
      <c r="G6608" s="89"/>
    </row>
    <row r="6609">
      <c r="A6609" s="93"/>
      <c r="B6609" s="87" t="s">
        <v>779</v>
      </c>
      <c r="C6609" s="88"/>
      <c r="D6609" s="92"/>
      <c r="E6609" s="89"/>
      <c r="F6609" s="89"/>
      <c r="G6609" s="89"/>
    </row>
    <row r="6610">
      <c r="A6610" s="93"/>
      <c r="B6610" s="87" t="s">
        <v>779</v>
      </c>
      <c r="C6610" s="88"/>
      <c r="D6610" s="92"/>
      <c r="E6610" s="89"/>
      <c r="F6610" s="89"/>
      <c r="G6610" s="89"/>
    </row>
    <row r="6611">
      <c r="A6611" s="93"/>
      <c r="B6611" s="87" t="s">
        <v>779</v>
      </c>
      <c r="C6611" s="88"/>
      <c r="D6611" s="92"/>
      <c r="E6611" s="89"/>
      <c r="F6611" s="89"/>
      <c r="G6611" s="89"/>
    </row>
    <row r="6612">
      <c r="A6612" s="93"/>
      <c r="B6612" s="87" t="s">
        <v>779</v>
      </c>
      <c r="C6612" s="88"/>
      <c r="D6612" s="92"/>
      <c r="E6612" s="89"/>
      <c r="F6612" s="89"/>
      <c r="G6612" s="89"/>
    </row>
    <row r="6613">
      <c r="A6613" s="93"/>
      <c r="B6613" s="87" t="s">
        <v>779</v>
      </c>
      <c r="C6613" s="88"/>
      <c r="D6613" s="92"/>
      <c r="E6613" s="89"/>
      <c r="F6613" s="89"/>
      <c r="G6613" s="89"/>
    </row>
    <row r="6614">
      <c r="A6614" s="93"/>
      <c r="B6614" s="87" t="s">
        <v>779</v>
      </c>
      <c r="C6614" s="88"/>
      <c r="D6614" s="92"/>
      <c r="E6614" s="89"/>
      <c r="F6614" s="89"/>
      <c r="G6614" s="89"/>
    </row>
    <row r="6615">
      <c r="A6615" s="93"/>
      <c r="B6615" s="87" t="s">
        <v>779</v>
      </c>
      <c r="C6615" s="88"/>
      <c r="D6615" s="92"/>
      <c r="E6615" s="89"/>
      <c r="F6615" s="89"/>
      <c r="G6615" s="89"/>
    </row>
    <row r="6616">
      <c r="A6616" s="93"/>
      <c r="B6616" s="87" t="s">
        <v>779</v>
      </c>
      <c r="C6616" s="88"/>
      <c r="D6616" s="92"/>
      <c r="E6616" s="89"/>
      <c r="F6616" s="89"/>
      <c r="G6616" s="89"/>
    </row>
    <row r="6617">
      <c r="A6617" s="93"/>
      <c r="B6617" s="87" t="s">
        <v>779</v>
      </c>
      <c r="C6617" s="88"/>
      <c r="D6617" s="92"/>
      <c r="E6617" s="89"/>
      <c r="F6617" s="89"/>
      <c r="G6617" s="89"/>
    </row>
    <row r="6618">
      <c r="A6618" s="93"/>
      <c r="B6618" s="87" t="s">
        <v>779</v>
      </c>
      <c r="C6618" s="88"/>
      <c r="D6618" s="92"/>
      <c r="E6618" s="89"/>
      <c r="F6618" s="89"/>
      <c r="G6618" s="89"/>
    </row>
    <row r="6619">
      <c r="A6619" s="93"/>
      <c r="B6619" s="87" t="s">
        <v>779</v>
      </c>
      <c r="C6619" s="88"/>
      <c r="D6619" s="92"/>
      <c r="E6619" s="89"/>
      <c r="F6619" s="89"/>
      <c r="G6619" s="89"/>
    </row>
    <row r="6620">
      <c r="A6620" s="93"/>
      <c r="B6620" s="87" t="s">
        <v>779</v>
      </c>
      <c r="C6620" s="88"/>
      <c r="D6620" s="92"/>
      <c r="E6620" s="89"/>
      <c r="F6620" s="89"/>
      <c r="G6620" s="89"/>
    </row>
    <row r="6621">
      <c r="A6621" s="93"/>
      <c r="B6621" s="87" t="s">
        <v>779</v>
      </c>
      <c r="C6621" s="88"/>
      <c r="D6621" s="92"/>
      <c r="E6621" s="89"/>
      <c r="F6621" s="89"/>
      <c r="G6621" s="89"/>
    </row>
    <row r="6622">
      <c r="A6622" s="93"/>
      <c r="B6622" s="87" t="s">
        <v>779</v>
      </c>
      <c r="C6622" s="88"/>
      <c r="D6622" s="92"/>
      <c r="E6622" s="89"/>
      <c r="F6622" s="89"/>
      <c r="G6622" s="89"/>
    </row>
    <row r="6623">
      <c r="A6623" s="93"/>
      <c r="B6623" s="87" t="s">
        <v>779</v>
      </c>
      <c r="C6623" s="88"/>
      <c r="D6623" s="92"/>
      <c r="E6623" s="89"/>
      <c r="F6623" s="89"/>
      <c r="G6623" s="89"/>
    </row>
    <row r="6624">
      <c r="A6624" s="93"/>
      <c r="B6624" s="87" t="s">
        <v>779</v>
      </c>
      <c r="C6624" s="88"/>
      <c r="D6624" s="92"/>
      <c r="E6624" s="89"/>
      <c r="F6624" s="89"/>
      <c r="G6624" s="89"/>
    </row>
    <row r="6625">
      <c r="A6625" s="93"/>
      <c r="B6625" s="87" t="s">
        <v>779</v>
      </c>
      <c r="C6625" s="88"/>
      <c r="D6625" s="92"/>
      <c r="E6625" s="89"/>
      <c r="F6625" s="89"/>
      <c r="G6625" s="89"/>
    </row>
    <row r="6626">
      <c r="A6626" s="93"/>
      <c r="B6626" s="87" t="s">
        <v>779</v>
      </c>
      <c r="C6626" s="88"/>
      <c r="D6626" s="92"/>
      <c r="E6626" s="89"/>
      <c r="F6626" s="89"/>
      <c r="G6626" s="89"/>
    </row>
    <row r="6627">
      <c r="A6627" s="93"/>
      <c r="B6627" s="87" t="s">
        <v>779</v>
      </c>
      <c r="C6627" s="88"/>
      <c r="D6627" s="92"/>
      <c r="E6627" s="89"/>
      <c r="F6627" s="89"/>
      <c r="G6627" s="89"/>
    </row>
    <row r="6628">
      <c r="A6628" s="93"/>
      <c r="B6628" s="87" t="s">
        <v>779</v>
      </c>
      <c r="C6628" s="88"/>
      <c r="D6628" s="92"/>
      <c r="E6628" s="89"/>
      <c r="F6628" s="89"/>
      <c r="G6628" s="89"/>
    </row>
    <row r="6629">
      <c r="A6629" s="93"/>
      <c r="B6629" s="87" t="s">
        <v>779</v>
      </c>
      <c r="C6629" s="88"/>
      <c r="D6629" s="92"/>
      <c r="E6629" s="89"/>
      <c r="F6629" s="89"/>
      <c r="G6629" s="89"/>
    </row>
    <row r="6630">
      <c r="A6630" s="93"/>
      <c r="B6630" s="87" t="s">
        <v>779</v>
      </c>
      <c r="C6630" s="88"/>
      <c r="D6630" s="92"/>
      <c r="E6630" s="89"/>
      <c r="F6630" s="89"/>
      <c r="G6630" s="89"/>
    </row>
    <row r="6631">
      <c r="A6631" s="93"/>
      <c r="B6631" s="87" t="s">
        <v>779</v>
      </c>
      <c r="C6631" s="88"/>
      <c r="D6631" s="92"/>
      <c r="E6631" s="89"/>
      <c r="F6631" s="89"/>
      <c r="G6631" s="89"/>
    </row>
    <row r="6632">
      <c r="A6632" s="93"/>
      <c r="B6632" s="87" t="s">
        <v>779</v>
      </c>
      <c r="C6632" s="88"/>
      <c r="D6632" s="92"/>
      <c r="E6632" s="89"/>
      <c r="F6632" s="89"/>
      <c r="G6632" s="89"/>
    </row>
    <row r="6633">
      <c r="A6633" s="93"/>
      <c r="B6633" s="87" t="s">
        <v>779</v>
      </c>
      <c r="C6633" s="88"/>
      <c r="D6633" s="92"/>
      <c r="E6633" s="89"/>
      <c r="F6633" s="89"/>
      <c r="G6633" s="89"/>
    </row>
    <row r="6634">
      <c r="A6634" s="93"/>
      <c r="B6634" s="87" t="s">
        <v>779</v>
      </c>
      <c r="C6634" s="88"/>
      <c r="D6634" s="92"/>
      <c r="E6634" s="89"/>
      <c r="F6634" s="89"/>
      <c r="G6634" s="89"/>
    </row>
    <row r="6635">
      <c r="A6635" s="93"/>
      <c r="B6635" s="87" t="s">
        <v>779</v>
      </c>
      <c r="C6635" s="88"/>
      <c r="D6635" s="92"/>
      <c r="E6635" s="89"/>
      <c r="F6635" s="89"/>
      <c r="G6635" s="89"/>
    </row>
    <row r="6636">
      <c r="A6636" s="93"/>
      <c r="B6636" s="87" t="s">
        <v>779</v>
      </c>
      <c r="C6636" s="88"/>
      <c r="D6636" s="92"/>
      <c r="E6636" s="89"/>
      <c r="F6636" s="89"/>
      <c r="G6636" s="89"/>
    </row>
    <row r="6637">
      <c r="A6637" s="93"/>
      <c r="B6637" s="87" t="s">
        <v>779</v>
      </c>
      <c r="C6637" s="88"/>
      <c r="D6637" s="92"/>
      <c r="E6637" s="89"/>
      <c r="F6637" s="89"/>
      <c r="G6637" s="89"/>
    </row>
    <row r="6638">
      <c r="A6638" s="93"/>
      <c r="B6638" s="87" t="s">
        <v>779</v>
      </c>
      <c r="C6638" s="88"/>
      <c r="D6638" s="92"/>
      <c r="E6638" s="89"/>
      <c r="F6638" s="89"/>
      <c r="G6638" s="89"/>
    </row>
    <row r="6639">
      <c r="A6639" s="93"/>
      <c r="B6639" s="87" t="s">
        <v>779</v>
      </c>
      <c r="C6639" s="88"/>
      <c r="D6639" s="92"/>
      <c r="E6639" s="89"/>
      <c r="F6639" s="89"/>
      <c r="G6639" s="89"/>
    </row>
    <row r="6640">
      <c r="A6640" s="93"/>
      <c r="B6640" s="87" t="s">
        <v>779</v>
      </c>
      <c r="C6640" s="88"/>
      <c r="D6640" s="92"/>
      <c r="E6640" s="89"/>
      <c r="F6640" s="89"/>
      <c r="G6640" s="89"/>
    </row>
    <row r="6641">
      <c r="A6641" s="93"/>
      <c r="B6641" s="87" t="s">
        <v>779</v>
      </c>
      <c r="C6641" s="88"/>
      <c r="D6641" s="92"/>
      <c r="E6641" s="89"/>
      <c r="F6641" s="89"/>
      <c r="G6641" s="89"/>
    </row>
    <row r="6642">
      <c r="A6642" s="93"/>
      <c r="B6642" s="87" t="s">
        <v>779</v>
      </c>
      <c r="C6642" s="88"/>
      <c r="D6642" s="92"/>
      <c r="E6642" s="89"/>
      <c r="F6642" s="89"/>
      <c r="G6642" s="89"/>
    </row>
    <row r="6643">
      <c r="A6643" s="93"/>
      <c r="B6643" s="87" t="s">
        <v>779</v>
      </c>
      <c r="C6643" s="88"/>
      <c r="D6643" s="92"/>
      <c r="E6643" s="89"/>
      <c r="F6643" s="89"/>
      <c r="G6643" s="89"/>
    </row>
    <row r="6644">
      <c r="A6644" s="93"/>
      <c r="B6644" s="87" t="s">
        <v>779</v>
      </c>
      <c r="C6644" s="88"/>
      <c r="D6644" s="92"/>
      <c r="E6644" s="89"/>
      <c r="F6644" s="89"/>
      <c r="G6644" s="89"/>
    </row>
    <row r="6645">
      <c r="A6645" s="93"/>
      <c r="B6645" s="87" t="s">
        <v>779</v>
      </c>
      <c r="C6645" s="88"/>
      <c r="D6645" s="92"/>
      <c r="E6645" s="89"/>
      <c r="F6645" s="89"/>
      <c r="G6645" s="89"/>
    </row>
    <row r="6646">
      <c r="A6646" s="93"/>
      <c r="B6646" s="87" t="s">
        <v>779</v>
      </c>
      <c r="C6646" s="88"/>
      <c r="D6646" s="92"/>
      <c r="E6646" s="89"/>
      <c r="F6646" s="89"/>
      <c r="G6646" s="89"/>
    </row>
    <row r="6647">
      <c r="A6647" s="93"/>
      <c r="B6647" s="87" t="s">
        <v>779</v>
      </c>
      <c r="C6647" s="88"/>
      <c r="D6647" s="92"/>
      <c r="E6647" s="89"/>
      <c r="F6647" s="89"/>
      <c r="G6647" s="89"/>
    </row>
    <row r="6648">
      <c r="A6648" s="93"/>
      <c r="B6648" s="87" t="s">
        <v>779</v>
      </c>
      <c r="C6648" s="88"/>
      <c r="D6648" s="92"/>
      <c r="E6648" s="89"/>
      <c r="F6648" s="89"/>
      <c r="G6648" s="89"/>
    </row>
    <row r="6649">
      <c r="A6649" s="93"/>
      <c r="B6649" s="87" t="s">
        <v>779</v>
      </c>
      <c r="C6649" s="88"/>
      <c r="D6649" s="92"/>
      <c r="E6649" s="89"/>
      <c r="F6649" s="89"/>
      <c r="G6649" s="89"/>
    </row>
    <row r="6650">
      <c r="A6650" s="93"/>
      <c r="B6650" s="87" t="s">
        <v>779</v>
      </c>
      <c r="C6650" s="88"/>
      <c r="D6650" s="92"/>
      <c r="E6650" s="89"/>
      <c r="F6650" s="89"/>
      <c r="G6650" s="89"/>
    </row>
    <row r="6651">
      <c r="A6651" s="93"/>
      <c r="B6651" s="87" t="s">
        <v>779</v>
      </c>
      <c r="C6651" s="88"/>
      <c r="D6651" s="92"/>
      <c r="E6651" s="89"/>
      <c r="F6651" s="89"/>
      <c r="G6651" s="89"/>
    </row>
    <row r="6652">
      <c r="A6652" s="93"/>
      <c r="B6652" s="87" t="s">
        <v>779</v>
      </c>
      <c r="C6652" s="88"/>
      <c r="D6652" s="92"/>
      <c r="E6652" s="89"/>
      <c r="F6652" s="89"/>
      <c r="G6652" s="89"/>
    </row>
    <row r="6653">
      <c r="A6653" s="93"/>
      <c r="B6653" s="87" t="s">
        <v>779</v>
      </c>
      <c r="C6653" s="88"/>
      <c r="D6653" s="92"/>
      <c r="E6653" s="89"/>
      <c r="F6653" s="89"/>
      <c r="G6653" s="89"/>
    </row>
    <row r="6654">
      <c r="A6654" s="93"/>
      <c r="B6654" s="87" t="s">
        <v>779</v>
      </c>
      <c r="C6654" s="88"/>
      <c r="D6654" s="92"/>
      <c r="E6654" s="89"/>
      <c r="F6654" s="89"/>
      <c r="G6654" s="89"/>
    </row>
    <row r="6655">
      <c r="A6655" s="93"/>
      <c r="B6655" s="87" t="s">
        <v>779</v>
      </c>
      <c r="C6655" s="88"/>
      <c r="D6655" s="92"/>
      <c r="E6655" s="89"/>
      <c r="F6655" s="89"/>
      <c r="G6655" s="89"/>
    </row>
    <row r="6656">
      <c r="A6656" s="93"/>
      <c r="B6656" s="87" t="s">
        <v>779</v>
      </c>
      <c r="C6656" s="88"/>
      <c r="D6656" s="92"/>
      <c r="E6656" s="89"/>
      <c r="F6656" s="89"/>
      <c r="G6656" s="89"/>
    </row>
    <row r="6657">
      <c r="A6657" s="93"/>
      <c r="B6657" s="87" t="s">
        <v>779</v>
      </c>
      <c r="C6657" s="88"/>
      <c r="D6657" s="92"/>
      <c r="E6657" s="89"/>
      <c r="F6657" s="89"/>
      <c r="G6657" s="89"/>
    </row>
    <row r="6658">
      <c r="A6658" s="93"/>
      <c r="B6658" s="87" t="s">
        <v>779</v>
      </c>
      <c r="C6658" s="88"/>
      <c r="D6658" s="92"/>
      <c r="E6658" s="89"/>
      <c r="F6658" s="89"/>
      <c r="G6658" s="89"/>
    </row>
    <row r="6659">
      <c r="A6659" s="93"/>
      <c r="B6659" s="87" t="s">
        <v>779</v>
      </c>
      <c r="C6659" s="88"/>
      <c r="D6659" s="92"/>
      <c r="E6659" s="89"/>
      <c r="F6659" s="89"/>
      <c r="G6659" s="89"/>
    </row>
    <row r="6660">
      <c r="A6660" s="93"/>
      <c r="B6660" s="87" t="s">
        <v>779</v>
      </c>
      <c r="C6660" s="88"/>
      <c r="D6660" s="92"/>
      <c r="E6660" s="89"/>
      <c r="F6660" s="89"/>
      <c r="G6660" s="89"/>
    </row>
    <row r="6661">
      <c r="A6661" s="93"/>
      <c r="B6661" s="87" t="s">
        <v>779</v>
      </c>
      <c r="C6661" s="88"/>
      <c r="D6661" s="92"/>
      <c r="E6661" s="89"/>
      <c r="F6661" s="89"/>
      <c r="G6661" s="89"/>
    </row>
    <row r="6662">
      <c r="A6662" s="93"/>
      <c r="B6662" s="87" t="s">
        <v>779</v>
      </c>
      <c r="C6662" s="88"/>
      <c r="D6662" s="92"/>
      <c r="E6662" s="89"/>
      <c r="F6662" s="89"/>
      <c r="G6662" s="89"/>
    </row>
    <row r="6663">
      <c r="A6663" s="93"/>
      <c r="B6663" s="87" t="s">
        <v>779</v>
      </c>
      <c r="C6663" s="88"/>
      <c r="D6663" s="92"/>
      <c r="E6663" s="89"/>
      <c r="F6663" s="89"/>
      <c r="G6663" s="89"/>
    </row>
    <row r="6664">
      <c r="A6664" s="93"/>
      <c r="B6664" s="87" t="s">
        <v>779</v>
      </c>
      <c r="C6664" s="88"/>
      <c r="D6664" s="92"/>
      <c r="E6664" s="89"/>
      <c r="F6664" s="89"/>
      <c r="G6664" s="89"/>
    </row>
    <row r="6665">
      <c r="A6665" s="93"/>
      <c r="B6665" s="87" t="s">
        <v>779</v>
      </c>
      <c r="C6665" s="88"/>
      <c r="D6665" s="92"/>
      <c r="E6665" s="89"/>
      <c r="F6665" s="89"/>
      <c r="G6665" s="89"/>
    </row>
    <row r="6666">
      <c r="A6666" s="93"/>
      <c r="B6666" s="87" t="s">
        <v>779</v>
      </c>
      <c r="C6666" s="88"/>
      <c r="D6666" s="92"/>
      <c r="E6666" s="89"/>
      <c r="F6666" s="89"/>
      <c r="G6666" s="89"/>
    </row>
    <row r="6667">
      <c r="A6667" s="93"/>
      <c r="B6667" s="87" t="s">
        <v>779</v>
      </c>
      <c r="C6667" s="88"/>
      <c r="D6667" s="92"/>
      <c r="E6667" s="89"/>
      <c r="F6667" s="89"/>
      <c r="G6667" s="89"/>
    </row>
    <row r="6668">
      <c r="A6668" s="93"/>
      <c r="B6668" s="87" t="s">
        <v>779</v>
      </c>
      <c r="C6668" s="88"/>
      <c r="D6668" s="92"/>
      <c r="E6668" s="89"/>
      <c r="F6668" s="89"/>
      <c r="G6668" s="89"/>
    </row>
    <row r="6669">
      <c r="A6669" s="93"/>
      <c r="B6669" s="87" t="s">
        <v>779</v>
      </c>
      <c r="C6669" s="88"/>
      <c r="D6669" s="92"/>
      <c r="E6669" s="89"/>
      <c r="F6669" s="89"/>
      <c r="G6669" s="89"/>
    </row>
    <row r="6670">
      <c r="A6670" s="93"/>
      <c r="B6670" s="87" t="s">
        <v>779</v>
      </c>
      <c r="C6670" s="88"/>
      <c r="D6670" s="92"/>
      <c r="E6670" s="89"/>
      <c r="F6670" s="89"/>
      <c r="G6670" s="89"/>
    </row>
    <row r="6671">
      <c r="A6671" s="93"/>
      <c r="B6671" s="87" t="s">
        <v>779</v>
      </c>
      <c r="C6671" s="88"/>
      <c r="D6671" s="92"/>
      <c r="E6671" s="89"/>
      <c r="F6671" s="89"/>
      <c r="G6671" s="89"/>
    </row>
    <row r="6672">
      <c r="A6672" s="93"/>
      <c r="B6672" s="87" t="s">
        <v>779</v>
      </c>
      <c r="C6672" s="88"/>
      <c r="D6672" s="92"/>
      <c r="E6672" s="89"/>
      <c r="F6672" s="89"/>
      <c r="G6672" s="89"/>
    </row>
    <row r="6673">
      <c r="A6673" s="93"/>
      <c r="B6673" s="87" t="s">
        <v>779</v>
      </c>
      <c r="C6673" s="88"/>
      <c r="D6673" s="92"/>
      <c r="E6673" s="89"/>
      <c r="F6673" s="89"/>
      <c r="G6673" s="89"/>
    </row>
    <row r="6674">
      <c r="A6674" s="93"/>
      <c r="B6674" s="87" t="s">
        <v>779</v>
      </c>
      <c r="C6674" s="88"/>
      <c r="D6674" s="92"/>
      <c r="E6674" s="89"/>
      <c r="F6674" s="89"/>
      <c r="G6674" s="89"/>
    </row>
    <row r="6675">
      <c r="A6675" s="93"/>
      <c r="B6675" s="87" t="s">
        <v>779</v>
      </c>
      <c r="C6675" s="88"/>
      <c r="D6675" s="92"/>
      <c r="E6675" s="89"/>
      <c r="F6675" s="89"/>
      <c r="G6675" s="89"/>
    </row>
    <row r="6676">
      <c r="A6676" s="93"/>
      <c r="B6676" s="87" t="s">
        <v>779</v>
      </c>
      <c r="C6676" s="88"/>
      <c r="D6676" s="92"/>
      <c r="E6676" s="89"/>
      <c r="F6676" s="89"/>
      <c r="G6676" s="89"/>
    </row>
    <row r="6677">
      <c r="A6677" s="93"/>
      <c r="B6677" s="87" t="s">
        <v>779</v>
      </c>
      <c r="C6677" s="88"/>
      <c r="D6677" s="92"/>
      <c r="E6677" s="89"/>
      <c r="F6677" s="89"/>
      <c r="G6677" s="89"/>
    </row>
    <row r="6678">
      <c r="A6678" s="93"/>
      <c r="B6678" s="87" t="s">
        <v>779</v>
      </c>
      <c r="C6678" s="88"/>
      <c r="D6678" s="92"/>
      <c r="E6678" s="89"/>
      <c r="F6678" s="89"/>
      <c r="G6678" s="89"/>
    </row>
    <row r="6679">
      <c r="A6679" s="93"/>
      <c r="B6679" s="87" t="s">
        <v>779</v>
      </c>
      <c r="C6679" s="88"/>
      <c r="D6679" s="92"/>
      <c r="E6679" s="89"/>
      <c r="F6679" s="89"/>
      <c r="G6679" s="89"/>
    </row>
    <row r="6680">
      <c r="A6680" s="93"/>
      <c r="B6680" s="87" t="s">
        <v>779</v>
      </c>
      <c r="C6680" s="88"/>
      <c r="D6680" s="92"/>
      <c r="E6680" s="89"/>
      <c r="F6680" s="89"/>
      <c r="G6680" s="89"/>
    </row>
    <row r="6681">
      <c r="A6681" s="93"/>
      <c r="B6681" s="87" t="s">
        <v>779</v>
      </c>
      <c r="C6681" s="88"/>
      <c r="D6681" s="92"/>
      <c r="E6681" s="89"/>
      <c r="F6681" s="89"/>
      <c r="G6681" s="89"/>
    </row>
    <row r="6682">
      <c r="A6682" s="93"/>
      <c r="B6682" s="87" t="s">
        <v>779</v>
      </c>
      <c r="C6682" s="88"/>
      <c r="D6682" s="92"/>
      <c r="E6682" s="89"/>
      <c r="F6682" s="89"/>
      <c r="G6682" s="89"/>
    </row>
    <row r="6683">
      <c r="A6683" s="93"/>
      <c r="B6683" s="87" t="s">
        <v>779</v>
      </c>
      <c r="C6683" s="88"/>
      <c r="D6683" s="92"/>
      <c r="E6683" s="89"/>
      <c r="F6683" s="89"/>
      <c r="G6683" s="89"/>
    </row>
    <row r="6684">
      <c r="A6684" s="93"/>
      <c r="B6684" s="87" t="s">
        <v>779</v>
      </c>
      <c r="C6684" s="88"/>
      <c r="D6684" s="92"/>
      <c r="E6684" s="89"/>
      <c r="F6684" s="89"/>
      <c r="G6684" s="89"/>
    </row>
    <row r="6685">
      <c r="A6685" s="93"/>
      <c r="B6685" s="87" t="s">
        <v>779</v>
      </c>
      <c r="C6685" s="88"/>
      <c r="D6685" s="92"/>
      <c r="E6685" s="89"/>
      <c r="F6685" s="89"/>
      <c r="G6685" s="89"/>
    </row>
    <row r="6686">
      <c r="A6686" s="93"/>
      <c r="B6686" s="87" t="s">
        <v>779</v>
      </c>
      <c r="C6686" s="88"/>
      <c r="D6686" s="92"/>
      <c r="E6686" s="89"/>
      <c r="F6686" s="89"/>
      <c r="G6686" s="89"/>
    </row>
    <row r="6687">
      <c r="A6687" s="93"/>
      <c r="B6687" s="87" t="s">
        <v>779</v>
      </c>
      <c r="C6687" s="88"/>
      <c r="D6687" s="92"/>
      <c r="E6687" s="89"/>
      <c r="F6687" s="89"/>
      <c r="G6687" s="89"/>
    </row>
    <row r="6688">
      <c r="A6688" s="93"/>
      <c r="B6688" s="87" t="s">
        <v>779</v>
      </c>
      <c r="C6688" s="88"/>
      <c r="D6688" s="92"/>
      <c r="E6688" s="89"/>
      <c r="F6688" s="89"/>
      <c r="G6688" s="89"/>
    </row>
    <row r="6689">
      <c r="A6689" s="93"/>
      <c r="B6689" s="87" t="s">
        <v>779</v>
      </c>
      <c r="C6689" s="88"/>
      <c r="D6689" s="92"/>
      <c r="E6689" s="89"/>
      <c r="F6689" s="89"/>
      <c r="G6689" s="89"/>
    </row>
    <row r="6690">
      <c r="A6690" s="93"/>
      <c r="B6690" s="87" t="s">
        <v>779</v>
      </c>
      <c r="C6690" s="88"/>
      <c r="D6690" s="92"/>
      <c r="E6690" s="89"/>
      <c r="F6690" s="89"/>
      <c r="G6690" s="89"/>
    </row>
    <row r="6691">
      <c r="A6691" s="93"/>
      <c r="B6691" s="87" t="s">
        <v>779</v>
      </c>
      <c r="C6691" s="88"/>
      <c r="D6691" s="92"/>
      <c r="E6691" s="89"/>
      <c r="F6691" s="89"/>
      <c r="G6691" s="89"/>
    </row>
    <row r="6692">
      <c r="A6692" s="93"/>
      <c r="B6692" s="87" t="s">
        <v>779</v>
      </c>
      <c r="C6692" s="88"/>
      <c r="D6692" s="92"/>
      <c r="E6692" s="89"/>
      <c r="F6692" s="89"/>
      <c r="G6692" s="89"/>
    </row>
    <row r="6693">
      <c r="A6693" s="93"/>
      <c r="B6693" s="87" t="s">
        <v>779</v>
      </c>
      <c r="C6693" s="88"/>
      <c r="D6693" s="92"/>
      <c r="E6693" s="89"/>
      <c r="F6693" s="89"/>
      <c r="G6693" s="89"/>
    </row>
    <row r="6694">
      <c r="A6694" s="93"/>
      <c r="B6694" s="87" t="s">
        <v>779</v>
      </c>
      <c r="C6694" s="88"/>
      <c r="D6694" s="92"/>
      <c r="E6694" s="89"/>
      <c r="F6694" s="89"/>
      <c r="G6694" s="89"/>
    </row>
    <row r="6695">
      <c r="A6695" s="93"/>
      <c r="B6695" s="87" t="s">
        <v>779</v>
      </c>
      <c r="C6695" s="88"/>
      <c r="D6695" s="92"/>
      <c r="E6695" s="89"/>
      <c r="F6695" s="89"/>
      <c r="G6695" s="89"/>
    </row>
    <row r="6696">
      <c r="A6696" s="93"/>
      <c r="B6696" s="87" t="s">
        <v>779</v>
      </c>
      <c r="C6696" s="88"/>
      <c r="D6696" s="92"/>
      <c r="E6696" s="89"/>
      <c r="F6696" s="89"/>
      <c r="G6696" s="89"/>
    </row>
    <row r="6697">
      <c r="A6697" s="93"/>
      <c r="B6697" s="87" t="s">
        <v>779</v>
      </c>
      <c r="C6697" s="88"/>
      <c r="D6697" s="92"/>
      <c r="E6697" s="89"/>
      <c r="F6697" s="89"/>
      <c r="G6697" s="89"/>
    </row>
    <row r="6698">
      <c r="A6698" s="93"/>
      <c r="B6698" s="87" t="s">
        <v>779</v>
      </c>
      <c r="C6698" s="88"/>
      <c r="D6698" s="92"/>
      <c r="E6698" s="89"/>
      <c r="F6698" s="89"/>
      <c r="G6698" s="89"/>
    </row>
    <row r="6699">
      <c r="A6699" s="93"/>
      <c r="B6699" s="87" t="s">
        <v>779</v>
      </c>
      <c r="C6699" s="88"/>
      <c r="D6699" s="92"/>
      <c r="E6699" s="89"/>
      <c r="F6699" s="89"/>
      <c r="G6699" s="89"/>
    </row>
    <row r="6700">
      <c r="A6700" s="93"/>
      <c r="B6700" s="87" t="s">
        <v>779</v>
      </c>
      <c r="C6700" s="88"/>
      <c r="D6700" s="92"/>
      <c r="E6700" s="89"/>
      <c r="F6700" s="89"/>
      <c r="G6700" s="89"/>
    </row>
    <row r="6701">
      <c r="A6701" s="93"/>
      <c r="B6701" s="87" t="s">
        <v>779</v>
      </c>
      <c r="C6701" s="88"/>
      <c r="D6701" s="92"/>
      <c r="E6701" s="89"/>
      <c r="F6701" s="89"/>
      <c r="G6701" s="89"/>
    </row>
    <row r="6702">
      <c r="A6702" s="93"/>
      <c r="B6702" s="87" t="s">
        <v>779</v>
      </c>
      <c r="C6702" s="88"/>
      <c r="D6702" s="92"/>
      <c r="E6702" s="89"/>
      <c r="F6702" s="89"/>
      <c r="G6702" s="89"/>
    </row>
    <row r="6703">
      <c r="A6703" s="93"/>
      <c r="B6703" s="87" t="s">
        <v>779</v>
      </c>
      <c r="C6703" s="88"/>
      <c r="D6703" s="92"/>
      <c r="E6703" s="89"/>
      <c r="F6703" s="89"/>
      <c r="G6703" s="89"/>
    </row>
    <row r="6704">
      <c r="A6704" s="93"/>
      <c r="B6704" s="87" t="s">
        <v>779</v>
      </c>
      <c r="C6704" s="88"/>
      <c r="D6704" s="92"/>
      <c r="E6704" s="89"/>
      <c r="F6704" s="89"/>
      <c r="G6704" s="89"/>
    </row>
    <row r="6705">
      <c r="A6705" s="93"/>
      <c r="B6705" s="87" t="s">
        <v>779</v>
      </c>
      <c r="C6705" s="88"/>
      <c r="D6705" s="92"/>
      <c r="E6705" s="89"/>
      <c r="F6705" s="89"/>
      <c r="G6705" s="89"/>
    </row>
    <row r="6706">
      <c r="A6706" s="93"/>
      <c r="B6706" s="87" t="s">
        <v>779</v>
      </c>
      <c r="C6706" s="88"/>
      <c r="D6706" s="92"/>
      <c r="E6706" s="89"/>
      <c r="F6706" s="89"/>
      <c r="G6706" s="89"/>
    </row>
    <row r="6707">
      <c r="A6707" s="93"/>
      <c r="B6707" s="87" t="s">
        <v>779</v>
      </c>
      <c r="C6707" s="88"/>
      <c r="D6707" s="92"/>
      <c r="E6707" s="89"/>
      <c r="F6707" s="89"/>
      <c r="G6707" s="89"/>
    </row>
    <row r="6708">
      <c r="A6708" s="93"/>
      <c r="B6708" s="87" t="s">
        <v>779</v>
      </c>
      <c r="C6708" s="88"/>
      <c r="D6708" s="92"/>
      <c r="E6708" s="89"/>
      <c r="F6708" s="89"/>
      <c r="G6708" s="89"/>
    </row>
    <row r="6709">
      <c r="A6709" s="93"/>
      <c r="B6709" s="87" t="s">
        <v>779</v>
      </c>
      <c r="C6709" s="88"/>
      <c r="D6709" s="92"/>
      <c r="E6709" s="89"/>
      <c r="F6709" s="89"/>
      <c r="G6709" s="89"/>
    </row>
    <row r="6710">
      <c r="A6710" s="93"/>
      <c r="B6710" s="87" t="s">
        <v>779</v>
      </c>
      <c r="C6710" s="88"/>
      <c r="D6710" s="92"/>
      <c r="E6710" s="89"/>
      <c r="F6710" s="89"/>
      <c r="G6710" s="89"/>
    </row>
    <row r="6711">
      <c r="A6711" s="93"/>
      <c r="B6711" s="87" t="s">
        <v>779</v>
      </c>
      <c r="C6711" s="88"/>
      <c r="D6711" s="92"/>
      <c r="E6711" s="89"/>
      <c r="F6711" s="89"/>
      <c r="G6711" s="89"/>
    </row>
    <row r="6712">
      <c r="A6712" s="93"/>
      <c r="B6712" s="87" t="s">
        <v>779</v>
      </c>
      <c r="C6712" s="88"/>
      <c r="D6712" s="92"/>
      <c r="E6712" s="89"/>
      <c r="F6712" s="89"/>
      <c r="G6712" s="89"/>
    </row>
    <row r="6713">
      <c r="A6713" s="93"/>
      <c r="B6713" s="87" t="s">
        <v>779</v>
      </c>
      <c r="C6713" s="88"/>
      <c r="D6713" s="92"/>
      <c r="E6713" s="89"/>
      <c r="F6713" s="89"/>
      <c r="G6713" s="89"/>
    </row>
    <row r="6714">
      <c r="A6714" s="93"/>
      <c r="B6714" s="87" t="s">
        <v>779</v>
      </c>
      <c r="C6714" s="88"/>
      <c r="D6714" s="92"/>
      <c r="E6714" s="89"/>
      <c r="F6714" s="89"/>
      <c r="G6714" s="89"/>
    </row>
    <row r="6715">
      <c r="A6715" s="93"/>
      <c r="B6715" s="87" t="s">
        <v>779</v>
      </c>
      <c r="C6715" s="88"/>
      <c r="D6715" s="92"/>
      <c r="E6715" s="89"/>
      <c r="F6715" s="89"/>
      <c r="G6715" s="89"/>
    </row>
    <row r="6716">
      <c r="A6716" s="93"/>
      <c r="B6716" s="87" t="s">
        <v>779</v>
      </c>
      <c r="C6716" s="88"/>
      <c r="D6716" s="92"/>
      <c r="E6716" s="89"/>
      <c r="F6716" s="89"/>
      <c r="G6716" s="89"/>
    </row>
    <row r="6717">
      <c r="A6717" s="93"/>
      <c r="B6717" s="87" t="s">
        <v>779</v>
      </c>
      <c r="C6717" s="88"/>
      <c r="D6717" s="92"/>
      <c r="E6717" s="89"/>
      <c r="F6717" s="89"/>
      <c r="G6717" s="89"/>
    </row>
    <row r="6718">
      <c r="A6718" s="93"/>
      <c r="B6718" s="87" t="s">
        <v>779</v>
      </c>
      <c r="C6718" s="88"/>
      <c r="D6718" s="92"/>
      <c r="E6718" s="89"/>
      <c r="F6718" s="89"/>
      <c r="G6718" s="89"/>
    </row>
    <row r="6719">
      <c r="A6719" s="93"/>
      <c r="B6719" s="87" t="s">
        <v>779</v>
      </c>
      <c r="C6719" s="88"/>
      <c r="D6719" s="92"/>
      <c r="E6719" s="89"/>
      <c r="F6719" s="89"/>
      <c r="G6719" s="89"/>
    </row>
    <row r="6720">
      <c r="A6720" s="93"/>
      <c r="B6720" s="87" t="s">
        <v>779</v>
      </c>
      <c r="C6720" s="88"/>
      <c r="D6720" s="92"/>
      <c r="E6720" s="89"/>
      <c r="F6720" s="89"/>
      <c r="G6720" s="89"/>
    </row>
    <row r="6721">
      <c r="A6721" s="93"/>
      <c r="B6721" s="87" t="s">
        <v>779</v>
      </c>
      <c r="C6721" s="88"/>
      <c r="D6721" s="92"/>
      <c r="E6721" s="89"/>
      <c r="F6721" s="89"/>
      <c r="G6721" s="89"/>
    </row>
    <row r="6722">
      <c r="A6722" s="93"/>
      <c r="B6722" s="87" t="s">
        <v>779</v>
      </c>
      <c r="C6722" s="88"/>
      <c r="D6722" s="92"/>
      <c r="E6722" s="89"/>
      <c r="F6722" s="89"/>
      <c r="G6722" s="89"/>
    </row>
    <row r="6723">
      <c r="A6723" s="93"/>
      <c r="B6723" s="87" t="s">
        <v>779</v>
      </c>
      <c r="C6723" s="88"/>
      <c r="D6723" s="92"/>
      <c r="E6723" s="89"/>
      <c r="F6723" s="89"/>
      <c r="G6723" s="89"/>
    </row>
    <row r="6724">
      <c r="A6724" s="93"/>
      <c r="B6724" s="87" t="s">
        <v>779</v>
      </c>
      <c r="C6724" s="88"/>
      <c r="D6724" s="92"/>
      <c r="E6724" s="89"/>
      <c r="F6724" s="89"/>
      <c r="G6724" s="89"/>
    </row>
    <row r="6725">
      <c r="A6725" s="93"/>
      <c r="B6725" s="87" t="s">
        <v>779</v>
      </c>
      <c r="C6725" s="88"/>
      <c r="D6725" s="92"/>
      <c r="E6725" s="89"/>
      <c r="F6725" s="89"/>
      <c r="G6725" s="89"/>
    </row>
    <row r="6726">
      <c r="A6726" s="93"/>
      <c r="B6726" s="87" t="s">
        <v>779</v>
      </c>
      <c r="C6726" s="88"/>
      <c r="D6726" s="92"/>
      <c r="E6726" s="89"/>
      <c r="F6726" s="89"/>
      <c r="G6726" s="89"/>
    </row>
    <row r="6727">
      <c r="A6727" s="93"/>
      <c r="B6727" s="87" t="s">
        <v>779</v>
      </c>
      <c r="C6727" s="88"/>
      <c r="D6727" s="92"/>
      <c r="E6727" s="89"/>
      <c r="F6727" s="89"/>
      <c r="G6727" s="89"/>
    </row>
    <row r="6728">
      <c r="A6728" s="93"/>
      <c r="B6728" s="87" t="s">
        <v>779</v>
      </c>
      <c r="C6728" s="88"/>
      <c r="D6728" s="92"/>
      <c r="E6728" s="89"/>
      <c r="F6728" s="89"/>
      <c r="G6728" s="89"/>
    </row>
    <row r="6729">
      <c r="A6729" s="93"/>
      <c r="B6729" s="87" t="s">
        <v>779</v>
      </c>
      <c r="C6729" s="88"/>
      <c r="D6729" s="92"/>
      <c r="E6729" s="89"/>
      <c r="F6729" s="89"/>
      <c r="G6729" s="89"/>
    </row>
    <row r="6730">
      <c r="A6730" s="93"/>
      <c r="B6730" s="87" t="s">
        <v>779</v>
      </c>
      <c r="C6730" s="88"/>
      <c r="D6730" s="92"/>
      <c r="E6730" s="89"/>
      <c r="F6730" s="89"/>
      <c r="G6730" s="89"/>
    </row>
    <row r="6731">
      <c r="A6731" s="93"/>
      <c r="B6731" s="87" t="s">
        <v>779</v>
      </c>
      <c r="C6731" s="88"/>
      <c r="D6731" s="92"/>
      <c r="E6731" s="89"/>
      <c r="F6731" s="89"/>
      <c r="G6731" s="89"/>
    </row>
    <row r="6732">
      <c r="A6732" s="93"/>
      <c r="B6732" s="87" t="s">
        <v>779</v>
      </c>
      <c r="C6732" s="88"/>
      <c r="D6732" s="92"/>
      <c r="E6732" s="89"/>
      <c r="F6732" s="89"/>
      <c r="G6732" s="89"/>
    </row>
    <row r="6733">
      <c r="A6733" s="93"/>
      <c r="B6733" s="87" t="s">
        <v>779</v>
      </c>
      <c r="C6733" s="88"/>
      <c r="D6733" s="92"/>
      <c r="E6733" s="89"/>
      <c r="F6733" s="89"/>
      <c r="G6733" s="89"/>
    </row>
    <row r="6734">
      <c r="A6734" s="93"/>
      <c r="B6734" s="87" t="s">
        <v>779</v>
      </c>
      <c r="C6734" s="88"/>
      <c r="D6734" s="92"/>
      <c r="E6734" s="89"/>
      <c r="F6734" s="89"/>
      <c r="G6734" s="89"/>
    </row>
    <row r="6735">
      <c r="A6735" s="93"/>
      <c r="B6735" s="87" t="s">
        <v>779</v>
      </c>
      <c r="C6735" s="88"/>
      <c r="D6735" s="92"/>
      <c r="E6735" s="89"/>
      <c r="F6735" s="89"/>
      <c r="G6735" s="89"/>
    </row>
    <row r="6736">
      <c r="A6736" s="93"/>
      <c r="B6736" s="87" t="s">
        <v>779</v>
      </c>
      <c r="C6736" s="88"/>
      <c r="D6736" s="92"/>
      <c r="E6736" s="89"/>
      <c r="F6736" s="89"/>
      <c r="G6736" s="89"/>
    </row>
    <row r="6737">
      <c r="A6737" s="93"/>
      <c r="B6737" s="87" t="s">
        <v>779</v>
      </c>
      <c r="C6737" s="88"/>
      <c r="D6737" s="92"/>
      <c r="E6737" s="89"/>
      <c r="F6737" s="89"/>
      <c r="G6737" s="89"/>
    </row>
    <row r="6738">
      <c r="A6738" s="93"/>
      <c r="B6738" s="87" t="s">
        <v>779</v>
      </c>
      <c r="C6738" s="88"/>
      <c r="D6738" s="92"/>
      <c r="E6738" s="89"/>
      <c r="F6738" s="89"/>
      <c r="G6738" s="89"/>
    </row>
    <row r="6739">
      <c r="A6739" s="93"/>
      <c r="B6739" s="87" t="s">
        <v>779</v>
      </c>
      <c r="C6739" s="88"/>
      <c r="D6739" s="92"/>
      <c r="E6739" s="89"/>
      <c r="F6739" s="89"/>
      <c r="G6739" s="89"/>
    </row>
    <row r="6740">
      <c r="A6740" s="93"/>
      <c r="B6740" s="87" t="s">
        <v>779</v>
      </c>
      <c r="C6740" s="88"/>
      <c r="D6740" s="92"/>
      <c r="E6740" s="89"/>
      <c r="F6740" s="89"/>
      <c r="G6740" s="89"/>
    </row>
    <row r="6741">
      <c r="A6741" s="93"/>
      <c r="B6741" s="87" t="s">
        <v>779</v>
      </c>
      <c r="C6741" s="88"/>
      <c r="D6741" s="92"/>
      <c r="E6741" s="89"/>
      <c r="F6741" s="89"/>
      <c r="G6741" s="89"/>
    </row>
    <row r="6742">
      <c r="A6742" s="93"/>
      <c r="B6742" s="87" t="s">
        <v>779</v>
      </c>
      <c r="C6742" s="88"/>
      <c r="D6742" s="92"/>
      <c r="E6742" s="89"/>
      <c r="F6742" s="89"/>
      <c r="G6742" s="89"/>
    </row>
    <row r="6743">
      <c r="A6743" s="93"/>
      <c r="B6743" s="87" t="s">
        <v>779</v>
      </c>
      <c r="C6743" s="88"/>
      <c r="D6743" s="92"/>
      <c r="E6743" s="89"/>
      <c r="F6743" s="89"/>
      <c r="G6743" s="89"/>
    </row>
    <row r="6744">
      <c r="A6744" s="93"/>
      <c r="B6744" s="87" t="s">
        <v>779</v>
      </c>
      <c r="C6744" s="88"/>
      <c r="D6744" s="92"/>
      <c r="E6744" s="89"/>
      <c r="F6744" s="89"/>
      <c r="G6744" s="89"/>
    </row>
    <row r="6745">
      <c r="A6745" s="93"/>
      <c r="B6745" s="87" t="s">
        <v>779</v>
      </c>
      <c r="C6745" s="88"/>
      <c r="D6745" s="92"/>
      <c r="E6745" s="89"/>
      <c r="F6745" s="89"/>
      <c r="G6745" s="89"/>
    </row>
    <row r="6746">
      <c r="A6746" s="93"/>
      <c r="B6746" s="87" t="s">
        <v>779</v>
      </c>
      <c r="C6746" s="88"/>
      <c r="D6746" s="92"/>
      <c r="E6746" s="89"/>
      <c r="F6746" s="89"/>
      <c r="G6746" s="89"/>
    </row>
    <row r="6747">
      <c r="A6747" s="93"/>
      <c r="B6747" s="87" t="s">
        <v>779</v>
      </c>
      <c r="C6747" s="88"/>
      <c r="D6747" s="92"/>
      <c r="E6747" s="89"/>
      <c r="F6747" s="89"/>
      <c r="G6747" s="89"/>
    </row>
    <row r="6748">
      <c r="A6748" s="93"/>
      <c r="B6748" s="87" t="s">
        <v>779</v>
      </c>
      <c r="C6748" s="88"/>
      <c r="D6748" s="92"/>
      <c r="E6748" s="89"/>
      <c r="F6748" s="89"/>
      <c r="G6748" s="89"/>
    </row>
    <row r="6749">
      <c r="A6749" s="93"/>
      <c r="B6749" s="87" t="s">
        <v>779</v>
      </c>
      <c r="C6749" s="88"/>
      <c r="D6749" s="92"/>
      <c r="E6749" s="89"/>
      <c r="F6749" s="89"/>
      <c r="G6749" s="89"/>
    </row>
    <row r="6750">
      <c r="A6750" s="93"/>
      <c r="B6750" s="87" t="s">
        <v>779</v>
      </c>
      <c r="C6750" s="88"/>
      <c r="D6750" s="92"/>
      <c r="E6750" s="89"/>
      <c r="F6750" s="89"/>
      <c r="G6750" s="89"/>
    </row>
    <row r="6751">
      <c r="A6751" s="93"/>
      <c r="B6751" s="87" t="s">
        <v>779</v>
      </c>
      <c r="C6751" s="88"/>
      <c r="D6751" s="92"/>
      <c r="E6751" s="89"/>
      <c r="F6751" s="89"/>
      <c r="G6751" s="89"/>
    </row>
    <row r="6752">
      <c r="A6752" s="93"/>
      <c r="B6752" s="87" t="s">
        <v>779</v>
      </c>
      <c r="C6752" s="88"/>
      <c r="D6752" s="92"/>
      <c r="E6752" s="89"/>
      <c r="F6752" s="89"/>
      <c r="G6752" s="89"/>
    </row>
    <row r="6753">
      <c r="A6753" s="93"/>
      <c r="B6753" s="87" t="s">
        <v>779</v>
      </c>
      <c r="C6753" s="88"/>
      <c r="D6753" s="92"/>
      <c r="E6753" s="89"/>
      <c r="F6753" s="89"/>
      <c r="G6753" s="89"/>
    </row>
    <row r="6754">
      <c r="A6754" s="93"/>
      <c r="B6754" s="87" t="s">
        <v>779</v>
      </c>
      <c r="C6754" s="88"/>
      <c r="D6754" s="92"/>
      <c r="E6754" s="89"/>
      <c r="F6754" s="89"/>
      <c r="G6754" s="89"/>
    </row>
    <row r="6755">
      <c r="A6755" s="93"/>
      <c r="B6755" s="87" t="s">
        <v>779</v>
      </c>
      <c r="C6755" s="88"/>
      <c r="D6755" s="92"/>
      <c r="E6755" s="89"/>
      <c r="F6755" s="89"/>
      <c r="G6755" s="89"/>
    </row>
    <row r="6756">
      <c r="A6756" s="93"/>
      <c r="B6756" s="87" t="s">
        <v>779</v>
      </c>
      <c r="C6756" s="88"/>
      <c r="D6756" s="92"/>
      <c r="E6756" s="89"/>
      <c r="F6756" s="89"/>
      <c r="G6756" s="89"/>
    </row>
    <row r="6757">
      <c r="A6757" s="93"/>
      <c r="B6757" s="87" t="s">
        <v>779</v>
      </c>
      <c r="C6757" s="88"/>
      <c r="D6757" s="92"/>
      <c r="E6757" s="89"/>
      <c r="F6757" s="89"/>
      <c r="G6757" s="89"/>
    </row>
    <row r="6758">
      <c r="A6758" s="93"/>
      <c r="B6758" s="87" t="s">
        <v>779</v>
      </c>
      <c r="C6758" s="88"/>
      <c r="D6758" s="92"/>
      <c r="E6758" s="89"/>
      <c r="F6758" s="89"/>
      <c r="G6758" s="89"/>
    </row>
    <row r="6759">
      <c r="A6759" s="93"/>
      <c r="B6759" s="87" t="s">
        <v>779</v>
      </c>
      <c r="C6759" s="88"/>
      <c r="D6759" s="92"/>
      <c r="E6759" s="89"/>
      <c r="F6759" s="89"/>
      <c r="G6759" s="89"/>
    </row>
    <row r="6760">
      <c r="A6760" s="93"/>
      <c r="B6760" s="87" t="s">
        <v>779</v>
      </c>
      <c r="C6760" s="88"/>
      <c r="D6760" s="92"/>
      <c r="E6760" s="89"/>
      <c r="F6760" s="89"/>
      <c r="G6760" s="89"/>
    </row>
    <row r="6761">
      <c r="A6761" s="93"/>
      <c r="B6761" s="87" t="s">
        <v>779</v>
      </c>
      <c r="C6761" s="88"/>
      <c r="D6761" s="92"/>
      <c r="E6761" s="89"/>
      <c r="F6761" s="89"/>
      <c r="G6761" s="89"/>
    </row>
    <row r="6762">
      <c r="A6762" s="93"/>
      <c r="B6762" s="87" t="s">
        <v>779</v>
      </c>
      <c r="C6762" s="88"/>
      <c r="D6762" s="92"/>
      <c r="E6762" s="89"/>
      <c r="F6762" s="89"/>
      <c r="G6762" s="89"/>
    </row>
    <row r="6763">
      <c r="A6763" s="93"/>
      <c r="B6763" s="87" t="s">
        <v>779</v>
      </c>
      <c r="C6763" s="88"/>
      <c r="D6763" s="92"/>
      <c r="E6763" s="89"/>
      <c r="F6763" s="89"/>
      <c r="G6763" s="89"/>
    </row>
    <row r="6764">
      <c r="A6764" s="93"/>
      <c r="B6764" s="87" t="s">
        <v>779</v>
      </c>
      <c r="C6764" s="88"/>
      <c r="D6764" s="92"/>
      <c r="E6764" s="89"/>
      <c r="F6764" s="89"/>
      <c r="G6764" s="89"/>
    </row>
    <row r="6765">
      <c r="A6765" s="93"/>
      <c r="B6765" s="87" t="s">
        <v>779</v>
      </c>
      <c r="C6765" s="88"/>
      <c r="D6765" s="92"/>
      <c r="E6765" s="89"/>
      <c r="F6765" s="89"/>
      <c r="G6765" s="89"/>
    </row>
    <row r="6766">
      <c r="A6766" s="93"/>
      <c r="B6766" s="87" t="s">
        <v>779</v>
      </c>
      <c r="C6766" s="88"/>
      <c r="D6766" s="92"/>
      <c r="E6766" s="89"/>
      <c r="F6766" s="89"/>
      <c r="G6766" s="89"/>
    </row>
    <row r="6767">
      <c r="A6767" s="93"/>
      <c r="B6767" s="87" t="s">
        <v>779</v>
      </c>
      <c r="C6767" s="88"/>
      <c r="D6767" s="92"/>
      <c r="E6767" s="89"/>
      <c r="F6767" s="89"/>
      <c r="G6767" s="89"/>
    </row>
    <row r="6768">
      <c r="A6768" s="93"/>
      <c r="B6768" s="87" t="s">
        <v>779</v>
      </c>
      <c r="C6768" s="88"/>
      <c r="D6768" s="92"/>
      <c r="E6768" s="89"/>
      <c r="F6768" s="89"/>
      <c r="G6768" s="89"/>
    </row>
    <row r="6769">
      <c r="A6769" s="93"/>
      <c r="B6769" s="87" t="s">
        <v>779</v>
      </c>
      <c r="C6769" s="88"/>
      <c r="D6769" s="92"/>
      <c r="E6769" s="89"/>
      <c r="F6769" s="89"/>
      <c r="G6769" s="89"/>
    </row>
    <row r="6770">
      <c r="A6770" s="93"/>
      <c r="B6770" s="87" t="s">
        <v>779</v>
      </c>
      <c r="C6770" s="88"/>
      <c r="D6770" s="92"/>
      <c r="E6770" s="89"/>
      <c r="F6770" s="89"/>
      <c r="G6770" s="89"/>
    </row>
    <row r="6771">
      <c r="A6771" s="93"/>
      <c r="B6771" s="87" t="s">
        <v>779</v>
      </c>
      <c r="C6771" s="88"/>
      <c r="D6771" s="92"/>
      <c r="E6771" s="89"/>
      <c r="F6771" s="89"/>
      <c r="G6771" s="89"/>
    </row>
    <row r="6772">
      <c r="A6772" s="93"/>
      <c r="B6772" s="87" t="s">
        <v>779</v>
      </c>
      <c r="C6772" s="88"/>
      <c r="D6772" s="92"/>
      <c r="E6772" s="89"/>
      <c r="F6772" s="89"/>
      <c r="G6772" s="89"/>
    </row>
    <row r="6773">
      <c r="A6773" s="93"/>
      <c r="B6773" s="87" t="s">
        <v>779</v>
      </c>
      <c r="C6773" s="88"/>
      <c r="D6773" s="92"/>
      <c r="E6773" s="89"/>
      <c r="F6773" s="89"/>
      <c r="G6773" s="89"/>
    </row>
    <row r="6774">
      <c r="A6774" s="93"/>
      <c r="B6774" s="87" t="s">
        <v>779</v>
      </c>
      <c r="C6774" s="88"/>
      <c r="D6774" s="92"/>
      <c r="E6774" s="89"/>
      <c r="F6774" s="89"/>
      <c r="G6774" s="89"/>
    </row>
    <row r="6775">
      <c r="A6775" s="93"/>
      <c r="B6775" s="87" t="s">
        <v>779</v>
      </c>
      <c r="C6775" s="88"/>
      <c r="D6775" s="92"/>
      <c r="E6775" s="89"/>
      <c r="F6775" s="89"/>
      <c r="G6775" s="89"/>
    </row>
    <row r="6776">
      <c r="A6776" s="93"/>
      <c r="B6776" s="87" t="s">
        <v>779</v>
      </c>
      <c r="C6776" s="88"/>
      <c r="D6776" s="92"/>
      <c r="E6776" s="89"/>
      <c r="F6776" s="89"/>
      <c r="G6776" s="89"/>
    </row>
    <row r="6777">
      <c r="A6777" s="93"/>
      <c r="B6777" s="87" t="s">
        <v>779</v>
      </c>
      <c r="C6777" s="88"/>
      <c r="D6777" s="92"/>
      <c r="E6777" s="89"/>
      <c r="F6777" s="89"/>
      <c r="G6777" s="89"/>
    </row>
    <row r="6778">
      <c r="A6778" s="93"/>
      <c r="B6778" s="87" t="s">
        <v>779</v>
      </c>
      <c r="C6778" s="88"/>
      <c r="D6778" s="92"/>
      <c r="E6778" s="89"/>
      <c r="F6778" s="89"/>
      <c r="G6778" s="89"/>
    </row>
    <row r="6779">
      <c r="A6779" s="93"/>
      <c r="B6779" s="87" t="s">
        <v>779</v>
      </c>
      <c r="C6779" s="88"/>
      <c r="D6779" s="92"/>
      <c r="E6779" s="89"/>
      <c r="F6779" s="89"/>
      <c r="G6779" s="89"/>
    </row>
    <row r="6780">
      <c r="A6780" s="93"/>
      <c r="B6780" s="87" t="s">
        <v>779</v>
      </c>
      <c r="C6780" s="88"/>
      <c r="D6780" s="92"/>
      <c r="E6780" s="89"/>
      <c r="F6780" s="89"/>
      <c r="G6780" s="89"/>
    </row>
    <row r="6781">
      <c r="A6781" s="93"/>
      <c r="B6781" s="87" t="s">
        <v>779</v>
      </c>
      <c r="C6781" s="88"/>
      <c r="D6781" s="92"/>
      <c r="E6781" s="89"/>
      <c r="F6781" s="89"/>
      <c r="G6781" s="89"/>
    </row>
    <row r="6782">
      <c r="A6782" s="93"/>
      <c r="B6782" s="87" t="s">
        <v>779</v>
      </c>
      <c r="C6782" s="88"/>
      <c r="D6782" s="92"/>
      <c r="E6782" s="89"/>
      <c r="F6782" s="89"/>
      <c r="G6782" s="89"/>
    </row>
    <row r="6783">
      <c r="A6783" s="93"/>
      <c r="B6783" s="87" t="s">
        <v>779</v>
      </c>
      <c r="C6783" s="88"/>
      <c r="D6783" s="92"/>
      <c r="E6783" s="89"/>
      <c r="F6783" s="89"/>
      <c r="G6783" s="89"/>
    </row>
    <row r="6784">
      <c r="A6784" s="93"/>
      <c r="B6784" s="87" t="s">
        <v>779</v>
      </c>
      <c r="C6784" s="88"/>
      <c r="D6784" s="92"/>
      <c r="E6784" s="89"/>
      <c r="F6784" s="89"/>
      <c r="G6784" s="89"/>
    </row>
    <row r="6785">
      <c r="A6785" s="93"/>
      <c r="B6785" s="87" t="s">
        <v>779</v>
      </c>
      <c r="C6785" s="88"/>
      <c r="D6785" s="92"/>
      <c r="E6785" s="89"/>
      <c r="F6785" s="89"/>
      <c r="G6785" s="89"/>
    </row>
    <row r="6786">
      <c r="A6786" s="93"/>
      <c r="B6786" s="87" t="s">
        <v>779</v>
      </c>
      <c r="C6786" s="88"/>
      <c r="D6786" s="92"/>
      <c r="E6786" s="89"/>
      <c r="F6786" s="89"/>
      <c r="G6786" s="89"/>
    </row>
    <row r="6787">
      <c r="A6787" s="93"/>
      <c r="B6787" s="87" t="s">
        <v>779</v>
      </c>
      <c r="C6787" s="88"/>
      <c r="D6787" s="92"/>
      <c r="E6787" s="89"/>
      <c r="F6787" s="89"/>
      <c r="G6787" s="89"/>
    </row>
    <row r="6788">
      <c r="A6788" s="93"/>
      <c r="B6788" s="87" t="s">
        <v>779</v>
      </c>
      <c r="C6788" s="88"/>
      <c r="D6788" s="92"/>
      <c r="E6788" s="89"/>
      <c r="F6788" s="89"/>
      <c r="G6788" s="89"/>
    </row>
    <row r="6789">
      <c r="A6789" s="93"/>
      <c r="B6789" s="87" t="s">
        <v>779</v>
      </c>
      <c r="C6789" s="88"/>
      <c r="D6789" s="92"/>
      <c r="E6789" s="89"/>
      <c r="F6789" s="89"/>
      <c r="G6789" s="89"/>
    </row>
    <row r="6790">
      <c r="A6790" s="93"/>
      <c r="B6790" s="87" t="s">
        <v>779</v>
      </c>
      <c r="C6790" s="88"/>
      <c r="D6790" s="92"/>
      <c r="E6790" s="89"/>
      <c r="F6790" s="89"/>
      <c r="G6790" s="89"/>
    </row>
    <row r="6791">
      <c r="A6791" s="93"/>
      <c r="B6791" s="87" t="s">
        <v>779</v>
      </c>
      <c r="C6791" s="88"/>
      <c r="D6791" s="92"/>
      <c r="E6791" s="89"/>
      <c r="F6791" s="89"/>
      <c r="G6791" s="89"/>
    </row>
    <row r="6792">
      <c r="A6792" s="93"/>
      <c r="B6792" s="87" t="s">
        <v>779</v>
      </c>
      <c r="C6792" s="88"/>
      <c r="D6792" s="92"/>
      <c r="E6792" s="89"/>
      <c r="F6792" s="89"/>
      <c r="G6792" s="89"/>
    </row>
    <row r="6793">
      <c r="A6793" s="93"/>
      <c r="B6793" s="87" t="s">
        <v>779</v>
      </c>
      <c r="C6793" s="88"/>
      <c r="D6793" s="92"/>
      <c r="E6793" s="89"/>
      <c r="F6793" s="89"/>
      <c r="G6793" s="89"/>
    </row>
    <row r="6794">
      <c r="A6794" s="93"/>
      <c r="B6794" s="87" t="s">
        <v>779</v>
      </c>
      <c r="C6794" s="88"/>
      <c r="D6794" s="92"/>
      <c r="E6794" s="89"/>
      <c r="F6794" s="89"/>
      <c r="G6794" s="89"/>
    </row>
    <row r="6795">
      <c r="A6795" s="93"/>
      <c r="B6795" s="87" t="s">
        <v>779</v>
      </c>
      <c r="C6795" s="88"/>
      <c r="D6795" s="92"/>
      <c r="E6795" s="89"/>
      <c r="F6795" s="89"/>
      <c r="G6795" s="89"/>
    </row>
    <row r="6796">
      <c r="A6796" s="93"/>
      <c r="B6796" s="87" t="s">
        <v>779</v>
      </c>
      <c r="C6796" s="88"/>
      <c r="D6796" s="92"/>
      <c r="E6796" s="89"/>
      <c r="F6796" s="89"/>
      <c r="G6796" s="89"/>
    </row>
    <row r="6797">
      <c r="A6797" s="93"/>
      <c r="B6797" s="87" t="s">
        <v>779</v>
      </c>
      <c r="C6797" s="88"/>
      <c r="D6797" s="92"/>
      <c r="E6797" s="89"/>
      <c r="F6797" s="89"/>
      <c r="G6797" s="89"/>
    </row>
    <row r="6798">
      <c r="A6798" s="93"/>
      <c r="B6798" s="87" t="s">
        <v>779</v>
      </c>
      <c r="C6798" s="88"/>
      <c r="D6798" s="92"/>
      <c r="E6798" s="89"/>
      <c r="F6798" s="89"/>
      <c r="G6798" s="89"/>
    </row>
    <row r="6799">
      <c r="A6799" s="93"/>
      <c r="B6799" s="87" t="s">
        <v>779</v>
      </c>
      <c r="C6799" s="88"/>
      <c r="D6799" s="92"/>
      <c r="E6799" s="89"/>
      <c r="F6799" s="89"/>
      <c r="G6799" s="89"/>
    </row>
    <row r="6800">
      <c r="A6800" s="93"/>
      <c r="B6800" s="87" t="s">
        <v>779</v>
      </c>
      <c r="C6800" s="88"/>
      <c r="D6800" s="92"/>
      <c r="E6800" s="89"/>
      <c r="F6800" s="89"/>
      <c r="G6800" s="89"/>
    </row>
    <row r="6801">
      <c r="A6801" s="93"/>
      <c r="B6801" s="87" t="s">
        <v>779</v>
      </c>
      <c r="C6801" s="88"/>
      <c r="D6801" s="92"/>
      <c r="E6801" s="89"/>
      <c r="F6801" s="89"/>
      <c r="G6801" s="89"/>
    </row>
    <row r="6802">
      <c r="A6802" s="93"/>
      <c r="B6802" s="87" t="s">
        <v>779</v>
      </c>
      <c r="C6802" s="88"/>
      <c r="D6802" s="92"/>
      <c r="E6802" s="89"/>
      <c r="F6802" s="89"/>
      <c r="G6802" s="89"/>
    </row>
    <row r="6803">
      <c r="A6803" s="93"/>
      <c r="B6803" s="87" t="s">
        <v>779</v>
      </c>
      <c r="C6803" s="88"/>
      <c r="D6803" s="92"/>
      <c r="E6803" s="89"/>
      <c r="F6803" s="89"/>
      <c r="G6803" s="89"/>
    </row>
    <row r="6804">
      <c r="A6804" s="93"/>
      <c r="B6804" s="87" t="s">
        <v>779</v>
      </c>
      <c r="C6804" s="88"/>
      <c r="D6804" s="92"/>
      <c r="E6804" s="89"/>
      <c r="F6804" s="89"/>
      <c r="G6804" s="89"/>
    </row>
    <row r="6805">
      <c r="A6805" s="93"/>
      <c r="B6805" s="87" t="s">
        <v>779</v>
      </c>
      <c r="C6805" s="88"/>
      <c r="D6805" s="92"/>
      <c r="E6805" s="89"/>
      <c r="F6805" s="89"/>
      <c r="G6805" s="89"/>
    </row>
    <row r="6806">
      <c r="A6806" s="93"/>
      <c r="B6806" s="87" t="s">
        <v>779</v>
      </c>
      <c r="C6806" s="88"/>
      <c r="D6806" s="92"/>
      <c r="E6806" s="89"/>
      <c r="F6806" s="89"/>
      <c r="G6806" s="89"/>
    </row>
    <row r="6807">
      <c r="A6807" s="93"/>
      <c r="B6807" s="87" t="s">
        <v>779</v>
      </c>
      <c r="C6807" s="88"/>
      <c r="D6807" s="92"/>
      <c r="E6807" s="89"/>
      <c r="F6807" s="89"/>
      <c r="G6807" s="89"/>
    </row>
    <row r="6808">
      <c r="A6808" s="93"/>
      <c r="B6808" s="87" t="s">
        <v>779</v>
      </c>
      <c r="C6808" s="88"/>
      <c r="D6808" s="92"/>
      <c r="E6808" s="89"/>
      <c r="F6808" s="89"/>
      <c r="G6808" s="89"/>
    </row>
    <row r="6809">
      <c r="A6809" s="93"/>
      <c r="B6809" s="87" t="s">
        <v>779</v>
      </c>
      <c r="C6809" s="88"/>
      <c r="D6809" s="92"/>
      <c r="E6809" s="89"/>
      <c r="F6809" s="89"/>
      <c r="G6809" s="89"/>
    </row>
    <row r="6810">
      <c r="A6810" s="93"/>
      <c r="B6810" s="87" t="s">
        <v>779</v>
      </c>
      <c r="C6810" s="88"/>
      <c r="D6810" s="92"/>
      <c r="E6810" s="89"/>
      <c r="F6810" s="89"/>
      <c r="G6810" s="89"/>
    </row>
    <row r="6811">
      <c r="A6811" s="93"/>
      <c r="B6811" s="87" t="s">
        <v>779</v>
      </c>
      <c r="C6811" s="88"/>
      <c r="D6811" s="92"/>
      <c r="E6811" s="89"/>
      <c r="F6811" s="89"/>
      <c r="G6811" s="89"/>
    </row>
    <row r="6812">
      <c r="A6812" s="93"/>
      <c r="B6812" s="87" t="s">
        <v>779</v>
      </c>
      <c r="C6812" s="88"/>
      <c r="D6812" s="92"/>
      <c r="E6812" s="89"/>
      <c r="F6812" s="89"/>
      <c r="G6812" s="89"/>
    </row>
    <row r="6813">
      <c r="A6813" s="93"/>
      <c r="B6813" s="87" t="s">
        <v>779</v>
      </c>
      <c r="C6813" s="88"/>
      <c r="D6813" s="92"/>
      <c r="E6813" s="89"/>
      <c r="F6813" s="89"/>
      <c r="G6813" s="89"/>
    </row>
    <row r="6814">
      <c r="A6814" s="93"/>
      <c r="B6814" s="87" t="s">
        <v>779</v>
      </c>
      <c r="C6814" s="88"/>
      <c r="D6814" s="92"/>
      <c r="E6814" s="89"/>
      <c r="F6814" s="89"/>
      <c r="G6814" s="89"/>
    </row>
    <row r="6815">
      <c r="A6815" s="93"/>
      <c r="B6815" s="87" t="s">
        <v>779</v>
      </c>
      <c r="C6815" s="88"/>
      <c r="D6815" s="92"/>
      <c r="E6815" s="89"/>
      <c r="F6815" s="89"/>
      <c r="G6815" s="89"/>
    </row>
    <row r="6816">
      <c r="A6816" s="93"/>
      <c r="B6816" s="87" t="s">
        <v>779</v>
      </c>
      <c r="C6816" s="88"/>
      <c r="D6816" s="92"/>
      <c r="E6816" s="89"/>
      <c r="F6816" s="89"/>
      <c r="G6816" s="89"/>
    </row>
    <row r="6817">
      <c r="A6817" s="93"/>
      <c r="B6817" s="87" t="s">
        <v>779</v>
      </c>
      <c r="C6817" s="88"/>
      <c r="D6817" s="92"/>
      <c r="E6817" s="89"/>
      <c r="F6817" s="89"/>
      <c r="G6817" s="89"/>
    </row>
    <row r="6818">
      <c r="A6818" s="93"/>
      <c r="B6818" s="87" t="s">
        <v>779</v>
      </c>
      <c r="C6818" s="88"/>
      <c r="D6818" s="92"/>
      <c r="E6818" s="89"/>
      <c r="F6818" s="89"/>
      <c r="G6818" s="89"/>
    </row>
    <row r="6819">
      <c r="A6819" s="93"/>
      <c r="B6819" s="87" t="s">
        <v>779</v>
      </c>
      <c r="C6819" s="88"/>
      <c r="D6819" s="92"/>
      <c r="E6819" s="89"/>
      <c r="F6819" s="89"/>
      <c r="G6819" s="89"/>
    </row>
    <row r="6820">
      <c r="A6820" s="93"/>
      <c r="B6820" s="87" t="s">
        <v>779</v>
      </c>
      <c r="C6820" s="88"/>
      <c r="D6820" s="92"/>
      <c r="E6820" s="89"/>
      <c r="F6820" s="89"/>
      <c r="G6820" s="89"/>
    </row>
    <row r="6821">
      <c r="A6821" s="93"/>
      <c r="B6821" s="87" t="s">
        <v>779</v>
      </c>
      <c r="C6821" s="88"/>
      <c r="D6821" s="92"/>
      <c r="E6821" s="89"/>
      <c r="F6821" s="89"/>
      <c r="G6821" s="89"/>
    </row>
    <row r="6822">
      <c r="A6822" s="93"/>
      <c r="B6822" s="87" t="s">
        <v>779</v>
      </c>
      <c r="C6822" s="88"/>
      <c r="D6822" s="92"/>
      <c r="E6822" s="89"/>
      <c r="F6822" s="89"/>
      <c r="G6822" s="89"/>
    </row>
    <row r="6823">
      <c r="A6823" s="93"/>
      <c r="B6823" s="87" t="s">
        <v>779</v>
      </c>
      <c r="C6823" s="88"/>
      <c r="D6823" s="92"/>
      <c r="E6823" s="89"/>
      <c r="F6823" s="89"/>
      <c r="G6823" s="89"/>
    </row>
    <row r="6824">
      <c r="A6824" s="93"/>
      <c r="B6824" s="87" t="s">
        <v>779</v>
      </c>
      <c r="C6824" s="88"/>
      <c r="D6824" s="92"/>
      <c r="E6824" s="89"/>
      <c r="F6824" s="89"/>
      <c r="G6824" s="89"/>
    </row>
    <row r="6825">
      <c r="A6825" s="93"/>
      <c r="B6825" s="87" t="s">
        <v>779</v>
      </c>
      <c r="C6825" s="88"/>
      <c r="D6825" s="92"/>
      <c r="E6825" s="89"/>
      <c r="F6825" s="89"/>
      <c r="G6825" s="89"/>
    </row>
    <row r="6826">
      <c r="A6826" s="93"/>
      <c r="B6826" s="87" t="s">
        <v>779</v>
      </c>
      <c r="C6826" s="88"/>
      <c r="D6826" s="92"/>
      <c r="E6826" s="89"/>
      <c r="F6826" s="89"/>
      <c r="G6826" s="89"/>
    </row>
    <row r="6827">
      <c r="A6827" s="93"/>
      <c r="B6827" s="87" t="s">
        <v>779</v>
      </c>
      <c r="C6827" s="88"/>
      <c r="D6827" s="92"/>
      <c r="E6827" s="89"/>
      <c r="F6827" s="89"/>
      <c r="G6827" s="89"/>
    </row>
    <row r="6828">
      <c r="A6828" s="93"/>
      <c r="B6828" s="87" t="s">
        <v>779</v>
      </c>
      <c r="C6828" s="88"/>
      <c r="D6828" s="92"/>
      <c r="E6828" s="89"/>
      <c r="F6828" s="89"/>
      <c r="G6828" s="89"/>
    </row>
    <row r="6829">
      <c r="A6829" s="93"/>
      <c r="B6829" s="87" t="s">
        <v>779</v>
      </c>
      <c r="C6829" s="88"/>
      <c r="D6829" s="92"/>
      <c r="E6829" s="89"/>
      <c r="F6829" s="89"/>
      <c r="G6829" s="89"/>
    </row>
    <row r="6830">
      <c r="A6830" s="93"/>
      <c r="B6830" s="87" t="s">
        <v>779</v>
      </c>
      <c r="C6830" s="88"/>
      <c r="D6830" s="92"/>
      <c r="E6830" s="89"/>
      <c r="F6830" s="89"/>
      <c r="G6830" s="89"/>
    </row>
    <row r="6831">
      <c r="A6831" s="93"/>
      <c r="B6831" s="87" t="s">
        <v>779</v>
      </c>
      <c r="C6831" s="88"/>
      <c r="D6831" s="92"/>
      <c r="E6831" s="89"/>
      <c r="F6831" s="89"/>
      <c r="G6831" s="89"/>
    </row>
    <row r="6832">
      <c r="A6832" s="93"/>
      <c r="B6832" s="87" t="s">
        <v>779</v>
      </c>
      <c r="C6832" s="88"/>
      <c r="D6832" s="92"/>
      <c r="E6832" s="89"/>
      <c r="F6832" s="89"/>
      <c r="G6832" s="89"/>
    </row>
    <row r="6833">
      <c r="A6833" s="93"/>
      <c r="B6833" s="87" t="s">
        <v>779</v>
      </c>
      <c r="C6833" s="88"/>
      <c r="D6833" s="92"/>
      <c r="E6833" s="89"/>
      <c r="F6833" s="89"/>
      <c r="G6833" s="89"/>
    </row>
    <row r="6834">
      <c r="A6834" s="93"/>
      <c r="B6834" s="87" t="s">
        <v>779</v>
      </c>
      <c r="C6834" s="88"/>
      <c r="D6834" s="92"/>
      <c r="E6834" s="89"/>
      <c r="F6834" s="89"/>
      <c r="G6834" s="89"/>
    </row>
    <row r="6835">
      <c r="A6835" s="93"/>
      <c r="B6835" s="87" t="s">
        <v>779</v>
      </c>
      <c r="C6835" s="88"/>
      <c r="D6835" s="92"/>
      <c r="E6835" s="89"/>
      <c r="F6835" s="89"/>
      <c r="G6835" s="89"/>
    </row>
    <row r="6836">
      <c r="A6836" s="93"/>
      <c r="B6836" s="87" t="s">
        <v>779</v>
      </c>
      <c r="C6836" s="88"/>
      <c r="D6836" s="92"/>
      <c r="E6836" s="89"/>
      <c r="F6836" s="89"/>
      <c r="G6836" s="89"/>
    </row>
    <row r="6837">
      <c r="A6837" s="93"/>
      <c r="B6837" s="87" t="s">
        <v>779</v>
      </c>
      <c r="C6837" s="88"/>
      <c r="D6837" s="92"/>
      <c r="E6837" s="89"/>
      <c r="F6837" s="89"/>
      <c r="G6837" s="89"/>
    </row>
    <row r="6838">
      <c r="A6838" s="93"/>
      <c r="B6838" s="87" t="s">
        <v>779</v>
      </c>
      <c r="C6838" s="88"/>
      <c r="D6838" s="92"/>
      <c r="E6838" s="89"/>
      <c r="F6838" s="89"/>
      <c r="G6838" s="89"/>
    </row>
    <row r="6839">
      <c r="A6839" s="93"/>
      <c r="B6839" s="87" t="s">
        <v>779</v>
      </c>
      <c r="C6839" s="88"/>
      <c r="D6839" s="92"/>
      <c r="E6839" s="89"/>
      <c r="F6839" s="89"/>
      <c r="G6839" s="89"/>
    </row>
    <row r="6840">
      <c r="A6840" s="93"/>
      <c r="B6840" s="87" t="s">
        <v>779</v>
      </c>
      <c r="C6840" s="88"/>
      <c r="D6840" s="92"/>
      <c r="E6840" s="89"/>
      <c r="F6840" s="89"/>
      <c r="G6840" s="89"/>
    </row>
    <row r="6841">
      <c r="A6841" s="93"/>
      <c r="B6841" s="87" t="s">
        <v>779</v>
      </c>
      <c r="C6841" s="88"/>
      <c r="D6841" s="92"/>
      <c r="E6841" s="89"/>
      <c r="F6841" s="89"/>
      <c r="G6841" s="89"/>
    </row>
    <row r="6842">
      <c r="A6842" s="93"/>
      <c r="B6842" s="87" t="s">
        <v>779</v>
      </c>
      <c r="C6842" s="88"/>
      <c r="D6842" s="92"/>
      <c r="E6842" s="89"/>
      <c r="F6842" s="89"/>
      <c r="G6842" s="89"/>
    </row>
    <row r="6843">
      <c r="A6843" s="93"/>
      <c r="B6843" s="87" t="s">
        <v>779</v>
      </c>
      <c r="C6843" s="88"/>
      <c r="D6843" s="92"/>
      <c r="E6843" s="89"/>
      <c r="F6843" s="89"/>
      <c r="G6843" s="89"/>
    </row>
    <row r="6844">
      <c r="A6844" s="93"/>
      <c r="B6844" s="87" t="s">
        <v>779</v>
      </c>
      <c r="C6844" s="88"/>
      <c r="D6844" s="92"/>
      <c r="E6844" s="89"/>
      <c r="F6844" s="89"/>
      <c r="G6844" s="89"/>
    </row>
    <row r="6845">
      <c r="A6845" s="93"/>
      <c r="B6845" s="87" t="s">
        <v>779</v>
      </c>
      <c r="C6845" s="88"/>
      <c r="D6845" s="92"/>
      <c r="E6845" s="89"/>
      <c r="F6845" s="89"/>
      <c r="G6845" s="89"/>
    </row>
    <row r="6846">
      <c r="A6846" s="93"/>
      <c r="B6846" s="87" t="s">
        <v>779</v>
      </c>
      <c r="C6846" s="88"/>
      <c r="D6846" s="92"/>
      <c r="E6846" s="89"/>
      <c r="F6846" s="89"/>
      <c r="G6846" s="89"/>
    </row>
    <row r="6847">
      <c r="A6847" s="93"/>
      <c r="B6847" s="87" t="s">
        <v>779</v>
      </c>
      <c r="C6847" s="88"/>
      <c r="D6847" s="92"/>
      <c r="E6847" s="89"/>
      <c r="F6847" s="89"/>
      <c r="G6847" s="89"/>
    </row>
    <row r="6848">
      <c r="A6848" s="93"/>
      <c r="B6848" s="87" t="s">
        <v>779</v>
      </c>
      <c r="C6848" s="88"/>
      <c r="D6848" s="92"/>
      <c r="E6848" s="89"/>
      <c r="F6848" s="89"/>
      <c r="G6848" s="89"/>
    </row>
    <row r="6849">
      <c r="A6849" s="93"/>
      <c r="B6849" s="87" t="s">
        <v>779</v>
      </c>
      <c r="C6849" s="88"/>
      <c r="D6849" s="92"/>
      <c r="E6849" s="89"/>
      <c r="F6849" s="89"/>
      <c r="G6849" s="89"/>
    </row>
    <row r="6850">
      <c r="A6850" s="93"/>
      <c r="B6850" s="87" t="s">
        <v>779</v>
      </c>
      <c r="C6850" s="88"/>
      <c r="D6850" s="92"/>
      <c r="E6850" s="89"/>
      <c r="F6850" s="89"/>
      <c r="G6850" s="89"/>
    </row>
    <row r="6851">
      <c r="A6851" s="93"/>
      <c r="B6851" s="87" t="s">
        <v>779</v>
      </c>
      <c r="C6851" s="88"/>
      <c r="D6851" s="92"/>
      <c r="E6851" s="89"/>
      <c r="F6851" s="89"/>
      <c r="G6851" s="89"/>
    </row>
    <row r="6852">
      <c r="A6852" s="93"/>
      <c r="B6852" s="87" t="s">
        <v>779</v>
      </c>
      <c r="C6852" s="88"/>
      <c r="D6852" s="92"/>
      <c r="E6852" s="89"/>
      <c r="F6852" s="89"/>
      <c r="G6852" s="89"/>
    </row>
    <row r="6853">
      <c r="A6853" s="93"/>
      <c r="B6853" s="87" t="s">
        <v>779</v>
      </c>
      <c r="C6853" s="88"/>
      <c r="D6853" s="92"/>
      <c r="E6853" s="89"/>
      <c r="F6853" s="89"/>
      <c r="G6853" s="89"/>
    </row>
    <row r="6854">
      <c r="A6854" s="93"/>
      <c r="B6854" s="87" t="s">
        <v>779</v>
      </c>
      <c r="C6854" s="88"/>
      <c r="D6854" s="92"/>
      <c r="E6854" s="89"/>
      <c r="F6854" s="89"/>
      <c r="G6854" s="89"/>
    </row>
    <row r="6855">
      <c r="A6855" s="93"/>
      <c r="B6855" s="87" t="s">
        <v>779</v>
      </c>
      <c r="C6855" s="88"/>
      <c r="D6855" s="92"/>
      <c r="E6855" s="89"/>
      <c r="F6855" s="89"/>
      <c r="G6855" s="89"/>
    </row>
    <row r="6856">
      <c r="A6856" s="93"/>
      <c r="B6856" s="87" t="s">
        <v>779</v>
      </c>
      <c r="C6856" s="88"/>
      <c r="D6856" s="92"/>
      <c r="E6856" s="89"/>
      <c r="F6856" s="89"/>
      <c r="G6856" s="89"/>
    </row>
    <row r="6857">
      <c r="A6857" s="93"/>
      <c r="B6857" s="87" t="s">
        <v>779</v>
      </c>
      <c r="C6857" s="88"/>
      <c r="D6857" s="92"/>
      <c r="E6857" s="89"/>
      <c r="F6857" s="89"/>
      <c r="G6857" s="89"/>
    </row>
    <row r="6858">
      <c r="A6858" s="93"/>
      <c r="B6858" s="87" t="s">
        <v>779</v>
      </c>
      <c r="C6858" s="88"/>
      <c r="D6858" s="92"/>
      <c r="E6858" s="89"/>
      <c r="F6858" s="89"/>
      <c r="G6858" s="89"/>
    </row>
    <row r="6859">
      <c r="A6859" s="93"/>
      <c r="B6859" s="87" t="s">
        <v>779</v>
      </c>
      <c r="C6859" s="88"/>
      <c r="D6859" s="92"/>
      <c r="E6859" s="89"/>
      <c r="F6859" s="89"/>
      <c r="G6859" s="89"/>
    </row>
    <row r="6860">
      <c r="A6860" s="93"/>
      <c r="B6860" s="87" t="s">
        <v>779</v>
      </c>
      <c r="C6860" s="88"/>
      <c r="D6860" s="92"/>
      <c r="E6860" s="89"/>
      <c r="F6860" s="89"/>
      <c r="G6860" s="89"/>
    </row>
    <row r="6861">
      <c r="A6861" s="93"/>
      <c r="B6861" s="87" t="s">
        <v>779</v>
      </c>
      <c r="C6861" s="88"/>
      <c r="D6861" s="92"/>
      <c r="E6861" s="89"/>
      <c r="F6861" s="89"/>
      <c r="G6861" s="89"/>
    </row>
    <row r="6862">
      <c r="A6862" s="93"/>
      <c r="B6862" s="87" t="s">
        <v>779</v>
      </c>
      <c r="C6862" s="88"/>
      <c r="D6862" s="92"/>
      <c r="E6862" s="89"/>
      <c r="F6862" s="89"/>
      <c r="G6862" s="89"/>
    </row>
    <row r="6863">
      <c r="A6863" s="93"/>
      <c r="B6863" s="87" t="s">
        <v>779</v>
      </c>
      <c r="C6863" s="88"/>
      <c r="D6863" s="92"/>
      <c r="E6863" s="89"/>
      <c r="F6863" s="89"/>
      <c r="G6863" s="89"/>
    </row>
    <row r="6864">
      <c r="A6864" s="93"/>
      <c r="B6864" s="87" t="s">
        <v>779</v>
      </c>
      <c r="C6864" s="88"/>
      <c r="D6864" s="92"/>
      <c r="E6864" s="89"/>
      <c r="F6864" s="89"/>
      <c r="G6864" s="89"/>
    </row>
    <row r="6865">
      <c r="A6865" s="93"/>
      <c r="B6865" s="87" t="s">
        <v>779</v>
      </c>
      <c r="C6865" s="88"/>
      <c r="D6865" s="92"/>
      <c r="E6865" s="89"/>
      <c r="F6865" s="89"/>
      <c r="G6865" s="89"/>
    </row>
    <row r="6866">
      <c r="A6866" s="93"/>
      <c r="B6866" s="87" t="s">
        <v>779</v>
      </c>
      <c r="C6866" s="88"/>
      <c r="D6866" s="92"/>
      <c r="E6866" s="89"/>
      <c r="F6866" s="89"/>
      <c r="G6866" s="89"/>
    </row>
    <row r="6867">
      <c r="A6867" s="93"/>
      <c r="B6867" s="87" t="s">
        <v>779</v>
      </c>
      <c r="C6867" s="88"/>
      <c r="D6867" s="92"/>
      <c r="E6867" s="89"/>
      <c r="F6867" s="89"/>
      <c r="G6867" s="89"/>
    </row>
    <row r="6868">
      <c r="A6868" s="93"/>
      <c r="B6868" s="87" t="s">
        <v>779</v>
      </c>
      <c r="C6868" s="88"/>
      <c r="D6868" s="92"/>
      <c r="E6868" s="89"/>
      <c r="F6868" s="89"/>
      <c r="G6868" s="89"/>
    </row>
    <row r="6869">
      <c r="A6869" s="93"/>
      <c r="B6869" s="87" t="s">
        <v>779</v>
      </c>
      <c r="C6869" s="88"/>
      <c r="D6869" s="92"/>
      <c r="E6869" s="89"/>
      <c r="F6869" s="89"/>
      <c r="G6869" s="89"/>
    </row>
    <row r="6870">
      <c r="A6870" s="93"/>
      <c r="B6870" s="87" t="s">
        <v>779</v>
      </c>
      <c r="C6870" s="88"/>
      <c r="D6870" s="92"/>
      <c r="E6870" s="89"/>
      <c r="F6870" s="89"/>
      <c r="G6870" s="89"/>
    </row>
    <row r="6871">
      <c r="A6871" s="93"/>
      <c r="B6871" s="87" t="s">
        <v>779</v>
      </c>
      <c r="C6871" s="88"/>
      <c r="D6871" s="92"/>
      <c r="E6871" s="89"/>
      <c r="F6871" s="89"/>
      <c r="G6871" s="89"/>
    </row>
    <row r="6872">
      <c r="A6872" s="93"/>
      <c r="B6872" s="87" t="s">
        <v>779</v>
      </c>
      <c r="C6872" s="88"/>
      <c r="D6872" s="92"/>
      <c r="E6872" s="89"/>
      <c r="F6872" s="89"/>
      <c r="G6872" s="89"/>
    </row>
    <row r="6873">
      <c r="A6873" s="93"/>
      <c r="B6873" s="87" t="s">
        <v>779</v>
      </c>
      <c r="C6873" s="88"/>
      <c r="D6873" s="92"/>
      <c r="E6873" s="89"/>
      <c r="F6873" s="89"/>
      <c r="G6873" s="89"/>
    </row>
    <row r="6874">
      <c r="A6874" s="93"/>
      <c r="B6874" s="87" t="s">
        <v>779</v>
      </c>
      <c r="C6874" s="88"/>
      <c r="D6874" s="92"/>
      <c r="E6874" s="89"/>
      <c r="F6874" s="89"/>
      <c r="G6874" s="89"/>
    </row>
    <row r="6875">
      <c r="A6875" s="93"/>
      <c r="B6875" s="87" t="s">
        <v>779</v>
      </c>
      <c r="C6875" s="88"/>
      <c r="D6875" s="92"/>
      <c r="E6875" s="89"/>
      <c r="F6875" s="89"/>
      <c r="G6875" s="89"/>
    </row>
    <row r="6876">
      <c r="A6876" s="93"/>
      <c r="B6876" s="87" t="s">
        <v>779</v>
      </c>
      <c r="C6876" s="88"/>
      <c r="D6876" s="92"/>
      <c r="E6876" s="89"/>
      <c r="F6876" s="89"/>
      <c r="G6876" s="89"/>
    </row>
  </sheetData>
  <drawing r:id="rId1"/>
</worksheet>
</file>